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Rory\01 - Development\Sports Stats\Golf\2020\Masters\"/>
    </mc:Choice>
  </mc:AlternateContent>
  <xr:revisionPtr revIDLastSave="0" documentId="13_ncr:1_{B31ED51B-5A25-4310-B0A8-39FBBF15901C}" xr6:coauthVersionLast="45" xr6:coauthVersionMax="45" xr10:uidLastSave="{00000000-0000-0000-0000-000000000000}"/>
  <bookViews>
    <workbookView xWindow="180" yWindow="1410" windowWidth="27585" windowHeight="13470" activeTab="1" xr2:uid="{00000000-000D-0000-FFFF-FFFF00000000}"/>
  </bookViews>
  <sheets>
    <sheet name="Names" sheetId="1" r:id="rId1"/>
    <sheet name="MasterPlayers" sheetId="62" r:id="rId2"/>
    <sheet name="DrivDist" sheetId="2" r:id="rId3"/>
    <sheet name="DrivDist2" sheetId="3" r:id="rId4"/>
    <sheet name="DrivCover" sheetId="4" r:id="rId5"/>
    <sheet name="DrivAcc" sheetId="5" r:id="rId6"/>
    <sheet name="DrivFair" sheetId="6" r:id="rId7"/>
    <sheet name="DrivGood" sheetId="7" r:id="rId8"/>
    <sheet name="ShotGain" sheetId="8" r:id="rId9"/>
    <sheet name="GIR" sheetId="9" r:id="rId10"/>
    <sheet name="GFIR" sheetId="10" r:id="rId11"/>
    <sheet name="GIRFair" sheetId="11" r:id="rId12"/>
    <sheet name="GIROther" sheetId="12" r:id="rId13"/>
    <sheet name="Prox" sheetId="13" r:id="rId14"/>
    <sheet name="ProxFair" sheetId="14" r:id="rId15"/>
    <sheet name="Prox125" sheetId="15" r:id="rId16"/>
    <sheet name="Prox150" sheetId="16" r:id="rId17"/>
    <sheet name="Prox175" sheetId="17" r:id="rId18"/>
    <sheet name="Prox200" sheetId="18" r:id="rId19"/>
    <sheet name="Prox200plus" sheetId="19" r:id="rId20"/>
    <sheet name="ProxRough" sheetId="20" r:id="rId21"/>
    <sheet name="GoGreen" sheetId="21" r:id="rId22"/>
    <sheet name="GoGreenAcc" sheetId="22" r:id="rId23"/>
    <sheet name="GoGreenDist" sheetId="23" r:id="rId24"/>
    <sheet name="GoGreenProx" sheetId="24" r:id="rId25"/>
    <sheet name="AppDist" sheetId="25" r:id="rId26"/>
    <sheet name="ShotARG" sheetId="26" r:id="rId27"/>
    <sheet name="SandSave" sheetId="27" r:id="rId28"/>
    <sheet name="Scram" sheetId="28" r:id="rId29"/>
    <sheet name="ScramSand" sheetId="29" r:id="rId30"/>
    <sheet name="ScramRough" sheetId="30" r:id="rId31"/>
    <sheet name="ScramFair" sheetId="31" r:id="rId32"/>
    <sheet name="ScramOther" sheetId="32" r:id="rId33"/>
    <sheet name="ARG" sheetId="33" r:id="rId34"/>
    <sheet name="ARGsand" sheetId="34" r:id="rId35"/>
    <sheet name="ARGrough" sheetId="35" r:id="rId36"/>
    <sheet name="ARGfair" sheetId="36" r:id="rId37"/>
    <sheet name="ARGother" sheetId="37" r:id="rId38"/>
    <sheet name="Putt5" sheetId="38" r:id="rId39"/>
    <sheet name="Putt10" sheetId="39" r:id="rId40"/>
    <sheet name="Putt15" sheetId="40" r:id="rId41"/>
    <sheet name="Putt20" sheetId="41" r:id="rId42"/>
    <sheet name="Putt25" sheetId="42" r:id="rId43"/>
    <sheet name="Putt25plus" sheetId="43" r:id="rId44"/>
    <sheet name="Putt5to15" sheetId="44" r:id="rId45"/>
    <sheet name="Putt15to25" sheetId="45" r:id="rId46"/>
    <sheet name="PuttAvg" sheetId="46" r:id="rId47"/>
    <sheet name="PuttTotal" sheetId="47" r:id="rId48"/>
    <sheet name="DriveGain" sheetId="48" r:id="rId49"/>
    <sheet name="AppGain" sheetId="49" r:id="rId50"/>
    <sheet name="ArgGain" sheetId="50" r:id="rId51"/>
    <sheet name="PuttGain" sheetId="51" r:id="rId52"/>
    <sheet name="TotalGain" sheetId="52" r:id="rId53"/>
    <sheet name="ScoreAvg" sheetId="53" r:id="rId54"/>
    <sheet name="ScoreAvgAct" sheetId="54" r:id="rId55"/>
    <sheet name="ScorePar3" sheetId="55" r:id="rId56"/>
    <sheet name="ScorePar4" sheetId="56" r:id="rId57"/>
    <sheet name="ScorePar5" sheetId="57" r:id="rId58"/>
    <sheet name="Top10" sheetId="58" r:id="rId59"/>
    <sheet name="YearMoney" sheetId="59" r:id="rId60"/>
    <sheet name="CareerMoney" sheetId="60" r:id="rId61"/>
    <sheet name="WorldRank" sheetId="61" r:id="rId62"/>
  </sheets>
  <calcPr calcId="191029"/>
</workbook>
</file>

<file path=xl/calcChain.xml><?xml version="1.0" encoding="utf-8"?>
<calcChain xmlns="http://schemas.openxmlformats.org/spreadsheetml/2006/main">
  <c r="I999" i="61" l="1"/>
  <c r="H999" i="61"/>
  <c r="G999" i="61"/>
  <c r="F999" i="61"/>
  <c r="E999" i="61"/>
  <c r="D999" i="61"/>
  <c r="C999" i="61"/>
  <c r="B999" i="61"/>
  <c r="A999" i="61"/>
  <c r="I998" i="61"/>
  <c r="H998" i="61"/>
  <c r="G998" i="61"/>
  <c r="F998" i="61"/>
  <c r="E998" i="61"/>
  <c r="D998" i="61"/>
  <c r="C998" i="61"/>
  <c r="B998" i="61"/>
  <c r="A998" i="61"/>
  <c r="I997" i="61"/>
  <c r="H997" i="61"/>
  <c r="G997" i="61"/>
  <c r="F997" i="61"/>
  <c r="E997" i="61"/>
  <c r="D997" i="61"/>
  <c r="C997" i="61"/>
  <c r="B997" i="61"/>
  <c r="A997" i="61"/>
  <c r="I996" i="61"/>
  <c r="H996" i="61"/>
  <c r="G996" i="61"/>
  <c r="F996" i="61"/>
  <c r="E996" i="61"/>
  <c r="D996" i="61"/>
  <c r="C996" i="61"/>
  <c r="B996" i="61"/>
  <c r="A996" i="61"/>
  <c r="I995" i="61"/>
  <c r="H995" i="61"/>
  <c r="G995" i="61"/>
  <c r="F995" i="61"/>
  <c r="E995" i="61"/>
  <c r="D995" i="61"/>
  <c r="C995" i="61"/>
  <c r="B995" i="61"/>
  <c r="A995" i="61"/>
  <c r="I994" i="61"/>
  <c r="H994" i="61"/>
  <c r="G994" i="61"/>
  <c r="F994" i="61"/>
  <c r="E994" i="61"/>
  <c r="D994" i="61"/>
  <c r="C994" i="61"/>
  <c r="B994" i="61"/>
  <c r="A994" i="61"/>
  <c r="I993" i="61"/>
  <c r="H993" i="61"/>
  <c r="G993" i="61"/>
  <c r="F993" i="61"/>
  <c r="E993" i="61"/>
  <c r="D993" i="61"/>
  <c r="C993" i="61"/>
  <c r="B993" i="61"/>
  <c r="A993" i="61"/>
  <c r="I992" i="61"/>
  <c r="H992" i="61"/>
  <c r="G992" i="61"/>
  <c r="F992" i="61"/>
  <c r="E992" i="61"/>
  <c r="D992" i="61"/>
  <c r="C992" i="61"/>
  <c r="B992" i="61"/>
  <c r="A992" i="61"/>
  <c r="I991" i="61"/>
  <c r="H991" i="61"/>
  <c r="G991" i="61"/>
  <c r="F991" i="61"/>
  <c r="E991" i="61"/>
  <c r="D991" i="61"/>
  <c r="C991" i="61"/>
  <c r="B991" i="61"/>
  <c r="A991" i="61"/>
  <c r="I990" i="61"/>
  <c r="H990" i="61"/>
  <c r="G990" i="61"/>
  <c r="F990" i="61"/>
  <c r="E990" i="61"/>
  <c r="D990" i="61"/>
  <c r="C990" i="61"/>
  <c r="B990" i="61"/>
  <c r="A990" i="61"/>
  <c r="I989" i="61"/>
  <c r="H989" i="61"/>
  <c r="G989" i="61"/>
  <c r="F989" i="61"/>
  <c r="E989" i="61"/>
  <c r="D989" i="61"/>
  <c r="C989" i="61"/>
  <c r="B989" i="61"/>
  <c r="A989" i="61"/>
  <c r="I988" i="61"/>
  <c r="H988" i="61"/>
  <c r="G988" i="61"/>
  <c r="F988" i="61"/>
  <c r="E988" i="61"/>
  <c r="D988" i="61"/>
  <c r="C988" i="61"/>
  <c r="B988" i="61"/>
  <c r="A988" i="61"/>
  <c r="I987" i="61"/>
  <c r="H987" i="61"/>
  <c r="G987" i="61"/>
  <c r="F987" i="61"/>
  <c r="E987" i="61"/>
  <c r="D987" i="61"/>
  <c r="C987" i="61"/>
  <c r="B987" i="61"/>
  <c r="A987" i="61"/>
  <c r="I986" i="61"/>
  <c r="H986" i="61"/>
  <c r="G986" i="61"/>
  <c r="F986" i="61"/>
  <c r="E986" i="61"/>
  <c r="D986" i="61"/>
  <c r="C986" i="61"/>
  <c r="B986" i="61"/>
  <c r="A986" i="61"/>
  <c r="I985" i="61"/>
  <c r="H985" i="61"/>
  <c r="G985" i="61"/>
  <c r="F985" i="61"/>
  <c r="E985" i="61"/>
  <c r="D985" i="61"/>
  <c r="C985" i="61"/>
  <c r="B985" i="61"/>
  <c r="A985" i="61"/>
  <c r="I984" i="61"/>
  <c r="H984" i="61"/>
  <c r="G984" i="61"/>
  <c r="F984" i="61"/>
  <c r="E984" i="61"/>
  <c r="D984" i="61"/>
  <c r="C984" i="61"/>
  <c r="B984" i="61"/>
  <c r="A984" i="61"/>
  <c r="I983" i="61"/>
  <c r="H983" i="61"/>
  <c r="G983" i="61"/>
  <c r="F983" i="61"/>
  <c r="E983" i="61"/>
  <c r="D983" i="61"/>
  <c r="C983" i="61"/>
  <c r="B983" i="61"/>
  <c r="A983" i="61"/>
  <c r="I982" i="61"/>
  <c r="H982" i="61"/>
  <c r="G982" i="61"/>
  <c r="F982" i="61"/>
  <c r="E982" i="61"/>
  <c r="D982" i="61"/>
  <c r="C982" i="61"/>
  <c r="B982" i="61"/>
  <c r="A982" i="61"/>
  <c r="I981" i="61"/>
  <c r="H981" i="61"/>
  <c r="G981" i="61"/>
  <c r="F981" i="61"/>
  <c r="E981" i="61"/>
  <c r="D981" i="61"/>
  <c r="C981" i="61"/>
  <c r="B981" i="61"/>
  <c r="A981" i="61"/>
  <c r="I980" i="61"/>
  <c r="H980" i="61"/>
  <c r="G980" i="61"/>
  <c r="F980" i="61"/>
  <c r="E980" i="61"/>
  <c r="D980" i="61"/>
  <c r="C980" i="61"/>
  <c r="B980" i="61"/>
  <c r="A980" i="61"/>
  <c r="I979" i="61"/>
  <c r="H979" i="61"/>
  <c r="G979" i="61"/>
  <c r="F979" i="61"/>
  <c r="E979" i="61"/>
  <c r="D979" i="61"/>
  <c r="C979" i="61"/>
  <c r="B979" i="61"/>
  <c r="A979" i="61"/>
  <c r="I978" i="61"/>
  <c r="H978" i="61"/>
  <c r="G978" i="61"/>
  <c r="F978" i="61"/>
  <c r="E978" i="61"/>
  <c r="D978" i="61"/>
  <c r="C978" i="61"/>
  <c r="B978" i="61"/>
  <c r="A978" i="61"/>
  <c r="I977" i="61"/>
  <c r="H977" i="61"/>
  <c r="G977" i="61"/>
  <c r="F977" i="61"/>
  <c r="E977" i="61"/>
  <c r="D977" i="61"/>
  <c r="C977" i="61"/>
  <c r="B977" i="61"/>
  <c r="A977" i="61"/>
  <c r="I976" i="61"/>
  <c r="H976" i="61"/>
  <c r="G976" i="61"/>
  <c r="F976" i="61"/>
  <c r="E976" i="61"/>
  <c r="D976" i="61"/>
  <c r="C976" i="61"/>
  <c r="B976" i="61"/>
  <c r="A976" i="61"/>
  <c r="I975" i="61"/>
  <c r="H975" i="61"/>
  <c r="G975" i="61"/>
  <c r="F975" i="61"/>
  <c r="E975" i="61"/>
  <c r="D975" i="61"/>
  <c r="C975" i="61"/>
  <c r="B975" i="61"/>
  <c r="A975" i="61"/>
  <c r="I974" i="61"/>
  <c r="H974" i="61"/>
  <c r="G974" i="61"/>
  <c r="F974" i="61"/>
  <c r="E974" i="61"/>
  <c r="D974" i="61"/>
  <c r="C974" i="61"/>
  <c r="B974" i="61"/>
  <c r="A974" i="61"/>
  <c r="I973" i="61"/>
  <c r="H973" i="61"/>
  <c r="G973" i="61"/>
  <c r="F973" i="61"/>
  <c r="E973" i="61"/>
  <c r="D973" i="61"/>
  <c r="C973" i="61"/>
  <c r="B973" i="61"/>
  <c r="A973" i="61"/>
  <c r="I972" i="61"/>
  <c r="H972" i="61"/>
  <c r="G972" i="61"/>
  <c r="F972" i="61"/>
  <c r="E972" i="61"/>
  <c r="D972" i="61"/>
  <c r="C972" i="61"/>
  <c r="B972" i="61"/>
  <c r="A972" i="61"/>
  <c r="I971" i="61"/>
  <c r="H971" i="61"/>
  <c r="G971" i="61"/>
  <c r="F971" i="61"/>
  <c r="E971" i="61"/>
  <c r="D971" i="61"/>
  <c r="C971" i="61"/>
  <c r="B971" i="61"/>
  <c r="A971" i="61"/>
  <c r="I970" i="61"/>
  <c r="H970" i="61"/>
  <c r="G970" i="61"/>
  <c r="F970" i="61"/>
  <c r="E970" i="61"/>
  <c r="D970" i="61"/>
  <c r="C970" i="61"/>
  <c r="B970" i="61"/>
  <c r="A970" i="61"/>
  <c r="I969" i="61"/>
  <c r="H969" i="61"/>
  <c r="G969" i="61"/>
  <c r="F969" i="61"/>
  <c r="E969" i="61"/>
  <c r="D969" i="61"/>
  <c r="C969" i="61"/>
  <c r="B969" i="61"/>
  <c r="A969" i="61"/>
  <c r="I968" i="61"/>
  <c r="H968" i="61"/>
  <c r="G968" i="61"/>
  <c r="F968" i="61"/>
  <c r="E968" i="61"/>
  <c r="D968" i="61"/>
  <c r="C968" i="61"/>
  <c r="B968" i="61"/>
  <c r="A968" i="61"/>
  <c r="I967" i="61"/>
  <c r="H967" i="61"/>
  <c r="G967" i="61"/>
  <c r="F967" i="61"/>
  <c r="E967" i="61"/>
  <c r="D967" i="61"/>
  <c r="C967" i="61"/>
  <c r="B967" i="61"/>
  <c r="A967" i="61"/>
  <c r="I966" i="61"/>
  <c r="H966" i="61"/>
  <c r="G966" i="61"/>
  <c r="F966" i="61"/>
  <c r="E966" i="61"/>
  <c r="D966" i="61"/>
  <c r="C966" i="61"/>
  <c r="B966" i="61"/>
  <c r="A966" i="61"/>
  <c r="I965" i="61"/>
  <c r="H965" i="61"/>
  <c r="G965" i="61"/>
  <c r="F965" i="61"/>
  <c r="E965" i="61"/>
  <c r="D965" i="61"/>
  <c r="C965" i="61"/>
  <c r="B965" i="61"/>
  <c r="A965" i="61"/>
  <c r="I964" i="61"/>
  <c r="H964" i="61"/>
  <c r="G964" i="61"/>
  <c r="F964" i="61"/>
  <c r="E964" i="61"/>
  <c r="D964" i="61"/>
  <c r="C964" i="61"/>
  <c r="B964" i="61"/>
  <c r="A964" i="61"/>
  <c r="I963" i="61"/>
  <c r="H963" i="61"/>
  <c r="G963" i="61"/>
  <c r="F963" i="61"/>
  <c r="E963" i="61"/>
  <c r="D963" i="61"/>
  <c r="C963" i="61"/>
  <c r="B963" i="61"/>
  <c r="A963" i="61"/>
  <c r="I962" i="61"/>
  <c r="H962" i="61"/>
  <c r="G962" i="61"/>
  <c r="F962" i="61"/>
  <c r="E962" i="61"/>
  <c r="D962" i="61"/>
  <c r="C962" i="61"/>
  <c r="B962" i="61"/>
  <c r="A962" i="61"/>
  <c r="I961" i="61"/>
  <c r="H961" i="61"/>
  <c r="G961" i="61"/>
  <c r="F961" i="61"/>
  <c r="E961" i="61"/>
  <c r="D961" i="61"/>
  <c r="C961" i="61"/>
  <c r="B961" i="61"/>
  <c r="A961" i="61"/>
  <c r="I960" i="61"/>
  <c r="H960" i="61"/>
  <c r="G960" i="61"/>
  <c r="F960" i="61"/>
  <c r="E960" i="61"/>
  <c r="D960" i="61"/>
  <c r="C960" i="61"/>
  <c r="B960" i="61"/>
  <c r="A960" i="61"/>
  <c r="I959" i="61"/>
  <c r="H959" i="61"/>
  <c r="G959" i="61"/>
  <c r="F959" i="61"/>
  <c r="E959" i="61"/>
  <c r="D959" i="61"/>
  <c r="C959" i="61"/>
  <c r="B959" i="61"/>
  <c r="A959" i="61"/>
  <c r="I958" i="61"/>
  <c r="H958" i="61"/>
  <c r="G958" i="61"/>
  <c r="F958" i="61"/>
  <c r="E958" i="61"/>
  <c r="D958" i="61"/>
  <c r="C958" i="61"/>
  <c r="B958" i="61"/>
  <c r="A958" i="61"/>
  <c r="I957" i="61"/>
  <c r="H957" i="61"/>
  <c r="G957" i="61"/>
  <c r="F957" i="61"/>
  <c r="E957" i="61"/>
  <c r="D957" i="61"/>
  <c r="C957" i="61"/>
  <c r="B957" i="61"/>
  <c r="A957" i="61"/>
  <c r="I956" i="61"/>
  <c r="H956" i="61"/>
  <c r="G956" i="61"/>
  <c r="F956" i="61"/>
  <c r="E956" i="61"/>
  <c r="D956" i="61"/>
  <c r="C956" i="61"/>
  <c r="B956" i="61"/>
  <c r="A956" i="61"/>
  <c r="I955" i="61"/>
  <c r="H955" i="61"/>
  <c r="G955" i="61"/>
  <c r="F955" i="61"/>
  <c r="E955" i="61"/>
  <c r="D955" i="61"/>
  <c r="C955" i="61"/>
  <c r="B955" i="61"/>
  <c r="A955" i="61"/>
  <c r="I954" i="61"/>
  <c r="H954" i="61"/>
  <c r="G954" i="61"/>
  <c r="F954" i="61"/>
  <c r="E954" i="61"/>
  <c r="D954" i="61"/>
  <c r="C954" i="61"/>
  <c r="B954" i="61"/>
  <c r="A954" i="61"/>
  <c r="I953" i="61"/>
  <c r="H953" i="61"/>
  <c r="G953" i="61"/>
  <c r="F953" i="61"/>
  <c r="E953" i="61"/>
  <c r="D953" i="61"/>
  <c r="C953" i="61"/>
  <c r="B953" i="61"/>
  <c r="A953" i="61"/>
  <c r="I952" i="61"/>
  <c r="H952" i="61"/>
  <c r="G952" i="61"/>
  <c r="F952" i="61"/>
  <c r="E952" i="61"/>
  <c r="D952" i="61"/>
  <c r="C952" i="61"/>
  <c r="B952" i="61"/>
  <c r="A952" i="61"/>
  <c r="I951" i="61"/>
  <c r="H951" i="61"/>
  <c r="G951" i="61"/>
  <c r="F951" i="61"/>
  <c r="E951" i="61"/>
  <c r="D951" i="61"/>
  <c r="C951" i="61"/>
  <c r="B951" i="61"/>
  <c r="A951" i="61"/>
  <c r="I950" i="61"/>
  <c r="H950" i="61"/>
  <c r="G950" i="61"/>
  <c r="F950" i="61"/>
  <c r="E950" i="61"/>
  <c r="D950" i="61"/>
  <c r="C950" i="61"/>
  <c r="B950" i="61"/>
  <c r="A950" i="61"/>
  <c r="I949" i="61"/>
  <c r="H949" i="61"/>
  <c r="G949" i="61"/>
  <c r="F949" i="61"/>
  <c r="E949" i="61"/>
  <c r="D949" i="61"/>
  <c r="C949" i="61"/>
  <c r="B949" i="61"/>
  <c r="A949" i="61"/>
  <c r="I948" i="61"/>
  <c r="H948" i="61"/>
  <c r="G948" i="61"/>
  <c r="F948" i="61"/>
  <c r="E948" i="61"/>
  <c r="D948" i="61"/>
  <c r="C948" i="61"/>
  <c r="B948" i="61"/>
  <c r="A948" i="61"/>
  <c r="I947" i="61"/>
  <c r="H947" i="61"/>
  <c r="G947" i="61"/>
  <c r="F947" i="61"/>
  <c r="E947" i="61"/>
  <c r="D947" i="61"/>
  <c r="C947" i="61"/>
  <c r="B947" i="61"/>
  <c r="A947" i="61"/>
  <c r="I946" i="61"/>
  <c r="H946" i="61"/>
  <c r="G946" i="61"/>
  <c r="F946" i="61"/>
  <c r="E946" i="61"/>
  <c r="D946" i="61"/>
  <c r="C946" i="61"/>
  <c r="B946" i="61"/>
  <c r="A946" i="61"/>
  <c r="I945" i="61"/>
  <c r="H945" i="61"/>
  <c r="G945" i="61"/>
  <c r="F945" i="61"/>
  <c r="E945" i="61"/>
  <c r="D945" i="61"/>
  <c r="C945" i="61"/>
  <c r="B945" i="61"/>
  <c r="A945" i="61"/>
  <c r="I944" i="61"/>
  <c r="H944" i="61"/>
  <c r="G944" i="61"/>
  <c r="F944" i="61"/>
  <c r="E944" i="61"/>
  <c r="D944" i="61"/>
  <c r="C944" i="61"/>
  <c r="B944" i="61"/>
  <c r="A944" i="61"/>
  <c r="I943" i="61"/>
  <c r="H943" i="61"/>
  <c r="G943" i="61"/>
  <c r="F943" i="61"/>
  <c r="E943" i="61"/>
  <c r="D943" i="61"/>
  <c r="C943" i="61"/>
  <c r="B943" i="61"/>
  <c r="A943" i="61"/>
  <c r="I942" i="61"/>
  <c r="H942" i="61"/>
  <c r="G942" i="61"/>
  <c r="F942" i="61"/>
  <c r="E942" i="61"/>
  <c r="D942" i="61"/>
  <c r="C942" i="61"/>
  <c r="B942" i="61"/>
  <c r="A942" i="61"/>
  <c r="I941" i="61"/>
  <c r="H941" i="61"/>
  <c r="G941" i="61"/>
  <c r="F941" i="61"/>
  <c r="E941" i="61"/>
  <c r="D941" i="61"/>
  <c r="C941" i="61"/>
  <c r="B941" i="61"/>
  <c r="A941" i="61"/>
  <c r="I940" i="61"/>
  <c r="H940" i="61"/>
  <c r="G940" i="61"/>
  <c r="F940" i="61"/>
  <c r="E940" i="61"/>
  <c r="D940" i="61"/>
  <c r="C940" i="61"/>
  <c r="B940" i="61"/>
  <c r="A940" i="61"/>
  <c r="I939" i="61"/>
  <c r="H939" i="61"/>
  <c r="G939" i="61"/>
  <c r="F939" i="61"/>
  <c r="E939" i="61"/>
  <c r="D939" i="61"/>
  <c r="C939" i="61"/>
  <c r="B939" i="61"/>
  <c r="A939" i="61"/>
  <c r="I938" i="61"/>
  <c r="H938" i="61"/>
  <c r="G938" i="61"/>
  <c r="F938" i="61"/>
  <c r="E938" i="61"/>
  <c r="D938" i="61"/>
  <c r="C938" i="61"/>
  <c r="B938" i="61"/>
  <c r="A938" i="61"/>
  <c r="I937" i="61"/>
  <c r="H937" i="61"/>
  <c r="G937" i="61"/>
  <c r="F937" i="61"/>
  <c r="E937" i="61"/>
  <c r="D937" i="61"/>
  <c r="C937" i="61"/>
  <c r="B937" i="61"/>
  <c r="A937" i="61"/>
  <c r="I936" i="61"/>
  <c r="H936" i="61"/>
  <c r="G936" i="61"/>
  <c r="F936" i="61"/>
  <c r="E936" i="61"/>
  <c r="D936" i="61"/>
  <c r="C936" i="61"/>
  <c r="B936" i="61"/>
  <c r="A936" i="61"/>
  <c r="I935" i="61"/>
  <c r="H935" i="61"/>
  <c r="G935" i="61"/>
  <c r="F935" i="61"/>
  <c r="E935" i="61"/>
  <c r="D935" i="61"/>
  <c r="C935" i="61"/>
  <c r="B935" i="61"/>
  <c r="A935" i="61"/>
  <c r="I934" i="61"/>
  <c r="H934" i="61"/>
  <c r="G934" i="61"/>
  <c r="F934" i="61"/>
  <c r="E934" i="61"/>
  <c r="D934" i="61"/>
  <c r="C934" i="61"/>
  <c r="B934" i="61"/>
  <c r="A934" i="61"/>
  <c r="I933" i="61"/>
  <c r="H933" i="61"/>
  <c r="G933" i="61"/>
  <c r="F933" i="61"/>
  <c r="E933" i="61"/>
  <c r="D933" i="61"/>
  <c r="C933" i="61"/>
  <c r="B933" i="61"/>
  <c r="A933" i="61"/>
  <c r="I932" i="61"/>
  <c r="H932" i="61"/>
  <c r="G932" i="61"/>
  <c r="F932" i="61"/>
  <c r="E932" i="61"/>
  <c r="D932" i="61"/>
  <c r="C932" i="61"/>
  <c r="B932" i="61"/>
  <c r="A932" i="61"/>
  <c r="I931" i="61"/>
  <c r="H931" i="61"/>
  <c r="G931" i="61"/>
  <c r="F931" i="61"/>
  <c r="E931" i="61"/>
  <c r="D931" i="61"/>
  <c r="C931" i="61"/>
  <c r="B931" i="61"/>
  <c r="A931" i="61"/>
  <c r="I930" i="61"/>
  <c r="H930" i="61"/>
  <c r="G930" i="61"/>
  <c r="F930" i="61"/>
  <c r="E930" i="61"/>
  <c r="D930" i="61"/>
  <c r="C930" i="61"/>
  <c r="B930" i="61"/>
  <c r="A930" i="61"/>
  <c r="I929" i="61"/>
  <c r="H929" i="61"/>
  <c r="G929" i="61"/>
  <c r="F929" i="61"/>
  <c r="E929" i="61"/>
  <c r="D929" i="61"/>
  <c r="C929" i="61"/>
  <c r="B929" i="61"/>
  <c r="A929" i="61"/>
  <c r="I928" i="61"/>
  <c r="H928" i="61"/>
  <c r="G928" i="61"/>
  <c r="F928" i="61"/>
  <c r="E928" i="61"/>
  <c r="D928" i="61"/>
  <c r="C928" i="61"/>
  <c r="B928" i="61"/>
  <c r="A928" i="61"/>
  <c r="I927" i="61"/>
  <c r="H927" i="61"/>
  <c r="G927" i="61"/>
  <c r="F927" i="61"/>
  <c r="E927" i="61"/>
  <c r="D927" i="61"/>
  <c r="C927" i="61"/>
  <c r="B927" i="61"/>
  <c r="A927" i="61"/>
  <c r="I926" i="61"/>
  <c r="H926" i="61"/>
  <c r="G926" i="61"/>
  <c r="F926" i="61"/>
  <c r="E926" i="61"/>
  <c r="D926" i="61"/>
  <c r="C926" i="61"/>
  <c r="B926" i="61"/>
  <c r="A926" i="61"/>
  <c r="I925" i="61"/>
  <c r="H925" i="61"/>
  <c r="G925" i="61"/>
  <c r="F925" i="61"/>
  <c r="E925" i="61"/>
  <c r="D925" i="61"/>
  <c r="C925" i="61"/>
  <c r="B925" i="61"/>
  <c r="A925" i="61"/>
  <c r="I924" i="61"/>
  <c r="H924" i="61"/>
  <c r="G924" i="61"/>
  <c r="F924" i="61"/>
  <c r="E924" i="61"/>
  <c r="D924" i="61"/>
  <c r="C924" i="61"/>
  <c r="B924" i="61"/>
  <c r="A924" i="61"/>
  <c r="I923" i="61"/>
  <c r="H923" i="61"/>
  <c r="G923" i="61"/>
  <c r="F923" i="61"/>
  <c r="E923" i="61"/>
  <c r="D923" i="61"/>
  <c r="C923" i="61"/>
  <c r="B923" i="61"/>
  <c r="A923" i="61"/>
  <c r="I922" i="61"/>
  <c r="H922" i="61"/>
  <c r="G922" i="61"/>
  <c r="F922" i="61"/>
  <c r="E922" i="61"/>
  <c r="D922" i="61"/>
  <c r="C922" i="61"/>
  <c r="B922" i="61"/>
  <c r="A922" i="61"/>
  <c r="I921" i="61"/>
  <c r="H921" i="61"/>
  <c r="G921" i="61"/>
  <c r="F921" i="61"/>
  <c r="E921" i="61"/>
  <c r="D921" i="61"/>
  <c r="C921" i="61"/>
  <c r="B921" i="61"/>
  <c r="A921" i="61"/>
  <c r="I920" i="61"/>
  <c r="H920" i="61"/>
  <c r="G920" i="61"/>
  <c r="F920" i="61"/>
  <c r="E920" i="61"/>
  <c r="D920" i="61"/>
  <c r="C920" i="61"/>
  <c r="B920" i="61"/>
  <c r="A920" i="61"/>
  <c r="I919" i="61"/>
  <c r="H919" i="61"/>
  <c r="G919" i="61"/>
  <c r="F919" i="61"/>
  <c r="E919" i="61"/>
  <c r="D919" i="61"/>
  <c r="C919" i="61"/>
  <c r="B919" i="61"/>
  <c r="A919" i="61"/>
  <c r="I918" i="61"/>
  <c r="H918" i="61"/>
  <c r="G918" i="61"/>
  <c r="F918" i="61"/>
  <c r="E918" i="61"/>
  <c r="D918" i="61"/>
  <c r="C918" i="61"/>
  <c r="B918" i="61"/>
  <c r="A918" i="61"/>
  <c r="I917" i="61"/>
  <c r="H917" i="61"/>
  <c r="G917" i="61"/>
  <c r="F917" i="61"/>
  <c r="E917" i="61"/>
  <c r="D917" i="61"/>
  <c r="C917" i="61"/>
  <c r="B917" i="61"/>
  <c r="A917" i="61"/>
  <c r="I916" i="61"/>
  <c r="H916" i="61"/>
  <c r="G916" i="61"/>
  <c r="F916" i="61"/>
  <c r="E916" i="61"/>
  <c r="D916" i="61"/>
  <c r="C916" i="61"/>
  <c r="B916" i="61"/>
  <c r="A916" i="61"/>
  <c r="I915" i="61"/>
  <c r="H915" i="61"/>
  <c r="G915" i="61"/>
  <c r="F915" i="61"/>
  <c r="E915" i="61"/>
  <c r="D915" i="61"/>
  <c r="C915" i="61"/>
  <c r="B915" i="61"/>
  <c r="A915" i="61"/>
  <c r="I914" i="61"/>
  <c r="H914" i="61"/>
  <c r="G914" i="61"/>
  <c r="F914" i="61"/>
  <c r="E914" i="61"/>
  <c r="D914" i="61"/>
  <c r="C914" i="61"/>
  <c r="B914" i="61"/>
  <c r="A914" i="61"/>
  <c r="I913" i="61"/>
  <c r="H913" i="61"/>
  <c r="G913" i="61"/>
  <c r="F913" i="61"/>
  <c r="E913" i="61"/>
  <c r="D913" i="61"/>
  <c r="C913" i="61"/>
  <c r="B913" i="61"/>
  <c r="A913" i="61"/>
  <c r="I912" i="61"/>
  <c r="H912" i="61"/>
  <c r="G912" i="61"/>
  <c r="F912" i="61"/>
  <c r="E912" i="61"/>
  <c r="D912" i="61"/>
  <c r="C912" i="61"/>
  <c r="B912" i="61"/>
  <c r="A912" i="61"/>
  <c r="I911" i="61"/>
  <c r="H911" i="61"/>
  <c r="G911" i="61"/>
  <c r="F911" i="61"/>
  <c r="E911" i="61"/>
  <c r="D911" i="61"/>
  <c r="C911" i="61"/>
  <c r="B911" i="61"/>
  <c r="A911" i="61"/>
  <c r="I910" i="61"/>
  <c r="H910" i="61"/>
  <c r="G910" i="61"/>
  <c r="F910" i="61"/>
  <c r="E910" i="61"/>
  <c r="D910" i="61"/>
  <c r="C910" i="61"/>
  <c r="B910" i="61"/>
  <c r="A910" i="61"/>
  <c r="I909" i="61"/>
  <c r="H909" i="61"/>
  <c r="G909" i="61"/>
  <c r="F909" i="61"/>
  <c r="E909" i="61"/>
  <c r="D909" i="61"/>
  <c r="C909" i="61"/>
  <c r="B909" i="61"/>
  <c r="A909" i="61"/>
  <c r="I908" i="61"/>
  <c r="H908" i="61"/>
  <c r="G908" i="61"/>
  <c r="F908" i="61"/>
  <c r="E908" i="61"/>
  <c r="D908" i="61"/>
  <c r="C908" i="61"/>
  <c r="B908" i="61"/>
  <c r="A908" i="61"/>
  <c r="I907" i="61"/>
  <c r="H907" i="61"/>
  <c r="G907" i="61"/>
  <c r="F907" i="61"/>
  <c r="E907" i="61"/>
  <c r="D907" i="61"/>
  <c r="C907" i="61"/>
  <c r="B907" i="61"/>
  <c r="A907" i="61"/>
  <c r="I906" i="61"/>
  <c r="H906" i="61"/>
  <c r="G906" i="61"/>
  <c r="F906" i="61"/>
  <c r="E906" i="61"/>
  <c r="D906" i="61"/>
  <c r="C906" i="61"/>
  <c r="B906" i="61"/>
  <c r="A906" i="61"/>
  <c r="I905" i="61"/>
  <c r="H905" i="61"/>
  <c r="G905" i="61"/>
  <c r="F905" i="61"/>
  <c r="E905" i="61"/>
  <c r="D905" i="61"/>
  <c r="C905" i="61"/>
  <c r="B905" i="61"/>
  <c r="A905" i="61"/>
  <c r="I904" i="61"/>
  <c r="H904" i="61"/>
  <c r="G904" i="61"/>
  <c r="F904" i="61"/>
  <c r="E904" i="61"/>
  <c r="D904" i="61"/>
  <c r="C904" i="61"/>
  <c r="B904" i="61"/>
  <c r="A904" i="61"/>
  <c r="I903" i="61"/>
  <c r="H903" i="61"/>
  <c r="G903" i="61"/>
  <c r="F903" i="61"/>
  <c r="E903" i="61"/>
  <c r="D903" i="61"/>
  <c r="C903" i="61"/>
  <c r="B903" i="61"/>
  <c r="A903" i="61"/>
  <c r="I902" i="61"/>
  <c r="H902" i="61"/>
  <c r="G902" i="61"/>
  <c r="F902" i="61"/>
  <c r="E902" i="61"/>
  <c r="D902" i="61"/>
  <c r="C902" i="61"/>
  <c r="B902" i="61"/>
  <c r="A902" i="61"/>
  <c r="I901" i="61"/>
  <c r="H901" i="61"/>
  <c r="G901" i="61"/>
  <c r="F901" i="61"/>
  <c r="E901" i="61"/>
  <c r="D901" i="61"/>
  <c r="C901" i="61"/>
  <c r="B901" i="61"/>
  <c r="A901" i="61"/>
  <c r="I900" i="61"/>
  <c r="H900" i="61"/>
  <c r="G900" i="61"/>
  <c r="F900" i="61"/>
  <c r="E900" i="61"/>
  <c r="D900" i="61"/>
  <c r="C900" i="61"/>
  <c r="B900" i="61"/>
  <c r="A900" i="61"/>
  <c r="I899" i="61"/>
  <c r="H899" i="61"/>
  <c r="G899" i="61"/>
  <c r="F899" i="61"/>
  <c r="E899" i="61"/>
  <c r="D899" i="61"/>
  <c r="C899" i="61"/>
  <c r="B899" i="61"/>
  <c r="A899" i="61"/>
  <c r="I898" i="61"/>
  <c r="H898" i="61"/>
  <c r="G898" i="61"/>
  <c r="F898" i="61"/>
  <c r="E898" i="61"/>
  <c r="D898" i="61"/>
  <c r="C898" i="61"/>
  <c r="B898" i="61"/>
  <c r="A898" i="61"/>
  <c r="I897" i="61"/>
  <c r="H897" i="61"/>
  <c r="G897" i="61"/>
  <c r="F897" i="61"/>
  <c r="E897" i="61"/>
  <c r="D897" i="61"/>
  <c r="C897" i="61"/>
  <c r="B897" i="61"/>
  <c r="A897" i="61"/>
  <c r="I896" i="61"/>
  <c r="H896" i="61"/>
  <c r="G896" i="61"/>
  <c r="F896" i="61"/>
  <c r="E896" i="61"/>
  <c r="D896" i="61"/>
  <c r="C896" i="61"/>
  <c r="B896" i="61"/>
  <c r="A896" i="61"/>
  <c r="I895" i="61"/>
  <c r="H895" i="61"/>
  <c r="G895" i="61"/>
  <c r="F895" i="61"/>
  <c r="E895" i="61"/>
  <c r="D895" i="61"/>
  <c r="C895" i="61"/>
  <c r="B895" i="61"/>
  <c r="A895" i="61"/>
  <c r="I894" i="61"/>
  <c r="H894" i="61"/>
  <c r="G894" i="61"/>
  <c r="F894" i="61"/>
  <c r="E894" i="61"/>
  <c r="D894" i="61"/>
  <c r="C894" i="61"/>
  <c r="B894" i="61"/>
  <c r="A894" i="61"/>
  <c r="I893" i="61"/>
  <c r="H893" i="61"/>
  <c r="G893" i="61"/>
  <c r="F893" i="61"/>
  <c r="E893" i="61"/>
  <c r="D893" i="61"/>
  <c r="C893" i="61"/>
  <c r="B893" i="61"/>
  <c r="A893" i="61"/>
  <c r="I892" i="61"/>
  <c r="H892" i="61"/>
  <c r="G892" i="61"/>
  <c r="F892" i="61"/>
  <c r="E892" i="61"/>
  <c r="D892" i="61"/>
  <c r="C892" i="61"/>
  <c r="B892" i="61"/>
  <c r="A892" i="61"/>
  <c r="I891" i="61"/>
  <c r="H891" i="61"/>
  <c r="G891" i="61"/>
  <c r="F891" i="61"/>
  <c r="E891" i="61"/>
  <c r="D891" i="61"/>
  <c r="C891" i="61"/>
  <c r="B891" i="61"/>
  <c r="A891" i="61"/>
  <c r="I890" i="61"/>
  <c r="H890" i="61"/>
  <c r="G890" i="61"/>
  <c r="F890" i="61"/>
  <c r="E890" i="61"/>
  <c r="D890" i="61"/>
  <c r="C890" i="61"/>
  <c r="B890" i="61"/>
  <c r="A890" i="61"/>
  <c r="I889" i="61"/>
  <c r="H889" i="61"/>
  <c r="G889" i="61"/>
  <c r="F889" i="61"/>
  <c r="E889" i="61"/>
  <c r="D889" i="61"/>
  <c r="C889" i="61"/>
  <c r="B889" i="61"/>
  <c r="A889" i="61"/>
  <c r="I888" i="61"/>
  <c r="H888" i="61"/>
  <c r="G888" i="61"/>
  <c r="F888" i="61"/>
  <c r="E888" i="61"/>
  <c r="D888" i="61"/>
  <c r="C888" i="61"/>
  <c r="B888" i="61"/>
  <c r="A888" i="61"/>
  <c r="I887" i="61"/>
  <c r="H887" i="61"/>
  <c r="G887" i="61"/>
  <c r="F887" i="61"/>
  <c r="E887" i="61"/>
  <c r="D887" i="61"/>
  <c r="C887" i="61"/>
  <c r="B887" i="61"/>
  <c r="A887" i="61"/>
  <c r="I886" i="61"/>
  <c r="H886" i="61"/>
  <c r="G886" i="61"/>
  <c r="F886" i="61"/>
  <c r="E886" i="61"/>
  <c r="D886" i="61"/>
  <c r="C886" i="61"/>
  <c r="B886" i="61"/>
  <c r="A886" i="61"/>
  <c r="I885" i="61"/>
  <c r="H885" i="61"/>
  <c r="G885" i="61"/>
  <c r="F885" i="61"/>
  <c r="E885" i="61"/>
  <c r="D885" i="61"/>
  <c r="C885" i="61"/>
  <c r="B885" i="61"/>
  <c r="A885" i="61"/>
  <c r="I884" i="61"/>
  <c r="H884" i="61"/>
  <c r="G884" i="61"/>
  <c r="F884" i="61"/>
  <c r="E884" i="61"/>
  <c r="D884" i="61"/>
  <c r="C884" i="61"/>
  <c r="B884" i="61"/>
  <c r="A884" i="61"/>
  <c r="I883" i="61"/>
  <c r="H883" i="61"/>
  <c r="G883" i="61"/>
  <c r="F883" i="61"/>
  <c r="E883" i="61"/>
  <c r="D883" i="61"/>
  <c r="C883" i="61"/>
  <c r="B883" i="61"/>
  <c r="A883" i="61"/>
  <c r="I882" i="61"/>
  <c r="H882" i="61"/>
  <c r="G882" i="61"/>
  <c r="F882" i="61"/>
  <c r="E882" i="61"/>
  <c r="D882" i="61"/>
  <c r="C882" i="61"/>
  <c r="B882" i="61"/>
  <c r="A882" i="61"/>
  <c r="I881" i="61"/>
  <c r="H881" i="61"/>
  <c r="G881" i="61"/>
  <c r="F881" i="61"/>
  <c r="E881" i="61"/>
  <c r="D881" i="61"/>
  <c r="C881" i="61"/>
  <c r="B881" i="61"/>
  <c r="A881" i="61"/>
  <c r="I880" i="61"/>
  <c r="H880" i="61"/>
  <c r="G880" i="61"/>
  <c r="F880" i="61"/>
  <c r="E880" i="61"/>
  <c r="D880" i="61"/>
  <c r="C880" i="61"/>
  <c r="B880" i="61"/>
  <c r="A880" i="61"/>
  <c r="I879" i="61"/>
  <c r="H879" i="61"/>
  <c r="G879" i="61"/>
  <c r="F879" i="61"/>
  <c r="E879" i="61"/>
  <c r="D879" i="61"/>
  <c r="C879" i="61"/>
  <c r="B879" i="61"/>
  <c r="A879" i="61"/>
  <c r="I878" i="61"/>
  <c r="H878" i="61"/>
  <c r="G878" i="61"/>
  <c r="F878" i="61"/>
  <c r="E878" i="61"/>
  <c r="D878" i="61"/>
  <c r="C878" i="61"/>
  <c r="B878" i="61"/>
  <c r="A878" i="61"/>
  <c r="I877" i="61"/>
  <c r="H877" i="61"/>
  <c r="G877" i="61"/>
  <c r="F877" i="61"/>
  <c r="E877" i="61"/>
  <c r="D877" i="61"/>
  <c r="C877" i="61"/>
  <c r="B877" i="61"/>
  <c r="A877" i="61"/>
  <c r="I876" i="61"/>
  <c r="H876" i="61"/>
  <c r="G876" i="61"/>
  <c r="F876" i="61"/>
  <c r="E876" i="61"/>
  <c r="D876" i="61"/>
  <c r="C876" i="61"/>
  <c r="B876" i="61"/>
  <c r="A876" i="61"/>
  <c r="I875" i="61"/>
  <c r="H875" i="61"/>
  <c r="G875" i="61"/>
  <c r="F875" i="61"/>
  <c r="E875" i="61"/>
  <c r="D875" i="61"/>
  <c r="C875" i="61"/>
  <c r="B875" i="61"/>
  <c r="A875" i="61"/>
  <c r="I874" i="61"/>
  <c r="H874" i="61"/>
  <c r="G874" i="61"/>
  <c r="F874" i="61"/>
  <c r="E874" i="61"/>
  <c r="D874" i="61"/>
  <c r="C874" i="61"/>
  <c r="B874" i="61"/>
  <c r="A874" i="61"/>
  <c r="I873" i="61"/>
  <c r="H873" i="61"/>
  <c r="G873" i="61"/>
  <c r="F873" i="61"/>
  <c r="E873" i="61"/>
  <c r="D873" i="61"/>
  <c r="C873" i="61"/>
  <c r="B873" i="61"/>
  <c r="A873" i="61"/>
  <c r="I872" i="61"/>
  <c r="H872" i="61"/>
  <c r="G872" i="61"/>
  <c r="F872" i="61"/>
  <c r="E872" i="61"/>
  <c r="D872" i="61"/>
  <c r="C872" i="61"/>
  <c r="B872" i="61"/>
  <c r="A872" i="61"/>
  <c r="I871" i="61"/>
  <c r="H871" i="61"/>
  <c r="G871" i="61"/>
  <c r="F871" i="61"/>
  <c r="E871" i="61"/>
  <c r="D871" i="61"/>
  <c r="C871" i="61"/>
  <c r="B871" i="61"/>
  <c r="A871" i="61"/>
  <c r="I870" i="61"/>
  <c r="H870" i="61"/>
  <c r="G870" i="61"/>
  <c r="F870" i="61"/>
  <c r="E870" i="61"/>
  <c r="D870" i="61"/>
  <c r="C870" i="61"/>
  <c r="B870" i="61"/>
  <c r="A870" i="61"/>
  <c r="I869" i="61"/>
  <c r="H869" i="61"/>
  <c r="G869" i="61"/>
  <c r="F869" i="61"/>
  <c r="E869" i="61"/>
  <c r="D869" i="61"/>
  <c r="C869" i="61"/>
  <c r="B869" i="61"/>
  <c r="A869" i="61"/>
  <c r="I868" i="61"/>
  <c r="H868" i="61"/>
  <c r="G868" i="61"/>
  <c r="F868" i="61"/>
  <c r="E868" i="61"/>
  <c r="D868" i="61"/>
  <c r="C868" i="61"/>
  <c r="B868" i="61"/>
  <c r="A868" i="61"/>
  <c r="I867" i="61"/>
  <c r="H867" i="61"/>
  <c r="G867" i="61"/>
  <c r="F867" i="61"/>
  <c r="E867" i="61"/>
  <c r="D867" i="61"/>
  <c r="C867" i="61"/>
  <c r="B867" i="61"/>
  <c r="A867" i="61"/>
  <c r="I866" i="61"/>
  <c r="H866" i="61"/>
  <c r="G866" i="61"/>
  <c r="F866" i="61"/>
  <c r="E866" i="61"/>
  <c r="D866" i="61"/>
  <c r="C866" i="61"/>
  <c r="B866" i="61"/>
  <c r="A866" i="61"/>
  <c r="I865" i="61"/>
  <c r="H865" i="61"/>
  <c r="G865" i="61"/>
  <c r="F865" i="61"/>
  <c r="E865" i="61"/>
  <c r="D865" i="61"/>
  <c r="C865" i="61"/>
  <c r="B865" i="61"/>
  <c r="A865" i="61"/>
  <c r="I864" i="61"/>
  <c r="H864" i="61"/>
  <c r="G864" i="61"/>
  <c r="F864" i="61"/>
  <c r="E864" i="61"/>
  <c r="D864" i="61"/>
  <c r="C864" i="61"/>
  <c r="B864" i="61"/>
  <c r="A864" i="61"/>
  <c r="I863" i="61"/>
  <c r="H863" i="61"/>
  <c r="G863" i="61"/>
  <c r="F863" i="61"/>
  <c r="E863" i="61"/>
  <c r="D863" i="61"/>
  <c r="C863" i="61"/>
  <c r="B863" i="61"/>
  <c r="A863" i="61"/>
  <c r="I862" i="61"/>
  <c r="H862" i="61"/>
  <c r="G862" i="61"/>
  <c r="F862" i="61"/>
  <c r="E862" i="61"/>
  <c r="D862" i="61"/>
  <c r="C862" i="61"/>
  <c r="B862" i="61"/>
  <c r="A862" i="61"/>
  <c r="I861" i="61"/>
  <c r="H861" i="61"/>
  <c r="G861" i="61"/>
  <c r="F861" i="61"/>
  <c r="E861" i="61"/>
  <c r="D861" i="61"/>
  <c r="C861" i="61"/>
  <c r="B861" i="61"/>
  <c r="A861" i="61"/>
  <c r="I860" i="61"/>
  <c r="H860" i="61"/>
  <c r="G860" i="61"/>
  <c r="F860" i="61"/>
  <c r="E860" i="61"/>
  <c r="D860" i="61"/>
  <c r="C860" i="61"/>
  <c r="B860" i="61"/>
  <c r="A860" i="61"/>
  <c r="I859" i="61"/>
  <c r="H859" i="61"/>
  <c r="G859" i="61"/>
  <c r="F859" i="61"/>
  <c r="E859" i="61"/>
  <c r="D859" i="61"/>
  <c r="C859" i="61"/>
  <c r="B859" i="61"/>
  <c r="A859" i="61"/>
  <c r="I858" i="61"/>
  <c r="H858" i="61"/>
  <c r="G858" i="61"/>
  <c r="F858" i="61"/>
  <c r="E858" i="61"/>
  <c r="D858" i="61"/>
  <c r="C858" i="61"/>
  <c r="B858" i="61"/>
  <c r="A858" i="61"/>
  <c r="I857" i="61"/>
  <c r="H857" i="61"/>
  <c r="G857" i="61"/>
  <c r="F857" i="61"/>
  <c r="E857" i="61"/>
  <c r="D857" i="61"/>
  <c r="C857" i="61"/>
  <c r="B857" i="61"/>
  <c r="A857" i="61"/>
  <c r="I856" i="61"/>
  <c r="H856" i="61"/>
  <c r="G856" i="61"/>
  <c r="F856" i="61"/>
  <c r="E856" i="61"/>
  <c r="D856" i="61"/>
  <c r="C856" i="61"/>
  <c r="B856" i="61"/>
  <c r="A856" i="61"/>
  <c r="I855" i="61"/>
  <c r="H855" i="61"/>
  <c r="G855" i="61"/>
  <c r="F855" i="61"/>
  <c r="E855" i="61"/>
  <c r="D855" i="61"/>
  <c r="C855" i="61"/>
  <c r="B855" i="61"/>
  <c r="A855" i="61"/>
  <c r="I854" i="61"/>
  <c r="H854" i="61"/>
  <c r="G854" i="61"/>
  <c r="F854" i="61"/>
  <c r="E854" i="61"/>
  <c r="D854" i="61"/>
  <c r="C854" i="61"/>
  <c r="B854" i="61"/>
  <c r="A854" i="61"/>
  <c r="I853" i="61"/>
  <c r="H853" i="61"/>
  <c r="G853" i="61"/>
  <c r="F853" i="61"/>
  <c r="E853" i="61"/>
  <c r="D853" i="61"/>
  <c r="C853" i="61"/>
  <c r="B853" i="61"/>
  <c r="A853" i="61"/>
  <c r="I852" i="61"/>
  <c r="H852" i="61"/>
  <c r="G852" i="61"/>
  <c r="F852" i="61"/>
  <c r="E852" i="61"/>
  <c r="D852" i="61"/>
  <c r="C852" i="61"/>
  <c r="B852" i="61"/>
  <c r="A852" i="61"/>
  <c r="I851" i="61"/>
  <c r="H851" i="61"/>
  <c r="G851" i="61"/>
  <c r="F851" i="61"/>
  <c r="E851" i="61"/>
  <c r="D851" i="61"/>
  <c r="C851" i="61"/>
  <c r="B851" i="61"/>
  <c r="A851" i="61"/>
  <c r="I850" i="61"/>
  <c r="H850" i="61"/>
  <c r="G850" i="61"/>
  <c r="F850" i="61"/>
  <c r="E850" i="61"/>
  <c r="D850" i="61"/>
  <c r="C850" i="61"/>
  <c r="B850" i="61"/>
  <c r="A850" i="61"/>
  <c r="I849" i="61"/>
  <c r="H849" i="61"/>
  <c r="G849" i="61"/>
  <c r="F849" i="61"/>
  <c r="E849" i="61"/>
  <c r="D849" i="61"/>
  <c r="C849" i="61"/>
  <c r="B849" i="61"/>
  <c r="A849" i="61"/>
  <c r="I848" i="61"/>
  <c r="H848" i="61"/>
  <c r="G848" i="61"/>
  <c r="F848" i="61"/>
  <c r="E848" i="61"/>
  <c r="D848" i="61"/>
  <c r="C848" i="61"/>
  <c r="B848" i="61"/>
  <c r="A848" i="61"/>
  <c r="I847" i="61"/>
  <c r="H847" i="61"/>
  <c r="G847" i="61"/>
  <c r="F847" i="61"/>
  <c r="E847" i="61"/>
  <c r="D847" i="61"/>
  <c r="C847" i="61"/>
  <c r="B847" i="61"/>
  <c r="A847" i="61"/>
  <c r="I846" i="61"/>
  <c r="H846" i="61"/>
  <c r="G846" i="61"/>
  <c r="F846" i="61"/>
  <c r="E846" i="61"/>
  <c r="D846" i="61"/>
  <c r="C846" i="61"/>
  <c r="B846" i="61"/>
  <c r="A846" i="61"/>
  <c r="I845" i="61"/>
  <c r="H845" i="61"/>
  <c r="G845" i="61"/>
  <c r="F845" i="61"/>
  <c r="E845" i="61"/>
  <c r="D845" i="61"/>
  <c r="C845" i="61"/>
  <c r="B845" i="61"/>
  <c r="A845" i="61"/>
  <c r="I844" i="61"/>
  <c r="H844" i="61"/>
  <c r="G844" i="61"/>
  <c r="F844" i="61"/>
  <c r="E844" i="61"/>
  <c r="D844" i="61"/>
  <c r="C844" i="61"/>
  <c r="B844" i="61"/>
  <c r="A844" i="61"/>
  <c r="I843" i="61"/>
  <c r="H843" i="61"/>
  <c r="G843" i="61"/>
  <c r="F843" i="61"/>
  <c r="E843" i="61"/>
  <c r="D843" i="61"/>
  <c r="C843" i="61"/>
  <c r="B843" i="61"/>
  <c r="A843" i="61"/>
  <c r="I842" i="61"/>
  <c r="H842" i="61"/>
  <c r="G842" i="61"/>
  <c r="F842" i="61"/>
  <c r="E842" i="61"/>
  <c r="D842" i="61"/>
  <c r="C842" i="61"/>
  <c r="B842" i="61"/>
  <c r="A842" i="61"/>
  <c r="I841" i="61"/>
  <c r="H841" i="61"/>
  <c r="G841" i="61"/>
  <c r="F841" i="61"/>
  <c r="E841" i="61"/>
  <c r="D841" i="61"/>
  <c r="C841" i="61"/>
  <c r="B841" i="61"/>
  <c r="A841" i="61"/>
  <c r="I840" i="61"/>
  <c r="H840" i="61"/>
  <c r="G840" i="61"/>
  <c r="F840" i="61"/>
  <c r="E840" i="61"/>
  <c r="D840" i="61"/>
  <c r="C840" i="61"/>
  <c r="B840" i="61"/>
  <c r="A840" i="61"/>
  <c r="I839" i="61"/>
  <c r="H839" i="61"/>
  <c r="G839" i="61"/>
  <c r="F839" i="61"/>
  <c r="E839" i="61"/>
  <c r="D839" i="61"/>
  <c r="C839" i="61"/>
  <c r="B839" i="61"/>
  <c r="A839" i="61"/>
  <c r="I838" i="61"/>
  <c r="H838" i="61"/>
  <c r="G838" i="61"/>
  <c r="F838" i="61"/>
  <c r="E838" i="61"/>
  <c r="D838" i="61"/>
  <c r="C838" i="61"/>
  <c r="B838" i="61"/>
  <c r="A838" i="61"/>
  <c r="I837" i="61"/>
  <c r="H837" i="61"/>
  <c r="G837" i="61"/>
  <c r="F837" i="61"/>
  <c r="E837" i="61"/>
  <c r="D837" i="61"/>
  <c r="C837" i="61"/>
  <c r="B837" i="61"/>
  <c r="A837" i="61"/>
  <c r="I836" i="61"/>
  <c r="H836" i="61"/>
  <c r="G836" i="61"/>
  <c r="F836" i="61"/>
  <c r="E836" i="61"/>
  <c r="D836" i="61"/>
  <c r="C836" i="61"/>
  <c r="B836" i="61"/>
  <c r="A836" i="61"/>
  <c r="I835" i="61"/>
  <c r="H835" i="61"/>
  <c r="G835" i="61"/>
  <c r="F835" i="61"/>
  <c r="E835" i="61"/>
  <c r="D835" i="61"/>
  <c r="C835" i="61"/>
  <c r="B835" i="61"/>
  <c r="A835" i="61"/>
  <c r="I834" i="61"/>
  <c r="H834" i="61"/>
  <c r="G834" i="61"/>
  <c r="F834" i="61"/>
  <c r="E834" i="61"/>
  <c r="D834" i="61"/>
  <c r="C834" i="61"/>
  <c r="B834" i="61"/>
  <c r="A834" i="61"/>
  <c r="I833" i="61"/>
  <c r="H833" i="61"/>
  <c r="G833" i="61"/>
  <c r="F833" i="61"/>
  <c r="E833" i="61"/>
  <c r="D833" i="61"/>
  <c r="C833" i="61"/>
  <c r="B833" i="61"/>
  <c r="A833" i="61"/>
  <c r="I832" i="61"/>
  <c r="H832" i="61"/>
  <c r="G832" i="61"/>
  <c r="F832" i="61"/>
  <c r="E832" i="61"/>
  <c r="D832" i="61"/>
  <c r="C832" i="61"/>
  <c r="B832" i="61"/>
  <c r="A832" i="61"/>
  <c r="I831" i="61"/>
  <c r="H831" i="61"/>
  <c r="G831" i="61"/>
  <c r="F831" i="61"/>
  <c r="E831" i="61"/>
  <c r="D831" i="61"/>
  <c r="C831" i="61"/>
  <c r="B831" i="61"/>
  <c r="A831" i="61"/>
  <c r="I830" i="61"/>
  <c r="H830" i="61"/>
  <c r="G830" i="61"/>
  <c r="F830" i="61"/>
  <c r="E830" i="61"/>
  <c r="D830" i="61"/>
  <c r="C830" i="61"/>
  <c r="B830" i="61"/>
  <c r="A830" i="61"/>
  <c r="I829" i="61"/>
  <c r="H829" i="61"/>
  <c r="G829" i="61"/>
  <c r="F829" i="61"/>
  <c r="E829" i="61"/>
  <c r="D829" i="61"/>
  <c r="C829" i="61"/>
  <c r="B829" i="61"/>
  <c r="A829" i="61"/>
  <c r="I828" i="61"/>
  <c r="H828" i="61"/>
  <c r="G828" i="61"/>
  <c r="F828" i="61"/>
  <c r="E828" i="61"/>
  <c r="D828" i="61"/>
  <c r="C828" i="61"/>
  <c r="B828" i="61"/>
  <c r="A828" i="61"/>
  <c r="I827" i="61"/>
  <c r="H827" i="61"/>
  <c r="G827" i="61"/>
  <c r="F827" i="61"/>
  <c r="E827" i="61"/>
  <c r="D827" i="61"/>
  <c r="C827" i="61"/>
  <c r="B827" i="61"/>
  <c r="A827" i="61"/>
  <c r="I826" i="61"/>
  <c r="H826" i="61"/>
  <c r="G826" i="61"/>
  <c r="F826" i="61"/>
  <c r="E826" i="61"/>
  <c r="D826" i="61"/>
  <c r="C826" i="61"/>
  <c r="B826" i="61"/>
  <c r="A826" i="61"/>
  <c r="I825" i="61"/>
  <c r="H825" i="61"/>
  <c r="G825" i="61"/>
  <c r="F825" i="61"/>
  <c r="E825" i="61"/>
  <c r="D825" i="61"/>
  <c r="C825" i="61"/>
  <c r="B825" i="61"/>
  <c r="A825" i="61"/>
  <c r="I824" i="61"/>
  <c r="H824" i="61"/>
  <c r="G824" i="61"/>
  <c r="F824" i="61"/>
  <c r="E824" i="61"/>
  <c r="D824" i="61"/>
  <c r="C824" i="61"/>
  <c r="B824" i="61"/>
  <c r="A824" i="61"/>
  <c r="I823" i="61"/>
  <c r="H823" i="61"/>
  <c r="G823" i="61"/>
  <c r="F823" i="61"/>
  <c r="E823" i="61"/>
  <c r="D823" i="61"/>
  <c r="C823" i="61"/>
  <c r="B823" i="61"/>
  <c r="A823" i="61"/>
  <c r="I822" i="61"/>
  <c r="H822" i="61"/>
  <c r="G822" i="61"/>
  <c r="F822" i="61"/>
  <c r="E822" i="61"/>
  <c r="D822" i="61"/>
  <c r="C822" i="61"/>
  <c r="B822" i="61"/>
  <c r="A822" i="61"/>
  <c r="I821" i="61"/>
  <c r="H821" i="61"/>
  <c r="G821" i="61"/>
  <c r="F821" i="61"/>
  <c r="E821" i="61"/>
  <c r="D821" i="61"/>
  <c r="C821" i="61"/>
  <c r="B821" i="61"/>
  <c r="A821" i="61"/>
  <c r="I820" i="61"/>
  <c r="H820" i="61"/>
  <c r="G820" i="61"/>
  <c r="F820" i="61"/>
  <c r="E820" i="61"/>
  <c r="D820" i="61"/>
  <c r="C820" i="61"/>
  <c r="B820" i="61"/>
  <c r="A820" i="61"/>
  <c r="I819" i="61"/>
  <c r="H819" i="61"/>
  <c r="G819" i="61"/>
  <c r="F819" i="61"/>
  <c r="E819" i="61"/>
  <c r="D819" i="61"/>
  <c r="C819" i="61"/>
  <c r="B819" i="61"/>
  <c r="A819" i="61"/>
  <c r="I818" i="61"/>
  <c r="H818" i="61"/>
  <c r="G818" i="61"/>
  <c r="F818" i="61"/>
  <c r="E818" i="61"/>
  <c r="D818" i="61"/>
  <c r="C818" i="61"/>
  <c r="B818" i="61"/>
  <c r="A818" i="61"/>
  <c r="I817" i="61"/>
  <c r="H817" i="61"/>
  <c r="G817" i="61"/>
  <c r="F817" i="61"/>
  <c r="E817" i="61"/>
  <c r="D817" i="61"/>
  <c r="C817" i="61"/>
  <c r="B817" i="61"/>
  <c r="A817" i="61"/>
  <c r="I816" i="61"/>
  <c r="H816" i="61"/>
  <c r="G816" i="61"/>
  <c r="F816" i="61"/>
  <c r="E816" i="61"/>
  <c r="D816" i="61"/>
  <c r="C816" i="61"/>
  <c r="B816" i="61"/>
  <c r="A816" i="61"/>
  <c r="I815" i="61"/>
  <c r="H815" i="61"/>
  <c r="G815" i="61"/>
  <c r="F815" i="61"/>
  <c r="E815" i="61"/>
  <c r="D815" i="61"/>
  <c r="C815" i="61"/>
  <c r="B815" i="61"/>
  <c r="A815" i="61"/>
  <c r="I814" i="61"/>
  <c r="H814" i="61"/>
  <c r="G814" i="61"/>
  <c r="F814" i="61"/>
  <c r="E814" i="61"/>
  <c r="D814" i="61"/>
  <c r="C814" i="61"/>
  <c r="B814" i="61"/>
  <c r="A814" i="61"/>
  <c r="I813" i="61"/>
  <c r="H813" i="61"/>
  <c r="G813" i="61"/>
  <c r="F813" i="61"/>
  <c r="E813" i="61"/>
  <c r="D813" i="61"/>
  <c r="C813" i="61"/>
  <c r="B813" i="61"/>
  <c r="A813" i="61"/>
  <c r="I812" i="61"/>
  <c r="H812" i="61"/>
  <c r="G812" i="61"/>
  <c r="F812" i="61"/>
  <c r="E812" i="61"/>
  <c r="D812" i="61"/>
  <c r="C812" i="61"/>
  <c r="B812" i="61"/>
  <c r="A812" i="61"/>
  <c r="I811" i="61"/>
  <c r="H811" i="61"/>
  <c r="G811" i="61"/>
  <c r="F811" i="61"/>
  <c r="E811" i="61"/>
  <c r="D811" i="61"/>
  <c r="C811" i="61"/>
  <c r="B811" i="61"/>
  <c r="A811" i="61"/>
  <c r="I810" i="61"/>
  <c r="H810" i="61"/>
  <c r="G810" i="61"/>
  <c r="F810" i="61"/>
  <c r="E810" i="61"/>
  <c r="D810" i="61"/>
  <c r="C810" i="61"/>
  <c r="B810" i="61"/>
  <c r="A810" i="61"/>
  <c r="I809" i="61"/>
  <c r="H809" i="61"/>
  <c r="G809" i="61"/>
  <c r="F809" i="61"/>
  <c r="E809" i="61"/>
  <c r="D809" i="61"/>
  <c r="C809" i="61"/>
  <c r="B809" i="61"/>
  <c r="A809" i="61"/>
  <c r="I808" i="61"/>
  <c r="H808" i="61"/>
  <c r="G808" i="61"/>
  <c r="F808" i="61"/>
  <c r="E808" i="61"/>
  <c r="D808" i="61"/>
  <c r="C808" i="61"/>
  <c r="B808" i="61"/>
  <c r="A808" i="61"/>
  <c r="I807" i="61"/>
  <c r="H807" i="61"/>
  <c r="G807" i="61"/>
  <c r="F807" i="61"/>
  <c r="E807" i="61"/>
  <c r="D807" i="61"/>
  <c r="C807" i="61"/>
  <c r="B807" i="61"/>
  <c r="A807" i="61"/>
  <c r="I806" i="61"/>
  <c r="H806" i="61"/>
  <c r="G806" i="61"/>
  <c r="F806" i="61"/>
  <c r="E806" i="61"/>
  <c r="D806" i="61"/>
  <c r="C806" i="61"/>
  <c r="B806" i="61"/>
  <c r="A806" i="61"/>
  <c r="I805" i="61"/>
  <c r="H805" i="61"/>
  <c r="G805" i="61"/>
  <c r="F805" i="61"/>
  <c r="E805" i="61"/>
  <c r="D805" i="61"/>
  <c r="C805" i="61"/>
  <c r="B805" i="61"/>
  <c r="A805" i="61"/>
  <c r="I804" i="61"/>
  <c r="H804" i="61"/>
  <c r="G804" i="61"/>
  <c r="F804" i="61"/>
  <c r="E804" i="61"/>
  <c r="D804" i="61"/>
  <c r="C804" i="61"/>
  <c r="B804" i="61"/>
  <c r="A804" i="61"/>
  <c r="I803" i="61"/>
  <c r="H803" i="61"/>
  <c r="G803" i="61"/>
  <c r="F803" i="61"/>
  <c r="E803" i="61"/>
  <c r="D803" i="61"/>
  <c r="C803" i="61"/>
  <c r="B803" i="61"/>
  <c r="A803" i="61"/>
  <c r="I802" i="61"/>
  <c r="H802" i="61"/>
  <c r="G802" i="61"/>
  <c r="F802" i="61"/>
  <c r="E802" i="61"/>
  <c r="D802" i="61"/>
  <c r="C802" i="61"/>
  <c r="B802" i="61"/>
  <c r="A802" i="61"/>
  <c r="I801" i="61"/>
  <c r="H801" i="61"/>
  <c r="G801" i="61"/>
  <c r="F801" i="61"/>
  <c r="E801" i="61"/>
  <c r="D801" i="61"/>
  <c r="C801" i="61"/>
  <c r="B801" i="61"/>
  <c r="A801" i="61"/>
  <c r="I800" i="61"/>
  <c r="H800" i="61"/>
  <c r="G800" i="61"/>
  <c r="F800" i="61"/>
  <c r="E800" i="61"/>
  <c r="D800" i="61"/>
  <c r="C800" i="61"/>
  <c r="B800" i="61"/>
  <c r="A800" i="61"/>
  <c r="I799" i="61"/>
  <c r="H799" i="61"/>
  <c r="G799" i="61"/>
  <c r="F799" i="61"/>
  <c r="E799" i="61"/>
  <c r="D799" i="61"/>
  <c r="C799" i="61"/>
  <c r="B799" i="61"/>
  <c r="A799" i="61"/>
  <c r="I798" i="61"/>
  <c r="H798" i="61"/>
  <c r="G798" i="61"/>
  <c r="F798" i="61"/>
  <c r="E798" i="61"/>
  <c r="D798" i="61"/>
  <c r="C798" i="61"/>
  <c r="B798" i="61"/>
  <c r="A798" i="61"/>
  <c r="I797" i="61"/>
  <c r="H797" i="61"/>
  <c r="G797" i="61"/>
  <c r="F797" i="61"/>
  <c r="E797" i="61"/>
  <c r="D797" i="61"/>
  <c r="C797" i="61"/>
  <c r="B797" i="61"/>
  <c r="A797" i="61"/>
  <c r="I796" i="61"/>
  <c r="H796" i="61"/>
  <c r="G796" i="61"/>
  <c r="F796" i="61"/>
  <c r="E796" i="61"/>
  <c r="D796" i="61"/>
  <c r="C796" i="61"/>
  <c r="B796" i="61"/>
  <c r="A796" i="61"/>
  <c r="I795" i="61"/>
  <c r="H795" i="61"/>
  <c r="G795" i="61"/>
  <c r="F795" i="61"/>
  <c r="E795" i="61"/>
  <c r="D795" i="61"/>
  <c r="C795" i="61"/>
  <c r="B795" i="61"/>
  <c r="A795" i="61"/>
  <c r="I794" i="61"/>
  <c r="H794" i="61"/>
  <c r="G794" i="61"/>
  <c r="F794" i="61"/>
  <c r="E794" i="61"/>
  <c r="D794" i="61"/>
  <c r="C794" i="61"/>
  <c r="B794" i="61"/>
  <c r="A794" i="61"/>
  <c r="I793" i="61"/>
  <c r="H793" i="61"/>
  <c r="G793" i="61"/>
  <c r="F793" i="61"/>
  <c r="E793" i="61"/>
  <c r="D793" i="61"/>
  <c r="C793" i="61"/>
  <c r="B793" i="61"/>
  <c r="A793" i="61"/>
  <c r="I792" i="61"/>
  <c r="H792" i="61"/>
  <c r="G792" i="61"/>
  <c r="F792" i="61"/>
  <c r="E792" i="61"/>
  <c r="D792" i="61"/>
  <c r="C792" i="61"/>
  <c r="B792" i="61"/>
  <c r="A792" i="61"/>
  <c r="I791" i="61"/>
  <c r="H791" i="61"/>
  <c r="G791" i="61"/>
  <c r="F791" i="61"/>
  <c r="E791" i="61"/>
  <c r="D791" i="61"/>
  <c r="C791" i="61"/>
  <c r="B791" i="61"/>
  <c r="A791" i="61"/>
  <c r="I790" i="61"/>
  <c r="H790" i="61"/>
  <c r="G790" i="61"/>
  <c r="F790" i="61"/>
  <c r="E790" i="61"/>
  <c r="D790" i="61"/>
  <c r="C790" i="61"/>
  <c r="B790" i="61"/>
  <c r="A790" i="61"/>
  <c r="I789" i="61"/>
  <c r="H789" i="61"/>
  <c r="G789" i="61"/>
  <c r="F789" i="61"/>
  <c r="E789" i="61"/>
  <c r="D789" i="61"/>
  <c r="C789" i="61"/>
  <c r="B789" i="61"/>
  <c r="A789" i="61"/>
  <c r="I788" i="61"/>
  <c r="H788" i="61"/>
  <c r="G788" i="61"/>
  <c r="F788" i="61"/>
  <c r="E788" i="61"/>
  <c r="D788" i="61"/>
  <c r="C788" i="61"/>
  <c r="B788" i="61"/>
  <c r="A788" i="61"/>
  <c r="I787" i="61"/>
  <c r="H787" i="61"/>
  <c r="G787" i="61"/>
  <c r="F787" i="61"/>
  <c r="E787" i="61"/>
  <c r="D787" i="61"/>
  <c r="C787" i="61"/>
  <c r="B787" i="61"/>
  <c r="A787" i="61"/>
  <c r="I786" i="61"/>
  <c r="H786" i="61"/>
  <c r="G786" i="61"/>
  <c r="F786" i="61"/>
  <c r="E786" i="61"/>
  <c r="D786" i="61"/>
  <c r="C786" i="61"/>
  <c r="B786" i="61"/>
  <c r="A786" i="61"/>
  <c r="I785" i="61"/>
  <c r="H785" i="61"/>
  <c r="G785" i="61"/>
  <c r="F785" i="61"/>
  <c r="E785" i="61"/>
  <c r="D785" i="61"/>
  <c r="C785" i="61"/>
  <c r="B785" i="61"/>
  <c r="A785" i="61"/>
  <c r="I784" i="61"/>
  <c r="H784" i="61"/>
  <c r="G784" i="61"/>
  <c r="F784" i="61"/>
  <c r="E784" i="61"/>
  <c r="D784" i="61"/>
  <c r="C784" i="61"/>
  <c r="B784" i="61"/>
  <c r="A784" i="61"/>
  <c r="I783" i="61"/>
  <c r="H783" i="61"/>
  <c r="G783" i="61"/>
  <c r="F783" i="61"/>
  <c r="E783" i="61"/>
  <c r="D783" i="61"/>
  <c r="C783" i="61"/>
  <c r="B783" i="61"/>
  <c r="A783" i="61"/>
  <c r="I782" i="61"/>
  <c r="H782" i="61"/>
  <c r="G782" i="61"/>
  <c r="F782" i="61"/>
  <c r="E782" i="61"/>
  <c r="D782" i="61"/>
  <c r="C782" i="61"/>
  <c r="B782" i="61"/>
  <c r="A782" i="61"/>
  <c r="I781" i="61"/>
  <c r="H781" i="61"/>
  <c r="G781" i="61"/>
  <c r="F781" i="61"/>
  <c r="E781" i="61"/>
  <c r="D781" i="61"/>
  <c r="C781" i="61"/>
  <c r="B781" i="61"/>
  <c r="A781" i="61"/>
  <c r="I780" i="61"/>
  <c r="H780" i="61"/>
  <c r="G780" i="61"/>
  <c r="F780" i="61"/>
  <c r="E780" i="61"/>
  <c r="D780" i="61"/>
  <c r="C780" i="61"/>
  <c r="B780" i="61"/>
  <c r="A780" i="61"/>
  <c r="I779" i="61"/>
  <c r="H779" i="61"/>
  <c r="G779" i="61"/>
  <c r="F779" i="61"/>
  <c r="E779" i="61"/>
  <c r="D779" i="61"/>
  <c r="C779" i="61"/>
  <c r="B779" i="61"/>
  <c r="A779" i="61"/>
  <c r="I778" i="61"/>
  <c r="H778" i="61"/>
  <c r="G778" i="61"/>
  <c r="F778" i="61"/>
  <c r="E778" i="61"/>
  <c r="D778" i="61"/>
  <c r="C778" i="61"/>
  <c r="B778" i="61"/>
  <c r="A778" i="61"/>
  <c r="I777" i="61"/>
  <c r="H777" i="61"/>
  <c r="G777" i="61"/>
  <c r="F777" i="61"/>
  <c r="E777" i="61"/>
  <c r="D777" i="61"/>
  <c r="C777" i="61"/>
  <c r="B777" i="61"/>
  <c r="A777" i="61"/>
  <c r="I776" i="61"/>
  <c r="H776" i="61"/>
  <c r="G776" i="61"/>
  <c r="F776" i="61"/>
  <c r="E776" i="61"/>
  <c r="D776" i="61"/>
  <c r="C776" i="61"/>
  <c r="B776" i="61"/>
  <c r="A776" i="61"/>
  <c r="I775" i="61"/>
  <c r="H775" i="61"/>
  <c r="G775" i="61"/>
  <c r="F775" i="61"/>
  <c r="E775" i="61"/>
  <c r="D775" i="61"/>
  <c r="C775" i="61"/>
  <c r="B775" i="61"/>
  <c r="A775" i="61"/>
  <c r="I774" i="61"/>
  <c r="H774" i="61"/>
  <c r="G774" i="61"/>
  <c r="F774" i="61"/>
  <c r="E774" i="61"/>
  <c r="D774" i="61"/>
  <c r="C774" i="61"/>
  <c r="B774" i="61"/>
  <c r="A774" i="61"/>
  <c r="I773" i="61"/>
  <c r="H773" i="61"/>
  <c r="G773" i="61"/>
  <c r="F773" i="61"/>
  <c r="E773" i="61"/>
  <c r="D773" i="61"/>
  <c r="C773" i="61"/>
  <c r="B773" i="61"/>
  <c r="A773" i="61"/>
  <c r="I772" i="61"/>
  <c r="H772" i="61"/>
  <c r="G772" i="61"/>
  <c r="F772" i="61"/>
  <c r="E772" i="61"/>
  <c r="D772" i="61"/>
  <c r="C772" i="61"/>
  <c r="B772" i="61"/>
  <c r="A772" i="61"/>
  <c r="I771" i="61"/>
  <c r="H771" i="61"/>
  <c r="G771" i="61"/>
  <c r="F771" i="61"/>
  <c r="E771" i="61"/>
  <c r="D771" i="61"/>
  <c r="C771" i="61"/>
  <c r="B771" i="61"/>
  <c r="A771" i="61"/>
  <c r="I770" i="61"/>
  <c r="H770" i="61"/>
  <c r="G770" i="61"/>
  <c r="F770" i="61"/>
  <c r="E770" i="61"/>
  <c r="D770" i="61"/>
  <c r="C770" i="61"/>
  <c r="B770" i="61"/>
  <c r="A770" i="61"/>
  <c r="I769" i="61"/>
  <c r="H769" i="61"/>
  <c r="G769" i="61"/>
  <c r="F769" i="61"/>
  <c r="E769" i="61"/>
  <c r="D769" i="61"/>
  <c r="C769" i="61"/>
  <c r="B769" i="61"/>
  <c r="A769" i="61"/>
  <c r="I768" i="61"/>
  <c r="H768" i="61"/>
  <c r="G768" i="61"/>
  <c r="F768" i="61"/>
  <c r="E768" i="61"/>
  <c r="D768" i="61"/>
  <c r="C768" i="61"/>
  <c r="B768" i="61"/>
  <c r="A768" i="61"/>
  <c r="I767" i="61"/>
  <c r="H767" i="61"/>
  <c r="G767" i="61"/>
  <c r="F767" i="61"/>
  <c r="E767" i="61"/>
  <c r="D767" i="61"/>
  <c r="C767" i="61"/>
  <c r="B767" i="61"/>
  <c r="A767" i="61"/>
  <c r="I766" i="61"/>
  <c r="H766" i="61"/>
  <c r="G766" i="61"/>
  <c r="F766" i="61"/>
  <c r="E766" i="61"/>
  <c r="D766" i="61"/>
  <c r="C766" i="61"/>
  <c r="B766" i="61"/>
  <c r="A766" i="61"/>
  <c r="I765" i="61"/>
  <c r="H765" i="61"/>
  <c r="G765" i="61"/>
  <c r="F765" i="61"/>
  <c r="E765" i="61"/>
  <c r="D765" i="61"/>
  <c r="C765" i="61"/>
  <c r="B765" i="61"/>
  <c r="A765" i="61"/>
  <c r="I764" i="61"/>
  <c r="H764" i="61"/>
  <c r="G764" i="61"/>
  <c r="F764" i="61"/>
  <c r="E764" i="61"/>
  <c r="D764" i="61"/>
  <c r="C764" i="61"/>
  <c r="B764" i="61"/>
  <c r="A764" i="61"/>
  <c r="I763" i="61"/>
  <c r="H763" i="61"/>
  <c r="G763" i="61"/>
  <c r="F763" i="61"/>
  <c r="E763" i="61"/>
  <c r="D763" i="61"/>
  <c r="C763" i="61"/>
  <c r="B763" i="61"/>
  <c r="A763" i="61"/>
  <c r="I762" i="61"/>
  <c r="H762" i="61"/>
  <c r="G762" i="61"/>
  <c r="F762" i="61"/>
  <c r="E762" i="61"/>
  <c r="D762" i="61"/>
  <c r="C762" i="61"/>
  <c r="B762" i="61"/>
  <c r="A762" i="61"/>
  <c r="I761" i="61"/>
  <c r="H761" i="61"/>
  <c r="G761" i="61"/>
  <c r="F761" i="61"/>
  <c r="E761" i="61"/>
  <c r="D761" i="61"/>
  <c r="C761" i="61"/>
  <c r="B761" i="61"/>
  <c r="A761" i="61"/>
  <c r="I760" i="61"/>
  <c r="H760" i="61"/>
  <c r="G760" i="61"/>
  <c r="F760" i="61"/>
  <c r="E760" i="61"/>
  <c r="D760" i="61"/>
  <c r="C760" i="61"/>
  <c r="B760" i="61"/>
  <c r="A760" i="61"/>
  <c r="I759" i="61"/>
  <c r="H759" i="61"/>
  <c r="G759" i="61"/>
  <c r="F759" i="61"/>
  <c r="E759" i="61"/>
  <c r="D759" i="61"/>
  <c r="C759" i="61"/>
  <c r="B759" i="61"/>
  <c r="A759" i="61"/>
  <c r="I758" i="61"/>
  <c r="H758" i="61"/>
  <c r="G758" i="61"/>
  <c r="F758" i="61"/>
  <c r="E758" i="61"/>
  <c r="D758" i="61"/>
  <c r="C758" i="61"/>
  <c r="B758" i="61"/>
  <c r="A758" i="61"/>
  <c r="I757" i="61"/>
  <c r="H757" i="61"/>
  <c r="G757" i="61"/>
  <c r="F757" i="61"/>
  <c r="E757" i="61"/>
  <c r="D757" i="61"/>
  <c r="C757" i="61"/>
  <c r="B757" i="61"/>
  <c r="A757" i="61"/>
  <c r="I756" i="61"/>
  <c r="H756" i="61"/>
  <c r="G756" i="61"/>
  <c r="F756" i="61"/>
  <c r="E756" i="61"/>
  <c r="D756" i="61"/>
  <c r="C756" i="61"/>
  <c r="B756" i="61"/>
  <c r="A756" i="61"/>
  <c r="I755" i="61"/>
  <c r="H755" i="61"/>
  <c r="G755" i="61"/>
  <c r="F755" i="61"/>
  <c r="E755" i="61"/>
  <c r="D755" i="61"/>
  <c r="C755" i="61"/>
  <c r="B755" i="61"/>
  <c r="A755" i="61"/>
  <c r="I754" i="61"/>
  <c r="H754" i="61"/>
  <c r="G754" i="61"/>
  <c r="F754" i="61"/>
  <c r="E754" i="61"/>
  <c r="D754" i="61"/>
  <c r="C754" i="61"/>
  <c r="B754" i="61"/>
  <c r="A754" i="61"/>
  <c r="I753" i="61"/>
  <c r="H753" i="61"/>
  <c r="G753" i="61"/>
  <c r="F753" i="61"/>
  <c r="E753" i="61"/>
  <c r="D753" i="61"/>
  <c r="C753" i="61"/>
  <c r="B753" i="61"/>
  <c r="A753" i="61"/>
  <c r="I752" i="61"/>
  <c r="H752" i="61"/>
  <c r="G752" i="61"/>
  <c r="F752" i="61"/>
  <c r="E752" i="61"/>
  <c r="D752" i="61"/>
  <c r="C752" i="61"/>
  <c r="B752" i="61"/>
  <c r="A752" i="61"/>
  <c r="I751" i="61"/>
  <c r="H751" i="61"/>
  <c r="G751" i="61"/>
  <c r="F751" i="61"/>
  <c r="E751" i="61"/>
  <c r="D751" i="61"/>
  <c r="C751" i="61"/>
  <c r="B751" i="61"/>
  <c r="A751" i="61"/>
  <c r="I750" i="61"/>
  <c r="H750" i="61"/>
  <c r="G750" i="61"/>
  <c r="F750" i="61"/>
  <c r="E750" i="61"/>
  <c r="D750" i="61"/>
  <c r="C750" i="61"/>
  <c r="B750" i="61"/>
  <c r="A750" i="61"/>
  <c r="I749" i="61"/>
  <c r="H749" i="61"/>
  <c r="G749" i="61"/>
  <c r="F749" i="61"/>
  <c r="E749" i="61"/>
  <c r="D749" i="61"/>
  <c r="C749" i="61"/>
  <c r="B749" i="61"/>
  <c r="A749" i="61"/>
  <c r="I748" i="61"/>
  <c r="H748" i="61"/>
  <c r="G748" i="61"/>
  <c r="F748" i="61"/>
  <c r="E748" i="61"/>
  <c r="D748" i="61"/>
  <c r="C748" i="61"/>
  <c r="B748" i="61"/>
  <c r="A748" i="61"/>
  <c r="I747" i="61"/>
  <c r="H747" i="61"/>
  <c r="G747" i="61"/>
  <c r="F747" i="61"/>
  <c r="E747" i="61"/>
  <c r="D747" i="61"/>
  <c r="C747" i="61"/>
  <c r="B747" i="61"/>
  <c r="A747" i="61"/>
  <c r="I746" i="61"/>
  <c r="H746" i="61"/>
  <c r="G746" i="61"/>
  <c r="F746" i="61"/>
  <c r="E746" i="61"/>
  <c r="D746" i="61"/>
  <c r="C746" i="61"/>
  <c r="B746" i="61"/>
  <c r="A746" i="61"/>
  <c r="I745" i="61"/>
  <c r="H745" i="61"/>
  <c r="G745" i="61"/>
  <c r="F745" i="61"/>
  <c r="E745" i="61"/>
  <c r="D745" i="61"/>
  <c r="C745" i="61"/>
  <c r="B745" i="61"/>
  <c r="A745" i="61"/>
  <c r="I744" i="61"/>
  <c r="H744" i="61"/>
  <c r="G744" i="61"/>
  <c r="F744" i="61"/>
  <c r="E744" i="61"/>
  <c r="D744" i="61"/>
  <c r="C744" i="61"/>
  <c r="B744" i="61"/>
  <c r="A744" i="61"/>
  <c r="I743" i="61"/>
  <c r="H743" i="61"/>
  <c r="G743" i="61"/>
  <c r="F743" i="61"/>
  <c r="E743" i="61"/>
  <c r="D743" i="61"/>
  <c r="C743" i="61"/>
  <c r="B743" i="61"/>
  <c r="A743" i="61"/>
  <c r="I742" i="61"/>
  <c r="H742" i="61"/>
  <c r="G742" i="61"/>
  <c r="F742" i="61"/>
  <c r="E742" i="61"/>
  <c r="D742" i="61"/>
  <c r="C742" i="61"/>
  <c r="B742" i="61"/>
  <c r="A742" i="61"/>
  <c r="I741" i="61"/>
  <c r="H741" i="61"/>
  <c r="G741" i="61"/>
  <c r="F741" i="61"/>
  <c r="E741" i="61"/>
  <c r="D741" i="61"/>
  <c r="C741" i="61"/>
  <c r="B741" i="61"/>
  <c r="A741" i="61"/>
  <c r="I740" i="61"/>
  <c r="H740" i="61"/>
  <c r="G740" i="61"/>
  <c r="F740" i="61"/>
  <c r="E740" i="61"/>
  <c r="D740" i="61"/>
  <c r="C740" i="61"/>
  <c r="B740" i="61"/>
  <c r="A740" i="61"/>
  <c r="I739" i="61"/>
  <c r="H739" i="61"/>
  <c r="G739" i="61"/>
  <c r="F739" i="61"/>
  <c r="E739" i="61"/>
  <c r="D739" i="61"/>
  <c r="C739" i="61"/>
  <c r="B739" i="61"/>
  <c r="A739" i="61"/>
  <c r="I738" i="61"/>
  <c r="H738" i="61"/>
  <c r="G738" i="61"/>
  <c r="F738" i="61"/>
  <c r="E738" i="61"/>
  <c r="D738" i="61"/>
  <c r="C738" i="61"/>
  <c r="B738" i="61"/>
  <c r="A738" i="61"/>
  <c r="I737" i="61"/>
  <c r="H737" i="61"/>
  <c r="G737" i="61"/>
  <c r="F737" i="61"/>
  <c r="E737" i="61"/>
  <c r="D737" i="61"/>
  <c r="C737" i="61"/>
  <c r="B737" i="61"/>
  <c r="A737" i="61"/>
  <c r="I736" i="61"/>
  <c r="H736" i="61"/>
  <c r="G736" i="61"/>
  <c r="F736" i="61"/>
  <c r="E736" i="61"/>
  <c r="D736" i="61"/>
  <c r="C736" i="61"/>
  <c r="B736" i="61"/>
  <c r="A736" i="61"/>
  <c r="I735" i="61"/>
  <c r="H735" i="61"/>
  <c r="G735" i="61"/>
  <c r="F735" i="61"/>
  <c r="E735" i="61"/>
  <c r="D735" i="61"/>
  <c r="C735" i="61"/>
  <c r="B735" i="61"/>
  <c r="A735" i="61"/>
  <c r="I734" i="61"/>
  <c r="H734" i="61"/>
  <c r="G734" i="61"/>
  <c r="F734" i="61"/>
  <c r="E734" i="61"/>
  <c r="D734" i="61"/>
  <c r="C734" i="61"/>
  <c r="B734" i="61"/>
  <c r="A734" i="61"/>
  <c r="I733" i="61"/>
  <c r="H733" i="61"/>
  <c r="G733" i="61"/>
  <c r="F733" i="61"/>
  <c r="E733" i="61"/>
  <c r="D733" i="61"/>
  <c r="C733" i="61"/>
  <c r="B733" i="61"/>
  <c r="A733" i="61"/>
  <c r="I732" i="61"/>
  <c r="H732" i="61"/>
  <c r="G732" i="61"/>
  <c r="F732" i="61"/>
  <c r="E732" i="61"/>
  <c r="D732" i="61"/>
  <c r="C732" i="61"/>
  <c r="B732" i="61"/>
  <c r="A732" i="61"/>
  <c r="I731" i="61"/>
  <c r="H731" i="61"/>
  <c r="G731" i="61"/>
  <c r="F731" i="61"/>
  <c r="E731" i="61"/>
  <c r="D731" i="61"/>
  <c r="C731" i="61"/>
  <c r="B731" i="61"/>
  <c r="A731" i="61"/>
  <c r="I730" i="61"/>
  <c r="H730" i="61"/>
  <c r="G730" i="61"/>
  <c r="F730" i="61"/>
  <c r="E730" i="61"/>
  <c r="D730" i="61"/>
  <c r="C730" i="61"/>
  <c r="B730" i="61"/>
  <c r="A730" i="61"/>
  <c r="I729" i="61"/>
  <c r="H729" i="61"/>
  <c r="G729" i="61"/>
  <c r="F729" i="61"/>
  <c r="E729" i="61"/>
  <c r="D729" i="61"/>
  <c r="C729" i="61"/>
  <c r="B729" i="61"/>
  <c r="A729" i="61"/>
  <c r="I728" i="61"/>
  <c r="H728" i="61"/>
  <c r="G728" i="61"/>
  <c r="F728" i="61"/>
  <c r="E728" i="61"/>
  <c r="D728" i="61"/>
  <c r="C728" i="61"/>
  <c r="B728" i="61"/>
  <c r="A728" i="61"/>
  <c r="I727" i="61"/>
  <c r="H727" i="61"/>
  <c r="G727" i="61"/>
  <c r="F727" i="61"/>
  <c r="E727" i="61"/>
  <c r="D727" i="61"/>
  <c r="C727" i="61"/>
  <c r="B727" i="61"/>
  <c r="A727" i="61"/>
  <c r="I726" i="61"/>
  <c r="H726" i="61"/>
  <c r="G726" i="61"/>
  <c r="F726" i="61"/>
  <c r="E726" i="61"/>
  <c r="D726" i="61"/>
  <c r="C726" i="61"/>
  <c r="B726" i="61"/>
  <c r="A726" i="61"/>
  <c r="I725" i="61"/>
  <c r="H725" i="61"/>
  <c r="G725" i="61"/>
  <c r="F725" i="61"/>
  <c r="E725" i="61"/>
  <c r="D725" i="61"/>
  <c r="C725" i="61"/>
  <c r="B725" i="61"/>
  <c r="A725" i="61"/>
  <c r="I724" i="61"/>
  <c r="H724" i="61"/>
  <c r="G724" i="61"/>
  <c r="F724" i="61"/>
  <c r="E724" i="61"/>
  <c r="D724" i="61"/>
  <c r="C724" i="61"/>
  <c r="B724" i="61"/>
  <c r="A724" i="61"/>
  <c r="I723" i="61"/>
  <c r="H723" i="61"/>
  <c r="G723" i="61"/>
  <c r="F723" i="61"/>
  <c r="E723" i="61"/>
  <c r="D723" i="61"/>
  <c r="C723" i="61"/>
  <c r="B723" i="61"/>
  <c r="A723" i="61"/>
  <c r="I722" i="61"/>
  <c r="H722" i="61"/>
  <c r="G722" i="61"/>
  <c r="F722" i="61"/>
  <c r="E722" i="61"/>
  <c r="D722" i="61"/>
  <c r="C722" i="61"/>
  <c r="B722" i="61"/>
  <c r="A722" i="61"/>
  <c r="I721" i="61"/>
  <c r="H721" i="61"/>
  <c r="G721" i="61"/>
  <c r="F721" i="61"/>
  <c r="E721" i="61"/>
  <c r="D721" i="61"/>
  <c r="C721" i="61"/>
  <c r="B721" i="61"/>
  <c r="A721" i="61"/>
  <c r="I720" i="61"/>
  <c r="H720" i="61"/>
  <c r="G720" i="61"/>
  <c r="F720" i="61"/>
  <c r="E720" i="61"/>
  <c r="D720" i="61"/>
  <c r="C720" i="61"/>
  <c r="B720" i="61"/>
  <c r="A720" i="61"/>
  <c r="I719" i="61"/>
  <c r="H719" i="61"/>
  <c r="G719" i="61"/>
  <c r="F719" i="61"/>
  <c r="E719" i="61"/>
  <c r="D719" i="61"/>
  <c r="C719" i="61"/>
  <c r="B719" i="61"/>
  <c r="A719" i="61"/>
  <c r="I718" i="61"/>
  <c r="H718" i="61"/>
  <c r="G718" i="61"/>
  <c r="F718" i="61"/>
  <c r="E718" i="61"/>
  <c r="D718" i="61"/>
  <c r="C718" i="61"/>
  <c r="B718" i="61"/>
  <c r="A718" i="61"/>
  <c r="I717" i="61"/>
  <c r="H717" i="61"/>
  <c r="G717" i="61"/>
  <c r="F717" i="61"/>
  <c r="E717" i="61"/>
  <c r="D717" i="61"/>
  <c r="C717" i="61"/>
  <c r="B717" i="61"/>
  <c r="A717" i="61"/>
  <c r="I716" i="61"/>
  <c r="H716" i="61"/>
  <c r="G716" i="61"/>
  <c r="F716" i="61"/>
  <c r="E716" i="61"/>
  <c r="D716" i="61"/>
  <c r="C716" i="61"/>
  <c r="B716" i="61"/>
  <c r="A716" i="61"/>
  <c r="I715" i="61"/>
  <c r="H715" i="61"/>
  <c r="G715" i="61"/>
  <c r="F715" i="61"/>
  <c r="E715" i="61"/>
  <c r="D715" i="61"/>
  <c r="C715" i="61"/>
  <c r="B715" i="61"/>
  <c r="A715" i="61"/>
  <c r="I714" i="61"/>
  <c r="H714" i="61"/>
  <c r="G714" i="61"/>
  <c r="F714" i="61"/>
  <c r="E714" i="61"/>
  <c r="D714" i="61"/>
  <c r="C714" i="61"/>
  <c r="B714" i="61"/>
  <c r="A714" i="61"/>
  <c r="I713" i="61"/>
  <c r="H713" i="61"/>
  <c r="G713" i="61"/>
  <c r="F713" i="61"/>
  <c r="E713" i="61"/>
  <c r="D713" i="61"/>
  <c r="C713" i="61"/>
  <c r="B713" i="61"/>
  <c r="A713" i="61"/>
  <c r="I712" i="61"/>
  <c r="H712" i="61"/>
  <c r="G712" i="61"/>
  <c r="F712" i="61"/>
  <c r="E712" i="61"/>
  <c r="D712" i="61"/>
  <c r="C712" i="61"/>
  <c r="B712" i="61"/>
  <c r="A712" i="61"/>
  <c r="I711" i="61"/>
  <c r="H711" i="61"/>
  <c r="G711" i="61"/>
  <c r="F711" i="61"/>
  <c r="E711" i="61"/>
  <c r="D711" i="61"/>
  <c r="C711" i="61"/>
  <c r="B711" i="61"/>
  <c r="A711" i="61"/>
  <c r="I710" i="61"/>
  <c r="H710" i="61"/>
  <c r="G710" i="61"/>
  <c r="F710" i="61"/>
  <c r="E710" i="61"/>
  <c r="D710" i="61"/>
  <c r="C710" i="61"/>
  <c r="B710" i="61"/>
  <c r="A710" i="61"/>
  <c r="I709" i="61"/>
  <c r="H709" i="61"/>
  <c r="G709" i="61"/>
  <c r="F709" i="61"/>
  <c r="E709" i="61"/>
  <c r="D709" i="61"/>
  <c r="C709" i="61"/>
  <c r="B709" i="61"/>
  <c r="A709" i="61"/>
  <c r="I708" i="61"/>
  <c r="H708" i="61"/>
  <c r="G708" i="61"/>
  <c r="F708" i="61"/>
  <c r="E708" i="61"/>
  <c r="D708" i="61"/>
  <c r="C708" i="61"/>
  <c r="B708" i="61"/>
  <c r="A708" i="61"/>
  <c r="I707" i="61"/>
  <c r="H707" i="61"/>
  <c r="G707" i="61"/>
  <c r="F707" i="61"/>
  <c r="E707" i="61"/>
  <c r="D707" i="61"/>
  <c r="C707" i="61"/>
  <c r="B707" i="61"/>
  <c r="A707" i="61"/>
  <c r="I706" i="61"/>
  <c r="H706" i="61"/>
  <c r="G706" i="61"/>
  <c r="F706" i="61"/>
  <c r="E706" i="61"/>
  <c r="D706" i="61"/>
  <c r="C706" i="61"/>
  <c r="B706" i="61"/>
  <c r="A706" i="61"/>
  <c r="I705" i="61"/>
  <c r="H705" i="61"/>
  <c r="G705" i="61"/>
  <c r="F705" i="61"/>
  <c r="E705" i="61"/>
  <c r="D705" i="61"/>
  <c r="C705" i="61"/>
  <c r="B705" i="61"/>
  <c r="A705" i="61"/>
  <c r="I704" i="61"/>
  <c r="H704" i="61"/>
  <c r="G704" i="61"/>
  <c r="F704" i="61"/>
  <c r="E704" i="61"/>
  <c r="D704" i="61"/>
  <c r="C704" i="61"/>
  <c r="B704" i="61"/>
  <c r="A704" i="61"/>
  <c r="I703" i="61"/>
  <c r="H703" i="61"/>
  <c r="G703" i="61"/>
  <c r="F703" i="61"/>
  <c r="E703" i="61"/>
  <c r="D703" i="61"/>
  <c r="C703" i="61"/>
  <c r="B703" i="61"/>
  <c r="A703" i="61"/>
  <c r="I702" i="61"/>
  <c r="H702" i="61"/>
  <c r="G702" i="61"/>
  <c r="F702" i="61"/>
  <c r="E702" i="61"/>
  <c r="D702" i="61"/>
  <c r="C702" i="61"/>
  <c r="B702" i="61"/>
  <c r="A702" i="61"/>
  <c r="I701" i="61"/>
  <c r="H701" i="61"/>
  <c r="G701" i="61"/>
  <c r="F701" i="61"/>
  <c r="E701" i="61"/>
  <c r="D701" i="61"/>
  <c r="C701" i="61"/>
  <c r="B701" i="61"/>
  <c r="A701" i="61"/>
  <c r="I700" i="61"/>
  <c r="H700" i="61"/>
  <c r="G700" i="61"/>
  <c r="F700" i="61"/>
  <c r="E700" i="61"/>
  <c r="D700" i="61"/>
  <c r="C700" i="61"/>
  <c r="B700" i="61"/>
  <c r="A700" i="61"/>
  <c r="I699" i="61"/>
  <c r="H699" i="61"/>
  <c r="G699" i="61"/>
  <c r="F699" i="61"/>
  <c r="E699" i="61"/>
  <c r="D699" i="61"/>
  <c r="C699" i="61"/>
  <c r="B699" i="61"/>
  <c r="A699" i="61"/>
  <c r="I698" i="61"/>
  <c r="H698" i="61"/>
  <c r="G698" i="61"/>
  <c r="F698" i="61"/>
  <c r="E698" i="61"/>
  <c r="D698" i="61"/>
  <c r="C698" i="61"/>
  <c r="B698" i="61"/>
  <c r="A698" i="61"/>
  <c r="I697" i="61"/>
  <c r="H697" i="61"/>
  <c r="G697" i="61"/>
  <c r="F697" i="61"/>
  <c r="E697" i="61"/>
  <c r="D697" i="61"/>
  <c r="C697" i="61"/>
  <c r="B697" i="61"/>
  <c r="A697" i="61"/>
  <c r="I696" i="61"/>
  <c r="H696" i="61"/>
  <c r="G696" i="61"/>
  <c r="F696" i="61"/>
  <c r="E696" i="61"/>
  <c r="D696" i="61"/>
  <c r="C696" i="61"/>
  <c r="B696" i="61"/>
  <c r="A696" i="61"/>
  <c r="I695" i="61"/>
  <c r="H695" i="61"/>
  <c r="G695" i="61"/>
  <c r="F695" i="61"/>
  <c r="E695" i="61"/>
  <c r="D695" i="61"/>
  <c r="C695" i="61"/>
  <c r="B695" i="61"/>
  <c r="A695" i="61"/>
  <c r="I694" i="61"/>
  <c r="H694" i="61"/>
  <c r="G694" i="61"/>
  <c r="F694" i="61"/>
  <c r="E694" i="61"/>
  <c r="D694" i="61"/>
  <c r="C694" i="61"/>
  <c r="B694" i="61"/>
  <c r="A694" i="61"/>
  <c r="I693" i="61"/>
  <c r="H693" i="61"/>
  <c r="G693" i="61"/>
  <c r="F693" i="61"/>
  <c r="E693" i="61"/>
  <c r="D693" i="61"/>
  <c r="C693" i="61"/>
  <c r="B693" i="61"/>
  <c r="A693" i="61"/>
  <c r="I692" i="61"/>
  <c r="H692" i="61"/>
  <c r="G692" i="61"/>
  <c r="F692" i="61"/>
  <c r="E692" i="61"/>
  <c r="D692" i="61"/>
  <c r="C692" i="61"/>
  <c r="B692" i="61"/>
  <c r="A692" i="61"/>
  <c r="I691" i="61"/>
  <c r="H691" i="61"/>
  <c r="G691" i="61"/>
  <c r="F691" i="61"/>
  <c r="E691" i="61"/>
  <c r="D691" i="61"/>
  <c r="C691" i="61"/>
  <c r="B691" i="61"/>
  <c r="A691" i="61"/>
  <c r="I690" i="61"/>
  <c r="H690" i="61"/>
  <c r="G690" i="61"/>
  <c r="F690" i="61"/>
  <c r="E690" i="61"/>
  <c r="D690" i="61"/>
  <c r="C690" i="61"/>
  <c r="B690" i="61"/>
  <c r="A690" i="61"/>
  <c r="I689" i="61"/>
  <c r="H689" i="61"/>
  <c r="G689" i="61"/>
  <c r="F689" i="61"/>
  <c r="E689" i="61"/>
  <c r="D689" i="61"/>
  <c r="C689" i="61"/>
  <c r="B689" i="61"/>
  <c r="A689" i="61"/>
  <c r="I688" i="61"/>
  <c r="H688" i="61"/>
  <c r="G688" i="61"/>
  <c r="F688" i="61"/>
  <c r="E688" i="61"/>
  <c r="D688" i="61"/>
  <c r="C688" i="61"/>
  <c r="B688" i="61"/>
  <c r="A688" i="61"/>
  <c r="I687" i="61"/>
  <c r="H687" i="61"/>
  <c r="G687" i="61"/>
  <c r="F687" i="61"/>
  <c r="E687" i="61"/>
  <c r="D687" i="61"/>
  <c r="C687" i="61"/>
  <c r="B687" i="61"/>
  <c r="A687" i="61"/>
  <c r="I686" i="61"/>
  <c r="H686" i="61"/>
  <c r="G686" i="61"/>
  <c r="F686" i="61"/>
  <c r="E686" i="61"/>
  <c r="D686" i="61"/>
  <c r="C686" i="61"/>
  <c r="B686" i="61"/>
  <c r="A686" i="61"/>
  <c r="I685" i="61"/>
  <c r="H685" i="61"/>
  <c r="G685" i="61"/>
  <c r="F685" i="61"/>
  <c r="E685" i="61"/>
  <c r="D685" i="61"/>
  <c r="C685" i="61"/>
  <c r="B685" i="61"/>
  <c r="A685" i="61"/>
  <c r="I684" i="61"/>
  <c r="H684" i="61"/>
  <c r="G684" i="61"/>
  <c r="F684" i="61"/>
  <c r="E684" i="61"/>
  <c r="D684" i="61"/>
  <c r="C684" i="61"/>
  <c r="B684" i="61"/>
  <c r="A684" i="61"/>
  <c r="I683" i="61"/>
  <c r="H683" i="61"/>
  <c r="G683" i="61"/>
  <c r="F683" i="61"/>
  <c r="E683" i="61"/>
  <c r="D683" i="61"/>
  <c r="C683" i="61"/>
  <c r="B683" i="61"/>
  <c r="A683" i="61"/>
  <c r="I682" i="61"/>
  <c r="H682" i="61"/>
  <c r="G682" i="61"/>
  <c r="F682" i="61"/>
  <c r="E682" i="61"/>
  <c r="D682" i="61"/>
  <c r="C682" i="61"/>
  <c r="B682" i="61"/>
  <c r="A682" i="61"/>
  <c r="I681" i="61"/>
  <c r="H681" i="61"/>
  <c r="G681" i="61"/>
  <c r="F681" i="61"/>
  <c r="E681" i="61"/>
  <c r="D681" i="61"/>
  <c r="C681" i="61"/>
  <c r="B681" i="61"/>
  <c r="A681" i="61"/>
  <c r="I680" i="61"/>
  <c r="H680" i="61"/>
  <c r="G680" i="61"/>
  <c r="F680" i="61"/>
  <c r="E680" i="61"/>
  <c r="D680" i="61"/>
  <c r="C680" i="61"/>
  <c r="B680" i="61"/>
  <c r="A680" i="61"/>
  <c r="I679" i="61"/>
  <c r="H679" i="61"/>
  <c r="G679" i="61"/>
  <c r="F679" i="61"/>
  <c r="E679" i="61"/>
  <c r="D679" i="61"/>
  <c r="C679" i="61"/>
  <c r="B679" i="61"/>
  <c r="A679" i="61"/>
  <c r="I678" i="61"/>
  <c r="H678" i="61"/>
  <c r="G678" i="61"/>
  <c r="F678" i="61"/>
  <c r="E678" i="61"/>
  <c r="D678" i="61"/>
  <c r="C678" i="61"/>
  <c r="B678" i="61"/>
  <c r="A678" i="61"/>
  <c r="I677" i="61"/>
  <c r="H677" i="61"/>
  <c r="G677" i="61"/>
  <c r="F677" i="61"/>
  <c r="E677" i="61"/>
  <c r="D677" i="61"/>
  <c r="C677" i="61"/>
  <c r="B677" i="61"/>
  <c r="A677" i="61"/>
  <c r="I676" i="61"/>
  <c r="H676" i="61"/>
  <c r="G676" i="61"/>
  <c r="F676" i="61"/>
  <c r="E676" i="61"/>
  <c r="D676" i="61"/>
  <c r="C676" i="61"/>
  <c r="B676" i="61"/>
  <c r="A676" i="61"/>
  <c r="I675" i="61"/>
  <c r="H675" i="61"/>
  <c r="G675" i="61"/>
  <c r="F675" i="61"/>
  <c r="E675" i="61"/>
  <c r="D675" i="61"/>
  <c r="C675" i="61"/>
  <c r="B675" i="61"/>
  <c r="A675" i="61"/>
  <c r="I674" i="61"/>
  <c r="H674" i="61"/>
  <c r="G674" i="61"/>
  <c r="F674" i="61"/>
  <c r="E674" i="61"/>
  <c r="D674" i="61"/>
  <c r="C674" i="61"/>
  <c r="B674" i="61"/>
  <c r="A674" i="61"/>
  <c r="I673" i="61"/>
  <c r="H673" i="61"/>
  <c r="G673" i="61"/>
  <c r="F673" i="61"/>
  <c r="E673" i="61"/>
  <c r="D673" i="61"/>
  <c r="C673" i="61"/>
  <c r="B673" i="61"/>
  <c r="A673" i="61"/>
  <c r="I672" i="61"/>
  <c r="H672" i="61"/>
  <c r="G672" i="61"/>
  <c r="F672" i="61"/>
  <c r="E672" i="61"/>
  <c r="D672" i="61"/>
  <c r="C672" i="61"/>
  <c r="B672" i="61"/>
  <c r="A672" i="61"/>
  <c r="I671" i="61"/>
  <c r="H671" i="61"/>
  <c r="G671" i="61"/>
  <c r="F671" i="61"/>
  <c r="E671" i="61"/>
  <c r="D671" i="61"/>
  <c r="C671" i="61"/>
  <c r="B671" i="61"/>
  <c r="A671" i="61"/>
  <c r="I670" i="61"/>
  <c r="H670" i="61"/>
  <c r="G670" i="61"/>
  <c r="F670" i="61"/>
  <c r="E670" i="61"/>
  <c r="D670" i="61"/>
  <c r="C670" i="61"/>
  <c r="B670" i="61"/>
  <c r="A670" i="61"/>
  <c r="I669" i="61"/>
  <c r="H669" i="61"/>
  <c r="G669" i="61"/>
  <c r="F669" i="61"/>
  <c r="E669" i="61"/>
  <c r="D669" i="61"/>
  <c r="C669" i="61"/>
  <c r="B669" i="61"/>
  <c r="A669" i="61"/>
  <c r="I668" i="61"/>
  <c r="H668" i="61"/>
  <c r="G668" i="61"/>
  <c r="F668" i="61"/>
  <c r="E668" i="61"/>
  <c r="D668" i="61"/>
  <c r="C668" i="61"/>
  <c r="B668" i="61"/>
  <c r="A668" i="61"/>
  <c r="I667" i="61"/>
  <c r="H667" i="61"/>
  <c r="G667" i="61"/>
  <c r="F667" i="61"/>
  <c r="E667" i="61"/>
  <c r="D667" i="61"/>
  <c r="C667" i="61"/>
  <c r="B667" i="61"/>
  <c r="A667" i="61"/>
  <c r="I666" i="61"/>
  <c r="H666" i="61"/>
  <c r="G666" i="61"/>
  <c r="F666" i="61"/>
  <c r="E666" i="61"/>
  <c r="D666" i="61"/>
  <c r="C666" i="61"/>
  <c r="B666" i="61"/>
  <c r="A666" i="61"/>
  <c r="I665" i="61"/>
  <c r="H665" i="61"/>
  <c r="G665" i="61"/>
  <c r="F665" i="61"/>
  <c r="E665" i="61"/>
  <c r="D665" i="61"/>
  <c r="C665" i="61"/>
  <c r="B665" i="61"/>
  <c r="A665" i="61"/>
  <c r="I664" i="61"/>
  <c r="H664" i="61"/>
  <c r="G664" i="61"/>
  <c r="F664" i="61"/>
  <c r="E664" i="61"/>
  <c r="D664" i="61"/>
  <c r="C664" i="61"/>
  <c r="B664" i="61"/>
  <c r="A664" i="61"/>
  <c r="I663" i="61"/>
  <c r="H663" i="61"/>
  <c r="G663" i="61"/>
  <c r="F663" i="61"/>
  <c r="E663" i="61"/>
  <c r="D663" i="61"/>
  <c r="C663" i="61"/>
  <c r="B663" i="61"/>
  <c r="A663" i="61"/>
  <c r="I662" i="61"/>
  <c r="H662" i="61"/>
  <c r="G662" i="61"/>
  <c r="F662" i="61"/>
  <c r="E662" i="61"/>
  <c r="D662" i="61"/>
  <c r="C662" i="61"/>
  <c r="B662" i="61"/>
  <c r="A662" i="61"/>
  <c r="I661" i="61"/>
  <c r="H661" i="61"/>
  <c r="G661" i="61"/>
  <c r="F661" i="61"/>
  <c r="E661" i="61"/>
  <c r="D661" i="61"/>
  <c r="C661" i="61"/>
  <c r="B661" i="61"/>
  <c r="A661" i="61"/>
  <c r="I660" i="61"/>
  <c r="H660" i="61"/>
  <c r="G660" i="61"/>
  <c r="F660" i="61"/>
  <c r="E660" i="61"/>
  <c r="D660" i="61"/>
  <c r="C660" i="61"/>
  <c r="B660" i="61"/>
  <c r="A660" i="61"/>
  <c r="I659" i="61"/>
  <c r="H659" i="61"/>
  <c r="G659" i="61"/>
  <c r="F659" i="61"/>
  <c r="E659" i="61"/>
  <c r="D659" i="61"/>
  <c r="C659" i="61"/>
  <c r="B659" i="61"/>
  <c r="A659" i="61"/>
  <c r="I658" i="61"/>
  <c r="H658" i="61"/>
  <c r="G658" i="61"/>
  <c r="F658" i="61"/>
  <c r="E658" i="61"/>
  <c r="D658" i="61"/>
  <c r="C658" i="61"/>
  <c r="B658" i="61"/>
  <c r="A658" i="61"/>
  <c r="I657" i="61"/>
  <c r="H657" i="61"/>
  <c r="G657" i="61"/>
  <c r="F657" i="61"/>
  <c r="E657" i="61"/>
  <c r="D657" i="61"/>
  <c r="C657" i="61"/>
  <c r="B657" i="61"/>
  <c r="A657" i="61"/>
  <c r="I656" i="61"/>
  <c r="H656" i="61"/>
  <c r="G656" i="61"/>
  <c r="F656" i="61"/>
  <c r="E656" i="61"/>
  <c r="D656" i="61"/>
  <c r="C656" i="61"/>
  <c r="B656" i="61"/>
  <c r="A656" i="61"/>
  <c r="I655" i="61"/>
  <c r="H655" i="61"/>
  <c r="G655" i="61"/>
  <c r="F655" i="61"/>
  <c r="E655" i="61"/>
  <c r="D655" i="61"/>
  <c r="C655" i="61"/>
  <c r="B655" i="61"/>
  <c r="A655" i="61"/>
  <c r="I654" i="61"/>
  <c r="H654" i="61"/>
  <c r="G654" i="61"/>
  <c r="F654" i="61"/>
  <c r="E654" i="61"/>
  <c r="D654" i="61"/>
  <c r="C654" i="61"/>
  <c r="B654" i="61"/>
  <c r="A654" i="61"/>
  <c r="I653" i="61"/>
  <c r="H653" i="61"/>
  <c r="G653" i="61"/>
  <c r="F653" i="61"/>
  <c r="E653" i="61"/>
  <c r="D653" i="61"/>
  <c r="C653" i="61"/>
  <c r="B653" i="61"/>
  <c r="A653" i="61"/>
  <c r="I652" i="61"/>
  <c r="H652" i="61"/>
  <c r="G652" i="61"/>
  <c r="F652" i="61"/>
  <c r="E652" i="61"/>
  <c r="D652" i="61"/>
  <c r="C652" i="61"/>
  <c r="B652" i="61"/>
  <c r="A652" i="61"/>
  <c r="I651" i="61"/>
  <c r="H651" i="61"/>
  <c r="G651" i="61"/>
  <c r="F651" i="61"/>
  <c r="E651" i="61"/>
  <c r="D651" i="61"/>
  <c r="C651" i="61"/>
  <c r="B651" i="61"/>
  <c r="A651" i="61"/>
  <c r="I650" i="61"/>
  <c r="H650" i="61"/>
  <c r="G650" i="61"/>
  <c r="F650" i="61"/>
  <c r="E650" i="61"/>
  <c r="D650" i="61"/>
  <c r="C650" i="61"/>
  <c r="B650" i="61"/>
  <c r="A650" i="61"/>
  <c r="I649" i="61"/>
  <c r="H649" i="61"/>
  <c r="G649" i="61"/>
  <c r="F649" i="61"/>
  <c r="E649" i="61"/>
  <c r="D649" i="61"/>
  <c r="C649" i="61"/>
  <c r="B649" i="61"/>
  <c r="A649" i="61"/>
  <c r="I648" i="61"/>
  <c r="H648" i="61"/>
  <c r="G648" i="61"/>
  <c r="F648" i="61"/>
  <c r="E648" i="61"/>
  <c r="D648" i="61"/>
  <c r="C648" i="61"/>
  <c r="B648" i="61"/>
  <c r="A648" i="61"/>
  <c r="I647" i="61"/>
  <c r="H647" i="61"/>
  <c r="G647" i="61"/>
  <c r="F647" i="61"/>
  <c r="E647" i="61"/>
  <c r="D647" i="61"/>
  <c r="C647" i="61"/>
  <c r="B647" i="61"/>
  <c r="A647" i="61"/>
  <c r="I646" i="61"/>
  <c r="H646" i="61"/>
  <c r="G646" i="61"/>
  <c r="F646" i="61"/>
  <c r="E646" i="61"/>
  <c r="D646" i="61"/>
  <c r="C646" i="61"/>
  <c r="B646" i="61"/>
  <c r="A646" i="61"/>
  <c r="I645" i="61"/>
  <c r="H645" i="61"/>
  <c r="G645" i="61"/>
  <c r="F645" i="61"/>
  <c r="E645" i="61"/>
  <c r="D645" i="61"/>
  <c r="C645" i="61"/>
  <c r="B645" i="61"/>
  <c r="A645" i="61"/>
  <c r="I644" i="61"/>
  <c r="H644" i="61"/>
  <c r="G644" i="61"/>
  <c r="F644" i="61"/>
  <c r="E644" i="61"/>
  <c r="D644" i="61"/>
  <c r="C644" i="61"/>
  <c r="B644" i="61"/>
  <c r="A644" i="61"/>
  <c r="I643" i="61"/>
  <c r="H643" i="61"/>
  <c r="G643" i="61"/>
  <c r="F643" i="61"/>
  <c r="E643" i="61"/>
  <c r="D643" i="61"/>
  <c r="C643" i="61"/>
  <c r="B643" i="61"/>
  <c r="A643" i="61"/>
  <c r="I642" i="61"/>
  <c r="H642" i="61"/>
  <c r="G642" i="61"/>
  <c r="F642" i="61"/>
  <c r="E642" i="61"/>
  <c r="D642" i="61"/>
  <c r="C642" i="61"/>
  <c r="B642" i="61"/>
  <c r="A642" i="61"/>
  <c r="I641" i="61"/>
  <c r="H641" i="61"/>
  <c r="G641" i="61"/>
  <c r="F641" i="61"/>
  <c r="E641" i="61"/>
  <c r="D641" i="61"/>
  <c r="C641" i="61"/>
  <c r="B641" i="61"/>
  <c r="A641" i="61"/>
  <c r="I640" i="61"/>
  <c r="H640" i="61"/>
  <c r="G640" i="61"/>
  <c r="F640" i="61"/>
  <c r="E640" i="61"/>
  <c r="D640" i="61"/>
  <c r="C640" i="61"/>
  <c r="B640" i="61"/>
  <c r="A640" i="61"/>
  <c r="I639" i="61"/>
  <c r="H639" i="61"/>
  <c r="G639" i="61"/>
  <c r="F639" i="61"/>
  <c r="E639" i="61"/>
  <c r="D639" i="61"/>
  <c r="C639" i="61"/>
  <c r="B639" i="61"/>
  <c r="A639" i="61"/>
  <c r="I638" i="61"/>
  <c r="H638" i="61"/>
  <c r="G638" i="61"/>
  <c r="F638" i="61"/>
  <c r="E638" i="61"/>
  <c r="D638" i="61"/>
  <c r="C638" i="61"/>
  <c r="B638" i="61"/>
  <c r="A638" i="61"/>
  <c r="I637" i="61"/>
  <c r="H637" i="61"/>
  <c r="G637" i="61"/>
  <c r="F637" i="61"/>
  <c r="E637" i="61"/>
  <c r="D637" i="61"/>
  <c r="C637" i="61"/>
  <c r="B637" i="61"/>
  <c r="A637" i="61"/>
  <c r="I636" i="61"/>
  <c r="H636" i="61"/>
  <c r="G636" i="61"/>
  <c r="F636" i="61"/>
  <c r="E636" i="61"/>
  <c r="D636" i="61"/>
  <c r="C636" i="61"/>
  <c r="B636" i="61"/>
  <c r="A636" i="61"/>
  <c r="I635" i="61"/>
  <c r="H635" i="61"/>
  <c r="G635" i="61"/>
  <c r="F635" i="61"/>
  <c r="E635" i="61"/>
  <c r="D635" i="61"/>
  <c r="C635" i="61"/>
  <c r="B635" i="61"/>
  <c r="A635" i="61"/>
  <c r="I634" i="61"/>
  <c r="H634" i="61"/>
  <c r="G634" i="61"/>
  <c r="F634" i="61"/>
  <c r="E634" i="61"/>
  <c r="D634" i="61"/>
  <c r="C634" i="61"/>
  <c r="B634" i="61"/>
  <c r="A634" i="61"/>
  <c r="I633" i="61"/>
  <c r="H633" i="61"/>
  <c r="G633" i="61"/>
  <c r="F633" i="61"/>
  <c r="E633" i="61"/>
  <c r="D633" i="61"/>
  <c r="C633" i="61"/>
  <c r="B633" i="61"/>
  <c r="A633" i="61"/>
  <c r="I632" i="61"/>
  <c r="H632" i="61"/>
  <c r="G632" i="61"/>
  <c r="F632" i="61"/>
  <c r="E632" i="61"/>
  <c r="D632" i="61"/>
  <c r="C632" i="61"/>
  <c r="B632" i="61"/>
  <c r="A632" i="61"/>
  <c r="I631" i="61"/>
  <c r="H631" i="61"/>
  <c r="G631" i="61"/>
  <c r="F631" i="61"/>
  <c r="E631" i="61"/>
  <c r="D631" i="61"/>
  <c r="C631" i="61"/>
  <c r="B631" i="61"/>
  <c r="A631" i="61"/>
  <c r="I630" i="61"/>
  <c r="H630" i="61"/>
  <c r="G630" i="61"/>
  <c r="F630" i="61"/>
  <c r="E630" i="61"/>
  <c r="D630" i="61"/>
  <c r="C630" i="61"/>
  <c r="B630" i="61"/>
  <c r="A630" i="61"/>
  <c r="I629" i="61"/>
  <c r="H629" i="61"/>
  <c r="G629" i="61"/>
  <c r="F629" i="61"/>
  <c r="E629" i="61"/>
  <c r="D629" i="61"/>
  <c r="C629" i="61"/>
  <c r="B629" i="61"/>
  <c r="A629" i="61"/>
  <c r="I628" i="61"/>
  <c r="H628" i="61"/>
  <c r="G628" i="61"/>
  <c r="F628" i="61"/>
  <c r="E628" i="61"/>
  <c r="D628" i="61"/>
  <c r="C628" i="61"/>
  <c r="B628" i="61"/>
  <c r="A628" i="61"/>
  <c r="I627" i="61"/>
  <c r="H627" i="61"/>
  <c r="G627" i="61"/>
  <c r="F627" i="61"/>
  <c r="E627" i="61"/>
  <c r="D627" i="61"/>
  <c r="C627" i="61"/>
  <c r="B627" i="61"/>
  <c r="A627" i="61"/>
  <c r="I626" i="61"/>
  <c r="H626" i="61"/>
  <c r="G626" i="61"/>
  <c r="F626" i="61"/>
  <c r="E626" i="61"/>
  <c r="D626" i="61"/>
  <c r="C626" i="61"/>
  <c r="B626" i="61"/>
  <c r="A626" i="61"/>
  <c r="I625" i="61"/>
  <c r="H625" i="61"/>
  <c r="G625" i="61"/>
  <c r="F625" i="61"/>
  <c r="E625" i="61"/>
  <c r="D625" i="61"/>
  <c r="C625" i="61"/>
  <c r="B625" i="61"/>
  <c r="A625" i="61"/>
  <c r="I624" i="61"/>
  <c r="H624" i="61"/>
  <c r="G624" i="61"/>
  <c r="F624" i="61"/>
  <c r="E624" i="61"/>
  <c r="D624" i="61"/>
  <c r="C624" i="61"/>
  <c r="B624" i="61"/>
  <c r="A624" i="61"/>
  <c r="I623" i="61"/>
  <c r="H623" i="61"/>
  <c r="G623" i="61"/>
  <c r="F623" i="61"/>
  <c r="E623" i="61"/>
  <c r="D623" i="61"/>
  <c r="C623" i="61"/>
  <c r="B623" i="61"/>
  <c r="A623" i="61"/>
  <c r="I622" i="61"/>
  <c r="H622" i="61"/>
  <c r="G622" i="61"/>
  <c r="F622" i="61"/>
  <c r="E622" i="61"/>
  <c r="D622" i="61"/>
  <c r="C622" i="61"/>
  <c r="B622" i="61"/>
  <c r="A622" i="61"/>
  <c r="I621" i="61"/>
  <c r="H621" i="61"/>
  <c r="G621" i="61"/>
  <c r="F621" i="61"/>
  <c r="E621" i="61"/>
  <c r="D621" i="61"/>
  <c r="C621" i="61"/>
  <c r="B621" i="61"/>
  <c r="A621" i="61"/>
  <c r="I620" i="61"/>
  <c r="H620" i="61"/>
  <c r="G620" i="61"/>
  <c r="F620" i="61"/>
  <c r="E620" i="61"/>
  <c r="D620" i="61"/>
  <c r="C620" i="61"/>
  <c r="B620" i="61"/>
  <c r="A620" i="61"/>
  <c r="I619" i="61"/>
  <c r="H619" i="61"/>
  <c r="G619" i="61"/>
  <c r="F619" i="61"/>
  <c r="E619" i="61"/>
  <c r="D619" i="61"/>
  <c r="C619" i="61"/>
  <c r="B619" i="61"/>
  <c r="A619" i="61"/>
  <c r="I618" i="61"/>
  <c r="H618" i="61"/>
  <c r="G618" i="61"/>
  <c r="F618" i="61"/>
  <c r="E618" i="61"/>
  <c r="D618" i="61"/>
  <c r="C618" i="61"/>
  <c r="B618" i="61"/>
  <c r="A618" i="61"/>
  <c r="I617" i="61"/>
  <c r="H617" i="61"/>
  <c r="G617" i="61"/>
  <c r="F617" i="61"/>
  <c r="E617" i="61"/>
  <c r="D617" i="61"/>
  <c r="C617" i="61"/>
  <c r="B617" i="61"/>
  <c r="A617" i="61"/>
  <c r="I616" i="61"/>
  <c r="H616" i="61"/>
  <c r="G616" i="61"/>
  <c r="F616" i="61"/>
  <c r="E616" i="61"/>
  <c r="D616" i="61"/>
  <c r="C616" i="61"/>
  <c r="B616" i="61"/>
  <c r="A616" i="61"/>
  <c r="I615" i="61"/>
  <c r="H615" i="61"/>
  <c r="G615" i="61"/>
  <c r="F615" i="61"/>
  <c r="E615" i="61"/>
  <c r="D615" i="61"/>
  <c r="C615" i="61"/>
  <c r="B615" i="61"/>
  <c r="A615" i="61"/>
  <c r="I614" i="61"/>
  <c r="H614" i="61"/>
  <c r="G614" i="61"/>
  <c r="F614" i="61"/>
  <c r="E614" i="61"/>
  <c r="D614" i="61"/>
  <c r="C614" i="61"/>
  <c r="B614" i="61"/>
  <c r="A614" i="61"/>
  <c r="I613" i="61"/>
  <c r="H613" i="61"/>
  <c r="G613" i="61"/>
  <c r="F613" i="61"/>
  <c r="E613" i="61"/>
  <c r="D613" i="61"/>
  <c r="C613" i="61"/>
  <c r="B613" i="61"/>
  <c r="A613" i="61"/>
  <c r="I612" i="61"/>
  <c r="H612" i="61"/>
  <c r="G612" i="61"/>
  <c r="F612" i="61"/>
  <c r="E612" i="61"/>
  <c r="D612" i="61"/>
  <c r="C612" i="61"/>
  <c r="B612" i="61"/>
  <c r="A612" i="61"/>
  <c r="I611" i="61"/>
  <c r="H611" i="61"/>
  <c r="G611" i="61"/>
  <c r="F611" i="61"/>
  <c r="E611" i="61"/>
  <c r="D611" i="61"/>
  <c r="C611" i="61"/>
  <c r="B611" i="61"/>
  <c r="A611" i="61"/>
  <c r="I610" i="61"/>
  <c r="H610" i="61"/>
  <c r="G610" i="61"/>
  <c r="F610" i="61"/>
  <c r="E610" i="61"/>
  <c r="D610" i="61"/>
  <c r="C610" i="61"/>
  <c r="B610" i="61"/>
  <c r="A610" i="61"/>
  <c r="I609" i="61"/>
  <c r="H609" i="61"/>
  <c r="G609" i="61"/>
  <c r="F609" i="61"/>
  <c r="E609" i="61"/>
  <c r="D609" i="61"/>
  <c r="C609" i="61"/>
  <c r="B609" i="61"/>
  <c r="A609" i="61"/>
  <c r="I608" i="61"/>
  <c r="H608" i="61"/>
  <c r="G608" i="61"/>
  <c r="F608" i="61"/>
  <c r="E608" i="61"/>
  <c r="D608" i="61"/>
  <c r="C608" i="61"/>
  <c r="B608" i="61"/>
  <c r="A608" i="61"/>
  <c r="I607" i="61"/>
  <c r="H607" i="61"/>
  <c r="G607" i="61"/>
  <c r="F607" i="61"/>
  <c r="E607" i="61"/>
  <c r="D607" i="61"/>
  <c r="C607" i="61"/>
  <c r="B607" i="61"/>
  <c r="A607" i="61"/>
  <c r="I606" i="61"/>
  <c r="H606" i="61"/>
  <c r="G606" i="61"/>
  <c r="F606" i="61"/>
  <c r="E606" i="61"/>
  <c r="D606" i="61"/>
  <c r="C606" i="61"/>
  <c r="B606" i="61"/>
  <c r="A606" i="61"/>
  <c r="I605" i="61"/>
  <c r="H605" i="61"/>
  <c r="G605" i="61"/>
  <c r="F605" i="61"/>
  <c r="E605" i="61"/>
  <c r="D605" i="61"/>
  <c r="C605" i="61"/>
  <c r="B605" i="61"/>
  <c r="A605" i="61"/>
  <c r="I604" i="61"/>
  <c r="H604" i="61"/>
  <c r="G604" i="61"/>
  <c r="F604" i="61"/>
  <c r="E604" i="61"/>
  <c r="D604" i="61"/>
  <c r="C604" i="61"/>
  <c r="B604" i="61"/>
  <c r="A604" i="61"/>
  <c r="I603" i="61"/>
  <c r="H603" i="61"/>
  <c r="G603" i="61"/>
  <c r="F603" i="61"/>
  <c r="E603" i="61"/>
  <c r="D603" i="61"/>
  <c r="C603" i="61"/>
  <c r="B603" i="61"/>
  <c r="A603" i="61"/>
  <c r="I602" i="61"/>
  <c r="H602" i="61"/>
  <c r="G602" i="61"/>
  <c r="F602" i="61"/>
  <c r="E602" i="61"/>
  <c r="D602" i="61"/>
  <c r="C602" i="61"/>
  <c r="B602" i="61"/>
  <c r="A602" i="61"/>
  <c r="I601" i="61"/>
  <c r="H601" i="61"/>
  <c r="G601" i="61"/>
  <c r="F601" i="61"/>
  <c r="E601" i="61"/>
  <c r="D601" i="61"/>
  <c r="C601" i="61"/>
  <c r="B601" i="61"/>
  <c r="A601" i="61"/>
  <c r="I600" i="61"/>
  <c r="H600" i="61"/>
  <c r="G600" i="61"/>
  <c r="F600" i="61"/>
  <c r="E600" i="61"/>
  <c r="D600" i="61"/>
  <c r="C600" i="61"/>
  <c r="B600" i="61"/>
  <c r="A600" i="61"/>
  <c r="I599" i="61"/>
  <c r="H599" i="61"/>
  <c r="G599" i="61"/>
  <c r="F599" i="61"/>
  <c r="E599" i="61"/>
  <c r="D599" i="61"/>
  <c r="C599" i="61"/>
  <c r="B599" i="61"/>
  <c r="A599" i="61"/>
  <c r="I598" i="61"/>
  <c r="H598" i="61"/>
  <c r="G598" i="61"/>
  <c r="F598" i="61"/>
  <c r="E598" i="61"/>
  <c r="D598" i="61"/>
  <c r="C598" i="61"/>
  <c r="B598" i="61"/>
  <c r="A598" i="61"/>
  <c r="I597" i="61"/>
  <c r="H597" i="61"/>
  <c r="G597" i="61"/>
  <c r="F597" i="61"/>
  <c r="E597" i="61"/>
  <c r="D597" i="61"/>
  <c r="C597" i="61"/>
  <c r="B597" i="61"/>
  <c r="A597" i="61"/>
  <c r="I596" i="61"/>
  <c r="H596" i="61"/>
  <c r="G596" i="61"/>
  <c r="F596" i="61"/>
  <c r="E596" i="61"/>
  <c r="D596" i="61"/>
  <c r="C596" i="61"/>
  <c r="B596" i="61"/>
  <c r="A596" i="61"/>
  <c r="I595" i="61"/>
  <c r="H595" i="61"/>
  <c r="G595" i="61"/>
  <c r="F595" i="61"/>
  <c r="E595" i="61"/>
  <c r="D595" i="61"/>
  <c r="C595" i="61"/>
  <c r="B595" i="61"/>
  <c r="A595" i="61"/>
  <c r="I594" i="61"/>
  <c r="H594" i="61"/>
  <c r="G594" i="61"/>
  <c r="F594" i="61"/>
  <c r="E594" i="61"/>
  <c r="D594" i="61"/>
  <c r="C594" i="61"/>
  <c r="B594" i="61"/>
  <c r="A594" i="61"/>
  <c r="I593" i="61"/>
  <c r="H593" i="61"/>
  <c r="G593" i="61"/>
  <c r="F593" i="61"/>
  <c r="E593" i="61"/>
  <c r="D593" i="61"/>
  <c r="C593" i="61"/>
  <c r="B593" i="61"/>
  <c r="A593" i="61"/>
  <c r="I592" i="61"/>
  <c r="H592" i="61"/>
  <c r="G592" i="61"/>
  <c r="F592" i="61"/>
  <c r="E592" i="61"/>
  <c r="D592" i="61"/>
  <c r="C592" i="61"/>
  <c r="B592" i="61"/>
  <c r="A592" i="61"/>
  <c r="I591" i="61"/>
  <c r="H591" i="61"/>
  <c r="G591" i="61"/>
  <c r="F591" i="61"/>
  <c r="E591" i="61"/>
  <c r="D591" i="61"/>
  <c r="C591" i="61"/>
  <c r="B591" i="61"/>
  <c r="A591" i="61"/>
  <c r="I590" i="61"/>
  <c r="H590" i="61"/>
  <c r="G590" i="61"/>
  <c r="F590" i="61"/>
  <c r="E590" i="61"/>
  <c r="D590" i="61"/>
  <c r="C590" i="61"/>
  <c r="B590" i="61"/>
  <c r="A590" i="61"/>
  <c r="I589" i="61"/>
  <c r="H589" i="61"/>
  <c r="G589" i="61"/>
  <c r="F589" i="61"/>
  <c r="E589" i="61"/>
  <c r="D589" i="61"/>
  <c r="C589" i="61"/>
  <c r="B589" i="61"/>
  <c r="A589" i="61"/>
  <c r="I588" i="61"/>
  <c r="H588" i="61"/>
  <c r="G588" i="61"/>
  <c r="F588" i="61"/>
  <c r="E588" i="61"/>
  <c r="D588" i="61"/>
  <c r="C588" i="61"/>
  <c r="B588" i="61"/>
  <c r="A588" i="61"/>
  <c r="I587" i="61"/>
  <c r="H587" i="61"/>
  <c r="G587" i="61"/>
  <c r="F587" i="61"/>
  <c r="E587" i="61"/>
  <c r="D587" i="61"/>
  <c r="C587" i="61"/>
  <c r="B587" i="61"/>
  <c r="A587" i="61"/>
  <c r="I586" i="61"/>
  <c r="H586" i="61"/>
  <c r="G586" i="61"/>
  <c r="F586" i="61"/>
  <c r="E586" i="61"/>
  <c r="D586" i="61"/>
  <c r="C586" i="61"/>
  <c r="B586" i="61"/>
  <c r="A586" i="61"/>
  <c r="I585" i="61"/>
  <c r="H585" i="61"/>
  <c r="G585" i="61"/>
  <c r="F585" i="61"/>
  <c r="E585" i="61"/>
  <c r="D585" i="61"/>
  <c r="C585" i="61"/>
  <c r="B585" i="61"/>
  <c r="A585" i="61"/>
  <c r="I584" i="61"/>
  <c r="H584" i="61"/>
  <c r="G584" i="61"/>
  <c r="F584" i="61"/>
  <c r="E584" i="61"/>
  <c r="D584" i="61"/>
  <c r="C584" i="61"/>
  <c r="B584" i="61"/>
  <c r="A584" i="61"/>
  <c r="I583" i="61"/>
  <c r="H583" i="61"/>
  <c r="G583" i="61"/>
  <c r="F583" i="61"/>
  <c r="E583" i="61"/>
  <c r="D583" i="61"/>
  <c r="C583" i="61"/>
  <c r="B583" i="61"/>
  <c r="A583" i="61"/>
  <c r="I582" i="61"/>
  <c r="H582" i="61"/>
  <c r="G582" i="61"/>
  <c r="F582" i="61"/>
  <c r="E582" i="61"/>
  <c r="D582" i="61"/>
  <c r="C582" i="61"/>
  <c r="B582" i="61"/>
  <c r="A582" i="61"/>
  <c r="I581" i="61"/>
  <c r="H581" i="61"/>
  <c r="G581" i="61"/>
  <c r="F581" i="61"/>
  <c r="E581" i="61"/>
  <c r="D581" i="61"/>
  <c r="C581" i="61"/>
  <c r="B581" i="61"/>
  <c r="A581" i="61"/>
  <c r="I580" i="61"/>
  <c r="H580" i="61"/>
  <c r="G580" i="61"/>
  <c r="F580" i="61"/>
  <c r="E580" i="61"/>
  <c r="D580" i="61"/>
  <c r="C580" i="61"/>
  <c r="B580" i="61"/>
  <c r="A580" i="61"/>
  <c r="I579" i="61"/>
  <c r="H579" i="61"/>
  <c r="G579" i="61"/>
  <c r="F579" i="61"/>
  <c r="E579" i="61"/>
  <c r="D579" i="61"/>
  <c r="C579" i="61"/>
  <c r="B579" i="61"/>
  <c r="A579" i="61"/>
  <c r="I578" i="61"/>
  <c r="H578" i="61"/>
  <c r="G578" i="61"/>
  <c r="F578" i="61"/>
  <c r="E578" i="61"/>
  <c r="D578" i="61"/>
  <c r="C578" i="61"/>
  <c r="B578" i="61"/>
  <c r="A578" i="61"/>
  <c r="I577" i="61"/>
  <c r="H577" i="61"/>
  <c r="G577" i="61"/>
  <c r="F577" i="61"/>
  <c r="E577" i="61"/>
  <c r="D577" i="61"/>
  <c r="C577" i="61"/>
  <c r="B577" i="61"/>
  <c r="A577" i="61"/>
  <c r="I576" i="61"/>
  <c r="H576" i="61"/>
  <c r="G576" i="61"/>
  <c r="F576" i="61"/>
  <c r="E576" i="61"/>
  <c r="D576" i="61"/>
  <c r="C576" i="61"/>
  <c r="B576" i="61"/>
  <c r="A576" i="61"/>
  <c r="I575" i="61"/>
  <c r="H575" i="61"/>
  <c r="G575" i="61"/>
  <c r="F575" i="61"/>
  <c r="E575" i="61"/>
  <c r="D575" i="61"/>
  <c r="C575" i="61"/>
  <c r="B575" i="61"/>
  <c r="A575" i="61"/>
  <c r="I574" i="61"/>
  <c r="H574" i="61"/>
  <c r="G574" i="61"/>
  <c r="F574" i="61"/>
  <c r="E574" i="61"/>
  <c r="D574" i="61"/>
  <c r="C574" i="61"/>
  <c r="B574" i="61"/>
  <c r="A574" i="61"/>
  <c r="I573" i="61"/>
  <c r="H573" i="61"/>
  <c r="G573" i="61"/>
  <c r="F573" i="61"/>
  <c r="E573" i="61"/>
  <c r="D573" i="61"/>
  <c r="C573" i="61"/>
  <c r="B573" i="61"/>
  <c r="A573" i="61"/>
  <c r="I572" i="61"/>
  <c r="H572" i="61"/>
  <c r="G572" i="61"/>
  <c r="F572" i="61"/>
  <c r="E572" i="61"/>
  <c r="D572" i="61"/>
  <c r="C572" i="61"/>
  <c r="B572" i="61"/>
  <c r="A572" i="61"/>
  <c r="I571" i="61"/>
  <c r="H571" i="61"/>
  <c r="G571" i="61"/>
  <c r="F571" i="61"/>
  <c r="E571" i="61"/>
  <c r="D571" i="61"/>
  <c r="C571" i="61"/>
  <c r="B571" i="61"/>
  <c r="A571" i="61"/>
  <c r="I570" i="61"/>
  <c r="H570" i="61"/>
  <c r="G570" i="61"/>
  <c r="F570" i="61"/>
  <c r="E570" i="61"/>
  <c r="D570" i="61"/>
  <c r="C570" i="61"/>
  <c r="B570" i="61"/>
  <c r="A570" i="61"/>
  <c r="I569" i="61"/>
  <c r="H569" i="61"/>
  <c r="G569" i="61"/>
  <c r="F569" i="61"/>
  <c r="E569" i="61"/>
  <c r="D569" i="61"/>
  <c r="C569" i="61"/>
  <c r="B569" i="61"/>
  <c r="A569" i="61"/>
  <c r="I568" i="61"/>
  <c r="H568" i="61"/>
  <c r="G568" i="61"/>
  <c r="F568" i="61"/>
  <c r="E568" i="61"/>
  <c r="D568" i="61"/>
  <c r="C568" i="61"/>
  <c r="B568" i="61"/>
  <c r="A568" i="61"/>
  <c r="I567" i="61"/>
  <c r="H567" i="61"/>
  <c r="G567" i="61"/>
  <c r="F567" i="61"/>
  <c r="E567" i="61"/>
  <c r="D567" i="61"/>
  <c r="C567" i="61"/>
  <c r="B567" i="61"/>
  <c r="A567" i="61"/>
  <c r="I566" i="61"/>
  <c r="H566" i="61"/>
  <c r="G566" i="61"/>
  <c r="F566" i="61"/>
  <c r="E566" i="61"/>
  <c r="D566" i="61"/>
  <c r="C566" i="61"/>
  <c r="B566" i="61"/>
  <c r="A566" i="61"/>
  <c r="I565" i="61"/>
  <c r="H565" i="61"/>
  <c r="G565" i="61"/>
  <c r="F565" i="61"/>
  <c r="E565" i="61"/>
  <c r="D565" i="61"/>
  <c r="C565" i="61"/>
  <c r="B565" i="61"/>
  <c r="A565" i="61"/>
  <c r="I564" i="61"/>
  <c r="H564" i="61"/>
  <c r="G564" i="61"/>
  <c r="F564" i="61"/>
  <c r="E564" i="61"/>
  <c r="D564" i="61"/>
  <c r="C564" i="61"/>
  <c r="B564" i="61"/>
  <c r="A564" i="61"/>
  <c r="I563" i="61"/>
  <c r="H563" i="61"/>
  <c r="G563" i="61"/>
  <c r="F563" i="61"/>
  <c r="E563" i="61"/>
  <c r="D563" i="61"/>
  <c r="C563" i="61"/>
  <c r="B563" i="61"/>
  <c r="A563" i="61"/>
  <c r="I562" i="61"/>
  <c r="H562" i="61"/>
  <c r="G562" i="61"/>
  <c r="F562" i="61"/>
  <c r="E562" i="61"/>
  <c r="D562" i="61"/>
  <c r="C562" i="61"/>
  <c r="B562" i="61"/>
  <c r="A562" i="61"/>
  <c r="I561" i="61"/>
  <c r="H561" i="61"/>
  <c r="G561" i="61"/>
  <c r="F561" i="61"/>
  <c r="E561" i="61"/>
  <c r="D561" i="61"/>
  <c r="C561" i="61"/>
  <c r="B561" i="61"/>
  <c r="A561" i="61"/>
  <c r="I560" i="61"/>
  <c r="H560" i="61"/>
  <c r="G560" i="61"/>
  <c r="F560" i="61"/>
  <c r="E560" i="61"/>
  <c r="D560" i="61"/>
  <c r="C560" i="61"/>
  <c r="B560" i="61"/>
  <c r="A560" i="61"/>
  <c r="I559" i="61"/>
  <c r="H559" i="61"/>
  <c r="G559" i="61"/>
  <c r="F559" i="61"/>
  <c r="E559" i="61"/>
  <c r="D559" i="61"/>
  <c r="C559" i="61"/>
  <c r="B559" i="61"/>
  <c r="A559" i="61"/>
  <c r="I558" i="61"/>
  <c r="H558" i="61"/>
  <c r="G558" i="61"/>
  <c r="F558" i="61"/>
  <c r="E558" i="61"/>
  <c r="D558" i="61"/>
  <c r="C558" i="61"/>
  <c r="B558" i="61"/>
  <c r="A558" i="61"/>
  <c r="I557" i="61"/>
  <c r="H557" i="61"/>
  <c r="G557" i="61"/>
  <c r="F557" i="61"/>
  <c r="E557" i="61"/>
  <c r="D557" i="61"/>
  <c r="C557" i="61"/>
  <c r="B557" i="61"/>
  <c r="A557" i="61"/>
  <c r="I556" i="61"/>
  <c r="H556" i="61"/>
  <c r="G556" i="61"/>
  <c r="F556" i="61"/>
  <c r="E556" i="61"/>
  <c r="D556" i="61"/>
  <c r="C556" i="61"/>
  <c r="B556" i="61"/>
  <c r="A556" i="61"/>
  <c r="I555" i="61"/>
  <c r="H555" i="61"/>
  <c r="G555" i="61"/>
  <c r="F555" i="61"/>
  <c r="E555" i="61"/>
  <c r="D555" i="61"/>
  <c r="C555" i="61"/>
  <c r="B555" i="61"/>
  <c r="A555" i="61"/>
  <c r="I554" i="61"/>
  <c r="H554" i="61"/>
  <c r="G554" i="61"/>
  <c r="F554" i="61"/>
  <c r="E554" i="61"/>
  <c r="D554" i="61"/>
  <c r="C554" i="61"/>
  <c r="B554" i="61"/>
  <c r="A554" i="61"/>
  <c r="I553" i="61"/>
  <c r="H553" i="61"/>
  <c r="G553" i="61"/>
  <c r="F553" i="61"/>
  <c r="E553" i="61"/>
  <c r="D553" i="61"/>
  <c r="C553" i="61"/>
  <c r="B553" i="61"/>
  <c r="A553" i="61"/>
  <c r="I552" i="61"/>
  <c r="H552" i="61"/>
  <c r="G552" i="61"/>
  <c r="F552" i="61"/>
  <c r="E552" i="61"/>
  <c r="D552" i="61"/>
  <c r="C552" i="61"/>
  <c r="B552" i="61"/>
  <c r="A552" i="61"/>
  <c r="I551" i="61"/>
  <c r="H551" i="61"/>
  <c r="G551" i="61"/>
  <c r="F551" i="61"/>
  <c r="E551" i="61"/>
  <c r="D551" i="61"/>
  <c r="C551" i="61"/>
  <c r="B551" i="61"/>
  <c r="A551" i="61"/>
  <c r="I550" i="61"/>
  <c r="H550" i="61"/>
  <c r="G550" i="61"/>
  <c r="F550" i="61"/>
  <c r="E550" i="61"/>
  <c r="D550" i="61"/>
  <c r="C550" i="61"/>
  <c r="B550" i="61"/>
  <c r="A550" i="61"/>
  <c r="I549" i="61"/>
  <c r="H549" i="61"/>
  <c r="G549" i="61"/>
  <c r="F549" i="61"/>
  <c r="E549" i="61"/>
  <c r="D549" i="61"/>
  <c r="C549" i="61"/>
  <c r="B549" i="61"/>
  <c r="A549" i="61"/>
  <c r="I548" i="61"/>
  <c r="H548" i="61"/>
  <c r="G548" i="61"/>
  <c r="F548" i="61"/>
  <c r="E548" i="61"/>
  <c r="D548" i="61"/>
  <c r="C548" i="61"/>
  <c r="B548" i="61"/>
  <c r="A548" i="61"/>
  <c r="I547" i="61"/>
  <c r="H547" i="61"/>
  <c r="G547" i="61"/>
  <c r="F547" i="61"/>
  <c r="E547" i="61"/>
  <c r="D547" i="61"/>
  <c r="C547" i="61"/>
  <c r="B547" i="61"/>
  <c r="A547" i="61"/>
  <c r="I546" i="61"/>
  <c r="H546" i="61"/>
  <c r="G546" i="61"/>
  <c r="F546" i="61"/>
  <c r="E546" i="61"/>
  <c r="D546" i="61"/>
  <c r="C546" i="61"/>
  <c r="B546" i="61"/>
  <c r="A546" i="61"/>
  <c r="I545" i="61"/>
  <c r="H545" i="61"/>
  <c r="G545" i="61"/>
  <c r="F545" i="61"/>
  <c r="E545" i="61"/>
  <c r="D545" i="61"/>
  <c r="C545" i="61"/>
  <c r="B545" i="61"/>
  <c r="A545" i="61"/>
  <c r="I544" i="61"/>
  <c r="H544" i="61"/>
  <c r="G544" i="61"/>
  <c r="F544" i="61"/>
  <c r="E544" i="61"/>
  <c r="D544" i="61"/>
  <c r="C544" i="61"/>
  <c r="B544" i="61"/>
  <c r="A544" i="61"/>
  <c r="I543" i="61"/>
  <c r="H543" i="61"/>
  <c r="G543" i="61"/>
  <c r="F543" i="61"/>
  <c r="E543" i="61"/>
  <c r="D543" i="61"/>
  <c r="C543" i="61"/>
  <c r="B543" i="61"/>
  <c r="A543" i="61"/>
  <c r="I542" i="61"/>
  <c r="H542" i="61"/>
  <c r="G542" i="61"/>
  <c r="F542" i="61"/>
  <c r="E542" i="61"/>
  <c r="D542" i="61"/>
  <c r="C542" i="61"/>
  <c r="B542" i="61"/>
  <c r="A542" i="61"/>
  <c r="I541" i="61"/>
  <c r="H541" i="61"/>
  <c r="G541" i="61"/>
  <c r="F541" i="61"/>
  <c r="E541" i="61"/>
  <c r="D541" i="61"/>
  <c r="C541" i="61"/>
  <c r="B541" i="61"/>
  <c r="A541" i="61"/>
  <c r="I540" i="61"/>
  <c r="H540" i="61"/>
  <c r="G540" i="61"/>
  <c r="F540" i="61"/>
  <c r="E540" i="61"/>
  <c r="D540" i="61"/>
  <c r="C540" i="61"/>
  <c r="B540" i="61"/>
  <c r="A540" i="61"/>
  <c r="I539" i="61"/>
  <c r="H539" i="61"/>
  <c r="G539" i="61"/>
  <c r="F539" i="61"/>
  <c r="E539" i="61"/>
  <c r="D539" i="61"/>
  <c r="C539" i="61"/>
  <c r="B539" i="61"/>
  <c r="A539" i="61"/>
  <c r="I538" i="61"/>
  <c r="H538" i="61"/>
  <c r="G538" i="61"/>
  <c r="F538" i="61"/>
  <c r="E538" i="61"/>
  <c r="D538" i="61"/>
  <c r="C538" i="61"/>
  <c r="B538" i="61"/>
  <c r="A538" i="61"/>
  <c r="I537" i="61"/>
  <c r="H537" i="61"/>
  <c r="G537" i="61"/>
  <c r="F537" i="61"/>
  <c r="E537" i="61"/>
  <c r="D537" i="61"/>
  <c r="C537" i="61"/>
  <c r="B537" i="61"/>
  <c r="A537" i="61"/>
  <c r="I536" i="61"/>
  <c r="H536" i="61"/>
  <c r="G536" i="61"/>
  <c r="F536" i="61"/>
  <c r="E536" i="61"/>
  <c r="D536" i="61"/>
  <c r="C536" i="61"/>
  <c r="B536" i="61"/>
  <c r="A536" i="61"/>
  <c r="I535" i="61"/>
  <c r="H535" i="61"/>
  <c r="G535" i="61"/>
  <c r="F535" i="61"/>
  <c r="E535" i="61"/>
  <c r="D535" i="61"/>
  <c r="C535" i="61"/>
  <c r="B535" i="61"/>
  <c r="A535" i="61"/>
  <c r="I534" i="61"/>
  <c r="H534" i="61"/>
  <c r="G534" i="61"/>
  <c r="F534" i="61"/>
  <c r="E534" i="61"/>
  <c r="D534" i="61"/>
  <c r="C534" i="61"/>
  <c r="B534" i="61"/>
  <c r="A534" i="61"/>
  <c r="I533" i="61"/>
  <c r="H533" i="61"/>
  <c r="G533" i="61"/>
  <c r="F533" i="61"/>
  <c r="E533" i="61"/>
  <c r="D533" i="61"/>
  <c r="C533" i="61"/>
  <c r="B533" i="61"/>
  <c r="A533" i="61"/>
  <c r="I532" i="61"/>
  <c r="H532" i="61"/>
  <c r="G532" i="61"/>
  <c r="F532" i="61"/>
  <c r="E532" i="61"/>
  <c r="D532" i="61"/>
  <c r="C532" i="61"/>
  <c r="B532" i="61"/>
  <c r="A532" i="61"/>
  <c r="I531" i="61"/>
  <c r="H531" i="61"/>
  <c r="G531" i="61"/>
  <c r="F531" i="61"/>
  <c r="E531" i="61"/>
  <c r="D531" i="61"/>
  <c r="C531" i="61"/>
  <c r="B531" i="61"/>
  <c r="A531" i="61"/>
  <c r="I530" i="61"/>
  <c r="H530" i="61"/>
  <c r="G530" i="61"/>
  <c r="F530" i="61"/>
  <c r="E530" i="61"/>
  <c r="D530" i="61"/>
  <c r="C530" i="61"/>
  <c r="B530" i="61"/>
  <c r="A530" i="61"/>
  <c r="I529" i="61"/>
  <c r="H529" i="61"/>
  <c r="G529" i="61"/>
  <c r="F529" i="61"/>
  <c r="E529" i="61"/>
  <c r="D529" i="61"/>
  <c r="C529" i="61"/>
  <c r="B529" i="61"/>
  <c r="A529" i="61"/>
  <c r="I528" i="61"/>
  <c r="H528" i="61"/>
  <c r="G528" i="61"/>
  <c r="F528" i="61"/>
  <c r="E528" i="61"/>
  <c r="D528" i="61"/>
  <c r="C528" i="61"/>
  <c r="B528" i="61"/>
  <c r="A528" i="61"/>
  <c r="I527" i="61"/>
  <c r="H527" i="61"/>
  <c r="G527" i="61"/>
  <c r="F527" i="61"/>
  <c r="E527" i="61"/>
  <c r="D527" i="61"/>
  <c r="C527" i="61"/>
  <c r="B527" i="61"/>
  <c r="A527" i="61"/>
  <c r="I526" i="61"/>
  <c r="H526" i="61"/>
  <c r="G526" i="61"/>
  <c r="F526" i="61"/>
  <c r="E526" i="61"/>
  <c r="D526" i="61"/>
  <c r="C526" i="61"/>
  <c r="B526" i="61"/>
  <c r="A526" i="61"/>
  <c r="I525" i="61"/>
  <c r="H525" i="61"/>
  <c r="G525" i="61"/>
  <c r="F525" i="61"/>
  <c r="E525" i="61"/>
  <c r="D525" i="61"/>
  <c r="C525" i="61"/>
  <c r="B525" i="61"/>
  <c r="A525" i="61"/>
  <c r="I524" i="61"/>
  <c r="H524" i="61"/>
  <c r="G524" i="61"/>
  <c r="F524" i="61"/>
  <c r="E524" i="61"/>
  <c r="D524" i="61"/>
  <c r="C524" i="61"/>
  <c r="B524" i="61"/>
  <c r="A524" i="61"/>
  <c r="I523" i="61"/>
  <c r="H523" i="61"/>
  <c r="G523" i="61"/>
  <c r="F523" i="61"/>
  <c r="E523" i="61"/>
  <c r="D523" i="61"/>
  <c r="C523" i="61"/>
  <c r="B523" i="61"/>
  <c r="A523" i="61"/>
  <c r="I522" i="61"/>
  <c r="H522" i="61"/>
  <c r="G522" i="61"/>
  <c r="F522" i="61"/>
  <c r="E522" i="61"/>
  <c r="D522" i="61"/>
  <c r="C522" i="61"/>
  <c r="B522" i="61"/>
  <c r="A522" i="61"/>
  <c r="I521" i="61"/>
  <c r="H521" i="61"/>
  <c r="G521" i="61"/>
  <c r="F521" i="61"/>
  <c r="E521" i="61"/>
  <c r="D521" i="61"/>
  <c r="C521" i="61"/>
  <c r="B521" i="61"/>
  <c r="A521" i="61"/>
  <c r="I520" i="61"/>
  <c r="H520" i="61"/>
  <c r="G520" i="61"/>
  <c r="F520" i="61"/>
  <c r="E520" i="61"/>
  <c r="D520" i="61"/>
  <c r="C520" i="61"/>
  <c r="B520" i="61"/>
  <c r="A520" i="61"/>
  <c r="I519" i="61"/>
  <c r="H519" i="61"/>
  <c r="G519" i="61"/>
  <c r="F519" i="61"/>
  <c r="E519" i="61"/>
  <c r="D519" i="61"/>
  <c r="C519" i="61"/>
  <c r="B519" i="61"/>
  <c r="A519" i="61"/>
  <c r="I518" i="61"/>
  <c r="H518" i="61"/>
  <c r="G518" i="61"/>
  <c r="F518" i="61"/>
  <c r="E518" i="61"/>
  <c r="D518" i="61"/>
  <c r="C518" i="61"/>
  <c r="B518" i="61"/>
  <c r="A518" i="61"/>
  <c r="I517" i="61"/>
  <c r="H517" i="61"/>
  <c r="G517" i="61"/>
  <c r="F517" i="61"/>
  <c r="E517" i="61"/>
  <c r="D517" i="61"/>
  <c r="C517" i="61"/>
  <c r="B517" i="61"/>
  <c r="A517" i="61"/>
  <c r="I516" i="61"/>
  <c r="H516" i="61"/>
  <c r="G516" i="61"/>
  <c r="F516" i="61"/>
  <c r="E516" i="61"/>
  <c r="D516" i="61"/>
  <c r="C516" i="61"/>
  <c r="B516" i="61"/>
  <c r="A516" i="61"/>
  <c r="I515" i="61"/>
  <c r="H515" i="61"/>
  <c r="G515" i="61"/>
  <c r="F515" i="61"/>
  <c r="E515" i="61"/>
  <c r="D515" i="61"/>
  <c r="C515" i="61"/>
  <c r="B515" i="61"/>
  <c r="A515" i="61"/>
  <c r="I514" i="61"/>
  <c r="H514" i="61"/>
  <c r="G514" i="61"/>
  <c r="F514" i="61"/>
  <c r="E514" i="61"/>
  <c r="D514" i="61"/>
  <c r="C514" i="61"/>
  <c r="B514" i="61"/>
  <c r="A514" i="61"/>
  <c r="I513" i="61"/>
  <c r="H513" i="61"/>
  <c r="G513" i="61"/>
  <c r="F513" i="61"/>
  <c r="E513" i="61"/>
  <c r="D513" i="61"/>
  <c r="C513" i="61"/>
  <c r="B513" i="61"/>
  <c r="A513" i="61"/>
  <c r="I512" i="61"/>
  <c r="H512" i="61"/>
  <c r="G512" i="61"/>
  <c r="F512" i="61"/>
  <c r="E512" i="61"/>
  <c r="D512" i="61"/>
  <c r="C512" i="61"/>
  <c r="B512" i="61"/>
  <c r="A512" i="61"/>
  <c r="I511" i="61"/>
  <c r="H511" i="61"/>
  <c r="G511" i="61"/>
  <c r="F511" i="61"/>
  <c r="E511" i="61"/>
  <c r="D511" i="61"/>
  <c r="C511" i="61"/>
  <c r="B511" i="61"/>
  <c r="A511" i="61"/>
  <c r="I510" i="61"/>
  <c r="H510" i="61"/>
  <c r="G510" i="61"/>
  <c r="F510" i="61"/>
  <c r="E510" i="61"/>
  <c r="D510" i="61"/>
  <c r="C510" i="61"/>
  <c r="B510" i="61"/>
  <c r="A510" i="61"/>
  <c r="I509" i="61"/>
  <c r="H509" i="61"/>
  <c r="G509" i="61"/>
  <c r="F509" i="61"/>
  <c r="E509" i="61"/>
  <c r="D509" i="61"/>
  <c r="C509" i="61"/>
  <c r="B509" i="61"/>
  <c r="A509" i="61"/>
  <c r="I508" i="61"/>
  <c r="H508" i="61"/>
  <c r="G508" i="61"/>
  <c r="F508" i="61"/>
  <c r="E508" i="61"/>
  <c r="D508" i="61"/>
  <c r="C508" i="61"/>
  <c r="B508" i="61"/>
  <c r="A508" i="61"/>
  <c r="I507" i="61"/>
  <c r="H507" i="61"/>
  <c r="G507" i="61"/>
  <c r="F507" i="61"/>
  <c r="E507" i="61"/>
  <c r="D507" i="61"/>
  <c r="C507" i="61"/>
  <c r="B507" i="61"/>
  <c r="A507" i="61"/>
  <c r="I506" i="61"/>
  <c r="H506" i="61"/>
  <c r="G506" i="61"/>
  <c r="F506" i="61"/>
  <c r="E506" i="61"/>
  <c r="D506" i="61"/>
  <c r="C506" i="61"/>
  <c r="B506" i="61"/>
  <c r="A506" i="61"/>
  <c r="I505" i="61"/>
  <c r="H505" i="61"/>
  <c r="G505" i="61"/>
  <c r="F505" i="61"/>
  <c r="E505" i="61"/>
  <c r="D505" i="61"/>
  <c r="C505" i="61"/>
  <c r="B505" i="61"/>
  <c r="A505" i="61"/>
  <c r="I504" i="61"/>
  <c r="H504" i="61"/>
  <c r="G504" i="61"/>
  <c r="F504" i="61"/>
  <c r="E504" i="61"/>
  <c r="D504" i="61"/>
  <c r="C504" i="61"/>
  <c r="B504" i="61"/>
  <c r="A504" i="61"/>
  <c r="I503" i="61"/>
  <c r="H503" i="61"/>
  <c r="G503" i="61"/>
  <c r="F503" i="61"/>
  <c r="E503" i="61"/>
  <c r="D503" i="61"/>
  <c r="C503" i="61"/>
  <c r="B503" i="61"/>
  <c r="A503" i="61"/>
  <c r="I502" i="61"/>
  <c r="H502" i="61"/>
  <c r="G502" i="61"/>
  <c r="F502" i="61"/>
  <c r="E502" i="61"/>
  <c r="D502" i="61"/>
  <c r="C502" i="61"/>
  <c r="B502" i="61"/>
  <c r="A502" i="61"/>
  <c r="I501" i="61"/>
  <c r="H501" i="61"/>
  <c r="G501" i="61"/>
  <c r="F501" i="61"/>
  <c r="E501" i="61"/>
  <c r="D501" i="61"/>
  <c r="C501" i="61"/>
  <c r="B501" i="61"/>
  <c r="A501" i="61"/>
  <c r="I500" i="61"/>
  <c r="H500" i="61"/>
  <c r="G500" i="61"/>
  <c r="F500" i="61"/>
  <c r="E500" i="61"/>
  <c r="D500" i="61"/>
  <c r="C500" i="61"/>
  <c r="B500" i="61"/>
  <c r="A500" i="61"/>
  <c r="I499" i="61"/>
  <c r="H499" i="61"/>
  <c r="G499" i="61"/>
  <c r="F499" i="61"/>
  <c r="E499" i="61"/>
  <c r="D499" i="61"/>
  <c r="C499" i="61"/>
  <c r="B499" i="61"/>
  <c r="A499" i="61"/>
  <c r="I498" i="61"/>
  <c r="H498" i="61"/>
  <c r="G498" i="61"/>
  <c r="F498" i="61"/>
  <c r="E498" i="61"/>
  <c r="D498" i="61"/>
  <c r="C498" i="61"/>
  <c r="B498" i="61"/>
  <c r="A498" i="61"/>
  <c r="I497" i="61"/>
  <c r="H497" i="61"/>
  <c r="G497" i="61"/>
  <c r="F497" i="61"/>
  <c r="E497" i="61"/>
  <c r="D497" i="61"/>
  <c r="C497" i="61"/>
  <c r="B497" i="61"/>
  <c r="A497" i="61"/>
  <c r="I496" i="61"/>
  <c r="H496" i="61"/>
  <c r="G496" i="61"/>
  <c r="F496" i="61"/>
  <c r="E496" i="61"/>
  <c r="D496" i="61"/>
  <c r="C496" i="61"/>
  <c r="B496" i="61"/>
  <c r="A496" i="61"/>
  <c r="I495" i="61"/>
  <c r="H495" i="61"/>
  <c r="G495" i="61"/>
  <c r="F495" i="61"/>
  <c r="E495" i="61"/>
  <c r="D495" i="61"/>
  <c r="C495" i="61"/>
  <c r="B495" i="61"/>
  <c r="A495" i="61"/>
  <c r="I494" i="61"/>
  <c r="H494" i="61"/>
  <c r="G494" i="61"/>
  <c r="F494" i="61"/>
  <c r="E494" i="61"/>
  <c r="D494" i="61"/>
  <c r="C494" i="61"/>
  <c r="B494" i="61"/>
  <c r="A494" i="61"/>
  <c r="I493" i="61"/>
  <c r="H493" i="61"/>
  <c r="G493" i="61"/>
  <c r="F493" i="61"/>
  <c r="E493" i="61"/>
  <c r="D493" i="61"/>
  <c r="C493" i="61"/>
  <c r="B493" i="61"/>
  <c r="A493" i="61"/>
  <c r="I492" i="61"/>
  <c r="H492" i="61"/>
  <c r="G492" i="61"/>
  <c r="F492" i="61"/>
  <c r="E492" i="61"/>
  <c r="D492" i="61"/>
  <c r="C492" i="61"/>
  <c r="B492" i="61"/>
  <c r="A492" i="61"/>
  <c r="I491" i="61"/>
  <c r="H491" i="61"/>
  <c r="G491" i="61"/>
  <c r="F491" i="61"/>
  <c r="E491" i="61"/>
  <c r="D491" i="61"/>
  <c r="C491" i="61"/>
  <c r="B491" i="61"/>
  <c r="A491" i="61"/>
  <c r="I490" i="61"/>
  <c r="H490" i="61"/>
  <c r="G490" i="61"/>
  <c r="F490" i="61"/>
  <c r="E490" i="61"/>
  <c r="D490" i="61"/>
  <c r="C490" i="61"/>
  <c r="B490" i="61"/>
  <c r="A490" i="61"/>
  <c r="I489" i="61"/>
  <c r="H489" i="61"/>
  <c r="G489" i="61"/>
  <c r="F489" i="61"/>
  <c r="E489" i="61"/>
  <c r="D489" i="61"/>
  <c r="C489" i="61"/>
  <c r="B489" i="61"/>
  <c r="A489" i="61"/>
  <c r="I488" i="61"/>
  <c r="H488" i="61"/>
  <c r="G488" i="61"/>
  <c r="F488" i="61"/>
  <c r="E488" i="61"/>
  <c r="D488" i="61"/>
  <c r="C488" i="61"/>
  <c r="B488" i="61"/>
  <c r="A488" i="61"/>
  <c r="I487" i="61"/>
  <c r="H487" i="61"/>
  <c r="G487" i="61"/>
  <c r="F487" i="61"/>
  <c r="E487" i="61"/>
  <c r="D487" i="61"/>
  <c r="C487" i="61"/>
  <c r="B487" i="61"/>
  <c r="A487" i="61"/>
  <c r="I486" i="61"/>
  <c r="H486" i="61"/>
  <c r="G486" i="61"/>
  <c r="F486" i="61"/>
  <c r="E486" i="61"/>
  <c r="D486" i="61"/>
  <c r="C486" i="61"/>
  <c r="B486" i="61"/>
  <c r="A486" i="61"/>
  <c r="I485" i="61"/>
  <c r="H485" i="61"/>
  <c r="G485" i="61"/>
  <c r="F485" i="61"/>
  <c r="E485" i="61"/>
  <c r="D485" i="61"/>
  <c r="C485" i="61"/>
  <c r="B485" i="61"/>
  <c r="A485" i="61"/>
  <c r="I484" i="61"/>
  <c r="H484" i="61"/>
  <c r="G484" i="61"/>
  <c r="F484" i="61"/>
  <c r="E484" i="61"/>
  <c r="D484" i="61"/>
  <c r="C484" i="61"/>
  <c r="B484" i="61"/>
  <c r="A484" i="61"/>
  <c r="I483" i="61"/>
  <c r="H483" i="61"/>
  <c r="G483" i="61"/>
  <c r="F483" i="61"/>
  <c r="E483" i="61"/>
  <c r="D483" i="61"/>
  <c r="C483" i="61"/>
  <c r="B483" i="61"/>
  <c r="A483" i="61"/>
  <c r="I482" i="61"/>
  <c r="H482" i="61"/>
  <c r="G482" i="61"/>
  <c r="F482" i="61"/>
  <c r="E482" i="61"/>
  <c r="D482" i="61"/>
  <c r="C482" i="61"/>
  <c r="B482" i="61"/>
  <c r="A482" i="61"/>
  <c r="I481" i="61"/>
  <c r="H481" i="61"/>
  <c r="G481" i="61"/>
  <c r="F481" i="61"/>
  <c r="E481" i="61"/>
  <c r="D481" i="61"/>
  <c r="C481" i="61"/>
  <c r="B481" i="61"/>
  <c r="A481" i="61"/>
  <c r="I480" i="61"/>
  <c r="H480" i="61"/>
  <c r="G480" i="61"/>
  <c r="F480" i="61"/>
  <c r="E480" i="61"/>
  <c r="D480" i="61"/>
  <c r="C480" i="61"/>
  <c r="B480" i="61"/>
  <c r="A480" i="61"/>
  <c r="I479" i="61"/>
  <c r="H479" i="61"/>
  <c r="G479" i="61"/>
  <c r="F479" i="61"/>
  <c r="E479" i="61"/>
  <c r="D479" i="61"/>
  <c r="C479" i="61"/>
  <c r="B479" i="61"/>
  <c r="A479" i="61"/>
  <c r="I478" i="61"/>
  <c r="H478" i="61"/>
  <c r="G478" i="61"/>
  <c r="F478" i="61"/>
  <c r="E478" i="61"/>
  <c r="D478" i="61"/>
  <c r="C478" i="61"/>
  <c r="B478" i="61"/>
  <c r="A478" i="61"/>
  <c r="I477" i="61"/>
  <c r="H477" i="61"/>
  <c r="G477" i="61"/>
  <c r="F477" i="61"/>
  <c r="E477" i="61"/>
  <c r="D477" i="61"/>
  <c r="C477" i="61"/>
  <c r="B477" i="61"/>
  <c r="A477" i="61"/>
  <c r="I476" i="61"/>
  <c r="H476" i="61"/>
  <c r="G476" i="61"/>
  <c r="F476" i="61"/>
  <c r="E476" i="61"/>
  <c r="D476" i="61"/>
  <c r="C476" i="61"/>
  <c r="B476" i="61"/>
  <c r="A476" i="61"/>
  <c r="I475" i="61"/>
  <c r="H475" i="61"/>
  <c r="G475" i="61"/>
  <c r="F475" i="61"/>
  <c r="E475" i="61"/>
  <c r="D475" i="61"/>
  <c r="C475" i="61"/>
  <c r="B475" i="61"/>
  <c r="A475" i="61"/>
  <c r="I474" i="61"/>
  <c r="H474" i="61"/>
  <c r="G474" i="61"/>
  <c r="F474" i="61"/>
  <c r="E474" i="61"/>
  <c r="D474" i="61"/>
  <c r="C474" i="61"/>
  <c r="B474" i="61"/>
  <c r="A474" i="61"/>
  <c r="I473" i="61"/>
  <c r="H473" i="61"/>
  <c r="G473" i="61"/>
  <c r="F473" i="61"/>
  <c r="E473" i="61"/>
  <c r="D473" i="61"/>
  <c r="C473" i="61"/>
  <c r="B473" i="61"/>
  <c r="A473" i="61"/>
  <c r="I472" i="61"/>
  <c r="H472" i="61"/>
  <c r="G472" i="61"/>
  <c r="F472" i="61"/>
  <c r="E472" i="61"/>
  <c r="D472" i="61"/>
  <c r="C472" i="61"/>
  <c r="B472" i="61"/>
  <c r="A472" i="61"/>
  <c r="I471" i="61"/>
  <c r="H471" i="61"/>
  <c r="G471" i="61"/>
  <c r="F471" i="61"/>
  <c r="E471" i="61"/>
  <c r="D471" i="61"/>
  <c r="C471" i="61"/>
  <c r="B471" i="61"/>
  <c r="A471" i="61"/>
  <c r="I470" i="61"/>
  <c r="H470" i="61"/>
  <c r="G470" i="61"/>
  <c r="F470" i="61"/>
  <c r="E470" i="61"/>
  <c r="D470" i="61"/>
  <c r="C470" i="61"/>
  <c r="B470" i="61"/>
  <c r="A470" i="61"/>
  <c r="I469" i="61"/>
  <c r="H469" i="61"/>
  <c r="G469" i="61"/>
  <c r="F469" i="61"/>
  <c r="E469" i="61"/>
  <c r="D469" i="61"/>
  <c r="C469" i="61"/>
  <c r="B469" i="61"/>
  <c r="A469" i="61"/>
  <c r="I468" i="61"/>
  <c r="H468" i="61"/>
  <c r="G468" i="61"/>
  <c r="F468" i="61"/>
  <c r="E468" i="61"/>
  <c r="D468" i="61"/>
  <c r="C468" i="61"/>
  <c r="B468" i="61"/>
  <c r="A468" i="61"/>
  <c r="I467" i="61"/>
  <c r="H467" i="61"/>
  <c r="G467" i="61"/>
  <c r="F467" i="61"/>
  <c r="E467" i="61"/>
  <c r="D467" i="61"/>
  <c r="C467" i="61"/>
  <c r="B467" i="61"/>
  <c r="A467" i="61"/>
  <c r="I466" i="61"/>
  <c r="H466" i="61"/>
  <c r="G466" i="61"/>
  <c r="F466" i="61"/>
  <c r="E466" i="61"/>
  <c r="D466" i="61"/>
  <c r="C466" i="61"/>
  <c r="B466" i="61"/>
  <c r="A466" i="61"/>
  <c r="I465" i="61"/>
  <c r="H465" i="61"/>
  <c r="G465" i="61"/>
  <c r="F465" i="61"/>
  <c r="E465" i="61"/>
  <c r="D465" i="61"/>
  <c r="C465" i="61"/>
  <c r="B465" i="61"/>
  <c r="A465" i="61"/>
  <c r="I464" i="61"/>
  <c r="H464" i="61"/>
  <c r="G464" i="61"/>
  <c r="F464" i="61"/>
  <c r="E464" i="61"/>
  <c r="D464" i="61"/>
  <c r="C464" i="61"/>
  <c r="B464" i="61"/>
  <c r="A464" i="61"/>
  <c r="I463" i="61"/>
  <c r="H463" i="61"/>
  <c r="G463" i="61"/>
  <c r="F463" i="61"/>
  <c r="E463" i="61"/>
  <c r="D463" i="61"/>
  <c r="C463" i="61"/>
  <c r="B463" i="61"/>
  <c r="A463" i="61"/>
  <c r="I462" i="61"/>
  <c r="H462" i="61"/>
  <c r="G462" i="61"/>
  <c r="F462" i="61"/>
  <c r="E462" i="61"/>
  <c r="D462" i="61"/>
  <c r="C462" i="61"/>
  <c r="B462" i="61"/>
  <c r="A462" i="61"/>
  <c r="I461" i="61"/>
  <c r="H461" i="61"/>
  <c r="G461" i="61"/>
  <c r="F461" i="61"/>
  <c r="E461" i="61"/>
  <c r="D461" i="61"/>
  <c r="C461" i="61"/>
  <c r="B461" i="61"/>
  <c r="A461" i="61"/>
  <c r="I460" i="61"/>
  <c r="H460" i="61"/>
  <c r="G460" i="61"/>
  <c r="F460" i="61"/>
  <c r="E460" i="61"/>
  <c r="D460" i="61"/>
  <c r="C460" i="61"/>
  <c r="B460" i="61"/>
  <c r="A460" i="61"/>
  <c r="I459" i="61"/>
  <c r="H459" i="61"/>
  <c r="G459" i="61"/>
  <c r="F459" i="61"/>
  <c r="E459" i="61"/>
  <c r="D459" i="61"/>
  <c r="C459" i="61"/>
  <c r="B459" i="61"/>
  <c r="A459" i="61"/>
  <c r="I458" i="61"/>
  <c r="H458" i="61"/>
  <c r="G458" i="61"/>
  <c r="F458" i="61"/>
  <c r="E458" i="61"/>
  <c r="D458" i="61"/>
  <c r="C458" i="61"/>
  <c r="B458" i="61"/>
  <c r="A458" i="61"/>
  <c r="I457" i="61"/>
  <c r="H457" i="61"/>
  <c r="G457" i="61"/>
  <c r="F457" i="61"/>
  <c r="E457" i="61"/>
  <c r="D457" i="61"/>
  <c r="C457" i="61"/>
  <c r="B457" i="61"/>
  <c r="A457" i="61"/>
  <c r="I456" i="61"/>
  <c r="H456" i="61"/>
  <c r="G456" i="61"/>
  <c r="F456" i="61"/>
  <c r="E456" i="61"/>
  <c r="D456" i="61"/>
  <c r="C456" i="61"/>
  <c r="B456" i="61"/>
  <c r="A456" i="61"/>
  <c r="I455" i="61"/>
  <c r="H455" i="61"/>
  <c r="G455" i="61"/>
  <c r="F455" i="61"/>
  <c r="E455" i="61"/>
  <c r="D455" i="61"/>
  <c r="C455" i="61"/>
  <c r="B455" i="61"/>
  <c r="A455" i="61"/>
  <c r="I454" i="61"/>
  <c r="H454" i="61"/>
  <c r="G454" i="61"/>
  <c r="F454" i="61"/>
  <c r="E454" i="61"/>
  <c r="D454" i="61"/>
  <c r="C454" i="61"/>
  <c r="B454" i="61"/>
  <c r="A454" i="61"/>
  <c r="I453" i="61"/>
  <c r="H453" i="61"/>
  <c r="G453" i="61"/>
  <c r="F453" i="61"/>
  <c r="E453" i="61"/>
  <c r="D453" i="61"/>
  <c r="C453" i="61"/>
  <c r="B453" i="61"/>
  <c r="A453" i="61"/>
  <c r="I452" i="61"/>
  <c r="H452" i="61"/>
  <c r="G452" i="61"/>
  <c r="F452" i="61"/>
  <c r="E452" i="61"/>
  <c r="D452" i="61"/>
  <c r="C452" i="61"/>
  <c r="B452" i="61"/>
  <c r="A452" i="61"/>
  <c r="I451" i="61"/>
  <c r="H451" i="61"/>
  <c r="G451" i="61"/>
  <c r="F451" i="61"/>
  <c r="E451" i="61"/>
  <c r="D451" i="61"/>
  <c r="C451" i="61"/>
  <c r="B451" i="61"/>
  <c r="A451" i="61"/>
  <c r="I450" i="61"/>
  <c r="H450" i="61"/>
  <c r="G450" i="61"/>
  <c r="F450" i="61"/>
  <c r="E450" i="61"/>
  <c r="D450" i="61"/>
  <c r="C450" i="61"/>
  <c r="B450" i="61"/>
  <c r="A450" i="61"/>
  <c r="I449" i="61"/>
  <c r="H449" i="61"/>
  <c r="G449" i="61"/>
  <c r="F449" i="61"/>
  <c r="E449" i="61"/>
  <c r="D449" i="61"/>
  <c r="C449" i="61"/>
  <c r="B449" i="61"/>
  <c r="A449" i="61"/>
  <c r="I448" i="61"/>
  <c r="H448" i="61"/>
  <c r="G448" i="61"/>
  <c r="F448" i="61"/>
  <c r="E448" i="61"/>
  <c r="D448" i="61"/>
  <c r="C448" i="61"/>
  <c r="B448" i="61"/>
  <c r="A448" i="61"/>
  <c r="I447" i="61"/>
  <c r="H447" i="61"/>
  <c r="G447" i="61"/>
  <c r="F447" i="61"/>
  <c r="E447" i="61"/>
  <c r="D447" i="61"/>
  <c r="C447" i="61"/>
  <c r="B447" i="61"/>
  <c r="A447" i="61"/>
  <c r="I446" i="61"/>
  <c r="H446" i="61"/>
  <c r="G446" i="61"/>
  <c r="F446" i="61"/>
  <c r="E446" i="61"/>
  <c r="D446" i="61"/>
  <c r="C446" i="61"/>
  <c r="B446" i="61"/>
  <c r="A446" i="61"/>
  <c r="I445" i="61"/>
  <c r="H445" i="61"/>
  <c r="G445" i="61"/>
  <c r="F445" i="61"/>
  <c r="E445" i="61"/>
  <c r="D445" i="61"/>
  <c r="C445" i="61"/>
  <c r="B445" i="61"/>
  <c r="A445" i="61"/>
  <c r="I444" i="61"/>
  <c r="H444" i="61"/>
  <c r="G444" i="61"/>
  <c r="F444" i="61"/>
  <c r="E444" i="61"/>
  <c r="D444" i="61"/>
  <c r="C444" i="61"/>
  <c r="B444" i="61"/>
  <c r="A444" i="61"/>
  <c r="I443" i="61"/>
  <c r="H443" i="61"/>
  <c r="G443" i="61"/>
  <c r="F443" i="61"/>
  <c r="E443" i="61"/>
  <c r="D443" i="61"/>
  <c r="C443" i="61"/>
  <c r="B443" i="61"/>
  <c r="A443" i="61"/>
  <c r="I442" i="61"/>
  <c r="H442" i="61"/>
  <c r="G442" i="61"/>
  <c r="F442" i="61"/>
  <c r="E442" i="61"/>
  <c r="D442" i="61"/>
  <c r="C442" i="61"/>
  <c r="B442" i="61"/>
  <c r="A442" i="61"/>
  <c r="I441" i="61"/>
  <c r="H441" i="61"/>
  <c r="G441" i="61"/>
  <c r="F441" i="61"/>
  <c r="E441" i="61"/>
  <c r="D441" i="61"/>
  <c r="C441" i="61"/>
  <c r="B441" i="61"/>
  <c r="A441" i="61"/>
  <c r="I440" i="61"/>
  <c r="H440" i="61"/>
  <c r="G440" i="61"/>
  <c r="F440" i="61"/>
  <c r="E440" i="61"/>
  <c r="D440" i="61"/>
  <c r="C440" i="61"/>
  <c r="B440" i="61"/>
  <c r="A440" i="61"/>
  <c r="I439" i="61"/>
  <c r="H439" i="61"/>
  <c r="G439" i="61"/>
  <c r="F439" i="61"/>
  <c r="E439" i="61"/>
  <c r="D439" i="61"/>
  <c r="C439" i="61"/>
  <c r="B439" i="61"/>
  <c r="A439" i="61"/>
  <c r="I438" i="61"/>
  <c r="H438" i="61"/>
  <c r="G438" i="61"/>
  <c r="F438" i="61"/>
  <c r="E438" i="61"/>
  <c r="D438" i="61"/>
  <c r="C438" i="61"/>
  <c r="B438" i="61"/>
  <c r="A438" i="61"/>
  <c r="I437" i="61"/>
  <c r="H437" i="61"/>
  <c r="G437" i="61"/>
  <c r="F437" i="61"/>
  <c r="E437" i="61"/>
  <c r="D437" i="61"/>
  <c r="C437" i="61"/>
  <c r="B437" i="61"/>
  <c r="A437" i="61"/>
  <c r="I436" i="61"/>
  <c r="H436" i="61"/>
  <c r="G436" i="61"/>
  <c r="F436" i="61"/>
  <c r="E436" i="61"/>
  <c r="D436" i="61"/>
  <c r="C436" i="61"/>
  <c r="B436" i="61"/>
  <c r="A436" i="61"/>
  <c r="I435" i="61"/>
  <c r="H435" i="61"/>
  <c r="G435" i="61"/>
  <c r="F435" i="61"/>
  <c r="E435" i="61"/>
  <c r="D435" i="61"/>
  <c r="C435" i="61"/>
  <c r="B435" i="61"/>
  <c r="A435" i="61"/>
  <c r="I434" i="61"/>
  <c r="H434" i="61"/>
  <c r="G434" i="61"/>
  <c r="F434" i="61"/>
  <c r="E434" i="61"/>
  <c r="D434" i="61"/>
  <c r="C434" i="61"/>
  <c r="B434" i="61"/>
  <c r="A434" i="61"/>
  <c r="I433" i="61"/>
  <c r="H433" i="61"/>
  <c r="G433" i="61"/>
  <c r="F433" i="61"/>
  <c r="E433" i="61"/>
  <c r="D433" i="61"/>
  <c r="C433" i="61"/>
  <c r="B433" i="61"/>
  <c r="A433" i="61"/>
  <c r="I432" i="61"/>
  <c r="H432" i="61"/>
  <c r="G432" i="61"/>
  <c r="F432" i="61"/>
  <c r="E432" i="61"/>
  <c r="D432" i="61"/>
  <c r="C432" i="61"/>
  <c r="B432" i="61"/>
  <c r="A432" i="61"/>
  <c r="I431" i="61"/>
  <c r="H431" i="61"/>
  <c r="G431" i="61"/>
  <c r="F431" i="61"/>
  <c r="E431" i="61"/>
  <c r="D431" i="61"/>
  <c r="C431" i="61"/>
  <c r="B431" i="61"/>
  <c r="A431" i="61"/>
  <c r="I430" i="61"/>
  <c r="H430" i="61"/>
  <c r="G430" i="61"/>
  <c r="F430" i="61"/>
  <c r="E430" i="61"/>
  <c r="D430" i="61"/>
  <c r="C430" i="61"/>
  <c r="B430" i="61"/>
  <c r="A430" i="61"/>
  <c r="I429" i="61"/>
  <c r="H429" i="61"/>
  <c r="G429" i="61"/>
  <c r="F429" i="61"/>
  <c r="E429" i="61"/>
  <c r="D429" i="61"/>
  <c r="C429" i="61"/>
  <c r="B429" i="61"/>
  <c r="A429" i="61"/>
  <c r="I428" i="61"/>
  <c r="H428" i="61"/>
  <c r="G428" i="61"/>
  <c r="F428" i="61"/>
  <c r="E428" i="61"/>
  <c r="D428" i="61"/>
  <c r="C428" i="61"/>
  <c r="B428" i="61"/>
  <c r="A428" i="61"/>
  <c r="I427" i="61"/>
  <c r="H427" i="61"/>
  <c r="G427" i="61"/>
  <c r="F427" i="61"/>
  <c r="E427" i="61"/>
  <c r="D427" i="61"/>
  <c r="C427" i="61"/>
  <c r="B427" i="61"/>
  <c r="A427" i="61"/>
  <c r="I426" i="61"/>
  <c r="H426" i="61"/>
  <c r="G426" i="61"/>
  <c r="F426" i="61"/>
  <c r="E426" i="61"/>
  <c r="D426" i="61"/>
  <c r="C426" i="61"/>
  <c r="B426" i="61"/>
  <c r="A426" i="61"/>
  <c r="I425" i="61"/>
  <c r="H425" i="61"/>
  <c r="G425" i="61"/>
  <c r="F425" i="61"/>
  <c r="E425" i="61"/>
  <c r="D425" i="61"/>
  <c r="C425" i="61"/>
  <c r="B425" i="61"/>
  <c r="A425" i="61"/>
  <c r="I424" i="61"/>
  <c r="H424" i="61"/>
  <c r="G424" i="61"/>
  <c r="F424" i="61"/>
  <c r="E424" i="61"/>
  <c r="D424" i="61"/>
  <c r="C424" i="61"/>
  <c r="B424" i="61"/>
  <c r="A424" i="61"/>
  <c r="I423" i="61"/>
  <c r="H423" i="61"/>
  <c r="G423" i="61"/>
  <c r="F423" i="61"/>
  <c r="E423" i="61"/>
  <c r="D423" i="61"/>
  <c r="C423" i="61"/>
  <c r="B423" i="61"/>
  <c r="A423" i="61"/>
  <c r="I422" i="61"/>
  <c r="H422" i="61"/>
  <c r="G422" i="61"/>
  <c r="F422" i="61"/>
  <c r="E422" i="61"/>
  <c r="D422" i="61"/>
  <c r="C422" i="61"/>
  <c r="B422" i="61"/>
  <c r="A422" i="61"/>
  <c r="I421" i="61"/>
  <c r="H421" i="61"/>
  <c r="G421" i="61"/>
  <c r="F421" i="61"/>
  <c r="E421" i="61"/>
  <c r="D421" i="61"/>
  <c r="C421" i="61"/>
  <c r="B421" i="61"/>
  <c r="A421" i="61"/>
  <c r="I420" i="61"/>
  <c r="H420" i="61"/>
  <c r="G420" i="61"/>
  <c r="F420" i="61"/>
  <c r="E420" i="61"/>
  <c r="D420" i="61"/>
  <c r="C420" i="61"/>
  <c r="B420" i="61"/>
  <c r="A420" i="61"/>
  <c r="I419" i="61"/>
  <c r="H419" i="61"/>
  <c r="G419" i="61"/>
  <c r="F419" i="61"/>
  <c r="E419" i="61"/>
  <c r="D419" i="61"/>
  <c r="C419" i="61"/>
  <c r="B419" i="61"/>
  <c r="A419" i="61"/>
  <c r="I418" i="61"/>
  <c r="H418" i="61"/>
  <c r="G418" i="61"/>
  <c r="F418" i="61"/>
  <c r="E418" i="61"/>
  <c r="D418" i="61"/>
  <c r="C418" i="61"/>
  <c r="B418" i="61"/>
  <c r="A418" i="61"/>
  <c r="I417" i="61"/>
  <c r="H417" i="61"/>
  <c r="G417" i="61"/>
  <c r="F417" i="61"/>
  <c r="E417" i="61"/>
  <c r="D417" i="61"/>
  <c r="C417" i="61"/>
  <c r="B417" i="61"/>
  <c r="A417" i="61"/>
  <c r="I416" i="61"/>
  <c r="H416" i="61"/>
  <c r="G416" i="61"/>
  <c r="F416" i="61"/>
  <c r="E416" i="61"/>
  <c r="D416" i="61"/>
  <c r="C416" i="61"/>
  <c r="B416" i="61"/>
  <c r="A416" i="61"/>
  <c r="I415" i="61"/>
  <c r="H415" i="61"/>
  <c r="G415" i="61"/>
  <c r="F415" i="61"/>
  <c r="E415" i="61"/>
  <c r="D415" i="61"/>
  <c r="C415" i="61"/>
  <c r="B415" i="61"/>
  <c r="A415" i="61"/>
  <c r="I414" i="61"/>
  <c r="H414" i="61"/>
  <c r="G414" i="61"/>
  <c r="F414" i="61"/>
  <c r="E414" i="61"/>
  <c r="D414" i="61"/>
  <c r="C414" i="61"/>
  <c r="B414" i="61"/>
  <c r="A414" i="61"/>
  <c r="I413" i="61"/>
  <c r="H413" i="61"/>
  <c r="G413" i="61"/>
  <c r="F413" i="61"/>
  <c r="E413" i="61"/>
  <c r="D413" i="61"/>
  <c r="C413" i="61"/>
  <c r="B413" i="61"/>
  <c r="A413" i="61"/>
  <c r="I412" i="61"/>
  <c r="H412" i="61"/>
  <c r="G412" i="61"/>
  <c r="F412" i="61"/>
  <c r="E412" i="61"/>
  <c r="D412" i="61"/>
  <c r="C412" i="61"/>
  <c r="B412" i="61"/>
  <c r="A412" i="61"/>
  <c r="I411" i="61"/>
  <c r="H411" i="61"/>
  <c r="G411" i="61"/>
  <c r="F411" i="61"/>
  <c r="E411" i="61"/>
  <c r="D411" i="61"/>
  <c r="C411" i="61"/>
  <c r="B411" i="61"/>
  <c r="A411" i="61"/>
  <c r="I410" i="61"/>
  <c r="H410" i="61"/>
  <c r="G410" i="61"/>
  <c r="F410" i="61"/>
  <c r="E410" i="61"/>
  <c r="D410" i="61"/>
  <c r="C410" i="61"/>
  <c r="B410" i="61"/>
  <c r="A410" i="61"/>
  <c r="I409" i="61"/>
  <c r="H409" i="61"/>
  <c r="G409" i="61"/>
  <c r="F409" i="61"/>
  <c r="E409" i="61"/>
  <c r="D409" i="61"/>
  <c r="C409" i="61"/>
  <c r="B409" i="61"/>
  <c r="A409" i="61"/>
  <c r="I408" i="61"/>
  <c r="H408" i="61"/>
  <c r="G408" i="61"/>
  <c r="F408" i="61"/>
  <c r="E408" i="61"/>
  <c r="D408" i="61"/>
  <c r="C408" i="61"/>
  <c r="B408" i="61"/>
  <c r="A408" i="61"/>
  <c r="I407" i="61"/>
  <c r="H407" i="61"/>
  <c r="G407" i="61"/>
  <c r="F407" i="61"/>
  <c r="E407" i="61"/>
  <c r="D407" i="61"/>
  <c r="C407" i="61"/>
  <c r="B407" i="61"/>
  <c r="A407" i="61"/>
  <c r="I406" i="61"/>
  <c r="H406" i="61"/>
  <c r="G406" i="61"/>
  <c r="F406" i="61"/>
  <c r="E406" i="61"/>
  <c r="D406" i="61"/>
  <c r="C406" i="61"/>
  <c r="B406" i="61"/>
  <c r="A406" i="61"/>
  <c r="I405" i="61"/>
  <c r="H405" i="61"/>
  <c r="G405" i="61"/>
  <c r="F405" i="61"/>
  <c r="E405" i="61"/>
  <c r="D405" i="61"/>
  <c r="C405" i="61"/>
  <c r="B405" i="61"/>
  <c r="A405" i="61"/>
  <c r="I404" i="61"/>
  <c r="H404" i="61"/>
  <c r="G404" i="61"/>
  <c r="F404" i="61"/>
  <c r="E404" i="61"/>
  <c r="D404" i="61"/>
  <c r="C404" i="61"/>
  <c r="B404" i="61"/>
  <c r="A404" i="61"/>
  <c r="I403" i="61"/>
  <c r="H403" i="61"/>
  <c r="G403" i="61"/>
  <c r="F403" i="61"/>
  <c r="E403" i="61"/>
  <c r="D403" i="61"/>
  <c r="C403" i="61"/>
  <c r="B403" i="61"/>
  <c r="A403" i="61"/>
  <c r="I402" i="61"/>
  <c r="H402" i="61"/>
  <c r="G402" i="61"/>
  <c r="F402" i="61"/>
  <c r="E402" i="61"/>
  <c r="D402" i="61"/>
  <c r="C402" i="61"/>
  <c r="B402" i="61"/>
  <c r="A402" i="61"/>
  <c r="I401" i="61"/>
  <c r="H401" i="61"/>
  <c r="G401" i="61"/>
  <c r="F401" i="61"/>
  <c r="E401" i="61"/>
  <c r="D401" i="61"/>
  <c r="C401" i="61"/>
  <c r="B401" i="61"/>
  <c r="A401" i="61"/>
  <c r="I400" i="61"/>
  <c r="H400" i="61"/>
  <c r="G400" i="61"/>
  <c r="F400" i="61"/>
  <c r="E400" i="61"/>
  <c r="D400" i="61"/>
  <c r="C400" i="61"/>
  <c r="B400" i="61"/>
  <c r="A400" i="61"/>
  <c r="I399" i="61"/>
  <c r="H399" i="61"/>
  <c r="G399" i="61"/>
  <c r="F399" i="61"/>
  <c r="E399" i="61"/>
  <c r="D399" i="61"/>
  <c r="C399" i="61"/>
  <c r="B399" i="61"/>
  <c r="A399" i="61"/>
  <c r="I398" i="61"/>
  <c r="H398" i="61"/>
  <c r="G398" i="61"/>
  <c r="F398" i="61"/>
  <c r="E398" i="61"/>
  <c r="D398" i="61"/>
  <c r="C398" i="61"/>
  <c r="B398" i="61"/>
  <c r="A398" i="61"/>
  <c r="I397" i="61"/>
  <c r="H397" i="61"/>
  <c r="G397" i="61"/>
  <c r="F397" i="61"/>
  <c r="E397" i="61"/>
  <c r="D397" i="61"/>
  <c r="C397" i="61"/>
  <c r="B397" i="61"/>
  <c r="A397" i="61"/>
  <c r="I396" i="61"/>
  <c r="H396" i="61"/>
  <c r="G396" i="61"/>
  <c r="F396" i="61"/>
  <c r="E396" i="61"/>
  <c r="D396" i="61"/>
  <c r="C396" i="61"/>
  <c r="B396" i="61"/>
  <c r="A396" i="61"/>
  <c r="I395" i="61"/>
  <c r="H395" i="61"/>
  <c r="G395" i="61"/>
  <c r="F395" i="61"/>
  <c r="E395" i="61"/>
  <c r="D395" i="61"/>
  <c r="C395" i="61"/>
  <c r="B395" i="61"/>
  <c r="A395" i="61"/>
  <c r="I394" i="61"/>
  <c r="H394" i="61"/>
  <c r="G394" i="61"/>
  <c r="F394" i="61"/>
  <c r="E394" i="61"/>
  <c r="D394" i="61"/>
  <c r="C394" i="61"/>
  <c r="B394" i="61"/>
  <c r="A394" i="61"/>
  <c r="I393" i="61"/>
  <c r="H393" i="61"/>
  <c r="G393" i="61"/>
  <c r="F393" i="61"/>
  <c r="E393" i="61"/>
  <c r="D393" i="61"/>
  <c r="C393" i="61"/>
  <c r="B393" i="61"/>
  <c r="A393" i="61"/>
  <c r="I392" i="61"/>
  <c r="H392" i="61"/>
  <c r="G392" i="61"/>
  <c r="F392" i="61"/>
  <c r="E392" i="61"/>
  <c r="D392" i="61"/>
  <c r="C392" i="61"/>
  <c r="B392" i="61"/>
  <c r="A392" i="61"/>
  <c r="I391" i="61"/>
  <c r="H391" i="61"/>
  <c r="G391" i="61"/>
  <c r="F391" i="61"/>
  <c r="E391" i="61"/>
  <c r="D391" i="61"/>
  <c r="C391" i="61"/>
  <c r="B391" i="61"/>
  <c r="A391" i="61"/>
  <c r="I390" i="61"/>
  <c r="H390" i="61"/>
  <c r="G390" i="61"/>
  <c r="F390" i="61"/>
  <c r="E390" i="61"/>
  <c r="D390" i="61"/>
  <c r="C390" i="61"/>
  <c r="B390" i="61"/>
  <c r="A390" i="61"/>
  <c r="I389" i="61"/>
  <c r="H389" i="61"/>
  <c r="G389" i="61"/>
  <c r="F389" i="61"/>
  <c r="E389" i="61"/>
  <c r="D389" i="61"/>
  <c r="C389" i="61"/>
  <c r="B389" i="61"/>
  <c r="A389" i="61"/>
  <c r="I388" i="61"/>
  <c r="H388" i="61"/>
  <c r="G388" i="61"/>
  <c r="F388" i="61"/>
  <c r="E388" i="61"/>
  <c r="D388" i="61"/>
  <c r="C388" i="61"/>
  <c r="B388" i="61"/>
  <c r="A388" i="61"/>
  <c r="I387" i="61"/>
  <c r="H387" i="61"/>
  <c r="G387" i="61"/>
  <c r="F387" i="61"/>
  <c r="E387" i="61"/>
  <c r="D387" i="61"/>
  <c r="C387" i="61"/>
  <c r="B387" i="61"/>
  <c r="A387" i="61"/>
  <c r="I386" i="61"/>
  <c r="H386" i="61"/>
  <c r="G386" i="61"/>
  <c r="F386" i="61"/>
  <c r="E386" i="61"/>
  <c r="D386" i="61"/>
  <c r="C386" i="61"/>
  <c r="B386" i="61"/>
  <c r="A386" i="61"/>
  <c r="I385" i="61"/>
  <c r="H385" i="61"/>
  <c r="G385" i="61"/>
  <c r="F385" i="61"/>
  <c r="E385" i="61"/>
  <c r="D385" i="61"/>
  <c r="C385" i="61"/>
  <c r="B385" i="61"/>
  <c r="A385" i="61"/>
  <c r="I384" i="61"/>
  <c r="H384" i="61"/>
  <c r="G384" i="61"/>
  <c r="F384" i="61"/>
  <c r="E384" i="61"/>
  <c r="D384" i="61"/>
  <c r="C384" i="61"/>
  <c r="B384" i="61"/>
  <c r="A384" i="61"/>
  <c r="I383" i="61"/>
  <c r="H383" i="61"/>
  <c r="G383" i="61"/>
  <c r="F383" i="61"/>
  <c r="E383" i="61"/>
  <c r="D383" i="61"/>
  <c r="C383" i="61"/>
  <c r="B383" i="61"/>
  <c r="A383" i="61"/>
  <c r="I382" i="61"/>
  <c r="H382" i="61"/>
  <c r="G382" i="61"/>
  <c r="F382" i="61"/>
  <c r="E382" i="61"/>
  <c r="D382" i="61"/>
  <c r="C382" i="61"/>
  <c r="B382" i="61"/>
  <c r="A382" i="61"/>
  <c r="I381" i="61"/>
  <c r="H381" i="61"/>
  <c r="G381" i="61"/>
  <c r="F381" i="61"/>
  <c r="E381" i="61"/>
  <c r="D381" i="61"/>
  <c r="C381" i="61"/>
  <c r="B381" i="61"/>
  <c r="A381" i="61"/>
  <c r="I380" i="61"/>
  <c r="H380" i="61"/>
  <c r="G380" i="61"/>
  <c r="F380" i="61"/>
  <c r="E380" i="61"/>
  <c r="D380" i="61"/>
  <c r="C380" i="61"/>
  <c r="B380" i="61"/>
  <c r="A380" i="61"/>
  <c r="I379" i="61"/>
  <c r="H379" i="61"/>
  <c r="G379" i="61"/>
  <c r="F379" i="61"/>
  <c r="E379" i="61"/>
  <c r="D379" i="61"/>
  <c r="C379" i="61"/>
  <c r="B379" i="61"/>
  <c r="A379" i="61"/>
  <c r="I378" i="61"/>
  <c r="H378" i="61"/>
  <c r="G378" i="61"/>
  <c r="F378" i="61"/>
  <c r="E378" i="61"/>
  <c r="D378" i="61"/>
  <c r="C378" i="61"/>
  <c r="B378" i="61"/>
  <c r="A378" i="61"/>
  <c r="I377" i="61"/>
  <c r="H377" i="61"/>
  <c r="G377" i="61"/>
  <c r="F377" i="61"/>
  <c r="E377" i="61"/>
  <c r="D377" i="61"/>
  <c r="C377" i="61"/>
  <c r="B377" i="61"/>
  <c r="A377" i="61"/>
  <c r="I376" i="61"/>
  <c r="H376" i="61"/>
  <c r="G376" i="61"/>
  <c r="F376" i="61"/>
  <c r="E376" i="61"/>
  <c r="D376" i="61"/>
  <c r="C376" i="61"/>
  <c r="B376" i="61"/>
  <c r="A376" i="61"/>
  <c r="I375" i="61"/>
  <c r="H375" i="61"/>
  <c r="G375" i="61"/>
  <c r="F375" i="61"/>
  <c r="E375" i="61"/>
  <c r="D375" i="61"/>
  <c r="C375" i="61"/>
  <c r="B375" i="61"/>
  <c r="A375" i="61"/>
  <c r="I374" i="61"/>
  <c r="H374" i="61"/>
  <c r="G374" i="61"/>
  <c r="F374" i="61"/>
  <c r="E374" i="61"/>
  <c r="D374" i="61"/>
  <c r="C374" i="61"/>
  <c r="B374" i="61"/>
  <c r="A374" i="61"/>
  <c r="I373" i="61"/>
  <c r="H373" i="61"/>
  <c r="G373" i="61"/>
  <c r="F373" i="61"/>
  <c r="E373" i="61"/>
  <c r="D373" i="61"/>
  <c r="C373" i="61"/>
  <c r="B373" i="61"/>
  <c r="A373" i="61"/>
  <c r="I372" i="61"/>
  <c r="H372" i="61"/>
  <c r="G372" i="61"/>
  <c r="F372" i="61"/>
  <c r="E372" i="61"/>
  <c r="D372" i="61"/>
  <c r="C372" i="61"/>
  <c r="B372" i="61"/>
  <c r="A372" i="61"/>
  <c r="I371" i="61"/>
  <c r="H371" i="61"/>
  <c r="G371" i="61"/>
  <c r="F371" i="61"/>
  <c r="E371" i="61"/>
  <c r="D371" i="61"/>
  <c r="C371" i="61"/>
  <c r="B371" i="61"/>
  <c r="A371" i="61"/>
  <c r="I370" i="61"/>
  <c r="H370" i="61"/>
  <c r="G370" i="61"/>
  <c r="F370" i="61"/>
  <c r="E370" i="61"/>
  <c r="D370" i="61"/>
  <c r="C370" i="61"/>
  <c r="B370" i="61"/>
  <c r="A370" i="61"/>
  <c r="I369" i="61"/>
  <c r="H369" i="61"/>
  <c r="G369" i="61"/>
  <c r="F369" i="61"/>
  <c r="E369" i="61"/>
  <c r="D369" i="61"/>
  <c r="C369" i="61"/>
  <c r="B369" i="61"/>
  <c r="A369" i="61"/>
  <c r="I368" i="61"/>
  <c r="H368" i="61"/>
  <c r="G368" i="61"/>
  <c r="F368" i="61"/>
  <c r="E368" i="61"/>
  <c r="D368" i="61"/>
  <c r="C368" i="61"/>
  <c r="B368" i="61"/>
  <c r="A368" i="61"/>
  <c r="I367" i="61"/>
  <c r="H367" i="61"/>
  <c r="G367" i="61"/>
  <c r="F367" i="61"/>
  <c r="E367" i="61"/>
  <c r="D367" i="61"/>
  <c r="C367" i="61"/>
  <c r="B367" i="61"/>
  <c r="A367" i="61"/>
  <c r="I366" i="61"/>
  <c r="H366" i="61"/>
  <c r="G366" i="61"/>
  <c r="F366" i="61"/>
  <c r="E366" i="61"/>
  <c r="D366" i="61"/>
  <c r="C366" i="61"/>
  <c r="B366" i="61"/>
  <c r="A366" i="61"/>
  <c r="I365" i="61"/>
  <c r="H365" i="61"/>
  <c r="G365" i="61"/>
  <c r="F365" i="61"/>
  <c r="E365" i="61"/>
  <c r="D365" i="61"/>
  <c r="C365" i="61"/>
  <c r="B365" i="61"/>
  <c r="A365" i="61"/>
  <c r="I364" i="61"/>
  <c r="H364" i="61"/>
  <c r="G364" i="61"/>
  <c r="F364" i="61"/>
  <c r="E364" i="61"/>
  <c r="D364" i="61"/>
  <c r="C364" i="61"/>
  <c r="B364" i="61"/>
  <c r="A364" i="61"/>
  <c r="I363" i="61"/>
  <c r="H363" i="61"/>
  <c r="G363" i="61"/>
  <c r="F363" i="61"/>
  <c r="E363" i="61"/>
  <c r="D363" i="61"/>
  <c r="C363" i="61"/>
  <c r="B363" i="61"/>
  <c r="A363" i="61"/>
  <c r="I362" i="61"/>
  <c r="H362" i="61"/>
  <c r="G362" i="61"/>
  <c r="F362" i="61"/>
  <c r="E362" i="61"/>
  <c r="D362" i="61"/>
  <c r="C362" i="61"/>
  <c r="B362" i="61"/>
  <c r="A362" i="61"/>
  <c r="I361" i="61"/>
  <c r="H361" i="61"/>
  <c r="G361" i="61"/>
  <c r="F361" i="61"/>
  <c r="E361" i="61"/>
  <c r="D361" i="61"/>
  <c r="C361" i="61"/>
  <c r="B361" i="61"/>
  <c r="A361" i="61"/>
  <c r="I360" i="61"/>
  <c r="H360" i="61"/>
  <c r="G360" i="61"/>
  <c r="F360" i="61"/>
  <c r="E360" i="61"/>
  <c r="D360" i="61"/>
  <c r="C360" i="61"/>
  <c r="B360" i="61"/>
  <c r="A360" i="61"/>
  <c r="I359" i="61"/>
  <c r="H359" i="61"/>
  <c r="G359" i="61"/>
  <c r="F359" i="61"/>
  <c r="E359" i="61"/>
  <c r="D359" i="61"/>
  <c r="C359" i="61"/>
  <c r="B359" i="61"/>
  <c r="A359" i="61"/>
  <c r="I358" i="61"/>
  <c r="H358" i="61"/>
  <c r="G358" i="61"/>
  <c r="F358" i="61"/>
  <c r="E358" i="61"/>
  <c r="D358" i="61"/>
  <c r="C358" i="61"/>
  <c r="B358" i="61"/>
  <c r="A358" i="61"/>
  <c r="I357" i="61"/>
  <c r="H357" i="61"/>
  <c r="G357" i="61"/>
  <c r="F357" i="61"/>
  <c r="E357" i="61"/>
  <c r="D357" i="61"/>
  <c r="C357" i="61"/>
  <c r="B357" i="61"/>
  <c r="A357" i="61"/>
  <c r="I356" i="61"/>
  <c r="H356" i="61"/>
  <c r="G356" i="61"/>
  <c r="F356" i="61"/>
  <c r="E356" i="61"/>
  <c r="D356" i="61"/>
  <c r="C356" i="61"/>
  <c r="B356" i="61"/>
  <c r="A356" i="61"/>
  <c r="I355" i="61"/>
  <c r="H355" i="61"/>
  <c r="G355" i="61"/>
  <c r="F355" i="61"/>
  <c r="E355" i="61"/>
  <c r="D355" i="61"/>
  <c r="C355" i="61"/>
  <c r="B355" i="61"/>
  <c r="A355" i="61"/>
  <c r="I354" i="61"/>
  <c r="H354" i="61"/>
  <c r="G354" i="61"/>
  <c r="F354" i="61"/>
  <c r="E354" i="61"/>
  <c r="D354" i="61"/>
  <c r="C354" i="61"/>
  <c r="B354" i="61"/>
  <c r="A354" i="61"/>
  <c r="I353" i="61"/>
  <c r="H353" i="61"/>
  <c r="G353" i="61"/>
  <c r="F353" i="61"/>
  <c r="E353" i="61"/>
  <c r="D353" i="61"/>
  <c r="C353" i="61"/>
  <c r="B353" i="61"/>
  <c r="A353" i="61"/>
  <c r="I352" i="61"/>
  <c r="H352" i="61"/>
  <c r="G352" i="61"/>
  <c r="F352" i="61"/>
  <c r="E352" i="61"/>
  <c r="D352" i="61"/>
  <c r="C352" i="61"/>
  <c r="B352" i="61"/>
  <c r="A352" i="61"/>
  <c r="I351" i="61"/>
  <c r="H351" i="61"/>
  <c r="G351" i="61"/>
  <c r="F351" i="61"/>
  <c r="E351" i="61"/>
  <c r="D351" i="61"/>
  <c r="C351" i="61"/>
  <c r="B351" i="61"/>
  <c r="A351" i="61"/>
  <c r="I350" i="61"/>
  <c r="H350" i="61"/>
  <c r="G350" i="61"/>
  <c r="F350" i="61"/>
  <c r="E350" i="61"/>
  <c r="D350" i="61"/>
  <c r="C350" i="61"/>
  <c r="B350" i="61"/>
  <c r="A350" i="61"/>
  <c r="I349" i="61"/>
  <c r="H349" i="61"/>
  <c r="G349" i="61"/>
  <c r="F349" i="61"/>
  <c r="E349" i="61"/>
  <c r="D349" i="61"/>
  <c r="C349" i="61"/>
  <c r="B349" i="61"/>
  <c r="A349" i="61"/>
  <c r="I348" i="61"/>
  <c r="H348" i="61"/>
  <c r="G348" i="61"/>
  <c r="F348" i="61"/>
  <c r="E348" i="61"/>
  <c r="D348" i="61"/>
  <c r="C348" i="61"/>
  <c r="B348" i="61"/>
  <c r="A348" i="61"/>
  <c r="I347" i="61"/>
  <c r="H347" i="61"/>
  <c r="G347" i="61"/>
  <c r="F347" i="61"/>
  <c r="E347" i="61"/>
  <c r="D347" i="61"/>
  <c r="C347" i="61"/>
  <c r="B347" i="61"/>
  <c r="A347" i="61"/>
  <c r="I346" i="61"/>
  <c r="H346" i="61"/>
  <c r="G346" i="61"/>
  <c r="F346" i="61"/>
  <c r="E346" i="61"/>
  <c r="D346" i="61"/>
  <c r="C346" i="61"/>
  <c r="B346" i="61"/>
  <c r="A346" i="61"/>
  <c r="I345" i="61"/>
  <c r="H345" i="61"/>
  <c r="G345" i="61"/>
  <c r="F345" i="61"/>
  <c r="E345" i="61"/>
  <c r="D345" i="61"/>
  <c r="C345" i="61"/>
  <c r="B345" i="61"/>
  <c r="A345" i="61"/>
  <c r="I344" i="61"/>
  <c r="H344" i="61"/>
  <c r="G344" i="61"/>
  <c r="F344" i="61"/>
  <c r="E344" i="61"/>
  <c r="D344" i="61"/>
  <c r="C344" i="61"/>
  <c r="B344" i="61"/>
  <c r="A344" i="61"/>
  <c r="I343" i="61"/>
  <c r="H343" i="61"/>
  <c r="G343" i="61"/>
  <c r="F343" i="61"/>
  <c r="E343" i="61"/>
  <c r="D343" i="61"/>
  <c r="C343" i="61"/>
  <c r="B343" i="61"/>
  <c r="A343" i="61"/>
  <c r="I342" i="61"/>
  <c r="H342" i="61"/>
  <c r="G342" i="61"/>
  <c r="F342" i="61"/>
  <c r="E342" i="61"/>
  <c r="D342" i="61"/>
  <c r="C342" i="61"/>
  <c r="B342" i="61"/>
  <c r="A342" i="61"/>
  <c r="I341" i="61"/>
  <c r="H341" i="61"/>
  <c r="G341" i="61"/>
  <c r="F341" i="61"/>
  <c r="E341" i="61"/>
  <c r="D341" i="61"/>
  <c r="C341" i="61"/>
  <c r="B341" i="61"/>
  <c r="A341" i="61"/>
  <c r="I340" i="61"/>
  <c r="H340" i="61"/>
  <c r="G340" i="61"/>
  <c r="F340" i="61"/>
  <c r="E340" i="61"/>
  <c r="D340" i="61"/>
  <c r="C340" i="61"/>
  <c r="B340" i="61"/>
  <c r="A340" i="61"/>
  <c r="I339" i="61"/>
  <c r="H339" i="61"/>
  <c r="G339" i="61"/>
  <c r="F339" i="61"/>
  <c r="E339" i="61"/>
  <c r="D339" i="61"/>
  <c r="C339" i="61"/>
  <c r="B339" i="61"/>
  <c r="A339" i="61"/>
  <c r="I338" i="61"/>
  <c r="H338" i="61"/>
  <c r="G338" i="61"/>
  <c r="F338" i="61"/>
  <c r="E338" i="61"/>
  <c r="D338" i="61"/>
  <c r="C338" i="61"/>
  <c r="B338" i="61"/>
  <c r="A338" i="61"/>
  <c r="I337" i="61"/>
  <c r="H337" i="61"/>
  <c r="G337" i="61"/>
  <c r="F337" i="61"/>
  <c r="E337" i="61"/>
  <c r="D337" i="61"/>
  <c r="C337" i="61"/>
  <c r="B337" i="61"/>
  <c r="A337" i="61"/>
  <c r="I336" i="61"/>
  <c r="H336" i="61"/>
  <c r="G336" i="61"/>
  <c r="F336" i="61"/>
  <c r="E336" i="61"/>
  <c r="D336" i="61"/>
  <c r="C336" i="61"/>
  <c r="B336" i="61"/>
  <c r="A336" i="61"/>
  <c r="I335" i="61"/>
  <c r="H335" i="61"/>
  <c r="G335" i="61"/>
  <c r="F335" i="61"/>
  <c r="E335" i="61"/>
  <c r="D335" i="61"/>
  <c r="C335" i="61"/>
  <c r="B335" i="61"/>
  <c r="A335" i="61"/>
  <c r="I334" i="61"/>
  <c r="H334" i="61"/>
  <c r="G334" i="61"/>
  <c r="F334" i="61"/>
  <c r="E334" i="61"/>
  <c r="D334" i="61"/>
  <c r="C334" i="61"/>
  <c r="B334" i="61"/>
  <c r="A334" i="61"/>
  <c r="I333" i="61"/>
  <c r="H333" i="61"/>
  <c r="G333" i="61"/>
  <c r="F333" i="61"/>
  <c r="E333" i="61"/>
  <c r="D333" i="61"/>
  <c r="C333" i="61"/>
  <c r="B333" i="61"/>
  <c r="A333" i="61"/>
  <c r="I332" i="61"/>
  <c r="H332" i="61"/>
  <c r="G332" i="61"/>
  <c r="F332" i="61"/>
  <c r="E332" i="61"/>
  <c r="D332" i="61"/>
  <c r="C332" i="61"/>
  <c r="B332" i="61"/>
  <c r="A332" i="61"/>
  <c r="I331" i="61"/>
  <c r="H331" i="61"/>
  <c r="G331" i="61"/>
  <c r="F331" i="61"/>
  <c r="E331" i="61"/>
  <c r="D331" i="61"/>
  <c r="C331" i="61"/>
  <c r="B331" i="61"/>
  <c r="A331" i="61"/>
  <c r="I330" i="61"/>
  <c r="H330" i="61"/>
  <c r="G330" i="61"/>
  <c r="F330" i="61"/>
  <c r="E330" i="61"/>
  <c r="D330" i="61"/>
  <c r="C330" i="61"/>
  <c r="B330" i="61"/>
  <c r="A330" i="61"/>
  <c r="I329" i="61"/>
  <c r="H329" i="61"/>
  <c r="G329" i="61"/>
  <c r="F329" i="61"/>
  <c r="E329" i="61"/>
  <c r="D329" i="61"/>
  <c r="C329" i="61"/>
  <c r="B329" i="61"/>
  <c r="A329" i="61"/>
  <c r="I328" i="61"/>
  <c r="H328" i="61"/>
  <c r="G328" i="61"/>
  <c r="F328" i="61"/>
  <c r="E328" i="61"/>
  <c r="D328" i="61"/>
  <c r="C328" i="61"/>
  <c r="B328" i="61"/>
  <c r="A328" i="61"/>
  <c r="I327" i="61"/>
  <c r="H327" i="61"/>
  <c r="G327" i="61"/>
  <c r="F327" i="61"/>
  <c r="E327" i="61"/>
  <c r="D327" i="61"/>
  <c r="C327" i="61"/>
  <c r="B327" i="61"/>
  <c r="A327" i="61"/>
  <c r="I326" i="61"/>
  <c r="H326" i="61"/>
  <c r="G326" i="61"/>
  <c r="F326" i="61"/>
  <c r="E326" i="61"/>
  <c r="D326" i="61"/>
  <c r="C326" i="61"/>
  <c r="B326" i="61"/>
  <c r="A326" i="61"/>
  <c r="I325" i="61"/>
  <c r="H325" i="61"/>
  <c r="G325" i="61"/>
  <c r="F325" i="61"/>
  <c r="E325" i="61"/>
  <c r="D325" i="61"/>
  <c r="C325" i="61"/>
  <c r="B325" i="61"/>
  <c r="A325" i="61"/>
  <c r="I324" i="61"/>
  <c r="H324" i="61"/>
  <c r="G324" i="61"/>
  <c r="F324" i="61"/>
  <c r="E324" i="61"/>
  <c r="D324" i="61"/>
  <c r="C324" i="61"/>
  <c r="B324" i="61"/>
  <c r="A324" i="61"/>
  <c r="I323" i="61"/>
  <c r="H323" i="61"/>
  <c r="G323" i="61"/>
  <c r="F323" i="61"/>
  <c r="E323" i="61"/>
  <c r="D323" i="61"/>
  <c r="C323" i="61"/>
  <c r="B323" i="61"/>
  <c r="A323" i="61"/>
  <c r="I322" i="61"/>
  <c r="H322" i="61"/>
  <c r="G322" i="61"/>
  <c r="F322" i="61"/>
  <c r="E322" i="61"/>
  <c r="D322" i="61"/>
  <c r="C322" i="61"/>
  <c r="B322" i="61"/>
  <c r="A322" i="61"/>
  <c r="I321" i="61"/>
  <c r="H321" i="61"/>
  <c r="G321" i="61"/>
  <c r="F321" i="61"/>
  <c r="E321" i="61"/>
  <c r="D321" i="61"/>
  <c r="C321" i="61"/>
  <c r="B321" i="61"/>
  <c r="A321" i="61"/>
  <c r="I320" i="61"/>
  <c r="H320" i="61"/>
  <c r="G320" i="61"/>
  <c r="F320" i="61"/>
  <c r="E320" i="61"/>
  <c r="D320" i="61"/>
  <c r="C320" i="61"/>
  <c r="B320" i="61"/>
  <c r="A320" i="61"/>
  <c r="I319" i="61"/>
  <c r="H319" i="61"/>
  <c r="G319" i="61"/>
  <c r="F319" i="61"/>
  <c r="E319" i="61"/>
  <c r="D319" i="61"/>
  <c r="C319" i="61"/>
  <c r="B319" i="61"/>
  <c r="A319" i="61"/>
  <c r="I318" i="61"/>
  <c r="H318" i="61"/>
  <c r="G318" i="61"/>
  <c r="F318" i="61"/>
  <c r="E318" i="61"/>
  <c r="D318" i="61"/>
  <c r="C318" i="61"/>
  <c r="B318" i="61"/>
  <c r="A318" i="61"/>
  <c r="I317" i="61"/>
  <c r="H317" i="61"/>
  <c r="G317" i="61"/>
  <c r="F317" i="61"/>
  <c r="E317" i="61"/>
  <c r="D317" i="61"/>
  <c r="C317" i="61"/>
  <c r="B317" i="61"/>
  <c r="A317" i="61"/>
  <c r="I316" i="61"/>
  <c r="H316" i="61"/>
  <c r="G316" i="61"/>
  <c r="F316" i="61"/>
  <c r="E316" i="61"/>
  <c r="D316" i="61"/>
  <c r="C316" i="61"/>
  <c r="B316" i="61"/>
  <c r="A316" i="61"/>
  <c r="I315" i="61"/>
  <c r="H315" i="61"/>
  <c r="G315" i="61"/>
  <c r="F315" i="61"/>
  <c r="E315" i="61"/>
  <c r="D315" i="61"/>
  <c r="C315" i="61"/>
  <c r="B315" i="61"/>
  <c r="A315" i="61"/>
  <c r="I314" i="61"/>
  <c r="H314" i="61"/>
  <c r="G314" i="61"/>
  <c r="F314" i="61"/>
  <c r="E314" i="61"/>
  <c r="D314" i="61"/>
  <c r="C314" i="61"/>
  <c r="B314" i="61"/>
  <c r="A314" i="61"/>
  <c r="I313" i="61"/>
  <c r="H313" i="61"/>
  <c r="G313" i="61"/>
  <c r="F313" i="61"/>
  <c r="E313" i="61"/>
  <c r="D313" i="61"/>
  <c r="C313" i="61"/>
  <c r="B313" i="61"/>
  <c r="A313" i="61"/>
  <c r="I312" i="61"/>
  <c r="H312" i="61"/>
  <c r="G312" i="61"/>
  <c r="F312" i="61"/>
  <c r="E312" i="61"/>
  <c r="D312" i="61"/>
  <c r="C312" i="61"/>
  <c r="B312" i="61"/>
  <c r="A312" i="61"/>
  <c r="I311" i="61"/>
  <c r="H311" i="61"/>
  <c r="G311" i="61"/>
  <c r="F311" i="61"/>
  <c r="E311" i="61"/>
  <c r="D311" i="61"/>
  <c r="C311" i="61"/>
  <c r="B311" i="61"/>
  <c r="A311" i="61"/>
  <c r="I310" i="61"/>
  <c r="H310" i="61"/>
  <c r="G310" i="61"/>
  <c r="F310" i="61"/>
  <c r="E310" i="61"/>
  <c r="D310" i="61"/>
  <c r="C310" i="61"/>
  <c r="B310" i="61"/>
  <c r="A310" i="61"/>
  <c r="I309" i="61"/>
  <c r="H309" i="61"/>
  <c r="G309" i="61"/>
  <c r="F309" i="61"/>
  <c r="E309" i="61"/>
  <c r="D309" i="61"/>
  <c r="C309" i="61"/>
  <c r="B309" i="61"/>
  <c r="A309" i="61"/>
  <c r="I308" i="61"/>
  <c r="H308" i="61"/>
  <c r="G308" i="61"/>
  <c r="F308" i="61"/>
  <c r="E308" i="61"/>
  <c r="D308" i="61"/>
  <c r="C308" i="61"/>
  <c r="B308" i="61"/>
  <c r="A308" i="61"/>
  <c r="I307" i="61"/>
  <c r="H307" i="61"/>
  <c r="G307" i="61"/>
  <c r="F307" i="61"/>
  <c r="E307" i="61"/>
  <c r="D307" i="61"/>
  <c r="C307" i="61"/>
  <c r="B307" i="61"/>
  <c r="A307" i="61"/>
  <c r="I306" i="61"/>
  <c r="H306" i="61"/>
  <c r="G306" i="61"/>
  <c r="F306" i="61"/>
  <c r="E306" i="61"/>
  <c r="D306" i="61"/>
  <c r="C306" i="61"/>
  <c r="B306" i="61"/>
  <c r="A306" i="61"/>
  <c r="I305" i="61"/>
  <c r="H305" i="61"/>
  <c r="G305" i="61"/>
  <c r="F305" i="61"/>
  <c r="E305" i="61"/>
  <c r="D305" i="61"/>
  <c r="C305" i="61"/>
  <c r="B305" i="61"/>
  <c r="A305" i="61"/>
  <c r="I304" i="61"/>
  <c r="H304" i="61"/>
  <c r="G304" i="61"/>
  <c r="F304" i="61"/>
  <c r="E304" i="61"/>
  <c r="D304" i="61"/>
  <c r="C304" i="61"/>
  <c r="B304" i="61"/>
  <c r="A304" i="61"/>
  <c r="I303" i="61"/>
  <c r="H303" i="61"/>
  <c r="G303" i="61"/>
  <c r="F303" i="61"/>
  <c r="E303" i="61"/>
  <c r="D303" i="61"/>
  <c r="C303" i="61"/>
  <c r="B303" i="61"/>
  <c r="A303" i="61"/>
  <c r="I302" i="61"/>
  <c r="H302" i="61"/>
  <c r="G302" i="61"/>
  <c r="F302" i="61"/>
  <c r="E302" i="61"/>
  <c r="D302" i="61"/>
  <c r="C302" i="61"/>
  <c r="B302" i="61"/>
  <c r="A302" i="61"/>
  <c r="I301" i="61"/>
  <c r="H301" i="61"/>
  <c r="G301" i="61"/>
  <c r="F301" i="61"/>
  <c r="E301" i="61"/>
  <c r="D301" i="61"/>
  <c r="C301" i="61"/>
  <c r="B301" i="61"/>
  <c r="A301" i="61"/>
  <c r="I300" i="61"/>
  <c r="H300" i="61"/>
  <c r="G300" i="61"/>
  <c r="F300" i="61"/>
  <c r="E300" i="61"/>
  <c r="D300" i="61"/>
  <c r="C300" i="61"/>
  <c r="B300" i="61"/>
  <c r="A300" i="61"/>
  <c r="I299" i="61"/>
  <c r="H299" i="61"/>
  <c r="G299" i="61"/>
  <c r="F299" i="61"/>
  <c r="E299" i="61"/>
  <c r="D299" i="61"/>
  <c r="C299" i="61"/>
  <c r="B299" i="61"/>
  <c r="A299" i="61"/>
  <c r="I298" i="61"/>
  <c r="H298" i="61"/>
  <c r="G298" i="61"/>
  <c r="F298" i="61"/>
  <c r="E298" i="61"/>
  <c r="D298" i="61"/>
  <c r="C298" i="61"/>
  <c r="B298" i="61"/>
  <c r="A298" i="61"/>
  <c r="I297" i="61"/>
  <c r="H297" i="61"/>
  <c r="G297" i="61"/>
  <c r="F297" i="61"/>
  <c r="E297" i="61"/>
  <c r="D297" i="61"/>
  <c r="C297" i="61"/>
  <c r="B297" i="61"/>
  <c r="A297" i="61"/>
  <c r="I296" i="61"/>
  <c r="H296" i="61"/>
  <c r="G296" i="61"/>
  <c r="F296" i="61"/>
  <c r="E296" i="61"/>
  <c r="D296" i="61"/>
  <c r="C296" i="61"/>
  <c r="B296" i="61"/>
  <c r="A296" i="61"/>
  <c r="I295" i="61"/>
  <c r="H295" i="61"/>
  <c r="G295" i="61"/>
  <c r="F295" i="61"/>
  <c r="E295" i="61"/>
  <c r="D295" i="61"/>
  <c r="C295" i="61"/>
  <c r="B295" i="61"/>
  <c r="A295" i="61"/>
  <c r="I294" i="61"/>
  <c r="H294" i="61"/>
  <c r="G294" i="61"/>
  <c r="F294" i="61"/>
  <c r="E294" i="61"/>
  <c r="D294" i="61"/>
  <c r="C294" i="61"/>
  <c r="B294" i="61"/>
  <c r="A294" i="61"/>
  <c r="I293" i="61"/>
  <c r="H293" i="61"/>
  <c r="G293" i="61"/>
  <c r="F293" i="61"/>
  <c r="E293" i="61"/>
  <c r="D293" i="61"/>
  <c r="C293" i="61"/>
  <c r="B293" i="61"/>
  <c r="A293" i="61"/>
  <c r="I292" i="61"/>
  <c r="H292" i="61"/>
  <c r="G292" i="61"/>
  <c r="F292" i="61"/>
  <c r="E292" i="61"/>
  <c r="D292" i="61"/>
  <c r="C292" i="61"/>
  <c r="B292" i="61"/>
  <c r="A292" i="61"/>
  <c r="I291" i="61"/>
  <c r="H291" i="61"/>
  <c r="G291" i="61"/>
  <c r="F291" i="61"/>
  <c r="E291" i="61"/>
  <c r="D291" i="61"/>
  <c r="C291" i="61"/>
  <c r="B291" i="61"/>
  <c r="A291" i="61"/>
  <c r="I290" i="61"/>
  <c r="H290" i="61"/>
  <c r="G290" i="61"/>
  <c r="F290" i="61"/>
  <c r="E290" i="61"/>
  <c r="D290" i="61"/>
  <c r="C290" i="61"/>
  <c r="B290" i="61"/>
  <c r="A290" i="61"/>
  <c r="I289" i="61"/>
  <c r="H289" i="61"/>
  <c r="G289" i="61"/>
  <c r="F289" i="61"/>
  <c r="E289" i="61"/>
  <c r="D289" i="61"/>
  <c r="C289" i="61"/>
  <c r="B289" i="61"/>
  <c r="A289" i="61"/>
  <c r="I288" i="61"/>
  <c r="H288" i="61"/>
  <c r="G288" i="61"/>
  <c r="F288" i="61"/>
  <c r="E288" i="61"/>
  <c r="D288" i="61"/>
  <c r="C288" i="61"/>
  <c r="B288" i="61"/>
  <c r="A288" i="61"/>
  <c r="I287" i="61"/>
  <c r="H287" i="61"/>
  <c r="G287" i="61"/>
  <c r="F287" i="61"/>
  <c r="E287" i="61"/>
  <c r="D287" i="61"/>
  <c r="C287" i="61"/>
  <c r="B287" i="61"/>
  <c r="A287" i="61"/>
  <c r="I286" i="61"/>
  <c r="H286" i="61"/>
  <c r="G286" i="61"/>
  <c r="F286" i="61"/>
  <c r="E286" i="61"/>
  <c r="D286" i="61"/>
  <c r="C286" i="61"/>
  <c r="B286" i="61"/>
  <c r="A286" i="61"/>
  <c r="I285" i="61"/>
  <c r="H285" i="61"/>
  <c r="G285" i="61"/>
  <c r="F285" i="61"/>
  <c r="E285" i="61"/>
  <c r="D285" i="61"/>
  <c r="C285" i="61"/>
  <c r="B285" i="61"/>
  <c r="A285" i="61"/>
  <c r="I284" i="61"/>
  <c r="H284" i="61"/>
  <c r="G284" i="61"/>
  <c r="F284" i="61"/>
  <c r="E284" i="61"/>
  <c r="D284" i="61"/>
  <c r="C284" i="61"/>
  <c r="B284" i="61"/>
  <c r="A284" i="61"/>
  <c r="I283" i="61"/>
  <c r="H283" i="61"/>
  <c r="G283" i="61"/>
  <c r="F283" i="61"/>
  <c r="E283" i="61"/>
  <c r="D283" i="61"/>
  <c r="C283" i="61"/>
  <c r="B283" i="61"/>
  <c r="A283" i="61"/>
  <c r="I282" i="61"/>
  <c r="H282" i="61"/>
  <c r="G282" i="61"/>
  <c r="F282" i="61"/>
  <c r="E282" i="61"/>
  <c r="D282" i="61"/>
  <c r="C282" i="61"/>
  <c r="B282" i="61"/>
  <c r="A282" i="61"/>
  <c r="I281" i="61"/>
  <c r="H281" i="61"/>
  <c r="G281" i="61"/>
  <c r="F281" i="61"/>
  <c r="E281" i="61"/>
  <c r="D281" i="61"/>
  <c r="C281" i="61"/>
  <c r="B281" i="61"/>
  <c r="A281" i="61"/>
  <c r="I280" i="61"/>
  <c r="H280" i="61"/>
  <c r="G280" i="61"/>
  <c r="F280" i="61"/>
  <c r="E280" i="61"/>
  <c r="D280" i="61"/>
  <c r="C280" i="61"/>
  <c r="B280" i="61"/>
  <c r="A280" i="61"/>
  <c r="I279" i="61"/>
  <c r="H279" i="61"/>
  <c r="G279" i="61"/>
  <c r="F279" i="61"/>
  <c r="E279" i="61"/>
  <c r="D279" i="61"/>
  <c r="C279" i="61"/>
  <c r="B279" i="61"/>
  <c r="A279" i="61"/>
  <c r="I278" i="61"/>
  <c r="H278" i="61"/>
  <c r="G278" i="61"/>
  <c r="F278" i="61"/>
  <c r="E278" i="61"/>
  <c r="D278" i="61"/>
  <c r="C278" i="61"/>
  <c r="B278" i="61"/>
  <c r="A278" i="61"/>
  <c r="I277" i="61"/>
  <c r="H277" i="61"/>
  <c r="G277" i="61"/>
  <c r="F277" i="61"/>
  <c r="E277" i="61"/>
  <c r="D277" i="61"/>
  <c r="C277" i="61"/>
  <c r="B277" i="61"/>
  <c r="A277" i="61"/>
  <c r="I276" i="61"/>
  <c r="H276" i="61"/>
  <c r="G276" i="61"/>
  <c r="F276" i="61"/>
  <c r="E276" i="61"/>
  <c r="D276" i="61"/>
  <c r="C276" i="61"/>
  <c r="B276" i="61"/>
  <c r="A276" i="61"/>
  <c r="I275" i="61"/>
  <c r="H275" i="61"/>
  <c r="G275" i="61"/>
  <c r="F275" i="61"/>
  <c r="E275" i="61"/>
  <c r="D275" i="61"/>
  <c r="C275" i="61"/>
  <c r="B275" i="61"/>
  <c r="A275" i="61"/>
  <c r="I274" i="61"/>
  <c r="H274" i="61"/>
  <c r="G274" i="61"/>
  <c r="F274" i="61"/>
  <c r="E274" i="61"/>
  <c r="D274" i="61"/>
  <c r="C274" i="61"/>
  <c r="B274" i="61"/>
  <c r="A274" i="61"/>
  <c r="I273" i="61"/>
  <c r="H273" i="61"/>
  <c r="G273" i="61"/>
  <c r="F273" i="61"/>
  <c r="E273" i="61"/>
  <c r="D273" i="61"/>
  <c r="C273" i="61"/>
  <c r="B273" i="61"/>
  <c r="A273" i="61"/>
  <c r="I272" i="61"/>
  <c r="H272" i="61"/>
  <c r="G272" i="61"/>
  <c r="F272" i="61"/>
  <c r="E272" i="61"/>
  <c r="D272" i="61"/>
  <c r="C272" i="61"/>
  <c r="B272" i="61"/>
  <c r="A272" i="61"/>
  <c r="I271" i="61"/>
  <c r="H271" i="61"/>
  <c r="G271" i="61"/>
  <c r="F271" i="61"/>
  <c r="E271" i="61"/>
  <c r="D271" i="61"/>
  <c r="C271" i="61"/>
  <c r="B271" i="61"/>
  <c r="A271" i="61"/>
  <c r="I270" i="61"/>
  <c r="H270" i="61"/>
  <c r="G270" i="61"/>
  <c r="F270" i="61"/>
  <c r="E270" i="61"/>
  <c r="D270" i="61"/>
  <c r="C270" i="61"/>
  <c r="B270" i="61"/>
  <c r="A270" i="61"/>
  <c r="I269" i="61"/>
  <c r="H269" i="61"/>
  <c r="G269" i="61"/>
  <c r="F269" i="61"/>
  <c r="E269" i="61"/>
  <c r="D269" i="61"/>
  <c r="C269" i="61"/>
  <c r="B269" i="61"/>
  <c r="A269" i="61"/>
  <c r="I268" i="61"/>
  <c r="H268" i="61"/>
  <c r="G268" i="61"/>
  <c r="F268" i="61"/>
  <c r="E268" i="61"/>
  <c r="D268" i="61"/>
  <c r="C268" i="61"/>
  <c r="B268" i="61"/>
  <c r="A268" i="61"/>
  <c r="I267" i="61"/>
  <c r="H267" i="61"/>
  <c r="G267" i="61"/>
  <c r="F267" i="61"/>
  <c r="E267" i="61"/>
  <c r="D267" i="61"/>
  <c r="C267" i="61"/>
  <c r="B267" i="61"/>
  <c r="A267" i="61"/>
  <c r="I266" i="61"/>
  <c r="H266" i="61"/>
  <c r="G266" i="61"/>
  <c r="F266" i="61"/>
  <c r="E266" i="61"/>
  <c r="D266" i="61"/>
  <c r="C266" i="61"/>
  <c r="B266" i="61"/>
  <c r="A266" i="61"/>
  <c r="I265" i="61"/>
  <c r="H265" i="61"/>
  <c r="G265" i="61"/>
  <c r="F265" i="61"/>
  <c r="E265" i="61"/>
  <c r="D265" i="61"/>
  <c r="C265" i="61"/>
  <c r="B265" i="61"/>
  <c r="A265" i="61"/>
  <c r="I264" i="61"/>
  <c r="H264" i="61"/>
  <c r="G264" i="61"/>
  <c r="F264" i="61"/>
  <c r="E264" i="61"/>
  <c r="D264" i="61"/>
  <c r="C264" i="61"/>
  <c r="B264" i="61"/>
  <c r="A264" i="61"/>
  <c r="I263" i="61"/>
  <c r="H263" i="61"/>
  <c r="G263" i="61"/>
  <c r="F263" i="61"/>
  <c r="E263" i="61"/>
  <c r="D263" i="61"/>
  <c r="C263" i="61"/>
  <c r="B263" i="61"/>
  <c r="A263" i="61"/>
  <c r="I262" i="61"/>
  <c r="H262" i="61"/>
  <c r="G262" i="61"/>
  <c r="F262" i="61"/>
  <c r="E262" i="61"/>
  <c r="D262" i="61"/>
  <c r="C262" i="61"/>
  <c r="B262" i="61"/>
  <c r="A262" i="61"/>
  <c r="I261" i="61"/>
  <c r="H261" i="61"/>
  <c r="G261" i="61"/>
  <c r="F261" i="61"/>
  <c r="E261" i="61"/>
  <c r="D261" i="61"/>
  <c r="C261" i="61"/>
  <c r="B261" i="61"/>
  <c r="A261" i="61"/>
  <c r="I260" i="61"/>
  <c r="H260" i="61"/>
  <c r="G260" i="61"/>
  <c r="F260" i="61"/>
  <c r="E260" i="61"/>
  <c r="D260" i="61"/>
  <c r="C260" i="61"/>
  <c r="B260" i="61"/>
  <c r="A260" i="61"/>
  <c r="I259" i="61"/>
  <c r="H259" i="61"/>
  <c r="G259" i="61"/>
  <c r="F259" i="61"/>
  <c r="E259" i="61"/>
  <c r="D259" i="61"/>
  <c r="C259" i="61"/>
  <c r="B259" i="61"/>
  <c r="A259" i="61"/>
  <c r="I258" i="61"/>
  <c r="H258" i="61"/>
  <c r="G258" i="61"/>
  <c r="F258" i="61"/>
  <c r="E258" i="61"/>
  <c r="D258" i="61"/>
  <c r="C258" i="61"/>
  <c r="B258" i="61"/>
  <c r="A258" i="61"/>
  <c r="I257" i="61"/>
  <c r="H257" i="61"/>
  <c r="G257" i="61"/>
  <c r="F257" i="61"/>
  <c r="E257" i="61"/>
  <c r="D257" i="61"/>
  <c r="C257" i="61"/>
  <c r="B257" i="61"/>
  <c r="A257" i="61"/>
  <c r="I256" i="61"/>
  <c r="H256" i="61"/>
  <c r="G256" i="61"/>
  <c r="F256" i="61"/>
  <c r="E256" i="61"/>
  <c r="D256" i="61"/>
  <c r="C256" i="61"/>
  <c r="B256" i="61"/>
  <c r="A256" i="61"/>
  <c r="I255" i="61"/>
  <c r="H255" i="61"/>
  <c r="G255" i="61"/>
  <c r="F255" i="61"/>
  <c r="E255" i="61"/>
  <c r="D255" i="61"/>
  <c r="C255" i="61"/>
  <c r="B255" i="61"/>
  <c r="A255" i="61"/>
  <c r="I254" i="61"/>
  <c r="H254" i="61"/>
  <c r="G254" i="61"/>
  <c r="F254" i="61"/>
  <c r="E254" i="61"/>
  <c r="D254" i="61"/>
  <c r="C254" i="61"/>
  <c r="B254" i="61"/>
  <c r="A254" i="61"/>
  <c r="I253" i="61"/>
  <c r="H253" i="61"/>
  <c r="G253" i="61"/>
  <c r="F253" i="61"/>
  <c r="E253" i="61"/>
  <c r="D253" i="61"/>
  <c r="C253" i="61"/>
  <c r="B253" i="61"/>
  <c r="A253" i="61"/>
  <c r="I252" i="61"/>
  <c r="H252" i="61"/>
  <c r="G252" i="61"/>
  <c r="F252" i="61"/>
  <c r="E252" i="61"/>
  <c r="D252" i="61"/>
  <c r="C252" i="61"/>
  <c r="B252" i="61"/>
  <c r="A252" i="61"/>
  <c r="I251" i="61"/>
  <c r="H251" i="61"/>
  <c r="G251" i="61"/>
  <c r="F251" i="61"/>
  <c r="E251" i="61"/>
  <c r="D251" i="61"/>
  <c r="C251" i="61"/>
  <c r="B251" i="61"/>
  <c r="A251" i="61"/>
  <c r="I250" i="61"/>
  <c r="H250" i="61"/>
  <c r="G250" i="61"/>
  <c r="F250" i="61"/>
  <c r="E250" i="61"/>
  <c r="D250" i="61"/>
  <c r="C250" i="61"/>
  <c r="B250" i="61"/>
  <c r="A250" i="61"/>
  <c r="I249" i="61"/>
  <c r="H249" i="61"/>
  <c r="G249" i="61"/>
  <c r="F249" i="61"/>
  <c r="E249" i="61"/>
  <c r="D249" i="61"/>
  <c r="C249" i="61"/>
  <c r="B249" i="61"/>
  <c r="A249" i="61"/>
  <c r="I248" i="61"/>
  <c r="H248" i="61"/>
  <c r="G248" i="61"/>
  <c r="F248" i="61"/>
  <c r="E248" i="61"/>
  <c r="D248" i="61"/>
  <c r="C248" i="61"/>
  <c r="B248" i="61"/>
  <c r="A248" i="61"/>
  <c r="I247" i="61"/>
  <c r="H247" i="61"/>
  <c r="G247" i="61"/>
  <c r="F247" i="61"/>
  <c r="E247" i="61"/>
  <c r="D247" i="61"/>
  <c r="C247" i="61"/>
  <c r="B247" i="61"/>
  <c r="A247" i="61"/>
  <c r="I246" i="61"/>
  <c r="H246" i="61"/>
  <c r="G246" i="61"/>
  <c r="F246" i="61"/>
  <c r="E246" i="61"/>
  <c r="D246" i="61"/>
  <c r="C246" i="61"/>
  <c r="B246" i="61"/>
  <c r="A246" i="61"/>
  <c r="I245" i="61"/>
  <c r="H245" i="61"/>
  <c r="G245" i="61"/>
  <c r="F245" i="61"/>
  <c r="E245" i="61"/>
  <c r="D245" i="61"/>
  <c r="C245" i="61"/>
  <c r="B245" i="61"/>
  <c r="A245" i="61"/>
  <c r="I244" i="61"/>
  <c r="H244" i="61"/>
  <c r="G244" i="61"/>
  <c r="F244" i="61"/>
  <c r="E244" i="61"/>
  <c r="D244" i="61"/>
  <c r="C244" i="61"/>
  <c r="B244" i="61"/>
  <c r="A244" i="61"/>
  <c r="I243" i="61"/>
  <c r="H243" i="61"/>
  <c r="G243" i="61"/>
  <c r="F243" i="61"/>
  <c r="E243" i="61"/>
  <c r="D243" i="61"/>
  <c r="C243" i="61"/>
  <c r="B243" i="61"/>
  <c r="A243" i="61"/>
  <c r="I242" i="61"/>
  <c r="H242" i="61"/>
  <c r="G242" i="61"/>
  <c r="F242" i="61"/>
  <c r="E242" i="61"/>
  <c r="D242" i="61"/>
  <c r="C242" i="61"/>
  <c r="B242" i="61"/>
  <c r="A242" i="61"/>
  <c r="I241" i="61"/>
  <c r="H241" i="61"/>
  <c r="G241" i="61"/>
  <c r="F241" i="61"/>
  <c r="E241" i="61"/>
  <c r="D241" i="61"/>
  <c r="C241" i="61"/>
  <c r="B241" i="61"/>
  <c r="A241" i="61"/>
  <c r="I240" i="61"/>
  <c r="H240" i="61"/>
  <c r="G240" i="61"/>
  <c r="F240" i="61"/>
  <c r="E240" i="61"/>
  <c r="D240" i="61"/>
  <c r="C240" i="61"/>
  <c r="B240" i="61"/>
  <c r="A240" i="61"/>
  <c r="I239" i="61"/>
  <c r="H239" i="61"/>
  <c r="G239" i="61"/>
  <c r="F239" i="61"/>
  <c r="E239" i="61"/>
  <c r="D239" i="61"/>
  <c r="C239" i="61"/>
  <c r="B239" i="61"/>
  <c r="A239" i="61"/>
  <c r="I238" i="61"/>
  <c r="H238" i="61"/>
  <c r="G238" i="61"/>
  <c r="F238" i="61"/>
  <c r="E238" i="61"/>
  <c r="D238" i="61"/>
  <c r="C238" i="61"/>
  <c r="B238" i="61"/>
  <c r="A238" i="61"/>
  <c r="I237" i="61"/>
  <c r="H237" i="61"/>
  <c r="G237" i="61"/>
  <c r="F237" i="61"/>
  <c r="E237" i="61"/>
  <c r="D237" i="61"/>
  <c r="C237" i="61"/>
  <c r="B237" i="61"/>
  <c r="A237" i="61"/>
  <c r="I236" i="61"/>
  <c r="H236" i="61"/>
  <c r="G236" i="61"/>
  <c r="F236" i="61"/>
  <c r="E236" i="61"/>
  <c r="D236" i="61"/>
  <c r="C236" i="61"/>
  <c r="B236" i="61"/>
  <c r="A236" i="61"/>
  <c r="I235" i="61"/>
  <c r="H235" i="61"/>
  <c r="G235" i="61"/>
  <c r="F235" i="61"/>
  <c r="E235" i="61"/>
  <c r="D235" i="61"/>
  <c r="C235" i="61"/>
  <c r="B235" i="61"/>
  <c r="A235" i="61"/>
  <c r="I234" i="61"/>
  <c r="H234" i="61"/>
  <c r="G234" i="61"/>
  <c r="F234" i="61"/>
  <c r="E234" i="61"/>
  <c r="D234" i="61"/>
  <c r="C234" i="61"/>
  <c r="B234" i="61"/>
  <c r="A234" i="61"/>
  <c r="I233" i="61"/>
  <c r="H233" i="61"/>
  <c r="G233" i="61"/>
  <c r="F233" i="61"/>
  <c r="E233" i="61"/>
  <c r="D233" i="61"/>
  <c r="C233" i="61"/>
  <c r="B233" i="61"/>
  <c r="A233" i="61"/>
  <c r="I232" i="61"/>
  <c r="H232" i="61"/>
  <c r="G232" i="61"/>
  <c r="F232" i="61"/>
  <c r="E232" i="61"/>
  <c r="D232" i="61"/>
  <c r="C232" i="61"/>
  <c r="B232" i="61"/>
  <c r="A232" i="61"/>
  <c r="I231" i="61"/>
  <c r="H231" i="61"/>
  <c r="G231" i="61"/>
  <c r="F231" i="61"/>
  <c r="E231" i="61"/>
  <c r="D231" i="61"/>
  <c r="C231" i="61"/>
  <c r="B231" i="61"/>
  <c r="A231" i="61"/>
  <c r="I230" i="61"/>
  <c r="H230" i="61"/>
  <c r="G230" i="61"/>
  <c r="F230" i="61"/>
  <c r="E230" i="61"/>
  <c r="D230" i="61"/>
  <c r="C230" i="61"/>
  <c r="B230" i="61"/>
  <c r="A230" i="61"/>
  <c r="I229" i="61"/>
  <c r="H229" i="61"/>
  <c r="G229" i="61"/>
  <c r="F229" i="61"/>
  <c r="E229" i="61"/>
  <c r="D229" i="61"/>
  <c r="C229" i="61"/>
  <c r="B229" i="61"/>
  <c r="A229" i="61"/>
  <c r="I228" i="61"/>
  <c r="H228" i="61"/>
  <c r="G228" i="61"/>
  <c r="F228" i="61"/>
  <c r="E228" i="61"/>
  <c r="D228" i="61"/>
  <c r="C228" i="61"/>
  <c r="B228" i="61"/>
  <c r="A228" i="61"/>
  <c r="I227" i="61"/>
  <c r="H227" i="61"/>
  <c r="G227" i="61"/>
  <c r="F227" i="61"/>
  <c r="E227" i="61"/>
  <c r="D227" i="61"/>
  <c r="C227" i="61"/>
  <c r="B227" i="61"/>
  <c r="A227" i="61"/>
  <c r="I226" i="61"/>
  <c r="H226" i="61"/>
  <c r="G226" i="61"/>
  <c r="F226" i="61"/>
  <c r="E226" i="61"/>
  <c r="D226" i="61"/>
  <c r="C226" i="61"/>
  <c r="B226" i="61"/>
  <c r="A226" i="61"/>
  <c r="I225" i="61"/>
  <c r="H225" i="61"/>
  <c r="G225" i="61"/>
  <c r="F225" i="61"/>
  <c r="E225" i="61"/>
  <c r="D225" i="61"/>
  <c r="C225" i="61"/>
  <c r="B225" i="61"/>
  <c r="A225" i="61"/>
  <c r="I224" i="61"/>
  <c r="H224" i="61"/>
  <c r="G224" i="61"/>
  <c r="F224" i="61"/>
  <c r="E224" i="61"/>
  <c r="D224" i="61"/>
  <c r="C224" i="61"/>
  <c r="B224" i="61"/>
  <c r="A224" i="61"/>
  <c r="I223" i="61"/>
  <c r="H223" i="61"/>
  <c r="G223" i="61"/>
  <c r="F223" i="61"/>
  <c r="E223" i="61"/>
  <c r="D223" i="61"/>
  <c r="C223" i="61"/>
  <c r="B223" i="61"/>
  <c r="A223" i="61"/>
  <c r="I222" i="61"/>
  <c r="H222" i="61"/>
  <c r="G222" i="61"/>
  <c r="F222" i="61"/>
  <c r="E222" i="61"/>
  <c r="D222" i="61"/>
  <c r="C222" i="61"/>
  <c r="B222" i="61"/>
  <c r="A222" i="61"/>
  <c r="I221" i="61"/>
  <c r="H221" i="61"/>
  <c r="G221" i="61"/>
  <c r="F221" i="61"/>
  <c r="E221" i="61"/>
  <c r="D221" i="61"/>
  <c r="C221" i="61"/>
  <c r="B221" i="61"/>
  <c r="A221" i="61"/>
  <c r="I220" i="61"/>
  <c r="H220" i="61"/>
  <c r="G220" i="61"/>
  <c r="F220" i="61"/>
  <c r="E220" i="61"/>
  <c r="D220" i="61"/>
  <c r="C220" i="61"/>
  <c r="B220" i="61"/>
  <c r="A220" i="61"/>
  <c r="I219" i="61"/>
  <c r="H219" i="61"/>
  <c r="G219" i="61"/>
  <c r="F219" i="61"/>
  <c r="E219" i="61"/>
  <c r="D219" i="61"/>
  <c r="C219" i="61"/>
  <c r="B219" i="61"/>
  <c r="A219" i="61"/>
  <c r="I218" i="61"/>
  <c r="H218" i="61"/>
  <c r="G218" i="61"/>
  <c r="F218" i="61"/>
  <c r="E218" i="61"/>
  <c r="D218" i="61"/>
  <c r="C218" i="61"/>
  <c r="B218" i="61"/>
  <c r="A218" i="61"/>
  <c r="I217" i="61"/>
  <c r="H217" i="61"/>
  <c r="G217" i="61"/>
  <c r="F217" i="61"/>
  <c r="E217" i="61"/>
  <c r="D217" i="61"/>
  <c r="C217" i="61"/>
  <c r="B217" i="61"/>
  <c r="A217" i="61"/>
  <c r="I216" i="61"/>
  <c r="H216" i="61"/>
  <c r="G216" i="61"/>
  <c r="F216" i="61"/>
  <c r="E216" i="61"/>
  <c r="D216" i="61"/>
  <c r="C216" i="61"/>
  <c r="B216" i="61"/>
  <c r="A216" i="61"/>
  <c r="I215" i="61"/>
  <c r="H215" i="61"/>
  <c r="G215" i="61"/>
  <c r="F215" i="61"/>
  <c r="E215" i="61"/>
  <c r="D215" i="61"/>
  <c r="C215" i="61"/>
  <c r="B215" i="61"/>
  <c r="A215" i="61"/>
  <c r="I214" i="61"/>
  <c r="H214" i="61"/>
  <c r="G214" i="61"/>
  <c r="F214" i="61"/>
  <c r="E214" i="61"/>
  <c r="D214" i="61"/>
  <c r="C214" i="61"/>
  <c r="B214" i="61"/>
  <c r="A214" i="61"/>
  <c r="I213" i="61"/>
  <c r="H213" i="61"/>
  <c r="G213" i="61"/>
  <c r="F213" i="61"/>
  <c r="E213" i="61"/>
  <c r="D213" i="61"/>
  <c r="C213" i="61"/>
  <c r="B213" i="61"/>
  <c r="A213" i="61"/>
  <c r="I212" i="61"/>
  <c r="H212" i="61"/>
  <c r="G212" i="61"/>
  <c r="F212" i="61"/>
  <c r="E212" i="61"/>
  <c r="D212" i="61"/>
  <c r="C212" i="61"/>
  <c r="B212" i="61"/>
  <c r="A212" i="61"/>
  <c r="I211" i="61"/>
  <c r="H211" i="61"/>
  <c r="G211" i="61"/>
  <c r="F211" i="61"/>
  <c r="E211" i="61"/>
  <c r="D211" i="61"/>
  <c r="C211" i="61"/>
  <c r="B211" i="61"/>
  <c r="A211" i="61"/>
  <c r="I210" i="61"/>
  <c r="H210" i="61"/>
  <c r="G210" i="61"/>
  <c r="F210" i="61"/>
  <c r="E210" i="61"/>
  <c r="D210" i="61"/>
  <c r="C210" i="61"/>
  <c r="B210" i="61"/>
  <c r="A210" i="61"/>
  <c r="I209" i="61"/>
  <c r="H209" i="61"/>
  <c r="G209" i="61"/>
  <c r="F209" i="61"/>
  <c r="E209" i="61"/>
  <c r="D209" i="61"/>
  <c r="C209" i="61"/>
  <c r="B209" i="61"/>
  <c r="A209" i="61"/>
  <c r="I208" i="61"/>
  <c r="H208" i="61"/>
  <c r="G208" i="61"/>
  <c r="F208" i="61"/>
  <c r="E208" i="61"/>
  <c r="D208" i="61"/>
  <c r="C208" i="61"/>
  <c r="B208" i="61"/>
  <c r="A208" i="61"/>
  <c r="I207" i="61"/>
  <c r="H207" i="61"/>
  <c r="G207" i="61"/>
  <c r="F207" i="61"/>
  <c r="E207" i="61"/>
  <c r="D207" i="61"/>
  <c r="C207" i="61"/>
  <c r="B207" i="61"/>
  <c r="A207" i="61"/>
  <c r="I206" i="61"/>
  <c r="H206" i="61"/>
  <c r="G206" i="61"/>
  <c r="F206" i="61"/>
  <c r="E206" i="61"/>
  <c r="D206" i="61"/>
  <c r="C206" i="61"/>
  <c r="B206" i="61"/>
  <c r="A206" i="61"/>
  <c r="I205" i="61"/>
  <c r="H205" i="61"/>
  <c r="G205" i="61"/>
  <c r="F205" i="61"/>
  <c r="E205" i="61"/>
  <c r="D205" i="61"/>
  <c r="C205" i="61"/>
  <c r="B205" i="61"/>
  <c r="A205" i="61"/>
  <c r="I204" i="61"/>
  <c r="H204" i="61"/>
  <c r="G204" i="61"/>
  <c r="F204" i="61"/>
  <c r="E204" i="61"/>
  <c r="D204" i="61"/>
  <c r="C204" i="61"/>
  <c r="B204" i="61"/>
  <c r="A204" i="61"/>
  <c r="I203" i="61"/>
  <c r="H203" i="61"/>
  <c r="G203" i="61"/>
  <c r="F203" i="61"/>
  <c r="E203" i="61"/>
  <c r="D203" i="61"/>
  <c r="C203" i="61"/>
  <c r="B203" i="61"/>
  <c r="A203" i="61"/>
  <c r="I202" i="61"/>
  <c r="H202" i="61"/>
  <c r="G202" i="61"/>
  <c r="F202" i="61"/>
  <c r="E202" i="61"/>
  <c r="D202" i="61"/>
  <c r="C202" i="61"/>
  <c r="B202" i="61"/>
  <c r="A202" i="61"/>
  <c r="I201" i="61"/>
  <c r="H201" i="61"/>
  <c r="G201" i="61"/>
  <c r="F201" i="61"/>
  <c r="E201" i="61"/>
  <c r="D201" i="61"/>
  <c r="C201" i="61"/>
  <c r="B201" i="61"/>
  <c r="A201" i="61"/>
  <c r="I200" i="61"/>
  <c r="H200" i="61"/>
  <c r="G200" i="61"/>
  <c r="F200" i="61"/>
  <c r="E200" i="61"/>
  <c r="D200" i="61"/>
  <c r="C200" i="61"/>
  <c r="B200" i="61"/>
  <c r="A200" i="61"/>
  <c r="I199" i="61"/>
  <c r="H199" i="61"/>
  <c r="G199" i="61"/>
  <c r="F199" i="61"/>
  <c r="E199" i="61"/>
  <c r="D199" i="61"/>
  <c r="C199" i="61"/>
  <c r="B199" i="61"/>
  <c r="A199" i="61"/>
  <c r="I198" i="61"/>
  <c r="H198" i="61"/>
  <c r="G198" i="61"/>
  <c r="F198" i="61"/>
  <c r="E198" i="61"/>
  <c r="D198" i="61"/>
  <c r="C198" i="61"/>
  <c r="B198" i="61"/>
  <c r="A198" i="61"/>
  <c r="I197" i="61"/>
  <c r="H197" i="61"/>
  <c r="G197" i="61"/>
  <c r="F197" i="61"/>
  <c r="E197" i="61"/>
  <c r="D197" i="61"/>
  <c r="C197" i="61"/>
  <c r="B197" i="61"/>
  <c r="A197" i="61"/>
  <c r="I196" i="61"/>
  <c r="H196" i="61"/>
  <c r="G196" i="61"/>
  <c r="F196" i="61"/>
  <c r="E196" i="61"/>
  <c r="D196" i="61"/>
  <c r="C196" i="61"/>
  <c r="B196" i="61"/>
  <c r="A196" i="61"/>
  <c r="I195" i="61"/>
  <c r="H195" i="61"/>
  <c r="G195" i="61"/>
  <c r="F195" i="61"/>
  <c r="E195" i="61"/>
  <c r="D195" i="61"/>
  <c r="C195" i="61"/>
  <c r="B195" i="61"/>
  <c r="A195" i="61"/>
  <c r="I194" i="61"/>
  <c r="H194" i="61"/>
  <c r="G194" i="61"/>
  <c r="F194" i="61"/>
  <c r="E194" i="61"/>
  <c r="D194" i="61"/>
  <c r="C194" i="61"/>
  <c r="B194" i="61"/>
  <c r="A194" i="61"/>
  <c r="I193" i="61"/>
  <c r="H193" i="61"/>
  <c r="G193" i="61"/>
  <c r="F193" i="61"/>
  <c r="E193" i="61"/>
  <c r="D193" i="61"/>
  <c r="C193" i="61"/>
  <c r="B193" i="61"/>
  <c r="A193" i="61"/>
  <c r="I192" i="61"/>
  <c r="H192" i="61"/>
  <c r="G192" i="61"/>
  <c r="F192" i="61"/>
  <c r="E192" i="61"/>
  <c r="D192" i="61"/>
  <c r="C192" i="61"/>
  <c r="B192" i="61"/>
  <c r="A192" i="61"/>
  <c r="I191" i="61"/>
  <c r="H191" i="61"/>
  <c r="G191" i="61"/>
  <c r="F191" i="61"/>
  <c r="E191" i="61"/>
  <c r="D191" i="61"/>
  <c r="C191" i="61"/>
  <c r="B191" i="61"/>
  <c r="A191" i="61"/>
  <c r="I190" i="61"/>
  <c r="H190" i="61"/>
  <c r="G190" i="61"/>
  <c r="F190" i="61"/>
  <c r="E190" i="61"/>
  <c r="D190" i="61"/>
  <c r="C190" i="61"/>
  <c r="B190" i="61"/>
  <c r="A190" i="61"/>
  <c r="I189" i="61"/>
  <c r="H189" i="61"/>
  <c r="G189" i="61"/>
  <c r="F189" i="61"/>
  <c r="E189" i="61"/>
  <c r="D189" i="61"/>
  <c r="C189" i="61"/>
  <c r="B189" i="61"/>
  <c r="A189" i="61"/>
  <c r="I188" i="61"/>
  <c r="H188" i="61"/>
  <c r="G188" i="61"/>
  <c r="F188" i="61"/>
  <c r="E188" i="61"/>
  <c r="D188" i="61"/>
  <c r="C188" i="61"/>
  <c r="B188" i="61"/>
  <c r="A188" i="61"/>
  <c r="I187" i="61"/>
  <c r="H187" i="61"/>
  <c r="G187" i="61"/>
  <c r="F187" i="61"/>
  <c r="E187" i="61"/>
  <c r="D187" i="61"/>
  <c r="C187" i="61"/>
  <c r="B187" i="61"/>
  <c r="A187" i="61"/>
  <c r="I186" i="61"/>
  <c r="H186" i="61"/>
  <c r="G186" i="61"/>
  <c r="F186" i="61"/>
  <c r="E186" i="61"/>
  <c r="D186" i="61"/>
  <c r="C186" i="61"/>
  <c r="B186" i="61"/>
  <c r="A186" i="61"/>
  <c r="I185" i="61"/>
  <c r="H185" i="61"/>
  <c r="G185" i="61"/>
  <c r="F185" i="61"/>
  <c r="E185" i="61"/>
  <c r="D185" i="61"/>
  <c r="C185" i="61"/>
  <c r="B185" i="61"/>
  <c r="A185" i="61"/>
  <c r="I184" i="61"/>
  <c r="H184" i="61"/>
  <c r="G184" i="61"/>
  <c r="F184" i="61"/>
  <c r="E184" i="61"/>
  <c r="D184" i="61"/>
  <c r="C184" i="61"/>
  <c r="B184" i="61"/>
  <c r="A184" i="61"/>
  <c r="I183" i="61"/>
  <c r="H183" i="61"/>
  <c r="G183" i="61"/>
  <c r="F183" i="61"/>
  <c r="E183" i="61"/>
  <c r="D183" i="61"/>
  <c r="C183" i="61"/>
  <c r="B183" i="61"/>
  <c r="A183" i="61"/>
  <c r="I182" i="61"/>
  <c r="H182" i="61"/>
  <c r="G182" i="61"/>
  <c r="F182" i="61"/>
  <c r="E182" i="61"/>
  <c r="D182" i="61"/>
  <c r="C182" i="61"/>
  <c r="B182" i="61"/>
  <c r="A182" i="61"/>
  <c r="I181" i="61"/>
  <c r="H181" i="61"/>
  <c r="G181" i="61"/>
  <c r="F181" i="61"/>
  <c r="E181" i="61"/>
  <c r="D181" i="61"/>
  <c r="C181" i="61"/>
  <c r="B181" i="61"/>
  <c r="A181" i="61"/>
  <c r="I180" i="61"/>
  <c r="H180" i="61"/>
  <c r="G180" i="61"/>
  <c r="F180" i="61"/>
  <c r="E180" i="61"/>
  <c r="D180" i="61"/>
  <c r="C180" i="61"/>
  <c r="B180" i="61"/>
  <c r="A180" i="61"/>
  <c r="I179" i="61"/>
  <c r="H179" i="61"/>
  <c r="G179" i="61"/>
  <c r="F179" i="61"/>
  <c r="E179" i="61"/>
  <c r="D179" i="61"/>
  <c r="C179" i="61"/>
  <c r="B179" i="61"/>
  <c r="A179" i="61"/>
  <c r="I178" i="61"/>
  <c r="H178" i="61"/>
  <c r="G178" i="61"/>
  <c r="F178" i="61"/>
  <c r="E178" i="61"/>
  <c r="D178" i="61"/>
  <c r="C178" i="61"/>
  <c r="B178" i="61"/>
  <c r="A178" i="61"/>
  <c r="I177" i="61"/>
  <c r="H177" i="61"/>
  <c r="G177" i="61"/>
  <c r="F177" i="61"/>
  <c r="E177" i="61"/>
  <c r="D177" i="61"/>
  <c r="C177" i="61"/>
  <c r="B177" i="61"/>
  <c r="A177" i="61"/>
  <c r="I176" i="61"/>
  <c r="H176" i="61"/>
  <c r="G176" i="61"/>
  <c r="F176" i="61"/>
  <c r="E176" i="61"/>
  <c r="D176" i="61"/>
  <c r="C176" i="61"/>
  <c r="B176" i="61"/>
  <c r="A176" i="61"/>
  <c r="I175" i="61"/>
  <c r="H175" i="61"/>
  <c r="G175" i="61"/>
  <c r="F175" i="61"/>
  <c r="E175" i="61"/>
  <c r="D175" i="61"/>
  <c r="C175" i="61"/>
  <c r="B175" i="61"/>
  <c r="A175" i="61"/>
  <c r="I174" i="61"/>
  <c r="H174" i="61"/>
  <c r="G174" i="61"/>
  <c r="F174" i="61"/>
  <c r="E174" i="61"/>
  <c r="D174" i="61"/>
  <c r="C174" i="61"/>
  <c r="B174" i="61"/>
  <c r="A174" i="61"/>
  <c r="I173" i="61"/>
  <c r="H173" i="61"/>
  <c r="G173" i="61"/>
  <c r="F173" i="61"/>
  <c r="E173" i="61"/>
  <c r="D173" i="61"/>
  <c r="C173" i="61"/>
  <c r="B173" i="61"/>
  <c r="A173" i="61"/>
  <c r="I172" i="61"/>
  <c r="H172" i="61"/>
  <c r="G172" i="61"/>
  <c r="F172" i="61"/>
  <c r="E172" i="61"/>
  <c r="D172" i="61"/>
  <c r="C172" i="61"/>
  <c r="B172" i="61"/>
  <c r="A172" i="61"/>
  <c r="I171" i="61"/>
  <c r="H171" i="61"/>
  <c r="G171" i="61"/>
  <c r="F171" i="61"/>
  <c r="E171" i="61"/>
  <c r="D171" i="61"/>
  <c r="C171" i="61"/>
  <c r="B171" i="61"/>
  <c r="A171" i="61"/>
  <c r="I170" i="61"/>
  <c r="H170" i="61"/>
  <c r="G170" i="61"/>
  <c r="F170" i="61"/>
  <c r="E170" i="61"/>
  <c r="D170" i="61"/>
  <c r="C170" i="61"/>
  <c r="B170" i="61"/>
  <c r="A170" i="61"/>
  <c r="I169" i="61"/>
  <c r="H169" i="61"/>
  <c r="G169" i="61"/>
  <c r="F169" i="61"/>
  <c r="E169" i="61"/>
  <c r="D169" i="61"/>
  <c r="C169" i="61"/>
  <c r="B169" i="61"/>
  <c r="A169" i="61"/>
  <c r="I168" i="61"/>
  <c r="H168" i="61"/>
  <c r="G168" i="61"/>
  <c r="F168" i="61"/>
  <c r="E168" i="61"/>
  <c r="D168" i="61"/>
  <c r="C168" i="61"/>
  <c r="B168" i="61"/>
  <c r="A168" i="61"/>
  <c r="I167" i="61"/>
  <c r="H167" i="61"/>
  <c r="G167" i="61"/>
  <c r="F167" i="61"/>
  <c r="E167" i="61"/>
  <c r="D167" i="61"/>
  <c r="C167" i="61"/>
  <c r="B167" i="61"/>
  <c r="A167" i="61"/>
  <c r="I166" i="61"/>
  <c r="H166" i="61"/>
  <c r="G166" i="61"/>
  <c r="F166" i="61"/>
  <c r="E166" i="61"/>
  <c r="D166" i="61"/>
  <c r="C166" i="61"/>
  <c r="B166" i="61"/>
  <c r="A166" i="61"/>
  <c r="I165" i="61"/>
  <c r="H165" i="61"/>
  <c r="G165" i="61"/>
  <c r="F165" i="61"/>
  <c r="E165" i="61"/>
  <c r="D165" i="61"/>
  <c r="C165" i="61"/>
  <c r="B165" i="61"/>
  <c r="A165" i="61"/>
  <c r="I164" i="61"/>
  <c r="H164" i="61"/>
  <c r="G164" i="61"/>
  <c r="F164" i="61"/>
  <c r="E164" i="61"/>
  <c r="D164" i="61"/>
  <c r="C164" i="61"/>
  <c r="B164" i="61"/>
  <c r="A164" i="61"/>
  <c r="I163" i="61"/>
  <c r="H163" i="61"/>
  <c r="G163" i="61"/>
  <c r="F163" i="61"/>
  <c r="E163" i="61"/>
  <c r="D163" i="61"/>
  <c r="C163" i="61"/>
  <c r="B163" i="61"/>
  <c r="A163" i="61"/>
  <c r="I162" i="61"/>
  <c r="H162" i="61"/>
  <c r="G162" i="61"/>
  <c r="F162" i="61"/>
  <c r="E162" i="61"/>
  <c r="D162" i="61"/>
  <c r="C162" i="61"/>
  <c r="B162" i="61"/>
  <c r="A162" i="61"/>
  <c r="I161" i="61"/>
  <c r="H161" i="61"/>
  <c r="G161" i="61"/>
  <c r="F161" i="61"/>
  <c r="E161" i="61"/>
  <c r="D161" i="61"/>
  <c r="C161" i="61"/>
  <c r="B161" i="61"/>
  <c r="A161" i="61"/>
  <c r="I160" i="61"/>
  <c r="H160" i="61"/>
  <c r="G160" i="61"/>
  <c r="F160" i="61"/>
  <c r="E160" i="61"/>
  <c r="D160" i="61"/>
  <c r="C160" i="61"/>
  <c r="B160" i="61"/>
  <c r="A160" i="61"/>
  <c r="I159" i="61"/>
  <c r="H159" i="61"/>
  <c r="G159" i="61"/>
  <c r="F159" i="61"/>
  <c r="E159" i="61"/>
  <c r="D159" i="61"/>
  <c r="C159" i="61"/>
  <c r="B159" i="61"/>
  <c r="A159" i="61"/>
  <c r="I158" i="61"/>
  <c r="H158" i="61"/>
  <c r="G158" i="61"/>
  <c r="F158" i="61"/>
  <c r="E158" i="61"/>
  <c r="D158" i="61"/>
  <c r="C158" i="61"/>
  <c r="B158" i="61"/>
  <c r="A158" i="61"/>
  <c r="I157" i="61"/>
  <c r="H157" i="61"/>
  <c r="G157" i="61"/>
  <c r="F157" i="61"/>
  <c r="E157" i="61"/>
  <c r="D157" i="61"/>
  <c r="C157" i="61"/>
  <c r="B157" i="61"/>
  <c r="A157" i="61"/>
  <c r="I156" i="61"/>
  <c r="H156" i="61"/>
  <c r="G156" i="61"/>
  <c r="F156" i="61"/>
  <c r="E156" i="61"/>
  <c r="D156" i="61"/>
  <c r="C156" i="61"/>
  <c r="B156" i="61"/>
  <c r="A156" i="61"/>
  <c r="I155" i="61"/>
  <c r="H155" i="61"/>
  <c r="G155" i="61"/>
  <c r="F155" i="61"/>
  <c r="E155" i="61"/>
  <c r="D155" i="61"/>
  <c r="C155" i="61"/>
  <c r="B155" i="61"/>
  <c r="A155" i="61"/>
  <c r="I154" i="61"/>
  <c r="H154" i="61"/>
  <c r="G154" i="61"/>
  <c r="F154" i="61"/>
  <c r="E154" i="61"/>
  <c r="D154" i="61"/>
  <c r="C154" i="61"/>
  <c r="B154" i="61"/>
  <c r="A154" i="61"/>
  <c r="I153" i="61"/>
  <c r="H153" i="61"/>
  <c r="G153" i="61"/>
  <c r="F153" i="61"/>
  <c r="E153" i="61"/>
  <c r="D153" i="61"/>
  <c r="C153" i="61"/>
  <c r="B153" i="61"/>
  <c r="A153" i="61"/>
  <c r="I152" i="61"/>
  <c r="H152" i="61"/>
  <c r="G152" i="61"/>
  <c r="F152" i="61"/>
  <c r="E152" i="61"/>
  <c r="D152" i="61"/>
  <c r="C152" i="61"/>
  <c r="B152" i="61"/>
  <c r="A152" i="61"/>
  <c r="I151" i="61"/>
  <c r="H151" i="61"/>
  <c r="G151" i="61"/>
  <c r="F151" i="61"/>
  <c r="E151" i="61"/>
  <c r="D151" i="61"/>
  <c r="C151" i="61"/>
  <c r="B151" i="61"/>
  <c r="A151" i="61"/>
  <c r="I150" i="61"/>
  <c r="H150" i="61"/>
  <c r="G150" i="61"/>
  <c r="F150" i="61"/>
  <c r="E150" i="61"/>
  <c r="D150" i="61"/>
  <c r="C150" i="61"/>
  <c r="B150" i="61"/>
  <c r="A150" i="61"/>
  <c r="I149" i="61"/>
  <c r="H149" i="61"/>
  <c r="G149" i="61"/>
  <c r="F149" i="61"/>
  <c r="E149" i="61"/>
  <c r="D149" i="61"/>
  <c r="C149" i="61"/>
  <c r="B149" i="61"/>
  <c r="A149" i="61"/>
  <c r="I148" i="61"/>
  <c r="H148" i="61"/>
  <c r="G148" i="61"/>
  <c r="F148" i="61"/>
  <c r="E148" i="61"/>
  <c r="D148" i="61"/>
  <c r="C148" i="61"/>
  <c r="B148" i="61"/>
  <c r="A148" i="61"/>
  <c r="I147" i="61"/>
  <c r="H147" i="61"/>
  <c r="G147" i="61"/>
  <c r="F147" i="61"/>
  <c r="E147" i="61"/>
  <c r="D147" i="61"/>
  <c r="C147" i="61"/>
  <c r="B147" i="61"/>
  <c r="A147" i="61"/>
  <c r="I146" i="61"/>
  <c r="H146" i="61"/>
  <c r="G146" i="61"/>
  <c r="F146" i="61"/>
  <c r="E146" i="61"/>
  <c r="D146" i="61"/>
  <c r="C146" i="61"/>
  <c r="B146" i="61"/>
  <c r="A146" i="61"/>
  <c r="I145" i="61"/>
  <c r="H145" i="61"/>
  <c r="G145" i="61"/>
  <c r="F145" i="61"/>
  <c r="E145" i="61"/>
  <c r="D145" i="61"/>
  <c r="C145" i="61"/>
  <c r="B145" i="61"/>
  <c r="A145" i="61"/>
  <c r="I144" i="61"/>
  <c r="H144" i="61"/>
  <c r="G144" i="61"/>
  <c r="F144" i="61"/>
  <c r="E144" i="61"/>
  <c r="D144" i="61"/>
  <c r="C144" i="61"/>
  <c r="B144" i="61"/>
  <c r="A144" i="61"/>
  <c r="I143" i="61"/>
  <c r="H143" i="61"/>
  <c r="G143" i="61"/>
  <c r="F143" i="61"/>
  <c r="E143" i="61"/>
  <c r="D143" i="61"/>
  <c r="C143" i="61"/>
  <c r="B143" i="61"/>
  <c r="A143" i="61"/>
  <c r="I142" i="61"/>
  <c r="H142" i="61"/>
  <c r="G142" i="61"/>
  <c r="F142" i="61"/>
  <c r="E142" i="61"/>
  <c r="D142" i="61"/>
  <c r="C142" i="61"/>
  <c r="B142" i="61"/>
  <c r="A142" i="61"/>
  <c r="I141" i="61"/>
  <c r="H141" i="61"/>
  <c r="G141" i="61"/>
  <c r="F141" i="61"/>
  <c r="E141" i="61"/>
  <c r="D141" i="61"/>
  <c r="C141" i="61"/>
  <c r="B141" i="61"/>
  <c r="A141" i="61"/>
  <c r="I140" i="61"/>
  <c r="H140" i="61"/>
  <c r="G140" i="61"/>
  <c r="F140" i="61"/>
  <c r="E140" i="61"/>
  <c r="D140" i="61"/>
  <c r="C140" i="61"/>
  <c r="B140" i="61"/>
  <c r="A140" i="61"/>
  <c r="I139" i="61"/>
  <c r="H139" i="61"/>
  <c r="G139" i="61"/>
  <c r="F139" i="61"/>
  <c r="E139" i="61"/>
  <c r="D139" i="61"/>
  <c r="C139" i="61"/>
  <c r="B139" i="61"/>
  <c r="A139" i="61"/>
  <c r="I138" i="61"/>
  <c r="H138" i="61"/>
  <c r="G138" i="61"/>
  <c r="F138" i="61"/>
  <c r="E138" i="61"/>
  <c r="D138" i="61"/>
  <c r="C138" i="61"/>
  <c r="B138" i="61"/>
  <c r="A138" i="61"/>
  <c r="I137" i="61"/>
  <c r="H137" i="61"/>
  <c r="G137" i="61"/>
  <c r="F137" i="61"/>
  <c r="E137" i="61"/>
  <c r="D137" i="61"/>
  <c r="C137" i="61"/>
  <c r="B137" i="61"/>
  <c r="A137" i="61"/>
  <c r="I136" i="61"/>
  <c r="H136" i="61"/>
  <c r="G136" i="61"/>
  <c r="F136" i="61"/>
  <c r="E136" i="61"/>
  <c r="D136" i="61"/>
  <c r="C136" i="61"/>
  <c r="B136" i="61"/>
  <c r="A136" i="61"/>
  <c r="I135" i="61"/>
  <c r="H135" i="61"/>
  <c r="G135" i="61"/>
  <c r="F135" i="61"/>
  <c r="E135" i="61"/>
  <c r="D135" i="61"/>
  <c r="C135" i="61"/>
  <c r="B135" i="61"/>
  <c r="A135" i="61"/>
  <c r="I134" i="61"/>
  <c r="H134" i="61"/>
  <c r="G134" i="61"/>
  <c r="F134" i="61"/>
  <c r="E134" i="61"/>
  <c r="D134" i="61"/>
  <c r="C134" i="61"/>
  <c r="B134" i="61"/>
  <c r="A134" i="61"/>
  <c r="I133" i="61"/>
  <c r="H133" i="61"/>
  <c r="G133" i="61"/>
  <c r="F133" i="61"/>
  <c r="E133" i="61"/>
  <c r="D133" i="61"/>
  <c r="C133" i="61"/>
  <c r="B133" i="61"/>
  <c r="A133" i="61"/>
  <c r="I132" i="61"/>
  <c r="H132" i="61"/>
  <c r="G132" i="61"/>
  <c r="F132" i="61"/>
  <c r="E132" i="61"/>
  <c r="D132" i="61"/>
  <c r="C132" i="61"/>
  <c r="B132" i="61"/>
  <c r="A132" i="61"/>
  <c r="I131" i="61"/>
  <c r="H131" i="61"/>
  <c r="G131" i="61"/>
  <c r="F131" i="61"/>
  <c r="E131" i="61"/>
  <c r="D131" i="61"/>
  <c r="C131" i="61"/>
  <c r="B131" i="61"/>
  <c r="A131" i="61"/>
  <c r="I130" i="61"/>
  <c r="H130" i="61"/>
  <c r="G130" i="61"/>
  <c r="F130" i="61"/>
  <c r="E130" i="61"/>
  <c r="D130" i="61"/>
  <c r="C130" i="61"/>
  <c r="B130" i="61"/>
  <c r="A130" i="61"/>
  <c r="I129" i="61"/>
  <c r="H129" i="61"/>
  <c r="G129" i="61"/>
  <c r="F129" i="61"/>
  <c r="E129" i="61"/>
  <c r="D129" i="61"/>
  <c r="C129" i="61"/>
  <c r="B129" i="61"/>
  <c r="A129" i="61"/>
  <c r="I128" i="61"/>
  <c r="H128" i="61"/>
  <c r="G128" i="61"/>
  <c r="F128" i="61"/>
  <c r="E128" i="61"/>
  <c r="D128" i="61"/>
  <c r="C128" i="61"/>
  <c r="B128" i="61"/>
  <c r="A128" i="61"/>
  <c r="I127" i="61"/>
  <c r="H127" i="61"/>
  <c r="G127" i="61"/>
  <c r="F127" i="61"/>
  <c r="E127" i="61"/>
  <c r="D127" i="61"/>
  <c r="C127" i="61"/>
  <c r="B127" i="61"/>
  <c r="A127" i="61"/>
  <c r="I126" i="61"/>
  <c r="H126" i="61"/>
  <c r="G126" i="61"/>
  <c r="F126" i="61"/>
  <c r="E126" i="61"/>
  <c r="D126" i="61"/>
  <c r="C126" i="61"/>
  <c r="B126" i="61"/>
  <c r="A126" i="61"/>
  <c r="I125" i="61"/>
  <c r="H125" i="61"/>
  <c r="G125" i="61"/>
  <c r="F125" i="61"/>
  <c r="E125" i="61"/>
  <c r="D125" i="61"/>
  <c r="C125" i="61"/>
  <c r="B125" i="61"/>
  <c r="A125" i="61"/>
  <c r="I124" i="61"/>
  <c r="H124" i="61"/>
  <c r="G124" i="61"/>
  <c r="F124" i="61"/>
  <c r="E124" i="61"/>
  <c r="D124" i="61"/>
  <c r="C124" i="61"/>
  <c r="B124" i="61"/>
  <c r="A124" i="61"/>
  <c r="I123" i="61"/>
  <c r="H123" i="61"/>
  <c r="G123" i="61"/>
  <c r="F123" i="61"/>
  <c r="E123" i="61"/>
  <c r="D123" i="61"/>
  <c r="C123" i="61"/>
  <c r="B123" i="61"/>
  <c r="A123" i="61"/>
  <c r="I122" i="61"/>
  <c r="H122" i="61"/>
  <c r="G122" i="61"/>
  <c r="F122" i="61"/>
  <c r="E122" i="61"/>
  <c r="D122" i="61"/>
  <c r="C122" i="61"/>
  <c r="B122" i="61"/>
  <c r="A122" i="61"/>
  <c r="I121" i="61"/>
  <c r="H121" i="61"/>
  <c r="G121" i="61"/>
  <c r="F121" i="61"/>
  <c r="E121" i="61"/>
  <c r="D121" i="61"/>
  <c r="C121" i="61"/>
  <c r="B121" i="61"/>
  <c r="A121" i="61"/>
  <c r="I120" i="61"/>
  <c r="H120" i="61"/>
  <c r="G120" i="61"/>
  <c r="F120" i="61"/>
  <c r="E120" i="61"/>
  <c r="D120" i="61"/>
  <c r="C120" i="61"/>
  <c r="B120" i="61"/>
  <c r="A120" i="61"/>
  <c r="I119" i="61"/>
  <c r="H119" i="61"/>
  <c r="G119" i="61"/>
  <c r="F119" i="61"/>
  <c r="E119" i="61"/>
  <c r="D119" i="61"/>
  <c r="C119" i="61"/>
  <c r="B119" i="61"/>
  <c r="A119" i="61"/>
  <c r="I118" i="61"/>
  <c r="H118" i="61"/>
  <c r="G118" i="61"/>
  <c r="F118" i="61"/>
  <c r="E118" i="61"/>
  <c r="D118" i="61"/>
  <c r="C118" i="61"/>
  <c r="B118" i="61"/>
  <c r="A118" i="61"/>
  <c r="I117" i="61"/>
  <c r="H117" i="61"/>
  <c r="G117" i="61"/>
  <c r="F117" i="61"/>
  <c r="E117" i="61"/>
  <c r="D117" i="61"/>
  <c r="C117" i="61"/>
  <c r="B117" i="61"/>
  <c r="A117" i="61"/>
  <c r="I116" i="61"/>
  <c r="H116" i="61"/>
  <c r="G116" i="61"/>
  <c r="F116" i="61"/>
  <c r="E116" i="61"/>
  <c r="D116" i="61"/>
  <c r="C116" i="61"/>
  <c r="B116" i="61"/>
  <c r="A116" i="61"/>
  <c r="I115" i="61"/>
  <c r="H115" i="61"/>
  <c r="G115" i="61"/>
  <c r="F115" i="61"/>
  <c r="E115" i="61"/>
  <c r="D115" i="61"/>
  <c r="C115" i="61"/>
  <c r="B115" i="61"/>
  <c r="A115" i="61"/>
  <c r="I114" i="61"/>
  <c r="H114" i="61"/>
  <c r="G114" i="61"/>
  <c r="F114" i="61"/>
  <c r="E114" i="61"/>
  <c r="D114" i="61"/>
  <c r="C114" i="61"/>
  <c r="B114" i="61"/>
  <c r="A114" i="61"/>
  <c r="I113" i="61"/>
  <c r="H113" i="61"/>
  <c r="G113" i="61"/>
  <c r="F113" i="61"/>
  <c r="E113" i="61"/>
  <c r="D113" i="61"/>
  <c r="C113" i="61"/>
  <c r="B113" i="61"/>
  <c r="A113" i="61"/>
  <c r="I112" i="61"/>
  <c r="H112" i="61"/>
  <c r="G112" i="61"/>
  <c r="F112" i="61"/>
  <c r="E112" i="61"/>
  <c r="D112" i="61"/>
  <c r="C112" i="61"/>
  <c r="B112" i="61"/>
  <c r="A112" i="61"/>
  <c r="I111" i="61"/>
  <c r="H111" i="61"/>
  <c r="G111" i="61"/>
  <c r="F111" i="61"/>
  <c r="E111" i="61"/>
  <c r="D111" i="61"/>
  <c r="C111" i="61"/>
  <c r="B111" i="61"/>
  <c r="A111" i="61"/>
  <c r="I110" i="61"/>
  <c r="H110" i="61"/>
  <c r="G110" i="61"/>
  <c r="F110" i="61"/>
  <c r="E110" i="61"/>
  <c r="D110" i="61"/>
  <c r="C110" i="61"/>
  <c r="B110" i="61"/>
  <c r="A110" i="61"/>
  <c r="I109" i="61"/>
  <c r="H109" i="61"/>
  <c r="G109" i="61"/>
  <c r="F109" i="61"/>
  <c r="E109" i="61"/>
  <c r="D109" i="61"/>
  <c r="C109" i="61"/>
  <c r="B109" i="61"/>
  <c r="A109" i="61"/>
  <c r="I108" i="61"/>
  <c r="H108" i="61"/>
  <c r="G108" i="61"/>
  <c r="F108" i="61"/>
  <c r="E108" i="61"/>
  <c r="D108" i="61"/>
  <c r="C108" i="61"/>
  <c r="B108" i="61"/>
  <c r="A108" i="61"/>
  <c r="I107" i="61"/>
  <c r="H107" i="61"/>
  <c r="G107" i="61"/>
  <c r="F107" i="61"/>
  <c r="E107" i="61"/>
  <c r="D107" i="61"/>
  <c r="C107" i="61"/>
  <c r="B107" i="61"/>
  <c r="A107" i="61"/>
  <c r="I106" i="61"/>
  <c r="H106" i="61"/>
  <c r="G106" i="61"/>
  <c r="F106" i="61"/>
  <c r="E106" i="61"/>
  <c r="D106" i="61"/>
  <c r="C106" i="61"/>
  <c r="B106" i="61"/>
  <c r="A106" i="61"/>
  <c r="I105" i="61"/>
  <c r="H105" i="61"/>
  <c r="G105" i="61"/>
  <c r="F105" i="61"/>
  <c r="E105" i="61"/>
  <c r="D105" i="61"/>
  <c r="C105" i="61"/>
  <c r="B105" i="61"/>
  <c r="A105" i="61"/>
  <c r="I104" i="61"/>
  <c r="H104" i="61"/>
  <c r="G104" i="61"/>
  <c r="F104" i="61"/>
  <c r="E104" i="61"/>
  <c r="D104" i="61"/>
  <c r="C104" i="61"/>
  <c r="B104" i="61"/>
  <c r="A104" i="61"/>
  <c r="I103" i="61"/>
  <c r="H103" i="61"/>
  <c r="G103" i="61"/>
  <c r="F103" i="61"/>
  <c r="E103" i="61"/>
  <c r="D103" i="61"/>
  <c r="C103" i="61"/>
  <c r="B103" i="61"/>
  <c r="A103" i="61"/>
  <c r="I102" i="61"/>
  <c r="H102" i="61"/>
  <c r="G102" i="61"/>
  <c r="F102" i="61"/>
  <c r="E102" i="61"/>
  <c r="D102" i="61"/>
  <c r="C102" i="61"/>
  <c r="B102" i="61"/>
  <c r="A102" i="61"/>
  <c r="I101" i="61"/>
  <c r="H101" i="61"/>
  <c r="G101" i="61"/>
  <c r="F101" i="61"/>
  <c r="E101" i="61"/>
  <c r="D101" i="61"/>
  <c r="C101" i="61"/>
  <c r="B101" i="61"/>
  <c r="A101" i="61"/>
  <c r="I100" i="61"/>
  <c r="H100" i="61"/>
  <c r="G100" i="61"/>
  <c r="F100" i="61"/>
  <c r="E100" i="61"/>
  <c r="D100" i="61"/>
  <c r="C100" i="61"/>
  <c r="B100" i="61"/>
  <c r="A100" i="61"/>
  <c r="I99" i="61"/>
  <c r="H99" i="61"/>
  <c r="G99" i="61"/>
  <c r="F99" i="61"/>
  <c r="E99" i="61"/>
  <c r="D99" i="61"/>
  <c r="C99" i="61"/>
  <c r="B99" i="61"/>
  <c r="A99" i="61"/>
  <c r="I98" i="61"/>
  <c r="H98" i="61"/>
  <c r="G98" i="61"/>
  <c r="F98" i="61"/>
  <c r="E98" i="61"/>
  <c r="D98" i="61"/>
  <c r="C98" i="61"/>
  <c r="B98" i="61"/>
  <c r="A98" i="61"/>
  <c r="I97" i="61"/>
  <c r="H97" i="61"/>
  <c r="G97" i="61"/>
  <c r="F97" i="61"/>
  <c r="E97" i="61"/>
  <c r="D97" i="61"/>
  <c r="C97" i="61"/>
  <c r="B97" i="61"/>
  <c r="A97" i="61"/>
  <c r="I96" i="61"/>
  <c r="H96" i="61"/>
  <c r="G96" i="61"/>
  <c r="F96" i="61"/>
  <c r="E96" i="61"/>
  <c r="D96" i="61"/>
  <c r="C96" i="61"/>
  <c r="B96" i="61"/>
  <c r="A96" i="61"/>
  <c r="I95" i="61"/>
  <c r="H95" i="61"/>
  <c r="G95" i="61"/>
  <c r="F95" i="61"/>
  <c r="E95" i="61"/>
  <c r="D95" i="61"/>
  <c r="C95" i="61"/>
  <c r="B95" i="61"/>
  <c r="A95" i="61"/>
  <c r="I94" i="61"/>
  <c r="H94" i="61"/>
  <c r="G94" i="61"/>
  <c r="F94" i="61"/>
  <c r="E94" i="61"/>
  <c r="D94" i="61"/>
  <c r="C94" i="61"/>
  <c r="B94" i="61"/>
  <c r="A94" i="61"/>
  <c r="I93" i="61"/>
  <c r="H93" i="61"/>
  <c r="G93" i="61"/>
  <c r="F93" i="61"/>
  <c r="E93" i="61"/>
  <c r="D93" i="61"/>
  <c r="C93" i="61"/>
  <c r="B93" i="61"/>
  <c r="A93" i="61"/>
  <c r="I92" i="61"/>
  <c r="H92" i="61"/>
  <c r="G92" i="61"/>
  <c r="F92" i="61"/>
  <c r="E92" i="61"/>
  <c r="D92" i="61"/>
  <c r="C92" i="61"/>
  <c r="B92" i="61"/>
  <c r="A92" i="61"/>
  <c r="I91" i="61"/>
  <c r="H91" i="61"/>
  <c r="G91" i="61"/>
  <c r="F91" i="61"/>
  <c r="E91" i="61"/>
  <c r="D91" i="61"/>
  <c r="C91" i="61"/>
  <c r="B91" i="61"/>
  <c r="A91" i="61"/>
  <c r="I90" i="61"/>
  <c r="H90" i="61"/>
  <c r="G90" i="61"/>
  <c r="F90" i="61"/>
  <c r="E90" i="61"/>
  <c r="D90" i="61"/>
  <c r="C90" i="61"/>
  <c r="B90" i="61"/>
  <c r="A90" i="61"/>
  <c r="I89" i="61"/>
  <c r="H89" i="61"/>
  <c r="G89" i="61"/>
  <c r="F89" i="61"/>
  <c r="E89" i="61"/>
  <c r="D89" i="61"/>
  <c r="C89" i="61"/>
  <c r="B89" i="61"/>
  <c r="A89" i="61"/>
  <c r="I88" i="61"/>
  <c r="H88" i="61"/>
  <c r="G88" i="61"/>
  <c r="F88" i="61"/>
  <c r="E88" i="61"/>
  <c r="D88" i="61"/>
  <c r="C88" i="61"/>
  <c r="B88" i="61"/>
  <c r="A88" i="61"/>
  <c r="I87" i="61"/>
  <c r="H87" i="61"/>
  <c r="G87" i="61"/>
  <c r="F87" i="61"/>
  <c r="E87" i="61"/>
  <c r="D87" i="61"/>
  <c r="C87" i="61"/>
  <c r="B87" i="61"/>
  <c r="A87" i="61"/>
  <c r="I86" i="61"/>
  <c r="H86" i="61"/>
  <c r="G86" i="61"/>
  <c r="F86" i="61"/>
  <c r="E86" i="61"/>
  <c r="D86" i="61"/>
  <c r="C86" i="61"/>
  <c r="B86" i="61"/>
  <c r="A86" i="61"/>
  <c r="I85" i="61"/>
  <c r="H85" i="61"/>
  <c r="G85" i="61"/>
  <c r="F85" i="61"/>
  <c r="E85" i="61"/>
  <c r="D85" i="61"/>
  <c r="C85" i="61"/>
  <c r="B85" i="61"/>
  <c r="A85" i="61"/>
  <c r="I84" i="61"/>
  <c r="H84" i="61"/>
  <c r="G84" i="61"/>
  <c r="F84" i="61"/>
  <c r="E84" i="61"/>
  <c r="D84" i="61"/>
  <c r="C84" i="61"/>
  <c r="B84" i="61"/>
  <c r="A84" i="61"/>
  <c r="I83" i="61"/>
  <c r="H83" i="61"/>
  <c r="G83" i="61"/>
  <c r="F83" i="61"/>
  <c r="E83" i="61"/>
  <c r="D83" i="61"/>
  <c r="C83" i="61"/>
  <c r="B83" i="61"/>
  <c r="A83" i="61"/>
  <c r="I82" i="61"/>
  <c r="H82" i="61"/>
  <c r="G82" i="61"/>
  <c r="F82" i="61"/>
  <c r="E82" i="61"/>
  <c r="D82" i="61"/>
  <c r="C82" i="61"/>
  <c r="B82" i="61"/>
  <c r="A82" i="61"/>
  <c r="I81" i="61"/>
  <c r="H81" i="61"/>
  <c r="G81" i="61"/>
  <c r="F81" i="61"/>
  <c r="E81" i="61"/>
  <c r="D81" i="61"/>
  <c r="C81" i="61"/>
  <c r="B81" i="61"/>
  <c r="A81" i="61"/>
  <c r="I80" i="61"/>
  <c r="H80" i="61"/>
  <c r="G80" i="61"/>
  <c r="F80" i="61"/>
  <c r="E80" i="61"/>
  <c r="D80" i="61"/>
  <c r="C80" i="61"/>
  <c r="B80" i="61"/>
  <c r="A80" i="61"/>
  <c r="I79" i="61"/>
  <c r="H79" i="61"/>
  <c r="G79" i="61"/>
  <c r="F79" i="61"/>
  <c r="E79" i="61"/>
  <c r="D79" i="61"/>
  <c r="C79" i="61"/>
  <c r="B79" i="61"/>
  <c r="A79" i="61"/>
  <c r="I78" i="61"/>
  <c r="H78" i="61"/>
  <c r="G78" i="61"/>
  <c r="F78" i="61"/>
  <c r="E78" i="61"/>
  <c r="D78" i="61"/>
  <c r="C78" i="61"/>
  <c r="B78" i="61"/>
  <c r="A78" i="61"/>
  <c r="I77" i="61"/>
  <c r="H77" i="61"/>
  <c r="G77" i="61"/>
  <c r="F77" i="61"/>
  <c r="E77" i="61"/>
  <c r="D77" i="61"/>
  <c r="C77" i="61"/>
  <c r="B77" i="61"/>
  <c r="A77" i="61"/>
  <c r="I76" i="61"/>
  <c r="H76" i="61"/>
  <c r="G76" i="61"/>
  <c r="F76" i="61"/>
  <c r="E76" i="61"/>
  <c r="D76" i="61"/>
  <c r="C76" i="61"/>
  <c r="B76" i="61"/>
  <c r="A76" i="61"/>
  <c r="I75" i="61"/>
  <c r="H75" i="61"/>
  <c r="G75" i="61"/>
  <c r="F75" i="61"/>
  <c r="E75" i="61"/>
  <c r="D75" i="61"/>
  <c r="C75" i="61"/>
  <c r="B75" i="61"/>
  <c r="A75" i="61"/>
  <c r="I74" i="61"/>
  <c r="H74" i="61"/>
  <c r="G74" i="61"/>
  <c r="F74" i="61"/>
  <c r="E74" i="61"/>
  <c r="D74" i="61"/>
  <c r="C74" i="61"/>
  <c r="B74" i="61"/>
  <c r="A74" i="61"/>
  <c r="I73" i="61"/>
  <c r="H73" i="61"/>
  <c r="G73" i="61"/>
  <c r="F73" i="61"/>
  <c r="E73" i="61"/>
  <c r="D73" i="61"/>
  <c r="C73" i="61"/>
  <c r="B73" i="61"/>
  <c r="A73" i="61"/>
  <c r="I72" i="61"/>
  <c r="H72" i="61"/>
  <c r="G72" i="61"/>
  <c r="F72" i="61"/>
  <c r="E72" i="61"/>
  <c r="D72" i="61"/>
  <c r="C72" i="61"/>
  <c r="B72" i="61"/>
  <c r="A72" i="61"/>
  <c r="I71" i="61"/>
  <c r="H71" i="61"/>
  <c r="G71" i="61"/>
  <c r="F71" i="61"/>
  <c r="E71" i="61"/>
  <c r="D71" i="61"/>
  <c r="C71" i="61"/>
  <c r="B71" i="61"/>
  <c r="A71" i="61"/>
  <c r="I70" i="61"/>
  <c r="H70" i="61"/>
  <c r="G70" i="61"/>
  <c r="F70" i="61"/>
  <c r="E70" i="61"/>
  <c r="D70" i="61"/>
  <c r="C70" i="61"/>
  <c r="B70" i="61"/>
  <c r="A70" i="61"/>
  <c r="I69" i="61"/>
  <c r="H69" i="61"/>
  <c r="G69" i="61"/>
  <c r="F69" i="61"/>
  <c r="E69" i="61"/>
  <c r="D69" i="61"/>
  <c r="C69" i="61"/>
  <c r="B69" i="61"/>
  <c r="A69" i="61"/>
  <c r="I68" i="61"/>
  <c r="H68" i="61"/>
  <c r="G68" i="61"/>
  <c r="F68" i="61"/>
  <c r="E68" i="61"/>
  <c r="D68" i="61"/>
  <c r="C68" i="61"/>
  <c r="B68" i="61"/>
  <c r="A68" i="61"/>
  <c r="I67" i="61"/>
  <c r="H67" i="61"/>
  <c r="G67" i="61"/>
  <c r="F67" i="61"/>
  <c r="E67" i="61"/>
  <c r="D67" i="61"/>
  <c r="C67" i="61"/>
  <c r="B67" i="61"/>
  <c r="A67" i="61"/>
  <c r="I66" i="61"/>
  <c r="H66" i="61"/>
  <c r="G66" i="61"/>
  <c r="F66" i="61"/>
  <c r="E66" i="61"/>
  <c r="D66" i="61"/>
  <c r="C66" i="61"/>
  <c r="B66" i="61"/>
  <c r="A66" i="61"/>
  <c r="I65" i="61"/>
  <c r="H65" i="61"/>
  <c r="G65" i="61"/>
  <c r="F65" i="61"/>
  <c r="E65" i="61"/>
  <c r="D65" i="61"/>
  <c r="C65" i="61"/>
  <c r="B65" i="61"/>
  <c r="A65" i="61"/>
  <c r="I64" i="61"/>
  <c r="H64" i="61"/>
  <c r="G64" i="61"/>
  <c r="F64" i="61"/>
  <c r="E64" i="61"/>
  <c r="D64" i="61"/>
  <c r="C64" i="61"/>
  <c r="B64" i="61"/>
  <c r="A64" i="61"/>
  <c r="I63" i="61"/>
  <c r="H63" i="61"/>
  <c r="G63" i="61"/>
  <c r="F63" i="61"/>
  <c r="E63" i="61"/>
  <c r="D63" i="61"/>
  <c r="C63" i="61"/>
  <c r="B63" i="61"/>
  <c r="A63" i="61"/>
  <c r="I62" i="61"/>
  <c r="H62" i="61"/>
  <c r="G62" i="61"/>
  <c r="F62" i="61"/>
  <c r="E62" i="61"/>
  <c r="D62" i="61"/>
  <c r="C62" i="61"/>
  <c r="B62" i="61"/>
  <c r="A62" i="61"/>
  <c r="I61" i="61"/>
  <c r="H61" i="61"/>
  <c r="G61" i="61"/>
  <c r="F61" i="61"/>
  <c r="E61" i="61"/>
  <c r="D61" i="61"/>
  <c r="C61" i="61"/>
  <c r="B61" i="61"/>
  <c r="A61" i="61"/>
  <c r="I60" i="61"/>
  <c r="H60" i="61"/>
  <c r="G60" i="61"/>
  <c r="F60" i="61"/>
  <c r="E60" i="61"/>
  <c r="D60" i="61"/>
  <c r="C60" i="61"/>
  <c r="B60" i="61"/>
  <c r="A60" i="61"/>
  <c r="I59" i="61"/>
  <c r="H59" i="61"/>
  <c r="G59" i="61"/>
  <c r="F59" i="61"/>
  <c r="E59" i="61"/>
  <c r="D59" i="61"/>
  <c r="C59" i="61"/>
  <c r="B59" i="61"/>
  <c r="A59" i="61"/>
  <c r="I58" i="61"/>
  <c r="H58" i="61"/>
  <c r="G58" i="61"/>
  <c r="F58" i="61"/>
  <c r="E58" i="61"/>
  <c r="D58" i="61"/>
  <c r="C58" i="61"/>
  <c r="B58" i="61"/>
  <c r="A58" i="61"/>
  <c r="I57" i="61"/>
  <c r="H57" i="61"/>
  <c r="G57" i="61"/>
  <c r="F57" i="61"/>
  <c r="E57" i="61"/>
  <c r="D57" i="61"/>
  <c r="C57" i="61"/>
  <c r="B57" i="61"/>
  <c r="A57" i="61"/>
  <c r="I56" i="61"/>
  <c r="H56" i="61"/>
  <c r="G56" i="61"/>
  <c r="F56" i="61"/>
  <c r="E56" i="61"/>
  <c r="D56" i="61"/>
  <c r="C56" i="61"/>
  <c r="B56" i="61"/>
  <c r="A56" i="61"/>
  <c r="I55" i="61"/>
  <c r="H55" i="61"/>
  <c r="G55" i="61"/>
  <c r="F55" i="61"/>
  <c r="E55" i="61"/>
  <c r="D55" i="61"/>
  <c r="C55" i="61"/>
  <c r="B55" i="61"/>
  <c r="A55" i="61"/>
  <c r="I54" i="61"/>
  <c r="H54" i="61"/>
  <c r="G54" i="61"/>
  <c r="F54" i="61"/>
  <c r="E54" i="61"/>
  <c r="D54" i="61"/>
  <c r="C54" i="61"/>
  <c r="B54" i="61"/>
  <c r="A54" i="61"/>
  <c r="I53" i="61"/>
  <c r="H53" i="61"/>
  <c r="G53" i="61"/>
  <c r="F53" i="61"/>
  <c r="E53" i="61"/>
  <c r="D53" i="61"/>
  <c r="C53" i="61"/>
  <c r="B53" i="61"/>
  <c r="A53" i="61"/>
  <c r="I52" i="61"/>
  <c r="H52" i="61"/>
  <c r="G52" i="61"/>
  <c r="F52" i="61"/>
  <c r="E52" i="61"/>
  <c r="D52" i="61"/>
  <c r="C52" i="61"/>
  <c r="B52" i="61"/>
  <c r="A52" i="61"/>
  <c r="I51" i="61"/>
  <c r="H51" i="61"/>
  <c r="G51" i="61"/>
  <c r="F51" i="61"/>
  <c r="E51" i="61"/>
  <c r="D51" i="61"/>
  <c r="C51" i="61"/>
  <c r="B51" i="61"/>
  <c r="A51" i="61"/>
  <c r="I50" i="61"/>
  <c r="H50" i="61"/>
  <c r="G50" i="61"/>
  <c r="F50" i="61"/>
  <c r="E50" i="61"/>
  <c r="D50" i="61"/>
  <c r="C50" i="61"/>
  <c r="B50" i="61"/>
  <c r="A50" i="61"/>
  <c r="I49" i="61"/>
  <c r="H49" i="61"/>
  <c r="G49" i="61"/>
  <c r="F49" i="61"/>
  <c r="E49" i="61"/>
  <c r="D49" i="61"/>
  <c r="C49" i="61"/>
  <c r="B49" i="61"/>
  <c r="A49" i="61"/>
  <c r="I48" i="61"/>
  <c r="H48" i="61"/>
  <c r="G48" i="61"/>
  <c r="F48" i="61"/>
  <c r="E48" i="61"/>
  <c r="D48" i="61"/>
  <c r="C48" i="61"/>
  <c r="B48" i="61"/>
  <c r="A48" i="61"/>
  <c r="I47" i="61"/>
  <c r="H47" i="61"/>
  <c r="G47" i="61"/>
  <c r="F47" i="61"/>
  <c r="E47" i="61"/>
  <c r="D47" i="61"/>
  <c r="C47" i="61"/>
  <c r="B47" i="61"/>
  <c r="A47" i="61"/>
  <c r="I46" i="61"/>
  <c r="H46" i="61"/>
  <c r="G46" i="61"/>
  <c r="F46" i="61"/>
  <c r="E46" i="61"/>
  <c r="D46" i="61"/>
  <c r="C46" i="61"/>
  <c r="B46" i="61"/>
  <c r="A46" i="61"/>
  <c r="I45" i="61"/>
  <c r="H45" i="61"/>
  <c r="G45" i="61"/>
  <c r="F45" i="61"/>
  <c r="E45" i="61"/>
  <c r="D45" i="61"/>
  <c r="C45" i="61"/>
  <c r="B45" i="61"/>
  <c r="A45" i="61"/>
  <c r="I44" i="61"/>
  <c r="H44" i="61"/>
  <c r="G44" i="61"/>
  <c r="F44" i="61"/>
  <c r="E44" i="61"/>
  <c r="D44" i="61"/>
  <c r="C44" i="61"/>
  <c r="B44" i="61"/>
  <c r="A44" i="61"/>
  <c r="I43" i="61"/>
  <c r="H43" i="61"/>
  <c r="G43" i="61"/>
  <c r="F43" i="61"/>
  <c r="E43" i="61"/>
  <c r="D43" i="61"/>
  <c r="C43" i="61"/>
  <c r="B43" i="61"/>
  <c r="A43" i="61"/>
  <c r="I42" i="61"/>
  <c r="H42" i="61"/>
  <c r="G42" i="61"/>
  <c r="F42" i="61"/>
  <c r="E42" i="61"/>
  <c r="D42" i="61"/>
  <c r="C42" i="61"/>
  <c r="B42" i="61"/>
  <c r="A42" i="61"/>
  <c r="I41" i="61"/>
  <c r="H41" i="61"/>
  <c r="G41" i="61"/>
  <c r="F41" i="61"/>
  <c r="E41" i="61"/>
  <c r="D41" i="61"/>
  <c r="C41" i="61"/>
  <c r="B41" i="61"/>
  <c r="A41" i="61"/>
  <c r="I40" i="61"/>
  <c r="H40" i="61"/>
  <c r="G40" i="61"/>
  <c r="F40" i="61"/>
  <c r="E40" i="61"/>
  <c r="D40" i="61"/>
  <c r="C40" i="61"/>
  <c r="B40" i="61"/>
  <c r="A40" i="61"/>
  <c r="I39" i="61"/>
  <c r="H39" i="61"/>
  <c r="G39" i="61"/>
  <c r="F39" i="61"/>
  <c r="E39" i="61"/>
  <c r="D39" i="61"/>
  <c r="C39" i="61"/>
  <c r="B39" i="61"/>
  <c r="A39" i="61"/>
  <c r="I38" i="61"/>
  <c r="H38" i="61"/>
  <c r="G38" i="61"/>
  <c r="F38" i="61"/>
  <c r="E38" i="61"/>
  <c r="D38" i="61"/>
  <c r="C38" i="61"/>
  <c r="B38" i="61"/>
  <c r="A38" i="61"/>
  <c r="I37" i="61"/>
  <c r="H37" i="61"/>
  <c r="G37" i="61"/>
  <c r="F37" i="61"/>
  <c r="E37" i="61"/>
  <c r="D37" i="61"/>
  <c r="C37" i="61"/>
  <c r="B37" i="61"/>
  <c r="A37" i="61"/>
  <c r="I36" i="61"/>
  <c r="H36" i="61"/>
  <c r="G36" i="61"/>
  <c r="F36" i="61"/>
  <c r="E36" i="61"/>
  <c r="D36" i="61"/>
  <c r="C36" i="61"/>
  <c r="B36" i="61"/>
  <c r="A36" i="61"/>
  <c r="I35" i="61"/>
  <c r="H35" i="61"/>
  <c r="G35" i="61"/>
  <c r="F35" i="61"/>
  <c r="E35" i="61"/>
  <c r="D35" i="61"/>
  <c r="C35" i="61"/>
  <c r="B35" i="61"/>
  <c r="A35" i="61"/>
  <c r="I34" i="61"/>
  <c r="H34" i="61"/>
  <c r="G34" i="61"/>
  <c r="F34" i="61"/>
  <c r="E34" i="61"/>
  <c r="D34" i="61"/>
  <c r="C34" i="61"/>
  <c r="B34" i="61"/>
  <c r="A34" i="61"/>
  <c r="I33" i="61"/>
  <c r="H33" i="61"/>
  <c r="G33" i="61"/>
  <c r="F33" i="61"/>
  <c r="E33" i="61"/>
  <c r="D33" i="61"/>
  <c r="C33" i="61"/>
  <c r="B33" i="61"/>
  <c r="A33" i="61"/>
  <c r="I32" i="61"/>
  <c r="H32" i="61"/>
  <c r="G32" i="61"/>
  <c r="F32" i="61"/>
  <c r="E32" i="61"/>
  <c r="D32" i="61"/>
  <c r="C32" i="61"/>
  <c r="B32" i="61"/>
  <c r="A32" i="61"/>
  <c r="I31" i="61"/>
  <c r="H31" i="61"/>
  <c r="G31" i="61"/>
  <c r="F31" i="61"/>
  <c r="E31" i="61"/>
  <c r="D31" i="61"/>
  <c r="C31" i="61"/>
  <c r="B31" i="61"/>
  <c r="A31" i="61"/>
  <c r="I30" i="61"/>
  <c r="H30" i="61"/>
  <c r="G30" i="61"/>
  <c r="F30" i="61"/>
  <c r="E30" i="61"/>
  <c r="D30" i="61"/>
  <c r="C30" i="61"/>
  <c r="B30" i="61"/>
  <c r="A30" i="61"/>
  <c r="I29" i="61"/>
  <c r="H29" i="61"/>
  <c r="G29" i="61"/>
  <c r="F29" i="61"/>
  <c r="E29" i="61"/>
  <c r="D29" i="61"/>
  <c r="C29" i="61"/>
  <c r="B29" i="61"/>
  <c r="A29" i="61"/>
  <c r="I28" i="61"/>
  <c r="H28" i="61"/>
  <c r="G28" i="61"/>
  <c r="F28" i="61"/>
  <c r="E28" i="61"/>
  <c r="D28" i="61"/>
  <c r="C28" i="61"/>
  <c r="B28" i="61"/>
  <c r="A28" i="61"/>
  <c r="I27" i="61"/>
  <c r="H27" i="61"/>
  <c r="G27" i="61"/>
  <c r="F27" i="61"/>
  <c r="E27" i="61"/>
  <c r="D27" i="61"/>
  <c r="C27" i="61"/>
  <c r="B27" i="61"/>
  <c r="A27" i="61"/>
  <c r="I26" i="61"/>
  <c r="H26" i="61"/>
  <c r="G26" i="61"/>
  <c r="F26" i="61"/>
  <c r="E26" i="61"/>
  <c r="D26" i="61"/>
  <c r="C26" i="61"/>
  <c r="B26" i="61"/>
  <c r="A26" i="61"/>
  <c r="I25" i="61"/>
  <c r="H25" i="61"/>
  <c r="G25" i="61"/>
  <c r="F25" i="61"/>
  <c r="E25" i="61"/>
  <c r="D25" i="61"/>
  <c r="C25" i="61"/>
  <c r="B25" i="61"/>
  <c r="A25" i="61"/>
  <c r="I24" i="61"/>
  <c r="H24" i="61"/>
  <c r="G24" i="61"/>
  <c r="F24" i="61"/>
  <c r="E24" i="61"/>
  <c r="D24" i="61"/>
  <c r="C24" i="61"/>
  <c r="B24" i="61"/>
  <c r="A24" i="61"/>
  <c r="I23" i="61"/>
  <c r="H23" i="61"/>
  <c r="G23" i="61"/>
  <c r="F23" i="61"/>
  <c r="E23" i="61"/>
  <c r="D23" i="61"/>
  <c r="C23" i="61"/>
  <c r="B23" i="61"/>
  <c r="A23" i="61"/>
  <c r="I22" i="61"/>
  <c r="H22" i="61"/>
  <c r="G22" i="61"/>
  <c r="F22" i="61"/>
  <c r="E22" i="61"/>
  <c r="D22" i="61"/>
  <c r="C22" i="61"/>
  <c r="B22" i="61"/>
  <c r="A22" i="61"/>
  <c r="I21" i="61"/>
  <c r="H21" i="61"/>
  <c r="G21" i="61"/>
  <c r="F21" i="61"/>
  <c r="E21" i="61"/>
  <c r="D21" i="61"/>
  <c r="C21" i="61"/>
  <c r="B21" i="61"/>
  <c r="A21" i="61"/>
  <c r="I20" i="61"/>
  <c r="H20" i="61"/>
  <c r="G20" i="61"/>
  <c r="F20" i="61"/>
  <c r="E20" i="61"/>
  <c r="D20" i="61"/>
  <c r="C20" i="61"/>
  <c r="B20" i="61"/>
  <c r="A20" i="61"/>
  <c r="I19" i="61"/>
  <c r="H19" i="61"/>
  <c r="G19" i="61"/>
  <c r="F19" i="61"/>
  <c r="E19" i="61"/>
  <c r="D19" i="61"/>
  <c r="C19" i="61"/>
  <c r="B19" i="61"/>
  <c r="A19" i="61"/>
  <c r="I18" i="61"/>
  <c r="H18" i="61"/>
  <c r="G18" i="61"/>
  <c r="F18" i="61"/>
  <c r="E18" i="61"/>
  <c r="D18" i="61"/>
  <c r="C18" i="61"/>
  <c r="B18" i="61"/>
  <c r="A18" i="61"/>
  <c r="I17" i="61"/>
  <c r="H17" i="61"/>
  <c r="G17" i="61"/>
  <c r="F17" i="61"/>
  <c r="E17" i="61"/>
  <c r="D17" i="61"/>
  <c r="C17" i="61"/>
  <c r="B17" i="61"/>
  <c r="A17" i="61"/>
  <c r="I16" i="61"/>
  <c r="H16" i="61"/>
  <c r="G16" i="61"/>
  <c r="F16" i="61"/>
  <c r="E16" i="61"/>
  <c r="D16" i="61"/>
  <c r="C16" i="61"/>
  <c r="B16" i="61"/>
  <c r="A16" i="61"/>
  <c r="I15" i="61"/>
  <c r="H15" i="61"/>
  <c r="G15" i="61"/>
  <c r="F15" i="61"/>
  <c r="E15" i="61"/>
  <c r="D15" i="61"/>
  <c r="C15" i="61"/>
  <c r="B15" i="61"/>
  <c r="A15" i="61"/>
  <c r="I14" i="61"/>
  <c r="H14" i="61"/>
  <c r="G14" i="61"/>
  <c r="F14" i="61"/>
  <c r="E14" i="61"/>
  <c r="D14" i="61"/>
  <c r="C14" i="61"/>
  <c r="B14" i="61"/>
  <c r="A14" i="61"/>
  <c r="I13" i="61"/>
  <c r="H13" i="61"/>
  <c r="G13" i="61"/>
  <c r="F13" i="61"/>
  <c r="E13" i="61"/>
  <c r="D13" i="61"/>
  <c r="C13" i="61"/>
  <c r="B13" i="61"/>
  <c r="A13" i="61"/>
  <c r="I12" i="61"/>
  <c r="H12" i="61"/>
  <c r="G12" i="61"/>
  <c r="F12" i="61"/>
  <c r="E12" i="61"/>
  <c r="D12" i="61"/>
  <c r="C12" i="61"/>
  <c r="B12" i="61"/>
  <c r="A12" i="61"/>
  <c r="I11" i="61"/>
  <c r="H11" i="61"/>
  <c r="G11" i="61"/>
  <c r="F11" i="61"/>
  <c r="E11" i="61"/>
  <c r="D11" i="61"/>
  <c r="C11" i="61"/>
  <c r="B11" i="61"/>
  <c r="A11" i="61"/>
  <c r="I10" i="61"/>
  <c r="H10" i="61"/>
  <c r="G10" i="61"/>
  <c r="F10" i="61"/>
  <c r="E10" i="61"/>
  <c r="D10" i="61"/>
  <c r="C10" i="61"/>
  <c r="B10" i="61"/>
  <c r="A10" i="61"/>
  <c r="I9" i="61"/>
  <c r="H9" i="61"/>
  <c r="G9" i="61"/>
  <c r="F9" i="61"/>
  <c r="E9" i="61"/>
  <c r="D9" i="61"/>
  <c r="C9" i="61"/>
  <c r="B9" i="61"/>
  <c r="A9" i="61"/>
  <c r="I8" i="61"/>
  <c r="H8" i="61"/>
  <c r="G8" i="61"/>
  <c r="F8" i="61"/>
  <c r="E8" i="61"/>
  <c r="D8" i="61"/>
  <c r="C8" i="61"/>
  <c r="B8" i="61"/>
  <c r="A8" i="61"/>
  <c r="I7" i="61"/>
  <c r="H7" i="61"/>
  <c r="G7" i="61"/>
  <c r="F7" i="61"/>
  <c r="E7" i="61"/>
  <c r="D7" i="61"/>
  <c r="C7" i="61"/>
  <c r="B7" i="61"/>
  <c r="A7" i="61"/>
  <c r="I6" i="61"/>
  <c r="H6" i="61"/>
  <c r="G6" i="61"/>
  <c r="F6" i="61"/>
  <c r="E6" i="61"/>
  <c r="D6" i="61"/>
  <c r="C6" i="61"/>
  <c r="B6" i="61"/>
  <c r="A6" i="61"/>
  <c r="I5" i="61"/>
  <c r="H5" i="61"/>
  <c r="G5" i="61"/>
  <c r="F5" i="61"/>
  <c r="E5" i="61"/>
  <c r="D5" i="61"/>
  <c r="C5" i="61"/>
  <c r="B5" i="61"/>
  <c r="A5" i="61"/>
  <c r="I4" i="61"/>
  <c r="H4" i="61"/>
  <c r="G4" i="61"/>
  <c r="F4" i="61"/>
  <c r="E4" i="61"/>
  <c r="D4" i="61"/>
  <c r="C4" i="61"/>
  <c r="B4" i="61"/>
  <c r="A4" i="61"/>
  <c r="I3" i="61"/>
  <c r="H3" i="61"/>
  <c r="G3" i="61"/>
  <c r="F3" i="61"/>
  <c r="E3" i="61"/>
  <c r="D3" i="61"/>
  <c r="C3" i="61"/>
  <c r="B3" i="61"/>
  <c r="A3" i="61"/>
  <c r="I2" i="61"/>
  <c r="H2" i="61"/>
  <c r="G2" i="61"/>
  <c r="F2" i="61"/>
  <c r="E2" i="61"/>
  <c r="D2" i="61"/>
  <c r="C2" i="61"/>
  <c r="B2" i="61"/>
  <c r="A2" i="61"/>
  <c r="I1" i="61"/>
  <c r="H1" i="61"/>
  <c r="G1" i="61"/>
  <c r="F1" i="61"/>
  <c r="E1" i="61"/>
  <c r="D1" i="61"/>
  <c r="C1" i="61"/>
  <c r="B1" i="61"/>
  <c r="A1" i="61"/>
  <c r="D792" i="60"/>
  <c r="C792" i="60"/>
  <c r="B792" i="60"/>
  <c r="A792" i="60"/>
  <c r="D791" i="60"/>
  <c r="C791" i="60"/>
  <c r="B791" i="60"/>
  <c r="A791" i="60"/>
  <c r="D790" i="60"/>
  <c r="C790" i="60"/>
  <c r="B790" i="60"/>
  <c r="A790" i="60"/>
  <c r="D789" i="60"/>
  <c r="C789" i="60"/>
  <c r="B789" i="60"/>
  <c r="A789" i="60"/>
  <c r="D788" i="60"/>
  <c r="C788" i="60"/>
  <c r="B788" i="60"/>
  <c r="A788" i="60"/>
  <c r="D787" i="60"/>
  <c r="C787" i="60"/>
  <c r="B787" i="60"/>
  <c r="A787" i="60"/>
  <c r="D786" i="60"/>
  <c r="C786" i="60"/>
  <c r="B786" i="60"/>
  <c r="A786" i="60"/>
  <c r="D785" i="60"/>
  <c r="C785" i="60"/>
  <c r="B785" i="60"/>
  <c r="A785" i="60"/>
  <c r="D784" i="60"/>
  <c r="C784" i="60"/>
  <c r="B784" i="60"/>
  <c r="A784" i="60"/>
  <c r="D783" i="60"/>
  <c r="C783" i="60"/>
  <c r="B783" i="60"/>
  <c r="A783" i="60"/>
  <c r="D782" i="60"/>
  <c r="C782" i="60"/>
  <c r="B782" i="60"/>
  <c r="A782" i="60"/>
  <c r="D781" i="60"/>
  <c r="C781" i="60"/>
  <c r="B781" i="60"/>
  <c r="A781" i="60"/>
  <c r="D780" i="60"/>
  <c r="C780" i="60"/>
  <c r="B780" i="60"/>
  <c r="A780" i="60"/>
  <c r="D779" i="60"/>
  <c r="C779" i="60"/>
  <c r="B779" i="60"/>
  <c r="A779" i="60"/>
  <c r="D778" i="60"/>
  <c r="C778" i="60"/>
  <c r="B778" i="60"/>
  <c r="A778" i="60"/>
  <c r="D777" i="60"/>
  <c r="C777" i="60"/>
  <c r="B777" i="60"/>
  <c r="A777" i="60"/>
  <c r="D776" i="60"/>
  <c r="C776" i="60"/>
  <c r="B776" i="60"/>
  <c r="A776" i="60"/>
  <c r="D775" i="60"/>
  <c r="C775" i="60"/>
  <c r="B775" i="60"/>
  <c r="A775" i="60"/>
  <c r="D774" i="60"/>
  <c r="C774" i="60"/>
  <c r="B774" i="60"/>
  <c r="A774" i="60"/>
  <c r="D773" i="60"/>
  <c r="C773" i="60"/>
  <c r="B773" i="60"/>
  <c r="A773" i="60"/>
  <c r="D772" i="60"/>
  <c r="C772" i="60"/>
  <c r="B772" i="60"/>
  <c r="A772" i="60"/>
  <c r="D771" i="60"/>
  <c r="C771" i="60"/>
  <c r="B771" i="60"/>
  <c r="A771" i="60"/>
  <c r="D770" i="60"/>
  <c r="C770" i="60"/>
  <c r="B770" i="60"/>
  <c r="A770" i="60"/>
  <c r="D769" i="60"/>
  <c r="C769" i="60"/>
  <c r="B769" i="60"/>
  <c r="A769" i="60"/>
  <c r="D768" i="60"/>
  <c r="C768" i="60"/>
  <c r="B768" i="60"/>
  <c r="A768" i="60"/>
  <c r="D767" i="60"/>
  <c r="C767" i="60"/>
  <c r="B767" i="60"/>
  <c r="A767" i="60"/>
  <c r="D766" i="60"/>
  <c r="C766" i="60"/>
  <c r="B766" i="60"/>
  <c r="A766" i="60"/>
  <c r="D765" i="60"/>
  <c r="C765" i="60"/>
  <c r="B765" i="60"/>
  <c r="A765" i="60"/>
  <c r="D764" i="60"/>
  <c r="C764" i="60"/>
  <c r="B764" i="60"/>
  <c r="A764" i="60"/>
  <c r="D763" i="60"/>
  <c r="C763" i="60"/>
  <c r="B763" i="60"/>
  <c r="A763" i="60"/>
  <c r="D762" i="60"/>
  <c r="C762" i="60"/>
  <c r="B762" i="60"/>
  <c r="A762" i="60"/>
  <c r="D761" i="60"/>
  <c r="C761" i="60"/>
  <c r="B761" i="60"/>
  <c r="A761" i="60"/>
  <c r="D760" i="60"/>
  <c r="C760" i="60"/>
  <c r="B760" i="60"/>
  <c r="A760" i="60"/>
  <c r="D759" i="60"/>
  <c r="C759" i="60"/>
  <c r="B759" i="60"/>
  <c r="A759" i="60"/>
  <c r="D758" i="60"/>
  <c r="C758" i="60"/>
  <c r="B758" i="60"/>
  <c r="A758" i="60"/>
  <c r="D757" i="60"/>
  <c r="C757" i="60"/>
  <c r="B757" i="60"/>
  <c r="A757" i="60"/>
  <c r="D756" i="60"/>
  <c r="C756" i="60"/>
  <c r="B756" i="60"/>
  <c r="A756" i="60"/>
  <c r="D755" i="60"/>
  <c r="C755" i="60"/>
  <c r="B755" i="60"/>
  <c r="A755" i="60"/>
  <c r="D754" i="60"/>
  <c r="C754" i="60"/>
  <c r="B754" i="60"/>
  <c r="A754" i="60"/>
  <c r="D753" i="60"/>
  <c r="C753" i="60"/>
  <c r="B753" i="60"/>
  <c r="A753" i="60"/>
  <c r="D752" i="60"/>
  <c r="C752" i="60"/>
  <c r="B752" i="60"/>
  <c r="A752" i="60"/>
  <c r="D751" i="60"/>
  <c r="C751" i="60"/>
  <c r="B751" i="60"/>
  <c r="A751" i="60"/>
  <c r="D750" i="60"/>
  <c r="C750" i="60"/>
  <c r="B750" i="60"/>
  <c r="A750" i="60"/>
  <c r="D749" i="60"/>
  <c r="C749" i="60"/>
  <c r="B749" i="60"/>
  <c r="A749" i="60"/>
  <c r="D748" i="60"/>
  <c r="C748" i="60"/>
  <c r="B748" i="60"/>
  <c r="A748" i="60"/>
  <c r="D747" i="60"/>
  <c r="C747" i="60"/>
  <c r="B747" i="60"/>
  <c r="A747" i="60"/>
  <c r="D746" i="60"/>
  <c r="C746" i="60"/>
  <c r="B746" i="60"/>
  <c r="A746" i="60"/>
  <c r="D745" i="60"/>
  <c r="C745" i="60"/>
  <c r="B745" i="60"/>
  <c r="A745" i="60"/>
  <c r="D744" i="60"/>
  <c r="C744" i="60"/>
  <c r="B744" i="60"/>
  <c r="A744" i="60"/>
  <c r="D743" i="60"/>
  <c r="C743" i="60"/>
  <c r="B743" i="60"/>
  <c r="A743" i="60"/>
  <c r="D742" i="60"/>
  <c r="C742" i="60"/>
  <c r="B742" i="60"/>
  <c r="A742" i="60"/>
  <c r="D741" i="60"/>
  <c r="C741" i="60"/>
  <c r="B741" i="60"/>
  <c r="A741" i="60"/>
  <c r="D740" i="60"/>
  <c r="C740" i="60"/>
  <c r="B740" i="60"/>
  <c r="A740" i="60"/>
  <c r="D739" i="60"/>
  <c r="C739" i="60"/>
  <c r="B739" i="60"/>
  <c r="A739" i="60"/>
  <c r="D738" i="60"/>
  <c r="C738" i="60"/>
  <c r="B738" i="60"/>
  <c r="A738" i="60"/>
  <c r="D737" i="60"/>
  <c r="C737" i="60"/>
  <c r="B737" i="60"/>
  <c r="A737" i="60"/>
  <c r="D736" i="60"/>
  <c r="C736" i="60"/>
  <c r="B736" i="60"/>
  <c r="A736" i="60"/>
  <c r="D735" i="60"/>
  <c r="C735" i="60"/>
  <c r="B735" i="60"/>
  <c r="A735" i="60"/>
  <c r="D734" i="60"/>
  <c r="C734" i="60"/>
  <c r="B734" i="60"/>
  <c r="A734" i="60"/>
  <c r="D733" i="60"/>
  <c r="C733" i="60"/>
  <c r="B733" i="60"/>
  <c r="A733" i="60"/>
  <c r="D732" i="60"/>
  <c r="C732" i="60"/>
  <c r="B732" i="60"/>
  <c r="A732" i="60"/>
  <c r="D731" i="60"/>
  <c r="C731" i="60"/>
  <c r="B731" i="60"/>
  <c r="A731" i="60"/>
  <c r="D730" i="60"/>
  <c r="C730" i="60"/>
  <c r="B730" i="60"/>
  <c r="A730" i="60"/>
  <c r="D729" i="60"/>
  <c r="C729" i="60"/>
  <c r="B729" i="60"/>
  <c r="A729" i="60"/>
  <c r="D728" i="60"/>
  <c r="C728" i="60"/>
  <c r="B728" i="60"/>
  <c r="A728" i="60"/>
  <c r="D727" i="60"/>
  <c r="C727" i="60"/>
  <c r="B727" i="60"/>
  <c r="A727" i="60"/>
  <c r="D726" i="60"/>
  <c r="C726" i="60"/>
  <c r="B726" i="60"/>
  <c r="A726" i="60"/>
  <c r="D725" i="60"/>
  <c r="C725" i="60"/>
  <c r="B725" i="60"/>
  <c r="A725" i="60"/>
  <c r="D724" i="60"/>
  <c r="C724" i="60"/>
  <c r="B724" i="60"/>
  <c r="A724" i="60"/>
  <c r="D723" i="60"/>
  <c r="C723" i="60"/>
  <c r="B723" i="60"/>
  <c r="A723" i="60"/>
  <c r="D722" i="60"/>
  <c r="C722" i="60"/>
  <c r="B722" i="60"/>
  <c r="A722" i="60"/>
  <c r="D721" i="60"/>
  <c r="C721" i="60"/>
  <c r="B721" i="60"/>
  <c r="A721" i="60"/>
  <c r="D720" i="60"/>
  <c r="C720" i="60"/>
  <c r="B720" i="60"/>
  <c r="A720" i="60"/>
  <c r="D719" i="60"/>
  <c r="C719" i="60"/>
  <c r="B719" i="60"/>
  <c r="A719" i="60"/>
  <c r="D718" i="60"/>
  <c r="C718" i="60"/>
  <c r="B718" i="60"/>
  <c r="A718" i="60"/>
  <c r="D717" i="60"/>
  <c r="C717" i="60"/>
  <c r="B717" i="60"/>
  <c r="A717" i="60"/>
  <c r="D716" i="60"/>
  <c r="C716" i="60"/>
  <c r="B716" i="60"/>
  <c r="A716" i="60"/>
  <c r="D715" i="60"/>
  <c r="C715" i="60"/>
  <c r="B715" i="60"/>
  <c r="A715" i="60"/>
  <c r="D714" i="60"/>
  <c r="C714" i="60"/>
  <c r="B714" i="60"/>
  <c r="A714" i="60"/>
  <c r="D713" i="60"/>
  <c r="C713" i="60"/>
  <c r="B713" i="60"/>
  <c r="A713" i="60"/>
  <c r="D712" i="60"/>
  <c r="C712" i="60"/>
  <c r="B712" i="60"/>
  <c r="A712" i="60"/>
  <c r="D711" i="60"/>
  <c r="C711" i="60"/>
  <c r="B711" i="60"/>
  <c r="A711" i="60"/>
  <c r="D710" i="60"/>
  <c r="C710" i="60"/>
  <c r="B710" i="60"/>
  <c r="A710" i="60"/>
  <c r="D709" i="60"/>
  <c r="C709" i="60"/>
  <c r="B709" i="60"/>
  <c r="A709" i="60"/>
  <c r="D708" i="60"/>
  <c r="C708" i="60"/>
  <c r="B708" i="60"/>
  <c r="A708" i="60"/>
  <c r="D707" i="60"/>
  <c r="C707" i="60"/>
  <c r="B707" i="60"/>
  <c r="A707" i="60"/>
  <c r="D706" i="60"/>
  <c r="C706" i="60"/>
  <c r="B706" i="60"/>
  <c r="A706" i="60"/>
  <c r="D705" i="60"/>
  <c r="C705" i="60"/>
  <c r="B705" i="60"/>
  <c r="A705" i="60"/>
  <c r="D704" i="60"/>
  <c r="C704" i="60"/>
  <c r="B704" i="60"/>
  <c r="A704" i="60"/>
  <c r="D703" i="60"/>
  <c r="C703" i="60"/>
  <c r="B703" i="60"/>
  <c r="A703" i="60"/>
  <c r="D702" i="60"/>
  <c r="C702" i="60"/>
  <c r="B702" i="60"/>
  <c r="A702" i="60"/>
  <c r="D701" i="60"/>
  <c r="C701" i="60"/>
  <c r="B701" i="60"/>
  <c r="A701" i="60"/>
  <c r="D700" i="60"/>
  <c r="C700" i="60"/>
  <c r="B700" i="60"/>
  <c r="A700" i="60"/>
  <c r="D699" i="60"/>
  <c r="C699" i="60"/>
  <c r="B699" i="60"/>
  <c r="A699" i="60"/>
  <c r="D698" i="60"/>
  <c r="C698" i="60"/>
  <c r="B698" i="60"/>
  <c r="A698" i="60"/>
  <c r="D697" i="60"/>
  <c r="C697" i="60"/>
  <c r="B697" i="60"/>
  <c r="A697" i="60"/>
  <c r="D696" i="60"/>
  <c r="C696" i="60"/>
  <c r="B696" i="60"/>
  <c r="A696" i="60"/>
  <c r="D695" i="60"/>
  <c r="C695" i="60"/>
  <c r="B695" i="60"/>
  <c r="A695" i="60"/>
  <c r="D694" i="60"/>
  <c r="C694" i="60"/>
  <c r="B694" i="60"/>
  <c r="A694" i="60"/>
  <c r="D693" i="60"/>
  <c r="C693" i="60"/>
  <c r="B693" i="60"/>
  <c r="A693" i="60"/>
  <c r="D692" i="60"/>
  <c r="C692" i="60"/>
  <c r="B692" i="60"/>
  <c r="A692" i="60"/>
  <c r="D691" i="60"/>
  <c r="C691" i="60"/>
  <c r="B691" i="60"/>
  <c r="A691" i="60"/>
  <c r="D690" i="60"/>
  <c r="C690" i="60"/>
  <c r="B690" i="60"/>
  <c r="A690" i="60"/>
  <c r="D689" i="60"/>
  <c r="C689" i="60"/>
  <c r="B689" i="60"/>
  <c r="A689" i="60"/>
  <c r="D688" i="60"/>
  <c r="C688" i="60"/>
  <c r="B688" i="60"/>
  <c r="A688" i="60"/>
  <c r="D687" i="60"/>
  <c r="C687" i="60"/>
  <c r="B687" i="60"/>
  <c r="A687" i="60"/>
  <c r="D686" i="60"/>
  <c r="C686" i="60"/>
  <c r="B686" i="60"/>
  <c r="A686" i="60"/>
  <c r="D685" i="60"/>
  <c r="C685" i="60"/>
  <c r="B685" i="60"/>
  <c r="A685" i="60"/>
  <c r="D684" i="60"/>
  <c r="C684" i="60"/>
  <c r="B684" i="60"/>
  <c r="A684" i="60"/>
  <c r="D683" i="60"/>
  <c r="C683" i="60"/>
  <c r="B683" i="60"/>
  <c r="A683" i="60"/>
  <c r="D682" i="60"/>
  <c r="C682" i="60"/>
  <c r="B682" i="60"/>
  <c r="A682" i="60"/>
  <c r="D681" i="60"/>
  <c r="C681" i="60"/>
  <c r="B681" i="60"/>
  <c r="A681" i="60"/>
  <c r="D680" i="60"/>
  <c r="C680" i="60"/>
  <c r="B680" i="60"/>
  <c r="A680" i="60"/>
  <c r="D679" i="60"/>
  <c r="C679" i="60"/>
  <c r="B679" i="60"/>
  <c r="A679" i="60"/>
  <c r="D678" i="60"/>
  <c r="C678" i="60"/>
  <c r="B678" i="60"/>
  <c r="A678" i="60"/>
  <c r="D677" i="60"/>
  <c r="C677" i="60"/>
  <c r="B677" i="60"/>
  <c r="A677" i="60"/>
  <c r="D676" i="60"/>
  <c r="C676" i="60"/>
  <c r="B676" i="60"/>
  <c r="A676" i="60"/>
  <c r="D675" i="60"/>
  <c r="C675" i="60"/>
  <c r="B675" i="60"/>
  <c r="A675" i="60"/>
  <c r="D674" i="60"/>
  <c r="C674" i="60"/>
  <c r="B674" i="60"/>
  <c r="A674" i="60"/>
  <c r="D673" i="60"/>
  <c r="C673" i="60"/>
  <c r="B673" i="60"/>
  <c r="A673" i="60"/>
  <c r="D672" i="60"/>
  <c r="C672" i="60"/>
  <c r="B672" i="60"/>
  <c r="A672" i="60"/>
  <c r="D671" i="60"/>
  <c r="C671" i="60"/>
  <c r="B671" i="60"/>
  <c r="A671" i="60"/>
  <c r="D670" i="60"/>
  <c r="C670" i="60"/>
  <c r="B670" i="60"/>
  <c r="A670" i="60"/>
  <c r="D669" i="60"/>
  <c r="C669" i="60"/>
  <c r="B669" i="60"/>
  <c r="A669" i="60"/>
  <c r="D668" i="60"/>
  <c r="C668" i="60"/>
  <c r="B668" i="60"/>
  <c r="A668" i="60"/>
  <c r="D667" i="60"/>
  <c r="C667" i="60"/>
  <c r="B667" i="60"/>
  <c r="A667" i="60"/>
  <c r="D666" i="60"/>
  <c r="C666" i="60"/>
  <c r="B666" i="60"/>
  <c r="A666" i="60"/>
  <c r="D665" i="60"/>
  <c r="C665" i="60"/>
  <c r="B665" i="60"/>
  <c r="A665" i="60"/>
  <c r="D664" i="60"/>
  <c r="C664" i="60"/>
  <c r="B664" i="60"/>
  <c r="A664" i="60"/>
  <c r="D663" i="60"/>
  <c r="C663" i="60"/>
  <c r="B663" i="60"/>
  <c r="A663" i="60"/>
  <c r="D662" i="60"/>
  <c r="C662" i="60"/>
  <c r="B662" i="60"/>
  <c r="A662" i="60"/>
  <c r="D661" i="60"/>
  <c r="C661" i="60"/>
  <c r="B661" i="60"/>
  <c r="A661" i="60"/>
  <c r="D660" i="60"/>
  <c r="C660" i="60"/>
  <c r="B660" i="60"/>
  <c r="A660" i="60"/>
  <c r="D659" i="60"/>
  <c r="C659" i="60"/>
  <c r="B659" i="60"/>
  <c r="A659" i="60"/>
  <c r="D658" i="60"/>
  <c r="C658" i="60"/>
  <c r="B658" i="60"/>
  <c r="A658" i="60"/>
  <c r="D657" i="60"/>
  <c r="C657" i="60"/>
  <c r="B657" i="60"/>
  <c r="A657" i="60"/>
  <c r="D656" i="60"/>
  <c r="C656" i="60"/>
  <c r="B656" i="60"/>
  <c r="A656" i="60"/>
  <c r="D655" i="60"/>
  <c r="C655" i="60"/>
  <c r="B655" i="60"/>
  <c r="A655" i="60"/>
  <c r="D654" i="60"/>
  <c r="C654" i="60"/>
  <c r="B654" i="60"/>
  <c r="A654" i="60"/>
  <c r="D653" i="60"/>
  <c r="C653" i="60"/>
  <c r="B653" i="60"/>
  <c r="A653" i="60"/>
  <c r="D652" i="60"/>
  <c r="C652" i="60"/>
  <c r="B652" i="60"/>
  <c r="A652" i="60"/>
  <c r="D651" i="60"/>
  <c r="C651" i="60"/>
  <c r="B651" i="60"/>
  <c r="A651" i="60"/>
  <c r="D650" i="60"/>
  <c r="C650" i="60"/>
  <c r="B650" i="60"/>
  <c r="A650" i="60"/>
  <c r="D649" i="60"/>
  <c r="C649" i="60"/>
  <c r="B649" i="60"/>
  <c r="A649" i="60"/>
  <c r="D648" i="60"/>
  <c r="C648" i="60"/>
  <c r="B648" i="60"/>
  <c r="A648" i="60"/>
  <c r="D647" i="60"/>
  <c r="C647" i="60"/>
  <c r="B647" i="60"/>
  <c r="A647" i="60"/>
  <c r="D646" i="60"/>
  <c r="C646" i="60"/>
  <c r="B646" i="60"/>
  <c r="A646" i="60"/>
  <c r="D645" i="60"/>
  <c r="C645" i="60"/>
  <c r="B645" i="60"/>
  <c r="A645" i="60"/>
  <c r="D644" i="60"/>
  <c r="C644" i="60"/>
  <c r="B644" i="60"/>
  <c r="A644" i="60"/>
  <c r="D643" i="60"/>
  <c r="C643" i="60"/>
  <c r="B643" i="60"/>
  <c r="A643" i="60"/>
  <c r="D642" i="60"/>
  <c r="C642" i="60"/>
  <c r="B642" i="60"/>
  <c r="A642" i="60"/>
  <c r="D641" i="60"/>
  <c r="C641" i="60"/>
  <c r="B641" i="60"/>
  <c r="A641" i="60"/>
  <c r="D640" i="60"/>
  <c r="C640" i="60"/>
  <c r="B640" i="60"/>
  <c r="A640" i="60"/>
  <c r="D639" i="60"/>
  <c r="C639" i="60"/>
  <c r="B639" i="60"/>
  <c r="A639" i="60"/>
  <c r="D638" i="60"/>
  <c r="C638" i="60"/>
  <c r="B638" i="60"/>
  <c r="A638" i="60"/>
  <c r="D637" i="60"/>
  <c r="C637" i="60"/>
  <c r="B637" i="60"/>
  <c r="A637" i="60"/>
  <c r="D636" i="60"/>
  <c r="C636" i="60"/>
  <c r="B636" i="60"/>
  <c r="A636" i="60"/>
  <c r="D635" i="60"/>
  <c r="C635" i="60"/>
  <c r="B635" i="60"/>
  <c r="A635" i="60"/>
  <c r="D634" i="60"/>
  <c r="C634" i="60"/>
  <c r="B634" i="60"/>
  <c r="A634" i="60"/>
  <c r="D633" i="60"/>
  <c r="C633" i="60"/>
  <c r="B633" i="60"/>
  <c r="A633" i="60"/>
  <c r="D632" i="60"/>
  <c r="C632" i="60"/>
  <c r="B632" i="60"/>
  <c r="A632" i="60"/>
  <c r="D631" i="60"/>
  <c r="C631" i="60"/>
  <c r="B631" i="60"/>
  <c r="A631" i="60"/>
  <c r="D630" i="60"/>
  <c r="C630" i="60"/>
  <c r="B630" i="60"/>
  <c r="A630" i="60"/>
  <c r="D629" i="60"/>
  <c r="C629" i="60"/>
  <c r="B629" i="60"/>
  <c r="A629" i="60"/>
  <c r="D628" i="60"/>
  <c r="C628" i="60"/>
  <c r="B628" i="60"/>
  <c r="A628" i="60"/>
  <c r="D627" i="60"/>
  <c r="C627" i="60"/>
  <c r="B627" i="60"/>
  <c r="A627" i="60"/>
  <c r="D626" i="60"/>
  <c r="C626" i="60"/>
  <c r="B626" i="60"/>
  <c r="A626" i="60"/>
  <c r="D625" i="60"/>
  <c r="C625" i="60"/>
  <c r="B625" i="60"/>
  <c r="A625" i="60"/>
  <c r="D624" i="60"/>
  <c r="C624" i="60"/>
  <c r="B624" i="60"/>
  <c r="A624" i="60"/>
  <c r="D623" i="60"/>
  <c r="C623" i="60"/>
  <c r="B623" i="60"/>
  <c r="A623" i="60"/>
  <c r="D622" i="60"/>
  <c r="C622" i="60"/>
  <c r="B622" i="60"/>
  <c r="A622" i="60"/>
  <c r="D621" i="60"/>
  <c r="C621" i="60"/>
  <c r="B621" i="60"/>
  <c r="A621" i="60"/>
  <c r="D620" i="60"/>
  <c r="C620" i="60"/>
  <c r="B620" i="60"/>
  <c r="A620" i="60"/>
  <c r="D619" i="60"/>
  <c r="C619" i="60"/>
  <c r="B619" i="60"/>
  <c r="A619" i="60"/>
  <c r="D618" i="60"/>
  <c r="C618" i="60"/>
  <c r="B618" i="60"/>
  <c r="A618" i="60"/>
  <c r="D617" i="60"/>
  <c r="C617" i="60"/>
  <c r="B617" i="60"/>
  <c r="A617" i="60"/>
  <c r="D616" i="60"/>
  <c r="C616" i="60"/>
  <c r="B616" i="60"/>
  <c r="A616" i="60"/>
  <c r="D615" i="60"/>
  <c r="C615" i="60"/>
  <c r="B615" i="60"/>
  <c r="A615" i="60"/>
  <c r="D614" i="60"/>
  <c r="C614" i="60"/>
  <c r="B614" i="60"/>
  <c r="A614" i="60"/>
  <c r="D613" i="60"/>
  <c r="C613" i="60"/>
  <c r="B613" i="60"/>
  <c r="A613" i="60"/>
  <c r="D612" i="60"/>
  <c r="C612" i="60"/>
  <c r="B612" i="60"/>
  <c r="A612" i="60"/>
  <c r="D611" i="60"/>
  <c r="C611" i="60"/>
  <c r="B611" i="60"/>
  <c r="A611" i="60"/>
  <c r="D610" i="60"/>
  <c r="C610" i="60"/>
  <c r="B610" i="60"/>
  <c r="A610" i="60"/>
  <c r="D609" i="60"/>
  <c r="C609" i="60"/>
  <c r="B609" i="60"/>
  <c r="A609" i="60"/>
  <c r="D608" i="60"/>
  <c r="C608" i="60"/>
  <c r="B608" i="60"/>
  <c r="A608" i="60"/>
  <c r="D607" i="60"/>
  <c r="C607" i="60"/>
  <c r="B607" i="60"/>
  <c r="A607" i="60"/>
  <c r="D606" i="60"/>
  <c r="C606" i="60"/>
  <c r="B606" i="60"/>
  <c r="A606" i="60"/>
  <c r="D605" i="60"/>
  <c r="C605" i="60"/>
  <c r="B605" i="60"/>
  <c r="A605" i="60"/>
  <c r="D604" i="60"/>
  <c r="C604" i="60"/>
  <c r="B604" i="60"/>
  <c r="A604" i="60"/>
  <c r="D603" i="60"/>
  <c r="C603" i="60"/>
  <c r="B603" i="60"/>
  <c r="A603" i="60"/>
  <c r="D602" i="60"/>
  <c r="C602" i="60"/>
  <c r="B602" i="60"/>
  <c r="A602" i="60"/>
  <c r="D601" i="60"/>
  <c r="C601" i="60"/>
  <c r="B601" i="60"/>
  <c r="A601" i="60"/>
  <c r="D600" i="60"/>
  <c r="C600" i="60"/>
  <c r="B600" i="60"/>
  <c r="A600" i="60"/>
  <c r="D599" i="60"/>
  <c r="C599" i="60"/>
  <c r="B599" i="60"/>
  <c r="A599" i="60"/>
  <c r="D598" i="60"/>
  <c r="C598" i="60"/>
  <c r="B598" i="60"/>
  <c r="A598" i="60"/>
  <c r="D597" i="60"/>
  <c r="C597" i="60"/>
  <c r="B597" i="60"/>
  <c r="A597" i="60"/>
  <c r="D596" i="60"/>
  <c r="C596" i="60"/>
  <c r="B596" i="60"/>
  <c r="A596" i="60"/>
  <c r="D595" i="60"/>
  <c r="C595" i="60"/>
  <c r="B595" i="60"/>
  <c r="A595" i="60"/>
  <c r="D594" i="60"/>
  <c r="C594" i="60"/>
  <c r="B594" i="60"/>
  <c r="A594" i="60"/>
  <c r="D593" i="60"/>
  <c r="C593" i="60"/>
  <c r="B593" i="60"/>
  <c r="A593" i="60"/>
  <c r="D592" i="60"/>
  <c r="C592" i="60"/>
  <c r="B592" i="60"/>
  <c r="A592" i="60"/>
  <c r="D591" i="60"/>
  <c r="C591" i="60"/>
  <c r="B591" i="60"/>
  <c r="A591" i="60"/>
  <c r="D590" i="60"/>
  <c r="C590" i="60"/>
  <c r="B590" i="60"/>
  <c r="A590" i="60"/>
  <c r="D589" i="60"/>
  <c r="C589" i="60"/>
  <c r="B589" i="60"/>
  <c r="A589" i="60"/>
  <c r="D588" i="60"/>
  <c r="C588" i="60"/>
  <c r="B588" i="60"/>
  <c r="A588" i="60"/>
  <c r="D587" i="60"/>
  <c r="C587" i="60"/>
  <c r="B587" i="60"/>
  <c r="A587" i="60"/>
  <c r="D586" i="60"/>
  <c r="C586" i="60"/>
  <c r="B586" i="60"/>
  <c r="A586" i="60"/>
  <c r="D585" i="60"/>
  <c r="C585" i="60"/>
  <c r="B585" i="60"/>
  <c r="A585" i="60"/>
  <c r="D584" i="60"/>
  <c r="C584" i="60"/>
  <c r="B584" i="60"/>
  <c r="A584" i="60"/>
  <c r="D583" i="60"/>
  <c r="C583" i="60"/>
  <c r="B583" i="60"/>
  <c r="A583" i="60"/>
  <c r="D582" i="60"/>
  <c r="C582" i="60"/>
  <c r="B582" i="60"/>
  <c r="A582" i="60"/>
  <c r="D581" i="60"/>
  <c r="C581" i="60"/>
  <c r="B581" i="60"/>
  <c r="A581" i="60"/>
  <c r="D580" i="60"/>
  <c r="C580" i="60"/>
  <c r="B580" i="60"/>
  <c r="A580" i="60"/>
  <c r="D579" i="60"/>
  <c r="C579" i="60"/>
  <c r="B579" i="60"/>
  <c r="A579" i="60"/>
  <c r="D578" i="60"/>
  <c r="C578" i="60"/>
  <c r="B578" i="60"/>
  <c r="A578" i="60"/>
  <c r="D577" i="60"/>
  <c r="C577" i="60"/>
  <c r="B577" i="60"/>
  <c r="A577" i="60"/>
  <c r="D576" i="60"/>
  <c r="C576" i="60"/>
  <c r="B576" i="60"/>
  <c r="A576" i="60"/>
  <c r="D575" i="60"/>
  <c r="C575" i="60"/>
  <c r="B575" i="60"/>
  <c r="A575" i="60"/>
  <c r="D574" i="60"/>
  <c r="C574" i="60"/>
  <c r="B574" i="60"/>
  <c r="A574" i="60"/>
  <c r="D573" i="60"/>
  <c r="C573" i="60"/>
  <c r="B573" i="60"/>
  <c r="A573" i="60"/>
  <c r="D572" i="60"/>
  <c r="C572" i="60"/>
  <c r="B572" i="60"/>
  <c r="A572" i="60"/>
  <c r="D571" i="60"/>
  <c r="C571" i="60"/>
  <c r="B571" i="60"/>
  <c r="A571" i="60"/>
  <c r="D570" i="60"/>
  <c r="C570" i="60"/>
  <c r="B570" i="60"/>
  <c r="A570" i="60"/>
  <c r="D569" i="60"/>
  <c r="C569" i="60"/>
  <c r="B569" i="60"/>
  <c r="A569" i="60"/>
  <c r="D568" i="60"/>
  <c r="C568" i="60"/>
  <c r="B568" i="60"/>
  <c r="A568" i="60"/>
  <c r="D567" i="60"/>
  <c r="C567" i="60"/>
  <c r="B567" i="60"/>
  <c r="A567" i="60"/>
  <c r="D566" i="60"/>
  <c r="C566" i="60"/>
  <c r="B566" i="60"/>
  <c r="A566" i="60"/>
  <c r="D565" i="60"/>
  <c r="C565" i="60"/>
  <c r="B565" i="60"/>
  <c r="A565" i="60"/>
  <c r="D564" i="60"/>
  <c r="C564" i="60"/>
  <c r="B564" i="60"/>
  <c r="A564" i="60"/>
  <c r="D563" i="60"/>
  <c r="C563" i="60"/>
  <c r="B563" i="60"/>
  <c r="A563" i="60"/>
  <c r="D562" i="60"/>
  <c r="C562" i="60"/>
  <c r="B562" i="60"/>
  <c r="A562" i="60"/>
  <c r="D561" i="60"/>
  <c r="C561" i="60"/>
  <c r="B561" i="60"/>
  <c r="A561" i="60"/>
  <c r="D560" i="60"/>
  <c r="C560" i="60"/>
  <c r="B560" i="60"/>
  <c r="A560" i="60"/>
  <c r="D559" i="60"/>
  <c r="C559" i="60"/>
  <c r="B559" i="60"/>
  <c r="A559" i="60"/>
  <c r="D558" i="60"/>
  <c r="C558" i="60"/>
  <c r="B558" i="60"/>
  <c r="A558" i="60"/>
  <c r="D557" i="60"/>
  <c r="C557" i="60"/>
  <c r="B557" i="60"/>
  <c r="A557" i="60"/>
  <c r="D556" i="60"/>
  <c r="C556" i="60"/>
  <c r="B556" i="60"/>
  <c r="A556" i="60"/>
  <c r="D555" i="60"/>
  <c r="C555" i="60"/>
  <c r="B555" i="60"/>
  <c r="A555" i="60"/>
  <c r="D554" i="60"/>
  <c r="C554" i="60"/>
  <c r="B554" i="60"/>
  <c r="A554" i="60"/>
  <c r="D553" i="60"/>
  <c r="C553" i="60"/>
  <c r="B553" i="60"/>
  <c r="A553" i="60"/>
  <c r="D552" i="60"/>
  <c r="C552" i="60"/>
  <c r="B552" i="60"/>
  <c r="A552" i="60"/>
  <c r="D551" i="60"/>
  <c r="C551" i="60"/>
  <c r="B551" i="60"/>
  <c r="A551" i="60"/>
  <c r="D550" i="60"/>
  <c r="C550" i="60"/>
  <c r="B550" i="60"/>
  <c r="A550" i="60"/>
  <c r="D549" i="60"/>
  <c r="C549" i="60"/>
  <c r="B549" i="60"/>
  <c r="A549" i="60"/>
  <c r="D548" i="60"/>
  <c r="C548" i="60"/>
  <c r="B548" i="60"/>
  <c r="A548" i="60"/>
  <c r="D547" i="60"/>
  <c r="C547" i="60"/>
  <c r="B547" i="60"/>
  <c r="A547" i="60"/>
  <c r="D546" i="60"/>
  <c r="C546" i="60"/>
  <c r="B546" i="60"/>
  <c r="A546" i="60"/>
  <c r="D545" i="60"/>
  <c r="C545" i="60"/>
  <c r="B545" i="60"/>
  <c r="A545" i="60"/>
  <c r="D544" i="60"/>
  <c r="C544" i="60"/>
  <c r="B544" i="60"/>
  <c r="A544" i="60"/>
  <c r="D543" i="60"/>
  <c r="C543" i="60"/>
  <c r="B543" i="60"/>
  <c r="A543" i="60"/>
  <c r="D542" i="60"/>
  <c r="C542" i="60"/>
  <c r="B542" i="60"/>
  <c r="A542" i="60"/>
  <c r="D541" i="60"/>
  <c r="C541" i="60"/>
  <c r="B541" i="60"/>
  <c r="A541" i="60"/>
  <c r="D540" i="60"/>
  <c r="C540" i="60"/>
  <c r="B540" i="60"/>
  <c r="A540" i="60"/>
  <c r="D539" i="60"/>
  <c r="C539" i="60"/>
  <c r="B539" i="60"/>
  <c r="A539" i="60"/>
  <c r="D538" i="60"/>
  <c r="C538" i="60"/>
  <c r="B538" i="60"/>
  <c r="A538" i="60"/>
  <c r="D537" i="60"/>
  <c r="C537" i="60"/>
  <c r="B537" i="60"/>
  <c r="A537" i="60"/>
  <c r="D536" i="60"/>
  <c r="C536" i="60"/>
  <c r="B536" i="60"/>
  <c r="A536" i="60"/>
  <c r="D535" i="60"/>
  <c r="C535" i="60"/>
  <c r="B535" i="60"/>
  <c r="A535" i="60"/>
  <c r="D534" i="60"/>
  <c r="C534" i="60"/>
  <c r="B534" i="60"/>
  <c r="A534" i="60"/>
  <c r="D533" i="60"/>
  <c r="C533" i="60"/>
  <c r="B533" i="60"/>
  <c r="A533" i="60"/>
  <c r="D532" i="60"/>
  <c r="C532" i="60"/>
  <c r="B532" i="60"/>
  <c r="A532" i="60"/>
  <c r="D531" i="60"/>
  <c r="C531" i="60"/>
  <c r="B531" i="60"/>
  <c r="A531" i="60"/>
  <c r="D530" i="60"/>
  <c r="C530" i="60"/>
  <c r="B530" i="60"/>
  <c r="A530" i="60"/>
  <c r="D529" i="60"/>
  <c r="C529" i="60"/>
  <c r="B529" i="60"/>
  <c r="A529" i="60"/>
  <c r="D528" i="60"/>
  <c r="C528" i="60"/>
  <c r="B528" i="60"/>
  <c r="A528" i="60"/>
  <c r="D527" i="60"/>
  <c r="C527" i="60"/>
  <c r="B527" i="60"/>
  <c r="A527" i="60"/>
  <c r="D526" i="60"/>
  <c r="C526" i="60"/>
  <c r="B526" i="60"/>
  <c r="A526" i="60"/>
  <c r="D525" i="60"/>
  <c r="C525" i="60"/>
  <c r="B525" i="60"/>
  <c r="A525" i="60"/>
  <c r="D524" i="60"/>
  <c r="C524" i="60"/>
  <c r="B524" i="60"/>
  <c r="A524" i="60"/>
  <c r="D523" i="60"/>
  <c r="C523" i="60"/>
  <c r="B523" i="60"/>
  <c r="A523" i="60"/>
  <c r="D522" i="60"/>
  <c r="C522" i="60"/>
  <c r="B522" i="60"/>
  <c r="A522" i="60"/>
  <c r="D521" i="60"/>
  <c r="C521" i="60"/>
  <c r="B521" i="60"/>
  <c r="A521" i="60"/>
  <c r="D520" i="60"/>
  <c r="C520" i="60"/>
  <c r="B520" i="60"/>
  <c r="A520" i="60"/>
  <c r="D519" i="60"/>
  <c r="C519" i="60"/>
  <c r="B519" i="60"/>
  <c r="A519" i="60"/>
  <c r="D518" i="60"/>
  <c r="C518" i="60"/>
  <c r="B518" i="60"/>
  <c r="A518" i="60"/>
  <c r="D517" i="60"/>
  <c r="C517" i="60"/>
  <c r="B517" i="60"/>
  <c r="A517" i="60"/>
  <c r="D516" i="60"/>
  <c r="C516" i="60"/>
  <c r="B516" i="60"/>
  <c r="A516" i="60"/>
  <c r="D515" i="60"/>
  <c r="C515" i="60"/>
  <c r="B515" i="60"/>
  <c r="A515" i="60"/>
  <c r="D514" i="60"/>
  <c r="C514" i="60"/>
  <c r="B514" i="60"/>
  <c r="A514" i="60"/>
  <c r="D513" i="60"/>
  <c r="C513" i="60"/>
  <c r="B513" i="60"/>
  <c r="A513" i="60"/>
  <c r="D512" i="60"/>
  <c r="C512" i="60"/>
  <c r="B512" i="60"/>
  <c r="A512" i="60"/>
  <c r="D511" i="60"/>
  <c r="C511" i="60"/>
  <c r="B511" i="60"/>
  <c r="A511" i="60"/>
  <c r="D510" i="60"/>
  <c r="C510" i="60"/>
  <c r="B510" i="60"/>
  <c r="A510" i="60"/>
  <c r="D509" i="60"/>
  <c r="C509" i="60"/>
  <c r="B509" i="60"/>
  <c r="A509" i="60"/>
  <c r="D508" i="60"/>
  <c r="C508" i="60"/>
  <c r="B508" i="60"/>
  <c r="A508" i="60"/>
  <c r="D507" i="60"/>
  <c r="C507" i="60"/>
  <c r="B507" i="60"/>
  <c r="A507" i="60"/>
  <c r="D506" i="60"/>
  <c r="C506" i="60"/>
  <c r="B506" i="60"/>
  <c r="A506" i="60"/>
  <c r="D505" i="60"/>
  <c r="C505" i="60"/>
  <c r="B505" i="60"/>
  <c r="A505" i="60"/>
  <c r="D504" i="60"/>
  <c r="C504" i="60"/>
  <c r="B504" i="60"/>
  <c r="A504" i="60"/>
  <c r="D503" i="60"/>
  <c r="C503" i="60"/>
  <c r="B503" i="60"/>
  <c r="A503" i="60"/>
  <c r="D502" i="60"/>
  <c r="C502" i="60"/>
  <c r="B502" i="60"/>
  <c r="A502" i="60"/>
  <c r="D501" i="60"/>
  <c r="C501" i="60"/>
  <c r="B501" i="60"/>
  <c r="A501" i="60"/>
  <c r="D500" i="60"/>
  <c r="C500" i="60"/>
  <c r="B500" i="60"/>
  <c r="A500" i="60"/>
  <c r="D499" i="60"/>
  <c r="C499" i="60"/>
  <c r="B499" i="60"/>
  <c r="A499" i="60"/>
  <c r="D498" i="60"/>
  <c r="C498" i="60"/>
  <c r="B498" i="60"/>
  <c r="A498" i="60"/>
  <c r="D497" i="60"/>
  <c r="C497" i="60"/>
  <c r="B497" i="60"/>
  <c r="A497" i="60"/>
  <c r="D496" i="60"/>
  <c r="C496" i="60"/>
  <c r="B496" i="60"/>
  <c r="A496" i="60"/>
  <c r="D495" i="60"/>
  <c r="C495" i="60"/>
  <c r="B495" i="60"/>
  <c r="A495" i="60"/>
  <c r="D494" i="60"/>
  <c r="C494" i="60"/>
  <c r="B494" i="60"/>
  <c r="A494" i="60"/>
  <c r="D493" i="60"/>
  <c r="C493" i="60"/>
  <c r="B493" i="60"/>
  <c r="A493" i="60"/>
  <c r="D492" i="60"/>
  <c r="C492" i="60"/>
  <c r="B492" i="60"/>
  <c r="A492" i="60"/>
  <c r="D491" i="60"/>
  <c r="C491" i="60"/>
  <c r="B491" i="60"/>
  <c r="A491" i="60"/>
  <c r="D490" i="60"/>
  <c r="C490" i="60"/>
  <c r="B490" i="60"/>
  <c r="A490" i="60"/>
  <c r="D489" i="60"/>
  <c r="C489" i="60"/>
  <c r="B489" i="60"/>
  <c r="A489" i="60"/>
  <c r="D488" i="60"/>
  <c r="C488" i="60"/>
  <c r="B488" i="60"/>
  <c r="A488" i="60"/>
  <c r="D487" i="60"/>
  <c r="C487" i="60"/>
  <c r="B487" i="60"/>
  <c r="A487" i="60"/>
  <c r="D486" i="60"/>
  <c r="C486" i="60"/>
  <c r="B486" i="60"/>
  <c r="A486" i="60"/>
  <c r="D485" i="60"/>
  <c r="C485" i="60"/>
  <c r="B485" i="60"/>
  <c r="A485" i="60"/>
  <c r="D484" i="60"/>
  <c r="C484" i="60"/>
  <c r="B484" i="60"/>
  <c r="A484" i="60"/>
  <c r="D483" i="60"/>
  <c r="C483" i="60"/>
  <c r="B483" i="60"/>
  <c r="A483" i="60"/>
  <c r="D482" i="60"/>
  <c r="C482" i="60"/>
  <c r="B482" i="60"/>
  <c r="A482" i="60"/>
  <c r="D481" i="60"/>
  <c r="C481" i="60"/>
  <c r="B481" i="60"/>
  <c r="A481" i="60"/>
  <c r="D480" i="60"/>
  <c r="C480" i="60"/>
  <c r="B480" i="60"/>
  <c r="A480" i="60"/>
  <c r="D479" i="60"/>
  <c r="C479" i="60"/>
  <c r="B479" i="60"/>
  <c r="A479" i="60"/>
  <c r="D478" i="60"/>
  <c r="C478" i="60"/>
  <c r="B478" i="60"/>
  <c r="A478" i="60"/>
  <c r="D477" i="60"/>
  <c r="C477" i="60"/>
  <c r="B477" i="60"/>
  <c r="A477" i="60"/>
  <c r="D476" i="60"/>
  <c r="C476" i="60"/>
  <c r="B476" i="60"/>
  <c r="A476" i="60"/>
  <c r="D475" i="60"/>
  <c r="C475" i="60"/>
  <c r="B475" i="60"/>
  <c r="A475" i="60"/>
  <c r="D474" i="60"/>
  <c r="C474" i="60"/>
  <c r="B474" i="60"/>
  <c r="A474" i="60"/>
  <c r="D473" i="60"/>
  <c r="C473" i="60"/>
  <c r="B473" i="60"/>
  <c r="A473" i="60"/>
  <c r="D472" i="60"/>
  <c r="C472" i="60"/>
  <c r="B472" i="60"/>
  <c r="A472" i="60"/>
  <c r="D471" i="60"/>
  <c r="C471" i="60"/>
  <c r="B471" i="60"/>
  <c r="A471" i="60"/>
  <c r="D470" i="60"/>
  <c r="C470" i="60"/>
  <c r="B470" i="60"/>
  <c r="A470" i="60"/>
  <c r="D469" i="60"/>
  <c r="C469" i="60"/>
  <c r="B469" i="60"/>
  <c r="A469" i="60"/>
  <c r="D468" i="60"/>
  <c r="C468" i="60"/>
  <c r="B468" i="60"/>
  <c r="A468" i="60"/>
  <c r="D467" i="60"/>
  <c r="C467" i="60"/>
  <c r="B467" i="60"/>
  <c r="A467" i="60"/>
  <c r="D466" i="60"/>
  <c r="C466" i="60"/>
  <c r="B466" i="60"/>
  <c r="A466" i="60"/>
  <c r="D465" i="60"/>
  <c r="C465" i="60"/>
  <c r="B465" i="60"/>
  <c r="A465" i="60"/>
  <c r="D464" i="60"/>
  <c r="C464" i="60"/>
  <c r="B464" i="60"/>
  <c r="A464" i="60"/>
  <c r="D463" i="60"/>
  <c r="C463" i="60"/>
  <c r="B463" i="60"/>
  <c r="A463" i="60"/>
  <c r="D462" i="60"/>
  <c r="C462" i="60"/>
  <c r="B462" i="60"/>
  <c r="A462" i="60"/>
  <c r="D461" i="60"/>
  <c r="C461" i="60"/>
  <c r="B461" i="60"/>
  <c r="A461" i="60"/>
  <c r="D460" i="60"/>
  <c r="C460" i="60"/>
  <c r="B460" i="60"/>
  <c r="A460" i="60"/>
  <c r="D459" i="60"/>
  <c r="C459" i="60"/>
  <c r="B459" i="60"/>
  <c r="A459" i="60"/>
  <c r="D458" i="60"/>
  <c r="C458" i="60"/>
  <c r="B458" i="60"/>
  <c r="A458" i="60"/>
  <c r="D457" i="60"/>
  <c r="C457" i="60"/>
  <c r="B457" i="60"/>
  <c r="A457" i="60"/>
  <c r="D456" i="60"/>
  <c r="C456" i="60"/>
  <c r="B456" i="60"/>
  <c r="A456" i="60"/>
  <c r="D455" i="60"/>
  <c r="C455" i="60"/>
  <c r="B455" i="60"/>
  <c r="A455" i="60"/>
  <c r="D454" i="60"/>
  <c r="C454" i="60"/>
  <c r="B454" i="60"/>
  <c r="A454" i="60"/>
  <c r="D453" i="60"/>
  <c r="C453" i="60"/>
  <c r="B453" i="60"/>
  <c r="A453" i="60"/>
  <c r="D452" i="60"/>
  <c r="C452" i="60"/>
  <c r="B452" i="60"/>
  <c r="A452" i="60"/>
  <c r="D451" i="60"/>
  <c r="C451" i="60"/>
  <c r="B451" i="60"/>
  <c r="A451" i="60"/>
  <c r="D450" i="60"/>
  <c r="C450" i="60"/>
  <c r="B450" i="60"/>
  <c r="A450" i="60"/>
  <c r="D449" i="60"/>
  <c r="C449" i="60"/>
  <c r="B449" i="60"/>
  <c r="A449" i="60"/>
  <c r="D448" i="60"/>
  <c r="C448" i="60"/>
  <c r="B448" i="60"/>
  <c r="A448" i="60"/>
  <c r="D447" i="60"/>
  <c r="C447" i="60"/>
  <c r="B447" i="60"/>
  <c r="A447" i="60"/>
  <c r="D446" i="60"/>
  <c r="C446" i="60"/>
  <c r="B446" i="60"/>
  <c r="A446" i="60"/>
  <c r="D445" i="60"/>
  <c r="C445" i="60"/>
  <c r="B445" i="60"/>
  <c r="A445" i="60"/>
  <c r="D444" i="60"/>
  <c r="C444" i="60"/>
  <c r="B444" i="60"/>
  <c r="A444" i="60"/>
  <c r="D443" i="60"/>
  <c r="C443" i="60"/>
  <c r="B443" i="60"/>
  <c r="A443" i="60"/>
  <c r="D442" i="60"/>
  <c r="C442" i="60"/>
  <c r="B442" i="60"/>
  <c r="A442" i="60"/>
  <c r="D441" i="60"/>
  <c r="C441" i="60"/>
  <c r="B441" i="60"/>
  <c r="A441" i="60"/>
  <c r="D440" i="60"/>
  <c r="C440" i="60"/>
  <c r="B440" i="60"/>
  <c r="A440" i="60"/>
  <c r="D439" i="60"/>
  <c r="C439" i="60"/>
  <c r="B439" i="60"/>
  <c r="A439" i="60"/>
  <c r="D438" i="60"/>
  <c r="C438" i="60"/>
  <c r="B438" i="60"/>
  <c r="A438" i="60"/>
  <c r="D437" i="60"/>
  <c r="C437" i="60"/>
  <c r="B437" i="60"/>
  <c r="A437" i="60"/>
  <c r="D436" i="60"/>
  <c r="C436" i="60"/>
  <c r="B436" i="60"/>
  <c r="A436" i="60"/>
  <c r="D435" i="60"/>
  <c r="C435" i="60"/>
  <c r="B435" i="60"/>
  <c r="A435" i="60"/>
  <c r="D434" i="60"/>
  <c r="C434" i="60"/>
  <c r="B434" i="60"/>
  <c r="A434" i="60"/>
  <c r="D433" i="60"/>
  <c r="C433" i="60"/>
  <c r="B433" i="60"/>
  <c r="A433" i="60"/>
  <c r="D432" i="60"/>
  <c r="C432" i="60"/>
  <c r="B432" i="60"/>
  <c r="A432" i="60"/>
  <c r="D431" i="60"/>
  <c r="C431" i="60"/>
  <c r="B431" i="60"/>
  <c r="A431" i="60"/>
  <c r="D430" i="60"/>
  <c r="C430" i="60"/>
  <c r="B430" i="60"/>
  <c r="A430" i="60"/>
  <c r="D429" i="60"/>
  <c r="C429" i="60"/>
  <c r="B429" i="60"/>
  <c r="A429" i="60"/>
  <c r="D428" i="60"/>
  <c r="C428" i="60"/>
  <c r="B428" i="60"/>
  <c r="A428" i="60"/>
  <c r="D427" i="60"/>
  <c r="C427" i="60"/>
  <c r="B427" i="60"/>
  <c r="A427" i="60"/>
  <c r="D426" i="60"/>
  <c r="C426" i="60"/>
  <c r="B426" i="60"/>
  <c r="A426" i="60"/>
  <c r="D425" i="60"/>
  <c r="C425" i="60"/>
  <c r="B425" i="60"/>
  <c r="A425" i="60"/>
  <c r="D424" i="60"/>
  <c r="C424" i="60"/>
  <c r="B424" i="60"/>
  <c r="A424" i="60"/>
  <c r="D423" i="60"/>
  <c r="C423" i="60"/>
  <c r="B423" i="60"/>
  <c r="A423" i="60"/>
  <c r="D422" i="60"/>
  <c r="C422" i="60"/>
  <c r="B422" i="60"/>
  <c r="A422" i="60"/>
  <c r="D421" i="60"/>
  <c r="C421" i="60"/>
  <c r="B421" i="60"/>
  <c r="A421" i="60"/>
  <c r="D420" i="60"/>
  <c r="C420" i="60"/>
  <c r="B420" i="60"/>
  <c r="A420" i="60"/>
  <c r="D419" i="60"/>
  <c r="C419" i="60"/>
  <c r="B419" i="60"/>
  <c r="A419" i="60"/>
  <c r="D418" i="60"/>
  <c r="C418" i="60"/>
  <c r="B418" i="60"/>
  <c r="A418" i="60"/>
  <c r="D417" i="60"/>
  <c r="C417" i="60"/>
  <c r="B417" i="60"/>
  <c r="A417" i="60"/>
  <c r="D416" i="60"/>
  <c r="C416" i="60"/>
  <c r="B416" i="60"/>
  <c r="A416" i="60"/>
  <c r="D415" i="60"/>
  <c r="C415" i="60"/>
  <c r="B415" i="60"/>
  <c r="A415" i="60"/>
  <c r="D414" i="60"/>
  <c r="C414" i="60"/>
  <c r="B414" i="60"/>
  <c r="A414" i="60"/>
  <c r="D413" i="60"/>
  <c r="C413" i="60"/>
  <c r="B413" i="60"/>
  <c r="A413" i="60"/>
  <c r="D412" i="60"/>
  <c r="C412" i="60"/>
  <c r="B412" i="60"/>
  <c r="A412" i="60"/>
  <c r="D411" i="60"/>
  <c r="C411" i="60"/>
  <c r="B411" i="60"/>
  <c r="A411" i="60"/>
  <c r="D410" i="60"/>
  <c r="C410" i="60"/>
  <c r="B410" i="60"/>
  <c r="A410" i="60"/>
  <c r="D409" i="60"/>
  <c r="C409" i="60"/>
  <c r="B409" i="60"/>
  <c r="A409" i="60"/>
  <c r="D408" i="60"/>
  <c r="C408" i="60"/>
  <c r="B408" i="60"/>
  <c r="A408" i="60"/>
  <c r="D407" i="60"/>
  <c r="C407" i="60"/>
  <c r="B407" i="60"/>
  <c r="A407" i="60"/>
  <c r="D406" i="60"/>
  <c r="C406" i="60"/>
  <c r="B406" i="60"/>
  <c r="A406" i="60"/>
  <c r="D405" i="60"/>
  <c r="C405" i="60"/>
  <c r="B405" i="60"/>
  <c r="A405" i="60"/>
  <c r="D404" i="60"/>
  <c r="C404" i="60"/>
  <c r="B404" i="60"/>
  <c r="A404" i="60"/>
  <c r="D403" i="60"/>
  <c r="C403" i="60"/>
  <c r="B403" i="60"/>
  <c r="A403" i="60"/>
  <c r="D402" i="60"/>
  <c r="C402" i="60"/>
  <c r="B402" i="60"/>
  <c r="A402" i="60"/>
  <c r="D401" i="60"/>
  <c r="C401" i="60"/>
  <c r="B401" i="60"/>
  <c r="A401" i="60"/>
  <c r="D400" i="60"/>
  <c r="C400" i="60"/>
  <c r="B400" i="60"/>
  <c r="A400" i="60"/>
  <c r="D399" i="60"/>
  <c r="C399" i="60"/>
  <c r="B399" i="60"/>
  <c r="A399" i="60"/>
  <c r="D398" i="60"/>
  <c r="C398" i="60"/>
  <c r="B398" i="60"/>
  <c r="A398" i="60"/>
  <c r="D397" i="60"/>
  <c r="C397" i="60"/>
  <c r="B397" i="60"/>
  <c r="A397" i="60"/>
  <c r="D396" i="60"/>
  <c r="C396" i="60"/>
  <c r="B396" i="60"/>
  <c r="A396" i="60"/>
  <c r="D395" i="60"/>
  <c r="C395" i="60"/>
  <c r="B395" i="60"/>
  <c r="A395" i="60"/>
  <c r="D394" i="60"/>
  <c r="C394" i="60"/>
  <c r="B394" i="60"/>
  <c r="A394" i="60"/>
  <c r="D393" i="60"/>
  <c r="C393" i="60"/>
  <c r="B393" i="60"/>
  <c r="A393" i="60"/>
  <c r="D392" i="60"/>
  <c r="C392" i="60"/>
  <c r="B392" i="60"/>
  <c r="A392" i="60"/>
  <c r="D391" i="60"/>
  <c r="C391" i="60"/>
  <c r="B391" i="60"/>
  <c r="A391" i="60"/>
  <c r="D390" i="60"/>
  <c r="C390" i="60"/>
  <c r="B390" i="60"/>
  <c r="A390" i="60"/>
  <c r="D389" i="60"/>
  <c r="C389" i="60"/>
  <c r="B389" i="60"/>
  <c r="A389" i="60"/>
  <c r="D388" i="60"/>
  <c r="C388" i="60"/>
  <c r="B388" i="60"/>
  <c r="A388" i="60"/>
  <c r="D387" i="60"/>
  <c r="C387" i="60"/>
  <c r="B387" i="60"/>
  <c r="A387" i="60"/>
  <c r="D386" i="60"/>
  <c r="C386" i="60"/>
  <c r="B386" i="60"/>
  <c r="A386" i="60"/>
  <c r="D385" i="60"/>
  <c r="C385" i="60"/>
  <c r="B385" i="60"/>
  <c r="A385" i="60"/>
  <c r="D384" i="60"/>
  <c r="C384" i="60"/>
  <c r="B384" i="60"/>
  <c r="A384" i="60"/>
  <c r="D383" i="60"/>
  <c r="C383" i="60"/>
  <c r="B383" i="60"/>
  <c r="A383" i="60"/>
  <c r="D382" i="60"/>
  <c r="C382" i="60"/>
  <c r="B382" i="60"/>
  <c r="A382" i="60"/>
  <c r="D381" i="60"/>
  <c r="C381" i="60"/>
  <c r="B381" i="60"/>
  <c r="A381" i="60"/>
  <c r="D380" i="60"/>
  <c r="C380" i="60"/>
  <c r="B380" i="60"/>
  <c r="A380" i="60"/>
  <c r="D379" i="60"/>
  <c r="C379" i="60"/>
  <c r="B379" i="60"/>
  <c r="A379" i="60"/>
  <c r="D378" i="60"/>
  <c r="C378" i="60"/>
  <c r="B378" i="60"/>
  <c r="A378" i="60"/>
  <c r="D377" i="60"/>
  <c r="C377" i="60"/>
  <c r="B377" i="60"/>
  <c r="A377" i="60"/>
  <c r="D376" i="60"/>
  <c r="C376" i="60"/>
  <c r="B376" i="60"/>
  <c r="A376" i="60"/>
  <c r="D375" i="60"/>
  <c r="C375" i="60"/>
  <c r="B375" i="60"/>
  <c r="A375" i="60"/>
  <c r="D374" i="60"/>
  <c r="C374" i="60"/>
  <c r="B374" i="60"/>
  <c r="A374" i="60"/>
  <c r="D373" i="60"/>
  <c r="C373" i="60"/>
  <c r="B373" i="60"/>
  <c r="A373" i="60"/>
  <c r="D372" i="60"/>
  <c r="C372" i="60"/>
  <c r="B372" i="60"/>
  <c r="A372" i="60"/>
  <c r="D371" i="60"/>
  <c r="C371" i="60"/>
  <c r="B371" i="60"/>
  <c r="A371" i="60"/>
  <c r="D370" i="60"/>
  <c r="C370" i="60"/>
  <c r="B370" i="60"/>
  <c r="A370" i="60"/>
  <c r="D369" i="60"/>
  <c r="C369" i="60"/>
  <c r="B369" i="60"/>
  <c r="A369" i="60"/>
  <c r="D368" i="60"/>
  <c r="C368" i="60"/>
  <c r="B368" i="60"/>
  <c r="A368" i="60"/>
  <c r="D367" i="60"/>
  <c r="C367" i="60"/>
  <c r="B367" i="60"/>
  <c r="A367" i="60"/>
  <c r="D366" i="60"/>
  <c r="C366" i="60"/>
  <c r="B366" i="60"/>
  <c r="A366" i="60"/>
  <c r="D365" i="60"/>
  <c r="C365" i="60"/>
  <c r="B365" i="60"/>
  <c r="A365" i="60"/>
  <c r="D364" i="60"/>
  <c r="C364" i="60"/>
  <c r="B364" i="60"/>
  <c r="A364" i="60"/>
  <c r="D363" i="60"/>
  <c r="C363" i="60"/>
  <c r="B363" i="60"/>
  <c r="A363" i="60"/>
  <c r="D362" i="60"/>
  <c r="C362" i="60"/>
  <c r="B362" i="60"/>
  <c r="A362" i="60"/>
  <c r="D361" i="60"/>
  <c r="C361" i="60"/>
  <c r="B361" i="60"/>
  <c r="A361" i="60"/>
  <c r="D360" i="60"/>
  <c r="C360" i="60"/>
  <c r="B360" i="60"/>
  <c r="A360" i="60"/>
  <c r="D359" i="60"/>
  <c r="C359" i="60"/>
  <c r="B359" i="60"/>
  <c r="A359" i="60"/>
  <c r="D358" i="60"/>
  <c r="C358" i="60"/>
  <c r="B358" i="60"/>
  <c r="A358" i="60"/>
  <c r="D357" i="60"/>
  <c r="C357" i="60"/>
  <c r="B357" i="60"/>
  <c r="A357" i="60"/>
  <c r="D356" i="60"/>
  <c r="C356" i="60"/>
  <c r="B356" i="60"/>
  <c r="A356" i="60"/>
  <c r="D355" i="60"/>
  <c r="C355" i="60"/>
  <c r="B355" i="60"/>
  <c r="A355" i="60"/>
  <c r="D354" i="60"/>
  <c r="C354" i="60"/>
  <c r="B354" i="60"/>
  <c r="A354" i="60"/>
  <c r="D353" i="60"/>
  <c r="C353" i="60"/>
  <c r="B353" i="60"/>
  <c r="A353" i="60"/>
  <c r="D352" i="60"/>
  <c r="C352" i="60"/>
  <c r="B352" i="60"/>
  <c r="A352" i="60"/>
  <c r="D351" i="60"/>
  <c r="C351" i="60"/>
  <c r="B351" i="60"/>
  <c r="A351" i="60"/>
  <c r="D350" i="60"/>
  <c r="C350" i="60"/>
  <c r="B350" i="60"/>
  <c r="A350" i="60"/>
  <c r="D349" i="60"/>
  <c r="C349" i="60"/>
  <c r="B349" i="60"/>
  <c r="A349" i="60"/>
  <c r="D348" i="60"/>
  <c r="C348" i="60"/>
  <c r="B348" i="60"/>
  <c r="A348" i="60"/>
  <c r="D347" i="60"/>
  <c r="C347" i="60"/>
  <c r="B347" i="60"/>
  <c r="A347" i="60"/>
  <c r="D346" i="60"/>
  <c r="C346" i="60"/>
  <c r="B346" i="60"/>
  <c r="A346" i="60"/>
  <c r="D345" i="60"/>
  <c r="C345" i="60"/>
  <c r="B345" i="60"/>
  <c r="A345" i="60"/>
  <c r="D344" i="60"/>
  <c r="C344" i="60"/>
  <c r="B344" i="60"/>
  <c r="A344" i="60"/>
  <c r="D343" i="60"/>
  <c r="C343" i="60"/>
  <c r="B343" i="60"/>
  <c r="A343" i="60"/>
  <c r="D342" i="60"/>
  <c r="C342" i="60"/>
  <c r="B342" i="60"/>
  <c r="A342" i="60"/>
  <c r="D341" i="60"/>
  <c r="C341" i="60"/>
  <c r="B341" i="60"/>
  <c r="A341" i="60"/>
  <c r="D340" i="60"/>
  <c r="C340" i="60"/>
  <c r="B340" i="60"/>
  <c r="A340" i="60"/>
  <c r="D339" i="60"/>
  <c r="C339" i="60"/>
  <c r="B339" i="60"/>
  <c r="A339" i="60"/>
  <c r="D338" i="60"/>
  <c r="C338" i="60"/>
  <c r="B338" i="60"/>
  <c r="A338" i="60"/>
  <c r="D337" i="60"/>
  <c r="C337" i="60"/>
  <c r="B337" i="60"/>
  <c r="A337" i="60"/>
  <c r="D336" i="60"/>
  <c r="C336" i="60"/>
  <c r="B336" i="60"/>
  <c r="A336" i="60"/>
  <c r="D335" i="60"/>
  <c r="C335" i="60"/>
  <c r="B335" i="60"/>
  <c r="A335" i="60"/>
  <c r="D334" i="60"/>
  <c r="C334" i="60"/>
  <c r="B334" i="60"/>
  <c r="A334" i="60"/>
  <c r="D333" i="60"/>
  <c r="C333" i="60"/>
  <c r="B333" i="60"/>
  <c r="A333" i="60"/>
  <c r="D332" i="60"/>
  <c r="C332" i="60"/>
  <c r="B332" i="60"/>
  <c r="A332" i="60"/>
  <c r="D331" i="60"/>
  <c r="C331" i="60"/>
  <c r="B331" i="60"/>
  <c r="A331" i="60"/>
  <c r="D330" i="60"/>
  <c r="C330" i="60"/>
  <c r="B330" i="60"/>
  <c r="A330" i="60"/>
  <c r="D329" i="60"/>
  <c r="C329" i="60"/>
  <c r="B329" i="60"/>
  <c r="A329" i="60"/>
  <c r="D328" i="60"/>
  <c r="C328" i="60"/>
  <c r="B328" i="60"/>
  <c r="A328" i="60"/>
  <c r="D327" i="60"/>
  <c r="C327" i="60"/>
  <c r="B327" i="60"/>
  <c r="A327" i="60"/>
  <c r="D326" i="60"/>
  <c r="C326" i="60"/>
  <c r="B326" i="60"/>
  <c r="A326" i="60"/>
  <c r="D325" i="60"/>
  <c r="C325" i="60"/>
  <c r="B325" i="60"/>
  <c r="A325" i="60"/>
  <c r="D324" i="60"/>
  <c r="C324" i="60"/>
  <c r="B324" i="60"/>
  <c r="A324" i="60"/>
  <c r="D323" i="60"/>
  <c r="C323" i="60"/>
  <c r="B323" i="60"/>
  <c r="A323" i="60"/>
  <c r="D322" i="60"/>
  <c r="C322" i="60"/>
  <c r="B322" i="60"/>
  <c r="A322" i="60"/>
  <c r="D321" i="60"/>
  <c r="C321" i="60"/>
  <c r="B321" i="60"/>
  <c r="A321" i="60"/>
  <c r="D320" i="60"/>
  <c r="C320" i="60"/>
  <c r="B320" i="60"/>
  <c r="A320" i="60"/>
  <c r="D319" i="60"/>
  <c r="C319" i="60"/>
  <c r="B319" i="60"/>
  <c r="A319" i="60"/>
  <c r="D318" i="60"/>
  <c r="C318" i="60"/>
  <c r="B318" i="60"/>
  <c r="A318" i="60"/>
  <c r="D317" i="60"/>
  <c r="C317" i="60"/>
  <c r="B317" i="60"/>
  <c r="A317" i="60"/>
  <c r="D316" i="60"/>
  <c r="C316" i="60"/>
  <c r="B316" i="60"/>
  <c r="A316" i="60"/>
  <c r="D315" i="60"/>
  <c r="C315" i="60"/>
  <c r="B315" i="60"/>
  <c r="A315" i="60"/>
  <c r="D314" i="60"/>
  <c r="C314" i="60"/>
  <c r="B314" i="60"/>
  <c r="A314" i="60"/>
  <c r="D313" i="60"/>
  <c r="C313" i="60"/>
  <c r="B313" i="60"/>
  <c r="A313" i="60"/>
  <c r="D312" i="60"/>
  <c r="C312" i="60"/>
  <c r="B312" i="60"/>
  <c r="A312" i="60"/>
  <c r="D311" i="60"/>
  <c r="C311" i="60"/>
  <c r="B311" i="60"/>
  <c r="A311" i="60"/>
  <c r="D310" i="60"/>
  <c r="C310" i="60"/>
  <c r="B310" i="60"/>
  <c r="A310" i="60"/>
  <c r="D309" i="60"/>
  <c r="C309" i="60"/>
  <c r="B309" i="60"/>
  <c r="A309" i="60"/>
  <c r="D308" i="60"/>
  <c r="C308" i="60"/>
  <c r="B308" i="60"/>
  <c r="A308" i="60"/>
  <c r="D307" i="60"/>
  <c r="C307" i="60"/>
  <c r="B307" i="60"/>
  <c r="A307" i="60"/>
  <c r="D306" i="60"/>
  <c r="C306" i="60"/>
  <c r="B306" i="60"/>
  <c r="A306" i="60"/>
  <c r="D305" i="60"/>
  <c r="C305" i="60"/>
  <c r="B305" i="60"/>
  <c r="A305" i="60"/>
  <c r="D304" i="60"/>
  <c r="C304" i="60"/>
  <c r="B304" i="60"/>
  <c r="A304" i="60"/>
  <c r="D303" i="60"/>
  <c r="C303" i="60"/>
  <c r="B303" i="60"/>
  <c r="A303" i="60"/>
  <c r="D302" i="60"/>
  <c r="C302" i="60"/>
  <c r="B302" i="60"/>
  <c r="A302" i="60"/>
  <c r="D301" i="60"/>
  <c r="C301" i="60"/>
  <c r="B301" i="60"/>
  <c r="A301" i="60"/>
  <c r="D300" i="60"/>
  <c r="C300" i="60"/>
  <c r="B300" i="60"/>
  <c r="A300" i="60"/>
  <c r="D299" i="60"/>
  <c r="C299" i="60"/>
  <c r="B299" i="60"/>
  <c r="A299" i="60"/>
  <c r="D298" i="60"/>
  <c r="C298" i="60"/>
  <c r="B298" i="60"/>
  <c r="A298" i="60"/>
  <c r="D297" i="60"/>
  <c r="C297" i="60"/>
  <c r="B297" i="60"/>
  <c r="A297" i="60"/>
  <c r="D296" i="60"/>
  <c r="C296" i="60"/>
  <c r="B296" i="60"/>
  <c r="A296" i="60"/>
  <c r="D295" i="60"/>
  <c r="C295" i="60"/>
  <c r="B295" i="60"/>
  <c r="A295" i="60"/>
  <c r="D294" i="60"/>
  <c r="C294" i="60"/>
  <c r="B294" i="60"/>
  <c r="A294" i="60"/>
  <c r="D293" i="60"/>
  <c r="C293" i="60"/>
  <c r="B293" i="60"/>
  <c r="A293" i="60"/>
  <c r="D292" i="60"/>
  <c r="C292" i="60"/>
  <c r="B292" i="60"/>
  <c r="A292" i="60"/>
  <c r="D291" i="60"/>
  <c r="C291" i="60"/>
  <c r="B291" i="60"/>
  <c r="A291" i="60"/>
  <c r="D290" i="60"/>
  <c r="C290" i="60"/>
  <c r="B290" i="60"/>
  <c r="A290" i="60"/>
  <c r="D289" i="60"/>
  <c r="C289" i="60"/>
  <c r="B289" i="60"/>
  <c r="A289" i="60"/>
  <c r="D288" i="60"/>
  <c r="C288" i="60"/>
  <c r="B288" i="60"/>
  <c r="A288" i="60"/>
  <c r="D287" i="60"/>
  <c r="C287" i="60"/>
  <c r="B287" i="60"/>
  <c r="A287" i="60"/>
  <c r="D286" i="60"/>
  <c r="C286" i="60"/>
  <c r="B286" i="60"/>
  <c r="A286" i="60"/>
  <c r="D285" i="60"/>
  <c r="C285" i="60"/>
  <c r="B285" i="60"/>
  <c r="A285" i="60"/>
  <c r="D284" i="60"/>
  <c r="C284" i="60"/>
  <c r="B284" i="60"/>
  <c r="A284" i="60"/>
  <c r="D283" i="60"/>
  <c r="C283" i="60"/>
  <c r="B283" i="60"/>
  <c r="A283" i="60"/>
  <c r="D282" i="60"/>
  <c r="C282" i="60"/>
  <c r="B282" i="60"/>
  <c r="A282" i="60"/>
  <c r="D281" i="60"/>
  <c r="C281" i="60"/>
  <c r="B281" i="60"/>
  <c r="A281" i="60"/>
  <c r="D280" i="60"/>
  <c r="C280" i="60"/>
  <c r="B280" i="60"/>
  <c r="A280" i="60"/>
  <c r="D279" i="60"/>
  <c r="C279" i="60"/>
  <c r="B279" i="60"/>
  <c r="A279" i="60"/>
  <c r="D278" i="60"/>
  <c r="C278" i="60"/>
  <c r="B278" i="60"/>
  <c r="A278" i="60"/>
  <c r="D277" i="60"/>
  <c r="C277" i="60"/>
  <c r="B277" i="60"/>
  <c r="A277" i="60"/>
  <c r="D276" i="60"/>
  <c r="C276" i="60"/>
  <c r="B276" i="60"/>
  <c r="A276" i="60"/>
  <c r="D275" i="60"/>
  <c r="C275" i="60"/>
  <c r="B275" i="60"/>
  <c r="A275" i="60"/>
  <c r="D274" i="60"/>
  <c r="C274" i="60"/>
  <c r="B274" i="60"/>
  <c r="A274" i="60"/>
  <c r="D273" i="60"/>
  <c r="C273" i="60"/>
  <c r="B273" i="60"/>
  <c r="A273" i="60"/>
  <c r="D272" i="60"/>
  <c r="C272" i="60"/>
  <c r="B272" i="60"/>
  <c r="A272" i="60"/>
  <c r="D271" i="60"/>
  <c r="C271" i="60"/>
  <c r="B271" i="60"/>
  <c r="A271" i="60"/>
  <c r="D270" i="60"/>
  <c r="C270" i="60"/>
  <c r="B270" i="60"/>
  <c r="A270" i="60"/>
  <c r="D269" i="60"/>
  <c r="C269" i="60"/>
  <c r="B269" i="60"/>
  <c r="A269" i="60"/>
  <c r="D268" i="60"/>
  <c r="C268" i="60"/>
  <c r="B268" i="60"/>
  <c r="A268" i="60"/>
  <c r="D267" i="60"/>
  <c r="C267" i="60"/>
  <c r="B267" i="60"/>
  <c r="A267" i="60"/>
  <c r="D266" i="60"/>
  <c r="C266" i="60"/>
  <c r="B266" i="60"/>
  <c r="A266" i="60"/>
  <c r="D265" i="60"/>
  <c r="C265" i="60"/>
  <c r="B265" i="60"/>
  <c r="A265" i="60"/>
  <c r="D264" i="60"/>
  <c r="C264" i="60"/>
  <c r="B264" i="60"/>
  <c r="A264" i="60"/>
  <c r="D263" i="60"/>
  <c r="C263" i="60"/>
  <c r="B263" i="60"/>
  <c r="A263" i="60"/>
  <c r="D262" i="60"/>
  <c r="C262" i="60"/>
  <c r="B262" i="60"/>
  <c r="A262" i="60"/>
  <c r="D261" i="60"/>
  <c r="C261" i="60"/>
  <c r="B261" i="60"/>
  <c r="A261" i="60"/>
  <c r="D260" i="60"/>
  <c r="C260" i="60"/>
  <c r="B260" i="60"/>
  <c r="A260" i="60"/>
  <c r="D259" i="60"/>
  <c r="C259" i="60"/>
  <c r="B259" i="60"/>
  <c r="A259" i="60"/>
  <c r="D258" i="60"/>
  <c r="C258" i="60"/>
  <c r="B258" i="60"/>
  <c r="A258" i="60"/>
  <c r="D257" i="60"/>
  <c r="C257" i="60"/>
  <c r="B257" i="60"/>
  <c r="A257" i="60"/>
  <c r="D256" i="60"/>
  <c r="C256" i="60"/>
  <c r="B256" i="60"/>
  <c r="A256" i="60"/>
  <c r="D255" i="60"/>
  <c r="C255" i="60"/>
  <c r="B255" i="60"/>
  <c r="A255" i="60"/>
  <c r="D254" i="60"/>
  <c r="C254" i="60"/>
  <c r="B254" i="60"/>
  <c r="A254" i="60"/>
  <c r="D253" i="60"/>
  <c r="C253" i="60"/>
  <c r="B253" i="60"/>
  <c r="A253" i="60"/>
  <c r="D252" i="60"/>
  <c r="C252" i="60"/>
  <c r="B252" i="60"/>
  <c r="A252" i="60"/>
  <c r="D251" i="60"/>
  <c r="C251" i="60"/>
  <c r="B251" i="60"/>
  <c r="A251" i="60"/>
  <c r="D250" i="60"/>
  <c r="C250" i="60"/>
  <c r="B250" i="60"/>
  <c r="A250" i="60"/>
  <c r="D249" i="60"/>
  <c r="C249" i="60"/>
  <c r="B249" i="60"/>
  <c r="A249" i="60"/>
  <c r="D248" i="60"/>
  <c r="C248" i="60"/>
  <c r="B248" i="60"/>
  <c r="A248" i="60"/>
  <c r="D247" i="60"/>
  <c r="C247" i="60"/>
  <c r="B247" i="60"/>
  <c r="A247" i="60"/>
  <c r="D246" i="60"/>
  <c r="C246" i="60"/>
  <c r="B246" i="60"/>
  <c r="A246" i="60"/>
  <c r="D245" i="60"/>
  <c r="C245" i="60"/>
  <c r="B245" i="60"/>
  <c r="A245" i="60"/>
  <c r="D244" i="60"/>
  <c r="C244" i="60"/>
  <c r="B244" i="60"/>
  <c r="A244" i="60"/>
  <c r="D243" i="60"/>
  <c r="C243" i="60"/>
  <c r="B243" i="60"/>
  <c r="A243" i="60"/>
  <c r="D242" i="60"/>
  <c r="C242" i="60"/>
  <c r="B242" i="60"/>
  <c r="A242" i="60"/>
  <c r="D241" i="60"/>
  <c r="C241" i="60"/>
  <c r="B241" i="60"/>
  <c r="A241" i="60"/>
  <c r="D240" i="60"/>
  <c r="C240" i="60"/>
  <c r="B240" i="60"/>
  <c r="A240" i="60"/>
  <c r="D239" i="60"/>
  <c r="C239" i="60"/>
  <c r="B239" i="60"/>
  <c r="A239" i="60"/>
  <c r="D238" i="60"/>
  <c r="C238" i="60"/>
  <c r="B238" i="60"/>
  <c r="A238" i="60"/>
  <c r="D237" i="60"/>
  <c r="C237" i="60"/>
  <c r="B237" i="60"/>
  <c r="A237" i="60"/>
  <c r="D236" i="60"/>
  <c r="C236" i="60"/>
  <c r="B236" i="60"/>
  <c r="A236" i="60"/>
  <c r="D235" i="60"/>
  <c r="C235" i="60"/>
  <c r="B235" i="60"/>
  <c r="A235" i="60"/>
  <c r="D234" i="60"/>
  <c r="C234" i="60"/>
  <c r="B234" i="60"/>
  <c r="A234" i="60"/>
  <c r="D233" i="60"/>
  <c r="C233" i="60"/>
  <c r="B233" i="60"/>
  <c r="A233" i="60"/>
  <c r="D232" i="60"/>
  <c r="C232" i="60"/>
  <c r="B232" i="60"/>
  <c r="A232" i="60"/>
  <c r="D231" i="60"/>
  <c r="C231" i="60"/>
  <c r="B231" i="60"/>
  <c r="A231" i="60"/>
  <c r="D230" i="60"/>
  <c r="C230" i="60"/>
  <c r="B230" i="60"/>
  <c r="A230" i="60"/>
  <c r="D229" i="60"/>
  <c r="C229" i="60"/>
  <c r="B229" i="60"/>
  <c r="A229" i="60"/>
  <c r="D228" i="60"/>
  <c r="C228" i="60"/>
  <c r="B228" i="60"/>
  <c r="A228" i="60"/>
  <c r="D227" i="60"/>
  <c r="C227" i="60"/>
  <c r="B227" i="60"/>
  <c r="A227" i="60"/>
  <c r="D226" i="60"/>
  <c r="C226" i="60"/>
  <c r="B226" i="60"/>
  <c r="A226" i="60"/>
  <c r="D225" i="60"/>
  <c r="C225" i="60"/>
  <c r="B225" i="60"/>
  <c r="A225" i="60"/>
  <c r="D224" i="60"/>
  <c r="C224" i="60"/>
  <c r="B224" i="60"/>
  <c r="A224" i="60"/>
  <c r="D223" i="60"/>
  <c r="C223" i="60"/>
  <c r="B223" i="60"/>
  <c r="A223" i="60"/>
  <c r="D222" i="60"/>
  <c r="C222" i="60"/>
  <c r="B222" i="60"/>
  <c r="A222" i="60"/>
  <c r="D221" i="60"/>
  <c r="C221" i="60"/>
  <c r="B221" i="60"/>
  <c r="A221" i="60"/>
  <c r="D220" i="60"/>
  <c r="C220" i="60"/>
  <c r="B220" i="60"/>
  <c r="A220" i="60"/>
  <c r="D219" i="60"/>
  <c r="C219" i="60"/>
  <c r="B219" i="60"/>
  <c r="A219" i="60"/>
  <c r="D218" i="60"/>
  <c r="C218" i="60"/>
  <c r="B218" i="60"/>
  <c r="A218" i="60"/>
  <c r="D217" i="60"/>
  <c r="C217" i="60"/>
  <c r="B217" i="60"/>
  <c r="A217" i="60"/>
  <c r="D216" i="60"/>
  <c r="C216" i="60"/>
  <c r="B216" i="60"/>
  <c r="A216" i="60"/>
  <c r="D215" i="60"/>
  <c r="C215" i="60"/>
  <c r="B215" i="60"/>
  <c r="A215" i="60"/>
  <c r="D214" i="60"/>
  <c r="C214" i="60"/>
  <c r="B214" i="60"/>
  <c r="A214" i="60"/>
  <c r="D213" i="60"/>
  <c r="C213" i="60"/>
  <c r="B213" i="60"/>
  <c r="A213" i="60"/>
  <c r="D212" i="60"/>
  <c r="C212" i="60"/>
  <c r="B212" i="60"/>
  <c r="A212" i="60"/>
  <c r="D211" i="60"/>
  <c r="C211" i="60"/>
  <c r="B211" i="60"/>
  <c r="A211" i="60"/>
  <c r="D210" i="60"/>
  <c r="C210" i="60"/>
  <c r="B210" i="60"/>
  <c r="A210" i="60"/>
  <c r="D209" i="60"/>
  <c r="C209" i="60"/>
  <c r="B209" i="60"/>
  <c r="A209" i="60"/>
  <c r="D208" i="60"/>
  <c r="C208" i="60"/>
  <c r="B208" i="60"/>
  <c r="A208" i="60"/>
  <c r="D207" i="60"/>
  <c r="C207" i="60"/>
  <c r="B207" i="60"/>
  <c r="A207" i="60"/>
  <c r="D206" i="60"/>
  <c r="C206" i="60"/>
  <c r="B206" i="60"/>
  <c r="A206" i="60"/>
  <c r="D205" i="60"/>
  <c r="C205" i="60"/>
  <c r="B205" i="60"/>
  <c r="A205" i="60"/>
  <c r="D204" i="60"/>
  <c r="C204" i="60"/>
  <c r="B204" i="60"/>
  <c r="A204" i="60"/>
  <c r="D203" i="60"/>
  <c r="C203" i="60"/>
  <c r="B203" i="60"/>
  <c r="A203" i="60"/>
  <c r="D202" i="60"/>
  <c r="C202" i="60"/>
  <c r="B202" i="60"/>
  <c r="A202" i="60"/>
  <c r="D201" i="60"/>
  <c r="C201" i="60"/>
  <c r="B201" i="60"/>
  <c r="A201" i="60"/>
  <c r="D200" i="60"/>
  <c r="C200" i="60"/>
  <c r="B200" i="60"/>
  <c r="A200" i="60"/>
  <c r="D199" i="60"/>
  <c r="C199" i="60"/>
  <c r="B199" i="60"/>
  <c r="A199" i="60"/>
  <c r="D198" i="60"/>
  <c r="C198" i="60"/>
  <c r="B198" i="60"/>
  <c r="A198" i="60"/>
  <c r="D197" i="60"/>
  <c r="C197" i="60"/>
  <c r="B197" i="60"/>
  <c r="A197" i="60"/>
  <c r="D196" i="60"/>
  <c r="C196" i="60"/>
  <c r="B196" i="60"/>
  <c r="A196" i="60"/>
  <c r="D195" i="60"/>
  <c r="C195" i="60"/>
  <c r="B195" i="60"/>
  <c r="A195" i="60"/>
  <c r="D194" i="60"/>
  <c r="C194" i="60"/>
  <c r="B194" i="60"/>
  <c r="A194" i="60"/>
  <c r="D193" i="60"/>
  <c r="C193" i="60"/>
  <c r="B193" i="60"/>
  <c r="A193" i="60"/>
  <c r="D192" i="60"/>
  <c r="C192" i="60"/>
  <c r="B192" i="60"/>
  <c r="A192" i="60"/>
  <c r="D191" i="60"/>
  <c r="C191" i="60"/>
  <c r="B191" i="60"/>
  <c r="A191" i="60"/>
  <c r="D190" i="60"/>
  <c r="C190" i="60"/>
  <c r="B190" i="60"/>
  <c r="A190" i="60"/>
  <c r="D189" i="60"/>
  <c r="C189" i="60"/>
  <c r="B189" i="60"/>
  <c r="A189" i="60"/>
  <c r="D188" i="60"/>
  <c r="C188" i="60"/>
  <c r="B188" i="60"/>
  <c r="A188" i="60"/>
  <c r="D187" i="60"/>
  <c r="C187" i="60"/>
  <c r="B187" i="60"/>
  <c r="A187" i="60"/>
  <c r="D186" i="60"/>
  <c r="C186" i="60"/>
  <c r="B186" i="60"/>
  <c r="A186" i="60"/>
  <c r="D185" i="60"/>
  <c r="C185" i="60"/>
  <c r="B185" i="60"/>
  <c r="A185" i="60"/>
  <c r="D184" i="60"/>
  <c r="C184" i="60"/>
  <c r="B184" i="60"/>
  <c r="A184" i="60"/>
  <c r="D183" i="60"/>
  <c r="C183" i="60"/>
  <c r="B183" i="60"/>
  <c r="A183" i="60"/>
  <c r="D182" i="60"/>
  <c r="C182" i="60"/>
  <c r="B182" i="60"/>
  <c r="A182" i="60"/>
  <c r="D181" i="60"/>
  <c r="C181" i="60"/>
  <c r="B181" i="60"/>
  <c r="A181" i="60"/>
  <c r="D180" i="60"/>
  <c r="C180" i="60"/>
  <c r="B180" i="60"/>
  <c r="A180" i="60"/>
  <c r="D179" i="60"/>
  <c r="C179" i="60"/>
  <c r="B179" i="60"/>
  <c r="A179" i="60"/>
  <c r="D178" i="60"/>
  <c r="C178" i="60"/>
  <c r="B178" i="60"/>
  <c r="A178" i="60"/>
  <c r="D177" i="60"/>
  <c r="C177" i="60"/>
  <c r="B177" i="60"/>
  <c r="A177" i="60"/>
  <c r="D176" i="60"/>
  <c r="C176" i="60"/>
  <c r="B176" i="60"/>
  <c r="A176" i="60"/>
  <c r="D175" i="60"/>
  <c r="C175" i="60"/>
  <c r="B175" i="60"/>
  <c r="A175" i="60"/>
  <c r="D174" i="60"/>
  <c r="C174" i="60"/>
  <c r="B174" i="60"/>
  <c r="A174" i="60"/>
  <c r="D173" i="60"/>
  <c r="C173" i="60"/>
  <c r="B173" i="60"/>
  <c r="A173" i="60"/>
  <c r="D172" i="60"/>
  <c r="C172" i="60"/>
  <c r="B172" i="60"/>
  <c r="A172" i="60"/>
  <c r="D171" i="60"/>
  <c r="C171" i="60"/>
  <c r="B171" i="60"/>
  <c r="A171" i="60"/>
  <c r="D170" i="60"/>
  <c r="C170" i="60"/>
  <c r="B170" i="60"/>
  <c r="A170" i="60"/>
  <c r="D169" i="60"/>
  <c r="C169" i="60"/>
  <c r="B169" i="60"/>
  <c r="A169" i="60"/>
  <c r="D168" i="60"/>
  <c r="C168" i="60"/>
  <c r="B168" i="60"/>
  <c r="A168" i="60"/>
  <c r="D167" i="60"/>
  <c r="C167" i="60"/>
  <c r="B167" i="60"/>
  <c r="A167" i="60"/>
  <c r="D166" i="60"/>
  <c r="C166" i="60"/>
  <c r="B166" i="60"/>
  <c r="A166" i="60"/>
  <c r="D165" i="60"/>
  <c r="C165" i="60"/>
  <c r="B165" i="60"/>
  <c r="A165" i="60"/>
  <c r="D164" i="60"/>
  <c r="C164" i="60"/>
  <c r="B164" i="60"/>
  <c r="A164" i="60"/>
  <c r="D163" i="60"/>
  <c r="C163" i="60"/>
  <c r="B163" i="60"/>
  <c r="A163" i="60"/>
  <c r="D162" i="60"/>
  <c r="C162" i="60"/>
  <c r="B162" i="60"/>
  <c r="A162" i="60"/>
  <c r="D161" i="60"/>
  <c r="C161" i="60"/>
  <c r="B161" i="60"/>
  <c r="A161" i="60"/>
  <c r="D160" i="60"/>
  <c r="C160" i="60"/>
  <c r="B160" i="60"/>
  <c r="A160" i="60"/>
  <c r="D159" i="60"/>
  <c r="C159" i="60"/>
  <c r="B159" i="60"/>
  <c r="A159" i="60"/>
  <c r="D158" i="60"/>
  <c r="C158" i="60"/>
  <c r="B158" i="60"/>
  <c r="A158" i="60"/>
  <c r="D157" i="60"/>
  <c r="C157" i="60"/>
  <c r="B157" i="60"/>
  <c r="A157" i="60"/>
  <c r="D156" i="60"/>
  <c r="C156" i="60"/>
  <c r="B156" i="60"/>
  <c r="A156" i="60"/>
  <c r="D155" i="60"/>
  <c r="C155" i="60"/>
  <c r="B155" i="60"/>
  <c r="A155" i="60"/>
  <c r="D154" i="60"/>
  <c r="C154" i="60"/>
  <c r="B154" i="60"/>
  <c r="A154" i="60"/>
  <c r="D153" i="60"/>
  <c r="C153" i="60"/>
  <c r="B153" i="60"/>
  <c r="A153" i="60"/>
  <c r="D152" i="60"/>
  <c r="C152" i="60"/>
  <c r="B152" i="60"/>
  <c r="A152" i="60"/>
  <c r="D151" i="60"/>
  <c r="C151" i="60"/>
  <c r="B151" i="60"/>
  <c r="A151" i="60"/>
  <c r="D150" i="60"/>
  <c r="C150" i="60"/>
  <c r="B150" i="60"/>
  <c r="A150" i="60"/>
  <c r="D149" i="60"/>
  <c r="C149" i="60"/>
  <c r="B149" i="60"/>
  <c r="A149" i="60"/>
  <c r="D148" i="60"/>
  <c r="C148" i="60"/>
  <c r="B148" i="60"/>
  <c r="A148" i="60"/>
  <c r="D147" i="60"/>
  <c r="C147" i="60"/>
  <c r="B147" i="60"/>
  <c r="A147" i="60"/>
  <c r="D146" i="60"/>
  <c r="C146" i="60"/>
  <c r="B146" i="60"/>
  <c r="A146" i="60"/>
  <c r="D145" i="60"/>
  <c r="C145" i="60"/>
  <c r="B145" i="60"/>
  <c r="A145" i="60"/>
  <c r="D144" i="60"/>
  <c r="C144" i="60"/>
  <c r="B144" i="60"/>
  <c r="A144" i="60"/>
  <c r="D143" i="60"/>
  <c r="C143" i="60"/>
  <c r="B143" i="60"/>
  <c r="A143" i="60"/>
  <c r="D142" i="60"/>
  <c r="C142" i="60"/>
  <c r="B142" i="60"/>
  <c r="A142" i="60"/>
  <c r="D141" i="60"/>
  <c r="C141" i="60"/>
  <c r="B141" i="60"/>
  <c r="A141" i="60"/>
  <c r="D140" i="60"/>
  <c r="C140" i="60"/>
  <c r="B140" i="60"/>
  <c r="A140" i="60"/>
  <c r="D139" i="60"/>
  <c r="C139" i="60"/>
  <c r="B139" i="60"/>
  <c r="A139" i="60"/>
  <c r="D138" i="60"/>
  <c r="C138" i="60"/>
  <c r="B138" i="60"/>
  <c r="A138" i="60"/>
  <c r="D137" i="60"/>
  <c r="C137" i="60"/>
  <c r="B137" i="60"/>
  <c r="A137" i="60"/>
  <c r="D136" i="60"/>
  <c r="C136" i="60"/>
  <c r="B136" i="60"/>
  <c r="A136" i="60"/>
  <c r="D135" i="60"/>
  <c r="C135" i="60"/>
  <c r="B135" i="60"/>
  <c r="A135" i="60"/>
  <c r="D134" i="60"/>
  <c r="C134" i="60"/>
  <c r="B134" i="60"/>
  <c r="A134" i="60"/>
  <c r="D133" i="60"/>
  <c r="C133" i="60"/>
  <c r="B133" i="60"/>
  <c r="A133" i="60"/>
  <c r="D132" i="60"/>
  <c r="C132" i="60"/>
  <c r="B132" i="60"/>
  <c r="A132" i="60"/>
  <c r="D131" i="60"/>
  <c r="C131" i="60"/>
  <c r="B131" i="60"/>
  <c r="A131" i="60"/>
  <c r="D130" i="60"/>
  <c r="C130" i="60"/>
  <c r="B130" i="60"/>
  <c r="A130" i="60"/>
  <c r="D129" i="60"/>
  <c r="C129" i="60"/>
  <c r="B129" i="60"/>
  <c r="A129" i="60"/>
  <c r="D128" i="60"/>
  <c r="C128" i="60"/>
  <c r="B128" i="60"/>
  <c r="A128" i="60"/>
  <c r="D127" i="60"/>
  <c r="C127" i="60"/>
  <c r="B127" i="60"/>
  <c r="A127" i="60"/>
  <c r="D126" i="60"/>
  <c r="C126" i="60"/>
  <c r="B126" i="60"/>
  <c r="A126" i="60"/>
  <c r="D125" i="60"/>
  <c r="C125" i="60"/>
  <c r="B125" i="60"/>
  <c r="A125" i="60"/>
  <c r="D124" i="60"/>
  <c r="C124" i="60"/>
  <c r="B124" i="60"/>
  <c r="A124" i="60"/>
  <c r="D123" i="60"/>
  <c r="C123" i="60"/>
  <c r="B123" i="60"/>
  <c r="A123" i="60"/>
  <c r="D122" i="60"/>
  <c r="C122" i="60"/>
  <c r="B122" i="60"/>
  <c r="A122" i="60"/>
  <c r="D121" i="60"/>
  <c r="C121" i="60"/>
  <c r="B121" i="60"/>
  <c r="A121" i="60"/>
  <c r="D120" i="60"/>
  <c r="C120" i="60"/>
  <c r="B120" i="60"/>
  <c r="A120" i="60"/>
  <c r="D119" i="60"/>
  <c r="C119" i="60"/>
  <c r="B119" i="60"/>
  <c r="A119" i="60"/>
  <c r="D118" i="60"/>
  <c r="C118" i="60"/>
  <c r="B118" i="60"/>
  <c r="A118" i="60"/>
  <c r="D117" i="60"/>
  <c r="C117" i="60"/>
  <c r="B117" i="60"/>
  <c r="A117" i="60"/>
  <c r="D116" i="60"/>
  <c r="C116" i="60"/>
  <c r="B116" i="60"/>
  <c r="A116" i="60"/>
  <c r="D115" i="60"/>
  <c r="C115" i="60"/>
  <c r="B115" i="60"/>
  <c r="A115" i="60"/>
  <c r="D114" i="60"/>
  <c r="C114" i="60"/>
  <c r="B114" i="60"/>
  <c r="A114" i="60"/>
  <c r="D113" i="60"/>
  <c r="C113" i="60"/>
  <c r="B113" i="60"/>
  <c r="A113" i="60"/>
  <c r="D112" i="60"/>
  <c r="C112" i="60"/>
  <c r="B112" i="60"/>
  <c r="A112" i="60"/>
  <c r="D111" i="60"/>
  <c r="C111" i="60"/>
  <c r="B111" i="60"/>
  <c r="A111" i="60"/>
  <c r="D110" i="60"/>
  <c r="C110" i="60"/>
  <c r="B110" i="60"/>
  <c r="A110" i="60"/>
  <c r="D109" i="60"/>
  <c r="C109" i="60"/>
  <c r="B109" i="60"/>
  <c r="A109" i="60"/>
  <c r="D108" i="60"/>
  <c r="C108" i="60"/>
  <c r="B108" i="60"/>
  <c r="A108" i="60"/>
  <c r="D107" i="60"/>
  <c r="C107" i="60"/>
  <c r="B107" i="60"/>
  <c r="A107" i="60"/>
  <c r="D106" i="60"/>
  <c r="C106" i="60"/>
  <c r="B106" i="60"/>
  <c r="A106" i="60"/>
  <c r="D105" i="60"/>
  <c r="C105" i="60"/>
  <c r="B105" i="60"/>
  <c r="A105" i="60"/>
  <c r="D104" i="60"/>
  <c r="C104" i="60"/>
  <c r="B104" i="60"/>
  <c r="A104" i="60"/>
  <c r="D103" i="60"/>
  <c r="C103" i="60"/>
  <c r="B103" i="60"/>
  <c r="A103" i="60"/>
  <c r="D102" i="60"/>
  <c r="C102" i="60"/>
  <c r="B102" i="60"/>
  <c r="A102" i="60"/>
  <c r="D101" i="60"/>
  <c r="C101" i="60"/>
  <c r="B101" i="60"/>
  <c r="A101" i="60"/>
  <c r="D100" i="60"/>
  <c r="C100" i="60"/>
  <c r="B100" i="60"/>
  <c r="A100" i="60"/>
  <c r="D99" i="60"/>
  <c r="C99" i="60"/>
  <c r="B99" i="60"/>
  <c r="A99" i="60"/>
  <c r="D98" i="60"/>
  <c r="C98" i="60"/>
  <c r="B98" i="60"/>
  <c r="A98" i="60"/>
  <c r="D97" i="60"/>
  <c r="C97" i="60"/>
  <c r="B97" i="60"/>
  <c r="A97" i="60"/>
  <c r="D96" i="60"/>
  <c r="C96" i="60"/>
  <c r="B96" i="60"/>
  <c r="A96" i="60"/>
  <c r="D95" i="60"/>
  <c r="C95" i="60"/>
  <c r="B95" i="60"/>
  <c r="A95" i="60"/>
  <c r="D94" i="60"/>
  <c r="C94" i="60"/>
  <c r="B94" i="60"/>
  <c r="A94" i="60"/>
  <c r="D93" i="60"/>
  <c r="C93" i="60"/>
  <c r="B93" i="60"/>
  <c r="A93" i="60"/>
  <c r="D92" i="60"/>
  <c r="C92" i="60"/>
  <c r="B92" i="60"/>
  <c r="A92" i="60"/>
  <c r="D91" i="60"/>
  <c r="C91" i="60"/>
  <c r="B91" i="60"/>
  <c r="A91" i="60"/>
  <c r="D90" i="60"/>
  <c r="C90" i="60"/>
  <c r="B90" i="60"/>
  <c r="A90" i="60"/>
  <c r="D89" i="60"/>
  <c r="C89" i="60"/>
  <c r="B89" i="60"/>
  <c r="A89" i="60"/>
  <c r="D88" i="60"/>
  <c r="C88" i="60"/>
  <c r="B88" i="60"/>
  <c r="A88" i="60"/>
  <c r="D87" i="60"/>
  <c r="C87" i="60"/>
  <c r="B87" i="60"/>
  <c r="A87" i="60"/>
  <c r="D86" i="60"/>
  <c r="C86" i="60"/>
  <c r="B86" i="60"/>
  <c r="A86" i="60"/>
  <c r="D85" i="60"/>
  <c r="C85" i="60"/>
  <c r="B85" i="60"/>
  <c r="A85" i="60"/>
  <c r="D84" i="60"/>
  <c r="C84" i="60"/>
  <c r="B84" i="60"/>
  <c r="A84" i="60"/>
  <c r="D83" i="60"/>
  <c r="C83" i="60"/>
  <c r="B83" i="60"/>
  <c r="A83" i="60"/>
  <c r="D82" i="60"/>
  <c r="C82" i="60"/>
  <c r="B82" i="60"/>
  <c r="A82" i="60"/>
  <c r="D81" i="60"/>
  <c r="C81" i="60"/>
  <c r="B81" i="60"/>
  <c r="A81" i="60"/>
  <c r="D80" i="60"/>
  <c r="C80" i="60"/>
  <c r="B80" i="60"/>
  <c r="A80" i="60"/>
  <c r="D79" i="60"/>
  <c r="C79" i="60"/>
  <c r="B79" i="60"/>
  <c r="A79" i="60"/>
  <c r="D78" i="60"/>
  <c r="C78" i="60"/>
  <c r="B78" i="60"/>
  <c r="A78" i="60"/>
  <c r="D77" i="60"/>
  <c r="C77" i="60"/>
  <c r="B77" i="60"/>
  <c r="A77" i="60"/>
  <c r="D76" i="60"/>
  <c r="C76" i="60"/>
  <c r="B76" i="60"/>
  <c r="A76" i="60"/>
  <c r="D75" i="60"/>
  <c r="C75" i="60"/>
  <c r="B75" i="60"/>
  <c r="A75" i="60"/>
  <c r="D74" i="60"/>
  <c r="C74" i="60"/>
  <c r="B74" i="60"/>
  <c r="A74" i="60"/>
  <c r="D73" i="60"/>
  <c r="C73" i="60"/>
  <c r="B73" i="60"/>
  <c r="A73" i="60"/>
  <c r="D72" i="60"/>
  <c r="C72" i="60"/>
  <c r="B72" i="60"/>
  <c r="A72" i="60"/>
  <c r="D71" i="60"/>
  <c r="C71" i="60"/>
  <c r="B71" i="60"/>
  <c r="A71" i="60"/>
  <c r="D70" i="60"/>
  <c r="C70" i="60"/>
  <c r="B70" i="60"/>
  <c r="A70" i="60"/>
  <c r="D69" i="60"/>
  <c r="C69" i="60"/>
  <c r="B69" i="60"/>
  <c r="A69" i="60"/>
  <c r="D68" i="60"/>
  <c r="C68" i="60"/>
  <c r="B68" i="60"/>
  <c r="A68" i="60"/>
  <c r="D67" i="60"/>
  <c r="C67" i="60"/>
  <c r="B67" i="60"/>
  <c r="A67" i="60"/>
  <c r="D66" i="60"/>
  <c r="C66" i="60"/>
  <c r="B66" i="60"/>
  <c r="A66" i="60"/>
  <c r="D65" i="60"/>
  <c r="C65" i="60"/>
  <c r="B65" i="60"/>
  <c r="A65" i="60"/>
  <c r="D64" i="60"/>
  <c r="C64" i="60"/>
  <c r="B64" i="60"/>
  <c r="A64" i="60"/>
  <c r="D63" i="60"/>
  <c r="C63" i="60"/>
  <c r="B63" i="60"/>
  <c r="A63" i="60"/>
  <c r="D62" i="60"/>
  <c r="C62" i="60"/>
  <c r="B62" i="60"/>
  <c r="A62" i="60"/>
  <c r="D61" i="60"/>
  <c r="C61" i="60"/>
  <c r="B61" i="60"/>
  <c r="A61" i="60"/>
  <c r="D60" i="60"/>
  <c r="C60" i="60"/>
  <c r="B60" i="60"/>
  <c r="A60" i="60"/>
  <c r="D59" i="60"/>
  <c r="C59" i="60"/>
  <c r="B59" i="60"/>
  <c r="A59" i="60"/>
  <c r="D58" i="60"/>
  <c r="C58" i="60"/>
  <c r="B58" i="60"/>
  <c r="A58" i="60"/>
  <c r="D57" i="60"/>
  <c r="C57" i="60"/>
  <c r="B57" i="60"/>
  <c r="A57" i="60"/>
  <c r="D56" i="60"/>
  <c r="C56" i="60"/>
  <c r="B56" i="60"/>
  <c r="A56" i="60"/>
  <c r="D55" i="60"/>
  <c r="C55" i="60"/>
  <c r="B55" i="60"/>
  <c r="A55" i="60"/>
  <c r="D54" i="60"/>
  <c r="C54" i="60"/>
  <c r="B54" i="60"/>
  <c r="A54" i="60"/>
  <c r="D53" i="60"/>
  <c r="C53" i="60"/>
  <c r="B53" i="60"/>
  <c r="A53" i="60"/>
  <c r="D52" i="60"/>
  <c r="C52" i="60"/>
  <c r="B52" i="60"/>
  <c r="A52" i="60"/>
  <c r="D51" i="60"/>
  <c r="C51" i="60"/>
  <c r="B51" i="60"/>
  <c r="A51" i="60"/>
  <c r="D50" i="60"/>
  <c r="C50" i="60"/>
  <c r="B50" i="60"/>
  <c r="A50" i="60"/>
  <c r="D49" i="60"/>
  <c r="C49" i="60"/>
  <c r="B49" i="60"/>
  <c r="A49" i="60"/>
  <c r="D48" i="60"/>
  <c r="C48" i="60"/>
  <c r="B48" i="60"/>
  <c r="A48" i="60"/>
  <c r="D47" i="60"/>
  <c r="C47" i="60"/>
  <c r="B47" i="60"/>
  <c r="A47" i="60"/>
  <c r="D46" i="60"/>
  <c r="C46" i="60"/>
  <c r="B46" i="60"/>
  <c r="A46" i="60"/>
  <c r="D45" i="60"/>
  <c r="C45" i="60"/>
  <c r="B45" i="60"/>
  <c r="A45" i="60"/>
  <c r="D44" i="60"/>
  <c r="C44" i="60"/>
  <c r="B44" i="60"/>
  <c r="A44" i="60"/>
  <c r="D43" i="60"/>
  <c r="C43" i="60"/>
  <c r="B43" i="60"/>
  <c r="A43" i="60"/>
  <c r="D42" i="60"/>
  <c r="C42" i="60"/>
  <c r="B42" i="60"/>
  <c r="A42" i="60"/>
  <c r="D41" i="60"/>
  <c r="C41" i="60"/>
  <c r="B41" i="60"/>
  <c r="A41" i="60"/>
  <c r="D40" i="60"/>
  <c r="C40" i="60"/>
  <c r="B40" i="60"/>
  <c r="A40" i="60"/>
  <c r="D39" i="60"/>
  <c r="C39" i="60"/>
  <c r="B39" i="60"/>
  <c r="A39" i="60"/>
  <c r="D38" i="60"/>
  <c r="C38" i="60"/>
  <c r="B38" i="60"/>
  <c r="A38" i="60"/>
  <c r="D37" i="60"/>
  <c r="C37" i="60"/>
  <c r="B37" i="60"/>
  <c r="A37" i="60"/>
  <c r="D36" i="60"/>
  <c r="C36" i="60"/>
  <c r="B36" i="60"/>
  <c r="A36" i="60"/>
  <c r="D35" i="60"/>
  <c r="C35" i="60"/>
  <c r="B35" i="60"/>
  <c r="A35" i="60"/>
  <c r="D34" i="60"/>
  <c r="C34" i="60"/>
  <c r="B34" i="60"/>
  <c r="A34" i="60"/>
  <c r="D33" i="60"/>
  <c r="C33" i="60"/>
  <c r="B33" i="60"/>
  <c r="A33" i="60"/>
  <c r="D32" i="60"/>
  <c r="C32" i="60"/>
  <c r="B32" i="60"/>
  <c r="A32" i="60"/>
  <c r="D31" i="60"/>
  <c r="C31" i="60"/>
  <c r="B31" i="60"/>
  <c r="A31" i="60"/>
  <c r="D30" i="60"/>
  <c r="C30" i="60"/>
  <c r="B30" i="60"/>
  <c r="A30" i="60"/>
  <c r="D29" i="60"/>
  <c r="C29" i="60"/>
  <c r="B29" i="60"/>
  <c r="A29" i="60"/>
  <c r="D28" i="60"/>
  <c r="C28" i="60"/>
  <c r="B28" i="60"/>
  <c r="A28" i="60"/>
  <c r="D27" i="60"/>
  <c r="C27" i="60"/>
  <c r="B27" i="60"/>
  <c r="A27" i="60"/>
  <c r="D26" i="60"/>
  <c r="C26" i="60"/>
  <c r="B26" i="60"/>
  <c r="A26" i="60"/>
  <c r="D25" i="60"/>
  <c r="C25" i="60"/>
  <c r="B25" i="60"/>
  <c r="A25" i="60"/>
  <c r="D24" i="60"/>
  <c r="C24" i="60"/>
  <c r="B24" i="60"/>
  <c r="A24" i="60"/>
  <c r="D23" i="60"/>
  <c r="C23" i="60"/>
  <c r="B23" i="60"/>
  <c r="A23" i="60"/>
  <c r="D22" i="60"/>
  <c r="C22" i="60"/>
  <c r="B22" i="60"/>
  <c r="A22" i="60"/>
  <c r="D21" i="60"/>
  <c r="C21" i="60"/>
  <c r="B21" i="60"/>
  <c r="A21" i="60"/>
  <c r="D20" i="60"/>
  <c r="C20" i="60"/>
  <c r="B20" i="60"/>
  <c r="A20" i="60"/>
  <c r="D19" i="60"/>
  <c r="C19" i="60"/>
  <c r="B19" i="60"/>
  <c r="A19" i="60"/>
  <c r="D18" i="60"/>
  <c r="C18" i="60"/>
  <c r="B18" i="60"/>
  <c r="A18" i="60"/>
  <c r="D17" i="60"/>
  <c r="C17" i="60"/>
  <c r="B17" i="60"/>
  <c r="A17" i="60"/>
  <c r="D16" i="60"/>
  <c r="C16" i="60"/>
  <c r="B16" i="60"/>
  <c r="A16" i="60"/>
  <c r="D15" i="60"/>
  <c r="C15" i="60"/>
  <c r="B15" i="60"/>
  <c r="A15" i="60"/>
  <c r="D14" i="60"/>
  <c r="C14" i="60"/>
  <c r="B14" i="60"/>
  <c r="A14" i="60"/>
  <c r="D13" i="60"/>
  <c r="C13" i="60"/>
  <c r="B13" i="60"/>
  <c r="A13" i="60"/>
  <c r="D12" i="60"/>
  <c r="C12" i="60"/>
  <c r="B12" i="60"/>
  <c r="A12" i="60"/>
  <c r="D11" i="60"/>
  <c r="C11" i="60"/>
  <c r="B11" i="60"/>
  <c r="A11" i="60"/>
  <c r="D10" i="60"/>
  <c r="C10" i="60"/>
  <c r="B10" i="60"/>
  <c r="A10" i="60"/>
  <c r="D9" i="60"/>
  <c r="C9" i="60"/>
  <c r="B9" i="60"/>
  <c r="A9" i="60"/>
  <c r="D8" i="60"/>
  <c r="C8" i="60"/>
  <c r="B8" i="60"/>
  <c r="A8" i="60"/>
  <c r="D7" i="60"/>
  <c r="C7" i="60"/>
  <c r="B7" i="60"/>
  <c r="A7" i="60"/>
  <c r="D6" i="60"/>
  <c r="C6" i="60"/>
  <c r="B6" i="60"/>
  <c r="A6" i="60"/>
  <c r="D5" i="60"/>
  <c r="C5" i="60"/>
  <c r="B5" i="60"/>
  <c r="A5" i="60"/>
  <c r="D4" i="60"/>
  <c r="C4" i="60"/>
  <c r="B4" i="60"/>
  <c r="A4" i="60"/>
  <c r="D3" i="60"/>
  <c r="C3" i="60"/>
  <c r="B3" i="60"/>
  <c r="A3" i="60"/>
  <c r="D2" i="60"/>
  <c r="C2" i="60"/>
  <c r="B2" i="60"/>
  <c r="A2" i="60"/>
  <c r="D1" i="60"/>
  <c r="C1" i="60"/>
  <c r="B1" i="60"/>
  <c r="A1" i="60"/>
  <c r="E266" i="59"/>
  <c r="D266" i="59"/>
  <c r="C266" i="59"/>
  <c r="B266" i="59"/>
  <c r="A266" i="59"/>
  <c r="E265" i="59"/>
  <c r="D265" i="59"/>
  <c r="C265" i="59"/>
  <c r="B265" i="59"/>
  <c r="A265" i="59"/>
  <c r="E264" i="59"/>
  <c r="D264" i="59"/>
  <c r="C264" i="59"/>
  <c r="B264" i="59"/>
  <c r="A264" i="59"/>
  <c r="E263" i="59"/>
  <c r="D263" i="59"/>
  <c r="C263" i="59"/>
  <c r="B263" i="59"/>
  <c r="A263" i="59"/>
  <c r="E262" i="59"/>
  <c r="D262" i="59"/>
  <c r="C262" i="59"/>
  <c r="B262" i="59"/>
  <c r="A262" i="59"/>
  <c r="E261" i="59"/>
  <c r="D261" i="59"/>
  <c r="C261" i="59"/>
  <c r="B261" i="59"/>
  <c r="A261" i="59"/>
  <c r="E260" i="59"/>
  <c r="D260" i="59"/>
  <c r="C260" i="59"/>
  <c r="B260" i="59"/>
  <c r="A260" i="59"/>
  <c r="E259" i="59"/>
  <c r="D259" i="59"/>
  <c r="C259" i="59"/>
  <c r="B259" i="59"/>
  <c r="A259" i="59"/>
  <c r="E258" i="59"/>
  <c r="D258" i="59"/>
  <c r="C258" i="59"/>
  <c r="B258" i="59"/>
  <c r="A258" i="59"/>
  <c r="E257" i="59"/>
  <c r="D257" i="59"/>
  <c r="C257" i="59"/>
  <c r="B257" i="59"/>
  <c r="A257" i="59"/>
  <c r="E256" i="59"/>
  <c r="D256" i="59"/>
  <c r="C256" i="59"/>
  <c r="B256" i="59"/>
  <c r="A256" i="59"/>
  <c r="E255" i="59"/>
  <c r="D255" i="59"/>
  <c r="C255" i="59"/>
  <c r="B255" i="59"/>
  <c r="A255" i="59"/>
  <c r="E254" i="59"/>
  <c r="D254" i="59"/>
  <c r="C254" i="59"/>
  <c r="B254" i="59"/>
  <c r="A254" i="59"/>
  <c r="E253" i="59"/>
  <c r="D253" i="59"/>
  <c r="C253" i="59"/>
  <c r="B253" i="59"/>
  <c r="A253" i="59"/>
  <c r="E252" i="59"/>
  <c r="D252" i="59"/>
  <c r="C252" i="59"/>
  <c r="B252" i="59"/>
  <c r="A252" i="59"/>
  <c r="E251" i="59"/>
  <c r="D251" i="59"/>
  <c r="C251" i="59"/>
  <c r="B251" i="59"/>
  <c r="A251" i="59"/>
  <c r="E250" i="59"/>
  <c r="D250" i="59"/>
  <c r="C250" i="59"/>
  <c r="B250" i="59"/>
  <c r="A250" i="59"/>
  <c r="E249" i="59"/>
  <c r="D249" i="59"/>
  <c r="C249" i="59"/>
  <c r="B249" i="59"/>
  <c r="A249" i="59"/>
  <c r="E248" i="59"/>
  <c r="D248" i="59"/>
  <c r="C248" i="59"/>
  <c r="B248" i="59"/>
  <c r="A248" i="59"/>
  <c r="E247" i="59"/>
  <c r="D247" i="59"/>
  <c r="C247" i="59"/>
  <c r="B247" i="59"/>
  <c r="A247" i="59"/>
  <c r="E246" i="59"/>
  <c r="D246" i="59"/>
  <c r="C246" i="59"/>
  <c r="B246" i="59"/>
  <c r="A246" i="59"/>
  <c r="E245" i="59"/>
  <c r="D245" i="59"/>
  <c r="C245" i="59"/>
  <c r="B245" i="59"/>
  <c r="A245" i="59"/>
  <c r="E244" i="59"/>
  <c r="D244" i="59"/>
  <c r="C244" i="59"/>
  <c r="B244" i="59"/>
  <c r="A244" i="59"/>
  <c r="E243" i="59"/>
  <c r="D243" i="59"/>
  <c r="C243" i="59"/>
  <c r="B243" i="59"/>
  <c r="A243" i="59"/>
  <c r="E242" i="59"/>
  <c r="D242" i="59"/>
  <c r="C242" i="59"/>
  <c r="B242" i="59"/>
  <c r="A242" i="59"/>
  <c r="E241" i="59"/>
  <c r="D241" i="59"/>
  <c r="C241" i="59"/>
  <c r="B241" i="59"/>
  <c r="A241" i="59"/>
  <c r="E240" i="59"/>
  <c r="D240" i="59"/>
  <c r="C240" i="59"/>
  <c r="B240" i="59"/>
  <c r="A240" i="59"/>
  <c r="E239" i="59"/>
  <c r="D239" i="59"/>
  <c r="C239" i="59"/>
  <c r="B239" i="59"/>
  <c r="A239" i="59"/>
  <c r="E238" i="59"/>
  <c r="D238" i="59"/>
  <c r="C238" i="59"/>
  <c r="B238" i="59"/>
  <c r="A238" i="59"/>
  <c r="E237" i="59"/>
  <c r="D237" i="59"/>
  <c r="C237" i="59"/>
  <c r="B237" i="59"/>
  <c r="A237" i="59"/>
  <c r="E236" i="59"/>
  <c r="D236" i="59"/>
  <c r="C236" i="59"/>
  <c r="B236" i="59"/>
  <c r="A236" i="59"/>
  <c r="E235" i="59"/>
  <c r="D235" i="59"/>
  <c r="C235" i="59"/>
  <c r="B235" i="59"/>
  <c r="A235" i="59"/>
  <c r="E234" i="59"/>
  <c r="D234" i="59"/>
  <c r="C234" i="59"/>
  <c r="B234" i="59"/>
  <c r="A234" i="59"/>
  <c r="E233" i="59"/>
  <c r="D233" i="59"/>
  <c r="C233" i="59"/>
  <c r="B233" i="59"/>
  <c r="A233" i="59"/>
  <c r="E232" i="59"/>
  <c r="D232" i="59"/>
  <c r="C232" i="59"/>
  <c r="B232" i="59"/>
  <c r="A232" i="59"/>
  <c r="E231" i="59"/>
  <c r="D231" i="59"/>
  <c r="C231" i="59"/>
  <c r="B231" i="59"/>
  <c r="A231" i="59"/>
  <c r="E230" i="59"/>
  <c r="D230" i="59"/>
  <c r="C230" i="59"/>
  <c r="B230" i="59"/>
  <c r="A230" i="59"/>
  <c r="E229" i="59"/>
  <c r="D229" i="59"/>
  <c r="C229" i="59"/>
  <c r="B229" i="59"/>
  <c r="A229" i="59"/>
  <c r="E228" i="59"/>
  <c r="D228" i="59"/>
  <c r="C228" i="59"/>
  <c r="B228" i="59"/>
  <c r="A228" i="59"/>
  <c r="E227" i="59"/>
  <c r="D227" i="59"/>
  <c r="C227" i="59"/>
  <c r="B227" i="59"/>
  <c r="A227" i="59"/>
  <c r="E226" i="59"/>
  <c r="D226" i="59"/>
  <c r="C226" i="59"/>
  <c r="B226" i="59"/>
  <c r="A226" i="59"/>
  <c r="E225" i="59"/>
  <c r="D225" i="59"/>
  <c r="C225" i="59"/>
  <c r="B225" i="59"/>
  <c r="A225" i="59"/>
  <c r="E224" i="59"/>
  <c r="D224" i="59"/>
  <c r="C224" i="59"/>
  <c r="B224" i="59"/>
  <c r="A224" i="59"/>
  <c r="E223" i="59"/>
  <c r="D223" i="59"/>
  <c r="C223" i="59"/>
  <c r="B223" i="59"/>
  <c r="A223" i="59"/>
  <c r="E222" i="59"/>
  <c r="D222" i="59"/>
  <c r="C222" i="59"/>
  <c r="B222" i="59"/>
  <c r="A222" i="59"/>
  <c r="E221" i="59"/>
  <c r="D221" i="59"/>
  <c r="C221" i="59"/>
  <c r="B221" i="59"/>
  <c r="A221" i="59"/>
  <c r="E220" i="59"/>
  <c r="D220" i="59"/>
  <c r="C220" i="59"/>
  <c r="B220" i="59"/>
  <c r="A220" i="59"/>
  <c r="E219" i="59"/>
  <c r="D219" i="59"/>
  <c r="C219" i="59"/>
  <c r="B219" i="59"/>
  <c r="A219" i="59"/>
  <c r="E218" i="59"/>
  <c r="D218" i="59"/>
  <c r="C218" i="59"/>
  <c r="B218" i="59"/>
  <c r="A218" i="59"/>
  <c r="E217" i="59"/>
  <c r="D217" i="59"/>
  <c r="C217" i="59"/>
  <c r="B217" i="59"/>
  <c r="A217" i="59"/>
  <c r="E216" i="59"/>
  <c r="D216" i="59"/>
  <c r="C216" i="59"/>
  <c r="B216" i="59"/>
  <c r="A216" i="59"/>
  <c r="E215" i="59"/>
  <c r="D215" i="59"/>
  <c r="C215" i="59"/>
  <c r="B215" i="59"/>
  <c r="A215" i="59"/>
  <c r="E214" i="59"/>
  <c r="D214" i="59"/>
  <c r="C214" i="59"/>
  <c r="B214" i="59"/>
  <c r="A214" i="59"/>
  <c r="E213" i="59"/>
  <c r="D213" i="59"/>
  <c r="C213" i="59"/>
  <c r="B213" i="59"/>
  <c r="A213" i="59"/>
  <c r="E212" i="59"/>
  <c r="D212" i="59"/>
  <c r="C212" i="59"/>
  <c r="B212" i="59"/>
  <c r="A212" i="59"/>
  <c r="E211" i="59"/>
  <c r="D211" i="59"/>
  <c r="C211" i="59"/>
  <c r="B211" i="59"/>
  <c r="A211" i="59"/>
  <c r="E210" i="59"/>
  <c r="D210" i="59"/>
  <c r="C210" i="59"/>
  <c r="B210" i="59"/>
  <c r="A210" i="59"/>
  <c r="E209" i="59"/>
  <c r="D209" i="59"/>
  <c r="C209" i="59"/>
  <c r="B209" i="59"/>
  <c r="A209" i="59"/>
  <c r="E208" i="59"/>
  <c r="D208" i="59"/>
  <c r="C208" i="59"/>
  <c r="B208" i="59"/>
  <c r="A208" i="59"/>
  <c r="E207" i="59"/>
  <c r="D207" i="59"/>
  <c r="C207" i="59"/>
  <c r="B207" i="59"/>
  <c r="A207" i="59"/>
  <c r="E206" i="59"/>
  <c r="D206" i="59"/>
  <c r="C206" i="59"/>
  <c r="B206" i="59"/>
  <c r="A206" i="59"/>
  <c r="E205" i="59"/>
  <c r="D205" i="59"/>
  <c r="C205" i="59"/>
  <c r="B205" i="59"/>
  <c r="A205" i="59"/>
  <c r="E204" i="59"/>
  <c r="D204" i="59"/>
  <c r="C204" i="59"/>
  <c r="B204" i="59"/>
  <c r="A204" i="59"/>
  <c r="E203" i="59"/>
  <c r="D203" i="59"/>
  <c r="C203" i="59"/>
  <c r="B203" i="59"/>
  <c r="A203" i="59"/>
  <c r="E202" i="59"/>
  <c r="D202" i="59"/>
  <c r="C202" i="59"/>
  <c r="B202" i="59"/>
  <c r="A202" i="59"/>
  <c r="E201" i="59"/>
  <c r="D201" i="59"/>
  <c r="C201" i="59"/>
  <c r="B201" i="59"/>
  <c r="A201" i="59"/>
  <c r="E200" i="59"/>
  <c r="D200" i="59"/>
  <c r="C200" i="59"/>
  <c r="B200" i="59"/>
  <c r="A200" i="59"/>
  <c r="E199" i="59"/>
  <c r="D199" i="59"/>
  <c r="C199" i="59"/>
  <c r="B199" i="59"/>
  <c r="A199" i="59"/>
  <c r="E198" i="59"/>
  <c r="D198" i="59"/>
  <c r="C198" i="59"/>
  <c r="B198" i="59"/>
  <c r="A198" i="59"/>
  <c r="E197" i="59"/>
  <c r="D197" i="59"/>
  <c r="C197" i="59"/>
  <c r="B197" i="59"/>
  <c r="A197" i="59"/>
  <c r="E196" i="59"/>
  <c r="D196" i="59"/>
  <c r="C196" i="59"/>
  <c r="B196" i="59"/>
  <c r="A196" i="59"/>
  <c r="E195" i="59"/>
  <c r="D195" i="59"/>
  <c r="C195" i="59"/>
  <c r="B195" i="59"/>
  <c r="A195" i="59"/>
  <c r="E194" i="59"/>
  <c r="D194" i="59"/>
  <c r="C194" i="59"/>
  <c r="B194" i="59"/>
  <c r="A194" i="59"/>
  <c r="E193" i="59"/>
  <c r="D193" i="59"/>
  <c r="C193" i="59"/>
  <c r="B193" i="59"/>
  <c r="A193" i="59"/>
  <c r="E192" i="59"/>
  <c r="D192" i="59"/>
  <c r="C192" i="59"/>
  <c r="B192" i="59"/>
  <c r="A192" i="59"/>
  <c r="E191" i="59"/>
  <c r="D191" i="59"/>
  <c r="C191" i="59"/>
  <c r="B191" i="59"/>
  <c r="A191" i="59"/>
  <c r="E190" i="59"/>
  <c r="D190" i="59"/>
  <c r="C190" i="59"/>
  <c r="B190" i="59"/>
  <c r="A190" i="59"/>
  <c r="E189" i="59"/>
  <c r="D189" i="59"/>
  <c r="C189" i="59"/>
  <c r="B189" i="59"/>
  <c r="A189" i="59"/>
  <c r="E188" i="59"/>
  <c r="D188" i="59"/>
  <c r="C188" i="59"/>
  <c r="B188" i="59"/>
  <c r="A188" i="59"/>
  <c r="E187" i="59"/>
  <c r="D187" i="59"/>
  <c r="C187" i="59"/>
  <c r="B187" i="59"/>
  <c r="A187" i="59"/>
  <c r="E186" i="59"/>
  <c r="D186" i="59"/>
  <c r="C186" i="59"/>
  <c r="B186" i="59"/>
  <c r="A186" i="59"/>
  <c r="E185" i="59"/>
  <c r="D185" i="59"/>
  <c r="C185" i="59"/>
  <c r="B185" i="59"/>
  <c r="A185" i="59"/>
  <c r="E184" i="59"/>
  <c r="D184" i="59"/>
  <c r="C184" i="59"/>
  <c r="B184" i="59"/>
  <c r="A184" i="59"/>
  <c r="E183" i="59"/>
  <c r="D183" i="59"/>
  <c r="C183" i="59"/>
  <c r="B183" i="59"/>
  <c r="A183" i="59"/>
  <c r="E182" i="59"/>
  <c r="D182" i="59"/>
  <c r="C182" i="59"/>
  <c r="B182" i="59"/>
  <c r="A182" i="59"/>
  <c r="E181" i="59"/>
  <c r="D181" i="59"/>
  <c r="C181" i="59"/>
  <c r="B181" i="59"/>
  <c r="A181" i="59"/>
  <c r="E180" i="59"/>
  <c r="D180" i="59"/>
  <c r="C180" i="59"/>
  <c r="B180" i="59"/>
  <c r="A180" i="59"/>
  <c r="E179" i="59"/>
  <c r="D179" i="59"/>
  <c r="C179" i="59"/>
  <c r="B179" i="59"/>
  <c r="A179" i="59"/>
  <c r="E178" i="59"/>
  <c r="D178" i="59"/>
  <c r="C178" i="59"/>
  <c r="B178" i="59"/>
  <c r="A178" i="59"/>
  <c r="E177" i="59"/>
  <c r="D177" i="59"/>
  <c r="C177" i="59"/>
  <c r="B177" i="59"/>
  <c r="A177" i="59"/>
  <c r="E176" i="59"/>
  <c r="D176" i="59"/>
  <c r="C176" i="59"/>
  <c r="B176" i="59"/>
  <c r="A176" i="59"/>
  <c r="E175" i="59"/>
  <c r="D175" i="59"/>
  <c r="C175" i="59"/>
  <c r="B175" i="59"/>
  <c r="A175" i="59"/>
  <c r="E174" i="59"/>
  <c r="D174" i="59"/>
  <c r="C174" i="59"/>
  <c r="B174" i="59"/>
  <c r="A174" i="59"/>
  <c r="E173" i="59"/>
  <c r="D173" i="59"/>
  <c r="C173" i="59"/>
  <c r="B173" i="59"/>
  <c r="A173" i="59"/>
  <c r="E172" i="59"/>
  <c r="D172" i="59"/>
  <c r="C172" i="59"/>
  <c r="B172" i="59"/>
  <c r="A172" i="59"/>
  <c r="E171" i="59"/>
  <c r="D171" i="59"/>
  <c r="C171" i="59"/>
  <c r="B171" i="59"/>
  <c r="A171" i="59"/>
  <c r="E170" i="59"/>
  <c r="D170" i="59"/>
  <c r="C170" i="59"/>
  <c r="B170" i="59"/>
  <c r="A170" i="59"/>
  <c r="E169" i="59"/>
  <c r="D169" i="59"/>
  <c r="C169" i="59"/>
  <c r="B169" i="59"/>
  <c r="A169" i="59"/>
  <c r="E168" i="59"/>
  <c r="D168" i="59"/>
  <c r="C168" i="59"/>
  <c r="B168" i="59"/>
  <c r="A168" i="59"/>
  <c r="E167" i="59"/>
  <c r="D167" i="59"/>
  <c r="C167" i="59"/>
  <c r="B167" i="59"/>
  <c r="A167" i="59"/>
  <c r="E166" i="59"/>
  <c r="D166" i="59"/>
  <c r="C166" i="59"/>
  <c r="B166" i="59"/>
  <c r="A166" i="59"/>
  <c r="E165" i="59"/>
  <c r="D165" i="59"/>
  <c r="C165" i="59"/>
  <c r="B165" i="59"/>
  <c r="A165" i="59"/>
  <c r="E164" i="59"/>
  <c r="D164" i="59"/>
  <c r="C164" i="59"/>
  <c r="B164" i="59"/>
  <c r="A164" i="59"/>
  <c r="E163" i="59"/>
  <c r="D163" i="59"/>
  <c r="C163" i="59"/>
  <c r="B163" i="59"/>
  <c r="A163" i="59"/>
  <c r="E162" i="59"/>
  <c r="D162" i="59"/>
  <c r="C162" i="59"/>
  <c r="B162" i="59"/>
  <c r="A162" i="59"/>
  <c r="E161" i="59"/>
  <c r="D161" i="59"/>
  <c r="C161" i="59"/>
  <c r="B161" i="59"/>
  <c r="A161" i="59"/>
  <c r="E160" i="59"/>
  <c r="D160" i="59"/>
  <c r="C160" i="59"/>
  <c r="B160" i="59"/>
  <c r="A160" i="59"/>
  <c r="E159" i="59"/>
  <c r="D159" i="59"/>
  <c r="C159" i="59"/>
  <c r="B159" i="59"/>
  <c r="A159" i="59"/>
  <c r="E158" i="59"/>
  <c r="D158" i="59"/>
  <c r="C158" i="59"/>
  <c r="B158" i="59"/>
  <c r="A158" i="59"/>
  <c r="E157" i="59"/>
  <c r="D157" i="59"/>
  <c r="C157" i="59"/>
  <c r="B157" i="59"/>
  <c r="A157" i="59"/>
  <c r="E156" i="59"/>
  <c r="D156" i="59"/>
  <c r="C156" i="59"/>
  <c r="B156" i="59"/>
  <c r="A156" i="59"/>
  <c r="E155" i="59"/>
  <c r="D155" i="59"/>
  <c r="C155" i="59"/>
  <c r="B155" i="59"/>
  <c r="A155" i="59"/>
  <c r="E154" i="59"/>
  <c r="D154" i="59"/>
  <c r="C154" i="59"/>
  <c r="B154" i="59"/>
  <c r="A154" i="59"/>
  <c r="E153" i="59"/>
  <c r="D153" i="59"/>
  <c r="C153" i="59"/>
  <c r="B153" i="59"/>
  <c r="A153" i="59"/>
  <c r="E152" i="59"/>
  <c r="D152" i="59"/>
  <c r="C152" i="59"/>
  <c r="B152" i="59"/>
  <c r="A152" i="59"/>
  <c r="E151" i="59"/>
  <c r="D151" i="59"/>
  <c r="C151" i="59"/>
  <c r="B151" i="59"/>
  <c r="A151" i="59"/>
  <c r="E150" i="59"/>
  <c r="D150" i="59"/>
  <c r="C150" i="59"/>
  <c r="B150" i="59"/>
  <c r="A150" i="59"/>
  <c r="E149" i="59"/>
  <c r="D149" i="59"/>
  <c r="C149" i="59"/>
  <c r="B149" i="59"/>
  <c r="A149" i="59"/>
  <c r="E148" i="59"/>
  <c r="D148" i="59"/>
  <c r="C148" i="59"/>
  <c r="B148" i="59"/>
  <c r="A148" i="59"/>
  <c r="E147" i="59"/>
  <c r="D147" i="59"/>
  <c r="C147" i="59"/>
  <c r="B147" i="59"/>
  <c r="A147" i="59"/>
  <c r="E146" i="59"/>
  <c r="D146" i="59"/>
  <c r="C146" i="59"/>
  <c r="B146" i="59"/>
  <c r="A146" i="59"/>
  <c r="E145" i="59"/>
  <c r="D145" i="59"/>
  <c r="C145" i="59"/>
  <c r="B145" i="59"/>
  <c r="A145" i="59"/>
  <c r="E144" i="59"/>
  <c r="D144" i="59"/>
  <c r="C144" i="59"/>
  <c r="B144" i="59"/>
  <c r="A144" i="59"/>
  <c r="E143" i="59"/>
  <c r="D143" i="59"/>
  <c r="C143" i="59"/>
  <c r="B143" i="59"/>
  <c r="A143" i="59"/>
  <c r="E142" i="59"/>
  <c r="D142" i="59"/>
  <c r="C142" i="59"/>
  <c r="B142" i="59"/>
  <c r="A142" i="59"/>
  <c r="E141" i="59"/>
  <c r="D141" i="59"/>
  <c r="C141" i="59"/>
  <c r="B141" i="59"/>
  <c r="A141" i="59"/>
  <c r="E140" i="59"/>
  <c r="D140" i="59"/>
  <c r="C140" i="59"/>
  <c r="B140" i="59"/>
  <c r="A140" i="59"/>
  <c r="E139" i="59"/>
  <c r="D139" i="59"/>
  <c r="C139" i="59"/>
  <c r="B139" i="59"/>
  <c r="A139" i="59"/>
  <c r="E138" i="59"/>
  <c r="D138" i="59"/>
  <c r="C138" i="59"/>
  <c r="B138" i="59"/>
  <c r="A138" i="59"/>
  <c r="E137" i="59"/>
  <c r="D137" i="59"/>
  <c r="C137" i="59"/>
  <c r="B137" i="59"/>
  <c r="A137" i="59"/>
  <c r="E136" i="59"/>
  <c r="D136" i="59"/>
  <c r="C136" i="59"/>
  <c r="B136" i="59"/>
  <c r="A136" i="59"/>
  <c r="E135" i="59"/>
  <c r="D135" i="59"/>
  <c r="C135" i="59"/>
  <c r="B135" i="59"/>
  <c r="A135" i="59"/>
  <c r="E134" i="59"/>
  <c r="D134" i="59"/>
  <c r="C134" i="59"/>
  <c r="B134" i="59"/>
  <c r="A134" i="59"/>
  <c r="E133" i="59"/>
  <c r="D133" i="59"/>
  <c r="C133" i="59"/>
  <c r="B133" i="59"/>
  <c r="A133" i="59"/>
  <c r="E132" i="59"/>
  <c r="D132" i="59"/>
  <c r="C132" i="59"/>
  <c r="B132" i="59"/>
  <c r="A132" i="59"/>
  <c r="E131" i="59"/>
  <c r="D131" i="59"/>
  <c r="C131" i="59"/>
  <c r="B131" i="59"/>
  <c r="A131" i="59"/>
  <c r="E130" i="59"/>
  <c r="D130" i="59"/>
  <c r="C130" i="59"/>
  <c r="B130" i="59"/>
  <c r="A130" i="59"/>
  <c r="E129" i="59"/>
  <c r="D129" i="59"/>
  <c r="C129" i="59"/>
  <c r="B129" i="59"/>
  <c r="A129" i="59"/>
  <c r="E128" i="59"/>
  <c r="D128" i="59"/>
  <c r="C128" i="59"/>
  <c r="B128" i="59"/>
  <c r="A128" i="59"/>
  <c r="E127" i="59"/>
  <c r="D127" i="59"/>
  <c r="C127" i="59"/>
  <c r="B127" i="59"/>
  <c r="A127" i="59"/>
  <c r="E126" i="59"/>
  <c r="D126" i="59"/>
  <c r="C126" i="59"/>
  <c r="B126" i="59"/>
  <c r="A126" i="59"/>
  <c r="E125" i="59"/>
  <c r="D125" i="59"/>
  <c r="C125" i="59"/>
  <c r="B125" i="59"/>
  <c r="A125" i="59"/>
  <c r="E124" i="59"/>
  <c r="D124" i="59"/>
  <c r="C124" i="59"/>
  <c r="B124" i="59"/>
  <c r="A124" i="59"/>
  <c r="E123" i="59"/>
  <c r="D123" i="59"/>
  <c r="C123" i="59"/>
  <c r="B123" i="59"/>
  <c r="A123" i="59"/>
  <c r="E122" i="59"/>
  <c r="D122" i="59"/>
  <c r="C122" i="59"/>
  <c r="B122" i="59"/>
  <c r="A122" i="59"/>
  <c r="E121" i="59"/>
  <c r="D121" i="59"/>
  <c r="C121" i="59"/>
  <c r="B121" i="59"/>
  <c r="A121" i="59"/>
  <c r="E120" i="59"/>
  <c r="D120" i="59"/>
  <c r="C120" i="59"/>
  <c r="B120" i="59"/>
  <c r="A120" i="59"/>
  <c r="E119" i="59"/>
  <c r="D119" i="59"/>
  <c r="C119" i="59"/>
  <c r="B119" i="59"/>
  <c r="A119" i="59"/>
  <c r="E118" i="59"/>
  <c r="D118" i="59"/>
  <c r="C118" i="59"/>
  <c r="B118" i="59"/>
  <c r="A118" i="59"/>
  <c r="E117" i="59"/>
  <c r="D117" i="59"/>
  <c r="C117" i="59"/>
  <c r="B117" i="59"/>
  <c r="A117" i="59"/>
  <c r="E116" i="59"/>
  <c r="D116" i="59"/>
  <c r="C116" i="59"/>
  <c r="B116" i="59"/>
  <c r="A116" i="59"/>
  <c r="E115" i="59"/>
  <c r="D115" i="59"/>
  <c r="C115" i="59"/>
  <c r="B115" i="59"/>
  <c r="A115" i="59"/>
  <c r="E114" i="59"/>
  <c r="D114" i="59"/>
  <c r="C114" i="59"/>
  <c r="B114" i="59"/>
  <c r="A114" i="59"/>
  <c r="E113" i="59"/>
  <c r="D113" i="59"/>
  <c r="C113" i="59"/>
  <c r="B113" i="59"/>
  <c r="A113" i="59"/>
  <c r="E112" i="59"/>
  <c r="D112" i="59"/>
  <c r="C112" i="59"/>
  <c r="B112" i="59"/>
  <c r="A112" i="59"/>
  <c r="E111" i="59"/>
  <c r="D111" i="59"/>
  <c r="C111" i="59"/>
  <c r="B111" i="59"/>
  <c r="A111" i="59"/>
  <c r="E110" i="59"/>
  <c r="D110" i="59"/>
  <c r="C110" i="59"/>
  <c r="B110" i="59"/>
  <c r="A110" i="59"/>
  <c r="E109" i="59"/>
  <c r="D109" i="59"/>
  <c r="C109" i="59"/>
  <c r="B109" i="59"/>
  <c r="A109" i="59"/>
  <c r="E108" i="59"/>
  <c r="D108" i="59"/>
  <c r="C108" i="59"/>
  <c r="B108" i="59"/>
  <c r="A108" i="59"/>
  <c r="E107" i="59"/>
  <c r="D107" i="59"/>
  <c r="C107" i="59"/>
  <c r="B107" i="59"/>
  <c r="A107" i="59"/>
  <c r="E106" i="59"/>
  <c r="D106" i="59"/>
  <c r="C106" i="59"/>
  <c r="B106" i="59"/>
  <c r="A106" i="59"/>
  <c r="E105" i="59"/>
  <c r="D105" i="59"/>
  <c r="C105" i="59"/>
  <c r="B105" i="59"/>
  <c r="A105" i="59"/>
  <c r="E104" i="59"/>
  <c r="D104" i="59"/>
  <c r="C104" i="59"/>
  <c r="B104" i="59"/>
  <c r="A104" i="59"/>
  <c r="E103" i="59"/>
  <c r="D103" i="59"/>
  <c r="C103" i="59"/>
  <c r="B103" i="59"/>
  <c r="A103" i="59"/>
  <c r="E102" i="59"/>
  <c r="D102" i="59"/>
  <c r="C102" i="59"/>
  <c r="B102" i="59"/>
  <c r="A102" i="59"/>
  <c r="E101" i="59"/>
  <c r="D101" i="59"/>
  <c r="C101" i="59"/>
  <c r="B101" i="59"/>
  <c r="A101" i="59"/>
  <c r="E100" i="59"/>
  <c r="D100" i="59"/>
  <c r="C100" i="59"/>
  <c r="B100" i="59"/>
  <c r="A100" i="59"/>
  <c r="E99" i="59"/>
  <c r="D99" i="59"/>
  <c r="C99" i="59"/>
  <c r="B99" i="59"/>
  <c r="A99" i="59"/>
  <c r="E98" i="59"/>
  <c r="D98" i="59"/>
  <c r="C98" i="59"/>
  <c r="B98" i="59"/>
  <c r="A98" i="59"/>
  <c r="E97" i="59"/>
  <c r="D97" i="59"/>
  <c r="C97" i="59"/>
  <c r="B97" i="59"/>
  <c r="A97" i="59"/>
  <c r="E96" i="59"/>
  <c r="D96" i="59"/>
  <c r="C96" i="59"/>
  <c r="B96" i="59"/>
  <c r="A96" i="59"/>
  <c r="E95" i="59"/>
  <c r="D95" i="59"/>
  <c r="C95" i="59"/>
  <c r="B95" i="59"/>
  <c r="A95" i="59"/>
  <c r="E94" i="59"/>
  <c r="D94" i="59"/>
  <c r="C94" i="59"/>
  <c r="B94" i="59"/>
  <c r="A94" i="59"/>
  <c r="E93" i="59"/>
  <c r="D93" i="59"/>
  <c r="C93" i="59"/>
  <c r="B93" i="59"/>
  <c r="A93" i="59"/>
  <c r="E92" i="59"/>
  <c r="D92" i="59"/>
  <c r="C92" i="59"/>
  <c r="B92" i="59"/>
  <c r="A92" i="59"/>
  <c r="E91" i="59"/>
  <c r="D91" i="59"/>
  <c r="C91" i="59"/>
  <c r="B91" i="59"/>
  <c r="A91" i="59"/>
  <c r="E90" i="59"/>
  <c r="D90" i="59"/>
  <c r="C90" i="59"/>
  <c r="B90" i="59"/>
  <c r="A90" i="59"/>
  <c r="E89" i="59"/>
  <c r="D89" i="59"/>
  <c r="C89" i="59"/>
  <c r="B89" i="59"/>
  <c r="A89" i="59"/>
  <c r="E88" i="59"/>
  <c r="D88" i="59"/>
  <c r="C88" i="59"/>
  <c r="B88" i="59"/>
  <c r="A88" i="59"/>
  <c r="E87" i="59"/>
  <c r="D87" i="59"/>
  <c r="C87" i="59"/>
  <c r="B87" i="59"/>
  <c r="A87" i="59"/>
  <c r="E86" i="59"/>
  <c r="D86" i="59"/>
  <c r="C86" i="59"/>
  <c r="B86" i="59"/>
  <c r="A86" i="59"/>
  <c r="E85" i="59"/>
  <c r="D85" i="59"/>
  <c r="C85" i="59"/>
  <c r="B85" i="59"/>
  <c r="A85" i="59"/>
  <c r="E84" i="59"/>
  <c r="D84" i="59"/>
  <c r="C84" i="59"/>
  <c r="B84" i="59"/>
  <c r="A84" i="59"/>
  <c r="E83" i="59"/>
  <c r="D83" i="59"/>
  <c r="C83" i="59"/>
  <c r="B83" i="59"/>
  <c r="A83" i="59"/>
  <c r="E82" i="59"/>
  <c r="D82" i="59"/>
  <c r="C82" i="59"/>
  <c r="B82" i="59"/>
  <c r="A82" i="59"/>
  <c r="E81" i="59"/>
  <c r="D81" i="59"/>
  <c r="C81" i="59"/>
  <c r="B81" i="59"/>
  <c r="A81" i="59"/>
  <c r="E80" i="59"/>
  <c r="D80" i="59"/>
  <c r="C80" i="59"/>
  <c r="B80" i="59"/>
  <c r="A80" i="59"/>
  <c r="E79" i="59"/>
  <c r="D79" i="59"/>
  <c r="C79" i="59"/>
  <c r="B79" i="59"/>
  <c r="A79" i="59"/>
  <c r="E78" i="59"/>
  <c r="D78" i="59"/>
  <c r="C78" i="59"/>
  <c r="B78" i="59"/>
  <c r="A78" i="59"/>
  <c r="E77" i="59"/>
  <c r="D77" i="59"/>
  <c r="C77" i="59"/>
  <c r="B77" i="59"/>
  <c r="A77" i="59"/>
  <c r="E76" i="59"/>
  <c r="D76" i="59"/>
  <c r="C76" i="59"/>
  <c r="B76" i="59"/>
  <c r="A76" i="59"/>
  <c r="E75" i="59"/>
  <c r="D75" i="59"/>
  <c r="C75" i="59"/>
  <c r="B75" i="59"/>
  <c r="A75" i="59"/>
  <c r="E74" i="59"/>
  <c r="D74" i="59"/>
  <c r="C74" i="59"/>
  <c r="B74" i="59"/>
  <c r="A74" i="59"/>
  <c r="E73" i="59"/>
  <c r="D73" i="59"/>
  <c r="C73" i="59"/>
  <c r="B73" i="59"/>
  <c r="A73" i="59"/>
  <c r="E72" i="59"/>
  <c r="D72" i="59"/>
  <c r="C72" i="59"/>
  <c r="B72" i="59"/>
  <c r="A72" i="59"/>
  <c r="E71" i="59"/>
  <c r="D71" i="59"/>
  <c r="C71" i="59"/>
  <c r="B71" i="59"/>
  <c r="A71" i="59"/>
  <c r="E70" i="59"/>
  <c r="D70" i="59"/>
  <c r="C70" i="59"/>
  <c r="B70" i="59"/>
  <c r="A70" i="59"/>
  <c r="E69" i="59"/>
  <c r="D69" i="59"/>
  <c r="C69" i="59"/>
  <c r="B69" i="59"/>
  <c r="A69" i="59"/>
  <c r="E68" i="59"/>
  <c r="D68" i="59"/>
  <c r="C68" i="59"/>
  <c r="B68" i="59"/>
  <c r="A68" i="59"/>
  <c r="E67" i="59"/>
  <c r="D67" i="59"/>
  <c r="C67" i="59"/>
  <c r="B67" i="59"/>
  <c r="A67" i="59"/>
  <c r="E66" i="59"/>
  <c r="D66" i="59"/>
  <c r="C66" i="59"/>
  <c r="B66" i="59"/>
  <c r="A66" i="59"/>
  <c r="E65" i="59"/>
  <c r="D65" i="59"/>
  <c r="C65" i="59"/>
  <c r="B65" i="59"/>
  <c r="A65" i="59"/>
  <c r="E64" i="59"/>
  <c r="D64" i="59"/>
  <c r="C64" i="59"/>
  <c r="B64" i="59"/>
  <c r="A64" i="59"/>
  <c r="E63" i="59"/>
  <c r="D63" i="59"/>
  <c r="C63" i="59"/>
  <c r="B63" i="59"/>
  <c r="A63" i="59"/>
  <c r="E62" i="59"/>
  <c r="D62" i="59"/>
  <c r="C62" i="59"/>
  <c r="B62" i="59"/>
  <c r="A62" i="59"/>
  <c r="E61" i="59"/>
  <c r="D61" i="59"/>
  <c r="C61" i="59"/>
  <c r="B61" i="59"/>
  <c r="A61" i="59"/>
  <c r="E60" i="59"/>
  <c r="D60" i="59"/>
  <c r="C60" i="59"/>
  <c r="B60" i="59"/>
  <c r="A60" i="59"/>
  <c r="E59" i="59"/>
  <c r="D59" i="59"/>
  <c r="C59" i="59"/>
  <c r="B59" i="59"/>
  <c r="A59" i="59"/>
  <c r="E58" i="59"/>
  <c r="D58" i="59"/>
  <c r="C58" i="59"/>
  <c r="B58" i="59"/>
  <c r="A58" i="59"/>
  <c r="E57" i="59"/>
  <c r="D57" i="59"/>
  <c r="C57" i="59"/>
  <c r="B57" i="59"/>
  <c r="A57" i="59"/>
  <c r="E56" i="59"/>
  <c r="D56" i="59"/>
  <c r="C56" i="59"/>
  <c r="B56" i="59"/>
  <c r="A56" i="59"/>
  <c r="E55" i="59"/>
  <c r="D55" i="59"/>
  <c r="C55" i="59"/>
  <c r="B55" i="59"/>
  <c r="A55" i="59"/>
  <c r="E54" i="59"/>
  <c r="D54" i="59"/>
  <c r="C54" i="59"/>
  <c r="B54" i="59"/>
  <c r="A54" i="59"/>
  <c r="E53" i="59"/>
  <c r="D53" i="59"/>
  <c r="C53" i="59"/>
  <c r="B53" i="59"/>
  <c r="A53" i="59"/>
  <c r="E52" i="59"/>
  <c r="D52" i="59"/>
  <c r="C52" i="59"/>
  <c r="B52" i="59"/>
  <c r="A52" i="59"/>
  <c r="E51" i="59"/>
  <c r="D51" i="59"/>
  <c r="C51" i="59"/>
  <c r="B51" i="59"/>
  <c r="A51" i="59"/>
  <c r="E50" i="59"/>
  <c r="D50" i="59"/>
  <c r="C50" i="59"/>
  <c r="B50" i="59"/>
  <c r="A50" i="59"/>
  <c r="E49" i="59"/>
  <c r="D49" i="59"/>
  <c r="C49" i="59"/>
  <c r="B49" i="59"/>
  <c r="A49" i="59"/>
  <c r="E48" i="59"/>
  <c r="D48" i="59"/>
  <c r="C48" i="59"/>
  <c r="B48" i="59"/>
  <c r="A48" i="59"/>
  <c r="E47" i="59"/>
  <c r="D47" i="59"/>
  <c r="C47" i="59"/>
  <c r="B47" i="59"/>
  <c r="A47" i="59"/>
  <c r="E46" i="59"/>
  <c r="D46" i="59"/>
  <c r="C46" i="59"/>
  <c r="B46" i="59"/>
  <c r="A46" i="59"/>
  <c r="E45" i="59"/>
  <c r="D45" i="59"/>
  <c r="C45" i="59"/>
  <c r="B45" i="59"/>
  <c r="A45" i="59"/>
  <c r="E44" i="59"/>
  <c r="D44" i="59"/>
  <c r="C44" i="59"/>
  <c r="B44" i="59"/>
  <c r="A44" i="59"/>
  <c r="E43" i="59"/>
  <c r="D43" i="59"/>
  <c r="C43" i="59"/>
  <c r="B43" i="59"/>
  <c r="A43" i="59"/>
  <c r="E42" i="59"/>
  <c r="D42" i="59"/>
  <c r="C42" i="59"/>
  <c r="B42" i="59"/>
  <c r="A42" i="59"/>
  <c r="E41" i="59"/>
  <c r="D41" i="59"/>
  <c r="C41" i="59"/>
  <c r="B41" i="59"/>
  <c r="A41" i="59"/>
  <c r="E40" i="59"/>
  <c r="D40" i="59"/>
  <c r="C40" i="59"/>
  <c r="B40" i="59"/>
  <c r="A40" i="59"/>
  <c r="E39" i="59"/>
  <c r="D39" i="59"/>
  <c r="C39" i="59"/>
  <c r="B39" i="59"/>
  <c r="A39" i="59"/>
  <c r="E38" i="59"/>
  <c r="D38" i="59"/>
  <c r="C38" i="59"/>
  <c r="B38" i="59"/>
  <c r="A38" i="59"/>
  <c r="E37" i="59"/>
  <c r="D37" i="59"/>
  <c r="C37" i="59"/>
  <c r="B37" i="59"/>
  <c r="A37" i="59"/>
  <c r="E36" i="59"/>
  <c r="D36" i="59"/>
  <c r="C36" i="59"/>
  <c r="B36" i="59"/>
  <c r="A36" i="59"/>
  <c r="E35" i="59"/>
  <c r="D35" i="59"/>
  <c r="C35" i="59"/>
  <c r="B35" i="59"/>
  <c r="A35" i="59"/>
  <c r="E34" i="59"/>
  <c r="D34" i="59"/>
  <c r="C34" i="59"/>
  <c r="B34" i="59"/>
  <c r="A34" i="59"/>
  <c r="E33" i="59"/>
  <c r="D33" i="59"/>
  <c r="C33" i="59"/>
  <c r="B33" i="59"/>
  <c r="A33" i="59"/>
  <c r="E32" i="59"/>
  <c r="D32" i="59"/>
  <c r="C32" i="59"/>
  <c r="B32" i="59"/>
  <c r="A32" i="59"/>
  <c r="E31" i="59"/>
  <c r="D31" i="59"/>
  <c r="C31" i="59"/>
  <c r="B31" i="59"/>
  <c r="A31" i="59"/>
  <c r="E30" i="59"/>
  <c r="D30" i="59"/>
  <c r="C30" i="59"/>
  <c r="B30" i="59"/>
  <c r="A30" i="59"/>
  <c r="E29" i="59"/>
  <c r="D29" i="59"/>
  <c r="C29" i="59"/>
  <c r="B29" i="59"/>
  <c r="A29" i="59"/>
  <c r="E28" i="59"/>
  <c r="D28" i="59"/>
  <c r="C28" i="59"/>
  <c r="B28" i="59"/>
  <c r="A28" i="59"/>
  <c r="E27" i="59"/>
  <c r="D27" i="59"/>
  <c r="C27" i="59"/>
  <c r="B27" i="59"/>
  <c r="A27" i="59"/>
  <c r="E26" i="59"/>
  <c r="D26" i="59"/>
  <c r="C26" i="59"/>
  <c r="B26" i="59"/>
  <c r="A26" i="59"/>
  <c r="E25" i="59"/>
  <c r="D25" i="59"/>
  <c r="C25" i="59"/>
  <c r="B25" i="59"/>
  <c r="A25" i="59"/>
  <c r="E24" i="59"/>
  <c r="D24" i="59"/>
  <c r="C24" i="59"/>
  <c r="B24" i="59"/>
  <c r="A24" i="59"/>
  <c r="E23" i="59"/>
  <c r="D23" i="59"/>
  <c r="C23" i="59"/>
  <c r="B23" i="59"/>
  <c r="A23" i="59"/>
  <c r="E22" i="59"/>
  <c r="D22" i="59"/>
  <c r="C22" i="59"/>
  <c r="B22" i="59"/>
  <c r="A22" i="59"/>
  <c r="E21" i="59"/>
  <c r="D21" i="59"/>
  <c r="C21" i="59"/>
  <c r="B21" i="59"/>
  <c r="A21" i="59"/>
  <c r="E20" i="59"/>
  <c r="D20" i="59"/>
  <c r="C20" i="59"/>
  <c r="B20" i="59"/>
  <c r="A20" i="59"/>
  <c r="E19" i="59"/>
  <c r="D19" i="59"/>
  <c r="C19" i="59"/>
  <c r="B19" i="59"/>
  <c r="A19" i="59"/>
  <c r="E18" i="59"/>
  <c r="D18" i="59"/>
  <c r="C18" i="59"/>
  <c r="B18" i="59"/>
  <c r="A18" i="59"/>
  <c r="E17" i="59"/>
  <c r="D17" i="59"/>
  <c r="C17" i="59"/>
  <c r="B17" i="59"/>
  <c r="A17" i="59"/>
  <c r="E16" i="59"/>
  <c r="D16" i="59"/>
  <c r="C16" i="59"/>
  <c r="B16" i="59"/>
  <c r="A16" i="59"/>
  <c r="E15" i="59"/>
  <c r="D15" i="59"/>
  <c r="C15" i="59"/>
  <c r="B15" i="59"/>
  <c r="A15" i="59"/>
  <c r="E14" i="59"/>
  <c r="D14" i="59"/>
  <c r="C14" i="59"/>
  <c r="B14" i="59"/>
  <c r="A14" i="59"/>
  <c r="E13" i="59"/>
  <c r="D13" i="59"/>
  <c r="C13" i="59"/>
  <c r="B13" i="59"/>
  <c r="A13" i="59"/>
  <c r="E12" i="59"/>
  <c r="D12" i="59"/>
  <c r="C12" i="59"/>
  <c r="B12" i="59"/>
  <c r="A12" i="59"/>
  <c r="E11" i="59"/>
  <c r="D11" i="59"/>
  <c r="C11" i="59"/>
  <c r="B11" i="59"/>
  <c r="A11" i="59"/>
  <c r="E10" i="59"/>
  <c r="D10" i="59"/>
  <c r="C10" i="59"/>
  <c r="B10" i="59"/>
  <c r="A10" i="59"/>
  <c r="E9" i="59"/>
  <c r="D9" i="59"/>
  <c r="C9" i="59"/>
  <c r="B9" i="59"/>
  <c r="A9" i="59"/>
  <c r="E8" i="59"/>
  <c r="D8" i="59"/>
  <c r="C8" i="59"/>
  <c r="B8" i="59"/>
  <c r="A8" i="59"/>
  <c r="E7" i="59"/>
  <c r="D7" i="59"/>
  <c r="C7" i="59"/>
  <c r="B7" i="59"/>
  <c r="A7" i="59"/>
  <c r="E6" i="59"/>
  <c r="D6" i="59"/>
  <c r="C6" i="59"/>
  <c r="B6" i="59"/>
  <c r="A6" i="59"/>
  <c r="E5" i="59"/>
  <c r="D5" i="59"/>
  <c r="C5" i="59"/>
  <c r="B5" i="59"/>
  <c r="A5" i="59"/>
  <c r="E4" i="59"/>
  <c r="D4" i="59"/>
  <c r="C4" i="59"/>
  <c r="B4" i="59"/>
  <c r="A4" i="59"/>
  <c r="E3" i="59"/>
  <c r="D3" i="59"/>
  <c r="C3" i="59"/>
  <c r="B3" i="59"/>
  <c r="A3" i="59"/>
  <c r="E2" i="59"/>
  <c r="D2" i="59"/>
  <c r="C2" i="59"/>
  <c r="B2" i="59"/>
  <c r="A2" i="59"/>
  <c r="E1" i="59"/>
  <c r="D1" i="59"/>
  <c r="C1" i="59"/>
  <c r="B1" i="59"/>
  <c r="A1" i="59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7" i="58"/>
  <c r="F47" i="58"/>
  <c r="E47" i="58"/>
  <c r="D47" i="58"/>
  <c r="C47" i="58"/>
  <c r="B47" i="58"/>
  <c r="A47" i="58"/>
  <c r="G46" i="58"/>
  <c r="F46" i="58"/>
  <c r="E46" i="58"/>
  <c r="D46" i="58"/>
  <c r="C46" i="58"/>
  <c r="B46" i="58"/>
  <c r="A46" i="58"/>
  <c r="G45" i="58"/>
  <c r="F45" i="58"/>
  <c r="E45" i="58"/>
  <c r="D45" i="58"/>
  <c r="C45" i="58"/>
  <c r="B45" i="58"/>
  <c r="A45" i="58"/>
  <c r="G44" i="58"/>
  <c r="F44" i="58"/>
  <c r="E44" i="58"/>
  <c r="D44" i="58"/>
  <c r="C44" i="58"/>
  <c r="B44" i="58"/>
  <c r="A44" i="58"/>
  <c r="G43" i="58"/>
  <c r="F43" i="58"/>
  <c r="E43" i="58"/>
  <c r="D43" i="58"/>
  <c r="C43" i="58"/>
  <c r="B43" i="58"/>
  <c r="A43" i="58"/>
  <c r="G42" i="58"/>
  <c r="F42" i="58"/>
  <c r="E42" i="58"/>
  <c r="D42" i="58"/>
  <c r="C42" i="58"/>
  <c r="B42" i="58"/>
  <c r="A42" i="58"/>
  <c r="G41" i="58"/>
  <c r="F41" i="58"/>
  <c r="E41" i="58"/>
  <c r="D41" i="58"/>
  <c r="C41" i="58"/>
  <c r="B41" i="58"/>
  <c r="A41" i="58"/>
  <c r="G40" i="58"/>
  <c r="F40" i="58"/>
  <c r="E40" i="58"/>
  <c r="D40" i="58"/>
  <c r="C40" i="58"/>
  <c r="B40" i="58"/>
  <c r="A40" i="58"/>
  <c r="G39" i="58"/>
  <c r="F39" i="58"/>
  <c r="E39" i="58"/>
  <c r="D39" i="58"/>
  <c r="C39" i="58"/>
  <c r="B39" i="58"/>
  <c r="A39" i="58"/>
  <c r="G38" i="58"/>
  <c r="F38" i="58"/>
  <c r="E38" i="58"/>
  <c r="D38" i="58"/>
  <c r="C38" i="58"/>
  <c r="B38" i="58"/>
  <c r="A38" i="58"/>
  <c r="G37" i="58"/>
  <c r="F37" i="58"/>
  <c r="E37" i="58"/>
  <c r="D37" i="58"/>
  <c r="C37" i="58"/>
  <c r="B37" i="58"/>
  <c r="A37" i="58"/>
  <c r="G36" i="58"/>
  <c r="F36" i="58"/>
  <c r="E36" i="58"/>
  <c r="D36" i="58"/>
  <c r="C36" i="58"/>
  <c r="B36" i="58"/>
  <c r="A36" i="58"/>
  <c r="G35" i="58"/>
  <c r="F35" i="58"/>
  <c r="E35" i="58"/>
  <c r="D35" i="58"/>
  <c r="C35" i="58"/>
  <c r="B35" i="58"/>
  <c r="A35" i="58"/>
  <c r="G34" i="58"/>
  <c r="F34" i="58"/>
  <c r="E34" i="58"/>
  <c r="D34" i="58"/>
  <c r="C34" i="58"/>
  <c r="B34" i="58"/>
  <c r="A34" i="58"/>
  <c r="G33" i="58"/>
  <c r="F33" i="58"/>
  <c r="E33" i="58"/>
  <c r="D33" i="58"/>
  <c r="C33" i="58"/>
  <c r="B33" i="58"/>
  <c r="A33" i="58"/>
  <c r="G32" i="58"/>
  <c r="F32" i="58"/>
  <c r="E32" i="58"/>
  <c r="D32" i="58"/>
  <c r="C32" i="58"/>
  <c r="B32" i="58"/>
  <c r="A32" i="58"/>
  <c r="G31" i="58"/>
  <c r="F31" i="58"/>
  <c r="E31" i="58"/>
  <c r="D31" i="58"/>
  <c r="C31" i="58"/>
  <c r="B31" i="58"/>
  <c r="A31" i="58"/>
  <c r="G30" i="58"/>
  <c r="F30" i="58"/>
  <c r="E30" i="58"/>
  <c r="D30" i="58"/>
  <c r="C30" i="58"/>
  <c r="B30" i="58"/>
  <c r="A30" i="58"/>
  <c r="G29" i="58"/>
  <c r="F29" i="58"/>
  <c r="E29" i="58"/>
  <c r="D29" i="58"/>
  <c r="C29" i="58"/>
  <c r="B29" i="58"/>
  <c r="A29" i="58"/>
  <c r="G28" i="58"/>
  <c r="F28" i="58"/>
  <c r="E28" i="58"/>
  <c r="D28" i="58"/>
  <c r="C28" i="58"/>
  <c r="B28" i="58"/>
  <c r="A28" i="58"/>
  <c r="G27" i="58"/>
  <c r="F27" i="58"/>
  <c r="E27" i="58"/>
  <c r="D27" i="58"/>
  <c r="C27" i="58"/>
  <c r="B27" i="58"/>
  <c r="A27" i="58"/>
  <c r="G26" i="58"/>
  <c r="F26" i="58"/>
  <c r="E26" i="58"/>
  <c r="D26" i="58"/>
  <c r="C26" i="58"/>
  <c r="B26" i="58"/>
  <c r="A26" i="58"/>
  <c r="G25" i="58"/>
  <c r="F25" i="58"/>
  <c r="E25" i="58"/>
  <c r="D25" i="58"/>
  <c r="C25" i="58"/>
  <c r="B25" i="58"/>
  <c r="A25" i="58"/>
  <c r="G24" i="58"/>
  <c r="F24" i="58"/>
  <c r="E24" i="58"/>
  <c r="D24" i="58"/>
  <c r="C24" i="58"/>
  <c r="B24" i="58"/>
  <c r="A24" i="58"/>
  <c r="G23" i="58"/>
  <c r="F23" i="58"/>
  <c r="E23" i="58"/>
  <c r="D23" i="58"/>
  <c r="C23" i="58"/>
  <c r="B23" i="58"/>
  <c r="A23" i="58"/>
  <c r="G22" i="58"/>
  <c r="F22" i="58"/>
  <c r="E22" i="58"/>
  <c r="D22" i="58"/>
  <c r="C22" i="58"/>
  <c r="B22" i="58"/>
  <c r="A22" i="58"/>
  <c r="G21" i="58"/>
  <c r="F21" i="58"/>
  <c r="E21" i="58"/>
  <c r="D21" i="58"/>
  <c r="C21" i="58"/>
  <c r="B21" i="58"/>
  <c r="A21" i="58"/>
  <c r="G20" i="58"/>
  <c r="F20" i="58"/>
  <c r="E20" i="58"/>
  <c r="D20" i="58"/>
  <c r="C20" i="58"/>
  <c r="B20" i="58"/>
  <c r="A20" i="58"/>
  <c r="G19" i="58"/>
  <c r="F19" i="58"/>
  <c r="E19" i="58"/>
  <c r="D19" i="58"/>
  <c r="C19" i="58"/>
  <c r="B19" i="58"/>
  <c r="A19" i="58"/>
  <c r="G18" i="58"/>
  <c r="F18" i="58"/>
  <c r="E18" i="58"/>
  <c r="D18" i="58"/>
  <c r="C18" i="58"/>
  <c r="B18" i="58"/>
  <c r="A18" i="58"/>
  <c r="G17" i="58"/>
  <c r="F17" i="58"/>
  <c r="E17" i="58"/>
  <c r="D17" i="58"/>
  <c r="C17" i="58"/>
  <c r="B17" i="58"/>
  <c r="A17" i="58"/>
  <c r="G16" i="58"/>
  <c r="F16" i="58"/>
  <c r="E16" i="58"/>
  <c r="D16" i="58"/>
  <c r="C16" i="58"/>
  <c r="B16" i="58"/>
  <c r="A16" i="58"/>
  <c r="G15" i="58"/>
  <c r="F15" i="58"/>
  <c r="E15" i="58"/>
  <c r="D15" i="58"/>
  <c r="C15" i="58"/>
  <c r="B15" i="58"/>
  <c r="A15" i="58"/>
  <c r="G14" i="58"/>
  <c r="F14" i="58"/>
  <c r="E14" i="58"/>
  <c r="D14" i="58"/>
  <c r="C14" i="58"/>
  <c r="B14" i="58"/>
  <c r="A14" i="58"/>
  <c r="G13" i="58"/>
  <c r="F13" i="58"/>
  <c r="E13" i="58"/>
  <c r="D13" i="58"/>
  <c r="C13" i="58"/>
  <c r="B13" i="58"/>
  <c r="A13" i="58"/>
  <c r="G12" i="58"/>
  <c r="F12" i="58"/>
  <c r="E12" i="58"/>
  <c r="D12" i="58"/>
  <c r="C12" i="58"/>
  <c r="B12" i="58"/>
  <c r="A12" i="58"/>
  <c r="G11" i="58"/>
  <c r="F11" i="58"/>
  <c r="E11" i="58"/>
  <c r="D11" i="58"/>
  <c r="C11" i="58"/>
  <c r="B11" i="58"/>
  <c r="A11" i="58"/>
  <c r="G10" i="58"/>
  <c r="F10" i="58"/>
  <c r="E10" i="58"/>
  <c r="D10" i="58"/>
  <c r="C10" i="58"/>
  <c r="B10" i="58"/>
  <c r="A10" i="58"/>
  <c r="G9" i="58"/>
  <c r="F9" i="58"/>
  <c r="E9" i="58"/>
  <c r="D9" i="58"/>
  <c r="C9" i="58"/>
  <c r="B9" i="58"/>
  <c r="A9" i="58"/>
  <c r="G8" i="58"/>
  <c r="F8" i="58"/>
  <c r="E8" i="58"/>
  <c r="D8" i="58"/>
  <c r="C8" i="58"/>
  <c r="B8" i="58"/>
  <c r="A8" i="58"/>
  <c r="G7" i="58"/>
  <c r="F7" i="58"/>
  <c r="E7" i="58"/>
  <c r="D7" i="58"/>
  <c r="C7" i="58"/>
  <c r="B7" i="58"/>
  <c r="A7" i="58"/>
  <c r="G6" i="58"/>
  <c r="F6" i="58"/>
  <c r="E6" i="58"/>
  <c r="D6" i="58"/>
  <c r="C6" i="58"/>
  <c r="B6" i="58"/>
  <c r="A6" i="58"/>
  <c r="G5" i="58"/>
  <c r="F5" i="58"/>
  <c r="E5" i="58"/>
  <c r="D5" i="58"/>
  <c r="C5" i="58"/>
  <c r="B5" i="58"/>
  <c r="A5" i="58"/>
  <c r="G4" i="58"/>
  <c r="F4" i="58"/>
  <c r="E4" i="58"/>
  <c r="D4" i="58"/>
  <c r="C4" i="58"/>
  <c r="B4" i="58"/>
  <c r="A4" i="58"/>
  <c r="G3" i="58"/>
  <c r="F3" i="58"/>
  <c r="E3" i="58"/>
  <c r="D3" i="58"/>
  <c r="C3" i="58"/>
  <c r="B3" i="58"/>
  <c r="A3" i="58"/>
  <c r="G2" i="58"/>
  <c r="F2" i="58"/>
  <c r="E2" i="58"/>
  <c r="D2" i="58"/>
  <c r="C2" i="58"/>
  <c r="B2" i="58"/>
  <c r="A2" i="58"/>
  <c r="G1" i="58"/>
  <c r="F1" i="58"/>
  <c r="E1" i="58"/>
  <c r="D1" i="58"/>
  <c r="C1" i="58"/>
  <c r="B1" i="58"/>
  <c r="A1" i="58"/>
  <c r="G290" i="57"/>
  <c r="F290" i="57"/>
  <c r="E290" i="57"/>
  <c r="D290" i="57"/>
  <c r="C290" i="57"/>
  <c r="B290" i="57"/>
  <c r="A290" i="57"/>
  <c r="G289" i="57"/>
  <c r="F289" i="57"/>
  <c r="E289" i="57"/>
  <c r="D289" i="57"/>
  <c r="C289" i="57"/>
  <c r="B289" i="57"/>
  <c r="A289" i="57"/>
  <c r="G288" i="57"/>
  <c r="F288" i="57"/>
  <c r="E288" i="57"/>
  <c r="D288" i="57"/>
  <c r="C288" i="57"/>
  <c r="B288" i="57"/>
  <c r="A288" i="57"/>
  <c r="G287" i="57"/>
  <c r="F287" i="57"/>
  <c r="E287" i="57"/>
  <c r="D287" i="57"/>
  <c r="C287" i="57"/>
  <c r="B287" i="57"/>
  <c r="A287" i="57"/>
  <c r="G286" i="57"/>
  <c r="F286" i="57"/>
  <c r="E286" i="57"/>
  <c r="D286" i="57"/>
  <c r="C286" i="57"/>
  <c r="B286" i="57"/>
  <c r="A286" i="57"/>
  <c r="G285" i="57"/>
  <c r="F285" i="57"/>
  <c r="E285" i="57"/>
  <c r="D285" i="57"/>
  <c r="C285" i="57"/>
  <c r="B285" i="57"/>
  <c r="A285" i="57"/>
  <c r="G284" i="57"/>
  <c r="F284" i="57"/>
  <c r="E284" i="57"/>
  <c r="D284" i="57"/>
  <c r="C284" i="57"/>
  <c r="B284" i="57"/>
  <c r="A284" i="57"/>
  <c r="G283" i="57"/>
  <c r="F283" i="57"/>
  <c r="E283" i="57"/>
  <c r="D283" i="57"/>
  <c r="C283" i="57"/>
  <c r="B283" i="57"/>
  <c r="A283" i="57"/>
  <c r="G282" i="57"/>
  <c r="F282" i="57"/>
  <c r="E282" i="57"/>
  <c r="D282" i="57"/>
  <c r="C282" i="57"/>
  <c r="B282" i="57"/>
  <c r="A282" i="57"/>
  <c r="G281" i="57"/>
  <c r="F281" i="57"/>
  <c r="E281" i="57"/>
  <c r="D281" i="57"/>
  <c r="C281" i="57"/>
  <c r="B281" i="57"/>
  <c r="A281" i="57"/>
  <c r="G280" i="57"/>
  <c r="F280" i="57"/>
  <c r="E280" i="57"/>
  <c r="D280" i="57"/>
  <c r="C280" i="57"/>
  <c r="B280" i="57"/>
  <c r="A280" i="57"/>
  <c r="G279" i="57"/>
  <c r="F279" i="57"/>
  <c r="E279" i="57"/>
  <c r="D279" i="57"/>
  <c r="C279" i="57"/>
  <c r="B279" i="57"/>
  <c r="A279" i="57"/>
  <c r="G278" i="57"/>
  <c r="F278" i="57"/>
  <c r="E278" i="57"/>
  <c r="D278" i="57"/>
  <c r="C278" i="57"/>
  <c r="B278" i="57"/>
  <c r="A278" i="57"/>
  <c r="G277" i="57"/>
  <c r="F277" i="57"/>
  <c r="E277" i="57"/>
  <c r="D277" i="57"/>
  <c r="C277" i="57"/>
  <c r="B277" i="57"/>
  <c r="A277" i="57"/>
  <c r="G276" i="57"/>
  <c r="F276" i="57"/>
  <c r="E276" i="57"/>
  <c r="D276" i="57"/>
  <c r="C276" i="57"/>
  <c r="B276" i="57"/>
  <c r="A276" i="57"/>
  <c r="G275" i="57"/>
  <c r="F275" i="57"/>
  <c r="E275" i="57"/>
  <c r="D275" i="57"/>
  <c r="C275" i="57"/>
  <c r="B275" i="57"/>
  <c r="A275" i="57"/>
  <c r="G274" i="57"/>
  <c r="F274" i="57"/>
  <c r="E274" i="57"/>
  <c r="D274" i="57"/>
  <c r="C274" i="57"/>
  <c r="B274" i="57"/>
  <c r="A274" i="57"/>
  <c r="G273" i="57"/>
  <c r="F273" i="57"/>
  <c r="E273" i="57"/>
  <c r="D273" i="57"/>
  <c r="C273" i="57"/>
  <c r="B273" i="57"/>
  <c r="A273" i="57"/>
  <c r="G272" i="57"/>
  <c r="F272" i="57"/>
  <c r="E272" i="57"/>
  <c r="D272" i="57"/>
  <c r="C272" i="57"/>
  <c r="B272" i="57"/>
  <c r="A272" i="57"/>
  <c r="G271" i="57"/>
  <c r="F271" i="57"/>
  <c r="E271" i="57"/>
  <c r="D271" i="57"/>
  <c r="C271" i="57"/>
  <c r="B271" i="57"/>
  <c r="A271" i="57"/>
  <c r="G270" i="57"/>
  <c r="F270" i="57"/>
  <c r="E270" i="57"/>
  <c r="D270" i="57"/>
  <c r="C270" i="57"/>
  <c r="B270" i="57"/>
  <c r="A270" i="57"/>
  <c r="G269" i="57"/>
  <c r="F269" i="57"/>
  <c r="E269" i="57"/>
  <c r="D269" i="57"/>
  <c r="C269" i="57"/>
  <c r="B269" i="57"/>
  <c r="A269" i="57"/>
  <c r="G268" i="57"/>
  <c r="F268" i="57"/>
  <c r="E268" i="57"/>
  <c r="D268" i="57"/>
  <c r="C268" i="57"/>
  <c r="B268" i="57"/>
  <c r="A268" i="57"/>
  <c r="G267" i="57"/>
  <c r="F267" i="57"/>
  <c r="E267" i="57"/>
  <c r="D267" i="57"/>
  <c r="C267" i="57"/>
  <c r="B267" i="57"/>
  <c r="A267" i="57"/>
  <c r="G266" i="57"/>
  <c r="F266" i="57"/>
  <c r="E266" i="57"/>
  <c r="D266" i="57"/>
  <c r="C266" i="57"/>
  <c r="B266" i="57"/>
  <c r="A266" i="57"/>
  <c r="G265" i="57"/>
  <c r="F265" i="57"/>
  <c r="E265" i="57"/>
  <c r="D265" i="57"/>
  <c r="C265" i="57"/>
  <c r="B265" i="57"/>
  <c r="A265" i="57"/>
  <c r="G264" i="57"/>
  <c r="F264" i="57"/>
  <c r="E264" i="57"/>
  <c r="D264" i="57"/>
  <c r="C264" i="57"/>
  <c r="B264" i="57"/>
  <c r="A264" i="57"/>
  <c r="G263" i="57"/>
  <c r="F263" i="57"/>
  <c r="E263" i="57"/>
  <c r="D263" i="57"/>
  <c r="C263" i="57"/>
  <c r="B263" i="57"/>
  <c r="A263" i="57"/>
  <c r="G262" i="57"/>
  <c r="F262" i="57"/>
  <c r="E262" i="57"/>
  <c r="D262" i="57"/>
  <c r="C262" i="57"/>
  <c r="B262" i="57"/>
  <c r="A262" i="57"/>
  <c r="G261" i="57"/>
  <c r="F261" i="57"/>
  <c r="E261" i="57"/>
  <c r="D261" i="57"/>
  <c r="C261" i="57"/>
  <c r="B261" i="57"/>
  <c r="A261" i="57"/>
  <c r="G260" i="57"/>
  <c r="F260" i="57"/>
  <c r="E260" i="57"/>
  <c r="D260" i="57"/>
  <c r="C260" i="57"/>
  <c r="B260" i="57"/>
  <c r="A260" i="57"/>
  <c r="G259" i="57"/>
  <c r="F259" i="57"/>
  <c r="E259" i="57"/>
  <c r="D259" i="57"/>
  <c r="C259" i="57"/>
  <c r="B259" i="57"/>
  <c r="A259" i="57"/>
  <c r="G258" i="57"/>
  <c r="F258" i="57"/>
  <c r="E258" i="57"/>
  <c r="D258" i="57"/>
  <c r="C258" i="57"/>
  <c r="B258" i="57"/>
  <c r="A258" i="57"/>
  <c r="G257" i="57"/>
  <c r="F257" i="57"/>
  <c r="E257" i="57"/>
  <c r="D257" i="57"/>
  <c r="C257" i="57"/>
  <c r="B257" i="57"/>
  <c r="A257" i="57"/>
  <c r="G256" i="57"/>
  <c r="F256" i="57"/>
  <c r="E256" i="57"/>
  <c r="D256" i="57"/>
  <c r="C256" i="57"/>
  <c r="B256" i="57"/>
  <c r="A256" i="57"/>
  <c r="G255" i="57"/>
  <c r="F255" i="57"/>
  <c r="E255" i="57"/>
  <c r="D255" i="57"/>
  <c r="C255" i="57"/>
  <c r="B255" i="57"/>
  <c r="A255" i="57"/>
  <c r="G254" i="57"/>
  <c r="F254" i="57"/>
  <c r="E254" i="57"/>
  <c r="D254" i="57"/>
  <c r="C254" i="57"/>
  <c r="B254" i="57"/>
  <c r="A254" i="57"/>
  <c r="G253" i="57"/>
  <c r="F253" i="57"/>
  <c r="E253" i="57"/>
  <c r="D253" i="57"/>
  <c r="C253" i="57"/>
  <c r="B253" i="57"/>
  <c r="A253" i="57"/>
  <c r="G252" i="57"/>
  <c r="F252" i="57"/>
  <c r="E252" i="57"/>
  <c r="D252" i="57"/>
  <c r="C252" i="57"/>
  <c r="B252" i="57"/>
  <c r="A252" i="57"/>
  <c r="G251" i="57"/>
  <c r="F251" i="57"/>
  <c r="E251" i="57"/>
  <c r="D251" i="57"/>
  <c r="C251" i="57"/>
  <c r="B251" i="57"/>
  <c r="A251" i="57"/>
  <c r="G250" i="57"/>
  <c r="F250" i="57"/>
  <c r="E250" i="57"/>
  <c r="D250" i="57"/>
  <c r="C250" i="57"/>
  <c r="B250" i="57"/>
  <c r="A250" i="57"/>
  <c r="G249" i="57"/>
  <c r="F249" i="57"/>
  <c r="E249" i="57"/>
  <c r="D249" i="57"/>
  <c r="C249" i="57"/>
  <c r="B249" i="57"/>
  <c r="A249" i="57"/>
  <c r="G248" i="57"/>
  <c r="F248" i="57"/>
  <c r="E248" i="57"/>
  <c r="D248" i="57"/>
  <c r="C248" i="57"/>
  <c r="B248" i="57"/>
  <c r="A248" i="57"/>
  <c r="G247" i="57"/>
  <c r="F247" i="57"/>
  <c r="E247" i="57"/>
  <c r="D247" i="57"/>
  <c r="C247" i="57"/>
  <c r="B247" i="57"/>
  <c r="A247" i="57"/>
  <c r="G246" i="57"/>
  <c r="F246" i="57"/>
  <c r="E246" i="57"/>
  <c r="D246" i="57"/>
  <c r="C246" i="57"/>
  <c r="B246" i="57"/>
  <c r="A246" i="57"/>
  <c r="G245" i="57"/>
  <c r="F245" i="57"/>
  <c r="E245" i="57"/>
  <c r="D245" i="57"/>
  <c r="C245" i="57"/>
  <c r="B245" i="57"/>
  <c r="A245" i="57"/>
  <c r="G244" i="57"/>
  <c r="F244" i="57"/>
  <c r="E244" i="57"/>
  <c r="D244" i="57"/>
  <c r="C244" i="57"/>
  <c r="B244" i="57"/>
  <c r="A244" i="57"/>
  <c r="G243" i="57"/>
  <c r="F243" i="57"/>
  <c r="E243" i="57"/>
  <c r="D243" i="57"/>
  <c r="C243" i="57"/>
  <c r="B243" i="57"/>
  <c r="A243" i="57"/>
  <c r="G242" i="57"/>
  <c r="F242" i="57"/>
  <c r="E242" i="57"/>
  <c r="D242" i="57"/>
  <c r="C242" i="57"/>
  <c r="B242" i="57"/>
  <c r="A242" i="57"/>
  <c r="G241" i="57"/>
  <c r="F241" i="57"/>
  <c r="E241" i="57"/>
  <c r="D241" i="57"/>
  <c r="C241" i="57"/>
  <c r="B241" i="57"/>
  <c r="A241" i="57"/>
  <c r="G240" i="57"/>
  <c r="F240" i="57"/>
  <c r="E240" i="57"/>
  <c r="D240" i="57"/>
  <c r="C240" i="57"/>
  <c r="B240" i="57"/>
  <c r="A240" i="57"/>
  <c r="G239" i="57"/>
  <c r="F239" i="57"/>
  <c r="E239" i="57"/>
  <c r="D239" i="57"/>
  <c r="C239" i="57"/>
  <c r="B239" i="57"/>
  <c r="A239" i="57"/>
  <c r="G238" i="57"/>
  <c r="F238" i="57"/>
  <c r="E238" i="57"/>
  <c r="D238" i="57"/>
  <c r="C238" i="57"/>
  <c r="B238" i="57"/>
  <c r="A238" i="57"/>
  <c r="G237" i="57"/>
  <c r="F237" i="57"/>
  <c r="E237" i="57"/>
  <c r="D237" i="57"/>
  <c r="C237" i="57"/>
  <c r="B237" i="57"/>
  <c r="A237" i="57"/>
  <c r="G236" i="57"/>
  <c r="F236" i="57"/>
  <c r="E236" i="57"/>
  <c r="D236" i="57"/>
  <c r="C236" i="57"/>
  <c r="B236" i="57"/>
  <c r="A236" i="57"/>
  <c r="G235" i="57"/>
  <c r="F235" i="57"/>
  <c r="E235" i="57"/>
  <c r="D235" i="57"/>
  <c r="C235" i="57"/>
  <c r="B235" i="57"/>
  <c r="A235" i="57"/>
  <c r="G234" i="57"/>
  <c r="F234" i="57"/>
  <c r="E234" i="57"/>
  <c r="D234" i="57"/>
  <c r="C234" i="57"/>
  <c r="B234" i="57"/>
  <c r="A234" i="57"/>
  <c r="G233" i="57"/>
  <c r="F233" i="57"/>
  <c r="E233" i="57"/>
  <c r="D233" i="57"/>
  <c r="C233" i="57"/>
  <c r="B233" i="57"/>
  <c r="A233" i="57"/>
  <c r="G232" i="57"/>
  <c r="F232" i="57"/>
  <c r="E232" i="57"/>
  <c r="D232" i="57"/>
  <c r="C232" i="57"/>
  <c r="B232" i="57"/>
  <c r="A232" i="57"/>
  <c r="G231" i="57"/>
  <c r="F231" i="57"/>
  <c r="E231" i="57"/>
  <c r="D231" i="57"/>
  <c r="C231" i="57"/>
  <c r="B231" i="57"/>
  <c r="A231" i="57"/>
  <c r="G230" i="57"/>
  <c r="F230" i="57"/>
  <c r="E230" i="57"/>
  <c r="D230" i="57"/>
  <c r="C230" i="57"/>
  <c r="B230" i="57"/>
  <c r="A230" i="57"/>
  <c r="G229" i="57"/>
  <c r="F229" i="57"/>
  <c r="E229" i="57"/>
  <c r="D229" i="57"/>
  <c r="C229" i="57"/>
  <c r="B229" i="57"/>
  <c r="A229" i="57"/>
  <c r="G228" i="57"/>
  <c r="F228" i="57"/>
  <c r="E228" i="57"/>
  <c r="D228" i="57"/>
  <c r="C228" i="57"/>
  <c r="B228" i="57"/>
  <c r="A228" i="57"/>
  <c r="G227" i="57"/>
  <c r="F227" i="57"/>
  <c r="E227" i="57"/>
  <c r="D227" i="57"/>
  <c r="C227" i="57"/>
  <c r="B227" i="57"/>
  <c r="A227" i="57"/>
  <c r="G226" i="57"/>
  <c r="F226" i="57"/>
  <c r="E226" i="57"/>
  <c r="D226" i="57"/>
  <c r="C226" i="57"/>
  <c r="B226" i="57"/>
  <c r="A226" i="57"/>
  <c r="G225" i="57"/>
  <c r="F225" i="57"/>
  <c r="E225" i="57"/>
  <c r="D225" i="57"/>
  <c r="C225" i="57"/>
  <c r="B225" i="57"/>
  <c r="A225" i="57"/>
  <c r="G224" i="57"/>
  <c r="F224" i="57"/>
  <c r="E224" i="57"/>
  <c r="D224" i="57"/>
  <c r="C224" i="57"/>
  <c r="B224" i="57"/>
  <c r="A224" i="57"/>
  <c r="G223" i="57"/>
  <c r="F223" i="57"/>
  <c r="E223" i="57"/>
  <c r="D223" i="57"/>
  <c r="C223" i="57"/>
  <c r="B223" i="57"/>
  <c r="A223" i="57"/>
  <c r="G222" i="57"/>
  <c r="F222" i="57"/>
  <c r="E222" i="57"/>
  <c r="D222" i="57"/>
  <c r="C222" i="57"/>
  <c r="B222" i="57"/>
  <c r="A222" i="57"/>
  <c r="G221" i="57"/>
  <c r="F221" i="57"/>
  <c r="E221" i="57"/>
  <c r="D221" i="57"/>
  <c r="C221" i="57"/>
  <c r="B221" i="57"/>
  <c r="A221" i="57"/>
  <c r="G220" i="57"/>
  <c r="F220" i="57"/>
  <c r="E220" i="57"/>
  <c r="D220" i="57"/>
  <c r="C220" i="57"/>
  <c r="B220" i="57"/>
  <c r="A220" i="57"/>
  <c r="G219" i="57"/>
  <c r="F219" i="57"/>
  <c r="E219" i="57"/>
  <c r="D219" i="57"/>
  <c r="C219" i="57"/>
  <c r="B219" i="57"/>
  <c r="A219" i="57"/>
  <c r="G218" i="57"/>
  <c r="F218" i="57"/>
  <c r="E218" i="57"/>
  <c r="D218" i="57"/>
  <c r="C218" i="57"/>
  <c r="B218" i="57"/>
  <c r="A218" i="57"/>
  <c r="G217" i="57"/>
  <c r="F217" i="57"/>
  <c r="E217" i="57"/>
  <c r="D217" i="57"/>
  <c r="C217" i="57"/>
  <c r="B217" i="57"/>
  <c r="A217" i="57"/>
  <c r="G216" i="57"/>
  <c r="F216" i="57"/>
  <c r="E216" i="57"/>
  <c r="D216" i="57"/>
  <c r="C216" i="57"/>
  <c r="B216" i="57"/>
  <c r="A216" i="57"/>
  <c r="G215" i="57"/>
  <c r="F215" i="57"/>
  <c r="E215" i="57"/>
  <c r="D215" i="57"/>
  <c r="C215" i="57"/>
  <c r="B215" i="57"/>
  <c r="A215" i="57"/>
  <c r="G214" i="57"/>
  <c r="F214" i="57"/>
  <c r="E214" i="57"/>
  <c r="D214" i="57"/>
  <c r="C214" i="57"/>
  <c r="B214" i="57"/>
  <c r="A214" i="57"/>
  <c r="G213" i="57"/>
  <c r="F213" i="57"/>
  <c r="E213" i="57"/>
  <c r="D213" i="57"/>
  <c r="C213" i="57"/>
  <c r="B213" i="57"/>
  <c r="A213" i="57"/>
  <c r="G212" i="57"/>
  <c r="F212" i="57"/>
  <c r="E212" i="57"/>
  <c r="D212" i="57"/>
  <c r="C212" i="57"/>
  <c r="B212" i="57"/>
  <c r="A212" i="57"/>
  <c r="G211" i="57"/>
  <c r="F211" i="57"/>
  <c r="E211" i="57"/>
  <c r="D211" i="57"/>
  <c r="C211" i="57"/>
  <c r="B211" i="57"/>
  <c r="A211" i="57"/>
  <c r="G210" i="57"/>
  <c r="F210" i="57"/>
  <c r="E210" i="57"/>
  <c r="D210" i="57"/>
  <c r="C210" i="57"/>
  <c r="B210" i="57"/>
  <c r="A210" i="57"/>
  <c r="G209" i="57"/>
  <c r="F209" i="57"/>
  <c r="E209" i="57"/>
  <c r="D209" i="57"/>
  <c r="C209" i="57"/>
  <c r="B209" i="57"/>
  <c r="A209" i="57"/>
  <c r="G208" i="57"/>
  <c r="F208" i="57"/>
  <c r="E208" i="57"/>
  <c r="D208" i="57"/>
  <c r="C208" i="57"/>
  <c r="B208" i="57"/>
  <c r="A208" i="57"/>
  <c r="G207" i="57"/>
  <c r="F207" i="57"/>
  <c r="E207" i="57"/>
  <c r="D207" i="57"/>
  <c r="C207" i="57"/>
  <c r="B207" i="57"/>
  <c r="A207" i="57"/>
  <c r="G206" i="57"/>
  <c r="F206" i="57"/>
  <c r="E206" i="57"/>
  <c r="D206" i="57"/>
  <c r="C206" i="57"/>
  <c r="B206" i="57"/>
  <c r="A206" i="57"/>
  <c r="G205" i="57"/>
  <c r="F205" i="57"/>
  <c r="E205" i="57"/>
  <c r="D205" i="57"/>
  <c r="C205" i="57"/>
  <c r="B205" i="57"/>
  <c r="A205" i="57"/>
  <c r="G204" i="57"/>
  <c r="F204" i="57"/>
  <c r="E204" i="57"/>
  <c r="D204" i="57"/>
  <c r="C204" i="57"/>
  <c r="B204" i="57"/>
  <c r="A204" i="57"/>
  <c r="G203" i="57"/>
  <c r="F203" i="57"/>
  <c r="E203" i="57"/>
  <c r="D203" i="57"/>
  <c r="C203" i="57"/>
  <c r="B203" i="57"/>
  <c r="A203" i="57"/>
  <c r="G202" i="57"/>
  <c r="F202" i="57"/>
  <c r="E202" i="57"/>
  <c r="D202" i="57"/>
  <c r="C202" i="57"/>
  <c r="B202" i="57"/>
  <c r="A202" i="57"/>
  <c r="G201" i="57"/>
  <c r="F201" i="57"/>
  <c r="E201" i="57"/>
  <c r="D201" i="57"/>
  <c r="C201" i="57"/>
  <c r="B201" i="57"/>
  <c r="A201" i="57"/>
  <c r="G200" i="57"/>
  <c r="F200" i="57"/>
  <c r="E200" i="57"/>
  <c r="D200" i="57"/>
  <c r="C200" i="57"/>
  <c r="B200" i="57"/>
  <c r="A200" i="57"/>
  <c r="G199" i="57"/>
  <c r="F199" i="57"/>
  <c r="E199" i="57"/>
  <c r="D199" i="57"/>
  <c r="C199" i="57"/>
  <c r="B199" i="57"/>
  <c r="A199" i="57"/>
  <c r="G198" i="57"/>
  <c r="F198" i="57"/>
  <c r="E198" i="57"/>
  <c r="D198" i="57"/>
  <c r="C198" i="57"/>
  <c r="B198" i="57"/>
  <c r="A198" i="57"/>
  <c r="G197" i="57"/>
  <c r="F197" i="57"/>
  <c r="E197" i="57"/>
  <c r="D197" i="57"/>
  <c r="C197" i="57"/>
  <c r="B197" i="57"/>
  <c r="A197" i="57"/>
  <c r="G196" i="57"/>
  <c r="F196" i="57"/>
  <c r="E196" i="57"/>
  <c r="D196" i="57"/>
  <c r="C196" i="57"/>
  <c r="B196" i="57"/>
  <c r="A196" i="57"/>
  <c r="G195" i="57"/>
  <c r="F195" i="57"/>
  <c r="E195" i="57"/>
  <c r="D195" i="57"/>
  <c r="C195" i="57"/>
  <c r="B195" i="57"/>
  <c r="A195" i="57"/>
  <c r="G194" i="57"/>
  <c r="F194" i="57"/>
  <c r="E194" i="57"/>
  <c r="D194" i="57"/>
  <c r="C194" i="57"/>
  <c r="B194" i="57"/>
  <c r="A194" i="57"/>
  <c r="G193" i="57"/>
  <c r="F193" i="57"/>
  <c r="E193" i="57"/>
  <c r="D193" i="57"/>
  <c r="C193" i="57"/>
  <c r="B193" i="57"/>
  <c r="A193" i="57"/>
  <c r="G192" i="57"/>
  <c r="F192" i="57"/>
  <c r="E192" i="57"/>
  <c r="D192" i="57"/>
  <c r="C192" i="57"/>
  <c r="B192" i="57"/>
  <c r="A192" i="57"/>
  <c r="G191" i="57"/>
  <c r="F191" i="57"/>
  <c r="E191" i="57"/>
  <c r="D191" i="57"/>
  <c r="C191" i="57"/>
  <c r="B191" i="57"/>
  <c r="A191" i="57"/>
  <c r="G190" i="57"/>
  <c r="F190" i="57"/>
  <c r="E190" i="57"/>
  <c r="D190" i="57"/>
  <c r="C190" i="57"/>
  <c r="B190" i="57"/>
  <c r="A190" i="57"/>
  <c r="G189" i="57"/>
  <c r="F189" i="57"/>
  <c r="E189" i="57"/>
  <c r="D189" i="57"/>
  <c r="C189" i="57"/>
  <c r="B189" i="57"/>
  <c r="A189" i="57"/>
  <c r="G188" i="57"/>
  <c r="F188" i="57"/>
  <c r="E188" i="57"/>
  <c r="D188" i="57"/>
  <c r="C188" i="57"/>
  <c r="B188" i="57"/>
  <c r="A188" i="57"/>
  <c r="G187" i="57"/>
  <c r="F187" i="57"/>
  <c r="E187" i="57"/>
  <c r="D187" i="57"/>
  <c r="C187" i="57"/>
  <c r="B187" i="57"/>
  <c r="A187" i="57"/>
  <c r="G186" i="57"/>
  <c r="F186" i="57"/>
  <c r="E186" i="57"/>
  <c r="D186" i="57"/>
  <c r="C186" i="57"/>
  <c r="B186" i="57"/>
  <c r="A186" i="57"/>
  <c r="G185" i="57"/>
  <c r="F185" i="57"/>
  <c r="E185" i="57"/>
  <c r="D185" i="57"/>
  <c r="C185" i="57"/>
  <c r="B185" i="57"/>
  <c r="A185" i="57"/>
  <c r="G184" i="57"/>
  <c r="F184" i="57"/>
  <c r="E184" i="57"/>
  <c r="D184" i="57"/>
  <c r="C184" i="57"/>
  <c r="B184" i="57"/>
  <c r="A184" i="57"/>
  <c r="G183" i="57"/>
  <c r="F183" i="57"/>
  <c r="E183" i="57"/>
  <c r="D183" i="57"/>
  <c r="C183" i="57"/>
  <c r="B183" i="57"/>
  <c r="A183" i="57"/>
  <c r="G182" i="57"/>
  <c r="F182" i="57"/>
  <c r="E182" i="57"/>
  <c r="D182" i="57"/>
  <c r="C182" i="57"/>
  <c r="B182" i="57"/>
  <c r="A182" i="57"/>
  <c r="G181" i="57"/>
  <c r="F181" i="57"/>
  <c r="E181" i="57"/>
  <c r="D181" i="57"/>
  <c r="C181" i="57"/>
  <c r="B181" i="57"/>
  <c r="A181" i="57"/>
  <c r="G180" i="57"/>
  <c r="F180" i="57"/>
  <c r="E180" i="57"/>
  <c r="D180" i="57"/>
  <c r="C180" i="57"/>
  <c r="B180" i="57"/>
  <c r="A180" i="57"/>
  <c r="G179" i="57"/>
  <c r="F179" i="57"/>
  <c r="E179" i="57"/>
  <c r="D179" i="57"/>
  <c r="C179" i="57"/>
  <c r="B179" i="57"/>
  <c r="A179" i="57"/>
  <c r="G178" i="57"/>
  <c r="F178" i="57"/>
  <c r="E178" i="57"/>
  <c r="D178" i="57"/>
  <c r="C178" i="57"/>
  <c r="B178" i="57"/>
  <c r="A178" i="57"/>
  <c r="G177" i="57"/>
  <c r="F177" i="57"/>
  <c r="E177" i="57"/>
  <c r="D177" i="57"/>
  <c r="C177" i="57"/>
  <c r="B177" i="57"/>
  <c r="A177" i="57"/>
  <c r="G176" i="57"/>
  <c r="F176" i="57"/>
  <c r="E176" i="57"/>
  <c r="D176" i="57"/>
  <c r="C176" i="57"/>
  <c r="B176" i="57"/>
  <c r="A176" i="57"/>
  <c r="G175" i="57"/>
  <c r="F175" i="57"/>
  <c r="E175" i="57"/>
  <c r="D175" i="57"/>
  <c r="C175" i="57"/>
  <c r="B175" i="57"/>
  <c r="A175" i="57"/>
  <c r="G174" i="57"/>
  <c r="F174" i="57"/>
  <c r="E174" i="57"/>
  <c r="D174" i="57"/>
  <c r="C174" i="57"/>
  <c r="B174" i="57"/>
  <c r="A174" i="57"/>
  <c r="G173" i="57"/>
  <c r="F173" i="57"/>
  <c r="E173" i="57"/>
  <c r="D173" i="57"/>
  <c r="C173" i="57"/>
  <c r="B173" i="57"/>
  <c r="A173" i="57"/>
  <c r="G172" i="57"/>
  <c r="F172" i="57"/>
  <c r="E172" i="57"/>
  <c r="D172" i="57"/>
  <c r="C172" i="57"/>
  <c r="B172" i="57"/>
  <c r="A172" i="57"/>
  <c r="G171" i="57"/>
  <c r="F171" i="57"/>
  <c r="E171" i="57"/>
  <c r="D171" i="57"/>
  <c r="C171" i="57"/>
  <c r="B171" i="57"/>
  <c r="A171" i="57"/>
  <c r="G170" i="57"/>
  <c r="F170" i="57"/>
  <c r="E170" i="57"/>
  <c r="D170" i="57"/>
  <c r="C170" i="57"/>
  <c r="B170" i="57"/>
  <c r="A170" i="57"/>
  <c r="G169" i="57"/>
  <c r="F169" i="57"/>
  <c r="E169" i="57"/>
  <c r="D169" i="57"/>
  <c r="C169" i="57"/>
  <c r="B169" i="57"/>
  <c r="A169" i="57"/>
  <c r="G168" i="57"/>
  <c r="F168" i="57"/>
  <c r="E168" i="57"/>
  <c r="D168" i="57"/>
  <c r="C168" i="57"/>
  <c r="B168" i="57"/>
  <c r="A168" i="57"/>
  <c r="G167" i="57"/>
  <c r="F167" i="57"/>
  <c r="E167" i="57"/>
  <c r="D167" i="57"/>
  <c r="C167" i="57"/>
  <c r="B167" i="57"/>
  <c r="A167" i="57"/>
  <c r="G166" i="57"/>
  <c r="F166" i="57"/>
  <c r="E166" i="57"/>
  <c r="D166" i="57"/>
  <c r="C166" i="57"/>
  <c r="B166" i="57"/>
  <c r="A166" i="57"/>
  <c r="G165" i="57"/>
  <c r="F165" i="57"/>
  <c r="E165" i="57"/>
  <c r="D165" i="57"/>
  <c r="C165" i="57"/>
  <c r="B165" i="57"/>
  <c r="A165" i="57"/>
  <c r="G164" i="57"/>
  <c r="F164" i="57"/>
  <c r="E164" i="57"/>
  <c r="D164" i="57"/>
  <c r="C164" i="57"/>
  <c r="B164" i="57"/>
  <c r="A164" i="57"/>
  <c r="G163" i="57"/>
  <c r="F163" i="57"/>
  <c r="E163" i="57"/>
  <c r="D163" i="57"/>
  <c r="C163" i="57"/>
  <c r="B163" i="57"/>
  <c r="A163" i="57"/>
  <c r="G162" i="57"/>
  <c r="F162" i="57"/>
  <c r="E162" i="57"/>
  <c r="D162" i="57"/>
  <c r="C162" i="57"/>
  <c r="B162" i="57"/>
  <c r="A162" i="57"/>
  <c r="G161" i="57"/>
  <c r="F161" i="57"/>
  <c r="E161" i="57"/>
  <c r="D161" i="57"/>
  <c r="C161" i="57"/>
  <c r="B161" i="57"/>
  <c r="A161" i="57"/>
  <c r="G160" i="57"/>
  <c r="F160" i="57"/>
  <c r="E160" i="57"/>
  <c r="D160" i="57"/>
  <c r="C160" i="57"/>
  <c r="B160" i="57"/>
  <c r="A160" i="57"/>
  <c r="G159" i="57"/>
  <c r="F159" i="57"/>
  <c r="E159" i="57"/>
  <c r="D159" i="57"/>
  <c r="C159" i="57"/>
  <c r="B159" i="57"/>
  <c r="A159" i="57"/>
  <c r="G158" i="57"/>
  <c r="F158" i="57"/>
  <c r="E158" i="57"/>
  <c r="D158" i="57"/>
  <c r="C158" i="57"/>
  <c r="B158" i="57"/>
  <c r="A158" i="57"/>
  <c r="G157" i="57"/>
  <c r="F157" i="57"/>
  <c r="E157" i="57"/>
  <c r="D157" i="57"/>
  <c r="C157" i="57"/>
  <c r="B157" i="57"/>
  <c r="A157" i="57"/>
  <c r="G156" i="57"/>
  <c r="F156" i="57"/>
  <c r="E156" i="57"/>
  <c r="D156" i="57"/>
  <c r="C156" i="57"/>
  <c r="B156" i="57"/>
  <c r="A156" i="57"/>
  <c r="G155" i="57"/>
  <c r="F155" i="57"/>
  <c r="E155" i="57"/>
  <c r="D155" i="57"/>
  <c r="C155" i="57"/>
  <c r="B155" i="57"/>
  <c r="A155" i="57"/>
  <c r="G154" i="57"/>
  <c r="F154" i="57"/>
  <c r="E154" i="57"/>
  <c r="D154" i="57"/>
  <c r="C154" i="57"/>
  <c r="B154" i="57"/>
  <c r="A154" i="57"/>
  <c r="G153" i="57"/>
  <c r="F153" i="57"/>
  <c r="E153" i="57"/>
  <c r="D153" i="57"/>
  <c r="C153" i="57"/>
  <c r="B153" i="57"/>
  <c r="A153" i="57"/>
  <c r="G152" i="57"/>
  <c r="F152" i="57"/>
  <c r="E152" i="57"/>
  <c r="D152" i="57"/>
  <c r="C152" i="57"/>
  <c r="B152" i="57"/>
  <c r="A152" i="57"/>
  <c r="G151" i="57"/>
  <c r="F151" i="57"/>
  <c r="E151" i="57"/>
  <c r="D151" i="57"/>
  <c r="C151" i="57"/>
  <c r="B151" i="57"/>
  <c r="A151" i="57"/>
  <c r="G150" i="57"/>
  <c r="F150" i="57"/>
  <c r="E150" i="57"/>
  <c r="D150" i="57"/>
  <c r="C150" i="57"/>
  <c r="B150" i="57"/>
  <c r="A150" i="57"/>
  <c r="G149" i="57"/>
  <c r="F149" i="57"/>
  <c r="E149" i="57"/>
  <c r="D149" i="57"/>
  <c r="C149" i="57"/>
  <c r="B149" i="57"/>
  <c r="A149" i="57"/>
  <c r="G148" i="57"/>
  <c r="F148" i="57"/>
  <c r="E148" i="57"/>
  <c r="D148" i="57"/>
  <c r="C148" i="57"/>
  <c r="B148" i="57"/>
  <c r="A148" i="57"/>
  <c r="G147" i="57"/>
  <c r="F147" i="57"/>
  <c r="E147" i="57"/>
  <c r="D147" i="57"/>
  <c r="C147" i="57"/>
  <c r="B147" i="57"/>
  <c r="A147" i="57"/>
  <c r="G146" i="57"/>
  <c r="F146" i="57"/>
  <c r="E146" i="57"/>
  <c r="D146" i="57"/>
  <c r="C146" i="57"/>
  <c r="B146" i="57"/>
  <c r="A146" i="57"/>
  <c r="G145" i="57"/>
  <c r="F145" i="57"/>
  <c r="E145" i="57"/>
  <c r="D145" i="57"/>
  <c r="C145" i="57"/>
  <c r="B145" i="57"/>
  <c r="A145" i="57"/>
  <c r="G144" i="57"/>
  <c r="F144" i="57"/>
  <c r="E144" i="57"/>
  <c r="D144" i="57"/>
  <c r="C144" i="57"/>
  <c r="B144" i="57"/>
  <c r="A144" i="57"/>
  <c r="G143" i="57"/>
  <c r="F143" i="57"/>
  <c r="E143" i="57"/>
  <c r="D143" i="57"/>
  <c r="C143" i="57"/>
  <c r="B143" i="57"/>
  <c r="A143" i="57"/>
  <c r="G142" i="57"/>
  <c r="F142" i="57"/>
  <c r="E142" i="57"/>
  <c r="D142" i="57"/>
  <c r="C142" i="57"/>
  <c r="B142" i="57"/>
  <c r="A142" i="57"/>
  <c r="G141" i="57"/>
  <c r="F141" i="57"/>
  <c r="E141" i="57"/>
  <c r="D141" i="57"/>
  <c r="C141" i="57"/>
  <c r="B141" i="57"/>
  <c r="A141" i="57"/>
  <c r="G140" i="57"/>
  <c r="F140" i="57"/>
  <c r="E140" i="57"/>
  <c r="D140" i="57"/>
  <c r="C140" i="57"/>
  <c r="B140" i="57"/>
  <c r="A140" i="57"/>
  <c r="G139" i="57"/>
  <c r="F139" i="57"/>
  <c r="E139" i="57"/>
  <c r="D139" i="57"/>
  <c r="C139" i="57"/>
  <c r="B139" i="57"/>
  <c r="A139" i="57"/>
  <c r="G138" i="57"/>
  <c r="F138" i="57"/>
  <c r="E138" i="57"/>
  <c r="D138" i="57"/>
  <c r="C138" i="57"/>
  <c r="B138" i="57"/>
  <c r="A138" i="57"/>
  <c r="G137" i="57"/>
  <c r="F137" i="57"/>
  <c r="E137" i="57"/>
  <c r="D137" i="57"/>
  <c r="C137" i="57"/>
  <c r="B137" i="57"/>
  <c r="A137" i="57"/>
  <c r="G136" i="57"/>
  <c r="F136" i="57"/>
  <c r="E136" i="57"/>
  <c r="D136" i="57"/>
  <c r="C136" i="57"/>
  <c r="B136" i="57"/>
  <c r="A136" i="57"/>
  <c r="G135" i="57"/>
  <c r="F135" i="57"/>
  <c r="E135" i="57"/>
  <c r="D135" i="57"/>
  <c r="C135" i="57"/>
  <c r="B135" i="57"/>
  <c r="A135" i="57"/>
  <c r="G134" i="57"/>
  <c r="F134" i="57"/>
  <c r="E134" i="57"/>
  <c r="D134" i="57"/>
  <c r="C134" i="57"/>
  <c r="B134" i="57"/>
  <c r="A134" i="57"/>
  <c r="G133" i="57"/>
  <c r="F133" i="57"/>
  <c r="E133" i="57"/>
  <c r="D133" i="57"/>
  <c r="C133" i="57"/>
  <c r="B133" i="57"/>
  <c r="A133" i="57"/>
  <c r="G132" i="57"/>
  <c r="F132" i="57"/>
  <c r="E132" i="57"/>
  <c r="D132" i="57"/>
  <c r="C132" i="57"/>
  <c r="B132" i="57"/>
  <c r="A132" i="57"/>
  <c r="G131" i="57"/>
  <c r="F131" i="57"/>
  <c r="E131" i="57"/>
  <c r="D131" i="57"/>
  <c r="C131" i="57"/>
  <c r="B131" i="57"/>
  <c r="A131" i="57"/>
  <c r="G130" i="57"/>
  <c r="F130" i="57"/>
  <c r="E130" i="57"/>
  <c r="D130" i="57"/>
  <c r="C130" i="57"/>
  <c r="B130" i="57"/>
  <c r="A130" i="57"/>
  <c r="G129" i="57"/>
  <c r="F129" i="57"/>
  <c r="E129" i="57"/>
  <c r="D129" i="57"/>
  <c r="C129" i="57"/>
  <c r="B129" i="57"/>
  <c r="A129" i="57"/>
  <c r="G128" i="57"/>
  <c r="F128" i="57"/>
  <c r="E128" i="57"/>
  <c r="D128" i="57"/>
  <c r="C128" i="57"/>
  <c r="B128" i="57"/>
  <c r="A128" i="57"/>
  <c r="G127" i="57"/>
  <c r="F127" i="57"/>
  <c r="E127" i="57"/>
  <c r="D127" i="57"/>
  <c r="C127" i="57"/>
  <c r="B127" i="57"/>
  <c r="A127" i="57"/>
  <c r="G126" i="57"/>
  <c r="F126" i="57"/>
  <c r="E126" i="57"/>
  <c r="D126" i="57"/>
  <c r="C126" i="57"/>
  <c r="B126" i="57"/>
  <c r="A126" i="57"/>
  <c r="G125" i="57"/>
  <c r="F125" i="57"/>
  <c r="E125" i="57"/>
  <c r="D125" i="57"/>
  <c r="C125" i="57"/>
  <c r="B125" i="57"/>
  <c r="A125" i="57"/>
  <c r="G124" i="57"/>
  <c r="F124" i="57"/>
  <c r="E124" i="57"/>
  <c r="D124" i="57"/>
  <c r="C124" i="57"/>
  <c r="B124" i="57"/>
  <c r="A124" i="57"/>
  <c r="G123" i="57"/>
  <c r="F123" i="57"/>
  <c r="E123" i="57"/>
  <c r="D123" i="57"/>
  <c r="C123" i="57"/>
  <c r="B123" i="57"/>
  <c r="A123" i="57"/>
  <c r="G122" i="57"/>
  <c r="F122" i="57"/>
  <c r="E122" i="57"/>
  <c r="D122" i="57"/>
  <c r="C122" i="57"/>
  <c r="B122" i="57"/>
  <c r="A122" i="57"/>
  <c r="G121" i="57"/>
  <c r="F121" i="57"/>
  <c r="E121" i="57"/>
  <c r="D121" i="57"/>
  <c r="C121" i="57"/>
  <c r="B121" i="57"/>
  <c r="A121" i="57"/>
  <c r="G120" i="57"/>
  <c r="F120" i="57"/>
  <c r="E120" i="57"/>
  <c r="D120" i="57"/>
  <c r="C120" i="57"/>
  <c r="B120" i="57"/>
  <c r="A120" i="57"/>
  <c r="G119" i="57"/>
  <c r="F119" i="57"/>
  <c r="E119" i="57"/>
  <c r="D119" i="57"/>
  <c r="C119" i="57"/>
  <c r="B119" i="57"/>
  <c r="A119" i="57"/>
  <c r="G118" i="57"/>
  <c r="F118" i="57"/>
  <c r="E118" i="57"/>
  <c r="D118" i="57"/>
  <c r="C118" i="57"/>
  <c r="B118" i="57"/>
  <c r="A118" i="57"/>
  <c r="G117" i="57"/>
  <c r="F117" i="57"/>
  <c r="E117" i="57"/>
  <c r="D117" i="57"/>
  <c r="C117" i="57"/>
  <c r="B117" i="57"/>
  <c r="A117" i="57"/>
  <c r="G116" i="57"/>
  <c r="F116" i="57"/>
  <c r="E116" i="57"/>
  <c r="D116" i="57"/>
  <c r="C116" i="57"/>
  <c r="B116" i="57"/>
  <c r="A116" i="57"/>
  <c r="G115" i="57"/>
  <c r="F115" i="57"/>
  <c r="E115" i="57"/>
  <c r="D115" i="57"/>
  <c r="C115" i="57"/>
  <c r="B115" i="57"/>
  <c r="A115" i="57"/>
  <c r="G114" i="57"/>
  <c r="F114" i="57"/>
  <c r="E114" i="57"/>
  <c r="D114" i="57"/>
  <c r="C114" i="57"/>
  <c r="B114" i="57"/>
  <c r="A114" i="57"/>
  <c r="G113" i="57"/>
  <c r="F113" i="57"/>
  <c r="E113" i="57"/>
  <c r="D113" i="57"/>
  <c r="C113" i="57"/>
  <c r="B113" i="57"/>
  <c r="A113" i="57"/>
  <c r="G112" i="57"/>
  <c r="F112" i="57"/>
  <c r="E112" i="57"/>
  <c r="D112" i="57"/>
  <c r="C112" i="57"/>
  <c r="B112" i="57"/>
  <c r="A112" i="57"/>
  <c r="G111" i="57"/>
  <c r="F111" i="57"/>
  <c r="E111" i="57"/>
  <c r="D111" i="57"/>
  <c r="C111" i="57"/>
  <c r="B111" i="57"/>
  <c r="A111" i="57"/>
  <c r="G110" i="57"/>
  <c r="F110" i="57"/>
  <c r="E110" i="57"/>
  <c r="D110" i="57"/>
  <c r="C110" i="57"/>
  <c r="B110" i="57"/>
  <c r="A110" i="57"/>
  <c r="G109" i="57"/>
  <c r="F109" i="57"/>
  <c r="E109" i="57"/>
  <c r="D109" i="57"/>
  <c r="C109" i="57"/>
  <c r="B109" i="57"/>
  <c r="A109" i="57"/>
  <c r="G108" i="57"/>
  <c r="F108" i="57"/>
  <c r="E108" i="57"/>
  <c r="D108" i="57"/>
  <c r="C108" i="57"/>
  <c r="B108" i="57"/>
  <c r="A108" i="57"/>
  <c r="G107" i="57"/>
  <c r="F107" i="57"/>
  <c r="E107" i="57"/>
  <c r="D107" i="57"/>
  <c r="C107" i="57"/>
  <c r="B107" i="57"/>
  <c r="A107" i="57"/>
  <c r="G106" i="57"/>
  <c r="F106" i="57"/>
  <c r="E106" i="57"/>
  <c r="D106" i="57"/>
  <c r="C106" i="57"/>
  <c r="B106" i="57"/>
  <c r="A106" i="57"/>
  <c r="G105" i="57"/>
  <c r="F105" i="57"/>
  <c r="E105" i="57"/>
  <c r="D105" i="57"/>
  <c r="C105" i="57"/>
  <c r="B105" i="57"/>
  <c r="A105" i="57"/>
  <c r="G104" i="57"/>
  <c r="F104" i="57"/>
  <c r="E104" i="57"/>
  <c r="D104" i="57"/>
  <c r="C104" i="57"/>
  <c r="B104" i="57"/>
  <c r="A104" i="57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G59" i="57"/>
  <c r="F59" i="57"/>
  <c r="E59" i="57"/>
  <c r="D59" i="57"/>
  <c r="C59" i="57"/>
  <c r="B59" i="57"/>
  <c r="A59" i="57"/>
  <c r="G58" i="57"/>
  <c r="F58" i="57"/>
  <c r="E58" i="57"/>
  <c r="D58" i="57"/>
  <c r="C58" i="57"/>
  <c r="B58" i="57"/>
  <c r="A58" i="57"/>
  <c r="G57" i="57"/>
  <c r="F57" i="57"/>
  <c r="E57" i="57"/>
  <c r="D57" i="57"/>
  <c r="C57" i="57"/>
  <c r="B57" i="57"/>
  <c r="A57" i="57"/>
  <c r="G56" i="57"/>
  <c r="F56" i="57"/>
  <c r="E56" i="57"/>
  <c r="D56" i="57"/>
  <c r="C56" i="57"/>
  <c r="B56" i="57"/>
  <c r="A56" i="57"/>
  <c r="G55" i="57"/>
  <c r="F55" i="57"/>
  <c r="E55" i="57"/>
  <c r="D55" i="57"/>
  <c r="C55" i="57"/>
  <c r="B55" i="57"/>
  <c r="A55" i="57"/>
  <c r="G54" i="57"/>
  <c r="F54" i="57"/>
  <c r="E54" i="57"/>
  <c r="D54" i="57"/>
  <c r="C54" i="57"/>
  <c r="B54" i="57"/>
  <c r="A54" i="57"/>
  <c r="G53" i="57"/>
  <c r="F53" i="57"/>
  <c r="E53" i="57"/>
  <c r="D53" i="57"/>
  <c r="C53" i="57"/>
  <c r="B53" i="57"/>
  <c r="A53" i="57"/>
  <c r="G52" i="57"/>
  <c r="F52" i="57"/>
  <c r="E52" i="57"/>
  <c r="D52" i="57"/>
  <c r="C52" i="57"/>
  <c r="B52" i="57"/>
  <c r="A52" i="57"/>
  <c r="G51" i="57"/>
  <c r="F51" i="57"/>
  <c r="E51" i="57"/>
  <c r="D51" i="57"/>
  <c r="C51" i="57"/>
  <c r="B51" i="57"/>
  <c r="A51" i="57"/>
  <c r="G50" i="57"/>
  <c r="F50" i="57"/>
  <c r="E50" i="57"/>
  <c r="D50" i="57"/>
  <c r="C50" i="57"/>
  <c r="B50" i="57"/>
  <c r="A50" i="57"/>
  <c r="G49" i="57"/>
  <c r="F49" i="57"/>
  <c r="E49" i="57"/>
  <c r="D49" i="57"/>
  <c r="C49" i="57"/>
  <c r="B49" i="57"/>
  <c r="A49" i="57"/>
  <c r="G48" i="57"/>
  <c r="F48" i="57"/>
  <c r="E48" i="57"/>
  <c r="D48" i="57"/>
  <c r="C48" i="57"/>
  <c r="B48" i="57"/>
  <c r="A48" i="57"/>
  <c r="G47" i="57"/>
  <c r="F47" i="57"/>
  <c r="E47" i="57"/>
  <c r="D47" i="57"/>
  <c r="C47" i="57"/>
  <c r="B47" i="57"/>
  <c r="A47" i="57"/>
  <c r="G46" i="57"/>
  <c r="F46" i="57"/>
  <c r="E46" i="57"/>
  <c r="D46" i="57"/>
  <c r="C46" i="57"/>
  <c r="B46" i="57"/>
  <c r="A46" i="57"/>
  <c r="G45" i="57"/>
  <c r="F45" i="57"/>
  <c r="E45" i="57"/>
  <c r="D45" i="57"/>
  <c r="C45" i="57"/>
  <c r="B45" i="57"/>
  <c r="A45" i="57"/>
  <c r="G44" i="57"/>
  <c r="F44" i="57"/>
  <c r="E44" i="57"/>
  <c r="D44" i="57"/>
  <c r="C44" i="57"/>
  <c r="B44" i="57"/>
  <c r="A44" i="57"/>
  <c r="G43" i="57"/>
  <c r="F43" i="57"/>
  <c r="E43" i="57"/>
  <c r="D43" i="57"/>
  <c r="C43" i="57"/>
  <c r="B43" i="57"/>
  <c r="A43" i="57"/>
  <c r="G42" i="57"/>
  <c r="F42" i="57"/>
  <c r="E42" i="57"/>
  <c r="D42" i="57"/>
  <c r="C42" i="57"/>
  <c r="B42" i="57"/>
  <c r="A42" i="57"/>
  <c r="G41" i="57"/>
  <c r="F41" i="57"/>
  <c r="E41" i="57"/>
  <c r="D41" i="57"/>
  <c r="C41" i="57"/>
  <c r="B41" i="57"/>
  <c r="A41" i="57"/>
  <c r="G40" i="57"/>
  <c r="F40" i="57"/>
  <c r="E40" i="57"/>
  <c r="D40" i="57"/>
  <c r="C40" i="57"/>
  <c r="B40" i="57"/>
  <c r="A40" i="57"/>
  <c r="G39" i="57"/>
  <c r="F39" i="57"/>
  <c r="E39" i="57"/>
  <c r="D39" i="57"/>
  <c r="C39" i="57"/>
  <c r="B39" i="57"/>
  <c r="A39" i="57"/>
  <c r="G38" i="57"/>
  <c r="F38" i="57"/>
  <c r="E38" i="57"/>
  <c r="D38" i="57"/>
  <c r="C38" i="57"/>
  <c r="B38" i="57"/>
  <c r="A38" i="57"/>
  <c r="G37" i="57"/>
  <c r="F37" i="57"/>
  <c r="E37" i="57"/>
  <c r="D37" i="57"/>
  <c r="C37" i="57"/>
  <c r="B37" i="57"/>
  <c r="A37" i="57"/>
  <c r="G36" i="57"/>
  <c r="F36" i="57"/>
  <c r="E36" i="57"/>
  <c r="D36" i="57"/>
  <c r="C36" i="57"/>
  <c r="B36" i="57"/>
  <c r="A36" i="57"/>
  <c r="G35" i="57"/>
  <c r="F35" i="57"/>
  <c r="E35" i="57"/>
  <c r="D35" i="57"/>
  <c r="C35" i="57"/>
  <c r="B35" i="57"/>
  <c r="A35" i="57"/>
  <c r="G34" i="57"/>
  <c r="F34" i="57"/>
  <c r="E34" i="57"/>
  <c r="D34" i="57"/>
  <c r="C34" i="57"/>
  <c r="B34" i="57"/>
  <c r="A34" i="57"/>
  <c r="G33" i="57"/>
  <c r="F33" i="57"/>
  <c r="E33" i="57"/>
  <c r="D33" i="57"/>
  <c r="C33" i="57"/>
  <c r="B33" i="57"/>
  <c r="A33" i="57"/>
  <c r="G32" i="57"/>
  <c r="F32" i="57"/>
  <c r="E32" i="57"/>
  <c r="D32" i="57"/>
  <c r="C32" i="57"/>
  <c r="B32" i="57"/>
  <c r="A32" i="57"/>
  <c r="G31" i="57"/>
  <c r="F31" i="57"/>
  <c r="E31" i="57"/>
  <c r="D31" i="57"/>
  <c r="C31" i="57"/>
  <c r="B31" i="57"/>
  <c r="A31" i="57"/>
  <c r="G30" i="57"/>
  <c r="F30" i="57"/>
  <c r="E30" i="57"/>
  <c r="D30" i="57"/>
  <c r="C30" i="57"/>
  <c r="B30" i="57"/>
  <c r="A30" i="57"/>
  <c r="G29" i="57"/>
  <c r="F29" i="57"/>
  <c r="E29" i="57"/>
  <c r="D29" i="57"/>
  <c r="C29" i="57"/>
  <c r="B29" i="57"/>
  <c r="A29" i="57"/>
  <c r="G28" i="57"/>
  <c r="F28" i="57"/>
  <c r="E28" i="57"/>
  <c r="D28" i="57"/>
  <c r="C28" i="57"/>
  <c r="B28" i="57"/>
  <c r="A28" i="57"/>
  <c r="G27" i="57"/>
  <c r="F27" i="57"/>
  <c r="E27" i="57"/>
  <c r="D27" i="57"/>
  <c r="C27" i="57"/>
  <c r="B27" i="57"/>
  <c r="A27" i="57"/>
  <c r="G26" i="57"/>
  <c r="F26" i="57"/>
  <c r="E26" i="57"/>
  <c r="D26" i="57"/>
  <c r="C26" i="57"/>
  <c r="B26" i="57"/>
  <c r="A26" i="57"/>
  <c r="G25" i="57"/>
  <c r="F25" i="57"/>
  <c r="E25" i="57"/>
  <c r="D25" i="57"/>
  <c r="C25" i="57"/>
  <c r="B25" i="57"/>
  <c r="A25" i="57"/>
  <c r="G24" i="57"/>
  <c r="F24" i="57"/>
  <c r="E24" i="57"/>
  <c r="D24" i="57"/>
  <c r="C24" i="57"/>
  <c r="B24" i="57"/>
  <c r="A24" i="57"/>
  <c r="G23" i="57"/>
  <c r="F23" i="57"/>
  <c r="E23" i="57"/>
  <c r="D23" i="57"/>
  <c r="C23" i="57"/>
  <c r="B23" i="57"/>
  <c r="A23" i="57"/>
  <c r="G22" i="57"/>
  <c r="F22" i="57"/>
  <c r="E22" i="57"/>
  <c r="D22" i="57"/>
  <c r="C22" i="57"/>
  <c r="B22" i="57"/>
  <c r="A22" i="57"/>
  <c r="G21" i="57"/>
  <c r="F21" i="57"/>
  <c r="E21" i="57"/>
  <c r="D21" i="57"/>
  <c r="C21" i="57"/>
  <c r="B21" i="57"/>
  <c r="A21" i="57"/>
  <c r="G20" i="57"/>
  <c r="F20" i="57"/>
  <c r="E20" i="57"/>
  <c r="D20" i="57"/>
  <c r="C20" i="57"/>
  <c r="B20" i="57"/>
  <c r="A20" i="57"/>
  <c r="G19" i="57"/>
  <c r="F19" i="57"/>
  <c r="E19" i="57"/>
  <c r="D19" i="57"/>
  <c r="C19" i="57"/>
  <c r="B19" i="57"/>
  <c r="A19" i="57"/>
  <c r="G18" i="57"/>
  <c r="F18" i="57"/>
  <c r="E18" i="57"/>
  <c r="D18" i="57"/>
  <c r="C18" i="57"/>
  <c r="B18" i="57"/>
  <c r="A18" i="57"/>
  <c r="G17" i="57"/>
  <c r="F17" i="57"/>
  <c r="E17" i="57"/>
  <c r="D17" i="57"/>
  <c r="C17" i="57"/>
  <c r="B17" i="57"/>
  <c r="A17" i="57"/>
  <c r="G16" i="57"/>
  <c r="F16" i="57"/>
  <c r="E16" i="57"/>
  <c r="D16" i="57"/>
  <c r="C16" i="57"/>
  <c r="B16" i="57"/>
  <c r="A16" i="57"/>
  <c r="G15" i="57"/>
  <c r="F15" i="57"/>
  <c r="E15" i="57"/>
  <c r="D15" i="57"/>
  <c r="C15" i="57"/>
  <c r="B15" i="57"/>
  <c r="A15" i="57"/>
  <c r="G14" i="57"/>
  <c r="F14" i="57"/>
  <c r="E14" i="57"/>
  <c r="D14" i="57"/>
  <c r="C14" i="57"/>
  <c r="B14" i="57"/>
  <c r="A14" i="57"/>
  <c r="G13" i="57"/>
  <c r="F13" i="57"/>
  <c r="E13" i="57"/>
  <c r="D13" i="57"/>
  <c r="C13" i="57"/>
  <c r="B13" i="57"/>
  <c r="A13" i="57"/>
  <c r="G12" i="57"/>
  <c r="F12" i="57"/>
  <c r="E12" i="57"/>
  <c r="D12" i="57"/>
  <c r="C12" i="57"/>
  <c r="B12" i="57"/>
  <c r="A12" i="57"/>
  <c r="G11" i="57"/>
  <c r="F11" i="57"/>
  <c r="E11" i="57"/>
  <c r="D11" i="57"/>
  <c r="C11" i="57"/>
  <c r="B11" i="57"/>
  <c r="A11" i="57"/>
  <c r="G10" i="57"/>
  <c r="F10" i="57"/>
  <c r="E10" i="57"/>
  <c r="D10" i="57"/>
  <c r="C10" i="57"/>
  <c r="B10" i="57"/>
  <c r="A10" i="57"/>
  <c r="G9" i="57"/>
  <c r="F9" i="57"/>
  <c r="E9" i="57"/>
  <c r="D9" i="57"/>
  <c r="C9" i="57"/>
  <c r="B9" i="57"/>
  <c r="A9" i="57"/>
  <c r="G8" i="57"/>
  <c r="F8" i="57"/>
  <c r="E8" i="57"/>
  <c r="D8" i="57"/>
  <c r="C8" i="57"/>
  <c r="B8" i="57"/>
  <c r="A8" i="57"/>
  <c r="G7" i="57"/>
  <c r="F7" i="57"/>
  <c r="E7" i="57"/>
  <c r="D7" i="57"/>
  <c r="C7" i="57"/>
  <c r="B7" i="57"/>
  <c r="A7" i="57"/>
  <c r="G6" i="57"/>
  <c r="F6" i="57"/>
  <c r="E6" i="57"/>
  <c r="D6" i="57"/>
  <c r="C6" i="57"/>
  <c r="B6" i="57"/>
  <c r="A6" i="57"/>
  <c r="G5" i="57"/>
  <c r="F5" i="57"/>
  <c r="E5" i="57"/>
  <c r="D5" i="57"/>
  <c r="C5" i="57"/>
  <c r="B5" i="57"/>
  <c r="A5" i="57"/>
  <c r="G4" i="57"/>
  <c r="F4" i="57"/>
  <c r="E4" i="57"/>
  <c r="D4" i="57"/>
  <c r="C4" i="57"/>
  <c r="B4" i="57"/>
  <c r="A4" i="57"/>
  <c r="G3" i="57"/>
  <c r="F3" i="57"/>
  <c r="E3" i="57"/>
  <c r="D3" i="57"/>
  <c r="C3" i="57"/>
  <c r="B3" i="57"/>
  <c r="A3" i="57"/>
  <c r="G2" i="57"/>
  <c r="F2" i="57"/>
  <c r="E2" i="57"/>
  <c r="D2" i="57"/>
  <c r="C2" i="57"/>
  <c r="B2" i="57"/>
  <c r="A2" i="57"/>
  <c r="G1" i="57"/>
  <c r="F1" i="57"/>
  <c r="E1" i="57"/>
  <c r="D1" i="57"/>
  <c r="C1" i="57"/>
  <c r="B1" i="57"/>
  <c r="A1" i="57"/>
  <c r="G290" i="56"/>
  <c r="F290" i="56"/>
  <c r="E290" i="56"/>
  <c r="D290" i="56"/>
  <c r="C290" i="56"/>
  <c r="B290" i="56"/>
  <c r="A290" i="56"/>
  <c r="G289" i="56"/>
  <c r="F289" i="56"/>
  <c r="E289" i="56"/>
  <c r="D289" i="56"/>
  <c r="C289" i="56"/>
  <c r="B289" i="56"/>
  <c r="A289" i="56"/>
  <c r="G288" i="56"/>
  <c r="F288" i="56"/>
  <c r="E288" i="56"/>
  <c r="D288" i="56"/>
  <c r="C288" i="56"/>
  <c r="B288" i="56"/>
  <c r="A288" i="56"/>
  <c r="G287" i="56"/>
  <c r="F287" i="56"/>
  <c r="E287" i="56"/>
  <c r="D287" i="56"/>
  <c r="C287" i="56"/>
  <c r="B287" i="56"/>
  <c r="A287" i="56"/>
  <c r="G286" i="56"/>
  <c r="F286" i="56"/>
  <c r="E286" i="56"/>
  <c r="D286" i="56"/>
  <c r="C286" i="56"/>
  <c r="B286" i="56"/>
  <c r="A286" i="56"/>
  <c r="G285" i="56"/>
  <c r="F285" i="56"/>
  <c r="E285" i="56"/>
  <c r="D285" i="56"/>
  <c r="C285" i="56"/>
  <c r="B285" i="56"/>
  <c r="A285" i="56"/>
  <c r="G284" i="56"/>
  <c r="F284" i="56"/>
  <c r="E284" i="56"/>
  <c r="D284" i="56"/>
  <c r="C284" i="56"/>
  <c r="B284" i="56"/>
  <c r="A284" i="56"/>
  <c r="G283" i="56"/>
  <c r="F283" i="56"/>
  <c r="E283" i="56"/>
  <c r="D283" i="56"/>
  <c r="C283" i="56"/>
  <c r="B283" i="56"/>
  <c r="A283" i="56"/>
  <c r="G282" i="56"/>
  <c r="F282" i="56"/>
  <c r="E282" i="56"/>
  <c r="D282" i="56"/>
  <c r="C282" i="56"/>
  <c r="B282" i="56"/>
  <c r="A282" i="56"/>
  <c r="G281" i="56"/>
  <c r="F281" i="56"/>
  <c r="E281" i="56"/>
  <c r="D281" i="56"/>
  <c r="C281" i="56"/>
  <c r="B281" i="56"/>
  <c r="A281" i="56"/>
  <c r="G280" i="56"/>
  <c r="F280" i="56"/>
  <c r="E280" i="56"/>
  <c r="D280" i="56"/>
  <c r="C280" i="56"/>
  <c r="B280" i="56"/>
  <c r="A280" i="56"/>
  <c r="G279" i="56"/>
  <c r="F279" i="56"/>
  <c r="E279" i="56"/>
  <c r="D279" i="56"/>
  <c r="C279" i="56"/>
  <c r="B279" i="56"/>
  <c r="A279" i="56"/>
  <c r="G278" i="56"/>
  <c r="F278" i="56"/>
  <c r="E278" i="56"/>
  <c r="D278" i="56"/>
  <c r="C278" i="56"/>
  <c r="B278" i="56"/>
  <c r="A278" i="56"/>
  <c r="G277" i="56"/>
  <c r="F277" i="56"/>
  <c r="E277" i="56"/>
  <c r="D277" i="56"/>
  <c r="C277" i="56"/>
  <c r="B277" i="56"/>
  <c r="A277" i="56"/>
  <c r="G276" i="56"/>
  <c r="F276" i="56"/>
  <c r="E276" i="56"/>
  <c r="D276" i="56"/>
  <c r="C276" i="56"/>
  <c r="B276" i="56"/>
  <c r="A276" i="56"/>
  <c r="G275" i="56"/>
  <c r="F275" i="56"/>
  <c r="E275" i="56"/>
  <c r="D275" i="56"/>
  <c r="C275" i="56"/>
  <c r="B275" i="56"/>
  <c r="A275" i="56"/>
  <c r="G274" i="56"/>
  <c r="F274" i="56"/>
  <c r="E274" i="56"/>
  <c r="D274" i="56"/>
  <c r="C274" i="56"/>
  <c r="B274" i="56"/>
  <c r="A274" i="56"/>
  <c r="G273" i="56"/>
  <c r="F273" i="56"/>
  <c r="E273" i="56"/>
  <c r="D273" i="56"/>
  <c r="C273" i="56"/>
  <c r="B273" i="56"/>
  <c r="A273" i="56"/>
  <c r="G272" i="56"/>
  <c r="F272" i="56"/>
  <c r="E272" i="56"/>
  <c r="D272" i="56"/>
  <c r="C272" i="56"/>
  <c r="B272" i="56"/>
  <c r="A272" i="56"/>
  <c r="G271" i="56"/>
  <c r="F271" i="56"/>
  <c r="E271" i="56"/>
  <c r="D271" i="56"/>
  <c r="C271" i="56"/>
  <c r="B271" i="56"/>
  <c r="A271" i="56"/>
  <c r="G270" i="56"/>
  <c r="F270" i="56"/>
  <c r="E270" i="56"/>
  <c r="D270" i="56"/>
  <c r="C270" i="56"/>
  <c r="B270" i="56"/>
  <c r="A270" i="56"/>
  <c r="G269" i="56"/>
  <c r="F269" i="56"/>
  <c r="E269" i="56"/>
  <c r="D269" i="56"/>
  <c r="C269" i="56"/>
  <c r="B269" i="56"/>
  <c r="A269" i="56"/>
  <c r="G268" i="56"/>
  <c r="F268" i="56"/>
  <c r="E268" i="56"/>
  <c r="D268" i="56"/>
  <c r="C268" i="56"/>
  <c r="B268" i="56"/>
  <c r="A268" i="56"/>
  <c r="G267" i="56"/>
  <c r="F267" i="56"/>
  <c r="E267" i="56"/>
  <c r="D267" i="56"/>
  <c r="C267" i="56"/>
  <c r="B267" i="56"/>
  <c r="A267" i="56"/>
  <c r="G266" i="56"/>
  <c r="F266" i="56"/>
  <c r="E266" i="56"/>
  <c r="D266" i="56"/>
  <c r="C266" i="56"/>
  <c r="B266" i="56"/>
  <c r="A266" i="56"/>
  <c r="G265" i="56"/>
  <c r="F265" i="56"/>
  <c r="E265" i="56"/>
  <c r="D265" i="56"/>
  <c r="C265" i="56"/>
  <c r="B265" i="56"/>
  <c r="A265" i="56"/>
  <c r="G264" i="56"/>
  <c r="F264" i="56"/>
  <c r="E264" i="56"/>
  <c r="D264" i="56"/>
  <c r="C264" i="56"/>
  <c r="B264" i="56"/>
  <c r="A264" i="56"/>
  <c r="G263" i="56"/>
  <c r="F263" i="56"/>
  <c r="E263" i="56"/>
  <c r="D263" i="56"/>
  <c r="C263" i="56"/>
  <c r="B263" i="56"/>
  <c r="A263" i="56"/>
  <c r="G262" i="56"/>
  <c r="F262" i="56"/>
  <c r="E262" i="56"/>
  <c r="D262" i="56"/>
  <c r="C262" i="56"/>
  <c r="B262" i="56"/>
  <c r="A262" i="56"/>
  <c r="G261" i="56"/>
  <c r="F261" i="56"/>
  <c r="E261" i="56"/>
  <c r="D261" i="56"/>
  <c r="C261" i="56"/>
  <c r="B261" i="56"/>
  <c r="A261" i="56"/>
  <c r="G260" i="56"/>
  <c r="F260" i="56"/>
  <c r="E260" i="56"/>
  <c r="D260" i="56"/>
  <c r="C260" i="56"/>
  <c r="B260" i="56"/>
  <c r="A260" i="56"/>
  <c r="G259" i="56"/>
  <c r="F259" i="56"/>
  <c r="E259" i="56"/>
  <c r="D259" i="56"/>
  <c r="C259" i="56"/>
  <c r="B259" i="56"/>
  <c r="A259" i="56"/>
  <c r="G258" i="56"/>
  <c r="F258" i="56"/>
  <c r="E258" i="56"/>
  <c r="D258" i="56"/>
  <c r="C258" i="56"/>
  <c r="B258" i="56"/>
  <c r="A258" i="56"/>
  <c r="G257" i="56"/>
  <c r="F257" i="56"/>
  <c r="E257" i="56"/>
  <c r="D257" i="56"/>
  <c r="C257" i="56"/>
  <c r="B257" i="56"/>
  <c r="A257" i="56"/>
  <c r="G256" i="56"/>
  <c r="F256" i="56"/>
  <c r="E256" i="56"/>
  <c r="D256" i="56"/>
  <c r="C256" i="56"/>
  <c r="B256" i="56"/>
  <c r="A256" i="56"/>
  <c r="G255" i="56"/>
  <c r="F255" i="56"/>
  <c r="E255" i="56"/>
  <c r="D255" i="56"/>
  <c r="C255" i="56"/>
  <c r="B255" i="56"/>
  <c r="A255" i="56"/>
  <c r="G254" i="56"/>
  <c r="F254" i="56"/>
  <c r="E254" i="56"/>
  <c r="D254" i="56"/>
  <c r="C254" i="56"/>
  <c r="B254" i="56"/>
  <c r="A254" i="56"/>
  <c r="G253" i="56"/>
  <c r="F253" i="56"/>
  <c r="E253" i="56"/>
  <c r="D253" i="56"/>
  <c r="C253" i="56"/>
  <c r="B253" i="56"/>
  <c r="A253" i="56"/>
  <c r="G252" i="56"/>
  <c r="F252" i="56"/>
  <c r="E252" i="56"/>
  <c r="D252" i="56"/>
  <c r="C252" i="56"/>
  <c r="B252" i="56"/>
  <c r="A252" i="56"/>
  <c r="G251" i="56"/>
  <c r="F251" i="56"/>
  <c r="E251" i="56"/>
  <c r="D251" i="56"/>
  <c r="C251" i="56"/>
  <c r="B251" i="56"/>
  <c r="A251" i="56"/>
  <c r="G250" i="56"/>
  <c r="F250" i="56"/>
  <c r="E250" i="56"/>
  <c r="D250" i="56"/>
  <c r="C250" i="56"/>
  <c r="B250" i="56"/>
  <c r="A250" i="56"/>
  <c r="G249" i="56"/>
  <c r="F249" i="56"/>
  <c r="E249" i="56"/>
  <c r="D249" i="56"/>
  <c r="C249" i="56"/>
  <c r="B249" i="56"/>
  <c r="A249" i="56"/>
  <c r="G248" i="56"/>
  <c r="F248" i="56"/>
  <c r="E248" i="56"/>
  <c r="D248" i="56"/>
  <c r="C248" i="56"/>
  <c r="B248" i="56"/>
  <c r="A248" i="56"/>
  <c r="G247" i="56"/>
  <c r="F247" i="56"/>
  <c r="E247" i="56"/>
  <c r="D247" i="56"/>
  <c r="C247" i="56"/>
  <c r="B247" i="56"/>
  <c r="A247" i="56"/>
  <c r="G246" i="56"/>
  <c r="F246" i="56"/>
  <c r="E246" i="56"/>
  <c r="D246" i="56"/>
  <c r="C246" i="56"/>
  <c r="B246" i="56"/>
  <c r="A246" i="56"/>
  <c r="G245" i="56"/>
  <c r="F245" i="56"/>
  <c r="E245" i="56"/>
  <c r="D245" i="56"/>
  <c r="C245" i="56"/>
  <c r="B245" i="56"/>
  <c r="A245" i="56"/>
  <c r="G244" i="56"/>
  <c r="F244" i="56"/>
  <c r="E244" i="56"/>
  <c r="D244" i="56"/>
  <c r="C244" i="56"/>
  <c r="B244" i="56"/>
  <c r="A244" i="56"/>
  <c r="G243" i="56"/>
  <c r="F243" i="56"/>
  <c r="E243" i="56"/>
  <c r="D243" i="56"/>
  <c r="C243" i="56"/>
  <c r="B243" i="56"/>
  <c r="A243" i="56"/>
  <c r="G242" i="56"/>
  <c r="F242" i="56"/>
  <c r="E242" i="56"/>
  <c r="D242" i="56"/>
  <c r="C242" i="56"/>
  <c r="B242" i="56"/>
  <c r="A242" i="56"/>
  <c r="G241" i="56"/>
  <c r="F241" i="56"/>
  <c r="E241" i="56"/>
  <c r="D241" i="56"/>
  <c r="C241" i="56"/>
  <c r="B241" i="56"/>
  <c r="A241" i="56"/>
  <c r="G240" i="56"/>
  <c r="F240" i="56"/>
  <c r="E240" i="56"/>
  <c r="D240" i="56"/>
  <c r="C240" i="56"/>
  <c r="B240" i="56"/>
  <c r="A240" i="56"/>
  <c r="G239" i="56"/>
  <c r="F239" i="56"/>
  <c r="E239" i="56"/>
  <c r="D239" i="56"/>
  <c r="C239" i="56"/>
  <c r="B239" i="56"/>
  <c r="A239" i="56"/>
  <c r="G238" i="56"/>
  <c r="F238" i="56"/>
  <c r="E238" i="56"/>
  <c r="D238" i="56"/>
  <c r="C238" i="56"/>
  <c r="B238" i="56"/>
  <c r="A238" i="56"/>
  <c r="G237" i="56"/>
  <c r="F237" i="56"/>
  <c r="E237" i="56"/>
  <c r="D237" i="56"/>
  <c r="C237" i="56"/>
  <c r="B237" i="56"/>
  <c r="A237" i="56"/>
  <c r="G236" i="56"/>
  <c r="F236" i="56"/>
  <c r="E236" i="56"/>
  <c r="D236" i="56"/>
  <c r="C236" i="56"/>
  <c r="B236" i="56"/>
  <c r="A236" i="56"/>
  <c r="G235" i="56"/>
  <c r="F235" i="56"/>
  <c r="E235" i="56"/>
  <c r="D235" i="56"/>
  <c r="C235" i="56"/>
  <c r="B235" i="56"/>
  <c r="A235" i="56"/>
  <c r="G234" i="56"/>
  <c r="F234" i="56"/>
  <c r="E234" i="56"/>
  <c r="D234" i="56"/>
  <c r="C234" i="56"/>
  <c r="B234" i="56"/>
  <c r="A234" i="56"/>
  <c r="G233" i="56"/>
  <c r="F233" i="56"/>
  <c r="E233" i="56"/>
  <c r="D233" i="56"/>
  <c r="C233" i="56"/>
  <c r="B233" i="56"/>
  <c r="A233" i="56"/>
  <c r="G232" i="56"/>
  <c r="F232" i="56"/>
  <c r="E232" i="56"/>
  <c r="D232" i="56"/>
  <c r="C232" i="56"/>
  <c r="B232" i="56"/>
  <c r="A232" i="56"/>
  <c r="G231" i="56"/>
  <c r="F231" i="56"/>
  <c r="E231" i="56"/>
  <c r="D231" i="56"/>
  <c r="C231" i="56"/>
  <c r="B231" i="56"/>
  <c r="A231" i="56"/>
  <c r="G230" i="56"/>
  <c r="F230" i="56"/>
  <c r="E230" i="56"/>
  <c r="D230" i="56"/>
  <c r="C230" i="56"/>
  <c r="B230" i="56"/>
  <c r="A230" i="56"/>
  <c r="G229" i="56"/>
  <c r="F229" i="56"/>
  <c r="E229" i="56"/>
  <c r="D229" i="56"/>
  <c r="C229" i="56"/>
  <c r="B229" i="56"/>
  <c r="A229" i="56"/>
  <c r="G228" i="56"/>
  <c r="F228" i="56"/>
  <c r="E228" i="56"/>
  <c r="D228" i="56"/>
  <c r="C228" i="56"/>
  <c r="B228" i="56"/>
  <c r="A228" i="56"/>
  <c r="G227" i="56"/>
  <c r="F227" i="56"/>
  <c r="E227" i="56"/>
  <c r="D227" i="56"/>
  <c r="C227" i="56"/>
  <c r="B227" i="56"/>
  <c r="A227" i="56"/>
  <c r="G226" i="56"/>
  <c r="F226" i="56"/>
  <c r="E226" i="56"/>
  <c r="D226" i="56"/>
  <c r="C226" i="56"/>
  <c r="B226" i="56"/>
  <c r="A226" i="56"/>
  <c r="G225" i="56"/>
  <c r="F225" i="56"/>
  <c r="E225" i="56"/>
  <c r="D225" i="56"/>
  <c r="C225" i="56"/>
  <c r="B225" i="56"/>
  <c r="A225" i="56"/>
  <c r="G224" i="56"/>
  <c r="F224" i="56"/>
  <c r="E224" i="56"/>
  <c r="D224" i="56"/>
  <c r="C224" i="56"/>
  <c r="B224" i="56"/>
  <c r="A224" i="56"/>
  <c r="G223" i="56"/>
  <c r="F223" i="56"/>
  <c r="E223" i="56"/>
  <c r="D223" i="56"/>
  <c r="C223" i="56"/>
  <c r="B223" i="56"/>
  <c r="A223" i="56"/>
  <c r="G222" i="56"/>
  <c r="F222" i="56"/>
  <c r="E222" i="56"/>
  <c r="D222" i="56"/>
  <c r="C222" i="56"/>
  <c r="B222" i="56"/>
  <c r="A222" i="56"/>
  <c r="G221" i="56"/>
  <c r="F221" i="56"/>
  <c r="E221" i="56"/>
  <c r="D221" i="56"/>
  <c r="C221" i="56"/>
  <c r="B221" i="56"/>
  <c r="A221" i="56"/>
  <c r="G220" i="56"/>
  <c r="F220" i="56"/>
  <c r="E220" i="56"/>
  <c r="D220" i="56"/>
  <c r="C220" i="56"/>
  <c r="B220" i="56"/>
  <c r="A220" i="56"/>
  <c r="G219" i="56"/>
  <c r="F219" i="56"/>
  <c r="E219" i="56"/>
  <c r="D219" i="56"/>
  <c r="C219" i="56"/>
  <c r="B219" i="56"/>
  <c r="A219" i="56"/>
  <c r="G218" i="56"/>
  <c r="F218" i="56"/>
  <c r="E218" i="56"/>
  <c r="D218" i="56"/>
  <c r="C218" i="56"/>
  <c r="B218" i="56"/>
  <c r="A218" i="56"/>
  <c r="G217" i="56"/>
  <c r="F217" i="56"/>
  <c r="E217" i="56"/>
  <c r="D217" i="56"/>
  <c r="C217" i="56"/>
  <c r="B217" i="56"/>
  <c r="A217" i="56"/>
  <c r="G216" i="56"/>
  <c r="F216" i="56"/>
  <c r="E216" i="56"/>
  <c r="D216" i="56"/>
  <c r="C216" i="56"/>
  <c r="B216" i="56"/>
  <c r="A216" i="56"/>
  <c r="G215" i="56"/>
  <c r="F215" i="56"/>
  <c r="E215" i="56"/>
  <c r="D215" i="56"/>
  <c r="C215" i="56"/>
  <c r="B215" i="56"/>
  <c r="A215" i="56"/>
  <c r="G214" i="56"/>
  <c r="F214" i="56"/>
  <c r="E214" i="56"/>
  <c r="D214" i="56"/>
  <c r="C214" i="56"/>
  <c r="B214" i="56"/>
  <c r="A214" i="56"/>
  <c r="G213" i="56"/>
  <c r="F213" i="56"/>
  <c r="E213" i="56"/>
  <c r="D213" i="56"/>
  <c r="C213" i="56"/>
  <c r="B213" i="56"/>
  <c r="A213" i="56"/>
  <c r="G212" i="56"/>
  <c r="F212" i="56"/>
  <c r="E212" i="56"/>
  <c r="D212" i="56"/>
  <c r="C212" i="56"/>
  <c r="B212" i="56"/>
  <c r="A212" i="56"/>
  <c r="G211" i="56"/>
  <c r="F211" i="56"/>
  <c r="E211" i="56"/>
  <c r="D211" i="56"/>
  <c r="C211" i="56"/>
  <c r="B211" i="56"/>
  <c r="A211" i="56"/>
  <c r="G210" i="56"/>
  <c r="F210" i="56"/>
  <c r="E210" i="56"/>
  <c r="D210" i="56"/>
  <c r="C210" i="56"/>
  <c r="B210" i="56"/>
  <c r="A210" i="56"/>
  <c r="G209" i="56"/>
  <c r="F209" i="56"/>
  <c r="E209" i="56"/>
  <c r="D209" i="56"/>
  <c r="C209" i="56"/>
  <c r="B209" i="56"/>
  <c r="A209" i="56"/>
  <c r="G208" i="56"/>
  <c r="F208" i="56"/>
  <c r="E208" i="56"/>
  <c r="D208" i="56"/>
  <c r="C208" i="56"/>
  <c r="B208" i="56"/>
  <c r="A208" i="56"/>
  <c r="G207" i="56"/>
  <c r="F207" i="56"/>
  <c r="E207" i="56"/>
  <c r="D207" i="56"/>
  <c r="C207" i="56"/>
  <c r="B207" i="56"/>
  <c r="A207" i="56"/>
  <c r="G206" i="56"/>
  <c r="F206" i="56"/>
  <c r="E206" i="56"/>
  <c r="D206" i="56"/>
  <c r="C206" i="56"/>
  <c r="B206" i="56"/>
  <c r="A206" i="56"/>
  <c r="G205" i="56"/>
  <c r="F205" i="56"/>
  <c r="E205" i="56"/>
  <c r="D205" i="56"/>
  <c r="C205" i="56"/>
  <c r="B205" i="56"/>
  <c r="A205" i="56"/>
  <c r="G204" i="56"/>
  <c r="F204" i="56"/>
  <c r="E204" i="56"/>
  <c r="D204" i="56"/>
  <c r="C204" i="56"/>
  <c r="B204" i="56"/>
  <c r="A204" i="56"/>
  <c r="G203" i="56"/>
  <c r="F203" i="56"/>
  <c r="E203" i="56"/>
  <c r="D203" i="56"/>
  <c r="C203" i="56"/>
  <c r="B203" i="56"/>
  <c r="A203" i="56"/>
  <c r="G202" i="56"/>
  <c r="F202" i="56"/>
  <c r="E202" i="56"/>
  <c r="D202" i="56"/>
  <c r="C202" i="56"/>
  <c r="B202" i="56"/>
  <c r="A202" i="56"/>
  <c r="G201" i="56"/>
  <c r="F201" i="56"/>
  <c r="E201" i="56"/>
  <c r="D201" i="56"/>
  <c r="C201" i="56"/>
  <c r="B201" i="56"/>
  <c r="A201" i="56"/>
  <c r="G200" i="56"/>
  <c r="F200" i="56"/>
  <c r="E200" i="56"/>
  <c r="D200" i="56"/>
  <c r="C200" i="56"/>
  <c r="B200" i="56"/>
  <c r="A200" i="56"/>
  <c r="G199" i="56"/>
  <c r="F199" i="56"/>
  <c r="E199" i="56"/>
  <c r="D199" i="56"/>
  <c r="C199" i="56"/>
  <c r="B199" i="56"/>
  <c r="A199" i="56"/>
  <c r="G198" i="56"/>
  <c r="F198" i="56"/>
  <c r="E198" i="56"/>
  <c r="D198" i="56"/>
  <c r="C198" i="56"/>
  <c r="B198" i="56"/>
  <c r="A198" i="56"/>
  <c r="G197" i="56"/>
  <c r="F197" i="56"/>
  <c r="E197" i="56"/>
  <c r="D197" i="56"/>
  <c r="C197" i="56"/>
  <c r="B197" i="56"/>
  <c r="A197" i="56"/>
  <c r="G196" i="56"/>
  <c r="F196" i="56"/>
  <c r="E196" i="56"/>
  <c r="D196" i="56"/>
  <c r="C196" i="56"/>
  <c r="B196" i="56"/>
  <c r="A196" i="56"/>
  <c r="G195" i="56"/>
  <c r="F195" i="56"/>
  <c r="E195" i="56"/>
  <c r="D195" i="56"/>
  <c r="C195" i="56"/>
  <c r="B195" i="56"/>
  <c r="A195" i="56"/>
  <c r="G194" i="56"/>
  <c r="F194" i="56"/>
  <c r="E194" i="56"/>
  <c r="D194" i="56"/>
  <c r="C194" i="56"/>
  <c r="B194" i="56"/>
  <c r="A194" i="56"/>
  <c r="G193" i="56"/>
  <c r="F193" i="56"/>
  <c r="E193" i="56"/>
  <c r="D193" i="56"/>
  <c r="C193" i="56"/>
  <c r="B193" i="56"/>
  <c r="A193" i="56"/>
  <c r="G192" i="56"/>
  <c r="F192" i="56"/>
  <c r="E192" i="56"/>
  <c r="D192" i="56"/>
  <c r="C192" i="56"/>
  <c r="B192" i="56"/>
  <c r="A192" i="56"/>
  <c r="G191" i="56"/>
  <c r="F191" i="56"/>
  <c r="E191" i="56"/>
  <c r="D191" i="56"/>
  <c r="C191" i="56"/>
  <c r="B191" i="56"/>
  <c r="A191" i="56"/>
  <c r="G190" i="56"/>
  <c r="F190" i="56"/>
  <c r="E190" i="56"/>
  <c r="D190" i="56"/>
  <c r="C190" i="56"/>
  <c r="B190" i="56"/>
  <c r="A190" i="56"/>
  <c r="G189" i="56"/>
  <c r="F189" i="56"/>
  <c r="E189" i="56"/>
  <c r="D189" i="56"/>
  <c r="C189" i="56"/>
  <c r="B189" i="56"/>
  <c r="A189" i="56"/>
  <c r="G188" i="56"/>
  <c r="F188" i="56"/>
  <c r="E188" i="56"/>
  <c r="D188" i="56"/>
  <c r="C188" i="56"/>
  <c r="B188" i="56"/>
  <c r="A188" i="56"/>
  <c r="G187" i="56"/>
  <c r="F187" i="56"/>
  <c r="E187" i="56"/>
  <c r="D187" i="56"/>
  <c r="C187" i="56"/>
  <c r="B187" i="56"/>
  <c r="A187" i="56"/>
  <c r="G186" i="56"/>
  <c r="F186" i="56"/>
  <c r="E186" i="56"/>
  <c r="D186" i="56"/>
  <c r="C186" i="56"/>
  <c r="B186" i="56"/>
  <c r="A186" i="56"/>
  <c r="G185" i="56"/>
  <c r="F185" i="56"/>
  <c r="E185" i="56"/>
  <c r="D185" i="56"/>
  <c r="C185" i="56"/>
  <c r="B185" i="56"/>
  <c r="A185" i="56"/>
  <c r="G184" i="56"/>
  <c r="F184" i="56"/>
  <c r="E184" i="56"/>
  <c r="D184" i="56"/>
  <c r="C184" i="56"/>
  <c r="B184" i="56"/>
  <c r="A184" i="56"/>
  <c r="G183" i="56"/>
  <c r="F183" i="56"/>
  <c r="E183" i="56"/>
  <c r="D183" i="56"/>
  <c r="C183" i="56"/>
  <c r="B183" i="56"/>
  <c r="A183" i="56"/>
  <c r="G182" i="56"/>
  <c r="F182" i="56"/>
  <c r="E182" i="56"/>
  <c r="D182" i="56"/>
  <c r="C182" i="56"/>
  <c r="B182" i="56"/>
  <c r="A182" i="56"/>
  <c r="G181" i="56"/>
  <c r="F181" i="56"/>
  <c r="E181" i="56"/>
  <c r="D181" i="56"/>
  <c r="C181" i="56"/>
  <c r="B181" i="56"/>
  <c r="A181" i="56"/>
  <c r="G180" i="56"/>
  <c r="F180" i="56"/>
  <c r="E180" i="56"/>
  <c r="D180" i="56"/>
  <c r="C180" i="56"/>
  <c r="B180" i="56"/>
  <c r="A180" i="56"/>
  <c r="G179" i="56"/>
  <c r="F179" i="56"/>
  <c r="E179" i="56"/>
  <c r="D179" i="56"/>
  <c r="C179" i="56"/>
  <c r="B179" i="56"/>
  <c r="A179" i="56"/>
  <c r="G178" i="56"/>
  <c r="F178" i="56"/>
  <c r="E178" i="56"/>
  <c r="D178" i="56"/>
  <c r="C178" i="56"/>
  <c r="B178" i="56"/>
  <c r="A178" i="56"/>
  <c r="G177" i="56"/>
  <c r="F177" i="56"/>
  <c r="E177" i="56"/>
  <c r="D177" i="56"/>
  <c r="C177" i="56"/>
  <c r="B177" i="56"/>
  <c r="A177" i="56"/>
  <c r="G176" i="56"/>
  <c r="F176" i="56"/>
  <c r="E176" i="56"/>
  <c r="D176" i="56"/>
  <c r="C176" i="56"/>
  <c r="B176" i="56"/>
  <c r="A176" i="56"/>
  <c r="G175" i="56"/>
  <c r="F175" i="56"/>
  <c r="E175" i="56"/>
  <c r="D175" i="56"/>
  <c r="C175" i="56"/>
  <c r="B175" i="56"/>
  <c r="A175" i="56"/>
  <c r="G174" i="56"/>
  <c r="F174" i="56"/>
  <c r="E174" i="56"/>
  <c r="D174" i="56"/>
  <c r="C174" i="56"/>
  <c r="B174" i="56"/>
  <c r="A174" i="56"/>
  <c r="G173" i="56"/>
  <c r="F173" i="56"/>
  <c r="E173" i="56"/>
  <c r="D173" i="56"/>
  <c r="C173" i="56"/>
  <c r="B173" i="56"/>
  <c r="A173" i="56"/>
  <c r="G172" i="56"/>
  <c r="F172" i="56"/>
  <c r="E172" i="56"/>
  <c r="D172" i="56"/>
  <c r="C172" i="56"/>
  <c r="B172" i="56"/>
  <c r="A172" i="56"/>
  <c r="G171" i="56"/>
  <c r="F171" i="56"/>
  <c r="E171" i="56"/>
  <c r="D171" i="56"/>
  <c r="C171" i="56"/>
  <c r="B171" i="56"/>
  <c r="A171" i="56"/>
  <c r="G170" i="56"/>
  <c r="F170" i="56"/>
  <c r="E170" i="56"/>
  <c r="D170" i="56"/>
  <c r="C170" i="56"/>
  <c r="B170" i="56"/>
  <c r="A170" i="56"/>
  <c r="G169" i="56"/>
  <c r="F169" i="56"/>
  <c r="E169" i="56"/>
  <c r="D169" i="56"/>
  <c r="C169" i="56"/>
  <c r="B169" i="56"/>
  <c r="A169" i="56"/>
  <c r="G168" i="56"/>
  <c r="F168" i="56"/>
  <c r="E168" i="56"/>
  <c r="D168" i="56"/>
  <c r="C168" i="56"/>
  <c r="B168" i="56"/>
  <c r="A168" i="56"/>
  <c r="G167" i="56"/>
  <c r="F167" i="56"/>
  <c r="E167" i="56"/>
  <c r="D167" i="56"/>
  <c r="C167" i="56"/>
  <c r="B167" i="56"/>
  <c r="A167" i="56"/>
  <c r="G166" i="56"/>
  <c r="F166" i="56"/>
  <c r="E166" i="56"/>
  <c r="D166" i="56"/>
  <c r="C166" i="56"/>
  <c r="B166" i="56"/>
  <c r="A166" i="56"/>
  <c r="G165" i="56"/>
  <c r="F165" i="56"/>
  <c r="E165" i="56"/>
  <c r="D165" i="56"/>
  <c r="C165" i="56"/>
  <c r="B165" i="56"/>
  <c r="A165" i="56"/>
  <c r="G164" i="56"/>
  <c r="F164" i="56"/>
  <c r="E164" i="56"/>
  <c r="D164" i="56"/>
  <c r="C164" i="56"/>
  <c r="B164" i="56"/>
  <c r="A164" i="56"/>
  <c r="G163" i="56"/>
  <c r="F163" i="56"/>
  <c r="E163" i="56"/>
  <c r="D163" i="56"/>
  <c r="C163" i="56"/>
  <c r="B163" i="56"/>
  <c r="A163" i="56"/>
  <c r="G162" i="56"/>
  <c r="F162" i="56"/>
  <c r="E162" i="56"/>
  <c r="D162" i="56"/>
  <c r="C162" i="56"/>
  <c r="B162" i="56"/>
  <c r="A162" i="56"/>
  <c r="G161" i="56"/>
  <c r="F161" i="56"/>
  <c r="E161" i="56"/>
  <c r="D161" i="56"/>
  <c r="C161" i="56"/>
  <c r="B161" i="56"/>
  <c r="A161" i="56"/>
  <c r="G160" i="56"/>
  <c r="F160" i="56"/>
  <c r="E160" i="56"/>
  <c r="D160" i="56"/>
  <c r="C160" i="56"/>
  <c r="B160" i="56"/>
  <c r="A160" i="56"/>
  <c r="G159" i="56"/>
  <c r="F159" i="56"/>
  <c r="E159" i="56"/>
  <c r="D159" i="56"/>
  <c r="C159" i="56"/>
  <c r="B159" i="56"/>
  <c r="A159" i="56"/>
  <c r="G158" i="56"/>
  <c r="F158" i="56"/>
  <c r="E158" i="56"/>
  <c r="D158" i="56"/>
  <c r="C158" i="56"/>
  <c r="B158" i="56"/>
  <c r="A158" i="56"/>
  <c r="G157" i="56"/>
  <c r="F157" i="56"/>
  <c r="E157" i="56"/>
  <c r="D157" i="56"/>
  <c r="C157" i="56"/>
  <c r="B157" i="56"/>
  <c r="A157" i="56"/>
  <c r="G156" i="56"/>
  <c r="F156" i="56"/>
  <c r="E156" i="56"/>
  <c r="D156" i="56"/>
  <c r="C156" i="56"/>
  <c r="B156" i="56"/>
  <c r="A156" i="56"/>
  <c r="G155" i="56"/>
  <c r="F155" i="56"/>
  <c r="E155" i="56"/>
  <c r="D155" i="56"/>
  <c r="C155" i="56"/>
  <c r="B155" i="56"/>
  <c r="A155" i="56"/>
  <c r="G154" i="56"/>
  <c r="F154" i="56"/>
  <c r="E154" i="56"/>
  <c r="D154" i="56"/>
  <c r="C154" i="56"/>
  <c r="B154" i="56"/>
  <c r="A154" i="56"/>
  <c r="G153" i="56"/>
  <c r="F153" i="56"/>
  <c r="E153" i="56"/>
  <c r="D153" i="56"/>
  <c r="C153" i="56"/>
  <c r="B153" i="56"/>
  <c r="A153" i="56"/>
  <c r="G152" i="56"/>
  <c r="F152" i="56"/>
  <c r="E152" i="56"/>
  <c r="D152" i="56"/>
  <c r="C152" i="56"/>
  <c r="B152" i="56"/>
  <c r="A152" i="56"/>
  <c r="G151" i="56"/>
  <c r="F151" i="56"/>
  <c r="E151" i="56"/>
  <c r="D151" i="56"/>
  <c r="C151" i="56"/>
  <c r="B151" i="56"/>
  <c r="A151" i="56"/>
  <c r="G150" i="56"/>
  <c r="F150" i="56"/>
  <c r="E150" i="56"/>
  <c r="D150" i="56"/>
  <c r="C150" i="56"/>
  <c r="B150" i="56"/>
  <c r="A150" i="56"/>
  <c r="G149" i="56"/>
  <c r="F149" i="56"/>
  <c r="E149" i="56"/>
  <c r="D149" i="56"/>
  <c r="C149" i="56"/>
  <c r="B149" i="56"/>
  <c r="A149" i="56"/>
  <c r="G148" i="56"/>
  <c r="F148" i="56"/>
  <c r="E148" i="56"/>
  <c r="D148" i="56"/>
  <c r="C148" i="56"/>
  <c r="B148" i="56"/>
  <c r="A148" i="56"/>
  <c r="G147" i="56"/>
  <c r="F147" i="56"/>
  <c r="E147" i="56"/>
  <c r="D147" i="56"/>
  <c r="C147" i="56"/>
  <c r="B147" i="56"/>
  <c r="A147" i="56"/>
  <c r="G146" i="56"/>
  <c r="F146" i="56"/>
  <c r="E146" i="56"/>
  <c r="D146" i="56"/>
  <c r="C146" i="56"/>
  <c r="B146" i="56"/>
  <c r="A146" i="56"/>
  <c r="G145" i="56"/>
  <c r="F145" i="56"/>
  <c r="E145" i="56"/>
  <c r="D145" i="56"/>
  <c r="C145" i="56"/>
  <c r="B145" i="56"/>
  <c r="A145" i="56"/>
  <c r="G144" i="56"/>
  <c r="F144" i="56"/>
  <c r="E144" i="56"/>
  <c r="D144" i="56"/>
  <c r="C144" i="56"/>
  <c r="B144" i="56"/>
  <c r="A144" i="56"/>
  <c r="G143" i="56"/>
  <c r="F143" i="56"/>
  <c r="E143" i="56"/>
  <c r="D143" i="56"/>
  <c r="C143" i="56"/>
  <c r="B143" i="56"/>
  <c r="A143" i="56"/>
  <c r="G142" i="56"/>
  <c r="F142" i="56"/>
  <c r="E142" i="56"/>
  <c r="D142" i="56"/>
  <c r="C142" i="56"/>
  <c r="B142" i="56"/>
  <c r="A142" i="56"/>
  <c r="G141" i="56"/>
  <c r="F141" i="56"/>
  <c r="E141" i="56"/>
  <c r="D141" i="56"/>
  <c r="C141" i="56"/>
  <c r="B141" i="56"/>
  <c r="A141" i="56"/>
  <c r="G140" i="56"/>
  <c r="F140" i="56"/>
  <c r="E140" i="56"/>
  <c r="D140" i="56"/>
  <c r="C140" i="56"/>
  <c r="B140" i="56"/>
  <c r="A140" i="56"/>
  <c r="G139" i="56"/>
  <c r="F139" i="56"/>
  <c r="E139" i="56"/>
  <c r="D139" i="56"/>
  <c r="C139" i="56"/>
  <c r="B139" i="56"/>
  <c r="A139" i="56"/>
  <c r="G138" i="56"/>
  <c r="F138" i="56"/>
  <c r="E138" i="56"/>
  <c r="D138" i="56"/>
  <c r="C138" i="56"/>
  <c r="B138" i="56"/>
  <c r="A138" i="56"/>
  <c r="G137" i="56"/>
  <c r="F137" i="56"/>
  <c r="E137" i="56"/>
  <c r="D137" i="56"/>
  <c r="C137" i="56"/>
  <c r="B137" i="56"/>
  <c r="A137" i="56"/>
  <c r="G136" i="56"/>
  <c r="F136" i="56"/>
  <c r="E136" i="56"/>
  <c r="D136" i="56"/>
  <c r="C136" i="56"/>
  <c r="B136" i="56"/>
  <c r="A136" i="56"/>
  <c r="G135" i="56"/>
  <c r="F135" i="56"/>
  <c r="E135" i="56"/>
  <c r="D135" i="56"/>
  <c r="C135" i="56"/>
  <c r="B135" i="56"/>
  <c r="A135" i="56"/>
  <c r="G134" i="56"/>
  <c r="F134" i="56"/>
  <c r="E134" i="56"/>
  <c r="D134" i="56"/>
  <c r="C134" i="56"/>
  <c r="B134" i="56"/>
  <c r="A134" i="56"/>
  <c r="G133" i="56"/>
  <c r="F133" i="56"/>
  <c r="E133" i="56"/>
  <c r="D133" i="56"/>
  <c r="C133" i="56"/>
  <c r="B133" i="56"/>
  <c r="A133" i="56"/>
  <c r="G132" i="56"/>
  <c r="F132" i="56"/>
  <c r="E132" i="56"/>
  <c r="D132" i="56"/>
  <c r="C132" i="56"/>
  <c r="B132" i="56"/>
  <c r="A132" i="56"/>
  <c r="G131" i="56"/>
  <c r="F131" i="56"/>
  <c r="E131" i="56"/>
  <c r="D131" i="56"/>
  <c r="C131" i="56"/>
  <c r="B131" i="56"/>
  <c r="A131" i="56"/>
  <c r="G130" i="56"/>
  <c r="F130" i="56"/>
  <c r="E130" i="56"/>
  <c r="D130" i="56"/>
  <c r="C130" i="56"/>
  <c r="B130" i="56"/>
  <c r="A130" i="56"/>
  <c r="G129" i="56"/>
  <c r="F129" i="56"/>
  <c r="E129" i="56"/>
  <c r="D129" i="56"/>
  <c r="C129" i="56"/>
  <c r="B129" i="56"/>
  <c r="A129" i="56"/>
  <c r="G128" i="56"/>
  <c r="F128" i="56"/>
  <c r="E128" i="56"/>
  <c r="D128" i="56"/>
  <c r="C128" i="56"/>
  <c r="B128" i="56"/>
  <c r="A128" i="56"/>
  <c r="G127" i="56"/>
  <c r="F127" i="56"/>
  <c r="E127" i="56"/>
  <c r="D127" i="56"/>
  <c r="C127" i="56"/>
  <c r="B127" i="56"/>
  <c r="A127" i="56"/>
  <c r="G126" i="56"/>
  <c r="F126" i="56"/>
  <c r="E126" i="56"/>
  <c r="D126" i="56"/>
  <c r="C126" i="56"/>
  <c r="B126" i="56"/>
  <c r="A126" i="56"/>
  <c r="G125" i="56"/>
  <c r="F125" i="56"/>
  <c r="E125" i="56"/>
  <c r="D125" i="56"/>
  <c r="C125" i="56"/>
  <c r="B125" i="56"/>
  <c r="A125" i="56"/>
  <c r="G124" i="56"/>
  <c r="F124" i="56"/>
  <c r="E124" i="56"/>
  <c r="D124" i="56"/>
  <c r="C124" i="56"/>
  <c r="B124" i="56"/>
  <c r="A124" i="56"/>
  <c r="G123" i="56"/>
  <c r="F123" i="56"/>
  <c r="E123" i="56"/>
  <c r="D123" i="56"/>
  <c r="C123" i="56"/>
  <c r="B123" i="56"/>
  <c r="A123" i="56"/>
  <c r="G122" i="56"/>
  <c r="F122" i="56"/>
  <c r="E122" i="56"/>
  <c r="D122" i="56"/>
  <c r="C122" i="56"/>
  <c r="B122" i="56"/>
  <c r="A122" i="56"/>
  <c r="G121" i="56"/>
  <c r="F121" i="56"/>
  <c r="E121" i="56"/>
  <c r="D121" i="56"/>
  <c r="C121" i="56"/>
  <c r="B121" i="56"/>
  <c r="A121" i="56"/>
  <c r="G120" i="56"/>
  <c r="F120" i="56"/>
  <c r="E120" i="56"/>
  <c r="D120" i="56"/>
  <c r="C120" i="56"/>
  <c r="B120" i="56"/>
  <c r="A120" i="56"/>
  <c r="G119" i="56"/>
  <c r="F119" i="56"/>
  <c r="E119" i="56"/>
  <c r="D119" i="56"/>
  <c r="C119" i="56"/>
  <c r="B119" i="56"/>
  <c r="A119" i="56"/>
  <c r="G118" i="56"/>
  <c r="F118" i="56"/>
  <c r="E118" i="56"/>
  <c r="D118" i="56"/>
  <c r="C118" i="56"/>
  <c r="B118" i="56"/>
  <c r="A118" i="56"/>
  <c r="G117" i="56"/>
  <c r="F117" i="56"/>
  <c r="E117" i="56"/>
  <c r="D117" i="56"/>
  <c r="C117" i="56"/>
  <c r="B117" i="56"/>
  <c r="A117" i="56"/>
  <c r="G116" i="56"/>
  <c r="F116" i="56"/>
  <c r="E116" i="56"/>
  <c r="D116" i="56"/>
  <c r="C116" i="56"/>
  <c r="B116" i="56"/>
  <c r="A116" i="56"/>
  <c r="G115" i="56"/>
  <c r="F115" i="56"/>
  <c r="E115" i="56"/>
  <c r="D115" i="56"/>
  <c r="C115" i="56"/>
  <c r="B115" i="56"/>
  <c r="A115" i="56"/>
  <c r="G114" i="56"/>
  <c r="F114" i="56"/>
  <c r="E114" i="56"/>
  <c r="D114" i="56"/>
  <c r="C114" i="56"/>
  <c r="B114" i="56"/>
  <c r="A114" i="56"/>
  <c r="G113" i="56"/>
  <c r="F113" i="56"/>
  <c r="E113" i="56"/>
  <c r="D113" i="56"/>
  <c r="C113" i="56"/>
  <c r="B113" i="56"/>
  <c r="A113" i="56"/>
  <c r="G112" i="56"/>
  <c r="F112" i="56"/>
  <c r="E112" i="56"/>
  <c r="D112" i="56"/>
  <c r="C112" i="56"/>
  <c r="B112" i="56"/>
  <c r="A112" i="56"/>
  <c r="G111" i="56"/>
  <c r="F111" i="56"/>
  <c r="E111" i="56"/>
  <c r="D111" i="56"/>
  <c r="C111" i="56"/>
  <c r="B111" i="56"/>
  <c r="A111" i="56"/>
  <c r="G110" i="56"/>
  <c r="F110" i="56"/>
  <c r="E110" i="56"/>
  <c r="D110" i="56"/>
  <c r="C110" i="56"/>
  <c r="B110" i="56"/>
  <c r="A110" i="56"/>
  <c r="G109" i="56"/>
  <c r="F109" i="56"/>
  <c r="E109" i="56"/>
  <c r="D109" i="56"/>
  <c r="C109" i="56"/>
  <c r="B109" i="56"/>
  <c r="A109" i="56"/>
  <c r="G108" i="56"/>
  <c r="F108" i="56"/>
  <c r="E108" i="56"/>
  <c r="D108" i="56"/>
  <c r="C108" i="56"/>
  <c r="B108" i="56"/>
  <c r="A108" i="56"/>
  <c r="G107" i="56"/>
  <c r="F107" i="56"/>
  <c r="E107" i="56"/>
  <c r="D107" i="56"/>
  <c r="C107" i="56"/>
  <c r="B107" i="56"/>
  <c r="A107" i="56"/>
  <c r="G106" i="56"/>
  <c r="F106" i="56"/>
  <c r="E106" i="56"/>
  <c r="D106" i="56"/>
  <c r="C106" i="56"/>
  <c r="B106" i="56"/>
  <c r="A106" i="56"/>
  <c r="G105" i="56"/>
  <c r="F105" i="56"/>
  <c r="E105" i="56"/>
  <c r="D105" i="56"/>
  <c r="C105" i="56"/>
  <c r="B105" i="56"/>
  <c r="A105" i="56"/>
  <c r="G104" i="56"/>
  <c r="F104" i="56"/>
  <c r="E104" i="56"/>
  <c r="D104" i="56"/>
  <c r="C104" i="56"/>
  <c r="B104" i="56"/>
  <c r="A104" i="56"/>
  <c r="G103" i="56"/>
  <c r="F103" i="56"/>
  <c r="E103" i="56"/>
  <c r="D103" i="56"/>
  <c r="C103" i="56"/>
  <c r="B103" i="56"/>
  <c r="A103" i="56"/>
  <c r="G102" i="56"/>
  <c r="F102" i="56"/>
  <c r="E102" i="56"/>
  <c r="D102" i="56"/>
  <c r="C102" i="56"/>
  <c r="B102" i="56"/>
  <c r="A102" i="56"/>
  <c r="G101" i="56"/>
  <c r="F101" i="56"/>
  <c r="E101" i="56"/>
  <c r="D101" i="56"/>
  <c r="C101" i="56"/>
  <c r="B101" i="56"/>
  <c r="A101" i="56"/>
  <c r="G100" i="56"/>
  <c r="F100" i="56"/>
  <c r="E100" i="56"/>
  <c r="D100" i="56"/>
  <c r="C100" i="56"/>
  <c r="B100" i="56"/>
  <c r="A100" i="56"/>
  <c r="G99" i="56"/>
  <c r="F99" i="56"/>
  <c r="E99" i="56"/>
  <c r="D99" i="56"/>
  <c r="C99" i="56"/>
  <c r="B99" i="56"/>
  <c r="A99" i="56"/>
  <c r="G98" i="56"/>
  <c r="F98" i="56"/>
  <c r="E98" i="56"/>
  <c r="D98" i="56"/>
  <c r="C98" i="56"/>
  <c r="B98" i="56"/>
  <c r="A98" i="56"/>
  <c r="G97" i="56"/>
  <c r="F97" i="56"/>
  <c r="E97" i="56"/>
  <c r="D97" i="56"/>
  <c r="C97" i="56"/>
  <c r="B97" i="56"/>
  <c r="A97" i="56"/>
  <c r="G96" i="56"/>
  <c r="F96" i="56"/>
  <c r="E96" i="56"/>
  <c r="D96" i="56"/>
  <c r="C96" i="56"/>
  <c r="B96" i="56"/>
  <c r="A96" i="56"/>
  <c r="G95" i="56"/>
  <c r="F95" i="56"/>
  <c r="E95" i="56"/>
  <c r="D95" i="56"/>
  <c r="C95" i="56"/>
  <c r="B95" i="56"/>
  <c r="A95" i="56"/>
  <c r="G94" i="56"/>
  <c r="F94" i="56"/>
  <c r="E94" i="56"/>
  <c r="D94" i="56"/>
  <c r="C94" i="56"/>
  <c r="B94" i="56"/>
  <c r="A94" i="56"/>
  <c r="G93" i="56"/>
  <c r="F93" i="56"/>
  <c r="E93" i="56"/>
  <c r="D93" i="56"/>
  <c r="C93" i="56"/>
  <c r="B93" i="56"/>
  <c r="A93" i="56"/>
  <c r="G92" i="56"/>
  <c r="F92" i="56"/>
  <c r="E92" i="56"/>
  <c r="D92" i="56"/>
  <c r="C92" i="56"/>
  <c r="B92" i="56"/>
  <c r="A92" i="56"/>
  <c r="G91" i="56"/>
  <c r="F91" i="56"/>
  <c r="E91" i="56"/>
  <c r="D91" i="56"/>
  <c r="C91" i="56"/>
  <c r="B91" i="56"/>
  <c r="A91" i="56"/>
  <c r="G90" i="56"/>
  <c r="F90" i="56"/>
  <c r="E90" i="56"/>
  <c r="D90" i="56"/>
  <c r="C90" i="56"/>
  <c r="B90" i="56"/>
  <c r="A90" i="56"/>
  <c r="G89" i="56"/>
  <c r="F89" i="56"/>
  <c r="E89" i="56"/>
  <c r="D89" i="56"/>
  <c r="C89" i="56"/>
  <c r="B89" i="56"/>
  <c r="A89" i="56"/>
  <c r="G88" i="56"/>
  <c r="F88" i="56"/>
  <c r="E88" i="56"/>
  <c r="D88" i="56"/>
  <c r="C88" i="56"/>
  <c r="B88" i="56"/>
  <c r="A88" i="56"/>
  <c r="G87" i="56"/>
  <c r="F87" i="56"/>
  <c r="E87" i="56"/>
  <c r="D87" i="56"/>
  <c r="C87" i="56"/>
  <c r="B87" i="56"/>
  <c r="A87" i="56"/>
  <c r="G86" i="56"/>
  <c r="F86" i="56"/>
  <c r="E86" i="56"/>
  <c r="D86" i="56"/>
  <c r="C86" i="56"/>
  <c r="B86" i="56"/>
  <c r="A86" i="56"/>
  <c r="G85" i="56"/>
  <c r="F85" i="56"/>
  <c r="E85" i="56"/>
  <c r="D85" i="56"/>
  <c r="C85" i="56"/>
  <c r="B85" i="56"/>
  <c r="A85" i="56"/>
  <c r="G84" i="56"/>
  <c r="F84" i="56"/>
  <c r="E84" i="56"/>
  <c r="D84" i="56"/>
  <c r="C84" i="56"/>
  <c r="B84" i="56"/>
  <c r="A84" i="56"/>
  <c r="G83" i="56"/>
  <c r="F83" i="56"/>
  <c r="E83" i="56"/>
  <c r="D83" i="56"/>
  <c r="C83" i="56"/>
  <c r="B83" i="56"/>
  <c r="A83" i="56"/>
  <c r="G82" i="56"/>
  <c r="F82" i="56"/>
  <c r="E82" i="56"/>
  <c r="D82" i="56"/>
  <c r="C82" i="56"/>
  <c r="B82" i="56"/>
  <c r="A82" i="56"/>
  <c r="G81" i="56"/>
  <c r="F81" i="56"/>
  <c r="E81" i="56"/>
  <c r="D81" i="56"/>
  <c r="C81" i="56"/>
  <c r="B81" i="56"/>
  <c r="A81" i="56"/>
  <c r="G80" i="56"/>
  <c r="F80" i="56"/>
  <c r="E80" i="56"/>
  <c r="D80" i="56"/>
  <c r="C80" i="56"/>
  <c r="B80" i="56"/>
  <c r="A80" i="56"/>
  <c r="G79" i="56"/>
  <c r="F79" i="56"/>
  <c r="E79" i="56"/>
  <c r="D79" i="56"/>
  <c r="C79" i="56"/>
  <c r="B79" i="56"/>
  <c r="A79" i="56"/>
  <c r="G78" i="56"/>
  <c r="F78" i="56"/>
  <c r="E78" i="56"/>
  <c r="D78" i="56"/>
  <c r="C78" i="56"/>
  <c r="B78" i="56"/>
  <c r="A78" i="56"/>
  <c r="G77" i="56"/>
  <c r="F77" i="56"/>
  <c r="E77" i="56"/>
  <c r="D77" i="56"/>
  <c r="C77" i="56"/>
  <c r="B77" i="56"/>
  <c r="A77" i="56"/>
  <c r="G76" i="56"/>
  <c r="F76" i="56"/>
  <c r="E76" i="56"/>
  <c r="D76" i="56"/>
  <c r="C76" i="56"/>
  <c r="B76" i="56"/>
  <c r="A76" i="56"/>
  <c r="G75" i="56"/>
  <c r="F75" i="56"/>
  <c r="E75" i="56"/>
  <c r="D75" i="56"/>
  <c r="C75" i="56"/>
  <c r="B75" i="56"/>
  <c r="A75" i="56"/>
  <c r="G74" i="56"/>
  <c r="F74" i="56"/>
  <c r="E74" i="56"/>
  <c r="D74" i="56"/>
  <c r="C74" i="56"/>
  <c r="B74" i="56"/>
  <c r="A74" i="56"/>
  <c r="G73" i="56"/>
  <c r="F73" i="56"/>
  <c r="E73" i="56"/>
  <c r="D73" i="56"/>
  <c r="C73" i="56"/>
  <c r="B73" i="56"/>
  <c r="A73" i="56"/>
  <c r="G72" i="56"/>
  <c r="F72" i="56"/>
  <c r="E72" i="56"/>
  <c r="D72" i="56"/>
  <c r="C72" i="56"/>
  <c r="B72" i="56"/>
  <c r="A72" i="56"/>
  <c r="G71" i="56"/>
  <c r="F71" i="56"/>
  <c r="E71" i="56"/>
  <c r="D71" i="56"/>
  <c r="C71" i="56"/>
  <c r="B71" i="56"/>
  <c r="A71" i="56"/>
  <c r="G70" i="56"/>
  <c r="F70" i="56"/>
  <c r="E70" i="56"/>
  <c r="D70" i="56"/>
  <c r="C70" i="56"/>
  <c r="B70" i="56"/>
  <c r="A70" i="56"/>
  <c r="G69" i="56"/>
  <c r="F69" i="56"/>
  <c r="E69" i="56"/>
  <c r="D69" i="56"/>
  <c r="C69" i="56"/>
  <c r="B69" i="56"/>
  <c r="A69" i="56"/>
  <c r="G68" i="56"/>
  <c r="F68" i="56"/>
  <c r="E68" i="56"/>
  <c r="D68" i="56"/>
  <c r="C68" i="56"/>
  <c r="B68" i="56"/>
  <c r="A68" i="56"/>
  <c r="G67" i="56"/>
  <c r="F67" i="56"/>
  <c r="E67" i="56"/>
  <c r="D67" i="56"/>
  <c r="C67" i="56"/>
  <c r="B67" i="56"/>
  <c r="A67" i="56"/>
  <c r="G66" i="56"/>
  <c r="F66" i="56"/>
  <c r="E66" i="56"/>
  <c r="D66" i="56"/>
  <c r="C66" i="56"/>
  <c r="B66" i="56"/>
  <c r="A66" i="56"/>
  <c r="G65" i="56"/>
  <c r="F65" i="56"/>
  <c r="E65" i="56"/>
  <c r="D65" i="56"/>
  <c r="C65" i="56"/>
  <c r="B65" i="56"/>
  <c r="A65" i="56"/>
  <c r="G64" i="56"/>
  <c r="F64" i="56"/>
  <c r="E64" i="56"/>
  <c r="D64" i="56"/>
  <c r="C64" i="56"/>
  <c r="B64" i="56"/>
  <c r="A64" i="56"/>
  <c r="G63" i="56"/>
  <c r="F63" i="56"/>
  <c r="E63" i="56"/>
  <c r="D63" i="56"/>
  <c r="C63" i="56"/>
  <c r="B63" i="56"/>
  <c r="A63" i="56"/>
  <c r="G62" i="56"/>
  <c r="F62" i="56"/>
  <c r="E62" i="56"/>
  <c r="D62" i="56"/>
  <c r="C62" i="56"/>
  <c r="B62" i="56"/>
  <c r="A62" i="56"/>
  <c r="G61" i="56"/>
  <c r="F61" i="56"/>
  <c r="E61" i="56"/>
  <c r="D61" i="56"/>
  <c r="C61" i="56"/>
  <c r="B61" i="56"/>
  <c r="A61" i="56"/>
  <c r="G60" i="56"/>
  <c r="F60" i="56"/>
  <c r="E60" i="56"/>
  <c r="D60" i="56"/>
  <c r="C60" i="56"/>
  <c r="B60" i="56"/>
  <c r="A60" i="56"/>
  <c r="G59" i="56"/>
  <c r="F59" i="56"/>
  <c r="E59" i="56"/>
  <c r="D59" i="56"/>
  <c r="C59" i="56"/>
  <c r="B59" i="56"/>
  <c r="A59" i="56"/>
  <c r="G58" i="56"/>
  <c r="F58" i="56"/>
  <c r="E58" i="56"/>
  <c r="D58" i="56"/>
  <c r="C58" i="56"/>
  <c r="B58" i="56"/>
  <c r="A58" i="56"/>
  <c r="G57" i="56"/>
  <c r="F57" i="56"/>
  <c r="E57" i="56"/>
  <c r="D57" i="56"/>
  <c r="C57" i="56"/>
  <c r="B57" i="56"/>
  <c r="A57" i="56"/>
  <c r="G56" i="56"/>
  <c r="F56" i="56"/>
  <c r="E56" i="56"/>
  <c r="D56" i="56"/>
  <c r="C56" i="56"/>
  <c r="B56" i="56"/>
  <c r="A56" i="56"/>
  <c r="G55" i="56"/>
  <c r="F55" i="56"/>
  <c r="E55" i="56"/>
  <c r="D55" i="56"/>
  <c r="C55" i="56"/>
  <c r="B55" i="56"/>
  <c r="A55" i="56"/>
  <c r="G54" i="56"/>
  <c r="F54" i="56"/>
  <c r="E54" i="56"/>
  <c r="D54" i="56"/>
  <c r="C54" i="56"/>
  <c r="B54" i="56"/>
  <c r="A54" i="56"/>
  <c r="G53" i="56"/>
  <c r="F53" i="56"/>
  <c r="E53" i="56"/>
  <c r="D53" i="56"/>
  <c r="C53" i="56"/>
  <c r="B53" i="56"/>
  <c r="A53" i="56"/>
  <c r="G52" i="56"/>
  <c r="F52" i="56"/>
  <c r="E52" i="56"/>
  <c r="D52" i="56"/>
  <c r="C52" i="56"/>
  <c r="B52" i="56"/>
  <c r="A52" i="56"/>
  <c r="G51" i="56"/>
  <c r="F51" i="56"/>
  <c r="E51" i="56"/>
  <c r="D51" i="56"/>
  <c r="C51" i="56"/>
  <c r="B51" i="56"/>
  <c r="A51" i="56"/>
  <c r="G50" i="56"/>
  <c r="F50" i="56"/>
  <c r="E50" i="56"/>
  <c r="D50" i="56"/>
  <c r="C50" i="56"/>
  <c r="B50" i="56"/>
  <c r="A50" i="56"/>
  <c r="G49" i="56"/>
  <c r="F49" i="56"/>
  <c r="E49" i="56"/>
  <c r="D49" i="56"/>
  <c r="C49" i="56"/>
  <c r="B49" i="56"/>
  <c r="A49" i="56"/>
  <c r="G48" i="56"/>
  <c r="F48" i="56"/>
  <c r="E48" i="56"/>
  <c r="D48" i="56"/>
  <c r="C48" i="56"/>
  <c r="B48" i="56"/>
  <c r="A48" i="56"/>
  <c r="G47" i="56"/>
  <c r="F47" i="56"/>
  <c r="E47" i="56"/>
  <c r="D47" i="56"/>
  <c r="C47" i="56"/>
  <c r="B47" i="56"/>
  <c r="A47" i="56"/>
  <c r="G46" i="56"/>
  <c r="F46" i="56"/>
  <c r="E46" i="56"/>
  <c r="D46" i="56"/>
  <c r="C46" i="56"/>
  <c r="B46" i="56"/>
  <c r="A46" i="56"/>
  <c r="G45" i="56"/>
  <c r="F45" i="56"/>
  <c r="E45" i="56"/>
  <c r="D45" i="56"/>
  <c r="C45" i="56"/>
  <c r="B45" i="56"/>
  <c r="A45" i="56"/>
  <c r="G44" i="56"/>
  <c r="F44" i="56"/>
  <c r="E44" i="56"/>
  <c r="D44" i="56"/>
  <c r="C44" i="56"/>
  <c r="B44" i="56"/>
  <c r="A44" i="56"/>
  <c r="G43" i="56"/>
  <c r="F43" i="56"/>
  <c r="E43" i="56"/>
  <c r="D43" i="56"/>
  <c r="C43" i="56"/>
  <c r="B43" i="56"/>
  <c r="A43" i="56"/>
  <c r="G42" i="56"/>
  <c r="F42" i="56"/>
  <c r="E42" i="56"/>
  <c r="D42" i="56"/>
  <c r="C42" i="56"/>
  <c r="B42" i="56"/>
  <c r="A42" i="56"/>
  <c r="G41" i="56"/>
  <c r="F41" i="56"/>
  <c r="E41" i="56"/>
  <c r="D41" i="56"/>
  <c r="C41" i="56"/>
  <c r="B41" i="56"/>
  <c r="A41" i="56"/>
  <c r="G40" i="56"/>
  <c r="F40" i="56"/>
  <c r="E40" i="56"/>
  <c r="D40" i="56"/>
  <c r="C40" i="56"/>
  <c r="B40" i="56"/>
  <c r="A40" i="56"/>
  <c r="G39" i="56"/>
  <c r="F39" i="56"/>
  <c r="E39" i="56"/>
  <c r="D39" i="56"/>
  <c r="C39" i="56"/>
  <c r="B39" i="56"/>
  <c r="A39" i="56"/>
  <c r="G38" i="56"/>
  <c r="F38" i="56"/>
  <c r="E38" i="56"/>
  <c r="D38" i="56"/>
  <c r="C38" i="56"/>
  <c r="B38" i="56"/>
  <c r="A38" i="56"/>
  <c r="G37" i="56"/>
  <c r="F37" i="56"/>
  <c r="E37" i="56"/>
  <c r="D37" i="56"/>
  <c r="C37" i="56"/>
  <c r="B37" i="56"/>
  <c r="A37" i="56"/>
  <c r="G36" i="56"/>
  <c r="F36" i="56"/>
  <c r="E36" i="56"/>
  <c r="D36" i="56"/>
  <c r="C36" i="56"/>
  <c r="B36" i="56"/>
  <c r="A36" i="56"/>
  <c r="G35" i="56"/>
  <c r="F35" i="56"/>
  <c r="E35" i="56"/>
  <c r="D35" i="56"/>
  <c r="C35" i="56"/>
  <c r="B35" i="56"/>
  <c r="A35" i="56"/>
  <c r="G34" i="56"/>
  <c r="F34" i="56"/>
  <c r="E34" i="56"/>
  <c r="D34" i="56"/>
  <c r="C34" i="56"/>
  <c r="B34" i="56"/>
  <c r="A34" i="56"/>
  <c r="G33" i="56"/>
  <c r="F33" i="56"/>
  <c r="E33" i="56"/>
  <c r="D33" i="56"/>
  <c r="C33" i="56"/>
  <c r="B33" i="56"/>
  <c r="A33" i="56"/>
  <c r="G32" i="56"/>
  <c r="F32" i="56"/>
  <c r="E32" i="56"/>
  <c r="D32" i="56"/>
  <c r="C32" i="56"/>
  <c r="B32" i="56"/>
  <c r="A32" i="56"/>
  <c r="G31" i="56"/>
  <c r="F31" i="56"/>
  <c r="E31" i="56"/>
  <c r="D31" i="56"/>
  <c r="C31" i="56"/>
  <c r="B31" i="56"/>
  <c r="A31" i="56"/>
  <c r="G30" i="56"/>
  <c r="F30" i="56"/>
  <c r="E30" i="56"/>
  <c r="D30" i="56"/>
  <c r="C30" i="56"/>
  <c r="B30" i="56"/>
  <c r="A30" i="56"/>
  <c r="G29" i="56"/>
  <c r="F29" i="56"/>
  <c r="E29" i="56"/>
  <c r="D29" i="56"/>
  <c r="C29" i="56"/>
  <c r="B29" i="56"/>
  <c r="A29" i="56"/>
  <c r="G28" i="56"/>
  <c r="F28" i="56"/>
  <c r="E28" i="56"/>
  <c r="D28" i="56"/>
  <c r="C28" i="56"/>
  <c r="B28" i="56"/>
  <c r="A28" i="56"/>
  <c r="G27" i="56"/>
  <c r="F27" i="56"/>
  <c r="E27" i="56"/>
  <c r="D27" i="56"/>
  <c r="C27" i="56"/>
  <c r="B27" i="56"/>
  <c r="A27" i="56"/>
  <c r="G26" i="56"/>
  <c r="F26" i="56"/>
  <c r="E26" i="56"/>
  <c r="D26" i="56"/>
  <c r="C26" i="56"/>
  <c r="B26" i="56"/>
  <c r="A26" i="56"/>
  <c r="G25" i="56"/>
  <c r="F25" i="56"/>
  <c r="E25" i="56"/>
  <c r="D25" i="56"/>
  <c r="C25" i="56"/>
  <c r="B25" i="56"/>
  <c r="A25" i="56"/>
  <c r="G24" i="56"/>
  <c r="F24" i="56"/>
  <c r="E24" i="56"/>
  <c r="D24" i="56"/>
  <c r="C24" i="56"/>
  <c r="B24" i="56"/>
  <c r="A24" i="56"/>
  <c r="G23" i="56"/>
  <c r="F23" i="56"/>
  <c r="E23" i="56"/>
  <c r="D23" i="56"/>
  <c r="C23" i="56"/>
  <c r="B23" i="56"/>
  <c r="A23" i="56"/>
  <c r="G22" i="56"/>
  <c r="F22" i="56"/>
  <c r="E22" i="56"/>
  <c r="D22" i="56"/>
  <c r="C22" i="56"/>
  <c r="B22" i="56"/>
  <c r="A22" i="56"/>
  <c r="G21" i="56"/>
  <c r="F21" i="56"/>
  <c r="E21" i="56"/>
  <c r="D21" i="56"/>
  <c r="C21" i="56"/>
  <c r="B21" i="56"/>
  <c r="A21" i="56"/>
  <c r="G20" i="56"/>
  <c r="F20" i="56"/>
  <c r="E20" i="56"/>
  <c r="D20" i="56"/>
  <c r="C20" i="56"/>
  <c r="B20" i="56"/>
  <c r="A20" i="56"/>
  <c r="G19" i="56"/>
  <c r="F19" i="56"/>
  <c r="E19" i="56"/>
  <c r="D19" i="56"/>
  <c r="C19" i="56"/>
  <c r="B19" i="56"/>
  <c r="A19" i="56"/>
  <c r="G18" i="56"/>
  <c r="F18" i="56"/>
  <c r="E18" i="56"/>
  <c r="D18" i="56"/>
  <c r="C18" i="56"/>
  <c r="B18" i="56"/>
  <c r="A18" i="56"/>
  <c r="G17" i="56"/>
  <c r="F17" i="56"/>
  <c r="E17" i="56"/>
  <c r="D17" i="56"/>
  <c r="C17" i="56"/>
  <c r="B17" i="56"/>
  <c r="A17" i="56"/>
  <c r="G16" i="56"/>
  <c r="F16" i="56"/>
  <c r="E16" i="56"/>
  <c r="D16" i="56"/>
  <c r="C16" i="56"/>
  <c r="B16" i="56"/>
  <c r="A16" i="56"/>
  <c r="G15" i="56"/>
  <c r="F15" i="56"/>
  <c r="E15" i="56"/>
  <c r="D15" i="56"/>
  <c r="C15" i="56"/>
  <c r="B15" i="56"/>
  <c r="A15" i="56"/>
  <c r="G14" i="56"/>
  <c r="F14" i="56"/>
  <c r="E14" i="56"/>
  <c r="D14" i="56"/>
  <c r="C14" i="56"/>
  <c r="B14" i="56"/>
  <c r="A14" i="56"/>
  <c r="G13" i="56"/>
  <c r="F13" i="56"/>
  <c r="E13" i="56"/>
  <c r="D13" i="56"/>
  <c r="C13" i="56"/>
  <c r="B13" i="56"/>
  <c r="A13" i="56"/>
  <c r="G12" i="56"/>
  <c r="F12" i="56"/>
  <c r="E12" i="56"/>
  <c r="D12" i="56"/>
  <c r="C12" i="56"/>
  <c r="B12" i="56"/>
  <c r="A12" i="56"/>
  <c r="G11" i="56"/>
  <c r="F11" i="56"/>
  <c r="E11" i="56"/>
  <c r="D11" i="56"/>
  <c r="C11" i="56"/>
  <c r="B11" i="56"/>
  <c r="A11" i="56"/>
  <c r="G10" i="56"/>
  <c r="F10" i="56"/>
  <c r="E10" i="56"/>
  <c r="D10" i="56"/>
  <c r="C10" i="56"/>
  <c r="B10" i="56"/>
  <c r="A10" i="56"/>
  <c r="G9" i="56"/>
  <c r="F9" i="56"/>
  <c r="E9" i="56"/>
  <c r="D9" i="56"/>
  <c r="C9" i="56"/>
  <c r="B9" i="56"/>
  <c r="A9" i="56"/>
  <c r="G8" i="56"/>
  <c r="F8" i="56"/>
  <c r="E8" i="56"/>
  <c r="D8" i="56"/>
  <c r="C8" i="56"/>
  <c r="B8" i="56"/>
  <c r="A8" i="56"/>
  <c r="G7" i="56"/>
  <c r="F7" i="56"/>
  <c r="E7" i="56"/>
  <c r="D7" i="56"/>
  <c r="C7" i="56"/>
  <c r="B7" i="56"/>
  <c r="A7" i="56"/>
  <c r="G6" i="56"/>
  <c r="F6" i="56"/>
  <c r="E6" i="56"/>
  <c r="D6" i="56"/>
  <c r="C6" i="56"/>
  <c r="B6" i="56"/>
  <c r="A6" i="56"/>
  <c r="G5" i="56"/>
  <c r="F5" i="56"/>
  <c r="E5" i="56"/>
  <c r="D5" i="56"/>
  <c r="C5" i="56"/>
  <c r="B5" i="56"/>
  <c r="A5" i="56"/>
  <c r="G4" i="56"/>
  <c r="F4" i="56"/>
  <c r="E4" i="56"/>
  <c r="D4" i="56"/>
  <c r="C4" i="56"/>
  <c r="B4" i="56"/>
  <c r="A4" i="56"/>
  <c r="G3" i="56"/>
  <c r="F3" i="56"/>
  <c r="E3" i="56"/>
  <c r="D3" i="56"/>
  <c r="C3" i="56"/>
  <c r="B3" i="56"/>
  <c r="A3" i="56"/>
  <c r="G2" i="56"/>
  <c r="F2" i="56"/>
  <c r="E2" i="56"/>
  <c r="D2" i="56"/>
  <c r="C2" i="56"/>
  <c r="B2" i="56"/>
  <c r="A2" i="56"/>
  <c r="G1" i="56"/>
  <c r="F1" i="56"/>
  <c r="E1" i="56"/>
  <c r="D1" i="56"/>
  <c r="C1" i="56"/>
  <c r="B1" i="56"/>
  <c r="A1" i="56"/>
  <c r="G290" i="55"/>
  <c r="F290" i="55"/>
  <c r="E290" i="55"/>
  <c r="D290" i="55"/>
  <c r="C290" i="55"/>
  <c r="B290" i="55"/>
  <c r="A290" i="55"/>
  <c r="G289" i="55"/>
  <c r="F289" i="55"/>
  <c r="E289" i="55"/>
  <c r="D289" i="55"/>
  <c r="C289" i="55"/>
  <c r="B289" i="55"/>
  <c r="A289" i="55"/>
  <c r="G288" i="55"/>
  <c r="F288" i="55"/>
  <c r="E288" i="55"/>
  <c r="D288" i="55"/>
  <c r="C288" i="55"/>
  <c r="B288" i="55"/>
  <c r="A288" i="55"/>
  <c r="G287" i="55"/>
  <c r="F287" i="55"/>
  <c r="E287" i="55"/>
  <c r="D287" i="55"/>
  <c r="C287" i="55"/>
  <c r="B287" i="55"/>
  <c r="A287" i="55"/>
  <c r="G286" i="55"/>
  <c r="F286" i="55"/>
  <c r="E286" i="55"/>
  <c r="D286" i="55"/>
  <c r="C286" i="55"/>
  <c r="B286" i="55"/>
  <c r="A286" i="55"/>
  <c r="G285" i="55"/>
  <c r="F285" i="55"/>
  <c r="E285" i="55"/>
  <c r="D285" i="55"/>
  <c r="C285" i="55"/>
  <c r="B285" i="55"/>
  <c r="A285" i="55"/>
  <c r="G284" i="55"/>
  <c r="F284" i="55"/>
  <c r="E284" i="55"/>
  <c r="D284" i="55"/>
  <c r="C284" i="55"/>
  <c r="B284" i="55"/>
  <c r="A284" i="55"/>
  <c r="G283" i="55"/>
  <c r="F283" i="55"/>
  <c r="E283" i="55"/>
  <c r="D283" i="55"/>
  <c r="C283" i="55"/>
  <c r="B283" i="55"/>
  <c r="A283" i="55"/>
  <c r="G282" i="55"/>
  <c r="F282" i="55"/>
  <c r="E282" i="55"/>
  <c r="D282" i="55"/>
  <c r="C282" i="55"/>
  <c r="B282" i="55"/>
  <c r="A282" i="55"/>
  <c r="G281" i="55"/>
  <c r="F281" i="55"/>
  <c r="E281" i="55"/>
  <c r="D281" i="55"/>
  <c r="C281" i="55"/>
  <c r="B281" i="55"/>
  <c r="A281" i="55"/>
  <c r="G280" i="55"/>
  <c r="F280" i="55"/>
  <c r="E280" i="55"/>
  <c r="D280" i="55"/>
  <c r="C280" i="55"/>
  <c r="B280" i="55"/>
  <c r="A280" i="55"/>
  <c r="G279" i="55"/>
  <c r="F279" i="55"/>
  <c r="E279" i="55"/>
  <c r="D279" i="55"/>
  <c r="C279" i="55"/>
  <c r="B279" i="55"/>
  <c r="A279" i="55"/>
  <c r="G278" i="55"/>
  <c r="F278" i="55"/>
  <c r="E278" i="55"/>
  <c r="D278" i="55"/>
  <c r="C278" i="55"/>
  <c r="B278" i="55"/>
  <c r="A278" i="55"/>
  <c r="G277" i="55"/>
  <c r="F277" i="55"/>
  <c r="E277" i="55"/>
  <c r="D277" i="55"/>
  <c r="C277" i="55"/>
  <c r="B277" i="55"/>
  <c r="A277" i="55"/>
  <c r="G276" i="55"/>
  <c r="F276" i="55"/>
  <c r="E276" i="55"/>
  <c r="D276" i="55"/>
  <c r="C276" i="55"/>
  <c r="B276" i="55"/>
  <c r="A276" i="55"/>
  <c r="G275" i="55"/>
  <c r="F275" i="55"/>
  <c r="E275" i="55"/>
  <c r="D275" i="55"/>
  <c r="C275" i="55"/>
  <c r="B275" i="55"/>
  <c r="A275" i="55"/>
  <c r="G274" i="55"/>
  <c r="F274" i="55"/>
  <c r="E274" i="55"/>
  <c r="D274" i="55"/>
  <c r="C274" i="55"/>
  <c r="B274" i="55"/>
  <c r="A274" i="55"/>
  <c r="G273" i="55"/>
  <c r="F273" i="55"/>
  <c r="E273" i="55"/>
  <c r="D273" i="55"/>
  <c r="C273" i="55"/>
  <c r="B273" i="55"/>
  <c r="A273" i="55"/>
  <c r="G272" i="55"/>
  <c r="F272" i="55"/>
  <c r="E272" i="55"/>
  <c r="D272" i="55"/>
  <c r="C272" i="55"/>
  <c r="B272" i="55"/>
  <c r="A272" i="55"/>
  <c r="G271" i="55"/>
  <c r="F271" i="55"/>
  <c r="E271" i="55"/>
  <c r="D271" i="55"/>
  <c r="C271" i="55"/>
  <c r="B271" i="55"/>
  <c r="A271" i="55"/>
  <c r="G270" i="55"/>
  <c r="F270" i="55"/>
  <c r="E270" i="55"/>
  <c r="D270" i="55"/>
  <c r="C270" i="55"/>
  <c r="B270" i="55"/>
  <c r="A270" i="55"/>
  <c r="G269" i="55"/>
  <c r="F269" i="55"/>
  <c r="E269" i="55"/>
  <c r="D269" i="55"/>
  <c r="C269" i="55"/>
  <c r="B269" i="55"/>
  <c r="A269" i="55"/>
  <c r="G268" i="55"/>
  <c r="F268" i="55"/>
  <c r="E268" i="55"/>
  <c r="D268" i="55"/>
  <c r="C268" i="55"/>
  <c r="B268" i="55"/>
  <c r="A268" i="55"/>
  <c r="G267" i="55"/>
  <c r="F267" i="55"/>
  <c r="E267" i="55"/>
  <c r="D267" i="55"/>
  <c r="C267" i="55"/>
  <c r="B267" i="55"/>
  <c r="A267" i="55"/>
  <c r="G266" i="55"/>
  <c r="F266" i="55"/>
  <c r="E266" i="55"/>
  <c r="D266" i="55"/>
  <c r="C266" i="55"/>
  <c r="B266" i="55"/>
  <c r="A266" i="55"/>
  <c r="G265" i="55"/>
  <c r="F265" i="55"/>
  <c r="E265" i="55"/>
  <c r="D265" i="55"/>
  <c r="C265" i="55"/>
  <c r="B265" i="55"/>
  <c r="A265" i="55"/>
  <c r="G264" i="55"/>
  <c r="F264" i="55"/>
  <c r="E264" i="55"/>
  <c r="D264" i="55"/>
  <c r="C264" i="55"/>
  <c r="B264" i="55"/>
  <c r="A264" i="55"/>
  <c r="G263" i="55"/>
  <c r="F263" i="55"/>
  <c r="E263" i="55"/>
  <c r="D263" i="55"/>
  <c r="C263" i="55"/>
  <c r="B263" i="55"/>
  <c r="A263" i="55"/>
  <c r="G262" i="55"/>
  <c r="F262" i="55"/>
  <c r="E262" i="55"/>
  <c r="D262" i="55"/>
  <c r="C262" i="55"/>
  <c r="B262" i="55"/>
  <c r="A262" i="55"/>
  <c r="G261" i="55"/>
  <c r="F261" i="55"/>
  <c r="E261" i="55"/>
  <c r="D261" i="55"/>
  <c r="C261" i="55"/>
  <c r="B261" i="55"/>
  <c r="A261" i="55"/>
  <c r="G260" i="55"/>
  <c r="F260" i="55"/>
  <c r="E260" i="55"/>
  <c r="D260" i="55"/>
  <c r="C260" i="55"/>
  <c r="B260" i="55"/>
  <c r="A260" i="55"/>
  <c r="G259" i="55"/>
  <c r="F259" i="55"/>
  <c r="E259" i="55"/>
  <c r="D259" i="55"/>
  <c r="C259" i="55"/>
  <c r="B259" i="55"/>
  <c r="A259" i="55"/>
  <c r="G258" i="55"/>
  <c r="F258" i="55"/>
  <c r="E258" i="55"/>
  <c r="D258" i="55"/>
  <c r="C258" i="55"/>
  <c r="B258" i="55"/>
  <c r="A258" i="55"/>
  <c r="G257" i="55"/>
  <c r="F257" i="55"/>
  <c r="E257" i="55"/>
  <c r="D257" i="55"/>
  <c r="C257" i="55"/>
  <c r="B257" i="55"/>
  <c r="A257" i="55"/>
  <c r="G256" i="55"/>
  <c r="F256" i="55"/>
  <c r="E256" i="55"/>
  <c r="D256" i="55"/>
  <c r="C256" i="55"/>
  <c r="B256" i="55"/>
  <c r="A256" i="55"/>
  <c r="G255" i="55"/>
  <c r="F255" i="55"/>
  <c r="E255" i="55"/>
  <c r="D255" i="55"/>
  <c r="C255" i="55"/>
  <c r="B255" i="55"/>
  <c r="A255" i="55"/>
  <c r="G254" i="55"/>
  <c r="F254" i="55"/>
  <c r="E254" i="55"/>
  <c r="D254" i="55"/>
  <c r="C254" i="55"/>
  <c r="B254" i="55"/>
  <c r="A254" i="55"/>
  <c r="G253" i="55"/>
  <c r="F253" i="55"/>
  <c r="E253" i="55"/>
  <c r="D253" i="55"/>
  <c r="C253" i="55"/>
  <c r="B253" i="55"/>
  <c r="A253" i="55"/>
  <c r="G252" i="55"/>
  <c r="F252" i="55"/>
  <c r="E252" i="55"/>
  <c r="D252" i="55"/>
  <c r="C252" i="55"/>
  <c r="B252" i="55"/>
  <c r="A252" i="55"/>
  <c r="G251" i="55"/>
  <c r="F251" i="55"/>
  <c r="E251" i="55"/>
  <c r="D251" i="55"/>
  <c r="C251" i="55"/>
  <c r="B251" i="55"/>
  <c r="A251" i="55"/>
  <c r="G250" i="55"/>
  <c r="F250" i="55"/>
  <c r="E250" i="55"/>
  <c r="D250" i="55"/>
  <c r="C250" i="55"/>
  <c r="B250" i="55"/>
  <c r="A250" i="55"/>
  <c r="G249" i="55"/>
  <c r="F249" i="55"/>
  <c r="E249" i="55"/>
  <c r="D249" i="55"/>
  <c r="C249" i="55"/>
  <c r="B249" i="55"/>
  <c r="A249" i="55"/>
  <c r="G248" i="55"/>
  <c r="F248" i="55"/>
  <c r="E248" i="55"/>
  <c r="D248" i="55"/>
  <c r="C248" i="55"/>
  <c r="B248" i="55"/>
  <c r="A248" i="55"/>
  <c r="G247" i="55"/>
  <c r="F247" i="55"/>
  <c r="E247" i="55"/>
  <c r="D247" i="55"/>
  <c r="C247" i="55"/>
  <c r="B247" i="55"/>
  <c r="A247" i="55"/>
  <c r="G246" i="55"/>
  <c r="F246" i="55"/>
  <c r="E246" i="55"/>
  <c r="D246" i="55"/>
  <c r="C246" i="55"/>
  <c r="B246" i="55"/>
  <c r="A246" i="55"/>
  <c r="G245" i="55"/>
  <c r="F245" i="55"/>
  <c r="E245" i="55"/>
  <c r="D245" i="55"/>
  <c r="C245" i="55"/>
  <c r="B245" i="55"/>
  <c r="A245" i="55"/>
  <c r="G244" i="55"/>
  <c r="F244" i="55"/>
  <c r="E244" i="55"/>
  <c r="D244" i="55"/>
  <c r="C244" i="55"/>
  <c r="B244" i="55"/>
  <c r="A244" i="55"/>
  <c r="G243" i="55"/>
  <c r="F243" i="55"/>
  <c r="E243" i="55"/>
  <c r="D243" i="55"/>
  <c r="C243" i="55"/>
  <c r="B243" i="55"/>
  <c r="A243" i="55"/>
  <c r="G242" i="55"/>
  <c r="F242" i="55"/>
  <c r="E242" i="55"/>
  <c r="D242" i="55"/>
  <c r="C242" i="55"/>
  <c r="B242" i="55"/>
  <c r="A242" i="55"/>
  <c r="G241" i="55"/>
  <c r="F241" i="55"/>
  <c r="E241" i="55"/>
  <c r="D241" i="55"/>
  <c r="C241" i="55"/>
  <c r="B241" i="55"/>
  <c r="A241" i="55"/>
  <c r="G240" i="55"/>
  <c r="F240" i="55"/>
  <c r="E240" i="55"/>
  <c r="D240" i="55"/>
  <c r="C240" i="55"/>
  <c r="B240" i="55"/>
  <c r="A240" i="55"/>
  <c r="G239" i="55"/>
  <c r="F239" i="55"/>
  <c r="E239" i="55"/>
  <c r="D239" i="55"/>
  <c r="C239" i="55"/>
  <c r="B239" i="55"/>
  <c r="A239" i="55"/>
  <c r="G238" i="55"/>
  <c r="F238" i="55"/>
  <c r="E238" i="55"/>
  <c r="D238" i="55"/>
  <c r="C238" i="55"/>
  <c r="B238" i="55"/>
  <c r="A238" i="55"/>
  <c r="G237" i="55"/>
  <c r="F237" i="55"/>
  <c r="E237" i="55"/>
  <c r="D237" i="55"/>
  <c r="C237" i="55"/>
  <c r="B237" i="55"/>
  <c r="A237" i="55"/>
  <c r="G236" i="55"/>
  <c r="F236" i="55"/>
  <c r="E236" i="55"/>
  <c r="D236" i="55"/>
  <c r="C236" i="55"/>
  <c r="B236" i="55"/>
  <c r="A236" i="55"/>
  <c r="G235" i="55"/>
  <c r="F235" i="55"/>
  <c r="E235" i="55"/>
  <c r="D235" i="55"/>
  <c r="C235" i="55"/>
  <c r="B235" i="55"/>
  <c r="A235" i="55"/>
  <c r="G234" i="55"/>
  <c r="F234" i="55"/>
  <c r="E234" i="55"/>
  <c r="D234" i="55"/>
  <c r="C234" i="55"/>
  <c r="B234" i="55"/>
  <c r="A234" i="55"/>
  <c r="G233" i="55"/>
  <c r="F233" i="55"/>
  <c r="E233" i="55"/>
  <c r="D233" i="55"/>
  <c r="C233" i="55"/>
  <c r="B233" i="55"/>
  <c r="A233" i="55"/>
  <c r="G232" i="55"/>
  <c r="F232" i="55"/>
  <c r="E232" i="55"/>
  <c r="D232" i="55"/>
  <c r="C232" i="55"/>
  <c r="B232" i="55"/>
  <c r="A232" i="55"/>
  <c r="G231" i="55"/>
  <c r="F231" i="55"/>
  <c r="E231" i="55"/>
  <c r="D231" i="55"/>
  <c r="C231" i="55"/>
  <c r="B231" i="55"/>
  <c r="A231" i="55"/>
  <c r="G230" i="55"/>
  <c r="F230" i="55"/>
  <c r="E230" i="55"/>
  <c r="D230" i="55"/>
  <c r="C230" i="55"/>
  <c r="B230" i="55"/>
  <c r="A230" i="55"/>
  <c r="G229" i="55"/>
  <c r="F229" i="55"/>
  <c r="E229" i="55"/>
  <c r="D229" i="55"/>
  <c r="C229" i="55"/>
  <c r="B229" i="55"/>
  <c r="A229" i="55"/>
  <c r="G228" i="55"/>
  <c r="F228" i="55"/>
  <c r="E228" i="55"/>
  <c r="D228" i="55"/>
  <c r="C228" i="55"/>
  <c r="B228" i="55"/>
  <c r="A228" i="55"/>
  <c r="G227" i="55"/>
  <c r="F227" i="55"/>
  <c r="E227" i="55"/>
  <c r="D227" i="55"/>
  <c r="C227" i="55"/>
  <c r="B227" i="55"/>
  <c r="A227" i="55"/>
  <c r="G226" i="55"/>
  <c r="F226" i="55"/>
  <c r="E226" i="55"/>
  <c r="D226" i="55"/>
  <c r="C226" i="55"/>
  <c r="B226" i="55"/>
  <c r="A226" i="55"/>
  <c r="G225" i="55"/>
  <c r="F225" i="55"/>
  <c r="E225" i="55"/>
  <c r="D225" i="55"/>
  <c r="C225" i="55"/>
  <c r="B225" i="55"/>
  <c r="A225" i="55"/>
  <c r="G224" i="55"/>
  <c r="F224" i="55"/>
  <c r="E224" i="55"/>
  <c r="D224" i="55"/>
  <c r="C224" i="55"/>
  <c r="B224" i="55"/>
  <c r="A224" i="55"/>
  <c r="G223" i="55"/>
  <c r="F223" i="55"/>
  <c r="E223" i="55"/>
  <c r="D223" i="55"/>
  <c r="C223" i="55"/>
  <c r="B223" i="55"/>
  <c r="A223" i="55"/>
  <c r="G222" i="55"/>
  <c r="F222" i="55"/>
  <c r="E222" i="55"/>
  <c r="D222" i="55"/>
  <c r="C222" i="55"/>
  <c r="B222" i="55"/>
  <c r="A222" i="55"/>
  <c r="G221" i="55"/>
  <c r="F221" i="55"/>
  <c r="E221" i="55"/>
  <c r="D221" i="55"/>
  <c r="C221" i="55"/>
  <c r="B221" i="55"/>
  <c r="A221" i="55"/>
  <c r="G220" i="55"/>
  <c r="F220" i="55"/>
  <c r="E220" i="55"/>
  <c r="D220" i="55"/>
  <c r="C220" i="55"/>
  <c r="B220" i="55"/>
  <c r="A220" i="55"/>
  <c r="G219" i="55"/>
  <c r="F219" i="55"/>
  <c r="E219" i="55"/>
  <c r="D219" i="55"/>
  <c r="C219" i="55"/>
  <c r="B219" i="55"/>
  <c r="A219" i="55"/>
  <c r="G218" i="55"/>
  <c r="F218" i="55"/>
  <c r="E218" i="55"/>
  <c r="D218" i="55"/>
  <c r="C218" i="55"/>
  <c r="B218" i="55"/>
  <c r="A218" i="55"/>
  <c r="G217" i="55"/>
  <c r="F217" i="55"/>
  <c r="E217" i="55"/>
  <c r="D217" i="55"/>
  <c r="C217" i="55"/>
  <c r="B217" i="55"/>
  <c r="A217" i="55"/>
  <c r="G216" i="55"/>
  <c r="F216" i="55"/>
  <c r="E216" i="55"/>
  <c r="D216" i="55"/>
  <c r="C216" i="55"/>
  <c r="B216" i="55"/>
  <c r="A216" i="55"/>
  <c r="G215" i="55"/>
  <c r="F215" i="55"/>
  <c r="E215" i="55"/>
  <c r="D215" i="55"/>
  <c r="C215" i="55"/>
  <c r="B215" i="55"/>
  <c r="A215" i="55"/>
  <c r="G214" i="55"/>
  <c r="F214" i="55"/>
  <c r="E214" i="55"/>
  <c r="D214" i="55"/>
  <c r="C214" i="55"/>
  <c r="B214" i="55"/>
  <c r="A214" i="55"/>
  <c r="G213" i="55"/>
  <c r="F213" i="55"/>
  <c r="E213" i="55"/>
  <c r="D213" i="55"/>
  <c r="C213" i="55"/>
  <c r="B213" i="55"/>
  <c r="A213" i="55"/>
  <c r="G212" i="55"/>
  <c r="F212" i="55"/>
  <c r="E212" i="55"/>
  <c r="D212" i="55"/>
  <c r="C212" i="55"/>
  <c r="B212" i="55"/>
  <c r="A212" i="55"/>
  <c r="G211" i="55"/>
  <c r="F211" i="55"/>
  <c r="E211" i="55"/>
  <c r="D211" i="55"/>
  <c r="C211" i="55"/>
  <c r="B211" i="55"/>
  <c r="A211" i="55"/>
  <c r="G210" i="55"/>
  <c r="F210" i="55"/>
  <c r="E210" i="55"/>
  <c r="D210" i="55"/>
  <c r="C210" i="55"/>
  <c r="B210" i="55"/>
  <c r="A210" i="55"/>
  <c r="G209" i="55"/>
  <c r="F209" i="55"/>
  <c r="E209" i="55"/>
  <c r="D209" i="55"/>
  <c r="C209" i="55"/>
  <c r="B209" i="55"/>
  <c r="A209" i="55"/>
  <c r="G208" i="55"/>
  <c r="F208" i="55"/>
  <c r="E208" i="55"/>
  <c r="D208" i="55"/>
  <c r="C208" i="55"/>
  <c r="B208" i="55"/>
  <c r="A208" i="55"/>
  <c r="G207" i="55"/>
  <c r="F207" i="55"/>
  <c r="E207" i="55"/>
  <c r="D207" i="55"/>
  <c r="C207" i="55"/>
  <c r="B207" i="55"/>
  <c r="A207" i="55"/>
  <c r="G206" i="55"/>
  <c r="F206" i="55"/>
  <c r="E206" i="55"/>
  <c r="D206" i="55"/>
  <c r="C206" i="55"/>
  <c r="B206" i="55"/>
  <c r="A206" i="55"/>
  <c r="G205" i="55"/>
  <c r="F205" i="55"/>
  <c r="E205" i="55"/>
  <c r="D205" i="55"/>
  <c r="C205" i="55"/>
  <c r="B205" i="55"/>
  <c r="A205" i="55"/>
  <c r="G204" i="55"/>
  <c r="F204" i="55"/>
  <c r="E204" i="55"/>
  <c r="D204" i="55"/>
  <c r="C204" i="55"/>
  <c r="B204" i="55"/>
  <c r="A204" i="55"/>
  <c r="G203" i="55"/>
  <c r="F203" i="55"/>
  <c r="E203" i="55"/>
  <c r="D203" i="55"/>
  <c r="C203" i="55"/>
  <c r="B203" i="55"/>
  <c r="A203" i="55"/>
  <c r="G202" i="55"/>
  <c r="F202" i="55"/>
  <c r="E202" i="55"/>
  <c r="D202" i="55"/>
  <c r="C202" i="55"/>
  <c r="B202" i="55"/>
  <c r="A202" i="55"/>
  <c r="G201" i="55"/>
  <c r="F201" i="55"/>
  <c r="E201" i="55"/>
  <c r="D201" i="55"/>
  <c r="C201" i="55"/>
  <c r="B201" i="55"/>
  <c r="A201" i="55"/>
  <c r="G200" i="55"/>
  <c r="F200" i="55"/>
  <c r="E200" i="55"/>
  <c r="D200" i="55"/>
  <c r="C200" i="55"/>
  <c r="B200" i="55"/>
  <c r="A200" i="55"/>
  <c r="G199" i="55"/>
  <c r="F199" i="55"/>
  <c r="E199" i="55"/>
  <c r="D199" i="55"/>
  <c r="C199" i="55"/>
  <c r="B199" i="55"/>
  <c r="A199" i="55"/>
  <c r="G198" i="55"/>
  <c r="F198" i="55"/>
  <c r="E198" i="55"/>
  <c r="D198" i="55"/>
  <c r="C198" i="55"/>
  <c r="B198" i="55"/>
  <c r="A198" i="55"/>
  <c r="G197" i="55"/>
  <c r="F197" i="55"/>
  <c r="E197" i="55"/>
  <c r="D197" i="55"/>
  <c r="C197" i="55"/>
  <c r="B197" i="55"/>
  <c r="A197" i="55"/>
  <c r="G196" i="55"/>
  <c r="F196" i="55"/>
  <c r="E196" i="55"/>
  <c r="D196" i="55"/>
  <c r="C196" i="55"/>
  <c r="B196" i="55"/>
  <c r="A196" i="55"/>
  <c r="G195" i="55"/>
  <c r="F195" i="55"/>
  <c r="E195" i="55"/>
  <c r="D195" i="55"/>
  <c r="C195" i="55"/>
  <c r="B195" i="55"/>
  <c r="A195" i="55"/>
  <c r="G194" i="55"/>
  <c r="F194" i="55"/>
  <c r="E194" i="55"/>
  <c r="D194" i="55"/>
  <c r="C194" i="55"/>
  <c r="B194" i="55"/>
  <c r="A194" i="55"/>
  <c r="G193" i="55"/>
  <c r="F193" i="55"/>
  <c r="E193" i="55"/>
  <c r="D193" i="55"/>
  <c r="C193" i="55"/>
  <c r="B193" i="55"/>
  <c r="A193" i="55"/>
  <c r="G192" i="55"/>
  <c r="F192" i="55"/>
  <c r="E192" i="55"/>
  <c r="D192" i="55"/>
  <c r="C192" i="55"/>
  <c r="B192" i="55"/>
  <c r="A192" i="55"/>
  <c r="G191" i="55"/>
  <c r="F191" i="55"/>
  <c r="E191" i="55"/>
  <c r="D191" i="55"/>
  <c r="C191" i="55"/>
  <c r="B191" i="55"/>
  <c r="A191" i="55"/>
  <c r="G190" i="55"/>
  <c r="F190" i="55"/>
  <c r="E190" i="55"/>
  <c r="D190" i="55"/>
  <c r="C190" i="55"/>
  <c r="B190" i="55"/>
  <c r="A190" i="55"/>
  <c r="G189" i="55"/>
  <c r="F189" i="55"/>
  <c r="E189" i="55"/>
  <c r="D189" i="55"/>
  <c r="C189" i="55"/>
  <c r="B189" i="55"/>
  <c r="A189" i="55"/>
  <c r="G188" i="55"/>
  <c r="F188" i="55"/>
  <c r="E188" i="55"/>
  <c r="D188" i="55"/>
  <c r="C188" i="55"/>
  <c r="B188" i="55"/>
  <c r="A188" i="55"/>
  <c r="G187" i="55"/>
  <c r="F187" i="55"/>
  <c r="E187" i="55"/>
  <c r="D187" i="55"/>
  <c r="C187" i="55"/>
  <c r="B187" i="55"/>
  <c r="A187" i="55"/>
  <c r="G186" i="55"/>
  <c r="F186" i="55"/>
  <c r="E186" i="55"/>
  <c r="D186" i="55"/>
  <c r="C186" i="55"/>
  <c r="B186" i="55"/>
  <c r="A186" i="55"/>
  <c r="G185" i="55"/>
  <c r="F185" i="55"/>
  <c r="E185" i="55"/>
  <c r="D185" i="55"/>
  <c r="C185" i="55"/>
  <c r="B185" i="55"/>
  <c r="A185" i="55"/>
  <c r="G184" i="55"/>
  <c r="F184" i="55"/>
  <c r="E184" i="55"/>
  <c r="D184" i="55"/>
  <c r="C184" i="55"/>
  <c r="B184" i="55"/>
  <c r="A184" i="55"/>
  <c r="G183" i="55"/>
  <c r="F183" i="55"/>
  <c r="E183" i="55"/>
  <c r="D183" i="55"/>
  <c r="C183" i="55"/>
  <c r="B183" i="55"/>
  <c r="A183" i="55"/>
  <c r="G182" i="55"/>
  <c r="F182" i="55"/>
  <c r="E182" i="55"/>
  <c r="D182" i="55"/>
  <c r="C182" i="55"/>
  <c r="B182" i="55"/>
  <c r="A182" i="55"/>
  <c r="G181" i="55"/>
  <c r="F181" i="55"/>
  <c r="E181" i="55"/>
  <c r="D181" i="55"/>
  <c r="C181" i="55"/>
  <c r="B181" i="55"/>
  <c r="A181" i="55"/>
  <c r="G180" i="55"/>
  <c r="F180" i="55"/>
  <c r="E180" i="55"/>
  <c r="D180" i="55"/>
  <c r="C180" i="55"/>
  <c r="B180" i="55"/>
  <c r="A180" i="55"/>
  <c r="G179" i="55"/>
  <c r="F179" i="55"/>
  <c r="E179" i="55"/>
  <c r="D179" i="55"/>
  <c r="C179" i="55"/>
  <c r="B179" i="55"/>
  <c r="A179" i="55"/>
  <c r="G178" i="55"/>
  <c r="F178" i="55"/>
  <c r="E178" i="55"/>
  <c r="D178" i="55"/>
  <c r="C178" i="55"/>
  <c r="B178" i="55"/>
  <c r="A178" i="55"/>
  <c r="G177" i="55"/>
  <c r="F177" i="55"/>
  <c r="E177" i="55"/>
  <c r="D177" i="55"/>
  <c r="C177" i="55"/>
  <c r="B177" i="55"/>
  <c r="A177" i="55"/>
  <c r="G176" i="55"/>
  <c r="F176" i="55"/>
  <c r="E176" i="55"/>
  <c r="D176" i="55"/>
  <c r="C176" i="55"/>
  <c r="B176" i="55"/>
  <c r="A176" i="55"/>
  <c r="G175" i="55"/>
  <c r="F175" i="55"/>
  <c r="E175" i="55"/>
  <c r="D175" i="55"/>
  <c r="C175" i="55"/>
  <c r="B175" i="55"/>
  <c r="A175" i="55"/>
  <c r="G174" i="55"/>
  <c r="F174" i="55"/>
  <c r="E174" i="55"/>
  <c r="D174" i="55"/>
  <c r="C174" i="55"/>
  <c r="B174" i="55"/>
  <c r="A174" i="55"/>
  <c r="G173" i="55"/>
  <c r="F173" i="55"/>
  <c r="E173" i="55"/>
  <c r="D173" i="55"/>
  <c r="C173" i="55"/>
  <c r="B173" i="55"/>
  <c r="A173" i="55"/>
  <c r="G172" i="55"/>
  <c r="F172" i="55"/>
  <c r="E172" i="55"/>
  <c r="D172" i="55"/>
  <c r="C172" i="55"/>
  <c r="B172" i="55"/>
  <c r="A172" i="55"/>
  <c r="G171" i="55"/>
  <c r="F171" i="55"/>
  <c r="E171" i="55"/>
  <c r="D171" i="55"/>
  <c r="C171" i="55"/>
  <c r="B171" i="55"/>
  <c r="A171" i="55"/>
  <c r="G170" i="55"/>
  <c r="F170" i="55"/>
  <c r="E170" i="55"/>
  <c r="D170" i="55"/>
  <c r="C170" i="55"/>
  <c r="B170" i="55"/>
  <c r="A170" i="55"/>
  <c r="G169" i="55"/>
  <c r="F169" i="55"/>
  <c r="E169" i="55"/>
  <c r="D169" i="55"/>
  <c r="C169" i="55"/>
  <c r="B169" i="55"/>
  <c r="A169" i="55"/>
  <c r="G168" i="55"/>
  <c r="F168" i="55"/>
  <c r="E168" i="55"/>
  <c r="D168" i="55"/>
  <c r="C168" i="55"/>
  <c r="B168" i="55"/>
  <c r="A168" i="55"/>
  <c r="G167" i="55"/>
  <c r="F167" i="55"/>
  <c r="E167" i="55"/>
  <c r="D167" i="55"/>
  <c r="C167" i="55"/>
  <c r="B167" i="55"/>
  <c r="A167" i="55"/>
  <c r="G166" i="55"/>
  <c r="F166" i="55"/>
  <c r="E166" i="55"/>
  <c r="D166" i="55"/>
  <c r="C166" i="55"/>
  <c r="B166" i="55"/>
  <c r="A166" i="55"/>
  <c r="G165" i="55"/>
  <c r="F165" i="55"/>
  <c r="E165" i="55"/>
  <c r="D165" i="55"/>
  <c r="C165" i="55"/>
  <c r="B165" i="55"/>
  <c r="A165" i="55"/>
  <c r="G164" i="55"/>
  <c r="F164" i="55"/>
  <c r="E164" i="55"/>
  <c r="D164" i="55"/>
  <c r="C164" i="55"/>
  <c r="B164" i="55"/>
  <c r="A164" i="55"/>
  <c r="G163" i="55"/>
  <c r="F163" i="55"/>
  <c r="E163" i="55"/>
  <c r="D163" i="55"/>
  <c r="C163" i="55"/>
  <c r="B163" i="55"/>
  <c r="A163" i="55"/>
  <c r="G162" i="55"/>
  <c r="F162" i="55"/>
  <c r="E162" i="55"/>
  <c r="D162" i="55"/>
  <c r="C162" i="55"/>
  <c r="B162" i="55"/>
  <c r="A162" i="55"/>
  <c r="G161" i="55"/>
  <c r="F161" i="55"/>
  <c r="E161" i="55"/>
  <c r="D161" i="55"/>
  <c r="C161" i="55"/>
  <c r="B161" i="55"/>
  <c r="A161" i="55"/>
  <c r="G160" i="55"/>
  <c r="F160" i="55"/>
  <c r="E160" i="55"/>
  <c r="D160" i="55"/>
  <c r="C160" i="55"/>
  <c r="B160" i="55"/>
  <c r="A160" i="55"/>
  <c r="G159" i="55"/>
  <c r="F159" i="55"/>
  <c r="E159" i="55"/>
  <c r="D159" i="55"/>
  <c r="C159" i="55"/>
  <c r="B159" i="55"/>
  <c r="A159" i="55"/>
  <c r="G158" i="55"/>
  <c r="F158" i="55"/>
  <c r="E158" i="55"/>
  <c r="D158" i="55"/>
  <c r="C158" i="55"/>
  <c r="B158" i="55"/>
  <c r="A158" i="55"/>
  <c r="G157" i="55"/>
  <c r="F157" i="55"/>
  <c r="E157" i="55"/>
  <c r="D157" i="55"/>
  <c r="C157" i="55"/>
  <c r="B157" i="55"/>
  <c r="A157" i="55"/>
  <c r="G156" i="55"/>
  <c r="F156" i="55"/>
  <c r="E156" i="55"/>
  <c r="D156" i="55"/>
  <c r="C156" i="55"/>
  <c r="B156" i="55"/>
  <c r="A156" i="55"/>
  <c r="G155" i="55"/>
  <c r="F155" i="55"/>
  <c r="E155" i="55"/>
  <c r="D155" i="55"/>
  <c r="C155" i="55"/>
  <c r="B155" i="55"/>
  <c r="A155" i="55"/>
  <c r="G154" i="55"/>
  <c r="F154" i="55"/>
  <c r="E154" i="55"/>
  <c r="D154" i="55"/>
  <c r="C154" i="55"/>
  <c r="B154" i="55"/>
  <c r="A154" i="55"/>
  <c r="G153" i="55"/>
  <c r="F153" i="55"/>
  <c r="E153" i="55"/>
  <c r="D153" i="55"/>
  <c r="C153" i="55"/>
  <c r="B153" i="55"/>
  <c r="A153" i="55"/>
  <c r="G152" i="55"/>
  <c r="F152" i="55"/>
  <c r="E152" i="55"/>
  <c r="D152" i="55"/>
  <c r="C152" i="55"/>
  <c r="B152" i="55"/>
  <c r="A152" i="55"/>
  <c r="G151" i="55"/>
  <c r="F151" i="55"/>
  <c r="E151" i="55"/>
  <c r="D151" i="55"/>
  <c r="C151" i="55"/>
  <c r="B151" i="55"/>
  <c r="A151" i="55"/>
  <c r="G150" i="55"/>
  <c r="F150" i="55"/>
  <c r="E150" i="55"/>
  <c r="D150" i="55"/>
  <c r="C150" i="55"/>
  <c r="B150" i="55"/>
  <c r="A150" i="55"/>
  <c r="G149" i="55"/>
  <c r="F149" i="55"/>
  <c r="E149" i="55"/>
  <c r="D149" i="55"/>
  <c r="C149" i="55"/>
  <c r="B149" i="55"/>
  <c r="A149" i="55"/>
  <c r="G148" i="55"/>
  <c r="F148" i="55"/>
  <c r="E148" i="55"/>
  <c r="D148" i="55"/>
  <c r="C148" i="55"/>
  <c r="B148" i="55"/>
  <c r="A148" i="55"/>
  <c r="G147" i="55"/>
  <c r="F147" i="55"/>
  <c r="E147" i="55"/>
  <c r="D147" i="55"/>
  <c r="C147" i="55"/>
  <c r="B147" i="55"/>
  <c r="A147" i="55"/>
  <c r="G146" i="55"/>
  <c r="F146" i="55"/>
  <c r="E146" i="55"/>
  <c r="D146" i="55"/>
  <c r="C146" i="55"/>
  <c r="B146" i="55"/>
  <c r="A146" i="55"/>
  <c r="G145" i="55"/>
  <c r="F145" i="55"/>
  <c r="E145" i="55"/>
  <c r="D145" i="55"/>
  <c r="C145" i="55"/>
  <c r="B145" i="55"/>
  <c r="A145" i="55"/>
  <c r="G144" i="55"/>
  <c r="F144" i="55"/>
  <c r="E144" i="55"/>
  <c r="D144" i="55"/>
  <c r="C144" i="55"/>
  <c r="B144" i="55"/>
  <c r="A144" i="55"/>
  <c r="G143" i="55"/>
  <c r="F143" i="55"/>
  <c r="E143" i="55"/>
  <c r="D143" i="55"/>
  <c r="C143" i="55"/>
  <c r="B143" i="55"/>
  <c r="A143" i="55"/>
  <c r="G142" i="55"/>
  <c r="F142" i="55"/>
  <c r="E142" i="55"/>
  <c r="D142" i="55"/>
  <c r="C142" i="55"/>
  <c r="B142" i="55"/>
  <c r="A142" i="55"/>
  <c r="G141" i="55"/>
  <c r="F141" i="55"/>
  <c r="E141" i="55"/>
  <c r="D141" i="55"/>
  <c r="C141" i="55"/>
  <c r="B141" i="55"/>
  <c r="A141" i="55"/>
  <c r="G140" i="55"/>
  <c r="F140" i="55"/>
  <c r="E140" i="55"/>
  <c r="D140" i="55"/>
  <c r="C140" i="55"/>
  <c r="B140" i="55"/>
  <c r="A140" i="55"/>
  <c r="G139" i="55"/>
  <c r="F139" i="55"/>
  <c r="E139" i="55"/>
  <c r="D139" i="55"/>
  <c r="C139" i="55"/>
  <c r="B139" i="55"/>
  <c r="A139" i="55"/>
  <c r="G138" i="55"/>
  <c r="F138" i="55"/>
  <c r="E138" i="55"/>
  <c r="D138" i="55"/>
  <c r="C138" i="55"/>
  <c r="B138" i="55"/>
  <c r="A138" i="55"/>
  <c r="G137" i="55"/>
  <c r="F137" i="55"/>
  <c r="E137" i="55"/>
  <c r="D137" i="55"/>
  <c r="C137" i="55"/>
  <c r="B137" i="55"/>
  <c r="A137" i="55"/>
  <c r="G136" i="55"/>
  <c r="F136" i="55"/>
  <c r="E136" i="55"/>
  <c r="D136" i="55"/>
  <c r="C136" i="55"/>
  <c r="B136" i="55"/>
  <c r="A136" i="55"/>
  <c r="G135" i="55"/>
  <c r="F135" i="55"/>
  <c r="E135" i="55"/>
  <c r="D135" i="55"/>
  <c r="C135" i="55"/>
  <c r="B135" i="55"/>
  <c r="A135" i="55"/>
  <c r="G134" i="55"/>
  <c r="F134" i="55"/>
  <c r="E134" i="55"/>
  <c r="D134" i="55"/>
  <c r="C134" i="55"/>
  <c r="B134" i="55"/>
  <c r="A134" i="55"/>
  <c r="G133" i="55"/>
  <c r="F133" i="55"/>
  <c r="E133" i="55"/>
  <c r="D133" i="55"/>
  <c r="C133" i="55"/>
  <c r="B133" i="55"/>
  <c r="A133" i="55"/>
  <c r="G132" i="55"/>
  <c r="F132" i="55"/>
  <c r="E132" i="55"/>
  <c r="D132" i="55"/>
  <c r="C132" i="55"/>
  <c r="B132" i="55"/>
  <c r="A132" i="55"/>
  <c r="G131" i="55"/>
  <c r="F131" i="55"/>
  <c r="E131" i="55"/>
  <c r="D131" i="55"/>
  <c r="C131" i="55"/>
  <c r="B131" i="55"/>
  <c r="A131" i="55"/>
  <c r="G130" i="55"/>
  <c r="F130" i="55"/>
  <c r="E130" i="55"/>
  <c r="D130" i="55"/>
  <c r="C130" i="55"/>
  <c r="B130" i="55"/>
  <c r="A130" i="55"/>
  <c r="G129" i="55"/>
  <c r="F129" i="55"/>
  <c r="E129" i="55"/>
  <c r="D129" i="55"/>
  <c r="C129" i="55"/>
  <c r="B129" i="55"/>
  <c r="A129" i="55"/>
  <c r="G128" i="55"/>
  <c r="F128" i="55"/>
  <c r="E128" i="55"/>
  <c r="D128" i="55"/>
  <c r="C128" i="55"/>
  <c r="B128" i="55"/>
  <c r="A128" i="55"/>
  <c r="G127" i="55"/>
  <c r="F127" i="55"/>
  <c r="E127" i="55"/>
  <c r="D127" i="55"/>
  <c r="C127" i="55"/>
  <c r="B127" i="55"/>
  <c r="A127" i="55"/>
  <c r="G126" i="55"/>
  <c r="F126" i="55"/>
  <c r="E126" i="55"/>
  <c r="D126" i="55"/>
  <c r="C126" i="55"/>
  <c r="B126" i="55"/>
  <c r="A126" i="55"/>
  <c r="G125" i="55"/>
  <c r="F125" i="55"/>
  <c r="E125" i="55"/>
  <c r="D125" i="55"/>
  <c r="C125" i="55"/>
  <c r="B125" i="55"/>
  <c r="A125" i="55"/>
  <c r="G124" i="55"/>
  <c r="F124" i="55"/>
  <c r="E124" i="55"/>
  <c r="D124" i="55"/>
  <c r="C124" i="55"/>
  <c r="B124" i="55"/>
  <c r="A124" i="55"/>
  <c r="G123" i="55"/>
  <c r="F123" i="55"/>
  <c r="E123" i="55"/>
  <c r="D123" i="55"/>
  <c r="C123" i="55"/>
  <c r="B123" i="55"/>
  <c r="A123" i="55"/>
  <c r="G122" i="55"/>
  <c r="F122" i="55"/>
  <c r="E122" i="55"/>
  <c r="D122" i="55"/>
  <c r="C122" i="55"/>
  <c r="B122" i="55"/>
  <c r="A122" i="55"/>
  <c r="G121" i="55"/>
  <c r="F121" i="55"/>
  <c r="E121" i="55"/>
  <c r="D121" i="55"/>
  <c r="C121" i="55"/>
  <c r="B121" i="55"/>
  <c r="A121" i="55"/>
  <c r="G120" i="55"/>
  <c r="F120" i="55"/>
  <c r="E120" i="55"/>
  <c r="D120" i="55"/>
  <c r="C120" i="55"/>
  <c r="B120" i="55"/>
  <c r="A120" i="55"/>
  <c r="G119" i="55"/>
  <c r="F119" i="55"/>
  <c r="E119" i="55"/>
  <c r="D119" i="55"/>
  <c r="C119" i="55"/>
  <c r="B119" i="55"/>
  <c r="A119" i="55"/>
  <c r="G118" i="55"/>
  <c r="F118" i="55"/>
  <c r="E118" i="55"/>
  <c r="D118" i="55"/>
  <c r="C118" i="55"/>
  <c r="B118" i="55"/>
  <c r="A118" i="55"/>
  <c r="G117" i="55"/>
  <c r="F117" i="55"/>
  <c r="E117" i="55"/>
  <c r="D117" i="55"/>
  <c r="C117" i="55"/>
  <c r="B117" i="55"/>
  <c r="A117" i="55"/>
  <c r="G116" i="55"/>
  <c r="F116" i="55"/>
  <c r="E116" i="55"/>
  <c r="D116" i="55"/>
  <c r="C116" i="55"/>
  <c r="B116" i="55"/>
  <c r="A116" i="55"/>
  <c r="G115" i="55"/>
  <c r="F115" i="55"/>
  <c r="E115" i="55"/>
  <c r="D115" i="55"/>
  <c r="C115" i="55"/>
  <c r="B115" i="55"/>
  <c r="A115" i="55"/>
  <c r="G114" i="55"/>
  <c r="F114" i="55"/>
  <c r="E114" i="55"/>
  <c r="D114" i="55"/>
  <c r="C114" i="55"/>
  <c r="B114" i="55"/>
  <c r="A114" i="55"/>
  <c r="G113" i="55"/>
  <c r="F113" i="55"/>
  <c r="E113" i="55"/>
  <c r="D113" i="55"/>
  <c r="C113" i="55"/>
  <c r="B113" i="55"/>
  <c r="A113" i="55"/>
  <c r="G112" i="55"/>
  <c r="F112" i="55"/>
  <c r="E112" i="55"/>
  <c r="D112" i="55"/>
  <c r="C112" i="55"/>
  <c r="B112" i="55"/>
  <c r="A112" i="55"/>
  <c r="G111" i="55"/>
  <c r="F111" i="55"/>
  <c r="E111" i="55"/>
  <c r="D111" i="55"/>
  <c r="C111" i="55"/>
  <c r="B111" i="55"/>
  <c r="A111" i="55"/>
  <c r="G110" i="55"/>
  <c r="F110" i="55"/>
  <c r="E110" i="55"/>
  <c r="D110" i="55"/>
  <c r="C110" i="55"/>
  <c r="B110" i="55"/>
  <c r="A110" i="55"/>
  <c r="G109" i="55"/>
  <c r="F109" i="55"/>
  <c r="E109" i="55"/>
  <c r="D109" i="55"/>
  <c r="C109" i="55"/>
  <c r="B109" i="55"/>
  <c r="A109" i="55"/>
  <c r="G108" i="55"/>
  <c r="F108" i="55"/>
  <c r="E108" i="55"/>
  <c r="D108" i="55"/>
  <c r="C108" i="55"/>
  <c r="B108" i="55"/>
  <c r="A108" i="55"/>
  <c r="G107" i="55"/>
  <c r="F107" i="55"/>
  <c r="E107" i="55"/>
  <c r="D107" i="55"/>
  <c r="C107" i="55"/>
  <c r="B107" i="55"/>
  <c r="A107" i="55"/>
  <c r="G106" i="55"/>
  <c r="F106" i="55"/>
  <c r="E106" i="55"/>
  <c r="D106" i="55"/>
  <c r="C106" i="55"/>
  <c r="B106" i="55"/>
  <c r="A106" i="55"/>
  <c r="G105" i="55"/>
  <c r="F105" i="55"/>
  <c r="E105" i="55"/>
  <c r="D105" i="55"/>
  <c r="C105" i="55"/>
  <c r="B105" i="55"/>
  <c r="A105" i="55"/>
  <c r="G104" i="55"/>
  <c r="F104" i="55"/>
  <c r="E104" i="55"/>
  <c r="D104" i="55"/>
  <c r="C104" i="55"/>
  <c r="B104" i="55"/>
  <c r="A104" i="55"/>
  <c r="G103" i="55"/>
  <c r="F103" i="55"/>
  <c r="E103" i="55"/>
  <c r="D103" i="55"/>
  <c r="C103" i="55"/>
  <c r="B103" i="55"/>
  <c r="A103" i="55"/>
  <c r="G102" i="55"/>
  <c r="F102" i="55"/>
  <c r="E102" i="55"/>
  <c r="D102" i="55"/>
  <c r="C102" i="55"/>
  <c r="B102" i="55"/>
  <c r="A102" i="55"/>
  <c r="G101" i="55"/>
  <c r="F101" i="55"/>
  <c r="E101" i="55"/>
  <c r="D101" i="55"/>
  <c r="C101" i="55"/>
  <c r="B101" i="55"/>
  <c r="A101" i="55"/>
  <c r="G100" i="55"/>
  <c r="F100" i="55"/>
  <c r="E100" i="55"/>
  <c r="D100" i="55"/>
  <c r="C100" i="55"/>
  <c r="B100" i="55"/>
  <c r="A100" i="55"/>
  <c r="G99" i="55"/>
  <c r="F99" i="55"/>
  <c r="E99" i="55"/>
  <c r="D99" i="55"/>
  <c r="C99" i="55"/>
  <c r="B99" i="55"/>
  <c r="A99" i="55"/>
  <c r="G98" i="55"/>
  <c r="F98" i="55"/>
  <c r="E98" i="55"/>
  <c r="D98" i="55"/>
  <c r="C98" i="55"/>
  <c r="B98" i="55"/>
  <c r="A98" i="55"/>
  <c r="G97" i="55"/>
  <c r="F97" i="55"/>
  <c r="E97" i="55"/>
  <c r="D97" i="55"/>
  <c r="C97" i="55"/>
  <c r="B97" i="55"/>
  <c r="A97" i="55"/>
  <c r="G96" i="55"/>
  <c r="F96" i="55"/>
  <c r="E96" i="55"/>
  <c r="D96" i="55"/>
  <c r="C96" i="55"/>
  <c r="B96" i="55"/>
  <c r="A96" i="55"/>
  <c r="G95" i="55"/>
  <c r="F95" i="55"/>
  <c r="E95" i="55"/>
  <c r="D95" i="55"/>
  <c r="C95" i="55"/>
  <c r="B95" i="55"/>
  <c r="A95" i="55"/>
  <c r="G94" i="55"/>
  <c r="F94" i="55"/>
  <c r="E94" i="55"/>
  <c r="D94" i="55"/>
  <c r="C94" i="55"/>
  <c r="B94" i="55"/>
  <c r="A94" i="55"/>
  <c r="G93" i="55"/>
  <c r="F93" i="55"/>
  <c r="E93" i="55"/>
  <c r="D93" i="55"/>
  <c r="C93" i="55"/>
  <c r="B93" i="55"/>
  <c r="A93" i="55"/>
  <c r="G92" i="55"/>
  <c r="F92" i="55"/>
  <c r="E92" i="55"/>
  <c r="D92" i="55"/>
  <c r="C92" i="55"/>
  <c r="B92" i="55"/>
  <c r="A92" i="55"/>
  <c r="G91" i="55"/>
  <c r="F91" i="55"/>
  <c r="E91" i="55"/>
  <c r="D91" i="55"/>
  <c r="C91" i="55"/>
  <c r="B91" i="55"/>
  <c r="A91" i="55"/>
  <c r="G90" i="55"/>
  <c r="F90" i="55"/>
  <c r="E90" i="55"/>
  <c r="D90" i="55"/>
  <c r="C90" i="55"/>
  <c r="B90" i="55"/>
  <c r="A90" i="55"/>
  <c r="G89" i="55"/>
  <c r="F89" i="55"/>
  <c r="E89" i="55"/>
  <c r="D89" i="55"/>
  <c r="C89" i="55"/>
  <c r="B89" i="55"/>
  <c r="A89" i="55"/>
  <c r="G88" i="55"/>
  <c r="F88" i="55"/>
  <c r="E88" i="55"/>
  <c r="D88" i="55"/>
  <c r="C88" i="55"/>
  <c r="B88" i="55"/>
  <c r="A88" i="55"/>
  <c r="G87" i="55"/>
  <c r="F87" i="55"/>
  <c r="E87" i="55"/>
  <c r="D87" i="55"/>
  <c r="C87" i="55"/>
  <c r="B87" i="55"/>
  <c r="A87" i="55"/>
  <c r="G86" i="55"/>
  <c r="F86" i="55"/>
  <c r="E86" i="55"/>
  <c r="D86" i="55"/>
  <c r="C86" i="55"/>
  <c r="B86" i="55"/>
  <c r="A86" i="55"/>
  <c r="G85" i="55"/>
  <c r="F85" i="55"/>
  <c r="E85" i="55"/>
  <c r="D85" i="55"/>
  <c r="C85" i="55"/>
  <c r="B85" i="55"/>
  <c r="A85" i="55"/>
  <c r="G84" i="55"/>
  <c r="F84" i="55"/>
  <c r="E84" i="55"/>
  <c r="D84" i="55"/>
  <c r="C84" i="55"/>
  <c r="B84" i="55"/>
  <c r="A84" i="55"/>
  <c r="G83" i="55"/>
  <c r="F83" i="55"/>
  <c r="E83" i="55"/>
  <c r="D83" i="55"/>
  <c r="C83" i="55"/>
  <c r="B83" i="55"/>
  <c r="A83" i="55"/>
  <c r="G82" i="55"/>
  <c r="F82" i="55"/>
  <c r="E82" i="55"/>
  <c r="D82" i="55"/>
  <c r="C82" i="55"/>
  <c r="B82" i="55"/>
  <c r="A82" i="55"/>
  <c r="G81" i="55"/>
  <c r="F81" i="55"/>
  <c r="E81" i="55"/>
  <c r="D81" i="55"/>
  <c r="C81" i="55"/>
  <c r="B81" i="55"/>
  <c r="A81" i="55"/>
  <c r="G80" i="55"/>
  <c r="F80" i="55"/>
  <c r="E80" i="55"/>
  <c r="D80" i="55"/>
  <c r="C80" i="55"/>
  <c r="B80" i="55"/>
  <c r="A80" i="55"/>
  <c r="G79" i="55"/>
  <c r="F79" i="55"/>
  <c r="E79" i="55"/>
  <c r="D79" i="55"/>
  <c r="C79" i="55"/>
  <c r="B79" i="55"/>
  <c r="A79" i="55"/>
  <c r="G78" i="55"/>
  <c r="F78" i="55"/>
  <c r="E78" i="55"/>
  <c r="D78" i="55"/>
  <c r="C78" i="55"/>
  <c r="B78" i="55"/>
  <c r="A78" i="55"/>
  <c r="G77" i="55"/>
  <c r="F77" i="55"/>
  <c r="E77" i="55"/>
  <c r="D77" i="55"/>
  <c r="C77" i="55"/>
  <c r="B77" i="55"/>
  <c r="A77" i="55"/>
  <c r="G76" i="55"/>
  <c r="F76" i="55"/>
  <c r="E76" i="55"/>
  <c r="D76" i="55"/>
  <c r="C76" i="55"/>
  <c r="B76" i="55"/>
  <c r="A76" i="55"/>
  <c r="G75" i="55"/>
  <c r="F75" i="55"/>
  <c r="E75" i="55"/>
  <c r="D75" i="55"/>
  <c r="C75" i="55"/>
  <c r="B75" i="55"/>
  <c r="A75" i="55"/>
  <c r="G74" i="55"/>
  <c r="F74" i="55"/>
  <c r="E74" i="55"/>
  <c r="D74" i="55"/>
  <c r="C74" i="55"/>
  <c r="B74" i="55"/>
  <c r="A74" i="55"/>
  <c r="G73" i="55"/>
  <c r="F73" i="55"/>
  <c r="E73" i="55"/>
  <c r="D73" i="55"/>
  <c r="C73" i="55"/>
  <c r="B73" i="55"/>
  <c r="A73" i="55"/>
  <c r="G72" i="55"/>
  <c r="F72" i="55"/>
  <c r="E72" i="55"/>
  <c r="D72" i="55"/>
  <c r="C72" i="55"/>
  <c r="B72" i="55"/>
  <c r="A72" i="55"/>
  <c r="G71" i="55"/>
  <c r="F71" i="55"/>
  <c r="E71" i="55"/>
  <c r="D71" i="55"/>
  <c r="C71" i="55"/>
  <c r="B71" i="55"/>
  <c r="A71" i="55"/>
  <c r="G70" i="55"/>
  <c r="F70" i="55"/>
  <c r="E70" i="55"/>
  <c r="D70" i="55"/>
  <c r="C70" i="55"/>
  <c r="B70" i="55"/>
  <c r="A70" i="55"/>
  <c r="G69" i="55"/>
  <c r="F69" i="55"/>
  <c r="E69" i="55"/>
  <c r="D69" i="55"/>
  <c r="C69" i="55"/>
  <c r="B69" i="55"/>
  <c r="A69" i="55"/>
  <c r="G68" i="55"/>
  <c r="F68" i="55"/>
  <c r="E68" i="55"/>
  <c r="D68" i="55"/>
  <c r="C68" i="55"/>
  <c r="B68" i="55"/>
  <c r="A68" i="55"/>
  <c r="G67" i="55"/>
  <c r="F67" i="55"/>
  <c r="E67" i="55"/>
  <c r="D67" i="55"/>
  <c r="C67" i="55"/>
  <c r="B67" i="55"/>
  <c r="A67" i="55"/>
  <c r="G66" i="55"/>
  <c r="F66" i="55"/>
  <c r="E66" i="55"/>
  <c r="D66" i="55"/>
  <c r="C66" i="55"/>
  <c r="B66" i="55"/>
  <c r="A66" i="55"/>
  <c r="G65" i="55"/>
  <c r="F65" i="55"/>
  <c r="E65" i="55"/>
  <c r="D65" i="55"/>
  <c r="C65" i="55"/>
  <c r="B65" i="55"/>
  <c r="A65" i="55"/>
  <c r="G64" i="55"/>
  <c r="F64" i="55"/>
  <c r="E64" i="55"/>
  <c r="D64" i="55"/>
  <c r="C64" i="55"/>
  <c r="B64" i="55"/>
  <c r="A64" i="55"/>
  <c r="G63" i="55"/>
  <c r="F63" i="55"/>
  <c r="E63" i="55"/>
  <c r="D63" i="55"/>
  <c r="C63" i="55"/>
  <c r="B63" i="55"/>
  <c r="A63" i="55"/>
  <c r="G62" i="55"/>
  <c r="F62" i="55"/>
  <c r="E62" i="55"/>
  <c r="D62" i="55"/>
  <c r="C62" i="55"/>
  <c r="B62" i="55"/>
  <c r="A62" i="55"/>
  <c r="G61" i="55"/>
  <c r="F61" i="55"/>
  <c r="E61" i="55"/>
  <c r="D61" i="55"/>
  <c r="C61" i="55"/>
  <c r="B61" i="55"/>
  <c r="A61" i="55"/>
  <c r="G60" i="55"/>
  <c r="F60" i="55"/>
  <c r="E60" i="55"/>
  <c r="D60" i="55"/>
  <c r="C60" i="55"/>
  <c r="B60" i="55"/>
  <c r="A60" i="55"/>
  <c r="G59" i="55"/>
  <c r="F59" i="55"/>
  <c r="E59" i="55"/>
  <c r="D59" i="55"/>
  <c r="C59" i="55"/>
  <c r="B59" i="55"/>
  <c r="A59" i="55"/>
  <c r="G58" i="55"/>
  <c r="F58" i="55"/>
  <c r="E58" i="55"/>
  <c r="D58" i="55"/>
  <c r="C58" i="55"/>
  <c r="B58" i="55"/>
  <c r="A58" i="55"/>
  <c r="G57" i="55"/>
  <c r="F57" i="55"/>
  <c r="E57" i="55"/>
  <c r="D57" i="55"/>
  <c r="C57" i="55"/>
  <c r="B57" i="55"/>
  <c r="A57" i="55"/>
  <c r="G56" i="55"/>
  <c r="F56" i="55"/>
  <c r="E56" i="55"/>
  <c r="D56" i="55"/>
  <c r="C56" i="55"/>
  <c r="B56" i="55"/>
  <c r="A56" i="55"/>
  <c r="G55" i="55"/>
  <c r="F55" i="55"/>
  <c r="E55" i="55"/>
  <c r="D55" i="55"/>
  <c r="C55" i="55"/>
  <c r="B55" i="55"/>
  <c r="A55" i="55"/>
  <c r="G54" i="55"/>
  <c r="F54" i="55"/>
  <c r="E54" i="55"/>
  <c r="D54" i="55"/>
  <c r="C54" i="55"/>
  <c r="B54" i="55"/>
  <c r="A54" i="55"/>
  <c r="G53" i="55"/>
  <c r="F53" i="55"/>
  <c r="E53" i="55"/>
  <c r="D53" i="55"/>
  <c r="C53" i="55"/>
  <c r="B53" i="55"/>
  <c r="A53" i="55"/>
  <c r="G52" i="55"/>
  <c r="F52" i="55"/>
  <c r="E52" i="55"/>
  <c r="D52" i="55"/>
  <c r="C52" i="55"/>
  <c r="B52" i="55"/>
  <c r="A52" i="55"/>
  <c r="G51" i="55"/>
  <c r="F51" i="55"/>
  <c r="E51" i="55"/>
  <c r="D51" i="55"/>
  <c r="C51" i="55"/>
  <c r="B51" i="55"/>
  <c r="A51" i="55"/>
  <c r="G50" i="55"/>
  <c r="F50" i="55"/>
  <c r="E50" i="55"/>
  <c r="D50" i="55"/>
  <c r="C50" i="55"/>
  <c r="B50" i="55"/>
  <c r="A50" i="55"/>
  <c r="G49" i="55"/>
  <c r="F49" i="55"/>
  <c r="E49" i="55"/>
  <c r="D49" i="55"/>
  <c r="C49" i="55"/>
  <c r="B49" i="55"/>
  <c r="A49" i="55"/>
  <c r="G48" i="55"/>
  <c r="F48" i="55"/>
  <c r="E48" i="55"/>
  <c r="D48" i="55"/>
  <c r="C48" i="55"/>
  <c r="B48" i="55"/>
  <c r="A48" i="55"/>
  <c r="G47" i="55"/>
  <c r="F47" i="55"/>
  <c r="E47" i="55"/>
  <c r="D47" i="55"/>
  <c r="C47" i="55"/>
  <c r="B47" i="55"/>
  <c r="A47" i="55"/>
  <c r="G46" i="55"/>
  <c r="F46" i="55"/>
  <c r="E46" i="55"/>
  <c r="D46" i="55"/>
  <c r="C46" i="55"/>
  <c r="B46" i="55"/>
  <c r="A46" i="55"/>
  <c r="G45" i="55"/>
  <c r="F45" i="55"/>
  <c r="E45" i="55"/>
  <c r="D45" i="55"/>
  <c r="C45" i="55"/>
  <c r="B45" i="55"/>
  <c r="A45" i="55"/>
  <c r="G44" i="55"/>
  <c r="F44" i="55"/>
  <c r="E44" i="55"/>
  <c r="D44" i="55"/>
  <c r="C44" i="55"/>
  <c r="B44" i="55"/>
  <c r="A44" i="55"/>
  <c r="G43" i="55"/>
  <c r="F43" i="55"/>
  <c r="E43" i="55"/>
  <c r="D43" i="55"/>
  <c r="C43" i="55"/>
  <c r="B43" i="55"/>
  <c r="A43" i="55"/>
  <c r="G42" i="55"/>
  <c r="F42" i="55"/>
  <c r="E42" i="55"/>
  <c r="D42" i="55"/>
  <c r="C42" i="55"/>
  <c r="B42" i="55"/>
  <c r="A42" i="55"/>
  <c r="G41" i="55"/>
  <c r="F41" i="55"/>
  <c r="E41" i="55"/>
  <c r="D41" i="55"/>
  <c r="C41" i="55"/>
  <c r="B41" i="55"/>
  <c r="A41" i="55"/>
  <c r="G40" i="55"/>
  <c r="F40" i="55"/>
  <c r="E40" i="55"/>
  <c r="D40" i="55"/>
  <c r="C40" i="55"/>
  <c r="B40" i="55"/>
  <c r="A40" i="55"/>
  <c r="G39" i="55"/>
  <c r="F39" i="55"/>
  <c r="E39" i="55"/>
  <c r="D39" i="55"/>
  <c r="C39" i="55"/>
  <c r="B39" i="55"/>
  <c r="A39" i="55"/>
  <c r="G38" i="55"/>
  <c r="F38" i="55"/>
  <c r="E38" i="55"/>
  <c r="D38" i="55"/>
  <c r="C38" i="55"/>
  <c r="B38" i="55"/>
  <c r="A38" i="55"/>
  <c r="G37" i="55"/>
  <c r="F37" i="55"/>
  <c r="E37" i="55"/>
  <c r="D37" i="55"/>
  <c r="C37" i="55"/>
  <c r="B37" i="55"/>
  <c r="A37" i="55"/>
  <c r="G36" i="55"/>
  <c r="F36" i="55"/>
  <c r="E36" i="55"/>
  <c r="D36" i="55"/>
  <c r="C36" i="55"/>
  <c r="B36" i="55"/>
  <c r="A36" i="55"/>
  <c r="G35" i="55"/>
  <c r="F35" i="55"/>
  <c r="E35" i="55"/>
  <c r="D35" i="55"/>
  <c r="C35" i="55"/>
  <c r="B35" i="55"/>
  <c r="A35" i="55"/>
  <c r="G34" i="55"/>
  <c r="F34" i="55"/>
  <c r="E34" i="55"/>
  <c r="D34" i="55"/>
  <c r="C34" i="55"/>
  <c r="B34" i="55"/>
  <c r="A34" i="55"/>
  <c r="G33" i="55"/>
  <c r="F33" i="55"/>
  <c r="E33" i="55"/>
  <c r="D33" i="55"/>
  <c r="C33" i="55"/>
  <c r="B33" i="55"/>
  <c r="A33" i="55"/>
  <c r="G32" i="55"/>
  <c r="F32" i="55"/>
  <c r="E32" i="55"/>
  <c r="D32" i="55"/>
  <c r="C32" i="55"/>
  <c r="B32" i="55"/>
  <c r="A32" i="55"/>
  <c r="G31" i="55"/>
  <c r="F31" i="55"/>
  <c r="E31" i="55"/>
  <c r="D31" i="55"/>
  <c r="C31" i="55"/>
  <c r="B31" i="55"/>
  <c r="A31" i="55"/>
  <c r="G30" i="55"/>
  <c r="F30" i="55"/>
  <c r="E30" i="55"/>
  <c r="D30" i="55"/>
  <c r="C30" i="55"/>
  <c r="B30" i="55"/>
  <c r="A30" i="55"/>
  <c r="G29" i="55"/>
  <c r="F29" i="55"/>
  <c r="E29" i="55"/>
  <c r="D29" i="55"/>
  <c r="C29" i="55"/>
  <c r="B29" i="55"/>
  <c r="A29" i="55"/>
  <c r="G28" i="55"/>
  <c r="F28" i="55"/>
  <c r="E28" i="55"/>
  <c r="D28" i="55"/>
  <c r="C28" i="55"/>
  <c r="B28" i="55"/>
  <c r="A28" i="55"/>
  <c r="G27" i="55"/>
  <c r="F27" i="55"/>
  <c r="E27" i="55"/>
  <c r="D27" i="55"/>
  <c r="C27" i="55"/>
  <c r="B27" i="55"/>
  <c r="A27" i="55"/>
  <c r="G26" i="55"/>
  <c r="F26" i="55"/>
  <c r="E26" i="55"/>
  <c r="D26" i="55"/>
  <c r="C26" i="55"/>
  <c r="B26" i="55"/>
  <c r="A26" i="55"/>
  <c r="G25" i="55"/>
  <c r="F25" i="55"/>
  <c r="E25" i="55"/>
  <c r="D25" i="55"/>
  <c r="C25" i="55"/>
  <c r="B25" i="55"/>
  <c r="A25" i="55"/>
  <c r="G24" i="55"/>
  <c r="F24" i="55"/>
  <c r="E24" i="55"/>
  <c r="D24" i="55"/>
  <c r="C24" i="55"/>
  <c r="B24" i="55"/>
  <c r="A24" i="55"/>
  <c r="G23" i="55"/>
  <c r="F23" i="55"/>
  <c r="E23" i="55"/>
  <c r="D23" i="55"/>
  <c r="C23" i="55"/>
  <c r="B23" i="55"/>
  <c r="A23" i="55"/>
  <c r="G22" i="55"/>
  <c r="F22" i="55"/>
  <c r="E22" i="55"/>
  <c r="D22" i="55"/>
  <c r="C22" i="55"/>
  <c r="B22" i="55"/>
  <c r="A22" i="55"/>
  <c r="G21" i="55"/>
  <c r="F21" i="55"/>
  <c r="E21" i="55"/>
  <c r="D21" i="55"/>
  <c r="C21" i="55"/>
  <c r="B21" i="55"/>
  <c r="A21" i="55"/>
  <c r="G20" i="55"/>
  <c r="F20" i="55"/>
  <c r="E20" i="55"/>
  <c r="D20" i="55"/>
  <c r="C20" i="55"/>
  <c r="B20" i="55"/>
  <c r="A20" i="55"/>
  <c r="G19" i="55"/>
  <c r="F19" i="55"/>
  <c r="E19" i="55"/>
  <c r="D19" i="55"/>
  <c r="C19" i="55"/>
  <c r="B19" i="55"/>
  <c r="A19" i="55"/>
  <c r="G18" i="55"/>
  <c r="F18" i="55"/>
  <c r="E18" i="55"/>
  <c r="D18" i="55"/>
  <c r="C18" i="55"/>
  <c r="B18" i="55"/>
  <c r="A18" i="55"/>
  <c r="G17" i="55"/>
  <c r="F17" i="55"/>
  <c r="E17" i="55"/>
  <c r="D17" i="55"/>
  <c r="C17" i="55"/>
  <c r="B17" i="55"/>
  <c r="A17" i="55"/>
  <c r="G16" i="55"/>
  <c r="F16" i="55"/>
  <c r="E16" i="55"/>
  <c r="D16" i="55"/>
  <c r="C16" i="55"/>
  <c r="B16" i="55"/>
  <c r="A16" i="55"/>
  <c r="G15" i="55"/>
  <c r="F15" i="55"/>
  <c r="E15" i="55"/>
  <c r="D15" i="55"/>
  <c r="C15" i="55"/>
  <c r="B15" i="55"/>
  <c r="A15" i="55"/>
  <c r="G14" i="55"/>
  <c r="F14" i="55"/>
  <c r="E14" i="55"/>
  <c r="D14" i="55"/>
  <c r="C14" i="55"/>
  <c r="B14" i="55"/>
  <c r="A14" i="55"/>
  <c r="G13" i="55"/>
  <c r="F13" i="55"/>
  <c r="E13" i="55"/>
  <c r="D13" i="55"/>
  <c r="C13" i="55"/>
  <c r="B13" i="55"/>
  <c r="A13" i="55"/>
  <c r="G12" i="55"/>
  <c r="F12" i="55"/>
  <c r="E12" i="55"/>
  <c r="D12" i="55"/>
  <c r="C12" i="55"/>
  <c r="B12" i="55"/>
  <c r="A12" i="55"/>
  <c r="G11" i="55"/>
  <c r="F11" i="55"/>
  <c r="E11" i="55"/>
  <c r="D11" i="55"/>
  <c r="C11" i="55"/>
  <c r="B11" i="55"/>
  <c r="A11" i="55"/>
  <c r="G10" i="55"/>
  <c r="F10" i="55"/>
  <c r="E10" i="55"/>
  <c r="D10" i="55"/>
  <c r="C10" i="55"/>
  <c r="B10" i="55"/>
  <c r="A10" i="55"/>
  <c r="G9" i="55"/>
  <c r="F9" i="55"/>
  <c r="E9" i="55"/>
  <c r="D9" i="55"/>
  <c r="C9" i="55"/>
  <c r="B9" i="55"/>
  <c r="A9" i="55"/>
  <c r="G8" i="55"/>
  <c r="F8" i="55"/>
  <c r="E8" i="55"/>
  <c r="D8" i="55"/>
  <c r="C8" i="55"/>
  <c r="B8" i="55"/>
  <c r="A8" i="55"/>
  <c r="G7" i="55"/>
  <c r="F7" i="55"/>
  <c r="E7" i="55"/>
  <c r="D7" i="55"/>
  <c r="C7" i="55"/>
  <c r="B7" i="55"/>
  <c r="A7" i="55"/>
  <c r="G6" i="55"/>
  <c r="F6" i="55"/>
  <c r="E6" i="55"/>
  <c r="D6" i="55"/>
  <c r="C6" i="55"/>
  <c r="B6" i="55"/>
  <c r="A6" i="55"/>
  <c r="G5" i="55"/>
  <c r="F5" i="55"/>
  <c r="E5" i="55"/>
  <c r="D5" i="55"/>
  <c r="C5" i="55"/>
  <c r="B5" i="55"/>
  <c r="A5" i="55"/>
  <c r="G4" i="55"/>
  <c r="F4" i="55"/>
  <c r="E4" i="55"/>
  <c r="D4" i="55"/>
  <c r="C4" i="55"/>
  <c r="B4" i="55"/>
  <c r="A4" i="55"/>
  <c r="G3" i="55"/>
  <c r="F3" i="55"/>
  <c r="E3" i="55"/>
  <c r="D3" i="55"/>
  <c r="C3" i="55"/>
  <c r="B3" i="55"/>
  <c r="A3" i="55"/>
  <c r="G2" i="55"/>
  <c r="F2" i="55"/>
  <c r="E2" i="55"/>
  <c r="D2" i="55"/>
  <c r="C2" i="55"/>
  <c r="B2" i="55"/>
  <c r="A2" i="55"/>
  <c r="G1" i="55"/>
  <c r="F1" i="55"/>
  <c r="E1" i="55"/>
  <c r="D1" i="55"/>
  <c r="C1" i="55"/>
  <c r="B1" i="55"/>
  <c r="A1" i="55"/>
  <c r="G290" i="54"/>
  <c r="F290" i="54"/>
  <c r="E290" i="54"/>
  <c r="D290" i="54"/>
  <c r="C290" i="54"/>
  <c r="B290" i="54"/>
  <c r="A290" i="54"/>
  <c r="G289" i="54"/>
  <c r="F289" i="54"/>
  <c r="E289" i="54"/>
  <c r="D289" i="54"/>
  <c r="C289" i="54"/>
  <c r="B289" i="54"/>
  <c r="A289" i="54"/>
  <c r="G288" i="54"/>
  <c r="F288" i="54"/>
  <c r="E288" i="54"/>
  <c r="D288" i="54"/>
  <c r="C288" i="54"/>
  <c r="B288" i="54"/>
  <c r="A288" i="54"/>
  <c r="G287" i="54"/>
  <c r="F287" i="54"/>
  <c r="E287" i="54"/>
  <c r="D287" i="54"/>
  <c r="C287" i="54"/>
  <c r="B287" i="54"/>
  <c r="A287" i="54"/>
  <c r="G286" i="54"/>
  <c r="F286" i="54"/>
  <c r="E286" i="54"/>
  <c r="D286" i="54"/>
  <c r="C286" i="54"/>
  <c r="B286" i="54"/>
  <c r="A286" i="54"/>
  <c r="G285" i="54"/>
  <c r="F285" i="54"/>
  <c r="E285" i="54"/>
  <c r="D285" i="54"/>
  <c r="C285" i="54"/>
  <c r="B285" i="54"/>
  <c r="A285" i="54"/>
  <c r="G284" i="54"/>
  <c r="F284" i="54"/>
  <c r="E284" i="54"/>
  <c r="D284" i="54"/>
  <c r="C284" i="54"/>
  <c r="B284" i="54"/>
  <c r="A284" i="54"/>
  <c r="G283" i="54"/>
  <c r="F283" i="54"/>
  <c r="E283" i="54"/>
  <c r="D283" i="54"/>
  <c r="C283" i="54"/>
  <c r="B283" i="54"/>
  <c r="A283" i="54"/>
  <c r="G282" i="54"/>
  <c r="F282" i="54"/>
  <c r="E282" i="54"/>
  <c r="D282" i="54"/>
  <c r="C282" i="54"/>
  <c r="B282" i="54"/>
  <c r="A282" i="54"/>
  <c r="G281" i="54"/>
  <c r="F281" i="54"/>
  <c r="E281" i="54"/>
  <c r="D281" i="54"/>
  <c r="C281" i="54"/>
  <c r="B281" i="54"/>
  <c r="A281" i="54"/>
  <c r="G280" i="54"/>
  <c r="F280" i="54"/>
  <c r="E280" i="54"/>
  <c r="D280" i="54"/>
  <c r="C280" i="54"/>
  <c r="B280" i="54"/>
  <c r="A280" i="54"/>
  <c r="G279" i="54"/>
  <c r="F279" i="54"/>
  <c r="E279" i="54"/>
  <c r="D279" i="54"/>
  <c r="C279" i="54"/>
  <c r="B279" i="54"/>
  <c r="A279" i="54"/>
  <c r="G278" i="54"/>
  <c r="F278" i="54"/>
  <c r="E278" i="54"/>
  <c r="D278" i="54"/>
  <c r="C278" i="54"/>
  <c r="B278" i="54"/>
  <c r="A278" i="54"/>
  <c r="G277" i="54"/>
  <c r="F277" i="54"/>
  <c r="E277" i="54"/>
  <c r="D277" i="54"/>
  <c r="C277" i="54"/>
  <c r="B277" i="54"/>
  <c r="A277" i="54"/>
  <c r="G276" i="54"/>
  <c r="F276" i="54"/>
  <c r="E276" i="54"/>
  <c r="D276" i="54"/>
  <c r="C276" i="54"/>
  <c r="B276" i="54"/>
  <c r="A276" i="54"/>
  <c r="G275" i="54"/>
  <c r="F275" i="54"/>
  <c r="E275" i="54"/>
  <c r="D275" i="54"/>
  <c r="C275" i="54"/>
  <c r="B275" i="54"/>
  <c r="A275" i="54"/>
  <c r="G274" i="54"/>
  <c r="F274" i="54"/>
  <c r="E274" i="54"/>
  <c r="D274" i="54"/>
  <c r="C274" i="54"/>
  <c r="B274" i="54"/>
  <c r="A274" i="54"/>
  <c r="G273" i="54"/>
  <c r="F273" i="54"/>
  <c r="E273" i="54"/>
  <c r="D273" i="54"/>
  <c r="C273" i="54"/>
  <c r="B273" i="54"/>
  <c r="A273" i="54"/>
  <c r="G272" i="54"/>
  <c r="F272" i="54"/>
  <c r="E272" i="54"/>
  <c r="D272" i="54"/>
  <c r="C272" i="54"/>
  <c r="B272" i="54"/>
  <c r="A272" i="54"/>
  <c r="G271" i="54"/>
  <c r="F271" i="54"/>
  <c r="E271" i="54"/>
  <c r="D271" i="54"/>
  <c r="C271" i="54"/>
  <c r="B271" i="54"/>
  <c r="A271" i="54"/>
  <c r="G270" i="54"/>
  <c r="F270" i="54"/>
  <c r="E270" i="54"/>
  <c r="D270" i="54"/>
  <c r="C270" i="54"/>
  <c r="B270" i="54"/>
  <c r="A270" i="54"/>
  <c r="G269" i="54"/>
  <c r="F269" i="54"/>
  <c r="E269" i="54"/>
  <c r="D269" i="54"/>
  <c r="C269" i="54"/>
  <c r="B269" i="54"/>
  <c r="A269" i="54"/>
  <c r="G268" i="54"/>
  <c r="F268" i="54"/>
  <c r="E268" i="54"/>
  <c r="D268" i="54"/>
  <c r="C268" i="54"/>
  <c r="B268" i="54"/>
  <c r="A268" i="54"/>
  <c r="G267" i="54"/>
  <c r="F267" i="54"/>
  <c r="E267" i="54"/>
  <c r="D267" i="54"/>
  <c r="C267" i="54"/>
  <c r="B267" i="54"/>
  <c r="A267" i="54"/>
  <c r="G266" i="54"/>
  <c r="F266" i="54"/>
  <c r="E266" i="54"/>
  <c r="D266" i="54"/>
  <c r="C266" i="54"/>
  <c r="B266" i="54"/>
  <c r="A266" i="54"/>
  <c r="G265" i="54"/>
  <c r="F265" i="54"/>
  <c r="E265" i="54"/>
  <c r="D265" i="54"/>
  <c r="C265" i="54"/>
  <c r="B265" i="54"/>
  <c r="A265" i="54"/>
  <c r="G264" i="54"/>
  <c r="F264" i="54"/>
  <c r="E264" i="54"/>
  <c r="D264" i="54"/>
  <c r="C264" i="54"/>
  <c r="B264" i="54"/>
  <c r="A264" i="54"/>
  <c r="G263" i="54"/>
  <c r="F263" i="54"/>
  <c r="E263" i="54"/>
  <c r="D263" i="54"/>
  <c r="C263" i="54"/>
  <c r="B263" i="54"/>
  <c r="A263" i="54"/>
  <c r="G262" i="54"/>
  <c r="F262" i="54"/>
  <c r="E262" i="54"/>
  <c r="D262" i="54"/>
  <c r="C262" i="54"/>
  <c r="B262" i="54"/>
  <c r="A262" i="54"/>
  <c r="G261" i="54"/>
  <c r="F261" i="54"/>
  <c r="E261" i="54"/>
  <c r="D261" i="54"/>
  <c r="C261" i="54"/>
  <c r="B261" i="54"/>
  <c r="A261" i="54"/>
  <c r="G260" i="54"/>
  <c r="F260" i="54"/>
  <c r="E260" i="54"/>
  <c r="D260" i="54"/>
  <c r="C260" i="54"/>
  <c r="B260" i="54"/>
  <c r="A260" i="54"/>
  <c r="G259" i="54"/>
  <c r="F259" i="54"/>
  <c r="E259" i="54"/>
  <c r="D259" i="54"/>
  <c r="C259" i="54"/>
  <c r="B259" i="54"/>
  <c r="A259" i="54"/>
  <c r="G258" i="54"/>
  <c r="F258" i="54"/>
  <c r="E258" i="54"/>
  <c r="D258" i="54"/>
  <c r="C258" i="54"/>
  <c r="B258" i="54"/>
  <c r="A258" i="54"/>
  <c r="G257" i="54"/>
  <c r="F257" i="54"/>
  <c r="E257" i="54"/>
  <c r="D257" i="54"/>
  <c r="C257" i="54"/>
  <c r="B257" i="54"/>
  <c r="A257" i="54"/>
  <c r="G256" i="54"/>
  <c r="F256" i="54"/>
  <c r="E256" i="54"/>
  <c r="D256" i="54"/>
  <c r="C256" i="54"/>
  <c r="B256" i="54"/>
  <c r="A256" i="54"/>
  <c r="G255" i="54"/>
  <c r="F255" i="54"/>
  <c r="E255" i="54"/>
  <c r="D255" i="54"/>
  <c r="C255" i="54"/>
  <c r="B255" i="54"/>
  <c r="A255" i="54"/>
  <c r="G254" i="54"/>
  <c r="F254" i="54"/>
  <c r="E254" i="54"/>
  <c r="D254" i="54"/>
  <c r="C254" i="54"/>
  <c r="B254" i="54"/>
  <c r="A254" i="54"/>
  <c r="G253" i="54"/>
  <c r="F253" i="54"/>
  <c r="E253" i="54"/>
  <c r="D253" i="54"/>
  <c r="C253" i="54"/>
  <c r="B253" i="54"/>
  <c r="A253" i="54"/>
  <c r="G252" i="54"/>
  <c r="F252" i="54"/>
  <c r="E252" i="54"/>
  <c r="D252" i="54"/>
  <c r="C252" i="54"/>
  <c r="B252" i="54"/>
  <c r="A252" i="54"/>
  <c r="G251" i="54"/>
  <c r="F251" i="54"/>
  <c r="E251" i="54"/>
  <c r="D251" i="54"/>
  <c r="C251" i="54"/>
  <c r="B251" i="54"/>
  <c r="A251" i="54"/>
  <c r="G250" i="54"/>
  <c r="F250" i="54"/>
  <c r="E250" i="54"/>
  <c r="D250" i="54"/>
  <c r="C250" i="54"/>
  <c r="B250" i="54"/>
  <c r="A250" i="54"/>
  <c r="G249" i="54"/>
  <c r="F249" i="54"/>
  <c r="E249" i="54"/>
  <c r="D249" i="54"/>
  <c r="C249" i="54"/>
  <c r="B249" i="54"/>
  <c r="A249" i="54"/>
  <c r="G248" i="54"/>
  <c r="F248" i="54"/>
  <c r="E248" i="54"/>
  <c r="D248" i="54"/>
  <c r="C248" i="54"/>
  <c r="B248" i="54"/>
  <c r="A248" i="54"/>
  <c r="G247" i="54"/>
  <c r="F247" i="54"/>
  <c r="E247" i="54"/>
  <c r="D247" i="54"/>
  <c r="C247" i="54"/>
  <c r="B247" i="54"/>
  <c r="A247" i="54"/>
  <c r="G246" i="54"/>
  <c r="F246" i="54"/>
  <c r="E246" i="54"/>
  <c r="D246" i="54"/>
  <c r="C246" i="54"/>
  <c r="B246" i="54"/>
  <c r="A246" i="54"/>
  <c r="G245" i="54"/>
  <c r="F245" i="54"/>
  <c r="E245" i="54"/>
  <c r="D245" i="54"/>
  <c r="C245" i="54"/>
  <c r="B245" i="54"/>
  <c r="A245" i="54"/>
  <c r="G244" i="54"/>
  <c r="F244" i="54"/>
  <c r="E244" i="54"/>
  <c r="D244" i="54"/>
  <c r="C244" i="54"/>
  <c r="B244" i="54"/>
  <c r="A244" i="54"/>
  <c r="G243" i="54"/>
  <c r="F243" i="54"/>
  <c r="E243" i="54"/>
  <c r="D243" i="54"/>
  <c r="C243" i="54"/>
  <c r="B243" i="54"/>
  <c r="A243" i="54"/>
  <c r="G242" i="54"/>
  <c r="F242" i="54"/>
  <c r="E242" i="54"/>
  <c r="D242" i="54"/>
  <c r="C242" i="54"/>
  <c r="B242" i="54"/>
  <c r="A242" i="54"/>
  <c r="G241" i="54"/>
  <c r="F241" i="54"/>
  <c r="E241" i="54"/>
  <c r="D241" i="54"/>
  <c r="C241" i="54"/>
  <c r="B241" i="54"/>
  <c r="A241" i="54"/>
  <c r="G240" i="54"/>
  <c r="F240" i="54"/>
  <c r="E240" i="54"/>
  <c r="D240" i="54"/>
  <c r="C240" i="54"/>
  <c r="B240" i="54"/>
  <c r="A240" i="54"/>
  <c r="G239" i="54"/>
  <c r="F239" i="54"/>
  <c r="E239" i="54"/>
  <c r="D239" i="54"/>
  <c r="C239" i="54"/>
  <c r="B239" i="54"/>
  <c r="A239" i="54"/>
  <c r="G238" i="54"/>
  <c r="F238" i="54"/>
  <c r="E238" i="54"/>
  <c r="D238" i="54"/>
  <c r="C238" i="54"/>
  <c r="B238" i="54"/>
  <c r="A238" i="54"/>
  <c r="G237" i="54"/>
  <c r="F237" i="54"/>
  <c r="E237" i="54"/>
  <c r="D237" i="54"/>
  <c r="C237" i="54"/>
  <c r="B237" i="54"/>
  <c r="A237" i="54"/>
  <c r="G236" i="54"/>
  <c r="F236" i="54"/>
  <c r="E236" i="54"/>
  <c r="D236" i="54"/>
  <c r="C236" i="54"/>
  <c r="B236" i="54"/>
  <c r="A236" i="54"/>
  <c r="G235" i="54"/>
  <c r="F235" i="54"/>
  <c r="E235" i="54"/>
  <c r="D235" i="54"/>
  <c r="C235" i="54"/>
  <c r="B235" i="54"/>
  <c r="A235" i="54"/>
  <c r="G234" i="54"/>
  <c r="F234" i="54"/>
  <c r="E234" i="54"/>
  <c r="D234" i="54"/>
  <c r="C234" i="54"/>
  <c r="B234" i="54"/>
  <c r="A234" i="54"/>
  <c r="G233" i="54"/>
  <c r="F233" i="54"/>
  <c r="E233" i="54"/>
  <c r="D233" i="54"/>
  <c r="C233" i="54"/>
  <c r="B233" i="54"/>
  <c r="A233" i="54"/>
  <c r="G232" i="54"/>
  <c r="F232" i="54"/>
  <c r="E232" i="54"/>
  <c r="D232" i="54"/>
  <c r="C232" i="54"/>
  <c r="B232" i="54"/>
  <c r="A232" i="54"/>
  <c r="G231" i="54"/>
  <c r="F231" i="54"/>
  <c r="E231" i="54"/>
  <c r="D231" i="54"/>
  <c r="C231" i="54"/>
  <c r="B231" i="54"/>
  <c r="A231" i="54"/>
  <c r="G230" i="54"/>
  <c r="F230" i="54"/>
  <c r="E230" i="54"/>
  <c r="D230" i="54"/>
  <c r="C230" i="54"/>
  <c r="B230" i="54"/>
  <c r="A230" i="54"/>
  <c r="G229" i="54"/>
  <c r="F229" i="54"/>
  <c r="E229" i="54"/>
  <c r="D229" i="54"/>
  <c r="C229" i="54"/>
  <c r="B229" i="54"/>
  <c r="A229" i="54"/>
  <c r="G228" i="54"/>
  <c r="F228" i="54"/>
  <c r="E228" i="54"/>
  <c r="D228" i="54"/>
  <c r="C228" i="54"/>
  <c r="B228" i="54"/>
  <c r="A228" i="54"/>
  <c r="G227" i="54"/>
  <c r="F227" i="54"/>
  <c r="E227" i="54"/>
  <c r="D227" i="54"/>
  <c r="C227" i="54"/>
  <c r="B227" i="54"/>
  <c r="A227" i="54"/>
  <c r="G226" i="54"/>
  <c r="F226" i="54"/>
  <c r="E226" i="54"/>
  <c r="D226" i="54"/>
  <c r="C226" i="54"/>
  <c r="B226" i="54"/>
  <c r="A226" i="54"/>
  <c r="G225" i="54"/>
  <c r="F225" i="54"/>
  <c r="E225" i="54"/>
  <c r="D225" i="54"/>
  <c r="C225" i="54"/>
  <c r="B225" i="54"/>
  <c r="A225" i="54"/>
  <c r="G224" i="54"/>
  <c r="F224" i="54"/>
  <c r="E224" i="54"/>
  <c r="D224" i="54"/>
  <c r="C224" i="54"/>
  <c r="B224" i="54"/>
  <c r="A224" i="54"/>
  <c r="G223" i="54"/>
  <c r="F223" i="54"/>
  <c r="E223" i="54"/>
  <c r="D223" i="54"/>
  <c r="C223" i="54"/>
  <c r="B223" i="54"/>
  <c r="A223" i="54"/>
  <c r="G222" i="54"/>
  <c r="F222" i="54"/>
  <c r="E222" i="54"/>
  <c r="D222" i="54"/>
  <c r="C222" i="54"/>
  <c r="B222" i="54"/>
  <c r="A222" i="54"/>
  <c r="G221" i="54"/>
  <c r="F221" i="54"/>
  <c r="E221" i="54"/>
  <c r="D221" i="54"/>
  <c r="C221" i="54"/>
  <c r="B221" i="54"/>
  <c r="A221" i="54"/>
  <c r="G220" i="54"/>
  <c r="F220" i="54"/>
  <c r="E220" i="54"/>
  <c r="D220" i="54"/>
  <c r="C220" i="54"/>
  <c r="B220" i="54"/>
  <c r="A220" i="54"/>
  <c r="G219" i="54"/>
  <c r="F219" i="54"/>
  <c r="E219" i="54"/>
  <c r="D219" i="54"/>
  <c r="C219" i="54"/>
  <c r="B219" i="54"/>
  <c r="A219" i="54"/>
  <c r="G218" i="54"/>
  <c r="F218" i="54"/>
  <c r="E218" i="54"/>
  <c r="D218" i="54"/>
  <c r="C218" i="54"/>
  <c r="B218" i="54"/>
  <c r="A218" i="54"/>
  <c r="G217" i="54"/>
  <c r="F217" i="54"/>
  <c r="E217" i="54"/>
  <c r="D217" i="54"/>
  <c r="C217" i="54"/>
  <c r="B217" i="54"/>
  <c r="A217" i="54"/>
  <c r="G216" i="54"/>
  <c r="F216" i="54"/>
  <c r="E216" i="54"/>
  <c r="D216" i="54"/>
  <c r="C216" i="54"/>
  <c r="B216" i="54"/>
  <c r="A216" i="54"/>
  <c r="G215" i="54"/>
  <c r="F215" i="54"/>
  <c r="E215" i="54"/>
  <c r="D215" i="54"/>
  <c r="C215" i="54"/>
  <c r="B215" i="54"/>
  <c r="A215" i="54"/>
  <c r="G214" i="54"/>
  <c r="F214" i="54"/>
  <c r="E214" i="54"/>
  <c r="D214" i="54"/>
  <c r="C214" i="54"/>
  <c r="B214" i="54"/>
  <c r="A214" i="54"/>
  <c r="G213" i="54"/>
  <c r="F213" i="54"/>
  <c r="E213" i="54"/>
  <c r="D213" i="54"/>
  <c r="C213" i="54"/>
  <c r="B213" i="54"/>
  <c r="A213" i="54"/>
  <c r="G212" i="54"/>
  <c r="F212" i="54"/>
  <c r="E212" i="54"/>
  <c r="D212" i="54"/>
  <c r="C212" i="54"/>
  <c r="B212" i="54"/>
  <c r="A212" i="54"/>
  <c r="G211" i="54"/>
  <c r="F211" i="54"/>
  <c r="E211" i="54"/>
  <c r="D211" i="54"/>
  <c r="C211" i="54"/>
  <c r="B211" i="54"/>
  <c r="A211" i="54"/>
  <c r="G210" i="54"/>
  <c r="F210" i="54"/>
  <c r="E210" i="54"/>
  <c r="D210" i="54"/>
  <c r="C210" i="54"/>
  <c r="B210" i="54"/>
  <c r="A210" i="54"/>
  <c r="G209" i="54"/>
  <c r="F209" i="54"/>
  <c r="E209" i="54"/>
  <c r="D209" i="54"/>
  <c r="C209" i="54"/>
  <c r="B209" i="54"/>
  <c r="A209" i="54"/>
  <c r="G208" i="54"/>
  <c r="F208" i="54"/>
  <c r="E208" i="54"/>
  <c r="D208" i="54"/>
  <c r="C208" i="54"/>
  <c r="B208" i="54"/>
  <c r="A208" i="54"/>
  <c r="G207" i="54"/>
  <c r="F207" i="54"/>
  <c r="E207" i="54"/>
  <c r="D207" i="54"/>
  <c r="C207" i="54"/>
  <c r="B207" i="54"/>
  <c r="A207" i="54"/>
  <c r="G206" i="54"/>
  <c r="F206" i="54"/>
  <c r="E206" i="54"/>
  <c r="D206" i="54"/>
  <c r="C206" i="54"/>
  <c r="B206" i="54"/>
  <c r="A206" i="54"/>
  <c r="G205" i="54"/>
  <c r="F205" i="54"/>
  <c r="E205" i="54"/>
  <c r="D205" i="54"/>
  <c r="C205" i="54"/>
  <c r="B205" i="54"/>
  <c r="A205" i="54"/>
  <c r="G204" i="54"/>
  <c r="F204" i="54"/>
  <c r="E204" i="54"/>
  <c r="D204" i="54"/>
  <c r="C204" i="54"/>
  <c r="B204" i="54"/>
  <c r="A204" i="54"/>
  <c r="G203" i="54"/>
  <c r="F203" i="54"/>
  <c r="E203" i="54"/>
  <c r="D203" i="54"/>
  <c r="C203" i="54"/>
  <c r="B203" i="54"/>
  <c r="A203" i="54"/>
  <c r="G202" i="54"/>
  <c r="F202" i="54"/>
  <c r="E202" i="54"/>
  <c r="D202" i="54"/>
  <c r="C202" i="54"/>
  <c r="B202" i="54"/>
  <c r="A202" i="54"/>
  <c r="G201" i="54"/>
  <c r="F201" i="54"/>
  <c r="E201" i="54"/>
  <c r="D201" i="54"/>
  <c r="C201" i="54"/>
  <c r="B201" i="54"/>
  <c r="A201" i="54"/>
  <c r="G200" i="54"/>
  <c r="F200" i="54"/>
  <c r="E200" i="54"/>
  <c r="D200" i="54"/>
  <c r="C200" i="54"/>
  <c r="B200" i="54"/>
  <c r="A200" i="54"/>
  <c r="G199" i="54"/>
  <c r="F199" i="54"/>
  <c r="E199" i="54"/>
  <c r="D199" i="54"/>
  <c r="C199" i="54"/>
  <c r="B199" i="54"/>
  <c r="A199" i="54"/>
  <c r="G198" i="54"/>
  <c r="F198" i="54"/>
  <c r="E198" i="54"/>
  <c r="D198" i="54"/>
  <c r="C198" i="54"/>
  <c r="B198" i="54"/>
  <c r="A198" i="54"/>
  <c r="G197" i="54"/>
  <c r="F197" i="54"/>
  <c r="E197" i="54"/>
  <c r="D197" i="54"/>
  <c r="C197" i="54"/>
  <c r="B197" i="54"/>
  <c r="A197" i="54"/>
  <c r="G196" i="54"/>
  <c r="F196" i="54"/>
  <c r="E196" i="54"/>
  <c r="D196" i="54"/>
  <c r="C196" i="54"/>
  <c r="B196" i="54"/>
  <c r="A196" i="54"/>
  <c r="G195" i="54"/>
  <c r="F195" i="54"/>
  <c r="E195" i="54"/>
  <c r="D195" i="54"/>
  <c r="C195" i="54"/>
  <c r="B195" i="54"/>
  <c r="A195" i="54"/>
  <c r="G194" i="54"/>
  <c r="F194" i="54"/>
  <c r="E194" i="54"/>
  <c r="D194" i="54"/>
  <c r="C194" i="54"/>
  <c r="B194" i="54"/>
  <c r="A194" i="54"/>
  <c r="G193" i="54"/>
  <c r="F193" i="54"/>
  <c r="E193" i="54"/>
  <c r="D193" i="54"/>
  <c r="C193" i="54"/>
  <c r="B193" i="54"/>
  <c r="A193" i="54"/>
  <c r="G192" i="54"/>
  <c r="F192" i="54"/>
  <c r="E192" i="54"/>
  <c r="D192" i="54"/>
  <c r="C192" i="54"/>
  <c r="B192" i="54"/>
  <c r="A192" i="54"/>
  <c r="G191" i="54"/>
  <c r="F191" i="54"/>
  <c r="E191" i="54"/>
  <c r="D191" i="54"/>
  <c r="C191" i="54"/>
  <c r="B191" i="54"/>
  <c r="A191" i="54"/>
  <c r="G190" i="54"/>
  <c r="F190" i="54"/>
  <c r="E190" i="54"/>
  <c r="D190" i="54"/>
  <c r="C190" i="54"/>
  <c r="B190" i="54"/>
  <c r="A190" i="54"/>
  <c r="G189" i="54"/>
  <c r="F189" i="54"/>
  <c r="E189" i="54"/>
  <c r="D189" i="54"/>
  <c r="C189" i="54"/>
  <c r="B189" i="54"/>
  <c r="A189" i="54"/>
  <c r="G188" i="54"/>
  <c r="F188" i="54"/>
  <c r="E188" i="54"/>
  <c r="D188" i="54"/>
  <c r="C188" i="54"/>
  <c r="B188" i="54"/>
  <c r="A188" i="54"/>
  <c r="G187" i="54"/>
  <c r="F187" i="54"/>
  <c r="E187" i="54"/>
  <c r="D187" i="54"/>
  <c r="C187" i="54"/>
  <c r="B187" i="54"/>
  <c r="A187" i="54"/>
  <c r="G186" i="54"/>
  <c r="F186" i="54"/>
  <c r="E186" i="54"/>
  <c r="D186" i="54"/>
  <c r="C186" i="54"/>
  <c r="B186" i="54"/>
  <c r="A186" i="54"/>
  <c r="G185" i="54"/>
  <c r="F185" i="54"/>
  <c r="E185" i="54"/>
  <c r="D185" i="54"/>
  <c r="C185" i="54"/>
  <c r="B185" i="54"/>
  <c r="A185" i="54"/>
  <c r="G184" i="54"/>
  <c r="F184" i="54"/>
  <c r="E184" i="54"/>
  <c r="D184" i="54"/>
  <c r="C184" i="54"/>
  <c r="B184" i="54"/>
  <c r="A184" i="54"/>
  <c r="G183" i="54"/>
  <c r="F183" i="54"/>
  <c r="E183" i="54"/>
  <c r="D183" i="54"/>
  <c r="C183" i="54"/>
  <c r="B183" i="54"/>
  <c r="A183" i="54"/>
  <c r="G182" i="54"/>
  <c r="F182" i="54"/>
  <c r="E182" i="54"/>
  <c r="D182" i="54"/>
  <c r="C182" i="54"/>
  <c r="B182" i="54"/>
  <c r="A182" i="54"/>
  <c r="G181" i="54"/>
  <c r="F181" i="54"/>
  <c r="E181" i="54"/>
  <c r="D181" i="54"/>
  <c r="C181" i="54"/>
  <c r="B181" i="54"/>
  <c r="A181" i="54"/>
  <c r="G180" i="54"/>
  <c r="F180" i="54"/>
  <c r="E180" i="54"/>
  <c r="D180" i="54"/>
  <c r="C180" i="54"/>
  <c r="B180" i="54"/>
  <c r="A180" i="54"/>
  <c r="G179" i="54"/>
  <c r="F179" i="54"/>
  <c r="E179" i="54"/>
  <c r="D179" i="54"/>
  <c r="C179" i="54"/>
  <c r="B179" i="54"/>
  <c r="A179" i="54"/>
  <c r="G178" i="54"/>
  <c r="F178" i="54"/>
  <c r="E178" i="54"/>
  <c r="D178" i="54"/>
  <c r="C178" i="54"/>
  <c r="B178" i="54"/>
  <c r="A178" i="54"/>
  <c r="G177" i="54"/>
  <c r="F177" i="54"/>
  <c r="E177" i="54"/>
  <c r="D177" i="54"/>
  <c r="C177" i="54"/>
  <c r="B177" i="54"/>
  <c r="A177" i="54"/>
  <c r="G176" i="54"/>
  <c r="F176" i="54"/>
  <c r="E176" i="54"/>
  <c r="D176" i="54"/>
  <c r="C176" i="54"/>
  <c r="B176" i="54"/>
  <c r="A176" i="54"/>
  <c r="G175" i="54"/>
  <c r="F175" i="54"/>
  <c r="E175" i="54"/>
  <c r="D175" i="54"/>
  <c r="C175" i="54"/>
  <c r="B175" i="54"/>
  <c r="A175" i="54"/>
  <c r="G174" i="54"/>
  <c r="F174" i="54"/>
  <c r="E174" i="54"/>
  <c r="D174" i="54"/>
  <c r="C174" i="54"/>
  <c r="B174" i="54"/>
  <c r="A174" i="54"/>
  <c r="G173" i="54"/>
  <c r="F173" i="54"/>
  <c r="E173" i="54"/>
  <c r="D173" i="54"/>
  <c r="C173" i="54"/>
  <c r="B173" i="54"/>
  <c r="A173" i="54"/>
  <c r="G172" i="54"/>
  <c r="F172" i="54"/>
  <c r="E172" i="54"/>
  <c r="D172" i="54"/>
  <c r="C172" i="54"/>
  <c r="B172" i="54"/>
  <c r="A172" i="54"/>
  <c r="G171" i="54"/>
  <c r="F171" i="54"/>
  <c r="E171" i="54"/>
  <c r="D171" i="54"/>
  <c r="C171" i="54"/>
  <c r="B171" i="54"/>
  <c r="A171" i="54"/>
  <c r="G170" i="54"/>
  <c r="F170" i="54"/>
  <c r="E170" i="54"/>
  <c r="D170" i="54"/>
  <c r="C170" i="54"/>
  <c r="B170" i="54"/>
  <c r="A170" i="54"/>
  <c r="G169" i="54"/>
  <c r="F169" i="54"/>
  <c r="E169" i="54"/>
  <c r="D169" i="54"/>
  <c r="C169" i="54"/>
  <c r="B169" i="54"/>
  <c r="A169" i="54"/>
  <c r="G168" i="54"/>
  <c r="F168" i="54"/>
  <c r="E168" i="54"/>
  <c r="D168" i="54"/>
  <c r="C168" i="54"/>
  <c r="B168" i="54"/>
  <c r="A168" i="54"/>
  <c r="G167" i="54"/>
  <c r="F167" i="54"/>
  <c r="E167" i="54"/>
  <c r="D167" i="54"/>
  <c r="C167" i="54"/>
  <c r="B167" i="54"/>
  <c r="A167" i="54"/>
  <c r="G166" i="54"/>
  <c r="F166" i="54"/>
  <c r="E166" i="54"/>
  <c r="D166" i="54"/>
  <c r="C166" i="54"/>
  <c r="B166" i="54"/>
  <c r="A166" i="54"/>
  <c r="G165" i="54"/>
  <c r="F165" i="54"/>
  <c r="E165" i="54"/>
  <c r="D165" i="54"/>
  <c r="C165" i="54"/>
  <c r="B165" i="54"/>
  <c r="A165" i="54"/>
  <c r="G164" i="54"/>
  <c r="F164" i="54"/>
  <c r="E164" i="54"/>
  <c r="D164" i="54"/>
  <c r="C164" i="54"/>
  <c r="B164" i="54"/>
  <c r="A164" i="54"/>
  <c r="G163" i="54"/>
  <c r="F163" i="54"/>
  <c r="E163" i="54"/>
  <c r="D163" i="54"/>
  <c r="C163" i="54"/>
  <c r="B163" i="54"/>
  <c r="A163" i="54"/>
  <c r="G162" i="54"/>
  <c r="F162" i="54"/>
  <c r="E162" i="54"/>
  <c r="D162" i="54"/>
  <c r="C162" i="54"/>
  <c r="B162" i="54"/>
  <c r="A162" i="54"/>
  <c r="G161" i="54"/>
  <c r="F161" i="54"/>
  <c r="E161" i="54"/>
  <c r="D161" i="54"/>
  <c r="C161" i="54"/>
  <c r="B161" i="54"/>
  <c r="A161" i="54"/>
  <c r="G160" i="54"/>
  <c r="F160" i="54"/>
  <c r="E160" i="54"/>
  <c r="D160" i="54"/>
  <c r="C160" i="54"/>
  <c r="B160" i="54"/>
  <c r="A160" i="54"/>
  <c r="G159" i="54"/>
  <c r="F159" i="54"/>
  <c r="E159" i="54"/>
  <c r="D159" i="54"/>
  <c r="C159" i="54"/>
  <c r="B159" i="54"/>
  <c r="A159" i="54"/>
  <c r="G158" i="54"/>
  <c r="F158" i="54"/>
  <c r="E158" i="54"/>
  <c r="D158" i="54"/>
  <c r="C158" i="54"/>
  <c r="B158" i="54"/>
  <c r="A158" i="54"/>
  <c r="G157" i="54"/>
  <c r="F157" i="54"/>
  <c r="E157" i="54"/>
  <c r="D157" i="54"/>
  <c r="C157" i="54"/>
  <c r="B157" i="54"/>
  <c r="A157" i="54"/>
  <c r="G156" i="54"/>
  <c r="F156" i="54"/>
  <c r="E156" i="54"/>
  <c r="D156" i="54"/>
  <c r="C156" i="54"/>
  <c r="B156" i="54"/>
  <c r="A156" i="54"/>
  <c r="G155" i="54"/>
  <c r="F155" i="54"/>
  <c r="E155" i="54"/>
  <c r="D155" i="54"/>
  <c r="C155" i="54"/>
  <c r="B155" i="54"/>
  <c r="A155" i="54"/>
  <c r="G154" i="54"/>
  <c r="F154" i="54"/>
  <c r="E154" i="54"/>
  <c r="D154" i="54"/>
  <c r="C154" i="54"/>
  <c r="B154" i="54"/>
  <c r="A154" i="54"/>
  <c r="G153" i="54"/>
  <c r="F153" i="54"/>
  <c r="E153" i="54"/>
  <c r="D153" i="54"/>
  <c r="C153" i="54"/>
  <c r="B153" i="54"/>
  <c r="A153" i="54"/>
  <c r="G152" i="54"/>
  <c r="F152" i="54"/>
  <c r="E152" i="54"/>
  <c r="D152" i="54"/>
  <c r="C152" i="54"/>
  <c r="B152" i="54"/>
  <c r="A152" i="54"/>
  <c r="G151" i="54"/>
  <c r="F151" i="54"/>
  <c r="E151" i="54"/>
  <c r="D151" i="54"/>
  <c r="C151" i="54"/>
  <c r="B151" i="54"/>
  <c r="A151" i="54"/>
  <c r="G150" i="54"/>
  <c r="F150" i="54"/>
  <c r="E150" i="54"/>
  <c r="D150" i="54"/>
  <c r="C150" i="54"/>
  <c r="B150" i="54"/>
  <c r="A150" i="54"/>
  <c r="G149" i="54"/>
  <c r="F149" i="54"/>
  <c r="E149" i="54"/>
  <c r="D149" i="54"/>
  <c r="C149" i="54"/>
  <c r="B149" i="54"/>
  <c r="A149" i="54"/>
  <c r="G148" i="54"/>
  <c r="F148" i="54"/>
  <c r="E148" i="54"/>
  <c r="D148" i="54"/>
  <c r="C148" i="54"/>
  <c r="B148" i="54"/>
  <c r="A148" i="54"/>
  <c r="G147" i="54"/>
  <c r="F147" i="54"/>
  <c r="E147" i="54"/>
  <c r="D147" i="54"/>
  <c r="C147" i="54"/>
  <c r="B147" i="54"/>
  <c r="A147" i="54"/>
  <c r="G146" i="54"/>
  <c r="F146" i="54"/>
  <c r="E146" i="54"/>
  <c r="D146" i="54"/>
  <c r="C146" i="54"/>
  <c r="B146" i="54"/>
  <c r="A146" i="54"/>
  <c r="G145" i="54"/>
  <c r="F145" i="54"/>
  <c r="E145" i="54"/>
  <c r="D145" i="54"/>
  <c r="C145" i="54"/>
  <c r="B145" i="54"/>
  <c r="A145" i="54"/>
  <c r="G144" i="54"/>
  <c r="F144" i="54"/>
  <c r="E144" i="54"/>
  <c r="D144" i="54"/>
  <c r="C144" i="54"/>
  <c r="B144" i="54"/>
  <c r="A144" i="54"/>
  <c r="G143" i="54"/>
  <c r="F143" i="54"/>
  <c r="E143" i="54"/>
  <c r="D143" i="54"/>
  <c r="C143" i="54"/>
  <c r="B143" i="54"/>
  <c r="A143" i="54"/>
  <c r="G142" i="54"/>
  <c r="F142" i="54"/>
  <c r="E142" i="54"/>
  <c r="D142" i="54"/>
  <c r="C142" i="54"/>
  <c r="B142" i="54"/>
  <c r="A142" i="54"/>
  <c r="G141" i="54"/>
  <c r="F141" i="54"/>
  <c r="E141" i="54"/>
  <c r="D141" i="54"/>
  <c r="C141" i="54"/>
  <c r="B141" i="54"/>
  <c r="A141" i="54"/>
  <c r="G140" i="54"/>
  <c r="F140" i="54"/>
  <c r="E140" i="54"/>
  <c r="D140" i="54"/>
  <c r="C140" i="54"/>
  <c r="B140" i="54"/>
  <c r="A140" i="54"/>
  <c r="G139" i="54"/>
  <c r="F139" i="54"/>
  <c r="E139" i="54"/>
  <c r="D139" i="54"/>
  <c r="C139" i="54"/>
  <c r="B139" i="54"/>
  <c r="A139" i="54"/>
  <c r="G138" i="54"/>
  <c r="F138" i="54"/>
  <c r="E138" i="54"/>
  <c r="D138" i="54"/>
  <c r="C138" i="54"/>
  <c r="B138" i="54"/>
  <c r="A138" i="54"/>
  <c r="G137" i="54"/>
  <c r="F137" i="54"/>
  <c r="E137" i="54"/>
  <c r="D137" i="54"/>
  <c r="C137" i="54"/>
  <c r="B137" i="54"/>
  <c r="A137" i="54"/>
  <c r="G136" i="54"/>
  <c r="F136" i="54"/>
  <c r="E136" i="54"/>
  <c r="D136" i="54"/>
  <c r="C136" i="54"/>
  <c r="B136" i="54"/>
  <c r="A136" i="54"/>
  <c r="G135" i="54"/>
  <c r="F135" i="54"/>
  <c r="E135" i="54"/>
  <c r="D135" i="54"/>
  <c r="C135" i="54"/>
  <c r="B135" i="54"/>
  <c r="A135" i="54"/>
  <c r="G134" i="54"/>
  <c r="F134" i="54"/>
  <c r="E134" i="54"/>
  <c r="D134" i="54"/>
  <c r="C134" i="54"/>
  <c r="B134" i="54"/>
  <c r="A134" i="54"/>
  <c r="G133" i="54"/>
  <c r="F133" i="54"/>
  <c r="E133" i="54"/>
  <c r="D133" i="54"/>
  <c r="C133" i="54"/>
  <c r="B133" i="54"/>
  <c r="A133" i="54"/>
  <c r="G132" i="54"/>
  <c r="F132" i="54"/>
  <c r="E132" i="54"/>
  <c r="D132" i="54"/>
  <c r="C132" i="54"/>
  <c r="B132" i="54"/>
  <c r="A132" i="54"/>
  <c r="G131" i="54"/>
  <c r="F131" i="54"/>
  <c r="E131" i="54"/>
  <c r="D131" i="54"/>
  <c r="C131" i="54"/>
  <c r="B131" i="54"/>
  <c r="A131" i="54"/>
  <c r="G130" i="54"/>
  <c r="F130" i="54"/>
  <c r="E130" i="54"/>
  <c r="D130" i="54"/>
  <c r="C130" i="54"/>
  <c r="B130" i="54"/>
  <c r="A130" i="54"/>
  <c r="G129" i="54"/>
  <c r="F129" i="54"/>
  <c r="E129" i="54"/>
  <c r="D129" i="54"/>
  <c r="C129" i="54"/>
  <c r="B129" i="54"/>
  <c r="A129" i="54"/>
  <c r="G128" i="54"/>
  <c r="F128" i="54"/>
  <c r="E128" i="54"/>
  <c r="D128" i="54"/>
  <c r="C128" i="54"/>
  <c r="B128" i="54"/>
  <c r="A128" i="54"/>
  <c r="G127" i="54"/>
  <c r="F127" i="54"/>
  <c r="E127" i="54"/>
  <c r="D127" i="54"/>
  <c r="C127" i="54"/>
  <c r="B127" i="54"/>
  <c r="A127" i="54"/>
  <c r="G126" i="54"/>
  <c r="F126" i="54"/>
  <c r="E126" i="54"/>
  <c r="D126" i="54"/>
  <c r="C126" i="54"/>
  <c r="B126" i="54"/>
  <c r="A126" i="54"/>
  <c r="G125" i="54"/>
  <c r="F125" i="54"/>
  <c r="E125" i="54"/>
  <c r="D125" i="54"/>
  <c r="C125" i="54"/>
  <c r="B125" i="54"/>
  <c r="A125" i="54"/>
  <c r="G124" i="54"/>
  <c r="F124" i="54"/>
  <c r="E124" i="54"/>
  <c r="D124" i="54"/>
  <c r="C124" i="54"/>
  <c r="B124" i="54"/>
  <c r="A124" i="54"/>
  <c r="G123" i="54"/>
  <c r="F123" i="54"/>
  <c r="E123" i="54"/>
  <c r="D123" i="54"/>
  <c r="C123" i="54"/>
  <c r="B123" i="54"/>
  <c r="A123" i="54"/>
  <c r="G122" i="54"/>
  <c r="F122" i="54"/>
  <c r="E122" i="54"/>
  <c r="D122" i="54"/>
  <c r="C122" i="54"/>
  <c r="B122" i="54"/>
  <c r="A122" i="54"/>
  <c r="G121" i="54"/>
  <c r="F121" i="54"/>
  <c r="E121" i="54"/>
  <c r="D121" i="54"/>
  <c r="C121" i="54"/>
  <c r="B121" i="54"/>
  <c r="A121" i="54"/>
  <c r="G120" i="54"/>
  <c r="F120" i="54"/>
  <c r="E120" i="54"/>
  <c r="D120" i="54"/>
  <c r="C120" i="54"/>
  <c r="B120" i="54"/>
  <c r="A120" i="54"/>
  <c r="G119" i="54"/>
  <c r="F119" i="54"/>
  <c r="E119" i="54"/>
  <c r="D119" i="54"/>
  <c r="C119" i="54"/>
  <c r="B119" i="54"/>
  <c r="A119" i="54"/>
  <c r="G118" i="54"/>
  <c r="F118" i="54"/>
  <c r="E118" i="54"/>
  <c r="D118" i="54"/>
  <c r="C118" i="54"/>
  <c r="B118" i="54"/>
  <c r="A118" i="54"/>
  <c r="G117" i="54"/>
  <c r="F117" i="54"/>
  <c r="E117" i="54"/>
  <c r="D117" i="54"/>
  <c r="C117" i="54"/>
  <c r="B117" i="54"/>
  <c r="A117" i="54"/>
  <c r="G116" i="54"/>
  <c r="F116" i="54"/>
  <c r="E116" i="54"/>
  <c r="D116" i="54"/>
  <c r="C116" i="54"/>
  <c r="B116" i="54"/>
  <c r="A116" i="54"/>
  <c r="G115" i="54"/>
  <c r="F115" i="54"/>
  <c r="E115" i="54"/>
  <c r="D115" i="54"/>
  <c r="C115" i="54"/>
  <c r="B115" i="54"/>
  <c r="A115" i="54"/>
  <c r="G114" i="54"/>
  <c r="F114" i="54"/>
  <c r="E114" i="54"/>
  <c r="D114" i="54"/>
  <c r="C114" i="54"/>
  <c r="B114" i="54"/>
  <c r="A114" i="54"/>
  <c r="G113" i="54"/>
  <c r="F113" i="54"/>
  <c r="E113" i="54"/>
  <c r="D113" i="54"/>
  <c r="C113" i="54"/>
  <c r="B113" i="54"/>
  <c r="A113" i="54"/>
  <c r="G112" i="54"/>
  <c r="F112" i="54"/>
  <c r="E112" i="54"/>
  <c r="D112" i="54"/>
  <c r="C112" i="54"/>
  <c r="B112" i="54"/>
  <c r="A112" i="54"/>
  <c r="G111" i="54"/>
  <c r="F111" i="54"/>
  <c r="E111" i="54"/>
  <c r="D111" i="54"/>
  <c r="C111" i="54"/>
  <c r="B111" i="54"/>
  <c r="A111" i="54"/>
  <c r="G110" i="54"/>
  <c r="F110" i="54"/>
  <c r="E110" i="54"/>
  <c r="D110" i="54"/>
  <c r="C110" i="54"/>
  <c r="B110" i="54"/>
  <c r="A110" i="54"/>
  <c r="G109" i="54"/>
  <c r="F109" i="54"/>
  <c r="E109" i="54"/>
  <c r="D109" i="54"/>
  <c r="C109" i="54"/>
  <c r="B109" i="54"/>
  <c r="A109" i="54"/>
  <c r="G108" i="54"/>
  <c r="F108" i="54"/>
  <c r="E108" i="54"/>
  <c r="D108" i="54"/>
  <c r="C108" i="54"/>
  <c r="B108" i="54"/>
  <c r="A108" i="54"/>
  <c r="G107" i="54"/>
  <c r="F107" i="54"/>
  <c r="E107" i="54"/>
  <c r="D107" i="54"/>
  <c r="C107" i="54"/>
  <c r="B107" i="54"/>
  <c r="A107" i="54"/>
  <c r="G106" i="54"/>
  <c r="F106" i="54"/>
  <c r="E106" i="54"/>
  <c r="D106" i="54"/>
  <c r="C106" i="54"/>
  <c r="B106" i="54"/>
  <c r="A106" i="54"/>
  <c r="G105" i="54"/>
  <c r="F105" i="54"/>
  <c r="E105" i="54"/>
  <c r="D105" i="54"/>
  <c r="C105" i="54"/>
  <c r="B105" i="54"/>
  <c r="A105" i="54"/>
  <c r="G104" i="54"/>
  <c r="F104" i="54"/>
  <c r="E104" i="54"/>
  <c r="D104" i="54"/>
  <c r="C104" i="54"/>
  <c r="B104" i="54"/>
  <c r="A104" i="54"/>
  <c r="G103" i="54"/>
  <c r="F103" i="54"/>
  <c r="E103" i="54"/>
  <c r="D103" i="54"/>
  <c r="C103" i="54"/>
  <c r="B103" i="54"/>
  <c r="A103" i="54"/>
  <c r="G102" i="54"/>
  <c r="F102" i="54"/>
  <c r="E102" i="54"/>
  <c r="D102" i="54"/>
  <c r="C102" i="54"/>
  <c r="B102" i="54"/>
  <c r="A102" i="54"/>
  <c r="G101" i="54"/>
  <c r="F101" i="54"/>
  <c r="E101" i="54"/>
  <c r="D101" i="54"/>
  <c r="C101" i="54"/>
  <c r="B101" i="54"/>
  <c r="A101" i="54"/>
  <c r="G100" i="54"/>
  <c r="F100" i="54"/>
  <c r="E100" i="54"/>
  <c r="D100" i="54"/>
  <c r="C100" i="54"/>
  <c r="B100" i="54"/>
  <c r="A100" i="54"/>
  <c r="G99" i="54"/>
  <c r="F99" i="54"/>
  <c r="E99" i="54"/>
  <c r="D99" i="54"/>
  <c r="C99" i="54"/>
  <c r="B99" i="54"/>
  <c r="A99" i="54"/>
  <c r="G98" i="54"/>
  <c r="F98" i="54"/>
  <c r="E98" i="54"/>
  <c r="D98" i="54"/>
  <c r="C98" i="54"/>
  <c r="B98" i="54"/>
  <c r="A98" i="54"/>
  <c r="G97" i="54"/>
  <c r="F97" i="54"/>
  <c r="E97" i="54"/>
  <c r="D97" i="54"/>
  <c r="C97" i="54"/>
  <c r="B97" i="54"/>
  <c r="A97" i="54"/>
  <c r="G96" i="54"/>
  <c r="F96" i="54"/>
  <c r="E96" i="54"/>
  <c r="D96" i="54"/>
  <c r="C96" i="54"/>
  <c r="B96" i="54"/>
  <c r="A96" i="54"/>
  <c r="G95" i="54"/>
  <c r="F95" i="54"/>
  <c r="E95" i="54"/>
  <c r="D95" i="54"/>
  <c r="C95" i="54"/>
  <c r="B95" i="54"/>
  <c r="A95" i="54"/>
  <c r="G94" i="54"/>
  <c r="F94" i="54"/>
  <c r="E94" i="54"/>
  <c r="D94" i="54"/>
  <c r="C94" i="54"/>
  <c r="B94" i="54"/>
  <c r="A94" i="54"/>
  <c r="G93" i="54"/>
  <c r="F93" i="54"/>
  <c r="E93" i="54"/>
  <c r="D93" i="54"/>
  <c r="C93" i="54"/>
  <c r="B93" i="54"/>
  <c r="A93" i="54"/>
  <c r="G92" i="54"/>
  <c r="F92" i="54"/>
  <c r="E92" i="54"/>
  <c r="D92" i="54"/>
  <c r="C92" i="54"/>
  <c r="B92" i="54"/>
  <c r="A92" i="54"/>
  <c r="G91" i="54"/>
  <c r="F91" i="54"/>
  <c r="E91" i="54"/>
  <c r="D91" i="54"/>
  <c r="C91" i="54"/>
  <c r="B91" i="54"/>
  <c r="A91" i="54"/>
  <c r="G90" i="54"/>
  <c r="F90" i="54"/>
  <c r="E90" i="54"/>
  <c r="D90" i="54"/>
  <c r="C90" i="54"/>
  <c r="B90" i="54"/>
  <c r="A90" i="54"/>
  <c r="G89" i="54"/>
  <c r="F89" i="54"/>
  <c r="E89" i="54"/>
  <c r="D89" i="54"/>
  <c r="C89" i="54"/>
  <c r="B89" i="54"/>
  <c r="A89" i="54"/>
  <c r="G88" i="54"/>
  <c r="F88" i="54"/>
  <c r="E88" i="54"/>
  <c r="D88" i="54"/>
  <c r="C88" i="54"/>
  <c r="B88" i="54"/>
  <c r="A88" i="54"/>
  <c r="G87" i="54"/>
  <c r="F87" i="54"/>
  <c r="E87" i="54"/>
  <c r="D87" i="54"/>
  <c r="C87" i="54"/>
  <c r="B87" i="54"/>
  <c r="A87" i="54"/>
  <c r="G86" i="54"/>
  <c r="F86" i="54"/>
  <c r="E86" i="54"/>
  <c r="D86" i="54"/>
  <c r="C86" i="54"/>
  <c r="B86" i="54"/>
  <c r="A86" i="54"/>
  <c r="G85" i="54"/>
  <c r="F85" i="54"/>
  <c r="E85" i="54"/>
  <c r="D85" i="54"/>
  <c r="C85" i="54"/>
  <c r="B85" i="54"/>
  <c r="A85" i="54"/>
  <c r="G84" i="54"/>
  <c r="F84" i="54"/>
  <c r="E84" i="54"/>
  <c r="D84" i="54"/>
  <c r="C84" i="54"/>
  <c r="B84" i="54"/>
  <c r="A84" i="54"/>
  <c r="G83" i="54"/>
  <c r="F83" i="54"/>
  <c r="E83" i="54"/>
  <c r="D83" i="54"/>
  <c r="C83" i="54"/>
  <c r="B83" i="54"/>
  <c r="A83" i="54"/>
  <c r="G82" i="54"/>
  <c r="F82" i="54"/>
  <c r="E82" i="54"/>
  <c r="D82" i="54"/>
  <c r="C82" i="54"/>
  <c r="B82" i="54"/>
  <c r="A82" i="54"/>
  <c r="G81" i="54"/>
  <c r="F81" i="54"/>
  <c r="E81" i="54"/>
  <c r="D81" i="54"/>
  <c r="C81" i="54"/>
  <c r="B81" i="54"/>
  <c r="A81" i="54"/>
  <c r="G80" i="54"/>
  <c r="F80" i="54"/>
  <c r="E80" i="54"/>
  <c r="D80" i="54"/>
  <c r="C80" i="54"/>
  <c r="B80" i="54"/>
  <c r="A80" i="54"/>
  <c r="G79" i="54"/>
  <c r="F79" i="54"/>
  <c r="E79" i="54"/>
  <c r="D79" i="54"/>
  <c r="C79" i="54"/>
  <c r="B79" i="54"/>
  <c r="A79" i="54"/>
  <c r="G78" i="54"/>
  <c r="F78" i="54"/>
  <c r="E78" i="54"/>
  <c r="D78" i="54"/>
  <c r="C78" i="54"/>
  <c r="B78" i="54"/>
  <c r="A78" i="54"/>
  <c r="G77" i="54"/>
  <c r="F77" i="54"/>
  <c r="E77" i="54"/>
  <c r="D77" i="54"/>
  <c r="C77" i="54"/>
  <c r="B77" i="54"/>
  <c r="A77" i="54"/>
  <c r="G76" i="54"/>
  <c r="F76" i="54"/>
  <c r="E76" i="54"/>
  <c r="D76" i="54"/>
  <c r="C76" i="54"/>
  <c r="B76" i="54"/>
  <c r="A76" i="54"/>
  <c r="G75" i="54"/>
  <c r="F75" i="54"/>
  <c r="E75" i="54"/>
  <c r="D75" i="54"/>
  <c r="C75" i="54"/>
  <c r="B75" i="54"/>
  <c r="A75" i="54"/>
  <c r="G74" i="54"/>
  <c r="F74" i="54"/>
  <c r="E74" i="54"/>
  <c r="D74" i="54"/>
  <c r="C74" i="54"/>
  <c r="B74" i="54"/>
  <c r="A74" i="54"/>
  <c r="G73" i="54"/>
  <c r="F73" i="54"/>
  <c r="E73" i="54"/>
  <c r="D73" i="54"/>
  <c r="C73" i="54"/>
  <c r="B73" i="54"/>
  <c r="A73" i="54"/>
  <c r="G72" i="54"/>
  <c r="F72" i="54"/>
  <c r="E72" i="54"/>
  <c r="D72" i="54"/>
  <c r="C72" i="54"/>
  <c r="B72" i="54"/>
  <c r="A72" i="54"/>
  <c r="G71" i="54"/>
  <c r="F71" i="54"/>
  <c r="E71" i="54"/>
  <c r="D71" i="54"/>
  <c r="C71" i="54"/>
  <c r="B71" i="54"/>
  <c r="A71" i="54"/>
  <c r="G70" i="54"/>
  <c r="F70" i="54"/>
  <c r="E70" i="54"/>
  <c r="D70" i="54"/>
  <c r="C70" i="54"/>
  <c r="B70" i="54"/>
  <c r="A70" i="54"/>
  <c r="G69" i="54"/>
  <c r="F69" i="54"/>
  <c r="E69" i="54"/>
  <c r="D69" i="54"/>
  <c r="C69" i="54"/>
  <c r="B69" i="54"/>
  <c r="A69" i="54"/>
  <c r="G68" i="54"/>
  <c r="F68" i="54"/>
  <c r="E68" i="54"/>
  <c r="D68" i="54"/>
  <c r="C68" i="54"/>
  <c r="B68" i="54"/>
  <c r="A68" i="54"/>
  <c r="G67" i="54"/>
  <c r="F67" i="54"/>
  <c r="E67" i="54"/>
  <c r="D67" i="54"/>
  <c r="C67" i="54"/>
  <c r="B67" i="54"/>
  <c r="A67" i="54"/>
  <c r="G66" i="54"/>
  <c r="F66" i="54"/>
  <c r="E66" i="54"/>
  <c r="D66" i="54"/>
  <c r="C66" i="54"/>
  <c r="B66" i="54"/>
  <c r="A66" i="54"/>
  <c r="G65" i="54"/>
  <c r="F65" i="54"/>
  <c r="E65" i="54"/>
  <c r="D65" i="54"/>
  <c r="C65" i="54"/>
  <c r="B65" i="54"/>
  <c r="A65" i="54"/>
  <c r="G64" i="54"/>
  <c r="F64" i="54"/>
  <c r="E64" i="54"/>
  <c r="D64" i="54"/>
  <c r="C64" i="54"/>
  <c r="B64" i="54"/>
  <c r="A64" i="54"/>
  <c r="G63" i="54"/>
  <c r="F63" i="54"/>
  <c r="E63" i="54"/>
  <c r="D63" i="54"/>
  <c r="C63" i="54"/>
  <c r="B63" i="54"/>
  <c r="A63" i="54"/>
  <c r="G62" i="54"/>
  <c r="F62" i="54"/>
  <c r="E62" i="54"/>
  <c r="D62" i="54"/>
  <c r="C62" i="54"/>
  <c r="B62" i="54"/>
  <c r="A62" i="54"/>
  <c r="G61" i="54"/>
  <c r="F61" i="54"/>
  <c r="E61" i="54"/>
  <c r="D61" i="54"/>
  <c r="C61" i="54"/>
  <c r="B61" i="54"/>
  <c r="A61" i="54"/>
  <c r="G60" i="54"/>
  <c r="F60" i="54"/>
  <c r="E60" i="54"/>
  <c r="D60" i="54"/>
  <c r="C60" i="54"/>
  <c r="B60" i="54"/>
  <c r="A60" i="54"/>
  <c r="G59" i="54"/>
  <c r="F59" i="54"/>
  <c r="E59" i="54"/>
  <c r="D59" i="54"/>
  <c r="C59" i="54"/>
  <c r="B59" i="54"/>
  <c r="A59" i="54"/>
  <c r="G58" i="54"/>
  <c r="F58" i="54"/>
  <c r="E58" i="54"/>
  <c r="D58" i="54"/>
  <c r="C58" i="54"/>
  <c r="B58" i="54"/>
  <c r="A58" i="54"/>
  <c r="G57" i="54"/>
  <c r="F57" i="54"/>
  <c r="E57" i="54"/>
  <c r="D57" i="54"/>
  <c r="C57" i="54"/>
  <c r="B57" i="54"/>
  <c r="A57" i="54"/>
  <c r="G56" i="54"/>
  <c r="F56" i="54"/>
  <c r="E56" i="54"/>
  <c r="D56" i="54"/>
  <c r="C56" i="54"/>
  <c r="B56" i="54"/>
  <c r="A56" i="54"/>
  <c r="G55" i="54"/>
  <c r="F55" i="54"/>
  <c r="E55" i="54"/>
  <c r="D55" i="54"/>
  <c r="C55" i="54"/>
  <c r="B55" i="54"/>
  <c r="A55" i="54"/>
  <c r="G54" i="54"/>
  <c r="F54" i="54"/>
  <c r="E54" i="54"/>
  <c r="D54" i="54"/>
  <c r="C54" i="54"/>
  <c r="B54" i="54"/>
  <c r="A54" i="54"/>
  <c r="G53" i="54"/>
  <c r="F53" i="54"/>
  <c r="E53" i="54"/>
  <c r="D53" i="54"/>
  <c r="C53" i="54"/>
  <c r="B53" i="54"/>
  <c r="A53" i="54"/>
  <c r="G52" i="54"/>
  <c r="F52" i="54"/>
  <c r="E52" i="54"/>
  <c r="D52" i="54"/>
  <c r="C52" i="54"/>
  <c r="B52" i="54"/>
  <c r="A52" i="54"/>
  <c r="G51" i="54"/>
  <c r="F51" i="54"/>
  <c r="E51" i="54"/>
  <c r="D51" i="54"/>
  <c r="C51" i="54"/>
  <c r="B51" i="54"/>
  <c r="A51" i="54"/>
  <c r="G50" i="54"/>
  <c r="F50" i="54"/>
  <c r="E50" i="54"/>
  <c r="D50" i="54"/>
  <c r="C50" i="54"/>
  <c r="B50" i="54"/>
  <c r="A50" i="54"/>
  <c r="G49" i="54"/>
  <c r="F49" i="54"/>
  <c r="E49" i="54"/>
  <c r="D49" i="54"/>
  <c r="C49" i="54"/>
  <c r="B49" i="54"/>
  <c r="A49" i="54"/>
  <c r="G48" i="54"/>
  <c r="F48" i="54"/>
  <c r="E48" i="54"/>
  <c r="D48" i="54"/>
  <c r="C48" i="54"/>
  <c r="B48" i="54"/>
  <c r="A48" i="54"/>
  <c r="G47" i="54"/>
  <c r="F47" i="54"/>
  <c r="E47" i="54"/>
  <c r="D47" i="54"/>
  <c r="C47" i="54"/>
  <c r="B47" i="54"/>
  <c r="A47" i="54"/>
  <c r="G46" i="54"/>
  <c r="F46" i="54"/>
  <c r="E46" i="54"/>
  <c r="D46" i="54"/>
  <c r="C46" i="54"/>
  <c r="B46" i="54"/>
  <c r="A46" i="54"/>
  <c r="G45" i="54"/>
  <c r="F45" i="54"/>
  <c r="E45" i="54"/>
  <c r="D45" i="54"/>
  <c r="C45" i="54"/>
  <c r="B45" i="54"/>
  <c r="A45" i="54"/>
  <c r="G44" i="54"/>
  <c r="F44" i="54"/>
  <c r="E44" i="54"/>
  <c r="D44" i="54"/>
  <c r="C44" i="54"/>
  <c r="B44" i="54"/>
  <c r="A44" i="54"/>
  <c r="G43" i="54"/>
  <c r="F43" i="54"/>
  <c r="E43" i="54"/>
  <c r="D43" i="54"/>
  <c r="C43" i="54"/>
  <c r="B43" i="54"/>
  <c r="A43" i="54"/>
  <c r="G42" i="54"/>
  <c r="F42" i="54"/>
  <c r="E42" i="54"/>
  <c r="D42" i="54"/>
  <c r="C42" i="54"/>
  <c r="B42" i="54"/>
  <c r="A42" i="54"/>
  <c r="G41" i="54"/>
  <c r="F41" i="54"/>
  <c r="E41" i="54"/>
  <c r="D41" i="54"/>
  <c r="C41" i="54"/>
  <c r="B41" i="54"/>
  <c r="A41" i="54"/>
  <c r="G40" i="54"/>
  <c r="F40" i="54"/>
  <c r="E40" i="54"/>
  <c r="D40" i="54"/>
  <c r="C40" i="54"/>
  <c r="B40" i="54"/>
  <c r="A40" i="54"/>
  <c r="G39" i="54"/>
  <c r="F39" i="54"/>
  <c r="E39" i="54"/>
  <c r="D39" i="54"/>
  <c r="C39" i="54"/>
  <c r="B39" i="54"/>
  <c r="A39" i="54"/>
  <c r="G38" i="54"/>
  <c r="F38" i="54"/>
  <c r="E38" i="54"/>
  <c r="D38" i="54"/>
  <c r="C38" i="54"/>
  <c r="B38" i="54"/>
  <c r="A38" i="54"/>
  <c r="G37" i="54"/>
  <c r="F37" i="54"/>
  <c r="E37" i="54"/>
  <c r="D37" i="54"/>
  <c r="C37" i="54"/>
  <c r="B37" i="54"/>
  <c r="A37" i="54"/>
  <c r="G36" i="54"/>
  <c r="F36" i="54"/>
  <c r="E36" i="54"/>
  <c r="D36" i="54"/>
  <c r="C36" i="54"/>
  <c r="B36" i="54"/>
  <c r="A36" i="54"/>
  <c r="G35" i="54"/>
  <c r="F35" i="54"/>
  <c r="E35" i="54"/>
  <c r="D35" i="54"/>
  <c r="C35" i="54"/>
  <c r="B35" i="54"/>
  <c r="A35" i="54"/>
  <c r="G34" i="54"/>
  <c r="F34" i="54"/>
  <c r="E34" i="54"/>
  <c r="D34" i="54"/>
  <c r="C34" i="54"/>
  <c r="B34" i="54"/>
  <c r="A34" i="54"/>
  <c r="G33" i="54"/>
  <c r="F33" i="54"/>
  <c r="E33" i="54"/>
  <c r="D33" i="54"/>
  <c r="C33" i="54"/>
  <c r="B33" i="54"/>
  <c r="A33" i="54"/>
  <c r="G32" i="54"/>
  <c r="F32" i="54"/>
  <c r="E32" i="54"/>
  <c r="D32" i="54"/>
  <c r="C32" i="54"/>
  <c r="B32" i="54"/>
  <c r="A32" i="54"/>
  <c r="G31" i="54"/>
  <c r="F31" i="54"/>
  <c r="E31" i="54"/>
  <c r="D31" i="54"/>
  <c r="C31" i="54"/>
  <c r="B31" i="54"/>
  <c r="A31" i="54"/>
  <c r="G30" i="54"/>
  <c r="F30" i="54"/>
  <c r="E30" i="54"/>
  <c r="D30" i="54"/>
  <c r="C30" i="54"/>
  <c r="B30" i="54"/>
  <c r="A30" i="54"/>
  <c r="G29" i="54"/>
  <c r="F29" i="54"/>
  <c r="E29" i="54"/>
  <c r="D29" i="54"/>
  <c r="C29" i="54"/>
  <c r="B29" i="54"/>
  <c r="A29" i="54"/>
  <c r="G28" i="54"/>
  <c r="F28" i="54"/>
  <c r="E28" i="54"/>
  <c r="D28" i="54"/>
  <c r="C28" i="54"/>
  <c r="B28" i="54"/>
  <c r="A28" i="54"/>
  <c r="G27" i="54"/>
  <c r="F27" i="54"/>
  <c r="E27" i="54"/>
  <c r="D27" i="54"/>
  <c r="C27" i="54"/>
  <c r="B27" i="54"/>
  <c r="A27" i="54"/>
  <c r="G26" i="54"/>
  <c r="F26" i="54"/>
  <c r="E26" i="54"/>
  <c r="D26" i="54"/>
  <c r="C26" i="54"/>
  <c r="B26" i="54"/>
  <c r="A26" i="54"/>
  <c r="G25" i="54"/>
  <c r="F25" i="54"/>
  <c r="E25" i="54"/>
  <c r="D25" i="54"/>
  <c r="C25" i="54"/>
  <c r="B25" i="54"/>
  <c r="A25" i="54"/>
  <c r="G24" i="54"/>
  <c r="F24" i="54"/>
  <c r="E24" i="54"/>
  <c r="D24" i="54"/>
  <c r="C24" i="54"/>
  <c r="B24" i="54"/>
  <c r="A24" i="54"/>
  <c r="G23" i="54"/>
  <c r="F23" i="54"/>
  <c r="E23" i="54"/>
  <c r="D23" i="54"/>
  <c r="C23" i="54"/>
  <c r="B23" i="54"/>
  <c r="A23" i="54"/>
  <c r="G22" i="54"/>
  <c r="F22" i="54"/>
  <c r="E22" i="54"/>
  <c r="D22" i="54"/>
  <c r="C22" i="54"/>
  <c r="B22" i="54"/>
  <c r="A22" i="54"/>
  <c r="G21" i="54"/>
  <c r="F21" i="54"/>
  <c r="E21" i="54"/>
  <c r="D21" i="54"/>
  <c r="C21" i="54"/>
  <c r="B21" i="54"/>
  <c r="A21" i="54"/>
  <c r="G20" i="54"/>
  <c r="F20" i="54"/>
  <c r="E20" i="54"/>
  <c r="D20" i="54"/>
  <c r="C20" i="54"/>
  <c r="B20" i="54"/>
  <c r="A20" i="54"/>
  <c r="G19" i="54"/>
  <c r="F19" i="54"/>
  <c r="E19" i="54"/>
  <c r="D19" i="54"/>
  <c r="C19" i="54"/>
  <c r="B19" i="54"/>
  <c r="A19" i="54"/>
  <c r="G18" i="54"/>
  <c r="F18" i="54"/>
  <c r="E18" i="54"/>
  <c r="D18" i="54"/>
  <c r="C18" i="54"/>
  <c r="B18" i="54"/>
  <c r="A18" i="54"/>
  <c r="G17" i="54"/>
  <c r="F17" i="54"/>
  <c r="E17" i="54"/>
  <c r="D17" i="54"/>
  <c r="C17" i="54"/>
  <c r="B17" i="54"/>
  <c r="A17" i="54"/>
  <c r="G16" i="54"/>
  <c r="F16" i="54"/>
  <c r="E16" i="54"/>
  <c r="D16" i="54"/>
  <c r="C16" i="54"/>
  <c r="B16" i="54"/>
  <c r="A16" i="54"/>
  <c r="G15" i="54"/>
  <c r="F15" i="54"/>
  <c r="E15" i="54"/>
  <c r="D15" i="54"/>
  <c r="C15" i="54"/>
  <c r="B15" i="54"/>
  <c r="A15" i="54"/>
  <c r="G14" i="54"/>
  <c r="F14" i="54"/>
  <c r="E14" i="54"/>
  <c r="D14" i="54"/>
  <c r="C14" i="54"/>
  <c r="B14" i="54"/>
  <c r="A14" i="54"/>
  <c r="G13" i="54"/>
  <c r="F13" i="54"/>
  <c r="E13" i="54"/>
  <c r="D13" i="54"/>
  <c r="C13" i="54"/>
  <c r="B13" i="54"/>
  <c r="A13" i="54"/>
  <c r="G12" i="54"/>
  <c r="F12" i="54"/>
  <c r="E12" i="54"/>
  <c r="D12" i="54"/>
  <c r="C12" i="54"/>
  <c r="B12" i="54"/>
  <c r="A12" i="54"/>
  <c r="G11" i="54"/>
  <c r="F11" i="54"/>
  <c r="E11" i="54"/>
  <c r="D11" i="54"/>
  <c r="C11" i="54"/>
  <c r="B11" i="54"/>
  <c r="A11" i="54"/>
  <c r="G10" i="54"/>
  <c r="F10" i="54"/>
  <c r="E10" i="54"/>
  <c r="D10" i="54"/>
  <c r="C10" i="54"/>
  <c r="B10" i="54"/>
  <c r="A10" i="54"/>
  <c r="G9" i="54"/>
  <c r="F9" i="54"/>
  <c r="E9" i="54"/>
  <c r="D9" i="54"/>
  <c r="C9" i="54"/>
  <c r="B9" i="54"/>
  <c r="A9" i="54"/>
  <c r="G8" i="54"/>
  <c r="F8" i="54"/>
  <c r="E8" i="54"/>
  <c r="D8" i="54"/>
  <c r="C8" i="54"/>
  <c r="B8" i="54"/>
  <c r="A8" i="54"/>
  <c r="G7" i="54"/>
  <c r="F7" i="54"/>
  <c r="E7" i="54"/>
  <c r="D7" i="54"/>
  <c r="C7" i="54"/>
  <c r="B7" i="54"/>
  <c r="A7" i="54"/>
  <c r="G6" i="54"/>
  <c r="F6" i="54"/>
  <c r="E6" i="54"/>
  <c r="D6" i="54"/>
  <c r="C6" i="54"/>
  <c r="B6" i="54"/>
  <c r="A6" i="54"/>
  <c r="G5" i="54"/>
  <c r="F5" i="54"/>
  <c r="E5" i="54"/>
  <c r="D5" i="54"/>
  <c r="C5" i="54"/>
  <c r="B5" i="54"/>
  <c r="A5" i="54"/>
  <c r="G4" i="54"/>
  <c r="F4" i="54"/>
  <c r="E4" i="54"/>
  <c r="D4" i="54"/>
  <c r="C4" i="54"/>
  <c r="B4" i="54"/>
  <c r="A4" i="54"/>
  <c r="G3" i="54"/>
  <c r="F3" i="54"/>
  <c r="E3" i="54"/>
  <c r="D3" i="54"/>
  <c r="C3" i="54"/>
  <c r="B3" i="54"/>
  <c r="A3" i="54"/>
  <c r="G2" i="54"/>
  <c r="F2" i="54"/>
  <c r="E2" i="54"/>
  <c r="D2" i="54"/>
  <c r="C2" i="54"/>
  <c r="B2" i="54"/>
  <c r="A2" i="54"/>
  <c r="G1" i="54"/>
  <c r="F1" i="54"/>
  <c r="E1" i="54"/>
  <c r="D1" i="54"/>
  <c r="C1" i="54"/>
  <c r="B1" i="54"/>
  <c r="A1" i="54"/>
  <c r="H236" i="53"/>
  <c r="G236" i="53"/>
  <c r="F236" i="53"/>
  <c r="E236" i="53"/>
  <c r="D236" i="53"/>
  <c r="C236" i="53"/>
  <c r="B236" i="53"/>
  <c r="A236" i="53"/>
  <c r="H235" i="53"/>
  <c r="G235" i="53"/>
  <c r="F235" i="53"/>
  <c r="E235" i="53"/>
  <c r="D235" i="53"/>
  <c r="C235" i="53"/>
  <c r="B235" i="53"/>
  <c r="A235" i="53"/>
  <c r="H234" i="53"/>
  <c r="G234" i="53"/>
  <c r="F234" i="53"/>
  <c r="E234" i="53"/>
  <c r="D234" i="53"/>
  <c r="C234" i="53"/>
  <c r="B234" i="53"/>
  <c r="A234" i="53"/>
  <c r="H233" i="53"/>
  <c r="G233" i="53"/>
  <c r="F233" i="53"/>
  <c r="E233" i="53"/>
  <c r="D233" i="53"/>
  <c r="C233" i="53"/>
  <c r="B233" i="53"/>
  <c r="A233" i="53"/>
  <c r="H232" i="53"/>
  <c r="G232" i="53"/>
  <c r="F232" i="53"/>
  <c r="E232" i="53"/>
  <c r="D232" i="53"/>
  <c r="C232" i="53"/>
  <c r="B232" i="53"/>
  <c r="A232" i="53"/>
  <c r="H231" i="53"/>
  <c r="G231" i="53"/>
  <c r="F231" i="53"/>
  <c r="E231" i="53"/>
  <c r="D231" i="53"/>
  <c r="C231" i="53"/>
  <c r="B231" i="53"/>
  <c r="A231" i="53"/>
  <c r="H230" i="53"/>
  <c r="G230" i="53"/>
  <c r="F230" i="53"/>
  <c r="E230" i="53"/>
  <c r="D230" i="53"/>
  <c r="C230" i="53"/>
  <c r="B230" i="53"/>
  <c r="A230" i="53"/>
  <c r="H229" i="53"/>
  <c r="G229" i="53"/>
  <c r="F229" i="53"/>
  <c r="E229" i="53"/>
  <c r="D229" i="53"/>
  <c r="C229" i="53"/>
  <c r="B229" i="53"/>
  <c r="A229" i="53"/>
  <c r="H228" i="53"/>
  <c r="G228" i="53"/>
  <c r="F228" i="53"/>
  <c r="E228" i="53"/>
  <c r="D228" i="53"/>
  <c r="C228" i="53"/>
  <c r="B228" i="53"/>
  <c r="A228" i="53"/>
  <c r="H227" i="53"/>
  <c r="G227" i="53"/>
  <c r="F227" i="53"/>
  <c r="E227" i="53"/>
  <c r="D227" i="53"/>
  <c r="C227" i="53"/>
  <c r="B227" i="53"/>
  <c r="A227" i="53"/>
  <c r="H226" i="53"/>
  <c r="G226" i="53"/>
  <c r="F226" i="53"/>
  <c r="E226" i="53"/>
  <c r="D226" i="53"/>
  <c r="C226" i="53"/>
  <c r="B226" i="53"/>
  <c r="A226" i="53"/>
  <c r="H225" i="53"/>
  <c r="G225" i="53"/>
  <c r="F225" i="53"/>
  <c r="E225" i="53"/>
  <c r="D225" i="53"/>
  <c r="C225" i="53"/>
  <c r="B225" i="53"/>
  <c r="A225" i="53"/>
  <c r="H224" i="53"/>
  <c r="G224" i="53"/>
  <c r="F224" i="53"/>
  <c r="E224" i="53"/>
  <c r="D224" i="53"/>
  <c r="C224" i="53"/>
  <c r="B224" i="53"/>
  <c r="A224" i="53"/>
  <c r="H223" i="53"/>
  <c r="G223" i="53"/>
  <c r="F223" i="53"/>
  <c r="E223" i="53"/>
  <c r="D223" i="53"/>
  <c r="C223" i="53"/>
  <c r="B223" i="53"/>
  <c r="A223" i="53"/>
  <c r="H222" i="53"/>
  <c r="G222" i="53"/>
  <c r="F222" i="53"/>
  <c r="E222" i="53"/>
  <c r="D222" i="53"/>
  <c r="C222" i="53"/>
  <c r="B222" i="53"/>
  <c r="A222" i="53"/>
  <c r="H221" i="53"/>
  <c r="G221" i="53"/>
  <c r="F221" i="53"/>
  <c r="E221" i="53"/>
  <c r="D221" i="53"/>
  <c r="C221" i="53"/>
  <c r="B221" i="53"/>
  <c r="A221" i="53"/>
  <c r="H220" i="53"/>
  <c r="G220" i="53"/>
  <c r="F220" i="53"/>
  <c r="E220" i="53"/>
  <c r="D220" i="53"/>
  <c r="C220" i="53"/>
  <c r="B220" i="53"/>
  <c r="A220" i="53"/>
  <c r="H219" i="53"/>
  <c r="G219" i="53"/>
  <c r="F219" i="53"/>
  <c r="E219" i="53"/>
  <c r="D219" i="53"/>
  <c r="C219" i="53"/>
  <c r="B219" i="53"/>
  <c r="A219" i="53"/>
  <c r="H218" i="53"/>
  <c r="G218" i="53"/>
  <c r="F218" i="53"/>
  <c r="E218" i="53"/>
  <c r="D218" i="53"/>
  <c r="C218" i="53"/>
  <c r="B218" i="53"/>
  <c r="A218" i="53"/>
  <c r="H217" i="53"/>
  <c r="G217" i="53"/>
  <c r="F217" i="53"/>
  <c r="E217" i="53"/>
  <c r="D217" i="53"/>
  <c r="C217" i="53"/>
  <c r="B217" i="53"/>
  <c r="A217" i="53"/>
  <c r="H216" i="53"/>
  <c r="G216" i="53"/>
  <c r="F216" i="53"/>
  <c r="E216" i="53"/>
  <c r="D216" i="53"/>
  <c r="C216" i="53"/>
  <c r="B216" i="53"/>
  <c r="A216" i="53"/>
  <c r="H215" i="53"/>
  <c r="G215" i="53"/>
  <c r="F215" i="53"/>
  <c r="E215" i="53"/>
  <c r="D215" i="53"/>
  <c r="C215" i="53"/>
  <c r="B215" i="53"/>
  <c r="A215" i="53"/>
  <c r="H214" i="53"/>
  <c r="G214" i="53"/>
  <c r="F214" i="53"/>
  <c r="E214" i="53"/>
  <c r="D214" i="53"/>
  <c r="C214" i="53"/>
  <c r="B214" i="53"/>
  <c r="A214" i="53"/>
  <c r="H213" i="53"/>
  <c r="G213" i="53"/>
  <c r="F213" i="53"/>
  <c r="E213" i="53"/>
  <c r="D213" i="53"/>
  <c r="C213" i="53"/>
  <c r="B213" i="53"/>
  <c r="A213" i="53"/>
  <c r="H212" i="53"/>
  <c r="G212" i="53"/>
  <c r="F212" i="53"/>
  <c r="E212" i="53"/>
  <c r="D212" i="53"/>
  <c r="C212" i="53"/>
  <c r="B212" i="53"/>
  <c r="A212" i="53"/>
  <c r="H211" i="53"/>
  <c r="G211" i="53"/>
  <c r="F211" i="53"/>
  <c r="E211" i="53"/>
  <c r="D211" i="53"/>
  <c r="C211" i="53"/>
  <c r="B211" i="53"/>
  <c r="A211" i="53"/>
  <c r="H210" i="53"/>
  <c r="G210" i="53"/>
  <c r="F210" i="53"/>
  <c r="E210" i="53"/>
  <c r="D210" i="53"/>
  <c r="C210" i="53"/>
  <c r="B210" i="53"/>
  <c r="A210" i="53"/>
  <c r="H209" i="53"/>
  <c r="G209" i="53"/>
  <c r="F209" i="53"/>
  <c r="E209" i="53"/>
  <c r="D209" i="53"/>
  <c r="C209" i="53"/>
  <c r="B209" i="53"/>
  <c r="A209" i="53"/>
  <c r="H208" i="53"/>
  <c r="G208" i="53"/>
  <c r="F208" i="53"/>
  <c r="E208" i="53"/>
  <c r="D208" i="53"/>
  <c r="C208" i="53"/>
  <c r="B208" i="53"/>
  <c r="A208" i="53"/>
  <c r="H207" i="53"/>
  <c r="G207" i="53"/>
  <c r="F207" i="53"/>
  <c r="E207" i="53"/>
  <c r="D207" i="53"/>
  <c r="C207" i="53"/>
  <c r="B207" i="53"/>
  <c r="A207" i="53"/>
  <c r="H206" i="53"/>
  <c r="G206" i="53"/>
  <c r="F206" i="53"/>
  <c r="E206" i="53"/>
  <c r="D206" i="53"/>
  <c r="C206" i="53"/>
  <c r="B206" i="53"/>
  <c r="A206" i="53"/>
  <c r="H205" i="53"/>
  <c r="G205" i="53"/>
  <c r="F205" i="53"/>
  <c r="E205" i="53"/>
  <c r="D205" i="53"/>
  <c r="C205" i="53"/>
  <c r="B205" i="53"/>
  <c r="A205" i="53"/>
  <c r="H204" i="53"/>
  <c r="G204" i="53"/>
  <c r="F204" i="53"/>
  <c r="E204" i="53"/>
  <c r="D204" i="53"/>
  <c r="C204" i="53"/>
  <c r="B204" i="53"/>
  <c r="A204" i="53"/>
  <c r="H203" i="53"/>
  <c r="G203" i="53"/>
  <c r="F203" i="53"/>
  <c r="E203" i="53"/>
  <c r="D203" i="53"/>
  <c r="C203" i="53"/>
  <c r="B203" i="53"/>
  <c r="A203" i="53"/>
  <c r="H202" i="53"/>
  <c r="G202" i="53"/>
  <c r="F202" i="53"/>
  <c r="E202" i="53"/>
  <c r="D202" i="53"/>
  <c r="C202" i="53"/>
  <c r="B202" i="53"/>
  <c r="A202" i="53"/>
  <c r="H201" i="53"/>
  <c r="G201" i="53"/>
  <c r="F201" i="53"/>
  <c r="E201" i="53"/>
  <c r="D201" i="53"/>
  <c r="C201" i="53"/>
  <c r="B201" i="53"/>
  <c r="A201" i="53"/>
  <c r="H200" i="53"/>
  <c r="G200" i="53"/>
  <c r="F200" i="53"/>
  <c r="E200" i="53"/>
  <c r="D200" i="53"/>
  <c r="C200" i="53"/>
  <c r="B200" i="53"/>
  <c r="A200" i="53"/>
  <c r="H199" i="53"/>
  <c r="G199" i="53"/>
  <c r="F199" i="53"/>
  <c r="E199" i="53"/>
  <c r="D199" i="53"/>
  <c r="C199" i="53"/>
  <c r="B199" i="53"/>
  <c r="A199" i="53"/>
  <c r="H198" i="53"/>
  <c r="G198" i="53"/>
  <c r="F198" i="53"/>
  <c r="E198" i="53"/>
  <c r="D198" i="53"/>
  <c r="C198" i="53"/>
  <c r="B198" i="53"/>
  <c r="A198" i="53"/>
  <c r="H197" i="53"/>
  <c r="G197" i="53"/>
  <c r="F197" i="53"/>
  <c r="E197" i="53"/>
  <c r="D197" i="53"/>
  <c r="C197" i="53"/>
  <c r="B197" i="53"/>
  <c r="A197" i="53"/>
  <c r="H196" i="53"/>
  <c r="G196" i="53"/>
  <c r="F196" i="53"/>
  <c r="E196" i="53"/>
  <c r="D196" i="53"/>
  <c r="C196" i="53"/>
  <c r="B196" i="53"/>
  <c r="A196" i="53"/>
  <c r="H195" i="53"/>
  <c r="G195" i="53"/>
  <c r="F195" i="53"/>
  <c r="E195" i="53"/>
  <c r="D195" i="53"/>
  <c r="C195" i="53"/>
  <c r="B195" i="53"/>
  <c r="A195" i="53"/>
  <c r="H194" i="53"/>
  <c r="G194" i="53"/>
  <c r="F194" i="53"/>
  <c r="E194" i="53"/>
  <c r="D194" i="53"/>
  <c r="C194" i="53"/>
  <c r="B194" i="53"/>
  <c r="A194" i="53"/>
  <c r="H193" i="53"/>
  <c r="G193" i="53"/>
  <c r="F193" i="53"/>
  <c r="E193" i="53"/>
  <c r="D193" i="53"/>
  <c r="C193" i="53"/>
  <c r="B193" i="53"/>
  <c r="A193" i="53"/>
  <c r="H192" i="53"/>
  <c r="G192" i="53"/>
  <c r="F192" i="53"/>
  <c r="E192" i="53"/>
  <c r="D192" i="53"/>
  <c r="C192" i="53"/>
  <c r="B192" i="53"/>
  <c r="A192" i="53"/>
  <c r="H191" i="53"/>
  <c r="G191" i="53"/>
  <c r="F191" i="53"/>
  <c r="E191" i="53"/>
  <c r="D191" i="53"/>
  <c r="C191" i="53"/>
  <c r="B191" i="53"/>
  <c r="A191" i="53"/>
  <c r="H190" i="53"/>
  <c r="G190" i="53"/>
  <c r="F190" i="53"/>
  <c r="E190" i="53"/>
  <c r="D190" i="53"/>
  <c r="C190" i="53"/>
  <c r="B190" i="53"/>
  <c r="A190" i="53"/>
  <c r="H189" i="53"/>
  <c r="G189" i="53"/>
  <c r="F189" i="53"/>
  <c r="E189" i="53"/>
  <c r="D189" i="53"/>
  <c r="C189" i="53"/>
  <c r="B189" i="53"/>
  <c r="A189" i="53"/>
  <c r="H188" i="53"/>
  <c r="G188" i="53"/>
  <c r="F188" i="53"/>
  <c r="E188" i="53"/>
  <c r="D188" i="53"/>
  <c r="C188" i="53"/>
  <c r="B188" i="53"/>
  <c r="A188" i="53"/>
  <c r="H187" i="53"/>
  <c r="G187" i="53"/>
  <c r="F187" i="53"/>
  <c r="E187" i="53"/>
  <c r="D187" i="53"/>
  <c r="C187" i="53"/>
  <c r="B187" i="53"/>
  <c r="A187" i="53"/>
  <c r="H186" i="53"/>
  <c r="G186" i="53"/>
  <c r="F186" i="53"/>
  <c r="E186" i="53"/>
  <c r="D186" i="53"/>
  <c r="C186" i="53"/>
  <c r="B186" i="53"/>
  <c r="A186" i="53"/>
  <c r="H185" i="53"/>
  <c r="G185" i="53"/>
  <c r="F185" i="53"/>
  <c r="E185" i="53"/>
  <c r="D185" i="53"/>
  <c r="C185" i="53"/>
  <c r="B185" i="53"/>
  <c r="A185" i="53"/>
  <c r="H184" i="53"/>
  <c r="G184" i="53"/>
  <c r="F184" i="53"/>
  <c r="E184" i="53"/>
  <c r="D184" i="53"/>
  <c r="C184" i="53"/>
  <c r="B184" i="53"/>
  <c r="A184" i="53"/>
  <c r="H183" i="53"/>
  <c r="G183" i="53"/>
  <c r="F183" i="53"/>
  <c r="E183" i="53"/>
  <c r="D183" i="53"/>
  <c r="C183" i="53"/>
  <c r="B183" i="53"/>
  <c r="A183" i="53"/>
  <c r="H182" i="53"/>
  <c r="G182" i="53"/>
  <c r="F182" i="53"/>
  <c r="E182" i="53"/>
  <c r="D182" i="53"/>
  <c r="C182" i="53"/>
  <c r="B182" i="53"/>
  <c r="A182" i="53"/>
  <c r="H181" i="53"/>
  <c r="G181" i="53"/>
  <c r="F181" i="53"/>
  <c r="E181" i="53"/>
  <c r="D181" i="53"/>
  <c r="C181" i="53"/>
  <c r="B181" i="53"/>
  <c r="A181" i="53"/>
  <c r="H180" i="53"/>
  <c r="G180" i="53"/>
  <c r="F180" i="53"/>
  <c r="E180" i="53"/>
  <c r="D180" i="53"/>
  <c r="C180" i="53"/>
  <c r="B180" i="53"/>
  <c r="A180" i="53"/>
  <c r="H179" i="53"/>
  <c r="G179" i="53"/>
  <c r="F179" i="53"/>
  <c r="E179" i="53"/>
  <c r="D179" i="53"/>
  <c r="C179" i="53"/>
  <c r="B179" i="53"/>
  <c r="A179" i="53"/>
  <c r="H178" i="53"/>
  <c r="G178" i="53"/>
  <c r="F178" i="53"/>
  <c r="E178" i="53"/>
  <c r="D178" i="53"/>
  <c r="C178" i="53"/>
  <c r="B178" i="53"/>
  <c r="A178" i="53"/>
  <c r="H177" i="53"/>
  <c r="G177" i="53"/>
  <c r="F177" i="53"/>
  <c r="E177" i="53"/>
  <c r="D177" i="53"/>
  <c r="C177" i="53"/>
  <c r="B177" i="53"/>
  <c r="A177" i="53"/>
  <c r="H176" i="53"/>
  <c r="G176" i="53"/>
  <c r="F176" i="53"/>
  <c r="E176" i="53"/>
  <c r="D176" i="53"/>
  <c r="C176" i="53"/>
  <c r="B176" i="53"/>
  <c r="A176" i="53"/>
  <c r="H175" i="53"/>
  <c r="G175" i="53"/>
  <c r="F175" i="53"/>
  <c r="E175" i="53"/>
  <c r="D175" i="53"/>
  <c r="C175" i="53"/>
  <c r="B175" i="53"/>
  <c r="A175" i="53"/>
  <c r="H174" i="53"/>
  <c r="G174" i="53"/>
  <c r="F174" i="53"/>
  <c r="E174" i="53"/>
  <c r="D174" i="53"/>
  <c r="C174" i="53"/>
  <c r="B174" i="53"/>
  <c r="A174" i="53"/>
  <c r="H173" i="53"/>
  <c r="G173" i="53"/>
  <c r="F173" i="53"/>
  <c r="E173" i="53"/>
  <c r="D173" i="53"/>
  <c r="C173" i="53"/>
  <c r="B173" i="53"/>
  <c r="A173" i="53"/>
  <c r="H172" i="53"/>
  <c r="G172" i="53"/>
  <c r="F172" i="53"/>
  <c r="E172" i="53"/>
  <c r="D172" i="53"/>
  <c r="C172" i="53"/>
  <c r="B172" i="53"/>
  <c r="A172" i="53"/>
  <c r="H171" i="53"/>
  <c r="G171" i="53"/>
  <c r="F171" i="53"/>
  <c r="E171" i="53"/>
  <c r="D171" i="53"/>
  <c r="C171" i="53"/>
  <c r="B171" i="53"/>
  <c r="A171" i="53"/>
  <c r="H170" i="53"/>
  <c r="G170" i="53"/>
  <c r="F170" i="53"/>
  <c r="E170" i="53"/>
  <c r="D170" i="53"/>
  <c r="C170" i="53"/>
  <c r="B170" i="53"/>
  <c r="A170" i="53"/>
  <c r="H169" i="53"/>
  <c r="G169" i="53"/>
  <c r="F169" i="53"/>
  <c r="E169" i="53"/>
  <c r="D169" i="53"/>
  <c r="C169" i="53"/>
  <c r="B169" i="53"/>
  <c r="A169" i="53"/>
  <c r="H168" i="53"/>
  <c r="G168" i="53"/>
  <c r="F168" i="53"/>
  <c r="E168" i="53"/>
  <c r="D168" i="53"/>
  <c r="C168" i="53"/>
  <c r="B168" i="53"/>
  <c r="A168" i="53"/>
  <c r="H167" i="53"/>
  <c r="G167" i="53"/>
  <c r="F167" i="53"/>
  <c r="E167" i="53"/>
  <c r="D167" i="53"/>
  <c r="C167" i="53"/>
  <c r="B167" i="53"/>
  <c r="A167" i="53"/>
  <c r="H166" i="53"/>
  <c r="G166" i="53"/>
  <c r="F166" i="53"/>
  <c r="E166" i="53"/>
  <c r="D166" i="53"/>
  <c r="C166" i="53"/>
  <c r="B166" i="53"/>
  <c r="A166" i="53"/>
  <c r="H165" i="53"/>
  <c r="G165" i="53"/>
  <c r="F165" i="53"/>
  <c r="E165" i="53"/>
  <c r="D165" i="53"/>
  <c r="C165" i="53"/>
  <c r="B165" i="53"/>
  <c r="A165" i="53"/>
  <c r="H164" i="53"/>
  <c r="G164" i="53"/>
  <c r="F164" i="53"/>
  <c r="E164" i="53"/>
  <c r="D164" i="53"/>
  <c r="C164" i="53"/>
  <c r="B164" i="53"/>
  <c r="A164" i="53"/>
  <c r="H163" i="53"/>
  <c r="G163" i="53"/>
  <c r="F163" i="53"/>
  <c r="E163" i="53"/>
  <c r="D163" i="53"/>
  <c r="C163" i="53"/>
  <c r="B163" i="53"/>
  <c r="A163" i="53"/>
  <c r="H162" i="53"/>
  <c r="G162" i="53"/>
  <c r="F162" i="53"/>
  <c r="E162" i="53"/>
  <c r="D162" i="53"/>
  <c r="C162" i="53"/>
  <c r="B162" i="53"/>
  <c r="A162" i="53"/>
  <c r="H161" i="53"/>
  <c r="G161" i="53"/>
  <c r="F161" i="53"/>
  <c r="E161" i="53"/>
  <c r="D161" i="53"/>
  <c r="C161" i="53"/>
  <c r="B161" i="53"/>
  <c r="A161" i="53"/>
  <c r="H160" i="53"/>
  <c r="G160" i="53"/>
  <c r="F160" i="53"/>
  <c r="E160" i="53"/>
  <c r="D160" i="53"/>
  <c r="C160" i="53"/>
  <c r="B160" i="53"/>
  <c r="A160" i="53"/>
  <c r="H159" i="53"/>
  <c r="G159" i="53"/>
  <c r="F159" i="53"/>
  <c r="E159" i="53"/>
  <c r="D159" i="53"/>
  <c r="C159" i="53"/>
  <c r="B159" i="53"/>
  <c r="A159" i="53"/>
  <c r="H158" i="53"/>
  <c r="G158" i="53"/>
  <c r="F158" i="53"/>
  <c r="E158" i="53"/>
  <c r="D158" i="53"/>
  <c r="C158" i="53"/>
  <c r="B158" i="53"/>
  <c r="A158" i="53"/>
  <c r="H157" i="53"/>
  <c r="G157" i="53"/>
  <c r="F157" i="53"/>
  <c r="E157" i="53"/>
  <c r="D157" i="53"/>
  <c r="C157" i="53"/>
  <c r="B157" i="53"/>
  <c r="A157" i="53"/>
  <c r="H156" i="53"/>
  <c r="G156" i="53"/>
  <c r="F156" i="53"/>
  <c r="E156" i="53"/>
  <c r="D156" i="53"/>
  <c r="C156" i="53"/>
  <c r="B156" i="53"/>
  <c r="A156" i="53"/>
  <c r="H155" i="53"/>
  <c r="G155" i="53"/>
  <c r="F155" i="53"/>
  <c r="E155" i="53"/>
  <c r="D155" i="53"/>
  <c r="C155" i="53"/>
  <c r="B155" i="53"/>
  <c r="A155" i="53"/>
  <c r="H154" i="53"/>
  <c r="G154" i="53"/>
  <c r="F154" i="53"/>
  <c r="E154" i="53"/>
  <c r="D154" i="53"/>
  <c r="C154" i="53"/>
  <c r="B154" i="53"/>
  <c r="A154" i="53"/>
  <c r="H153" i="53"/>
  <c r="G153" i="53"/>
  <c r="F153" i="53"/>
  <c r="E153" i="53"/>
  <c r="D153" i="53"/>
  <c r="C153" i="53"/>
  <c r="B153" i="53"/>
  <c r="A153" i="53"/>
  <c r="H152" i="53"/>
  <c r="G152" i="53"/>
  <c r="F152" i="53"/>
  <c r="E152" i="53"/>
  <c r="D152" i="53"/>
  <c r="C152" i="53"/>
  <c r="B152" i="53"/>
  <c r="A152" i="53"/>
  <c r="H151" i="53"/>
  <c r="G151" i="53"/>
  <c r="F151" i="53"/>
  <c r="E151" i="53"/>
  <c r="D151" i="53"/>
  <c r="C151" i="53"/>
  <c r="B151" i="53"/>
  <c r="A151" i="53"/>
  <c r="H150" i="53"/>
  <c r="G150" i="53"/>
  <c r="F150" i="53"/>
  <c r="E150" i="53"/>
  <c r="D150" i="53"/>
  <c r="C150" i="53"/>
  <c r="B150" i="53"/>
  <c r="A150" i="53"/>
  <c r="H149" i="53"/>
  <c r="G149" i="53"/>
  <c r="F149" i="53"/>
  <c r="E149" i="53"/>
  <c r="D149" i="53"/>
  <c r="C149" i="53"/>
  <c r="B149" i="53"/>
  <c r="A149" i="53"/>
  <c r="H148" i="53"/>
  <c r="G148" i="53"/>
  <c r="F148" i="53"/>
  <c r="E148" i="53"/>
  <c r="D148" i="53"/>
  <c r="C148" i="53"/>
  <c r="B148" i="53"/>
  <c r="A148" i="53"/>
  <c r="H147" i="53"/>
  <c r="G147" i="53"/>
  <c r="F147" i="53"/>
  <c r="E147" i="53"/>
  <c r="D147" i="53"/>
  <c r="C147" i="53"/>
  <c r="B147" i="53"/>
  <c r="A147" i="53"/>
  <c r="H146" i="53"/>
  <c r="G146" i="53"/>
  <c r="F146" i="53"/>
  <c r="E146" i="53"/>
  <c r="D146" i="53"/>
  <c r="C146" i="53"/>
  <c r="B146" i="53"/>
  <c r="A146" i="53"/>
  <c r="H145" i="53"/>
  <c r="G145" i="53"/>
  <c r="F145" i="53"/>
  <c r="E145" i="53"/>
  <c r="D145" i="53"/>
  <c r="C145" i="53"/>
  <c r="B145" i="53"/>
  <c r="A145" i="53"/>
  <c r="H144" i="53"/>
  <c r="G144" i="53"/>
  <c r="F144" i="53"/>
  <c r="E144" i="53"/>
  <c r="D144" i="53"/>
  <c r="C144" i="53"/>
  <c r="B144" i="53"/>
  <c r="A144" i="53"/>
  <c r="H143" i="53"/>
  <c r="G143" i="53"/>
  <c r="F143" i="53"/>
  <c r="E143" i="53"/>
  <c r="D143" i="53"/>
  <c r="C143" i="53"/>
  <c r="B143" i="53"/>
  <c r="A143" i="53"/>
  <c r="H142" i="53"/>
  <c r="G142" i="53"/>
  <c r="F142" i="53"/>
  <c r="E142" i="53"/>
  <c r="D142" i="53"/>
  <c r="C142" i="53"/>
  <c r="B142" i="53"/>
  <c r="A142" i="53"/>
  <c r="H141" i="53"/>
  <c r="G141" i="53"/>
  <c r="F141" i="53"/>
  <c r="E141" i="53"/>
  <c r="D141" i="53"/>
  <c r="C141" i="53"/>
  <c r="B141" i="53"/>
  <c r="A141" i="53"/>
  <c r="H140" i="53"/>
  <c r="G140" i="53"/>
  <c r="F140" i="53"/>
  <c r="E140" i="53"/>
  <c r="D140" i="53"/>
  <c r="C140" i="53"/>
  <c r="B140" i="53"/>
  <c r="A140" i="53"/>
  <c r="H139" i="53"/>
  <c r="G139" i="53"/>
  <c r="F139" i="53"/>
  <c r="E139" i="53"/>
  <c r="D139" i="53"/>
  <c r="C139" i="53"/>
  <c r="B139" i="53"/>
  <c r="A139" i="53"/>
  <c r="H138" i="53"/>
  <c r="G138" i="53"/>
  <c r="F138" i="53"/>
  <c r="E138" i="53"/>
  <c r="D138" i="53"/>
  <c r="C138" i="53"/>
  <c r="B138" i="53"/>
  <c r="A138" i="53"/>
  <c r="H137" i="53"/>
  <c r="G137" i="53"/>
  <c r="F137" i="53"/>
  <c r="E137" i="53"/>
  <c r="D137" i="53"/>
  <c r="C137" i="53"/>
  <c r="B137" i="53"/>
  <c r="A137" i="53"/>
  <c r="H136" i="53"/>
  <c r="G136" i="53"/>
  <c r="F136" i="53"/>
  <c r="E136" i="53"/>
  <c r="D136" i="53"/>
  <c r="C136" i="53"/>
  <c r="B136" i="53"/>
  <c r="A136" i="53"/>
  <c r="H135" i="53"/>
  <c r="G135" i="53"/>
  <c r="F135" i="53"/>
  <c r="E135" i="53"/>
  <c r="D135" i="53"/>
  <c r="C135" i="53"/>
  <c r="B135" i="53"/>
  <c r="A135" i="53"/>
  <c r="H134" i="53"/>
  <c r="G134" i="53"/>
  <c r="F134" i="53"/>
  <c r="E134" i="53"/>
  <c r="D134" i="53"/>
  <c r="C134" i="53"/>
  <c r="B134" i="53"/>
  <c r="A134" i="53"/>
  <c r="H133" i="53"/>
  <c r="G133" i="53"/>
  <c r="F133" i="53"/>
  <c r="E133" i="53"/>
  <c r="D133" i="53"/>
  <c r="C133" i="53"/>
  <c r="B133" i="53"/>
  <c r="A133" i="53"/>
  <c r="H132" i="53"/>
  <c r="G132" i="53"/>
  <c r="F132" i="53"/>
  <c r="E132" i="53"/>
  <c r="D132" i="53"/>
  <c r="C132" i="53"/>
  <c r="B132" i="53"/>
  <c r="A132" i="53"/>
  <c r="H131" i="53"/>
  <c r="G131" i="53"/>
  <c r="F131" i="53"/>
  <c r="E131" i="53"/>
  <c r="D131" i="53"/>
  <c r="C131" i="53"/>
  <c r="B131" i="53"/>
  <c r="A131" i="53"/>
  <c r="H130" i="53"/>
  <c r="G130" i="53"/>
  <c r="F130" i="53"/>
  <c r="E130" i="53"/>
  <c r="D130" i="53"/>
  <c r="C130" i="53"/>
  <c r="B130" i="53"/>
  <c r="A130" i="53"/>
  <c r="H129" i="53"/>
  <c r="G129" i="53"/>
  <c r="F129" i="53"/>
  <c r="E129" i="53"/>
  <c r="D129" i="53"/>
  <c r="C129" i="53"/>
  <c r="B129" i="53"/>
  <c r="A129" i="53"/>
  <c r="H128" i="53"/>
  <c r="G128" i="53"/>
  <c r="F128" i="53"/>
  <c r="E128" i="53"/>
  <c r="D128" i="53"/>
  <c r="C128" i="53"/>
  <c r="B128" i="53"/>
  <c r="A128" i="53"/>
  <c r="H127" i="53"/>
  <c r="G127" i="53"/>
  <c r="F127" i="53"/>
  <c r="E127" i="53"/>
  <c r="D127" i="53"/>
  <c r="C127" i="53"/>
  <c r="B127" i="53"/>
  <c r="A127" i="53"/>
  <c r="H126" i="53"/>
  <c r="G126" i="53"/>
  <c r="F126" i="53"/>
  <c r="E126" i="53"/>
  <c r="D126" i="53"/>
  <c r="C126" i="53"/>
  <c r="B126" i="53"/>
  <c r="A126" i="53"/>
  <c r="H125" i="53"/>
  <c r="G125" i="53"/>
  <c r="F125" i="53"/>
  <c r="E125" i="53"/>
  <c r="D125" i="53"/>
  <c r="C125" i="53"/>
  <c r="B125" i="53"/>
  <c r="A125" i="53"/>
  <c r="H124" i="53"/>
  <c r="G124" i="53"/>
  <c r="F124" i="53"/>
  <c r="E124" i="53"/>
  <c r="D124" i="53"/>
  <c r="C124" i="53"/>
  <c r="B124" i="53"/>
  <c r="A124" i="53"/>
  <c r="H123" i="53"/>
  <c r="G123" i="53"/>
  <c r="F123" i="53"/>
  <c r="E123" i="53"/>
  <c r="D123" i="53"/>
  <c r="C123" i="53"/>
  <c r="B123" i="53"/>
  <c r="A123" i="53"/>
  <c r="H122" i="53"/>
  <c r="G122" i="53"/>
  <c r="F122" i="53"/>
  <c r="E122" i="53"/>
  <c r="D122" i="53"/>
  <c r="C122" i="53"/>
  <c r="B122" i="53"/>
  <c r="A122" i="53"/>
  <c r="H121" i="53"/>
  <c r="G121" i="53"/>
  <c r="F121" i="53"/>
  <c r="E121" i="53"/>
  <c r="D121" i="53"/>
  <c r="C121" i="53"/>
  <c r="B121" i="53"/>
  <c r="A121" i="53"/>
  <c r="H120" i="53"/>
  <c r="G120" i="53"/>
  <c r="F120" i="53"/>
  <c r="E120" i="53"/>
  <c r="D120" i="53"/>
  <c r="C120" i="53"/>
  <c r="B120" i="53"/>
  <c r="A120" i="53"/>
  <c r="H119" i="53"/>
  <c r="G119" i="53"/>
  <c r="F119" i="53"/>
  <c r="E119" i="53"/>
  <c r="D119" i="53"/>
  <c r="C119" i="53"/>
  <c r="B119" i="53"/>
  <c r="A119" i="53"/>
  <c r="H118" i="53"/>
  <c r="G118" i="53"/>
  <c r="F118" i="53"/>
  <c r="E118" i="53"/>
  <c r="D118" i="53"/>
  <c r="C118" i="53"/>
  <c r="B118" i="53"/>
  <c r="A118" i="53"/>
  <c r="H117" i="53"/>
  <c r="G117" i="53"/>
  <c r="F117" i="53"/>
  <c r="E117" i="53"/>
  <c r="D117" i="53"/>
  <c r="C117" i="53"/>
  <c r="B117" i="53"/>
  <c r="A117" i="53"/>
  <c r="H116" i="53"/>
  <c r="G116" i="53"/>
  <c r="F116" i="53"/>
  <c r="E116" i="53"/>
  <c r="D116" i="53"/>
  <c r="C116" i="53"/>
  <c r="B116" i="53"/>
  <c r="A116" i="53"/>
  <c r="H115" i="53"/>
  <c r="G115" i="53"/>
  <c r="F115" i="53"/>
  <c r="E115" i="53"/>
  <c r="D115" i="53"/>
  <c r="C115" i="53"/>
  <c r="B115" i="53"/>
  <c r="A115" i="53"/>
  <c r="H114" i="53"/>
  <c r="G114" i="53"/>
  <c r="F114" i="53"/>
  <c r="E114" i="53"/>
  <c r="D114" i="53"/>
  <c r="C114" i="53"/>
  <c r="B114" i="53"/>
  <c r="A114" i="53"/>
  <c r="H113" i="53"/>
  <c r="G113" i="53"/>
  <c r="F113" i="53"/>
  <c r="E113" i="53"/>
  <c r="D113" i="53"/>
  <c r="C113" i="53"/>
  <c r="B113" i="53"/>
  <c r="A113" i="53"/>
  <c r="H112" i="53"/>
  <c r="G112" i="53"/>
  <c r="F112" i="53"/>
  <c r="E112" i="53"/>
  <c r="D112" i="53"/>
  <c r="C112" i="53"/>
  <c r="B112" i="53"/>
  <c r="A112" i="53"/>
  <c r="H111" i="53"/>
  <c r="G111" i="53"/>
  <c r="F111" i="53"/>
  <c r="E111" i="53"/>
  <c r="D111" i="53"/>
  <c r="C111" i="53"/>
  <c r="B111" i="53"/>
  <c r="A111" i="53"/>
  <c r="H110" i="53"/>
  <c r="G110" i="53"/>
  <c r="F110" i="53"/>
  <c r="E110" i="53"/>
  <c r="D110" i="53"/>
  <c r="C110" i="53"/>
  <c r="B110" i="53"/>
  <c r="A110" i="53"/>
  <c r="H109" i="53"/>
  <c r="G109" i="53"/>
  <c r="F109" i="53"/>
  <c r="E109" i="53"/>
  <c r="D109" i="53"/>
  <c r="C109" i="53"/>
  <c r="B109" i="53"/>
  <c r="A109" i="53"/>
  <c r="H108" i="53"/>
  <c r="G108" i="53"/>
  <c r="F108" i="53"/>
  <c r="E108" i="53"/>
  <c r="D108" i="53"/>
  <c r="C108" i="53"/>
  <c r="B108" i="53"/>
  <c r="A108" i="53"/>
  <c r="H107" i="53"/>
  <c r="G107" i="53"/>
  <c r="F107" i="53"/>
  <c r="E107" i="53"/>
  <c r="D107" i="53"/>
  <c r="C107" i="53"/>
  <c r="B107" i="53"/>
  <c r="A107" i="53"/>
  <c r="H106" i="53"/>
  <c r="G106" i="53"/>
  <c r="F106" i="53"/>
  <c r="E106" i="53"/>
  <c r="D106" i="53"/>
  <c r="C106" i="53"/>
  <c r="B106" i="53"/>
  <c r="A106" i="53"/>
  <c r="H105" i="53"/>
  <c r="G105" i="53"/>
  <c r="F105" i="53"/>
  <c r="E105" i="53"/>
  <c r="D105" i="53"/>
  <c r="C105" i="53"/>
  <c r="B105" i="53"/>
  <c r="A105" i="53"/>
  <c r="H104" i="53"/>
  <c r="G104" i="53"/>
  <c r="F104" i="53"/>
  <c r="E104" i="53"/>
  <c r="D104" i="53"/>
  <c r="C104" i="53"/>
  <c r="B104" i="53"/>
  <c r="A104" i="53"/>
  <c r="H103" i="53"/>
  <c r="G103" i="53"/>
  <c r="F103" i="53"/>
  <c r="E103" i="53"/>
  <c r="D103" i="53"/>
  <c r="C103" i="53"/>
  <c r="B103" i="53"/>
  <c r="A103" i="53"/>
  <c r="H102" i="53"/>
  <c r="G102" i="53"/>
  <c r="F102" i="53"/>
  <c r="E102" i="53"/>
  <c r="D102" i="53"/>
  <c r="C102" i="53"/>
  <c r="B102" i="53"/>
  <c r="A102" i="53"/>
  <c r="H101" i="53"/>
  <c r="G101" i="53"/>
  <c r="F101" i="53"/>
  <c r="E101" i="53"/>
  <c r="D101" i="53"/>
  <c r="C101" i="53"/>
  <c r="B101" i="53"/>
  <c r="A101" i="53"/>
  <c r="H100" i="53"/>
  <c r="G100" i="53"/>
  <c r="F100" i="53"/>
  <c r="E100" i="53"/>
  <c r="D100" i="53"/>
  <c r="C100" i="53"/>
  <c r="B100" i="53"/>
  <c r="A100" i="53"/>
  <c r="H99" i="53"/>
  <c r="G99" i="53"/>
  <c r="F99" i="53"/>
  <c r="E99" i="53"/>
  <c r="D99" i="53"/>
  <c r="C99" i="53"/>
  <c r="B99" i="53"/>
  <c r="A99" i="53"/>
  <c r="H98" i="53"/>
  <c r="G98" i="53"/>
  <c r="F98" i="53"/>
  <c r="E98" i="53"/>
  <c r="D98" i="53"/>
  <c r="C98" i="53"/>
  <c r="B98" i="53"/>
  <c r="A98" i="53"/>
  <c r="H97" i="53"/>
  <c r="G97" i="53"/>
  <c r="F97" i="53"/>
  <c r="E97" i="53"/>
  <c r="D97" i="53"/>
  <c r="C97" i="53"/>
  <c r="B97" i="53"/>
  <c r="A97" i="53"/>
  <c r="H96" i="53"/>
  <c r="G96" i="53"/>
  <c r="F96" i="53"/>
  <c r="E96" i="53"/>
  <c r="D96" i="53"/>
  <c r="C96" i="53"/>
  <c r="B96" i="53"/>
  <c r="A96" i="53"/>
  <c r="H95" i="53"/>
  <c r="G95" i="53"/>
  <c r="F95" i="53"/>
  <c r="E95" i="53"/>
  <c r="D95" i="53"/>
  <c r="C95" i="53"/>
  <c r="B95" i="53"/>
  <c r="A95" i="53"/>
  <c r="H94" i="53"/>
  <c r="G94" i="53"/>
  <c r="F94" i="53"/>
  <c r="E94" i="53"/>
  <c r="D94" i="53"/>
  <c r="C94" i="53"/>
  <c r="B94" i="53"/>
  <c r="A94" i="53"/>
  <c r="H93" i="53"/>
  <c r="G93" i="53"/>
  <c r="F93" i="53"/>
  <c r="E93" i="53"/>
  <c r="D93" i="53"/>
  <c r="C93" i="53"/>
  <c r="B93" i="53"/>
  <c r="A93" i="53"/>
  <c r="H92" i="53"/>
  <c r="G92" i="53"/>
  <c r="F92" i="53"/>
  <c r="E92" i="53"/>
  <c r="D92" i="53"/>
  <c r="C92" i="53"/>
  <c r="B92" i="53"/>
  <c r="A92" i="53"/>
  <c r="H91" i="53"/>
  <c r="G91" i="53"/>
  <c r="F91" i="53"/>
  <c r="E91" i="53"/>
  <c r="D91" i="53"/>
  <c r="C91" i="53"/>
  <c r="B91" i="53"/>
  <c r="A91" i="53"/>
  <c r="H90" i="53"/>
  <c r="G90" i="53"/>
  <c r="F90" i="53"/>
  <c r="E90" i="53"/>
  <c r="D90" i="53"/>
  <c r="C90" i="53"/>
  <c r="B90" i="53"/>
  <c r="A90" i="53"/>
  <c r="H89" i="53"/>
  <c r="G89" i="53"/>
  <c r="F89" i="53"/>
  <c r="E89" i="53"/>
  <c r="D89" i="53"/>
  <c r="C89" i="53"/>
  <c r="B89" i="53"/>
  <c r="A89" i="53"/>
  <c r="H88" i="53"/>
  <c r="G88" i="53"/>
  <c r="F88" i="53"/>
  <c r="E88" i="53"/>
  <c r="D88" i="53"/>
  <c r="C88" i="53"/>
  <c r="B88" i="53"/>
  <c r="A88" i="53"/>
  <c r="H87" i="53"/>
  <c r="G87" i="53"/>
  <c r="F87" i="53"/>
  <c r="E87" i="53"/>
  <c r="D87" i="53"/>
  <c r="C87" i="53"/>
  <c r="B87" i="53"/>
  <c r="A87" i="53"/>
  <c r="H86" i="53"/>
  <c r="G86" i="53"/>
  <c r="F86" i="53"/>
  <c r="E86" i="53"/>
  <c r="D86" i="53"/>
  <c r="C86" i="53"/>
  <c r="B86" i="53"/>
  <c r="A86" i="53"/>
  <c r="H85" i="53"/>
  <c r="G85" i="53"/>
  <c r="F85" i="53"/>
  <c r="E85" i="53"/>
  <c r="D85" i="53"/>
  <c r="C85" i="53"/>
  <c r="B85" i="53"/>
  <c r="A85" i="53"/>
  <c r="H84" i="53"/>
  <c r="G84" i="53"/>
  <c r="F84" i="53"/>
  <c r="E84" i="53"/>
  <c r="D84" i="53"/>
  <c r="C84" i="53"/>
  <c r="B84" i="53"/>
  <c r="A84" i="53"/>
  <c r="H83" i="53"/>
  <c r="G83" i="53"/>
  <c r="F83" i="53"/>
  <c r="E83" i="53"/>
  <c r="D83" i="53"/>
  <c r="C83" i="53"/>
  <c r="B83" i="53"/>
  <c r="A83" i="53"/>
  <c r="H82" i="53"/>
  <c r="G82" i="53"/>
  <c r="F82" i="53"/>
  <c r="E82" i="53"/>
  <c r="D82" i="53"/>
  <c r="C82" i="53"/>
  <c r="B82" i="53"/>
  <c r="A82" i="53"/>
  <c r="H81" i="53"/>
  <c r="G81" i="53"/>
  <c r="F81" i="53"/>
  <c r="E81" i="53"/>
  <c r="D81" i="53"/>
  <c r="C81" i="53"/>
  <c r="B81" i="53"/>
  <c r="A81" i="53"/>
  <c r="H80" i="53"/>
  <c r="G80" i="53"/>
  <c r="F80" i="53"/>
  <c r="E80" i="53"/>
  <c r="D80" i="53"/>
  <c r="C80" i="53"/>
  <c r="B80" i="53"/>
  <c r="A80" i="53"/>
  <c r="H79" i="53"/>
  <c r="G79" i="53"/>
  <c r="F79" i="53"/>
  <c r="E79" i="53"/>
  <c r="D79" i="53"/>
  <c r="C79" i="53"/>
  <c r="B79" i="53"/>
  <c r="A79" i="53"/>
  <c r="H78" i="53"/>
  <c r="G78" i="53"/>
  <c r="F78" i="53"/>
  <c r="E78" i="53"/>
  <c r="D78" i="53"/>
  <c r="C78" i="53"/>
  <c r="B78" i="53"/>
  <c r="A78" i="53"/>
  <c r="H77" i="53"/>
  <c r="G77" i="53"/>
  <c r="F77" i="53"/>
  <c r="E77" i="53"/>
  <c r="D77" i="53"/>
  <c r="C77" i="53"/>
  <c r="B77" i="53"/>
  <c r="A77" i="53"/>
  <c r="H76" i="53"/>
  <c r="G76" i="53"/>
  <c r="F76" i="53"/>
  <c r="E76" i="53"/>
  <c r="D76" i="53"/>
  <c r="C76" i="53"/>
  <c r="B76" i="53"/>
  <c r="A76" i="53"/>
  <c r="H75" i="53"/>
  <c r="G75" i="53"/>
  <c r="F75" i="53"/>
  <c r="E75" i="53"/>
  <c r="D75" i="53"/>
  <c r="C75" i="53"/>
  <c r="B75" i="53"/>
  <c r="A75" i="53"/>
  <c r="H74" i="53"/>
  <c r="G74" i="53"/>
  <c r="F74" i="53"/>
  <c r="E74" i="53"/>
  <c r="D74" i="53"/>
  <c r="C74" i="53"/>
  <c r="B74" i="53"/>
  <c r="A74" i="53"/>
  <c r="H73" i="53"/>
  <c r="G73" i="53"/>
  <c r="F73" i="53"/>
  <c r="E73" i="53"/>
  <c r="D73" i="53"/>
  <c r="C73" i="53"/>
  <c r="B73" i="53"/>
  <c r="A73" i="53"/>
  <c r="H72" i="53"/>
  <c r="G72" i="53"/>
  <c r="F72" i="53"/>
  <c r="E72" i="53"/>
  <c r="D72" i="53"/>
  <c r="C72" i="53"/>
  <c r="B72" i="53"/>
  <c r="A72" i="53"/>
  <c r="H71" i="53"/>
  <c r="G71" i="53"/>
  <c r="F71" i="53"/>
  <c r="E71" i="53"/>
  <c r="D71" i="53"/>
  <c r="C71" i="53"/>
  <c r="B71" i="53"/>
  <c r="A71" i="53"/>
  <c r="H70" i="53"/>
  <c r="G70" i="53"/>
  <c r="F70" i="53"/>
  <c r="E70" i="53"/>
  <c r="D70" i="53"/>
  <c r="C70" i="53"/>
  <c r="B70" i="53"/>
  <c r="A70" i="53"/>
  <c r="H69" i="53"/>
  <c r="G69" i="53"/>
  <c r="F69" i="53"/>
  <c r="E69" i="53"/>
  <c r="D69" i="53"/>
  <c r="C69" i="53"/>
  <c r="B69" i="53"/>
  <c r="A69" i="53"/>
  <c r="H68" i="53"/>
  <c r="G68" i="53"/>
  <c r="F68" i="53"/>
  <c r="E68" i="53"/>
  <c r="D68" i="53"/>
  <c r="C68" i="53"/>
  <c r="B68" i="53"/>
  <c r="A68" i="53"/>
  <c r="H67" i="53"/>
  <c r="G67" i="53"/>
  <c r="F67" i="53"/>
  <c r="E67" i="53"/>
  <c r="D67" i="53"/>
  <c r="C67" i="53"/>
  <c r="B67" i="53"/>
  <c r="A67" i="53"/>
  <c r="H66" i="53"/>
  <c r="G66" i="53"/>
  <c r="F66" i="53"/>
  <c r="E66" i="53"/>
  <c r="D66" i="53"/>
  <c r="C66" i="53"/>
  <c r="B66" i="53"/>
  <c r="A66" i="53"/>
  <c r="H65" i="53"/>
  <c r="G65" i="53"/>
  <c r="F65" i="53"/>
  <c r="E65" i="53"/>
  <c r="D65" i="53"/>
  <c r="C65" i="53"/>
  <c r="B65" i="53"/>
  <c r="A65" i="53"/>
  <c r="H64" i="53"/>
  <c r="G64" i="53"/>
  <c r="F64" i="53"/>
  <c r="E64" i="53"/>
  <c r="D64" i="53"/>
  <c r="C64" i="53"/>
  <c r="B64" i="53"/>
  <c r="A64" i="53"/>
  <c r="H63" i="53"/>
  <c r="G63" i="53"/>
  <c r="F63" i="53"/>
  <c r="E63" i="53"/>
  <c r="D63" i="53"/>
  <c r="C63" i="53"/>
  <c r="B63" i="53"/>
  <c r="A63" i="53"/>
  <c r="H62" i="53"/>
  <c r="G62" i="53"/>
  <c r="F62" i="53"/>
  <c r="E62" i="53"/>
  <c r="D62" i="53"/>
  <c r="C62" i="53"/>
  <c r="B62" i="53"/>
  <c r="A62" i="53"/>
  <c r="H61" i="53"/>
  <c r="G61" i="53"/>
  <c r="F61" i="53"/>
  <c r="E61" i="53"/>
  <c r="D61" i="53"/>
  <c r="C61" i="53"/>
  <c r="B61" i="53"/>
  <c r="A61" i="53"/>
  <c r="H60" i="53"/>
  <c r="G60" i="53"/>
  <c r="F60" i="53"/>
  <c r="E60" i="53"/>
  <c r="D60" i="53"/>
  <c r="C60" i="53"/>
  <c r="B60" i="53"/>
  <c r="A60" i="53"/>
  <c r="H59" i="53"/>
  <c r="G59" i="53"/>
  <c r="F59" i="53"/>
  <c r="E59" i="53"/>
  <c r="D59" i="53"/>
  <c r="C59" i="53"/>
  <c r="B59" i="53"/>
  <c r="A59" i="53"/>
  <c r="H58" i="53"/>
  <c r="G58" i="53"/>
  <c r="F58" i="53"/>
  <c r="E58" i="53"/>
  <c r="D58" i="53"/>
  <c r="C58" i="53"/>
  <c r="B58" i="53"/>
  <c r="A58" i="53"/>
  <c r="H57" i="53"/>
  <c r="G57" i="53"/>
  <c r="F57" i="53"/>
  <c r="E57" i="53"/>
  <c r="D57" i="53"/>
  <c r="C57" i="53"/>
  <c r="B57" i="53"/>
  <c r="A57" i="53"/>
  <c r="H56" i="53"/>
  <c r="G56" i="53"/>
  <c r="F56" i="53"/>
  <c r="E56" i="53"/>
  <c r="D56" i="53"/>
  <c r="C56" i="53"/>
  <c r="B56" i="53"/>
  <c r="A56" i="53"/>
  <c r="H55" i="53"/>
  <c r="G55" i="53"/>
  <c r="F55" i="53"/>
  <c r="E55" i="53"/>
  <c r="D55" i="53"/>
  <c r="C55" i="53"/>
  <c r="B55" i="53"/>
  <c r="A55" i="53"/>
  <c r="H54" i="53"/>
  <c r="G54" i="53"/>
  <c r="F54" i="53"/>
  <c r="E54" i="53"/>
  <c r="D54" i="53"/>
  <c r="C54" i="53"/>
  <c r="B54" i="53"/>
  <c r="A54" i="53"/>
  <c r="H53" i="53"/>
  <c r="G53" i="53"/>
  <c r="F53" i="53"/>
  <c r="E53" i="53"/>
  <c r="D53" i="53"/>
  <c r="C53" i="53"/>
  <c r="B53" i="53"/>
  <c r="A53" i="53"/>
  <c r="H52" i="53"/>
  <c r="G52" i="53"/>
  <c r="F52" i="53"/>
  <c r="E52" i="53"/>
  <c r="D52" i="53"/>
  <c r="C52" i="53"/>
  <c r="B52" i="53"/>
  <c r="A52" i="53"/>
  <c r="H51" i="53"/>
  <c r="G51" i="53"/>
  <c r="F51" i="53"/>
  <c r="E51" i="53"/>
  <c r="D51" i="53"/>
  <c r="C51" i="53"/>
  <c r="B51" i="53"/>
  <c r="A51" i="53"/>
  <c r="H50" i="53"/>
  <c r="G50" i="53"/>
  <c r="F50" i="53"/>
  <c r="E50" i="53"/>
  <c r="D50" i="53"/>
  <c r="C50" i="53"/>
  <c r="B50" i="53"/>
  <c r="A50" i="53"/>
  <c r="H49" i="53"/>
  <c r="G49" i="53"/>
  <c r="F49" i="53"/>
  <c r="E49" i="53"/>
  <c r="D49" i="53"/>
  <c r="C49" i="53"/>
  <c r="B49" i="53"/>
  <c r="A49" i="53"/>
  <c r="H48" i="53"/>
  <c r="G48" i="53"/>
  <c r="F48" i="53"/>
  <c r="E48" i="53"/>
  <c r="D48" i="53"/>
  <c r="C48" i="53"/>
  <c r="B48" i="53"/>
  <c r="A48" i="53"/>
  <c r="H47" i="53"/>
  <c r="G47" i="53"/>
  <c r="F47" i="53"/>
  <c r="E47" i="53"/>
  <c r="D47" i="53"/>
  <c r="C47" i="53"/>
  <c r="B47" i="53"/>
  <c r="A47" i="53"/>
  <c r="H46" i="53"/>
  <c r="G46" i="53"/>
  <c r="F46" i="53"/>
  <c r="E46" i="53"/>
  <c r="D46" i="53"/>
  <c r="C46" i="53"/>
  <c r="B46" i="53"/>
  <c r="A46" i="53"/>
  <c r="H45" i="53"/>
  <c r="G45" i="53"/>
  <c r="F45" i="53"/>
  <c r="E45" i="53"/>
  <c r="D45" i="53"/>
  <c r="C45" i="53"/>
  <c r="B45" i="53"/>
  <c r="A45" i="53"/>
  <c r="H44" i="53"/>
  <c r="G44" i="53"/>
  <c r="F44" i="53"/>
  <c r="E44" i="53"/>
  <c r="D44" i="53"/>
  <c r="C44" i="53"/>
  <c r="B44" i="53"/>
  <c r="A44" i="53"/>
  <c r="H43" i="53"/>
  <c r="G43" i="53"/>
  <c r="F43" i="53"/>
  <c r="E43" i="53"/>
  <c r="D43" i="53"/>
  <c r="C43" i="53"/>
  <c r="B43" i="53"/>
  <c r="A43" i="53"/>
  <c r="H42" i="53"/>
  <c r="G42" i="53"/>
  <c r="F42" i="53"/>
  <c r="E42" i="53"/>
  <c r="D42" i="53"/>
  <c r="C42" i="53"/>
  <c r="B42" i="53"/>
  <c r="A42" i="53"/>
  <c r="H41" i="53"/>
  <c r="G41" i="53"/>
  <c r="F41" i="53"/>
  <c r="E41" i="53"/>
  <c r="D41" i="53"/>
  <c r="C41" i="53"/>
  <c r="B41" i="53"/>
  <c r="A41" i="53"/>
  <c r="H40" i="53"/>
  <c r="G40" i="53"/>
  <c r="F40" i="53"/>
  <c r="E40" i="53"/>
  <c r="D40" i="53"/>
  <c r="C40" i="53"/>
  <c r="B40" i="53"/>
  <c r="A40" i="53"/>
  <c r="H39" i="53"/>
  <c r="G39" i="53"/>
  <c r="F39" i="53"/>
  <c r="E39" i="53"/>
  <c r="D39" i="53"/>
  <c r="C39" i="53"/>
  <c r="B39" i="53"/>
  <c r="A39" i="53"/>
  <c r="H38" i="53"/>
  <c r="G38" i="53"/>
  <c r="F38" i="53"/>
  <c r="E38" i="53"/>
  <c r="D38" i="53"/>
  <c r="C38" i="53"/>
  <c r="B38" i="53"/>
  <c r="A38" i="53"/>
  <c r="H37" i="53"/>
  <c r="G37" i="53"/>
  <c r="F37" i="53"/>
  <c r="E37" i="53"/>
  <c r="D37" i="53"/>
  <c r="C37" i="53"/>
  <c r="B37" i="53"/>
  <c r="A37" i="53"/>
  <c r="H36" i="53"/>
  <c r="G36" i="53"/>
  <c r="F36" i="53"/>
  <c r="E36" i="53"/>
  <c r="D36" i="53"/>
  <c r="C36" i="53"/>
  <c r="B36" i="53"/>
  <c r="A36" i="53"/>
  <c r="H35" i="53"/>
  <c r="G35" i="53"/>
  <c r="F35" i="53"/>
  <c r="E35" i="53"/>
  <c r="D35" i="53"/>
  <c r="C35" i="53"/>
  <c r="B35" i="53"/>
  <c r="A35" i="53"/>
  <c r="H34" i="53"/>
  <c r="G34" i="53"/>
  <c r="F34" i="53"/>
  <c r="E34" i="53"/>
  <c r="D34" i="53"/>
  <c r="C34" i="53"/>
  <c r="B34" i="53"/>
  <c r="A34" i="53"/>
  <c r="H33" i="53"/>
  <c r="G33" i="53"/>
  <c r="F33" i="53"/>
  <c r="E33" i="53"/>
  <c r="D33" i="53"/>
  <c r="C33" i="53"/>
  <c r="B33" i="53"/>
  <c r="A33" i="53"/>
  <c r="H32" i="53"/>
  <c r="G32" i="53"/>
  <c r="F32" i="53"/>
  <c r="E32" i="53"/>
  <c r="D32" i="53"/>
  <c r="C32" i="53"/>
  <c r="B32" i="53"/>
  <c r="A32" i="53"/>
  <c r="H31" i="53"/>
  <c r="G31" i="53"/>
  <c r="F31" i="53"/>
  <c r="E31" i="53"/>
  <c r="D31" i="53"/>
  <c r="C31" i="53"/>
  <c r="B31" i="53"/>
  <c r="A31" i="53"/>
  <c r="H30" i="53"/>
  <c r="G30" i="53"/>
  <c r="F30" i="53"/>
  <c r="E30" i="53"/>
  <c r="D30" i="53"/>
  <c r="C30" i="53"/>
  <c r="B30" i="53"/>
  <c r="A30" i="53"/>
  <c r="H29" i="53"/>
  <c r="G29" i="53"/>
  <c r="F29" i="53"/>
  <c r="E29" i="53"/>
  <c r="D29" i="53"/>
  <c r="C29" i="53"/>
  <c r="B29" i="53"/>
  <c r="A29" i="53"/>
  <c r="H28" i="53"/>
  <c r="G28" i="53"/>
  <c r="F28" i="53"/>
  <c r="E28" i="53"/>
  <c r="D28" i="53"/>
  <c r="C28" i="53"/>
  <c r="B28" i="53"/>
  <c r="A28" i="53"/>
  <c r="H27" i="53"/>
  <c r="G27" i="53"/>
  <c r="F27" i="53"/>
  <c r="E27" i="53"/>
  <c r="D27" i="53"/>
  <c r="C27" i="53"/>
  <c r="B27" i="53"/>
  <c r="A27" i="53"/>
  <c r="H26" i="53"/>
  <c r="G26" i="53"/>
  <c r="F26" i="53"/>
  <c r="E26" i="53"/>
  <c r="D26" i="53"/>
  <c r="C26" i="53"/>
  <c r="B26" i="53"/>
  <c r="A26" i="53"/>
  <c r="H25" i="53"/>
  <c r="G25" i="53"/>
  <c r="F25" i="53"/>
  <c r="E25" i="53"/>
  <c r="D25" i="53"/>
  <c r="C25" i="53"/>
  <c r="B25" i="53"/>
  <c r="A25" i="53"/>
  <c r="H24" i="53"/>
  <c r="G24" i="53"/>
  <c r="F24" i="53"/>
  <c r="E24" i="53"/>
  <c r="D24" i="53"/>
  <c r="C24" i="53"/>
  <c r="B24" i="53"/>
  <c r="A24" i="53"/>
  <c r="H23" i="53"/>
  <c r="G23" i="53"/>
  <c r="F23" i="53"/>
  <c r="E23" i="53"/>
  <c r="D23" i="53"/>
  <c r="C23" i="53"/>
  <c r="B23" i="53"/>
  <c r="A23" i="53"/>
  <c r="H22" i="53"/>
  <c r="G22" i="53"/>
  <c r="F22" i="53"/>
  <c r="E22" i="53"/>
  <c r="D22" i="53"/>
  <c r="C22" i="53"/>
  <c r="B22" i="53"/>
  <c r="A22" i="53"/>
  <c r="H21" i="53"/>
  <c r="G21" i="53"/>
  <c r="F21" i="53"/>
  <c r="E21" i="53"/>
  <c r="D21" i="53"/>
  <c r="C21" i="53"/>
  <c r="B21" i="53"/>
  <c r="A21" i="53"/>
  <c r="H20" i="53"/>
  <c r="G20" i="53"/>
  <c r="F20" i="53"/>
  <c r="E20" i="53"/>
  <c r="D20" i="53"/>
  <c r="C20" i="53"/>
  <c r="B20" i="53"/>
  <c r="A20" i="53"/>
  <c r="H19" i="53"/>
  <c r="G19" i="53"/>
  <c r="F19" i="53"/>
  <c r="E19" i="53"/>
  <c r="D19" i="53"/>
  <c r="C19" i="53"/>
  <c r="B19" i="53"/>
  <c r="A19" i="53"/>
  <c r="H18" i="53"/>
  <c r="G18" i="53"/>
  <c r="F18" i="53"/>
  <c r="E18" i="53"/>
  <c r="D18" i="53"/>
  <c r="C18" i="53"/>
  <c r="B18" i="53"/>
  <c r="A18" i="53"/>
  <c r="H17" i="53"/>
  <c r="G17" i="53"/>
  <c r="F17" i="53"/>
  <c r="E17" i="53"/>
  <c r="D17" i="53"/>
  <c r="C17" i="53"/>
  <c r="B17" i="53"/>
  <c r="A17" i="53"/>
  <c r="H16" i="53"/>
  <c r="G16" i="53"/>
  <c r="F16" i="53"/>
  <c r="E16" i="53"/>
  <c r="D16" i="53"/>
  <c r="C16" i="53"/>
  <c r="B16" i="53"/>
  <c r="A16" i="53"/>
  <c r="H15" i="53"/>
  <c r="G15" i="53"/>
  <c r="F15" i="53"/>
  <c r="E15" i="53"/>
  <c r="D15" i="53"/>
  <c r="C15" i="53"/>
  <c r="B15" i="53"/>
  <c r="A15" i="53"/>
  <c r="H14" i="53"/>
  <c r="G14" i="53"/>
  <c r="F14" i="53"/>
  <c r="E14" i="53"/>
  <c r="D14" i="53"/>
  <c r="C14" i="53"/>
  <c r="B14" i="53"/>
  <c r="A14" i="53"/>
  <c r="H13" i="53"/>
  <c r="G13" i="53"/>
  <c r="F13" i="53"/>
  <c r="E13" i="53"/>
  <c r="D13" i="53"/>
  <c r="C13" i="53"/>
  <c r="B13" i="53"/>
  <c r="A13" i="53"/>
  <c r="H12" i="53"/>
  <c r="G12" i="53"/>
  <c r="F12" i="53"/>
  <c r="E12" i="53"/>
  <c r="D12" i="53"/>
  <c r="C12" i="53"/>
  <c r="B12" i="53"/>
  <c r="A12" i="53"/>
  <c r="H11" i="53"/>
  <c r="G11" i="53"/>
  <c r="F11" i="53"/>
  <c r="E11" i="53"/>
  <c r="D11" i="53"/>
  <c r="C11" i="53"/>
  <c r="B11" i="53"/>
  <c r="A11" i="53"/>
  <c r="H10" i="53"/>
  <c r="G10" i="53"/>
  <c r="F10" i="53"/>
  <c r="E10" i="53"/>
  <c r="D10" i="53"/>
  <c r="C10" i="53"/>
  <c r="B10" i="53"/>
  <c r="A10" i="53"/>
  <c r="H9" i="53"/>
  <c r="G9" i="53"/>
  <c r="F9" i="53"/>
  <c r="E9" i="53"/>
  <c r="D9" i="53"/>
  <c r="C9" i="53"/>
  <c r="B9" i="53"/>
  <c r="A9" i="53"/>
  <c r="H8" i="53"/>
  <c r="G8" i="53"/>
  <c r="F8" i="53"/>
  <c r="E8" i="53"/>
  <c r="D8" i="53"/>
  <c r="C8" i="53"/>
  <c r="B8" i="53"/>
  <c r="A8" i="53"/>
  <c r="H7" i="53"/>
  <c r="G7" i="53"/>
  <c r="F7" i="53"/>
  <c r="E7" i="53"/>
  <c r="D7" i="53"/>
  <c r="C7" i="53"/>
  <c r="B7" i="53"/>
  <c r="A7" i="53"/>
  <c r="H6" i="53"/>
  <c r="G6" i="53"/>
  <c r="F6" i="53"/>
  <c r="E6" i="53"/>
  <c r="D6" i="53"/>
  <c r="C6" i="53"/>
  <c r="B6" i="53"/>
  <c r="A6" i="53"/>
  <c r="H5" i="53"/>
  <c r="G5" i="53"/>
  <c r="F5" i="53"/>
  <c r="E5" i="53"/>
  <c r="D5" i="53"/>
  <c r="C5" i="53"/>
  <c r="B5" i="53"/>
  <c r="A5" i="53"/>
  <c r="H4" i="53"/>
  <c r="G4" i="53"/>
  <c r="F4" i="53"/>
  <c r="E4" i="53"/>
  <c r="D4" i="53"/>
  <c r="C4" i="53"/>
  <c r="B4" i="53"/>
  <c r="A4" i="53"/>
  <c r="H3" i="53"/>
  <c r="G3" i="53"/>
  <c r="F3" i="53"/>
  <c r="E3" i="53"/>
  <c r="D3" i="53"/>
  <c r="C3" i="53"/>
  <c r="B3" i="53"/>
  <c r="A3" i="53"/>
  <c r="H2" i="53"/>
  <c r="G2" i="53"/>
  <c r="F2" i="53"/>
  <c r="E2" i="53"/>
  <c r="D2" i="53"/>
  <c r="C2" i="53"/>
  <c r="B2" i="53"/>
  <c r="A2" i="53"/>
  <c r="H1" i="53"/>
  <c r="G1" i="53"/>
  <c r="F1" i="53"/>
  <c r="E1" i="53"/>
  <c r="D1" i="53"/>
  <c r="C1" i="53"/>
  <c r="B1" i="53"/>
  <c r="A1" i="53"/>
  <c r="I277" i="52"/>
  <c r="H277" i="52"/>
  <c r="G277" i="52"/>
  <c r="F277" i="52"/>
  <c r="E277" i="52"/>
  <c r="D277" i="52"/>
  <c r="C277" i="52"/>
  <c r="B277" i="52"/>
  <c r="A277" i="52"/>
  <c r="I276" i="52"/>
  <c r="H276" i="52"/>
  <c r="G276" i="52"/>
  <c r="F276" i="52"/>
  <c r="E276" i="52"/>
  <c r="D276" i="52"/>
  <c r="C276" i="52"/>
  <c r="B276" i="52"/>
  <c r="A276" i="52"/>
  <c r="I275" i="52"/>
  <c r="H275" i="52"/>
  <c r="G275" i="52"/>
  <c r="F275" i="52"/>
  <c r="E275" i="52"/>
  <c r="D275" i="52"/>
  <c r="C275" i="52"/>
  <c r="B275" i="52"/>
  <c r="A275" i="52"/>
  <c r="I274" i="52"/>
  <c r="H274" i="52"/>
  <c r="G274" i="52"/>
  <c r="F274" i="52"/>
  <c r="E274" i="52"/>
  <c r="D274" i="52"/>
  <c r="C274" i="52"/>
  <c r="B274" i="52"/>
  <c r="A274" i="52"/>
  <c r="I273" i="52"/>
  <c r="H273" i="52"/>
  <c r="G273" i="52"/>
  <c r="F273" i="52"/>
  <c r="E273" i="52"/>
  <c r="D273" i="52"/>
  <c r="C273" i="52"/>
  <c r="B273" i="52"/>
  <c r="A273" i="52"/>
  <c r="I272" i="52"/>
  <c r="H272" i="52"/>
  <c r="G272" i="52"/>
  <c r="F272" i="52"/>
  <c r="E272" i="52"/>
  <c r="D272" i="52"/>
  <c r="C272" i="52"/>
  <c r="B272" i="52"/>
  <c r="A272" i="52"/>
  <c r="I271" i="52"/>
  <c r="H271" i="52"/>
  <c r="G271" i="52"/>
  <c r="F271" i="52"/>
  <c r="E271" i="52"/>
  <c r="D271" i="52"/>
  <c r="C271" i="52"/>
  <c r="B271" i="52"/>
  <c r="A271" i="52"/>
  <c r="I270" i="52"/>
  <c r="H270" i="52"/>
  <c r="G270" i="52"/>
  <c r="F270" i="52"/>
  <c r="E270" i="52"/>
  <c r="D270" i="52"/>
  <c r="C270" i="52"/>
  <c r="B270" i="52"/>
  <c r="A270" i="52"/>
  <c r="I269" i="52"/>
  <c r="H269" i="52"/>
  <c r="G269" i="52"/>
  <c r="F269" i="52"/>
  <c r="E269" i="52"/>
  <c r="D269" i="52"/>
  <c r="C269" i="52"/>
  <c r="B269" i="52"/>
  <c r="A269" i="52"/>
  <c r="I268" i="52"/>
  <c r="H268" i="52"/>
  <c r="G268" i="52"/>
  <c r="F268" i="52"/>
  <c r="E268" i="52"/>
  <c r="D268" i="52"/>
  <c r="C268" i="52"/>
  <c r="B268" i="52"/>
  <c r="A268" i="52"/>
  <c r="I267" i="52"/>
  <c r="H267" i="52"/>
  <c r="G267" i="52"/>
  <c r="F267" i="52"/>
  <c r="E267" i="52"/>
  <c r="D267" i="52"/>
  <c r="C267" i="52"/>
  <c r="B267" i="52"/>
  <c r="A267" i="52"/>
  <c r="I266" i="52"/>
  <c r="H266" i="52"/>
  <c r="G266" i="52"/>
  <c r="F266" i="52"/>
  <c r="E266" i="52"/>
  <c r="D266" i="52"/>
  <c r="C266" i="52"/>
  <c r="B266" i="52"/>
  <c r="A266" i="52"/>
  <c r="I265" i="52"/>
  <c r="H265" i="52"/>
  <c r="G265" i="52"/>
  <c r="F265" i="52"/>
  <c r="E265" i="52"/>
  <c r="D265" i="52"/>
  <c r="C265" i="52"/>
  <c r="B265" i="52"/>
  <c r="A265" i="52"/>
  <c r="I264" i="52"/>
  <c r="H264" i="52"/>
  <c r="G264" i="52"/>
  <c r="F264" i="52"/>
  <c r="E264" i="52"/>
  <c r="D264" i="52"/>
  <c r="C264" i="52"/>
  <c r="B264" i="52"/>
  <c r="A264" i="52"/>
  <c r="I263" i="52"/>
  <c r="H263" i="52"/>
  <c r="G263" i="52"/>
  <c r="F263" i="52"/>
  <c r="E263" i="52"/>
  <c r="D263" i="52"/>
  <c r="C263" i="52"/>
  <c r="B263" i="52"/>
  <c r="A263" i="52"/>
  <c r="I262" i="52"/>
  <c r="H262" i="52"/>
  <c r="G262" i="52"/>
  <c r="F262" i="52"/>
  <c r="E262" i="52"/>
  <c r="D262" i="52"/>
  <c r="C262" i="52"/>
  <c r="B262" i="52"/>
  <c r="A262" i="52"/>
  <c r="I261" i="52"/>
  <c r="H261" i="52"/>
  <c r="G261" i="52"/>
  <c r="F261" i="52"/>
  <c r="E261" i="52"/>
  <c r="D261" i="52"/>
  <c r="C261" i="52"/>
  <c r="B261" i="52"/>
  <c r="A261" i="52"/>
  <c r="I260" i="52"/>
  <c r="H260" i="52"/>
  <c r="G260" i="52"/>
  <c r="F260" i="52"/>
  <c r="E260" i="52"/>
  <c r="D260" i="52"/>
  <c r="C260" i="52"/>
  <c r="B260" i="52"/>
  <c r="A260" i="52"/>
  <c r="I259" i="52"/>
  <c r="H259" i="52"/>
  <c r="G259" i="52"/>
  <c r="F259" i="52"/>
  <c r="E259" i="52"/>
  <c r="D259" i="52"/>
  <c r="C259" i="52"/>
  <c r="B259" i="52"/>
  <c r="A259" i="52"/>
  <c r="I258" i="52"/>
  <c r="H258" i="52"/>
  <c r="G258" i="52"/>
  <c r="F258" i="52"/>
  <c r="E258" i="52"/>
  <c r="D258" i="52"/>
  <c r="C258" i="52"/>
  <c r="B258" i="52"/>
  <c r="A258" i="52"/>
  <c r="I257" i="52"/>
  <c r="H257" i="52"/>
  <c r="G257" i="52"/>
  <c r="F257" i="52"/>
  <c r="E257" i="52"/>
  <c r="D257" i="52"/>
  <c r="C257" i="52"/>
  <c r="B257" i="52"/>
  <c r="A257" i="52"/>
  <c r="I256" i="52"/>
  <c r="H256" i="52"/>
  <c r="G256" i="52"/>
  <c r="F256" i="52"/>
  <c r="E256" i="52"/>
  <c r="D256" i="52"/>
  <c r="C256" i="52"/>
  <c r="B256" i="52"/>
  <c r="A256" i="52"/>
  <c r="I255" i="52"/>
  <c r="H255" i="52"/>
  <c r="G255" i="52"/>
  <c r="F255" i="52"/>
  <c r="E255" i="52"/>
  <c r="D255" i="52"/>
  <c r="C255" i="52"/>
  <c r="B255" i="52"/>
  <c r="A255" i="52"/>
  <c r="I254" i="52"/>
  <c r="H254" i="52"/>
  <c r="G254" i="52"/>
  <c r="F254" i="52"/>
  <c r="E254" i="52"/>
  <c r="D254" i="52"/>
  <c r="C254" i="52"/>
  <c r="B254" i="52"/>
  <c r="A254" i="52"/>
  <c r="I253" i="52"/>
  <c r="H253" i="52"/>
  <c r="G253" i="52"/>
  <c r="F253" i="52"/>
  <c r="E253" i="52"/>
  <c r="D253" i="52"/>
  <c r="C253" i="52"/>
  <c r="B253" i="52"/>
  <c r="A253" i="52"/>
  <c r="I252" i="52"/>
  <c r="H252" i="52"/>
  <c r="G252" i="52"/>
  <c r="F252" i="52"/>
  <c r="E252" i="52"/>
  <c r="D252" i="52"/>
  <c r="C252" i="52"/>
  <c r="B252" i="52"/>
  <c r="A252" i="52"/>
  <c r="I251" i="52"/>
  <c r="H251" i="52"/>
  <c r="G251" i="52"/>
  <c r="F251" i="52"/>
  <c r="E251" i="52"/>
  <c r="D251" i="52"/>
  <c r="C251" i="52"/>
  <c r="B251" i="52"/>
  <c r="A251" i="52"/>
  <c r="I250" i="52"/>
  <c r="H250" i="52"/>
  <c r="G250" i="52"/>
  <c r="F250" i="52"/>
  <c r="E250" i="52"/>
  <c r="D250" i="52"/>
  <c r="C250" i="52"/>
  <c r="B250" i="52"/>
  <c r="A250" i="52"/>
  <c r="I249" i="52"/>
  <c r="H249" i="52"/>
  <c r="G249" i="52"/>
  <c r="F249" i="52"/>
  <c r="E249" i="52"/>
  <c r="D249" i="52"/>
  <c r="C249" i="52"/>
  <c r="B249" i="52"/>
  <c r="A249" i="52"/>
  <c r="I248" i="52"/>
  <c r="H248" i="52"/>
  <c r="G248" i="52"/>
  <c r="F248" i="52"/>
  <c r="E248" i="52"/>
  <c r="D248" i="52"/>
  <c r="C248" i="52"/>
  <c r="B248" i="52"/>
  <c r="A248" i="52"/>
  <c r="I247" i="52"/>
  <c r="H247" i="52"/>
  <c r="G247" i="52"/>
  <c r="F247" i="52"/>
  <c r="E247" i="52"/>
  <c r="D247" i="52"/>
  <c r="C247" i="52"/>
  <c r="B247" i="52"/>
  <c r="A247" i="52"/>
  <c r="I246" i="52"/>
  <c r="H246" i="52"/>
  <c r="G246" i="52"/>
  <c r="F246" i="52"/>
  <c r="E246" i="52"/>
  <c r="D246" i="52"/>
  <c r="C246" i="52"/>
  <c r="B246" i="52"/>
  <c r="A246" i="52"/>
  <c r="I245" i="52"/>
  <c r="H245" i="52"/>
  <c r="G245" i="52"/>
  <c r="F245" i="52"/>
  <c r="E245" i="52"/>
  <c r="D245" i="52"/>
  <c r="C245" i="52"/>
  <c r="B245" i="52"/>
  <c r="A245" i="52"/>
  <c r="I244" i="52"/>
  <c r="H244" i="52"/>
  <c r="G244" i="52"/>
  <c r="F244" i="52"/>
  <c r="E244" i="52"/>
  <c r="D244" i="52"/>
  <c r="C244" i="52"/>
  <c r="B244" i="52"/>
  <c r="A244" i="52"/>
  <c r="I243" i="52"/>
  <c r="H243" i="52"/>
  <c r="G243" i="52"/>
  <c r="F243" i="52"/>
  <c r="E243" i="52"/>
  <c r="D243" i="52"/>
  <c r="C243" i="52"/>
  <c r="B243" i="52"/>
  <c r="A243" i="52"/>
  <c r="I242" i="52"/>
  <c r="H242" i="52"/>
  <c r="G242" i="52"/>
  <c r="F242" i="52"/>
  <c r="E242" i="52"/>
  <c r="D242" i="52"/>
  <c r="C242" i="52"/>
  <c r="B242" i="52"/>
  <c r="A242" i="52"/>
  <c r="I241" i="52"/>
  <c r="H241" i="52"/>
  <c r="G241" i="52"/>
  <c r="F241" i="52"/>
  <c r="E241" i="52"/>
  <c r="D241" i="52"/>
  <c r="C241" i="52"/>
  <c r="B241" i="52"/>
  <c r="A241" i="52"/>
  <c r="I240" i="52"/>
  <c r="H240" i="52"/>
  <c r="G240" i="52"/>
  <c r="F240" i="52"/>
  <c r="E240" i="52"/>
  <c r="D240" i="52"/>
  <c r="C240" i="52"/>
  <c r="B240" i="52"/>
  <c r="A240" i="52"/>
  <c r="I239" i="52"/>
  <c r="H239" i="52"/>
  <c r="G239" i="52"/>
  <c r="F239" i="52"/>
  <c r="E239" i="52"/>
  <c r="D239" i="52"/>
  <c r="C239" i="52"/>
  <c r="B239" i="52"/>
  <c r="A239" i="52"/>
  <c r="I238" i="52"/>
  <c r="H238" i="52"/>
  <c r="G238" i="52"/>
  <c r="F238" i="52"/>
  <c r="E238" i="52"/>
  <c r="D238" i="52"/>
  <c r="C238" i="52"/>
  <c r="B238" i="52"/>
  <c r="A238" i="52"/>
  <c r="I237" i="52"/>
  <c r="H237" i="52"/>
  <c r="G237" i="52"/>
  <c r="F237" i="52"/>
  <c r="E237" i="52"/>
  <c r="D237" i="52"/>
  <c r="C237" i="52"/>
  <c r="B237" i="52"/>
  <c r="A237" i="52"/>
  <c r="I236" i="52"/>
  <c r="H236" i="52"/>
  <c r="G236" i="52"/>
  <c r="F236" i="52"/>
  <c r="E236" i="52"/>
  <c r="D236" i="52"/>
  <c r="C236" i="52"/>
  <c r="B236" i="52"/>
  <c r="A236" i="52"/>
  <c r="I235" i="52"/>
  <c r="H235" i="52"/>
  <c r="G235" i="52"/>
  <c r="F235" i="52"/>
  <c r="E235" i="52"/>
  <c r="D235" i="52"/>
  <c r="C235" i="52"/>
  <c r="B235" i="52"/>
  <c r="A235" i="52"/>
  <c r="I234" i="52"/>
  <c r="H234" i="52"/>
  <c r="G234" i="52"/>
  <c r="F234" i="52"/>
  <c r="E234" i="52"/>
  <c r="D234" i="52"/>
  <c r="C234" i="52"/>
  <c r="B234" i="52"/>
  <c r="A234" i="52"/>
  <c r="I233" i="52"/>
  <c r="H233" i="52"/>
  <c r="G233" i="52"/>
  <c r="F233" i="52"/>
  <c r="E233" i="52"/>
  <c r="D233" i="52"/>
  <c r="C233" i="52"/>
  <c r="B233" i="52"/>
  <c r="A233" i="52"/>
  <c r="I232" i="52"/>
  <c r="H232" i="52"/>
  <c r="G232" i="52"/>
  <c r="F232" i="52"/>
  <c r="E232" i="52"/>
  <c r="D232" i="52"/>
  <c r="C232" i="52"/>
  <c r="B232" i="52"/>
  <c r="A232" i="52"/>
  <c r="I231" i="52"/>
  <c r="H231" i="52"/>
  <c r="G231" i="52"/>
  <c r="F231" i="52"/>
  <c r="E231" i="52"/>
  <c r="D231" i="52"/>
  <c r="C231" i="52"/>
  <c r="B231" i="52"/>
  <c r="A231" i="52"/>
  <c r="I230" i="52"/>
  <c r="H230" i="52"/>
  <c r="G230" i="52"/>
  <c r="F230" i="52"/>
  <c r="E230" i="52"/>
  <c r="D230" i="52"/>
  <c r="C230" i="52"/>
  <c r="B230" i="52"/>
  <c r="A230" i="52"/>
  <c r="I229" i="52"/>
  <c r="H229" i="52"/>
  <c r="G229" i="52"/>
  <c r="F229" i="52"/>
  <c r="E229" i="52"/>
  <c r="D229" i="52"/>
  <c r="C229" i="52"/>
  <c r="B229" i="52"/>
  <c r="A229" i="52"/>
  <c r="I228" i="52"/>
  <c r="H228" i="52"/>
  <c r="G228" i="52"/>
  <c r="F228" i="52"/>
  <c r="E228" i="52"/>
  <c r="D228" i="52"/>
  <c r="C228" i="52"/>
  <c r="B228" i="52"/>
  <c r="A228" i="52"/>
  <c r="I227" i="52"/>
  <c r="H227" i="52"/>
  <c r="G227" i="52"/>
  <c r="F227" i="52"/>
  <c r="E227" i="52"/>
  <c r="D227" i="52"/>
  <c r="C227" i="52"/>
  <c r="B227" i="52"/>
  <c r="A227" i="52"/>
  <c r="I226" i="52"/>
  <c r="H226" i="52"/>
  <c r="G226" i="52"/>
  <c r="F226" i="52"/>
  <c r="E226" i="52"/>
  <c r="D226" i="52"/>
  <c r="C226" i="52"/>
  <c r="B226" i="52"/>
  <c r="A226" i="52"/>
  <c r="I225" i="52"/>
  <c r="H225" i="52"/>
  <c r="G225" i="52"/>
  <c r="F225" i="52"/>
  <c r="E225" i="52"/>
  <c r="D225" i="52"/>
  <c r="C225" i="52"/>
  <c r="B225" i="52"/>
  <c r="A225" i="52"/>
  <c r="I224" i="52"/>
  <c r="H224" i="52"/>
  <c r="G224" i="52"/>
  <c r="F224" i="52"/>
  <c r="E224" i="52"/>
  <c r="D224" i="52"/>
  <c r="C224" i="52"/>
  <c r="B224" i="52"/>
  <c r="A224" i="52"/>
  <c r="I223" i="52"/>
  <c r="H223" i="52"/>
  <c r="G223" i="52"/>
  <c r="F223" i="52"/>
  <c r="E223" i="52"/>
  <c r="D223" i="52"/>
  <c r="C223" i="52"/>
  <c r="B223" i="52"/>
  <c r="A223" i="52"/>
  <c r="I222" i="52"/>
  <c r="H222" i="52"/>
  <c r="G222" i="52"/>
  <c r="F222" i="52"/>
  <c r="E222" i="52"/>
  <c r="D222" i="52"/>
  <c r="C222" i="52"/>
  <c r="B222" i="52"/>
  <c r="A222" i="52"/>
  <c r="I221" i="52"/>
  <c r="H221" i="52"/>
  <c r="G221" i="52"/>
  <c r="F221" i="52"/>
  <c r="E221" i="52"/>
  <c r="D221" i="52"/>
  <c r="C221" i="52"/>
  <c r="B221" i="52"/>
  <c r="A221" i="52"/>
  <c r="I220" i="52"/>
  <c r="H220" i="52"/>
  <c r="G220" i="52"/>
  <c r="F220" i="52"/>
  <c r="E220" i="52"/>
  <c r="D220" i="52"/>
  <c r="C220" i="52"/>
  <c r="B220" i="52"/>
  <c r="A220" i="52"/>
  <c r="I219" i="52"/>
  <c r="H219" i="52"/>
  <c r="G219" i="52"/>
  <c r="F219" i="52"/>
  <c r="E219" i="52"/>
  <c r="D219" i="52"/>
  <c r="C219" i="52"/>
  <c r="B219" i="52"/>
  <c r="A219" i="52"/>
  <c r="I218" i="52"/>
  <c r="H218" i="52"/>
  <c r="G218" i="52"/>
  <c r="F218" i="52"/>
  <c r="E218" i="52"/>
  <c r="D218" i="52"/>
  <c r="C218" i="52"/>
  <c r="B218" i="52"/>
  <c r="A218" i="52"/>
  <c r="I217" i="52"/>
  <c r="H217" i="52"/>
  <c r="G217" i="52"/>
  <c r="F217" i="52"/>
  <c r="E217" i="52"/>
  <c r="D217" i="52"/>
  <c r="C217" i="52"/>
  <c r="B217" i="52"/>
  <c r="A217" i="52"/>
  <c r="I216" i="52"/>
  <c r="H216" i="52"/>
  <c r="G216" i="52"/>
  <c r="F216" i="52"/>
  <c r="E216" i="52"/>
  <c r="D216" i="52"/>
  <c r="C216" i="52"/>
  <c r="B216" i="52"/>
  <c r="A216" i="52"/>
  <c r="I215" i="52"/>
  <c r="H215" i="52"/>
  <c r="G215" i="52"/>
  <c r="F215" i="52"/>
  <c r="E215" i="52"/>
  <c r="D215" i="52"/>
  <c r="C215" i="52"/>
  <c r="B215" i="52"/>
  <c r="A215" i="52"/>
  <c r="I214" i="52"/>
  <c r="H214" i="52"/>
  <c r="G214" i="52"/>
  <c r="F214" i="52"/>
  <c r="E214" i="52"/>
  <c r="D214" i="52"/>
  <c r="C214" i="52"/>
  <c r="B214" i="52"/>
  <c r="A214" i="52"/>
  <c r="I213" i="52"/>
  <c r="H213" i="52"/>
  <c r="G213" i="52"/>
  <c r="F213" i="52"/>
  <c r="E213" i="52"/>
  <c r="D213" i="52"/>
  <c r="C213" i="52"/>
  <c r="B213" i="52"/>
  <c r="A213" i="52"/>
  <c r="I212" i="52"/>
  <c r="H212" i="52"/>
  <c r="G212" i="52"/>
  <c r="F212" i="52"/>
  <c r="E212" i="52"/>
  <c r="D212" i="52"/>
  <c r="C212" i="52"/>
  <c r="B212" i="52"/>
  <c r="A212" i="52"/>
  <c r="I211" i="52"/>
  <c r="H211" i="52"/>
  <c r="G211" i="52"/>
  <c r="F211" i="52"/>
  <c r="E211" i="52"/>
  <c r="D211" i="52"/>
  <c r="C211" i="52"/>
  <c r="B211" i="52"/>
  <c r="A211" i="52"/>
  <c r="I210" i="52"/>
  <c r="H210" i="52"/>
  <c r="G210" i="52"/>
  <c r="F210" i="52"/>
  <c r="E210" i="52"/>
  <c r="D210" i="52"/>
  <c r="C210" i="52"/>
  <c r="B210" i="52"/>
  <c r="A210" i="52"/>
  <c r="I209" i="52"/>
  <c r="H209" i="52"/>
  <c r="G209" i="52"/>
  <c r="F209" i="52"/>
  <c r="E209" i="52"/>
  <c r="D209" i="52"/>
  <c r="C209" i="52"/>
  <c r="B209" i="52"/>
  <c r="A209" i="52"/>
  <c r="I208" i="52"/>
  <c r="H208" i="52"/>
  <c r="G208" i="52"/>
  <c r="F208" i="52"/>
  <c r="E208" i="52"/>
  <c r="D208" i="52"/>
  <c r="C208" i="52"/>
  <c r="B208" i="52"/>
  <c r="A208" i="52"/>
  <c r="I207" i="52"/>
  <c r="H207" i="52"/>
  <c r="G207" i="52"/>
  <c r="F207" i="52"/>
  <c r="E207" i="52"/>
  <c r="D207" i="52"/>
  <c r="C207" i="52"/>
  <c r="B207" i="52"/>
  <c r="A207" i="52"/>
  <c r="I206" i="52"/>
  <c r="H206" i="52"/>
  <c r="G206" i="52"/>
  <c r="F206" i="52"/>
  <c r="E206" i="52"/>
  <c r="D206" i="52"/>
  <c r="C206" i="52"/>
  <c r="B206" i="52"/>
  <c r="A206" i="52"/>
  <c r="I205" i="52"/>
  <c r="H205" i="52"/>
  <c r="G205" i="52"/>
  <c r="F205" i="52"/>
  <c r="E205" i="52"/>
  <c r="D205" i="52"/>
  <c r="C205" i="52"/>
  <c r="B205" i="52"/>
  <c r="A205" i="52"/>
  <c r="I204" i="52"/>
  <c r="H204" i="52"/>
  <c r="G204" i="52"/>
  <c r="F204" i="52"/>
  <c r="E204" i="52"/>
  <c r="D204" i="52"/>
  <c r="C204" i="52"/>
  <c r="B204" i="52"/>
  <c r="A204" i="52"/>
  <c r="I203" i="52"/>
  <c r="H203" i="52"/>
  <c r="G203" i="52"/>
  <c r="F203" i="52"/>
  <c r="E203" i="52"/>
  <c r="D203" i="52"/>
  <c r="C203" i="52"/>
  <c r="B203" i="52"/>
  <c r="A203" i="52"/>
  <c r="I202" i="52"/>
  <c r="H202" i="52"/>
  <c r="G202" i="52"/>
  <c r="F202" i="52"/>
  <c r="E202" i="52"/>
  <c r="D202" i="52"/>
  <c r="C202" i="52"/>
  <c r="B202" i="52"/>
  <c r="A202" i="52"/>
  <c r="I201" i="52"/>
  <c r="H201" i="52"/>
  <c r="G201" i="52"/>
  <c r="F201" i="52"/>
  <c r="E201" i="52"/>
  <c r="D201" i="52"/>
  <c r="C201" i="52"/>
  <c r="B201" i="52"/>
  <c r="A201" i="52"/>
  <c r="I200" i="52"/>
  <c r="H200" i="52"/>
  <c r="G200" i="52"/>
  <c r="F200" i="52"/>
  <c r="E200" i="52"/>
  <c r="D200" i="52"/>
  <c r="C200" i="52"/>
  <c r="B200" i="52"/>
  <c r="A200" i="52"/>
  <c r="I199" i="52"/>
  <c r="H199" i="52"/>
  <c r="G199" i="52"/>
  <c r="F199" i="52"/>
  <c r="E199" i="52"/>
  <c r="D199" i="52"/>
  <c r="C199" i="52"/>
  <c r="B199" i="52"/>
  <c r="A199" i="52"/>
  <c r="I198" i="52"/>
  <c r="H198" i="52"/>
  <c r="G198" i="52"/>
  <c r="F198" i="52"/>
  <c r="E198" i="52"/>
  <c r="D198" i="52"/>
  <c r="C198" i="52"/>
  <c r="B198" i="52"/>
  <c r="A198" i="52"/>
  <c r="I197" i="52"/>
  <c r="H197" i="52"/>
  <c r="G197" i="52"/>
  <c r="F197" i="52"/>
  <c r="E197" i="52"/>
  <c r="D197" i="52"/>
  <c r="C197" i="52"/>
  <c r="B197" i="52"/>
  <c r="A197" i="52"/>
  <c r="I196" i="52"/>
  <c r="H196" i="52"/>
  <c r="G196" i="52"/>
  <c r="F196" i="52"/>
  <c r="E196" i="52"/>
  <c r="D196" i="52"/>
  <c r="C196" i="52"/>
  <c r="B196" i="52"/>
  <c r="A196" i="52"/>
  <c r="I195" i="52"/>
  <c r="H195" i="52"/>
  <c r="G195" i="52"/>
  <c r="F195" i="52"/>
  <c r="E195" i="52"/>
  <c r="D195" i="52"/>
  <c r="C195" i="52"/>
  <c r="B195" i="52"/>
  <c r="A195" i="52"/>
  <c r="I194" i="52"/>
  <c r="H194" i="52"/>
  <c r="G194" i="52"/>
  <c r="F194" i="52"/>
  <c r="E194" i="52"/>
  <c r="D194" i="52"/>
  <c r="C194" i="52"/>
  <c r="B194" i="52"/>
  <c r="A194" i="52"/>
  <c r="I193" i="52"/>
  <c r="H193" i="52"/>
  <c r="G193" i="52"/>
  <c r="F193" i="52"/>
  <c r="E193" i="52"/>
  <c r="D193" i="52"/>
  <c r="C193" i="52"/>
  <c r="B193" i="52"/>
  <c r="A193" i="52"/>
  <c r="I192" i="52"/>
  <c r="H192" i="52"/>
  <c r="G192" i="52"/>
  <c r="F192" i="52"/>
  <c r="E192" i="52"/>
  <c r="D192" i="52"/>
  <c r="C192" i="52"/>
  <c r="B192" i="52"/>
  <c r="A192" i="52"/>
  <c r="I191" i="52"/>
  <c r="H191" i="52"/>
  <c r="G191" i="52"/>
  <c r="F191" i="52"/>
  <c r="E191" i="52"/>
  <c r="D191" i="52"/>
  <c r="C191" i="52"/>
  <c r="B191" i="52"/>
  <c r="A191" i="52"/>
  <c r="I190" i="52"/>
  <c r="H190" i="52"/>
  <c r="G190" i="52"/>
  <c r="F190" i="52"/>
  <c r="E190" i="52"/>
  <c r="D190" i="52"/>
  <c r="C190" i="52"/>
  <c r="B190" i="52"/>
  <c r="A190" i="52"/>
  <c r="I189" i="52"/>
  <c r="H189" i="52"/>
  <c r="G189" i="52"/>
  <c r="F189" i="52"/>
  <c r="E189" i="52"/>
  <c r="D189" i="52"/>
  <c r="C189" i="52"/>
  <c r="B189" i="52"/>
  <c r="A189" i="52"/>
  <c r="I188" i="52"/>
  <c r="H188" i="52"/>
  <c r="G188" i="52"/>
  <c r="F188" i="52"/>
  <c r="E188" i="52"/>
  <c r="D188" i="52"/>
  <c r="C188" i="52"/>
  <c r="B188" i="52"/>
  <c r="A188" i="52"/>
  <c r="I187" i="52"/>
  <c r="H187" i="52"/>
  <c r="G187" i="52"/>
  <c r="F187" i="52"/>
  <c r="E187" i="52"/>
  <c r="D187" i="52"/>
  <c r="C187" i="52"/>
  <c r="B187" i="52"/>
  <c r="A187" i="52"/>
  <c r="I186" i="52"/>
  <c r="H186" i="52"/>
  <c r="G186" i="52"/>
  <c r="F186" i="52"/>
  <c r="E186" i="52"/>
  <c r="D186" i="52"/>
  <c r="C186" i="52"/>
  <c r="B186" i="52"/>
  <c r="A186" i="52"/>
  <c r="I185" i="52"/>
  <c r="H185" i="52"/>
  <c r="G185" i="52"/>
  <c r="F185" i="52"/>
  <c r="E185" i="52"/>
  <c r="D185" i="52"/>
  <c r="C185" i="52"/>
  <c r="B185" i="52"/>
  <c r="A185" i="52"/>
  <c r="I184" i="52"/>
  <c r="H184" i="52"/>
  <c r="G184" i="52"/>
  <c r="F184" i="52"/>
  <c r="E184" i="52"/>
  <c r="D184" i="52"/>
  <c r="C184" i="52"/>
  <c r="B184" i="52"/>
  <c r="A184" i="52"/>
  <c r="I183" i="52"/>
  <c r="H183" i="52"/>
  <c r="G183" i="52"/>
  <c r="F183" i="52"/>
  <c r="E183" i="52"/>
  <c r="D183" i="52"/>
  <c r="C183" i="52"/>
  <c r="B183" i="52"/>
  <c r="A183" i="52"/>
  <c r="I182" i="52"/>
  <c r="H182" i="52"/>
  <c r="G182" i="52"/>
  <c r="F182" i="52"/>
  <c r="E182" i="52"/>
  <c r="D182" i="52"/>
  <c r="C182" i="52"/>
  <c r="B182" i="52"/>
  <c r="A182" i="52"/>
  <c r="I181" i="52"/>
  <c r="H181" i="52"/>
  <c r="G181" i="52"/>
  <c r="F181" i="52"/>
  <c r="E181" i="52"/>
  <c r="D181" i="52"/>
  <c r="C181" i="52"/>
  <c r="B181" i="52"/>
  <c r="A181" i="52"/>
  <c r="I180" i="52"/>
  <c r="H180" i="52"/>
  <c r="G180" i="52"/>
  <c r="F180" i="52"/>
  <c r="E180" i="52"/>
  <c r="D180" i="52"/>
  <c r="C180" i="52"/>
  <c r="B180" i="52"/>
  <c r="A180" i="52"/>
  <c r="I179" i="52"/>
  <c r="H179" i="52"/>
  <c r="G179" i="52"/>
  <c r="F179" i="52"/>
  <c r="E179" i="52"/>
  <c r="D179" i="52"/>
  <c r="C179" i="52"/>
  <c r="B179" i="52"/>
  <c r="A179" i="52"/>
  <c r="I178" i="52"/>
  <c r="H178" i="52"/>
  <c r="G178" i="52"/>
  <c r="F178" i="52"/>
  <c r="E178" i="52"/>
  <c r="D178" i="52"/>
  <c r="C178" i="52"/>
  <c r="B178" i="52"/>
  <c r="A178" i="52"/>
  <c r="I177" i="52"/>
  <c r="H177" i="52"/>
  <c r="G177" i="52"/>
  <c r="F177" i="52"/>
  <c r="E177" i="52"/>
  <c r="D177" i="52"/>
  <c r="C177" i="52"/>
  <c r="B177" i="52"/>
  <c r="A177" i="52"/>
  <c r="I176" i="52"/>
  <c r="H176" i="52"/>
  <c r="G176" i="52"/>
  <c r="F176" i="52"/>
  <c r="E176" i="52"/>
  <c r="D176" i="52"/>
  <c r="C176" i="52"/>
  <c r="B176" i="52"/>
  <c r="A176" i="52"/>
  <c r="I175" i="52"/>
  <c r="H175" i="52"/>
  <c r="G175" i="52"/>
  <c r="F175" i="52"/>
  <c r="E175" i="52"/>
  <c r="D175" i="52"/>
  <c r="C175" i="52"/>
  <c r="B175" i="52"/>
  <c r="A175" i="52"/>
  <c r="I174" i="52"/>
  <c r="H174" i="52"/>
  <c r="G174" i="52"/>
  <c r="F174" i="52"/>
  <c r="E174" i="52"/>
  <c r="D174" i="52"/>
  <c r="C174" i="52"/>
  <c r="B174" i="52"/>
  <c r="A174" i="52"/>
  <c r="I173" i="52"/>
  <c r="H173" i="52"/>
  <c r="G173" i="52"/>
  <c r="F173" i="52"/>
  <c r="E173" i="52"/>
  <c r="D173" i="52"/>
  <c r="C173" i="52"/>
  <c r="B173" i="52"/>
  <c r="A173" i="52"/>
  <c r="I172" i="52"/>
  <c r="H172" i="52"/>
  <c r="G172" i="52"/>
  <c r="F172" i="52"/>
  <c r="E172" i="52"/>
  <c r="D172" i="52"/>
  <c r="C172" i="52"/>
  <c r="B172" i="52"/>
  <c r="A172" i="52"/>
  <c r="I171" i="52"/>
  <c r="H171" i="52"/>
  <c r="G171" i="52"/>
  <c r="F171" i="52"/>
  <c r="E171" i="52"/>
  <c r="D171" i="52"/>
  <c r="C171" i="52"/>
  <c r="B171" i="52"/>
  <c r="A171" i="52"/>
  <c r="I170" i="52"/>
  <c r="H170" i="52"/>
  <c r="G170" i="52"/>
  <c r="F170" i="52"/>
  <c r="E170" i="52"/>
  <c r="D170" i="52"/>
  <c r="C170" i="52"/>
  <c r="B170" i="52"/>
  <c r="A170" i="52"/>
  <c r="I169" i="52"/>
  <c r="H169" i="52"/>
  <c r="G169" i="52"/>
  <c r="F169" i="52"/>
  <c r="E169" i="52"/>
  <c r="D169" i="52"/>
  <c r="C169" i="52"/>
  <c r="B169" i="52"/>
  <c r="A169" i="52"/>
  <c r="I168" i="52"/>
  <c r="H168" i="52"/>
  <c r="G168" i="52"/>
  <c r="F168" i="52"/>
  <c r="E168" i="52"/>
  <c r="D168" i="52"/>
  <c r="C168" i="52"/>
  <c r="B168" i="52"/>
  <c r="A168" i="52"/>
  <c r="I167" i="52"/>
  <c r="H167" i="52"/>
  <c r="G167" i="52"/>
  <c r="F167" i="52"/>
  <c r="E167" i="52"/>
  <c r="D167" i="52"/>
  <c r="C167" i="52"/>
  <c r="B167" i="52"/>
  <c r="A167" i="52"/>
  <c r="I166" i="52"/>
  <c r="H166" i="52"/>
  <c r="G166" i="52"/>
  <c r="F166" i="52"/>
  <c r="E166" i="52"/>
  <c r="D166" i="52"/>
  <c r="C166" i="52"/>
  <c r="B166" i="52"/>
  <c r="A166" i="52"/>
  <c r="I165" i="52"/>
  <c r="H165" i="52"/>
  <c r="G165" i="52"/>
  <c r="F165" i="52"/>
  <c r="E165" i="52"/>
  <c r="D165" i="52"/>
  <c r="C165" i="52"/>
  <c r="B165" i="52"/>
  <c r="A165" i="52"/>
  <c r="I164" i="52"/>
  <c r="H164" i="52"/>
  <c r="G164" i="52"/>
  <c r="F164" i="52"/>
  <c r="E164" i="52"/>
  <c r="D164" i="52"/>
  <c r="C164" i="52"/>
  <c r="B164" i="52"/>
  <c r="A164" i="52"/>
  <c r="I163" i="52"/>
  <c r="H163" i="52"/>
  <c r="G163" i="52"/>
  <c r="F163" i="52"/>
  <c r="E163" i="52"/>
  <c r="D163" i="52"/>
  <c r="C163" i="52"/>
  <c r="B163" i="52"/>
  <c r="A163" i="52"/>
  <c r="I162" i="52"/>
  <c r="H162" i="52"/>
  <c r="G162" i="52"/>
  <c r="F162" i="52"/>
  <c r="E162" i="52"/>
  <c r="D162" i="52"/>
  <c r="C162" i="52"/>
  <c r="B162" i="52"/>
  <c r="A162" i="52"/>
  <c r="I161" i="52"/>
  <c r="H161" i="52"/>
  <c r="G161" i="52"/>
  <c r="F161" i="52"/>
  <c r="E161" i="52"/>
  <c r="D161" i="52"/>
  <c r="C161" i="52"/>
  <c r="B161" i="52"/>
  <c r="A161" i="52"/>
  <c r="I160" i="52"/>
  <c r="H160" i="52"/>
  <c r="G160" i="52"/>
  <c r="F160" i="52"/>
  <c r="E160" i="52"/>
  <c r="D160" i="52"/>
  <c r="C160" i="52"/>
  <c r="B160" i="52"/>
  <c r="A160" i="52"/>
  <c r="I159" i="52"/>
  <c r="H159" i="52"/>
  <c r="G159" i="52"/>
  <c r="F159" i="52"/>
  <c r="E159" i="52"/>
  <c r="D159" i="52"/>
  <c r="C159" i="52"/>
  <c r="B159" i="52"/>
  <c r="A159" i="52"/>
  <c r="I158" i="52"/>
  <c r="H158" i="52"/>
  <c r="G158" i="52"/>
  <c r="F158" i="52"/>
  <c r="E158" i="52"/>
  <c r="D158" i="52"/>
  <c r="C158" i="52"/>
  <c r="B158" i="52"/>
  <c r="A158" i="52"/>
  <c r="I157" i="52"/>
  <c r="H157" i="52"/>
  <c r="G157" i="52"/>
  <c r="F157" i="52"/>
  <c r="E157" i="52"/>
  <c r="D157" i="52"/>
  <c r="C157" i="52"/>
  <c r="B157" i="52"/>
  <c r="A157" i="52"/>
  <c r="I156" i="52"/>
  <c r="H156" i="52"/>
  <c r="G156" i="52"/>
  <c r="F156" i="52"/>
  <c r="E156" i="52"/>
  <c r="D156" i="52"/>
  <c r="C156" i="52"/>
  <c r="B156" i="52"/>
  <c r="A156" i="52"/>
  <c r="I155" i="52"/>
  <c r="H155" i="52"/>
  <c r="G155" i="52"/>
  <c r="F155" i="52"/>
  <c r="E155" i="52"/>
  <c r="D155" i="52"/>
  <c r="C155" i="52"/>
  <c r="B155" i="52"/>
  <c r="A155" i="52"/>
  <c r="I154" i="52"/>
  <c r="H154" i="52"/>
  <c r="G154" i="52"/>
  <c r="F154" i="52"/>
  <c r="E154" i="52"/>
  <c r="D154" i="52"/>
  <c r="C154" i="52"/>
  <c r="B154" i="52"/>
  <c r="A154" i="52"/>
  <c r="I153" i="52"/>
  <c r="H153" i="52"/>
  <c r="G153" i="52"/>
  <c r="F153" i="52"/>
  <c r="E153" i="52"/>
  <c r="D153" i="52"/>
  <c r="C153" i="52"/>
  <c r="B153" i="52"/>
  <c r="A153" i="52"/>
  <c r="I152" i="52"/>
  <c r="H152" i="52"/>
  <c r="G152" i="52"/>
  <c r="F152" i="52"/>
  <c r="E152" i="52"/>
  <c r="D152" i="52"/>
  <c r="C152" i="52"/>
  <c r="B152" i="52"/>
  <c r="A152" i="52"/>
  <c r="I151" i="52"/>
  <c r="H151" i="52"/>
  <c r="G151" i="52"/>
  <c r="F151" i="52"/>
  <c r="E151" i="52"/>
  <c r="D151" i="52"/>
  <c r="C151" i="52"/>
  <c r="B151" i="52"/>
  <c r="A151" i="52"/>
  <c r="I150" i="52"/>
  <c r="H150" i="52"/>
  <c r="G150" i="52"/>
  <c r="F150" i="52"/>
  <c r="E150" i="52"/>
  <c r="D150" i="52"/>
  <c r="C150" i="52"/>
  <c r="B150" i="52"/>
  <c r="A150" i="52"/>
  <c r="I149" i="52"/>
  <c r="H149" i="52"/>
  <c r="G149" i="52"/>
  <c r="F149" i="52"/>
  <c r="E149" i="52"/>
  <c r="D149" i="52"/>
  <c r="C149" i="52"/>
  <c r="B149" i="52"/>
  <c r="A149" i="52"/>
  <c r="I148" i="52"/>
  <c r="H148" i="52"/>
  <c r="G148" i="52"/>
  <c r="F148" i="52"/>
  <c r="E148" i="52"/>
  <c r="D148" i="52"/>
  <c r="C148" i="52"/>
  <c r="B148" i="52"/>
  <c r="A148" i="52"/>
  <c r="I147" i="52"/>
  <c r="H147" i="52"/>
  <c r="G147" i="52"/>
  <c r="F147" i="52"/>
  <c r="E147" i="52"/>
  <c r="D147" i="52"/>
  <c r="C147" i="52"/>
  <c r="B147" i="52"/>
  <c r="A147" i="52"/>
  <c r="I146" i="52"/>
  <c r="H146" i="52"/>
  <c r="G146" i="52"/>
  <c r="F146" i="52"/>
  <c r="E146" i="52"/>
  <c r="D146" i="52"/>
  <c r="C146" i="52"/>
  <c r="B146" i="52"/>
  <c r="A146" i="52"/>
  <c r="I145" i="52"/>
  <c r="H145" i="52"/>
  <c r="G145" i="52"/>
  <c r="F145" i="52"/>
  <c r="E145" i="52"/>
  <c r="D145" i="52"/>
  <c r="C145" i="52"/>
  <c r="B145" i="52"/>
  <c r="A145" i="52"/>
  <c r="I144" i="52"/>
  <c r="H144" i="52"/>
  <c r="G144" i="52"/>
  <c r="F144" i="52"/>
  <c r="E144" i="52"/>
  <c r="D144" i="52"/>
  <c r="C144" i="52"/>
  <c r="B144" i="52"/>
  <c r="A144" i="52"/>
  <c r="I143" i="52"/>
  <c r="H143" i="52"/>
  <c r="G143" i="52"/>
  <c r="F143" i="52"/>
  <c r="E143" i="52"/>
  <c r="D143" i="52"/>
  <c r="C143" i="52"/>
  <c r="B143" i="52"/>
  <c r="A143" i="52"/>
  <c r="I142" i="52"/>
  <c r="H142" i="52"/>
  <c r="G142" i="52"/>
  <c r="F142" i="52"/>
  <c r="E142" i="52"/>
  <c r="D142" i="52"/>
  <c r="C142" i="52"/>
  <c r="B142" i="52"/>
  <c r="A142" i="52"/>
  <c r="I141" i="52"/>
  <c r="H141" i="52"/>
  <c r="G141" i="52"/>
  <c r="F141" i="52"/>
  <c r="E141" i="52"/>
  <c r="D141" i="52"/>
  <c r="C141" i="52"/>
  <c r="B141" i="52"/>
  <c r="A141" i="52"/>
  <c r="I140" i="52"/>
  <c r="H140" i="52"/>
  <c r="G140" i="52"/>
  <c r="F140" i="52"/>
  <c r="E140" i="52"/>
  <c r="D140" i="52"/>
  <c r="C140" i="52"/>
  <c r="B140" i="52"/>
  <c r="A140" i="52"/>
  <c r="I139" i="52"/>
  <c r="H139" i="52"/>
  <c r="G139" i="52"/>
  <c r="F139" i="52"/>
  <c r="E139" i="52"/>
  <c r="D139" i="52"/>
  <c r="C139" i="52"/>
  <c r="B139" i="52"/>
  <c r="A139" i="52"/>
  <c r="I138" i="52"/>
  <c r="H138" i="52"/>
  <c r="G138" i="52"/>
  <c r="F138" i="52"/>
  <c r="E138" i="52"/>
  <c r="D138" i="52"/>
  <c r="C138" i="52"/>
  <c r="B138" i="52"/>
  <c r="A138" i="52"/>
  <c r="I137" i="52"/>
  <c r="H137" i="52"/>
  <c r="G137" i="52"/>
  <c r="F137" i="52"/>
  <c r="E137" i="52"/>
  <c r="D137" i="52"/>
  <c r="C137" i="52"/>
  <c r="B137" i="52"/>
  <c r="A137" i="52"/>
  <c r="I136" i="52"/>
  <c r="H136" i="52"/>
  <c r="G136" i="52"/>
  <c r="F136" i="52"/>
  <c r="E136" i="52"/>
  <c r="D136" i="52"/>
  <c r="C136" i="52"/>
  <c r="B136" i="52"/>
  <c r="A136" i="52"/>
  <c r="I135" i="52"/>
  <c r="H135" i="52"/>
  <c r="G135" i="52"/>
  <c r="F135" i="52"/>
  <c r="E135" i="52"/>
  <c r="D135" i="52"/>
  <c r="C135" i="52"/>
  <c r="B135" i="52"/>
  <c r="A135" i="52"/>
  <c r="I134" i="52"/>
  <c r="H134" i="52"/>
  <c r="G134" i="52"/>
  <c r="F134" i="52"/>
  <c r="E134" i="52"/>
  <c r="D134" i="52"/>
  <c r="C134" i="52"/>
  <c r="B134" i="52"/>
  <c r="A134" i="52"/>
  <c r="I133" i="52"/>
  <c r="H133" i="52"/>
  <c r="G133" i="52"/>
  <c r="F133" i="52"/>
  <c r="E133" i="52"/>
  <c r="D133" i="52"/>
  <c r="C133" i="52"/>
  <c r="B133" i="52"/>
  <c r="A133" i="52"/>
  <c r="I132" i="52"/>
  <c r="H132" i="52"/>
  <c r="G132" i="52"/>
  <c r="F132" i="52"/>
  <c r="E132" i="52"/>
  <c r="D132" i="52"/>
  <c r="C132" i="52"/>
  <c r="B132" i="52"/>
  <c r="A132" i="52"/>
  <c r="I131" i="52"/>
  <c r="H131" i="52"/>
  <c r="G131" i="52"/>
  <c r="F131" i="52"/>
  <c r="E131" i="52"/>
  <c r="D131" i="52"/>
  <c r="C131" i="52"/>
  <c r="B131" i="52"/>
  <c r="A131" i="52"/>
  <c r="I130" i="52"/>
  <c r="H130" i="52"/>
  <c r="G130" i="52"/>
  <c r="F130" i="52"/>
  <c r="E130" i="52"/>
  <c r="D130" i="52"/>
  <c r="C130" i="52"/>
  <c r="B130" i="52"/>
  <c r="A130" i="52"/>
  <c r="I129" i="52"/>
  <c r="H129" i="52"/>
  <c r="G129" i="52"/>
  <c r="F129" i="52"/>
  <c r="E129" i="52"/>
  <c r="D129" i="52"/>
  <c r="C129" i="52"/>
  <c r="B129" i="52"/>
  <c r="A129" i="52"/>
  <c r="I128" i="52"/>
  <c r="H128" i="52"/>
  <c r="G128" i="52"/>
  <c r="F128" i="52"/>
  <c r="E128" i="52"/>
  <c r="D128" i="52"/>
  <c r="C128" i="52"/>
  <c r="B128" i="52"/>
  <c r="A128" i="52"/>
  <c r="I127" i="52"/>
  <c r="H127" i="52"/>
  <c r="G127" i="52"/>
  <c r="F127" i="52"/>
  <c r="E127" i="52"/>
  <c r="D127" i="52"/>
  <c r="C127" i="52"/>
  <c r="B127" i="52"/>
  <c r="A127" i="52"/>
  <c r="I126" i="52"/>
  <c r="H126" i="52"/>
  <c r="G126" i="52"/>
  <c r="F126" i="52"/>
  <c r="E126" i="52"/>
  <c r="D126" i="52"/>
  <c r="C126" i="52"/>
  <c r="B126" i="52"/>
  <c r="A126" i="52"/>
  <c r="I125" i="52"/>
  <c r="H125" i="52"/>
  <c r="G125" i="52"/>
  <c r="F125" i="52"/>
  <c r="E125" i="52"/>
  <c r="D125" i="52"/>
  <c r="C125" i="52"/>
  <c r="B125" i="52"/>
  <c r="A125" i="52"/>
  <c r="I124" i="52"/>
  <c r="H124" i="52"/>
  <c r="G124" i="52"/>
  <c r="F124" i="52"/>
  <c r="E124" i="52"/>
  <c r="D124" i="52"/>
  <c r="C124" i="52"/>
  <c r="B124" i="52"/>
  <c r="A124" i="52"/>
  <c r="I123" i="52"/>
  <c r="H123" i="52"/>
  <c r="G123" i="52"/>
  <c r="F123" i="52"/>
  <c r="E123" i="52"/>
  <c r="D123" i="52"/>
  <c r="C123" i="52"/>
  <c r="B123" i="52"/>
  <c r="A123" i="52"/>
  <c r="I122" i="52"/>
  <c r="H122" i="52"/>
  <c r="G122" i="52"/>
  <c r="F122" i="52"/>
  <c r="E122" i="52"/>
  <c r="D122" i="52"/>
  <c r="C122" i="52"/>
  <c r="B122" i="52"/>
  <c r="A122" i="52"/>
  <c r="I121" i="52"/>
  <c r="H121" i="52"/>
  <c r="G121" i="52"/>
  <c r="F121" i="52"/>
  <c r="E121" i="52"/>
  <c r="D121" i="52"/>
  <c r="C121" i="52"/>
  <c r="B121" i="52"/>
  <c r="A121" i="52"/>
  <c r="I120" i="52"/>
  <c r="H120" i="52"/>
  <c r="G120" i="52"/>
  <c r="F120" i="52"/>
  <c r="E120" i="52"/>
  <c r="D120" i="52"/>
  <c r="C120" i="52"/>
  <c r="B120" i="52"/>
  <c r="A120" i="52"/>
  <c r="I119" i="52"/>
  <c r="H119" i="52"/>
  <c r="G119" i="52"/>
  <c r="F119" i="52"/>
  <c r="E119" i="52"/>
  <c r="D119" i="52"/>
  <c r="C119" i="52"/>
  <c r="B119" i="52"/>
  <c r="A119" i="52"/>
  <c r="I118" i="52"/>
  <c r="H118" i="52"/>
  <c r="G118" i="52"/>
  <c r="F118" i="52"/>
  <c r="E118" i="52"/>
  <c r="D118" i="52"/>
  <c r="C118" i="52"/>
  <c r="B118" i="52"/>
  <c r="A118" i="52"/>
  <c r="I117" i="52"/>
  <c r="H117" i="52"/>
  <c r="G117" i="52"/>
  <c r="F117" i="52"/>
  <c r="E117" i="52"/>
  <c r="D117" i="52"/>
  <c r="C117" i="52"/>
  <c r="B117" i="52"/>
  <c r="A117" i="52"/>
  <c r="I116" i="52"/>
  <c r="H116" i="52"/>
  <c r="G116" i="52"/>
  <c r="F116" i="52"/>
  <c r="E116" i="52"/>
  <c r="D116" i="52"/>
  <c r="C116" i="52"/>
  <c r="B116" i="52"/>
  <c r="A116" i="52"/>
  <c r="I115" i="52"/>
  <c r="H115" i="52"/>
  <c r="G115" i="52"/>
  <c r="F115" i="52"/>
  <c r="E115" i="52"/>
  <c r="D115" i="52"/>
  <c r="C115" i="52"/>
  <c r="B115" i="52"/>
  <c r="A115" i="52"/>
  <c r="I114" i="52"/>
  <c r="H114" i="52"/>
  <c r="G114" i="52"/>
  <c r="F114" i="52"/>
  <c r="E114" i="52"/>
  <c r="D114" i="52"/>
  <c r="C114" i="52"/>
  <c r="B114" i="52"/>
  <c r="A114" i="52"/>
  <c r="I113" i="52"/>
  <c r="H113" i="52"/>
  <c r="G113" i="52"/>
  <c r="F113" i="52"/>
  <c r="E113" i="52"/>
  <c r="D113" i="52"/>
  <c r="C113" i="52"/>
  <c r="B113" i="52"/>
  <c r="A113" i="52"/>
  <c r="I112" i="52"/>
  <c r="H112" i="52"/>
  <c r="G112" i="52"/>
  <c r="F112" i="52"/>
  <c r="E112" i="52"/>
  <c r="D112" i="52"/>
  <c r="C112" i="52"/>
  <c r="B112" i="52"/>
  <c r="A112" i="52"/>
  <c r="I111" i="52"/>
  <c r="H111" i="52"/>
  <c r="G111" i="52"/>
  <c r="F111" i="52"/>
  <c r="E111" i="52"/>
  <c r="D111" i="52"/>
  <c r="C111" i="52"/>
  <c r="B111" i="52"/>
  <c r="A111" i="52"/>
  <c r="I110" i="52"/>
  <c r="H110" i="52"/>
  <c r="G110" i="52"/>
  <c r="F110" i="52"/>
  <c r="E110" i="52"/>
  <c r="D110" i="52"/>
  <c r="C110" i="52"/>
  <c r="B110" i="52"/>
  <c r="A110" i="52"/>
  <c r="I109" i="52"/>
  <c r="H109" i="52"/>
  <c r="G109" i="52"/>
  <c r="F109" i="52"/>
  <c r="E109" i="52"/>
  <c r="D109" i="52"/>
  <c r="C109" i="52"/>
  <c r="B109" i="52"/>
  <c r="A109" i="52"/>
  <c r="I108" i="52"/>
  <c r="H108" i="52"/>
  <c r="G108" i="52"/>
  <c r="F108" i="52"/>
  <c r="E108" i="52"/>
  <c r="D108" i="52"/>
  <c r="C108" i="52"/>
  <c r="B108" i="52"/>
  <c r="A108" i="52"/>
  <c r="I107" i="52"/>
  <c r="H107" i="52"/>
  <c r="G107" i="52"/>
  <c r="F107" i="52"/>
  <c r="E107" i="52"/>
  <c r="D107" i="52"/>
  <c r="C107" i="52"/>
  <c r="B107" i="52"/>
  <c r="A107" i="52"/>
  <c r="I106" i="52"/>
  <c r="H106" i="52"/>
  <c r="G106" i="52"/>
  <c r="F106" i="52"/>
  <c r="E106" i="52"/>
  <c r="D106" i="52"/>
  <c r="C106" i="52"/>
  <c r="B106" i="52"/>
  <c r="A106" i="52"/>
  <c r="I105" i="52"/>
  <c r="H105" i="52"/>
  <c r="G105" i="52"/>
  <c r="F105" i="52"/>
  <c r="E105" i="52"/>
  <c r="D105" i="52"/>
  <c r="C105" i="52"/>
  <c r="B105" i="52"/>
  <c r="A105" i="52"/>
  <c r="I104" i="52"/>
  <c r="H104" i="52"/>
  <c r="G104" i="52"/>
  <c r="F104" i="52"/>
  <c r="E104" i="52"/>
  <c r="D104" i="52"/>
  <c r="C104" i="52"/>
  <c r="B104" i="52"/>
  <c r="A104" i="52"/>
  <c r="I103" i="52"/>
  <c r="H103" i="52"/>
  <c r="G103" i="52"/>
  <c r="F103" i="52"/>
  <c r="E103" i="52"/>
  <c r="D103" i="52"/>
  <c r="C103" i="52"/>
  <c r="B103" i="52"/>
  <c r="A103" i="52"/>
  <c r="I102" i="52"/>
  <c r="H102" i="52"/>
  <c r="G102" i="52"/>
  <c r="F102" i="52"/>
  <c r="E102" i="52"/>
  <c r="D102" i="52"/>
  <c r="C102" i="52"/>
  <c r="B102" i="52"/>
  <c r="A102" i="52"/>
  <c r="I101" i="52"/>
  <c r="H101" i="52"/>
  <c r="G101" i="52"/>
  <c r="F101" i="52"/>
  <c r="E101" i="52"/>
  <c r="D101" i="52"/>
  <c r="C101" i="52"/>
  <c r="B101" i="52"/>
  <c r="A101" i="52"/>
  <c r="I100" i="52"/>
  <c r="H100" i="52"/>
  <c r="G100" i="52"/>
  <c r="F100" i="52"/>
  <c r="E100" i="52"/>
  <c r="D100" i="52"/>
  <c r="C100" i="52"/>
  <c r="B100" i="52"/>
  <c r="A100" i="52"/>
  <c r="I99" i="52"/>
  <c r="H99" i="52"/>
  <c r="G99" i="52"/>
  <c r="F99" i="52"/>
  <c r="E99" i="52"/>
  <c r="D99" i="52"/>
  <c r="C99" i="52"/>
  <c r="B99" i="52"/>
  <c r="A99" i="52"/>
  <c r="I98" i="52"/>
  <c r="H98" i="52"/>
  <c r="G98" i="52"/>
  <c r="F98" i="52"/>
  <c r="E98" i="52"/>
  <c r="D98" i="52"/>
  <c r="C98" i="52"/>
  <c r="B98" i="52"/>
  <c r="A98" i="52"/>
  <c r="I97" i="52"/>
  <c r="H97" i="52"/>
  <c r="G97" i="52"/>
  <c r="F97" i="52"/>
  <c r="E97" i="52"/>
  <c r="D97" i="52"/>
  <c r="C97" i="52"/>
  <c r="B97" i="52"/>
  <c r="A97" i="52"/>
  <c r="I96" i="52"/>
  <c r="H96" i="52"/>
  <c r="G96" i="52"/>
  <c r="F96" i="52"/>
  <c r="E96" i="52"/>
  <c r="D96" i="52"/>
  <c r="C96" i="52"/>
  <c r="B96" i="52"/>
  <c r="A96" i="52"/>
  <c r="I95" i="52"/>
  <c r="H95" i="52"/>
  <c r="G95" i="52"/>
  <c r="F95" i="52"/>
  <c r="E95" i="52"/>
  <c r="D95" i="52"/>
  <c r="C95" i="52"/>
  <c r="B95" i="52"/>
  <c r="A95" i="52"/>
  <c r="I94" i="52"/>
  <c r="H94" i="52"/>
  <c r="G94" i="52"/>
  <c r="F94" i="52"/>
  <c r="E94" i="52"/>
  <c r="D94" i="52"/>
  <c r="C94" i="52"/>
  <c r="B94" i="52"/>
  <c r="A94" i="52"/>
  <c r="I93" i="52"/>
  <c r="H93" i="52"/>
  <c r="G93" i="52"/>
  <c r="F93" i="52"/>
  <c r="E93" i="52"/>
  <c r="D93" i="52"/>
  <c r="C93" i="52"/>
  <c r="B93" i="52"/>
  <c r="A93" i="52"/>
  <c r="I92" i="52"/>
  <c r="H92" i="52"/>
  <c r="G92" i="52"/>
  <c r="F92" i="52"/>
  <c r="E92" i="52"/>
  <c r="D92" i="52"/>
  <c r="C92" i="52"/>
  <c r="B92" i="52"/>
  <c r="A92" i="52"/>
  <c r="I91" i="52"/>
  <c r="H91" i="52"/>
  <c r="G91" i="52"/>
  <c r="F91" i="52"/>
  <c r="E91" i="52"/>
  <c r="D91" i="52"/>
  <c r="C91" i="52"/>
  <c r="B91" i="52"/>
  <c r="A91" i="52"/>
  <c r="I90" i="52"/>
  <c r="H90" i="52"/>
  <c r="G90" i="52"/>
  <c r="F90" i="52"/>
  <c r="E90" i="52"/>
  <c r="D90" i="52"/>
  <c r="C90" i="52"/>
  <c r="B90" i="52"/>
  <c r="A90" i="52"/>
  <c r="I89" i="52"/>
  <c r="H89" i="52"/>
  <c r="G89" i="52"/>
  <c r="F89" i="52"/>
  <c r="E89" i="52"/>
  <c r="D89" i="52"/>
  <c r="C89" i="52"/>
  <c r="B89" i="52"/>
  <c r="A89" i="52"/>
  <c r="I88" i="52"/>
  <c r="H88" i="52"/>
  <c r="G88" i="52"/>
  <c r="F88" i="52"/>
  <c r="E88" i="52"/>
  <c r="D88" i="52"/>
  <c r="C88" i="52"/>
  <c r="B88" i="52"/>
  <c r="A88" i="52"/>
  <c r="I87" i="52"/>
  <c r="H87" i="52"/>
  <c r="G87" i="52"/>
  <c r="F87" i="52"/>
  <c r="E87" i="52"/>
  <c r="D87" i="52"/>
  <c r="C87" i="52"/>
  <c r="B87" i="52"/>
  <c r="A87" i="52"/>
  <c r="I86" i="52"/>
  <c r="H86" i="52"/>
  <c r="G86" i="52"/>
  <c r="F86" i="52"/>
  <c r="E86" i="52"/>
  <c r="D86" i="52"/>
  <c r="C86" i="52"/>
  <c r="B86" i="52"/>
  <c r="A86" i="52"/>
  <c r="I85" i="52"/>
  <c r="H85" i="52"/>
  <c r="G85" i="52"/>
  <c r="F85" i="52"/>
  <c r="E85" i="52"/>
  <c r="D85" i="52"/>
  <c r="C85" i="52"/>
  <c r="B85" i="52"/>
  <c r="A85" i="52"/>
  <c r="I84" i="52"/>
  <c r="H84" i="52"/>
  <c r="G84" i="52"/>
  <c r="F84" i="52"/>
  <c r="E84" i="52"/>
  <c r="D84" i="52"/>
  <c r="C84" i="52"/>
  <c r="B84" i="52"/>
  <c r="A84" i="52"/>
  <c r="I83" i="52"/>
  <c r="H83" i="52"/>
  <c r="G83" i="52"/>
  <c r="F83" i="52"/>
  <c r="E83" i="52"/>
  <c r="D83" i="52"/>
  <c r="C83" i="52"/>
  <c r="B83" i="52"/>
  <c r="A83" i="52"/>
  <c r="I82" i="52"/>
  <c r="H82" i="52"/>
  <c r="G82" i="52"/>
  <c r="F82" i="52"/>
  <c r="E82" i="52"/>
  <c r="D82" i="52"/>
  <c r="C82" i="52"/>
  <c r="B82" i="52"/>
  <c r="A82" i="52"/>
  <c r="I81" i="52"/>
  <c r="H81" i="52"/>
  <c r="G81" i="52"/>
  <c r="F81" i="52"/>
  <c r="E81" i="52"/>
  <c r="D81" i="52"/>
  <c r="C81" i="52"/>
  <c r="B81" i="52"/>
  <c r="A81" i="52"/>
  <c r="I80" i="52"/>
  <c r="H80" i="52"/>
  <c r="G80" i="52"/>
  <c r="F80" i="52"/>
  <c r="E80" i="52"/>
  <c r="D80" i="52"/>
  <c r="C80" i="52"/>
  <c r="B80" i="52"/>
  <c r="A80" i="52"/>
  <c r="I79" i="52"/>
  <c r="H79" i="52"/>
  <c r="G79" i="52"/>
  <c r="F79" i="52"/>
  <c r="E79" i="52"/>
  <c r="D79" i="52"/>
  <c r="C79" i="52"/>
  <c r="B79" i="52"/>
  <c r="A79" i="52"/>
  <c r="I78" i="52"/>
  <c r="H78" i="52"/>
  <c r="G78" i="52"/>
  <c r="F78" i="52"/>
  <c r="E78" i="52"/>
  <c r="D78" i="52"/>
  <c r="C78" i="52"/>
  <c r="B78" i="52"/>
  <c r="A78" i="52"/>
  <c r="I77" i="52"/>
  <c r="H77" i="52"/>
  <c r="G77" i="52"/>
  <c r="F77" i="52"/>
  <c r="E77" i="52"/>
  <c r="D77" i="52"/>
  <c r="C77" i="52"/>
  <c r="B77" i="52"/>
  <c r="A77" i="52"/>
  <c r="I76" i="52"/>
  <c r="H76" i="52"/>
  <c r="G76" i="52"/>
  <c r="F76" i="52"/>
  <c r="E76" i="52"/>
  <c r="D76" i="52"/>
  <c r="C76" i="52"/>
  <c r="B76" i="52"/>
  <c r="A76" i="52"/>
  <c r="I75" i="52"/>
  <c r="H75" i="52"/>
  <c r="G75" i="52"/>
  <c r="F75" i="52"/>
  <c r="E75" i="52"/>
  <c r="D75" i="52"/>
  <c r="C75" i="52"/>
  <c r="B75" i="52"/>
  <c r="A75" i="52"/>
  <c r="I74" i="52"/>
  <c r="H74" i="52"/>
  <c r="G74" i="52"/>
  <c r="F74" i="52"/>
  <c r="E74" i="52"/>
  <c r="D74" i="52"/>
  <c r="C74" i="52"/>
  <c r="B74" i="52"/>
  <c r="A74" i="52"/>
  <c r="I73" i="52"/>
  <c r="H73" i="52"/>
  <c r="G73" i="52"/>
  <c r="F73" i="52"/>
  <c r="E73" i="52"/>
  <c r="D73" i="52"/>
  <c r="C73" i="52"/>
  <c r="B73" i="52"/>
  <c r="A73" i="52"/>
  <c r="I72" i="52"/>
  <c r="H72" i="52"/>
  <c r="G72" i="52"/>
  <c r="F72" i="52"/>
  <c r="E72" i="52"/>
  <c r="D72" i="52"/>
  <c r="C72" i="52"/>
  <c r="B72" i="52"/>
  <c r="A72" i="52"/>
  <c r="I71" i="52"/>
  <c r="H71" i="52"/>
  <c r="G71" i="52"/>
  <c r="F71" i="52"/>
  <c r="E71" i="52"/>
  <c r="D71" i="52"/>
  <c r="C71" i="52"/>
  <c r="B71" i="52"/>
  <c r="A71" i="52"/>
  <c r="I70" i="52"/>
  <c r="H70" i="52"/>
  <c r="G70" i="52"/>
  <c r="F70" i="52"/>
  <c r="E70" i="52"/>
  <c r="D70" i="52"/>
  <c r="C70" i="52"/>
  <c r="B70" i="52"/>
  <c r="A70" i="52"/>
  <c r="I69" i="52"/>
  <c r="H69" i="52"/>
  <c r="G69" i="52"/>
  <c r="F69" i="52"/>
  <c r="E69" i="52"/>
  <c r="D69" i="52"/>
  <c r="C69" i="52"/>
  <c r="B69" i="52"/>
  <c r="A69" i="52"/>
  <c r="I68" i="52"/>
  <c r="H68" i="52"/>
  <c r="G68" i="52"/>
  <c r="F68" i="52"/>
  <c r="E68" i="52"/>
  <c r="D68" i="52"/>
  <c r="C68" i="52"/>
  <c r="B68" i="52"/>
  <c r="A68" i="52"/>
  <c r="I67" i="52"/>
  <c r="H67" i="52"/>
  <c r="G67" i="52"/>
  <c r="F67" i="52"/>
  <c r="E67" i="52"/>
  <c r="D67" i="52"/>
  <c r="C67" i="52"/>
  <c r="B67" i="52"/>
  <c r="A67" i="52"/>
  <c r="I66" i="52"/>
  <c r="H66" i="52"/>
  <c r="G66" i="52"/>
  <c r="F66" i="52"/>
  <c r="E66" i="52"/>
  <c r="D66" i="52"/>
  <c r="C66" i="52"/>
  <c r="B66" i="52"/>
  <c r="A66" i="52"/>
  <c r="I65" i="52"/>
  <c r="H65" i="52"/>
  <c r="G65" i="52"/>
  <c r="F65" i="52"/>
  <c r="E65" i="52"/>
  <c r="D65" i="52"/>
  <c r="C65" i="52"/>
  <c r="B65" i="52"/>
  <c r="A65" i="52"/>
  <c r="I64" i="52"/>
  <c r="H64" i="52"/>
  <c r="G64" i="52"/>
  <c r="F64" i="52"/>
  <c r="E64" i="52"/>
  <c r="D64" i="52"/>
  <c r="C64" i="52"/>
  <c r="B64" i="52"/>
  <c r="A64" i="52"/>
  <c r="I63" i="52"/>
  <c r="H63" i="52"/>
  <c r="G63" i="52"/>
  <c r="F63" i="52"/>
  <c r="E63" i="52"/>
  <c r="D63" i="52"/>
  <c r="C63" i="52"/>
  <c r="B63" i="52"/>
  <c r="A63" i="52"/>
  <c r="I62" i="52"/>
  <c r="H62" i="52"/>
  <c r="G62" i="52"/>
  <c r="F62" i="52"/>
  <c r="E62" i="52"/>
  <c r="D62" i="52"/>
  <c r="C62" i="52"/>
  <c r="B62" i="52"/>
  <c r="A62" i="52"/>
  <c r="I61" i="52"/>
  <c r="H61" i="52"/>
  <c r="G61" i="52"/>
  <c r="F61" i="52"/>
  <c r="E61" i="52"/>
  <c r="D61" i="52"/>
  <c r="C61" i="52"/>
  <c r="B61" i="52"/>
  <c r="A61" i="52"/>
  <c r="I60" i="52"/>
  <c r="H60" i="52"/>
  <c r="G60" i="52"/>
  <c r="F60" i="52"/>
  <c r="E60" i="52"/>
  <c r="D60" i="52"/>
  <c r="C60" i="52"/>
  <c r="B60" i="52"/>
  <c r="A60" i="52"/>
  <c r="I59" i="52"/>
  <c r="H59" i="52"/>
  <c r="G59" i="52"/>
  <c r="F59" i="52"/>
  <c r="E59" i="52"/>
  <c r="D59" i="52"/>
  <c r="C59" i="52"/>
  <c r="B59" i="52"/>
  <c r="A59" i="52"/>
  <c r="I58" i="52"/>
  <c r="H58" i="52"/>
  <c r="G58" i="52"/>
  <c r="F58" i="52"/>
  <c r="E58" i="52"/>
  <c r="D58" i="52"/>
  <c r="C58" i="52"/>
  <c r="B58" i="52"/>
  <c r="A58" i="52"/>
  <c r="I57" i="52"/>
  <c r="H57" i="52"/>
  <c r="G57" i="52"/>
  <c r="F57" i="52"/>
  <c r="E57" i="52"/>
  <c r="D57" i="52"/>
  <c r="C57" i="52"/>
  <c r="B57" i="52"/>
  <c r="A57" i="52"/>
  <c r="I56" i="52"/>
  <c r="H56" i="52"/>
  <c r="G56" i="52"/>
  <c r="F56" i="52"/>
  <c r="E56" i="52"/>
  <c r="D56" i="52"/>
  <c r="C56" i="52"/>
  <c r="B56" i="52"/>
  <c r="A56" i="52"/>
  <c r="I55" i="52"/>
  <c r="H55" i="52"/>
  <c r="G55" i="52"/>
  <c r="F55" i="52"/>
  <c r="E55" i="52"/>
  <c r="D55" i="52"/>
  <c r="C55" i="52"/>
  <c r="B55" i="52"/>
  <c r="A55" i="52"/>
  <c r="I54" i="52"/>
  <c r="H54" i="52"/>
  <c r="G54" i="52"/>
  <c r="F54" i="52"/>
  <c r="E54" i="52"/>
  <c r="D54" i="52"/>
  <c r="C54" i="52"/>
  <c r="B54" i="52"/>
  <c r="A54" i="52"/>
  <c r="I53" i="52"/>
  <c r="H53" i="52"/>
  <c r="G53" i="52"/>
  <c r="F53" i="52"/>
  <c r="E53" i="52"/>
  <c r="D53" i="52"/>
  <c r="C53" i="52"/>
  <c r="B53" i="52"/>
  <c r="A53" i="52"/>
  <c r="I52" i="52"/>
  <c r="H52" i="52"/>
  <c r="G52" i="52"/>
  <c r="F52" i="52"/>
  <c r="E52" i="52"/>
  <c r="D52" i="52"/>
  <c r="C52" i="52"/>
  <c r="B52" i="52"/>
  <c r="A52" i="52"/>
  <c r="I51" i="52"/>
  <c r="H51" i="52"/>
  <c r="G51" i="52"/>
  <c r="F51" i="52"/>
  <c r="E51" i="52"/>
  <c r="D51" i="52"/>
  <c r="C51" i="52"/>
  <c r="B51" i="52"/>
  <c r="A51" i="52"/>
  <c r="I50" i="52"/>
  <c r="H50" i="52"/>
  <c r="G50" i="52"/>
  <c r="F50" i="52"/>
  <c r="E50" i="52"/>
  <c r="D50" i="52"/>
  <c r="C50" i="52"/>
  <c r="B50" i="52"/>
  <c r="A50" i="52"/>
  <c r="I49" i="52"/>
  <c r="H49" i="52"/>
  <c r="G49" i="52"/>
  <c r="F49" i="52"/>
  <c r="E49" i="52"/>
  <c r="D49" i="52"/>
  <c r="C49" i="52"/>
  <c r="B49" i="52"/>
  <c r="A49" i="52"/>
  <c r="I48" i="52"/>
  <c r="H48" i="52"/>
  <c r="G48" i="52"/>
  <c r="F48" i="52"/>
  <c r="E48" i="52"/>
  <c r="D48" i="52"/>
  <c r="C48" i="52"/>
  <c r="B48" i="52"/>
  <c r="A48" i="52"/>
  <c r="I47" i="52"/>
  <c r="H47" i="52"/>
  <c r="G47" i="52"/>
  <c r="F47" i="52"/>
  <c r="E47" i="52"/>
  <c r="D47" i="52"/>
  <c r="C47" i="52"/>
  <c r="B47" i="52"/>
  <c r="A47" i="52"/>
  <c r="I46" i="52"/>
  <c r="H46" i="52"/>
  <c r="G46" i="52"/>
  <c r="F46" i="52"/>
  <c r="E46" i="52"/>
  <c r="D46" i="52"/>
  <c r="C46" i="52"/>
  <c r="B46" i="52"/>
  <c r="A46" i="52"/>
  <c r="I45" i="52"/>
  <c r="H45" i="52"/>
  <c r="G45" i="52"/>
  <c r="F45" i="52"/>
  <c r="E45" i="52"/>
  <c r="D45" i="52"/>
  <c r="C45" i="52"/>
  <c r="B45" i="52"/>
  <c r="A45" i="52"/>
  <c r="I44" i="52"/>
  <c r="H44" i="52"/>
  <c r="G44" i="52"/>
  <c r="F44" i="52"/>
  <c r="E44" i="52"/>
  <c r="D44" i="52"/>
  <c r="C44" i="52"/>
  <c r="B44" i="52"/>
  <c r="A44" i="52"/>
  <c r="I43" i="52"/>
  <c r="H43" i="52"/>
  <c r="G43" i="52"/>
  <c r="F43" i="52"/>
  <c r="E43" i="52"/>
  <c r="D43" i="52"/>
  <c r="C43" i="52"/>
  <c r="B43" i="52"/>
  <c r="A43" i="52"/>
  <c r="I42" i="52"/>
  <c r="H42" i="52"/>
  <c r="G42" i="52"/>
  <c r="F42" i="52"/>
  <c r="E42" i="52"/>
  <c r="D42" i="52"/>
  <c r="C42" i="52"/>
  <c r="B42" i="52"/>
  <c r="A42" i="52"/>
  <c r="I41" i="52"/>
  <c r="H41" i="52"/>
  <c r="G41" i="52"/>
  <c r="F41" i="52"/>
  <c r="E41" i="52"/>
  <c r="D41" i="52"/>
  <c r="C41" i="52"/>
  <c r="B41" i="52"/>
  <c r="A41" i="52"/>
  <c r="I40" i="52"/>
  <c r="H40" i="52"/>
  <c r="G40" i="52"/>
  <c r="F40" i="52"/>
  <c r="E40" i="52"/>
  <c r="D40" i="52"/>
  <c r="C40" i="52"/>
  <c r="B40" i="52"/>
  <c r="A40" i="52"/>
  <c r="I39" i="52"/>
  <c r="H39" i="52"/>
  <c r="G39" i="52"/>
  <c r="F39" i="52"/>
  <c r="E39" i="52"/>
  <c r="D39" i="52"/>
  <c r="C39" i="52"/>
  <c r="B39" i="52"/>
  <c r="A39" i="52"/>
  <c r="I38" i="52"/>
  <c r="H38" i="52"/>
  <c r="G38" i="52"/>
  <c r="F38" i="52"/>
  <c r="E38" i="52"/>
  <c r="D38" i="52"/>
  <c r="C38" i="52"/>
  <c r="B38" i="52"/>
  <c r="A38" i="52"/>
  <c r="I37" i="52"/>
  <c r="H37" i="52"/>
  <c r="G37" i="52"/>
  <c r="F37" i="52"/>
  <c r="E37" i="52"/>
  <c r="D37" i="52"/>
  <c r="C37" i="52"/>
  <c r="B37" i="52"/>
  <c r="A37" i="52"/>
  <c r="I36" i="52"/>
  <c r="H36" i="52"/>
  <c r="G36" i="52"/>
  <c r="F36" i="52"/>
  <c r="E36" i="52"/>
  <c r="D36" i="52"/>
  <c r="C36" i="52"/>
  <c r="B36" i="52"/>
  <c r="A36" i="52"/>
  <c r="I35" i="52"/>
  <c r="H35" i="52"/>
  <c r="G35" i="52"/>
  <c r="F35" i="52"/>
  <c r="E35" i="52"/>
  <c r="D35" i="52"/>
  <c r="C35" i="52"/>
  <c r="B35" i="52"/>
  <c r="A35" i="52"/>
  <c r="I34" i="52"/>
  <c r="H34" i="52"/>
  <c r="G34" i="52"/>
  <c r="F34" i="52"/>
  <c r="E34" i="52"/>
  <c r="D34" i="52"/>
  <c r="C34" i="52"/>
  <c r="B34" i="52"/>
  <c r="A34" i="52"/>
  <c r="I33" i="52"/>
  <c r="H33" i="52"/>
  <c r="G33" i="52"/>
  <c r="F33" i="52"/>
  <c r="E33" i="52"/>
  <c r="D33" i="52"/>
  <c r="C33" i="52"/>
  <c r="B33" i="52"/>
  <c r="A33" i="52"/>
  <c r="I32" i="52"/>
  <c r="H32" i="52"/>
  <c r="G32" i="52"/>
  <c r="F32" i="52"/>
  <c r="E32" i="52"/>
  <c r="D32" i="52"/>
  <c r="C32" i="52"/>
  <c r="B32" i="52"/>
  <c r="A32" i="52"/>
  <c r="I31" i="52"/>
  <c r="H31" i="52"/>
  <c r="G31" i="52"/>
  <c r="F31" i="52"/>
  <c r="E31" i="52"/>
  <c r="D31" i="52"/>
  <c r="C31" i="52"/>
  <c r="B31" i="52"/>
  <c r="A31" i="52"/>
  <c r="I30" i="52"/>
  <c r="H30" i="52"/>
  <c r="G30" i="52"/>
  <c r="F30" i="52"/>
  <c r="E30" i="52"/>
  <c r="D30" i="52"/>
  <c r="C30" i="52"/>
  <c r="B30" i="52"/>
  <c r="A30" i="52"/>
  <c r="I29" i="52"/>
  <c r="H29" i="52"/>
  <c r="G29" i="52"/>
  <c r="F29" i="52"/>
  <c r="E29" i="52"/>
  <c r="D29" i="52"/>
  <c r="C29" i="52"/>
  <c r="B29" i="52"/>
  <c r="A29" i="52"/>
  <c r="I28" i="52"/>
  <c r="H28" i="52"/>
  <c r="G28" i="52"/>
  <c r="F28" i="52"/>
  <c r="E28" i="52"/>
  <c r="D28" i="52"/>
  <c r="C28" i="52"/>
  <c r="B28" i="52"/>
  <c r="A28" i="52"/>
  <c r="I27" i="52"/>
  <c r="H27" i="52"/>
  <c r="G27" i="52"/>
  <c r="F27" i="52"/>
  <c r="E27" i="52"/>
  <c r="D27" i="52"/>
  <c r="C27" i="52"/>
  <c r="B27" i="52"/>
  <c r="A27" i="52"/>
  <c r="I26" i="52"/>
  <c r="H26" i="52"/>
  <c r="G26" i="52"/>
  <c r="F26" i="52"/>
  <c r="E26" i="52"/>
  <c r="D26" i="52"/>
  <c r="C26" i="52"/>
  <c r="B26" i="52"/>
  <c r="A26" i="52"/>
  <c r="I25" i="52"/>
  <c r="H25" i="52"/>
  <c r="G25" i="52"/>
  <c r="F25" i="52"/>
  <c r="E25" i="52"/>
  <c r="D25" i="52"/>
  <c r="C25" i="52"/>
  <c r="B25" i="52"/>
  <c r="A25" i="52"/>
  <c r="I24" i="52"/>
  <c r="H24" i="52"/>
  <c r="G24" i="52"/>
  <c r="F24" i="52"/>
  <c r="E24" i="52"/>
  <c r="D24" i="52"/>
  <c r="C24" i="52"/>
  <c r="B24" i="52"/>
  <c r="A24" i="52"/>
  <c r="I23" i="52"/>
  <c r="H23" i="52"/>
  <c r="G23" i="52"/>
  <c r="F23" i="52"/>
  <c r="E23" i="52"/>
  <c r="D23" i="52"/>
  <c r="C23" i="52"/>
  <c r="B23" i="52"/>
  <c r="A23" i="52"/>
  <c r="I22" i="52"/>
  <c r="H22" i="52"/>
  <c r="G22" i="52"/>
  <c r="F22" i="52"/>
  <c r="E22" i="52"/>
  <c r="D22" i="52"/>
  <c r="C22" i="52"/>
  <c r="B22" i="52"/>
  <c r="A22" i="52"/>
  <c r="I21" i="52"/>
  <c r="H21" i="52"/>
  <c r="G21" i="52"/>
  <c r="F21" i="52"/>
  <c r="E21" i="52"/>
  <c r="D21" i="52"/>
  <c r="C21" i="52"/>
  <c r="B21" i="52"/>
  <c r="A21" i="52"/>
  <c r="I20" i="52"/>
  <c r="H20" i="52"/>
  <c r="G20" i="52"/>
  <c r="F20" i="52"/>
  <c r="E20" i="52"/>
  <c r="D20" i="52"/>
  <c r="C20" i="52"/>
  <c r="B20" i="52"/>
  <c r="A20" i="52"/>
  <c r="I19" i="52"/>
  <c r="H19" i="52"/>
  <c r="G19" i="52"/>
  <c r="F19" i="52"/>
  <c r="E19" i="52"/>
  <c r="D19" i="52"/>
  <c r="C19" i="52"/>
  <c r="B19" i="52"/>
  <c r="A19" i="52"/>
  <c r="I18" i="52"/>
  <c r="H18" i="52"/>
  <c r="G18" i="52"/>
  <c r="F18" i="52"/>
  <c r="E18" i="52"/>
  <c r="D18" i="52"/>
  <c r="C18" i="52"/>
  <c r="B18" i="52"/>
  <c r="A18" i="52"/>
  <c r="I17" i="52"/>
  <c r="H17" i="52"/>
  <c r="G17" i="52"/>
  <c r="F17" i="52"/>
  <c r="E17" i="52"/>
  <c r="D17" i="52"/>
  <c r="C17" i="52"/>
  <c r="B17" i="52"/>
  <c r="A17" i="52"/>
  <c r="I16" i="52"/>
  <c r="H16" i="52"/>
  <c r="G16" i="52"/>
  <c r="F16" i="52"/>
  <c r="E16" i="52"/>
  <c r="D16" i="52"/>
  <c r="C16" i="52"/>
  <c r="B16" i="52"/>
  <c r="A16" i="52"/>
  <c r="I15" i="52"/>
  <c r="H15" i="52"/>
  <c r="G15" i="52"/>
  <c r="F15" i="52"/>
  <c r="E15" i="52"/>
  <c r="D15" i="52"/>
  <c r="C15" i="52"/>
  <c r="B15" i="52"/>
  <c r="A15" i="52"/>
  <c r="I14" i="52"/>
  <c r="H14" i="52"/>
  <c r="G14" i="52"/>
  <c r="F14" i="52"/>
  <c r="E14" i="52"/>
  <c r="D14" i="52"/>
  <c r="C14" i="52"/>
  <c r="B14" i="52"/>
  <c r="A14" i="52"/>
  <c r="I13" i="52"/>
  <c r="H13" i="52"/>
  <c r="G13" i="52"/>
  <c r="F13" i="52"/>
  <c r="E13" i="52"/>
  <c r="D13" i="52"/>
  <c r="C13" i="52"/>
  <c r="B13" i="52"/>
  <c r="A13" i="52"/>
  <c r="I12" i="52"/>
  <c r="H12" i="52"/>
  <c r="G12" i="52"/>
  <c r="F12" i="52"/>
  <c r="E12" i="52"/>
  <c r="D12" i="52"/>
  <c r="C12" i="52"/>
  <c r="B12" i="52"/>
  <c r="A12" i="52"/>
  <c r="I11" i="52"/>
  <c r="H11" i="52"/>
  <c r="G11" i="52"/>
  <c r="F11" i="52"/>
  <c r="E11" i="52"/>
  <c r="D11" i="52"/>
  <c r="C11" i="52"/>
  <c r="B11" i="52"/>
  <c r="A11" i="52"/>
  <c r="I10" i="52"/>
  <c r="H10" i="52"/>
  <c r="G10" i="52"/>
  <c r="F10" i="52"/>
  <c r="E10" i="52"/>
  <c r="D10" i="52"/>
  <c r="C10" i="52"/>
  <c r="B10" i="52"/>
  <c r="A10" i="52"/>
  <c r="I9" i="52"/>
  <c r="H9" i="52"/>
  <c r="G9" i="52"/>
  <c r="F9" i="52"/>
  <c r="E9" i="52"/>
  <c r="D9" i="52"/>
  <c r="C9" i="52"/>
  <c r="B9" i="52"/>
  <c r="A9" i="52"/>
  <c r="I8" i="52"/>
  <c r="H8" i="52"/>
  <c r="G8" i="52"/>
  <c r="F8" i="52"/>
  <c r="E8" i="52"/>
  <c r="D8" i="52"/>
  <c r="C8" i="52"/>
  <c r="B8" i="52"/>
  <c r="A8" i="52"/>
  <c r="I7" i="52"/>
  <c r="H7" i="52"/>
  <c r="G7" i="52"/>
  <c r="F7" i="52"/>
  <c r="E7" i="52"/>
  <c r="D7" i="52"/>
  <c r="C7" i="52"/>
  <c r="B7" i="52"/>
  <c r="A7" i="52"/>
  <c r="I6" i="52"/>
  <c r="H6" i="52"/>
  <c r="G6" i="52"/>
  <c r="F6" i="52"/>
  <c r="E6" i="52"/>
  <c r="D6" i="52"/>
  <c r="C6" i="52"/>
  <c r="B6" i="52"/>
  <c r="A6" i="52"/>
  <c r="I5" i="52"/>
  <c r="H5" i="52"/>
  <c r="G5" i="52"/>
  <c r="F5" i="52"/>
  <c r="E5" i="52"/>
  <c r="D5" i="52"/>
  <c r="C5" i="52"/>
  <c r="B5" i="52"/>
  <c r="A5" i="52"/>
  <c r="I4" i="52"/>
  <c r="H4" i="52"/>
  <c r="G4" i="52"/>
  <c r="F4" i="52"/>
  <c r="E4" i="52"/>
  <c r="D4" i="52"/>
  <c r="C4" i="52"/>
  <c r="B4" i="52"/>
  <c r="A4" i="52"/>
  <c r="I3" i="52"/>
  <c r="H3" i="52"/>
  <c r="G3" i="52"/>
  <c r="F3" i="52"/>
  <c r="E3" i="52"/>
  <c r="D3" i="52"/>
  <c r="C3" i="52"/>
  <c r="B3" i="52"/>
  <c r="A3" i="52"/>
  <c r="I2" i="52"/>
  <c r="H2" i="52"/>
  <c r="G2" i="52"/>
  <c r="F2" i="52"/>
  <c r="E2" i="52"/>
  <c r="D2" i="52"/>
  <c r="C2" i="52"/>
  <c r="B2" i="52"/>
  <c r="A2" i="52"/>
  <c r="I1" i="52"/>
  <c r="H1" i="52"/>
  <c r="G1" i="52"/>
  <c r="F1" i="52"/>
  <c r="E1" i="52"/>
  <c r="D1" i="52"/>
  <c r="C1" i="52"/>
  <c r="B1" i="52"/>
  <c r="A1" i="52"/>
  <c r="G277" i="51"/>
  <c r="F277" i="51"/>
  <c r="E277" i="51"/>
  <c r="D277" i="51"/>
  <c r="C277" i="51"/>
  <c r="B277" i="51"/>
  <c r="A277" i="51"/>
  <c r="G276" i="51"/>
  <c r="F276" i="51"/>
  <c r="E276" i="51"/>
  <c r="D276" i="51"/>
  <c r="C276" i="51"/>
  <c r="B276" i="51"/>
  <c r="A276" i="51"/>
  <c r="G275" i="51"/>
  <c r="F275" i="51"/>
  <c r="E275" i="51"/>
  <c r="D275" i="51"/>
  <c r="C275" i="51"/>
  <c r="B275" i="51"/>
  <c r="A275" i="51"/>
  <c r="G274" i="51"/>
  <c r="F274" i="51"/>
  <c r="E274" i="51"/>
  <c r="D274" i="51"/>
  <c r="C274" i="51"/>
  <c r="B274" i="51"/>
  <c r="A274" i="51"/>
  <c r="G273" i="51"/>
  <c r="F273" i="51"/>
  <c r="E273" i="51"/>
  <c r="D273" i="51"/>
  <c r="C273" i="51"/>
  <c r="B273" i="51"/>
  <c r="A273" i="51"/>
  <c r="G272" i="51"/>
  <c r="F272" i="51"/>
  <c r="E272" i="51"/>
  <c r="D272" i="51"/>
  <c r="C272" i="51"/>
  <c r="B272" i="51"/>
  <c r="A272" i="51"/>
  <c r="G271" i="51"/>
  <c r="F271" i="51"/>
  <c r="E271" i="51"/>
  <c r="D271" i="51"/>
  <c r="C271" i="51"/>
  <c r="B271" i="51"/>
  <c r="A271" i="51"/>
  <c r="G270" i="51"/>
  <c r="F270" i="51"/>
  <c r="E270" i="51"/>
  <c r="D270" i="51"/>
  <c r="C270" i="51"/>
  <c r="B270" i="51"/>
  <c r="A270" i="51"/>
  <c r="G269" i="51"/>
  <c r="F269" i="51"/>
  <c r="E269" i="51"/>
  <c r="D269" i="51"/>
  <c r="C269" i="51"/>
  <c r="B269" i="51"/>
  <c r="A269" i="51"/>
  <c r="G268" i="51"/>
  <c r="F268" i="51"/>
  <c r="E268" i="51"/>
  <c r="D268" i="51"/>
  <c r="C268" i="51"/>
  <c r="B268" i="51"/>
  <c r="A268" i="51"/>
  <c r="G267" i="51"/>
  <c r="F267" i="51"/>
  <c r="E267" i="51"/>
  <c r="D267" i="51"/>
  <c r="C267" i="51"/>
  <c r="B267" i="51"/>
  <c r="A267" i="51"/>
  <c r="G266" i="51"/>
  <c r="F266" i="51"/>
  <c r="E266" i="51"/>
  <c r="D266" i="51"/>
  <c r="C266" i="51"/>
  <c r="B266" i="51"/>
  <c r="A266" i="51"/>
  <c r="G265" i="51"/>
  <c r="F265" i="51"/>
  <c r="E265" i="51"/>
  <c r="D265" i="51"/>
  <c r="C265" i="51"/>
  <c r="B265" i="51"/>
  <c r="A265" i="51"/>
  <c r="G264" i="51"/>
  <c r="F264" i="51"/>
  <c r="E264" i="51"/>
  <c r="D264" i="51"/>
  <c r="C264" i="51"/>
  <c r="B264" i="51"/>
  <c r="A264" i="51"/>
  <c r="G263" i="51"/>
  <c r="F263" i="51"/>
  <c r="E263" i="51"/>
  <c r="D263" i="51"/>
  <c r="C263" i="51"/>
  <c r="B263" i="51"/>
  <c r="A263" i="51"/>
  <c r="G262" i="51"/>
  <c r="F262" i="51"/>
  <c r="E262" i="51"/>
  <c r="D262" i="51"/>
  <c r="C262" i="51"/>
  <c r="B262" i="51"/>
  <c r="A262" i="51"/>
  <c r="G261" i="51"/>
  <c r="F261" i="51"/>
  <c r="E261" i="51"/>
  <c r="D261" i="51"/>
  <c r="C261" i="51"/>
  <c r="B261" i="51"/>
  <c r="A261" i="51"/>
  <c r="G260" i="51"/>
  <c r="F260" i="51"/>
  <c r="E260" i="51"/>
  <c r="D260" i="51"/>
  <c r="C260" i="51"/>
  <c r="B260" i="51"/>
  <c r="A260" i="51"/>
  <c r="G259" i="51"/>
  <c r="F259" i="51"/>
  <c r="E259" i="51"/>
  <c r="D259" i="51"/>
  <c r="C259" i="51"/>
  <c r="B259" i="51"/>
  <c r="A259" i="51"/>
  <c r="G258" i="51"/>
  <c r="F258" i="51"/>
  <c r="E258" i="51"/>
  <c r="D258" i="51"/>
  <c r="C258" i="51"/>
  <c r="B258" i="51"/>
  <c r="A258" i="51"/>
  <c r="G257" i="51"/>
  <c r="F257" i="51"/>
  <c r="E257" i="51"/>
  <c r="D257" i="51"/>
  <c r="C257" i="51"/>
  <c r="B257" i="51"/>
  <c r="A257" i="51"/>
  <c r="G256" i="51"/>
  <c r="F256" i="51"/>
  <c r="E256" i="51"/>
  <c r="D256" i="51"/>
  <c r="C256" i="51"/>
  <c r="B256" i="51"/>
  <c r="A256" i="51"/>
  <c r="G255" i="51"/>
  <c r="F255" i="51"/>
  <c r="E255" i="51"/>
  <c r="D255" i="51"/>
  <c r="C255" i="51"/>
  <c r="B255" i="51"/>
  <c r="A255" i="51"/>
  <c r="G254" i="51"/>
  <c r="F254" i="51"/>
  <c r="E254" i="51"/>
  <c r="D254" i="51"/>
  <c r="C254" i="51"/>
  <c r="B254" i="51"/>
  <c r="A254" i="51"/>
  <c r="G253" i="51"/>
  <c r="F253" i="51"/>
  <c r="E253" i="51"/>
  <c r="D253" i="51"/>
  <c r="C253" i="51"/>
  <c r="B253" i="51"/>
  <c r="A253" i="51"/>
  <c r="G252" i="51"/>
  <c r="F252" i="51"/>
  <c r="E252" i="51"/>
  <c r="D252" i="51"/>
  <c r="C252" i="51"/>
  <c r="B252" i="51"/>
  <c r="A252" i="51"/>
  <c r="G251" i="51"/>
  <c r="F251" i="51"/>
  <c r="E251" i="51"/>
  <c r="D251" i="51"/>
  <c r="C251" i="51"/>
  <c r="B251" i="51"/>
  <c r="A251" i="51"/>
  <c r="G250" i="51"/>
  <c r="F250" i="51"/>
  <c r="E250" i="51"/>
  <c r="D250" i="51"/>
  <c r="C250" i="51"/>
  <c r="B250" i="51"/>
  <c r="A250" i="51"/>
  <c r="G249" i="51"/>
  <c r="F249" i="51"/>
  <c r="E249" i="51"/>
  <c r="D249" i="51"/>
  <c r="C249" i="51"/>
  <c r="B249" i="51"/>
  <c r="A249" i="51"/>
  <c r="G248" i="51"/>
  <c r="F248" i="51"/>
  <c r="E248" i="51"/>
  <c r="D248" i="51"/>
  <c r="C248" i="51"/>
  <c r="B248" i="51"/>
  <c r="A248" i="51"/>
  <c r="G247" i="51"/>
  <c r="F247" i="51"/>
  <c r="E247" i="51"/>
  <c r="D247" i="51"/>
  <c r="C247" i="51"/>
  <c r="B247" i="51"/>
  <c r="A247" i="51"/>
  <c r="G246" i="51"/>
  <c r="F246" i="51"/>
  <c r="E246" i="51"/>
  <c r="D246" i="51"/>
  <c r="C246" i="51"/>
  <c r="B246" i="51"/>
  <c r="A246" i="51"/>
  <c r="G245" i="51"/>
  <c r="F245" i="51"/>
  <c r="E245" i="51"/>
  <c r="D245" i="51"/>
  <c r="C245" i="51"/>
  <c r="B245" i="51"/>
  <c r="A245" i="51"/>
  <c r="G244" i="51"/>
  <c r="F244" i="51"/>
  <c r="E244" i="51"/>
  <c r="D244" i="51"/>
  <c r="C244" i="51"/>
  <c r="B244" i="51"/>
  <c r="A244" i="51"/>
  <c r="G243" i="51"/>
  <c r="F243" i="51"/>
  <c r="E243" i="51"/>
  <c r="D243" i="51"/>
  <c r="C243" i="51"/>
  <c r="B243" i="51"/>
  <c r="A243" i="51"/>
  <c r="G242" i="51"/>
  <c r="F242" i="51"/>
  <c r="E242" i="51"/>
  <c r="D242" i="51"/>
  <c r="C242" i="51"/>
  <c r="B242" i="51"/>
  <c r="A242" i="51"/>
  <c r="G241" i="51"/>
  <c r="F241" i="51"/>
  <c r="E241" i="51"/>
  <c r="D241" i="51"/>
  <c r="C241" i="51"/>
  <c r="B241" i="51"/>
  <c r="A241" i="51"/>
  <c r="G240" i="51"/>
  <c r="F240" i="51"/>
  <c r="E240" i="51"/>
  <c r="D240" i="51"/>
  <c r="C240" i="51"/>
  <c r="B240" i="51"/>
  <c r="A240" i="51"/>
  <c r="G239" i="51"/>
  <c r="F239" i="51"/>
  <c r="E239" i="51"/>
  <c r="D239" i="51"/>
  <c r="C239" i="51"/>
  <c r="B239" i="51"/>
  <c r="A239" i="51"/>
  <c r="G238" i="51"/>
  <c r="F238" i="51"/>
  <c r="E238" i="51"/>
  <c r="D238" i="51"/>
  <c r="C238" i="51"/>
  <c r="B238" i="51"/>
  <c r="A238" i="51"/>
  <c r="G237" i="51"/>
  <c r="F237" i="51"/>
  <c r="E237" i="51"/>
  <c r="D237" i="51"/>
  <c r="C237" i="51"/>
  <c r="B237" i="51"/>
  <c r="A237" i="51"/>
  <c r="G236" i="51"/>
  <c r="F236" i="51"/>
  <c r="E236" i="51"/>
  <c r="D236" i="51"/>
  <c r="C236" i="51"/>
  <c r="B236" i="51"/>
  <c r="A236" i="51"/>
  <c r="G235" i="51"/>
  <c r="F235" i="51"/>
  <c r="E235" i="51"/>
  <c r="D235" i="51"/>
  <c r="C235" i="51"/>
  <c r="B235" i="51"/>
  <c r="A235" i="51"/>
  <c r="G234" i="51"/>
  <c r="F234" i="51"/>
  <c r="E234" i="51"/>
  <c r="D234" i="51"/>
  <c r="C234" i="51"/>
  <c r="B234" i="51"/>
  <c r="A234" i="51"/>
  <c r="G233" i="51"/>
  <c r="F233" i="51"/>
  <c r="E233" i="51"/>
  <c r="D233" i="51"/>
  <c r="C233" i="51"/>
  <c r="B233" i="51"/>
  <c r="A233" i="51"/>
  <c r="G232" i="51"/>
  <c r="F232" i="51"/>
  <c r="E232" i="51"/>
  <c r="D232" i="51"/>
  <c r="C232" i="51"/>
  <c r="B232" i="51"/>
  <c r="A232" i="51"/>
  <c r="G231" i="51"/>
  <c r="F231" i="51"/>
  <c r="E231" i="51"/>
  <c r="D231" i="51"/>
  <c r="C231" i="51"/>
  <c r="B231" i="51"/>
  <c r="A231" i="51"/>
  <c r="G230" i="51"/>
  <c r="F230" i="51"/>
  <c r="E230" i="51"/>
  <c r="D230" i="51"/>
  <c r="C230" i="51"/>
  <c r="B230" i="51"/>
  <c r="A230" i="51"/>
  <c r="G229" i="51"/>
  <c r="F229" i="51"/>
  <c r="E229" i="51"/>
  <c r="D229" i="51"/>
  <c r="C229" i="51"/>
  <c r="B229" i="51"/>
  <c r="A229" i="51"/>
  <c r="G228" i="51"/>
  <c r="F228" i="51"/>
  <c r="E228" i="51"/>
  <c r="D228" i="51"/>
  <c r="C228" i="51"/>
  <c r="B228" i="51"/>
  <c r="A228" i="51"/>
  <c r="G227" i="51"/>
  <c r="F227" i="51"/>
  <c r="E227" i="51"/>
  <c r="D227" i="51"/>
  <c r="C227" i="51"/>
  <c r="B227" i="51"/>
  <c r="A227" i="51"/>
  <c r="G226" i="51"/>
  <c r="F226" i="51"/>
  <c r="E226" i="51"/>
  <c r="D226" i="51"/>
  <c r="C226" i="51"/>
  <c r="B226" i="51"/>
  <c r="A226" i="51"/>
  <c r="G225" i="51"/>
  <c r="F225" i="51"/>
  <c r="E225" i="51"/>
  <c r="D225" i="51"/>
  <c r="C225" i="51"/>
  <c r="B225" i="51"/>
  <c r="A225" i="51"/>
  <c r="G224" i="51"/>
  <c r="F224" i="51"/>
  <c r="E224" i="51"/>
  <c r="D224" i="51"/>
  <c r="C224" i="51"/>
  <c r="B224" i="51"/>
  <c r="A224" i="51"/>
  <c r="G223" i="51"/>
  <c r="F223" i="51"/>
  <c r="E223" i="51"/>
  <c r="D223" i="51"/>
  <c r="C223" i="51"/>
  <c r="B223" i="51"/>
  <c r="A223" i="51"/>
  <c r="G222" i="51"/>
  <c r="F222" i="51"/>
  <c r="E222" i="51"/>
  <c r="D222" i="51"/>
  <c r="C222" i="51"/>
  <c r="B222" i="51"/>
  <c r="A222" i="51"/>
  <c r="G221" i="51"/>
  <c r="F221" i="51"/>
  <c r="E221" i="51"/>
  <c r="D221" i="51"/>
  <c r="C221" i="51"/>
  <c r="B221" i="51"/>
  <c r="A221" i="51"/>
  <c r="G220" i="51"/>
  <c r="F220" i="51"/>
  <c r="E220" i="51"/>
  <c r="D220" i="51"/>
  <c r="C220" i="51"/>
  <c r="B220" i="51"/>
  <c r="A220" i="51"/>
  <c r="G219" i="51"/>
  <c r="F219" i="51"/>
  <c r="E219" i="51"/>
  <c r="D219" i="51"/>
  <c r="C219" i="51"/>
  <c r="B219" i="51"/>
  <c r="A219" i="51"/>
  <c r="G218" i="51"/>
  <c r="F218" i="51"/>
  <c r="E218" i="51"/>
  <c r="D218" i="51"/>
  <c r="C218" i="51"/>
  <c r="B218" i="51"/>
  <c r="A218" i="51"/>
  <c r="G217" i="51"/>
  <c r="F217" i="51"/>
  <c r="E217" i="51"/>
  <c r="D217" i="51"/>
  <c r="C217" i="51"/>
  <c r="B217" i="51"/>
  <c r="A217" i="51"/>
  <c r="G216" i="51"/>
  <c r="F216" i="51"/>
  <c r="E216" i="51"/>
  <c r="D216" i="51"/>
  <c r="C216" i="51"/>
  <c r="B216" i="51"/>
  <c r="A216" i="51"/>
  <c r="G215" i="51"/>
  <c r="F215" i="51"/>
  <c r="E215" i="51"/>
  <c r="D215" i="51"/>
  <c r="C215" i="51"/>
  <c r="B215" i="51"/>
  <c r="A215" i="51"/>
  <c r="G214" i="51"/>
  <c r="F214" i="51"/>
  <c r="E214" i="51"/>
  <c r="D214" i="51"/>
  <c r="C214" i="51"/>
  <c r="B214" i="51"/>
  <c r="A214" i="51"/>
  <c r="G213" i="51"/>
  <c r="F213" i="51"/>
  <c r="E213" i="51"/>
  <c r="D213" i="51"/>
  <c r="C213" i="51"/>
  <c r="B213" i="51"/>
  <c r="A213" i="51"/>
  <c r="G212" i="51"/>
  <c r="F212" i="51"/>
  <c r="E212" i="51"/>
  <c r="D212" i="51"/>
  <c r="C212" i="51"/>
  <c r="B212" i="51"/>
  <c r="A212" i="51"/>
  <c r="G211" i="51"/>
  <c r="F211" i="51"/>
  <c r="E211" i="51"/>
  <c r="D211" i="51"/>
  <c r="C211" i="51"/>
  <c r="B211" i="51"/>
  <c r="A211" i="51"/>
  <c r="G210" i="51"/>
  <c r="F210" i="51"/>
  <c r="E210" i="51"/>
  <c r="D210" i="51"/>
  <c r="C210" i="51"/>
  <c r="B210" i="51"/>
  <c r="A210" i="51"/>
  <c r="G209" i="51"/>
  <c r="F209" i="51"/>
  <c r="E209" i="51"/>
  <c r="D209" i="51"/>
  <c r="C209" i="51"/>
  <c r="B209" i="51"/>
  <c r="A209" i="51"/>
  <c r="G208" i="51"/>
  <c r="F208" i="51"/>
  <c r="E208" i="51"/>
  <c r="D208" i="51"/>
  <c r="C208" i="51"/>
  <c r="B208" i="51"/>
  <c r="A208" i="51"/>
  <c r="G207" i="51"/>
  <c r="F207" i="51"/>
  <c r="E207" i="51"/>
  <c r="D207" i="51"/>
  <c r="C207" i="51"/>
  <c r="B207" i="51"/>
  <c r="A207" i="51"/>
  <c r="G206" i="51"/>
  <c r="F206" i="51"/>
  <c r="E206" i="51"/>
  <c r="D206" i="51"/>
  <c r="C206" i="51"/>
  <c r="B206" i="51"/>
  <c r="A206" i="51"/>
  <c r="G205" i="51"/>
  <c r="F205" i="51"/>
  <c r="E205" i="51"/>
  <c r="D205" i="51"/>
  <c r="C205" i="51"/>
  <c r="B205" i="51"/>
  <c r="A205" i="51"/>
  <c r="G204" i="51"/>
  <c r="F204" i="51"/>
  <c r="E204" i="51"/>
  <c r="D204" i="51"/>
  <c r="C204" i="51"/>
  <c r="B204" i="51"/>
  <c r="A204" i="51"/>
  <c r="G203" i="51"/>
  <c r="F203" i="51"/>
  <c r="E203" i="51"/>
  <c r="D203" i="51"/>
  <c r="C203" i="51"/>
  <c r="B203" i="51"/>
  <c r="A203" i="51"/>
  <c r="G202" i="51"/>
  <c r="F202" i="51"/>
  <c r="E202" i="51"/>
  <c r="D202" i="51"/>
  <c r="C202" i="51"/>
  <c r="B202" i="51"/>
  <c r="A202" i="51"/>
  <c r="G201" i="51"/>
  <c r="F201" i="51"/>
  <c r="E201" i="51"/>
  <c r="D201" i="51"/>
  <c r="C201" i="51"/>
  <c r="B201" i="51"/>
  <c r="A201" i="51"/>
  <c r="G200" i="51"/>
  <c r="F200" i="51"/>
  <c r="E200" i="51"/>
  <c r="D200" i="51"/>
  <c r="C200" i="51"/>
  <c r="B200" i="51"/>
  <c r="A200" i="51"/>
  <c r="G199" i="51"/>
  <c r="F199" i="51"/>
  <c r="E199" i="51"/>
  <c r="D199" i="51"/>
  <c r="C199" i="51"/>
  <c r="B199" i="51"/>
  <c r="A199" i="51"/>
  <c r="G198" i="51"/>
  <c r="F198" i="51"/>
  <c r="E198" i="51"/>
  <c r="D198" i="51"/>
  <c r="C198" i="51"/>
  <c r="B198" i="51"/>
  <c r="A198" i="51"/>
  <c r="G197" i="51"/>
  <c r="F197" i="51"/>
  <c r="E197" i="51"/>
  <c r="D197" i="51"/>
  <c r="C197" i="51"/>
  <c r="B197" i="51"/>
  <c r="A197" i="51"/>
  <c r="G196" i="51"/>
  <c r="F196" i="51"/>
  <c r="E196" i="51"/>
  <c r="D196" i="51"/>
  <c r="C196" i="51"/>
  <c r="B196" i="51"/>
  <c r="A196" i="51"/>
  <c r="G195" i="51"/>
  <c r="F195" i="51"/>
  <c r="E195" i="51"/>
  <c r="D195" i="51"/>
  <c r="C195" i="51"/>
  <c r="B195" i="51"/>
  <c r="A195" i="51"/>
  <c r="G194" i="51"/>
  <c r="F194" i="51"/>
  <c r="E194" i="51"/>
  <c r="D194" i="51"/>
  <c r="C194" i="51"/>
  <c r="B194" i="51"/>
  <c r="A194" i="51"/>
  <c r="G193" i="51"/>
  <c r="F193" i="51"/>
  <c r="E193" i="51"/>
  <c r="D193" i="51"/>
  <c r="C193" i="51"/>
  <c r="B193" i="51"/>
  <c r="A193" i="51"/>
  <c r="G192" i="51"/>
  <c r="F192" i="51"/>
  <c r="E192" i="51"/>
  <c r="D192" i="51"/>
  <c r="C192" i="51"/>
  <c r="B192" i="51"/>
  <c r="A192" i="51"/>
  <c r="G191" i="51"/>
  <c r="F191" i="51"/>
  <c r="E191" i="51"/>
  <c r="D191" i="51"/>
  <c r="C191" i="51"/>
  <c r="B191" i="51"/>
  <c r="A191" i="51"/>
  <c r="G190" i="51"/>
  <c r="F190" i="51"/>
  <c r="E190" i="51"/>
  <c r="D190" i="51"/>
  <c r="C190" i="51"/>
  <c r="B190" i="51"/>
  <c r="A190" i="51"/>
  <c r="G189" i="51"/>
  <c r="F189" i="51"/>
  <c r="E189" i="51"/>
  <c r="D189" i="51"/>
  <c r="C189" i="51"/>
  <c r="B189" i="51"/>
  <c r="A189" i="51"/>
  <c r="G188" i="51"/>
  <c r="F188" i="51"/>
  <c r="E188" i="51"/>
  <c r="D188" i="51"/>
  <c r="C188" i="51"/>
  <c r="B188" i="51"/>
  <c r="A188" i="51"/>
  <c r="G187" i="51"/>
  <c r="F187" i="51"/>
  <c r="E187" i="51"/>
  <c r="D187" i="51"/>
  <c r="C187" i="51"/>
  <c r="B187" i="51"/>
  <c r="A187" i="51"/>
  <c r="G186" i="51"/>
  <c r="F186" i="51"/>
  <c r="E186" i="51"/>
  <c r="D186" i="51"/>
  <c r="C186" i="51"/>
  <c r="B186" i="51"/>
  <c r="A186" i="51"/>
  <c r="G185" i="51"/>
  <c r="F185" i="51"/>
  <c r="E185" i="51"/>
  <c r="D185" i="51"/>
  <c r="C185" i="51"/>
  <c r="B185" i="51"/>
  <c r="A185" i="51"/>
  <c r="G184" i="51"/>
  <c r="F184" i="51"/>
  <c r="E184" i="51"/>
  <c r="D184" i="51"/>
  <c r="C184" i="51"/>
  <c r="B184" i="51"/>
  <c r="A184" i="51"/>
  <c r="G183" i="51"/>
  <c r="F183" i="51"/>
  <c r="E183" i="51"/>
  <c r="D183" i="51"/>
  <c r="C183" i="51"/>
  <c r="B183" i="51"/>
  <c r="A183" i="51"/>
  <c r="G182" i="51"/>
  <c r="F182" i="51"/>
  <c r="E182" i="51"/>
  <c r="D182" i="51"/>
  <c r="C182" i="51"/>
  <c r="B182" i="51"/>
  <c r="A182" i="51"/>
  <c r="G181" i="51"/>
  <c r="F181" i="51"/>
  <c r="E181" i="51"/>
  <c r="D181" i="51"/>
  <c r="C181" i="51"/>
  <c r="B181" i="51"/>
  <c r="A181" i="51"/>
  <c r="G180" i="51"/>
  <c r="F180" i="51"/>
  <c r="E180" i="51"/>
  <c r="D180" i="51"/>
  <c r="C180" i="51"/>
  <c r="B180" i="51"/>
  <c r="A180" i="51"/>
  <c r="G179" i="51"/>
  <c r="F179" i="51"/>
  <c r="E179" i="51"/>
  <c r="D179" i="51"/>
  <c r="C179" i="51"/>
  <c r="B179" i="51"/>
  <c r="A179" i="51"/>
  <c r="G178" i="51"/>
  <c r="F178" i="51"/>
  <c r="E178" i="51"/>
  <c r="D178" i="51"/>
  <c r="C178" i="51"/>
  <c r="B178" i="51"/>
  <c r="A178" i="51"/>
  <c r="G177" i="51"/>
  <c r="F177" i="51"/>
  <c r="E177" i="51"/>
  <c r="D177" i="51"/>
  <c r="C177" i="51"/>
  <c r="B177" i="51"/>
  <c r="A177" i="51"/>
  <c r="G176" i="51"/>
  <c r="F176" i="51"/>
  <c r="E176" i="51"/>
  <c r="D176" i="51"/>
  <c r="C176" i="51"/>
  <c r="B176" i="51"/>
  <c r="A176" i="51"/>
  <c r="G175" i="51"/>
  <c r="F175" i="51"/>
  <c r="E175" i="51"/>
  <c r="D175" i="51"/>
  <c r="C175" i="51"/>
  <c r="B175" i="51"/>
  <c r="A175" i="51"/>
  <c r="G174" i="51"/>
  <c r="F174" i="51"/>
  <c r="E174" i="51"/>
  <c r="D174" i="51"/>
  <c r="C174" i="51"/>
  <c r="B174" i="51"/>
  <c r="A174" i="51"/>
  <c r="G173" i="51"/>
  <c r="F173" i="51"/>
  <c r="E173" i="51"/>
  <c r="D173" i="51"/>
  <c r="C173" i="51"/>
  <c r="B173" i="51"/>
  <c r="A173" i="51"/>
  <c r="G172" i="51"/>
  <c r="F172" i="51"/>
  <c r="E172" i="51"/>
  <c r="D172" i="51"/>
  <c r="C172" i="51"/>
  <c r="B172" i="51"/>
  <c r="A172" i="51"/>
  <c r="G171" i="51"/>
  <c r="F171" i="51"/>
  <c r="E171" i="51"/>
  <c r="D171" i="51"/>
  <c r="C171" i="51"/>
  <c r="B171" i="51"/>
  <c r="A171" i="51"/>
  <c r="G170" i="51"/>
  <c r="F170" i="51"/>
  <c r="E170" i="51"/>
  <c r="D170" i="51"/>
  <c r="C170" i="51"/>
  <c r="B170" i="51"/>
  <c r="A170" i="51"/>
  <c r="G169" i="51"/>
  <c r="F169" i="51"/>
  <c r="E169" i="51"/>
  <c r="D169" i="51"/>
  <c r="C169" i="51"/>
  <c r="B169" i="51"/>
  <c r="A169" i="51"/>
  <c r="G168" i="51"/>
  <c r="F168" i="51"/>
  <c r="E168" i="51"/>
  <c r="D168" i="51"/>
  <c r="C168" i="51"/>
  <c r="B168" i="51"/>
  <c r="A168" i="51"/>
  <c r="G167" i="51"/>
  <c r="F167" i="51"/>
  <c r="E167" i="51"/>
  <c r="D167" i="51"/>
  <c r="C167" i="51"/>
  <c r="B167" i="51"/>
  <c r="A167" i="51"/>
  <c r="G166" i="51"/>
  <c r="F166" i="51"/>
  <c r="E166" i="51"/>
  <c r="D166" i="51"/>
  <c r="C166" i="51"/>
  <c r="B166" i="51"/>
  <c r="A166" i="51"/>
  <c r="G165" i="51"/>
  <c r="F165" i="51"/>
  <c r="E165" i="51"/>
  <c r="D165" i="51"/>
  <c r="C165" i="51"/>
  <c r="B165" i="51"/>
  <c r="A165" i="51"/>
  <c r="G164" i="51"/>
  <c r="F164" i="51"/>
  <c r="E164" i="51"/>
  <c r="D164" i="51"/>
  <c r="C164" i="51"/>
  <c r="B164" i="51"/>
  <c r="A164" i="51"/>
  <c r="G163" i="51"/>
  <c r="F163" i="51"/>
  <c r="E163" i="51"/>
  <c r="D163" i="51"/>
  <c r="C163" i="51"/>
  <c r="B163" i="51"/>
  <c r="A163" i="51"/>
  <c r="G162" i="51"/>
  <c r="F162" i="51"/>
  <c r="E162" i="51"/>
  <c r="D162" i="51"/>
  <c r="C162" i="51"/>
  <c r="B162" i="51"/>
  <c r="A162" i="51"/>
  <c r="G161" i="51"/>
  <c r="F161" i="51"/>
  <c r="E161" i="51"/>
  <c r="D161" i="51"/>
  <c r="C161" i="51"/>
  <c r="B161" i="51"/>
  <c r="A161" i="51"/>
  <c r="G160" i="51"/>
  <c r="F160" i="51"/>
  <c r="E160" i="51"/>
  <c r="D160" i="51"/>
  <c r="C160" i="51"/>
  <c r="B160" i="51"/>
  <c r="A160" i="51"/>
  <c r="G159" i="51"/>
  <c r="F159" i="51"/>
  <c r="E159" i="51"/>
  <c r="D159" i="51"/>
  <c r="C159" i="51"/>
  <c r="B159" i="51"/>
  <c r="A159" i="51"/>
  <c r="G158" i="51"/>
  <c r="F158" i="51"/>
  <c r="E158" i="51"/>
  <c r="D158" i="51"/>
  <c r="C158" i="51"/>
  <c r="B158" i="51"/>
  <c r="A158" i="51"/>
  <c r="G157" i="51"/>
  <c r="F157" i="51"/>
  <c r="E157" i="51"/>
  <c r="D157" i="51"/>
  <c r="C157" i="51"/>
  <c r="B157" i="51"/>
  <c r="A157" i="51"/>
  <c r="G156" i="51"/>
  <c r="F156" i="51"/>
  <c r="E156" i="51"/>
  <c r="D156" i="51"/>
  <c r="C156" i="51"/>
  <c r="B156" i="51"/>
  <c r="A156" i="51"/>
  <c r="G155" i="51"/>
  <c r="F155" i="51"/>
  <c r="E155" i="51"/>
  <c r="D155" i="51"/>
  <c r="C155" i="51"/>
  <c r="B155" i="51"/>
  <c r="A155" i="51"/>
  <c r="G154" i="51"/>
  <c r="F154" i="51"/>
  <c r="E154" i="51"/>
  <c r="D154" i="51"/>
  <c r="C154" i="51"/>
  <c r="B154" i="51"/>
  <c r="A154" i="51"/>
  <c r="G153" i="51"/>
  <c r="F153" i="51"/>
  <c r="E153" i="51"/>
  <c r="D153" i="51"/>
  <c r="C153" i="51"/>
  <c r="B153" i="51"/>
  <c r="A153" i="51"/>
  <c r="G152" i="51"/>
  <c r="F152" i="51"/>
  <c r="E152" i="51"/>
  <c r="D152" i="51"/>
  <c r="C152" i="51"/>
  <c r="B152" i="51"/>
  <c r="A152" i="51"/>
  <c r="G151" i="51"/>
  <c r="F151" i="51"/>
  <c r="E151" i="51"/>
  <c r="D151" i="51"/>
  <c r="C151" i="51"/>
  <c r="B151" i="51"/>
  <c r="A151" i="51"/>
  <c r="G150" i="51"/>
  <c r="F150" i="51"/>
  <c r="E150" i="51"/>
  <c r="D150" i="51"/>
  <c r="C150" i="51"/>
  <c r="B150" i="51"/>
  <c r="A150" i="51"/>
  <c r="G149" i="51"/>
  <c r="F149" i="51"/>
  <c r="E149" i="51"/>
  <c r="D149" i="51"/>
  <c r="C149" i="51"/>
  <c r="B149" i="51"/>
  <c r="A149" i="51"/>
  <c r="G148" i="51"/>
  <c r="F148" i="51"/>
  <c r="E148" i="51"/>
  <c r="D148" i="51"/>
  <c r="C148" i="51"/>
  <c r="B148" i="51"/>
  <c r="A148" i="51"/>
  <c r="G147" i="51"/>
  <c r="F147" i="51"/>
  <c r="E147" i="51"/>
  <c r="D147" i="51"/>
  <c r="C147" i="51"/>
  <c r="B147" i="51"/>
  <c r="A147" i="51"/>
  <c r="G146" i="51"/>
  <c r="F146" i="51"/>
  <c r="E146" i="51"/>
  <c r="D146" i="51"/>
  <c r="C146" i="51"/>
  <c r="B146" i="51"/>
  <c r="A146" i="51"/>
  <c r="G145" i="51"/>
  <c r="F145" i="51"/>
  <c r="E145" i="51"/>
  <c r="D145" i="51"/>
  <c r="C145" i="51"/>
  <c r="B145" i="51"/>
  <c r="A145" i="51"/>
  <c r="G144" i="51"/>
  <c r="F144" i="51"/>
  <c r="E144" i="51"/>
  <c r="D144" i="51"/>
  <c r="C144" i="51"/>
  <c r="B144" i="51"/>
  <c r="A144" i="51"/>
  <c r="G143" i="51"/>
  <c r="F143" i="51"/>
  <c r="E143" i="51"/>
  <c r="D143" i="51"/>
  <c r="C143" i="51"/>
  <c r="B143" i="51"/>
  <c r="A143" i="51"/>
  <c r="G142" i="51"/>
  <c r="F142" i="51"/>
  <c r="E142" i="51"/>
  <c r="D142" i="51"/>
  <c r="C142" i="51"/>
  <c r="B142" i="51"/>
  <c r="A142" i="51"/>
  <c r="G141" i="51"/>
  <c r="F141" i="51"/>
  <c r="E141" i="51"/>
  <c r="D141" i="51"/>
  <c r="C141" i="51"/>
  <c r="B141" i="51"/>
  <c r="A141" i="51"/>
  <c r="G140" i="51"/>
  <c r="F140" i="51"/>
  <c r="E140" i="51"/>
  <c r="D140" i="51"/>
  <c r="C140" i="51"/>
  <c r="B140" i="51"/>
  <c r="A140" i="51"/>
  <c r="G139" i="51"/>
  <c r="F139" i="51"/>
  <c r="E139" i="51"/>
  <c r="D139" i="51"/>
  <c r="C139" i="51"/>
  <c r="B139" i="51"/>
  <c r="A139" i="51"/>
  <c r="G138" i="51"/>
  <c r="F138" i="51"/>
  <c r="E138" i="51"/>
  <c r="D138" i="51"/>
  <c r="C138" i="51"/>
  <c r="B138" i="51"/>
  <c r="A138" i="51"/>
  <c r="G137" i="51"/>
  <c r="F137" i="51"/>
  <c r="E137" i="51"/>
  <c r="D137" i="51"/>
  <c r="C137" i="51"/>
  <c r="B137" i="51"/>
  <c r="A137" i="51"/>
  <c r="G136" i="51"/>
  <c r="F136" i="51"/>
  <c r="E136" i="51"/>
  <c r="D136" i="51"/>
  <c r="C136" i="51"/>
  <c r="B136" i="51"/>
  <c r="A136" i="51"/>
  <c r="G135" i="51"/>
  <c r="F135" i="51"/>
  <c r="E135" i="51"/>
  <c r="D135" i="51"/>
  <c r="C135" i="51"/>
  <c r="B135" i="51"/>
  <c r="A135" i="51"/>
  <c r="G134" i="51"/>
  <c r="F134" i="51"/>
  <c r="E134" i="51"/>
  <c r="D134" i="51"/>
  <c r="C134" i="51"/>
  <c r="B134" i="51"/>
  <c r="A134" i="51"/>
  <c r="G133" i="51"/>
  <c r="F133" i="51"/>
  <c r="E133" i="51"/>
  <c r="D133" i="51"/>
  <c r="C133" i="51"/>
  <c r="B133" i="51"/>
  <c r="A133" i="51"/>
  <c r="G132" i="51"/>
  <c r="F132" i="51"/>
  <c r="E132" i="51"/>
  <c r="D132" i="51"/>
  <c r="C132" i="51"/>
  <c r="B132" i="51"/>
  <c r="A132" i="51"/>
  <c r="G131" i="51"/>
  <c r="F131" i="51"/>
  <c r="E131" i="51"/>
  <c r="D131" i="51"/>
  <c r="C131" i="51"/>
  <c r="B131" i="51"/>
  <c r="A131" i="51"/>
  <c r="G130" i="51"/>
  <c r="F130" i="51"/>
  <c r="E130" i="51"/>
  <c r="D130" i="51"/>
  <c r="C130" i="51"/>
  <c r="B130" i="51"/>
  <c r="A130" i="51"/>
  <c r="G129" i="51"/>
  <c r="F129" i="51"/>
  <c r="E129" i="51"/>
  <c r="D129" i="51"/>
  <c r="C129" i="51"/>
  <c r="B129" i="51"/>
  <c r="A129" i="51"/>
  <c r="G128" i="51"/>
  <c r="F128" i="51"/>
  <c r="E128" i="51"/>
  <c r="D128" i="51"/>
  <c r="C128" i="51"/>
  <c r="B128" i="51"/>
  <c r="A128" i="51"/>
  <c r="G127" i="51"/>
  <c r="F127" i="51"/>
  <c r="E127" i="51"/>
  <c r="D127" i="51"/>
  <c r="C127" i="51"/>
  <c r="B127" i="51"/>
  <c r="A127" i="51"/>
  <c r="G126" i="51"/>
  <c r="F126" i="51"/>
  <c r="E126" i="51"/>
  <c r="D126" i="51"/>
  <c r="C126" i="51"/>
  <c r="B126" i="51"/>
  <c r="A126" i="51"/>
  <c r="G125" i="51"/>
  <c r="F125" i="51"/>
  <c r="E125" i="51"/>
  <c r="D125" i="51"/>
  <c r="C125" i="51"/>
  <c r="B125" i="51"/>
  <c r="A125" i="51"/>
  <c r="G124" i="51"/>
  <c r="F124" i="51"/>
  <c r="E124" i="51"/>
  <c r="D124" i="51"/>
  <c r="C124" i="51"/>
  <c r="B124" i="51"/>
  <c r="A124" i="51"/>
  <c r="G123" i="51"/>
  <c r="F123" i="51"/>
  <c r="E123" i="51"/>
  <c r="D123" i="51"/>
  <c r="C123" i="51"/>
  <c r="B123" i="51"/>
  <c r="A123" i="51"/>
  <c r="G122" i="51"/>
  <c r="F122" i="51"/>
  <c r="E122" i="51"/>
  <c r="D122" i="51"/>
  <c r="C122" i="51"/>
  <c r="B122" i="51"/>
  <c r="A122" i="51"/>
  <c r="G121" i="51"/>
  <c r="F121" i="51"/>
  <c r="E121" i="51"/>
  <c r="D121" i="51"/>
  <c r="C121" i="51"/>
  <c r="B121" i="51"/>
  <c r="A121" i="51"/>
  <c r="G120" i="51"/>
  <c r="F120" i="51"/>
  <c r="E120" i="51"/>
  <c r="D120" i="51"/>
  <c r="C120" i="51"/>
  <c r="B120" i="51"/>
  <c r="A120" i="51"/>
  <c r="G119" i="51"/>
  <c r="F119" i="51"/>
  <c r="E119" i="51"/>
  <c r="D119" i="51"/>
  <c r="C119" i="51"/>
  <c r="B119" i="51"/>
  <c r="A119" i="51"/>
  <c r="G118" i="51"/>
  <c r="F118" i="51"/>
  <c r="E118" i="51"/>
  <c r="D118" i="51"/>
  <c r="C118" i="51"/>
  <c r="B118" i="51"/>
  <c r="A118" i="51"/>
  <c r="G117" i="51"/>
  <c r="F117" i="51"/>
  <c r="E117" i="51"/>
  <c r="D117" i="51"/>
  <c r="C117" i="51"/>
  <c r="B117" i="51"/>
  <c r="A117" i="51"/>
  <c r="G116" i="51"/>
  <c r="F116" i="51"/>
  <c r="E116" i="51"/>
  <c r="D116" i="51"/>
  <c r="C116" i="51"/>
  <c r="B116" i="51"/>
  <c r="A116" i="51"/>
  <c r="G115" i="51"/>
  <c r="F115" i="51"/>
  <c r="E115" i="51"/>
  <c r="D115" i="51"/>
  <c r="C115" i="51"/>
  <c r="B115" i="51"/>
  <c r="A115" i="51"/>
  <c r="G114" i="51"/>
  <c r="F114" i="51"/>
  <c r="E114" i="51"/>
  <c r="D114" i="51"/>
  <c r="C114" i="51"/>
  <c r="B114" i="51"/>
  <c r="A114" i="51"/>
  <c r="G113" i="51"/>
  <c r="F113" i="51"/>
  <c r="E113" i="51"/>
  <c r="D113" i="51"/>
  <c r="C113" i="51"/>
  <c r="B113" i="51"/>
  <c r="A113" i="51"/>
  <c r="G112" i="51"/>
  <c r="F112" i="51"/>
  <c r="E112" i="51"/>
  <c r="D112" i="51"/>
  <c r="C112" i="51"/>
  <c r="B112" i="51"/>
  <c r="A112" i="51"/>
  <c r="G111" i="51"/>
  <c r="F111" i="51"/>
  <c r="E111" i="51"/>
  <c r="D111" i="51"/>
  <c r="C111" i="51"/>
  <c r="B111" i="51"/>
  <c r="A111" i="51"/>
  <c r="G110" i="51"/>
  <c r="F110" i="51"/>
  <c r="E110" i="51"/>
  <c r="D110" i="51"/>
  <c r="C110" i="51"/>
  <c r="B110" i="51"/>
  <c r="A110" i="51"/>
  <c r="G109" i="51"/>
  <c r="F109" i="51"/>
  <c r="E109" i="51"/>
  <c r="D109" i="51"/>
  <c r="C109" i="51"/>
  <c r="B109" i="51"/>
  <c r="A109" i="51"/>
  <c r="G108" i="51"/>
  <c r="F108" i="51"/>
  <c r="E108" i="51"/>
  <c r="D108" i="51"/>
  <c r="C108" i="51"/>
  <c r="B108" i="51"/>
  <c r="A108" i="51"/>
  <c r="G107" i="51"/>
  <c r="F107" i="51"/>
  <c r="E107" i="51"/>
  <c r="D107" i="51"/>
  <c r="C107" i="51"/>
  <c r="B107" i="51"/>
  <c r="A107" i="51"/>
  <c r="G106" i="51"/>
  <c r="F106" i="51"/>
  <c r="E106" i="51"/>
  <c r="D106" i="51"/>
  <c r="C106" i="51"/>
  <c r="B106" i="51"/>
  <c r="A106" i="51"/>
  <c r="G105" i="51"/>
  <c r="F105" i="51"/>
  <c r="E105" i="51"/>
  <c r="D105" i="51"/>
  <c r="C105" i="51"/>
  <c r="B105" i="51"/>
  <c r="A105" i="51"/>
  <c r="G104" i="51"/>
  <c r="F104" i="51"/>
  <c r="E104" i="51"/>
  <c r="D104" i="51"/>
  <c r="C104" i="51"/>
  <c r="B104" i="51"/>
  <c r="A104" i="51"/>
  <c r="G103" i="51"/>
  <c r="F103" i="51"/>
  <c r="E103" i="51"/>
  <c r="D103" i="51"/>
  <c r="C103" i="51"/>
  <c r="B103" i="51"/>
  <c r="A103" i="51"/>
  <c r="G102" i="51"/>
  <c r="F102" i="51"/>
  <c r="E102" i="51"/>
  <c r="D102" i="51"/>
  <c r="C102" i="51"/>
  <c r="B102" i="51"/>
  <c r="A102" i="51"/>
  <c r="G101" i="51"/>
  <c r="F101" i="51"/>
  <c r="E101" i="51"/>
  <c r="D101" i="51"/>
  <c r="C101" i="51"/>
  <c r="B101" i="51"/>
  <c r="A101" i="51"/>
  <c r="G100" i="51"/>
  <c r="F100" i="51"/>
  <c r="E100" i="51"/>
  <c r="D100" i="51"/>
  <c r="C100" i="51"/>
  <c r="B100" i="51"/>
  <c r="A100" i="51"/>
  <c r="G99" i="51"/>
  <c r="F99" i="51"/>
  <c r="E99" i="51"/>
  <c r="D99" i="51"/>
  <c r="C99" i="51"/>
  <c r="B99" i="51"/>
  <c r="A99" i="51"/>
  <c r="G98" i="51"/>
  <c r="F98" i="51"/>
  <c r="E98" i="51"/>
  <c r="D98" i="51"/>
  <c r="C98" i="51"/>
  <c r="B98" i="51"/>
  <c r="A98" i="51"/>
  <c r="G97" i="51"/>
  <c r="F97" i="51"/>
  <c r="E97" i="51"/>
  <c r="D97" i="51"/>
  <c r="C97" i="51"/>
  <c r="B97" i="51"/>
  <c r="A97" i="51"/>
  <c r="G96" i="51"/>
  <c r="F96" i="51"/>
  <c r="E96" i="51"/>
  <c r="D96" i="51"/>
  <c r="C96" i="51"/>
  <c r="B96" i="51"/>
  <c r="A96" i="51"/>
  <c r="G95" i="51"/>
  <c r="F95" i="51"/>
  <c r="E95" i="51"/>
  <c r="D95" i="51"/>
  <c r="C95" i="51"/>
  <c r="B95" i="51"/>
  <c r="A95" i="51"/>
  <c r="G94" i="51"/>
  <c r="F94" i="51"/>
  <c r="E94" i="51"/>
  <c r="D94" i="51"/>
  <c r="C94" i="51"/>
  <c r="B94" i="51"/>
  <c r="A94" i="51"/>
  <c r="G93" i="51"/>
  <c r="F93" i="51"/>
  <c r="E93" i="51"/>
  <c r="D93" i="51"/>
  <c r="C93" i="51"/>
  <c r="B93" i="51"/>
  <c r="A93" i="51"/>
  <c r="G92" i="51"/>
  <c r="F92" i="51"/>
  <c r="E92" i="51"/>
  <c r="D92" i="51"/>
  <c r="C92" i="51"/>
  <c r="B92" i="51"/>
  <c r="A92" i="51"/>
  <c r="G91" i="51"/>
  <c r="F91" i="51"/>
  <c r="E91" i="51"/>
  <c r="D91" i="51"/>
  <c r="C91" i="51"/>
  <c r="B91" i="51"/>
  <c r="A91" i="51"/>
  <c r="G90" i="51"/>
  <c r="F90" i="51"/>
  <c r="E90" i="51"/>
  <c r="D90" i="51"/>
  <c r="C90" i="51"/>
  <c r="B90" i="51"/>
  <c r="A90" i="51"/>
  <c r="G89" i="51"/>
  <c r="F89" i="51"/>
  <c r="E89" i="51"/>
  <c r="D89" i="51"/>
  <c r="C89" i="51"/>
  <c r="B89" i="51"/>
  <c r="A89" i="51"/>
  <c r="G88" i="51"/>
  <c r="F88" i="51"/>
  <c r="E88" i="51"/>
  <c r="D88" i="51"/>
  <c r="C88" i="51"/>
  <c r="B88" i="51"/>
  <c r="A88" i="51"/>
  <c r="G87" i="51"/>
  <c r="F87" i="51"/>
  <c r="E87" i="51"/>
  <c r="D87" i="51"/>
  <c r="C87" i="51"/>
  <c r="B87" i="51"/>
  <c r="A87" i="51"/>
  <c r="G86" i="51"/>
  <c r="F86" i="51"/>
  <c r="E86" i="51"/>
  <c r="D86" i="51"/>
  <c r="C86" i="51"/>
  <c r="B86" i="51"/>
  <c r="A86" i="51"/>
  <c r="G85" i="51"/>
  <c r="F85" i="51"/>
  <c r="E85" i="51"/>
  <c r="D85" i="51"/>
  <c r="C85" i="51"/>
  <c r="B85" i="51"/>
  <c r="A85" i="51"/>
  <c r="G84" i="51"/>
  <c r="F84" i="51"/>
  <c r="E84" i="51"/>
  <c r="D84" i="51"/>
  <c r="C84" i="51"/>
  <c r="B84" i="51"/>
  <c r="A84" i="51"/>
  <c r="G83" i="51"/>
  <c r="F83" i="51"/>
  <c r="E83" i="51"/>
  <c r="D83" i="51"/>
  <c r="C83" i="51"/>
  <c r="B83" i="51"/>
  <c r="A83" i="51"/>
  <c r="G82" i="51"/>
  <c r="F82" i="51"/>
  <c r="E82" i="51"/>
  <c r="D82" i="51"/>
  <c r="C82" i="51"/>
  <c r="B82" i="51"/>
  <c r="A82" i="51"/>
  <c r="G81" i="51"/>
  <c r="F81" i="51"/>
  <c r="E81" i="51"/>
  <c r="D81" i="51"/>
  <c r="C81" i="51"/>
  <c r="B81" i="51"/>
  <c r="A81" i="51"/>
  <c r="G80" i="51"/>
  <c r="F80" i="51"/>
  <c r="E80" i="51"/>
  <c r="D80" i="51"/>
  <c r="C80" i="51"/>
  <c r="B80" i="51"/>
  <c r="A80" i="51"/>
  <c r="G79" i="51"/>
  <c r="F79" i="51"/>
  <c r="E79" i="51"/>
  <c r="D79" i="51"/>
  <c r="C79" i="51"/>
  <c r="B79" i="51"/>
  <c r="A79" i="51"/>
  <c r="G78" i="51"/>
  <c r="F78" i="51"/>
  <c r="E78" i="51"/>
  <c r="D78" i="51"/>
  <c r="C78" i="51"/>
  <c r="B78" i="51"/>
  <c r="A78" i="51"/>
  <c r="G77" i="51"/>
  <c r="F77" i="51"/>
  <c r="E77" i="51"/>
  <c r="D77" i="51"/>
  <c r="C77" i="51"/>
  <c r="B77" i="51"/>
  <c r="A77" i="51"/>
  <c r="G76" i="51"/>
  <c r="F76" i="51"/>
  <c r="E76" i="51"/>
  <c r="D76" i="51"/>
  <c r="C76" i="51"/>
  <c r="B76" i="51"/>
  <c r="A76" i="51"/>
  <c r="G75" i="51"/>
  <c r="F75" i="51"/>
  <c r="E75" i="51"/>
  <c r="D75" i="51"/>
  <c r="C75" i="51"/>
  <c r="B75" i="51"/>
  <c r="A75" i="51"/>
  <c r="G74" i="51"/>
  <c r="F74" i="51"/>
  <c r="E74" i="51"/>
  <c r="D74" i="51"/>
  <c r="C74" i="51"/>
  <c r="B74" i="51"/>
  <c r="A74" i="51"/>
  <c r="G73" i="51"/>
  <c r="F73" i="51"/>
  <c r="E73" i="51"/>
  <c r="D73" i="51"/>
  <c r="C73" i="51"/>
  <c r="B73" i="51"/>
  <c r="A73" i="51"/>
  <c r="G72" i="51"/>
  <c r="F72" i="51"/>
  <c r="E72" i="51"/>
  <c r="D72" i="51"/>
  <c r="C72" i="51"/>
  <c r="B72" i="51"/>
  <c r="A72" i="51"/>
  <c r="G71" i="51"/>
  <c r="F71" i="51"/>
  <c r="E71" i="51"/>
  <c r="D71" i="51"/>
  <c r="C71" i="51"/>
  <c r="B71" i="51"/>
  <c r="A71" i="51"/>
  <c r="G70" i="51"/>
  <c r="F70" i="51"/>
  <c r="E70" i="51"/>
  <c r="D70" i="51"/>
  <c r="C70" i="51"/>
  <c r="B70" i="51"/>
  <c r="A70" i="51"/>
  <c r="G69" i="51"/>
  <c r="F69" i="51"/>
  <c r="E69" i="51"/>
  <c r="D69" i="51"/>
  <c r="C69" i="51"/>
  <c r="B69" i="51"/>
  <c r="A69" i="51"/>
  <c r="G68" i="51"/>
  <c r="F68" i="51"/>
  <c r="E68" i="51"/>
  <c r="D68" i="51"/>
  <c r="C68" i="51"/>
  <c r="B68" i="51"/>
  <c r="A68" i="51"/>
  <c r="G67" i="51"/>
  <c r="F67" i="51"/>
  <c r="E67" i="51"/>
  <c r="D67" i="51"/>
  <c r="C67" i="51"/>
  <c r="B67" i="51"/>
  <c r="A67" i="51"/>
  <c r="G66" i="51"/>
  <c r="F66" i="51"/>
  <c r="E66" i="51"/>
  <c r="D66" i="51"/>
  <c r="C66" i="51"/>
  <c r="B66" i="51"/>
  <c r="A66" i="51"/>
  <c r="G65" i="51"/>
  <c r="F65" i="51"/>
  <c r="E65" i="51"/>
  <c r="D65" i="51"/>
  <c r="C65" i="51"/>
  <c r="B65" i="51"/>
  <c r="A65" i="51"/>
  <c r="G64" i="51"/>
  <c r="F64" i="51"/>
  <c r="E64" i="51"/>
  <c r="D64" i="51"/>
  <c r="C64" i="51"/>
  <c r="B64" i="51"/>
  <c r="A64" i="51"/>
  <c r="G63" i="51"/>
  <c r="F63" i="51"/>
  <c r="E63" i="51"/>
  <c r="D63" i="51"/>
  <c r="C63" i="51"/>
  <c r="B63" i="51"/>
  <c r="A63" i="51"/>
  <c r="G62" i="51"/>
  <c r="F62" i="51"/>
  <c r="E62" i="51"/>
  <c r="D62" i="51"/>
  <c r="C62" i="51"/>
  <c r="B62" i="51"/>
  <c r="A62" i="51"/>
  <c r="G61" i="51"/>
  <c r="F61" i="51"/>
  <c r="E61" i="51"/>
  <c r="D61" i="51"/>
  <c r="C61" i="51"/>
  <c r="B61" i="51"/>
  <c r="A61" i="51"/>
  <c r="G60" i="51"/>
  <c r="F60" i="51"/>
  <c r="E60" i="51"/>
  <c r="D60" i="51"/>
  <c r="C60" i="51"/>
  <c r="B60" i="51"/>
  <c r="A60" i="51"/>
  <c r="G59" i="51"/>
  <c r="F59" i="51"/>
  <c r="E59" i="51"/>
  <c r="D59" i="51"/>
  <c r="C59" i="51"/>
  <c r="B59" i="51"/>
  <c r="A59" i="51"/>
  <c r="G58" i="51"/>
  <c r="F58" i="51"/>
  <c r="E58" i="51"/>
  <c r="D58" i="51"/>
  <c r="C58" i="51"/>
  <c r="B58" i="51"/>
  <c r="A58" i="51"/>
  <c r="G57" i="51"/>
  <c r="F57" i="51"/>
  <c r="E57" i="51"/>
  <c r="D57" i="51"/>
  <c r="C57" i="51"/>
  <c r="B57" i="51"/>
  <c r="A57" i="51"/>
  <c r="G56" i="51"/>
  <c r="F56" i="51"/>
  <c r="E56" i="51"/>
  <c r="D56" i="51"/>
  <c r="C56" i="51"/>
  <c r="B56" i="51"/>
  <c r="A56" i="51"/>
  <c r="G55" i="51"/>
  <c r="F55" i="51"/>
  <c r="E55" i="51"/>
  <c r="D55" i="51"/>
  <c r="C55" i="51"/>
  <c r="B55" i="51"/>
  <c r="A55" i="51"/>
  <c r="G54" i="51"/>
  <c r="F54" i="51"/>
  <c r="E54" i="51"/>
  <c r="D54" i="51"/>
  <c r="C54" i="51"/>
  <c r="B54" i="51"/>
  <c r="A54" i="51"/>
  <c r="G53" i="51"/>
  <c r="F53" i="51"/>
  <c r="E53" i="51"/>
  <c r="D53" i="51"/>
  <c r="C53" i="51"/>
  <c r="B53" i="51"/>
  <c r="A53" i="51"/>
  <c r="G52" i="51"/>
  <c r="F52" i="51"/>
  <c r="E52" i="51"/>
  <c r="D52" i="51"/>
  <c r="C52" i="51"/>
  <c r="B52" i="51"/>
  <c r="A52" i="51"/>
  <c r="G51" i="51"/>
  <c r="F51" i="51"/>
  <c r="E51" i="51"/>
  <c r="D51" i="51"/>
  <c r="C51" i="51"/>
  <c r="B51" i="51"/>
  <c r="A51" i="51"/>
  <c r="G50" i="51"/>
  <c r="F50" i="51"/>
  <c r="E50" i="51"/>
  <c r="D50" i="51"/>
  <c r="C50" i="51"/>
  <c r="B50" i="51"/>
  <c r="A50" i="51"/>
  <c r="G49" i="51"/>
  <c r="F49" i="51"/>
  <c r="E49" i="51"/>
  <c r="D49" i="51"/>
  <c r="C49" i="51"/>
  <c r="B49" i="51"/>
  <c r="A49" i="51"/>
  <c r="G48" i="51"/>
  <c r="F48" i="51"/>
  <c r="E48" i="51"/>
  <c r="D48" i="51"/>
  <c r="C48" i="51"/>
  <c r="B48" i="51"/>
  <c r="A48" i="51"/>
  <c r="G47" i="51"/>
  <c r="F47" i="51"/>
  <c r="E47" i="51"/>
  <c r="D47" i="51"/>
  <c r="C47" i="51"/>
  <c r="B47" i="51"/>
  <c r="A47" i="51"/>
  <c r="G46" i="51"/>
  <c r="F46" i="51"/>
  <c r="E46" i="51"/>
  <c r="D46" i="51"/>
  <c r="C46" i="51"/>
  <c r="B46" i="51"/>
  <c r="A46" i="51"/>
  <c r="G45" i="51"/>
  <c r="F45" i="51"/>
  <c r="E45" i="51"/>
  <c r="D45" i="51"/>
  <c r="C45" i="51"/>
  <c r="B45" i="51"/>
  <c r="A45" i="51"/>
  <c r="G44" i="51"/>
  <c r="F44" i="51"/>
  <c r="E44" i="51"/>
  <c r="D44" i="51"/>
  <c r="C44" i="51"/>
  <c r="B44" i="51"/>
  <c r="A44" i="51"/>
  <c r="G43" i="51"/>
  <c r="F43" i="51"/>
  <c r="E43" i="51"/>
  <c r="D43" i="51"/>
  <c r="C43" i="51"/>
  <c r="B43" i="51"/>
  <c r="A43" i="51"/>
  <c r="G42" i="51"/>
  <c r="F42" i="51"/>
  <c r="E42" i="51"/>
  <c r="D42" i="51"/>
  <c r="C42" i="51"/>
  <c r="B42" i="51"/>
  <c r="A42" i="51"/>
  <c r="G41" i="51"/>
  <c r="F41" i="51"/>
  <c r="E41" i="51"/>
  <c r="D41" i="51"/>
  <c r="C41" i="51"/>
  <c r="B41" i="51"/>
  <c r="A41" i="51"/>
  <c r="G40" i="51"/>
  <c r="F40" i="51"/>
  <c r="E40" i="51"/>
  <c r="D40" i="51"/>
  <c r="C40" i="51"/>
  <c r="B40" i="51"/>
  <c r="A40" i="51"/>
  <c r="G39" i="51"/>
  <c r="F39" i="51"/>
  <c r="E39" i="51"/>
  <c r="D39" i="51"/>
  <c r="C39" i="51"/>
  <c r="B39" i="51"/>
  <c r="A39" i="51"/>
  <c r="G38" i="51"/>
  <c r="F38" i="51"/>
  <c r="E38" i="51"/>
  <c r="D38" i="51"/>
  <c r="C38" i="51"/>
  <c r="B38" i="51"/>
  <c r="A38" i="51"/>
  <c r="G37" i="51"/>
  <c r="F37" i="51"/>
  <c r="E37" i="51"/>
  <c r="D37" i="51"/>
  <c r="C37" i="51"/>
  <c r="B37" i="51"/>
  <c r="A37" i="51"/>
  <c r="G36" i="51"/>
  <c r="F36" i="51"/>
  <c r="E36" i="51"/>
  <c r="D36" i="51"/>
  <c r="C36" i="51"/>
  <c r="B36" i="51"/>
  <c r="A36" i="51"/>
  <c r="G35" i="51"/>
  <c r="F35" i="51"/>
  <c r="E35" i="51"/>
  <c r="D35" i="51"/>
  <c r="C35" i="51"/>
  <c r="B35" i="51"/>
  <c r="A35" i="51"/>
  <c r="G34" i="51"/>
  <c r="F34" i="51"/>
  <c r="E34" i="51"/>
  <c r="D34" i="51"/>
  <c r="C34" i="51"/>
  <c r="B34" i="51"/>
  <c r="A34" i="51"/>
  <c r="G33" i="51"/>
  <c r="F33" i="51"/>
  <c r="E33" i="51"/>
  <c r="D33" i="51"/>
  <c r="C33" i="51"/>
  <c r="B33" i="51"/>
  <c r="A33" i="51"/>
  <c r="G32" i="51"/>
  <c r="F32" i="51"/>
  <c r="E32" i="51"/>
  <c r="D32" i="51"/>
  <c r="C32" i="51"/>
  <c r="B32" i="51"/>
  <c r="A32" i="51"/>
  <c r="G31" i="51"/>
  <c r="F31" i="51"/>
  <c r="E31" i="51"/>
  <c r="D31" i="51"/>
  <c r="C31" i="51"/>
  <c r="B31" i="51"/>
  <c r="A31" i="51"/>
  <c r="G30" i="51"/>
  <c r="F30" i="51"/>
  <c r="E30" i="51"/>
  <c r="D30" i="51"/>
  <c r="C30" i="51"/>
  <c r="B30" i="51"/>
  <c r="A30" i="51"/>
  <c r="G29" i="51"/>
  <c r="F29" i="51"/>
  <c r="E29" i="51"/>
  <c r="D29" i="51"/>
  <c r="C29" i="51"/>
  <c r="B29" i="51"/>
  <c r="A29" i="51"/>
  <c r="G28" i="51"/>
  <c r="F28" i="51"/>
  <c r="E28" i="51"/>
  <c r="D28" i="51"/>
  <c r="C28" i="51"/>
  <c r="B28" i="51"/>
  <c r="A28" i="51"/>
  <c r="G27" i="51"/>
  <c r="F27" i="51"/>
  <c r="E27" i="51"/>
  <c r="D27" i="51"/>
  <c r="C27" i="51"/>
  <c r="B27" i="51"/>
  <c r="A27" i="51"/>
  <c r="G26" i="51"/>
  <c r="F26" i="51"/>
  <c r="E26" i="51"/>
  <c r="D26" i="51"/>
  <c r="C26" i="51"/>
  <c r="B26" i="51"/>
  <c r="A26" i="51"/>
  <c r="G25" i="51"/>
  <c r="F25" i="51"/>
  <c r="E25" i="51"/>
  <c r="D25" i="51"/>
  <c r="C25" i="51"/>
  <c r="B25" i="51"/>
  <c r="A25" i="51"/>
  <c r="G24" i="51"/>
  <c r="F24" i="51"/>
  <c r="E24" i="51"/>
  <c r="D24" i="51"/>
  <c r="C24" i="51"/>
  <c r="B24" i="51"/>
  <c r="A24" i="51"/>
  <c r="G23" i="51"/>
  <c r="F23" i="51"/>
  <c r="E23" i="51"/>
  <c r="D23" i="51"/>
  <c r="C23" i="51"/>
  <c r="B23" i="51"/>
  <c r="A23" i="51"/>
  <c r="G22" i="51"/>
  <c r="F22" i="51"/>
  <c r="E22" i="51"/>
  <c r="D22" i="51"/>
  <c r="C22" i="51"/>
  <c r="B22" i="51"/>
  <c r="A22" i="51"/>
  <c r="G21" i="51"/>
  <c r="F21" i="51"/>
  <c r="E21" i="51"/>
  <c r="D21" i="51"/>
  <c r="C21" i="51"/>
  <c r="B21" i="51"/>
  <c r="A21" i="51"/>
  <c r="G20" i="51"/>
  <c r="F20" i="51"/>
  <c r="E20" i="51"/>
  <c r="D20" i="51"/>
  <c r="C20" i="51"/>
  <c r="B20" i="51"/>
  <c r="A20" i="51"/>
  <c r="G19" i="51"/>
  <c r="F19" i="51"/>
  <c r="E19" i="51"/>
  <c r="D19" i="51"/>
  <c r="C19" i="51"/>
  <c r="B19" i="51"/>
  <c r="A19" i="51"/>
  <c r="G18" i="51"/>
  <c r="F18" i="51"/>
  <c r="E18" i="51"/>
  <c r="D18" i="51"/>
  <c r="C18" i="51"/>
  <c r="B18" i="51"/>
  <c r="A18" i="51"/>
  <c r="G17" i="51"/>
  <c r="F17" i="51"/>
  <c r="E17" i="51"/>
  <c r="D17" i="51"/>
  <c r="C17" i="51"/>
  <c r="B17" i="51"/>
  <c r="A17" i="51"/>
  <c r="G16" i="51"/>
  <c r="F16" i="51"/>
  <c r="E16" i="51"/>
  <c r="D16" i="51"/>
  <c r="C16" i="51"/>
  <c r="B16" i="51"/>
  <c r="A16" i="51"/>
  <c r="G15" i="51"/>
  <c r="F15" i="51"/>
  <c r="E15" i="51"/>
  <c r="D15" i="51"/>
  <c r="C15" i="51"/>
  <c r="B15" i="51"/>
  <c r="A15" i="51"/>
  <c r="G14" i="51"/>
  <c r="F14" i="51"/>
  <c r="E14" i="51"/>
  <c r="D14" i="51"/>
  <c r="C14" i="51"/>
  <c r="B14" i="51"/>
  <c r="A14" i="51"/>
  <c r="G13" i="51"/>
  <c r="F13" i="51"/>
  <c r="E13" i="51"/>
  <c r="D13" i="51"/>
  <c r="C13" i="51"/>
  <c r="B13" i="51"/>
  <c r="A13" i="51"/>
  <c r="G12" i="51"/>
  <c r="F12" i="51"/>
  <c r="E12" i="51"/>
  <c r="D12" i="51"/>
  <c r="C12" i="51"/>
  <c r="B12" i="51"/>
  <c r="A12" i="51"/>
  <c r="G11" i="51"/>
  <c r="F11" i="51"/>
  <c r="E11" i="51"/>
  <c r="D11" i="51"/>
  <c r="C11" i="51"/>
  <c r="B11" i="51"/>
  <c r="A11" i="51"/>
  <c r="G10" i="51"/>
  <c r="F10" i="51"/>
  <c r="E10" i="51"/>
  <c r="D10" i="51"/>
  <c r="C10" i="51"/>
  <c r="B10" i="51"/>
  <c r="A10" i="51"/>
  <c r="G9" i="51"/>
  <c r="F9" i="51"/>
  <c r="E9" i="51"/>
  <c r="D9" i="51"/>
  <c r="C9" i="51"/>
  <c r="B9" i="51"/>
  <c r="A9" i="51"/>
  <c r="G8" i="51"/>
  <c r="F8" i="51"/>
  <c r="E8" i="51"/>
  <c r="D8" i="51"/>
  <c r="C8" i="51"/>
  <c r="B8" i="51"/>
  <c r="A8" i="51"/>
  <c r="G7" i="51"/>
  <c r="F7" i="51"/>
  <c r="E7" i="51"/>
  <c r="D7" i="51"/>
  <c r="C7" i="51"/>
  <c r="B7" i="51"/>
  <c r="A7" i="51"/>
  <c r="G6" i="51"/>
  <c r="F6" i="51"/>
  <c r="E6" i="51"/>
  <c r="D6" i="51"/>
  <c r="C6" i="51"/>
  <c r="B6" i="51"/>
  <c r="A6" i="51"/>
  <c r="G5" i="51"/>
  <c r="F5" i="51"/>
  <c r="E5" i="51"/>
  <c r="D5" i="51"/>
  <c r="C5" i="51"/>
  <c r="B5" i="51"/>
  <c r="A5" i="51"/>
  <c r="G4" i="51"/>
  <c r="F4" i="51"/>
  <c r="E4" i="51"/>
  <c r="D4" i="51"/>
  <c r="C4" i="51"/>
  <c r="B4" i="51"/>
  <c r="A4" i="51"/>
  <c r="G3" i="51"/>
  <c r="F3" i="51"/>
  <c r="E3" i="51"/>
  <c r="D3" i="51"/>
  <c r="C3" i="51"/>
  <c r="B3" i="51"/>
  <c r="A3" i="51"/>
  <c r="G2" i="51"/>
  <c r="F2" i="51"/>
  <c r="E2" i="51"/>
  <c r="D2" i="51"/>
  <c r="C2" i="51"/>
  <c r="B2" i="51"/>
  <c r="A2" i="51"/>
  <c r="G1" i="51"/>
  <c r="F1" i="51"/>
  <c r="E1" i="51"/>
  <c r="D1" i="51"/>
  <c r="C1" i="51"/>
  <c r="B1" i="51"/>
  <c r="A1" i="51"/>
  <c r="G277" i="50"/>
  <c r="F277" i="50"/>
  <c r="E277" i="50"/>
  <c r="D277" i="50"/>
  <c r="C277" i="50"/>
  <c r="B277" i="50"/>
  <c r="A277" i="50"/>
  <c r="G276" i="50"/>
  <c r="F276" i="50"/>
  <c r="E276" i="50"/>
  <c r="D276" i="50"/>
  <c r="C276" i="50"/>
  <c r="B276" i="50"/>
  <c r="A276" i="50"/>
  <c r="G275" i="50"/>
  <c r="F275" i="50"/>
  <c r="E275" i="50"/>
  <c r="D275" i="50"/>
  <c r="C275" i="50"/>
  <c r="B275" i="50"/>
  <c r="A275" i="50"/>
  <c r="G274" i="50"/>
  <c r="F274" i="50"/>
  <c r="E274" i="50"/>
  <c r="D274" i="50"/>
  <c r="C274" i="50"/>
  <c r="B274" i="50"/>
  <c r="A274" i="50"/>
  <c r="G273" i="50"/>
  <c r="F273" i="50"/>
  <c r="E273" i="50"/>
  <c r="D273" i="50"/>
  <c r="C273" i="50"/>
  <c r="B273" i="50"/>
  <c r="A273" i="50"/>
  <c r="G272" i="50"/>
  <c r="F272" i="50"/>
  <c r="E272" i="50"/>
  <c r="D272" i="50"/>
  <c r="C272" i="50"/>
  <c r="B272" i="50"/>
  <c r="A272" i="50"/>
  <c r="G271" i="50"/>
  <c r="F271" i="50"/>
  <c r="E271" i="50"/>
  <c r="D271" i="50"/>
  <c r="C271" i="50"/>
  <c r="B271" i="50"/>
  <c r="A271" i="50"/>
  <c r="G270" i="50"/>
  <c r="F270" i="50"/>
  <c r="E270" i="50"/>
  <c r="D270" i="50"/>
  <c r="C270" i="50"/>
  <c r="B270" i="50"/>
  <c r="A270" i="50"/>
  <c r="G269" i="50"/>
  <c r="F269" i="50"/>
  <c r="E269" i="50"/>
  <c r="D269" i="50"/>
  <c r="C269" i="50"/>
  <c r="B269" i="50"/>
  <c r="A269" i="50"/>
  <c r="G268" i="50"/>
  <c r="F268" i="50"/>
  <c r="E268" i="50"/>
  <c r="D268" i="50"/>
  <c r="C268" i="50"/>
  <c r="B268" i="50"/>
  <c r="A268" i="50"/>
  <c r="G267" i="50"/>
  <c r="F267" i="50"/>
  <c r="E267" i="50"/>
  <c r="D267" i="50"/>
  <c r="C267" i="50"/>
  <c r="B267" i="50"/>
  <c r="A267" i="50"/>
  <c r="G266" i="50"/>
  <c r="F266" i="50"/>
  <c r="E266" i="50"/>
  <c r="D266" i="50"/>
  <c r="C266" i="50"/>
  <c r="B266" i="50"/>
  <c r="A266" i="50"/>
  <c r="G265" i="50"/>
  <c r="F265" i="50"/>
  <c r="E265" i="50"/>
  <c r="D265" i="50"/>
  <c r="C265" i="50"/>
  <c r="B265" i="50"/>
  <c r="A265" i="50"/>
  <c r="G264" i="50"/>
  <c r="F264" i="50"/>
  <c r="E264" i="50"/>
  <c r="D264" i="50"/>
  <c r="C264" i="50"/>
  <c r="B264" i="50"/>
  <c r="A264" i="50"/>
  <c r="G263" i="50"/>
  <c r="F263" i="50"/>
  <c r="E263" i="50"/>
  <c r="D263" i="50"/>
  <c r="C263" i="50"/>
  <c r="B263" i="50"/>
  <c r="A263" i="50"/>
  <c r="G262" i="50"/>
  <c r="F262" i="50"/>
  <c r="E262" i="50"/>
  <c r="D262" i="50"/>
  <c r="C262" i="50"/>
  <c r="B262" i="50"/>
  <c r="A262" i="50"/>
  <c r="G261" i="50"/>
  <c r="F261" i="50"/>
  <c r="E261" i="50"/>
  <c r="D261" i="50"/>
  <c r="C261" i="50"/>
  <c r="B261" i="50"/>
  <c r="A261" i="50"/>
  <c r="G260" i="50"/>
  <c r="F260" i="50"/>
  <c r="E260" i="50"/>
  <c r="D260" i="50"/>
  <c r="C260" i="50"/>
  <c r="B260" i="50"/>
  <c r="A260" i="50"/>
  <c r="G259" i="50"/>
  <c r="F259" i="50"/>
  <c r="E259" i="50"/>
  <c r="D259" i="50"/>
  <c r="C259" i="50"/>
  <c r="B259" i="50"/>
  <c r="A259" i="50"/>
  <c r="G258" i="50"/>
  <c r="F258" i="50"/>
  <c r="E258" i="50"/>
  <c r="D258" i="50"/>
  <c r="C258" i="50"/>
  <c r="B258" i="50"/>
  <c r="A258" i="50"/>
  <c r="G257" i="50"/>
  <c r="F257" i="50"/>
  <c r="E257" i="50"/>
  <c r="D257" i="50"/>
  <c r="C257" i="50"/>
  <c r="B257" i="50"/>
  <c r="A257" i="50"/>
  <c r="G256" i="50"/>
  <c r="F256" i="50"/>
  <c r="E256" i="50"/>
  <c r="D256" i="50"/>
  <c r="C256" i="50"/>
  <c r="B256" i="50"/>
  <c r="A256" i="50"/>
  <c r="G255" i="50"/>
  <c r="F255" i="50"/>
  <c r="E255" i="50"/>
  <c r="D255" i="50"/>
  <c r="C255" i="50"/>
  <c r="B255" i="50"/>
  <c r="A255" i="50"/>
  <c r="G254" i="50"/>
  <c r="F254" i="50"/>
  <c r="E254" i="50"/>
  <c r="D254" i="50"/>
  <c r="C254" i="50"/>
  <c r="B254" i="50"/>
  <c r="A254" i="50"/>
  <c r="G253" i="50"/>
  <c r="F253" i="50"/>
  <c r="E253" i="50"/>
  <c r="D253" i="50"/>
  <c r="C253" i="50"/>
  <c r="B253" i="50"/>
  <c r="A253" i="50"/>
  <c r="G252" i="50"/>
  <c r="F252" i="50"/>
  <c r="E252" i="50"/>
  <c r="D252" i="50"/>
  <c r="C252" i="50"/>
  <c r="B252" i="50"/>
  <c r="A252" i="50"/>
  <c r="G251" i="50"/>
  <c r="F251" i="50"/>
  <c r="E251" i="50"/>
  <c r="D251" i="50"/>
  <c r="C251" i="50"/>
  <c r="B251" i="50"/>
  <c r="A251" i="50"/>
  <c r="G250" i="50"/>
  <c r="F250" i="50"/>
  <c r="E250" i="50"/>
  <c r="D250" i="50"/>
  <c r="C250" i="50"/>
  <c r="B250" i="50"/>
  <c r="A250" i="50"/>
  <c r="G249" i="50"/>
  <c r="F249" i="50"/>
  <c r="E249" i="50"/>
  <c r="D249" i="50"/>
  <c r="C249" i="50"/>
  <c r="B249" i="50"/>
  <c r="A249" i="50"/>
  <c r="G248" i="50"/>
  <c r="F248" i="50"/>
  <c r="E248" i="50"/>
  <c r="D248" i="50"/>
  <c r="C248" i="50"/>
  <c r="B248" i="50"/>
  <c r="A248" i="50"/>
  <c r="G247" i="50"/>
  <c r="F247" i="50"/>
  <c r="E247" i="50"/>
  <c r="D247" i="50"/>
  <c r="C247" i="50"/>
  <c r="B247" i="50"/>
  <c r="A247" i="50"/>
  <c r="G246" i="50"/>
  <c r="F246" i="50"/>
  <c r="E246" i="50"/>
  <c r="D246" i="50"/>
  <c r="C246" i="50"/>
  <c r="B246" i="50"/>
  <c r="A246" i="50"/>
  <c r="G245" i="50"/>
  <c r="F245" i="50"/>
  <c r="E245" i="50"/>
  <c r="D245" i="50"/>
  <c r="C245" i="50"/>
  <c r="B245" i="50"/>
  <c r="A245" i="50"/>
  <c r="G244" i="50"/>
  <c r="F244" i="50"/>
  <c r="E244" i="50"/>
  <c r="D244" i="50"/>
  <c r="C244" i="50"/>
  <c r="B244" i="50"/>
  <c r="A244" i="50"/>
  <c r="G243" i="50"/>
  <c r="F243" i="50"/>
  <c r="E243" i="50"/>
  <c r="D243" i="50"/>
  <c r="C243" i="50"/>
  <c r="B243" i="50"/>
  <c r="A243" i="50"/>
  <c r="G242" i="50"/>
  <c r="F242" i="50"/>
  <c r="E242" i="50"/>
  <c r="D242" i="50"/>
  <c r="C242" i="50"/>
  <c r="B242" i="50"/>
  <c r="A242" i="50"/>
  <c r="G241" i="50"/>
  <c r="F241" i="50"/>
  <c r="E241" i="50"/>
  <c r="D241" i="50"/>
  <c r="C241" i="50"/>
  <c r="B241" i="50"/>
  <c r="A241" i="50"/>
  <c r="G240" i="50"/>
  <c r="F240" i="50"/>
  <c r="E240" i="50"/>
  <c r="D240" i="50"/>
  <c r="C240" i="50"/>
  <c r="B240" i="50"/>
  <c r="A240" i="50"/>
  <c r="G239" i="50"/>
  <c r="F239" i="50"/>
  <c r="E239" i="50"/>
  <c r="D239" i="50"/>
  <c r="C239" i="50"/>
  <c r="B239" i="50"/>
  <c r="A239" i="50"/>
  <c r="G238" i="50"/>
  <c r="F238" i="50"/>
  <c r="E238" i="50"/>
  <c r="D238" i="50"/>
  <c r="C238" i="50"/>
  <c r="B238" i="50"/>
  <c r="A238" i="50"/>
  <c r="G237" i="50"/>
  <c r="F237" i="50"/>
  <c r="E237" i="50"/>
  <c r="D237" i="50"/>
  <c r="C237" i="50"/>
  <c r="B237" i="50"/>
  <c r="A237" i="50"/>
  <c r="G236" i="50"/>
  <c r="F236" i="50"/>
  <c r="E236" i="50"/>
  <c r="D236" i="50"/>
  <c r="C236" i="50"/>
  <c r="B236" i="50"/>
  <c r="A236" i="50"/>
  <c r="G235" i="50"/>
  <c r="F235" i="50"/>
  <c r="E235" i="50"/>
  <c r="D235" i="50"/>
  <c r="C235" i="50"/>
  <c r="B235" i="50"/>
  <c r="A235" i="50"/>
  <c r="G234" i="50"/>
  <c r="F234" i="50"/>
  <c r="E234" i="50"/>
  <c r="D234" i="50"/>
  <c r="C234" i="50"/>
  <c r="B234" i="50"/>
  <c r="A234" i="50"/>
  <c r="G233" i="50"/>
  <c r="F233" i="50"/>
  <c r="E233" i="50"/>
  <c r="D233" i="50"/>
  <c r="C233" i="50"/>
  <c r="B233" i="50"/>
  <c r="A233" i="50"/>
  <c r="G232" i="50"/>
  <c r="F232" i="50"/>
  <c r="E232" i="50"/>
  <c r="D232" i="50"/>
  <c r="C232" i="50"/>
  <c r="B232" i="50"/>
  <c r="A232" i="50"/>
  <c r="G231" i="50"/>
  <c r="F231" i="50"/>
  <c r="E231" i="50"/>
  <c r="D231" i="50"/>
  <c r="C231" i="50"/>
  <c r="B231" i="50"/>
  <c r="A231" i="50"/>
  <c r="G230" i="50"/>
  <c r="F230" i="50"/>
  <c r="E230" i="50"/>
  <c r="D230" i="50"/>
  <c r="C230" i="50"/>
  <c r="B230" i="50"/>
  <c r="A230" i="50"/>
  <c r="G229" i="50"/>
  <c r="F229" i="50"/>
  <c r="E229" i="50"/>
  <c r="D229" i="50"/>
  <c r="C229" i="50"/>
  <c r="B229" i="50"/>
  <c r="A229" i="50"/>
  <c r="G228" i="50"/>
  <c r="F228" i="50"/>
  <c r="E228" i="50"/>
  <c r="D228" i="50"/>
  <c r="C228" i="50"/>
  <c r="B228" i="50"/>
  <c r="A228" i="50"/>
  <c r="G227" i="50"/>
  <c r="F227" i="50"/>
  <c r="E227" i="50"/>
  <c r="D227" i="50"/>
  <c r="C227" i="50"/>
  <c r="B227" i="50"/>
  <c r="A227" i="50"/>
  <c r="G226" i="50"/>
  <c r="F226" i="50"/>
  <c r="E226" i="50"/>
  <c r="D226" i="50"/>
  <c r="C226" i="50"/>
  <c r="B226" i="50"/>
  <c r="A226" i="50"/>
  <c r="G225" i="50"/>
  <c r="F225" i="50"/>
  <c r="E225" i="50"/>
  <c r="D225" i="50"/>
  <c r="C225" i="50"/>
  <c r="B225" i="50"/>
  <c r="A225" i="50"/>
  <c r="G224" i="50"/>
  <c r="F224" i="50"/>
  <c r="E224" i="50"/>
  <c r="D224" i="50"/>
  <c r="C224" i="50"/>
  <c r="B224" i="50"/>
  <c r="A224" i="50"/>
  <c r="G223" i="50"/>
  <c r="F223" i="50"/>
  <c r="E223" i="50"/>
  <c r="D223" i="50"/>
  <c r="C223" i="50"/>
  <c r="B223" i="50"/>
  <c r="A223" i="50"/>
  <c r="G222" i="50"/>
  <c r="F222" i="50"/>
  <c r="E222" i="50"/>
  <c r="D222" i="50"/>
  <c r="C222" i="50"/>
  <c r="B222" i="50"/>
  <c r="A222" i="50"/>
  <c r="G221" i="50"/>
  <c r="F221" i="50"/>
  <c r="E221" i="50"/>
  <c r="D221" i="50"/>
  <c r="C221" i="50"/>
  <c r="B221" i="50"/>
  <c r="A221" i="50"/>
  <c r="G220" i="50"/>
  <c r="F220" i="50"/>
  <c r="E220" i="50"/>
  <c r="D220" i="50"/>
  <c r="C220" i="50"/>
  <c r="B220" i="50"/>
  <c r="A220" i="50"/>
  <c r="G219" i="50"/>
  <c r="F219" i="50"/>
  <c r="E219" i="50"/>
  <c r="D219" i="50"/>
  <c r="C219" i="50"/>
  <c r="B219" i="50"/>
  <c r="A219" i="50"/>
  <c r="G218" i="50"/>
  <c r="F218" i="50"/>
  <c r="E218" i="50"/>
  <c r="D218" i="50"/>
  <c r="C218" i="50"/>
  <c r="B218" i="50"/>
  <c r="A218" i="50"/>
  <c r="G217" i="50"/>
  <c r="F217" i="50"/>
  <c r="E217" i="50"/>
  <c r="D217" i="50"/>
  <c r="C217" i="50"/>
  <c r="B217" i="50"/>
  <c r="A217" i="50"/>
  <c r="G216" i="50"/>
  <c r="F216" i="50"/>
  <c r="E216" i="50"/>
  <c r="D216" i="50"/>
  <c r="C216" i="50"/>
  <c r="B216" i="50"/>
  <c r="A216" i="50"/>
  <c r="G215" i="50"/>
  <c r="F215" i="50"/>
  <c r="E215" i="50"/>
  <c r="D215" i="50"/>
  <c r="C215" i="50"/>
  <c r="B215" i="50"/>
  <c r="A215" i="50"/>
  <c r="G214" i="50"/>
  <c r="F214" i="50"/>
  <c r="E214" i="50"/>
  <c r="D214" i="50"/>
  <c r="C214" i="50"/>
  <c r="B214" i="50"/>
  <c r="A214" i="50"/>
  <c r="G213" i="50"/>
  <c r="F213" i="50"/>
  <c r="E213" i="50"/>
  <c r="D213" i="50"/>
  <c r="C213" i="50"/>
  <c r="B213" i="50"/>
  <c r="A213" i="50"/>
  <c r="G212" i="50"/>
  <c r="F212" i="50"/>
  <c r="E212" i="50"/>
  <c r="D212" i="50"/>
  <c r="C212" i="50"/>
  <c r="B212" i="50"/>
  <c r="A212" i="50"/>
  <c r="G211" i="50"/>
  <c r="F211" i="50"/>
  <c r="E211" i="50"/>
  <c r="D211" i="50"/>
  <c r="C211" i="50"/>
  <c r="B211" i="50"/>
  <c r="A211" i="50"/>
  <c r="G210" i="50"/>
  <c r="F210" i="50"/>
  <c r="E210" i="50"/>
  <c r="D210" i="50"/>
  <c r="C210" i="50"/>
  <c r="B210" i="50"/>
  <c r="A210" i="50"/>
  <c r="G209" i="50"/>
  <c r="F209" i="50"/>
  <c r="E209" i="50"/>
  <c r="D209" i="50"/>
  <c r="C209" i="50"/>
  <c r="B209" i="50"/>
  <c r="A209" i="50"/>
  <c r="G208" i="50"/>
  <c r="F208" i="50"/>
  <c r="E208" i="50"/>
  <c r="D208" i="50"/>
  <c r="C208" i="50"/>
  <c r="B208" i="50"/>
  <c r="A208" i="50"/>
  <c r="G207" i="50"/>
  <c r="F207" i="50"/>
  <c r="E207" i="50"/>
  <c r="D207" i="50"/>
  <c r="C207" i="50"/>
  <c r="B207" i="50"/>
  <c r="A207" i="50"/>
  <c r="G206" i="50"/>
  <c r="F206" i="50"/>
  <c r="E206" i="50"/>
  <c r="D206" i="50"/>
  <c r="C206" i="50"/>
  <c r="B206" i="50"/>
  <c r="A206" i="50"/>
  <c r="G205" i="50"/>
  <c r="F205" i="50"/>
  <c r="E205" i="50"/>
  <c r="D205" i="50"/>
  <c r="C205" i="50"/>
  <c r="B205" i="50"/>
  <c r="A205" i="50"/>
  <c r="G204" i="50"/>
  <c r="F204" i="50"/>
  <c r="E204" i="50"/>
  <c r="D204" i="50"/>
  <c r="C204" i="50"/>
  <c r="B204" i="50"/>
  <c r="A204" i="50"/>
  <c r="G203" i="50"/>
  <c r="F203" i="50"/>
  <c r="E203" i="50"/>
  <c r="D203" i="50"/>
  <c r="C203" i="50"/>
  <c r="B203" i="50"/>
  <c r="A203" i="50"/>
  <c r="G202" i="50"/>
  <c r="F202" i="50"/>
  <c r="E202" i="50"/>
  <c r="D202" i="50"/>
  <c r="C202" i="50"/>
  <c r="B202" i="50"/>
  <c r="A202" i="50"/>
  <c r="G201" i="50"/>
  <c r="F201" i="50"/>
  <c r="E201" i="50"/>
  <c r="D201" i="50"/>
  <c r="C201" i="50"/>
  <c r="B201" i="50"/>
  <c r="A201" i="50"/>
  <c r="G200" i="50"/>
  <c r="F200" i="50"/>
  <c r="E200" i="50"/>
  <c r="D200" i="50"/>
  <c r="C200" i="50"/>
  <c r="B200" i="50"/>
  <c r="A200" i="50"/>
  <c r="G199" i="50"/>
  <c r="F199" i="50"/>
  <c r="E199" i="50"/>
  <c r="D199" i="50"/>
  <c r="C199" i="50"/>
  <c r="B199" i="50"/>
  <c r="A199" i="50"/>
  <c r="G198" i="50"/>
  <c r="F198" i="50"/>
  <c r="E198" i="50"/>
  <c r="D198" i="50"/>
  <c r="C198" i="50"/>
  <c r="B198" i="50"/>
  <c r="A198" i="50"/>
  <c r="G197" i="50"/>
  <c r="F197" i="50"/>
  <c r="E197" i="50"/>
  <c r="D197" i="50"/>
  <c r="C197" i="50"/>
  <c r="B197" i="50"/>
  <c r="A197" i="50"/>
  <c r="G196" i="50"/>
  <c r="F196" i="50"/>
  <c r="E196" i="50"/>
  <c r="D196" i="50"/>
  <c r="C196" i="50"/>
  <c r="B196" i="50"/>
  <c r="A196" i="50"/>
  <c r="G195" i="50"/>
  <c r="F195" i="50"/>
  <c r="E195" i="50"/>
  <c r="D195" i="50"/>
  <c r="C195" i="50"/>
  <c r="B195" i="50"/>
  <c r="A195" i="50"/>
  <c r="G194" i="50"/>
  <c r="F194" i="50"/>
  <c r="E194" i="50"/>
  <c r="D194" i="50"/>
  <c r="C194" i="50"/>
  <c r="B194" i="50"/>
  <c r="A194" i="50"/>
  <c r="G193" i="50"/>
  <c r="F193" i="50"/>
  <c r="E193" i="50"/>
  <c r="D193" i="50"/>
  <c r="C193" i="50"/>
  <c r="B193" i="50"/>
  <c r="A193" i="50"/>
  <c r="G192" i="50"/>
  <c r="F192" i="50"/>
  <c r="E192" i="50"/>
  <c r="D192" i="50"/>
  <c r="C192" i="50"/>
  <c r="B192" i="50"/>
  <c r="A192" i="50"/>
  <c r="G191" i="50"/>
  <c r="F191" i="50"/>
  <c r="E191" i="50"/>
  <c r="D191" i="50"/>
  <c r="C191" i="50"/>
  <c r="B191" i="50"/>
  <c r="A191" i="50"/>
  <c r="G190" i="50"/>
  <c r="F190" i="50"/>
  <c r="E190" i="50"/>
  <c r="D190" i="50"/>
  <c r="C190" i="50"/>
  <c r="B190" i="50"/>
  <c r="A190" i="50"/>
  <c r="G189" i="50"/>
  <c r="F189" i="50"/>
  <c r="E189" i="50"/>
  <c r="D189" i="50"/>
  <c r="C189" i="50"/>
  <c r="B189" i="50"/>
  <c r="A189" i="50"/>
  <c r="G188" i="50"/>
  <c r="F188" i="50"/>
  <c r="E188" i="50"/>
  <c r="D188" i="50"/>
  <c r="C188" i="50"/>
  <c r="B188" i="50"/>
  <c r="A188" i="50"/>
  <c r="G187" i="50"/>
  <c r="F187" i="50"/>
  <c r="E187" i="50"/>
  <c r="D187" i="50"/>
  <c r="C187" i="50"/>
  <c r="B187" i="50"/>
  <c r="A187" i="50"/>
  <c r="G186" i="50"/>
  <c r="F186" i="50"/>
  <c r="E186" i="50"/>
  <c r="D186" i="50"/>
  <c r="C186" i="50"/>
  <c r="B186" i="50"/>
  <c r="A186" i="50"/>
  <c r="G185" i="50"/>
  <c r="F185" i="50"/>
  <c r="E185" i="50"/>
  <c r="D185" i="50"/>
  <c r="C185" i="50"/>
  <c r="B185" i="50"/>
  <c r="A185" i="50"/>
  <c r="G184" i="50"/>
  <c r="F184" i="50"/>
  <c r="E184" i="50"/>
  <c r="D184" i="50"/>
  <c r="C184" i="50"/>
  <c r="B184" i="50"/>
  <c r="A184" i="50"/>
  <c r="G183" i="50"/>
  <c r="F183" i="50"/>
  <c r="E183" i="50"/>
  <c r="D183" i="50"/>
  <c r="C183" i="50"/>
  <c r="B183" i="50"/>
  <c r="A183" i="50"/>
  <c r="G182" i="50"/>
  <c r="F182" i="50"/>
  <c r="E182" i="50"/>
  <c r="D182" i="50"/>
  <c r="C182" i="50"/>
  <c r="B182" i="50"/>
  <c r="A182" i="50"/>
  <c r="G181" i="50"/>
  <c r="F181" i="50"/>
  <c r="E181" i="50"/>
  <c r="D181" i="50"/>
  <c r="C181" i="50"/>
  <c r="B181" i="50"/>
  <c r="A181" i="50"/>
  <c r="G180" i="50"/>
  <c r="F180" i="50"/>
  <c r="E180" i="50"/>
  <c r="D180" i="50"/>
  <c r="C180" i="50"/>
  <c r="B180" i="50"/>
  <c r="A180" i="50"/>
  <c r="G179" i="50"/>
  <c r="F179" i="50"/>
  <c r="E179" i="50"/>
  <c r="D179" i="50"/>
  <c r="C179" i="50"/>
  <c r="B179" i="50"/>
  <c r="A179" i="50"/>
  <c r="G178" i="50"/>
  <c r="F178" i="50"/>
  <c r="E178" i="50"/>
  <c r="D178" i="50"/>
  <c r="C178" i="50"/>
  <c r="B178" i="50"/>
  <c r="A178" i="50"/>
  <c r="G177" i="50"/>
  <c r="F177" i="50"/>
  <c r="E177" i="50"/>
  <c r="D177" i="50"/>
  <c r="C177" i="50"/>
  <c r="B177" i="50"/>
  <c r="A177" i="50"/>
  <c r="G176" i="50"/>
  <c r="F176" i="50"/>
  <c r="E176" i="50"/>
  <c r="D176" i="50"/>
  <c r="C176" i="50"/>
  <c r="B176" i="50"/>
  <c r="A176" i="50"/>
  <c r="G175" i="50"/>
  <c r="F175" i="50"/>
  <c r="E175" i="50"/>
  <c r="D175" i="50"/>
  <c r="C175" i="50"/>
  <c r="B175" i="50"/>
  <c r="A175" i="50"/>
  <c r="G174" i="50"/>
  <c r="F174" i="50"/>
  <c r="E174" i="50"/>
  <c r="D174" i="50"/>
  <c r="C174" i="50"/>
  <c r="B174" i="50"/>
  <c r="A174" i="50"/>
  <c r="G173" i="50"/>
  <c r="F173" i="50"/>
  <c r="E173" i="50"/>
  <c r="D173" i="50"/>
  <c r="C173" i="50"/>
  <c r="B173" i="50"/>
  <c r="A173" i="50"/>
  <c r="G172" i="50"/>
  <c r="F172" i="50"/>
  <c r="E172" i="50"/>
  <c r="D172" i="50"/>
  <c r="C172" i="50"/>
  <c r="B172" i="50"/>
  <c r="A172" i="50"/>
  <c r="G171" i="50"/>
  <c r="F171" i="50"/>
  <c r="E171" i="50"/>
  <c r="D171" i="50"/>
  <c r="C171" i="50"/>
  <c r="B171" i="50"/>
  <c r="A171" i="50"/>
  <c r="G170" i="50"/>
  <c r="F170" i="50"/>
  <c r="E170" i="50"/>
  <c r="D170" i="50"/>
  <c r="C170" i="50"/>
  <c r="B170" i="50"/>
  <c r="A170" i="50"/>
  <c r="G169" i="50"/>
  <c r="F169" i="50"/>
  <c r="E169" i="50"/>
  <c r="D169" i="50"/>
  <c r="C169" i="50"/>
  <c r="B169" i="50"/>
  <c r="A169" i="50"/>
  <c r="G168" i="50"/>
  <c r="F168" i="50"/>
  <c r="E168" i="50"/>
  <c r="D168" i="50"/>
  <c r="C168" i="50"/>
  <c r="B168" i="50"/>
  <c r="A168" i="50"/>
  <c r="G167" i="50"/>
  <c r="F167" i="50"/>
  <c r="E167" i="50"/>
  <c r="D167" i="50"/>
  <c r="C167" i="50"/>
  <c r="B167" i="50"/>
  <c r="A167" i="50"/>
  <c r="G166" i="50"/>
  <c r="F166" i="50"/>
  <c r="E166" i="50"/>
  <c r="D166" i="50"/>
  <c r="C166" i="50"/>
  <c r="B166" i="50"/>
  <c r="A166" i="50"/>
  <c r="G165" i="50"/>
  <c r="F165" i="50"/>
  <c r="E165" i="50"/>
  <c r="D165" i="50"/>
  <c r="C165" i="50"/>
  <c r="B165" i="50"/>
  <c r="A165" i="50"/>
  <c r="G164" i="50"/>
  <c r="F164" i="50"/>
  <c r="E164" i="50"/>
  <c r="D164" i="50"/>
  <c r="C164" i="50"/>
  <c r="B164" i="50"/>
  <c r="A164" i="50"/>
  <c r="G163" i="50"/>
  <c r="F163" i="50"/>
  <c r="E163" i="50"/>
  <c r="D163" i="50"/>
  <c r="C163" i="50"/>
  <c r="B163" i="50"/>
  <c r="A163" i="50"/>
  <c r="G162" i="50"/>
  <c r="F162" i="50"/>
  <c r="E162" i="50"/>
  <c r="D162" i="50"/>
  <c r="C162" i="50"/>
  <c r="B162" i="50"/>
  <c r="A162" i="50"/>
  <c r="G161" i="50"/>
  <c r="F161" i="50"/>
  <c r="E161" i="50"/>
  <c r="D161" i="50"/>
  <c r="C161" i="50"/>
  <c r="B161" i="50"/>
  <c r="A161" i="50"/>
  <c r="G160" i="50"/>
  <c r="F160" i="50"/>
  <c r="E160" i="50"/>
  <c r="D160" i="50"/>
  <c r="C160" i="50"/>
  <c r="B160" i="50"/>
  <c r="A160" i="50"/>
  <c r="G159" i="50"/>
  <c r="F159" i="50"/>
  <c r="E159" i="50"/>
  <c r="D159" i="50"/>
  <c r="C159" i="50"/>
  <c r="B159" i="50"/>
  <c r="A159" i="50"/>
  <c r="G158" i="50"/>
  <c r="F158" i="50"/>
  <c r="E158" i="50"/>
  <c r="D158" i="50"/>
  <c r="C158" i="50"/>
  <c r="B158" i="50"/>
  <c r="A158" i="50"/>
  <c r="G157" i="50"/>
  <c r="F157" i="50"/>
  <c r="E157" i="50"/>
  <c r="D157" i="50"/>
  <c r="C157" i="50"/>
  <c r="B157" i="50"/>
  <c r="A157" i="50"/>
  <c r="G156" i="50"/>
  <c r="F156" i="50"/>
  <c r="E156" i="50"/>
  <c r="D156" i="50"/>
  <c r="C156" i="50"/>
  <c r="B156" i="50"/>
  <c r="A156" i="50"/>
  <c r="G155" i="50"/>
  <c r="F155" i="50"/>
  <c r="E155" i="50"/>
  <c r="D155" i="50"/>
  <c r="C155" i="50"/>
  <c r="B155" i="50"/>
  <c r="A155" i="50"/>
  <c r="G154" i="50"/>
  <c r="F154" i="50"/>
  <c r="E154" i="50"/>
  <c r="D154" i="50"/>
  <c r="C154" i="50"/>
  <c r="B154" i="50"/>
  <c r="A154" i="50"/>
  <c r="G153" i="50"/>
  <c r="F153" i="50"/>
  <c r="E153" i="50"/>
  <c r="D153" i="50"/>
  <c r="C153" i="50"/>
  <c r="B153" i="50"/>
  <c r="A153" i="50"/>
  <c r="G152" i="50"/>
  <c r="F152" i="50"/>
  <c r="E152" i="50"/>
  <c r="D152" i="50"/>
  <c r="C152" i="50"/>
  <c r="B152" i="50"/>
  <c r="A152" i="50"/>
  <c r="G151" i="50"/>
  <c r="F151" i="50"/>
  <c r="E151" i="50"/>
  <c r="D151" i="50"/>
  <c r="C151" i="50"/>
  <c r="B151" i="50"/>
  <c r="A151" i="50"/>
  <c r="G150" i="50"/>
  <c r="F150" i="50"/>
  <c r="E150" i="50"/>
  <c r="D150" i="50"/>
  <c r="C150" i="50"/>
  <c r="B150" i="50"/>
  <c r="A150" i="50"/>
  <c r="G149" i="50"/>
  <c r="F149" i="50"/>
  <c r="E149" i="50"/>
  <c r="D149" i="50"/>
  <c r="C149" i="50"/>
  <c r="B149" i="50"/>
  <c r="A149" i="50"/>
  <c r="G148" i="50"/>
  <c r="F148" i="50"/>
  <c r="E148" i="50"/>
  <c r="D148" i="50"/>
  <c r="C148" i="50"/>
  <c r="B148" i="50"/>
  <c r="A148" i="50"/>
  <c r="G147" i="50"/>
  <c r="F147" i="50"/>
  <c r="E147" i="50"/>
  <c r="D147" i="50"/>
  <c r="C147" i="50"/>
  <c r="B147" i="50"/>
  <c r="A147" i="50"/>
  <c r="G146" i="50"/>
  <c r="F146" i="50"/>
  <c r="E146" i="50"/>
  <c r="D146" i="50"/>
  <c r="C146" i="50"/>
  <c r="B146" i="50"/>
  <c r="A146" i="50"/>
  <c r="G145" i="50"/>
  <c r="F145" i="50"/>
  <c r="E145" i="50"/>
  <c r="D145" i="50"/>
  <c r="C145" i="50"/>
  <c r="B145" i="50"/>
  <c r="A145" i="50"/>
  <c r="G144" i="50"/>
  <c r="F144" i="50"/>
  <c r="E144" i="50"/>
  <c r="D144" i="50"/>
  <c r="C144" i="50"/>
  <c r="B144" i="50"/>
  <c r="A144" i="50"/>
  <c r="G143" i="50"/>
  <c r="F143" i="50"/>
  <c r="E143" i="50"/>
  <c r="D143" i="50"/>
  <c r="C143" i="50"/>
  <c r="B143" i="50"/>
  <c r="A143" i="50"/>
  <c r="G142" i="50"/>
  <c r="F142" i="50"/>
  <c r="E142" i="50"/>
  <c r="D142" i="50"/>
  <c r="C142" i="50"/>
  <c r="B142" i="50"/>
  <c r="A142" i="50"/>
  <c r="G141" i="50"/>
  <c r="F141" i="50"/>
  <c r="E141" i="50"/>
  <c r="D141" i="50"/>
  <c r="C141" i="50"/>
  <c r="B141" i="50"/>
  <c r="A141" i="50"/>
  <c r="G140" i="50"/>
  <c r="F140" i="50"/>
  <c r="E140" i="50"/>
  <c r="D140" i="50"/>
  <c r="C140" i="50"/>
  <c r="B140" i="50"/>
  <c r="A140" i="50"/>
  <c r="G139" i="50"/>
  <c r="F139" i="50"/>
  <c r="E139" i="50"/>
  <c r="D139" i="50"/>
  <c r="C139" i="50"/>
  <c r="B139" i="50"/>
  <c r="A139" i="50"/>
  <c r="G138" i="50"/>
  <c r="F138" i="50"/>
  <c r="E138" i="50"/>
  <c r="D138" i="50"/>
  <c r="C138" i="50"/>
  <c r="B138" i="50"/>
  <c r="A138" i="50"/>
  <c r="G137" i="50"/>
  <c r="F137" i="50"/>
  <c r="E137" i="50"/>
  <c r="D137" i="50"/>
  <c r="C137" i="50"/>
  <c r="B137" i="50"/>
  <c r="A137" i="50"/>
  <c r="G136" i="50"/>
  <c r="F136" i="50"/>
  <c r="E136" i="50"/>
  <c r="D136" i="50"/>
  <c r="C136" i="50"/>
  <c r="B136" i="50"/>
  <c r="A136" i="50"/>
  <c r="G135" i="50"/>
  <c r="F135" i="50"/>
  <c r="E135" i="50"/>
  <c r="D135" i="50"/>
  <c r="C135" i="50"/>
  <c r="B135" i="50"/>
  <c r="A135" i="50"/>
  <c r="G134" i="50"/>
  <c r="F134" i="50"/>
  <c r="E134" i="50"/>
  <c r="D134" i="50"/>
  <c r="C134" i="50"/>
  <c r="B134" i="50"/>
  <c r="A134" i="50"/>
  <c r="G133" i="50"/>
  <c r="F133" i="50"/>
  <c r="E133" i="50"/>
  <c r="D133" i="50"/>
  <c r="C133" i="50"/>
  <c r="B133" i="50"/>
  <c r="A133" i="50"/>
  <c r="G132" i="50"/>
  <c r="F132" i="50"/>
  <c r="E132" i="50"/>
  <c r="D132" i="50"/>
  <c r="C132" i="50"/>
  <c r="B132" i="50"/>
  <c r="A132" i="50"/>
  <c r="G131" i="50"/>
  <c r="F131" i="50"/>
  <c r="E131" i="50"/>
  <c r="D131" i="50"/>
  <c r="C131" i="50"/>
  <c r="B131" i="50"/>
  <c r="A131" i="50"/>
  <c r="G130" i="50"/>
  <c r="F130" i="50"/>
  <c r="E130" i="50"/>
  <c r="D130" i="50"/>
  <c r="C130" i="50"/>
  <c r="B130" i="50"/>
  <c r="A130" i="50"/>
  <c r="G129" i="50"/>
  <c r="F129" i="50"/>
  <c r="E129" i="50"/>
  <c r="D129" i="50"/>
  <c r="C129" i="50"/>
  <c r="B129" i="50"/>
  <c r="A129" i="50"/>
  <c r="G128" i="50"/>
  <c r="F128" i="50"/>
  <c r="E128" i="50"/>
  <c r="D128" i="50"/>
  <c r="C128" i="50"/>
  <c r="B128" i="50"/>
  <c r="A128" i="50"/>
  <c r="G127" i="50"/>
  <c r="F127" i="50"/>
  <c r="E127" i="50"/>
  <c r="D127" i="50"/>
  <c r="C127" i="50"/>
  <c r="B127" i="50"/>
  <c r="A127" i="50"/>
  <c r="G126" i="50"/>
  <c r="F126" i="50"/>
  <c r="E126" i="50"/>
  <c r="D126" i="50"/>
  <c r="C126" i="50"/>
  <c r="B126" i="50"/>
  <c r="A126" i="50"/>
  <c r="G125" i="50"/>
  <c r="F125" i="50"/>
  <c r="E125" i="50"/>
  <c r="D125" i="50"/>
  <c r="C125" i="50"/>
  <c r="B125" i="50"/>
  <c r="A125" i="50"/>
  <c r="G124" i="50"/>
  <c r="F124" i="50"/>
  <c r="E124" i="50"/>
  <c r="D124" i="50"/>
  <c r="C124" i="50"/>
  <c r="B124" i="50"/>
  <c r="A124" i="50"/>
  <c r="G123" i="50"/>
  <c r="F123" i="50"/>
  <c r="E123" i="50"/>
  <c r="D123" i="50"/>
  <c r="C123" i="50"/>
  <c r="B123" i="50"/>
  <c r="A123" i="50"/>
  <c r="G122" i="50"/>
  <c r="F122" i="50"/>
  <c r="E122" i="50"/>
  <c r="D122" i="50"/>
  <c r="C122" i="50"/>
  <c r="B122" i="50"/>
  <c r="A122" i="50"/>
  <c r="G121" i="50"/>
  <c r="F121" i="50"/>
  <c r="E121" i="50"/>
  <c r="D121" i="50"/>
  <c r="C121" i="50"/>
  <c r="B121" i="50"/>
  <c r="A121" i="50"/>
  <c r="G120" i="50"/>
  <c r="F120" i="50"/>
  <c r="E120" i="50"/>
  <c r="D120" i="50"/>
  <c r="C120" i="50"/>
  <c r="B120" i="50"/>
  <c r="A120" i="50"/>
  <c r="G119" i="50"/>
  <c r="F119" i="50"/>
  <c r="E119" i="50"/>
  <c r="D119" i="50"/>
  <c r="C119" i="50"/>
  <c r="B119" i="50"/>
  <c r="A119" i="50"/>
  <c r="G118" i="50"/>
  <c r="F118" i="50"/>
  <c r="E118" i="50"/>
  <c r="D118" i="50"/>
  <c r="C118" i="50"/>
  <c r="B118" i="50"/>
  <c r="A118" i="50"/>
  <c r="G117" i="50"/>
  <c r="F117" i="50"/>
  <c r="E117" i="50"/>
  <c r="D117" i="50"/>
  <c r="C117" i="50"/>
  <c r="B117" i="50"/>
  <c r="A117" i="50"/>
  <c r="G116" i="50"/>
  <c r="F116" i="50"/>
  <c r="E116" i="50"/>
  <c r="D116" i="50"/>
  <c r="C116" i="50"/>
  <c r="B116" i="50"/>
  <c r="A116" i="50"/>
  <c r="G115" i="50"/>
  <c r="F115" i="50"/>
  <c r="E115" i="50"/>
  <c r="D115" i="50"/>
  <c r="C115" i="50"/>
  <c r="B115" i="50"/>
  <c r="A115" i="50"/>
  <c r="G114" i="50"/>
  <c r="F114" i="50"/>
  <c r="E114" i="50"/>
  <c r="D114" i="50"/>
  <c r="C114" i="50"/>
  <c r="B114" i="50"/>
  <c r="A114" i="50"/>
  <c r="G113" i="50"/>
  <c r="F113" i="50"/>
  <c r="E113" i="50"/>
  <c r="D113" i="50"/>
  <c r="C113" i="50"/>
  <c r="B113" i="50"/>
  <c r="A113" i="50"/>
  <c r="G112" i="50"/>
  <c r="F112" i="50"/>
  <c r="E112" i="50"/>
  <c r="D112" i="50"/>
  <c r="C112" i="50"/>
  <c r="B112" i="50"/>
  <c r="A112" i="50"/>
  <c r="G111" i="50"/>
  <c r="F111" i="50"/>
  <c r="E111" i="50"/>
  <c r="D111" i="50"/>
  <c r="C111" i="50"/>
  <c r="B111" i="50"/>
  <c r="A111" i="50"/>
  <c r="G110" i="50"/>
  <c r="F110" i="50"/>
  <c r="E110" i="50"/>
  <c r="D110" i="50"/>
  <c r="C110" i="50"/>
  <c r="B110" i="50"/>
  <c r="A110" i="50"/>
  <c r="G109" i="50"/>
  <c r="F109" i="50"/>
  <c r="E109" i="50"/>
  <c r="D109" i="50"/>
  <c r="C109" i="50"/>
  <c r="B109" i="50"/>
  <c r="A109" i="50"/>
  <c r="G108" i="50"/>
  <c r="F108" i="50"/>
  <c r="E108" i="50"/>
  <c r="D108" i="50"/>
  <c r="C108" i="50"/>
  <c r="B108" i="50"/>
  <c r="A108" i="50"/>
  <c r="G107" i="50"/>
  <c r="F107" i="50"/>
  <c r="E107" i="50"/>
  <c r="D107" i="50"/>
  <c r="C107" i="50"/>
  <c r="B107" i="50"/>
  <c r="A107" i="50"/>
  <c r="G106" i="50"/>
  <c r="F106" i="50"/>
  <c r="E106" i="50"/>
  <c r="D106" i="50"/>
  <c r="C106" i="50"/>
  <c r="B106" i="50"/>
  <c r="A106" i="50"/>
  <c r="G105" i="50"/>
  <c r="F105" i="50"/>
  <c r="E105" i="50"/>
  <c r="D105" i="50"/>
  <c r="C105" i="50"/>
  <c r="B105" i="50"/>
  <c r="A105" i="50"/>
  <c r="G104" i="50"/>
  <c r="F104" i="50"/>
  <c r="E104" i="50"/>
  <c r="D104" i="50"/>
  <c r="C104" i="50"/>
  <c r="B104" i="50"/>
  <c r="A104" i="50"/>
  <c r="G103" i="50"/>
  <c r="F103" i="50"/>
  <c r="E103" i="50"/>
  <c r="D103" i="50"/>
  <c r="C103" i="50"/>
  <c r="B103" i="50"/>
  <c r="A103" i="50"/>
  <c r="G102" i="50"/>
  <c r="F102" i="50"/>
  <c r="E102" i="50"/>
  <c r="D102" i="50"/>
  <c r="C102" i="50"/>
  <c r="B102" i="50"/>
  <c r="A102" i="50"/>
  <c r="G101" i="50"/>
  <c r="F101" i="50"/>
  <c r="E101" i="50"/>
  <c r="D101" i="50"/>
  <c r="C101" i="50"/>
  <c r="B101" i="50"/>
  <c r="A101" i="50"/>
  <c r="G100" i="50"/>
  <c r="F100" i="50"/>
  <c r="E100" i="50"/>
  <c r="D100" i="50"/>
  <c r="C100" i="50"/>
  <c r="B100" i="50"/>
  <c r="A100" i="50"/>
  <c r="G99" i="50"/>
  <c r="F99" i="50"/>
  <c r="E99" i="50"/>
  <c r="D99" i="50"/>
  <c r="C99" i="50"/>
  <c r="B99" i="50"/>
  <c r="A99" i="50"/>
  <c r="G98" i="50"/>
  <c r="F98" i="50"/>
  <c r="E98" i="50"/>
  <c r="D98" i="50"/>
  <c r="C98" i="50"/>
  <c r="B98" i="50"/>
  <c r="A98" i="50"/>
  <c r="G97" i="50"/>
  <c r="F97" i="50"/>
  <c r="E97" i="50"/>
  <c r="D97" i="50"/>
  <c r="C97" i="50"/>
  <c r="B97" i="50"/>
  <c r="A97" i="50"/>
  <c r="G96" i="50"/>
  <c r="F96" i="50"/>
  <c r="E96" i="50"/>
  <c r="D96" i="50"/>
  <c r="C96" i="50"/>
  <c r="B96" i="50"/>
  <c r="A96" i="50"/>
  <c r="G95" i="50"/>
  <c r="F95" i="50"/>
  <c r="E95" i="50"/>
  <c r="D95" i="50"/>
  <c r="C95" i="50"/>
  <c r="B95" i="50"/>
  <c r="A95" i="50"/>
  <c r="G94" i="50"/>
  <c r="F94" i="50"/>
  <c r="E94" i="50"/>
  <c r="D94" i="50"/>
  <c r="C94" i="50"/>
  <c r="B94" i="50"/>
  <c r="A94" i="50"/>
  <c r="G93" i="50"/>
  <c r="F93" i="50"/>
  <c r="E93" i="50"/>
  <c r="D93" i="50"/>
  <c r="C93" i="50"/>
  <c r="B93" i="50"/>
  <c r="A93" i="50"/>
  <c r="G92" i="50"/>
  <c r="F92" i="50"/>
  <c r="E92" i="50"/>
  <c r="D92" i="50"/>
  <c r="C92" i="50"/>
  <c r="B92" i="50"/>
  <c r="A92" i="50"/>
  <c r="G91" i="50"/>
  <c r="F91" i="50"/>
  <c r="E91" i="50"/>
  <c r="D91" i="50"/>
  <c r="C91" i="50"/>
  <c r="B91" i="50"/>
  <c r="A91" i="50"/>
  <c r="G90" i="50"/>
  <c r="F90" i="50"/>
  <c r="E90" i="50"/>
  <c r="D90" i="50"/>
  <c r="C90" i="50"/>
  <c r="B90" i="50"/>
  <c r="A90" i="50"/>
  <c r="G89" i="50"/>
  <c r="F89" i="50"/>
  <c r="E89" i="50"/>
  <c r="D89" i="50"/>
  <c r="C89" i="50"/>
  <c r="B89" i="50"/>
  <c r="A89" i="50"/>
  <c r="G88" i="50"/>
  <c r="F88" i="50"/>
  <c r="E88" i="50"/>
  <c r="D88" i="50"/>
  <c r="C88" i="50"/>
  <c r="B88" i="50"/>
  <c r="A88" i="50"/>
  <c r="G87" i="50"/>
  <c r="F87" i="50"/>
  <c r="E87" i="50"/>
  <c r="D87" i="50"/>
  <c r="C87" i="50"/>
  <c r="B87" i="50"/>
  <c r="A87" i="50"/>
  <c r="G86" i="50"/>
  <c r="F86" i="50"/>
  <c r="E86" i="50"/>
  <c r="D86" i="50"/>
  <c r="C86" i="50"/>
  <c r="B86" i="50"/>
  <c r="A86" i="50"/>
  <c r="G85" i="50"/>
  <c r="F85" i="50"/>
  <c r="E85" i="50"/>
  <c r="D85" i="50"/>
  <c r="C85" i="50"/>
  <c r="B85" i="50"/>
  <c r="A85" i="50"/>
  <c r="G84" i="50"/>
  <c r="F84" i="50"/>
  <c r="E84" i="50"/>
  <c r="D84" i="50"/>
  <c r="C84" i="50"/>
  <c r="B84" i="50"/>
  <c r="A84" i="50"/>
  <c r="G83" i="50"/>
  <c r="F83" i="50"/>
  <c r="E83" i="50"/>
  <c r="D83" i="50"/>
  <c r="C83" i="50"/>
  <c r="B83" i="50"/>
  <c r="A83" i="50"/>
  <c r="G82" i="50"/>
  <c r="F82" i="50"/>
  <c r="E82" i="50"/>
  <c r="D82" i="50"/>
  <c r="C82" i="50"/>
  <c r="B82" i="50"/>
  <c r="A82" i="50"/>
  <c r="G81" i="50"/>
  <c r="F81" i="50"/>
  <c r="E81" i="50"/>
  <c r="D81" i="50"/>
  <c r="C81" i="50"/>
  <c r="B81" i="50"/>
  <c r="A81" i="50"/>
  <c r="G80" i="50"/>
  <c r="F80" i="50"/>
  <c r="E80" i="50"/>
  <c r="D80" i="50"/>
  <c r="C80" i="50"/>
  <c r="B80" i="50"/>
  <c r="A80" i="50"/>
  <c r="G79" i="50"/>
  <c r="F79" i="50"/>
  <c r="E79" i="50"/>
  <c r="D79" i="50"/>
  <c r="C79" i="50"/>
  <c r="B79" i="50"/>
  <c r="A79" i="50"/>
  <c r="G78" i="50"/>
  <c r="F78" i="50"/>
  <c r="E78" i="50"/>
  <c r="D78" i="50"/>
  <c r="C78" i="50"/>
  <c r="B78" i="50"/>
  <c r="A78" i="50"/>
  <c r="G77" i="50"/>
  <c r="F77" i="50"/>
  <c r="E77" i="50"/>
  <c r="D77" i="50"/>
  <c r="C77" i="50"/>
  <c r="B77" i="50"/>
  <c r="A77" i="50"/>
  <c r="G76" i="50"/>
  <c r="F76" i="50"/>
  <c r="E76" i="50"/>
  <c r="D76" i="50"/>
  <c r="C76" i="50"/>
  <c r="B76" i="50"/>
  <c r="A76" i="50"/>
  <c r="G75" i="50"/>
  <c r="F75" i="50"/>
  <c r="E75" i="50"/>
  <c r="D75" i="50"/>
  <c r="C75" i="50"/>
  <c r="B75" i="50"/>
  <c r="A75" i="50"/>
  <c r="G74" i="50"/>
  <c r="F74" i="50"/>
  <c r="E74" i="50"/>
  <c r="D74" i="50"/>
  <c r="C74" i="50"/>
  <c r="B74" i="50"/>
  <c r="A74" i="50"/>
  <c r="G73" i="50"/>
  <c r="F73" i="50"/>
  <c r="E73" i="50"/>
  <c r="D73" i="50"/>
  <c r="C73" i="50"/>
  <c r="B73" i="50"/>
  <c r="A73" i="50"/>
  <c r="G72" i="50"/>
  <c r="F72" i="50"/>
  <c r="E72" i="50"/>
  <c r="D72" i="50"/>
  <c r="C72" i="50"/>
  <c r="B72" i="50"/>
  <c r="A72" i="50"/>
  <c r="G71" i="50"/>
  <c r="F71" i="50"/>
  <c r="E71" i="50"/>
  <c r="D71" i="50"/>
  <c r="C71" i="50"/>
  <c r="B71" i="50"/>
  <c r="A71" i="50"/>
  <c r="G70" i="50"/>
  <c r="F70" i="50"/>
  <c r="E70" i="50"/>
  <c r="D70" i="50"/>
  <c r="C70" i="50"/>
  <c r="B70" i="50"/>
  <c r="A70" i="50"/>
  <c r="G69" i="50"/>
  <c r="F69" i="50"/>
  <c r="E69" i="50"/>
  <c r="D69" i="50"/>
  <c r="C69" i="50"/>
  <c r="B69" i="50"/>
  <c r="A69" i="50"/>
  <c r="G68" i="50"/>
  <c r="F68" i="50"/>
  <c r="E68" i="50"/>
  <c r="D68" i="50"/>
  <c r="C68" i="50"/>
  <c r="B68" i="50"/>
  <c r="A68" i="50"/>
  <c r="G67" i="50"/>
  <c r="F67" i="50"/>
  <c r="E67" i="50"/>
  <c r="D67" i="50"/>
  <c r="C67" i="50"/>
  <c r="B67" i="50"/>
  <c r="A67" i="50"/>
  <c r="G66" i="50"/>
  <c r="F66" i="50"/>
  <c r="E66" i="50"/>
  <c r="D66" i="50"/>
  <c r="C66" i="50"/>
  <c r="B66" i="50"/>
  <c r="A66" i="50"/>
  <c r="G65" i="50"/>
  <c r="F65" i="50"/>
  <c r="E65" i="50"/>
  <c r="D65" i="50"/>
  <c r="C65" i="50"/>
  <c r="B65" i="50"/>
  <c r="A65" i="50"/>
  <c r="G64" i="50"/>
  <c r="F64" i="50"/>
  <c r="E64" i="50"/>
  <c r="D64" i="50"/>
  <c r="C64" i="50"/>
  <c r="B64" i="50"/>
  <c r="A64" i="50"/>
  <c r="G63" i="50"/>
  <c r="F63" i="50"/>
  <c r="E63" i="50"/>
  <c r="D63" i="50"/>
  <c r="C63" i="50"/>
  <c r="B63" i="50"/>
  <c r="A63" i="50"/>
  <c r="G62" i="50"/>
  <c r="F62" i="50"/>
  <c r="E62" i="50"/>
  <c r="D62" i="50"/>
  <c r="C62" i="50"/>
  <c r="B62" i="50"/>
  <c r="A62" i="50"/>
  <c r="G61" i="50"/>
  <c r="F61" i="50"/>
  <c r="E61" i="50"/>
  <c r="D61" i="50"/>
  <c r="C61" i="50"/>
  <c r="B61" i="50"/>
  <c r="A61" i="50"/>
  <c r="G60" i="50"/>
  <c r="F60" i="50"/>
  <c r="E60" i="50"/>
  <c r="D60" i="50"/>
  <c r="C60" i="50"/>
  <c r="B60" i="50"/>
  <c r="A60" i="50"/>
  <c r="G59" i="50"/>
  <c r="F59" i="50"/>
  <c r="E59" i="50"/>
  <c r="D59" i="50"/>
  <c r="C59" i="50"/>
  <c r="B59" i="50"/>
  <c r="A59" i="50"/>
  <c r="G58" i="50"/>
  <c r="F58" i="50"/>
  <c r="E58" i="50"/>
  <c r="D58" i="50"/>
  <c r="C58" i="50"/>
  <c r="B58" i="50"/>
  <c r="A58" i="50"/>
  <c r="G57" i="50"/>
  <c r="F57" i="50"/>
  <c r="E57" i="50"/>
  <c r="D57" i="50"/>
  <c r="C57" i="50"/>
  <c r="B57" i="50"/>
  <c r="A57" i="50"/>
  <c r="G56" i="50"/>
  <c r="F56" i="50"/>
  <c r="E56" i="50"/>
  <c r="D56" i="50"/>
  <c r="C56" i="50"/>
  <c r="B56" i="50"/>
  <c r="A56" i="50"/>
  <c r="G55" i="50"/>
  <c r="F55" i="50"/>
  <c r="E55" i="50"/>
  <c r="D55" i="50"/>
  <c r="C55" i="50"/>
  <c r="B55" i="50"/>
  <c r="A55" i="50"/>
  <c r="G54" i="50"/>
  <c r="F54" i="50"/>
  <c r="E54" i="50"/>
  <c r="D54" i="50"/>
  <c r="C54" i="50"/>
  <c r="B54" i="50"/>
  <c r="A54" i="50"/>
  <c r="G53" i="50"/>
  <c r="F53" i="50"/>
  <c r="E53" i="50"/>
  <c r="D53" i="50"/>
  <c r="C53" i="50"/>
  <c r="B53" i="50"/>
  <c r="A53" i="50"/>
  <c r="G52" i="50"/>
  <c r="F52" i="50"/>
  <c r="E52" i="50"/>
  <c r="D52" i="50"/>
  <c r="C52" i="50"/>
  <c r="B52" i="50"/>
  <c r="A52" i="50"/>
  <c r="G51" i="50"/>
  <c r="F51" i="50"/>
  <c r="E51" i="50"/>
  <c r="D51" i="50"/>
  <c r="C51" i="50"/>
  <c r="B51" i="50"/>
  <c r="A51" i="50"/>
  <c r="G50" i="50"/>
  <c r="F50" i="50"/>
  <c r="E50" i="50"/>
  <c r="D50" i="50"/>
  <c r="C50" i="50"/>
  <c r="B50" i="50"/>
  <c r="A50" i="50"/>
  <c r="G49" i="50"/>
  <c r="F49" i="50"/>
  <c r="E49" i="50"/>
  <c r="D49" i="50"/>
  <c r="C49" i="50"/>
  <c r="B49" i="50"/>
  <c r="A49" i="50"/>
  <c r="G48" i="50"/>
  <c r="F48" i="50"/>
  <c r="E48" i="50"/>
  <c r="D48" i="50"/>
  <c r="C48" i="50"/>
  <c r="B48" i="50"/>
  <c r="A48" i="50"/>
  <c r="G47" i="50"/>
  <c r="F47" i="50"/>
  <c r="E47" i="50"/>
  <c r="D47" i="50"/>
  <c r="C47" i="50"/>
  <c r="B47" i="50"/>
  <c r="A47" i="50"/>
  <c r="G46" i="50"/>
  <c r="F46" i="50"/>
  <c r="E46" i="50"/>
  <c r="D46" i="50"/>
  <c r="C46" i="50"/>
  <c r="B46" i="50"/>
  <c r="A46" i="50"/>
  <c r="G45" i="50"/>
  <c r="F45" i="50"/>
  <c r="E45" i="50"/>
  <c r="D45" i="50"/>
  <c r="C45" i="50"/>
  <c r="B45" i="50"/>
  <c r="A45" i="50"/>
  <c r="G44" i="50"/>
  <c r="F44" i="50"/>
  <c r="E44" i="50"/>
  <c r="D44" i="50"/>
  <c r="C44" i="50"/>
  <c r="B44" i="50"/>
  <c r="A44" i="50"/>
  <c r="G43" i="50"/>
  <c r="F43" i="50"/>
  <c r="E43" i="50"/>
  <c r="D43" i="50"/>
  <c r="C43" i="50"/>
  <c r="B43" i="50"/>
  <c r="A43" i="50"/>
  <c r="G42" i="50"/>
  <c r="F42" i="50"/>
  <c r="E42" i="50"/>
  <c r="D42" i="50"/>
  <c r="C42" i="50"/>
  <c r="B42" i="50"/>
  <c r="A42" i="50"/>
  <c r="G41" i="50"/>
  <c r="F41" i="50"/>
  <c r="E41" i="50"/>
  <c r="D41" i="50"/>
  <c r="C41" i="50"/>
  <c r="B41" i="50"/>
  <c r="A41" i="50"/>
  <c r="G40" i="50"/>
  <c r="F40" i="50"/>
  <c r="E40" i="50"/>
  <c r="D40" i="50"/>
  <c r="C40" i="50"/>
  <c r="B40" i="50"/>
  <c r="A40" i="50"/>
  <c r="G39" i="50"/>
  <c r="F39" i="50"/>
  <c r="E39" i="50"/>
  <c r="D39" i="50"/>
  <c r="C39" i="50"/>
  <c r="B39" i="50"/>
  <c r="A39" i="50"/>
  <c r="G38" i="50"/>
  <c r="F38" i="50"/>
  <c r="E38" i="50"/>
  <c r="D38" i="50"/>
  <c r="C38" i="50"/>
  <c r="B38" i="50"/>
  <c r="A38" i="50"/>
  <c r="G37" i="50"/>
  <c r="F37" i="50"/>
  <c r="E37" i="50"/>
  <c r="D37" i="50"/>
  <c r="C37" i="50"/>
  <c r="B37" i="50"/>
  <c r="A37" i="50"/>
  <c r="G36" i="50"/>
  <c r="F36" i="50"/>
  <c r="E36" i="50"/>
  <c r="D36" i="50"/>
  <c r="C36" i="50"/>
  <c r="B36" i="50"/>
  <c r="A36" i="50"/>
  <c r="G35" i="50"/>
  <c r="F35" i="50"/>
  <c r="E35" i="50"/>
  <c r="D35" i="50"/>
  <c r="C35" i="50"/>
  <c r="B35" i="50"/>
  <c r="A35" i="50"/>
  <c r="G34" i="50"/>
  <c r="F34" i="50"/>
  <c r="E34" i="50"/>
  <c r="D34" i="50"/>
  <c r="C34" i="50"/>
  <c r="B34" i="50"/>
  <c r="A34" i="50"/>
  <c r="G33" i="50"/>
  <c r="F33" i="50"/>
  <c r="E33" i="50"/>
  <c r="D33" i="50"/>
  <c r="C33" i="50"/>
  <c r="B33" i="50"/>
  <c r="A33" i="50"/>
  <c r="G32" i="50"/>
  <c r="F32" i="50"/>
  <c r="E32" i="50"/>
  <c r="D32" i="50"/>
  <c r="C32" i="50"/>
  <c r="B32" i="50"/>
  <c r="A32" i="50"/>
  <c r="G31" i="50"/>
  <c r="F31" i="50"/>
  <c r="E31" i="50"/>
  <c r="D31" i="50"/>
  <c r="C31" i="50"/>
  <c r="B31" i="50"/>
  <c r="A31" i="50"/>
  <c r="G30" i="50"/>
  <c r="F30" i="50"/>
  <c r="E30" i="50"/>
  <c r="D30" i="50"/>
  <c r="C30" i="50"/>
  <c r="B30" i="50"/>
  <c r="A30" i="50"/>
  <c r="G29" i="50"/>
  <c r="F29" i="50"/>
  <c r="E29" i="50"/>
  <c r="D29" i="50"/>
  <c r="C29" i="50"/>
  <c r="B29" i="50"/>
  <c r="A29" i="50"/>
  <c r="G28" i="50"/>
  <c r="F28" i="50"/>
  <c r="E28" i="50"/>
  <c r="D28" i="50"/>
  <c r="C28" i="50"/>
  <c r="B28" i="50"/>
  <c r="A28" i="50"/>
  <c r="G27" i="50"/>
  <c r="F27" i="50"/>
  <c r="E27" i="50"/>
  <c r="D27" i="50"/>
  <c r="C27" i="50"/>
  <c r="B27" i="50"/>
  <c r="A27" i="50"/>
  <c r="G26" i="50"/>
  <c r="F26" i="50"/>
  <c r="E26" i="50"/>
  <c r="D26" i="50"/>
  <c r="C26" i="50"/>
  <c r="B26" i="50"/>
  <c r="A26" i="50"/>
  <c r="G25" i="50"/>
  <c r="F25" i="50"/>
  <c r="E25" i="50"/>
  <c r="D25" i="50"/>
  <c r="C25" i="50"/>
  <c r="B25" i="50"/>
  <c r="A25" i="50"/>
  <c r="G24" i="50"/>
  <c r="F24" i="50"/>
  <c r="E24" i="50"/>
  <c r="D24" i="50"/>
  <c r="C24" i="50"/>
  <c r="B24" i="50"/>
  <c r="A24" i="50"/>
  <c r="G23" i="50"/>
  <c r="F23" i="50"/>
  <c r="E23" i="50"/>
  <c r="D23" i="50"/>
  <c r="C23" i="50"/>
  <c r="B23" i="50"/>
  <c r="A23" i="50"/>
  <c r="G22" i="50"/>
  <c r="F22" i="50"/>
  <c r="E22" i="50"/>
  <c r="D22" i="50"/>
  <c r="C22" i="50"/>
  <c r="B22" i="50"/>
  <c r="A22" i="50"/>
  <c r="G21" i="50"/>
  <c r="F21" i="50"/>
  <c r="E21" i="50"/>
  <c r="D21" i="50"/>
  <c r="C21" i="50"/>
  <c r="B21" i="50"/>
  <c r="A21" i="50"/>
  <c r="G20" i="50"/>
  <c r="F20" i="50"/>
  <c r="E20" i="50"/>
  <c r="D20" i="50"/>
  <c r="C20" i="50"/>
  <c r="B20" i="50"/>
  <c r="A20" i="50"/>
  <c r="G19" i="50"/>
  <c r="F19" i="50"/>
  <c r="E19" i="50"/>
  <c r="D19" i="50"/>
  <c r="C19" i="50"/>
  <c r="B19" i="50"/>
  <c r="A19" i="50"/>
  <c r="G18" i="50"/>
  <c r="F18" i="50"/>
  <c r="E18" i="50"/>
  <c r="D18" i="50"/>
  <c r="C18" i="50"/>
  <c r="B18" i="50"/>
  <c r="A18" i="50"/>
  <c r="G17" i="50"/>
  <c r="F17" i="50"/>
  <c r="E17" i="50"/>
  <c r="D17" i="50"/>
  <c r="C17" i="50"/>
  <c r="B17" i="50"/>
  <c r="A17" i="50"/>
  <c r="G16" i="50"/>
  <c r="F16" i="50"/>
  <c r="E16" i="50"/>
  <c r="D16" i="50"/>
  <c r="C16" i="50"/>
  <c r="B16" i="50"/>
  <c r="A16" i="50"/>
  <c r="G15" i="50"/>
  <c r="F15" i="50"/>
  <c r="E15" i="50"/>
  <c r="D15" i="50"/>
  <c r="C15" i="50"/>
  <c r="B15" i="50"/>
  <c r="A15" i="50"/>
  <c r="G14" i="50"/>
  <c r="F14" i="50"/>
  <c r="E14" i="50"/>
  <c r="D14" i="50"/>
  <c r="C14" i="50"/>
  <c r="B14" i="50"/>
  <c r="A14" i="50"/>
  <c r="G13" i="50"/>
  <c r="F13" i="50"/>
  <c r="E13" i="50"/>
  <c r="D13" i="50"/>
  <c r="C13" i="50"/>
  <c r="B13" i="50"/>
  <c r="A13" i="50"/>
  <c r="G12" i="50"/>
  <c r="F12" i="50"/>
  <c r="E12" i="50"/>
  <c r="D12" i="50"/>
  <c r="C12" i="50"/>
  <c r="B12" i="50"/>
  <c r="A12" i="50"/>
  <c r="G11" i="50"/>
  <c r="F11" i="50"/>
  <c r="E11" i="50"/>
  <c r="D11" i="50"/>
  <c r="C11" i="50"/>
  <c r="B11" i="50"/>
  <c r="A11" i="50"/>
  <c r="G10" i="50"/>
  <c r="F10" i="50"/>
  <c r="E10" i="50"/>
  <c r="D10" i="50"/>
  <c r="C10" i="50"/>
  <c r="B10" i="50"/>
  <c r="A10" i="50"/>
  <c r="G9" i="50"/>
  <c r="F9" i="50"/>
  <c r="E9" i="50"/>
  <c r="D9" i="50"/>
  <c r="C9" i="50"/>
  <c r="B9" i="50"/>
  <c r="A9" i="50"/>
  <c r="G8" i="50"/>
  <c r="F8" i="50"/>
  <c r="E8" i="50"/>
  <c r="D8" i="50"/>
  <c r="C8" i="50"/>
  <c r="B8" i="50"/>
  <c r="A8" i="50"/>
  <c r="G7" i="50"/>
  <c r="F7" i="50"/>
  <c r="E7" i="50"/>
  <c r="D7" i="50"/>
  <c r="C7" i="50"/>
  <c r="B7" i="50"/>
  <c r="A7" i="50"/>
  <c r="G6" i="50"/>
  <c r="F6" i="50"/>
  <c r="E6" i="50"/>
  <c r="D6" i="50"/>
  <c r="C6" i="50"/>
  <c r="B6" i="50"/>
  <c r="A6" i="50"/>
  <c r="G5" i="50"/>
  <c r="F5" i="50"/>
  <c r="E5" i="50"/>
  <c r="D5" i="50"/>
  <c r="C5" i="50"/>
  <c r="B5" i="50"/>
  <c r="A5" i="50"/>
  <c r="G4" i="50"/>
  <c r="F4" i="50"/>
  <c r="E4" i="50"/>
  <c r="D4" i="50"/>
  <c r="C4" i="50"/>
  <c r="B4" i="50"/>
  <c r="A4" i="50"/>
  <c r="G3" i="50"/>
  <c r="F3" i="50"/>
  <c r="E3" i="50"/>
  <c r="D3" i="50"/>
  <c r="C3" i="50"/>
  <c r="B3" i="50"/>
  <c r="A3" i="50"/>
  <c r="G2" i="50"/>
  <c r="F2" i="50"/>
  <c r="E2" i="50"/>
  <c r="D2" i="50"/>
  <c r="C2" i="50"/>
  <c r="B2" i="50"/>
  <c r="A2" i="50"/>
  <c r="G1" i="50"/>
  <c r="F1" i="50"/>
  <c r="E1" i="50"/>
  <c r="D1" i="50"/>
  <c r="C1" i="50"/>
  <c r="B1" i="50"/>
  <c r="A1" i="50"/>
  <c r="G277" i="49"/>
  <c r="F277" i="49"/>
  <c r="E277" i="49"/>
  <c r="D277" i="49"/>
  <c r="C277" i="49"/>
  <c r="B277" i="49"/>
  <c r="A277" i="49"/>
  <c r="G276" i="49"/>
  <c r="F276" i="49"/>
  <c r="E276" i="49"/>
  <c r="D276" i="49"/>
  <c r="C276" i="49"/>
  <c r="B276" i="49"/>
  <c r="A276" i="49"/>
  <c r="G275" i="49"/>
  <c r="F275" i="49"/>
  <c r="E275" i="49"/>
  <c r="D275" i="49"/>
  <c r="C275" i="49"/>
  <c r="B275" i="49"/>
  <c r="A275" i="49"/>
  <c r="G274" i="49"/>
  <c r="F274" i="49"/>
  <c r="E274" i="49"/>
  <c r="D274" i="49"/>
  <c r="C274" i="49"/>
  <c r="B274" i="49"/>
  <c r="A274" i="49"/>
  <c r="G273" i="49"/>
  <c r="F273" i="49"/>
  <c r="E273" i="49"/>
  <c r="D273" i="49"/>
  <c r="C273" i="49"/>
  <c r="B273" i="49"/>
  <c r="A273" i="49"/>
  <c r="G272" i="49"/>
  <c r="F272" i="49"/>
  <c r="E272" i="49"/>
  <c r="D272" i="49"/>
  <c r="C272" i="49"/>
  <c r="B272" i="49"/>
  <c r="A272" i="49"/>
  <c r="G271" i="49"/>
  <c r="F271" i="49"/>
  <c r="E271" i="49"/>
  <c r="D271" i="49"/>
  <c r="C271" i="49"/>
  <c r="B271" i="49"/>
  <c r="A271" i="49"/>
  <c r="G270" i="49"/>
  <c r="F270" i="49"/>
  <c r="E270" i="49"/>
  <c r="D270" i="49"/>
  <c r="C270" i="49"/>
  <c r="B270" i="49"/>
  <c r="A270" i="49"/>
  <c r="G269" i="49"/>
  <c r="F269" i="49"/>
  <c r="E269" i="49"/>
  <c r="D269" i="49"/>
  <c r="C269" i="49"/>
  <c r="B269" i="49"/>
  <c r="A269" i="49"/>
  <c r="G268" i="49"/>
  <c r="F268" i="49"/>
  <c r="E268" i="49"/>
  <c r="D268" i="49"/>
  <c r="C268" i="49"/>
  <c r="B268" i="49"/>
  <c r="A268" i="49"/>
  <c r="G267" i="49"/>
  <c r="F267" i="49"/>
  <c r="E267" i="49"/>
  <c r="D267" i="49"/>
  <c r="C267" i="49"/>
  <c r="B267" i="49"/>
  <c r="A267" i="49"/>
  <c r="G266" i="49"/>
  <c r="F266" i="49"/>
  <c r="E266" i="49"/>
  <c r="D266" i="49"/>
  <c r="C266" i="49"/>
  <c r="B266" i="49"/>
  <c r="A266" i="49"/>
  <c r="G265" i="49"/>
  <c r="F265" i="49"/>
  <c r="E265" i="49"/>
  <c r="D265" i="49"/>
  <c r="C265" i="49"/>
  <c r="B265" i="49"/>
  <c r="A265" i="49"/>
  <c r="G264" i="49"/>
  <c r="F264" i="49"/>
  <c r="E264" i="49"/>
  <c r="D264" i="49"/>
  <c r="C264" i="49"/>
  <c r="B264" i="49"/>
  <c r="A264" i="49"/>
  <c r="G263" i="49"/>
  <c r="F263" i="49"/>
  <c r="E263" i="49"/>
  <c r="D263" i="49"/>
  <c r="C263" i="49"/>
  <c r="B263" i="49"/>
  <c r="A263" i="49"/>
  <c r="G262" i="49"/>
  <c r="F262" i="49"/>
  <c r="E262" i="49"/>
  <c r="D262" i="49"/>
  <c r="C262" i="49"/>
  <c r="B262" i="49"/>
  <c r="A262" i="49"/>
  <c r="G261" i="49"/>
  <c r="F261" i="49"/>
  <c r="E261" i="49"/>
  <c r="D261" i="49"/>
  <c r="C261" i="49"/>
  <c r="B261" i="49"/>
  <c r="A261" i="49"/>
  <c r="G260" i="49"/>
  <c r="F260" i="49"/>
  <c r="E260" i="49"/>
  <c r="D260" i="49"/>
  <c r="C260" i="49"/>
  <c r="B260" i="49"/>
  <c r="A260" i="49"/>
  <c r="G259" i="49"/>
  <c r="F259" i="49"/>
  <c r="E259" i="49"/>
  <c r="D259" i="49"/>
  <c r="C259" i="49"/>
  <c r="B259" i="49"/>
  <c r="A259" i="49"/>
  <c r="G258" i="49"/>
  <c r="F258" i="49"/>
  <c r="E258" i="49"/>
  <c r="D258" i="49"/>
  <c r="C258" i="49"/>
  <c r="B258" i="49"/>
  <c r="A258" i="49"/>
  <c r="G257" i="49"/>
  <c r="F257" i="49"/>
  <c r="E257" i="49"/>
  <c r="D257" i="49"/>
  <c r="C257" i="49"/>
  <c r="B257" i="49"/>
  <c r="A257" i="49"/>
  <c r="G256" i="49"/>
  <c r="F256" i="49"/>
  <c r="E256" i="49"/>
  <c r="D256" i="49"/>
  <c r="C256" i="49"/>
  <c r="B256" i="49"/>
  <c r="A256" i="49"/>
  <c r="G255" i="49"/>
  <c r="F255" i="49"/>
  <c r="E255" i="49"/>
  <c r="D255" i="49"/>
  <c r="C255" i="49"/>
  <c r="B255" i="49"/>
  <c r="A255" i="49"/>
  <c r="G254" i="49"/>
  <c r="F254" i="49"/>
  <c r="E254" i="49"/>
  <c r="D254" i="49"/>
  <c r="C254" i="49"/>
  <c r="B254" i="49"/>
  <c r="A254" i="49"/>
  <c r="G253" i="49"/>
  <c r="F253" i="49"/>
  <c r="E253" i="49"/>
  <c r="D253" i="49"/>
  <c r="C253" i="49"/>
  <c r="B253" i="49"/>
  <c r="A253" i="49"/>
  <c r="G252" i="49"/>
  <c r="F252" i="49"/>
  <c r="E252" i="49"/>
  <c r="D252" i="49"/>
  <c r="C252" i="49"/>
  <c r="B252" i="49"/>
  <c r="A252" i="49"/>
  <c r="G251" i="49"/>
  <c r="F251" i="49"/>
  <c r="E251" i="49"/>
  <c r="D251" i="49"/>
  <c r="C251" i="49"/>
  <c r="B251" i="49"/>
  <c r="A251" i="49"/>
  <c r="G250" i="49"/>
  <c r="F250" i="49"/>
  <c r="E250" i="49"/>
  <c r="D250" i="49"/>
  <c r="C250" i="49"/>
  <c r="B250" i="49"/>
  <c r="A250" i="49"/>
  <c r="G249" i="49"/>
  <c r="F249" i="49"/>
  <c r="E249" i="49"/>
  <c r="D249" i="49"/>
  <c r="C249" i="49"/>
  <c r="B249" i="49"/>
  <c r="A249" i="49"/>
  <c r="G248" i="49"/>
  <c r="F248" i="49"/>
  <c r="E248" i="49"/>
  <c r="D248" i="49"/>
  <c r="C248" i="49"/>
  <c r="B248" i="49"/>
  <c r="A248" i="49"/>
  <c r="G247" i="49"/>
  <c r="F247" i="49"/>
  <c r="E247" i="49"/>
  <c r="D247" i="49"/>
  <c r="C247" i="49"/>
  <c r="B247" i="49"/>
  <c r="A247" i="49"/>
  <c r="G246" i="49"/>
  <c r="F246" i="49"/>
  <c r="E246" i="49"/>
  <c r="D246" i="49"/>
  <c r="C246" i="49"/>
  <c r="B246" i="49"/>
  <c r="A246" i="49"/>
  <c r="G245" i="49"/>
  <c r="F245" i="49"/>
  <c r="E245" i="49"/>
  <c r="D245" i="49"/>
  <c r="C245" i="49"/>
  <c r="B245" i="49"/>
  <c r="A245" i="49"/>
  <c r="G244" i="49"/>
  <c r="F244" i="49"/>
  <c r="E244" i="49"/>
  <c r="D244" i="49"/>
  <c r="C244" i="49"/>
  <c r="B244" i="49"/>
  <c r="A244" i="49"/>
  <c r="G243" i="49"/>
  <c r="F243" i="49"/>
  <c r="E243" i="49"/>
  <c r="D243" i="49"/>
  <c r="C243" i="49"/>
  <c r="B243" i="49"/>
  <c r="A243" i="49"/>
  <c r="G242" i="49"/>
  <c r="F242" i="49"/>
  <c r="E242" i="49"/>
  <c r="D242" i="49"/>
  <c r="C242" i="49"/>
  <c r="B242" i="49"/>
  <c r="A242" i="49"/>
  <c r="G241" i="49"/>
  <c r="F241" i="49"/>
  <c r="E241" i="49"/>
  <c r="D241" i="49"/>
  <c r="C241" i="49"/>
  <c r="B241" i="49"/>
  <c r="A241" i="49"/>
  <c r="G240" i="49"/>
  <c r="F240" i="49"/>
  <c r="E240" i="49"/>
  <c r="D240" i="49"/>
  <c r="C240" i="49"/>
  <c r="B240" i="49"/>
  <c r="A240" i="49"/>
  <c r="G239" i="49"/>
  <c r="F239" i="49"/>
  <c r="E239" i="49"/>
  <c r="D239" i="49"/>
  <c r="C239" i="49"/>
  <c r="B239" i="49"/>
  <c r="A239" i="49"/>
  <c r="G238" i="49"/>
  <c r="F238" i="49"/>
  <c r="E238" i="49"/>
  <c r="D238" i="49"/>
  <c r="C238" i="49"/>
  <c r="B238" i="49"/>
  <c r="A238" i="49"/>
  <c r="G237" i="49"/>
  <c r="F237" i="49"/>
  <c r="E237" i="49"/>
  <c r="D237" i="49"/>
  <c r="C237" i="49"/>
  <c r="B237" i="49"/>
  <c r="A237" i="49"/>
  <c r="G236" i="49"/>
  <c r="F236" i="49"/>
  <c r="E236" i="49"/>
  <c r="D236" i="49"/>
  <c r="C236" i="49"/>
  <c r="B236" i="49"/>
  <c r="A236" i="49"/>
  <c r="G235" i="49"/>
  <c r="F235" i="49"/>
  <c r="E235" i="49"/>
  <c r="D235" i="49"/>
  <c r="C235" i="49"/>
  <c r="B235" i="49"/>
  <c r="A235" i="49"/>
  <c r="G234" i="49"/>
  <c r="F234" i="49"/>
  <c r="E234" i="49"/>
  <c r="D234" i="49"/>
  <c r="C234" i="49"/>
  <c r="B234" i="49"/>
  <c r="A234" i="49"/>
  <c r="G233" i="49"/>
  <c r="F233" i="49"/>
  <c r="E233" i="49"/>
  <c r="D233" i="49"/>
  <c r="C233" i="49"/>
  <c r="B233" i="49"/>
  <c r="A233" i="49"/>
  <c r="G232" i="49"/>
  <c r="F232" i="49"/>
  <c r="E232" i="49"/>
  <c r="D232" i="49"/>
  <c r="C232" i="49"/>
  <c r="B232" i="49"/>
  <c r="A232" i="49"/>
  <c r="G231" i="49"/>
  <c r="F231" i="49"/>
  <c r="E231" i="49"/>
  <c r="D231" i="49"/>
  <c r="C231" i="49"/>
  <c r="B231" i="49"/>
  <c r="A231" i="49"/>
  <c r="G230" i="49"/>
  <c r="F230" i="49"/>
  <c r="E230" i="49"/>
  <c r="D230" i="49"/>
  <c r="C230" i="49"/>
  <c r="B230" i="49"/>
  <c r="A230" i="49"/>
  <c r="G229" i="49"/>
  <c r="F229" i="49"/>
  <c r="E229" i="49"/>
  <c r="D229" i="49"/>
  <c r="C229" i="49"/>
  <c r="B229" i="49"/>
  <c r="A229" i="49"/>
  <c r="G228" i="49"/>
  <c r="F228" i="49"/>
  <c r="E228" i="49"/>
  <c r="D228" i="49"/>
  <c r="C228" i="49"/>
  <c r="B228" i="49"/>
  <c r="A228" i="49"/>
  <c r="G227" i="49"/>
  <c r="F227" i="49"/>
  <c r="E227" i="49"/>
  <c r="D227" i="49"/>
  <c r="C227" i="49"/>
  <c r="B227" i="49"/>
  <c r="A227" i="49"/>
  <c r="G226" i="49"/>
  <c r="F226" i="49"/>
  <c r="E226" i="49"/>
  <c r="D226" i="49"/>
  <c r="C226" i="49"/>
  <c r="B226" i="49"/>
  <c r="A226" i="49"/>
  <c r="G225" i="49"/>
  <c r="F225" i="49"/>
  <c r="E225" i="49"/>
  <c r="D225" i="49"/>
  <c r="C225" i="49"/>
  <c r="B225" i="49"/>
  <c r="A225" i="49"/>
  <c r="G224" i="49"/>
  <c r="F224" i="49"/>
  <c r="E224" i="49"/>
  <c r="D224" i="49"/>
  <c r="C224" i="49"/>
  <c r="B224" i="49"/>
  <c r="A224" i="49"/>
  <c r="G223" i="49"/>
  <c r="F223" i="49"/>
  <c r="E223" i="49"/>
  <c r="D223" i="49"/>
  <c r="C223" i="49"/>
  <c r="B223" i="49"/>
  <c r="A223" i="49"/>
  <c r="G222" i="49"/>
  <c r="F222" i="49"/>
  <c r="E222" i="49"/>
  <c r="D222" i="49"/>
  <c r="C222" i="49"/>
  <c r="B222" i="49"/>
  <c r="A222" i="49"/>
  <c r="G221" i="49"/>
  <c r="F221" i="49"/>
  <c r="E221" i="49"/>
  <c r="D221" i="49"/>
  <c r="C221" i="49"/>
  <c r="B221" i="49"/>
  <c r="A221" i="49"/>
  <c r="G220" i="49"/>
  <c r="F220" i="49"/>
  <c r="E220" i="49"/>
  <c r="D220" i="49"/>
  <c r="C220" i="49"/>
  <c r="B220" i="49"/>
  <c r="A220" i="49"/>
  <c r="G219" i="49"/>
  <c r="F219" i="49"/>
  <c r="E219" i="49"/>
  <c r="D219" i="49"/>
  <c r="C219" i="49"/>
  <c r="B219" i="49"/>
  <c r="A219" i="49"/>
  <c r="G218" i="49"/>
  <c r="F218" i="49"/>
  <c r="E218" i="49"/>
  <c r="D218" i="49"/>
  <c r="C218" i="49"/>
  <c r="B218" i="49"/>
  <c r="A218" i="49"/>
  <c r="G217" i="49"/>
  <c r="F217" i="49"/>
  <c r="E217" i="49"/>
  <c r="D217" i="49"/>
  <c r="C217" i="49"/>
  <c r="B217" i="49"/>
  <c r="A217" i="49"/>
  <c r="G216" i="49"/>
  <c r="F216" i="49"/>
  <c r="E216" i="49"/>
  <c r="D216" i="49"/>
  <c r="C216" i="49"/>
  <c r="B216" i="49"/>
  <c r="A216" i="49"/>
  <c r="G215" i="49"/>
  <c r="F215" i="49"/>
  <c r="E215" i="49"/>
  <c r="D215" i="49"/>
  <c r="C215" i="49"/>
  <c r="B215" i="49"/>
  <c r="A215" i="49"/>
  <c r="G214" i="49"/>
  <c r="F214" i="49"/>
  <c r="E214" i="49"/>
  <c r="D214" i="49"/>
  <c r="C214" i="49"/>
  <c r="B214" i="49"/>
  <c r="A214" i="49"/>
  <c r="G213" i="49"/>
  <c r="F213" i="49"/>
  <c r="E213" i="49"/>
  <c r="D213" i="49"/>
  <c r="C213" i="49"/>
  <c r="B213" i="49"/>
  <c r="A213" i="49"/>
  <c r="G212" i="49"/>
  <c r="F212" i="49"/>
  <c r="E212" i="49"/>
  <c r="D212" i="49"/>
  <c r="C212" i="49"/>
  <c r="B212" i="49"/>
  <c r="A212" i="49"/>
  <c r="G211" i="49"/>
  <c r="F211" i="49"/>
  <c r="E211" i="49"/>
  <c r="D211" i="49"/>
  <c r="C211" i="49"/>
  <c r="B211" i="49"/>
  <c r="A211" i="49"/>
  <c r="G210" i="49"/>
  <c r="F210" i="49"/>
  <c r="E210" i="49"/>
  <c r="D210" i="49"/>
  <c r="C210" i="49"/>
  <c r="B210" i="49"/>
  <c r="A210" i="49"/>
  <c r="G209" i="49"/>
  <c r="F209" i="49"/>
  <c r="E209" i="49"/>
  <c r="D209" i="49"/>
  <c r="C209" i="49"/>
  <c r="B209" i="49"/>
  <c r="A209" i="49"/>
  <c r="G208" i="49"/>
  <c r="F208" i="49"/>
  <c r="E208" i="49"/>
  <c r="D208" i="49"/>
  <c r="C208" i="49"/>
  <c r="B208" i="49"/>
  <c r="A208" i="49"/>
  <c r="G207" i="49"/>
  <c r="F207" i="49"/>
  <c r="E207" i="49"/>
  <c r="D207" i="49"/>
  <c r="C207" i="49"/>
  <c r="B207" i="49"/>
  <c r="A207" i="49"/>
  <c r="G206" i="49"/>
  <c r="F206" i="49"/>
  <c r="E206" i="49"/>
  <c r="D206" i="49"/>
  <c r="C206" i="49"/>
  <c r="B206" i="49"/>
  <c r="A206" i="49"/>
  <c r="G205" i="49"/>
  <c r="F205" i="49"/>
  <c r="E205" i="49"/>
  <c r="D205" i="49"/>
  <c r="C205" i="49"/>
  <c r="B205" i="49"/>
  <c r="A205" i="49"/>
  <c r="G204" i="49"/>
  <c r="F204" i="49"/>
  <c r="E204" i="49"/>
  <c r="D204" i="49"/>
  <c r="C204" i="49"/>
  <c r="B204" i="49"/>
  <c r="A204" i="49"/>
  <c r="G203" i="49"/>
  <c r="F203" i="49"/>
  <c r="E203" i="49"/>
  <c r="D203" i="49"/>
  <c r="C203" i="49"/>
  <c r="B203" i="49"/>
  <c r="A203" i="49"/>
  <c r="G202" i="49"/>
  <c r="F202" i="49"/>
  <c r="E202" i="49"/>
  <c r="D202" i="49"/>
  <c r="C202" i="49"/>
  <c r="B202" i="49"/>
  <c r="A202" i="49"/>
  <c r="G201" i="49"/>
  <c r="F201" i="49"/>
  <c r="E201" i="49"/>
  <c r="D201" i="49"/>
  <c r="C201" i="49"/>
  <c r="B201" i="49"/>
  <c r="A201" i="49"/>
  <c r="G200" i="49"/>
  <c r="F200" i="49"/>
  <c r="E200" i="49"/>
  <c r="D200" i="49"/>
  <c r="C200" i="49"/>
  <c r="B200" i="49"/>
  <c r="A200" i="49"/>
  <c r="G199" i="49"/>
  <c r="F199" i="49"/>
  <c r="E199" i="49"/>
  <c r="D199" i="49"/>
  <c r="C199" i="49"/>
  <c r="B199" i="49"/>
  <c r="A199" i="49"/>
  <c r="G198" i="49"/>
  <c r="F198" i="49"/>
  <c r="E198" i="49"/>
  <c r="D198" i="49"/>
  <c r="C198" i="49"/>
  <c r="B198" i="49"/>
  <c r="A198" i="49"/>
  <c r="G197" i="49"/>
  <c r="F197" i="49"/>
  <c r="E197" i="49"/>
  <c r="D197" i="49"/>
  <c r="C197" i="49"/>
  <c r="B197" i="49"/>
  <c r="A197" i="49"/>
  <c r="G196" i="49"/>
  <c r="F196" i="49"/>
  <c r="E196" i="49"/>
  <c r="D196" i="49"/>
  <c r="C196" i="49"/>
  <c r="B196" i="49"/>
  <c r="A196" i="49"/>
  <c r="G195" i="49"/>
  <c r="F195" i="49"/>
  <c r="E195" i="49"/>
  <c r="D195" i="49"/>
  <c r="C195" i="49"/>
  <c r="B195" i="49"/>
  <c r="A195" i="49"/>
  <c r="G194" i="49"/>
  <c r="F194" i="49"/>
  <c r="E194" i="49"/>
  <c r="D194" i="49"/>
  <c r="C194" i="49"/>
  <c r="B194" i="49"/>
  <c r="A194" i="49"/>
  <c r="G193" i="49"/>
  <c r="F193" i="49"/>
  <c r="E193" i="49"/>
  <c r="D193" i="49"/>
  <c r="C193" i="49"/>
  <c r="B193" i="49"/>
  <c r="A193" i="49"/>
  <c r="G192" i="49"/>
  <c r="F192" i="49"/>
  <c r="E192" i="49"/>
  <c r="D192" i="49"/>
  <c r="C192" i="49"/>
  <c r="B192" i="49"/>
  <c r="A192" i="49"/>
  <c r="G191" i="49"/>
  <c r="F191" i="49"/>
  <c r="E191" i="49"/>
  <c r="D191" i="49"/>
  <c r="C191" i="49"/>
  <c r="B191" i="49"/>
  <c r="A191" i="49"/>
  <c r="G190" i="49"/>
  <c r="F190" i="49"/>
  <c r="E190" i="49"/>
  <c r="D190" i="49"/>
  <c r="C190" i="49"/>
  <c r="B190" i="49"/>
  <c r="A190" i="49"/>
  <c r="G189" i="49"/>
  <c r="F189" i="49"/>
  <c r="E189" i="49"/>
  <c r="D189" i="49"/>
  <c r="C189" i="49"/>
  <c r="B189" i="49"/>
  <c r="A189" i="49"/>
  <c r="G188" i="49"/>
  <c r="F188" i="49"/>
  <c r="E188" i="49"/>
  <c r="D188" i="49"/>
  <c r="C188" i="49"/>
  <c r="B188" i="49"/>
  <c r="A188" i="49"/>
  <c r="G187" i="49"/>
  <c r="F187" i="49"/>
  <c r="E187" i="49"/>
  <c r="D187" i="49"/>
  <c r="C187" i="49"/>
  <c r="B187" i="49"/>
  <c r="A187" i="49"/>
  <c r="G186" i="49"/>
  <c r="F186" i="49"/>
  <c r="E186" i="49"/>
  <c r="D186" i="49"/>
  <c r="C186" i="49"/>
  <c r="B186" i="49"/>
  <c r="A186" i="49"/>
  <c r="G185" i="49"/>
  <c r="F185" i="49"/>
  <c r="E185" i="49"/>
  <c r="D185" i="49"/>
  <c r="C185" i="49"/>
  <c r="B185" i="49"/>
  <c r="A185" i="49"/>
  <c r="G184" i="49"/>
  <c r="F184" i="49"/>
  <c r="E184" i="49"/>
  <c r="D184" i="49"/>
  <c r="C184" i="49"/>
  <c r="B184" i="49"/>
  <c r="A184" i="49"/>
  <c r="G183" i="49"/>
  <c r="F183" i="49"/>
  <c r="E183" i="49"/>
  <c r="D183" i="49"/>
  <c r="C183" i="49"/>
  <c r="B183" i="49"/>
  <c r="A183" i="49"/>
  <c r="G182" i="49"/>
  <c r="F182" i="49"/>
  <c r="E182" i="49"/>
  <c r="D182" i="49"/>
  <c r="C182" i="49"/>
  <c r="B182" i="49"/>
  <c r="A182" i="49"/>
  <c r="G181" i="49"/>
  <c r="F181" i="49"/>
  <c r="E181" i="49"/>
  <c r="D181" i="49"/>
  <c r="C181" i="49"/>
  <c r="B181" i="49"/>
  <c r="A181" i="49"/>
  <c r="G180" i="49"/>
  <c r="F180" i="49"/>
  <c r="E180" i="49"/>
  <c r="D180" i="49"/>
  <c r="C180" i="49"/>
  <c r="B180" i="49"/>
  <c r="A180" i="49"/>
  <c r="G179" i="49"/>
  <c r="F179" i="49"/>
  <c r="E179" i="49"/>
  <c r="D179" i="49"/>
  <c r="C179" i="49"/>
  <c r="B179" i="49"/>
  <c r="A179" i="49"/>
  <c r="G178" i="49"/>
  <c r="F178" i="49"/>
  <c r="E178" i="49"/>
  <c r="D178" i="49"/>
  <c r="C178" i="49"/>
  <c r="B178" i="49"/>
  <c r="A178" i="49"/>
  <c r="G177" i="49"/>
  <c r="F177" i="49"/>
  <c r="E177" i="49"/>
  <c r="D177" i="49"/>
  <c r="C177" i="49"/>
  <c r="B177" i="49"/>
  <c r="A177" i="49"/>
  <c r="G176" i="49"/>
  <c r="F176" i="49"/>
  <c r="E176" i="49"/>
  <c r="D176" i="49"/>
  <c r="C176" i="49"/>
  <c r="B176" i="49"/>
  <c r="A176" i="49"/>
  <c r="G175" i="49"/>
  <c r="F175" i="49"/>
  <c r="E175" i="49"/>
  <c r="D175" i="49"/>
  <c r="C175" i="49"/>
  <c r="B175" i="49"/>
  <c r="A175" i="49"/>
  <c r="G174" i="49"/>
  <c r="F174" i="49"/>
  <c r="E174" i="49"/>
  <c r="D174" i="49"/>
  <c r="C174" i="49"/>
  <c r="B174" i="49"/>
  <c r="A174" i="49"/>
  <c r="G173" i="49"/>
  <c r="F173" i="49"/>
  <c r="E173" i="49"/>
  <c r="D173" i="49"/>
  <c r="C173" i="49"/>
  <c r="B173" i="49"/>
  <c r="A173" i="49"/>
  <c r="G172" i="49"/>
  <c r="F172" i="49"/>
  <c r="E172" i="49"/>
  <c r="D172" i="49"/>
  <c r="C172" i="49"/>
  <c r="B172" i="49"/>
  <c r="A172" i="49"/>
  <c r="G171" i="49"/>
  <c r="F171" i="49"/>
  <c r="E171" i="49"/>
  <c r="D171" i="49"/>
  <c r="C171" i="49"/>
  <c r="B171" i="49"/>
  <c r="A171" i="49"/>
  <c r="G170" i="49"/>
  <c r="F170" i="49"/>
  <c r="E170" i="49"/>
  <c r="D170" i="49"/>
  <c r="C170" i="49"/>
  <c r="B170" i="49"/>
  <c r="A170" i="49"/>
  <c r="G169" i="49"/>
  <c r="F169" i="49"/>
  <c r="E169" i="49"/>
  <c r="D169" i="49"/>
  <c r="C169" i="49"/>
  <c r="B169" i="49"/>
  <c r="A169" i="49"/>
  <c r="G168" i="49"/>
  <c r="F168" i="49"/>
  <c r="E168" i="49"/>
  <c r="D168" i="49"/>
  <c r="C168" i="49"/>
  <c r="B168" i="49"/>
  <c r="A168" i="49"/>
  <c r="G167" i="49"/>
  <c r="F167" i="49"/>
  <c r="E167" i="49"/>
  <c r="D167" i="49"/>
  <c r="C167" i="49"/>
  <c r="B167" i="49"/>
  <c r="A167" i="49"/>
  <c r="G166" i="49"/>
  <c r="F166" i="49"/>
  <c r="E166" i="49"/>
  <c r="D166" i="49"/>
  <c r="C166" i="49"/>
  <c r="B166" i="49"/>
  <c r="A166" i="49"/>
  <c r="G165" i="49"/>
  <c r="F165" i="49"/>
  <c r="E165" i="49"/>
  <c r="D165" i="49"/>
  <c r="C165" i="49"/>
  <c r="B165" i="49"/>
  <c r="A165" i="49"/>
  <c r="G164" i="49"/>
  <c r="F164" i="49"/>
  <c r="E164" i="49"/>
  <c r="D164" i="49"/>
  <c r="C164" i="49"/>
  <c r="B164" i="49"/>
  <c r="A164" i="49"/>
  <c r="G163" i="49"/>
  <c r="F163" i="49"/>
  <c r="E163" i="49"/>
  <c r="D163" i="49"/>
  <c r="C163" i="49"/>
  <c r="B163" i="49"/>
  <c r="A163" i="49"/>
  <c r="G162" i="49"/>
  <c r="F162" i="49"/>
  <c r="E162" i="49"/>
  <c r="D162" i="49"/>
  <c r="C162" i="49"/>
  <c r="B162" i="49"/>
  <c r="A162" i="49"/>
  <c r="G161" i="49"/>
  <c r="F161" i="49"/>
  <c r="E161" i="49"/>
  <c r="D161" i="49"/>
  <c r="C161" i="49"/>
  <c r="B161" i="49"/>
  <c r="A161" i="49"/>
  <c r="G160" i="49"/>
  <c r="F160" i="49"/>
  <c r="E160" i="49"/>
  <c r="D160" i="49"/>
  <c r="C160" i="49"/>
  <c r="B160" i="49"/>
  <c r="A160" i="49"/>
  <c r="G159" i="49"/>
  <c r="F159" i="49"/>
  <c r="E159" i="49"/>
  <c r="D159" i="49"/>
  <c r="C159" i="49"/>
  <c r="B159" i="49"/>
  <c r="A159" i="49"/>
  <c r="G158" i="49"/>
  <c r="F158" i="49"/>
  <c r="E158" i="49"/>
  <c r="D158" i="49"/>
  <c r="C158" i="49"/>
  <c r="B158" i="49"/>
  <c r="A158" i="49"/>
  <c r="G157" i="49"/>
  <c r="F157" i="49"/>
  <c r="E157" i="49"/>
  <c r="D157" i="49"/>
  <c r="C157" i="49"/>
  <c r="B157" i="49"/>
  <c r="A157" i="49"/>
  <c r="G156" i="49"/>
  <c r="F156" i="49"/>
  <c r="E156" i="49"/>
  <c r="D156" i="49"/>
  <c r="C156" i="49"/>
  <c r="B156" i="49"/>
  <c r="A156" i="49"/>
  <c r="G155" i="49"/>
  <c r="F155" i="49"/>
  <c r="E155" i="49"/>
  <c r="D155" i="49"/>
  <c r="C155" i="49"/>
  <c r="B155" i="49"/>
  <c r="A155" i="49"/>
  <c r="G154" i="49"/>
  <c r="F154" i="49"/>
  <c r="E154" i="49"/>
  <c r="D154" i="49"/>
  <c r="C154" i="49"/>
  <c r="B154" i="49"/>
  <c r="A154" i="49"/>
  <c r="G153" i="49"/>
  <c r="F153" i="49"/>
  <c r="E153" i="49"/>
  <c r="D153" i="49"/>
  <c r="C153" i="49"/>
  <c r="B153" i="49"/>
  <c r="A153" i="49"/>
  <c r="G152" i="49"/>
  <c r="F152" i="49"/>
  <c r="E152" i="49"/>
  <c r="D152" i="49"/>
  <c r="C152" i="49"/>
  <c r="B152" i="49"/>
  <c r="A152" i="49"/>
  <c r="G151" i="49"/>
  <c r="F151" i="49"/>
  <c r="E151" i="49"/>
  <c r="D151" i="49"/>
  <c r="C151" i="49"/>
  <c r="B151" i="49"/>
  <c r="A151" i="49"/>
  <c r="G150" i="49"/>
  <c r="F150" i="49"/>
  <c r="E150" i="49"/>
  <c r="D150" i="49"/>
  <c r="C150" i="49"/>
  <c r="B150" i="49"/>
  <c r="A150" i="49"/>
  <c r="G149" i="49"/>
  <c r="F149" i="49"/>
  <c r="E149" i="49"/>
  <c r="D149" i="49"/>
  <c r="C149" i="49"/>
  <c r="B149" i="49"/>
  <c r="A149" i="49"/>
  <c r="G148" i="49"/>
  <c r="F148" i="49"/>
  <c r="E148" i="49"/>
  <c r="D148" i="49"/>
  <c r="C148" i="49"/>
  <c r="B148" i="49"/>
  <c r="A148" i="49"/>
  <c r="G147" i="49"/>
  <c r="F147" i="49"/>
  <c r="E147" i="49"/>
  <c r="D147" i="49"/>
  <c r="C147" i="49"/>
  <c r="B147" i="49"/>
  <c r="A147" i="49"/>
  <c r="G146" i="49"/>
  <c r="F146" i="49"/>
  <c r="E146" i="49"/>
  <c r="D146" i="49"/>
  <c r="C146" i="49"/>
  <c r="B146" i="49"/>
  <c r="A146" i="49"/>
  <c r="G145" i="49"/>
  <c r="F145" i="49"/>
  <c r="E145" i="49"/>
  <c r="D145" i="49"/>
  <c r="C145" i="49"/>
  <c r="B145" i="49"/>
  <c r="A145" i="49"/>
  <c r="G144" i="49"/>
  <c r="F144" i="49"/>
  <c r="E144" i="49"/>
  <c r="D144" i="49"/>
  <c r="C144" i="49"/>
  <c r="B144" i="49"/>
  <c r="A144" i="49"/>
  <c r="G143" i="49"/>
  <c r="F143" i="49"/>
  <c r="E143" i="49"/>
  <c r="D143" i="49"/>
  <c r="C143" i="49"/>
  <c r="B143" i="49"/>
  <c r="A143" i="49"/>
  <c r="G142" i="49"/>
  <c r="F142" i="49"/>
  <c r="E142" i="49"/>
  <c r="D142" i="49"/>
  <c r="C142" i="49"/>
  <c r="B142" i="49"/>
  <c r="A142" i="49"/>
  <c r="G141" i="49"/>
  <c r="F141" i="49"/>
  <c r="E141" i="49"/>
  <c r="D141" i="49"/>
  <c r="C141" i="49"/>
  <c r="B141" i="49"/>
  <c r="A141" i="49"/>
  <c r="G140" i="49"/>
  <c r="F140" i="49"/>
  <c r="E140" i="49"/>
  <c r="D140" i="49"/>
  <c r="C140" i="49"/>
  <c r="B140" i="49"/>
  <c r="A140" i="49"/>
  <c r="G139" i="49"/>
  <c r="F139" i="49"/>
  <c r="E139" i="49"/>
  <c r="D139" i="49"/>
  <c r="C139" i="49"/>
  <c r="B139" i="49"/>
  <c r="A139" i="49"/>
  <c r="G138" i="49"/>
  <c r="F138" i="49"/>
  <c r="E138" i="49"/>
  <c r="D138" i="49"/>
  <c r="C138" i="49"/>
  <c r="B138" i="49"/>
  <c r="A138" i="49"/>
  <c r="G137" i="49"/>
  <c r="F137" i="49"/>
  <c r="E137" i="49"/>
  <c r="D137" i="49"/>
  <c r="C137" i="49"/>
  <c r="B137" i="49"/>
  <c r="A137" i="49"/>
  <c r="G136" i="49"/>
  <c r="F136" i="49"/>
  <c r="E136" i="49"/>
  <c r="D136" i="49"/>
  <c r="C136" i="49"/>
  <c r="B136" i="49"/>
  <c r="A136" i="49"/>
  <c r="G135" i="49"/>
  <c r="F135" i="49"/>
  <c r="E135" i="49"/>
  <c r="D135" i="49"/>
  <c r="C135" i="49"/>
  <c r="B135" i="49"/>
  <c r="A135" i="49"/>
  <c r="G134" i="49"/>
  <c r="F134" i="49"/>
  <c r="E134" i="49"/>
  <c r="D134" i="49"/>
  <c r="C134" i="49"/>
  <c r="B134" i="49"/>
  <c r="A134" i="49"/>
  <c r="G133" i="49"/>
  <c r="F133" i="49"/>
  <c r="E133" i="49"/>
  <c r="D133" i="49"/>
  <c r="C133" i="49"/>
  <c r="B133" i="49"/>
  <c r="A133" i="49"/>
  <c r="G132" i="49"/>
  <c r="F132" i="49"/>
  <c r="E132" i="49"/>
  <c r="D132" i="49"/>
  <c r="C132" i="49"/>
  <c r="B132" i="49"/>
  <c r="A132" i="49"/>
  <c r="G131" i="49"/>
  <c r="F131" i="49"/>
  <c r="E131" i="49"/>
  <c r="D131" i="49"/>
  <c r="C131" i="49"/>
  <c r="B131" i="49"/>
  <c r="A131" i="49"/>
  <c r="G130" i="49"/>
  <c r="F130" i="49"/>
  <c r="E130" i="49"/>
  <c r="D130" i="49"/>
  <c r="C130" i="49"/>
  <c r="B130" i="49"/>
  <c r="A130" i="49"/>
  <c r="G129" i="49"/>
  <c r="F129" i="49"/>
  <c r="E129" i="49"/>
  <c r="D129" i="49"/>
  <c r="C129" i="49"/>
  <c r="B129" i="49"/>
  <c r="A129" i="49"/>
  <c r="G128" i="49"/>
  <c r="F128" i="49"/>
  <c r="E128" i="49"/>
  <c r="D128" i="49"/>
  <c r="C128" i="49"/>
  <c r="B128" i="49"/>
  <c r="A128" i="49"/>
  <c r="G127" i="49"/>
  <c r="F127" i="49"/>
  <c r="E127" i="49"/>
  <c r="D127" i="49"/>
  <c r="C127" i="49"/>
  <c r="B127" i="49"/>
  <c r="A127" i="49"/>
  <c r="G126" i="49"/>
  <c r="F126" i="49"/>
  <c r="E126" i="49"/>
  <c r="D126" i="49"/>
  <c r="C126" i="49"/>
  <c r="B126" i="49"/>
  <c r="A126" i="49"/>
  <c r="G125" i="49"/>
  <c r="F125" i="49"/>
  <c r="E125" i="49"/>
  <c r="D125" i="49"/>
  <c r="C125" i="49"/>
  <c r="B125" i="49"/>
  <c r="A125" i="49"/>
  <c r="G124" i="49"/>
  <c r="F124" i="49"/>
  <c r="E124" i="49"/>
  <c r="D124" i="49"/>
  <c r="C124" i="49"/>
  <c r="B124" i="49"/>
  <c r="A124" i="49"/>
  <c r="G123" i="49"/>
  <c r="F123" i="49"/>
  <c r="E123" i="49"/>
  <c r="D123" i="49"/>
  <c r="C123" i="49"/>
  <c r="B123" i="49"/>
  <c r="A123" i="49"/>
  <c r="G122" i="49"/>
  <c r="F122" i="49"/>
  <c r="E122" i="49"/>
  <c r="D122" i="49"/>
  <c r="C122" i="49"/>
  <c r="B122" i="49"/>
  <c r="A122" i="49"/>
  <c r="G121" i="49"/>
  <c r="F121" i="49"/>
  <c r="E121" i="49"/>
  <c r="D121" i="49"/>
  <c r="C121" i="49"/>
  <c r="B121" i="49"/>
  <c r="A121" i="49"/>
  <c r="G120" i="49"/>
  <c r="F120" i="49"/>
  <c r="E120" i="49"/>
  <c r="D120" i="49"/>
  <c r="C120" i="49"/>
  <c r="B120" i="49"/>
  <c r="A120" i="49"/>
  <c r="G119" i="49"/>
  <c r="F119" i="49"/>
  <c r="E119" i="49"/>
  <c r="D119" i="49"/>
  <c r="C119" i="49"/>
  <c r="B119" i="49"/>
  <c r="A119" i="49"/>
  <c r="G118" i="49"/>
  <c r="F118" i="49"/>
  <c r="E118" i="49"/>
  <c r="D118" i="49"/>
  <c r="C118" i="49"/>
  <c r="B118" i="49"/>
  <c r="A118" i="49"/>
  <c r="G117" i="49"/>
  <c r="F117" i="49"/>
  <c r="E117" i="49"/>
  <c r="D117" i="49"/>
  <c r="C117" i="49"/>
  <c r="B117" i="49"/>
  <c r="A117" i="49"/>
  <c r="G116" i="49"/>
  <c r="F116" i="49"/>
  <c r="E116" i="49"/>
  <c r="D116" i="49"/>
  <c r="C116" i="49"/>
  <c r="B116" i="49"/>
  <c r="A116" i="49"/>
  <c r="G115" i="49"/>
  <c r="F115" i="49"/>
  <c r="E115" i="49"/>
  <c r="D115" i="49"/>
  <c r="C115" i="49"/>
  <c r="B115" i="49"/>
  <c r="A115" i="49"/>
  <c r="G114" i="49"/>
  <c r="F114" i="49"/>
  <c r="E114" i="49"/>
  <c r="D114" i="49"/>
  <c r="C114" i="49"/>
  <c r="B114" i="49"/>
  <c r="A114" i="49"/>
  <c r="G113" i="49"/>
  <c r="F113" i="49"/>
  <c r="E113" i="49"/>
  <c r="D113" i="49"/>
  <c r="C113" i="49"/>
  <c r="B113" i="49"/>
  <c r="A113" i="49"/>
  <c r="G112" i="49"/>
  <c r="F112" i="49"/>
  <c r="E112" i="49"/>
  <c r="D112" i="49"/>
  <c r="C112" i="49"/>
  <c r="B112" i="49"/>
  <c r="A112" i="49"/>
  <c r="G111" i="49"/>
  <c r="F111" i="49"/>
  <c r="E111" i="49"/>
  <c r="D111" i="49"/>
  <c r="C111" i="49"/>
  <c r="B111" i="49"/>
  <c r="A111" i="49"/>
  <c r="G110" i="49"/>
  <c r="F110" i="49"/>
  <c r="E110" i="49"/>
  <c r="D110" i="49"/>
  <c r="C110" i="49"/>
  <c r="B110" i="49"/>
  <c r="A110" i="49"/>
  <c r="G109" i="49"/>
  <c r="F109" i="49"/>
  <c r="E109" i="49"/>
  <c r="D109" i="49"/>
  <c r="C109" i="49"/>
  <c r="B109" i="49"/>
  <c r="A109" i="49"/>
  <c r="G108" i="49"/>
  <c r="F108" i="49"/>
  <c r="E108" i="49"/>
  <c r="D108" i="49"/>
  <c r="C108" i="49"/>
  <c r="B108" i="49"/>
  <c r="A108" i="49"/>
  <c r="G107" i="49"/>
  <c r="F107" i="49"/>
  <c r="E107" i="49"/>
  <c r="D107" i="49"/>
  <c r="C107" i="49"/>
  <c r="B107" i="49"/>
  <c r="A107" i="49"/>
  <c r="G106" i="49"/>
  <c r="F106" i="49"/>
  <c r="E106" i="49"/>
  <c r="D106" i="49"/>
  <c r="C106" i="49"/>
  <c r="B106" i="49"/>
  <c r="A106" i="49"/>
  <c r="G105" i="49"/>
  <c r="F105" i="49"/>
  <c r="E105" i="49"/>
  <c r="D105" i="49"/>
  <c r="C105" i="49"/>
  <c r="B105" i="49"/>
  <c r="A105" i="49"/>
  <c r="G104" i="49"/>
  <c r="F104" i="49"/>
  <c r="E104" i="49"/>
  <c r="D104" i="49"/>
  <c r="C104" i="49"/>
  <c r="B104" i="49"/>
  <c r="A104" i="49"/>
  <c r="G103" i="49"/>
  <c r="F103" i="49"/>
  <c r="E103" i="49"/>
  <c r="D103" i="49"/>
  <c r="C103" i="49"/>
  <c r="B103" i="49"/>
  <c r="A103" i="49"/>
  <c r="G102" i="49"/>
  <c r="F102" i="49"/>
  <c r="E102" i="49"/>
  <c r="D102" i="49"/>
  <c r="C102" i="49"/>
  <c r="B102" i="49"/>
  <c r="A102" i="49"/>
  <c r="G101" i="49"/>
  <c r="F101" i="49"/>
  <c r="E101" i="49"/>
  <c r="D101" i="49"/>
  <c r="C101" i="49"/>
  <c r="B101" i="49"/>
  <c r="A101" i="49"/>
  <c r="G100" i="49"/>
  <c r="F100" i="49"/>
  <c r="E100" i="49"/>
  <c r="D100" i="49"/>
  <c r="C100" i="49"/>
  <c r="B100" i="49"/>
  <c r="A100" i="49"/>
  <c r="G99" i="49"/>
  <c r="F99" i="49"/>
  <c r="E99" i="49"/>
  <c r="D99" i="49"/>
  <c r="C99" i="49"/>
  <c r="B99" i="49"/>
  <c r="A99" i="49"/>
  <c r="G98" i="49"/>
  <c r="F98" i="49"/>
  <c r="E98" i="49"/>
  <c r="D98" i="49"/>
  <c r="C98" i="49"/>
  <c r="B98" i="49"/>
  <c r="A98" i="49"/>
  <c r="G97" i="49"/>
  <c r="F97" i="49"/>
  <c r="E97" i="49"/>
  <c r="D97" i="49"/>
  <c r="C97" i="49"/>
  <c r="B97" i="49"/>
  <c r="A97" i="49"/>
  <c r="G96" i="49"/>
  <c r="F96" i="49"/>
  <c r="E96" i="49"/>
  <c r="D96" i="49"/>
  <c r="C96" i="49"/>
  <c r="B96" i="49"/>
  <c r="A96" i="49"/>
  <c r="G95" i="49"/>
  <c r="F95" i="49"/>
  <c r="E95" i="49"/>
  <c r="D95" i="49"/>
  <c r="C95" i="49"/>
  <c r="B95" i="49"/>
  <c r="A95" i="49"/>
  <c r="G94" i="49"/>
  <c r="F94" i="49"/>
  <c r="E94" i="49"/>
  <c r="D94" i="49"/>
  <c r="C94" i="49"/>
  <c r="B94" i="49"/>
  <c r="A94" i="49"/>
  <c r="G93" i="49"/>
  <c r="F93" i="49"/>
  <c r="E93" i="49"/>
  <c r="D93" i="49"/>
  <c r="C93" i="49"/>
  <c r="B93" i="49"/>
  <c r="A93" i="49"/>
  <c r="G92" i="49"/>
  <c r="F92" i="49"/>
  <c r="E92" i="49"/>
  <c r="D92" i="49"/>
  <c r="C92" i="49"/>
  <c r="B92" i="49"/>
  <c r="A92" i="49"/>
  <c r="G91" i="49"/>
  <c r="F91" i="49"/>
  <c r="E91" i="49"/>
  <c r="D91" i="49"/>
  <c r="C91" i="49"/>
  <c r="B91" i="49"/>
  <c r="A91" i="49"/>
  <c r="G90" i="49"/>
  <c r="F90" i="49"/>
  <c r="E90" i="49"/>
  <c r="D90" i="49"/>
  <c r="C90" i="49"/>
  <c r="B90" i="49"/>
  <c r="A90" i="49"/>
  <c r="G89" i="49"/>
  <c r="F89" i="49"/>
  <c r="E89" i="49"/>
  <c r="D89" i="49"/>
  <c r="C89" i="49"/>
  <c r="B89" i="49"/>
  <c r="A89" i="49"/>
  <c r="G88" i="49"/>
  <c r="F88" i="49"/>
  <c r="E88" i="49"/>
  <c r="D88" i="49"/>
  <c r="C88" i="49"/>
  <c r="B88" i="49"/>
  <c r="A88" i="49"/>
  <c r="G87" i="49"/>
  <c r="F87" i="49"/>
  <c r="E87" i="49"/>
  <c r="D87" i="49"/>
  <c r="C87" i="49"/>
  <c r="B87" i="49"/>
  <c r="A87" i="49"/>
  <c r="G86" i="49"/>
  <c r="F86" i="49"/>
  <c r="E86" i="49"/>
  <c r="D86" i="49"/>
  <c r="C86" i="49"/>
  <c r="B86" i="49"/>
  <c r="A86" i="49"/>
  <c r="G85" i="49"/>
  <c r="F85" i="49"/>
  <c r="E85" i="49"/>
  <c r="D85" i="49"/>
  <c r="C85" i="49"/>
  <c r="B85" i="49"/>
  <c r="A85" i="49"/>
  <c r="G84" i="49"/>
  <c r="F84" i="49"/>
  <c r="E84" i="49"/>
  <c r="D84" i="49"/>
  <c r="C84" i="49"/>
  <c r="B84" i="49"/>
  <c r="A84" i="49"/>
  <c r="G83" i="49"/>
  <c r="F83" i="49"/>
  <c r="E83" i="49"/>
  <c r="D83" i="49"/>
  <c r="C83" i="49"/>
  <c r="B83" i="49"/>
  <c r="A83" i="49"/>
  <c r="G82" i="49"/>
  <c r="F82" i="49"/>
  <c r="E82" i="49"/>
  <c r="D82" i="49"/>
  <c r="C82" i="49"/>
  <c r="B82" i="49"/>
  <c r="A82" i="49"/>
  <c r="G81" i="49"/>
  <c r="F81" i="49"/>
  <c r="E81" i="49"/>
  <c r="D81" i="49"/>
  <c r="C81" i="49"/>
  <c r="B81" i="49"/>
  <c r="A81" i="49"/>
  <c r="G80" i="49"/>
  <c r="F80" i="49"/>
  <c r="E80" i="49"/>
  <c r="D80" i="49"/>
  <c r="C80" i="49"/>
  <c r="B80" i="49"/>
  <c r="A80" i="49"/>
  <c r="G79" i="49"/>
  <c r="F79" i="49"/>
  <c r="E79" i="49"/>
  <c r="D79" i="49"/>
  <c r="C79" i="49"/>
  <c r="B79" i="49"/>
  <c r="A79" i="49"/>
  <c r="G78" i="49"/>
  <c r="F78" i="49"/>
  <c r="E78" i="49"/>
  <c r="D78" i="49"/>
  <c r="C78" i="49"/>
  <c r="B78" i="49"/>
  <c r="A78" i="49"/>
  <c r="G77" i="49"/>
  <c r="F77" i="49"/>
  <c r="E77" i="49"/>
  <c r="D77" i="49"/>
  <c r="C77" i="49"/>
  <c r="B77" i="49"/>
  <c r="A77" i="49"/>
  <c r="G76" i="49"/>
  <c r="F76" i="49"/>
  <c r="E76" i="49"/>
  <c r="D76" i="49"/>
  <c r="C76" i="49"/>
  <c r="B76" i="49"/>
  <c r="A76" i="49"/>
  <c r="G75" i="49"/>
  <c r="F75" i="49"/>
  <c r="E75" i="49"/>
  <c r="D75" i="49"/>
  <c r="C75" i="49"/>
  <c r="B75" i="49"/>
  <c r="A75" i="49"/>
  <c r="G74" i="49"/>
  <c r="F74" i="49"/>
  <c r="E74" i="49"/>
  <c r="D74" i="49"/>
  <c r="C74" i="49"/>
  <c r="B74" i="49"/>
  <c r="A74" i="49"/>
  <c r="G73" i="49"/>
  <c r="F73" i="49"/>
  <c r="E73" i="49"/>
  <c r="D73" i="49"/>
  <c r="C73" i="49"/>
  <c r="B73" i="49"/>
  <c r="A73" i="49"/>
  <c r="G72" i="49"/>
  <c r="F72" i="49"/>
  <c r="E72" i="49"/>
  <c r="D72" i="49"/>
  <c r="C72" i="49"/>
  <c r="B72" i="49"/>
  <c r="A72" i="49"/>
  <c r="G71" i="49"/>
  <c r="F71" i="49"/>
  <c r="E71" i="49"/>
  <c r="D71" i="49"/>
  <c r="C71" i="49"/>
  <c r="B71" i="49"/>
  <c r="A71" i="49"/>
  <c r="G70" i="49"/>
  <c r="F70" i="49"/>
  <c r="E70" i="49"/>
  <c r="D70" i="49"/>
  <c r="C70" i="49"/>
  <c r="B70" i="49"/>
  <c r="A70" i="49"/>
  <c r="G69" i="49"/>
  <c r="F69" i="49"/>
  <c r="E69" i="49"/>
  <c r="D69" i="49"/>
  <c r="C69" i="49"/>
  <c r="B69" i="49"/>
  <c r="A69" i="49"/>
  <c r="G68" i="49"/>
  <c r="F68" i="49"/>
  <c r="E68" i="49"/>
  <c r="D68" i="49"/>
  <c r="C68" i="49"/>
  <c r="B68" i="49"/>
  <c r="A68" i="49"/>
  <c r="G67" i="49"/>
  <c r="F67" i="49"/>
  <c r="E67" i="49"/>
  <c r="D67" i="49"/>
  <c r="C67" i="49"/>
  <c r="B67" i="49"/>
  <c r="A67" i="49"/>
  <c r="G66" i="49"/>
  <c r="F66" i="49"/>
  <c r="E66" i="49"/>
  <c r="D66" i="49"/>
  <c r="C66" i="49"/>
  <c r="B66" i="49"/>
  <c r="A66" i="49"/>
  <c r="G65" i="49"/>
  <c r="F65" i="49"/>
  <c r="E65" i="49"/>
  <c r="D65" i="49"/>
  <c r="C65" i="49"/>
  <c r="B65" i="49"/>
  <c r="A65" i="49"/>
  <c r="G64" i="49"/>
  <c r="F64" i="49"/>
  <c r="E64" i="49"/>
  <c r="D64" i="49"/>
  <c r="C64" i="49"/>
  <c r="B64" i="49"/>
  <c r="A64" i="49"/>
  <c r="G63" i="49"/>
  <c r="F63" i="49"/>
  <c r="E63" i="49"/>
  <c r="D63" i="49"/>
  <c r="C63" i="49"/>
  <c r="B63" i="49"/>
  <c r="A63" i="49"/>
  <c r="G62" i="49"/>
  <c r="F62" i="49"/>
  <c r="E62" i="49"/>
  <c r="D62" i="49"/>
  <c r="C62" i="49"/>
  <c r="B62" i="49"/>
  <c r="A62" i="49"/>
  <c r="G61" i="49"/>
  <c r="F61" i="49"/>
  <c r="E61" i="49"/>
  <c r="D61" i="49"/>
  <c r="C61" i="49"/>
  <c r="B61" i="49"/>
  <c r="A61" i="49"/>
  <c r="G60" i="49"/>
  <c r="F60" i="49"/>
  <c r="E60" i="49"/>
  <c r="D60" i="49"/>
  <c r="C60" i="49"/>
  <c r="B60" i="49"/>
  <c r="A60" i="49"/>
  <c r="G59" i="49"/>
  <c r="F59" i="49"/>
  <c r="E59" i="49"/>
  <c r="D59" i="49"/>
  <c r="C59" i="49"/>
  <c r="B59" i="49"/>
  <c r="A59" i="49"/>
  <c r="G58" i="49"/>
  <c r="F58" i="49"/>
  <c r="E58" i="49"/>
  <c r="D58" i="49"/>
  <c r="C58" i="49"/>
  <c r="B58" i="49"/>
  <c r="A58" i="49"/>
  <c r="G57" i="49"/>
  <c r="F57" i="49"/>
  <c r="E57" i="49"/>
  <c r="D57" i="49"/>
  <c r="C57" i="49"/>
  <c r="B57" i="49"/>
  <c r="A57" i="49"/>
  <c r="G56" i="49"/>
  <c r="F56" i="49"/>
  <c r="E56" i="49"/>
  <c r="D56" i="49"/>
  <c r="C56" i="49"/>
  <c r="B56" i="49"/>
  <c r="A56" i="49"/>
  <c r="G55" i="49"/>
  <c r="F55" i="49"/>
  <c r="E55" i="49"/>
  <c r="D55" i="49"/>
  <c r="C55" i="49"/>
  <c r="B55" i="49"/>
  <c r="A55" i="49"/>
  <c r="G54" i="49"/>
  <c r="F54" i="49"/>
  <c r="E54" i="49"/>
  <c r="D54" i="49"/>
  <c r="C54" i="49"/>
  <c r="B54" i="49"/>
  <c r="A54" i="49"/>
  <c r="G53" i="49"/>
  <c r="F53" i="49"/>
  <c r="E53" i="49"/>
  <c r="D53" i="49"/>
  <c r="C53" i="49"/>
  <c r="B53" i="49"/>
  <c r="A53" i="49"/>
  <c r="G52" i="49"/>
  <c r="F52" i="49"/>
  <c r="E52" i="49"/>
  <c r="D52" i="49"/>
  <c r="C52" i="49"/>
  <c r="B52" i="49"/>
  <c r="A52" i="49"/>
  <c r="G51" i="49"/>
  <c r="F51" i="49"/>
  <c r="E51" i="49"/>
  <c r="D51" i="49"/>
  <c r="C51" i="49"/>
  <c r="B51" i="49"/>
  <c r="A51" i="49"/>
  <c r="G50" i="49"/>
  <c r="F50" i="49"/>
  <c r="E50" i="49"/>
  <c r="D50" i="49"/>
  <c r="C50" i="49"/>
  <c r="B50" i="49"/>
  <c r="A50" i="49"/>
  <c r="G49" i="49"/>
  <c r="F49" i="49"/>
  <c r="E49" i="49"/>
  <c r="D49" i="49"/>
  <c r="C49" i="49"/>
  <c r="B49" i="49"/>
  <c r="A49" i="49"/>
  <c r="G48" i="49"/>
  <c r="F48" i="49"/>
  <c r="E48" i="49"/>
  <c r="D48" i="49"/>
  <c r="C48" i="49"/>
  <c r="B48" i="49"/>
  <c r="A48" i="49"/>
  <c r="G47" i="49"/>
  <c r="F47" i="49"/>
  <c r="E47" i="49"/>
  <c r="D47" i="49"/>
  <c r="C47" i="49"/>
  <c r="B47" i="49"/>
  <c r="A47" i="49"/>
  <c r="G46" i="49"/>
  <c r="F46" i="49"/>
  <c r="E46" i="49"/>
  <c r="D46" i="49"/>
  <c r="C46" i="49"/>
  <c r="B46" i="49"/>
  <c r="A46" i="49"/>
  <c r="G45" i="49"/>
  <c r="F45" i="49"/>
  <c r="E45" i="49"/>
  <c r="D45" i="49"/>
  <c r="C45" i="49"/>
  <c r="B45" i="49"/>
  <c r="A45" i="49"/>
  <c r="G44" i="49"/>
  <c r="F44" i="49"/>
  <c r="E44" i="49"/>
  <c r="D44" i="49"/>
  <c r="C44" i="49"/>
  <c r="B44" i="49"/>
  <c r="A44" i="49"/>
  <c r="G43" i="49"/>
  <c r="F43" i="49"/>
  <c r="E43" i="49"/>
  <c r="D43" i="49"/>
  <c r="C43" i="49"/>
  <c r="B43" i="49"/>
  <c r="A43" i="49"/>
  <c r="G42" i="49"/>
  <c r="F42" i="49"/>
  <c r="E42" i="49"/>
  <c r="D42" i="49"/>
  <c r="C42" i="49"/>
  <c r="B42" i="49"/>
  <c r="A42" i="49"/>
  <c r="G41" i="49"/>
  <c r="F41" i="49"/>
  <c r="E41" i="49"/>
  <c r="D41" i="49"/>
  <c r="C41" i="49"/>
  <c r="B41" i="49"/>
  <c r="A41" i="49"/>
  <c r="G40" i="49"/>
  <c r="F40" i="49"/>
  <c r="E40" i="49"/>
  <c r="D40" i="49"/>
  <c r="C40" i="49"/>
  <c r="B40" i="49"/>
  <c r="A40" i="49"/>
  <c r="G39" i="49"/>
  <c r="F39" i="49"/>
  <c r="E39" i="49"/>
  <c r="D39" i="49"/>
  <c r="C39" i="49"/>
  <c r="B39" i="49"/>
  <c r="A39" i="49"/>
  <c r="G38" i="49"/>
  <c r="F38" i="49"/>
  <c r="E38" i="49"/>
  <c r="D38" i="49"/>
  <c r="C38" i="49"/>
  <c r="B38" i="49"/>
  <c r="A38" i="49"/>
  <c r="G37" i="49"/>
  <c r="F37" i="49"/>
  <c r="E37" i="49"/>
  <c r="D37" i="49"/>
  <c r="C37" i="49"/>
  <c r="B37" i="49"/>
  <c r="A37" i="49"/>
  <c r="G36" i="49"/>
  <c r="F36" i="49"/>
  <c r="E36" i="49"/>
  <c r="D36" i="49"/>
  <c r="C36" i="49"/>
  <c r="B36" i="49"/>
  <c r="A36" i="49"/>
  <c r="G35" i="49"/>
  <c r="F35" i="49"/>
  <c r="E35" i="49"/>
  <c r="D35" i="49"/>
  <c r="C35" i="49"/>
  <c r="B35" i="49"/>
  <c r="A35" i="49"/>
  <c r="G34" i="49"/>
  <c r="F34" i="49"/>
  <c r="E34" i="49"/>
  <c r="D34" i="49"/>
  <c r="C34" i="49"/>
  <c r="B34" i="49"/>
  <c r="A34" i="49"/>
  <c r="G33" i="49"/>
  <c r="F33" i="49"/>
  <c r="E33" i="49"/>
  <c r="D33" i="49"/>
  <c r="C33" i="49"/>
  <c r="B33" i="49"/>
  <c r="A33" i="49"/>
  <c r="G32" i="49"/>
  <c r="F32" i="49"/>
  <c r="E32" i="49"/>
  <c r="D32" i="49"/>
  <c r="C32" i="49"/>
  <c r="B32" i="49"/>
  <c r="A32" i="49"/>
  <c r="G31" i="49"/>
  <c r="F31" i="49"/>
  <c r="E31" i="49"/>
  <c r="D31" i="49"/>
  <c r="C31" i="49"/>
  <c r="B31" i="49"/>
  <c r="A31" i="49"/>
  <c r="G30" i="49"/>
  <c r="F30" i="49"/>
  <c r="E30" i="49"/>
  <c r="D30" i="49"/>
  <c r="C30" i="49"/>
  <c r="B30" i="49"/>
  <c r="A30" i="49"/>
  <c r="G29" i="49"/>
  <c r="F29" i="49"/>
  <c r="E29" i="49"/>
  <c r="D29" i="49"/>
  <c r="C29" i="49"/>
  <c r="B29" i="49"/>
  <c r="A29" i="49"/>
  <c r="G28" i="49"/>
  <c r="F28" i="49"/>
  <c r="E28" i="49"/>
  <c r="D28" i="49"/>
  <c r="C28" i="49"/>
  <c r="B28" i="49"/>
  <c r="A28" i="49"/>
  <c r="G27" i="49"/>
  <c r="F27" i="49"/>
  <c r="E27" i="49"/>
  <c r="D27" i="49"/>
  <c r="C27" i="49"/>
  <c r="B27" i="49"/>
  <c r="A27" i="49"/>
  <c r="G26" i="49"/>
  <c r="F26" i="49"/>
  <c r="E26" i="49"/>
  <c r="D26" i="49"/>
  <c r="C26" i="49"/>
  <c r="B26" i="49"/>
  <c r="A26" i="49"/>
  <c r="G25" i="49"/>
  <c r="F25" i="49"/>
  <c r="E25" i="49"/>
  <c r="D25" i="49"/>
  <c r="C25" i="49"/>
  <c r="B25" i="49"/>
  <c r="A25" i="49"/>
  <c r="G24" i="49"/>
  <c r="F24" i="49"/>
  <c r="E24" i="49"/>
  <c r="D24" i="49"/>
  <c r="C24" i="49"/>
  <c r="B24" i="49"/>
  <c r="A24" i="49"/>
  <c r="G23" i="49"/>
  <c r="F23" i="49"/>
  <c r="E23" i="49"/>
  <c r="D23" i="49"/>
  <c r="C23" i="49"/>
  <c r="B23" i="49"/>
  <c r="A23" i="49"/>
  <c r="G22" i="49"/>
  <c r="F22" i="49"/>
  <c r="E22" i="49"/>
  <c r="D22" i="49"/>
  <c r="C22" i="49"/>
  <c r="B22" i="49"/>
  <c r="A22" i="49"/>
  <c r="G21" i="49"/>
  <c r="F21" i="49"/>
  <c r="E21" i="49"/>
  <c r="D21" i="49"/>
  <c r="C21" i="49"/>
  <c r="B21" i="49"/>
  <c r="A21" i="49"/>
  <c r="G20" i="49"/>
  <c r="F20" i="49"/>
  <c r="E20" i="49"/>
  <c r="D20" i="49"/>
  <c r="C20" i="49"/>
  <c r="B20" i="49"/>
  <c r="A20" i="49"/>
  <c r="G19" i="49"/>
  <c r="F19" i="49"/>
  <c r="E19" i="49"/>
  <c r="D19" i="49"/>
  <c r="C19" i="49"/>
  <c r="B19" i="49"/>
  <c r="A19" i="49"/>
  <c r="G18" i="49"/>
  <c r="F18" i="49"/>
  <c r="E18" i="49"/>
  <c r="D18" i="49"/>
  <c r="C18" i="49"/>
  <c r="B18" i="49"/>
  <c r="A18" i="49"/>
  <c r="G17" i="49"/>
  <c r="F17" i="49"/>
  <c r="E17" i="49"/>
  <c r="D17" i="49"/>
  <c r="C17" i="49"/>
  <c r="B17" i="49"/>
  <c r="A17" i="49"/>
  <c r="G16" i="49"/>
  <c r="F16" i="49"/>
  <c r="E16" i="49"/>
  <c r="D16" i="49"/>
  <c r="C16" i="49"/>
  <c r="B16" i="49"/>
  <c r="A16" i="49"/>
  <c r="G15" i="49"/>
  <c r="F15" i="49"/>
  <c r="E15" i="49"/>
  <c r="D15" i="49"/>
  <c r="C15" i="49"/>
  <c r="B15" i="49"/>
  <c r="A15" i="49"/>
  <c r="G14" i="49"/>
  <c r="F14" i="49"/>
  <c r="E14" i="49"/>
  <c r="D14" i="49"/>
  <c r="C14" i="49"/>
  <c r="B14" i="49"/>
  <c r="A14" i="49"/>
  <c r="G13" i="49"/>
  <c r="F13" i="49"/>
  <c r="E13" i="49"/>
  <c r="D13" i="49"/>
  <c r="C13" i="49"/>
  <c r="B13" i="49"/>
  <c r="A13" i="49"/>
  <c r="G12" i="49"/>
  <c r="F12" i="49"/>
  <c r="E12" i="49"/>
  <c r="D12" i="49"/>
  <c r="C12" i="49"/>
  <c r="B12" i="49"/>
  <c r="A12" i="49"/>
  <c r="G11" i="49"/>
  <c r="F11" i="49"/>
  <c r="E11" i="49"/>
  <c r="D11" i="49"/>
  <c r="C11" i="49"/>
  <c r="B11" i="49"/>
  <c r="A11" i="49"/>
  <c r="G10" i="49"/>
  <c r="F10" i="49"/>
  <c r="E10" i="49"/>
  <c r="D10" i="49"/>
  <c r="C10" i="49"/>
  <c r="B10" i="49"/>
  <c r="A10" i="49"/>
  <c r="G9" i="49"/>
  <c r="F9" i="49"/>
  <c r="E9" i="49"/>
  <c r="D9" i="49"/>
  <c r="C9" i="49"/>
  <c r="B9" i="49"/>
  <c r="A9" i="49"/>
  <c r="G8" i="49"/>
  <c r="F8" i="49"/>
  <c r="E8" i="49"/>
  <c r="D8" i="49"/>
  <c r="C8" i="49"/>
  <c r="B8" i="49"/>
  <c r="A8" i="49"/>
  <c r="G7" i="49"/>
  <c r="F7" i="49"/>
  <c r="E7" i="49"/>
  <c r="D7" i="49"/>
  <c r="C7" i="49"/>
  <c r="B7" i="49"/>
  <c r="A7" i="49"/>
  <c r="G6" i="49"/>
  <c r="F6" i="49"/>
  <c r="E6" i="49"/>
  <c r="D6" i="49"/>
  <c r="C6" i="49"/>
  <c r="B6" i="49"/>
  <c r="A6" i="49"/>
  <c r="G5" i="49"/>
  <c r="F5" i="49"/>
  <c r="E5" i="49"/>
  <c r="D5" i="49"/>
  <c r="C5" i="49"/>
  <c r="B5" i="49"/>
  <c r="A5" i="49"/>
  <c r="G4" i="49"/>
  <c r="F4" i="49"/>
  <c r="E4" i="49"/>
  <c r="D4" i="49"/>
  <c r="C4" i="49"/>
  <c r="B4" i="49"/>
  <c r="A4" i="49"/>
  <c r="G3" i="49"/>
  <c r="F3" i="49"/>
  <c r="E3" i="49"/>
  <c r="D3" i="49"/>
  <c r="C3" i="49"/>
  <c r="B3" i="49"/>
  <c r="A3" i="49"/>
  <c r="G2" i="49"/>
  <c r="F2" i="49"/>
  <c r="E2" i="49"/>
  <c r="D2" i="49"/>
  <c r="C2" i="49"/>
  <c r="B2" i="49"/>
  <c r="A2" i="49"/>
  <c r="G1" i="49"/>
  <c r="F1" i="49"/>
  <c r="E1" i="49"/>
  <c r="D1" i="49"/>
  <c r="C1" i="49"/>
  <c r="B1" i="49"/>
  <c r="A1" i="49"/>
  <c r="G277" i="48"/>
  <c r="F277" i="48"/>
  <c r="E277" i="48"/>
  <c r="D277" i="48"/>
  <c r="C277" i="48"/>
  <c r="B277" i="48"/>
  <c r="A277" i="48"/>
  <c r="G276" i="48"/>
  <c r="F276" i="48"/>
  <c r="E276" i="48"/>
  <c r="D276" i="48"/>
  <c r="C276" i="48"/>
  <c r="B276" i="48"/>
  <c r="A276" i="48"/>
  <c r="G275" i="48"/>
  <c r="F275" i="48"/>
  <c r="E275" i="48"/>
  <c r="D275" i="48"/>
  <c r="C275" i="48"/>
  <c r="B275" i="48"/>
  <c r="A275" i="48"/>
  <c r="G274" i="48"/>
  <c r="F274" i="48"/>
  <c r="E274" i="48"/>
  <c r="D274" i="48"/>
  <c r="C274" i="48"/>
  <c r="B274" i="48"/>
  <c r="A274" i="48"/>
  <c r="G273" i="48"/>
  <c r="F273" i="48"/>
  <c r="E273" i="48"/>
  <c r="D273" i="48"/>
  <c r="C273" i="48"/>
  <c r="B273" i="48"/>
  <c r="A273" i="48"/>
  <c r="G272" i="48"/>
  <c r="F272" i="48"/>
  <c r="E272" i="48"/>
  <c r="D272" i="48"/>
  <c r="C272" i="48"/>
  <c r="B272" i="48"/>
  <c r="A272" i="48"/>
  <c r="G271" i="48"/>
  <c r="F271" i="48"/>
  <c r="E271" i="48"/>
  <c r="D271" i="48"/>
  <c r="C271" i="48"/>
  <c r="B271" i="48"/>
  <c r="A271" i="48"/>
  <c r="G270" i="48"/>
  <c r="F270" i="48"/>
  <c r="E270" i="48"/>
  <c r="D270" i="48"/>
  <c r="C270" i="48"/>
  <c r="B270" i="48"/>
  <c r="A270" i="48"/>
  <c r="G269" i="48"/>
  <c r="F269" i="48"/>
  <c r="E269" i="48"/>
  <c r="D269" i="48"/>
  <c r="C269" i="48"/>
  <c r="B269" i="48"/>
  <c r="A269" i="48"/>
  <c r="G268" i="48"/>
  <c r="F268" i="48"/>
  <c r="E268" i="48"/>
  <c r="D268" i="48"/>
  <c r="C268" i="48"/>
  <c r="B268" i="48"/>
  <c r="A268" i="48"/>
  <c r="G267" i="48"/>
  <c r="F267" i="48"/>
  <c r="E267" i="48"/>
  <c r="D267" i="48"/>
  <c r="C267" i="48"/>
  <c r="B267" i="48"/>
  <c r="A267" i="48"/>
  <c r="G266" i="48"/>
  <c r="F266" i="48"/>
  <c r="E266" i="48"/>
  <c r="D266" i="48"/>
  <c r="C266" i="48"/>
  <c r="B266" i="48"/>
  <c r="A266" i="48"/>
  <c r="G265" i="48"/>
  <c r="F265" i="48"/>
  <c r="E265" i="48"/>
  <c r="D265" i="48"/>
  <c r="C265" i="48"/>
  <c r="B265" i="48"/>
  <c r="A265" i="48"/>
  <c r="G264" i="48"/>
  <c r="F264" i="48"/>
  <c r="E264" i="48"/>
  <c r="D264" i="48"/>
  <c r="C264" i="48"/>
  <c r="B264" i="48"/>
  <c r="A264" i="48"/>
  <c r="G263" i="48"/>
  <c r="F263" i="48"/>
  <c r="E263" i="48"/>
  <c r="D263" i="48"/>
  <c r="C263" i="48"/>
  <c r="B263" i="48"/>
  <c r="A263" i="48"/>
  <c r="G262" i="48"/>
  <c r="F262" i="48"/>
  <c r="E262" i="48"/>
  <c r="D262" i="48"/>
  <c r="C262" i="48"/>
  <c r="B262" i="48"/>
  <c r="A262" i="48"/>
  <c r="G261" i="48"/>
  <c r="F261" i="48"/>
  <c r="E261" i="48"/>
  <c r="D261" i="48"/>
  <c r="C261" i="48"/>
  <c r="B261" i="48"/>
  <c r="A261" i="48"/>
  <c r="G260" i="48"/>
  <c r="F260" i="48"/>
  <c r="E260" i="48"/>
  <c r="D260" i="48"/>
  <c r="C260" i="48"/>
  <c r="B260" i="48"/>
  <c r="A260" i="48"/>
  <c r="G259" i="48"/>
  <c r="F259" i="48"/>
  <c r="E259" i="48"/>
  <c r="D259" i="48"/>
  <c r="C259" i="48"/>
  <c r="B259" i="48"/>
  <c r="A259" i="48"/>
  <c r="G258" i="48"/>
  <c r="F258" i="48"/>
  <c r="E258" i="48"/>
  <c r="D258" i="48"/>
  <c r="C258" i="48"/>
  <c r="B258" i="48"/>
  <c r="A258" i="48"/>
  <c r="G257" i="48"/>
  <c r="F257" i="48"/>
  <c r="E257" i="48"/>
  <c r="D257" i="48"/>
  <c r="C257" i="48"/>
  <c r="B257" i="48"/>
  <c r="A257" i="48"/>
  <c r="G256" i="48"/>
  <c r="F256" i="48"/>
  <c r="E256" i="48"/>
  <c r="D256" i="48"/>
  <c r="C256" i="48"/>
  <c r="B256" i="48"/>
  <c r="A256" i="48"/>
  <c r="G255" i="48"/>
  <c r="F255" i="48"/>
  <c r="E255" i="48"/>
  <c r="D255" i="48"/>
  <c r="C255" i="48"/>
  <c r="B255" i="48"/>
  <c r="A255" i="48"/>
  <c r="G254" i="48"/>
  <c r="F254" i="48"/>
  <c r="E254" i="48"/>
  <c r="D254" i="48"/>
  <c r="C254" i="48"/>
  <c r="B254" i="48"/>
  <c r="A254" i="48"/>
  <c r="G253" i="48"/>
  <c r="F253" i="48"/>
  <c r="E253" i="48"/>
  <c r="D253" i="48"/>
  <c r="C253" i="48"/>
  <c r="B253" i="48"/>
  <c r="A253" i="48"/>
  <c r="G252" i="48"/>
  <c r="F252" i="48"/>
  <c r="E252" i="48"/>
  <c r="D252" i="48"/>
  <c r="C252" i="48"/>
  <c r="B252" i="48"/>
  <c r="A252" i="48"/>
  <c r="G251" i="48"/>
  <c r="F251" i="48"/>
  <c r="E251" i="48"/>
  <c r="D251" i="48"/>
  <c r="C251" i="48"/>
  <c r="B251" i="48"/>
  <c r="A251" i="48"/>
  <c r="G250" i="48"/>
  <c r="F250" i="48"/>
  <c r="E250" i="48"/>
  <c r="D250" i="48"/>
  <c r="C250" i="48"/>
  <c r="B250" i="48"/>
  <c r="A250" i="48"/>
  <c r="G249" i="48"/>
  <c r="F249" i="48"/>
  <c r="E249" i="48"/>
  <c r="D249" i="48"/>
  <c r="C249" i="48"/>
  <c r="B249" i="48"/>
  <c r="A249" i="48"/>
  <c r="G248" i="48"/>
  <c r="F248" i="48"/>
  <c r="E248" i="48"/>
  <c r="D248" i="48"/>
  <c r="C248" i="48"/>
  <c r="B248" i="48"/>
  <c r="A248" i="48"/>
  <c r="G247" i="48"/>
  <c r="F247" i="48"/>
  <c r="E247" i="48"/>
  <c r="D247" i="48"/>
  <c r="C247" i="48"/>
  <c r="B247" i="48"/>
  <c r="A247" i="48"/>
  <c r="G246" i="48"/>
  <c r="F246" i="48"/>
  <c r="E246" i="48"/>
  <c r="D246" i="48"/>
  <c r="C246" i="48"/>
  <c r="B246" i="48"/>
  <c r="A246" i="48"/>
  <c r="G245" i="48"/>
  <c r="F245" i="48"/>
  <c r="E245" i="48"/>
  <c r="D245" i="48"/>
  <c r="C245" i="48"/>
  <c r="B245" i="48"/>
  <c r="A245" i="48"/>
  <c r="G244" i="48"/>
  <c r="F244" i="48"/>
  <c r="E244" i="48"/>
  <c r="D244" i="48"/>
  <c r="C244" i="48"/>
  <c r="B244" i="48"/>
  <c r="A244" i="48"/>
  <c r="G243" i="48"/>
  <c r="F243" i="48"/>
  <c r="E243" i="48"/>
  <c r="D243" i="48"/>
  <c r="C243" i="48"/>
  <c r="B243" i="48"/>
  <c r="A243" i="48"/>
  <c r="G242" i="48"/>
  <c r="F242" i="48"/>
  <c r="E242" i="48"/>
  <c r="D242" i="48"/>
  <c r="C242" i="48"/>
  <c r="B242" i="48"/>
  <c r="A242" i="48"/>
  <c r="G241" i="48"/>
  <c r="F241" i="48"/>
  <c r="E241" i="48"/>
  <c r="D241" i="48"/>
  <c r="C241" i="48"/>
  <c r="B241" i="48"/>
  <c r="A241" i="48"/>
  <c r="G240" i="48"/>
  <c r="F240" i="48"/>
  <c r="E240" i="48"/>
  <c r="D240" i="48"/>
  <c r="C240" i="48"/>
  <c r="B240" i="48"/>
  <c r="A240" i="48"/>
  <c r="G239" i="48"/>
  <c r="F239" i="48"/>
  <c r="E239" i="48"/>
  <c r="D239" i="48"/>
  <c r="C239" i="48"/>
  <c r="B239" i="48"/>
  <c r="A239" i="48"/>
  <c r="G238" i="48"/>
  <c r="F238" i="48"/>
  <c r="E238" i="48"/>
  <c r="D238" i="48"/>
  <c r="C238" i="48"/>
  <c r="B238" i="48"/>
  <c r="A238" i="48"/>
  <c r="G237" i="48"/>
  <c r="F237" i="48"/>
  <c r="E237" i="48"/>
  <c r="D237" i="48"/>
  <c r="C237" i="48"/>
  <c r="B237" i="48"/>
  <c r="A237" i="48"/>
  <c r="G236" i="48"/>
  <c r="F236" i="48"/>
  <c r="E236" i="48"/>
  <c r="D236" i="48"/>
  <c r="C236" i="48"/>
  <c r="B236" i="48"/>
  <c r="A236" i="48"/>
  <c r="G235" i="48"/>
  <c r="F235" i="48"/>
  <c r="E235" i="48"/>
  <c r="D235" i="48"/>
  <c r="C235" i="48"/>
  <c r="B235" i="48"/>
  <c r="A235" i="48"/>
  <c r="G234" i="48"/>
  <c r="F234" i="48"/>
  <c r="E234" i="48"/>
  <c r="D234" i="48"/>
  <c r="C234" i="48"/>
  <c r="B234" i="48"/>
  <c r="A234" i="48"/>
  <c r="G233" i="48"/>
  <c r="F233" i="48"/>
  <c r="E233" i="48"/>
  <c r="D233" i="48"/>
  <c r="C233" i="48"/>
  <c r="B233" i="48"/>
  <c r="A233" i="48"/>
  <c r="G232" i="48"/>
  <c r="F232" i="48"/>
  <c r="E232" i="48"/>
  <c r="D232" i="48"/>
  <c r="C232" i="48"/>
  <c r="B232" i="48"/>
  <c r="A232" i="48"/>
  <c r="G231" i="48"/>
  <c r="F231" i="48"/>
  <c r="E231" i="48"/>
  <c r="D231" i="48"/>
  <c r="C231" i="48"/>
  <c r="B231" i="48"/>
  <c r="A231" i="48"/>
  <c r="G230" i="48"/>
  <c r="F230" i="48"/>
  <c r="E230" i="48"/>
  <c r="D230" i="48"/>
  <c r="C230" i="48"/>
  <c r="B230" i="48"/>
  <c r="A230" i="48"/>
  <c r="G229" i="48"/>
  <c r="F229" i="48"/>
  <c r="E229" i="48"/>
  <c r="D229" i="48"/>
  <c r="C229" i="48"/>
  <c r="B229" i="48"/>
  <c r="A229" i="48"/>
  <c r="G228" i="48"/>
  <c r="F228" i="48"/>
  <c r="E228" i="48"/>
  <c r="D228" i="48"/>
  <c r="C228" i="48"/>
  <c r="B228" i="48"/>
  <c r="A228" i="48"/>
  <c r="G227" i="48"/>
  <c r="F227" i="48"/>
  <c r="E227" i="48"/>
  <c r="D227" i="48"/>
  <c r="C227" i="48"/>
  <c r="B227" i="48"/>
  <c r="A227" i="48"/>
  <c r="G226" i="48"/>
  <c r="F226" i="48"/>
  <c r="E226" i="48"/>
  <c r="D226" i="48"/>
  <c r="C226" i="48"/>
  <c r="B226" i="48"/>
  <c r="A226" i="48"/>
  <c r="G225" i="48"/>
  <c r="F225" i="48"/>
  <c r="E225" i="48"/>
  <c r="D225" i="48"/>
  <c r="C225" i="48"/>
  <c r="B225" i="48"/>
  <c r="A225" i="48"/>
  <c r="G224" i="48"/>
  <c r="F224" i="48"/>
  <c r="E224" i="48"/>
  <c r="D224" i="48"/>
  <c r="C224" i="48"/>
  <c r="B224" i="48"/>
  <c r="A224" i="48"/>
  <c r="G223" i="48"/>
  <c r="F223" i="48"/>
  <c r="E223" i="48"/>
  <c r="D223" i="48"/>
  <c r="C223" i="48"/>
  <c r="B223" i="48"/>
  <c r="A223" i="48"/>
  <c r="G222" i="48"/>
  <c r="F222" i="48"/>
  <c r="E222" i="48"/>
  <c r="D222" i="48"/>
  <c r="C222" i="48"/>
  <c r="B222" i="48"/>
  <c r="A222" i="48"/>
  <c r="G221" i="48"/>
  <c r="F221" i="48"/>
  <c r="E221" i="48"/>
  <c r="D221" i="48"/>
  <c r="C221" i="48"/>
  <c r="B221" i="48"/>
  <c r="A221" i="48"/>
  <c r="G220" i="48"/>
  <c r="F220" i="48"/>
  <c r="E220" i="48"/>
  <c r="D220" i="48"/>
  <c r="C220" i="48"/>
  <c r="B220" i="48"/>
  <c r="A220" i="48"/>
  <c r="G219" i="48"/>
  <c r="F219" i="48"/>
  <c r="E219" i="48"/>
  <c r="D219" i="48"/>
  <c r="C219" i="48"/>
  <c r="B219" i="48"/>
  <c r="A219" i="48"/>
  <c r="G218" i="48"/>
  <c r="F218" i="48"/>
  <c r="E218" i="48"/>
  <c r="D218" i="48"/>
  <c r="C218" i="48"/>
  <c r="B218" i="48"/>
  <c r="A218" i="48"/>
  <c r="G217" i="48"/>
  <c r="F217" i="48"/>
  <c r="E217" i="48"/>
  <c r="D217" i="48"/>
  <c r="C217" i="48"/>
  <c r="B217" i="48"/>
  <c r="A217" i="48"/>
  <c r="G216" i="48"/>
  <c r="F216" i="48"/>
  <c r="E216" i="48"/>
  <c r="D216" i="48"/>
  <c r="C216" i="48"/>
  <c r="B216" i="48"/>
  <c r="A216" i="48"/>
  <c r="G215" i="48"/>
  <c r="F215" i="48"/>
  <c r="E215" i="48"/>
  <c r="D215" i="48"/>
  <c r="C215" i="48"/>
  <c r="B215" i="48"/>
  <c r="A215" i="48"/>
  <c r="G214" i="48"/>
  <c r="F214" i="48"/>
  <c r="E214" i="48"/>
  <c r="D214" i="48"/>
  <c r="C214" i="48"/>
  <c r="B214" i="48"/>
  <c r="A214" i="48"/>
  <c r="G213" i="48"/>
  <c r="F213" i="48"/>
  <c r="E213" i="48"/>
  <c r="D213" i="48"/>
  <c r="C213" i="48"/>
  <c r="B213" i="48"/>
  <c r="A213" i="48"/>
  <c r="G212" i="48"/>
  <c r="F212" i="48"/>
  <c r="E212" i="48"/>
  <c r="D212" i="48"/>
  <c r="C212" i="48"/>
  <c r="B212" i="48"/>
  <c r="A212" i="48"/>
  <c r="G211" i="48"/>
  <c r="F211" i="48"/>
  <c r="E211" i="48"/>
  <c r="D211" i="48"/>
  <c r="C211" i="48"/>
  <c r="B211" i="48"/>
  <c r="A211" i="48"/>
  <c r="G210" i="48"/>
  <c r="F210" i="48"/>
  <c r="E210" i="48"/>
  <c r="D210" i="48"/>
  <c r="C210" i="48"/>
  <c r="B210" i="48"/>
  <c r="A210" i="48"/>
  <c r="G209" i="48"/>
  <c r="F209" i="48"/>
  <c r="E209" i="48"/>
  <c r="D209" i="48"/>
  <c r="C209" i="48"/>
  <c r="B209" i="48"/>
  <c r="A209" i="48"/>
  <c r="G208" i="48"/>
  <c r="F208" i="48"/>
  <c r="E208" i="48"/>
  <c r="D208" i="48"/>
  <c r="C208" i="48"/>
  <c r="B208" i="48"/>
  <c r="A208" i="48"/>
  <c r="G207" i="48"/>
  <c r="F207" i="48"/>
  <c r="E207" i="48"/>
  <c r="D207" i="48"/>
  <c r="C207" i="48"/>
  <c r="B207" i="48"/>
  <c r="A207" i="48"/>
  <c r="G206" i="48"/>
  <c r="F206" i="48"/>
  <c r="E206" i="48"/>
  <c r="D206" i="48"/>
  <c r="C206" i="48"/>
  <c r="B206" i="48"/>
  <c r="A206" i="48"/>
  <c r="G205" i="48"/>
  <c r="F205" i="48"/>
  <c r="E205" i="48"/>
  <c r="D205" i="48"/>
  <c r="C205" i="48"/>
  <c r="B205" i="48"/>
  <c r="A205" i="48"/>
  <c r="G204" i="48"/>
  <c r="F204" i="48"/>
  <c r="E204" i="48"/>
  <c r="D204" i="48"/>
  <c r="C204" i="48"/>
  <c r="B204" i="48"/>
  <c r="A204" i="48"/>
  <c r="G203" i="48"/>
  <c r="F203" i="48"/>
  <c r="E203" i="48"/>
  <c r="D203" i="48"/>
  <c r="C203" i="48"/>
  <c r="B203" i="48"/>
  <c r="A203" i="48"/>
  <c r="G202" i="48"/>
  <c r="F202" i="48"/>
  <c r="E202" i="48"/>
  <c r="D202" i="48"/>
  <c r="C202" i="48"/>
  <c r="B202" i="48"/>
  <c r="A202" i="48"/>
  <c r="G201" i="48"/>
  <c r="F201" i="48"/>
  <c r="E201" i="48"/>
  <c r="D201" i="48"/>
  <c r="C201" i="48"/>
  <c r="B201" i="48"/>
  <c r="A201" i="48"/>
  <c r="G200" i="48"/>
  <c r="F200" i="48"/>
  <c r="E200" i="48"/>
  <c r="D200" i="48"/>
  <c r="C200" i="48"/>
  <c r="B200" i="48"/>
  <c r="A200" i="48"/>
  <c r="G199" i="48"/>
  <c r="F199" i="48"/>
  <c r="E199" i="48"/>
  <c r="D199" i="48"/>
  <c r="C199" i="48"/>
  <c r="B199" i="48"/>
  <c r="A199" i="48"/>
  <c r="G198" i="48"/>
  <c r="F198" i="48"/>
  <c r="E198" i="48"/>
  <c r="D198" i="48"/>
  <c r="C198" i="48"/>
  <c r="B198" i="48"/>
  <c r="A198" i="48"/>
  <c r="G197" i="48"/>
  <c r="F197" i="48"/>
  <c r="E197" i="48"/>
  <c r="D197" i="48"/>
  <c r="C197" i="48"/>
  <c r="B197" i="48"/>
  <c r="A197" i="48"/>
  <c r="G196" i="48"/>
  <c r="F196" i="48"/>
  <c r="E196" i="48"/>
  <c r="D196" i="48"/>
  <c r="C196" i="48"/>
  <c r="B196" i="48"/>
  <c r="A196" i="48"/>
  <c r="G195" i="48"/>
  <c r="F195" i="48"/>
  <c r="E195" i="48"/>
  <c r="D195" i="48"/>
  <c r="C195" i="48"/>
  <c r="B195" i="48"/>
  <c r="A195" i="48"/>
  <c r="G194" i="48"/>
  <c r="F194" i="48"/>
  <c r="E194" i="48"/>
  <c r="D194" i="48"/>
  <c r="C194" i="48"/>
  <c r="B194" i="48"/>
  <c r="A194" i="48"/>
  <c r="G193" i="48"/>
  <c r="F193" i="48"/>
  <c r="E193" i="48"/>
  <c r="D193" i="48"/>
  <c r="C193" i="48"/>
  <c r="B193" i="48"/>
  <c r="A193" i="48"/>
  <c r="G192" i="48"/>
  <c r="F192" i="48"/>
  <c r="E192" i="48"/>
  <c r="D192" i="48"/>
  <c r="C192" i="48"/>
  <c r="B192" i="48"/>
  <c r="A192" i="48"/>
  <c r="G191" i="48"/>
  <c r="F191" i="48"/>
  <c r="E191" i="48"/>
  <c r="D191" i="48"/>
  <c r="C191" i="48"/>
  <c r="B191" i="48"/>
  <c r="A191" i="48"/>
  <c r="G190" i="48"/>
  <c r="F190" i="48"/>
  <c r="E190" i="48"/>
  <c r="D190" i="48"/>
  <c r="C190" i="48"/>
  <c r="B190" i="48"/>
  <c r="A190" i="48"/>
  <c r="G189" i="48"/>
  <c r="F189" i="48"/>
  <c r="E189" i="48"/>
  <c r="D189" i="48"/>
  <c r="C189" i="48"/>
  <c r="B189" i="48"/>
  <c r="A189" i="48"/>
  <c r="G188" i="48"/>
  <c r="F188" i="48"/>
  <c r="E188" i="48"/>
  <c r="D188" i="48"/>
  <c r="C188" i="48"/>
  <c r="B188" i="48"/>
  <c r="A188" i="48"/>
  <c r="G187" i="48"/>
  <c r="F187" i="48"/>
  <c r="E187" i="48"/>
  <c r="D187" i="48"/>
  <c r="C187" i="48"/>
  <c r="B187" i="48"/>
  <c r="A187" i="48"/>
  <c r="G186" i="48"/>
  <c r="F186" i="48"/>
  <c r="E186" i="48"/>
  <c r="D186" i="48"/>
  <c r="C186" i="48"/>
  <c r="B186" i="48"/>
  <c r="A186" i="48"/>
  <c r="G185" i="48"/>
  <c r="F185" i="48"/>
  <c r="E185" i="48"/>
  <c r="D185" i="48"/>
  <c r="C185" i="48"/>
  <c r="B185" i="48"/>
  <c r="A185" i="48"/>
  <c r="G184" i="48"/>
  <c r="F184" i="48"/>
  <c r="E184" i="48"/>
  <c r="D184" i="48"/>
  <c r="C184" i="48"/>
  <c r="B184" i="48"/>
  <c r="A184" i="48"/>
  <c r="G183" i="48"/>
  <c r="F183" i="48"/>
  <c r="E183" i="48"/>
  <c r="D183" i="48"/>
  <c r="C183" i="48"/>
  <c r="B183" i="48"/>
  <c r="A183" i="48"/>
  <c r="G182" i="48"/>
  <c r="F182" i="48"/>
  <c r="E182" i="48"/>
  <c r="D182" i="48"/>
  <c r="C182" i="48"/>
  <c r="B182" i="48"/>
  <c r="A182" i="48"/>
  <c r="G181" i="48"/>
  <c r="F181" i="48"/>
  <c r="E181" i="48"/>
  <c r="D181" i="48"/>
  <c r="C181" i="48"/>
  <c r="B181" i="48"/>
  <c r="A181" i="48"/>
  <c r="G180" i="48"/>
  <c r="F180" i="48"/>
  <c r="E180" i="48"/>
  <c r="D180" i="48"/>
  <c r="C180" i="48"/>
  <c r="B180" i="48"/>
  <c r="A180" i="48"/>
  <c r="G179" i="48"/>
  <c r="F179" i="48"/>
  <c r="E179" i="48"/>
  <c r="D179" i="48"/>
  <c r="C179" i="48"/>
  <c r="B179" i="48"/>
  <c r="A179" i="48"/>
  <c r="G178" i="48"/>
  <c r="F178" i="48"/>
  <c r="E178" i="48"/>
  <c r="D178" i="48"/>
  <c r="C178" i="48"/>
  <c r="B178" i="48"/>
  <c r="A178" i="48"/>
  <c r="G177" i="48"/>
  <c r="F177" i="48"/>
  <c r="E177" i="48"/>
  <c r="D177" i="48"/>
  <c r="C177" i="48"/>
  <c r="B177" i="48"/>
  <c r="A177" i="48"/>
  <c r="G176" i="48"/>
  <c r="F176" i="48"/>
  <c r="E176" i="48"/>
  <c r="D176" i="48"/>
  <c r="C176" i="48"/>
  <c r="B176" i="48"/>
  <c r="A176" i="48"/>
  <c r="G175" i="48"/>
  <c r="F175" i="48"/>
  <c r="E175" i="48"/>
  <c r="D175" i="48"/>
  <c r="C175" i="48"/>
  <c r="B175" i="48"/>
  <c r="A175" i="48"/>
  <c r="G174" i="48"/>
  <c r="F174" i="48"/>
  <c r="E174" i="48"/>
  <c r="D174" i="48"/>
  <c r="C174" i="48"/>
  <c r="B174" i="48"/>
  <c r="A174" i="48"/>
  <c r="G173" i="48"/>
  <c r="F173" i="48"/>
  <c r="E173" i="48"/>
  <c r="D173" i="48"/>
  <c r="C173" i="48"/>
  <c r="B173" i="48"/>
  <c r="A173" i="48"/>
  <c r="G172" i="48"/>
  <c r="F172" i="48"/>
  <c r="E172" i="48"/>
  <c r="D172" i="48"/>
  <c r="C172" i="48"/>
  <c r="B172" i="48"/>
  <c r="A172" i="48"/>
  <c r="G171" i="48"/>
  <c r="F171" i="48"/>
  <c r="E171" i="48"/>
  <c r="D171" i="48"/>
  <c r="C171" i="48"/>
  <c r="B171" i="48"/>
  <c r="A171" i="48"/>
  <c r="G170" i="48"/>
  <c r="F170" i="48"/>
  <c r="E170" i="48"/>
  <c r="D170" i="48"/>
  <c r="C170" i="48"/>
  <c r="B170" i="48"/>
  <c r="A170" i="48"/>
  <c r="G169" i="48"/>
  <c r="F169" i="48"/>
  <c r="E169" i="48"/>
  <c r="D169" i="48"/>
  <c r="C169" i="48"/>
  <c r="B169" i="48"/>
  <c r="A169" i="48"/>
  <c r="G168" i="48"/>
  <c r="F168" i="48"/>
  <c r="E168" i="48"/>
  <c r="D168" i="48"/>
  <c r="C168" i="48"/>
  <c r="B168" i="48"/>
  <c r="A168" i="48"/>
  <c r="G167" i="48"/>
  <c r="F167" i="48"/>
  <c r="E167" i="48"/>
  <c r="D167" i="48"/>
  <c r="C167" i="48"/>
  <c r="B167" i="48"/>
  <c r="A167" i="48"/>
  <c r="G166" i="48"/>
  <c r="F166" i="48"/>
  <c r="E166" i="48"/>
  <c r="D166" i="48"/>
  <c r="C166" i="48"/>
  <c r="B166" i="48"/>
  <c r="A166" i="48"/>
  <c r="G165" i="48"/>
  <c r="F165" i="48"/>
  <c r="E165" i="48"/>
  <c r="D165" i="48"/>
  <c r="C165" i="48"/>
  <c r="B165" i="48"/>
  <c r="A165" i="48"/>
  <c r="G164" i="48"/>
  <c r="F164" i="48"/>
  <c r="E164" i="48"/>
  <c r="D164" i="48"/>
  <c r="C164" i="48"/>
  <c r="B164" i="48"/>
  <c r="A164" i="48"/>
  <c r="G163" i="48"/>
  <c r="F163" i="48"/>
  <c r="E163" i="48"/>
  <c r="D163" i="48"/>
  <c r="C163" i="48"/>
  <c r="B163" i="48"/>
  <c r="A163" i="48"/>
  <c r="G162" i="48"/>
  <c r="F162" i="48"/>
  <c r="E162" i="48"/>
  <c r="D162" i="48"/>
  <c r="C162" i="48"/>
  <c r="B162" i="48"/>
  <c r="A162" i="48"/>
  <c r="G161" i="48"/>
  <c r="F161" i="48"/>
  <c r="E161" i="48"/>
  <c r="D161" i="48"/>
  <c r="C161" i="48"/>
  <c r="B161" i="48"/>
  <c r="A161" i="48"/>
  <c r="G160" i="48"/>
  <c r="F160" i="48"/>
  <c r="E160" i="48"/>
  <c r="D160" i="48"/>
  <c r="C160" i="48"/>
  <c r="B160" i="48"/>
  <c r="A160" i="48"/>
  <c r="G159" i="48"/>
  <c r="F159" i="48"/>
  <c r="E159" i="48"/>
  <c r="D159" i="48"/>
  <c r="C159" i="48"/>
  <c r="B159" i="48"/>
  <c r="A159" i="48"/>
  <c r="G158" i="48"/>
  <c r="F158" i="48"/>
  <c r="E158" i="48"/>
  <c r="D158" i="48"/>
  <c r="C158" i="48"/>
  <c r="B158" i="48"/>
  <c r="A158" i="48"/>
  <c r="G157" i="48"/>
  <c r="F157" i="48"/>
  <c r="E157" i="48"/>
  <c r="D157" i="48"/>
  <c r="C157" i="48"/>
  <c r="B157" i="48"/>
  <c r="A157" i="48"/>
  <c r="G156" i="48"/>
  <c r="F156" i="48"/>
  <c r="E156" i="48"/>
  <c r="D156" i="48"/>
  <c r="C156" i="48"/>
  <c r="B156" i="48"/>
  <c r="A156" i="48"/>
  <c r="G155" i="48"/>
  <c r="F155" i="48"/>
  <c r="E155" i="48"/>
  <c r="D155" i="48"/>
  <c r="C155" i="48"/>
  <c r="B155" i="48"/>
  <c r="A155" i="48"/>
  <c r="G154" i="48"/>
  <c r="F154" i="48"/>
  <c r="E154" i="48"/>
  <c r="D154" i="48"/>
  <c r="C154" i="48"/>
  <c r="B154" i="48"/>
  <c r="A154" i="48"/>
  <c r="G153" i="48"/>
  <c r="F153" i="48"/>
  <c r="E153" i="48"/>
  <c r="D153" i="48"/>
  <c r="C153" i="48"/>
  <c r="B153" i="48"/>
  <c r="A153" i="48"/>
  <c r="G152" i="48"/>
  <c r="F152" i="48"/>
  <c r="E152" i="48"/>
  <c r="D152" i="48"/>
  <c r="C152" i="48"/>
  <c r="B152" i="48"/>
  <c r="A152" i="48"/>
  <c r="G151" i="48"/>
  <c r="F151" i="48"/>
  <c r="E151" i="48"/>
  <c r="D151" i="48"/>
  <c r="C151" i="48"/>
  <c r="B151" i="48"/>
  <c r="A151" i="48"/>
  <c r="G150" i="48"/>
  <c r="F150" i="48"/>
  <c r="E150" i="48"/>
  <c r="D150" i="48"/>
  <c r="C150" i="48"/>
  <c r="B150" i="48"/>
  <c r="A150" i="48"/>
  <c r="G149" i="48"/>
  <c r="F149" i="48"/>
  <c r="E149" i="48"/>
  <c r="D149" i="48"/>
  <c r="C149" i="48"/>
  <c r="B149" i="48"/>
  <c r="A149" i="48"/>
  <c r="G148" i="48"/>
  <c r="F148" i="48"/>
  <c r="E148" i="48"/>
  <c r="D148" i="48"/>
  <c r="C148" i="48"/>
  <c r="B148" i="48"/>
  <c r="A148" i="48"/>
  <c r="G147" i="48"/>
  <c r="F147" i="48"/>
  <c r="E147" i="48"/>
  <c r="D147" i="48"/>
  <c r="C147" i="48"/>
  <c r="B147" i="48"/>
  <c r="A147" i="48"/>
  <c r="G146" i="48"/>
  <c r="F146" i="48"/>
  <c r="E146" i="48"/>
  <c r="D146" i="48"/>
  <c r="C146" i="48"/>
  <c r="B146" i="48"/>
  <c r="A146" i="48"/>
  <c r="G145" i="48"/>
  <c r="F145" i="48"/>
  <c r="E145" i="48"/>
  <c r="D145" i="48"/>
  <c r="C145" i="48"/>
  <c r="B145" i="48"/>
  <c r="A145" i="48"/>
  <c r="G144" i="48"/>
  <c r="F144" i="48"/>
  <c r="E144" i="48"/>
  <c r="D144" i="48"/>
  <c r="C144" i="48"/>
  <c r="B144" i="48"/>
  <c r="A144" i="48"/>
  <c r="G143" i="48"/>
  <c r="F143" i="48"/>
  <c r="E143" i="48"/>
  <c r="D143" i="48"/>
  <c r="C143" i="48"/>
  <c r="B143" i="48"/>
  <c r="A143" i="48"/>
  <c r="G142" i="48"/>
  <c r="F142" i="48"/>
  <c r="E142" i="48"/>
  <c r="D142" i="48"/>
  <c r="C142" i="48"/>
  <c r="B142" i="48"/>
  <c r="A142" i="48"/>
  <c r="G141" i="48"/>
  <c r="F141" i="48"/>
  <c r="E141" i="48"/>
  <c r="D141" i="48"/>
  <c r="C141" i="48"/>
  <c r="B141" i="48"/>
  <c r="A141" i="48"/>
  <c r="G140" i="48"/>
  <c r="F140" i="48"/>
  <c r="E140" i="48"/>
  <c r="D140" i="48"/>
  <c r="C140" i="48"/>
  <c r="B140" i="48"/>
  <c r="A140" i="48"/>
  <c r="G139" i="48"/>
  <c r="F139" i="48"/>
  <c r="E139" i="48"/>
  <c r="D139" i="48"/>
  <c r="C139" i="48"/>
  <c r="B139" i="48"/>
  <c r="A139" i="48"/>
  <c r="G138" i="48"/>
  <c r="F138" i="48"/>
  <c r="E138" i="48"/>
  <c r="D138" i="48"/>
  <c r="C138" i="48"/>
  <c r="B138" i="48"/>
  <c r="A138" i="48"/>
  <c r="G137" i="48"/>
  <c r="F137" i="48"/>
  <c r="E137" i="48"/>
  <c r="D137" i="48"/>
  <c r="C137" i="48"/>
  <c r="B137" i="48"/>
  <c r="A137" i="48"/>
  <c r="G136" i="48"/>
  <c r="F136" i="48"/>
  <c r="E136" i="48"/>
  <c r="D136" i="48"/>
  <c r="C136" i="48"/>
  <c r="B136" i="48"/>
  <c r="A136" i="48"/>
  <c r="G135" i="48"/>
  <c r="F135" i="48"/>
  <c r="E135" i="48"/>
  <c r="D135" i="48"/>
  <c r="C135" i="48"/>
  <c r="B135" i="48"/>
  <c r="A135" i="48"/>
  <c r="G134" i="48"/>
  <c r="F134" i="48"/>
  <c r="E134" i="48"/>
  <c r="D134" i="48"/>
  <c r="C134" i="48"/>
  <c r="B134" i="48"/>
  <c r="A134" i="48"/>
  <c r="G133" i="48"/>
  <c r="F133" i="48"/>
  <c r="E133" i="48"/>
  <c r="D133" i="48"/>
  <c r="C133" i="48"/>
  <c r="B133" i="48"/>
  <c r="A133" i="48"/>
  <c r="G132" i="48"/>
  <c r="F132" i="48"/>
  <c r="E132" i="48"/>
  <c r="D132" i="48"/>
  <c r="C132" i="48"/>
  <c r="B132" i="48"/>
  <c r="A132" i="48"/>
  <c r="G131" i="48"/>
  <c r="F131" i="48"/>
  <c r="E131" i="48"/>
  <c r="D131" i="48"/>
  <c r="C131" i="48"/>
  <c r="B131" i="48"/>
  <c r="A131" i="48"/>
  <c r="G130" i="48"/>
  <c r="F130" i="48"/>
  <c r="E130" i="48"/>
  <c r="D130" i="48"/>
  <c r="C130" i="48"/>
  <c r="B130" i="48"/>
  <c r="A130" i="48"/>
  <c r="G129" i="48"/>
  <c r="F129" i="48"/>
  <c r="E129" i="48"/>
  <c r="D129" i="48"/>
  <c r="C129" i="48"/>
  <c r="B129" i="48"/>
  <c r="A129" i="48"/>
  <c r="G128" i="48"/>
  <c r="F128" i="48"/>
  <c r="E128" i="48"/>
  <c r="D128" i="48"/>
  <c r="C128" i="48"/>
  <c r="B128" i="48"/>
  <c r="A128" i="48"/>
  <c r="G127" i="48"/>
  <c r="F127" i="48"/>
  <c r="E127" i="48"/>
  <c r="D127" i="48"/>
  <c r="C127" i="48"/>
  <c r="B127" i="48"/>
  <c r="A127" i="48"/>
  <c r="G126" i="48"/>
  <c r="F126" i="48"/>
  <c r="E126" i="48"/>
  <c r="D126" i="48"/>
  <c r="C126" i="48"/>
  <c r="B126" i="48"/>
  <c r="A126" i="48"/>
  <c r="G125" i="48"/>
  <c r="F125" i="48"/>
  <c r="E125" i="48"/>
  <c r="D125" i="48"/>
  <c r="C125" i="48"/>
  <c r="B125" i="48"/>
  <c r="A125" i="48"/>
  <c r="G124" i="48"/>
  <c r="F124" i="48"/>
  <c r="E124" i="48"/>
  <c r="D124" i="48"/>
  <c r="C124" i="48"/>
  <c r="B124" i="48"/>
  <c r="A124" i="48"/>
  <c r="G123" i="48"/>
  <c r="F123" i="48"/>
  <c r="E123" i="48"/>
  <c r="D123" i="48"/>
  <c r="C123" i="48"/>
  <c r="B123" i="48"/>
  <c r="A123" i="48"/>
  <c r="G122" i="48"/>
  <c r="F122" i="48"/>
  <c r="E122" i="48"/>
  <c r="D122" i="48"/>
  <c r="C122" i="48"/>
  <c r="B122" i="48"/>
  <c r="A122" i="48"/>
  <c r="G121" i="48"/>
  <c r="F121" i="48"/>
  <c r="E121" i="48"/>
  <c r="D121" i="48"/>
  <c r="C121" i="48"/>
  <c r="B121" i="48"/>
  <c r="A121" i="48"/>
  <c r="G120" i="48"/>
  <c r="F120" i="48"/>
  <c r="E120" i="48"/>
  <c r="D120" i="48"/>
  <c r="C120" i="48"/>
  <c r="B120" i="48"/>
  <c r="A120" i="48"/>
  <c r="G119" i="48"/>
  <c r="F119" i="48"/>
  <c r="E119" i="48"/>
  <c r="D119" i="48"/>
  <c r="C119" i="48"/>
  <c r="B119" i="48"/>
  <c r="A119" i="48"/>
  <c r="G118" i="48"/>
  <c r="F118" i="48"/>
  <c r="E118" i="48"/>
  <c r="D118" i="48"/>
  <c r="C118" i="48"/>
  <c r="B118" i="48"/>
  <c r="A118" i="48"/>
  <c r="G117" i="48"/>
  <c r="F117" i="48"/>
  <c r="E117" i="48"/>
  <c r="D117" i="48"/>
  <c r="C117" i="48"/>
  <c r="B117" i="48"/>
  <c r="A117" i="48"/>
  <c r="G116" i="48"/>
  <c r="F116" i="48"/>
  <c r="E116" i="48"/>
  <c r="D116" i="48"/>
  <c r="C116" i="48"/>
  <c r="B116" i="48"/>
  <c r="A116" i="48"/>
  <c r="G115" i="48"/>
  <c r="F115" i="48"/>
  <c r="E115" i="48"/>
  <c r="D115" i="48"/>
  <c r="C115" i="48"/>
  <c r="B115" i="48"/>
  <c r="A115" i="48"/>
  <c r="G114" i="48"/>
  <c r="F114" i="48"/>
  <c r="E114" i="48"/>
  <c r="D114" i="48"/>
  <c r="C114" i="48"/>
  <c r="B114" i="48"/>
  <c r="A114" i="48"/>
  <c r="G113" i="48"/>
  <c r="F113" i="48"/>
  <c r="E113" i="48"/>
  <c r="D113" i="48"/>
  <c r="C113" i="48"/>
  <c r="B113" i="48"/>
  <c r="A113" i="48"/>
  <c r="G112" i="48"/>
  <c r="F112" i="48"/>
  <c r="E112" i="48"/>
  <c r="D112" i="48"/>
  <c r="C112" i="48"/>
  <c r="B112" i="48"/>
  <c r="A112" i="48"/>
  <c r="G111" i="48"/>
  <c r="F111" i="48"/>
  <c r="E111" i="48"/>
  <c r="D111" i="48"/>
  <c r="C111" i="48"/>
  <c r="B111" i="48"/>
  <c r="A111" i="48"/>
  <c r="G110" i="48"/>
  <c r="F110" i="48"/>
  <c r="E110" i="48"/>
  <c r="D110" i="48"/>
  <c r="C110" i="48"/>
  <c r="B110" i="48"/>
  <c r="A110" i="48"/>
  <c r="G109" i="48"/>
  <c r="F109" i="48"/>
  <c r="E109" i="48"/>
  <c r="D109" i="48"/>
  <c r="C109" i="48"/>
  <c r="B109" i="48"/>
  <c r="A109" i="48"/>
  <c r="G108" i="48"/>
  <c r="F108" i="48"/>
  <c r="E108" i="48"/>
  <c r="D108" i="48"/>
  <c r="C108" i="48"/>
  <c r="B108" i="48"/>
  <c r="A108" i="48"/>
  <c r="G107" i="48"/>
  <c r="F107" i="48"/>
  <c r="E107" i="48"/>
  <c r="D107" i="48"/>
  <c r="C107" i="48"/>
  <c r="B107" i="48"/>
  <c r="A107" i="48"/>
  <c r="G106" i="48"/>
  <c r="F106" i="48"/>
  <c r="E106" i="48"/>
  <c r="D106" i="48"/>
  <c r="C106" i="48"/>
  <c r="B106" i="48"/>
  <c r="A106" i="48"/>
  <c r="G105" i="48"/>
  <c r="F105" i="48"/>
  <c r="E105" i="48"/>
  <c r="D105" i="48"/>
  <c r="C105" i="48"/>
  <c r="B105" i="48"/>
  <c r="A105" i="48"/>
  <c r="G104" i="48"/>
  <c r="F104" i="48"/>
  <c r="E104" i="48"/>
  <c r="D104" i="48"/>
  <c r="C104" i="48"/>
  <c r="B104" i="48"/>
  <c r="A104" i="48"/>
  <c r="G103" i="48"/>
  <c r="F103" i="48"/>
  <c r="E103" i="48"/>
  <c r="D103" i="48"/>
  <c r="C103" i="48"/>
  <c r="B103" i="48"/>
  <c r="A103" i="48"/>
  <c r="G102" i="48"/>
  <c r="F102" i="48"/>
  <c r="E102" i="48"/>
  <c r="D102" i="48"/>
  <c r="C102" i="48"/>
  <c r="B102" i="48"/>
  <c r="A102" i="48"/>
  <c r="G101" i="48"/>
  <c r="F101" i="48"/>
  <c r="E101" i="48"/>
  <c r="D101" i="48"/>
  <c r="C101" i="48"/>
  <c r="B101" i="48"/>
  <c r="A101" i="48"/>
  <c r="G100" i="48"/>
  <c r="F100" i="48"/>
  <c r="E100" i="48"/>
  <c r="D100" i="48"/>
  <c r="C100" i="48"/>
  <c r="B100" i="48"/>
  <c r="A100" i="48"/>
  <c r="G99" i="48"/>
  <c r="F99" i="48"/>
  <c r="E99" i="48"/>
  <c r="D99" i="48"/>
  <c r="C99" i="48"/>
  <c r="B99" i="48"/>
  <c r="A99" i="48"/>
  <c r="G98" i="48"/>
  <c r="F98" i="48"/>
  <c r="E98" i="48"/>
  <c r="D98" i="48"/>
  <c r="C98" i="48"/>
  <c r="B98" i="48"/>
  <c r="A98" i="48"/>
  <c r="G97" i="48"/>
  <c r="F97" i="48"/>
  <c r="E97" i="48"/>
  <c r="D97" i="48"/>
  <c r="C97" i="48"/>
  <c r="B97" i="48"/>
  <c r="A97" i="48"/>
  <c r="G96" i="48"/>
  <c r="F96" i="48"/>
  <c r="E96" i="48"/>
  <c r="D96" i="48"/>
  <c r="C96" i="48"/>
  <c r="B96" i="48"/>
  <c r="A96" i="48"/>
  <c r="G95" i="48"/>
  <c r="F95" i="48"/>
  <c r="E95" i="48"/>
  <c r="D95" i="48"/>
  <c r="C95" i="48"/>
  <c r="B95" i="48"/>
  <c r="A95" i="48"/>
  <c r="G94" i="48"/>
  <c r="F94" i="48"/>
  <c r="E94" i="48"/>
  <c r="D94" i="48"/>
  <c r="C94" i="48"/>
  <c r="B94" i="48"/>
  <c r="A94" i="48"/>
  <c r="G93" i="48"/>
  <c r="F93" i="48"/>
  <c r="E93" i="48"/>
  <c r="D93" i="48"/>
  <c r="C93" i="48"/>
  <c r="B93" i="48"/>
  <c r="A93" i="48"/>
  <c r="G92" i="48"/>
  <c r="F92" i="48"/>
  <c r="E92" i="48"/>
  <c r="D92" i="48"/>
  <c r="C92" i="48"/>
  <c r="B92" i="48"/>
  <c r="A92" i="48"/>
  <c r="G91" i="48"/>
  <c r="F91" i="48"/>
  <c r="E91" i="48"/>
  <c r="D91" i="48"/>
  <c r="C91" i="48"/>
  <c r="B91" i="48"/>
  <c r="A91" i="48"/>
  <c r="G90" i="48"/>
  <c r="F90" i="48"/>
  <c r="E90" i="48"/>
  <c r="D90" i="48"/>
  <c r="C90" i="48"/>
  <c r="B90" i="48"/>
  <c r="A90" i="48"/>
  <c r="G89" i="48"/>
  <c r="F89" i="48"/>
  <c r="E89" i="48"/>
  <c r="D89" i="48"/>
  <c r="C89" i="48"/>
  <c r="B89" i="48"/>
  <c r="A89" i="48"/>
  <c r="G88" i="48"/>
  <c r="F88" i="48"/>
  <c r="E88" i="48"/>
  <c r="D88" i="48"/>
  <c r="C88" i="48"/>
  <c r="B88" i="48"/>
  <c r="A88" i="48"/>
  <c r="G87" i="48"/>
  <c r="F87" i="48"/>
  <c r="E87" i="48"/>
  <c r="D87" i="48"/>
  <c r="C87" i="48"/>
  <c r="B87" i="48"/>
  <c r="A87" i="48"/>
  <c r="G86" i="48"/>
  <c r="F86" i="48"/>
  <c r="E86" i="48"/>
  <c r="D86" i="48"/>
  <c r="C86" i="48"/>
  <c r="B86" i="48"/>
  <c r="A86" i="48"/>
  <c r="G85" i="48"/>
  <c r="F85" i="48"/>
  <c r="E85" i="48"/>
  <c r="D85" i="48"/>
  <c r="C85" i="48"/>
  <c r="B85" i="48"/>
  <c r="A85" i="48"/>
  <c r="G84" i="48"/>
  <c r="F84" i="48"/>
  <c r="E84" i="48"/>
  <c r="D84" i="48"/>
  <c r="C84" i="48"/>
  <c r="B84" i="48"/>
  <c r="A84" i="48"/>
  <c r="G83" i="48"/>
  <c r="F83" i="48"/>
  <c r="E83" i="48"/>
  <c r="D83" i="48"/>
  <c r="C83" i="48"/>
  <c r="B83" i="48"/>
  <c r="A83" i="48"/>
  <c r="G82" i="48"/>
  <c r="F82" i="48"/>
  <c r="E82" i="48"/>
  <c r="D82" i="48"/>
  <c r="C82" i="48"/>
  <c r="B82" i="48"/>
  <c r="A82" i="48"/>
  <c r="G81" i="48"/>
  <c r="F81" i="48"/>
  <c r="E81" i="48"/>
  <c r="D81" i="48"/>
  <c r="C81" i="48"/>
  <c r="B81" i="48"/>
  <c r="A81" i="48"/>
  <c r="G80" i="48"/>
  <c r="F80" i="48"/>
  <c r="E80" i="48"/>
  <c r="D80" i="48"/>
  <c r="C80" i="48"/>
  <c r="B80" i="48"/>
  <c r="A80" i="48"/>
  <c r="G79" i="48"/>
  <c r="F79" i="48"/>
  <c r="E79" i="48"/>
  <c r="D79" i="48"/>
  <c r="C79" i="48"/>
  <c r="B79" i="48"/>
  <c r="A79" i="48"/>
  <c r="G78" i="48"/>
  <c r="F78" i="48"/>
  <c r="E78" i="48"/>
  <c r="D78" i="48"/>
  <c r="C78" i="48"/>
  <c r="B78" i="48"/>
  <c r="A78" i="48"/>
  <c r="G77" i="48"/>
  <c r="F77" i="48"/>
  <c r="E77" i="48"/>
  <c r="D77" i="48"/>
  <c r="C77" i="48"/>
  <c r="B77" i="48"/>
  <c r="A77" i="48"/>
  <c r="G76" i="48"/>
  <c r="F76" i="48"/>
  <c r="E76" i="48"/>
  <c r="D76" i="48"/>
  <c r="C76" i="48"/>
  <c r="B76" i="48"/>
  <c r="A76" i="48"/>
  <c r="G75" i="48"/>
  <c r="F75" i="48"/>
  <c r="E75" i="48"/>
  <c r="D75" i="48"/>
  <c r="C75" i="48"/>
  <c r="B75" i="48"/>
  <c r="A75" i="48"/>
  <c r="G74" i="48"/>
  <c r="F74" i="48"/>
  <c r="E74" i="48"/>
  <c r="D74" i="48"/>
  <c r="C74" i="48"/>
  <c r="B74" i="48"/>
  <c r="A74" i="48"/>
  <c r="G73" i="48"/>
  <c r="F73" i="48"/>
  <c r="E73" i="48"/>
  <c r="D73" i="48"/>
  <c r="C73" i="48"/>
  <c r="B73" i="48"/>
  <c r="A73" i="48"/>
  <c r="G72" i="48"/>
  <c r="F72" i="48"/>
  <c r="E72" i="48"/>
  <c r="D72" i="48"/>
  <c r="C72" i="48"/>
  <c r="B72" i="48"/>
  <c r="A72" i="48"/>
  <c r="G71" i="48"/>
  <c r="F71" i="48"/>
  <c r="E71" i="48"/>
  <c r="D71" i="48"/>
  <c r="C71" i="48"/>
  <c r="B71" i="48"/>
  <c r="A71" i="48"/>
  <c r="G70" i="48"/>
  <c r="F70" i="48"/>
  <c r="E70" i="48"/>
  <c r="D70" i="48"/>
  <c r="C70" i="48"/>
  <c r="B70" i="48"/>
  <c r="A70" i="48"/>
  <c r="G69" i="48"/>
  <c r="F69" i="48"/>
  <c r="E69" i="48"/>
  <c r="D69" i="48"/>
  <c r="C69" i="48"/>
  <c r="B69" i="48"/>
  <c r="A69" i="48"/>
  <c r="G68" i="48"/>
  <c r="F68" i="48"/>
  <c r="E68" i="48"/>
  <c r="D68" i="48"/>
  <c r="C68" i="48"/>
  <c r="B68" i="48"/>
  <c r="A68" i="48"/>
  <c r="G67" i="48"/>
  <c r="F67" i="48"/>
  <c r="E67" i="48"/>
  <c r="D67" i="48"/>
  <c r="C67" i="48"/>
  <c r="B67" i="48"/>
  <c r="A67" i="48"/>
  <c r="G66" i="48"/>
  <c r="F66" i="48"/>
  <c r="E66" i="48"/>
  <c r="D66" i="48"/>
  <c r="C66" i="48"/>
  <c r="B66" i="48"/>
  <c r="A66" i="48"/>
  <c r="G65" i="48"/>
  <c r="F65" i="48"/>
  <c r="E65" i="48"/>
  <c r="D65" i="48"/>
  <c r="C65" i="48"/>
  <c r="B65" i="48"/>
  <c r="A65" i="48"/>
  <c r="G64" i="48"/>
  <c r="F64" i="48"/>
  <c r="E64" i="48"/>
  <c r="D64" i="48"/>
  <c r="C64" i="48"/>
  <c r="B64" i="48"/>
  <c r="A64" i="48"/>
  <c r="G63" i="48"/>
  <c r="F63" i="48"/>
  <c r="E63" i="48"/>
  <c r="D63" i="48"/>
  <c r="C63" i="48"/>
  <c r="B63" i="48"/>
  <c r="A63" i="48"/>
  <c r="G62" i="48"/>
  <c r="F62" i="48"/>
  <c r="E62" i="48"/>
  <c r="D62" i="48"/>
  <c r="C62" i="48"/>
  <c r="B62" i="48"/>
  <c r="A62" i="48"/>
  <c r="G61" i="48"/>
  <c r="F61" i="48"/>
  <c r="E61" i="48"/>
  <c r="D61" i="48"/>
  <c r="C61" i="48"/>
  <c r="B61" i="48"/>
  <c r="A61" i="48"/>
  <c r="G60" i="48"/>
  <c r="F60" i="48"/>
  <c r="E60" i="48"/>
  <c r="D60" i="48"/>
  <c r="C60" i="48"/>
  <c r="B60" i="48"/>
  <c r="A60" i="48"/>
  <c r="G59" i="48"/>
  <c r="F59" i="48"/>
  <c r="E59" i="48"/>
  <c r="D59" i="48"/>
  <c r="C59" i="48"/>
  <c r="B59" i="48"/>
  <c r="A59" i="48"/>
  <c r="G58" i="48"/>
  <c r="F58" i="48"/>
  <c r="E58" i="48"/>
  <c r="D58" i="48"/>
  <c r="C58" i="48"/>
  <c r="B58" i="48"/>
  <c r="A58" i="48"/>
  <c r="G57" i="48"/>
  <c r="F57" i="48"/>
  <c r="E57" i="48"/>
  <c r="D57" i="48"/>
  <c r="C57" i="48"/>
  <c r="B57" i="48"/>
  <c r="A57" i="48"/>
  <c r="G56" i="48"/>
  <c r="F56" i="48"/>
  <c r="E56" i="48"/>
  <c r="D56" i="48"/>
  <c r="C56" i="48"/>
  <c r="B56" i="48"/>
  <c r="A56" i="48"/>
  <c r="G55" i="48"/>
  <c r="F55" i="48"/>
  <c r="E55" i="48"/>
  <c r="D55" i="48"/>
  <c r="C55" i="48"/>
  <c r="B55" i="48"/>
  <c r="A55" i="48"/>
  <c r="G54" i="48"/>
  <c r="F54" i="48"/>
  <c r="E54" i="48"/>
  <c r="D54" i="48"/>
  <c r="C54" i="48"/>
  <c r="B54" i="48"/>
  <c r="A54" i="48"/>
  <c r="G53" i="48"/>
  <c r="F53" i="48"/>
  <c r="E53" i="48"/>
  <c r="D53" i="48"/>
  <c r="C53" i="48"/>
  <c r="B53" i="48"/>
  <c r="A53" i="48"/>
  <c r="G52" i="48"/>
  <c r="F52" i="48"/>
  <c r="E52" i="48"/>
  <c r="D52" i="48"/>
  <c r="C52" i="48"/>
  <c r="B52" i="48"/>
  <c r="A52" i="48"/>
  <c r="G51" i="48"/>
  <c r="F51" i="48"/>
  <c r="E51" i="48"/>
  <c r="D51" i="48"/>
  <c r="C51" i="48"/>
  <c r="B51" i="48"/>
  <c r="A51" i="48"/>
  <c r="G50" i="48"/>
  <c r="F50" i="48"/>
  <c r="E50" i="48"/>
  <c r="D50" i="48"/>
  <c r="C50" i="48"/>
  <c r="B50" i="48"/>
  <c r="A50" i="48"/>
  <c r="G49" i="48"/>
  <c r="F49" i="48"/>
  <c r="E49" i="48"/>
  <c r="D49" i="48"/>
  <c r="C49" i="48"/>
  <c r="B49" i="48"/>
  <c r="A49" i="48"/>
  <c r="G48" i="48"/>
  <c r="F48" i="48"/>
  <c r="E48" i="48"/>
  <c r="D48" i="48"/>
  <c r="C48" i="48"/>
  <c r="B48" i="48"/>
  <c r="A48" i="48"/>
  <c r="G47" i="48"/>
  <c r="F47" i="48"/>
  <c r="E47" i="48"/>
  <c r="D47" i="48"/>
  <c r="C47" i="48"/>
  <c r="B47" i="48"/>
  <c r="A47" i="48"/>
  <c r="G46" i="48"/>
  <c r="F46" i="48"/>
  <c r="E46" i="48"/>
  <c r="D46" i="48"/>
  <c r="C46" i="48"/>
  <c r="B46" i="48"/>
  <c r="A46" i="48"/>
  <c r="G45" i="48"/>
  <c r="F45" i="48"/>
  <c r="E45" i="48"/>
  <c r="D45" i="48"/>
  <c r="C45" i="48"/>
  <c r="B45" i="48"/>
  <c r="A45" i="48"/>
  <c r="G44" i="48"/>
  <c r="F44" i="48"/>
  <c r="E44" i="48"/>
  <c r="D44" i="48"/>
  <c r="C44" i="48"/>
  <c r="B44" i="48"/>
  <c r="A44" i="48"/>
  <c r="G43" i="48"/>
  <c r="F43" i="48"/>
  <c r="E43" i="48"/>
  <c r="D43" i="48"/>
  <c r="C43" i="48"/>
  <c r="B43" i="48"/>
  <c r="A43" i="48"/>
  <c r="G42" i="48"/>
  <c r="F42" i="48"/>
  <c r="E42" i="48"/>
  <c r="D42" i="48"/>
  <c r="C42" i="48"/>
  <c r="B42" i="48"/>
  <c r="A42" i="48"/>
  <c r="G41" i="48"/>
  <c r="F41" i="48"/>
  <c r="E41" i="48"/>
  <c r="D41" i="48"/>
  <c r="C41" i="48"/>
  <c r="B41" i="48"/>
  <c r="A41" i="48"/>
  <c r="G40" i="48"/>
  <c r="F40" i="48"/>
  <c r="E40" i="48"/>
  <c r="D40" i="48"/>
  <c r="C40" i="48"/>
  <c r="B40" i="48"/>
  <c r="A40" i="48"/>
  <c r="G39" i="48"/>
  <c r="F39" i="48"/>
  <c r="E39" i="48"/>
  <c r="D39" i="48"/>
  <c r="C39" i="48"/>
  <c r="B39" i="48"/>
  <c r="A39" i="48"/>
  <c r="G38" i="48"/>
  <c r="F38" i="48"/>
  <c r="E38" i="48"/>
  <c r="D38" i="48"/>
  <c r="C38" i="48"/>
  <c r="B38" i="48"/>
  <c r="A38" i="48"/>
  <c r="G37" i="48"/>
  <c r="F37" i="48"/>
  <c r="E37" i="48"/>
  <c r="D37" i="48"/>
  <c r="C37" i="48"/>
  <c r="B37" i="48"/>
  <c r="A37" i="48"/>
  <c r="G36" i="48"/>
  <c r="F36" i="48"/>
  <c r="E36" i="48"/>
  <c r="D36" i="48"/>
  <c r="C36" i="48"/>
  <c r="B36" i="48"/>
  <c r="A36" i="48"/>
  <c r="G35" i="48"/>
  <c r="F35" i="48"/>
  <c r="E35" i="48"/>
  <c r="D35" i="48"/>
  <c r="C35" i="48"/>
  <c r="B35" i="48"/>
  <c r="A35" i="48"/>
  <c r="G34" i="48"/>
  <c r="F34" i="48"/>
  <c r="E34" i="48"/>
  <c r="D34" i="48"/>
  <c r="C34" i="48"/>
  <c r="B34" i="48"/>
  <c r="A34" i="48"/>
  <c r="G33" i="48"/>
  <c r="F33" i="48"/>
  <c r="E33" i="48"/>
  <c r="D33" i="48"/>
  <c r="C33" i="48"/>
  <c r="B33" i="48"/>
  <c r="A33" i="48"/>
  <c r="G32" i="48"/>
  <c r="F32" i="48"/>
  <c r="E32" i="48"/>
  <c r="D32" i="48"/>
  <c r="C32" i="48"/>
  <c r="B32" i="48"/>
  <c r="A32" i="48"/>
  <c r="G31" i="48"/>
  <c r="F31" i="48"/>
  <c r="E31" i="48"/>
  <c r="D31" i="48"/>
  <c r="C31" i="48"/>
  <c r="B31" i="48"/>
  <c r="A31" i="48"/>
  <c r="G30" i="48"/>
  <c r="F30" i="48"/>
  <c r="E30" i="48"/>
  <c r="D30" i="48"/>
  <c r="C30" i="48"/>
  <c r="B30" i="48"/>
  <c r="A30" i="48"/>
  <c r="G29" i="48"/>
  <c r="F29" i="48"/>
  <c r="E29" i="48"/>
  <c r="D29" i="48"/>
  <c r="C29" i="48"/>
  <c r="B29" i="48"/>
  <c r="A29" i="48"/>
  <c r="G28" i="48"/>
  <c r="F28" i="48"/>
  <c r="E28" i="48"/>
  <c r="D28" i="48"/>
  <c r="C28" i="48"/>
  <c r="B28" i="48"/>
  <c r="A28" i="48"/>
  <c r="G27" i="48"/>
  <c r="F27" i="48"/>
  <c r="E27" i="48"/>
  <c r="D27" i="48"/>
  <c r="C27" i="48"/>
  <c r="B27" i="48"/>
  <c r="A27" i="48"/>
  <c r="G26" i="48"/>
  <c r="F26" i="48"/>
  <c r="E26" i="48"/>
  <c r="D26" i="48"/>
  <c r="C26" i="48"/>
  <c r="B26" i="48"/>
  <c r="A26" i="48"/>
  <c r="G25" i="48"/>
  <c r="F25" i="48"/>
  <c r="E25" i="48"/>
  <c r="D25" i="48"/>
  <c r="C25" i="48"/>
  <c r="B25" i="48"/>
  <c r="A25" i="48"/>
  <c r="G24" i="48"/>
  <c r="F24" i="48"/>
  <c r="E24" i="48"/>
  <c r="D24" i="48"/>
  <c r="C24" i="48"/>
  <c r="B24" i="48"/>
  <c r="A24" i="48"/>
  <c r="G23" i="48"/>
  <c r="F23" i="48"/>
  <c r="E23" i="48"/>
  <c r="D23" i="48"/>
  <c r="C23" i="48"/>
  <c r="B23" i="48"/>
  <c r="A23" i="48"/>
  <c r="G22" i="48"/>
  <c r="F22" i="48"/>
  <c r="E22" i="48"/>
  <c r="D22" i="48"/>
  <c r="C22" i="48"/>
  <c r="B22" i="48"/>
  <c r="A22" i="48"/>
  <c r="G21" i="48"/>
  <c r="F21" i="48"/>
  <c r="E21" i="48"/>
  <c r="D21" i="48"/>
  <c r="C21" i="48"/>
  <c r="B21" i="48"/>
  <c r="A21" i="48"/>
  <c r="G20" i="48"/>
  <c r="F20" i="48"/>
  <c r="E20" i="48"/>
  <c r="D20" i="48"/>
  <c r="C20" i="48"/>
  <c r="B20" i="48"/>
  <c r="A20" i="48"/>
  <c r="G19" i="48"/>
  <c r="F19" i="48"/>
  <c r="E19" i="48"/>
  <c r="D19" i="48"/>
  <c r="C19" i="48"/>
  <c r="B19" i="48"/>
  <c r="A19" i="48"/>
  <c r="G18" i="48"/>
  <c r="F18" i="48"/>
  <c r="E18" i="48"/>
  <c r="D18" i="48"/>
  <c r="C18" i="48"/>
  <c r="B18" i="48"/>
  <c r="A18" i="48"/>
  <c r="G17" i="48"/>
  <c r="F17" i="48"/>
  <c r="E17" i="48"/>
  <c r="D17" i="48"/>
  <c r="C17" i="48"/>
  <c r="B17" i="48"/>
  <c r="A17" i="48"/>
  <c r="G16" i="48"/>
  <c r="F16" i="48"/>
  <c r="E16" i="48"/>
  <c r="D16" i="48"/>
  <c r="C16" i="48"/>
  <c r="B16" i="48"/>
  <c r="A16" i="48"/>
  <c r="G15" i="48"/>
  <c r="F15" i="48"/>
  <c r="E15" i="48"/>
  <c r="D15" i="48"/>
  <c r="C15" i="48"/>
  <c r="B15" i="48"/>
  <c r="A15" i="48"/>
  <c r="G14" i="48"/>
  <c r="F14" i="48"/>
  <c r="E14" i="48"/>
  <c r="D14" i="48"/>
  <c r="C14" i="48"/>
  <c r="B14" i="48"/>
  <c r="A14" i="48"/>
  <c r="G13" i="48"/>
  <c r="F13" i="48"/>
  <c r="E13" i="48"/>
  <c r="D13" i="48"/>
  <c r="C13" i="48"/>
  <c r="B13" i="48"/>
  <c r="A13" i="48"/>
  <c r="G12" i="48"/>
  <c r="F12" i="48"/>
  <c r="E12" i="48"/>
  <c r="D12" i="48"/>
  <c r="C12" i="48"/>
  <c r="B12" i="48"/>
  <c r="A12" i="48"/>
  <c r="G11" i="48"/>
  <c r="F11" i="48"/>
  <c r="E11" i="48"/>
  <c r="D11" i="48"/>
  <c r="C11" i="48"/>
  <c r="B11" i="48"/>
  <c r="A11" i="48"/>
  <c r="G10" i="48"/>
  <c r="F10" i="48"/>
  <c r="E10" i="48"/>
  <c r="D10" i="48"/>
  <c r="C10" i="48"/>
  <c r="B10" i="48"/>
  <c r="A10" i="48"/>
  <c r="G9" i="48"/>
  <c r="F9" i="48"/>
  <c r="E9" i="48"/>
  <c r="D9" i="48"/>
  <c r="C9" i="48"/>
  <c r="B9" i="48"/>
  <c r="A9" i="48"/>
  <c r="G8" i="48"/>
  <c r="F8" i="48"/>
  <c r="E8" i="48"/>
  <c r="D8" i="48"/>
  <c r="C8" i="48"/>
  <c r="B8" i="48"/>
  <c r="A8" i="48"/>
  <c r="G7" i="48"/>
  <c r="F7" i="48"/>
  <c r="E7" i="48"/>
  <c r="D7" i="48"/>
  <c r="C7" i="48"/>
  <c r="B7" i="48"/>
  <c r="A7" i="48"/>
  <c r="G6" i="48"/>
  <c r="F6" i="48"/>
  <c r="E6" i="48"/>
  <c r="D6" i="48"/>
  <c r="C6" i="48"/>
  <c r="B6" i="48"/>
  <c r="A6" i="48"/>
  <c r="G5" i="48"/>
  <c r="F5" i="48"/>
  <c r="E5" i="48"/>
  <c r="D5" i="48"/>
  <c r="C5" i="48"/>
  <c r="B5" i="48"/>
  <c r="A5" i="48"/>
  <c r="G4" i="48"/>
  <c r="F4" i="48"/>
  <c r="E4" i="48"/>
  <c r="D4" i="48"/>
  <c r="C4" i="48"/>
  <c r="B4" i="48"/>
  <c r="A4" i="48"/>
  <c r="G3" i="48"/>
  <c r="F3" i="48"/>
  <c r="E3" i="48"/>
  <c r="D3" i="48"/>
  <c r="C3" i="48"/>
  <c r="B3" i="48"/>
  <c r="A3" i="48"/>
  <c r="G2" i="48"/>
  <c r="F2" i="48"/>
  <c r="E2" i="48"/>
  <c r="D2" i="48"/>
  <c r="C2" i="48"/>
  <c r="B2" i="48"/>
  <c r="A2" i="48"/>
  <c r="G1" i="48"/>
  <c r="F1" i="48"/>
  <c r="E1" i="48"/>
  <c r="D1" i="48"/>
  <c r="C1" i="48"/>
  <c r="B1" i="48"/>
  <c r="A1" i="48"/>
  <c r="E271" i="47"/>
  <c r="D271" i="47"/>
  <c r="C271" i="47"/>
  <c r="B271" i="47"/>
  <c r="A271" i="47"/>
  <c r="E270" i="47"/>
  <c r="D270" i="47"/>
  <c r="C270" i="47"/>
  <c r="B270" i="47"/>
  <c r="A270" i="47"/>
  <c r="E269" i="47"/>
  <c r="D269" i="47"/>
  <c r="C269" i="47"/>
  <c r="B269" i="47"/>
  <c r="A269" i="47"/>
  <c r="E268" i="47"/>
  <c r="D268" i="47"/>
  <c r="C268" i="47"/>
  <c r="B268" i="47"/>
  <c r="A268" i="47"/>
  <c r="E267" i="47"/>
  <c r="D267" i="47"/>
  <c r="C267" i="47"/>
  <c r="B267" i="47"/>
  <c r="A267" i="47"/>
  <c r="E266" i="47"/>
  <c r="D266" i="47"/>
  <c r="C266" i="47"/>
  <c r="B266" i="47"/>
  <c r="A266" i="47"/>
  <c r="E265" i="47"/>
  <c r="D265" i="47"/>
  <c r="C265" i="47"/>
  <c r="B265" i="47"/>
  <c r="A265" i="47"/>
  <c r="E264" i="47"/>
  <c r="D264" i="47"/>
  <c r="C264" i="47"/>
  <c r="B264" i="47"/>
  <c r="A264" i="47"/>
  <c r="E263" i="47"/>
  <c r="D263" i="47"/>
  <c r="C263" i="47"/>
  <c r="B263" i="47"/>
  <c r="A263" i="47"/>
  <c r="E262" i="47"/>
  <c r="D262" i="47"/>
  <c r="C262" i="47"/>
  <c r="B262" i="47"/>
  <c r="A262" i="47"/>
  <c r="E261" i="47"/>
  <c r="D261" i="47"/>
  <c r="C261" i="47"/>
  <c r="B261" i="47"/>
  <c r="A261" i="47"/>
  <c r="E260" i="47"/>
  <c r="D260" i="47"/>
  <c r="C260" i="47"/>
  <c r="B260" i="47"/>
  <c r="A260" i="47"/>
  <c r="E259" i="47"/>
  <c r="D259" i="47"/>
  <c r="C259" i="47"/>
  <c r="B259" i="47"/>
  <c r="A259" i="47"/>
  <c r="E258" i="47"/>
  <c r="D258" i="47"/>
  <c r="C258" i="47"/>
  <c r="B258" i="47"/>
  <c r="A258" i="47"/>
  <c r="E257" i="47"/>
  <c r="D257" i="47"/>
  <c r="C257" i="47"/>
  <c r="B257" i="47"/>
  <c r="A257" i="47"/>
  <c r="E256" i="47"/>
  <c r="D256" i="47"/>
  <c r="C256" i="47"/>
  <c r="B256" i="47"/>
  <c r="A256" i="47"/>
  <c r="E255" i="47"/>
  <c r="D255" i="47"/>
  <c r="C255" i="47"/>
  <c r="B255" i="47"/>
  <c r="A255" i="47"/>
  <c r="E254" i="47"/>
  <c r="D254" i="47"/>
  <c r="C254" i="47"/>
  <c r="B254" i="47"/>
  <c r="A254" i="47"/>
  <c r="E253" i="47"/>
  <c r="D253" i="47"/>
  <c r="C253" i="47"/>
  <c r="B253" i="47"/>
  <c r="A253" i="47"/>
  <c r="E252" i="47"/>
  <c r="D252" i="47"/>
  <c r="C252" i="47"/>
  <c r="B252" i="47"/>
  <c r="A252" i="47"/>
  <c r="E251" i="47"/>
  <c r="D251" i="47"/>
  <c r="C251" i="47"/>
  <c r="B251" i="47"/>
  <c r="A251" i="47"/>
  <c r="E250" i="47"/>
  <c r="D250" i="47"/>
  <c r="C250" i="47"/>
  <c r="B250" i="47"/>
  <c r="A250" i="47"/>
  <c r="E249" i="47"/>
  <c r="D249" i="47"/>
  <c r="C249" i="47"/>
  <c r="B249" i="47"/>
  <c r="A249" i="47"/>
  <c r="E248" i="47"/>
  <c r="D248" i="47"/>
  <c r="C248" i="47"/>
  <c r="B248" i="47"/>
  <c r="A248" i="47"/>
  <c r="E247" i="47"/>
  <c r="D247" i="47"/>
  <c r="C247" i="47"/>
  <c r="B247" i="47"/>
  <c r="A247" i="47"/>
  <c r="E246" i="47"/>
  <c r="D246" i="47"/>
  <c r="C246" i="47"/>
  <c r="B246" i="47"/>
  <c r="A246" i="47"/>
  <c r="E245" i="47"/>
  <c r="D245" i="47"/>
  <c r="C245" i="47"/>
  <c r="B245" i="47"/>
  <c r="A245" i="47"/>
  <c r="E244" i="47"/>
  <c r="D244" i="47"/>
  <c r="C244" i="47"/>
  <c r="B244" i="47"/>
  <c r="A244" i="47"/>
  <c r="E243" i="47"/>
  <c r="D243" i="47"/>
  <c r="C243" i="47"/>
  <c r="B243" i="47"/>
  <c r="A243" i="47"/>
  <c r="E242" i="47"/>
  <c r="D242" i="47"/>
  <c r="C242" i="47"/>
  <c r="B242" i="47"/>
  <c r="A242" i="47"/>
  <c r="E241" i="47"/>
  <c r="D241" i="47"/>
  <c r="C241" i="47"/>
  <c r="B241" i="47"/>
  <c r="A241" i="47"/>
  <c r="E240" i="47"/>
  <c r="D240" i="47"/>
  <c r="C240" i="47"/>
  <c r="B240" i="47"/>
  <c r="A240" i="47"/>
  <c r="E239" i="47"/>
  <c r="D239" i="47"/>
  <c r="C239" i="47"/>
  <c r="B239" i="47"/>
  <c r="A239" i="47"/>
  <c r="E238" i="47"/>
  <c r="D238" i="47"/>
  <c r="C238" i="47"/>
  <c r="B238" i="47"/>
  <c r="A238" i="47"/>
  <c r="E237" i="47"/>
  <c r="D237" i="47"/>
  <c r="C237" i="47"/>
  <c r="B237" i="47"/>
  <c r="A237" i="47"/>
  <c r="E236" i="47"/>
  <c r="D236" i="47"/>
  <c r="C236" i="47"/>
  <c r="B236" i="47"/>
  <c r="A236" i="47"/>
  <c r="E235" i="47"/>
  <c r="D235" i="47"/>
  <c r="C235" i="47"/>
  <c r="B235" i="47"/>
  <c r="A235" i="47"/>
  <c r="E234" i="47"/>
  <c r="D234" i="47"/>
  <c r="C234" i="47"/>
  <c r="B234" i="47"/>
  <c r="A234" i="47"/>
  <c r="E233" i="47"/>
  <c r="D233" i="47"/>
  <c r="C233" i="47"/>
  <c r="B233" i="47"/>
  <c r="A233" i="47"/>
  <c r="E232" i="47"/>
  <c r="D232" i="47"/>
  <c r="C232" i="47"/>
  <c r="B232" i="47"/>
  <c r="A232" i="47"/>
  <c r="E231" i="47"/>
  <c r="D231" i="47"/>
  <c r="C231" i="47"/>
  <c r="B231" i="47"/>
  <c r="A231" i="47"/>
  <c r="E230" i="47"/>
  <c r="D230" i="47"/>
  <c r="C230" i="47"/>
  <c r="B230" i="47"/>
  <c r="A230" i="47"/>
  <c r="E229" i="47"/>
  <c r="D229" i="47"/>
  <c r="C229" i="47"/>
  <c r="B229" i="47"/>
  <c r="A229" i="47"/>
  <c r="E228" i="47"/>
  <c r="D228" i="47"/>
  <c r="C228" i="47"/>
  <c r="B228" i="47"/>
  <c r="A228" i="47"/>
  <c r="E227" i="47"/>
  <c r="D227" i="47"/>
  <c r="C227" i="47"/>
  <c r="B227" i="47"/>
  <c r="A227" i="47"/>
  <c r="E226" i="47"/>
  <c r="D226" i="47"/>
  <c r="C226" i="47"/>
  <c r="B226" i="47"/>
  <c r="A226" i="47"/>
  <c r="E225" i="47"/>
  <c r="D225" i="47"/>
  <c r="C225" i="47"/>
  <c r="B225" i="47"/>
  <c r="A225" i="47"/>
  <c r="E224" i="47"/>
  <c r="D224" i="47"/>
  <c r="C224" i="47"/>
  <c r="B224" i="47"/>
  <c r="A224" i="47"/>
  <c r="E223" i="47"/>
  <c r="D223" i="47"/>
  <c r="C223" i="47"/>
  <c r="B223" i="47"/>
  <c r="A223" i="47"/>
  <c r="E222" i="47"/>
  <c r="D222" i="47"/>
  <c r="C222" i="47"/>
  <c r="B222" i="47"/>
  <c r="A222" i="47"/>
  <c r="E221" i="47"/>
  <c r="D221" i="47"/>
  <c r="C221" i="47"/>
  <c r="B221" i="47"/>
  <c r="A221" i="47"/>
  <c r="E220" i="47"/>
  <c r="D220" i="47"/>
  <c r="C220" i="47"/>
  <c r="B220" i="47"/>
  <c r="A220" i="47"/>
  <c r="E219" i="47"/>
  <c r="D219" i="47"/>
  <c r="C219" i="47"/>
  <c r="B219" i="47"/>
  <c r="A219" i="47"/>
  <c r="E218" i="47"/>
  <c r="D218" i="47"/>
  <c r="C218" i="47"/>
  <c r="B218" i="47"/>
  <c r="A218" i="47"/>
  <c r="E217" i="47"/>
  <c r="D217" i="47"/>
  <c r="C217" i="47"/>
  <c r="B217" i="47"/>
  <c r="A217" i="47"/>
  <c r="E216" i="47"/>
  <c r="D216" i="47"/>
  <c r="C216" i="47"/>
  <c r="B216" i="47"/>
  <c r="A216" i="47"/>
  <c r="E215" i="47"/>
  <c r="D215" i="47"/>
  <c r="C215" i="47"/>
  <c r="B215" i="47"/>
  <c r="A215" i="47"/>
  <c r="E214" i="47"/>
  <c r="D214" i="47"/>
  <c r="C214" i="47"/>
  <c r="B214" i="47"/>
  <c r="A214" i="47"/>
  <c r="E213" i="47"/>
  <c r="D213" i="47"/>
  <c r="C213" i="47"/>
  <c r="B213" i="47"/>
  <c r="A213" i="47"/>
  <c r="E212" i="47"/>
  <c r="D212" i="47"/>
  <c r="C212" i="47"/>
  <c r="B212" i="47"/>
  <c r="A212" i="47"/>
  <c r="E211" i="47"/>
  <c r="D211" i="47"/>
  <c r="C211" i="47"/>
  <c r="B211" i="47"/>
  <c r="A211" i="47"/>
  <c r="E210" i="47"/>
  <c r="D210" i="47"/>
  <c r="C210" i="47"/>
  <c r="B210" i="47"/>
  <c r="A210" i="47"/>
  <c r="E209" i="47"/>
  <c r="D209" i="47"/>
  <c r="C209" i="47"/>
  <c r="B209" i="47"/>
  <c r="A209" i="47"/>
  <c r="E208" i="47"/>
  <c r="D208" i="47"/>
  <c r="C208" i="47"/>
  <c r="B208" i="47"/>
  <c r="A208" i="47"/>
  <c r="E207" i="47"/>
  <c r="D207" i="47"/>
  <c r="C207" i="47"/>
  <c r="B207" i="47"/>
  <c r="A207" i="47"/>
  <c r="E206" i="47"/>
  <c r="D206" i="47"/>
  <c r="C206" i="47"/>
  <c r="B206" i="47"/>
  <c r="A206" i="47"/>
  <c r="E205" i="47"/>
  <c r="D205" i="47"/>
  <c r="C205" i="47"/>
  <c r="B205" i="47"/>
  <c r="A205" i="47"/>
  <c r="E204" i="47"/>
  <c r="D204" i="47"/>
  <c r="C204" i="47"/>
  <c r="B204" i="47"/>
  <c r="A204" i="47"/>
  <c r="E203" i="47"/>
  <c r="D203" i="47"/>
  <c r="C203" i="47"/>
  <c r="B203" i="47"/>
  <c r="A203" i="47"/>
  <c r="E202" i="47"/>
  <c r="D202" i="47"/>
  <c r="C202" i="47"/>
  <c r="B202" i="47"/>
  <c r="A202" i="47"/>
  <c r="E201" i="47"/>
  <c r="D201" i="47"/>
  <c r="C201" i="47"/>
  <c r="B201" i="47"/>
  <c r="A201" i="47"/>
  <c r="E200" i="47"/>
  <c r="D200" i="47"/>
  <c r="C200" i="47"/>
  <c r="B200" i="47"/>
  <c r="A200" i="47"/>
  <c r="E199" i="47"/>
  <c r="D199" i="47"/>
  <c r="C199" i="47"/>
  <c r="B199" i="47"/>
  <c r="A199" i="47"/>
  <c r="E198" i="47"/>
  <c r="D198" i="47"/>
  <c r="C198" i="47"/>
  <c r="B198" i="47"/>
  <c r="A198" i="47"/>
  <c r="E197" i="47"/>
  <c r="D197" i="47"/>
  <c r="C197" i="47"/>
  <c r="B197" i="47"/>
  <c r="A197" i="47"/>
  <c r="E196" i="47"/>
  <c r="D196" i="47"/>
  <c r="C196" i="47"/>
  <c r="B196" i="47"/>
  <c r="A196" i="47"/>
  <c r="E195" i="47"/>
  <c r="D195" i="47"/>
  <c r="C195" i="47"/>
  <c r="B195" i="47"/>
  <c r="A195" i="47"/>
  <c r="E194" i="47"/>
  <c r="D194" i="47"/>
  <c r="C194" i="47"/>
  <c r="B194" i="47"/>
  <c r="A194" i="47"/>
  <c r="E193" i="47"/>
  <c r="D193" i="47"/>
  <c r="C193" i="47"/>
  <c r="B193" i="47"/>
  <c r="A193" i="47"/>
  <c r="E192" i="47"/>
  <c r="D192" i="47"/>
  <c r="C192" i="47"/>
  <c r="B192" i="47"/>
  <c r="A192" i="47"/>
  <c r="E191" i="47"/>
  <c r="D191" i="47"/>
  <c r="C191" i="47"/>
  <c r="B191" i="47"/>
  <c r="A191" i="47"/>
  <c r="E190" i="47"/>
  <c r="D190" i="47"/>
  <c r="C190" i="47"/>
  <c r="B190" i="47"/>
  <c r="A190" i="47"/>
  <c r="E189" i="47"/>
  <c r="D189" i="47"/>
  <c r="C189" i="47"/>
  <c r="B189" i="47"/>
  <c r="A189" i="47"/>
  <c r="E188" i="47"/>
  <c r="D188" i="47"/>
  <c r="C188" i="47"/>
  <c r="B188" i="47"/>
  <c r="A188" i="47"/>
  <c r="E187" i="47"/>
  <c r="D187" i="47"/>
  <c r="C187" i="47"/>
  <c r="B187" i="47"/>
  <c r="A187" i="47"/>
  <c r="E186" i="47"/>
  <c r="D186" i="47"/>
  <c r="C186" i="47"/>
  <c r="B186" i="47"/>
  <c r="A186" i="47"/>
  <c r="E185" i="47"/>
  <c r="D185" i="47"/>
  <c r="C185" i="47"/>
  <c r="B185" i="47"/>
  <c r="A185" i="47"/>
  <c r="E184" i="47"/>
  <c r="D184" i="47"/>
  <c r="C184" i="47"/>
  <c r="B184" i="47"/>
  <c r="A184" i="47"/>
  <c r="E183" i="47"/>
  <c r="D183" i="47"/>
  <c r="C183" i="47"/>
  <c r="B183" i="47"/>
  <c r="A183" i="47"/>
  <c r="E182" i="47"/>
  <c r="D182" i="47"/>
  <c r="C182" i="47"/>
  <c r="B182" i="47"/>
  <c r="A182" i="47"/>
  <c r="E181" i="47"/>
  <c r="D181" i="47"/>
  <c r="C181" i="47"/>
  <c r="B181" i="47"/>
  <c r="A181" i="47"/>
  <c r="E180" i="47"/>
  <c r="D180" i="47"/>
  <c r="C180" i="47"/>
  <c r="B180" i="47"/>
  <c r="A180" i="47"/>
  <c r="E179" i="47"/>
  <c r="D179" i="47"/>
  <c r="C179" i="47"/>
  <c r="B179" i="47"/>
  <c r="A179" i="47"/>
  <c r="E178" i="47"/>
  <c r="D178" i="47"/>
  <c r="C178" i="47"/>
  <c r="B178" i="47"/>
  <c r="A178" i="47"/>
  <c r="E177" i="47"/>
  <c r="D177" i="47"/>
  <c r="C177" i="47"/>
  <c r="B177" i="47"/>
  <c r="A177" i="47"/>
  <c r="E176" i="47"/>
  <c r="D176" i="47"/>
  <c r="C176" i="47"/>
  <c r="B176" i="47"/>
  <c r="A176" i="47"/>
  <c r="E175" i="47"/>
  <c r="D175" i="47"/>
  <c r="C175" i="47"/>
  <c r="B175" i="47"/>
  <c r="A175" i="47"/>
  <c r="E174" i="47"/>
  <c r="D174" i="47"/>
  <c r="C174" i="47"/>
  <c r="B174" i="47"/>
  <c r="A174" i="47"/>
  <c r="E173" i="47"/>
  <c r="D173" i="47"/>
  <c r="C173" i="47"/>
  <c r="B173" i="47"/>
  <c r="A173" i="47"/>
  <c r="E172" i="47"/>
  <c r="D172" i="47"/>
  <c r="C172" i="47"/>
  <c r="B172" i="47"/>
  <c r="A172" i="47"/>
  <c r="E171" i="47"/>
  <c r="D171" i="47"/>
  <c r="C171" i="47"/>
  <c r="B171" i="47"/>
  <c r="A171" i="47"/>
  <c r="E170" i="47"/>
  <c r="D170" i="47"/>
  <c r="C170" i="47"/>
  <c r="B170" i="47"/>
  <c r="A170" i="47"/>
  <c r="E169" i="47"/>
  <c r="D169" i="47"/>
  <c r="C169" i="47"/>
  <c r="B169" i="47"/>
  <c r="A169" i="47"/>
  <c r="E168" i="47"/>
  <c r="D168" i="47"/>
  <c r="C168" i="47"/>
  <c r="B168" i="47"/>
  <c r="A168" i="47"/>
  <c r="E167" i="47"/>
  <c r="D167" i="47"/>
  <c r="C167" i="47"/>
  <c r="B167" i="47"/>
  <c r="A167" i="47"/>
  <c r="E166" i="47"/>
  <c r="D166" i="47"/>
  <c r="C166" i="47"/>
  <c r="B166" i="47"/>
  <c r="A166" i="47"/>
  <c r="E165" i="47"/>
  <c r="D165" i="47"/>
  <c r="C165" i="47"/>
  <c r="B165" i="47"/>
  <c r="A165" i="47"/>
  <c r="E164" i="47"/>
  <c r="D164" i="47"/>
  <c r="C164" i="47"/>
  <c r="B164" i="47"/>
  <c r="A164" i="47"/>
  <c r="E163" i="47"/>
  <c r="D163" i="47"/>
  <c r="C163" i="47"/>
  <c r="B163" i="47"/>
  <c r="A163" i="47"/>
  <c r="E162" i="47"/>
  <c r="D162" i="47"/>
  <c r="C162" i="47"/>
  <c r="B162" i="47"/>
  <c r="A162" i="47"/>
  <c r="E161" i="47"/>
  <c r="D161" i="47"/>
  <c r="C161" i="47"/>
  <c r="B161" i="47"/>
  <c r="A161" i="47"/>
  <c r="E160" i="47"/>
  <c r="D160" i="47"/>
  <c r="C160" i="47"/>
  <c r="B160" i="47"/>
  <c r="A160" i="47"/>
  <c r="E159" i="47"/>
  <c r="D159" i="47"/>
  <c r="C159" i="47"/>
  <c r="B159" i="47"/>
  <c r="A159" i="47"/>
  <c r="E158" i="47"/>
  <c r="D158" i="47"/>
  <c r="C158" i="47"/>
  <c r="B158" i="47"/>
  <c r="A158" i="47"/>
  <c r="E157" i="47"/>
  <c r="D157" i="47"/>
  <c r="C157" i="47"/>
  <c r="B157" i="47"/>
  <c r="A157" i="47"/>
  <c r="E156" i="47"/>
  <c r="D156" i="47"/>
  <c r="C156" i="47"/>
  <c r="B156" i="47"/>
  <c r="A156" i="47"/>
  <c r="E155" i="47"/>
  <c r="D155" i="47"/>
  <c r="C155" i="47"/>
  <c r="B155" i="47"/>
  <c r="A155" i="47"/>
  <c r="E154" i="47"/>
  <c r="D154" i="47"/>
  <c r="C154" i="47"/>
  <c r="B154" i="47"/>
  <c r="A154" i="47"/>
  <c r="E153" i="47"/>
  <c r="D153" i="47"/>
  <c r="C153" i="47"/>
  <c r="B153" i="47"/>
  <c r="A153" i="47"/>
  <c r="E152" i="47"/>
  <c r="D152" i="47"/>
  <c r="C152" i="47"/>
  <c r="B152" i="47"/>
  <c r="A152" i="47"/>
  <c r="E151" i="47"/>
  <c r="D151" i="47"/>
  <c r="C151" i="47"/>
  <c r="B151" i="47"/>
  <c r="A151" i="47"/>
  <c r="E150" i="47"/>
  <c r="D150" i="47"/>
  <c r="C150" i="47"/>
  <c r="B150" i="47"/>
  <c r="A150" i="47"/>
  <c r="E149" i="47"/>
  <c r="D149" i="47"/>
  <c r="C149" i="47"/>
  <c r="B149" i="47"/>
  <c r="A149" i="47"/>
  <c r="E148" i="47"/>
  <c r="D148" i="47"/>
  <c r="C148" i="47"/>
  <c r="B148" i="47"/>
  <c r="A148" i="47"/>
  <c r="E147" i="47"/>
  <c r="D147" i="47"/>
  <c r="C147" i="47"/>
  <c r="B147" i="47"/>
  <c r="A147" i="47"/>
  <c r="E146" i="47"/>
  <c r="D146" i="47"/>
  <c r="C146" i="47"/>
  <c r="B146" i="47"/>
  <c r="A146" i="47"/>
  <c r="E145" i="47"/>
  <c r="D145" i="47"/>
  <c r="C145" i="47"/>
  <c r="B145" i="47"/>
  <c r="A145" i="47"/>
  <c r="E144" i="47"/>
  <c r="D144" i="47"/>
  <c r="C144" i="47"/>
  <c r="B144" i="47"/>
  <c r="A144" i="47"/>
  <c r="E143" i="47"/>
  <c r="D143" i="47"/>
  <c r="C143" i="47"/>
  <c r="B143" i="47"/>
  <c r="A143" i="47"/>
  <c r="E142" i="47"/>
  <c r="D142" i="47"/>
  <c r="C142" i="47"/>
  <c r="B142" i="47"/>
  <c r="A142" i="47"/>
  <c r="E141" i="47"/>
  <c r="D141" i="47"/>
  <c r="C141" i="47"/>
  <c r="B141" i="47"/>
  <c r="A141" i="47"/>
  <c r="E140" i="47"/>
  <c r="D140" i="47"/>
  <c r="C140" i="47"/>
  <c r="B140" i="47"/>
  <c r="A140" i="47"/>
  <c r="E139" i="47"/>
  <c r="D139" i="47"/>
  <c r="C139" i="47"/>
  <c r="B139" i="47"/>
  <c r="A139" i="47"/>
  <c r="E138" i="47"/>
  <c r="D138" i="47"/>
  <c r="C138" i="47"/>
  <c r="B138" i="47"/>
  <c r="A138" i="47"/>
  <c r="E137" i="47"/>
  <c r="D137" i="47"/>
  <c r="C137" i="47"/>
  <c r="B137" i="47"/>
  <c r="A137" i="47"/>
  <c r="E136" i="47"/>
  <c r="D136" i="47"/>
  <c r="C136" i="47"/>
  <c r="B136" i="47"/>
  <c r="A136" i="47"/>
  <c r="E135" i="47"/>
  <c r="D135" i="47"/>
  <c r="C135" i="47"/>
  <c r="B135" i="47"/>
  <c r="A135" i="47"/>
  <c r="E134" i="47"/>
  <c r="D134" i="47"/>
  <c r="C134" i="47"/>
  <c r="B134" i="47"/>
  <c r="A134" i="47"/>
  <c r="E133" i="47"/>
  <c r="D133" i="47"/>
  <c r="C133" i="47"/>
  <c r="B133" i="47"/>
  <c r="A133" i="47"/>
  <c r="E132" i="47"/>
  <c r="D132" i="47"/>
  <c r="C132" i="47"/>
  <c r="B132" i="47"/>
  <c r="A132" i="47"/>
  <c r="E131" i="47"/>
  <c r="D131" i="47"/>
  <c r="C131" i="47"/>
  <c r="B131" i="47"/>
  <c r="A131" i="47"/>
  <c r="E130" i="47"/>
  <c r="D130" i="47"/>
  <c r="C130" i="47"/>
  <c r="B130" i="47"/>
  <c r="A130" i="47"/>
  <c r="E129" i="47"/>
  <c r="D129" i="47"/>
  <c r="C129" i="47"/>
  <c r="B129" i="47"/>
  <c r="A129" i="47"/>
  <c r="E128" i="47"/>
  <c r="D128" i="47"/>
  <c r="C128" i="47"/>
  <c r="B128" i="47"/>
  <c r="A128" i="47"/>
  <c r="E127" i="47"/>
  <c r="D127" i="47"/>
  <c r="C127" i="47"/>
  <c r="B127" i="47"/>
  <c r="A127" i="47"/>
  <c r="E126" i="47"/>
  <c r="D126" i="47"/>
  <c r="C126" i="47"/>
  <c r="B126" i="47"/>
  <c r="A126" i="47"/>
  <c r="E125" i="47"/>
  <c r="D125" i="47"/>
  <c r="C125" i="47"/>
  <c r="B125" i="47"/>
  <c r="A125" i="47"/>
  <c r="E124" i="47"/>
  <c r="D124" i="47"/>
  <c r="C124" i="47"/>
  <c r="B124" i="47"/>
  <c r="A124" i="47"/>
  <c r="E123" i="47"/>
  <c r="D123" i="47"/>
  <c r="C123" i="47"/>
  <c r="B123" i="47"/>
  <c r="A123" i="47"/>
  <c r="E122" i="47"/>
  <c r="D122" i="47"/>
  <c r="C122" i="47"/>
  <c r="B122" i="47"/>
  <c r="A122" i="47"/>
  <c r="E121" i="47"/>
  <c r="D121" i="47"/>
  <c r="C121" i="47"/>
  <c r="B121" i="47"/>
  <c r="A121" i="47"/>
  <c r="E120" i="47"/>
  <c r="D120" i="47"/>
  <c r="C120" i="47"/>
  <c r="B120" i="47"/>
  <c r="A120" i="47"/>
  <c r="E119" i="47"/>
  <c r="D119" i="47"/>
  <c r="C119" i="47"/>
  <c r="B119" i="47"/>
  <c r="A119" i="47"/>
  <c r="E118" i="47"/>
  <c r="D118" i="47"/>
  <c r="C118" i="47"/>
  <c r="B118" i="47"/>
  <c r="A118" i="47"/>
  <c r="E117" i="47"/>
  <c r="D117" i="47"/>
  <c r="C117" i="47"/>
  <c r="B117" i="47"/>
  <c r="A117" i="47"/>
  <c r="E116" i="47"/>
  <c r="D116" i="47"/>
  <c r="C116" i="47"/>
  <c r="B116" i="47"/>
  <c r="A116" i="47"/>
  <c r="E115" i="47"/>
  <c r="D115" i="47"/>
  <c r="C115" i="47"/>
  <c r="B115" i="47"/>
  <c r="A115" i="47"/>
  <c r="E114" i="47"/>
  <c r="D114" i="47"/>
  <c r="C114" i="47"/>
  <c r="B114" i="47"/>
  <c r="A114" i="47"/>
  <c r="E113" i="47"/>
  <c r="D113" i="47"/>
  <c r="C113" i="47"/>
  <c r="B113" i="47"/>
  <c r="A113" i="47"/>
  <c r="E112" i="47"/>
  <c r="D112" i="47"/>
  <c r="C112" i="47"/>
  <c r="B112" i="47"/>
  <c r="A112" i="47"/>
  <c r="E111" i="47"/>
  <c r="D111" i="47"/>
  <c r="C111" i="47"/>
  <c r="B111" i="47"/>
  <c r="A111" i="47"/>
  <c r="E110" i="47"/>
  <c r="D110" i="47"/>
  <c r="C110" i="47"/>
  <c r="B110" i="47"/>
  <c r="A110" i="47"/>
  <c r="E109" i="47"/>
  <c r="D109" i="47"/>
  <c r="C109" i="47"/>
  <c r="B109" i="47"/>
  <c r="A109" i="47"/>
  <c r="E108" i="47"/>
  <c r="D108" i="47"/>
  <c r="C108" i="47"/>
  <c r="B108" i="47"/>
  <c r="A108" i="47"/>
  <c r="E107" i="47"/>
  <c r="D107" i="47"/>
  <c r="C107" i="47"/>
  <c r="B107" i="47"/>
  <c r="A107" i="47"/>
  <c r="E106" i="47"/>
  <c r="D106" i="47"/>
  <c r="C106" i="47"/>
  <c r="B106" i="47"/>
  <c r="A106" i="47"/>
  <c r="E105" i="47"/>
  <c r="D105" i="47"/>
  <c r="C105" i="47"/>
  <c r="B105" i="47"/>
  <c r="A105" i="47"/>
  <c r="E104" i="47"/>
  <c r="D104" i="47"/>
  <c r="C104" i="47"/>
  <c r="B104" i="47"/>
  <c r="A104" i="47"/>
  <c r="E103" i="47"/>
  <c r="D103" i="47"/>
  <c r="C103" i="47"/>
  <c r="B103" i="47"/>
  <c r="A103" i="47"/>
  <c r="E102" i="47"/>
  <c r="D102" i="47"/>
  <c r="C102" i="47"/>
  <c r="B102" i="47"/>
  <c r="A102" i="47"/>
  <c r="E101" i="47"/>
  <c r="D101" i="47"/>
  <c r="C101" i="47"/>
  <c r="B101" i="47"/>
  <c r="A101" i="47"/>
  <c r="E100" i="47"/>
  <c r="D100" i="47"/>
  <c r="C100" i="47"/>
  <c r="B100" i="47"/>
  <c r="A100" i="47"/>
  <c r="E99" i="47"/>
  <c r="D99" i="47"/>
  <c r="C99" i="47"/>
  <c r="B99" i="47"/>
  <c r="A99" i="47"/>
  <c r="E98" i="47"/>
  <c r="D98" i="47"/>
  <c r="C98" i="47"/>
  <c r="B98" i="47"/>
  <c r="A98" i="47"/>
  <c r="E97" i="47"/>
  <c r="D97" i="47"/>
  <c r="C97" i="47"/>
  <c r="B97" i="47"/>
  <c r="A97" i="47"/>
  <c r="E96" i="47"/>
  <c r="D96" i="47"/>
  <c r="C96" i="47"/>
  <c r="B96" i="47"/>
  <c r="A96" i="47"/>
  <c r="E95" i="47"/>
  <c r="D95" i="47"/>
  <c r="C95" i="47"/>
  <c r="B95" i="47"/>
  <c r="A95" i="47"/>
  <c r="E94" i="47"/>
  <c r="D94" i="47"/>
  <c r="C94" i="47"/>
  <c r="B94" i="47"/>
  <c r="A94" i="47"/>
  <c r="E93" i="47"/>
  <c r="D93" i="47"/>
  <c r="C93" i="47"/>
  <c r="B93" i="47"/>
  <c r="A93" i="47"/>
  <c r="E92" i="47"/>
  <c r="D92" i="47"/>
  <c r="C92" i="47"/>
  <c r="B92" i="47"/>
  <c r="A92" i="47"/>
  <c r="E91" i="47"/>
  <c r="D91" i="47"/>
  <c r="C91" i="47"/>
  <c r="B91" i="47"/>
  <c r="A91" i="47"/>
  <c r="E90" i="47"/>
  <c r="D90" i="47"/>
  <c r="C90" i="47"/>
  <c r="B90" i="47"/>
  <c r="A90" i="47"/>
  <c r="E89" i="47"/>
  <c r="D89" i="47"/>
  <c r="C89" i="47"/>
  <c r="B89" i="47"/>
  <c r="A89" i="47"/>
  <c r="E88" i="47"/>
  <c r="D88" i="47"/>
  <c r="C88" i="47"/>
  <c r="B88" i="47"/>
  <c r="A88" i="47"/>
  <c r="E87" i="47"/>
  <c r="D87" i="47"/>
  <c r="C87" i="47"/>
  <c r="B87" i="47"/>
  <c r="A87" i="47"/>
  <c r="E86" i="47"/>
  <c r="D86" i="47"/>
  <c r="C86" i="47"/>
  <c r="B86" i="47"/>
  <c r="A86" i="47"/>
  <c r="E85" i="47"/>
  <c r="D85" i="47"/>
  <c r="C85" i="47"/>
  <c r="B85" i="47"/>
  <c r="A85" i="47"/>
  <c r="E84" i="47"/>
  <c r="D84" i="47"/>
  <c r="C84" i="47"/>
  <c r="B84" i="47"/>
  <c r="A84" i="47"/>
  <c r="E83" i="47"/>
  <c r="D83" i="47"/>
  <c r="C83" i="47"/>
  <c r="B83" i="47"/>
  <c r="A83" i="47"/>
  <c r="E82" i="47"/>
  <c r="D82" i="47"/>
  <c r="C82" i="47"/>
  <c r="B82" i="47"/>
  <c r="A82" i="47"/>
  <c r="E81" i="47"/>
  <c r="D81" i="47"/>
  <c r="C81" i="47"/>
  <c r="B81" i="47"/>
  <c r="A81" i="47"/>
  <c r="E80" i="47"/>
  <c r="D80" i="47"/>
  <c r="C80" i="47"/>
  <c r="B80" i="47"/>
  <c r="A80" i="47"/>
  <c r="E79" i="47"/>
  <c r="D79" i="47"/>
  <c r="C79" i="47"/>
  <c r="B79" i="47"/>
  <c r="A79" i="47"/>
  <c r="E78" i="47"/>
  <c r="D78" i="47"/>
  <c r="C78" i="47"/>
  <c r="B78" i="47"/>
  <c r="A78" i="47"/>
  <c r="E77" i="47"/>
  <c r="D77" i="47"/>
  <c r="C77" i="47"/>
  <c r="B77" i="47"/>
  <c r="A77" i="47"/>
  <c r="E76" i="47"/>
  <c r="D76" i="47"/>
  <c r="C76" i="47"/>
  <c r="B76" i="47"/>
  <c r="A76" i="47"/>
  <c r="E75" i="47"/>
  <c r="D75" i="47"/>
  <c r="C75" i="47"/>
  <c r="B75" i="47"/>
  <c r="A75" i="47"/>
  <c r="E74" i="47"/>
  <c r="D74" i="47"/>
  <c r="C74" i="47"/>
  <c r="B74" i="47"/>
  <c r="A74" i="47"/>
  <c r="E73" i="47"/>
  <c r="D73" i="47"/>
  <c r="C73" i="47"/>
  <c r="B73" i="47"/>
  <c r="A73" i="47"/>
  <c r="E72" i="47"/>
  <c r="D72" i="47"/>
  <c r="C72" i="47"/>
  <c r="B72" i="47"/>
  <c r="A72" i="47"/>
  <c r="E71" i="47"/>
  <c r="D71" i="47"/>
  <c r="C71" i="47"/>
  <c r="B71" i="47"/>
  <c r="A71" i="47"/>
  <c r="E70" i="47"/>
  <c r="D70" i="47"/>
  <c r="C70" i="47"/>
  <c r="B70" i="47"/>
  <c r="A70" i="47"/>
  <c r="E69" i="47"/>
  <c r="D69" i="47"/>
  <c r="C69" i="47"/>
  <c r="B69" i="47"/>
  <c r="A69" i="47"/>
  <c r="E68" i="47"/>
  <c r="D68" i="47"/>
  <c r="C68" i="47"/>
  <c r="B68" i="47"/>
  <c r="A68" i="47"/>
  <c r="E67" i="47"/>
  <c r="D67" i="47"/>
  <c r="C67" i="47"/>
  <c r="B67" i="47"/>
  <c r="A67" i="47"/>
  <c r="E66" i="47"/>
  <c r="D66" i="47"/>
  <c r="C66" i="47"/>
  <c r="B66" i="47"/>
  <c r="A66" i="47"/>
  <c r="E65" i="47"/>
  <c r="D65" i="47"/>
  <c r="C65" i="47"/>
  <c r="B65" i="47"/>
  <c r="A65" i="47"/>
  <c r="E64" i="47"/>
  <c r="D64" i="47"/>
  <c r="C64" i="47"/>
  <c r="B64" i="47"/>
  <c r="A64" i="47"/>
  <c r="E63" i="47"/>
  <c r="D63" i="47"/>
  <c r="C63" i="47"/>
  <c r="B63" i="47"/>
  <c r="A63" i="47"/>
  <c r="E62" i="47"/>
  <c r="D62" i="47"/>
  <c r="C62" i="47"/>
  <c r="B62" i="47"/>
  <c r="A62" i="47"/>
  <c r="E61" i="47"/>
  <c r="D61" i="47"/>
  <c r="C61" i="47"/>
  <c r="B61" i="47"/>
  <c r="A61" i="47"/>
  <c r="E60" i="47"/>
  <c r="D60" i="47"/>
  <c r="C60" i="47"/>
  <c r="B60" i="47"/>
  <c r="A60" i="47"/>
  <c r="E59" i="47"/>
  <c r="D59" i="47"/>
  <c r="C59" i="47"/>
  <c r="B59" i="47"/>
  <c r="A59" i="47"/>
  <c r="E58" i="47"/>
  <c r="D58" i="47"/>
  <c r="C58" i="47"/>
  <c r="B58" i="47"/>
  <c r="A58" i="47"/>
  <c r="E57" i="47"/>
  <c r="D57" i="47"/>
  <c r="C57" i="47"/>
  <c r="B57" i="47"/>
  <c r="A57" i="47"/>
  <c r="E56" i="47"/>
  <c r="D56" i="47"/>
  <c r="C56" i="47"/>
  <c r="B56" i="47"/>
  <c r="A56" i="47"/>
  <c r="E55" i="47"/>
  <c r="D55" i="47"/>
  <c r="C55" i="47"/>
  <c r="B55" i="47"/>
  <c r="A55" i="47"/>
  <c r="E54" i="47"/>
  <c r="D54" i="47"/>
  <c r="C54" i="47"/>
  <c r="B54" i="47"/>
  <c r="A54" i="47"/>
  <c r="E53" i="47"/>
  <c r="D53" i="47"/>
  <c r="C53" i="47"/>
  <c r="B53" i="47"/>
  <c r="A53" i="47"/>
  <c r="E52" i="47"/>
  <c r="D52" i="47"/>
  <c r="C52" i="47"/>
  <c r="B52" i="47"/>
  <c r="A52" i="47"/>
  <c r="E51" i="47"/>
  <c r="D51" i="47"/>
  <c r="C51" i="47"/>
  <c r="B51" i="47"/>
  <c r="A51" i="47"/>
  <c r="E50" i="47"/>
  <c r="D50" i="47"/>
  <c r="C50" i="47"/>
  <c r="B50" i="47"/>
  <c r="A50" i="47"/>
  <c r="E49" i="47"/>
  <c r="D49" i="47"/>
  <c r="C49" i="47"/>
  <c r="B49" i="47"/>
  <c r="A49" i="47"/>
  <c r="E48" i="47"/>
  <c r="D48" i="47"/>
  <c r="C48" i="47"/>
  <c r="B48" i="47"/>
  <c r="A48" i="47"/>
  <c r="E47" i="47"/>
  <c r="D47" i="47"/>
  <c r="C47" i="47"/>
  <c r="B47" i="47"/>
  <c r="A47" i="47"/>
  <c r="E46" i="47"/>
  <c r="D46" i="47"/>
  <c r="C46" i="47"/>
  <c r="B46" i="47"/>
  <c r="A46" i="47"/>
  <c r="E45" i="47"/>
  <c r="D45" i="47"/>
  <c r="C45" i="47"/>
  <c r="B45" i="47"/>
  <c r="A45" i="47"/>
  <c r="E44" i="47"/>
  <c r="D44" i="47"/>
  <c r="C44" i="47"/>
  <c r="B44" i="47"/>
  <c r="A44" i="47"/>
  <c r="E43" i="47"/>
  <c r="D43" i="47"/>
  <c r="C43" i="47"/>
  <c r="B43" i="47"/>
  <c r="A43" i="47"/>
  <c r="E42" i="47"/>
  <c r="D42" i="47"/>
  <c r="C42" i="47"/>
  <c r="B42" i="47"/>
  <c r="A42" i="47"/>
  <c r="E41" i="47"/>
  <c r="D41" i="47"/>
  <c r="C41" i="47"/>
  <c r="B41" i="47"/>
  <c r="A41" i="47"/>
  <c r="E40" i="47"/>
  <c r="D40" i="47"/>
  <c r="C40" i="47"/>
  <c r="B40" i="47"/>
  <c r="A40" i="47"/>
  <c r="E39" i="47"/>
  <c r="D39" i="47"/>
  <c r="C39" i="47"/>
  <c r="B39" i="47"/>
  <c r="A39" i="47"/>
  <c r="E38" i="47"/>
  <c r="D38" i="47"/>
  <c r="C38" i="47"/>
  <c r="B38" i="47"/>
  <c r="A38" i="47"/>
  <c r="E37" i="47"/>
  <c r="D37" i="47"/>
  <c r="C37" i="47"/>
  <c r="B37" i="47"/>
  <c r="A37" i="47"/>
  <c r="E36" i="47"/>
  <c r="D36" i="47"/>
  <c r="C36" i="47"/>
  <c r="B36" i="47"/>
  <c r="A36" i="47"/>
  <c r="E35" i="47"/>
  <c r="D35" i="47"/>
  <c r="C35" i="47"/>
  <c r="B35" i="47"/>
  <c r="A35" i="47"/>
  <c r="E34" i="47"/>
  <c r="D34" i="47"/>
  <c r="C34" i="47"/>
  <c r="B34" i="47"/>
  <c r="A34" i="47"/>
  <c r="E33" i="47"/>
  <c r="D33" i="47"/>
  <c r="C33" i="47"/>
  <c r="B33" i="47"/>
  <c r="A33" i="47"/>
  <c r="E32" i="47"/>
  <c r="D32" i="47"/>
  <c r="C32" i="47"/>
  <c r="B32" i="47"/>
  <c r="A32" i="47"/>
  <c r="E31" i="47"/>
  <c r="D31" i="47"/>
  <c r="C31" i="47"/>
  <c r="B31" i="47"/>
  <c r="A31" i="47"/>
  <c r="E30" i="47"/>
  <c r="D30" i="47"/>
  <c r="C30" i="47"/>
  <c r="B30" i="47"/>
  <c r="A30" i="47"/>
  <c r="E29" i="47"/>
  <c r="D29" i="47"/>
  <c r="C29" i="47"/>
  <c r="B29" i="47"/>
  <c r="A29" i="47"/>
  <c r="E28" i="47"/>
  <c r="D28" i="47"/>
  <c r="C28" i="47"/>
  <c r="B28" i="47"/>
  <c r="A28" i="47"/>
  <c r="E27" i="47"/>
  <c r="D27" i="47"/>
  <c r="C27" i="47"/>
  <c r="B27" i="47"/>
  <c r="A27" i="47"/>
  <c r="E26" i="47"/>
  <c r="D26" i="47"/>
  <c r="C26" i="47"/>
  <c r="B26" i="47"/>
  <c r="A26" i="47"/>
  <c r="E25" i="47"/>
  <c r="D25" i="47"/>
  <c r="C25" i="47"/>
  <c r="B25" i="47"/>
  <c r="A25" i="47"/>
  <c r="E24" i="47"/>
  <c r="D24" i="47"/>
  <c r="C24" i="47"/>
  <c r="B24" i="47"/>
  <c r="A24" i="47"/>
  <c r="E23" i="47"/>
  <c r="D23" i="47"/>
  <c r="C23" i="47"/>
  <c r="B23" i="47"/>
  <c r="A23" i="47"/>
  <c r="E22" i="47"/>
  <c r="D22" i="47"/>
  <c r="C22" i="47"/>
  <c r="B22" i="47"/>
  <c r="A22" i="47"/>
  <c r="E21" i="47"/>
  <c r="D21" i="47"/>
  <c r="C21" i="47"/>
  <c r="B21" i="47"/>
  <c r="A21" i="47"/>
  <c r="E20" i="47"/>
  <c r="D20" i="47"/>
  <c r="C20" i="47"/>
  <c r="B20" i="47"/>
  <c r="A20" i="47"/>
  <c r="E19" i="47"/>
  <c r="D19" i="47"/>
  <c r="C19" i="47"/>
  <c r="B19" i="47"/>
  <c r="A19" i="47"/>
  <c r="E18" i="47"/>
  <c r="D18" i="47"/>
  <c r="C18" i="47"/>
  <c r="B18" i="47"/>
  <c r="A18" i="47"/>
  <c r="E17" i="47"/>
  <c r="D17" i="47"/>
  <c r="C17" i="47"/>
  <c r="B17" i="47"/>
  <c r="A17" i="47"/>
  <c r="E16" i="47"/>
  <c r="D16" i="47"/>
  <c r="C16" i="47"/>
  <c r="B16" i="47"/>
  <c r="A16" i="47"/>
  <c r="E15" i="47"/>
  <c r="D15" i="47"/>
  <c r="C15" i="47"/>
  <c r="B15" i="47"/>
  <c r="A15" i="47"/>
  <c r="E14" i="47"/>
  <c r="D14" i="47"/>
  <c r="C14" i="47"/>
  <c r="B14" i="47"/>
  <c r="A14" i="47"/>
  <c r="E13" i="47"/>
  <c r="D13" i="47"/>
  <c r="C13" i="47"/>
  <c r="B13" i="47"/>
  <c r="A13" i="47"/>
  <c r="E12" i="47"/>
  <c r="D12" i="47"/>
  <c r="C12" i="47"/>
  <c r="B12" i="47"/>
  <c r="A12" i="47"/>
  <c r="E11" i="47"/>
  <c r="D11" i="47"/>
  <c r="C11" i="47"/>
  <c r="B11" i="47"/>
  <c r="A11" i="47"/>
  <c r="E10" i="47"/>
  <c r="D10" i="47"/>
  <c r="C10" i="47"/>
  <c r="B10" i="47"/>
  <c r="A10" i="47"/>
  <c r="E9" i="47"/>
  <c r="D9" i="47"/>
  <c r="C9" i="47"/>
  <c r="B9" i="47"/>
  <c r="A9" i="47"/>
  <c r="E8" i="47"/>
  <c r="D8" i="47"/>
  <c r="C8" i="47"/>
  <c r="B8" i="47"/>
  <c r="A8" i="47"/>
  <c r="E7" i="47"/>
  <c r="D7" i="47"/>
  <c r="C7" i="47"/>
  <c r="B7" i="47"/>
  <c r="A7" i="47"/>
  <c r="E6" i="47"/>
  <c r="D6" i="47"/>
  <c r="C6" i="47"/>
  <c r="B6" i="47"/>
  <c r="A6" i="47"/>
  <c r="E5" i="47"/>
  <c r="D5" i="47"/>
  <c r="C5" i="47"/>
  <c r="B5" i="47"/>
  <c r="A5" i="47"/>
  <c r="E4" i="47"/>
  <c r="D4" i="47"/>
  <c r="C4" i="47"/>
  <c r="B4" i="47"/>
  <c r="A4" i="47"/>
  <c r="E3" i="47"/>
  <c r="D3" i="47"/>
  <c r="C3" i="47"/>
  <c r="B3" i="47"/>
  <c r="A3" i="47"/>
  <c r="E2" i="47"/>
  <c r="D2" i="47"/>
  <c r="C2" i="47"/>
  <c r="B2" i="47"/>
  <c r="A2" i="47"/>
  <c r="E1" i="47"/>
  <c r="D1" i="47"/>
  <c r="C1" i="47"/>
  <c r="B1" i="47"/>
  <c r="A1" i="47"/>
  <c r="H290" i="46"/>
  <c r="G290" i="46"/>
  <c r="F290" i="46"/>
  <c r="E290" i="46"/>
  <c r="D290" i="46"/>
  <c r="C290" i="46"/>
  <c r="B290" i="46"/>
  <c r="A290" i="46"/>
  <c r="H289" i="46"/>
  <c r="G289" i="46"/>
  <c r="F289" i="46"/>
  <c r="E289" i="46"/>
  <c r="D289" i="46"/>
  <c r="C289" i="46"/>
  <c r="B289" i="46"/>
  <c r="A289" i="46"/>
  <c r="H288" i="46"/>
  <c r="G288" i="46"/>
  <c r="F288" i="46"/>
  <c r="E288" i="46"/>
  <c r="D288" i="46"/>
  <c r="C288" i="46"/>
  <c r="B288" i="46"/>
  <c r="A288" i="46"/>
  <c r="H287" i="46"/>
  <c r="G287" i="46"/>
  <c r="F287" i="46"/>
  <c r="E287" i="46"/>
  <c r="D287" i="46"/>
  <c r="C287" i="46"/>
  <c r="B287" i="46"/>
  <c r="A287" i="46"/>
  <c r="H286" i="46"/>
  <c r="G286" i="46"/>
  <c r="F286" i="46"/>
  <c r="E286" i="46"/>
  <c r="D286" i="46"/>
  <c r="C286" i="46"/>
  <c r="B286" i="46"/>
  <c r="A286" i="46"/>
  <c r="H285" i="46"/>
  <c r="G285" i="46"/>
  <c r="F285" i="46"/>
  <c r="E285" i="46"/>
  <c r="D285" i="46"/>
  <c r="C285" i="46"/>
  <c r="B285" i="46"/>
  <c r="A285" i="46"/>
  <c r="H284" i="46"/>
  <c r="G284" i="46"/>
  <c r="F284" i="46"/>
  <c r="E284" i="46"/>
  <c r="D284" i="46"/>
  <c r="C284" i="46"/>
  <c r="B284" i="46"/>
  <c r="A284" i="46"/>
  <c r="H283" i="46"/>
  <c r="G283" i="46"/>
  <c r="F283" i="46"/>
  <c r="E283" i="46"/>
  <c r="D283" i="46"/>
  <c r="C283" i="46"/>
  <c r="B283" i="46"/>
  <c r="A283" i="46"/>
  <c r="H282" i="46"/>
  <c r="G282" i="46"/>
  <c r="F282" i="46"/>
  <c r="E282" i="46"/>
  <c r="D282" i="46"/>
  <c r="C282" i="46"/>
  <c r="B282" i="46"/>
  <c r="A282" i="46"/>
  <c r="H281" i="46"/>
  <c r="G281" i="46"/>
  <c r="F281" i="46"/>
  <c r="E281" i="46"/>
  <c r="D281" i="46"/>
  <c r="C281" i="46"/>
  <c r="B281" i="46"/>
  <c r="A281" i="46"/>
  <c r="H280" i="46"/>
  <c r="G280" i="46"/>
  <c r="F280" i="46"/>
  <c r="E280" i="46"/>
  <c r="D280" i="46"/>
  <c r="C280" i="46"/>
  <c r="B280" i="46"/>
  <c r="A280" i="46"/>
  <c r="H279" i="46"/>
  <c r="G279" i="46"/>
  <c r="F279" i="46"/>
  <c r="E279" i="46"/>
  <c r="D279" i="46"/>
  <c r="C279" i="46"/>
  <c r="B279" i="46"/>
  <c r="A279" i="46"/>
  <c r="H278" i="46"/>
  <c r="G278" i="46"/>
  <c r="F278" i="46"/>
  <c r="E278" i="46"/>
  <c r="D278" i="46"/>
  <c r="C278" i="46"/>
  <c r="B278" i="46"/>
  <c r="A278" i="46"/>
  <c r="H277" i="46"/>
  <c r="G277" i="46"/>
  <c r="F277" i="46"/>
  <c r="E277" i="46"/>
  <c r="D277" i="46"/>
  <c r="C277" i="46"/>
  <c r="B277" i="46"/>
  <c r="A277" i="46"/>
  <c r="H276" i="46"/>
  <c r="G276" i="46"/>
  <c r="F276" i="46"/>
  <c r="E276" i="46"/>
  <c r="D276" i="46"/>
  <c r="C276" i="46"/>
  <c r="B276" i="46"/>
  <c r="A276" i="46"/>
  <c r="H275" i="46"/>
  <c r="G275" i="46"/>
  <c r="F275" i="46"/>
  <c r="E275" i="46"/>
  <c r="D275" i="46"/>
  <c r="C275" i="46"/>
  <c r="B275" i="46"/>
  <c r="A275" i="46"/>
  <c r="H274" i="46"/>
  <c r="G274" i="46"/>
  <c r="F274" i="46"/>
  <c r="E274" i="46"/>
  <c r="D274" i="46"/>
  <c r="C274" i="46"/>
  <c r="B274" i="46"/>
  <c r="A274" i="46"/>
  <c r="H273" i="46"/>
  <c r="G273" i="46"/>
  <c r="F273" i="46"/>
  <c r="E273" i="46"/>
  <c r="D273" i="46"/>
  <c r="C273" i="46"/>
  <c r="B273" i="46"/>
  <c r="A273" i="46"/>
  <c r="H272" i="46"/>
  <c r="G272" i="46"/>
  <c r="F272" i="46"/>
  <c r="E272" i="46"/>
  <c r="D272" i="46"/>
  <c r="C272" i="46"/>
  <c r="B272" i="46"/>
  <c r="A272" i="46"/>
  <c r="H271" i="46"/>
  <c r="G271" i="46"/>
  <c r="F271" i="46"/>
  <c r="E271" i="46"/>
  <c r="D271" i="46"/>
  <c r="C271" i="46"/>
  <c r="B271" i="46"/>
  <c r="A271" i="46"/>
  <c r="H270" i="46"/>
  <c r="G270" i="46"/>
  <c r="F270" i="46"/>
  <c r="E270" i="46"/>
  <c r="D270" i="46"/>
  <c r="C270" i="46"/>
  <c r="B270" i="46"/>
  <c r="A270" i="46"/>
  <c r="H269" i="46"/>
  <c r="G269" i="46"/>
  <c r="F269" i="46"/>
  <c r="E269" i="46"/>
  <c r="D269" i="46"/>
  <c r="C269" i="46"/>
  <c r="B269" i="46"/>
  <c r="A269" i="46"/>
  <c r="H268" i="46"/>
  <c r="G268" i="46"/>
  <c r="F268" i="46"/>
  <c r="E268" i="46"/>
  <c r="D268" i="46"/>
  <c r="C268" i="46"/>
  <c r="B268" i="46"/>
  <c r="A268" i="46"/>
  <c r="H267" i="46"/>
  <c r="G267" i="46"/>
  <c r="F267" i="46"/>
  <c r="E267" i="46"/>
  <c r="D267" i="46"/>
  <c r="C267" i="46"/>
  <c r="B267" i="46"/>
  <c r="A267" i="46"/>
  <c r="H266" i="46"/>
  <c r="G266" i="46"/>
  <c r="F266" i="46"/>
  <c r="E266" i="46"/>
  <c r="D266" i="46"/>
  <c r="C266" i="46"/>
  <c r="B266" i="46"/>
  <c r="A266" i="46"/>
  <c r="H265" i="46"/>
  <c r="G265" i="46"/>
  <c r="F265" i="46"/>
  <c r="E265" i="46"/>
  <c r="D265" i="46"/>
  <c r="C265" i="46"/>
  <c r="B265" i="46"/>
  <c r="A265" i="46"/>
  <c r="H264" i="46"/>
  <c r="G264" i="46"/>
  <c r="F264" i="46"/>
  <c r="E264" i="46"/>
  <c r="D264" i="46"/>
  <c r="C264" i="46"/>
  <c r="B264" i="46"/>
  <c r="A264" i="46"/>
  <c r="H263" i="46"/>
  <c r="G263" i="46"/>
  <c r="F263" i="46"/>
  <c r="E263" i="46"/>
  <c r="D263" i="46"/>
  <c r="C263" i="46"/>
  <c r="B263" i="46"/>
  <c r="A263" i="46"/>
  <c r="H262" i="46"/>
  <c r="G262" i="46"/>
  <c r="F262" i="46"/>
  <c r="E262" i="46"/>
  <c r="D262" i="46"/>
  <c r="C262" i="46"/>
  <c r="B262" i="46"/>
  <c r="A262" i="46"/>
  <c r="H261" i="46"/>
  <c r="G261" i="46"/>
  <c r="F261" i="46"/>
  <c r="E261" i="46"/>
  <c r="D261" i="46"/>
  <c r="C261" i="46"/>
  <c r="B261" i="46"/>
  <c r="A261" i="46"/>
  <c r="H260" i="46"/>
  <c r="G260" i="46"/>
  <c r="F260" i="46"/>
  <c r="E260" i="46"/>
  <c r="D260" i="46"/>
  <c r="C260" i="46"/>
  <c r="B260" i="46"/>
  <c r="A260" i="46"/>
  <c r="H259" i="46"/>
  <c r="G259" i="46"/>
  <c r="F259" i="46"/>
  <c r="E259" i="46"/>
  <c r="D259" i="46"/>
  <c r="C259" i="46"/>
  <c r="B259" i="46"/>
  <c r="A259" i="46"/>
  <c r="H258" i="46"/>
  <c r="G258" i="46"/>
  <c r="F258" i="46"/>
  <c r="E258" i="46"/>
  <c r="D258" i="46"/>
  <c r="C258" i="46"/>
  <c r="B258" i="46"/>
  <c r="A258" i="46"/>
  <c r="H257" i="46"/>
  <c r="G257" i="46"/>
  <c r="F257" i="46"/>
  <c r="E257" i="46"/>
  <c r="D257" i="46"/>
  <c r="C257" i="46"/>
  <c r="B257" i="46"/>
  <c r="A257" i="46"/>
  <c r="H256" i="46"/>
  <c r="G256" i="46"/>
  <c r="F256" i="46"/>
  <c r="E256" i="46"/>
  <c r="D256" i="46"/>
  <c r="C256" i="46"/>
  <c r="B256" i="46"/>
  <c r="A256" i="46"/>
  <c r="H255" i="46"/>
  <c r="G255" i="46"/>
  <c r="F255" i="46"/>
  <c r="E255" i="46"/>
  <c r="D255" i="46"/>
  <c r="C255" i="46"/>
  <c r="B255" i="46"/>
  <c r="A255" i="46"/>
  <c r="H254" i="46"/>
  <c r="G254" i="46"/>
  <c r="F254" i="46"/>
  <c r="E254" i="46"/>
  <c r="D254" i="46"/>
  <c r="C254" i="46"/>
  <c r="B254" i="46"/>
  <c r="A254" i="46"/>
  <c r="H253" i="46"/>
  <c r="G253" i="46"/>
  <c r="F253" i="46"/>
  <c r="E253" i="46"/>
  <c r="D253" i="46"/>
  <c r="C253" i="46"/>
  <c r="B253" i="46"/>
  <c r="A253" i="46"/>
  <c r="H252" i="46"/>
  <c r="G252" i="46"/>
  <c r="F252" i="46"/>
  <c r="E252" i="46"/>
  <c r="D252" i="46"/>
  <c r="C252" i="46"/>
  <c r="B252" i="46"/>
  <c r="A252" i="46"/>
  <c r="H251" i="46"/>
  <c r="G251" i="46"/>
  <c r="F251" i="46"/>
  <c r="E251" i="46"/>
  <c r="D251" i="46"/>
  <c r="C251" i="46"/>
  <c r="B251" i="46"/>
  <c r="A251" i="46"/>
  <c r="H250" i="46"/>
  <c r="G250" i="46"/>
  <c r="F250" i="46"/>
  <c r="E250" i="46"/>
  <c r="D250" i="46"/>
  <c r="C250" i="46"/>
  <c r="B250" i="46"/>
  <c r="A250" i="46"/>
  <c r="H249" i="46"/>
  <c r="G249" i="46"/>
  <c r="F249" i="46"/>
  <c r="E249" i="46"/>
  <c r="D249" i="46"/>
  <c r="C249" i="46"/>
  <c r="B249" i="46"/>
  <c r="A249" i="46"/>
  <c r="H248" i="46"/>
  <c r="G248" i="46"/>
  <c r="F248" i="46"/>
  <c r="E248" i="46"/>
  <c r="D248" i="46"/>
  <c r="C248" i="46"/>
  <c r="B248" i="46"/>
  <c r="A248" i="46"/>
  <c r="H247" i="46"/>
  <c r="G247" i="46"/>
  <c r="F247" i="46"/>
  <c r="E247" i="46"/>
  <c r="D247" i="46"/>
  <c r="C247" i="46"/>
  <c r="B247" i="46"/>
  <c r="A247" i="46"/>
  <c r="H246" i="46"/>
  <c r="G246" i="46"/>
  <c r="F246" i="46"/>
  <c r="E246" i="46"/>
  <c r="D246" i="46"/>
  <c r="C246" i="46"/>
  <c r="B246" i="46"/>
  <c r="A246" i="46"/>
  <c r="H245" i="46"/>
  <c r="G245" i="46"/>
  <c r="F245" i="46"/>
  <c r="E245" i="46"/>
  <c r="D245" i="46"/>
  <c r="C245" i="46"/>
  <c r="B245" i="46"/>
  <c r="A245" i="46"/>
  <c r="H244" i="46"/>
  <c r="G244" i="46"/>
  <c r="F244" i="46"/>
  <c r="E244" i="46"/>
  <c r="D244" i="46"/>
  <c r="C244" i="46"/>
  <c r="B244" i="46"/>
  <c r="A244" i="46"/>
  <c r="H243" i="46"/>
  <c r="G243" i="46"/>
  <c r="F243" i="46"/>
  <c r="E243" i="46"/>
  <c r="D243" i="46"/>
  <c r="C243" i="46"/>
  <c r="B243" i="46"/>
  <c r="A243" i="46"/>
  <c r="H242" i="46"/>
  <c r="G242" i="46"/>
  <c r="F242" i="46"/>
  <c r="E242" i="46"/>
  <c r="D242" i="46"/>
  <c r="C242" i="46"/>
  <c r="B242" i="46"/>
  <c r="A242" i="46"/>
  <c r="H241" i="46"/>
  <c r="G241" i="46"/>
  <c r="F241" i="46"/>
  <c r="E241" i="46"/>
  <c r="D241" i="46"/>
  <c r="C241" i="46"/>
  <c r="B241" i="46"/>
  <c r="A241" i="46"/>
  <c r="H240" i="46"/>
  <c r="G240" i="46"/>
  <c r="F240" i="46"/>
  <c r="E240" i="46"/>
  <c r="D240" i="46"/>
  <c r="C240" i="46"/>
  <c r="B240" i="46"/>
  <c r="A240" i="46"/>
  <c r="H239" i="46"/>
  <c r="G239" i="46"/>
  <c r="F239" i="46"/>
  <c r="E239" i="46"/>
  <c r="D239" i="46"/>
  <c r="C239" i="46"/>
  <c r="B239" i="46"/>
  <c r="A239" i="46"/>
  <c r="H238" i="46"/>
  <c r="G238" i="46"/>
  <c r="F238" i="46"/>
  <c r="E238" i="46"/>
  <c r="D238" i="46"/>
  <c r="C238" i="46"/>
  <c r="B238" i="46"/>
  <c r="A238" i="46"/>
  <c r="H237" i="46"/>
  <c r="G237" i="46"/>
  <c r="F237" i="46"/>
  <c r="E237" i="46"/>
  <c r="D237" i="46"/>
  <c r="C237" i="46"/>
  <c r="B237" i="46"/>
  <c r="A237" i="46"/>
  <c r="H236" i="46"/>
  <c r="G236" i="46"/>
  <c r="F236" i="46"/>
  <c r="E236" i="46"/>
  <c r="D236" i="46"/>
  <c r="C236" i="46"/>
  <c r="B236" i="46"/>
  <c r="A236" i="46"/>
  <c r="H235" i="46"/>
  <c r="G235" i="46"/>
  <c r="F235" i="46"/>
  <c r="E235" i="46"/>
  <c r="D235" i="46"/>
  <c r="C235" i="46"/>
  <c r="B235" i="46"/>
  <c r="A235" i="46"/>
  <c r="H234" i="46"/>
  <c r="G234" i="46"/>
  <c r="F234" i="46"/>
  <c r="E234" i="46"/>
  <c r="D234" i="46"/>
  <c r="C234" i="46"/>
  <c r="B234" i="46"/>
  <c r="A234" i="46"/>
  <c r="H233" i="46"/>
  <c r="G233" i="46"/>
  <c r="F233" i="46"/>
  <c r="E233" i="46"/>
  <c r="D233" i="46"/>
  <c r="C233" i="46"/>
  <c r="B233" i="46"/>
  <c r="A233" i="46"/>
  <c r="H232" i="46"/>
  <c r="G232" i="46"/>
  <c r="F232" i="46"/>
  <c r="E232" i="46"/>
  <c r="D232" i="46"/>
  <c r="C232" i="46"/>
  <c r="B232" i="46"/>
  <c r="A232" i="46"/>
  <c r="H231" i="46"/>
  <c r="G231" i="46"/>
  <c r="F231" i="46"/>
  <c r="E231" i="46"/>
  <c r="D231" i="46"/>
  <c r="C231" i="46"/>
  <c r="B231" i="46"/>
  <c r="A231" i="46"/>
  <c r="H230" i="46"/>
  <c r="G230" i="46"/>
  <c r="F230" i="46"/>
  <c r="E230" i="46"/>
  <c r="D230" i="46"/>
  <c r="C230" i="46"/>
  <c r="B230" i="46"/>
  <c r="A230" i="46"/>
  <c r="H229" i="46"/>
  <c r="G229" i="46"/>
  <c r="F229" i="46"/>
  <c r="E229" i="46"/>
  <c r="D229" i="46"/>
  <c r="C229" i="46"/>
  <c r="B229" i="46"/>
  <c r="A229" i="46"/>
  <c r="H228" i="46"/>
  <c r="G228" i="46"/>
  <c r="F228" i="46"/>
  <c r="E228" i="46"/>
  <c r="D228" i="46"/>
  <c r="C228" i="46"/>
  <c r="B228" i="46"/>
  <c r="A228" i="46"/>
  <c r="H227" i="46"/>
  <c r="G227" i="46"/>
  <c r="F227" i="46"/>
  <c r="E227" i="46"/>
  <c r="D227" i="46"/>
  <c r="C227" i="46"/>
  <c r="B227" i="46"/>
  <c r="A227" i="46"/>
  <c r="H226" i="46"/>
  <c r="G226" i="46"/>
  <c r="F226" i="46"/>
  <c r="E226" i="46"/>
  <c r="D226" i="46"/>
  <c r="C226" i="46"/>
  <c r="B226" i="46"/>
  <c r="A226" i="46"/>
  <c r="H225" i="46"/>
  <c r="G225" i="46"/>
  <c r="F225" i="46"/>
  <c r="E225" i="46"/>
  <c r="D225" i="46"/>
  <c r="C225" i="46"/>
  <c r="B225" i="46"/>
  <c r="A225" i="46"/>
  <c r="H224" i="46"/>
  <c r="G224" i="46"/>
  <c r="F224" i="46"/>
  <c r="E224" i="46"/>
  <c r="D224" i="46"/>
  <c r="C224" i="46"/>
  <c r="B224" i="46"/>
  <c r="A224" i="46"/>
  <c r="H223" i="46"/>
  <c r="G223" i="46"/>
  <c r="F223" i="46"/>
  <c r="E223" i="46"/>
  <c r="D223" i="46"/>
  <c r="C223" i="46"/>
  <c r="B223" i="46"/>
  <c r="A223" i="46"/>
  <c r="H222" i="46"/>
  <c r="G222" i="46"/>
  <c r="F222" i="46"/>
  <c r="E222" i="46"/>
  <c r="D222" i="46"/>
  <c r="C222" i="46"/>
  <c r="B222" i="46"/>
  <c r="A222" i="46"/>
  <c r="H221" i="46"/>
  <c r="G221" i="46"/>
  <c r="F221" i="46"/>
  <c r="E221" i="46"/>
  <c r="D221" i="46"/>
  <c r="C221" i="46"/>
  <c r="B221" i="46"/>
  <c r="A221" i="46"/>
  <c r="H220" i="46"/>
  <c r="G220" i="46"/>
  <c r="F220" i="46"/>
  <c r="E220" i="46"/>
  <c r="D220" i="46"/>
  <c r="C220" i="46"/>
  <c r="B220" i="46"/>
  <c r="A220" i="46"/>
  <c r="H219" i="46"/>
  <c r="G219" i="46"/>
  <c r="F219" i="46"/>
  <c r="E219" i="46"/>
  <c r="D219" i="46"/>
  <c r="C219" i="46"/>
  <c r="B219" i="46"/>
  <c r="A219" i="46"/>
  <c r="H218" i="46"/>
  <c r="G218" i="46"/>
  <c r="F218" i="46"/>
  <c r="E218" i="46"/>
  <c r="D218" i="46"/>
  <c r="C218" i="46"/>
  <c r="B218" i="46"/>
  <c r="A218" i="46"/>
  <c r="H217" i="46"/>
  <c r="G217" i="46"/>
  <c r="F217" i="46"/>
  <c r="E217" i="46"/>
  <c r="D217" i="46"/>
  <c r="C217" i="46"/>
  <c r="B217" i="46"/>
  <c r="A217" i="46"/>
  <c r="H216" i="46"/>
  <c r="G216" i="46"/>
  <c r="F216" i="46"/>
  <c r="E216" i="46"/>
  <c r="D216" i="46"/>
  <c r="C216" i="46"/>
  <c r="B216" i="46"/>
  <c r="A216" i="46"/>
  <c r="H215" i="46"/>
  <c r="G215" i="46"/>
  <c r="F215" i="46"/>
  <c r="E215" i="46"/>
  <c r="D215" i="46"/>
  <c r="C215" i="46"/>
  <c r="B215" i="46"/>
  <c r="A215" i="46"/>
  <c r="H214" i="46"/>
  <c r="G214" i="46"/>
  <c r="F214" i="46"/>
  <c r="E214" i="46"/>
  <c r="D214" i="46"/>
  <c r="C214" i="46"/>
  <c r="B214" i="46"/>
  <c r="A214" i="46"/>
  <c r="H213" i="46"/>
  <c r="G213" i="46"/>
  <c r="F213" i="46"/>
  <c r="E213" i="46"/>
  <c r="D213" i="46"/>
  <c r="C213" i="46"/>
  <c r="B213" i="46"/>
  <c r="A213" i="46"/>
  <c r="H212" i="46"/>
  <c r="G212" i="46"/>
  <c r="F212" i="46"/>
  <c r="E212" i="46"/>
  <c r="D212" i="46"/>
  <c r="C212" i="46"/>
  <c r="B212" i="46"/>
  <c r="A212" i="46"/>
  <c r="H211" i="46"/>
  <c r="G211" i="46"/>
  <c r="F211" i="46"/>
  <c r="E211" i="46"/>
  <c r="D211" i="46"/>
  <c r="C211" i="46"/>
  <c r="B211" i="46"/>
  <c r="A211" i="46"/>
  <c r="H210" i="46"/>
  <c r="G210" i="46"/>
  <c r="F210" i="46"/>
  <c r="E210" i="46"/>
  <c r="D210" i="46"/>
  <c r="C210" i="46"/>
  <c r="B210" i="46"/>
  <c r="A210" i="46"/>
  <c r="H209" i="46"/>
  <c r="G209" i="46"/>
  <c r="F209" i="46"/>
  <c r="E209" i="46"/>
  <c r="D209" i="46"/>
  <c r="C209" i="46"/>
  <c r="B209" i="46"/>
  <c r="A209" i="46"/>
  <c r="H208" i="46"/>
  <c r="G208" i="46"/>
  <c r="F208" i="46"/>
  <c r="E208" i="46"/>
  <c r="D208" i="46"/>
  <c r="C208" i="46"/>
  <c r="B208" i="46"/>
  <c r="A208" i="46"/>
  <c r="H207" i="46"/>
  <c r="G207" i="46"/>
  <c r="F207" i="46"/>
  <c r="E207" i="46"/>
  <c r="D207" i="46"/>
  <c r="C207" i="46"/>
  <c r="B207" i="46"/>
  <c r="A207" i="46"/>
  <c r="H206" i="46"/>
  <c r="G206" i="46"/>
  <c r="F206" i="46"/>
  <c r="E206" i="46"/>
  <c r="D206" i="46"/>
  <c r="C206" i="46"/>
  <c r="B206" i="46"/>
  <c r="A206" i="46"/>
  <c r="H205" i="46"/>
  <c r="G205" i="46"/>
  <c r="F205" i="46"/>
  <c r="E205" i="46"/>
  <c r="D205" i="46"/>
  <c r="C205" i="46"/>
  <c r="B205" i="46"/>
  <c r="A205" i="46"/>
  <c r="H204" i="46"/>
  <c r="G204" i="46"/>
  <c r="F204" i="46"/>
  <c r="E204" i="46"/>
  <c r="D204" i="46"/>
  <c r="C204" i="46"/>
  <c r="B204" i="46"/>
  <c r="A204" i="46"/>
  <c r="H203" i="46"/>
  <c r="G203" i="46"/>
  <c r="F203" i="46"/>
  <c r="E203" i="46"/>
  <c r="D203" i="46"/>
  <c r="C203" i="46"/>
  <c r="B203" i="46"/>
  <c r="A203" i="46"/>
  <c r="H202" i="46"/>
  <c r="G202" i="46"/>
  <c r="F202" i="46"/>
  <c r="E202" i="46"/>
  <c r="D202" i="46"/>
  <c r="C202" i="46"/>
  <c r="B202" i="46"/>
  <c r="A202" i="46"/>
  <c r="H201" i="46"/>
  <c r="G201" i="46"/>
  <c r="F201" i="46"/>
  <c r="E201" i="46"/>
  <c r="D201" i="46"/>
  <c r="C201" i="46"/>
  <c r="B201" i="46"/>
  <c r="A201" i="46"/>
  <c r="H200" i="46"/>
  <c r="G200" i="46"/>
  <c r="F200" i="46"/>
  <c r="E200" i="46"/>
  <c r="D200" i="46"/>
  <c r="C200" i="46"/>
  <c r="B200" i="46"/>
  <c r="A200" i="46"/>
  <c r="H199" i="46"/>
  <c r="G199" i="46"/>
  <c r="F199" i="46"/>
  <c r="E199" i="46"/>
  <c r="D199" i="46"/>
  <c r="C199" i="46"/>
  <c r="B199" i="46"/>
  <c r="A199" i="46"/>
  <c r="H198" i="46"/>
  <c r="G198" i="46"/>
  <c r="F198" i="46"/>
  <c r="E198" i="46"/>
  <c r="D198" i="46"/>
  <c r="C198" i="46"/>
  <c r="B198" i="46"/>
  <c r="A198" i="46"/>
  <c r="H197" i="46"/>
  <c r="G197" i="46"/>
  <c r="F197" i="46"/>
  <c r="E197" i="46"/>
  <c r="D197" i="46"/>
  <c r="C197" i="46"/>
  <c r="B197" i="46"/>
  <c r="A197" i="46"/>
  <c r="H196" i="46"/>
  <c r="G196" i="46"/>
  <c r="F196" i="46"/>
  <c r="E196" i="46"/>
  <c r="D196" i="46"/>
  <c r="C196" i="46"/>
  <c r="B196" i="46"/>
  <c r="A196" i="46"/>
  <c r="H195" i="46"/>
  <c r="G195" i="46"/>
  <c r="F195" i="46"/>
  <c r="E195" i="46"/>
  <c r="D195" i="46"/>
  <c r="C195" i="46"/>
  <c r="B195" i="46"/>
  <c r="A195" i="46"/>
  <c r="H194" i="46"/>
  <c r="G194" i="46"/>
  <c r="F194" i="46"/>
  <c r="E194" i="46"/>
  <c r="D194" i="46"/>
  <c r="C194" i="46"/>
  <c r="B194" i="46"/>
  <c r="A194" i="46"/>
  <c r="H193" i="46"/>
  <c r="G193" i="46"/>
  <c r="F193" i="46"/>
  <c r="E193" i="46"/>
  <c r="D193" i="46"/>
  <c r="C193" i="46"/>
  <c r="B193" i="46"/>
  <c r="A193" i="46"/>
  <c r="H192" i="46"/>
  <c r="G192" i="46"/>
  <c r="F192" i="46"/>
  <c r="E192" i="46"/>
  <c r="D192" i="46"/>
  <c r="C192" i="46"/>
  <c r="B192" i="46"/>
  <c r="A192" i="46"/>
  <c r="H191" i="46"/>
  <c r="G191" i="46"/>
  <c r="F191" i="46"/>
  <c r="E191" i="46"/>
  <c r="D191" i="46"/>
  <c r="C191" i="46"/>
  <c r="B191" i="46"/>
  <c r="A191" i="46"/>
  <c r="H190" i="46"/>
  <c r="G190" i="46"/>
  <c r="F190" i="46"/>
  <c r="E190" i="46"/>
  <c r="D190" i="46"/>
  <c r="C190" i="46"/>
  <c r="B190" i="46"/>
  <c r="A190" i="46"/>
  <c r="H189" i="46"/>
  <c r="G189" i="46"/>
  <c r="F189" i="46"/>
  <c r="E189" i="46"/>
  <c r="D189" i="46"/>
  <c r="C189" i="46"/>
  <c r="B189" i="46"/>
  <c r="A189" i="46"/>
  <c r="H188" i="46"/>
  <c r="G188" i="46"/>
  <c r="F188" i="46"/>
  <c r="E188" i="46"/>
  <c r="D188" i="46"/>
  <c r="C188" i="46"/>
  <c r="B188" i="46"/>
  <c r="A188" i="46"/>
  <c r="H187" i="46"/>
  <c r="G187" i="46"/>
  <c r="F187" i="46"/>
  <c r="E187" i="46"/>
  <c r="D187" i="46"/>
  <c r="C187" i="46"/>
  <c r="B187" i="46"/>
  <c r="A187" i="46"/>
  <c r="H186" i="46"/>
  <c r="G186" i="46"/>
  <c r="F186" i="46"/>
  <c r="E186" i="46"/>
  <c r="D186" i="46"/>
  <c r="C186" i="46"/>
  <c r="B186" i="46"/>
  <c r="A186" i="46"/>
  <c r="H185" i="46"/>
  <c r="G185" i="46"/>
  <c r="F185" i="46"/>
  <c r="E185" i="46"/>
  <c r="D185" i="46"/>
  <c r="C185" i="46"/>
  <c r="B185" i="46"/>
  <c r="A185" i="46"/>
  <c r="H184" i="46"/>
  <c r="G184" i="46"/>
  <c r="F184" i="46"/>
  <c r="E184" i="46"/>
  <c r="D184" i="46"/>
  <c r="C184" i="46"/>
  <c r="B184" i="46"/>
  <c r="A184" i="46"/>
  <c r="H183" i="46"/>
  <c r="G183" i="46"/>
  <c r="F183" i="46"/>
  <c r="E183" i="46"/>
  <c r="D183" i="46"/>
  <c r="C183" i="46"/>
  <c r="B183" i="46"/>
  <c r="A183" i="46"/>
  <c r="H182" i="46"/>
  <c r="G182" i="46"/>
  <c r="F182" i="46"/>
  <c r="E182" i="46"/>
  <c r="D182" i="46"/>
  <c r="C182" i="46"/>
  <c r="B182" i="46"/>
  <c r="A182" i="46"/>
  <c r="H181" i="46"/>
  <c r="G181" i="46"/>
  <c r="F181" i="46"/>
  <c r="E181" i="46"/>
  <c r="D181" i="46"/>
  <c r="C181" i="46"/>
  <c r="B181" i="46"/>
  <c r="A181" i="46"/>
  <c r="H180" i="46"/>
  <c r="G180" i="46"/>
  <c r="F180" i="46"/>
  <c r="E180" i="46"/>
  <c r="D180" i="46"/>
  <c r="C180" i="46"/>
  <c r="B180" i="46"/>
  <c r="A180" i="46"/>
  <c r="H179" i="46"/>
  <c r="G179" i="46"/>
  <c r="F179" i="46"/>
  <c r="E179" i="46"/>
  <c r="D179" i="46"/>
  <c r="C179" i="46"/>
  <c r="B179" i="46"/>
  <c r="A179" i="46"/>
  <c r="H178" i="46"/>
  <c r="G178" i="46"/>
  <c r="F178" i="46"/>
  <c r="E178" i="46"/>
  <c r="D178" i="46"/>
  <c r="C178" i="46"/>
  <c r="B178" i="46"/>
  <c r="A178" i="46"/>
  <c r="H177" i="46"/>
  <c r="G177" i="46"/>
  <c r="F177" i="46"/>
  <c r="E177" i="46"/>
  <c r="D177" i="46"/>
  <c r="C177" i="46"/>
  <c r="B177" i="46"/>
  <c r="A177" i="46"/>
  <c r="H176" i="46"/>
  <c r="G176" i="46"/>
  <c r="F176" i="46"/>
  <c r="E176" i="46"/>
  <c r="D176" i="46"/>
  <c r="C176" i="46"/>
  <c r="B176" i="46"/>
  <c r="A176" i="46"/>
  <c r="H175" i="46"/>
  <c r="G175" i="46"/>
  <c r="F175" i="46"/>
  <c r="E175" i="46"/>
  <c r="D175" i="46"/>
  <c r="C175" i="46"/>
  <c r="B175" i="46"/>
  <c r="A175" i="46"/>
  <c r="H174" i="46"/>
  <c r="G174" i="46"/>
  <c r="F174" i="46"/>
  <c r="E174" i="46"/>
  <c r="D174" i="46"/>
  <c r="C174" i="46"/>
  <c r="B174" i="46"/>
  <c r="A174" i="46"/>
  <c r="H173" i="46"/>
  <c r="G173" i="46"/>
  <c r="F173" i="46"/>
  <c r="E173" i="46"/>
  <c r="D173" i="46"/>
  <c r="C173" i="46"/>
  <c r="B173" i="46"/>
  <c r="A173" i="46"/>
  <c r="H172" i="46"/>
  <c r="G172" i="46"/>
  <c r="F172" i="46"/>
  <c r="E172" i="46"/>
  <c r="D172" i="46"/>
  <c r="C172" i="46"/>
  <c r="B172" i="46"/>
  <c r="A172" i="46"/>
  <c r="H171" i="46"/>
  <c r="G171" i="46"/>
  <c r="F171" i="46"/>
  <c r="E171" i="46"/>
  <c r="D171" i="46"/>
  <c r="C171" i="46"/>
  <c r="B171" i="46"/>
  <c r="A171" i="46"/>
  <c r="H170" i="46"/>
  <c r="G170" i="46"/>
  <c r="F170" i="46"/>
  <c r="E170" i="46"/>
  <c r="D170" i="46"/>
  <c r="C170" i="46"/>
  <c r="B170" i="46"/>
  <c r="A170" i="46"/>
  <c r="H169" i="46"/>
  <c r="G169" i="46"/>
  <c r="F169" i="46"/>
  <c r="E169" i="46"/>
  <c r="D169" i="46"/>
  <c r="C169" i="46"/>
  <c r="B169" i="46"/>
  <c r="A169" i="46"/>
  <c r="H168" i="46"/>
  <c r="G168" i="46"/>
  <c r="F168" i="46"/>
  <c r="E168" i="46"/>
  <c r="D168" i="46"/>
  <c r="C168" i="46"/>
  <c r="B168" i="46"/>
  <c r="A168" i="46"/>
  <c r="H167" i="46"/>
  <c r="G167" i="46"/>
  <c r="F167" i="46"/>
  <c r="E167" i="46"/>
  <c r="D167" i="46"/>
  <c r="C167" i="46"/>
  <c r="B167" i="46"/>
  <c r="A167" i="46"/>
  <c r="H166" i="46"/>
  <c r="G166" i="46"/>
  <c r="F166" i="46"/>
  <c r="E166" i="46"/>
  <c r="D166" i="46"/>
  <c r="C166" i="46"/>
  <c r="B166" i="46"/>
  <c r="A166" i="46"/>
  <c r="H165" i="46"/>
  <c r="G165" i="46"/>
  <c r="F165" i="46"/>
  <c r="E165" i="46"/>
  <c r="D165" i="46"/>
  <c r="C165" i="46"/>
  <c r="B165" i="46"/>
  <c r="A165" i="46"/>
  <c r="H164" i="46"/>
  <c r="G164" i="46"/>
  <c r="F164" i="46"/>
  <c r="E164" i="46"/>
  <c r="D164" i="46"/>
  <c r="C164" i="46"/>
  <c r="B164" i="46"/>
  <c r="A164" i="46"/>
  <c r="H163" i="46"/>
  <c r="G163" i="46"/>
  <c r="F163" i="46"/>
  <c r="E163" i="46"/>
  <c r="D163" i="46"/>
  <c r="C163" i="46"/>
  <c r="B163" i="46"/>
  <c r="A163" i="46"/>
  <c r="H162" i="46"/>
  <c r="G162" i="46"/>
  <c r="F162" i="46"/>
  <c r="E162" i="46"/>
  <c r="D162" i="46"/>
  <c r="C162" i="46"/>
  <c r="B162" i="46"/>
  <c r="A162" i="46"/>
  <c r="H161" i="46"/>
  <c r="G161" i="46"/>
  <c r="F161" i="46"/>
  <c r="E161" i="46"/>
  <c r="D161" i="46"/>
  <c r="C161" i="46"/>
  <c r="B161" i="46"/>
  <c r="A161" i="46"/>
  <c r="H160" i="46"/>
  <c r="G160" i="46"/>
  <c r="F160" i="46"/>
  <c r="E160" i="46"/>
  <c r="D160" i="46"/>
  <c r="C160" i="46"/>
  <c r="B160" i="46"/>
  <c r="A160" i="46"/>
  <c r="H159" i="46"/>
  <c r="G159" i="46"/>
  <c r="F159" i="46"/>
  <c r="E159" i="46"/>
  <c r="D159" i="46"/>
  <c r="C159" i="46"/>
  <c r="B159" i="46"/>
  <c r="A159" i="46"/>
  <c r="H158" i="46"/>
  <c r="G158" i="46"/>
  <c r="F158" i="46"/>
  <c r="E158" i="46"/>
  <c r="D158" i="46"/>
  <c r="C158" i="46"/>
  <c r="B158" i="46"/>
  <c r="A158" i="46"/>
  <c r="H157" i="46"/>
  <c r="G157" i="46"/>
  <c r="F157" i="46"/>
  <c r="E157" i="46"/>
  <c r="D157" i="46"/>
  <c r="C157" i="46"/>
  <c r="B157" i="46"/>
  <c r="A157" i="46"/>
  <c r="H156" i="46"/>
  <c r="G156" i="46"/>
  <c r="F156" i="46"/>
  <c r="E156" i="46"/>
  <c r="D156" i="46"/>
  <c r="C156" i="46"/>
  <c r="B156" i="46"/>
  <c r="A156" i="46"/>
  <c r="H155" i="46"/>
  <c r="G155" i="46"/>
  <c r="F155" i="46"/>
  <c r="E155" i="46"/>
  <c r="D155" i="46"/>
  <c r="C155" i="46"/>
  <c r="B155" i="46"/>
  <c r="A155" i="46"/>
  <c r="H154" i="46"/>
  <c r="G154" i="46"/>
  <c r="F154" i="46"/>
  <c r="E154" i="46"/>
  <c r="D154" i="46"/>
  <c r="C154" i="46"/>
  <c r="B154" i="46"/>
  <c r="A154" i="46"/>
  <c r="H153" i="46"/>
  <c r="G153" i="46"/>
  <c r="F153" i="46"/>
  <c r="E153" i="46"/>
  <c r="D153" i="46"/>
  <c r="C153" i="46"/>
  <c r="B153" i="46"/>
  <c r="A153" i="46"/>
  <c r="H152" i="46"/>
  <c r="G152" i="46"/>
  <c r="F152" i="46"/>
  <c r="E152" i="46"/>
  <c r="D152" i="46"/>
  <c r="C152" i="46"/>
  <c r="B152" i="46"/>
  <c r="A152" i="46"/>
  <c r="H151" i="46"/>
  <c r="G151" i="46"/>
  <c r="F151" i="46"/>
  <c r="E151" i="46"/>
  <c r="D151" i="46"/>
  <c r="C151" i="46"/>
  <c r="B151" i="46"/>
  <c r="A151" i="46"/>
  <c r="H150" i="46"/>
  <c r="G150" i="46"/>
  <c r="F150" i="46"/>
  <c r="E150" i="46"/>
  <c r="D150" i="46"/>
  <c r="C150" i="46"/>
  <c r="B150" i="46"/>
  <c r="A150" i="46"/>
  <c r="H149" i="46"/>
  <c r="G149" i="46"/>
  <c r="F149" i="46"/>
  <c r="E149" i="46"/>
  <c r="D149" i="46"/>
  <c r="C149" i="46"/>
  <c r="B149" i="46"/>
  <c r="A149" i="46"/>
  <c r="H148" i="46"/>
  <c r="G148" i="46"/>
  <c r="F148" i="46"/>
  <c r="E148" i="46"/>
  <c r="D148" i="46"/>
  <c r="C148" i="46"/>
  <c r="B148" i="46"/>
  <c r="A148" i="46"/>
  <c r="H147" i="46"/>
  <c r="G147" i="46"/>
  <c r="F147" i="46"/>
  <c r="E147" i="46"/>
  <c r="D147" i="46"/>
  <c r="C147" i="46"/>
  <c r="B147" i="46"/>
  <c r="A147" i="46"/>
  <c r="H146" i="46"/>
  <c r="G146" i="46"/>
  <c r="F146" i="46"/>
  <c r="E146" i="46"/>
  <c r="D146" i="46"/>
  <c r="C146" i="46"/>
  <c r="B146" i="46"/>
  <c r="A146" i="46"/>
  <c r="H145" i="46"/>
  <c r="G145" i="46"/>
  <c r="F145" i="46"/>
  <c r="E145" i="46"/>
  <c r="D145" i="46"/>
  <c r="C145" i="46"/>
  <c r="B145" i="46"/>
  <c r="A145" i="46"/>
  <c r="H144" i="46"/>
  <c r="G144" i="46"/>
  <c r="F144" i="46"/>
  <c r="E144" i="46"/>
  <c r="D144" i="46"/>
  <c r="C144" i="46"/>
  <c r="B144" i="46"/>
  <c r="A144" i="46"/>
  <c r="H143" i="46"/>
  <c r="G143" i="46"/>
  <c r="F143" i="46"/>
  <c r="E143" i="46"/>
  <c r="D143" i="46"/>
  <c r="C143" i="46"/>
  <c r="B143" i="46"/>
  <c r="A143" i="46"/>
  <c r="H142" i="46"/>
  <c r="G142" i="46"/>
  <c r="F142" i="46"/>
  <c r="E142" i="46"/>
  <c r="D142" i="46"/>
  <c r="C142" i="46"/>
  <c r="B142" i="46"/>
  <c r="A142" i="46"/>
  <c r="H141" i="46"/>
  <c r="G141" i="46"/>
  <c r="F141" i="46"/>
  <c r="E141" i="46"/>
  <c r="D141" i="46"/>
  <c r="C141" i="46"/>
  <c r="B141" i="46"/>
  <c r="A141" i="46"/>
  <c r="H140" i="46"/>
  <c r="G140" i="46"/>
  <c r="F140" i="46"/>
  <c r="E140" i="46"/>
  <c r="D140" i="46"/>
  <c r="C140" i="46"/>
  <c r="B140" i="46"/>
  <c r="A140" i="46"/>
  <c r="H139" i="46"/>
  <c r="G139" i="46"/>
  <c r="F139" i="46"/>
  <c r="E139" i="46"/>
  <c r="D139" i="46"/>
  <c r="C139" i="46"/>
  <c r="B139" i="46"/>
  <c r="A139" i="46"/>
  <c r="H138" i="46"/>
  <c r="G138" i="46"/>
  <c r="F138" i="46"/>
  <c r="E138" i="46"/>
  <c r="D138" i="46"/>
  <c r="C138" i="46"/>
  <c r="B138" i="46"/>
  <c r="A138" i="46"/>
  <c r="H137" i="46"/>
  <c r="G137" i="46"/>
  <c r="F137" i="46"/>
  <c r="E137" i="46"/>
  <c r="D137" i="46"/>
  <c r="C137" i="46"/>
  <c r="B137" i="46"/>
  <c r="A137" i="46"/>
  <c r="H136" i="46"/>
  <c r="G136" i="46"/>
  <c r="F136" i="46"/>
  <c r="E136" i="46"/>
  <c r="D136" i="46"/>
  <c r="C136" i="46"/>
  <c r="B136" i="46"/>
  <c r="A136" i="46"/>
  <c r="H135" i="46"/>
  <c r="G135" i="46"/>
  <c r="F135" i="46"/>
  <c r="E135" i="46"/>
  <c r="D135" i="46"/>
  <c r="C135" i="46"/>
  <c r="B135" i="46"/>
  <c r="A135" i="46"/>
  <c r="H134" i="46"/>
  <c r="G134" i="46"/>
  <c r="F134" i="46"/>
  <c r="E134" i="46"/>
  <c r="D134" i="46"/>
  <c r="C134" i="46"/>
  <c r="B134" i="46"/>
  <c r="A134" i="46"/>
  <c r="H133" i="46"/>
  <c r="G133" i="46"/>
  <c r="F133" i="46"/>
  <c r="E133" i="46"/>
  <c r="D133" i="46"/>
  <c r="C133" i="46"/>
  <c r="B133" i="46"/>
  <c r="A133" i="46"/>
  <c r="H132" i="46"/>
  <c r="G132" i="46"/>
  <c r="F132" i="46"/>
  <c r="E132" i="46"/>
  <c r="D132" i="46"/>
  <c r="C132" i="46"/>
  <c r="B132" i="46"/>
  <c r="A132" i="46"/>
  <c r="H131" i="46"/>
  <c r="G131" i="46"/>
  <c r="F131" i="46"/>
  <c r="E131" i="46"/>
  <c r="D131" i="46"/>
  <c r="C131" i="46"/>
  <c r="B131" i="46"/>
  <c r="A131" i="46"/>
  <c r="H130" i="46"/>
  <c r="G130" i="46"/>
  <c r="F130" i="46"/>
  <c r="E130" i="46"/>
  <c r="D130" i="46"/>
  <c r="C130" i="46"/>
  <c r="B130" i="46"/>
  <c r="A130" i="46"/>
  <c r="H129" i="46"/>
  <c r="G129" i="46"/>
  <c r="F129" i="46"/>
  <c r="E129" i="46"/>
  <c r="D129" i="46"/>
  <c r="C129" i="46"/>
  <c r="B129" i="46"/>
  <c r="A129" i="46"/>
  <c r="H128" i="46"/>
  <c r="G128" i="46"/>
  <c r="F128" i="46"/>
  <c r="E128" i="46"/>
  <c r="D128" i="46"/>
  <c r="C128" i="46"/>
  <c r="B128" i="46"/>
  <c r="A128" i="46"/>
  <c r="H127" i="46"/>
  <c r="G127" i="46"/>
  <c r="F127" i="46"/>
  <c r="E127" i="46"/>
  <c r="D127" i="46"/>
  <c r="C127" i="46"/>
  <c r="B127" i="46"/>
  <c r="A127" i="46"/>
  <c r="H126" i="46"/>
  <c r="G126" i="46"/>
  <c r="F126" i="46"/>
  <c r="E126" i="46"/>
  <c r="D126" i="46"/>
  <c r="C126" i="46"/>
  <c r="B126" i="46"/>
  <c r="A126" i="46"/>
  <c r="H125" i="46"/>
  <c r="G125" i="46"/>
  <c r="F125" i="46"/>
  <c r="E125" i="46"/>
  <c r="D125" i="46"/>
  <c r="C125" i="46"/>
  <c r="B125" i="46"/>
  <c r="A125" i="46"/>
  <c r="H124" i="46"/>
  <c r="G124" i="46"/>
  <c r="F124" i="46"/>
  <c r="E124" i="46"/>
  <c r="D124" i="46"/>
  <c r="C124" i="46"/>
  <c r="B124" i="46"/>
  <c r="A124" i="46"/>
  <c r="H123" i="46"/>
  <c r="G123" i="46"/>
  <c r="F123" i="46"/>
  <c r="E123" i="46"/>
  <c r="D123" i="46"/>
  <c r="C123" i="46"/>
  <c r="B123" i="46"/>
  <c r="A123" i="46"/>
  <c r="H122" i="46"/>
  <c r="G122" i="46"/>
  <c r="F122" i="46"/>
  <c r="E122" i="46"/>
  <c r="D122" i="46"/>
  <c r="C122" i="46"/>
  <c r="B122" i="46"/>
  <c r="A122" i="46"/>
  <c r="H121" i="46"/>
  <c r="G121" i="46"/>
  <c r="F121" i="46"/>
  <c r="E121" i="46"/>
  <c r="D121" i="46"/>
  <c r="C121" i="46"/>
  <c r="B121" i="46"/>
  <c r="A121" i="46"/>
  <c r="H120" i="46"/>
  <c r="G120" i="46"/>
  <c r="F120" i="46"/>
  <c r="E120" i="46"/>
  <c r="D120" i="46"/>
  <c r="C120" i="46"/>
  <c r="B120" i="46"/>
  <c r="A120" i="46"/>
  <c r="H119" i="46"/>
  <c r="G119" i="46"/>
  <c r="F119" i="46"/>
  <c r="E119" i="46"/>
  <c r="D119" i="46"/>
  <c r="C119" i="46"/>
  <c r="B119" i="46"/>
  <c r="A119" i="46"/>
  <c r="H118" i="46"/>
  <c r="G118" i="46"/>
  <c r="F118" i="46"/>
  <c r="E118" i="46"/>
  <c r="D118" i="46"/>
  <c r="C118" i="46"/>
  <c r="B118" i="46"/>
  <c r="A118" i="46"/>
  <c r="H117" i="46"/>
  <c r="G117" i="46"/>
  <c r="F117" i="46"/>
  <c r="E117" i="46"/>
  <c r="D117" i="46"/>
  <c r="C117" i="46"/>
  <c r="B117" i="46"/>
  <c r="A117" i="46"/>
  <c r="H116" i="46"/>
  <c r="G116" i="46"/>
  <c r="F116" i="46"/>
  <c r="E116" i="46"/>
  <c r="D116" i="46"/>
  <c r="C116" i="46"/>
  <c r="B116" i="46"/>
  <c r="A116" i="46"/>
  <c r="H115" i="46"/>
  <c r="G115" i="46"/>
  <c r="F115" i="46"/>
  <c r="E115" i="46"/>
  <c r="D115" i="46"/>
  <c r="C115" i="46"/>
  <c r="B115" i="46"/>
  <c r="A115" i="46"/>
  <c r="H114" i="46"/>
  <c r="G114" i="46"/>
  <c r="F114" i="46"/>
  <c r="E114" i="46"/>
  <c r="D114" i="46"/>
  <c r="C114" i="46"/>
  <c r="B114" i="46"/>
  <c r="A114" i="46"/>
  <c r="H113" i="46"/>
  <c r="G113" i="46"/>
  <c r="F113" i="46"/>
  <c r="E113" i="46"/>
  <c r="D113" i="46"/>
  <c r="C113" i="46"/>
  <c r="B113" i="46"/>
  <c r="A113" i="46"/>
  <c r="H112" i="46"/>
  <c r="G112" i="46"/>
  <c r="F112" i="46"/>
  <c r="E112" i="46"/>
  <c r="D112" i="46"/>
  <c r="C112" i="46"/>
  <c r="B112" i="46"/>
  <c r="A112" i="46"/>
  <c r="H111" i="46"/>
  <c r="G111" i="46"/>
  <c r="F111" i="46"/>
  <c r="E111" i="46"/>
  <c r="D111" i="46"/>
  <c r="C111" i="46"/>
  <c r="B111" i="46"/>
  <c r="A111" i="46"/>
  <c r="H110" i="46"/>
  <c r="G110" i="46"/>
  <c r="F110" i="46"/>
  <c r="E110" i="46"/>
  <c r="D110" i="46"/>
  <c r="C110" i="46"/>
  <c r="B110" i="46"/>
  <c r="A110" i="46"/>
  <c r="H109" i="46"/>
  <c r="G109" i="46"/>
  <c r="F109" i="46"/>
  <c r="E109" i="46"/>
  <c r="D109" i="46"/>
  <c r="C109" i="46"/>
  <c r="B109" i="46"/>
  <c r="A109" i="46"/>
  <c r="H108" i="46"/>
  <c r="G108" i="46"/>
  <c r="F108" i="46"/>
  <c r="E108" i="46"/>
  <c r="D108" i="46"/>
  <c r="C108" i="46"/>
  <c r="B108" i="46"/>
  <c r="A108" i="46"/>
  <c r="H107" i="46"/>
  <c r="G107" i="46"/>
  <c r="F107" i="46"/>
  <c r="E107" i="46"/>
  <c r="D107" i="46"/>
  <c r="C107" i="46"/>
  <c r="B107" i="46"/>
  <c r="A107" i="46"/>
  <c r="H106" i="46"/>
  <c r="G106" i="46"/>
  <c r="F106" i="46"/>
  <c r="E106" i="46"/>
  <c r="D106" i="46"/>
  <c r="C106" i="46"/>
  <c r="B106" i="46"/>
  <c r="A106" i="46"/>
  <c r="H105" i="46"/>
  <c r="G105" i="46"/>
  <c r="F105" i="46"/>
  <c r="E105" i="46"/>
  <c r="D105" i="46"/>
  <c r="C105" i="46"/>
  <c r="B105" i="46"/>
  <c r="A105" i="46"/>
  <c r="H104" i="46"/>
  <c r="G104" i="46"/>
  <c r="F104" i="46"/>
  <c r="E104" i="46"/>
  <c r="D104" i="46"/>
  <c r="C104" i="46"/>
  <c r="B104" i="46"/>
  <c r="A104" i="46"/>
  <c r="H103" i="46"/>
  <c r="G103" i="46"/>
  <c r="F103" i="46"/>
  <c r="E103" i="46"/>
  <c r="D103" i="46"/>
  <c r="C103" i="46"/>
  <c r="B103" i="46"/>
  <c r="A103" i="46"/>
  <c r="H102" i="46"/>
  <c r="G102" i="46"/>
  <c r="F102" i="46"/>
  <c r="E102" i="46"/>
  <c r="D102" i="46"/>
  <c r="C102" i="46"/>
  <c r="B102" i="46"/>
  <c r="A102" i="46"/>
  <c r="H101" i="46"/>
  <c r="G101" i="46"/>
  <c r="F101" i="46"/>
  <c r="E101" i="46"/>
  <c r="D101" i="46"/>
  <c r="C101" i="46"/>
  <c r="B101" i="46"/>
  <c r="A101" i="46"/>
  <c r="H100" i="46"/>
  <c r="G100" i="46"/>
  <c r="F100" i="46"/>
  <c r="E100" i="46"/>
  <c r="D100" i="46"/>
  <c r="C100" i="46"/>
  <c r="B100" i="46"/>
  <c r="A100" i="46"/>
  <c r="H99" i="46"/>
  <c r="G99" i="46"/>
  <c r="F99" i="46"/>
  <c r="E99" i="46"/>
  <c r="D99" i="46"/>
  <c r="C99" i="46"/>
  <c r="B99" i="46"/>
  <c r="A99" i="46"/>
  <c r="H98" i="46"/>
  <c r="G98" i="46"/>
  <c r="F98" i="46"/>
  <c r="E98" i="46"/>
  <c r="D98" i="46"/>
  <c r="C98" i="46"/>
  <c r="B98" i="46"/>
  <c r="A98" i="46"/>
  <c r="H97" i="46"/>
  <c r="G97" i="46"/>
  <c r="F97" i="46"/>
  <c r="E97" i="46"/>
  <c r="D97" i="46"/>
  <c r="C97" i="46"/>
  <c r="B97" i="46"/>
  <c r="A97" i="46"/>
  <c r="H96" i="46"/>
  <c r="G96" i="46"/>
  <c r="F96" i="46"/>
  <c r="E96" i="46"/>
  <c r="D96" i="46"/>
  <c r="C96" i="46"/>
  <c r="B96" i="46"/>
  <c r="A96" i="46"/>
  <c r="H95" i="46"/>
  <c r="G95" i="46"/>
  <c r="F95" i="46"/>
  <c r="E95" i="46"/>
  <c r="D95" i="46"/>
  <c r="C95" i="46"/>
  <c r="B95" i="46"/>
  <c r="A95" i="46"/>
  <c r="H94" i="46"/>
  <c r="G94" i="46"/>
  <c r="F94" i="46"/>
  <c r="E94" i="46"/>
  <c r="D94" i="46"/>
  <c r="C94" i="46"/>
  <c r="B94" i="46"/>
  <c r="A94" i="46"/>
  <c r="H93" i="46"/>
  <c r="G93" i="46"/>
  <c r="F93" i="46"/>
  <c r="E93" i="46"/>
  <c r="D93" i="46"/>
  <c r="C93" i="46"/>
  <c r="B93" i="46"/>
  <c r="A93" i="46"/>
  <c r="H92" i="46"/>
  <c r="G92" i="46"/>
  <c r="F92" i="46"/>
  <c r="E92" i="46"/>
  <c r="D92" i="46"/>
  <c r="C92" i="46"/>
  <c r="B92" i="46"/>
  <c r="A92" i="46"/>
  <c r="H91" i="46"/>
  <c r="G91" i="46"/>
  <c r="F91" i="46"/>
  <c r="E91" i="46"/>
  <c r="D91" i="46"/>
  <c r="C91" i="46"/>
  <c r="B91" i="46"/>
  <c r="A91" i="46"/>
  <c r="H90" i="46"/>
  <c r="G90" i="46"/>
  <c r="F90" i="46"/>
  <c r="E90" i="46"/>
  <c r="D90" i="46"/>
  <c r="C90" i="46"/>
  <c r="B90" i="46"/>
  <c r="A90" i="46"/>
  <c r="H89" i="46"/>
  <c r="G89" i="46"/>
  <c r="F89" i="46"/>
  <c r="E89" i="46"/>
  <c r="D89" i="46"/>
  <c r="C89" i="46"/>
  <c r="B89" i="46"/>
  <c r="A89" i="46"/>
  <c r="H88" i="46"/>
  <c r="G88" i="46"/>
  <c r="F88" i="46"/>
  <c r="E88" i="46"/>
  <c r="D88" i="46"/>
  <c r="C88" i="46"/>
  <c r="B88" i="46"/>
  <c r="A88" i="46"/>
  <c r="H87" i="46"/>
  <c r="G87" i="46"/>
  <c r="F87" i="46"/>
  <c r="E87" i="46"/>
  <c r="D87" i="46"/>
  <c r="C87" i="46"/>
  <c r="B87" i="46"/>
  <c r="A87" i="46"/>
  <c r="H86" i="46"/>
  <c r="G86" i="46"/>
  <c r="F86" i="46"/>
  <c r="E86" i="46"/>
  <c r="D86" i="46"/>
  <c r="C86" i="46"/>
  <c r="B86" i="46"/>
  <c r="A86" i="46"/>
  <c r="H85" i="46"/>
  <c r="G85" i="46"/>
  <c r="F85" i="46"/>
  <c r="E85" i="46"/>
  <c r="D85" i="46"/>
  <c r="C85" i="46"/>
  <c r="B85" i="46"/>
  <c r="A85" i="46"/>
  <c r="H84" i="46"/>
  <c r="G84" i="46"/>
  <c r="F84" i="46"/>
  <c r="E84" i="46"/>
  <c r="D84" i="46"/>
  <c r="C84" i="46"/>
  <c r="B84" i="46"/>
  <c r="A84" i="46"/>
  <c r="H83" i="46"/>
  <c r="G83" i="46"/>
  <c r="F83" i="46"/>
  <c r="E83" i="46"/>
  <c r="D83" i="46"/>
  <c r="C83" i="46"/>
  <c r="B83" i="46"/>
  <c r="A83" i="46"/>
  <c r="H82" i="46"/>
  <c r="G82" i="46"/>
  <c r="F82" i="46"/>
  <c r="E82" i="46"/>
  <c r="D82" i="46"/>
  <c r="C82" i="46"/>
  <c r="B82" i="46"/>
  <c r="A82" i="46"/>
  <c r="H81" i="46"/>
  <c r="G81" i="46"/>
  <c r="F81" i="46"/>
  <c r="E81" i="46"/>
  <c r="D81" i="46"/>
  <c r="C81" i="46"/>
  <c r="B81" i="46"/>
  <c r="A81" i="46"/>
  <c r="H80" i="46"/>
  <c r="G80" i="46"/>
  <c r="F80" i="46"/>
  <c r="E80" i="46"/>
  <c r="D80" i="46"/>
  <c r="C80" i="46"/>
  <c r="B80" i="46"/>
  <c r="A80" i="46"/>
  <c r="H79" i="46"/>
  <c r="G79" i="46"/>
  <c r="F79" i="46"/>
  <c r="E79" i="46"/>
  <c r="D79" i="46"/>
  <c r="C79" i="46"/>
  <c r="B79" i="46"/>
  <c r="A79" i="46"/>
  <c r="H78" i="46"/>
  <c r="G78" i="46"/>
  <c r="F78" i="46"/>
  <c r="E78" i="46"/>
  <c r="D78" i="46"/>
  <c r="C78" i="46"/>
  <c r="B78" i="46"/>
  <c r="A78" i="46"/>
  <c r="H77" i="46"/>
  <c r="G77" i="46"/>
  <c r="F77" i="46"/>
  <c r="E77" i="46"/>
  <c r="D77" i="46"/>
  <c r="C77" i="46"/>
  <c r="B77" i="46"/>
  <c r="A77" i="46"/>
  <c r="H76" i="46"/>
  <c r="G76" i="46"/>
  <c r="F76" i="46"/>
  <c r="E76" i="46"/>
  <c r="D76" i="46"/>
  <c r="C76" i="46"/>
  <c r="B76" i="46"/>
  <c r="A76" i="46"/>
  <c r="H75" i="46"/>
  <c r="G75" i="46"/>
  <c r="F75" i="46"/>
  <c r="E75" i="46"/>
  <c r="D75" i="46"/>
  <c r="C75" i="46"/>
  <c r="B75" i="46"/>
  <c r="A75" i="46"/>
  <c r="H74" i="46"/>
  <c r="G74" i="46"/>
  <c r="F74" i="46"/>
  <c r="E74" i="46"/>
  <c r="D74" i="46"/>
  <c r="C74" i="46"/>
  <c r="B74" i="46"/>
  <c r="A74" i="46"/>
  <c r="H73" i="46"/>
  <c r="G73" i="46"/>
  <c r="F73" i="46"/>
  <c r="E73" i="46"/>
  <c r="D73" i="46"/>
  <c r="C73" i="46"/>
  <c r="B73" i="46"/>
  <c r="A73" i="46"/>
  <c r="H72" i="46"/>
  <c r="G72" i="46"/>
  <c r="F72" i="46"/>
  <c r="E72" i="46"/>
  <c r="D72" i="46"/>
  <c r="C72" i="46"/>
  <c r="B72" i="46"/>
  <c r="A72" i="46"/>
  <c r="H71" i="46"/>
  <c r="G71" i="46"/>
  <c r="F71" i="46"/>
  <c r="E71" i="46"/>
  <c r="D71" i="46"/>
  <c r="C71" i="46"/>
  <c r="B71" i="46"/>
  <c r="A71" i="46"/>
  <c r="H70" i="46"/>
  <c r="G70" i="46"/>
  <c r="F70" i="46"/>
  <c r="E70" i="46"/>
  <c r="D70" i="46"/>
  <c r="C70" i="46"/>
  <c r="B70" i="46"/>
  <c r="A70" i="46"/>
  <c r="H69" i="46"/>
  <c r="G69" i="46"/>
  <c r="F69" i="46"/>
  <c r="E69" i="46"/>
  <c r="D69" i="46"/>
  <c r="C69" i="46"/>
  <c r="B69" i="46"/>
  <c r="A69" i="46"/>
  <c r="H68" i="46"/>
  <c r="G68" i="46"/>
  <c r="F68" i="46"/>
  <c r="E68" i="46"/>
  <c r="D68" i="46"/>
  <c r="C68" i="46"/>
  <c r="B68" i="46"/>
  <c r="A68" i="46"/>
  <c r="H67" i="46"/>
  <c r="G67" i="46"/>
  <c r="F67" i="46"/>
  <c r="E67" i="46"/>
  <c r="D67" i="46"/>
  <c r="C67" i="46"/>
  <c r="B67" i="46"/>
  <c r="A67" i="46"/>
  <c r="H66" i="46"/>
  <c r="G66" i="46"/>
  <c r="F66" i="46"/>
  <c r="E66" i="46"/>
  <c r="D66" i="46"/>
  <c r="C66" i="46"/>
  <c r="B66" i="46"/>
  <c r="A66" i="46"/>
  <c r="H65" i="46"/>
  <c r="G65" i="46"/>
  <c r="F65" i="46"/>
  <c r="E65" i="46"/>
  <c r="D65" i="46"/>
  <c r="C65" i="46"/>
  <c r="B65" i="46"/>
  <c r="A65" i="46"/>
  <c r="H64" i="46"/>
  <c r="G64" i="46"/>
  <c r="F64" i="46"/>
  <c r="E64" i="46"/>
  <c r="D64" i="46"/>
  <c r="C64" i="46"/>
  <c r="B64" i="46"/>
  <c r="A64" i="46"/>
  <c r="H63" i="46"/>
  <c r="G63" i="46"/>
  <c r="F63" i="46"/>
  <c r="E63" i="46"/>
  <c r="D63" i="46"/>
  <c r="C63" i="46"/>
  <c r="B63" i="46"/>
  <c r="A63" i="46"/>
  <c r="H62" i="46"/>
  <c r="G62" i="46"/>
  <c r="F62" i="46"/>
  <c r="E62" i="46"/>
  <c r="D62" i="46"/>
  <c r="C62" i="46"/>
  <c r="B62" i="46"/>
  <c r="A62" i="46"/>
  <c r="H61" i="46"/>
  <c r="G61" i="46"/>
  <c r="F61" i="46"/>
  <c r="E61" i="46"/>
  <c r="D61" i="46"/>
  <c r="C61" i="46"/>
  <c r="B61" i="46"/>
  <c r="A61" i="46"/>
  <c r="H60" i="46"/>
  <c r="G60" i="46"/>
  <c r="F60" i="46"/>
  <c r="E60" i="46"/>
  <c r="D60" i="46"/>
  <c r="C60" i="46"/>
  <c r="B60" i="46"/>
  <c r="A60" i="46"/>
  <c r="H59" i="46"/>
  <c r="G59" i="46"/>
  <c r="F59" i="46"/>
  <c r="E59" i="46"/>
  <c r="D59" i="46"/>
  <c r="C59" i="46"/>
  <c r="B59" i="46"/>
  <c r="A59" i="46"/>
  <c r="H58" i="46"/>
  <c r="G58" i="46"/>
  <c r="F58" i="46"/>
  <c r="E58" i="46"/>
  <c r="D58" i="46"/>
  <c r="C58" i="46"/>
  <c r="B58" i="46"/>
  <c r="A58" i="46"/>
  <c r="H57" i="46"/>
  <c r="G57" i="46"/>
  <c r="F57" i="46"/>
  <c r="E57" i="46"/>
  <c r="D57" i="46"/>
  <c r="C57" i="46"/>
  <c r="B57" i="46"/>
  <c r="A57" i="46"/>
  <c r="H56" i="46"/>
  <c r="G56" i="46"/>
  <c r="F56" i="46"/>
  <c r="E56" i="46"/>
  <c r="D56" i="46"/>
  <c r="C56" i="46"/>
  <c r="B56" i="46"/>
  <c r="A56" i="46"/>
  <c r="H55" i="46"/>
  <c r="G55" i="46"/>
  <c r="F55" i="46"/>
  <c r="E55" i="46"/>
  <c r="D55" i="46"/>
  <c r="C55" i="46"/>
  <c r="B55" i="46"/>
  <c r="A55" i="46"/>
  <c r="H54" i="46"/>
  <c r="G54" i="46"/>
  <c r="F54" i="46"/>
  <c r="E54" i="46"/>
  <c r="D54" i="46"/>
  <c r="C54" i="46"/>
  <c r="B54" i="46"/>
  <c r="A54" i="46"/>
  <c r="H53" i="46"/>
  <c r="G53" i="46"/>
  <c r="F53" i="46"/>
  <c r="E53" i="46"/>
  <c r="D53" i="46"/>
  <c r="C53" i="46"/>
  <c r="B53" i="46"/>
  <c r="A53" i="46"/>
  <c r="H52" i="46"/>
  <c r="G52" i="46"/>
  <c r="F52" i="46"/>
  <c r="E52" i="46"/>
  <c r="D52" i="46"/>
  <c r="C52" i="46"/>
  <c r="B52" i="46"/>
  <c r="A52" i="46"/>
  <c r="H51" i="46"/>
  <c r="G51" i="46"/>
  <c r="F51" i="46"/>
  <c r="E51" i="46"/>
  <c r="D51" i="46"/>
  <c r="C51" i="46"/>
  <c r="B51" i="46"/>
  <c r="A51" i="46"/>
  <c r="H50" i="46"/>
  <c r="G50" i="46"/>
  <c r="F50" i="46"/>
  <c r="E50" i="46"/>
  <c r="D50" i="46"/>
  <c r="C50" i="46"/>
  <c r="B50" i="46"/>
  <c r="A50" i="46"/>
  <c r="H49" i="46"/>
  <c r="G49" i="46"/>
  <c r="F49" i="46"/>
  <c r="E49" i="46"/>
  <c r="D49" i="46"/>
  <c r="C49" i="46"/>
  <c r="B49" i="46"/>
  <c r="A49" i="46"/>
  <c r="H48" i="46"/>
  <c r="G48" i="46"/>
  <c r="F48" i="46"/>
  <c r="E48" i="46"/>
  <c r="D48" i="46"/>
  <c r="C48" i="46"/>
  <c r="B48" i="46"/>
  <c r="A48" i="46"/>
  <c r="H47" i="46"/>
  <c r="G47" i="46"/>
  <c r="F47" i="46"/>
  <c r="E47" i="46"/>
  <c r="D47" i="46"/>
  <c r="C47" i="46"/>
  <c r="B47" i="46"/>
  <c r="A47" i="46"/>
  <c r="H46" i="46"/>
  <c r="G46" i="46"/>
  <c r="F46" i="46"/>
  <c r="E46" i="46"/>
  <c r="D46" i="46"/>
  <c r="C46" i="46"/>
  <c r="B46" i="46"/>
  <c r="A46" i="46"/>
  <c r="H45" i="46"/>
  <c r="G45" i="46"/>
  <c r="F45" i="46"/>
  <c r="E45" i="46"/>
  <c r="D45" i="46"/>
  <c r="C45" i="46"/>
  <c r="B45" i="46"/>
  <c r="A45" i="46"/>
  <c r="H44" i="46"/>
  <c r="G44" i="46"/>
  <c r="F44" i="46"/>
  <c r="E44" i="46"/>
  <c r="D44" i="46"/>
  <c r="C44" i="46"/>
  <c r="B44" i="46"/>
  <c r="A44" i="46"/>
  <c r="H43" i="46"/>
  <c r="G43" i="46"/>
  <c r="F43" i="46"/>
  <c r="E43" i="46"/>
  <c r="D43" i="46"/>
  <c r="C43" i="46"/>
  <c r="B43" i="46"/>
  <c r="A43" i="46"/>
  <c r="H42" i="46"/>
  <c r="G42" i="46"/>
  <c r="F42" i="46"/>
  <c r="E42" i="46"/>
  <c r="D42" i="46"/>
  <c r="C42" i="46"/>
  <c r="B42" i="46"/>
  <c r="A42" i="46"/>
  <c r="H41" i="46"/>
  <c r="G41" i="46"/>
  <c r="F41" i="46"/>
  <c r="E41" i="46"/>
  <c r="D41" i="46"/>
  <c r="C41" i="46"/>
  <c r="B41" i="46"/>
  <c r="A41" i="46"/>
  <c r="H40" i="46"/>
  <c r="G40" i="46"/>
  <c r="F40" i="46"/>
  <c r="E40" i="46"/>
  <c r="D40" i="46"/>
  <c r="C40" i="46"/>
  <c r="B40" i="46"/>
  <c r="A40" i="46"/>
  <c r="H39" i="46"/>
  <c r="G39" i="46"/>
  <c r="F39" i="46"/>
  <c r="E39" i="46"/>
  <c r="D39" i="46"/>
  <c r="C39" i="46"/>
  <c r="B39" i="46"/>
  <c r="A39" i="46"/>
  <c r="H38" i="46"/>
  <c r="G38" i="46"/>
  <c r="F38" i="46"/>
  <c r="E38" i="46"/>
  <c r="D38" i="46"/>
  <c r="C38" i="46"/>
  <c r="B38" i="46"/>
  <c r="A38" i="46"/>
  <c r="H37" i="46"/>
  <c r="G37" i="46"/>
  <c r="F37" i="46"/>
  <c r="E37" i="46"/>
  <c r="D37" i="46"/>
  <c r="C37" i="46"/>
  <c r="B37" i="46"/>
  <c r="A37" i="46"/>
  <c r="H36" i="46"/>
  <c r="G36" i="46"/>
  <c r="F36" i="46"/>
  <c r="E36" i="46"/>
  <c r="D36" i="46"/>
  <c r="C36" i="46"/>
  <c r="B36" i="46"/>
  <c r="A36" i="46"/>
  <c r="H35" i="46"/>
  <c r="G35" i="46"/>
  <c r="F35" i="46"/>
  <c r="E35" i="46"/>
  <c r="D35" i="46"/>
  <c r="C35" i="46"/>
  <c r="B35" i="46"/>
  <c r="A35" i="46"/>
  <c r="H34" i="46"/>
  <c r="G34" i="46"/>
  <c r="F34" i="46"/>
  <c r="E34" i="46"/>
  <c r="D34" i="46"/>
  <c r="C34" i="46"/>
  <c r="B34" i="46"/>
  <c r="A34" i="46"/>
  <c r="H33" i="46"/>
  <c r="G33" i="46"/>
  <c r="F33" i="46"/>
  <c r="E33" i="46"/>
  <c r="D33" i="46"/>
  <c r="C33" i="46"/>
  <c r="B33" i="46"/>
  <c r="A33" i="46"/>
  <c r="H32" i="46"/>
  <c r="G32" i="46"/>
  <c r="F32" i="46"/>
  <c r="E32" i="46"/>
  <c r="D32" i="46"/>
  <c r="C32" i="46"/>
  <c r="B32" i="46"/>
  <c r="A32" i="46"/>
  <c r="H31" i="46"/>
  <c r="G31" i="46"/>
  <c r="F31" i="46"/>
  <c r="E31" i="46"/>
  <c r="D31" i="46"/>
  <c r="C31" i="46"/>
  <c r="B31" i="46"/>
  <c r="A31" i="46"/>
  <c r="H30" i="46"/>
  <c r="G30" i="46"/>
  <c r="F30" i="46"/>
  <c r="E30" i="46"/>
  <c r="D30" i="46"/>
  <c r="C30" i="46"/>
  <c r="B30" i="46"/>
  <c r="A30" i="46"/>
  <c r="H29" i="46"/>
  <c r="G29" i="46"/>
  <c r="F29" i="46"/>
  <c r="E29" i="46"/>
  <c r="D29" i="46"/>
  <c r="C29" i="46"/>
  <c r="B29" i="46"/>
  <c r="A29" i="46"/>
  <c r="H28" i="46"/>
  <c r="G28" i="46"/>
  <c r="F28" i="46"/>
  <c r="E28" i="46"/>
  <c r="D28" i="46"/>
  <c r="C28" i="46"/>
  <c r="B28" i="46"/>
  <c r="A28" i="46"/>
  <c r="H27" i="46"/>
  <c r="G27" i="46"/>
  <c r="F27" i="46"/>
  <c r="E27" i="46"/>
  <c r="D27" i="46"/>
  <c r="C27" i="46"/>
  <c r="B27" i="46"/>
  <c r="A27" i="46"/>
  <c r="H26" i="46"/>
  <c r="G26" i="46"/>
  <c r="F26" i="46"/>
  <c r="E26" i="46"/>
  <c r="D26" i="46"/>
  <c r="C26" i="46"/>
  <c r="B26" i="46"/>
  <c r="A26" i="46"/>
  <c r="H25" i="46"/>
  <c r="G25" i="46"/>
  <c r="F25" i="46"/>
  <c r="E25" i="46"/>
  <c r="D25" i="46"/>
  <c r="C25" i="46"/>
  <c r="B25" i="46"/>
  <c r="A25" i="46"/>
  <c r="H24" i="46"/>
  <c r="G24" i="46"/>
  <c r="F24" i="46"/>
  <c r="E24" i="46"/>
  <c r="D24" i="46"/>
  <c r="C24" i="46"/>
  <c r="B24" i="46"/>
  <c r="A24" i="46"/>
  <c r="H23" i="46"/>
  <c r="G23" i="46"/>
  <c r="F23" i="46"/>
  <c r="E23" i="46"/>
  <c r="D23" i="46"/>
  <c r="C23" i="46"/>
  <c r="B23" i="46"/>
  <c r="A23" i="46"/>
  <c r="H22" i="46"/>
  <c r="G22" i="46"/>
  <c r="F22" i="46"/>
  <c r="E22" i="46"/>
  <c r="D22" i="46"/>
  <c r="C22" i="46"/>
  <c r="B22" i="46"/>
  <c r="A22" i="46"/>
  <c r="H21" i="46"/>
  <c r="G21" i="46"/>
  <c r="F21" i="46"/>
  <c r="E21" i="46"/>
  <c r="D21" i="46"/>
  <c r="C21" i="46"/>
  <c r="B21" i="46"/>
  <c r="A21" i="46"/>
  <c r="H20" i="46"/>
  <c r="G20" i="46"/>
  <c r="F20" i="46"/>
  <c r="E20" i="46"/>
  <c r="D20" i="46"/>
  <c r="C20" i="46"/>
  <c r="B20" i="46"/>
  <c r="A20" i="46"/>
  <c r="H19" i="46"/>
  <c r="G19" i="46"/>
  <c r="F19" i="46"/>
  <c r="E19" i="46"/>
  <c r="D19" i="46"/>
  <c r="C19" i="46"/>
  <c r="B19" i="46"/>
  <c r="A19" i="46"/>
  <c r="H18" i="46"/>
  <c r="G18" i="46"/>
  <c r="F18" i="46"/>
  <c r="E18" i="46"/>
  <c r="D18" i="46"/>
  <c r="C18" i="46"/>
  <c r="B18" i="46"/>
  <c r="A18" i="46"/>
  <c r="H17" i="46"/>
  <c r="G17" i="46"/>
  <c r="F17" i="46"/>
  <c r="E17" i="46"/>
  <c r="D17" i="46"/>
  <c r="C17" i="46"/>
  <c r="B17" i="46"/>
  <c r="A17" i="46"/>
  <c r="H16" i="46"/>
  <c r="G16" i="46"/>
  <c r="F16" i="46"/>
  <c r="E16" i="46"/>
  <c r="D16" i="46"/>
  <c r="C16" i="46"/>
  <c r="B16" i="46"/>
  <c r="A16" i="46"/>
  <c r="H15" i="46"/>
  <c r="G15" i="46"/>
  <c r="F15" i="46"/>
  <c r="E15" i="46"/>
  <c r="D15" i="46"/>
  <c r="C15" i="46"/>
  <c r="B15" i="46"/>
  <c r="A15" i="46"/>
  <c r="H14" i="46"/>
  <c r="G14" i="46"/>
  <c r="F14" i="46"/>
  <c r="E14" i="46"/>
  <c r="D14" i="46"/>
  <c r="C14" i="46"/>
  <c r="B14" i="46"/>
  <c r="A14" i="46"/>
  <c r="H13" i="46"/>
  <c r="G13" i="46"/>
  <c r="F13" i="46"/>
  <c r="E13" i="46"/>
  <c r="D13" i="46"/>
  <c r="C13" i="46"/>
  <c r="B13" i="46"/>
  <c r="A13" i="46"/>
  <c r="H12" i="46"/>
  <c r="G12" i="46"/>
  <c r="F12" i="46"/>
  <c r="E12" i="46"/>
  <c r="D12" i="46"/>
  <c r="C12" i="46"/>
  <c r="B12" i="46"/>
  <c r="A12" i="46"/>
  <c r="H11" i="46"/>
  <c r="G11" i="46"/>
  <c r="F11" i="46"/>
  <c r="E11" i="46"/>
  <c r="D11" i="46"/>
  <c r="C11" i="46"/>
  <c r="B11" i="46"/>
  <c r="A11" i="46"/>
  <c r="H10" i="46"/>
  <c r="G10" i="46"/>
  <c r="F10" i="46"/>
  <c r="E10" i="46"/>
  <c r="D10" i="46"/>
  <c r="C10" i="46"/>
  <c r="B10" i="46"/>
  <c r="A10" i="46"/>
  <c r="H9" i="46"/>
  <c r="G9" i="46"/>
  <c r="F9" i="46"/>
  <c r="E9" i="46"/>
  <c r="D9" i="46"/>
  <c r="C9" i="46"/>
  <c r="B9" i="46"/>
  <c r="A9" i="46"/>
  <c r="H8" i="46"/>
  <c r="G8" i="46"/>
  <c r="F8" i="46"/>
  <c r="E8" i="46"/>
  <c r="D8" i="46"/>
  <c r="C8" i="46"/>
  <c r="B8" i="46"/>
  <c r="A8" i="46"/>
  <c r="H7" i="46"/>
  <c r="G7" i="46"/>
  <c r="F7" i="46"/>
  <c r="E7" i="46"/>
  <c r="D7" i="46"/>
  <c r="C7" i="46"/>
  <c r="B7" i="46"/>
  <c r="A7" i="46"/>
  <c r="H6" i="46"/>
  <c r="G6" i="46"/>
  <c r="F6" i="46"/>
  <c r="E6" i="46"/>
  <c r="D6" i="46"/>
  <c r="C6" i="46"/>
  <c r="B6" i="46"/>
  <c r="A6" i="46"/>
  <c r="H5" i="46"/>
  <c r="G5" i="46"/>
  <c r="F5" i="46"/>
  <c r="E5" i="46"/>
  <c r="D5" i="46"/>
  <c r="C5" i="46"/>
  <c r="B5" i="46"/>
  <c r="A5" i="46"/>
  <c r="H4" i="46"/>
  <c r="G4" i="46"/>
  <c r="F4" i="46"/>
  <c r="E4" i="46"/>
  <c r="D4" i="46"/>
  <c r="C4" i="46"/>
  <c r="B4" i="46"/>
  <c r="A4" i="46"/>
  <c r="H3" i="46"/>
  <c r="G3" i="46"/>
  <c r="F3" i="46"/>
  <c r="E3" i="46"/>
  <c r="D3" i="46"/>
  <c r="C3" i="46"/>
  <c r="B3" i="46"/>
  <c r="A3" i="46"/>
  <c r="H2" i="46"/>
  <c r="G2" i="46"/>
  <c r="F2" i="46"/>
  <c r="E2" i="46"/>
  <c r="D2" i="46"/>
  <c r="C2" i="46"/>
  <c r="B2" i="46"/>
  <c r="A2" i="46"/>
  <c r="H1" i="46"/>
  <c r="G1" i="46"/>
  <c r="F1" i="46"/>
  <c r="E1" i="46"/>
  <c r="D1" i="46"/>
  <c r="C1" i="46"/>
  <c r="B1" i="46"/>
  <c r="A1" i="46"/>
  <c r="G253" i="45"/>
  <c r="F253" i="45"/>
  <c r="E253" i="45"/>
  <c r="D253" i="45"/>
  <c r="C253" i="45"/>
  <c r="B253" i="45"/>
  <c r="A253" i="45"/>
  <c r="G252" i="45"/>
  <c r="F252" i="45"/>
  <c r="E252" i="45"/>
  <c r="D252" i="45"/>
  <c r="C252" i="45"/>
  <c r="B252" i="45"/>
  <c r="A252" i="45"/>
  <c r="G251" i="45"/>
  <c r="F251" i="45"/>
  <c r="E251" i="45"/>
  <c r="D251" i="45"/>
  <c r="C251" i="45"/>
  <c r="B251" i="45"/>
  <c r="A251" i="45"/>
  <c r="G250" i="45"/>
  <c r="F250" i="45"/>
  <c r="E250" i="45"/>
  <c r="D250" i="45"/>
  <c r="C250" i="45"/>
  <c r="B250" i="45"/>
  <c r="A250" i="45"/>
  <c r="G249" i="45"/>
  <c r="F249" i="45"/>
  <c r="E249" i="45"/>
  <c r="D249" i="45"/>
  <c r="C249" i="45"/>
  <c r="B249" i="45"/>
  <c r="A249" i="45"/>
  <c r="G248" i="45"/>
  <c r="F248" i="45"/>
  <c r="E248" i="45"/>
  <c r="D248" i="45"/>
  <c r="C248" i="45"/>
  <c r="B248" i="45"/>
  <c r="A248" i="45"/>
  <c r="G247" i="45"/>
  <c r="F247" i="45"/>
  <c r="E247" i="45"/>
  <c r="D247" i="45"/>
  <c r="C247" i="45"/>
  <c r="B247" i="45"/>
  <c r="A247" i="45"/>
  <c r="G246" i="45"/>
  <c r="F246" i="45"/>
  <c r="E246" i="45"/>
  <c r="D246" i="45"/>
  <c r="C246" i="45"/>
  <c r="B246" i="45"/>
  <c r="A246" i="45"/>
  <c r="G245" i="45"/>
  <c r="F245" i="45"/>
  <c r="E245" i="45"/>
  <c r="D245" i="45"/>
  <c r="C245" i="45"/>
  <c r="B245" i="45"/>
  <c r="A245" i="45"/>
  <c r="G244" i="45"/>
  <c r="F244" i="45"/>
  <c r="E244" i="45"/>
  <c r="D244" i="45"/>
  <c r="C244" i="45"/>
  <c r="B244" i="45"/>
  <c r="A244" i="45"/>
  <c r="G243" i="45"/>
  <c r="F243" i="45"/>
  <c r="E243" i="45"/>
  <c r="D243" i="45"/>
  <c r="C243" i="45"/>
  <c r="B243" i="45"/>
  <c r="A243" i="45"/>
  <c r="G242" i="45"/>
  <c r="F242" i="45"/>
  <c r="E242" i="45"/>
  <c r="D242" i="45"/>
  <c r="C242" i="45"/>
  <c r="B242" i="45"/>
  <c r="A242" i="45"/>
  <c r="G241" i="45"/>
  <c r="F241" i="45"/>
  <c r="E241" i="45"/>
  <c r="D241" i="45"/>
  <c r="C241" i="45"/>
  <c r="B241" i="45"/>
  <c r="A241" i="45"/>
  <c r="G240" i="45"/>
  <c r="F240" i="45"/>
  <c r="E240" i="45"/>
  <c r="D240" i="45"/>
  <c r="C240" i="45"/>
  <c r="B240" i="45"/>
  <c r="A240" i="45"/>
  <c r="G239" i="45"/>
  <c r="F239" i="45"/>
  <c r="E239" i="45"/>
  <c r="D239" i="45"/>
  <c r="C239" i="45"/>
  <c r="B239" i="45"/>
  <c r="A239" i="45"/>
  <c r="G238" i="45"/>
  <c r="F238" i="45"/>
  <c r="E238" i="45"/>
  <c r="D238" i="45"/>
  <c r="C238" i="45"/>
  <c r="B238" i="45"/>
  <c r="A238" i="45"/>
  <c r="G237" i="45"/>
  <c r="F237" i="45"/>
  <c r="E237" i="45"/>
  <c r="D237" i="45"/>
  <c r="C237" i="45"/>
  <c r="B237" i="45"/>
  <c r="A237" i="45"/>
  <c r="G236" i="45"/>
  <c r="F236" i="45"/>
  <c r="E236" i="45"/>
  <c r="D236" i="45"/>
  <c r="C236" i="45"/>
  <c r="B236" i="45"/>
  <c r="A236" i="45"/>
  <c r="G235" i="45"/>
  <c r="F235" i="45"/>
  <c r="E235" i="45"/>
  <c r="D235" i="45"/>
  <c r="C235" i="45"/>
  <c r="B235" i="45"/>
  <c r="A235" i="45"/>
  <c r="G234" i="45"/>
  <c r="F234" i="45"/>
  <c r="E234" i="45"/>
  <c r="D234" i="45"/>
  <c r="C234" i="45"/>
  <c r="B234" i="45"/>
  <c r="A234" i="45"/>
  <c r="G233" i="45"/>
  <c r="F233" i="45"/>
  <c r="E233" i="45"/>
  <c r="D233" i="45"/>
  <c r="C233" i="45"/>
  <c r="B233" i="45"/>
  <c r="A233" i="45"/>
  <c r="G232" i="45"/>
  <c r="F232" i="45"/>
  <c r="E232" i="45"/>
  <c r="D232" i="45"/>
  <c r="C232" i="45"/>
  <c r="B232" i="45"/>
  <c r="A232" i="45"/>
  <c r="G231" i="45"/>
  <c r="F231" i="45"/>
  <c r="E231" i="45"/>
  <c r="D231" i="45"/>
  <c r="C231" i="45"/>
  <c r="B231" i="45"/>
  <c r="A231" i="45"/>
  <c r="G230" i="45"/>
  <c r="F230" i="45"/>
  <c r="E230" i="45"/>
  <c r="D230" i="45"/>
  <c r="C230" i="45"/>
  <c r="B230" i="45"/>
  <c r="A230" i="45"/>
  <c r="G229" i="45"/>
  <c r="F229" i="45"/>
  <c r="E229" i="45"/>
  <c r="D229" i="45"/>
  <c r="C229" i="45"/>
  <c r="B229" i="45"/>
  <c r="A229" i="45"/>
  <c r="G228" i="45"/>
  <c r="F228" i="45"/>
  <c r="E228" i="45"/>
  <c r="D228" i="45"/>
  <c r="C228" i="45"/>
  <c r="B228" i="45"/>
  <c r="A228" i="45"/>
  <c r="G227" i="45"/>
  <c r="F227" i="45"/>
  <c r="E227" i="45"/>
  <c r="D227" i="45"/>
  <c r="C227" i="45"/>
  <c r="B227" i="45"/>
  <c r="A227" i="45"/>
  <c r="G226" i="45"/>
  <c r="F226" i="45"/>
  <c r="E226" i="45"/>
  <c r="D226" i="45"/>
  <c r="C226" i="45"/>
  <c r="B226" i="45"/>
  <c r="A226" i="45"/>
  <c r="G225" i="45"/>
  <c r="F225" i="45"/>
  <c r="E225" i="45"/>
  <c r="D225" i="45"/>
  <c r="C225" i="45"/>
  <c r="B225" i="45"/>
  <c r="A225" i="45"/>
  <c r="G224" i="45"/>
  <c r="F224" i="45"/>
  <c r="E224" i="45"/>
  <c r="D224" i="45"/>
  <c r="C224" i="45"/>
  <c r="B224" i="45"/>
  <c r="A224" i="45"/>
  <c r="G223" i="45"/>
  <c r="F223" i="45"/>
  <c r="E223" i="45"/>
  <c r="D223" i="45"/>
  <c r="C223" i="45"/>
  <c r="B223" i="45"/>
  <c r="A223" i="45"/>
  <c r="G222" i="45"/>
  <c r="F222" i="45"/>
  <c r="E222" i="45"/>
  <c r="D222" i="45"/>
  <c r="C222" i="45"/>
  <c r="B222" i="45"/>
  <c r="A222" i="45"/>
  <c r="G221" i="45"/>
  <c r="F221" i="45"/>
  <c r="E221" i="45"/>
  <c r="D221" i="45"/>
  <c r="C221" i="45"/>
  <c r="B221" i="45"/>
  <c r="A221" i="45"/>
  <c r="G220" i="45"/>
  <c r="F220" i="45"/>
  <c r="E220" i="45"/>
  <c r="D220" i="45"/>
  <c r="C220" i="45"/>
  <c r="B220" i="45"/>
  <c r="A220" i="45"/>
  <c r="G219" i="45"/>
  <c r="F219" i="45"/>
  <c r="E219" i="45"/>
  <c r="D219" i="45"/>
  <c r="C219" i="45"/>
  <c r="B219" i="45"/>
  <c r="A219" i="45"/>
  <c r="G218" i="45"/>
  <c r="F218" i="45"/>
  <c r="E218" i="45"/>
  <c r="D218" i="45"/>
  <c r="C218" i="45"/>
  <c r="B218" i="45"/>
  <c r="A218" i="45"/>
  <c r="G217" i="45"/>
  <c r="F217" i="45"/>
  <c r="E217" i="45"/>
  <c r="D217" i="45"/>
  <c r="C217" i="45"/>
  <c r="B217" i="45"/>
  <c r="A217" i="45"/>
  <c r="G216" i="45"/>
  <c r="F216" i="45"/>
  <c r="E216" i="45"/>
  <c r="D216" i="45"/>
  <c r="C216" i="45"/>
  <c r="B216" i="45"/>
  <c r="A216" i="45"/>
  <c r="G215" i="45"/>
  <c r="F215" i="45"/>
  <c r="E215" i="45"/>
  <c r="D215" i="45"/>
  <c r="C215" i="45"/>
  <c r="B215" i="45"/>
  <c r="A215" i="45"/>
  <c r="G214" i="45"/>
  <c r="F214" i="45"/>
  <c r="E214" i="45"/>
  <c r="D214" i="45"/>
  <c r="C214" i="45"/>
  <c r="B214" i="45"/>
  <c r="A214" i="45"/>
  <c r="G213" i="45"/>
  <c r="F213" i="45"/>
  <c r="E213" i="45"/>
  <c r="D213" i="45"/>
  <c r="C213" i="45"/>
  <c r="B213" i="45"/>
  <c r="A213" i="45"/>
  <c r="G212" i="45"/>
  <c r="F212" i="45"/>
  <c r="E212" i="45"/>
  <c r="D212" i="45"/>
  <c r="C212" i="45"/>
  <c r="B212" i="45"/>
  <c r="A212" i="45"/>
  <c r="G211" i="45"/>
  <c r="F211" i="45"/>
  <c r="E211" i="45"/>
  <c r="D211" i="45"/>
  <c r="C211" i="45"/>
  <c r="B211" i="45"/>
  <c r="A211" i="45"/>
  <c r="G210" i="45"/>
  <c r="F210" i="45"/>
  <c r="E210" i="45"/>
  <c r="D210" i="45"/>
  <c r="C210" i="45"/>
  <c r="B210" i="45"/>
  <c r="A210" i="45"/>
  <c r="G209" i="45"/>
  <c r="F209" i="45"/>
  <c r="E209" i="45"/>
  <c r="D209" i="45"/>
  <c r="C209" i="45"/>
  <c r="B209" i="45"/>
  <c r="A209" i="45"/>
  <c r="G208" i="45"/>
  <c r="F208" i="45"/>
  <c r="E208" i="45"/>
  <c r="D208" i="45"/>
  <c r="C208" i="45"/>
  <c r="B208" i="45"/>
  <c r="A208" i="45"/>
  <c r="G207" i="45"/>
  <c r="F207" i="45"/>
  <c r="E207" i="45"/>
  <c r="D207" i="45"/>
  <c r="C207" i="45"/>
  <c r="B207" i="45"/>
  <c r="A207" i="45"/>
  <c r="G206" i="45"/>
  <c r="F206" i="45"/>
  <c r="E206" i="45"/>
  <c r="D206" i="45"/>
  <c r="C206" i="45"/>
  <c r="B206" i="45"/>
  <c r="A206" i="45"/>
  <c r="G205" i="45"/>
  <c r="F205" i="45"/>
  <c r="E205" i="45"/>
  <c r="D205" i="45"/>
  <c r="C205" i="45"/>
  <c r="B205" i="45"/>
  <c r="A205" i="45"/>
  <c r="G204" i="45"/>
  <c r="F204" i="45"/>
  <c r="E204" i="45"/>
  <c r="D204" i="45"/>
  <c r="C204" i="45"/>
  <c r="B204" i="45"/>
  <c r="A204" i="45"/>
  <c r="G203" i="45"/>
  <c r="F203" i="45"/>
  <c r="E203" i="45"/>
  <c r="D203" i="45"/>
  <c r="C203" i="45"/>
  <c r="B203" i="45"/>
  <c r="A203" i="45"/>
  <c r="G202" i="45"/>
  <c r="F202" i="45"/>
  <c r="E202" i="45"/>
  <c r="D202" i="45"/>
  <c r="C202" i="45"/>
  <c r="B202" i="45"/>
  <c r="A202" i="45"/>
  <c r="G201" i="45"/>
  <c r="F201" i="45"/>
  <c r="E201" i="45"/>
  <c r="D201" i="45"/>
  <c r="C201" i="45"/>
  <c r="B201" i="45"/>
  <c r="A201" i="45"/>
  <c r="G200" i="45"/>
  <c r="F200" i="45"/>
  <c r="E200" i="45"/>
  <c r="D200" i="45"/>
  <c r="C200" i="45"/>
  <c r="B200" i="45"/>
  <c r="A200" i="45"/>
  <c r="G199" i="45"/>
  <c r="F199" i="45"/>
  <c r="E199" i="45"/>
  <c r="D199" i="45"/>
  <c r="C199" i="45"/>
  <c r="B199" i="45"/>
  <c r="A199" i="45"/>
  <c r="G198" i="45"/>
  <c r="F198" i="45"/>
  <c r="E198" i="45"/>
  <c r="D198" i="45"/>
  <c r="C198" i="45"/>
  <c r="B198" i="45"/>
  <c r="A198" i="45"/>
  <c r="G197" i="45"/>
  <c r="F197" i="45"/>
  <c r="E197" i="45"/>
  <c r="D197" i="45"/>
  <c r="C197" i="45"/>
  <c r="B197" i="45"/>
  <c r="A197" i="45"/>
  <c r="G196" i="45"/>
  <c r="F196" i="45"/>
  <c r="E196" i="45"/>
  <c r="D196" i="45"/>
  <c r="C196" i="45"/>
  <c r="B196" i="45"/>
  <c r="A196" i="45"/>
  <c r="G195" i="45"/>
  <c r="F195" i="45"/>
  <c r="E195" i="45"/>
  <c r="D195" i="45"/>
  <c r="C195" i="45"/>
  <c r="B195" i="45"/>
  <c r="A195" i="45"/>
  <c r="G194" i="45"/>
  <c r="F194" i="45"/>
  <c r="E194" i="45"/>
  <c r="D194" i="45"/>
  <c r="C194" i="45"/>
  <c r="B194" i="45"/>
  <c r="A194" i="45"/>
  <c r="G193" i="45"/>
  <c r="F193" i="45"/>
  <c r="E193" i="45"/>
  <c r="D193" i="45"/>
  <c r="C193" i="45"/>
  <c r="B193" i="45"/>
  <c r="A193" i="45"/>
  <c r="G192" i="45"/>
  <c r="F192" i="45"/>
  <c r="E192" i="45"/>
  <c r="D192" i="45"/>
  <c r="C192" i="45"/>
  <c r="B192" i="45"/>
  <c r="A192" i="45"/>
  <c r="G191" i="45"/>
  <c r="F191" i="45"/>
  <c r="E191" i="45"/>
  <c r="D191" i="45"/>
  <c r="C191" i="45"/>
  <c r="B191" i="45"/>
  <c r="A191" i="45"/>
  <c r="G190" i="45"/>
  <c r="F190" i="45"/>
  <c r="E190" i="45"/>
  <c r="D190" i="45"/>
  <c r="C190" i="45"/>
  <c r="B190" i="45"/>
  <c r="A190" i="45"/>
  <c r="G189" i="45"/>
  <c r="F189" i="45"/>
  <c r="E189" i="45"/>
  <c r="D189" i="45"/>
  <c r="C189" i="45"/>
  <c r="B189" i="45"/>
  <c r="A189" i="45"/>
  <c r="G188" i="45"/>
  <c r="F188" i="45"/>
  <c r="E188" i="45"/>
  <c r="D188" i="45"/>
  <c r="C188" i="45"/>
  <c r="B188" i="45"/>
  <c r="A188" i="45"/>
  <c r="G187" i="45"/>
  <c r="F187" i="45"/>
  <c r="E187" i="45"/>
  <c r="D187" i="45"/>
  <c r="C187" i="45"/>
  <c r="B187" i="45"/>
  <c r="A187" i="45"/>
  <c r="G186" i="45"/>
  <c r="F186" i="45"/>
  <c r="E186" i="45"/>
  <c r="D186" i="45"/>
  <c r="C186" i="45"/>
  <c r="B186" i="45"/>
  <c r="A186" i="45"/>
  <c r="G185" i="45"/>
  <c r="F185" i="45"/>
  <c r="E185" i="45"/>
  <c r="D185" i="45"/>
  <c r="C185" i="45"/>
  <c r="B185" i="45"/>
  <c r="A185" i="45"/>
  <c r="G184" i="45"/>
  <c r="F184" i="45"/>
  <c r="E184" i="45"/>
  <c r="D184" i="45"/>
  <c r="C184" i="45"/>
  <c r="B184" i="45"/>
  <c r="A184" i="45"/>
  <c r="G183" i="45"/>
  <c r="F183" i="45"/>
  <c r="E183" i="45"/>
  <c r="D183" i="45"/>
  <c r="C183" i="45"/>
  <c r="B183" i="45"/>
  <c r="A183" i="45"/>
  <c r="G182" i="45"/>
  <c r="F182" i="45"/>
  <c r="E182" i="45"/>
  <c r="D182" i="45"/>
  <c r="C182" i="45"/>
  <c r="B182" i="45"/>
  <c r="A182" i="45"/>
  <c r="G181" i="45"/>
  <c r="F181" i="45"/>
  <c r="E181" i="45"/>
  <c r="D181" i="45"/>
  <c r="C181" i="45"/>
  <c r="B181" i="45"/>
  <c r="A181" i="45"/>
  <c r="G180" i="45"/>
  <c r="F180" i="45"/>
  <c r="E180" i="45"/>
  <c r="D180" i="45"/>
  <c r="C180" i="45"/>
  <c r="B180" i="45"/>
  <c r="A180" i="45"/>
  <c r="G179" i="45"/>
  <c r="F179" i="45"/>
  <c r="E179" i="45"/>
  <c r="D179" i="45"/>
  <c r="C179" i="45"/>
  <c r="B179" i="45"/>
  <c r="A179" i="45"/>
  <c r="G178" i="45"/>
  <c r="F178" i="45"/>
  <c r="E178" i="45"/>
  <c r="D178" i="45"/>
  <c r="C178" i="45"/>
  <c r="B178" i="45"/>
  <c r="A178" i="45"/>
  <c r="G177" i="45"/>
  <c r="F177" i="45"/>
  <c r="E177" i="45"/>
  <c r="D177" i="45"/>
  <c r="C177" i="45"/>
  <c r="B177" i="45"/>
  <c r="A177" i="45"/>
  <c r="G176" i="45"/>
  <c r="F176" i="45"/>
  <c r="E176" i="45"/>
  <c r="D176" i="45"/>
  <c r="C176" i="45"/>
  <c r="B176" i="45"/>
  <c r="A176" i="45"/>
  <c r="G175" i="45"/>
  <c r="F175" i="45"/>
  <c r="E175" i="45"/>
  <c r="D175" i="45"/>
  <c r="C175" i="45"/>
  <c r="B175" i="45"/>
  <c r="A175" i="45"/>
  <c r="G174" i="45"/>
  <c r="F174" i="45"/>
  <c r="E174" i="45"/>
  <c r="D174" i="45"/>
  <c r="C174" i="45"/>
  <c r="B174" i="45"/>
  <c r="A174" i="45"/>
  <c r="G173" i="45"/>
  <c r="F173" i="45"/>
  <c r="E173" i="45"/>
  <c r="D173" i="45"/>
  <c r="C173" i="45"/>
  <c r="B173" i="45"/>
  <c r="A173" i="45"/>
  <c r="G172" i="45"/>
  <c r="F172" i="45"/>
  <c r="E172" i="45"/>
  <c r="D172" i="45"/>
  <c r="C172" i="45"/>
  <c r="B172" i="45"/>
  <c r="A172" i="45"/>
  <c r="G171" i="45"/>
  <c r="F171" i="45"/>
  <c r="E171" i="45"/>
  <c r="D171" i="45"/>
  <c r="C171" i="45"/>
  <c r="B171" i="45"/>
  <c r="A171" i="45"/>
  <c r="G170" i="45"/>
  <c r="F170" i="45"/>
  <c r="E170" i="45"/>
  <c r="D170" i="45"/>
  <c r="C170" i="45"/>
  <c r="B170" i="45"/>
  <c r="A170" i="45"/>
  <c r="G169" i="45"/>
  <c r="F169" i="45"/>
  <c r="E169" i="45"/>
  <c r="D169" i="45"/>
  <c r="C169" i="45"/>
  <c r="B169" i="45"/>
  <c r="A169" i="45"/>
  <c r="G168" i="45"/>
  <c r="F168" i="45"/>
  <c r="E168" i="45"/>
  <c r="D168" i="45"/>
  <c r="C168" i="45"/>
  <c r="B168" i="45"/>
  <c r="A168" i="45"/>
  <c r="G167" i="45"/>
  <c r="F167" i="45"/>
  <c r="E167" i="45"/>
  <c r="D167" i="45"/>
  <c r="C167" i="45"/>
  <c r="B167" i="45"/>
  <c r="A167" i="45"/>
  <c r="G166" i="45"/>
  <c r="F166" i="45"/>
  <c r="E166" i="45"/>
  <c r="D166" i="45"/>
  <c r="C166" i="45"/>
  <c r="B166" i="45"/>
  <c r="A166" i="45"/>
  <c r="G165" i="45"/>
  <c r="F165" i="45"/>
  <c r="E165" i="45"/>
  <c r="D165" i="45"/>
  <c r="C165" i="45"/>
  <c r="B165" i="45"/>
  <c r="A165" i="45"/>
  <c r="G164" i="45"/>
  <c r="F164" i="45"/>
  <c r="E164" i="45"/>
  <c r="D164" i="45"/>
  <c r="C164" i="45"/>
  <c r="B164" i="45"/>
  <c r="A164" i="45"/>
  <c r="G163" i="45"/>
  <c r="F163" i="45"/>
  <c r="E163" i="45"/>
  <c r="D163" i="45"/>
  <c r="C163" i="45"/>
  <c r="B163" i="45"/>
  <c r="A163" i="45"/>
  <c r="G162" i="45"/>
  <c r="F162" i="45"/>
  <c r="E162" i="45"/>
  <c r="D162" i="45"/>
  <c r="C162" i="45"/>
  <c r="B162" i="45"/>
  <c r="A162" i="45"/>
  <c r="G161" i="45"/>
  <c r="F161" i="45"/>
  <c r="E161" i="45"/>
  <c r="D161" i="45"/>
  <c r="C161" i="45"/>
  <c r="B161" i="45"/>
  <c r="A161" i="45"/>
  <c r="G160" i="45"/>
  <c r="F160" i="45"/>
  <c r="E160" i="45"/>
  <c r="D160" i="45"/>
  <c r="C160" i="45"/>
  <c r="B160" i="45"/>
  <c r="A160" i="45"/>
  <c r="G159" i="45"/>
  <c r="F159" i="45"/>
  <c r="E159" i="45"/>
  <c r="D159" i="45"/>
  <c r="C159" i="45"/>
  <c r="B159" i="45"/>
  <c r="A159" i="45"/>
  <c r="G158" i="45"/>
  <c r="F158" i="45"/>
  <c r="E158" i="45"/>
  <c r="D158" i="45"/>
  <c r="C158" i="45"/>
  <c r="B158" i="45"/>
  <c r="A158" i="45"/>
  <c r="G157" i="45"/>
  <c r="F157" i="45"/>
  <c r="E157" i="45"/>
  <c r="D157" i="45"/>
  <c r="C157" i="45"/>
  <c r="B157" i="45"/>
  <c r="A157" i="45"/>
  <c r="G156" i="45"/>
  <c r="F156" i="45"/>
  <c r="E156" i="45"/>
  <c r="D156" i="45"/>
  <c r="C156" i="45"/>
  <c r="B156" i="45"/>
  <c r="A156" i="45"/>
  <c r="G155" i="45"/>
  <c r="F155" i="45"/>
  <c r="E155" i="45"/>
  <c r="D155" i="45"/>
  <c r="C155" i="45"/>
  <c r="B155" i="45"/>
  <c r="A155" i="45"/>
  <c r="G154" i="45"/>
  <c r="F154" i="45"/>
  <c r="E154" i="45"/>
  <c r="D154" i="45"/>
  <c r="C154" i="45"/>
  <c r="B154" i="45"/>
  <c r="A154" i="45"/>
  <c r="G153" i="45"/>
  <c r="F153" i="45"/>
  <c r="E153" i="45"/>
  <c r="D153" i="45"/>
  <c r="C153" i="45"/>
  <c r="B153" i="45"/>
  <c r="A153" i="45"/>
  <c r="G152" i="45"/>
  <c r="F152" i="45"/>
  <c r="E152" i="45"/>
  <c r="D152" i="45"/>
  <c r="C152" i="45"/>
  <c r="B152" i="45"/>
  <c r="A152" i="45"/>
  <c r="G151" i="45"/>
  <c r="F151" i="45"/>
  <c r="E151" i="45"/>
  <c r="D151" i="45"/>
  <c r="C151" i="45"/>
  <c r="B151" i="45"/>
  <c r="A151" i="45"/>
  <c r="G150" i="45"/>
  <c r="F150" i="45"/>
  <c r="E150" i="45"/>
  <c r="D150" i="45"/>
  <c r="C150" i="45"/>
  <c r="B150" i="45"/>
  <c r="A150" i="45"/>
  <c r="G149" i="45"/>
  <c r="F149" i="45"/>
  <c r="E149" i="45"/>
  <c r="D149" i="45"/>
  <c r="C149" i="45"/>
  <c r="B149" i="45"/>
  <c r="A149" i="45"/>
  <c r="G148" i="45"/>
  <c r="F148" i="45"/>
  <c r="E148" i="45"/>
  <c r="D148" i="45"/>
  <c r="C148" i="45"/>
  <c r="B148" i="45"/>
  <c r="A148" i="45"/>
  <c r="G147" i="45"/>
  <c r="F147" i="45"/>
  <c r="E147" i="45"/>
  <c r="D147" i="45"/>
  <c r="C147" i="45"/>
  <c r="B147" i="45"/>
  <c r="A147" i="45"/>
  <c r="G146" i="45"/>
  <c r="F146" i="45"/>
  <c r="E146" i="45"/>
  <c r="D146" i="45"/>
  <c r="C146" i="45"/>
  <c r="B146" i="45"/>
  <c r="A146" i="45"/>
  <c r="G145" i="45"/>
  <c r="F145" i="45"/>
  <c r="E145" i="45"/>
  <c r="D145" i="45"/>
  <c r="C145" i="45"/>
  <c r="B145" i="45"/>
  <c r="A145" i="45"/>
  <c r="G144" i="45"/>
  <c r="F144" i="45"/>
  <c r="E144" i="45"/>
  <c r="D144" i="45"/>
  <c r="C144" i="45"/>
  <c r="B144" i="45"/>
  <c r="A144" i="45"/>
  <c r="G143" i="45"/>
  <c r="F143" i="45"/>
  <c r="E143" i="45"/>
  <c r="D143" i="45"/>
  <c r="C143" i="45"/>
  <c r="B143" i="45"/>
  <c r="A143" i="45"/>
  <c r="G142" i="45"/>
  <c r="F142" i="45"/>
  <c r="E142" i="45"/>
  <c r="D142" i="45"/>
  <c r="C142" i="45"/>
  <c r="B142" i="45"/>
  <c r="A142" i="45"/>
  <c r="G141" i="45"/>
  <c r="F141" i="45"/>
  <c r="E141" i="45"/>
  <c r="D141" i="45"/>
  <c r="C141" i="45"/>
  <c r="B141" i="45"/>
  <c r="A141" i="45"/>
  <c r="G140" i="45"/>
  <c r="F140" i="45"/>
  <c r="E140" i="45"/>
  <c r="D140" i="45"/>
  <c r="C140" i="45"/>
  <c r="B140" i="45"/>
  <c r="A140" i="45"/>
  <c r="G139" i="45"/>
  <c r="F139" i="45"/>
  <c r="E139" i="45"/>
  <c r="D139" i="45"/>
  <c r="C139" i="45"/>
  <c r="B139" i="45"/>
  <c r="A139" i="45"/>
  <c r="G138" i="45"/>
  <c r="F138" i="45"/>
  <c r="E138" i="45"/>
  <c r="D138" i="45"/>
  <c r="C138" i="45"/>
  <c r="B138" i="45"/>
  <c r="A138" i="45"/>
  <c r="G137" i="45"/>
  <c r="F137" i="45"/>
  <c r="E137" i="45"/>
  <c r="D137" i="45"/>
  <c r="C137" i="45"/>
  <c r="B137" i="45"/>
  <c r="A137" i="45"/>
  <c r="G136" i="45"/>
  <c r="F136" i="45"/>
  <c r="E136" i="45"/>
  <c r="D136" i="45"/>
  <c r="C136" i="45"/>
  <c r="B136" i="45"/>
  <c r="A136" i="45"/>
  <c r="G135" i="45"/>
  <c r="F135" i="45"/>
  <c r="E135" i="45"/>
  <c r="D135" i="45"/>
  <c r="C135" i="45"/>
  <c r="B135" i="45"/>
  <c r="A135" i="45"/>
  <c r="G134" i="45"/>
  <c r="F134" i="45"/>
  <c r="E134" i="45"/>
  <c r="D134" i="45"/>
  <c r="C134" i="45"/>
  <c r="B134" i="45"/>
  <c r="A134" i="45"/>
  <c r="G133" i="45"/>
  <c r="F133" i="45"/>
  <c r="E133" i="45"/>
  <c r="D133" i="45"/>
  <c r="C133" i="45"/>
  <c r="B133" i="45"/>
  <c r="A133" i="45"/>
  <c r="G132" i="45"/>
  <c r="F132" i="45"/>
  <c r="E132" i="45"/>
  <c r="D132" i="45"/>
  <c r="C132" i="45"/>
  <c r="B132" i="45"/>
  <c r="A132" i="45"/>
  <c r="G131" i="45"/>
  <c r="F131" i="45"/>
  <c r="E131" i="45"/>
  <c r="D131" i="45"/>
  <c r="C131" i="45"/>
  <c r="B131" i="45"/>
  <c r="A131" i="45"/>
  <c r="G130" i="45"/>
  <c r="F130" i="45"/>
  <c r="E130" i="45"/>
  <c r="D130" i="45"/>
  <c r="C130" i="45"/>
  <c r="B130" i="45"/>
  <c r="A130" i="45"/>
  <c r="G129" i="45"/>
  <c r="F129" i="45"/>
  <c r="E129" i="45"/>
  <c r="D129" i="45"/>
  <c r="C129" i="45"/>
  <c r="B129" i="45"/>
  <c r="A129" i="45"/>
  <c r="G128" i="45"/>
  <c r="F128" i="45"/>
  <c r="E128" i="45"/>
  <c r="D128" i="45"/>
  <c r="C128" i="45"/>
  <c r="B128" i="45"/>
  <c r="A128" i="45"/>
  <c r="G127" i="45"/>
  <c r="F127" i="45"/>
  <c r="E127" i="45"/>
  <c r="D127" i="45"/>
  <c r="C127" i="45"/>
  <c r="B127" i="45"/>
  <c r="A127" i="45"/>
  <c r="G126" i="45"/>
  <c r="F126" i="45"/>
  <c r="E126" i="45"/>
  <c r="D126" i="45"/>
  <c r="C126" i="45"/>
  <c r="B126" i="45"/>
  <c r="A126" i="45"/>
  <c r="G125" i="45"/>
  <c r="F125" i="45"/>
  <c r="E125" i="45"/>
  <c r="D125" i="45"/>
  <c r="C125" i="45"/>
  <c r="B125" i="45"/>
  <c r="A125" i="45"/>
  <c r="G124" i="45"/>
  <c r="F124" i="45"/>
  <c r="E124" i="45"/>
  <c r="D124" i="45"/>
  <c r="C124" i="45"/>
  <c r="B124" i="45"/>
  <c r="A124" i="45"/>
  <c r="G123" i="45"/>
  <c r="F123" i="45"/>
  <c r="E123" i="45"/>
  <c r="D123" i="45"/>
  <c r="C123" i="45"/>
  <c r="B123" i="45"/>
  <c r="A123" i="45"/>
  <c r="G122" i="45"/>
  <c r="F122" i="45"/>
  <c r="E122" i="45"/>
  <c r="D122" i="45"/>
  <c r="C122" i="45"/>
  <c r="B122" i="45"/>
  <c r="A122" i="45"/>
  <c r="G121" i="45"/>
  <c r="F121" i="45"/>
  <c r="E121" i="45"/>
  <c r="D121" i="45"/>
  <c r="C121" i="45"/>
  <c r="B121" i="45"/>
  <c r="A121" i="45"/>
  <c r="G120" i="45"/>
  <c r="F120" i="45"/>
  <c r="E120" i="45"/>
  <c r="D120" i="45"/>
  <c r="C120" i="45"/>
  <c r="B120" i="45"/>
  <c r="A120" i="45"/>
  <c r="G119" i="45"/>
  <c r="F119" i="45"/>
  <c r="E119" i="45"/>
  <c r="D119" i="45"/>
  <c r="C119" i="45"/>
  <c r="B119" i="45"/>
  <c r="A119" i="45"/>
  <c r="G118" i="45"/>
  <c r="F118" i="45"/>
  <c r="E118" i="45"/>
  <c r="D118" i="45"/>
  <c r="C118" i="45"/>
  <c r="B118" i="45"/>
  <c r="A118" i="45"/>
  <c r="G117" i="45"/>
  <c r="F117" i="45"/>
  <c r="E117" i="45"/>
  <c r="D117" i="45"/>
  <c r="C117" i="45"/>
  <c r="B117" i="45"/>
  <c r="A117" i="45"/>
  <c r="G116" i="45"/>
  <c r="F116" i="45"/>
  <c r="E116" i="45"/>
  <c r="D116" i="45"/>
  <c r="C116" i="45"/>
  <c r="B116" i="45"/>
  <c r="A116" i="45"/>
  <c r="G115" i="45"/>
  <c r="F115" i="45"/>
  <c r="E115" i="45"/>
  <c r="D115" i="45"/>
  <c r="C115" i="45"/>
  <c r="B115" i="45"/>
  <c r="A115" i="45"/>
  <c r="G114" i="45"/>
  <c r="F114" i="45"/>
  <c r="E114" i="45"/>
  <c r="D114" i="45"/>
  <c r="C114" i="45"/>
  <c r="B114" i="45"/>
  <c r="A114" i="45"/>
  <c r="G113" i="45"/>
  <c r="F113" i="45"/>
  <c r="E113" i="45"/>
  <c r="D113" i="45"/>
  <c r="C113" i="45"/>
  <c r="B113" i="45"/>
  <c r="A113" i="45"/>
  <c r="G112" i="45"/>
  <c r="F112" i="45"/>
  <c r="E112" i="45"/>
  <c r="D112" i="45"/>
  <c r="C112" i="45"/>
  <c r="B112" i="45"/>
  <c r="A112" i="45"/>
  <c r="G111" i="45"/>
  <c r="F111" i="45"/>
  <c r="E111" i="45"/>
  <c r="D111" i="45"/>
  <c r="C111" i="45"/>
  <c r="B111" i="45"/>
  <c r="A111" i="45"/>
  <c r="G110" i="45"/>
  <c r="F110" i="45"/>
  <c r="E110" i="45"/>
  <c r="D110" i="45"/>
  <c r="C110" i="45"/>
  <c r="B110" i="45"/>
  <c r="A110" i="45"/>
  <c r="G109" i="45"/>
  <c r="F109" i="45"/>
  <c r="E109" i="45"/>
  <c r="D109" i="45"/>
  <c r="C109" i="45"/>
  <c r="B109" i="45"/>
  <c r="A109" i="45"/>
  <c r="G108" i="45"/>
  <c r="F108" i="45"/>
  <c r="E108" i="45"/>
  <c r="D108" i="45"/>
  <c r="C108" i="45"/>
  <c r="B108" i="45"/>
  <c r="A108" i="45"/>
  <c r="G107" i="45"/>
  <c r="F107" i="45"/>
  <c r="E107" i="45"/>
  <c r="D107" i="45"/>
  <c r="C107" i="45"/>
  <c r="B107" i="45"/>
  <c r="A107" i="45"/>
  <c r="G106" i="45"/>
  <c r="F106" i="45"/>
  <c r="E106" i="45"/>
  <c r="D106" i="45"/>
  <c r="C106" i="45"/>
  <c r="B106" i="45"/>
  <c r="A106" i="45"/>
  <c r="G105" i="45"/>
  <c r="F105" i="45"/>
  <c r="E105" i="45"/>
  <c r="D105" i="45"/>
  <c r="C105" i="45"/>
  <c r="B105" i="45"/>
  <c r="A105" i="45"/>
  <c r="G104" i="45"/>
  <c r="F104" i="45"/>
  <c r="E104" i="45"/>
  <c r="D104" i="45"/>
  <c r="C104" i="45"/>
  <c r="B104" i="45"/>
  <c r="A104" i="45"/>
  <c r="G103" i="45"/>
  <c r="F103" i="45"/>
  <c r="E103" i="45"/>
  <c r="D103" i="45"/>
  <c r="C103" i="45"/>
  <c r="B103" i="45"/>
  <c r="A103" i="45"/>
  <c r="G102" i="45"/>
  <c r="F102" i="45"/>
  <c r="E102" i="45"/>
  <c r="D102" i="45"/>
  <c r="C102" i="45"/>
  <c r="B102" i="45"/>
  <c r="A102" i="45"/>
  <c r="G101" i="45"/>
  <c r="F101" i="45"/>
  <c r="E101" i="45"/>
  <c r="D101" i="45"/>
  <c r="C101" i="45"/>
  <c r="B101" i="45"/>
  <c r="A101" i="45"/>
  <c r="G100" i="45"/>
  <c r="F100" i="45"/>
  <c r="E100" i="45"/>
  <c r="D100" i="45"/>
  <c r="C100" i="45"/>
  <c r="B100" i="45"/>
  <c r="A100" i="45"/>
  <c r="G99" i="45"/>
  <c r="F99" i="45"/>
  <c r="E99" i="45"/>
  <c r="D99" i="45"/>
  <c r="C99" i="45"/>
  <c r="B99" i="45"/>
  <c r="A99" i="45"/>
  <c r="G98" i="45"/>
  <c r="F98" i="45"/>
  <c r="E98" i="45"/>
  <c r="D98" i="45"/>
  <c r="C98" i="45"/>
  <c r="B98" i="45"/>
  <c r="A98" i="45"/>
  <c r="G97" i="45"/>
  <c r="F97" i="45"/>
  <c r="E97" i="45"/>
  <c r="D97" i="45"/>
  <c r="C97" i="45"/>
  <c r="B97" i="45"/>
  <c r="A97" i="45"/>
  <c r="G96" i="45"/>
  <c r="F96" i="45"/>
  <c r="E96" i="45"/>
  <c r="D96" i="45"/>
  <c r="C96" i="45"/>
  <c r="B96" i="45"/>
  <c r="A96" i="45"/>
  <c r="G95" i="45"/>
  <c r="F95" i="45"/>
  <c r="E95" i="45"/>
  <c r="D95" i="45"/>
  <c r="C95" i="45"/>
  <c r="B95" i="45"/>
  <c r="A95" i="45"/>
  <c r="G94" i="45"/>
  <c r="F94" i="45"/>
  <c r="E94" i="45"/>
  <c r="D94" i="45"/>
  <c r="C94" i="45"/>
  <c r="B94" i="45"/>
  <c r="A94" i="45"/>
  <c r="G93" i="45"/>
  <c r="F93" i="45"/>
  <c r="E93" i="45"/>
  <c r="D93" i="45"/>
  <c r="C93" i="45"/>
  <c r="B93" i="45"/>
  <c r="A93" i="45"/>
  <c r="G92" i="45"/>
  <c r="F92" i="45"/>
  <c r="E92" i="45"/>
  <c r="D92" i="45"/>
  <c r="C92" i="45"/>
  <c r="B92" i="45"/>
  <c r="A92" i="45"/>
  <c r="G91" i="45"/>
  <c r="F91" i="45"/>
  <c r="E91" i="45"/>
  <c r="D91" i="45"/>
  <c r="C91" i="45"/>
  <c r="B91" i="45"/>
  <c r="A91" i="45"/>
  <c r="G90" i="45"/>
  <c r="F90" i="45"/>
  <c r="E90" i="45"/>
  <c r="D90" i="45"/>
  <c r="C90" i="45"/>
  <c r="B90" i="45"/>
  <c r="A90" i="45"/>
  <c r="G89" i="45"/>
  <c r="F89" i="45"/>
  <c r="E89" i="45"/>
  <c r="D89" i="45"/>
  <c r="C89" i="45"/>
  <c r="B89" i="45"/>
  <c r="A89" i="45"/>
  <c r="G88" i="45"/>
  <c r="F88" i="45"/>
  <c r="E88" i="45"/>
  <c r="D88" i="45"/>
  <c r="C88" i="45"/>
  <c r="B88" i="45"/>
  <c r="A88" i="45"/>
  <c r="G87" i="45"/>
  <c r="F87" i="45"/>
  <c r="E87" i="45"/>
  <c r="D87" i="45"/>
  <c r="C87" i="45"/>
  <c r="B87" i="45"/>
  <c r="A87" i="45"/>
  <c r="G86" i="45"/>
  <c r="F86" i="45"/>
  <c r="E86" i="45"/>
  <c r="D86" i="45"/>
  <c r="C86" i="45"/>
  <c r="B86" i="45"/>
  <c r="A86" i="45"/>
  <c r="G85" i="45"/>
  <c r="F85" i="45"/>
  <c r="E85" i="45"/>
  <c r="D85" i="45"/>
  <c r="C85" i="45"/>
  <c r="B85" i="45"/>
  <c r="A85" i="45"/>
  <c r="G84" i="45"/>
  <c r="F84" i="45"/>
  <c r="E84" i="45"/>
  <c r="D84" i="45"/>
  <c r="C84" i="45"/>
  <c r="B84" i="45"/>
  <c r="A84" i="45"/>
  <c r="G83" i="45"/>
  <c r="F83" i="45"/>
  <c r="E83" i="45"/>
  <c r="D83" i="45"/>
  <c r="C83" i="45"/>
  <c r="B83" i="45"/>
  <c r="A83" i="45"/>
  <c r="G82" i="45"/>
  <c r="F82" i="45"/>
  <c r="E82" i="45"/>
  <c r="D82" i="45"/>
  <c r="C82" i="45"/>
  <c r="B82" i="45"/>
  <c r="A82" i="45"/>
  <c r="G81" i="45"/>
  <c r="F81" i="45"/>
  <c r="E81" i="45"/>
  <c r="D81" i="45"/>
  <c r="C81" i="45"/>
  <c r="B81" i="45"/>
  <c r="A81" i="45"/>
  <c r="G80" i="45"/>
  <c r="F80" i="45"/>
  <c r="E80" i="45"/>
  <c r="D80" i="45"/>
  <c r="C80" i="45"/>
  <c r="B80" i="45"/>
  <c r="A80" i="45"/>
  <c r="G79" i="45"/>
  <c r="F79" i="45"/>
  <c r="E79" i="45"/>
  <c r="D79" i="45"/>
  <c r="C79" i="45"/>
  <c r="B79" i="45"/>
  <c r="A79" i="45"/>
  <c r="G78" i="45"/>
  <c r="F78" i="45"/>
  <c r="E78" i="45"/>
  <c r="D78" i="45"/>
  <c r="C78" i="45"/>
  <c r="B78" i="45"/>
  <c r="A78" i="45"/>
  <c r="G77" i="45"/>
  <c r="F77" i="45"/>
  <c r="E77" i="45"/>
  <c r="D77" i="45"/>
  <c r="C77" i="45"/>
  <c r="B77" i="45"/>
  <c r="A77" i="45"/>
  <c r="G76" i="45"/>
  <c r="F76" i="45"/>
  <c r="E76" i="45"/>
  <c r="D76" i="45"/>
  <c r="C76" i="45"/>
  <c r="B76" i="45"/>
  <c r="A76" i="45"/>
  <c r="G75" i="45"/>
  <c r="F75" i="45"/>
  <c r="E75" i="45"/>
  <c r="D75" i="45"/>
  <c r="C75" i="45"/>
  <c r="B75" i="45"/>
  <c r="A75" i="45"/>
  <c r="G74" i="45"/>
  <c r="F74" i="45"/>
  <c r="E74" i="45"/>
  <c r="D74" i="45"/>
  <c r="C74" i="45"/>
  <c r="B74" i="45"/>
  <c r="A74" i="45"/>
  <c r="G73" i="45"/>
  <c r="F73" i="45"/>
  <c r="E73" i="45"/>
  <c r="D73" i="45"/>
  <c r="C73" i="45"/>
  <c r="B73" i="45"/>
  <c r="A73" i="45"/>
  <c r="G72" i="45"/>
  <c r="F72" i="45"/>
  <c r="E72" i="45"/>
  <c r="D72" i="45"/>
  <c r="C72" i="45"/>
  <c r="B72" i="45"/>
  <c r="A72" i="45"/>
  <c r="G71" i="45"/>
  <c r="F71" i="45"/>
  <c r="E71" i="45"/>
  <c r="D71" i="45"/>
  <c r="C71" i="45"/>
  <c r="B71" i="45"/>
  <c r="A71" i="45"/>
  <c r="G70" i="45"/>
  <c r="F70" i="45"/>
  <c r="E70" i="45"/>
  <c r="D70" i="45"/>
  <c r="C70" i="45"/>
  <c r="B70" i="45"/>
  <c r="A70" i="45"/>
  <c r="G69" i="45"/>
  <c r="F69" i="45"/>
  <c r="E69" i="45"/>
  <c r="D69" i="45"/>
  <c r="C69" i="45"/>
  <c r="B69" i="45"/>
  <c r="A69" i="45"/>
  <c r="G68" i="45"/>
  <c r="F68" i="45"/>
  <c r="E68" i="45"/>
  <c r="D68" i="45"/>
  <c r="C68" i="45"/>
  <c r="B68" i="45"/>
  <c r="A68" i="45"/>
  <c r="G67" i="45"/>
  <c r="F67" i="45"/>
  <c r="E67" i="45"/>
  <c r="D67" i="45"/>
  <c r="C67" i="45"/>
  <c r="B67" i="45"/>
  <c r="A67" i="45"/>
  <c r="G66" i="45"/>
  <c r="F66" i="45"/>
  <c r="E66" i="45"/>
  <c r="D66" i="45"/>
  <c r="C66" i="45"/>
  <c r="B66" i="45"/>
  <c r="A66" i="45"/>
  <c r="G65" i="45"/>
  <c r="F65" i="45"/>
  <c r="E65" i="45"/>
  <c r="D65" i="45"/>
  <c r="C65" i="45"/>
  <c r="B65" i="45"/>
  <c r="A65" i="45"/>
  <c r="G64" i="45"/>
  <c r="F64" i="45"/>
  <c r="E64" i="45"/>
  <c r="D64" i="45"/>
  <c r="C64" i="45"/>
  <c r="B64" i="45"/>
  <c r="A64" i="45"/>
  <c r="G63" i="45"/>
  <c r="F63" i="45"/>
  <c r="E63" i="45"/>
  <c r="D63" i="45"/>
  <c r="C63" i="45"/>
  <c r="B63" i="45"/>
  <c r="A63" i="45"/>
  <c r="G62" i="45"/>
  <c r="F62" i="45"/>
  <c r="E62" i="45"/>
  <c r="D62" i="45"/>
  <c r="C62" i="45"/>
  <c r="B62" i="45"/>
  <c r="A62" i="45"/>
  <c r="G61" i="45"/>
  <c r="F61" i="45"/>
  <c r="E61" i="45"/>
  <c r="D61" i="45"/>
  <c r="C61" i="45"/>
  <c r="B61" i="45"/>
  <c r="A61" i="45"/>
  <c r="G60" i="45"/>
  <c r="F60" i="45"/>
  <c r="E60" i="45"/>
  <c r="D60" i="45"/>
  <c r="C60" i="45"/>
  <c r="B60" i="45"/>
  <c r="A60" i="45"/>
  <c r="G59" i="45"/>
  <c r="F59" i="45"/>
  <c r="E59" i="45"/>
  <c r="D59" i="45"/>
  <c r="C59" i="45"/>
  <c r="B59" i="45"/>
  <c r="A59" i="45"/>
  <c r="G58" i="45"/>
  <c r="F58" i="45"/>
  <c r="E58" i="45"/>
  <c r="D58" i="45"/>
  <c r="C58" i="45"/>
  <c r="B58" i="45"/>
  <c r="A58" i="45"/>
  <c r="G57" i="45"/>
  <c r="F57" i="45"/>
  <c r="E57" i="45"/>
  <c r="D57" i="45"/>
  <c r="C57" i="45"/>
  <c r="B57" i="45"/>
  <c r="A57" i="45"/>
  <c r="G56" i="45"/>
  <c r="F56" i="45"/>
  <c r="E56" i="45"/>
  <c r="D56" i="45"/>
  <c r="C56" i="45"/>
  <c r="B56" i="45"/>
  <c r="A56" i="45"/>
  <c r="G55" i="45"/>
  <c r="F55" i="45"/>
  <c r="E55" i="45"/>
  <c r="D55" i="45"/>
  <c r="C55" i="45"/>
  <c r="B55" i="45"/>
  <c r="A55" i="45"/>
  <c r="G54" i="45"/>
  <c r="F54" i="45"/>
  <c r="E54" i="45"/>
  <c r="D54" i="45"/>
  <c r="C54" i="45"/>
  <c r="B54" i="45"/>
  <c r="A54" i="45"/>
  <c r="G53" i="45"/>
  <c r="F53" i="45"/>
  <c r="E53" i="45"/>
  <c r="D53" i="45"/>
  <c r="C53" i="45"/>
  <c r="B53" i="45"/>
  <c r="A53" i="45"/>
  <c r="G52" i="45"/>
  <c r="F52" i="45"/>
  <c r="E52" i="45"/>
  <c r="D52" i="45"/>
  <c r="C52" i="45"/>
  <c r="B52" i="45"/>
  <c r="A52" i="45"/>
  <c r="G51" i="45"/>
  <c r="F51" i="45"/>
  <c r="E51" i="45"/>
  <c r="D51" i="45"/>
  <c r="C51" i="45"/>
  <c r="B51" i="45"/>
  <c r="A51" i="45"/>
  <c r="G50" i="45"/>
  <c r="F50" i="45"/>
  <c r="E50" i="45"/>
  <c r="D50" i="45"/>
  <c r="C50" i="45"/>
  <c r="B50" i="45"/>
  <c r="A50" i="45"/>
  <c r="G49" i="45"/>
  <c r="F49" i="45"/>
  <c r="E49" i="45"/>
  <c r="D49" i="45"/>
  <c r="C49" i="45"/>
  <c r="B49" i="45"/>
  <c r="A49" i="45"/>
  <c r="G48" i="45"/>
  <c r="F48" i="45"/>
  <c r="E48" i="45"/>
  <c r="D48" i="45"/>
  <c r="C48" i="45"/>
  <c r="B48" i="45"/>
  <c r="A48" i="45"/>
  <c r="G47" i="45"/>
  <c r="F47" i="45"/>
  <c r="E47" i="45"/>
  <c r="D47" i="45"/>
  <c r="C47" i="45"/>
  <c r="B47" i="45"/>
  <c r="A47" i="45"/>
  <c r="G46" i="45"/>
  <c r="F46" i="45"/>
  <c r="E46" i="45"/>
  <c r="D46" i="45"/>
  <c r="C46" i="45"/>
  <c r="B46" i="45"/>
  <c r="A46" i="45"/>
  <c r="G45" i="45"/>
  <c r="F45" i="45"/>
  <c r="E45" i="45"/>
  <c r="D45" i="45"/>
  <c r="C45" i="45"/>
  <c r="B45" i="45"/>
  <c r="A45" i="45"/>
  <c r="G44" i="45"/>
  <c r="F44" i="45"/>
  <c r="E44" i="45"/>
  <c r="D44" i="45"/>
  <c r="C44" i="45"/>
  <c r="B44" i="45"/>
  <c r="A44" i="45"/>
  <c r="G43" i="45"/>
  <c r="F43" i="45"/>
  <c r="E43" i="45"/>
  <c r="D43" i="45"/>
  <c r="C43" i="45"/>
  <c r="B43" i="45"/>
  <c r="A43" i="45"/>
  <c r="G42" i="45"/>
  <c r="F42" i="45"/>
  <c r="E42" i="45"/>
  <c r="D42" i="45"/>
  <c r="C42" i="45"/>
  <c r="B42" i="45"/>
  <c r="A42" i="45"/>
  <c r="G41" i="45"/>
  <c r="F41" i="45"/>
  <c r="E41" i="45"/>
  <c r="D41" i="45"/>
  <c r="C41" i="45"/>
  <c r="B41" i="45"/>
  <c r="A41" i="45"/>
  <c r="G40" i="45"/>
  <c r="F40" i="45"/>
  <c r="E40" i="45"/>
  <c r="D40" i="45"/>
  <c r="C40" i="45"/>
  <c r="B40" i="45"/>
  <c r="A40" i="45"/>
  <c r="G39" i="45"/>
  <c r="F39" i="45"/>
  <c r="E39" i="45"/>
  <c r="D39" i="45"/>
  <c r="C39" i="45"/>
  <c r="B39" i="45"/>
  <c r="A39" i="45"/>
  <c r="G38" i="45"/>
  <c r="F38" i="45"/>
  <c r="E38" i="45"/>
  <c r="D38" i="45"/>
  <c r="C38" i="45"/>
  <c r="B38" i="45"/>
  <c r="A38" i="45"/>
  <c r="G37" i="45"/>
  <c r="F37" i="45"/>
  <c r="E37" i="45"/>
  <c r="D37" i="45"/>
  <c r="C37" i="45"/>
  <c r="B37" i="45"/>
  <c r="A37" i="45"/>
  <c r="G36" i="45"/>
  <c r="F36" i="45"/>
  <c r="E36" i="45"/>
  <c r="D36" i="45"/>
  <c r="C36" i="45"/>
  <c r="B36" i="45"/>
  <c r="A36" i="45"/>
  <c r="G35" i="45"/>
  <c r="F35" i="45"/>
  <c r="E35" i="45"/>
  <c r="D35" i="45"/>
  <c r="C35" i="45"/>
  <c r="B35" i="45"/>
  <c r="A35" i="45"/>
  <c r="G34" i="45"/>
  <c r="F34" i="45"/>
  <c r="E34" i="45"/>
  <c r="D34" i="45"/>
  <c r="C34" i="45"/>
  <c r="B34" i="45"/>
  <c r="A34" i="45"/>
  <c r="G33" i="45"/>
  <c r="F33" i="45"/>
  <c r="E33" i="45"/>
  <c r="D33" i="45"/>
  <c r="C33" i="45"/>
  <c r="B33" i="45"/>
  <c r="A33" i="45"/>
  <c r="G32" i="45"/>
  <c r="F32" i="45"/>
  <c r="E32" i="45"/>
  <c r="D32" i="45"/>
  <c r="C32" i="45"/>
  <c r="B32" i="45"/>
  <c r="A32" i="45"/>
  <c r="G31" i="45"/>
  <c r="F31" i="45"/>
  <c r="E31" i="45"/>
  <c r="D31" i="45"/>
  <c r="C31" i="45"/>
  <c r="B31" i="45"/>
  <c r="A31" i="45"/>
  <c r="G30" i="45"/>
  <c r="F30" i="45"/>
  <c r="E30" i="45"/>
  <c r="D30" i="45"/>
  <c r="C30" i="45"/>
  <c r="B30" i="45"/>
  <c r="A30" i="45"/>
  <c r="G29" i="45"/>
  <c r="F29" i="45"/>
  <c r="E29" i="45"/>
  <c r="D29" i="45"/>
  <c r="C29" i="45"/>
  <c r="B29" i="45"/>
  <c r="A29" i="45"/>
  <c r="G28" i="45"/>
  <c r="F28" i="45"/>
  <c r="E28" i="45"/>
  <c r="D28" i="45"/>
  <c r="C28" i="45"/>
  <c r="B28" i="45"/>
  <c r="A28" i="45"/>
  <c r="G27" i="45"/>
  <c r="F27" i="45"/>
  <c r="E27" i="45"/>
  <c r="D27" i="45"/>
  <c r="C27" i="45"/>
  <c r="B27" i="45"/>
  <c r="A27" i="45"/>
  <c r="G26" i="45"/>
  <c r="F26" i="45"/>
  <c r="E26" i="45"/>
  <c r="D26" i="45"/>
  <c r="C26" i="45"/>
  <c r="B26" i="45"/>
  <c r="A26" i="45"/>
  <c r="G25" i="45"/>
  <c r="F25" i="45"/>
  <c r="E25" i="45"/>
  <c r="D25" i="45"/>
  <c r="C25" i="45"/>
  <c r="B25" i="45"/>
  <c r="A25" i="45"/>
  <c r="G24" i="45"/>
  <c r="F24" i="45"/>
  <c r="E24" i="45"/>
  <c r="D24" i="45"/>
  <c r="C24" i="45"/>
  <c r="B24" i="45"/>
  <c r="A24" i="45"/>
  <c r="G23" i="45"/>
  <c r="F23" i="45"/>
  <c r="E23" i="45"/>
  <c r="D23" i="45"/>
  <c r="C23" i="45"/>
  <c r="B23" i="45"/>
  <c r="A23" i="45"/>
  <c r="G22" i="45"/>
  <c r="F22" i="45"/>
  <c r="E22" i="45"/>
  <c r="D22" i="45"/>
  <c r="C22" i="45"/>
  <c r="B22" i="45"/>
  <c r="A22" i="45"/>
  <c r="G21" i="45"/>
  <c r="F21" i="45"/>
  <c r="E21" i="45"/>
  <c r="D21" i="45"/>
  <c r="C21" i="45"/>
  <c r="B21" i="45"/>
  <c r="A21" i="45"/>
  <c r="G20" i="45"/>
  <c r="F20" i="45"/>
  <c r="E20" i="45"/>
  <c r="D20" i="45"/>
  <c r="C20" i="45"/>
  <c r="B20" i="45"/>
  <c r="A20" i="45"/>
  <c r="G19" i="45"/>
  <c r="F19" i="45"/>
  <c r="E19" i="45"/>
  <c r="D19" i="45"/>
  <c r="C19" i="45"/>
  <c r="B19" i="45"/>
  <c r="A19" i="45"/>
  <c r="G18" i="45"/>
  <c r="F18" i="45"/>
  <c r="E18" i="45"/>
  <c r="D18" i="45"/>
  <c r="C18" i="45"/>
  <c r="B18" i="45"/>
  <c r="A18" i="45"/>
  <c r="G17" i="45"/>
  <c r="F17" i="45"/>
  <c r="E17" i="45"/>
  <c r="D17" i="45"/>
  <c r="C17" i="45"/>
  <c r="B17" i="45"/>
  <c r="A17" i="45"/>
  <c r="G16" i="45"/>
  <c r="F16" i="45"/>
  <c r="E16" i="45"/>
  <c r="D16" i="45"/>
  <c r="C16" i="45"/>
  <c r="B16" i="45"/>
  <c r="A16" i="45"/>
  <c r="G15" i="45"/>
  <c r="F15" i="45"/>
  <c r="E15" i="45"/>
  <c r="D15" i="45"/>
  <c r="C15" i="45"/>
  <c r="B15" i="45"/>
  <c r="A15" i="45"/>
  <c r="G14" i="45"/>
  <c r="F14" i="45"/>
  <c r="E14" i="45"/>
  <c r="D14" i="45"/>
  <c r="C14" i="45"/>
  <c r="B14" i="45"/>
  <c r="A14" i="45"/>
  <c r="G13" i="45"/>
  <c r="F13" i="45"/>
  <c r="E13" i="45"/>
  <c r="D13" i="45"/>
  <c r="C13" i="45"/>
  <c r="B13" i="45"/>
  <c r="A13" i="45"/>
  <c r="G12" i="45"/>
  <c r="F12" i="45"/>
  <c r="E12" i="45"/>
  <c r="D12" i="45"/>
  <c r="C12" i="45"/>
  <c r="B12" i="45"/>
  <c r="A12" i="45"/>
  <c r="G11" i="45"/>
  <c r="F11" i="45"/>
  <c r="E11" i="45"/>
  <c r="D11" i="45"/>
  <c r="C11" i="45"/>
  <c r="B11" i="45"/>
  <c r="A11" i="45"/>
  <c r="G10" i="45"/>
  <c r="F10" i="45"/>
  <c r="E10" i="45"/>
  <c r="D10" i="45"/>
  <c r="C10" i="45"/>
  <c r="B10" i="45"/>
  <c r="A10" i="45"/>
  <c r="G9" i="45"/>
  <c r="F9" i="45"/>
  <c r="E9" i="45"/>
  <c r="D9" i="45"/>
  <c r="C9" i="45"/>
  <c r="B9" i="45"/>
  <c r="A9" i="45"/>
  <c r="G8" i="45"/>
  <c r="F8" i="45"/>
  <c r="E8" i="45"/>
  <c r="D8" i="45"/>
  <c r="C8" i="45"/>
  <c r="B8" i="45"/>
  <c r="A8" i="45"/>
  <c r="G7" i="45"/>
  <c r="F7" i="45"/>
  <c r="E7" i="45"/>
  <c r="D7" i="45"/>
  <c r="C7" i="45"/>
  <c r="B7" i="45"/>
  <c r="A7" i="45"/>
  <c r="G6" i="45"/>
  <c r="F6" i="45"/>
  <c r="E6" i="45"/>
  <c r="D6" i="45"/>
  <c r="C6" i="45"/>
  <c r="B6" i="45"/>
  <c r="A6" i="45"/>
  <c r="G5" i="45"/>
  <c r="F5" i="45"/>
  <c r="E5" i="45"/>
  <c r="D5" i="45"/>
  <c r="C5" i="45"/>
  <c r="B5" i="45"/>
  <c r="A5" i="45"/>
  <c r="G4" i="45"/>
  <c r="F4" i="45"/>
  <c r="E4" i="45"/>
  <c r="D4" i="45"/>
  <c r="C4" i="45"/>
  <c r="B4" i="45"/>
  <c r="A4" i="45"/>
  <c r="G3" i="45"/>
  <c r="F3" i="45"/>
  <c r="E3" i="45"/>
  <c r="D3" i="45"/>
  <c r="C3" i="45"/>
  <c r="B3" i="45"/>
  <c r="A3" i="45"/>
  <c r="G2" i="45"/>
  <c r="F2" i="45"/>
  <c r="E2" i="45"/>
  <c r="D2" i="45"/>
  <c r="C2" i="45"/>
  <c r="B2" i="45"/>
  <c r="A2" i="45"/>
  <c r="G1" i="45"/>
  <c r="F1" i="45"/>
  <c r="E1" i="45"/>
  <c r="D1" i="45"/>
  <c r="C1" i="45"/>
  <c r="B1" i="45"/>
  <c r="A1" i="45"/>
  <c r="G277" i="44"/>
  <c r="F277" i="44"/>
  <c r="E277" i="44"/>
  <c r="D277" i="44"/>
  <c r="C277" i="44"/>
  <c r="B277" i="44"/>
  <c r="A277" i="44"/>
  <c r="G276" i="44"/>
  <c r="F276" i="44"/>
  <c r="E276" i="44"/>
  <c r="D276" i="44"/>
  <c r="C276" i="44"/>
  <c r="B276" i="44"/>
  <c r="A276" i="44"/>
  <c r="G275" i="44"/>
  <c r="F275" i="44"/>
  <c r="E275" i="44"/>
  <c r="D275" i="44"/>
  <c r="C275" i="44"/>
  <c r="B275" i="44"/>
  <c r="A275" i="44"/>
  <c r="G274" i="44"/>
  <c r="F274" i="44"/>
  <c r="E274" i="44"/>
  <c r="D274" i="44"/>
  <c r="C274" i="44"/>
  <c r="B274" i="44"/>
  <c r="A274" i="44"/>
  <c r="G273" i="44"/>
  <c r="F273" i="44"/>
  <c r="E273" i="44"/>
  <c r="D273" i="44"/>
  <c r="C273" i="44"/>
  <c r="B273" i="44"/>
  <c r="A273" i="44"/>
  <c r="G272" i="44"/>
  <c r="F272" i="44"/>
  <c r="E272" i="44"/>
  <c r="D272" i="44"/>
  <c r="C272" i="44"/>
  <c r="B272" i="44"/>
  <c r="A272" i="44"/>
  <c r="G271" i="44"/>
  <c r="F271" i="44"/>
  <c r="E271" i="44"/>
  <c r="D271" i="44"/>
  <c r="C271" i="44"/>
  <c r="B271" i="44"/>
  <c r="A271" i="44"/>
  <c r="G270" i="44"/>
  <c r="F270" i="44"/>
  <c r="E270" i="44"/>
  <c r="D270" i="44"/>
  <c r="C270" i="44"/>
  <c r="B270" i="44"/>
  <c r="A270" i="44"/>
  <c r="G269" i="44"/>
  <c r="F269" i="44"/>
  <c r="E269" i="44"/>
  <c r="D269" i="44"/>
  <c r="C269" i="44"/>
  <c r="B269" i="44"/>
  <c r="A269" i="44"/>
  <c r="G268" i="44"/>
  <c r="F268" i="44"/>
  <c r="E268" i="44"/>
  <c r="D268" i="44"/>
  <c r="C268" i="44"/>
  <c r="B268" i="44"/>
  <c r="A268" i="44"/>
  <c r="G267" i="44"/>
  <c r="F267" i="44"/>
  <c r="E267" i="44"/>
  <c r="D267" i="44"/>
  <c r="C267" i="44"/>
  <c r="B267" i="44"/>
  <c r="A267" i="44"/>
  <c r="G266" i="44"/>
  <c r="F266" i="44"/>
  <c r="E266" i="44"/>
  <c r="D266" i="44"/>
  <c r="C266" i="44"/>
  <c r="B266" i="44"/>
  <c r="A266" i="44"/>
  <c r="G265" i="44"/>
  <c r="F265" i="44"/>
  <c r="E265" i="44"/>
  <c r="D265" i="44"/>
  <c r="C265" i="44"/>
  <c r="B265" i="44"/>
  <c r="A265" i="44"/>
  <c r="G264" i="44"/>
  <c r="F264" i="44"/>
  <c r="E264" i="44"/>
  <c r="D264" i="44"/>
  <c r="C264" i="44"/>
  <c r="B264" i="44"/>
  <c r="A264" i="44"/>
  <c r="G263" i="44"/>
  <c r="F263" i="44"/>
  <c r="E263" i="44"/>
  <c r="D263" i="44"/>
  <c r="C263" i="44"/>
  <c r="B263" i="44"/>
  <c r="A263" i="44"/>
  <c r="G262" i="44"/>
  <c r="F262" i="44"/>
  <c r="E262" i="44"/>
  <c r="D262" i="44"/>
  <c r="C262" i="44"/>
  <c r="B262" i="44"/>
  <c r="A262" i="44"/>
  <c r="G261" i="44"/>
  <c r="F261" i="44"/>
  <c r="E261" i="44"/>
  <c r="D261" i="44"/>
  <c r="C261" i="44"/>
  <c r="B261" i="44"/>
  <c r="A261" i="44"/>
  <c r="G260" i="44"/>
  <c r="F260" i="44"/>
  <c r="E260" i="44"/>
  <c r="D260" i="44"/>
  <c r="C260" i="44"/>
  <c r="B260" i="44"/>
  <c r="A260" i="44"/>
  <c r="G259" i="44"/>
  <c r="F259" i="44"/>
  <c r="E259" i="44"/>
  <c r="D259" i="44"/>
  <c r="C259" i="44"/>
  <c r="B259" i="44"/>
  <c r="A259" i="44"/>
  <c r="G258" i="44"/>
  <c r="F258" i="44"/>
  <c r="E258" i="44"/>
  <c r="D258" i="44"/>
  <c r="C258" i="44"/>
  <c r="B258" i="44"/>
  <c r="A258" i="44"/>
  <c r="G257" i="44"/>
  <c r="F257" i="44"/>
  <c r="E257" i="44"/>
  <c r="D257" i="44"/>
  <c r="C257" i="44"/>
  <c r="B257" i="44"/>
  <c r="A257" i="44"/>
  <c r="G256" i="44"/>
  <c r="F256" i="44"/>
  <c r="E256" i="44"/>
  <c r="D256" i="44"/>
  <c r="C256" i="44"/>
  <c r="B256" i="44"/>
  <c r="A256" i="44"/>
  <c r="G255" i="44"/>
  <c r="F255" i="44"/>
  <c r="E255" i="44"/>
  <c r="D255" i="44"/>
  <c r="C255" i="44"/>
  <c r="B255" i="44"/>
  <c r="A255" i="44"/>
  <c r="G254" i="44"/>
  <c r="F254" i="44"/>
  <c r="E254" i="44"/>
  <c r="D254" i="44"/>
  <c r="C254" i="44"/>
  <c r="B254" i="44"/>
  <c r="A254" i="44"/>
  <c r="G253" i="44"/>
  <c r="F253" i="44"/>
  <c r="E253" i="44"/>
  <c r="D253" i="44"/>
  <c r="C253" i="44"/>
  <c r="B253" i="44"/>
  <c r="A253" i="44"/>
  <c r="G252" i="44"/>
  <c r="F252" i="44"/>
  <c r="E252" i="44"/>
  <c r="D252" i="44"/>
  <c r="C252" i="44"/>
  <c r="B252" i="44"/>
  <c r="A252" i="44"/>
  <c r="G251" i="44"/>
  <c r="F251" i="44"/>
  <c r="E251" i="44"/>
  <c r="D251" i="44"/>
  <c r="C251" i="44"/>
  <c r="B251" i="44"/>
  <c r="A251" i="44"/>
  <c r="G250" i="44"/>
  <c r="F250" i="44"/>
  <c r="E250" i="44"/>
  <c r="D250" i="44"/>
  <c r="C250" i="44"/>
  <c r="B250" i="44"/>
  <c r="A250" i="44"/>
  <c r="G249" i="44"/>
  <c r="F249" i="44"/>
  <c r="E249" i="44"/>
  <c r="D249" i="44"/>
  <c r="C249" i="44"/>
  <c r="B249" i="44"/>
  <c r="A249" i="44"/>
  <c r="G248" i="44"/>
  <c r="F248" i="44"/>
  <c r="E248" i="44"/>
  <c r="D248" i="44"/>
  <c r="C248" i="44"/>
  <c r="B248" i="44"/>
  <c r="A248" i="44"/>
  <c r="G247" i="44"/>
  <c r="F247" i="44"/>
  <c r="E247" i="44"/>
  <c r="D247" i="44"/>
  <c r="C247" i="44"/>
  <c r="B247" i="44"/>
  <c r="A247" i="44"/>
  <c r="G246" i="44"/>
  <c r="F246" i="44"/>
  <c r="E246" i="44"/>
  <c r="D246" i="44"/>
  <c r="C246" i="44"/>
  <c r="B246" i="44"/>
  <c r="A246" i="44"/>
  <c r="G245" i="44"/>
  <c r="F245" i="44"/>
  <c r="E245" i="44"/>
  <c r="D245" i="44"/>
  <c r="C245" i="44"/>
  <c r="B245" i="44"/>
  <c r="A245" i="44"/>
  <c r="G244" i="44"/>
  <c r="F244" i="44"/>
  <c r="E244" i="44"/>
  <c r="D244" i="44"/>
  <c r="C244" i="44"/>
  <c r="B244" i="44"/>
  <c r="A244" i="44"/>
  <c r="G243" i="44"/>
  <c r="F243" i="44"/>
  <c r="E243" i="44"/>
  <c r="D243" i="44"/>
  <c r="C243" i="44"/>
  <c r="B243" i="44"/>
  <c r="A243" i="44"/>
  <c r="G242" i="44"/>
  <c r="F242" i="44"/>
  <c r="E242" i="44"/>
  <c r="D242" i="44"/>
  <c r="C242" i="44"/>
  <c r="B242" i="44"/>
  <c r="A242" i="44"/>
  <c r="G241" i="44"/>
  <c r="F241" i="44"/>
  <c r="E241" i="44"/>
  <c r="D241" i="44"/>
  <c r="C241" i="44"/>
  <c r="B241" i="44"/>
  <c r="A241" i="44"/>
  <c r="G240" i="44"/>
  <c r="F240" i="44"/>
  <c r="E240" i="44"/>
  <c r="D240" i="44"/>
  <c r="C240" i="44"/>
  <c r="B240" i="44"/>
  <c r="A240" i="44"/>
  <c r="G239" i="44"/>
  <c r="F239" i="44"/>
  <c r="E239" i="44"/>
  <c r="D239" i="44"/>
  <c r="C239" i="44"/>
  <c r="B239" i="44"/>
  <c r="A239" i="44"/>
  <c r="G238" i="44"/>
  <c r="F238" i="44"/>
  <c r="E238" i="44"/>
  <c r="D238" i="44"/>
  <c r="C238" i="44"/>
  <c r="B238" i="44"/>
  <c r="A238" i="44"/>
  <c r="G237" i="44"/>
  <c r="F237" i="44"/>
  <c r="E237" i="44"/>
  <c r="D237" i="44"/>
  <c r="C237" i="44"/>
  <c r="B237" i="44"/>
  <c r="A237" i="44"/>
  <c r="G236" i="44"/>
  <c r="F236" i="44"/>
  <c r="E236" i="44"/>
  <c r="D236" i="44"/>
  <c r="C236" i="44"/>
  <c r="B236" i="44"/>
  <c r="A236" i="44"/>
  <c r="G235" i="44"/>
  <c r="F235" i="44"/>
  <c r="E235" i="44"/>
  <c r="D235" i="44"/>
  <c r="C235" i="44"/>
  <c r="B235" i="44"/>
  <c r="A235" i="44"/>
  <c r="G234" i="44"/>
  <c r="F234" i="44"/>
  <c r="E234" i="44"/>
  <c r="D234" i="44"/>
  <c r="C234" i="44"/>
  <c r="B234" i="44"/>
  <c r="A234" i="44"/>
  <c r="G233" i="44"/>
  <c r="F233" i="44"/>
  <c r="E233" i="44"/>
  <c r="D233" i="44"/>
  <c r="C233" i="44"/>
  <c r="B233" i="44"/>
  <c r="A233" i="44"/>
  <c r="G232" i="44"/>
  <c r="F232" i="44"/>
  <c r="E232" i="44"/>
  <c r="D232" i="44"/>
  <c r="C232" i="44"/>
  <c r="B232" i="44"/>
  <c r="A232" i="44"/>
  <c r="G231" i="44"/>
  <c r="F231" i="44"/>
  <c r="E231" i="44"/>
  <c r="D231" i="44"/>
  <c r="C231" i="44"/>
  <c r="B231" i="44"/>
  <c r="A231" i="44"/>
  <c r="G230" i="44"/>
  <c r="F230" i="44"/>
  <c r="E230" i="44"/>
  <c r="D230" i="44"/>
  <c r="C230" i="44"/>
  <c r="B230" i="44"/>
  <c r="A230" i="44"/>
  <c r="G229" i="44"/>
  <c r="F229" i="44"/>
  <c r="E229" i="44"/>
  <c r="D229" i="44"/>
  <c r="C229" i="44"/>
  <c r="B229" i="44"/>
  <c r="A229" i="44"/>
  <c r="G228" i="44"/>
  <c r="F228" i="44"/>
  <c r="E228" i="44"/>
  <c r="D228" i="44"/>
  <c r="C228" i="44"/>
  <c r="B228" i="44"/>
  <c r="A228" i="44"/>
  <c r="G227" i="44"/>
  <c r="F227" i="44"/>
  <c r="E227" i="44"/>
  <c r="D227" i="44"/>
  <c r="C227" i="44"/>
  <c r="B227" i="44"/>
  <c r="A227" i="44"/>
  <c r="G226" i="44"/>
  <c r="F226" i="44"/>
  <c r="E226" i="44"/>
  <c r="D226" i="44"/>
  <c r="C226" i="44"/>
  <c r="B226" i="44"/>
  <c r="A226" i="44"/>
  <c r="G225" i="44"/>
  <c r="F225" i="44"/>
  <c r="E225" i="44"/>
  <c r="D225" i="44"/>
  <c r="C225" i="44"/>
  <c r="B225" i="44"/>
  <c r="A225" i="44"/>
  <c r="G224" i="44"/>
  <c r="F224" i="44"/>
  <c r="E224" i="44"/>
  <c r="D224" i="44"/>
  <c r="C224" i="44"/>
  <c r="B224" i="44"/>
  <c r="A224" i="44"/>
  <c r="G223" i="44"/>
  <c r="F223" i="44"/>
  <c r="E223" i="44"/>
  <c r="D223" i="44"/>
  <c r="C223" i="44"/>
  <c r="B223" i="44"/>
  <c r="A223" i="44"/>
  <c r="G222" i="44"/>
  <c r="F222" i="44"/>
  <c r="E222" i="44"/>
  <c r="D222" i="44"/>
  <c r="C222" i="44"/>
  <c r="B222" i="44"/>
  <c r="A222" i="44"/>
  <c r="G221" i="44"/>
  <c r="F221" i="44"/>
  <c r="E221" i="44"/>
  <c r="D221" i="44"/>
  <c r="C221" i="44"/>
  <c r="B221" i="44"/>
  <c r="A221" i="44"/>
  <c r="G220" i="44"/>
  <c r="F220" i="44"/>
  <c r="E220" i="44"/>
  <c r="D220" i="44"/>
  <c r="C220" i="44"/>
  <c r="B220" i="44"/>
  <c r="A220" i="44"/>
  <c r="G219" i="44"/>
  <c r="F219" i="44"/>
  <c r="E219" i="44"/>
  <c r="D219" i="44"/>
  <c r="C219" i="44"/>
  <c r="B219" i="44"/>
  <c r="A219" i="44"/>
  <c r="G218" i="44"/>
  <c r="F218" i="44"/>
  <c r="E218" i="44"/>
  <c r="D218" i="44"/>
  <c r="C218" i="44"/>
  <c r="B218" i="44"/>
  <c r="A218" i="44"/>
  <c r="G217" i="44"/>
  <c r="F217" i="44"/>
  <c r="E217" i="44"/>
  <c r="D217" i="44"/>
  <c r="C217" i="44"/>
  <c r="B217" i="44"/>
  <c r="A217" i="44"/>
  <c r="G216" i="44"/>
  <c r="F216" i="44"/>
  <c r="E216" i="44"/>
  <c r="D216" i="44"/>
  <c r="C216" i="44"/>
  <c r="B216" i="44"/>
  <c r="A216" i="44"/>
  <c r="G215" i="44"/>
  <c r="F215" i="44"/>
  <c r="E215" i="44"/>
  <c r="D215" i="44"/>
  <c r="C215" i="44"/>
  <c r="B215" i="44"/>
  <c r="A215" i="44"/>
  <c r="G214" i="44"/>
  <c r="F214" i="44"/>
  <c r="E214" i="44"/>
  <c r="D214" i="44"/>
  <c r="C214" i="44"/>
  <c r="B214" i="44"/>
  <c r="A214" i="44"/>
  <c r="G213" i="44"/>
  <c r="F213" i="44"/>
  <c r="E213" i="44"/>
  <c r="D213" i="44"/>
  <c r="C213" i="44"/>
  <c r="B213" i="44"/>
  <c r="A213" i="44"/>
  <c r="G212" i="44"/>
  <c r="F212" i="44"/>
  <c r="E212" i="44"/>
  <c r="D212" i="44"/>
  <c r="C212" i="44"/>
  <c r="B212" i="44"/>
  <c r="A212" i="44"/>
  <c r="G211" i="44"/>
  <c r="F211" i="44"/>
  <c r="E211" i="44"/>
  <c r="D211" i="44"/>
  <c r="C211" i="44"/>
  <c r="B211" i="44"/>
  <c r="A211" i="44"/>
  <c r="G210" i="44"/>
  <c r="F210" i="44"/>
  <c r="E210" i="44"/>
  <c r="D210" i="44"/>
  <c r="C210" i="44"/>
  <c r="B210" i="44"/>
  <c r="A210" i="44"/>
  <c r="G209" i="44"/>
  <c r="F209" i="44"/>
  <c r="E209" i="44"/>
  <c r="D209" i="44"/>
  <c r="C209" i="44"/>
  <c r="B209" i="44"/>
  <c r="A209" i="44"/>
  <c r="G208" i="44"/>
  <c r="F208" i="44"/>
  <c r="E208" i="44"/>
  <c r="D208" i="44"/>
  <c r="C208" i="44"/>
  <c r="B208" i="44"/>
  <c r="A208" i="44"/>
  <c r="G207" i="44"/>
  <c r="F207" i="44"/>
  <c r="E207" i="44"/>
  <c r="D207" i="44"/>
  <c r="C207" i="44"/>
  <c r="B207" i="44"/>
  <c r="A207" i="44"/>
  <c r="G206" i="44"/>
  <c r="F206" i="44"/>
  <c r="E206" i="44"/>
  <c r="D206" i="44"/>
  <c r="C206" i="44"/>
  <c r="B206" i="44"/>
  <c r="A206" i="44"/>
  <c r="G205" i="44"/>
  <c r="F205" i="44"/>
  <c r="E205" i="44"/>
  <c r="D205" i="44"/>
  <c r="C205" i="44"/>
  <c r="B205" i="44"/>
  <c r="A205" i="44"/>
  <c r="G204" i="44"/>
  <c r="F204" i="44"/>
  <c r="E204" i="44"/>
  <c r="D204" i="44"/>
  <c r="C204" i="44"/>
  <c r="B204" i="44"/>
  <c r="A204" i="44"/>
  <c r="G203" i="44"/>
  <c r="F203" i="44"/>
  <c r="E203" i="44"/>
  <c r="D203" i="44"/>
  <c r="C203" i="44"/>
  <c r="B203" i="44"/>
  <c r="A203" i="44"/>
  <c r="G202" i="44"/>
  <c r="F202" i="44"/>
  <c r="E202" i="44"/>
  <c r="D202" i="44"/>
  <c r="C202" i="44"/>
  <c r="B202" i="44"/>
  <c r="A202" i="44"/>
  <c r="G201" i="44"/>
  <c r="F201" i="44"/>
  <c r="E201" i="44"/>
  <c r="D201" i="44"/>
  <c r="C201" i="44"/>
  <c r="B201" i="44"/>
  <c r="A201" i="44"/>
  <c r="G200" i="44"/>
  <c r="F200" i="44"/>
  <c r="E200" i="44"/>
  <c r="D200" i="44"/>
  <c r="C200" i="44"/>
  <c r="B200" i="44"/>
  <c r="A200" i="44"/>
  <c r="G199" i="44"/>
  <c r="F199" i="44"/>
  <c r="E199" i="44"/>
  <c r="D199" i="44"/>
  <c r="C199" i="44"/>
  <c r="B199" i="44"/>
  <c r="A199" i="44"/>
  <c r="G198" i="44"/>
  <c r="F198" i="44"/>
  <c r="E198" i="44"/>
  <c r="D198" i="44"/>
  <c r="C198" i="44"/>
  <c r="B198" i="44"/>
  <c r="A198" i="44"/>
  <c r="G197" i="44"/>
  <c r="F197" i="44"/>
  <c r="E197" i="44"/>
  <c r="D197" i="44"/>
  <c r="C197" i="44"/>
  <c r="B197" i="44"/>
  <c r="A197" i="44"/>
  <c r="G196" i="44"/>
  <c r="F196" i="44"/>
  <c r="E196" i="44"/>
  <c r="D196" i="44"/>
  <c r="C196" i="44"/>
  <c r="B196" i="44"/>
  <c r="A196" i="44"/>
  <c r="G195" i="44"/>
  <c r="F195" i="44"/>
  <c r="E195" i="44"/>
  <c r="D195" i="44"/>
  <c r="C195" i="44"/>
  <c r="B195" i="44"/>
  <c r="A195" i="44"/>
  <c r="G194" i="44"/>
  <c r="F194" i="44"/>
  <c r="E194" i="44"/>
  <c r="D194" i="44"/>
  <c r="C194" i="44"/>
  <c r="B194" i="44"/>
  <c r="A194" i="44"/>
  <c r="G193" i="44"/>
  <c r="F193" i="44"/>
  <c r="E193" i="44"/>
  <c r="D193" i="44"/>
  <c r="C193" i="44"/>
  <c r="B193" i="44"/>
  <c r="A193" i="44"/>
  <c r="G192" i="44"/>
  <c r="F192" i="44"/>
  <c r="E192" i="44"/>
  <c r="D192" i="44"/>
  <c r="C192" i="44"/>
  <c r="B192" i="44"/>
  <c r="A192" i="44"/>
  <c r="G191" i="44"/>
  <c r="F191" i="44"/>
  <c r="E191" i="44"/>
  <c r="D191" i="44"/>
  <c r="C191" i="44"/>
  <c r="B191" i="44"/>
  <c r="A191" i="44"/>
  <c r="G190" i="44"/>
  <c r="F190" i="44"/>
  <c r="E190" i="44"/>
  <c r="D190" i="44"/>
  <c r="C190" i="44"/>
  <c r="B190" i="44"/>
  <c r="A190" i="44"/>
  <c r="G189" i="44"/>
  <c r="F189" i="44"/>
  <c r="E189" i="44"/>
  <c r="D189" i="44"/>
  <c r="C189" i="44"/>
  <c r="B189" i="44"/>
  <c r="A189" i="44"/>
  <c r="G188" i="44"/>
  <c r="F188" i="44"/>
  <c r="E188" i="44"/>
  <c r="D188" i="44"/>
  <c r="C188" i="44"/>
  <c r="B188" i="44"/>
  <c r="A188" i="44"/>
  <c r="G187" i="44"/>
  <c r="F187" i="44"/>
  <c r="E187" i="44"/>
  <c r="D187" i="44"/>
  <c r="C187" i="44"/>
  <c r="B187" i="44"/>
  <c r="A187" i="44"/>
  <c r="G186" i="44"/>
  <c r="F186" i="44"/>
  <c r="E186" i="44"/>
  <c r="D186" i="44"/>
  <c r="C186" i="44"/>
  <c r="B186" i="44"/>
  <c r="A186" i="44"/>
  <c r="G185" i="44"/>
  <c r="F185" i="44"/>
  <c r="E185" i="44"/>
  <c r="D185" i="44"/>
  <c r="C185" i="44"/>
  <c r="B185" i="44"/>
  <c r="A185" i="44"/>
  <c r="G184" i="44"/>
  <c r="F184" i="44"/>
  <c r="E184" i="44"/>
  <c r="D184" i="44"/>
  <c r="C184" i="44"/>
  <c r="B184" i="44"/>
  <c r="A184" i="44"/>
  <c r="G183" i="44"/>
  <c r="F183" i="44"/>
  <c r="E183" i="44"/>
  <c r="D183" i="44"/>
  <c r="C183" i="44"/>
  <c r="B183" i="44"/>
  <c r="A183" i="44"/>
  <c r="G182" i="44"/>
  <c r="F182" i="44"/>
  <c r="E182" i="44"/>
  <c r="D182" i="44"/>
  <c r="C182" i="44"/>
  <c r="B182" i="44"/>
  <c r="A182" i="44"/>
  <c r="G181" i="44"/>
  <c r="F181" i="44"/>
  <c r="E181" i="44"/>
  <c r="D181" i="44"/>
  <c r="C181" i="44"/>
  <c r="B181" i="44"/>
  <c r="A181" i="44"/>
  <c r="G180" i="44"/>
  <c r="F180" i="44"/>
  <c r="E180" i="44"/>
  <c r="D180" i="44"/>
  <c r="C180" i="44"/>
  <c r="B180" i="44"/>
  <c r="A180" i="44"/>
  <c r="G179" i="44"/>
  <c r="F179" i="44"/>
  <c r="E179" i="44"/>
  <c r="D179" i="44"/>
  <c r="C179" i="44"/>
  <c r="B179" i="44"/>
  <c r="A179" i="44"/>
  <c r="G178" i="44"/>
  <c r="F178" i="44"/>
  <c r="E178" i="44"/>
  <c r="D178" i="44"/>
  <c r="C178" i="44"/>
  <c r="B178" i="44"/>
  <c r="A178" i="44"/>
  <c r="G177" i="44"/>
  <c r="F177" i="44"/>
  <c r="E177" i="44"/>
  <c r="D177" i="44"/>
  <c r="C177" i="44"/>
  <c r="B177" i="44"/>
  <c r="A177" i="44"/>
  <c r="G176" i="44"/>
  <c r="F176" i="44"/>
  <c r="E176" i="44"/>
  <c r="D176" i="44"/>
  <c r="C176" i="44"/>
  <c r="B176" i="44"/>
  <c r="A176" i="44"/>
  <c r="G175" i="44"/>
  <c r="F175" i="44"/>
  <c r="E175" i="44"/>
  <c r="D175" i="44"/>
  <c r="C175" i="44"/>
  <c r="B175" i="44"/>
  <c r="A175" i="44"/>
  <c r="G174" i="44"/>
  <c r="F174" i="44"/>
  <c r="E174" i="44"/>
  <c r="D174" i="44"/>
  <c r="C174" i="44"/>
  <c r="B174" i="44"/>
  <c r="A174" i="44"/>
  <c r="G173" i="44"/>
  <c r="F173" i="44"/>
  <c r="E173" i="44"/>
  <c r="D173" i="44"/>
  <c r="C173" i="44"/>
  <c r="B173" i="44"/>
  <c r="A173" i="44"/>
  <c r="G172" i="44"/>
  <c r="F172" i="44"/>
  <c r="E172" i="44"/>
  <c r="D172" i="44"/>
  <c r="C172" i="44"/>
  <c r="B172" i="44"/>
  <c r="A172" i="44"/>
  <c r="G171" i="44"/>
  <c r="F171" i="44"/>
  <c r="E171" i="44"/>
  <c r="D171" i="44"/>
  <c r="C171" i="44"/>
  <c r="B171" i="44"/>
  <c r="A171" i="44"/>
  <c r="G170" i="44"/>
  <c r="F170" i="44"/>
  <c r="E170" i="44"/>
  <c r="D170" i="44"/>
  <c r="C170" i="44"/>
  <c r="B170" i="44"/>
  <c r="A170" i="44"/>
  <c r="G169" i="44"/>
  <c r="F169" i="44"/>
  <c r="E169" i="44"/>
  <c r="D169" i="44"/>
  <c r="C169" i="44"/>
  <c r="B169" i="44"/>
  <c r="A169" i="44"/>
  <c r="G168" i="44"/>
  <c r="F168" i="44"/>
  <c r="E168" i="44"/>
  <c r="D168" i="44"/>
  <c r="C168" i="44"/>
  <c r="B168" i="44"/>
  <c r="A168" i="44"/>
  <c r="G167" i="44"/>
  <c r="F167" i="44"/>
  <c r="E167" i="44"/>
  <c r="D167" i="44"/>
  <c r="C167" i="44"/>
  <c r="B167" i="44"/>
  <c r="A167" i="44"/>
  <c r="G166" i="44"/>
  <c r="F166" i="44"/>
  <c r="E166" i="44"/>
  <c r="D166" i="44"/>
  <c r="C166" i="44"/>
  <c r="B166" i="44"/>
  <c r="A166" i="44"/>
  <c r="G165" i="44"/>
  <c r="F165" i="44"/>
  <c r="E165" i="44"/>
  <c r="D165" i="44"/>
  <c r="C165" i="44"/>
  <c r="B165" i="44"/>
  <c r="A165" i="44"/>
  <c r="G164" i="44"/>
  <c r="F164" i="44"/>
  <c r="E164" i="44"/>
  <c r="D164" i="44"/>
  <c r="C164" i="44"/>
  <c r="B164" i="44"/>
  <c r="A164" i="44"/>
  <c r="G163" i="44"/>
  <c r="F163" i="44"/>
  <c r="E163" i="44"/>
  <c r="D163" i="44"/>
  <c r="C163" i="44"/>
  <c r="B163" i="44"/>
  <c r="A163" i="44"/>
  <c r="G162" i="44"/>
  <c r="F162" i="44"/>
  <c r="E162" i="44"/>
  <c r="D162" i="44"/>
  <c r="C162" i="44"/>
  <c r="B162" i="44"/>
  <c r="A162" i="44"/>
  <c r="G161" i="44"/>
  <c r="F161" i="44"/>
  <c r="E161" i="44"/>
  <c r="D161" i="44"/>
  <c r="C161" i="44"/>
  <c r="B161" i="44"/>
  <c r="A161" i="44"/>
  <c r="G160" i="44"/>
  <c r="F160" i="44"/>
  <c r="E160" i="44"/>
  <c r="D160" i="44"/>
  <c r="C160" i="44"/>
  <c r="B160" i="44"/>
  <c r="A160" i="44"/>
  <c r="G159" i="44"/>
  <c r="F159" i="44"/>
  <c r="E159" i="44"/>
  <c r="D159" i="44"/>
  <c r="C159" i="44"/>
  <c r="B159" i="44"/>
  <c r="A159" i="44"/>
  <c r="G158" i="44"/>
  <c r="F158" i="44"/>
  <c r="E158" i="44"/>
  <c r="D158" i="44"/>
  <c r="C158" i="44"/>
  <c r="B158" i="44"/>
  <c r="A158" i="44"/>
  <c r="G157" i="44"/>
  <c r="F157" i="44"/>
  <c r="E157" i="44"/>
  <c r="D157" i="44"/>
  <c r="C157" i="44"/>
  <c r="B157" i="44"/>
  <c r="A157" i="44"/>
  <c r="G156" i="44"/>
  <c r="F156" i="44"/>
  <c r="E156" i="44"/>
  <c r="D156" i="44"/>
  <c r="C156" i="44"/>
  <c r="B156" i="44"/>
  <c r="A156" i="44"/>
  <c r="G155" i="44"/>
  <c r="F155" i="44"/>
  <c r="E155" i="44"/>
  <c r="D155" i="44"/>
  <c r="C155" i="44"/>
  <c r="B155" i="44"/>
  <c r="A155" i="44"/>
  <c r="G154" i="44"/>
  <c r="F154" i="44"/>
  <c r="E154" i="44"/>
  <c r="D154" i="44"/>
  <c r="C154" i="44"/>
  <c r="B154" i="44"/>
  <c r="A154" i="44"/>
  <c r="G153" i="44"/>
  <c r="F153" i="44"/>
  <c r="E153" i="44"/>
  <c r="D153" i="44"/>
  <c r="C153" i="44"/>
  <c r="B153" i="44"/>
  <c r="A153" i="44"/>
  <c r="G152" i="44"/>
  <c r="F152" i="44"/>
  <c r="E152" i="44"/>
  <c r="D152" i="44"/>
  <c r="C152" i="44"/>
  <c r="B152" i="44"/>
  <c r="A152" i="44"/>
  <c r="G151" i="44"/>
  <c r="F151" i="44"/>
  <c r="E151" i="44"/>
  <c r="D151" i="44"/>
  <c r="C151" i="44"/>
  <c r="B151" i="44"/>
  <c r="A151" i="44"/>
  <c r="G150" i="44"/>
  <c r="F150" i="44"/>
  <c r="E150" i="44"/>
  <c r="D150" i="44"/>
  <c r="C150" i="44"/>
  <c r="B150" i="44"/>
  <c r="A150" i="44"/>
  <c r="G149" i="44"/>
  <c r="F149" i="44"/>
  <c r="E149" i="44"/>
  <c r="D149" i="44"/>
  <c r="C149" i="44"/>
  <c r="B149" i="44"/>
  <c r="A149" i="44"/>
  <c r="G148" i="44"/>
  <c r="F148" i="44"/>
  <c r="E148" i="44"/>
  <c r="D148" i="44"/>
  <c r="C148" i="44"/>
  <c r="B148" i="44"/>
  <c r="A148" i="44"/>
  <c r="G147" i="44"/>
  <c r="F147" i="44"/>
  <c r="E147" i="44"/>
  <c r="D147" i="44"/>
  <c r="C147" i="44"/>
  <c r="B147" i="44"/>
  <c r="A147" i="44"/>
  <c r="G146" i="44"/>
  <c r="F146" i="44"/>
  <c r="E146" i="44"/>
  <c r="D146" i="44"/>
  <c r="C146" i="44"/>
  <c r="B146" i="44"/>
  <c r="A146" i="44"/>
  <c r="G145" i="44"/>
  <c r="F145" i="44"/>
  <c r="E145" i="44"/>
  <c r="D145" i="44"/>
  <c r="C145" i="44"/>
  <c r="B145" i="44"/>
  <c r="A145" i="44"/>
  <c r="G144" i="44"/>
  <c r="F144" i="44"/>
  <c r="E144" i="44"/>
  <c r="D144" i="44"/>
  <c r="C144" i="44"/>
  <c r="B144" i="44"/>
  <c r="A144" i="44"/>
  <c r="G143" i="44"/>
  <c r="F143" i="44"/>
  <c r="E143" i="44"/>
  <c r="D143" i="44"/>
  <c r="C143" i="44"/>
  <c r="B143" i="44"/>
  <c r="A143" i="44"/>
  <c r="G142" i="44"/>
  <c r="F142" i="44"/>
  <c r="E142" i="44"/>
  <c r="D142" i="44"/>
  <c r="C142" i="44"/>
  <c r="B142" i="44"/>
  <c r="A142" i="44"/>
  <c r="G141" i="44"/>
  <c r="F141" i="44"/>
  <c r="E141" i="44"/>
  <c r="D141" i="44"/>
  <c r="C141" i="44"/>
  <c r="B141" i="44"/>
  <c r="A141" i="44"/>
  <c r="G140" i="44"/>
  <c r="F140" i="44"/>
  <c r="E140" i="44"/>
  <c r="D140" i="44"/>
  <c r="C140" i="44"/>
  <c r="B140" i="44"/>
  <c r="A140" i="44"/>
  <c r="G139" i="44"/>
  <c r="F139" i="44"/>
  <c r="E139" i="44"/>
  <c r="D139" i="44"/>
  <c r="C139" i="44"/>
  <c r="B139" i="44"/>
  <c r="A139" i="44"/>
  <c r="G138" i="44"/>
  <c r="F138" i="44"/>
  <c r="E138" i="44"/>
  <c r="D138" i="44"/>
  <c r="C138" i="44"/>
  <c r="B138" i="44"/>
  <c r="A138" i="44"/>
  <c r="G137" i="44"/>
  <c r="F137" i="44"/>
  <c r="E137" i="44"/>
  <c r="D137" i="44"/>
  <c r="C137" i="44"/>
  <c r="B137" i="44"/>
  <c r="A137" i="44"/>
  <c r="G136" i="44"/>
  <c r="F136" i="44"/>
  <c r="E136" i="44"/>
  <c r="D136" i="44"/>
  <c r="C136" i="44"/>
  <c r="B136" i="44"/>
  <c r="A136" i="44"/>
  <c r="G135" i="44"/>
  <c r="F135" i="44"/>
  <c r="E135" i="44"/>
  <c r="D135" i="44"/>
  <c r="C135" i="44"/>
  <c r="B135" i="44"/>
  <c r="A135" i="44"/>
  <c r="G134" i="44"/>
  <c r="F134" i="44"/>
  <c r="E134" i="44"/>
  <c r="D134" i="44"/>
  <c r="C134" i="44"/>
  <c r="B134" i="44"/>
  <c r="A134" i="44"/>
  <c r="G133" i="44"/>
  <c r="F133" i="44"/>
  <c r="E133" i="44"/>
  <c r="D133" i="44"/>
  <c r="C133" i="44"/>
  <c r="B133" i="44"/>
  <c r="A133" i="44"/>
  <c r="G132" i="44"/>
  <c r="F132" i="44"/>
  <c r="E132" i="44"/>
  <c r="D132" i="44"/>
  <c r="C132" i="44"/>
  <c r="B132" i="44"/>
  <c r="A132" i="44"/>
  <c r="G131" i="44"/>
  <c r="F131" i="44"/>
  <c r="E131" i="44"/>
  <c r="D131" i="44"/>
  <c r="C131" i="44"/>
  <c r="B131" i="44"/>
  <c r="A131" i="44"/>
  <c r="G130" i="44"/>
  <c r="F130" i="44"/>
  <c r="E130" i="44"/>
  <c r="D130" i="44"/>
  <c r="C130" i="44"/>
  <c r="B130" i="44"/>
  <c r="A130" i="44"/>
  <c r="G129" i="44"/>
  <c r="F129" i="44"/>
  <c r="E129" i="44"/>
  <c r="D129" i="44"/>
  <c r="C129" i="44"/>
  <c r="B129" i="44"/>
  <c r="A129" i="44"/>
  <c r="G128" i="44"/>
  <c r="F128" i="44"/>
  <c r="E128" i="44"/>
  <c r="D128" i="44"/>
  <c r="C128" i="44"/>
  <c r="B128" i="44"/>
  <c r="A128" i="44"/>
  <c r="G127" i="44"/>
  <c r="F127" i="44"/>
  <c r="E127" i="44"/>
  <c r="D127" i="44"/>
  <c r="C127" i="44"/>
  <c r="B127" i="44"/>
  <c r="A127" i="44"/>
  <c r="G126" i="44"/>
  <c r="F126" i="44"/>
  <c r="E126" i="44"/>
  <c r="D126" i="44"/>
  <c r="C126" i="44"/>
  <c r="B126" i="44"/>
  <c r="A126" i="44"/>
  <c r="G125" i="44"/>
  <c r="F125" i="44"/>
  <c r="E125" i="44"/>
  <c r="D125" i="44"/>
  <c r="C125" i="44"/>
  <c r="B125" i="44"/>
  <c r="A125" i="44"/>
  <c r="G124" i="44"/>
  <c r="F124" i="44"/>
  <c r="E124" i="44"/>
  <c r="D124" i="44"/>
  <c r="C124" i="44"/>
  <c r="B124" i="44"/>
  <c r="A124" i="44"/>
  <c r="G123" i="44"/>
  <c r="F123" i="44"/>
  <c r="E123" i="44"/>
  <c r="D123" i="44"/>
  <c r="C123" i="44"/>
  <c r="B123" i="44"/>
  <c r="A123" i="44"/>
  <c r="G122" i="44"/>
  <c r="F122" i="44"/>
  <c r="E122" i="44"/>
  <c r="D122" i="44"/>
  <c r="C122" i="44"/>
  <c r="B122" i="44"/>
  <c r="A122" i="44"/>
  <c r="G121" i="44"/>
  <c r="F121" i="44"/>
  <c r="E121" i="44"/>
  <c r="D121" i="44"/>
  <c r="C121" i="44"/>
  <c r="B121" i="44"/>
  <c r="A121" i="44"/>
  <c r="G120" i="44"/>
  <c r="F120" i="44"/>
  <c r="E120" i="44"/>
  <c r="D120" i="44"/>
  <c r="C120" i="44"/>
  <c r="B120" i="44"/>
  <c r="A120" i="44"/>
  <c r="G119" i="44"/>
  <c r="F119" i="44"/>
  <c r="E119" i="44"/>
  <c r="D119" i="44"/>
  <c r="C119" i="44"/>
  <c r="B119" i="44"/>
  <c r="A119" i="44"/>
  <c r="G118" i="44"/>
  <c r="F118" i="44"/>
  <c r="E118" i="44"/>
  <c r="D118" i="44"/>
  <c r="C118" i="44"/>
  <c r="B118" i="44"/>
  <c r="A118" i="44"/>
  <c r="G117" i="44"/>
  <c r="F117" i="44"/>
  <c r="E117" i="44"/>
  <c r="D117" i="44"/>
  <c r="C117" i="44"/>
  <c r="B117" i="44"/>
  <c r="A117" i="44"/>
  <c r="G116" i="44"/>
  <c r="F116" i="44"/>
  <c r="E116" i="44"/>
  <c r="D116" i="44"/>
  <c r="C116" i="44"/>
  <c r="B116" i="44"/>
  <c r="A116" i="44"/>
  <c r="G115" i="44"/>
  <c r="F115" i="44"/>
  <c r="E115" i="44"/>
  <c r="D115" i="44"/>
  <c r="C115" i="44"/>
  <c r="B115" i="44"/>
  <c r="A115" i="44"/>
  <c r="G114" i="44"/>
  <c r="F114" i="44"/>
  <c r="E114" i="44"/>
  <c r="D114" i="44"/>
  <c r="C114" i="44"/>
  <c r="B114" i="44"/>
  <c r="A114" i="44"/>
  <c r="G113" i="44"/>
  <c r="F113" i="44"/>
  <c r="E113" i="44"/>
  <c r="D113" i="44"/>
  <c r="C113" i="44"/>
  <c r="B113" i="44"/>
  <c r="A113" i="44"/>
  <c r="G112" i="44"/>
  <c r="F112" i="44"/>
  <c r="E112" i="44"/>
  <c r="D112" i="44"/>
  <c r="C112" i="44"/>
  <c r="B112" i="44"/>
  <c r="A112" i="44"/>
  <c r="G111" i="44"/>
  <c r="F111" i="44"/>
  <c r="E111" i="44"/>
  <c r="D111" i="44"/>
  <c r="C111" i="44"/>
  <c r="B111" i="44"/>
  <c r="A111" i="44"/>
  <c r="G110" i="44"/>
  <c r="F110" i="44"/>
  <c r="E110" i="44"/>
  <c r="D110" i="44"/>
  <c r="C110" i="44"/>
  <c r="B110" i="44"/>
  <c r="A110" i="44"/>
  <c r="G109" i="44"/>
  <c r="F109" i="44"/>
  <c r="E109" i="44"/>
  <c r="D109" i="44"/>
  <c r="C109" i="44"/>
  <c r="B109" i="44"/>
  <c r="A109" i="44"/>
  <c r="G108" i="44"/>
  <c r="F108" i="44"/>
  <c r="E108" i="44"/>
  <c r="D108" i="44"/>
  <c r="C108" i="44"/>
  <c r="B108" i="44"/>
  <c r="A108" i="44"/>
  <c r="G107" i="44"/>
  <c r="F107" i="44"/>
  <c r="E107" i="44"/>
  <c r="D107" i="44"/>
  <c r="C107" i="44"/>
  <c r="B107" i="44"/>
  <c r="A107" i="44"/>
  <c r="G106" i="44"/>
  <c r="F106" i="44"/>
  <c r="E106" i="44"/>
  <c r="D106" i="44"/>
  <c r="C106" i="44"/>
  <c r="B106" i="44"/>
  <c r="A106" i="44"/>
  <c r="G105" i="44"/>
  <c r="F105" i="44"/>
  <c r="E105" i="44"/>
  <c r="D105" i="44"/>
  <c r="C105" i="44"/>
  <c r="B105" i="44"/>
  <c r="A105" i="44"/>
  <c r="G104" i="44"/>
  <c r="F104" i="44"/>
  <c r="E104" i="44"/>
  <c r="D104" i="44"/>
  <c r="C104" i="44"/>
  <c r="B104" i="44"/>
  <c r="A104" i="44"/>
  <c r="G103" i="44"/>
  <c r="F103" i="44"/>
  <c r="E103" i="44"/>
  <c r="D103" i="44"/>
  <c r="C103" i="44"/>
  <c r="B103" i="44"/>
  <c r="A103" i="44"/>
  <c r="G102" i="44"/>
  <c r="F102" i="44"/>
  <c r="E102" i="44"/>
  <c r="D102" i="44"/>
  <c r="C102" i="44"/>
  <c r="B102" i="44"/>
  <c r="A102" i="44"/>
  <c r="G101" i="44"/>
  <c r="F101" i="44"/>
  <c r="E101" i="44"/>
  <c r="D101" i="44"/>
  <c r="C101" i="44"/>
  <c r="B101" i="44"/>
  <c r="A101" i="44"/>
  <c r="G100" i="44"/>
  <c r="F100" i="44"/>
  <c r="E100" i="44"/>
  <c r="D100" i="44"/>
  <c r="C100" i="44"/>
  <c r="B100" i="44"/>
  <c r="A100" i="44"/>
  <c r="G99" i="44"/>
  <c r="F99" i="44"/>
  <c r="E99" i="44"/>
  <c r="D99" i="44"/>
  <c r="C99" i="44"/>
  <c r="B99" i="44"/>
  <c r="A99" i="44"/>
  <c r="G98" i="44"/>
  <c r="F98" i="44"/>
  <c r="E98" i="44"/>
  <c r="D98" i="44"/>
  <c r="C98" i="44"/>
  <c r="B98" i="44"/>
  <c r="A98" i="44"/>
  <c r="G97" i="44"/>
  <c r="F97" i="44"/>
  <c r="E97" i="44"/>
  <c r="D97" i="44"/>
  <c r="C97" i="44"/>
  <c r="B97" i="44"/>
  <c r="A97" i="44"/>
  <c r="G96" i="44"/>
  <c r="F96" i="44"/>
  <c r="E96" i="44"/>
  <c r="D96" i="44"/>
  <c r="C96" i="44"/>
  <c r="B96" i="44"/>
  <c r="A96" i="44"/>
  <c r="G95" i="44"/>
  <c r="F95" i="44"/>
  <c r="E95" i="44"/>
  <c r="D95" i="44"/>
  <c r="C95" i="44"/>
  <c r="B95" i="44"/>
  <c r="A95" i="44"/>
  <c r="G94" i="44"/>
  <c r="F94" i="44"/>
  <c r="E94" i="44"/>
  <c r="D94" i="44"/>
  <c r="C94" i="44"/>
  <c r="B94" i="44"/>
  <c r="A94" i="44"/>
  <c r="G93" i="44"/>
  <c r="F93" i="44"/>
  <c r="E93" i="44"/>
  <c r="D93" i="44"/>
  <c r="C93" i="44"/>
  <c r="B93" i="44"/>
  <c r="A93" i="44"/>
  <c r="G92" i="44"/>
  <c r="F92" i="44"/>
  <c r="E92" i="44"/>
  <c r="D92" i="44"/>
  <c r="C92" i="44"/>
  <c r="B92" i="44"/>
  <c r="A92" i="44"/>
  <c r="G91" i="44"/>
  <c r="F91" i="44"/>
  <c r="E91" i="44"/>
  <c r="D91" i="44"/>
  <c r="C91" i="44"/>
  <c r="B91" i="44"/>
  <c r="A91" i="44"/>
  <c r="G90" i="44"/>
  <c r="F90" i="44"/>
  <c r="E90" i="44"/>
  <c r="D90" i="44"/>
  <c r="C90" i="44"/>
  <c r="B90" i="44"/>
  <c r="A90" i="44"/>
  <c r="G89" i="44"/>
  <c r="F89" i="44"/>
  <c r="E89" i="44"/>
  <c r="D89" i="44"/>
  <c r="C89" i="44"/>
  <c r="B89" i="44"/>
  <c r="A89" i="44"/>
  <c r="G88" i="44"/>
  <c r="F88" i="44"/>
  <c r="E88" i="44"/>
  <c r="D88" i="44"/>
  <c r="C88" i="44"/>
  <c r="B88" i="44"/>
  <c r="A88" i="44"/>
  <c r="G87" i="44"/>
  <c r="F87" i="44"/>
  <c r="E87" i="44"/>
  <c r="D87" i="44"/>
  <c r="C87" i="44"/>
  <c r="B87" i="44"/>
  <c r="A87" i="44"/>
  <c r="G86" i="44"/>
  <c r="F86" i="44"/>
  <c r="E86" i="44"/>
  <c r="D86" i="44"/>
  <c r="C86" i="44"/>
  <c r="B86" i="44"/>
  <c r="A86" i="44"/>
  <c r="G85" i="44"/>
  <c r="F85" i="44"/>
  <c r="E85" i="44"/>
  <c r="D85" i="44"/>
  <c r="C85" i="44"/>
  <c r="B85" i="44"/>
  <c r="A85" i="44"/>
  <c r="G84" i="44"/>
  <c r="F84" i="44"/>
  <c r="E84" i="44"/>
  <c r="D84" i="44"/>
  <c r="C84" i="44"/>
  <c r="B84" i="44"/>
  <c r="A84" i="44"/>
  <c r="G83" i="44"/>
  <c r="F83" i="44"/>
  <c r="E83" i="44"/>
  <c r="D83" i="44"/>
  <c r="C83" i="44"/>
  <c r="B83" i="44"/>
  <c r="A83" i="44"/>
  <c r="G82" i="44"/>
  <c r="F82" i="44"/>
  <c r="E82" i="44"/>
  <c r="D82" i="44"/>
  <c r="C82" i="44"/>
  <c r="B82" i="44"/>
  <c r="A82" i="44"/>
  <c r="G81" i="44"/>
  <c r="F81" i="44"/>
  <c r="E81" i="44"/>
  <c r="D81" i="44"/>
  <c r="C81" i="44"/>
  <c r="B81" i="44"/>
  <c r="A81" i="44"/>
  <c r="G80" i="44"/>
  <c r="F80" i="44"/>
  <c r="E80" i="44"/>
  <c r="D80" i="44"/>
  <c r="C80" i="44"/>
  <c r="B80" i="44"/>
  <c r="A80" i="44"/>
  <c r="G79" i="44"/>
  <c r="F79" i="44"/>
  <c r="E79" i="44"/>
  <c r="D79" i="44"/>
  <c r="C79" i="44"/>
  <c r="B79" i="44"/>
  <c r="A79" i="44"/>
  <c r="G78" i="44"/>
  <c r="F78" i="44"/>
  <c r="E78" i="44"/>
  <c r="D78" i="44"/>
  <c r="C78" i="44"/>
  <c r="B78" i="44"/>
  <c r="A78" i="44"/>
  <c r="G77" i="44"/>
  <c r="F77" i="44"/>
  <c r="E77" i="44"/>
  <c r="D77" i="44"/>
  <c r="C77" i="44"/>
  <c r="B77" i="44"/>
  <c r="A77" i="44"/>
  <c r="G76" i="44"/>
  <c r="F76" i="44"/>
  <c r="E76" i="44"/>
  <c r="D76" i="44"/>
  <c r="C76" i="44"/>
  <c r="B76" i="44"/>
  <c r="A76" i="44"/>
  <c r="G75" i="44"/>
  <c r="F75" i="44"/>
  <c r="E75" i="44"/>
  <c r="D75" i="44"/>
  <c r="C75" i="44"/>
  <c r="B75" i="44"/>
  <c r="A75" i="44"/>
  <c r="G74" i="44"/>
  <c r="F74" i="44"/>
  <c r="E74" i="44"/>
  <c r="D74" i="44"/>
  <c r="C74" i="44"/>
  <c r="B74" i="44"/>
  <c r="A74" i="44"/>
  <c r="G73" i="44"/>
  <c r="F73" i="44"/>
  <c r="E73" i="44"/>
  <c r="D73" i="44"/>
  <c r="C73" i="44"/>
  <c r="B73" i="44"/>
  <c r="A73" i="44"/>
  <c r="G72" i="44"/>
  <c r="F72" i="44"/>
  <c r="E72" i="44"/>
  <c r="D72" i="44"/>
  <c r="C72" i="44"/>
  <c r="B72" i="44"/>
  <c r="A72" i="44"/>
  <c r="G71" i="44"/>
  <c r="F71" i="44"/>
  <c r="E71" i="44"/>
  <c r="D71" i="44"/>
  <c r="C71" i="44"/>
  <c r="B71" i="44"/>
  <c r="A71" i="44"/>
  <c r="G70" i="44"/>
  <c r="F70" i="44"/>
  <c r="E70" i="44"/>
  <c r="D70" i="44"/>
  <c r="C70" i="44"/>
  <c r="B70" i="44"/>
  <c r="A70" i="44"/>
  <c r="G69" i="44"/>
  <c r="F69" i="44"/>
  <c r="E69" i="44"/>
  <c r="D69" i="44"/>
  <c r="C69" i="44"/>
  <c r="B69" i="44"/>
  <c r="A69" i="44"/>
  <c r="G68" i="44"/>
  <c r="F68" i="44"/>
  <c r="E68" i="44"/>
  <c r="D68" i="44"/>
  <c r="C68" i="44"/>
  <c r="B68" i="44"/>
  <c r="A68" i="44"/>
  <c r="G67" i="44"/>
  <c r="F67" i="44"/>
  <c r="E67" i="44"/>
  <c r="D67" i="44"/>
  <c r="C67" i="44"/>
  <c r="B67" i="44"/>
  <c r="A67" i="44"/>
  <c r="G66" i="44"/>
  <c r="F66" i="44"/>
  <c r="E66" i="44"/>
  <c r="D66" i="44"/>
  <c r="C66" i="44"/>
  <c r="B66" i="44"/>
  <c r="A66" i="44"/>
  <c r="G65" i="44"/>
  <c r="F65" i="44"/>
  <c r="E65" i="44"/>
  <c r="D65" i="44"/>
  <c r="C65" i="44"/>
  <c r="B65" i="44"/>
  <c r="A65" i="44"/>
  <c r="G64" i="44"/>
  <c r="F64" i="44"/>
  <c r="E64" i="44"/>
  <c r="D64" i="44"/>
  <c r="C64" i="44"/>
  <c r="B64" i="44"/>
  <c r="A64" i="44"/>
  <c r="G63" i="44"/>
  <c r="F63" i="44"/>
  <c r="E63" i="44"/>
  <c r="D63" i="44"/>
  <c r="C63" i="44"/>
  <c r="B63" i="44"/>
  <c r="A63" i="44"/>
  <c r="G62" i="44"/>
  <c r="F62" i="44"/>
  <c r="E62" i="44"/>
  <c r="D62" i="44"/>
  <c r="C62" i="44"/>
  <c r="B62" i="44"/>
  <c r="A62" i="44"/>
  <c r="G61" i="44"/>
  <c r="F61" i="44"/>
  <c r="E61" i="44"/>
  <c r="D61" i="44"/>
  <c r="C61" i="44"/>
  <c r="B61" i="44"/>
  <c r="A61" i="44"/>
  <c r="G60" i="44"/>
  <c r="F60" i="44"/>
  <c r="E60" i="44"/>
  <c r="D60" i="44"/>
  <c r="C60" i="44"/>
  <c r="B60" i="44"/>
  <c r="A60" i="44"/>
  <c r="G59" i="44"/>
  <c r="F59" i="44"/>
  <c r="E59" i="44"/>
  <c r="D59" i="44"/>
  <c r="C59" i="44"/>
  <c r="B59" i="44"/>
  <c r="A59" i="44"/>
  <c r="G58" i="44"/>
  <c r="F58" i="44"/>
  <c r="E58" i="44"/>
  <c r="D58" i="44"/>
  <c r="C58" i="44"/>
  <c r="B58" i="44"/>
  <c r="A58" i="44"/>
  <c r="G57" i="44"/>
  <c r="F57" i="44"/>
  <c r="E57" i="44"/>
  <c r="D57" i="44"/>
  <c r="C57" i="44"/>
  <c r="B57" i="44"/>
  <c r="A57" i="44"/>
  <c r="G56" i="44"/>
  <c r="F56" i="44"/>
  <c r="E56" i="44"/>
  <c r="D56" i="44"/>
  <c r="C56" i="44"/>
  <c r="B56" i="44"/>
  <c r="A56" i="44"/>
  <c r="G55" i="44"/>
  <c r="F55" i="44"/>
  <c r="E55" i="44"/>
  <c r="D55" i="44"/>
  <c r="C55" i="44"/>
  <c r="B55" i="44"/>
  <c r="A55" i="44"/>
  <c r="G54" i="44"/>
  <c r="F54" i="44"/>
  <c r="E54" i="44"/>
  <c r="D54" i="44"/>
  <c r="C54" i="44"/>
  <c r="B54" i="44"/>
  <c r="A54" i="44"/>
  <c r="G53" i="44"/>
  <c r="F53" i="44"/>
  <c r="E53" i="44"/>
  <c r="D53" i="44"/>
  <c r="C53" i="44"/>
  <c r="B53" i="44"/>
  <c r="A53" i="44"/>
  <c r="G52" i="44"/>
  <c r="F52" i="44"/>
  <c r="E52" i="44"/>
  <c r="D52" i="44"/>
  <c r="C52" i="44"/>
  <c r="B52" i="44"/>
  <c r="A52" i="44"/>
  <c r="G51" i="44"/>
  <c r="F51" i="44"/>
  <c r="E51" i="44"/>
  <c r="D51" i="44"/>
  <c r="C51" i="44"/>
  <c r="B51" i="44"/>
  <c r="A51" i="44"/>
  <c r="G50" i="44"/>
  <c r="F50" i="44"/>
  <c r="E50" i="44"/>
  <c r="D50" i="44"/>
  <c r="C50" i="44"/>
  <c r="B50" i="44"/>
  <c r="A50" i="44"/>
  <c r="G49" i="44"/>
  <c r="F49" i="44"/>
  <c r="E49" i="44"/>
  <c r="D49" i="44"/>
  <c r="C49" i="44"/>
  <c r="B49" i="44"/>
  <c r="A49" i="44"/>
  <c r="G48" i="44"/>
  <c r="F48" i="44"/>
  <c r="E48" i="44"/>
  <c r="D48" i="44"/>
  <c r="C48" i="44"/>
  <c r="B48" i="44"/>
  <c r="A48" i="44"/>
  <c r="G47" i="44"/>
  <c r="F47" i="44"/>
  <c r="E47" i="44"/>
  <c r="D47" i="44"/>
  <c r="C47" i="44"/>
  <c r="B47" i="44"/>
  <c r="A47" i="44"/>
  <c r="G46" i="44"/>
  <c r="F46" i="44"/>
  <c r="E46" i="44"/>
  <c r="D46" i="44"/>
  <c r="C46" i="44"/>
  <c r="B46" i="44"/>
  <c r="A46" i="44"/>
  <c r="G45" i="44"/>
  <c r="F45" i="44"/>
  <c r="E45" i="44"/>
  <c r="D45" i="44"/>
  <c r="C45" i="44"/>
  <c r="B45" i="44"/>
  <c r="A45" i="44"/>
  <c r="G44" i="44"/>
  <c r="F44" i="44"/>
  <c r="E44" i="44"/>
  <c r="D44" i="44"/>
  <c r="C44" i="44"/>
  <c r="B44" i="44"/>
  <c r="A44" i="44"/>
  <c r="G43" i="44"/>
  <c r="F43" i="44"/>
  <c r="E43" i="44"/>
  <c r="D43" i="44"/>
  <c r="C43" i="44"/>
  <c r="B43" i="44"/>
  <c r="A43" i="44"/>
  <c r="G42" i="44"/>
  <c r="F42" i="44"/>
  <c r="E42" i="44"/>
  <c r="D42" i="44"/>
  <c r="C42" i="44"/>
  <c r="B42" i="44"/>
  <c r="A42" i="44"/>
  <c r="G41" i="44"/>
  <c r="F41" i="44"/>
  <c r="E41" i="44"/>
  <c r="D41" i="44"/>
  <c r="C41" i="44"/>
  <c r="B41" i="44"/>
  <c r="A41" i="44"/>
  <c r="G40" i="44"/>
  <c r="F40" i="44"/>
  <c r="E40" i="44"/>
  <c r="D40" i="44"/>
  <c r="C40" i="44"/>
  <c r="B40" i="44"/>
  <c r="A40" i="44"/>
  <c r="G39" i="44"/>
  <c r="F39" i="44"/>
  <c r="E39" i="44"/>
  <c r="D39" i="44"/>
  <c r="C39" i="44"/>
  <c r="B39" i="44"/>
  <c r="A39" i="44"/>
  <c r="G38" i="44"/>
  <c r="F38" i="44"/>
  <c r="E38" i="44"/>
  <c r="D38" i="44"/>
  <c r="C38" i="44"/>
  <c r="B38" i="44"/>
  <c r="A38" i="44"/>
  <c r="G37" i="44"/>
  <c r="F37" i="44"/>
  <c r="E37" i="44"/>
  <c r="D37" i="44"/>
  <c r="C37" i="44"/>
  <c r="B37" i="44"/>
  <c r="A37" i="44"/>
  <c r="G36" i="44"/>
  <c r="F36" i="44"/>
  <c r="E36" i="44"/>
  <c r="D36" i="44"/>
  <c r="C36" i="44"/>
  <c r="B36" i="44"/>
  <c r="A36" i="44"/>
  <c r="G35" i="44"/>
  <c r="F35" i="44"/>
  <c r="E35" i="44"/>
  <c r="D35" i="44"/>
  <c r="C35" i="44"/>
  <c r="B35" i="44"/>
  <c r="A35" i="44"/>
  <c r="G34" i="44"/>
  <c r="F34" i="44"/>
  <c r="E34" i="44"/>
  <c r="D34" i="44"/>
  <c r="C34" i="44"/>
  <c r="B34" i="44"/>
  <c r="A34" i="44"/>
  <c r="G33" i="44"/>
  <c r="F33" i="44"/>
  <c r="E33" i="44"/>
  <c r="D33" i="44"/>
  <c r="C33" i="44"/>
  <c r="B33" i="44"/>
  <c r="A33" i="44"/>
  <c r="G32" i="44"/>
  <c r="F32" i="44"/>
  <c r="E32" i="44"/>
  <c r="D32" i="44"/>
  <c r="C32" i="44"/>
  <c r="B32" i="44"/>
  <c r="A32" i="44"/>
  <c r="G31" i="44"/>
  <c r="F31" i="44"/>
  <c r="E31" i="44"/>
  <c r="D31" i="44"/>
  <c r="C31" i="44"/>
  <c r="B31" i="44"/>
  <c r="A31" i="44"/>
  <c r="G30" i="44"/>
  <c r="F30" i="44"/>
  <c r="E30" i="44"/>
  <c r="D30" i="44"/>
  <c r="C30" i="44"/>
  <c r="B30" i="44"/>
  <c r="A30" i="44"/>
  <c r="G29" i="44"/>
  <c r="F29" i="44"/>
  <c r="E29" i="44"/>
  <c r="D29" i="44"/>
  <c r="C29" i="44"/>
  <c r="B29" i="44"/>
  <c r="A29" i="44"/>
  <c r="G28" i="44"/>
  <c r="F28" i="44"/>
  <c r="E28" i="44"/>
  <c r="D28" i="44"/>
  <c r="C28" i="44"/>
  <c r="B28" i="44"/>
  <c r="A28" i="44"/>
  <c r="G27" i="44"/>
  <c r="F27" i="44"/>
  <c r="E27" i="44"/>
  <c r="D27" i="44"/>
  <c r="C27" i="44"/>
  <c r="B27" i="44"/>
  <c r="A27" i="44"/>
  <c r="G26" i="44"/>
  <c r="F26" i="44"/>
  <c r="E26" i="44"/>
  <c r="D26" i="44"/>
  <c r="C26" i="44"/>
  <c r="B26" i="44"/>
  <c r="A26" i="44"/>
  <c r="G25" i="44"/>
  <c r="F25" i="44"/>
  <c r="E25" i="44"/>
  <c r="D25" i="44"/>
  <c r="C25" i="44"/>
  <c r="B25" i="44"/>
  <c r="A25" i="44"/>
  <c r="G24" i="44"/>
  <c r="F24" i="44"/>
  <c r="E24" i="44"/>
  <c r="D24" i="44"/>
  <c r="C24" i="44"/>
  <c r="B24" i="44"/>
  <c r="A24" i="44"/>
  <c r="G23" i="44"/>
  <c r="F23" i="44"/>
  <c r="E23" i="44"/>
  <c r="D23" i="44"/>
  <c r="C23" i="44"/>
  <c r="B23" i="44"/>
  <c r="A23" i="44"/>
  <c r="G22" i="44"/>
  <c r="F22" i="44"/>
  <c r="E22" i="44"/>
  <c r="D22" i="44"/>
  <c r="C22" i="44"/>
  <c r="B22" i="44"/>
  <c r="A22" i="44"/>
  <c r="G21" i="44"/>
  <c r="F21" i="44"/>
  <c r="E21" i="44"/>
  <c r="D21" i="44"/>
  <c r="C21" i="44"/>
  <c r="B21" i="44"/>
  <c r="A21" i="44"/>
  <c r="G20" i="44"/>
  <c r="F20" i="44"/>
  <c r="E20" i="44"/>
  <c r="D20" i="44"/>
  <c r="C20" i="44"/>
  <c r="B20" i="44"/>
  <c r="A20" i="44"/>
  <c r="G19" i="44"/>
  <c r="F19" i="44"/>
  <c r="E19" i="44"/>
  <c r="D19" i="44"/>
  <c r="C19" i="44"/>
  <c r="B19" i="44"/>
  <c r="A19" i="44"/>
  <c r="G18" i="44"/>
  <c r="F18" i="44"/>
  <c r="E18" i="44"/>
  <c r="D18" i="44"/>
  <c r="C18" i="44"/>
  <c r="B18" i="44"/>
  <c r="A18" i="44"/>
  <c r="G17" i="44"/>
  <c r="F17" i="44"/>
  <c r="E17" i="44"/>
  <c r="D17" i="44"/>
  <c r="C17" i="44"/>
  <c r="B17" i="44"/>
  <c r="A17" i="44"/>
  <c r="G16" i="44"/>
  <c r="F16" i="44"/>
  <c r="E16" i="44"/>
  <c r="D16" i="44"/>
  <c r="C16" i="44"/>
  <c r="B16" i="44"/>
  <c r="A16" i="44"/>
  <c r="G15" i="44"/>
  <c r="F15" i="44"/>
  <c r="E15" i="44"/>
  <c r="D15" i="44"/>
  <c r="C15" i="44"/>
  <c r="B15" i="44"/>
  <c r="A15" i="44"/>
  <c r="G14" i="44"/>
  <c r="F14" i="44"/>
  <c r="E14" i="44"/>
  <c r="D14" i="44"/>
  <c r="C14" i="44"/>
  <c r="B14" i="44"/>
  <c r="A14" i="44"/>
  <c r="G13" i="44"/>
  <c r="F13" i="44"/>
  <c r="E13" i="44"/>
  <c r="D13" i="44"/>
  <c r="C13" i="44"/>
  <c r="B13" i="44"/>
  <c r="A13" i="44"/>
  <c r="G12" i="44"/>
  <c r="F12" i="44"/>
  <c r="E12" i="44"/>
  <c r="D12" i="44"/>
  <c r="C12" i="44"/>
  <c r="B12" i="44"/>
  <c r="A12" i="44"/>
  <c r="G11" i="44"/>
  <c r="F11" i="44"/>
  <c r="E11" i="44"/>
  <c r="D11" i="44"/>
  <c r="C11" i="44"/>
  <c r="B11" i="44"/>
  <c r="A11" i="44"/>
  <c r="G10" i="44"/>
  <c r="F10" i="44"/>
  <c r="E10" i="44"/>
  <c r="D10" i="44"/>
  <c r="C10" i="44"/>
  <c r="B10" i="44"/>
  <c r="A10" i="44"/>
  <c r="G9" i="44"/>
  <c r="F9" i="44"/>
  <c r="E9" i="44"/>
  <c r="D9" i="44"/>
  <c r="C9" i="44"/>
  <c r="B9" i="44"/>
  <c r="A9" i="44"/>
  <c r="G8" i="44"/>
  <c r="F8" i="44"/>
  <c r="E8" i="44"/>
  <c r="D8" i="44"/>
  <c r="C8" i="44"/>
  <c r="B8" i="44"/>
  <c r="A8" i="44"/>
  <c r="G7" i="44"/>
  <c r="F7" i="44"/>
  <c r="E7" i="44"/>
  <c r="D7" i="44"/>
  <c r="C7" i="44"/>
  <c r="B7" i="44"/>
  <c r="A7" i="44"/>
  <c r="G6" i="44"/>
  <c r="F6" i="44"/>
  <c r="E6" i="44"/>
  <c r="D6" i="44"/>
  <c r="C6" i="44"/>
  <c r="B6" i="44"/>
  <c r="A6" i="44"/>
  <c r="G5" i="44"/>
  <c r="F5" i="44"/>
  <c r="E5" i="44"/>
  <c r="D5" i="44"/>
  <c r="C5" i="44"/>
  <c r="B5" i="44"/>
  <c r="A5" i="44"/>
  <c r="G4" i="44"/>
  <c r="F4" i="44"/>
  <c r="E4" i="44"/>
  <c r="D4" i="44"/>
  <c r="C4" i="44"/>
  <c r="B4" i="44"/>
  <c r="A4" i="44"/>
  <c r="G3" i="44"/>
  <c r="F3" i="44"/>
  <c r="E3" i="44"/>
  <c r="D3" i="44"/>
  <c r="C3" i="44"/>
  <c r="B3" i="44"/>
  <c r="A3" i="44"/>
  <c r="G2" i="44"/>
  <c r="F2" i="44"/>
  <c r="E2" i="44"/>
  <c r="D2" i="44"/>
  <c r="C2" i="44"/>
  <c r="B2" i="44"/>
  <c r="A2" i="44"/>
  <c r="G1" i="44"/>
  <c r="F1" i="44"/>
  <c r="E1" i="44"/>
  <c r="D1" i="44"/>
  <c r="C1" i="44"/>
  <c r="B1" i="44"/>
  <c r="A1" i="44"/>
  <c r="G269" i="43"/>
  <c r="F269" i="43"/>
  <c r="E269" i="43"/>
  <c r="D269" i="43"/>
  <c r="C269" i="43"/>
  <c r="B269" i="43"/>
  <c r="A269" i="43"/>
  <c r="G268" i="43"/>
  <c r="F268" i="43"/>
  <c r="E268" i="43"/>
  <c r="D268" i="43"/>
  <c r="C268" i="43"/>
  <c r="B268" i="43"/>
  <c r="A268" i="43"/>
  <c r="G267" i="43"/>
  <c r="F267" i="43"/>
  <c r="E267" i="43"/>
  <c r="D267" i="43"/>
  <c r="C267" i="43"/>
  <c r="B267" i="43"/>
  <c r="A267" i="43"/>
  <c r="G266" i="43"/>
  <c r="F266" i="43"/>
  <c r="E266" i="43"/>
  <c r="D266" i="43"/>
  <c r="C266" i="43"/>
  <c r="B266" i="43"/>
  <c r="A266" i="43"/>
  <c r="G265" i="43"/>
  <c r="F265" i="43"/>
  <c r="E265" i="43"/>
  <c r="D265" i="43"/>
  <c r="C265" i="43"/>
  <c r="B265" i="43"/>
  <c r="A265" i="43"/>
  <c r="G264" i="43"/>
  <c r="F264" i="43"/>
  <c r="E264" i="43"/>
  <c r="D264" i="43"/>
  <c r="C264" i="43"/>
  <c r="B264" i="43"/>
  <c r="A264" i="43"/>
  <c r="G263" i="43"/>
  <c r="F263" i="43"/>
  <c r="E263" i="43"/>
  <c r="D263" i="43"/>
  <c r="C263" i="43"/>
  <c r="B263" i="43"/>
  <c r="A263" i="43"/>
  <c r="G262" i="43"/>
  <c r="F262" i="43"/>
  <c r="E262" i="43"/>
  <c r="D262" i="43"/>
  <c r="C262" i="43"/>
  <c r="B262" i="43"/>
  <c r="A262" i="43"/>
  <c r="G261" i="43"/>
  <c r="F261" i="43"/>
  <c r="E261" i="43"/>
  <c r="D261" i="43"/>
  <c r="C261" i="43"/>
  <c r="B261" i="43"/>
  <c r="A261" i="43"/>
  <c r="G260" i="43"/>
  <c r="F260" i="43"/>
  <c r="E260" i="43"/>
  <c r="D260" i="43"/>
  <c r="C260" i="43"/>
  <c r="B260" i="43"/>
  <c r="A260" i="43"/>
  <c r="G259" i="43"/>
  <c r="F259" i="43"/>
  <c r="E259" i="43"/>
  <c r="D259" i="43"/>
  <c r="C259" i="43"/>
  <c r="B259" i="43"/>
  <c r="A259" i="43"/>
  <c r="G258" i="43"/>
  <c r="F258" i="43"/>
  <c r="E258" i="43"/>
  <c r="D258" i="43"/>
  <c r="C258" i="43"/>
  <c r="B258" i="43"/>
  <c r="A258" i="43"/>
  <c r="G257" i="43"/>
  <c r="F257" i="43"/>
  <c r="E257" i="43"/>
  <c r="D257" i="43"/>
  <c r="C257" i="43"/>
  <c r="B257" i="43"/>
  <c r="A257" i="43"/>
  <c r="G256" i="43"/>
  <c r="F256" i="43"/>
  <c r="E256" i="43"/>
  <c r="D256" i="43"/>
  <c r="C256" i="43"/>
  <c r="B256" i="43"/>
  <c r="A256" i="43"/>
  <c r="G255" i="43"/>
  <c r="F255" i="43"/>
  <c r="E255" i="43"/>
  <c r="D255" i="43"/>
  <c r="C255" i="43"/>
  <c r="B255" i="43"/>
  <c r="A255" i="43"/>
  <c r="G254" i="43"/>
  <c r="F254" i="43"/>
  <c r="E254" i="43"/>
  <c r="D254" i="43"/>
  <c r="C254" i="43"/>
  <c r="B254" i="43"/>
  <c r="A254" i="43"/>
  <c r="G253" i="43"/>
  <c r="F253" i="43"/>
  <c r="E253" i="43"/>
  <c r="D253" i="43"/>
  <c r="C253" i="43"/>
  <c r="B253" i="43"/>
  <c r="A253" i="43"/>
  <c r="G252" i="43"/>
  <c r="F252" i="43"/>
  <c r="E252" i="43"/>
  <c r="D252" i="43"/>
  <c r="C252" i="43"/>
  <c r="B252" i="43"/>
  <c r="A252" i="43"/>
  <c r="G251" i="43"/>
  <c r="F251" i="43"/>
  <c r="E251" i="43"/>
  <c r="D251" i="43"/>
  <c r="C251" i="43"/>
  <c r="B251" i="43"/>
  <c r="A251" i="43"/>
  <c r="G250" i="43"/>
  <c r="F250" i="43"/>
  <c r="E250" i="43"/>
  <c r="D250" i="43"/>
  <c r="C250" i="43"/>
  <c r="B250" i="43"/>
  <c r="A250" i="43"/>
  <c r="G249" i="43"/>
  <c r="F249" i="43"/>
  <c r="E249" i="43"/>
  <c r="D249" i="43"/>
  <c r="C249" i="43"/>
  <c r="B249" i="43"/>
  <c r="A249" i="43"/>
  <c r="G248" i="43"/>
  <c r="F248" i="43"/>
  <c r="E248" i="43"/>
  <c r="D248" i="43"/>
  <c r="C248" i="43"/>
  <c r="B248" i="43"/>
  <c r="A248" i="43"/>
  <c r="G247" i="43"/>
  <c r="F247" i="43"/>
  <c r="E247" i="43"/>
  <c r="D247" i="43"/>
  <c r="C247" i="43"/>
  <c r="B247" i="43"/>
  <c r="A247" i="43"/>
  <c r="G246" i="43"/>
  <c r="F246" i="43"/>
  <c r="E246" i="43"/>
  <c r="D246" i="43"/>
  <c r="C246" i="43"/>
  <c r="B246" i="43"/>
  <c r="A246" i="43"/>
  <c r="G245" i="43"/>
  <c r="F245" i="43"/>
  <c r="E245" i="43"/>
  <c r="D245" i="43"/>
  <c r="C245" i="43"/>
  <c r="B245" i="43"/>
  <c r="A245" i="43"/>
  <c r="G244" i="43"/>
  <c r="F244" i="43"/>
  <c r="E244" i="43"/>
  <c r="D244" i="43"/>
  <c r="C244" i="43"/>
  <c r="B244" i="43"/>
  <c r="A244" i="43"/>
  <c r="G243" i="43"/>
  <c r="F243" i="43"/>
  <c r="E243" i="43"/>
  <c r="D243" i="43"/>
  <c r="C243" i="43"/>
  <c r="B243" i="43"/>
  <c r="A243" i="43"/>
  <c r="G242" i="43"/>
  <c r="F242" i="43"/>
  <c r="E242" i="43"/>
  <c r="D242" i="43"/>
  <c r="C242" i="43"/>
  <c r="B242" i="43"/>
  <c r="A242" i="43"/>
  <c r="G241" i="43"/>
  <c r="F241" i="43"/>
  <c r="E241" i="43"/>
  <c r="D241" i="43"/>
  <c r="C241" i="43"/>
  <c r="B241" i="43"/>
  <c r="A241" i="43"/>
  <c r="G240" i="43"/>
  <c r="F240" i="43"/>
  <c r="E240" i="43"/>
  <c r="D240" i="43"/>
  <c r="C240" i="43"/>
  <c r="B240" i="43"/>
  <c r="A240" i="43"/>
  <c r="G239" i="43"/>
  <c r="F239" i="43"/>
  <c r="E239" i="43"/>
  <c r="D239" i="43"/>
  <c r="C239" i="43"/>
  <c r="B239" i="43"/>
  <c r="A239" i="43"/>
  <c r="G238" i="43"/>
  <c r="F238" i="43"/>
  <c r="E238" i="43"/>
  <c r="D238" i="43"/>
  <c r="C238" i="43"/>
  <c r="B238" i="43"/>
  <c r="A238" i="43"/>
  <c r="G237" i="43"/>
  <c r="F237" i="43"/>
  <c r="E237" i="43"/>
  <c r="D237" i="43"/>
  <c r="C237" i="43"/>
  <c r="B237" i="43"/>
  <c r="A237" i="43"/>
  <c r="G236" i="43"/>
  <c r="F236" i="43"/>
  <c r="E236" i="43"/>
  <c r="D236" i="43"/>
  <c r="C236" i="43"/>
  <c r="B236" i="43"/>
  <c r="A236" i="43"/>
  <c r="G235" i="43"/>
  <c r="F235" i="43"/>
  <c r="E235" i="43"/>
  <c r="D235" i="43"/>
  <c r="C235" i="43"/>
  <c r="B235" i="43"/>
  <c r="A235" i="43"/>
  <c r="G234" i="43"/>
  <c r="F234" i="43"/>
  <c r="E234" i="43"/>
  <c r="D234" i="43"/>
  <c r="C234" i="43"/>
  <c r="B234" i="43"/>
  <c r="A234" i="43"/>
  <c r="G233" i="43"/>
  <c r="F233" i="43"/>
  <c r="E233" i="43"/>
  <c r="D233" i="43"/>
  <c r="C233" i="43"/>
  <c r="B233" i="43"/>
  <c r="A233" i="43"/>
  <c r="G232" i="43"/>
  <c r="F232" i="43"/>
  <c r="E232" i="43"/>
  <c r="D232" i="43"/>
  <c r="C232" i="43"/>
  <c r="B232" i="43"/>
  <c r="A232" i="43"/>
  <c r="G231" i="43"/>
  <c r="F231" i="43"/>
  <c r="E231" i="43"/>
  <c r="D231" i="43"/>
  <c r="C231" i="43"/>
  <c r="B231" i="43"/>
  <c r="A231" i="43"/>
  <c r="G230" i="43"/>
  <c r="F230" i="43"/>
  <c r="E230" i="43"/>
  <c r="D230" i="43"/>
  <c r="C230" i="43"/>
  <c r="B230" i="43"/>
  <c r="A230" i="43"/>
  <c r="G229" i="43"/>
  <c r="F229" i="43"/>
  <c r="E229" i="43"/>
  <c r="D229" i="43"/>
  <c r="C229" i="43"/>
  <c r="B229" i="43"/>
  <c r="A229" i="43"/>
  <c r="G228" i="43"/>
  <c r="F228" i="43"/>
  <c r="E228" i="43"/>
  <c r="D228" i="43"/>
  <c r="C228" i="43"/>
  <c r="B228" i="43"/>
  <c r="A228" i="43"/>
  <c r="G227" i="43"/>
  <c r="F227" i="43"/>
  <c r="E227" i="43"/>
  <c r="D227" i="43"/>
  <c r="C227" i="43"/>
  <c r="B227" i="43"/>
  <c r="A227" i="43"/>
  <c r="G226" i="43"/>
  <c r="F226" i="43"/>
  <c r="E226" i="43"/>
  <c r="D226" i="43"/>
  <c r="C226" i="43"/>
  <c r="B226" i="43"/>
  <c r="A226" i="43"/>
  <c r="G225" i="43"/>
  <c r="F225" i="43"/>
  <c r="E225" i="43"/>
  <c r="D225" i="43"/>
  <c r="C225" i="43"/>
  <c r="B225" i="43"/>
  <c r="A225" i="43"/>
  <c r="G224" i="43"/>
  <c r="F224" i="43"/>
  <c r="E224" i="43"/>
  <c r="D224" i="43"/>
  <c r="C224" i="43"/>
  <c r="B224" i="43"/>
  <c r="A224" i="43"/>
  <c r="G223" i="43"/>
  <c r="F223" i="43"/>
  <c r="E223" i="43"/>
  <c r="D223" i="43"/>
  <c r="C223" i="43"/>
  <c r="B223" i="43"/>
  <c r="A223" i="43"/>
  <c r="G222" i="43"/>
  <c r="F222" i="43"/>
  <c r="E222" i="43"/>
  <c r="D222" i="43"/>
  <c r="C222" i="43"/>
  <c r="B222" i="43"/>
  <c r="A222" i="43"/>
  <c r="G221" i="43"/>
  <c r="F221" i="43"/>
  <c r="E221" i="43"/>
  <c r="D221" i="43"/>
  <c r="C221" i="43"/>
  <c r="B221" i="43"/>
  <c r="A221" i="43"/>
  <c r="G220" i="43"/>
  <c r="F220" i="43"/>
  <c r="E220" i="43"/>
  <c r="D220" i="43"/>
  <c r="C220" i="43"/>
  <c r="B220" i="43"/>
  <c r="A220" i="43"/>
  <c r="G219" i="43"/>
  <c r="F219" i="43"/>
  <c r="E219" i="43"/>
  <c r="D219" i="43"/>
  <c r="C219" i="43"/>
  <c r="B219" i="43"/>
  <c r="A219" i="43"/>
  <c r="G218" i="43"/>
  <c r="F218" i="43"/>
  <c r="E218" i="43"/>
  <c r="D218" i="43"/>
  <c r="C218" i="43"/>
  <c r="B218" i="43"/>
  <c r="A218" i="43"/>
  <c r="G217" i="43"/>
  <c r="F217" i="43"/>
  <c r="E217" i="43"/>
  <c r="D217" i="43"/>
  <c r="C217" i="43"/>
  <c r="B217" i="43"/>
  <c r="A217" i="43"/>
  <c r="G216" i="43"/>
  <c r="F216" i="43"/>
  <c r="E216" i="43"/>
  <c r="D216" i="43"/>
  <c r="C216" i="43"/>
  <c r="B216" i="43"/>
  <c r="A216" i="43"/>
  <c r="G215" i="43"/>
  <c r="F215" i="43"/>
  <c r="E215" i="43"/>
  <c r="D215" i="43"/>
  <c r="C215" i="43"/>
  <c r="B215" i="43"/>
  <c r="A215" i="43"/>
  <c r="G214" i="43"/>
  <c r="F214" i="43"/>
  <c r="E214" i="43"/>
  <c r="D214" i="43"/>
  <c r="C214" i="43"/>
  <c r="B214" i="43"/>
  <c r="A214" i="43"/>
  <c r="G213" i="43"/>
  <c r="F213" i="43"/>
  <c r="E213" i="43"/>
  <c r="D213" i="43"/>
  <c r="C213" i="43"/>
  <c r="B213" i="43"/>
  <c r="A213" i="43"/>
  <c r="G212" i="43"/>
  <c r="F212" i="43"/>
  <c r="E212" i="43"/>
  <c r="D212" i="43"/>
  <c r="C212" i="43"/>
  <c r="B212" i="43"/>
  <c r="A212" i="43"/>
  <c r="G211" i="43"/>
  <c r="F211" i="43"/>
  <c r="E211" i="43"/>
  <c r="D211" i="43"/>
  <c r="C211" i="43"/>
  <c r="B211" i="43"/>
  <c r="A211" i="43"/>
  <c r="G210" i="43"/>
  <c r="F210" i="43"/>
  <c r="E210" i="43"/>
  <c r="D210" i="43"/>
  <c r="C210" i="43"/>
  <c r="B210" i="43"/>
  <c r="A210" i="43"/>
  <c r="G209" i="43"/>
  <c r="F209" i="43"/>
  <c r="E209" i="43"/>
  <c r="D209" i="43"/>
  <c r="C209" i="43"/>
  <c r="B209" i="43"/>
  <c r="A209" i="43"/>
  <c r="G208" i="43"/>
  <c r="F208" i="43"/>
  <c r="E208" i="43"/>
  <c r="D208" i="43"/>
  <c r="C208" i="43"/>
  <c r="B208" i="43"/>
  <c r="A208" i="43"/>
  <c r="G207" i="43"/>
  <c r="F207" i="43"/>
  <c r="E207" i="43"/>
  <c r="D207" i="43"/>
  <c r="C207" i="43"/>
  <c r="B207" i="43"/>
  <c r="A207" i="43"/>
  <c r="G206" i="43"/>
  <c r="F206" i="43"/>
  <c r="E206" i="43"/>
  <c r="D206" i="43"/>
  <c r="C206" i="43"/>
  <c r="B206" i="43"/>
  <c r="A206" i="43"/>
  <c r="G205" i="43"/>
  <c r="F205" i="43"/>
  <c r="E205" i="43"/>
  <c r="D205" i="43"/>
  <c r="C205" i="43"/>
  <c r="B205" i="43"/>
  <c r="A205" i="43"/>
  <c r="G204" i="43"/>
  <c r="F204" i="43"/>
  <c r="E204" i="43"/>
  <c r="D204" i="43"/>
  <c r="C204" i="43"/>
  <c r="B204" i="43"/>
  <c r="A204" i="43"/>
  <c r="G203" i="43"/>
  <c r="F203" i="43"/>
  <c r="E203" i="43"/>
  <c r="D203" i="43"/>
  <c r="C203" i="43"/>
  <c r="B203" i="43"/>
  <c r="A203" i="43"/>
  <c r="G202" i="43"/>
  <c r="F202" i="43"/>
  <c r="E202" i="43"/>
  <c r="D202" i="43"/>
  <c r="C202" i="43"/>
  <c r="B202" i="43"/>
  <c r="A202" i="43"/>
  <c r="G201" i="43"/>
  <c r="F201" i="43"/>
  <c r="E201" i="43"/>
  <c r="D201" i="43"/>
  <c r="C201" i="43"/>
  <c r="B201" i="43"/>
  <c r="A201" i="43"/>
  <c r="G200" i="43"/>
  <c r="F200" i="43"/>
  <c r="E200" i="43"/>
  <c r="D200" i="43"/>
  <c r="C200" i="43"/>
  <c r="B200" i="43"/>
  <c r="A200" i="43"/>
  <c r="G199" i="43"/>
  <c r="F199" i="43"/>
  <c r="E199" i="43"/>
  <c r="D199" i="43"/>
  <c r="C199" i="43"/>
  <c r="B199" i="43"/>
  <c r="A199" i="43"/>
  <c r="G198" i="43"/>
  <c r="F198" i="43"/>
  <c r="E198" i="43"/>
  <c r="D198" i="43"/>
  <c r="C198" i="43"/>
  <c r="B198" i="43"/>
  <c r="A198" i="43"/>
  <c r="G197" i="43"/>
  <c r="F197" i="43"/>
  <c r="E197" i="43"/>
  <c r="D197" i="43"/>
  <c r="C197" i="43"/>
  <c r="B197" i="43"/>
  <c r="A197" i="43"/>
  <c r="G196" i="43"/>
  <c r="F196" i="43"/>
  <c r="E196" i="43"/>
  <c r="D196" i="43"/>
  <c r="C196" i="43"/>
  <c r="B196" i="43"/>
  <c r="A196" i="43"/>
  <c r="G195" i="43"/>
  <c r="F195" i="43"/>
  <c r="E195" i="43"/>
  <c r="D195" i="43"/>
  <c r="C195" i="43"/>
  <c r="B195" i="43"/>
  <c r="A195" i="43"/>
  <c r="G194" i="43"/>
  <c r="F194" i="43"/>
  <c r="E194" i="43"/>
  <c r="D194" i="43"/>
  <c r="C194" i="43"/>
  <c r="B194" i="43"/>
  <c r="A194" i="43"/>
  <c r="G193" i="43"/>
  <c r="F193" i="43"/>
  <c r="E193" i="43"/>
  <c r="D193" i="43"/>
  <c r="C193" i="43"/>
  <c r="B193" i="43"/>
  <c r="A193" i="43"/>
  <c r="G192" i="43"/>
  <c r="F192" i="43"/>
  <c r="E192" i="43"/>
  <c r="D192" i="43"/>
  <c r="C192" i="43"/>
  <c r="B192" i="43"/>
  <c r="A192" i="43"/>
  <c r="G191" i="43"/>
  <c r="F191" i="43"/>
  <c r="E191" i="43"/>
  <c r="D191" i="43"/>
  <c r="C191" i="43"/>
  <c r="B191" i="43"/>
  <c r="A191" i="43"/>
  <c r="G190" i="43"/>
  <c r="F190" i="43"/>
  <c r="E190" i="43"/>
  <c r="D190" i="43"/>
  <c r="C190" i="43"/>
  <c r="B190" i="43"/>
  <c r="A190" i="43"/>
  <c r="G189" i="43"/>
  <c r="F189" i="43"/>
  <c r="E189" i="43"/>
  <c r="D189" i="43"/>
  <c r="C189" i="43"/>
  <c r="B189" i="43"/>
  <c r="A189" i="43"/>
  <c r="G188" i="43"/>
  <c r="F188" i="43"/>
  <c r="E188" i="43"/>
  <c r="D188" i="43"/>
  <c r="C188" i="43"/>
  <c r="B188" i="43"/>
  <c r="A188" i="43"/>
  <c r="G187" i="43"/>
  <c r="F187" i="43"/>
  <c r="E187" i="43"/>
  <c r="D187" i="43"/>
  <c r="C187" i="43"/>
  <c r="B187" i="43"/>
  <c r="A187" i="43"/>
  <c r="G186" i="43"/>
  <c r="F186" i="43"/>
  <c r="E186" i="43"/>
  <c r="D186" i="43"/>
  <c r="C186" i="43"/>
  <c r="B186" i="43"/>
  <c r="A186" i="43"/>
  <c r="G185" i="43"/>
  <c r="F185" i="43"/>
  <c r="E185" i="43"/>
  <c r="D185" i="43"/>
  <c r="C185" i="43"/>
  <c r="B185" i="43"/>
  <c r="A185" i="43"/>
  <c r="G184" i="43"/>
  <c r="F184" i="43"/>
  <c r="E184" i="43"/>
  <c r="D184" i="43"/>
  <c r="C184" i="43"/>
  <c r="B184" i="43"/>
  <c r="A184" i="43"/>
  <c r="G183" i="43"/>
  <c r="F183" i="43"/>
  <c r="E183" i="43"/>
  <c r="D183" i="43"/>
  <c r="C183" i="43"/>
  <c r="B183" i="43"/>
  <c r="A183" i="43"/>
  <c r="G182" i="43"/>
  <c r="F182" i="43"/>
  <c r="E182" i="43"/>
  <c r="D182" i="43"/>
  <c r="C182" i="43"/>
  <c r="B182" i="43"/>
  <c r="A182" i="43"/>
  <c r="G181" i="43"/>
  <c r="F181" i="43"/>
  <c r="E181" i="43"/>
  <c r="D181" i="43"/>
  <c r="C181" i="43"/>
  <c r="B181" i="43"/>
  <c r="A181" i="43"/>
  <c r="G180" i="43"/>
  <c r="F180" i="43"/>
  <c r="E180" i="43"/>
  <c r="D180" i="43"/>
  <c r="C180" i="43"/>
  <c r="B180" i="43"/>
  <c r="A180" i="43"/>
  <c r="G179" i="43"/>
  <c r="F179" i="43"/>
  <c r="E179" i="43"/>
  <c r="D179" i="43"/>
  <c r="C179" i="43"/>
  <c r="B179" i="43"/>
  <c r="A179" i="43"/>
  <c r="G178" i="43"/>
  <c r="F178" i="43"/>
  <c r="E178" i="43"/>
  <c r="D178" i="43"/>
  <c r="C178" i="43"/>
  <c r="B178" i="43"/>
  <c r="A178" i="43"/>
  <c r="G177" i="43"/>
  <c r="F177" i="43"/>
  <c r="E177" i="43"/>
  <c r="D177" i="43"/>
  <c r="C177" i="43"/>
  <c r="B177" i="43"/>
  <c r="A177" i="43"/>
  <c r="G176" i="43"/>
  <c r="F176" i="43"/>
  <c r="E176" i="43"/>
  <c r="D176" i="43"/>
  <c r="C176" i="43"/>
  <c r="B176" i="43"/>
  <c r="A176" i="43"/>
  <c r="G175" i="43"/>
  <c r="F175" i="43"/>
  <c r="E175" i="43"/>
  <c r="D175" i="43"/>
  <c r="C175" i="43"/>
  <c r="B175" i="43"/>
  <c r="A175" i="43"/>
  <c r="G174" i="43"/>
  <c r="F174" i="43"/>
  <c r="E174" i="43"/>
  <c r="D174" i="43"/>
  <c r="C174" i="43"/>
  <c r="B174" i="43"/>
  <c r="A174" i="43"/>
  <c r="G173" i="43"/>
  <c r="F173" i="43"/>
  <c r="E173" i="43"/>
  <c r="D173" i="43"/>
  <c r="C173" i="43"/>
  <c r="B173" i="43"/>
  <c r="A173" i="43"/>
  <c r="G172" i="43"/>
  <c r="F172" i="43"/>
  <c r="E172" i="43"/>
  <c r="D172" i="43"/>
  <c r="C172" i="43"/>
  <c r="B172" i="43"/>
  <c r="A172" i="43"/>
  <c r="G171" i="43"/>
  <c r="F171" i="43"/>
  <c r="E171" i="43"/>
  <c r="D171" i="43"/>
  <c r="C171" i="43"/>
  <c r="B171" i="43"/>
  <c r="A171" i="43"/>
  <c r="G170" i="43"/>
  <c r="F170" i="43"/>
  <c r="E170" i="43"/>
  <c r="D170" i="43"/>
  <c r="C170" i="43"/>
  <c r="B170" i="43"/>
  <c r="A170" i="43"/>
  <c r="G169" i="43"/>
  <c r="F169" i="43"/>
  <c r="E169" i="43"/>
  <c r="D169" i="43"/>
  <c r="C169" i="43"/>
  <c r="B169" i="43"/>
  <c r="A169" i="43"/>
  <c r="G168" i="43"/>
  <c r="F168" i="43"/>
  <c r="E168" i="43"/>
  <c r="D168" i="43"/>
  <c r="C168" i="43"/>
  <c r="B168" i="43"/>
  <c r="A168" i="43"/>
  <c r="G167" i="43"/>
  <c r="F167" i="43"/>
  <c r="E167" i="43"/>
  <c r="D167" i="43"/>
  <c r="C167" i="43"/>
  <c r="B167" i="43"/>
  <c r="A167" i="43"/>
  <c r="G166" i="43"/>
  <c r="F166" i="43"/>
  <c r="E166" i="43"/>
  <c r="D166" i="43"/>
  <c r="C166" i="43"/>
  <c r="B166" i="43"/>
  <c r="A166" i="43"/>
  <c r="G165" i="43"/>
  <c r="F165" i="43"/>
  <c r="E165" i="43"/>
  <c r="D165" i="43"/>
  <c r="C165" i="43"/>
  <c r="B165" i="43"/>
  <c r="A165" i="43"/>
  <c r="G164" i="43"/>
  <c r="F164" i="43"/>
  <c r="E164" i="43"/>
  <c r="D164" i="43"/>
  <c r="C164" i="43"/>
  <c r="B164" i="43"/>
  <c r="A164" i="43"/>
  <c r="G163" i="43"/>
  <c r="F163" i="43"/>
  <c r="E163" i="43"/>
  <c r="D163" i="43"/>
  <c r="C163" i="43"/>
  <c r="B163" i="43"/>
  <c r="A163" i="43"/>
  <c r="G162" i="43"/>
  <c r="F162" i="43"/>
  <c r="E162" i="43"/>
  <c r="D162" i="43"/>
  <c r="C162" i="43"/>
  <c r="B162" i="43"/>
  <c r="A162" i="43"/>
  <c r="G161" i="43"/>
  <c r="F161" i="43"/>
  <c r="E161" i="43"/>
  <c r="D161" i="43"/>
  <c r="C161" i="43"/>
  <c r="B161" i="43"/>
  <c r="A161" i="43"/>
  <c r="G160" i="43"/>
  <c r="F160" i="43"/>
  <c r="E160" i="43"/>
  <c r="D160" i="43"/>
  <c r="C160" i="43"/>
  <c r="B160" i="43"/>
  <c r="A160" i="43"/>
  <c r="G159" i="43"/>
  <c r="F159" i="43"/>
  <c r="E159" i="43"/>
  <c r="D159" i="43"/>
  <c r="C159" i="43"/>
  <c r="B159" i="43"/>
  <c r="A159" i="43"/>
  <c r="G158" i="43"/>
  <c r="F158" i="43"/>
  <c r="E158" i="43"/>
  <c r="D158" i="43"/>
  <c r="C158" i="43"/>
  <c r="B158" i="43"/>
  <c r="A158" i="43"/>
  <c r="G157" i="43"/>
  <c r="F157" i="43"/>
  <c r="E157" i="43"/>
  <c r="D157" i="43"/>
  <c r="C157" i="43"/>
  <c r="B157" i="43"/>
  <c r="A157" i="43"/>
  <c r="G156" i="43"/>
  <c r="F156" i="43"/>
  <c r="E156" i="43"/>
  <c r="D156" i="43"/>
  <c r="C156" i="43"/>
  <c r="B156" i="43"/>
  <c r="A156" i="43"/>
  <c r="G155" i="43"/>
  <c r="F155" i="43"/>
  <c r="E155" i="43"/>
  <c r="D155" i="43"/>
  <c r="C155" i="43"/>
  <c r="B155" i="43"/>
  <c r="A155" i="43"/>
  <c r="G154" i="43"/>
  <c r="F154" i="43"/>
  <c r="E154" i="43"/>
  <c r="D154" i="43"/>
  <c r="C154" i="43"/>
  <c r="B154" i="43"/>
  <c r="A154" i="43"/>
  <c r="G153" i="43"/>
  <c r="F153" i="43"/>
  <c r="E153" i="43"/>
  <c r="D153" i="43"/>
  <c r="C153" i="43"/>
  <c r="B153" i="43"/>
  <c r="A153" i="43"/>
  <c r="G152" i="43"/>
  <c r="F152" i="43"/>
  <c r="E152" i="43"/>
  <c r="D152" i="43"/>
  <c r="C152" i="43"/>
  <c r="B152" i="43"/>
  <c r="A152" i="43"/>
  <c r="G151" i="43"/>
  <c r="F151" i="43"/>
  <c r="E151" i="43"/>
  <c r="D151" i="43"/>
  <c r="C151" i="43"/>
  <c r="B151" i="43"/>
  <c r="A151" i="43"/>
  <c r="G150" i="43"/>
  <c r="F150" i="43"/>
  <c r="E150" i="43"/>
  <c r="D150" i="43"/>
  <c r="C150" i="43"/>
  <c r="B150" i="43"/>
  <c r="A150" i="43"/>
  <c r="G149" i="43"/>
  <c r="F149" i="43"/>
  <c r="E149" i="43"/>
  <c r="D149" i="43"/>
  <c r="C149" i="43"/>
  <c r="B149" i="43"/>
  <c r="A149" i="43"/>
  <c r="G148" i="43"/>
  <c r="F148" i="43"/>
  <c r="E148" i="43"/>
  <c r="D148" i="43"/>
  <c r="C148" i="43"/>
  <c r="B148" i="43"/>
  <c r="A148" i="43"/>
  <c r="G147" i="43"/>
  <c r="F147" i="43"/>
  <c r="E147" i="43"/>
  <c r="D147" i="43"/>
  <c r="C147" i="43"/>
  <c r="B147" i="43"/>
  <c r="A147" i="43"/>
  <c r="G146" i="43"/>
  <c r="F146" i="43"/>
  <c r="E146" i="43"/>
  <c r="D146" i="43"/>
  <c r="C146" i="43"/>
  <c r="B146" i="43"/>
  <c r="A146" i="43"/>
  <c r="G145" i="43"/>
  <c r="F145" i="43"/>
  <c r="E145" i="43"/>
  <c r="D145" i="43"/>
  <c r="C145" i="43"/>
  <c r="B145" i="43"/>
  <c r="A145" i="43"/>
  <c r="G144" i="43"/>
  <c r="F144" i="43"/>
  <c r="E144" i="43"/>
  <c r="D144" i="43"/>
  <c r="C144" i="43"/>
  <c r="B144" i="43"/>
  <c r="A144" i="43"/>
  <c r="G143" i="43"/>
  <c r="F143" i="43"/>
  <c r="E143" i="43"/>
  <c r="D143" i="43"/>
  <c r="C143" i="43"/>
  <c r="B143" i="43"/>
  <c r="A143" i="43"/>
  <c r="G142" i="43"/>
  <c r="F142" i="43"/>
  <c r="E142" i="43"/>
  <c r="D142" i="43"/>
  <c r="C142" i="43"/>
  <c r="B142" i="43"/>
  <c r="A142" i="43"/>
  <c r="G141" i="43"/>
  <c r="F141" i="43"/>
  <c r="E141" i="43"/>
  <c r="D141" i="43"/>
  <c r="C141" i="43"/>
  <c r="B141" i="43"/>
  <c r="A141" i="43"/>
  <c r="G140" i="43"/>
  <c r="F140" i="43"/>
  <c r="E140" i="43"/>
  <c r="D140" i="43"/>
  <c r="C140" i="43"/>
  <c r="B140" i="43"/>
  <c r="A140" i="43"/>
  <c r="G139" i="43"/>
  <c r="F139" i="43"/>
  <c r="E139" i="43"/>
  <c r="D139" i="43"/>
  <c r="C139" i="43"/>
  <c r="B139" i="43"/>
  <c r="A139" i="43"/>
  <c r="G138" i="43"/>
  <c r="F138" i="43"/>
  <c r="E138" i="43"/>
  <c r="D138" i="43"/>
  <c r="C138" i="43"/>
  <c r="B138" i="43"/>
  <c r="A138" i="43"/>
  <c r="G137" i="43"/>
  <c r="F137" i="43"/>
  <c r="E137" i="43"/>
  <c r="D137" i="43"/>
  <c r="C137" i="43"/>
  <c r="B137" i="43"/>
  <c r="A137" i="43"/>
  <c r="G136" i="43"/>
  <c r="F136" i="43"/>
  <c r="E136" i="43"/>
  <c r="D136" i="43"/>
  <c r="C136" i="43"/>
  <c r="B136" i="43"/>
  <c r="A136" i="43"/>
  <c r="G135" i="43"/>
  <c r="F135" i="43"/>
  <c r="E135" i="43"/>
  <c r="D135" i="43"/>
  <c r="C135" i="43"/>
  <c r="B135" i="43"/>
  <c r="A135" i="43"/>
  <c r="G134" i="43"/>
  <c r="F134" i="43"/>
  <c r="E134" i="43"/>
  <c r="D134" i="43"/>
  <c r="C134" i="43"/>
  <c r="B134" i="43"/>
  <c r="A134" i="43"/>
  <c r="G133" i="43"/>
  <c r="F133" i="43"/>
  <c r="E133" i="43"/>
  <c r="D133" i="43"/>
  <c r="C133" i="43"/>
  <c r="B133" i="43"/>
  <c r="A133" i="43"/>
  <c r="G132" i="43"/>
  <c r="F132" i="43"/>
  <c r="E132" i="43"/>
  <c r="D132" i="43"/>
  <c r="C132" i="43"/>
  <c r="B132" i="43"/>
  <c r="A132" i="43"/>
  <c r="G131" i="43"/>
  <c r="F131" i="43"/>
  <c r="E131" i="43"/>
  <c r="D131" i="43"/>
  <c r="C131" i="43"/>
  <c r="B131" i="43"/>
  <c r="A131" i="43"/>
  <c r="G130" i="43"/>
  <c r="F130" i="43"/>
  <c r="E130" i="43"/>
  <c r="D130" i="43"/>
  <c r="C130" i="43"/>
  <c r="B130" i="43"/>
  <c r="A130" i="43"/>
  <c r="G129" i="43"/>
  <c r="F129" i="43"/>
  <c r="E129" i="43"/>
  <c r="D129" i="43"/>
  <c r="C129" i="43"/>
  <c r="B129" i="43"/>
  <c r="A129" i="43"/>
  <c r="G128" i="43"/>
  <c r="F128" i="43"/>
  <c r="E128" i="43"/>
  <c r="D128" i="43"/>
  <c r="C128" i="43"/>
  <c r="B128" i="43"/>
  <c r="A128" i="43"/>
  <c r="G127" i="43"/>
  <c r="F127" i="43"/>
  <c r="E127" i="43"/>
  <c r="D127" i="43"/>
  <c r="C127" i="43"/>
  <c r="B127" i="43"/>
  <c r="A127" i="43"/>
  <c r="G126" i="43"/>
  <c r="F126" i="43"/>
  <c r="E126" i="43"/>
  <c r="D126" i="43"/>
  <c r="C126" i="43"/>
  <c r="B126" i="43"/>
  <c r="A126" i="43"/>
  <c r="G125" i="43"/>
  <c r="F125" i="43"/>
  <c r="E125" i="43"/>
  <c r="D125" i="43"/>
  <c r="C125" i="43"/>
  <c r="B125" i="43"/>
  <c r="A125" i="43"/>
  <c r="G124" i="43"/>
  <c r="F124" i="43"/>
  <c r="E124" i="43"/>
  <c r="D124" i="43"/>
  <c r="C124" i="43"/>
  <c r="B124" i="43"/>
  <c r="A124" i="43"/>
  <c r="G123" i="43"/>
  <c r="F123" i="43"/>
  <c r="E123" i="43"/>
  <c r="D123" i="43"/>
  <c r="C123" i="43"/>
  <c r="B123" i="43"/>
  <c r="A123" i="43"/>
  <c r="G122" i="43"/>
  <c r="F122" i="43"/>
  <c r="E122" i="43"/>
  <c r="D122" i="43"/>
  <c r="C122" i="43"/>
  <c r="B122" i="43"/>
  <c r="A122" i="43"/>
  <c r="G121" i="43"/>
  <c r="F121" i="43"/>
  <c r="E121" i="43"/>
  <c r="D121" i="43"/>
  <c r="C121" i="43"/>
  <c r="B121" i="43"/>
  <c r="A121" i="43"/>
  <c r="G120" i="43"/>
  <c r="F120" i="43"/>
  <c r="E120" i="43"/>
  <c r="D120" i="43"/>
  <c r="C120" i="43"/>
  <c r="B120" i="43"/>
  <c r="A120" i="43"/>
  <c r="G119" i="43"/>
  <c r="F119" i="43"/>
  <c r="E119" i="43"/>
  <c r="D119" i="43"/>
  <c r="C119" i="43"/>
  <c r="B119" i="43"/>
  <c r="A119" i="43"/>
  <c r="G118" i="43"/>
  <c r="F118" i="43"/>
  <c r="E118" i="43"/>
  <c r="D118" i="43"/>
  <c r="C118" i="43"/>
  <c r="B118" i="43"/>
  <c r="A118" i="43"/>
  <c r="G117" i="43"/>
  <c r="F117" i="43"/>
  <c r="E117" i="43"/>
  <c r="D117" i="43"/>
  <c r="C117" i="43"/>
  <c r="B117" i="43"/>
  <c r="A117" i="43"/>
  <c r="G116" i="43"/>
  <c r="F116" i="43"/>
  <c r="E116" i="43"/>
  <c r="D116" i="43"/>
  <c r="C116" i="43"/>
  <c r="B116" i="43"/>
  <c r="A116" i="43"/>
  <c r="G115" i="43"/>
  <c r="F115" i="43"/>
  <c r="E115" i="43"/>
  <c r="D115" i="43"/>
  <c r="C115" i="43"/>
  <c r="B115" i="43"/>
  <c r="A115" i="43"/>
  <c r="G114" i="43"/>
  <c r="F114" i="43"/>
  <c r="E114" i="43"/>
  <c r="D114" i="43"/>
  <c r="C114" i="43"/>
  <c r="B114" i="43"/>
  <c r="A114" i="43"/>
  <c r="G113" i="43"/>
  <c r="F113" i="43"/>
  <c r="E113" i="43"/>
  <c r="D113" i="43"/>
  <c r="C113" i="43"/>
  <c r="B113" i="43"/>
  <c r="A113" i="43"/>
  <c r="G112" i="43"/>
  <c r="F112" i="43"/>
  <c r="E112" i="43"/>
  <c r="D112" i="43"/>
  <c r="C112" i="43"/>
  <c r="B112" i="43"/>
  <c r="A112" i="43"/>
  <c r="G111" i="43"/>
  <c r="F111" i="43"/>
  <c r="E111" i="43"/>
  <c r="D111" i="43"/>
  <c r="C111" i="43"/>
  <c r="B111" i="43"/>
  <c r="A111" i="43"/>
  <c r="G110" i="43"/>
  <c r="F110" i="43"/>
  <c r="E110" i="43"/>
  <c r="D110" i="43"/>
  <c r="C110" i="43"/>
  <c r="B110" i="43"/>
  <c r="A110" i="43"/>
  <c r="G109" i="43"/>
  <c r="F109" i="43"/>
  <c r="E109" i="43"/>
  <c r="D109" i="43"/>
  <c r="C109" i="43"/>
  <c r="B109" i="43"/>
  <c r="A109" i="43"/>
  <c r="G108" i="43"/>
  <c r="F108" i="43"/>
  <c r="E108" i="43"/>
  <c r="D108" i="43"/>
  <c r="C108" i="43"/>
  <c r="B108" i="43"/>
  <c r="A108" i="43"/>
  <c r="G107" i="43"/>
  <c r="F107" i="43"/>
  <c r="E107" i="43"/>
  <c r="D107" i="43"/>
  <c r="C107" i="43"/>
  <c r="B107" i="43"/>
  <c r="A107" i="43"/>
  <c r="G106" i="43"/>
  <c r="F106" i="43"/>
  <c r="E106" i="43"/>
  <c r="D106" i="43"/>
  <c r="C106" i="43"/>
  <c r="B106" i="43"/>
  <c r="A106" i="43"/>
  <c r="G105" i="43"/>
  <c r="F105" i="43"/>
  <c r="E105" i="43"/>
  <c r="D105" i="43"/>
  <c r="C105" i="43"/>
  <c r="B105" i="43"/>
  <c r="A105" i="43"/>
  <c r="G104" i="43"/>
  <c r="F104" i="43"/>
  <c r="E104" i="43"/>
  <c r="D104" i="43"/>
  <c r="C104" i="43"/>
  <c r="B104" i="43"/>
  <c r="A104" i="43"/>
  <c r="G103" i="43"/>
  <c r="F103" i="43"/>
  <c r="E103" i="43"/>
  <c r="D103" i="43"/>
  <c r="C103" i="43"/>
  <c r="B103" i="43"/>
  <c r="A103" i="43"/>
  <c r="G102" i="43"/>
  <c r="F102" i="43"/>
  <c r="E102" i="43"/>
  <c r="D102" i="43"/>
  <c r="C102" i="43"/>
  <c r="B102" i="43"/>
  <c r="A102" i="43"/>
  <c r="G101" i="43"/>
  <c r="F101" i="43"/>
  <c r="E101" i="43"/>
  <c r="D101" i="43"/>
  <c r="C101" i="43"/>
  <c r="B101" i="43"/>
  <c r="A101" i="43"/>
  <c r="G100" i="43"/>
  <c r="F100" i="43"/>
  <c r="E100" i="43"/>
  <c r="D100" i="43"/>
  <c r="C100" i="43"/>
  <c r="B100" i="43"/>
  <c r="A100" i="43"/>
  <c r="G99" i="43"/>
  <c r="F99" i="43"/>
  <c r="E99" i="43"/>
  <c r="D99" i="43"/>
  <c r="C99" i="43"/>
  <c r="B99" i="43"/>
  <c r="A99" i="43"/>
  <c r="G98" i="43"/>
  <c r="F98" i="43"/>
  <c r="E98" i="43"/>
  <c r="D98" i="43"/>
  <c r="C98" i="43"/>
  <c r="B98" i="43"/>
  <c r="A98" i="43"/>
  <c r="G97" i="43"/>
  <c r="F97" i="43"/>
  <c r="E97" i="43"/>
  <c r="D97" i="43"/>
  <c r="C97" i="43"/>
  <c r="B97" i="43"/>
  <c r="A97" i="43"/>
  <c r="G96" i="43"/>
  <c r="F96" i="43"/>
  <c r="E96" i="43"/>
  <c r="D96" i="43"/>
  <c r="C96" i="43"/>
  <c r="B96" i="43"/>
  <c r="A96" i="43"/>
  <c r="G95" i="43"/>
  <c r="F95" i="43"/>
  <c r="E95" i="43"/>
  <c r="D95" i="43"/>
  <c r="C95" i="43"/>
  <c r="B95" i="43"/>
  <c r="A95" i="43"/>
  <c r="G94" i="43"/>
  <c r="F94" i="43"/>
  <c r="E94" i="43"/>
  <c r="D94" i="43"/>
  <c r="C94" i="43"/>
  <c r="B94" i="43"/>
  <c r="A94" i="43"/>
  <c r="G93" i="43"/>
  <c r="F93" i="43"/>
  <c r="E93" i="43"/>
  <c r="D93" i="43"/>
  <c r="C93" i="43"/>
  <c r="B93" i="43"/>
  <c r="A93" i="43"/>
  <c r="G92" i="43"/>
  <c r="F92" i="43"/>
  <c r="E92" i="43"/>
  <c r="D92" i="43"/>
  <c r="C92" i="43"/>
  <c r="B92" i="43"/>
  <c r="A92" i="43"/>
  <c r="G91" i="43"/>
  <c r="F91" i="43"/>
  <c r="E91" i="43"/>
  <c r="D91" i="43"/>
  <c r="C91" i="43"/>
  <c r="B91" i="43"/>
  <c r="A91" i="43"/>
  <c r="G90" i="43"/>
  <c r="F90" i="43"/>
  <c r="E90" i="43"/>
  <c r="D90" i="43"/>
  <c r="C90" i="43"/>
  <c r="B90" i="43"/>
  <c r="A90" i="43"/>
  <c r="G89" i="43"/>
  <c r="F89" i="43"/>
  <c r="E89" i="43"/>
  <c r="D89" i="43"/>
  <c r="C89" i="43"/>
  <c r="B89" i="43"/>
  <c r="A89" i="43"/>
  <c r="G88" i="43"/>
  <c r="F88" i="43"/>
  <c r="E88" i="43"/>
  <c r="D88" i="43"/>
  <c r="C88" i="43"/>
  <c r="B88" i="43"/>
  <c r="A88" i="43"/>
  <c r="G87" i="43"/>
  <c r="F87" i="43"/>
  <c r="E87" i="43"/>
  <c r="D87" i="43"/>
  <c r="C87" i="43"/>
  <c r="B87" i="43"/>
  <c r="A87" i="43"/>
  <c r="G86" i="43"/>
  <c r="F86" i="43"/>
  <c r="E86" i="43"/>
  <c r="D86" i="43"/>
  <c r="C86" i="43"/>
  <c r="B86" i="43"/>
  <c r="A86" i="43"/>
  <c r="G85" i="43"/>
  <c r="F85" i="43"/>
  <c r="E85" i="43"/>
  <c r="D85" i="43"/>
  <c r="C85" i="43"/>
  <c r="B85" i="43"/>
  <c r="A85" i="43"/>
  <c r="G84" i="43"/>
  <c r="F84" i="43"/>
  <c r="E84" i="43"/>
  <c r="D84" i="43"/>
  <c r="C84" i="43"/>
  <c r="B84" i="43"/>
  <c r="A84" i="43"/>
  <c r="G83" i="43"/>
  <c r="F83" i="43"/>
  <c r="E83" i="43"/>
  <c r="D83" i="43"/>
  <c r="C83" i="43"/>
  <c r="B83" i="43"/>
  <c r="A83" i="43"/>
  <c r="G82" i="43"/>
  <c r="F82" i="43"/>
  <c r="E82" i="43"/>
  <c r="D82" i="43"/>
  <c r="C82" i="43"/>
  <c r="B82" i="43"/>
  <c r="A82" i="43"/>
  <c r="G81" i="43"/>
  <c r="F81" i="43"/>
  <c r="E81" i="43"/>
  <c r="D81" i="43"/>
  <c r="C81" i="43"/>
  <c r="B81" i="43"/>
  <c r="A81" i="43"/>
  <c r="G80" i="43"/>
  <c r="F80" i="43"/>
  <c r="E80" i="43"/>
  <c r="D80" i="43"/>
  <c r="C80" i="43"/>
  <c r="B80" i="43"/>
  <c r="A80" i="43"/>
  <c r="G79" i="43"/>
  <c r="F79" i="43"/>
  <c r="E79" i="43"/>
  <c r="D79" i="43"/>
  <c r="C79" i="43"/>
  <c r="B79" i="43"/>
  <c r="A79" i="43"/>
  <c r="G78" i="43"/>
  <c r="F78" i="43"/>
  <c r="E78" i="43"/>
  <c r="D78" i="43"/>
  <c r="C78" i="43"/>
  <c r="B78" i="43"/>
  <c r="A78" i="43"/>
  <c r="G77" i="43"/>
  <c r="F77" i="43"/>
  <c r="E77" i="43"/>
  <c r="D77" i="43"/>
  <c r="C77" i="43"/>
  <c r="B77" i="43"/>
  <c r="A77" i="43"/>
  <c r="G76" i="43"/>
  <c r="F76" i="43"/>
  <c r="E76" i="43"/>
  <c r="D76" i="43"/>
  <c r="C76" i="43"/>
  <c r="B76" i="43"/>
  <c r="A76" i="43"/>
  <c r="G75" i="43"/>
  <c r="F75" i="43"/>
  <c r="E75" i="43"/>
  <c r="D75" i="43"/>
  <c r="C75" i="43"/>
  <c r="B75" i="43"/>
  <c r="A75" i="43"/>
  <c r="G74" i="43"/>
  <c r="F74" i="43"/>
  <c r="E74" i="43"/>
  <c r="D74" i="43"/>
  <c r="C74" i="43"/>
  <c r="B74" i="43"/>
  <c r="A74" i="43"/>
  <c r="G73" i="43"/>
  <c r="F73" i="43"/>
  <c r="E73" i="43"/>
  <c r="D73" i="43"/>
  <c r="C73" i="43"/>
  <c r="B73" i="43"/>
  <c r="A73" i="43"/>
  <c r="G72" i="43"/>
  <c r="F72" i="43"/>
  <c r="E72" i="43"/>
  <c r="D72" i="43"/>
  <c r="C72" i="43"/>
  <c r="B72" i="43"/>
  <c r="A72" i="43"/>
  <c r="G71" i="43"/>
  <c r="F71" i="43"/>
  <c r="E71" i="43"/>
  <c r="D71" i="43"/>
  <c r="C71" i="43"/>
  <c r="B71" i="43"/>
  <c r="A71" i="43"/>
  <c r="G70" i="43"/>
  <c r="F70" i="43"/>
  <c r="E70" i="43"/>
  <c r="D70" i="43"/>
  <c r="C70" i="43"/>
  <c r="B70" i="43"/>
  <c r="A70" i="43"/>
  <c r="G69" i="43"/>
  <c r="F69" i="43"/>
  <c r="E69" i="43"/>
  <c r="D69" i="43"/>
  <c r="C69" i="43"/>
  <c r="B69" i="43"/>
  <c r="A69" i="43"/>
  <c r="G68" i="43"/>
  <c r="F68" i="43"/>
  <c r="E68" i="43"/>
  <c r="D68" i="43"/>
  <c r="C68" i="43"/>
  <c r="B68" i="43"/>
  <c r="A68" i="43"/>
  <c r="G67" i="43"/>
  <c r="F67" i="43"/>
  <c r="E67" i="43"/>
  <c r="D67" i="43"/>
  <c r="C67" i="43"/>
  <c r="B67" i="43"/>
  <c r="A67" i="43"/>
  <c r="G66" i="43"/>
  <c r="F66" i="43"/>
  <c r="E66" i="43"/>
  <c r="D66" i="43"/>
  <c r="C66" i="43"/>
  <c r="B66" i="43"/>
  <c r="A66" i="43"/>
  <c r="G65" i="43"/>
  <c r="F65" i="43"/>
  <c r="E65" i="43"/>
  <c r="D65" i="43"/>
  <c r="C65" i="43"/>
  <c r="B65" i="43"/>
  <c r="A65" i="43"/>
  <c r="G64" i="43"/>
  <c r="F64" i="43"/>
  <c r="E64" i="43"/>
  <c r="D64" i="43"/>
  <c r="C64" i="43"/>
  <c r="B64" i="43"/>
  <c r="A64" i="43"/>
  <c r="G63" i="43"/>
  <c r="F63" i="43"/>
  <c r="E63" i="43"/>
  <c r="D63" i="43"/>
  <c r="C63" i="43"/>
  <c r="B63" i="43"/>
  <c r="A63" i="43"/>
  <c r="G62" i="43"/>
  <c r="F62" i="43"/>
  <c r="E62" i="43"/>
  <c r="D62" i="43"/>
  <c r="C62" i="43"/>
  <c r="B62" i="43"/>
  <c r="A62" i="43"/>
  <c r="G61" i="43"/>
  <c r="F61" i="43"/>
  <c r="E61" i="43"/>
  <c r="D61" i="43"/>
  <c r="C61" i="43"/>
  <c r="B61" i="43"/>
  <c r="A61" i="43"/>
  <c r="G60" i="43"/>
  <c r="F60" i="43"/>
  <c r="E60" i="43"/>
  <c r="D60" i="43"/>
  <c r="C60" i="43"/>
  <c r="B60" i="43"/>
  <c r="A60" i="43"/>
  <c r="G59" i="43"/>
  <c r="F59" i="43"/>
  <c r="E59" i="43"/>
  <c r="D59" i="43"/>
  <c r="C59" i="43"/>
  <c r="B59" i="43"/>
  <c r="A59" i="43"/>
  <c r="G58" i="43"/>
  <c r="F58" i="43"/>
  <c r="E58" i="43"/>
  <c r="D58" i="43"/>
  <c r="C58" i="43"/>
  <c r="B58" i="43"/>
  <c r="A58" i="43"/>
  <c r="G57" i="43"/>
  <c r="F57" i="43"/>
  <c r="E57" i="43"/>
  <c r="D57" i="43"/>
  <c r="C57" i="43"/>
  <c r="B57" i="43"/>
  <c r="A57" i="43"/>
  <c r="G56" i="43"/>
  <c r="F56" i="43"/>
  <c r="E56" i="43"/>
  <c r="D56" i="43"/>
  <c r="C56" i="43"/>
  <c r="B56" i="43"/>
  <c r="A56" i="43"/>
  <c r="G55" i="43"/>
  <c r="F55" i="43"/>
  <c r="E55" i="43"/>
  <c r="D55" i="43"/>
  <c r="C55" i="43"/>
  <c r="B55" i="43"/>
  <c r="A55" i="43"/>
  <c r="G54" i="43"/>
  <c r="F54" i="43"/>
  <c r="E54" i="43"/>
  <c r="D54" i="43"/>
  <c r="C54" i="43"/>
  <c r="B54" i="43"/>
  <c r="A54" i="43"/>
  <c r="G53" i="43"/>
  <c r="F53" i="43"/>
  <c r="E53" i="43"/>
  <c r="D53" i="43"/>
  <c r="C53" i="43"/>
  <c r="B53" i="43"/>
  <c r="A53" i="43"/>
  <c r="G52" i="43"/>
  <c r="F52" i="43"/>
  <c r="E52" i="43"/>
  <c r="D52" i="43"/>
  <c r="C52" i="43"/>
  <c r="B52" i="43"/>
  <c r="A52" i="43"/>
  <c r="G51" i="43"/>
  <c r="F51" i="43"/>
  <c r="E51" i="43"/>
  <c r="D51" i="43"/>
  <c r="C51" i="43"/>
  <c r="B51" i="43"/>
  <c r="A51" i="43"/>
  <c r="G50" i="43"/>
  <c r="F50" i="43"/>
  <c r="E50" i="43"/>
  <c r="D50" i="43"/>
  <c r="C50" i="43"/>
  <c r="B50" i="43"/>
  <c r="A50" i="43"/>
  <c r="G49" i="43"/>
  <c r="F49" i="43"/>
  <c r="E49" i="43"/>
  <c r="D49" i="43"/>
  <c r="C49" i="43"/>
  <c r="B49" i="43"/>
  <c r="A49" i="43"/>
  <c r="G48" i="43"/>
  <c r="F48" i="43"/>
  <c r="E48" i="43"/>
  <c r="D48" i="43"/>
  <c r="C48" i="43"/>
  <c r="B48" i="43"/>
  <c r="A48" i="43"/>
  <c r="G47" i="43"/>
  <c r="F47" i="43"/>
  <c r="E47" i="43"/>
  <c r="D47" i="43"/>
  <c r="C47" i="43"/>
  <c r="B47" i="43"/>
  <c r="A47" i="43"/>
  <c r="G46" i="43"/>
  <c r="F46" i="43"/>
  <c r="E46" i="43"/>
  <c r="D46" i="43"/>
  <c r="C46" i="43"/>
  <c r="B46" i="43"/>
  <c r="A46" i="43"/>
  <c r="G45" i="43"/>
  <c r="F45" i="43"/>
  <c r="E45" i="43"/>
  <c r="D45" i="43"/>
  <c r="C45" i="43"/>
  <c r="B45" i="43"/>
  <c r="A45" i="43"/>
  <c r="G44" i="43"/>
  <c r="F44" i="43"/>
  <c r="E44" i="43"/>
  <c r="D44" i="43"/>
  <c r="C44" i="43"/>
  <c r="B44" i="43"/>
  <c r="A44" i="43"/>
  <c r="G43" i="43"/>
  <c r="F43" i="43"/>
  <c r="E43" i="43"/>
  <c r="D43" i="43"/>
  <c r="C43" i="43"/>
  <c r="B43" i="43"/>
  <c r="A43" i="43"/>
  <c r="G42" i="43"/>
  <c r="F42" i="43"/>
  <c r="E42" i="43"/>
  <c r="D42" i="43"/>
  <c r="C42" i="43"/>
  <c r="B42" i="43"/>
  <c r="A42" i="43"/>
  <c r="G41" i="43"/>
  <c r="F41" i="43"/>
  <c r="E41" i="43"/>
  <c r="D41" i="43"/>
  <c r="C41" i="43"/>
  <c r="B41" i="43"/>
  <c r="A41" i="43"/>
  <c r="G40" i="43"/>
  <c r="F40" i="43"/>
  <c r="E40" i="43"/>
  <c r="D40" i="43"/>
  <c r="C40" i="43"/>
  <c r="B40" i="43"/>
  <c r="A40" i="43"/>
  <c r="G39" i="43"/>
  <c r="F39" i="43"/>
  <c r="E39" i="43"/>
  <c r="D39" i="43"/>
  <c r="C39" i="43"/>
  <c r="B39" i="43"/>
  <c r="A39" i="43"/>
  <c r="G38" i="43"/>
  <c r="F38" i="43"/>
  <c r="E38" i="43"/>
  <c r="D38" i="43"/>
  <c r="C38" i="43"/>
  <c r="B38" i="43"/>
  <c r="A38" i="43"/>
  <c r="G37" i="43"/>
  <c r="F37" i="43"/>
  <c r="E37" i="43"/>
  <c r="D37" i="43"/>
  <c r="C37" i="43"/>
  <c r="B37" i="43"/>
  <c r="A37" i="43"/>
  <c r="G36" i="43"/>
  <c r="F36" i="43"/>
  <c r="E36" i="43"/>
  <c r="D36" i="43"/>
  <c r="C36" i="43"/>
  <c r="B36" i="43"/>
  <c r="A36" i="43"/>
  <c r="G35" i="43"/>
  <c r="F35" i="43"/>
  <c r="E35" i="43"/>
  <c r="D35" i="43"/>
  <c r="C35" i="43"/>
  <c r="B35" i="43"/>
  <c r="A35" i="43"/>
  <c r="G34" i="43"/>
  <c r="F34" i="43"/>
  <c r="E34" i="43"/>
  <c r="D34" i="43"/>
  <c r="C34" i="43"/>
  <c r="B34" i="43"/>
  <c r="A34" i="43"/>
  <c r="G33" i="43"/>
  <c r="F33" i="43"/>
  <c r="E33" i="43"/>
  <c r="D33" i="43"/>
  <c r="C33" i="43"/>
  <c r="B33" i="43"/>
  <c r="A33" i="43"/>
  <c r="G32" i="43"/>
  <c r="F32" i="43"/>
  <c r="E32" i="43"/>
  <c r="D32" i="43"/>
  <c r="C32" i="43"/>
  <c r="B32" i="43"/>
  <c r="A32" i="43"/>
  <c r="G31" i="43"/>
  <c r="F31" i="43"/>
  <c r="E31" i="43"/>
  <c r="D31" i="43"/>
  <c r="C31" i="43"/>
  <c r="B31" i="43"/>
  <c r="A31" i="43"/>
  <c r="G30" i="43"/>
  <c r="F30" i="43"/>
  <c r="E30" i="43"/>
  <c r="D30" i="43"/>
  <c r="C30" i="43"/>
  <c r="B30" i="43"/>
  <c r="A30" i="43"/>
  <c r="G29" i="43"/>
  <c r="F29" i="43"/>
  <c r="E29" i="43"/>
  <c r="D29" i="43"/>
  <c r="C29" i="43"/>
  <c r="B29" i="43"/>
  <c r="A29" i="43"/>
  <c r="G28" i="43"/>
  <c r="F28" i="43"/>
  <c r="E28" i="43"/>
  <c r="D28" i="43"/>
  <c r="C28" i="43"/>
  <c r="B28" i="43"/>
  <c r="A28" i="43"/>
  <c r="G27" i="43"/>
  <c r="F27" i="43"/>
  <c r="E27" i="43"/>
  <c r="D27" i="43"/>
  <c r="C27" i="43"/>
  <c r="B27" i="43"/>
  <c r="A27" i="43"/>
  <c r="G26" i="43"/>
  <c r="F26" i="43"/>
  <c r="E26" i="43"/>
  <c r="D26" i="43"/>
  <c r="C26" i="43"/>
  <c r="B26" i="43"/>
  <c r="A26" i="43"/>
  <c r="G25" i="43"/>
  <c r="F25" i="43"/>
  <c r="E25" i="43"/>
  <c r="D25" i="43"/>
  <c r="C25" i="43"/>
  <c r="B25" i="43"/>
  <c r="A25" i="43"/>
  <c r="G24" i="43"/>
  <c r="F24" i="43"/>
  <c r="E24" i="43"/>
  <c r="D24" i="43"/>
  <c r="C24" i="43"/>
  <c r="B24" i="43"/>
  <c r="A24" i="43"/>
  <c r="G23" i="43"/>
  <c r="F23" i="43"/>
  <c r="E23" i="43"/>
  <c r="D23" i="43"/>
  <c r="C23" i="43"/>
  <c r="B23" i="43"/>
  <c r="A23" i="43"/>
  <c r="G22" i="43"/>
  <c r="F22" i="43"/>
  <c r="E22" i="43"/>
  <c r="D22" i="43"/>
  <c r="C22" i="43"/>
  <c r="B22" i="43"/>
  <c r="A22" i="43"/>
  <c r="G21" i="43"/>
  <c r="F21" i="43"/>
  <c r="E21" i="43"/>
  <c r="D21" i="43"/>
  <c r="C21" i="43"/>
  <c r="B21" i="43"/>
  <c r="A21" i="43"/>
  <c r="G20" i="43"/>
  <c r="F20" i="43"/>
  <c r="E20" i="43"/>
  <c r="D20" i="43"/>
  <c r="C20" i="43"/>
  <c r="B20" i="43"/>
  <c r="A20" i="43"/>
  <c r="G19" i="43"/>
  <c r="F19" i="43"/>
  <c r="E19" i="43"/>
  <c r="D19" i="43"/>
  <c r="C19" i="43"/>
  <c r="B19" i="43"/>
  <c r="A19" i="43"/>
  <c r="G18" i="43"/>
  <c r="F18" i="43"/>
  <c r="E18" i="43"/>
  <c r="D18" i="43"/>
  <c r="C18" i="43"/>
  <c r="B18" i="43"/>
  <c r="A18" i="43"/>
  <c r="G17" i="43"/>
  <c r="F17" i="43"/>
  <c r="E17" i="43"/>
  <c r="D17" i="43"/>
  <c r="C17" i="43"/>
  <c r="B17" i="43"/>
  <c r="A17" i="43"/>
  <c r="G16" i="43"/>
  <c r="F16" i="43"/>
  <c r="E16" i="43"/>
  <c r="D16" i="43"/>
  <c r="C16" i="43"/>
  <c r="B16" i="43"/>
  <c r="A16" i="43"/>
  <c r="G15" i="43"/>
  <c r="F15" i="43"/>
  <c r="E15" i="43"/>
  <c r="D15" i="43"/>
  <c r="C15" i="43"/>
  <c r="B15" i="43"/>
  <c r="A15" i="43"/>
  <c r="G14" i="43"/>
  <c r="F14" i="43"/>
  <c r="E14" i="43"/>
  <c r="D14" i="43"/>
  <c r="C14" i="43"/>
  <c r="B14" i="43"/>
  <c r="A14" i="43"/>
  <c r="G13" i="43"/>
  <c r="F13" i="43"/>
  <c r="E13" i="43"/>
  <c r="D13" i="43"/>
  <c r="C13" i="43"/>
  <c r="B13" i="43"/>
  <c r="A13" i="43"/>
  <c r="G12" i="43"/>
  <c r="F12" i="43"/>
  <c r="E12" i="43"/>
  <c r="D12" i="43"/>
  <c r="C12" i="43"/>
  <c r="B12" i="43"/>
  <c r="A12" i="43"/>
  <c r="G11" i="43"/>
  <c r="F11" i="43"/>
  <c r="E11" i="43"/>
  <c r="D11" i="43"/>
  <c r="C11" i="43"/>
  <c r="B11" i="43"/>
  <c r="A11" i="43"/>
  <c r="G10" i="43"/>
  <c r="F10" i="43"/>
  <c r="E10" i="43"/>
  <c r="D10" i="43"/>
  <c r="C10" i="43"/>
  <c r="B10" i="43"/>
  <c r="A10" i="43"/>
  <c r="G9" i="43"/>
  <c r="F9" i="43"/>
  <c r="E9" i="43"/>
  <c r="D9" i="43"/>
  <c r="C9" i="43"/>
  <c r="B9" i="43"/>
  <c r="A9" i="43"/>
  <c r="G8" i="43"/>
  <c r="F8" i="43"/>
  <c r="E8" i="43"/>
  <c r="D8" i="43"/>
  <c r="C8" i="43"/>
  <c r="B8" i="43"/>
  <c r="A8" i="43"/>
  <c r="G7" i="43"/>
  <c r="F7" i="43"/>
  <c r="E7" i="43"/>
  <c r="D7" i="43"/>
  <c r="C7" i="43"/>
  <c r="B7" i="43"/>
  <c r="A7" i="43"/>
  <c r="G6" i="43"/>
  <c r="F6" i="43"/>
  <c r="E6" i="43"/>
  <c r="D6" i="43"/>
  <c r="C6" i="43"/>
  <c r="B6" i="43"/>
  <c r="A6" i="43"/>
  <c r="G5" i="43"/>
  <c r="F5" i="43"/>
  <c r="E5" i="43"/>
  <c r="D5" i="43"/>
  <c r="C5" i="43"/>
  <c r="B5" i="43"/>
  <c r="A5" i="43"/>
  <c r="G4" i="43"/>
  <c r="F4" i="43"/>
  <c r="E4" i="43"/>
  <c r="D4" i="43"/>
  <c r="C4" i="43"/>
  <c r="B4" i="43"/>
  <c r="A4" i="43"/>
  <c r="G3" i="43"/>
  <c r="F3" i="43"/>
  <c r="E3" i="43"/>
  <c r="D3" i="43"/>
  <c r="C3" i="43"/>
  <c r="B3" i="43"/>
  <c r="A3" i="43"/>
  <c r="G2" i="43"/>
  <c r="F2" i="43"/>
  <c r="E2" i="43"/>
  <c r="D2" i="43"/>
  <c r="C2" i="43"/>
  <c r="B2" i="43"/>
  <c r="A2" i="43"/>
  <c r="G1" i="43"/>
  <c r="F1" i="43"/>
  <c r="E1" i="43"/>
  <c r="D1" i="43"/>
  <c r="C1" i="43"/>
  <c r="B1" i="43"/>
  <c r="A1" i="43"/>
  <c r="G183" i="42"/>
  <c r="F183" i="42"/>
  <c r="E183" i="42"/>
  <c r="D183" i="42"/>
  <c r="C183" i="42"/>
  <c r="B183" i="42"/>
  <c r="A183" i="42"/>
  <c r="G182" i="42"/>
  <c r="F182" i="42"/>
  <c r="E182" i="42"/>
  <c r="D182" i="42"/>
  <c r="C182" i="42"/>
  <c r="B182" i="42"/>
  <c r="A182" i="42"/>
  <c r="G181" i="42"/>
  <c r="F181" i="42"/>
  <c r="E181" i="42"/>
  <c r="D181" i="42"/>
  <c r="C181" i="42"/>
  <c r="B181" i="42"/>
  <c r="A181" i="42"/>
  <c r="G180" i="42"/>
  <c r="F180" i="42"/>
  <c r="E180" i="42"/>
  <c r="D180" i="42"/>
  <c r="C180" i="42"/>
  <c r="B180" i="42"/>
  <c r="A180" i="42"/>
  <c r="G179" i="42"/>
  <c r="F179" i="42"/>
  <c r="E179" i="42"/>
  <c r="D179" i="42"/>
  <c r="C179" i="42"/>
  <c r="B179" i="42"/>
  <c r="A179" i="42"/>
  <c r="G178" i="42"/>
  <c r="F178" i="42"/>
  <c r="E178" i="42"/>
  <c r="D178" i="42"/>
  <c r="C178" i="42"/>
  <c r="B178" i="42"/>
  <c r="A178" i="42"/>
  <c r="G177" i="42"/>
  <c r="F177" i="42"/>
  <c r="E177" i="42"/>
  <c r="D177" i="42"/>
  <c r="C177" i="42"/>
  <c r="B177" i="42"/>
  <c r="A177" i="42"/>
  <c r="G176" i="42"/>
  <c r="F176" i="42"/>
  <c r="E176" i="42"/>
  <c r="D176" i="42"/>
  <c r="C176" i="42"/>
  <c r="B176" i="42"/>
  <c r="A176" i="42"/>
  <c r="G175" i="42"/>
  <c r="F175" i="42"/>
  <c r="E175" i="42"/>
  <c r="D175" i="42"/>
  <c r="C175" i="42"/>
  <c r="B175" i="42"/>
  <c r="A175" i="42"/>
  <c r="G174" i="42"/>
  <c r="F174" i="42"/>
  <c r="E174" i="42"/>
  <c r="D174" i="42"/>
  <c r="C174" i="42"/>
  <c r="B174" i="42"/>
  <c r="A174" i="42"/>
  <c r="G173" i="42"/>
  <c r="F173" i="42"/>
  <c r="E173" i="42"/>
  <c r="D173" i="42"/>
  <c r="C173" i="42"/>
  <c r="B173" i="42"/>
  <c r="A173" i="42"/>
  <c r="G172" i="42"/>
  <c r="F172" i="42"/>
  <c r="E172" i="42"/>
  <c r="D172" i="42"/>
  <c r="C172" i="42"/>
  <c r="B172" i="42"/>
  <c r="A172" i="42"/>
  <c r="G171" i="42"/>
  <c r="F171" i="42"/>
  <c r="E171" i="42"/>
  <c r="D171" i="42"/>
  <c r="C171" i="42"/>
  <c r="B171" i="42"/>
  <c r="A171" i="42"/>
  <c r="G170" i="42"/>
  <c r="F170" i="42"/>
  <c r="E170" i="42"/>
  <c r="D170" i="42"/>
  <c r="C170" i="42"/>
  <c r="B170" i="42"/>
  <c r="A170" i="42"/>
  <c r="G169" i="42"/>
  <c r="F169" i="42"/>
  <c r="E169" i="42"/>
  <c r="D169" i="42"/>
  <c r="C169" i="42"/>
  <c r="B169" i="42"/>
  <c r="A169" i="42"/>
  <c r="G168" i="42"/>
  <c r="F168" i="42"/>
  <c r="E168" i="42"/>
  <c r="D168" i="42"/>
  <c r="C168" i="42"/>
  <c r="B168" i="42"/>
  <c r="A168" i="42"/>
  <c r="G167" i="42"/>
  <c r="F167" i="42"/>
  <c r="E167" i="42"/>
  <c r="D167" i="42"/>
  <c r="C167" i="42"/>
  <c r="B167" i="42"/>
  <c r="A167" i="42"/>
  <c r="G166" i="42"/>
  <c r="F166" i="42"/>
  <c r="E166" i="42"/>
  <c r="D166" i="42"/>
  <c r="C166" i="42"/>
  <c r="B166" i="42"/>
  <c r="A166" i="42"/>
  <c r="G165" i="42"/>
  <c r="F165" i="42"/>
  <c r="E165" i="42"/>
  <c r="D165" i="42"/>
  <c r="C165" i="42"/>
  <c r="B165" i="42"/>
  <c r="A165" i="42"/>
  <c r="G164" i="42"/>
  <c r="F164" i="42"/>
  <c r="E164" i="42"/>
  <c r="D164" i="42"/>
  <c r="C164" i="42"/>
  <c r="B164" i="42"/>
  <c r="A164" i="42"/>
  <c r="G163" i="42"/>
  <c r="F163" i="42"/>
  <c r="E163" i="42"/>
  <c r="D163" i="42"/>
  <c r="C163" i="42"/>
  <c r="B163" i="42"/>
  <c r="A163" i="42"/>
  <c r="G162" i="42"/>
  <c r="F162" i="42"/>
  <c r="E162" i="42"/>
  <c r="D162" i="42"/>
  <c r="C162" i="42"/>
  <c r="B162" i="42"/>
  <c r="A162" i="42"/>
  <c r="G161" i="42"/>
  <c r="F161" i="42"/>
  <c r="E161" i="42"/>
  <c r="D161" i="42"/>
  <c r="C161" i="42"/>
  <c r="B161" i="42"/>
  <c r="A161" i="42"/>
  <c r="G160" i="42"/>
  <c r="F160" i="42"/>
  <c r="E160" i="42"/>
  <c r="D160" i="42"/>
  <c r="C160" i="42"/>
  <c r="B160" i="42"/>
  <c r="A160" i="42"/>
  <c r="G159" i="42"/>
  <c r="F159" i="42"/>
  <c r="E159" i="42"/>
  <c r="D159" i="42"/>
  <c r="C159" i="42"/>
  <c r="B159" i="42"/>
  <c r="A159" i="42"/>
  <c r="G158" i="42"/>
  <c r="F158" i="42"/>
  <c r="E158" i="42"/>
  <c r="D158" i="42"/>
  <c r="C158" i="42"/>
  <c r="B158" i="42"/>
  <c r="A158" i="42"/>
  <c r="G157" i="42"/>
  <c r="F157" i="42"/>
  <c r="E157" i="42"/>
  <c r="D157" i="42"/>
  <c r="C157" i="42"/>
  <c r="B157" i="42"/>
  <c r="A157" i="42"/>
  <c r="G156" i="42"/>
  <c r="F156" i="42"/>
  <c r="E156" i="42"/>
  <c r="D156" i="42"/>
  <c r="C156" i="42"/>
  <c r="B156" i="42"/>
  <c r="A156" i="42"/>
  <c r="G155" i="42"/>
  <c r="F155" i="42"/>
  <c r="E155" i="42"/>
  <c r="D155" i="42"/>
  <c r="C155" i="42"/>
  <c r="B155" i="42"/>
  <c r="A155" i="42"/>
  <c r="G154" i="42"/>
  <c r="F154" i="42"/>
  <c r="E154" i="42"/>
  <c r="D154" i="42"/>
  <c r="C154" i="42"/>
  <c r="B154" i="42"/>
  <c r="A154" i="42"/>
  <c r="G153" i="42"/>
  <c r="F153" i="42"/>
  <c r="E153" i="42"/>
  <c r="D153" i="42"/>
  <c r="C153" i="42"/>
  <c r="B153" i="42"/>
  <c r="A153" i="42"/>
  <c r="G152" i="42"/>
  <c r="F152" i="42"/>
  <c r="E152" i="42"/>
  <c r="D152" i="42"/>
  <c r="C152" i="42"/>
  <c r="B152" i="42"/>
  <c r="A152" i="42"/>
  <c r="G151" i="42"/>
  <c r="F151" i="42"/>
  <c r="E151" i="42"/>
  <c r="D151" i="42"/>
  <c r="C151" i="42"/>
  <c r="B151" i="42"/>
  <c r="A151" i="42"/>
  <c r="G150" i="42"/>
  <c r="F150" i="42"/>
  <c r="E150" i="42"/>
  <c r="D150" i="42"/>
  <c r="C150" i="42"/>
  <c r="B150" i="42"/>
  <c r="A150" i="42"/>
  <c r="G149" i="42"/>
  <c r="F149" i="42"/>
  <c r="E149" i="42"/>
  <c r="D149" i="42"/>
  <c r="C149" i="42"/>
  <c r="B149" i="42"/>
  <c r="A149" i="42"/>
  <c r="G148" i="42"/>
  <c r="F148" i="42"/>
  <c r="E148" i="42"/>
  <c r="D148" i="42"/>
  <c r="C148" i="42"/>
  <c r="B148" i="42"/>
  <c r="A148" i="42"/>
  <c r="G147" i="42"/>
  <c r="F147" i="42"/>
  <c r="E147" i="42"/>
  <c r="D147" i="42"/>
  <c r="C147" i="42"/>
  <c r="B147" i="42"/>
  <c r="A147" i="42"/>
  <c r="G146" i="42"/>
  <c r="F146" i="42"/>
  <c r="E146" i="42"/>
  <c r="D146" i="42"/>
  <c r="C146" i="42"/>
  <c r="B146" i="42"/>
  <c r="A146" i="42"/>
  <c r="G145" i="42"/>
  <c r="F145" i="42"/>
  <c r="E145" i="42"/>
  <c r="D145" i="42"/>
  <c r="C145" i="42"/>
  <c r="B145" i="42"/>
  <c r="A145" i="42"/>
  <c r="G144" i="42"/>
  <c r="F144" i="42"/>
  <c r="E144" i="42"/>
  <c r="D144" i="42"/>
  <c r="C144" i="42"/>
  <c r="B144" i="42"/>
  <c r="A144" i="42"/>
  <c r="G143" i="42"/>
  <c r="F143" i="42"/>
  <c r="E143" i="42"/>
  <c r="D143" i="42"/>
  <c r="C143" i="42"/>
  <c r="B143" i="42"/>
  <c r="A143" i="42"/>
  <c r="G142" i="42"/>
  <c r="F142" i="42"/>
  <c r="E142" i="42"/>
  <c r="D142" i="42"/>
  <c r="C142" i="42"/>
  <c r="B142" i="42"/>
  <c r="A142" i="42"/>
  <c r="G141" i="42"/>
  <c r="F141" i="42"/>
  <c r="E141" i="42"/>
  <c r="D141" i="42"/>
  <c r="C141" i="42"/>
  <c r="B141" i="42"/>
  <c r="A141" i="42"/>
  <c r="G140" i="42"/>
  <c r="F140" i="42"/>
  <c r="E140" i="42"/>
  <c r="D140" i="42"/>
  <c r="C140" i="42"/>
  <c r="B140" i="42"/>
  <c r="A140" i="42"/>
  <c r="G139" i="42"/>
  <c r="F139" i="42"/>
  <c r="E139" i="42"/>
  <c r="D139" i="42"/>
  <c r="C139" i="42"/>
  <c r="B139" i="42"/>
  <c r="A139" i="42"/>
  <c r="G138" i="42"/>
  <c r="F138" i="42"/>
  <c r="E138" i="42"/>
  <c r="D138" i="42"/>
  <c r="C138" i="42"/>
  <c r="B138" i="42"/>
  <c r="A138" i="42"/>
  <c r="G137" i="42"/>
  <c r="F137" i="42"/>
  <c r="E137" i="42"/>
  <c r="D137" i="42"/>
  <c r="C137" i="42"/>
  <c r="B137" i="42"/>
  <c r="A137" i="42"/>
  <c r="G136" i="42"/>
  <c r="F136" i="42"/>
  <c r="E136" i="42"/>
  <c r="D136" i="42"/>
  <c r="C136" i="42"/>
  <c r="B136" i="42"/>
  <c r="A136" i="42"/>
  <c r="G135" i="42"/>
  <c r="F135" i="42"/>
  <c r="E135" i="42"/>
  <c r="D135" i="42"/>
  <c r="C135" i="42"/>
  <c r="B135" i="42"/>
  <c r="A135" i="42"/>
  <c r="G134" i="42"/>
  <c r="F134" i="42"/>
  <c r="E134" i="42"/>
  <c r="D134" i="42"/>
  <c r="C134" i="42"/>
  <c r="B134" i="42"/>
  <c r="A134" i="42"/>
  <c r="G133" i="42"/>
  <c r="F133" i="42"/>
  <c r="E133" i="42"/>
  <c r="D133" i="42"/>
  <c r="C133" i="42"/>
  <c r="B133" i="42"/>
  <c r="A133" i="42"/>
  <c r="G132" i="42"/>
  <c r="F132" i="42"/>
  <c r="E132" i="42"/>
  <c r="D132" i="42"/>
  <c r="C132" i="42"/>
  <c r="B132" i="42"/>
  <c r="A132" i="42"/>
  <c r="G131" i="42"/>
  <c r="F131" i="42"/>
  <c r="E131" i="42"/>
  <c r="D131" i="42"/>
  <c r="C131" i="42"/>
  <c r="B131" i="42"/>
  <c r="A131" i="42"/>
  <c r="G130" i="42"/>
  <c r="F130" i="42"/>
  <c r="E130" i="42"/>
  <c r="D130" i="42"/>
  <c r="C130" i="42"/>
  <c r="B130" i="42"/>
  <c r="A130" i="42"/>
  <c r="G129" i="42"/>
  <c r="F129" i="42"/>
  <c r="E129" i="42"/>
  <c r="D129" i="42"/>
  <c r="C129" i="42"/>
  <c r="B129" i="42"/>
  <c r="A129" i="42"/>
  <c r="G128" i="42"/>
  <c r="F128" i="42"/>
  <c r="E128" i="42"/>
  <c r="D128" i="42"/>
  <c r="C128" i="42"/>
  <c r="B128" i="42"/>
  <c r="A128" i="42"/>
  <c r="G127" i="42"/>
  <c r="F127" i="42"/>
  <c r="E127" i="42"/>
  <c r="D127" i="42"/>
  <c r="C127" i="42"/>
  <c r="B127" i="42"/>
  <c r="A127" i="42"/>
  <c r="G126" i="42"/>
  <c r="F126" i="42"/>
  <c r="E126" i="42"/>
  <c r="D126" i="42"/>
  <c r="C126" i="42"/>
  <c r="B126" i="42"/>
  <c r="A126" i="42"/>
  <c r="G125" i="42"/>
  <c r="F125" i="42"/>
  <c r="E125" i="42"/>
  <c r="D125" i="42"/>
  <c r="C125" i="42"/>
  <c r="B125" i="42"/>
  <c r="A125" i="42"/>
  <c r="G124" i="42"/>
  <c r="F124" i="42"/>
  <c r="E124" i="42"/>
  <c r="D124" i="42"/>
  <c r="C124" i="42"/>
  <c r="B124" i="42"/>
  <c r="A124" i="42"/>
  <c r="G123" i="42"/>
  <c r="F123" i="42"/>
  <c r="E123" i="42"/>
  <c r="D123" i="42"/>
  <c r="C123" i="42"/>
  <c r="B123" i="42"/>
  <c r="A123" i="42"/>
  <c r="G122" i="42"/>
  <c r="F122" i="42"/>
  <c r="E122" i="42"/>
  <c r="D122" i="42"/>
  <c r="C122" i="42"/>
  <c r="B122" i="42"/>
  <c r="A122" i="42"/>
  <c r="G121" i="42"/>
  <c r="F121" i="42"/>
  <c r="E121" i="42"/>
  <c r="D121" i="42"/>
  <c r="C121" i="42"/>
  <c r="B121" i="42"/>
  <c r="A121" i="42"/>
  <c r="G120" i="42"/>
  <c r="F120" i="42"/>
  <c r="E120" i="42"/>
  <c r="D120" i="42"/>
  <c r="C120" i="42"/>
  <c r="B120" i="42"/>
  <c r="A120" i="42"/>
  <c r="G119" i="42"/>
  <c r="F119" i="42"/>
  <c r="E119" i="42"/>
  <c r="D119" i="42"/>
  <c r="C119" i="42"/>
  <c r="B119" i="42"/>
  <c r="A119" i="42"/>
  <c r="G118" i="42"/>
  <c r="F118" i="42"/>
  <c r="E118" i="42"/>
  <c r="D118" i="42"/>
  <c r="C118" i="42"/>
  <c r="B118" i="42"/>
  <c r="A118" i="42"/>
  <c r="G117" i="42"/>
  <c r="F117" i="42"/>
  <c r="E117" i="42"/>
  <c r="D117" i="42"/>
  <c r="C117" i="42"/>
  <c r="B117" i="42"/>
  <c r="A117" i="42"/>
  <c r="G116" i="42"/>
  <c r="F116" i="42"/>
  <c r="E116" i="42"/>
  <c r="D116" i="42"/>
  <c r="C116" i="42"/>
  <c r="B116" i="42"/>
  <c r="A116" i="42"/>
  <c r="G115" i="42"/>
  <c r="F115" i="42"/>
  <c r="E115" i="42"/>
  <c r="D115" i="42"/>
  <c r="C115" i="42"/>
  <c r="B115" i="42"/>
  <c r="A115" i="42"/>
  <c r="G114" i="42"/>
  <c r="F114" i="42"/>
  <c r="E114" i="42"/>
  <c r="D114" i="42"/>
  <c r="C114" i="42"/>
  <c r="B114" i="42"/>
  <c r="A114" i="42"/>
  <c r="G113" i="42"/>
  <c r="F113" i="42"/>
  <c r="E113" i="42"/>
  <c r="D113" i="42"/>
  <c r="C113" i="42"/>
  <c r="B113" i="42"/>
  <c r="A113" i="42"/>
  <c r="G112" i="42"/>
  <c r="F112" i="42"/>
  <c r="E112" i="42"/>
  <c r="D112" i="42"/>
  <c r="C112" i="42"/>
  <c r="B112" i="42"/>
  <c r="A112" i="42"/>
  <c r="G111" i="42"/>
  <c r="F111" i="42"/>
  <c r="E111" i="42"/>
  <c r="D111" i="42"/>
  <c r="C111" i="42"/>
  <c r="B111" i="42"/>
  <c r="A111" i="42"/>
  <c r="G110" i="42"/>
  <c r="F110" i="42"/>
  <c r="E110" i="42"/>
  <c r="D110" i="42"/>
  <c r="C110" i="42"/>
  <c r="B110" i="42"/>
  <c r="A110" i="42"/>
  <c r="G109" i="42"/>
  <c r="F109" i="42"/>
  <c r="E109" i="42"/>
  <c r="D109" i="42"/>
  <c r="C109" i="42"/>
  <c r="B109" i="42"/>
  <c r="A109" i="42"/>
  <c r="G108" i="42"/>
  <c r="F108" i="42"/>
  <c r="E108" i="42"/>
  <c r="D108" i="42"/>
  <c r="C108" i="42"/>
  <c r="B108" i="42"/>
  <c r="A108" i="42"/>
  <c r="G107" i="42"/>
  <c r="F107" i="42"/>
  <c r="E107" i="42"/>
  <c r="D107" i="42"/>
  <c r="C107" i="42"/>
  <c r="B107" i="42"/>
  <c r="A107" i="42"/>
  <c r="G106" i="42"/>
  <c r="F106" i="42"/>
  <c r="E106" i="42"/>
  <c r="D106" i="42"/>
  <c r="C106" i="42"/>
  <c r="B106" i="42"/>
  <c r="A106" i="42"/>
  <c r="G105" i="42"/>
  <c r="F105" i="42"/>
  <c r="E105" i="42"/>
  <c r="D105" i="42"/>
  <c r="C105" i="42"/>
  <c r="B105" i="42"/>
  <c r="A105" i="42"/>
  <c r="G104" i="42"/>
  <c r="F104" i="42"/>
  <c r="E104" i="42"/>
  <c r="D104" i="42"/>
  <c r="C104" i="42"/>
  <c r="B104" i="42"/>
  <c r="A104" i="42"/>
  <c r="G103" i="42"/>
  <c r="F103" i="42"/>
  <c r="E103" i="42"/>
  <c r="D103" i="42"/>
  <c r="C103" i="42"/>
  <c r="B103" i="42"/>
  <c r="A103" i="42"/>
  <c r="G102" i="42"/>
  <c r="F102" i="42"/>
  <c r="E102" i="42"/>
  <c r="D102" i="42"/>
  <c r="C102" i="42"/>
  <c r="B102" i="42"/>
  <c r="A102" i="42"/>
  <c r="G101" i="42"/>
  <c r="F101" i="42"/>
  <c r="E101" i="42"/>
  <c r="D101" i="42"/>
  <c r="C101" i="42"/>
  <c r="B101" i="42"/>
  <c r="A101" i="42"/>
  <c r="G100" i="42"/>
  <c r="F100" i="42"/>
  <c r="E100" i="42"/>
  <c r="D100" i="42"/>
  <c r="C100" i="42"/>
  <c r="B100" i="42"/>
  <c r="A100" i="42"/>
  <c r="G99" i="42"/>
  <c r="F99" i="42"/>
  <c r="E99" i="42"/>
  <c r="D99" i="42"/>
  <c r="C99" i="42"/>
  <c r="B99" i="42"/>
  <c r="A99" i="42"/>
  <c r="G98" i="42"/>
  <c r="F98" i="42"/>
  <c r="E98" i="42"/>
  <c r="D98" i="42"/>
  <c r="C98" i="42"/>
  <c r="B98" i="42"/>
  <c r="A98" i="42"/>
  <c r="G97" i="42"/>
  <c r="F97" i="42"/>
  <c r="E97" i="42"/>
  <c r="D97" i="42"/>
  <c r="C97" i="42"/>
  <c r="B97" i="42"/>
  <c r="A97" i="42"/>
  <c r="G96" i="42"/>
  <c r="F96" i="42"/>
  <c r="E96" i="42"/>
  <c r="D96" i="42"/>
  <c r="C96" i="42"/>
  <c r="B96" i="42"/>
  <c r="A96" i="42"/>
  <c r="G95" i="42"/>
  <c r="F95" i="42"/>
  <c r="E95" i="42"/>
  <c r="D95" i="42"/>
  <c r="C95" i="42"/>
  <c r="B95" i="42"/>
  <c r="A95" i="42"/>
  <c r="G94" i="42"/>
  <c r="F94" i="42"/>
  <c r="E94" i="42"/>
  <c r="D94" i="42"/>
  <c r="C94" i="42"/>
  <c r="B94" i="42"/>
  <c r="A94" i="42"/>
  <c r="G93" i="42"/>
  <c r="F93" i="42"/>
  <c r="E93" i="42"/>
  <c r="D93" i="42"/>
  <c r="C93" i="42"/>
  <c r="B93" i="42"/>
  <c r="A93" i="42"/>
  <c r="G92" i="42"/>
  <c r="F92" i="42"/>
  <c r="E92" i="42"/>
  <c r="D92" i="42"/>
  <c r="C92" i="42"/>
  <c r="B92" i="42"/>
  <c r="A92" i="42"/>
  <c r="G91" i="42"/>
  <c r="F91" i="42"/>
  <c r="E91" i="42"/>
  <c r="D91" i="42"/>
  <c r="C91" i="42"/>
  <c r="B91" i="42"/>
  <c r="A91" i="42"/>
  <c r="G90" i="42"/>
  <c r="F90" i="42"/>
  <c r="E90" i="42"/>
  <c r="D90" i="42"/>
  <c r="C90" i="42"/>
  <c r="B90" i="42"/>
  <c r="A90" i="42"/>
  <c r="G89" i="42"/>
  <c r="F89" i="42"/>
  <c r="E89" i="42"/>
  <c r="D89" i="42"/>
  <c r="C89" i="42"/>
  <c r="B89" i="42"/>
  <c r="A89" i="42"/>
  <c r="G88" i="42"/>
  <c r="F88" i="42"/>
  <c r="E88" i="42"/>
  <c r="D88" i="42"/>
  <c r="C88" i="42"/>
  <c r="B88" i="42"/>
  <c r="A88" i="42"/>
  <c r="G87" i="42"/>
  <c r="F87" i="42"/>
  <c r="E87" i="42"/>
  <c r="D87" i="42"/>
  <c r="C87" i="42"/>
  <c r="B87" i="42"/>
  <c r="A87" i="42"/>
  <c r="G86" i="42"/>
  <c r="F86" i="42"/>
  <c r="E86" i="42"/>
  <c r="D86" i="42"/>
  <c r="C86" i="42"/>
  <c r="B86" i="42"/>
  <c r="A86" i="42"/>
  <c r="G85" i="42"/>
  <c r="F85" i="42"/>
  <c r="E85" i="42"/>
  <c r="D85" i="42"/>
  <c r="C85" i="42"/>
  <c r="B85" i="42"/>
  <c r="A85" i="42"/>
  <c r="G84" i="42"/>
  <c r="F84" i="42"/>
  <c r="E84" i="42"/>
  <c r="D84" i="42"/>
  <c r="C84" i="42"/>
  <c r="B84" i="42"/>
  <c r="A84" i="42"/>
  <c r="G83" i="42"/>
  <c r="F83" i="42"/>
  <c r="E83" i="42"/>
  <c r="D83" i="42"/>
  <c r="C83" i="42"/>
  <c r="B83" i="42"/>
  <c r="A83" i="42"/>
  <c r="G82" i="42"/>
  <c r="F82" i="42"/>
  <c r="E82" i="42"/>
  <c r="D82" i="42"/>
  <c r="C82" i="42"/>
  <c r="B82" i="42"/>
  <c r="A82" i="42"/>
  <c r="G81" i="42"/>
  <c r="F81" i="42"/>
  <c r="E81" i="42"/>
  <c r="D81" i="42"/>
  <c r="C81" i="42"/>
  <c r="B81" i="42"/>
  <c r="A81" i="42"/>
  <c r="G80" i="42"/>
  <c r="F80" i="42"/>
  <c r="E80" i="42"/>
  <c r="D80" i="42"/>
  <c r="C80" i="42"/>
  <c r="B80" i="42"/>
  <c r="A80" i="42"/>
  <c r="G79" i="42"/>
  <c r="F79" i="42"/>
  <c r="E79" i="42"/>
  <c r="D79" i="42"/>
  <c r="C79" i="42"/>
  <c r="B79" i="42"/>
  <c r="A79" i="42"/>
  <c r="G78" i="42"/>
  <c r="F78" i="42"/>
  <c r="E78" i="42"/>
  <c r="D78" i="42"/>
  <c r="C78" i="42"/>
  <c r="B78" i="42"/>
  <c r="A78" i="42"/>
  <c r="G77" i="42"/>
  <c r="F77" i="42"/>
  <c r="E77" i="42"/>
  <c r="D77" i="42"/>
  <c r="C77" i="42"/>
  <c r="B77" i="42"/>
  <c r="A77" i="42"/>
  <c r="G76" i="42"/>
  <c r="F76" i="42"/>
  <c r="E76" i="42"/>
  <c r="D76" i="42"/>
  <c r="C76" i="42"/>
  <c r="B76" i="42"/>
  <c r="A76" i="42"/>
  <c r="G75" i="42"/>
  <c r="F75" i="42"/>
  <c r="E75" i="42"/>
  <c r="D75" i="42"/>
  <c r="C75" i="42"/>
  <c r="B75" i="42"/>
  <c r="A75" i="42"/>
  <c r="G74" i="42"/>
  <c r="F74" i="42"/>
  <c r="E74" i="42"/>
  <c r="D74" i="42"/>
  <c r="C74" i="42"/>
  <c r="B74" i="42"/>
  <c r="A74" i="42"/>
  <c r="G73" i="42"/>
  <c r="F73" i="42"/>
  <c r="E73" i="42"/>
  <c r="D73" i="42"/>
  <c r="C73" i="42"/>
  <c r="B73" i="42"/>
  <c r="A73" i="42"/>
  <c r="G72" i="42"/>
  <c r="F72" i="42"/>
  <c r="E72" i="42"/>
  <c r="D72" i="42"/>
  <c r="C72" i="42"/>
  <c r="B72" i="42"/>
  <c r="A72" i="42"/>
  <c r="G71" i="42"/>
  <c r="F71" i="42"/>
  <c r="E71" i="42"/>
  <c r="D71" i="42"/>
  <c r="C71" i="42"/>
  <c r="B71" i="42"/>
  <c r="A71" i="42"/>
  <c r="G70" i="42"/>
  <c r="F70" i="42"/>
  <c r="E70" i="42"/>
  <c r="D70" i="42"/>
  <c r="C70" i="42"/>
  <c r="B70" i="42"/>
  <c r="A70" i="42"/>
  <c r="G69" i="42"/>
  <c r="F69" i="42"/>
  <c r="E69" i="42"/>
  <c r="D69" i="42"/>
  <c r="C69" i="42"/>
  <c r="B69" i="42"/>
  <c r="A69" i="42"/>
  <c r="G68" i="42"/>
  <c r="F68" i="42"/>
  <c r="E68" i="42"/>
  <c r="D68" i="42"/>
  <c r="C68" i="42"/>
  <c r="B68" i="42"/>
  <c r="A68" i="42"/>
  <c r="G67" i="42"/>
  <c r="F67" i="42"/>
  <c r="E67" i="42"/>
  <c r="D67" i="42"/>
  <c r="C67" i="42"/>
  <c r="B67" i="42"/>
  <c r="A67" i="42"/>
  <c r="G66" i="42"/>
  <c r="F66" i="42"/>
  <c r="E66" i="42"/>
  <c r="D66" i="42"/>
  <c r="C66" i="42"/>
  <c r="B66" i="42"/>
  <c r="A66" i="42"/>
  <c r="G65" i="42"/>
  <c r="F65" i="42"/>
  <c r="E65" i="42"/>
  <c r="D65" i="42"/>
  <c r="C65" i="42"/>
  <c r="B65" i="42"/>
  <c r="A65" i="42"/>
  <c r="G64" i="42"/>
  <c r="F64" i="42"/>
  <c r="E64" i="42"/>
  <c r="D64" i="42"/>
  <c r="C64" i="42"/>
  <c r="B64" i="42"/>
  <c r="A64" i="42"/>
  <c r="G63" i="42"/>
  <c r="F63" i="42"/>
  <c r="E63" i="42"/>
  <c r="D63" i="42"/>
  <c r="C63" i="42"/>
  <c r="B63" i="42"/>
  <c r="A63" i="42"/>
  <c r="G62" i="42"/>
  <c r="F62" i="42"/>
  <c r="E62" i="42"/>
  <c r="D62" i="42"/>
  <c r="C62" i="42"/>
  <c r="B62" i="42"/>
  <c r="A62" i="42"/>
  <c r="G61" i="42"/>
  <c r="F61" i="42"/>
  <c r="E61" i="42"/>
  <c r="D61" i="42"/>
  <c r="C61" i="42"/>
  <c r="B61" i="42"/>
  <c r="A61" i="42"/>
  <c r="G60" i="42"/>
  <c r="F60" i="42"/>
  <c r="E60" i="42"/>
  <c r="D60" i="42"/>
  <c r="C60" i="42"/>
  <c r="B60" i="42"/>
  <c r="A60" i="42"/>
  <c r="G59" i="42"/>
  <c r="F59" i="42"/>
  <c r="E59" i="42"/>
  <c r="D59" i="42"/>
  <c r="C59" i="42"/>
  <c r="B59" i="42"/>
  <c r="A59" i="42"/>
  <c r="G58" i="42"/>
  <c r="F58" i="42"/>
  <c r="E58" i="42"/>
  <c r="D58" i="42"/>
  <c r="C58" i="42"/>
  <c r="B58" i="42"/>
  <c r="A58" i="42"/>
  <c r="G57" i="42"/>
  <c r="F57" i="42"/>
  <c r="E57" i="42"/>
  <c r="D57" i="42"/>
  <c r="C57" i="42"/>
  <c r="B57" i="42"/>
  <c r="A57" i="42"/>
  <c r="G56" i="42"/>
  <c r="F56" i="42"/>
  <c r="E56" i="42"/>
  <c r="D56" i="42"/>
  <c r="C56" i="42"/>
  <c r="B56" i="42"/>
  <c r="A56" i="42"/>
  <c r="G55" i="42"/>
  <c r="F55" i="42"/>
  <c r="E55" i="42"/>
  <c r="D55" i="42"/>
  <c r="C55" i="42"/>
  <c r="B55" i="42"/>
  <c r="A55" i="42"/>
  <c r="G54" i="42"/>
  <c r="F54" i="42"/>
  <c r="E54" i="42"/>
  <c r="D54" i="42"/>
  <c r="C54" i="42"/>
  <c r="B54" i="42"/>
  <c r="A54" i="42"/>
  <c r="G53" i="42"/>
  <c r="F53" i="42"/>
  <c r="E53" i="42"/>
  <c r="D53" i="42"/>
  <c r="C53" i="42"/>
  <c r="B53" i="42"/>
  <c r="A53" i="42"/>
  <c r="G52" i="42"/>
  <c r="F52" i="42"/>
  <c r="E52" i="42"/>
  <c r="D52" i="42"/>
  <c r="C52" i="42"/>
  <c r="B52" i="42"/>
  <c r="A52" i="42"/>
  <c r="G51" i="42"/>
  <c r="F51" i="42"/>
  <c r="E51" i="42"/>
  <c r="D51" i="42"/>
  <c r="C51" i="42"/>
  <c r="B51" i="42"/>
  <c r="A51" i="42"/>
  <c r="G50" i="42"/>
  <c r="F50" i="42"/>
  <c r="E50" i="42"/>
  <c r="D50" i="42"/>
  <c r="C50" i="42"/>
  <c r="B50" i="42"/>
  <c r="A50" i="42"/>
  <c r="G49" i="42"/>
  <c r="F49" i="42"/>
  <c r="E49" i="42"/>
  <c r="D49" i="42"/>
  <c r="C49" i="42"/>
  <c r="B49" i="42"/>
  <c r="A49" i="42"/>
  <c r="G48" i="42"/>
  <c r="F48" i="42"/>
  <c r="E48" i="42"/>
  <c r="D48" i="42"/>
  <c r="C48" i="42"/>
  <c r="B48" i="42"/>
  <c r="A48" i="42"/>
  <c r="G47" i="42"/>
  <c r="F47" i="42"/>
  <c r="E47" i="42"/>
  <c r="D47" i="42"/>
  <c r="C47" i="42"/>
  <c r="B47" i="42"/>
  <c r="A47" i="42"/>
  <c r="G46" i="42"/>
  <c r="F46" i="42"/>
  <c r="E46" i="42"/>
  <c r="D46" i="42"/>
  <c r="C46" i="42"/>
  <c r="B46" i="42"/>
  <c r="A46" i="42"/>
  <c r="G45" i="42"/>
  <c r="F45" i="42"/>
  <c r="E45" i="42"/>
  <c r="D45" i="42"/>
  <c r="C45" i="42"/>
  <c r="B45" i="42"/>
  <c r="A45" i="42"/>
  <c r="G44" i="42"/>
  <c r="F44" i="42"/>
  <c r="E44" i="42"/>
  <c r="D44" i="42"/>
  <c r="C44" i="42"/>
  <c r="B44" i="42"/>
  <c r="A44" i="42"/>
  <c r="G43" i="42"/>
  <c r="F43" i="42"/>
  <c r="E43" i="42"/>
  <c r="D43" i="42"/>
  <c r="C43" i="42"/>
  <c r="B43" i="42"/>
  <c r="A43" i="42"/>
  <c r="G42" i="42"/>
  <c r="F42" i="42"/>
  <c r="E42" i="42"/>
  <c r="D42" i="42"/>
  <c r="C42" i="42"/>
  <c r="B42" i="42"/>
  <c r="A42" i="42"/>
  <c r="G41" i="42"/>
  <c r="F41" i="42"/>
  <c r="E41" i="42"/>
  <c r="D41" i="42"/>
  <c r="C41" i="42"/>
  <c r="B41" i="42"/>
  <c r="A41" i="42"/>
  <c r="G40" i="42"/>
  <c r="F40" i="42"/>
  <c r="E40" i="42"/>
  <c r="D40" i="42"/>
  <c r="C40" i="42"/>
  <c r="B40" i="42"/>
  <c r="A40" i="42"/>
  <c r="G39" i="42"/>
  <c r="F39" i="42"/>
  <c r="E39" i="42"/>
  <c r="D39" i="42"/>
  <c r="C39" i="42"/>
  <c r="B39" i="42"/>
  <c r="A39" i="42"/>
  <c r="G38" i="42"/>
  <c r="F38" i="42"/>
  <c r="E38" i="42"/>
  <c r="D38" i="42"/>
  <c r="C38" i="42"/>
  <c r="B38" i="42"/>
  <c r="A38" i="42"/>
  <c r="G37" i="42"/>
  <c r="F37" i="42"/>
  <c r="E37" i="42"/>
  <c r="D37" i="42"/>
  <c r="C37" i="42"/>
  <c r="B37" i="42"/>
  <c r="A37" i="42"/>
  <c r="G36" i="42"/>
  <c r="F36" i="42"/>
  <c r="E36" i="42"/>
  <c r="D36" i="42"/>
  <c r="C36" i="42"/>
  <c r="B36" i="42"/>
  <c r="A36" i="42"/>
  <c r="G35" i="42"/>
  <c r="F35" i="42"/>
  <c r="E35" i="42"/>
  <c r="D35" i="42"/>
  <c r="C35" i="42"/>
  <c r="B35" i="42"/>
  <c r="A35" i="42"/>
  <c r="G34" i="42"/>
  <c r="F34" i="42"/>
  <c r="E34" i="42"/>
  <c r="D34" i="42"/>
  <c r="C34" i="42"/>
  <c r="B34" i="42"/>
  <c r="A34" i="42"/>
  <c r="G33" i="42"/>
  <c r="F33" i="42"/>
  <c r="E33" i="42"/>
  <c r="D33" i="42"/>
  <c r="C33" i="42"/>
  <c r="B33" i="42"/>
  <c r="A33" i="42"/>
  <c r="G32" i="42"/>
  <c r="F32" i="42"/>
  <c r="E32" i="42"/>
  <c r="D32" i="42"/>
  <c r="C32" i="42"/>
  <c r="B32" i="42"/>
  <c r="A32" i="42"/>
  <c r="G31" i="42"/>
  <c r="F31" i="42"/>
  <c r="E31" i="42"/>
  <c r="D31" i="42"/>
  <c r="C31" i="42"/>
  <c r="B31" i="42"/>
  <c r="A31" i="42"/>
  <c r="G30" i="42"/>
  <c r="F30" i="42"/>
  <c r="E30" i="42"/>
  <c r="D30" i="42"/>
  <c r="C30" i="42"/>
  <c r="B30" i="42"/>
  <c r="A30" i="42"/>
  <c r="G29" i="42"/>
  <c r="F29" i="42"/>
  <c r="E29" i="42"/>
  <c r="D29" i="42"/>
  <c r="C29" i="42"/>
  <c r="B29" i="42"/>
  <c r="A29" i="42"/>
  <c r="G28" i="42"/>
  <c r="F28" i="42"/>
  <c r="E28" i="42"/>
  <c r="D28" i="42"/>
  <c r="C28" i="42"/>
  <c r="B28" i="42"/>
  <c r="A28" i="42"/>
  <c r="G27" i="42"/>
  <c r="F27" i="42"/>
  <c r="E27" i="42"/>
  <c r="D27" i="42"/>
  <c r="C27" i="42"/>
  <c r="B27" i="42"/>
  <c r="A27" i="42"/>
  <c r="G26" i="42"/>
  <c r="F26" i="42"/>
  <c r="E26" i="42"/>
  <c r="D26" i="42"/>
  <c r="C26" i="42"/>
  <c r="B26" i="42"/>
  <c r="A26" i="42"/>
  <c r="G25" i="42"/>
  <c r="F25" i="42"/>
  <c r="E25" i="42"/>
  <c r="D25" i="42"/>
  <c r="C25" i="42"/>
  <c r="B25" i="42"/>
  <c r="A25" i="42"/>
  <c r="G24" i="42"/>
  <c r="F24" i="42"/>
  <c r="E24" i="42"/>
  <c r="D24" i="42"/>
  <c r="C24" i="42"/>
  <c r="B24" i="42"/>
  <c r="A24" i="42"/>
  <c r="G23" i="42"/>
  <c r="F23" i="42"/>
  <c r="E23" i="42"/>
  <c r="D23" i="42"/>
  <c r="C23" i="42"/>
  <c r="B23" i="42"/>
  <c r="A23" i="42"/>
  <c r="G22" i="42"/>
  <c r="F22" i="42"/>
  <c r="E22" i="42"/>
  <c r="D22" i="42"/>
  <c r="C22" i="42"/>
  <c r="B22" i="42"/>
  <c r="A22" i="42"/>
  <c r="G21" i="42"/>
  <c r="F21" i="42"/>
  <c r="E21" i="42"/>
  <c r="D21" i="42"/>
  <c r="C21" i="42"/>
  <c r="B21" i="42"/>
  <c r="A21" i="42"/>
  <c r="G20" i="42"/>
  <c r="F20" i="42"/>
  <c r="E20" i="42"/>
  <c r="D20" i="42"/>
  <c r="C20" i="42"/>
  <c r="B20" i="42"/>
  <c r="A20" i="42"/>
  <c r="G19" i="42"/>
  <c r="F19" i="42"/>
  <c r="E19" i="42"/>
  <c r="D19" i="42"/>
  <c r="C19" i="42"/>
  <c r="B19" i="42"/>
  <c r="A19" i="42"/>
  <c r="G18" i="42"/>
  <c r="F18" i="42"/>
  <c r="E18" i="42"/>
  <c r="D18" i="42"/>
  <c r="C18" i="42"/>
  <c r="B18" i="42"/>
  <c r="A18" i="42"/>
  <c r="G17" i="42"/>
  <c r="F17" i="42"/>
  <c r="E17" i="42"/>
  <c r="D17" i="42"/>
  <c r="C17" i="42"/>
  <c r="B17" i="42"/>
  <c r="A17" i="42"/>
  <c r="G16" i="42"/>
  <c r="F16" i="42"/>
  <c r="E16" i="42"/>
  <c r="D16" i="42"/>
  <c r="C16" i="42"/>
  <c r="B16" i="42"/>
  <c r="A16" i="42"/>
  <c r="G15" i="42"/>
  <c r="F15" i="42"/>
  <c r="E15" i="42"/>
  <c r="D15" i="42"/>
  <c r="C15" i="42"/>
  <c r="B15" i="42"/>
  <c r="A15" i="42"/>
  <c r="G14" i="42"/>
  <c r="F14" i="42"/>
  <c r="E14" i="42"/>
  <c r="D14" i="42"/>
  <c r="C14" i="42"/>
  <c r="B14" i="42"/>
  <c r="A14" i="42"/>
  <c r="G13" i="42"/>
  <c r="F13" i="42"/>
  <c r="E13" i="42"/>
  <c r="D13" i="42"/>
  <c r="C13" i="42"/>
  <c r="B13" i="42"/>
  <c r="A13" i="42"/>
  <c r="G12" i="42"/>
  <c r="F12" i="42"/>
  <c r="E12" i="42"/>
  <c r="D12" i="42"/>
  <c r="C12" i="42"/>
  <c r="B12" i="42"/>
  <c r="A12" i="42"/>
  <c r="G11" i="42"/>
  <c r="F11" i="42"/>
  <c r="E11" i="42"/>
  <c r="D11" i="42"/>
  <c r="C11" i="42"/>
  <c r="B11" i="42"/>
  <c r="A11" i="42"/>
  <c r="G10" i="42"/>
  <c r="F10" i="42"/>
  <c r="E10" i="42"/>
  <c r="D10" i="42"/>
  <c r="C10" i="42"/>
  <c r="B10" i="42"/>
  <c r="A10" i="42"/>
  <c r="G9" i="42"/>
  <c r="F9" i="42"/>
  <c r="E9" i="42"/>
  <c r="D9" i="42"/>
  <c r="C9" i="42"/>
  <c r="B9" i="42"/>
  <c r="A9" i="42"/>
  <c r="G8" i="42"/>
  <c r="F8" i="42"/>
  <c r="E8" i="42"/>
  <c r="D8" i="42"/>
  <c r="C8" i="42"/>
  <c r="B8" i="42"/>
  <c r="A8" i="42"/>
  <c r="G7" i="42"/>
  <c r="F7" i="42"/>
  <c r="E7" i="42"/>
  <c r="D7" i="42"/>
  <c r="C7" i="42"/>
  <c r="B7" i="42"/>
  <c r="A7" i="42"/>
  <c r="G6" i="42"/>
  <c r="F6" i="42"/>
  <c r="E6" i="42"/>
  <c r="D6" i="42"/>
  <c r="C6" i="42"/>
  <c r="B6" i="42"/>
  <c r="A6" i="42"/>
  <c r="G5" i="42"/>
  <c r="F5" i="42"/>
  <c r="E5" i="42"/>
  <c r="D5" i="42"/>
  <c r="C5" i="42"/>
  <c r="B5" i="42"/>
  <c r="A5" i="42"/>
  <c r="G4" i="42"/>
  <c r="F4" i="42"/>
  <c r="E4" i="42"/>
  <c r="D4" i="42"/>
  <c r="C4" i="42"/>
  <c r="B4" i="42"/>
  <c r="A4" i="42"/>
  <c r="G3" i="42"/>
  <c r="F3" i="42"/>
  <c r="E3" i="42"/>
  <c r="D3" i="42"/>
  <c r="C3" i="42"/>
  <c r="B3" i="42"/>
  <c r="A3" i="42"/>
  <c r="G2" i="42"/>
  <c r="F2" i="42"/>
  <c r="E2" i="42"/>
  <c r="D2" i="42"/>
  <c r="C2" i="42"/>
  <c r="B2" i="42"/>
  <c r="A2" i="42"/>
  <c r="G1" i="42"/>
  <c r="F1" i="42"/>
  <c r="E1" i="42"/>
  <c r="D1" i="42"/>
  <c r="C1" i="42"/>
  <c r="B1" i="42"/>
  <c r="A1" i="42"/>
  <c r="G209" i="41"/>
  <c r="F209" i="41"/>
  <c r="E209" i="41"/>
  <c r="D209" i="41"/>
  <c r="C209" i="41"/>
  <c r="B209" i="41"/>
  <c r="A209" i="41"/>
  <c r="G208" i="41"/>
  <c r="F208" i="41"/>
  <c r="E208" i="41"/>
  <c r="D208" i="41"/>
  <c r="C208" i="41"/>
  <c r="B208" i="41"/>
  <c r="A208" i="41"/>
  <c r="G207" i="41"/>
  <c r="F207" i="41"/>
  <c r="E207" i="41"/>
  <c r="D207" i="41"/>
  <c r="C207" i="41"/>
  <c r="B207" i="41"/>
  <c r="A207" i="41"/>
  <c r="G206" i="41"/>
  <c r="F206" i="41"/>
  <c r="E206" i="41"/>
  <c r="D206" i="41"/>
  <c r="C206" i="41"/>
  <c r="B206" i="41"/>
  <c r="A206" i="41"/>
  <c r="G205" i="41"/>
  <c r="F205" i="41"/>
  <c r="E205" i="41"/>
  <c r="D205" i="41"/>
  <c r="C205" i="41"/>
  <c r="B205" i="41"/>
  <c r="A205" i="41"/>
  <c r="G204" i="41"/>
  <c r="F204" i="41"/>
  <c r="E204" i="41"/>
  <c r="D204" i="41"/>
  <c r="C204" i="41"/>
  <c r="B204" i="41"/>
  <c r="A204" i="41"/>
  <c r="G203" i="41"/>
  <c r="F203" i="41"/>
  <c r="E203" i="41"/>
  <c r="D203" i="41"/>
  <c r="C203" i="41"/>
  <c r="B203" i="41"/>
  <c r="A203" i="41"/>
  <c r="G202" i="41"/>
  <c r="F202" i="41"/>
  <c r="E202" i="41"/>
  <c r="D202" i="41"/>
  <c r="C202" i="41"/>
  <c r="B202" i="41"/>
  <c r="A202" i="41"/>
  <c r="G201" i="41"/>
  <c r="F201" i="41"/>
  <c r="E201" i="41"/>
  <c r="D201" i="41"/>
  <c r="C201" i="41"/>
  <c r="B201" i="41"/>
  <c r="A201" i="41"/>
  <c r="G200" i="41"/>
  <c r="F200" i="41"/>
  <c r="E200" i="41"/>
  <c r="D200" i="41"/>
  <c r="C200" i="41"/>
  <c r="B200" i="41"/>
  <c r="A200" i="41"/>
  <c r="G199" i="41"/>
  <c r="F199" i="41"/>
  <c r="E199" i="41"/>
  <c r="D199" i="41"/>
  <c r="C199" i="41"/>
  <c r="B199" i="41"/>
  <c r="A199" i="41"/>
  <c r="G198" i="41"/>
  <c r="F198" i="41"/>
  <c r="E198" i="41"/>
  <c r="D198" i="41"/>
  <c r="C198" i="41"/>
  <c r="B198" i="41"/>
  <c r="A198" i="41"/>
  <c r="G197" i="41"/>
  <c r="F197" i="41"/>
  <c r="E197" i="41"/>
  <c r="D197" i="41"/>
  <c r="C197" i="41"/>
  <c r="B197" i="41"/>
  <c r="A197" i="41"/>
  <c r="G196" i="41"/>
  <c r="F196" i="41"/>
  <c r="E196" i="41"/>
  <c r="D196" i="41"/>
  <c r="C196" i="41"/>
  <c r="B196" i="41"/>
  <c r="A196" i="41"/>
  <c r="G195" i="41"/>
  <c r="F195" i="41"/>
  <c r="E195" i="41"/>
  <c r="D195" i="41"/>
  <c r="C195" i="41"/>
  <c r="B195" i="41"/>
  <c r="A195" i="41"/>
  <c r="G194" i="41"/>
  <c r="F194" i="41"/>
  <c r="E194" i="41"/>
  <c r="D194" i="41"/>
  <c r="C194" i="41"/>
  <c r="B194" i="41"/>
  <c r="A194" i="41"/>
  <c r="G193" i="41"/>
  <c r="F193" i="41"/>
  <c r="E193" i="41"/>
  <c r="D193" i="41"/>
  <c r="C193" i="41"/>
  <c r="B193" i="41"/>
  <c r="A193" i="41"/>
  <c r="G192" i="41"/>
  <c r="F192" i="41"/>
  <c r="E192" i="41"/>
  <c r="D192" i="41"/>
  <c r="C192" i="41"/>
  <c r="B192" i="41"/>
  <c r="A192" i="41"/>
  <c r="G191" i="41"/>
  <c r="F191" i="41"/>
  <c r="E191" i="41"/>
  <c r="D191" i="41"/>
  <c r="C191" i="41"/>
  <c r="B191" i="41"/>
  <c r="A191" i="41"/>
  <c r="G190" i="41"/>
  <c r="F190" i="41"/>
  <c r="E190" i="41"/>
  <c r="D190" i="41"/>
  <c r="C190" i="41"/>
  <c r="B190" i="41"/>
  <c r="A190" i="41"/>
  <c r="G189" i="41"/>
  <c r="F189" i="41"/>
  <c r="E189" i="41"/>
  <c r="D189" i="41"/>
  <c r="C189" i="41"/>
  <c r="B189" i="41"/>
  <c r="A189" i="41"/>
  <c r="G188" i="41"/>
  <c r="F188" i="41"/>
  <c r="E188" i="41"/>
  <c r="D188" i="41"/>
  <c r="C188" i="41"/>
  <c r="B188" i="41"/>
  <c r="A188" i="41"/>
  <c r="G187" i="41"/>
  <c r="F187" i="41"/>
  <c r="E187" i="41"/>
  <c r="D187" i="41"/>
  <c r="C187" i="41"/>
  <c r="B187" i="41"/>
  <c r="A187" i="41"/>
  <c r="G186" i="41"/>
  <c r="F186" i="41"/>
  <c r="E186" i="41"/>
  <c r="D186" i="41"/>
  <c r="C186" i="41"/>
  <c r="B186" i="41"/>
  <c r="A186" i="41"/>
  <c r="G185" i="41"/>
  <c r="F185" i="41"/>
  <c r="E185" i="41"/>
  <c r="D185" i="41"/>
  <c r="C185" i="41"/>
  <c r="B185" i="41"/>
  <c r="A185" i="41"/>
  <c r="G184" i="41"/>
  <c r="F184" i="41"/>
  <c r="E184" i="41"/>
  <c r="D184" i="41"/>
  <c r="C184" i="41"/>
  <c r="B184" i="41"/>
  <c r="A184" i="41"/>
  <c r="G183" i="41"/>
  <c r="F183" i="41"/>
  <c r="E183" i="41"/>
  <c r="D183" i="41"/>
  <c r="C183" i="41"/>
  <c r="B183" i="41"/>
  <c r="A183" i="41"/>
  <c r="G182" i="41"/>
  <c r="F182" i="41"/>
  <c r="E182" i="41"/>
  <c r="D182" i="41"/>
  <c r="C182" i="41"/>
  <c r="B182" i="41"/>
  <c r="A182" i="41"/>
  <c r="G181" i="41"/>
  <c r="F181" i="41"/>
  <c r="E181" i="41"/>
  <c r="D181" i="41"/>
  <c r="C181" i="41"/>
  <c r="B181" i="41"/>
  <c r="A181" i="41"/>
  <c r="G180" i="41"/>
  <c r="F180" i="41"/>
  <c r="E180" i="41"/>
  <c r="D180" i="41"/>
  <c r="C180" i="41"/>
  <c r="B180" i="41"/>
  <c r="A180" i="41"/>
  <c r="G179" i="41"/>
  <c r="F179" i="41"/>
  <c r="E179" i="41"/>
  <c r="D179" i="41"/>
  <c r="C179" i="41"/>
  <c r="B179" i="41"/>
  <c r="A179" i="41"/>
  <c r="G178" i="41"/>
  <c r="F178" i="41"/>
  <c r="E178" i="41"/>
  <c r="D178" i="41"/>
  <c r="C178" i="41"/>
  <c r="B178" i="41"/>
  <c r="A178" i="41"/>
  <c r="G177" i="41"/>
  <c r="F177" i="41"/>
  <c r="E177" i="41"/>
  <c r="D177" i="41"/>
  <c r="C177" i="41"/>
  <c r="B177" i="41"/>
  <c r="A177" i="41"/>
  <c r="G176" i="41"/>
  <c r="F176" i="41"/>
  <c r="E176" i="41"/>
  <c r="D176" i="41"/>
  <c r="C176" i="41"/>
  <c r="B176" i="41"/>
  <c r="A176" i="41"/>
  <c r="G175" i="41"/>
  <c r="F175" i="41"/>
  <c r="E175" i="41"/>
  <c r="D175" i="41"/>
  <c r="C175" i="41"/>
  <c r="B175" i="41"/>
  <c r="A175" i="41"/>
  <c r="G174" i="41"/>
  <c r="F174" i="41"/>
  <c r="E174" i="41"/>
  <c r="D174" i="41"/>
  <c r="C174" i="41"/>
  <c r="B174" i="41"/>
  <c r="A174" i="41"/>
  <c r="G173" i="41"/>
  <c r="F173" i="41"/>
  <c r="E173" i="41"/>
  <c r="D173" i="41"/>
  <c r="C173" i="41"/>
  <c r="B173" i="41"/>
  <c r="A173" i="41"/>
  <c r="G172" i="41"/>
  <c r="F172" i="41"/>
  <c r="E172" i="41"/>
  <c r="D172" i="41"/>
  <c r="C172" i="41"/>
  <c r="B172" i="41"/>
  <c r="A172" i="41"/>
  <c r="G171" i="41"/>
  <c r="F171" i="41"/>
  <c r="E171" i="41"/>
  <c r="D171" i="41"/>
  <c r="C171" i="41"/>
  <c r="B171" i="41"/>
  <c r="A171" i="41"/>
  <c r="G170" i="41"/>
  <c r="F170" i="41"/>
  <c r="E170" i="41"/>
  <c r="D170" i="41"/>
  <c r="C170" i="41"/>
  <c r="B170" i="41"/>
  <c r="A170" i="41"/>
  <c r="G169" i="41"/>
  <c r="F169" i="41"/>
  <c r="E169" i="41"/>
  <c r="D169" i="41"/>
  <c r="C169" i="41"/>
  <c r="B169" i="41"/>
  <c r="A169" i="41"/>
  <c r="G168" i="41"/>
  <c r="F168" i="41"/>
  <c r="E168" i="41"/>
  <c r="D168" i="41"/>
  <c r="C168" i="41"/>
  <c r="B168" i="41"/>
  <c r="A168" i="41"/>
  <c r="G167" i="41"/>
  <c r="F167" i="41"/>
  <c r="E167" i="41"/>
  <c r="D167" i="41"/>
  <c r="C167" i="41"/>
  <c r="B167" i="41"/>
  <c r="A167" i="41"/>
  <c r="G166" i="41"/>
  <c r="F166" i="41"/>
  <c r="E166" i="41"/>
  <c r="D166" i="41"/>
  <c r="C166" i="41"/>
  <c r="B166" i="41"/>
  <c r="A166" i="41"/>
  <c r="G165" i="41"/>
  <c r="F165" i="41"/>
  <c r="E165" i="41"/>
  <c r="D165" i="41"/>
  <c r="C165" i="41"/>
  <c r="B165" i="41"/>
  <c r="A165" i="41"/>
  <c r="G164" i="41"/>
  <c r="F164" i="41"/>
  <c r="E164" i="41"/>
  <c r="D164" i="41"/>
  <c r="C164" i="41"/>
  <c r="B164" i="41"/>
  <c r="A164" i="41"/>
  <c r="G163" i="41"/>
  <c r="F163" i="41"/>
  <c r="E163" i="41"/>
  <c r="D163" i="41"/>
  <c r="C163" i="41"/>
  <c r="B163" i="41"/>
  <c r="A163" i="41"/>
  <c r="G162" i="41"/>
  <c r="F162" i="41"/>
  <c r="E162" i="41"/>
  <c r="D162" i="41"/>
  <c r="C162" i="41"/>
  <c r="B162" i="41"/>
  <c r="A162" i="41"/>
  <c r="G161" i="41"/>
  <c r="F161" i="41"/>
  <c r="E161" i="41"/>
  <c r="D161" i="41"/>
  <c r="C161" i="41"/>
  <c r="B161" i="41"/>
  <c r="A161" i="41"/>
  <c r="G160" i="41"/>
  <c r="F160" i="41"/>
  <c r="E160" i="41"/>
  <c r="D160" i="41"/>
  <c r="C160" i="41"/>
  <c r="B160" i="41"/>
  <c r="A160" i="41"/>
  <c r="G159" i="41"/>
  <c r="F159" i="41"/>
  <c r="E159" i="41"/>
  <c r="D159" i="41"/>
  <c r="C159" i="41"/>
  <c r="B159" i="41"/>
  <c r="A159" i="41"/>
  <c r="G158" i="41"/>
  <c r="F158" i="41"/>
  <c r="E158" i="41"/>
  <c r="D158" i="41"/>
  <c r="C158" i="41"/>
  <c r="B158" i="41"/>
  <c r="A158" i="41"/>
  <c r="G157" i="41"/>
  <c r="F157" i="41"/>
  <c r="E157" i="41"/>
  <c r="D157" i="41"/>
  <c r="C157" i="41"/>
  <c r="B157" i="41"/>
  <c r="A157" i="41"/>
  <c r="G156" i="41"/>
  <c r="F156" i="41"/>
  <c r="E156" i="41"/>
  <c r="D156" i="41"/>
  <c r="C156" i="41"/>
  <c r="B156" i="41"/>
  <c r="A156" i="41"/>
  <c r="G155" i="41"/>
  <c r="F155" i="41"/>
  <c r="E155" i="41"/>
  <c r="D155" i="41"/>
  <c r="C155" i="41"/>
  <c r="B155" i="41"/>
  <c r="A155" i="41"/>
  <c r="G154" i="41"/>
  <c r="F154" i="41"/>
  <c r="E154" i="41"/>
  <c r="D154" i="41"/>
  <c r="C154" i="41"/>
  <c r="B154" i="41"/>
  <c r="A154" i="41"/>
  <c r="G153" i="41"/>
  <c r="F153" i="41"/>
  <c r="E153" i="41"/>
  <c r="D153" i="41"/>
  <c r="C153" i="41"/>
  <c r="B153" i="41"/>
  <c r="A153" i="41"/>
  <c r="G152" i="41"/>
  <c r="F152" i="41"/>
  <c r="E152" i="41"/>
  <c r="D152" i="41"/>
  <c r="C152" i="41"/>
  <c r="B152" i="41"/>
  <c r="A152" i="41"/>
  <c r="G151" i="41"/>
  <c r="F151" i="41"/>
  <c r="E151" i="41"/>
  <c r="D151" i="41"/>
  <c r="C151" i="41"/>
  <c r="B151" i="41"/>
  <c r="A151" i="41"/>
  <c r="G150" i="41"/>
  <c r="F150" i="41"/>
  <c r="E150" i="41"/>
  <c r="D150" i="41"/>
  <c r="C150" i="41"/>
  <c r="B150" i="41"/>
  <c r="A150" i="41"/>
  <c r="G149" i="41"/>
  <c r="F149" i="41"/>
  <c r="E149" i="41"/>
  <c r="D149" i="41"/>
  <c r="C149" i="41"/>
  <c r="B149" i="41"/>
  <c r="A149" i="41"/>
  <c r="G148" i="41"/>
  <c r="F148" i="41"/>
  <c r="E148" i="41"/>
  <c r="D148" i="41"/>
  <c r="C148" i="41"/>
  <c r="B148" i="41"/>
  <c r="A148" i="41"/>
  <c r="G147" i="41"/>
  <c r="F147" i="41"/>
  <c r="E147" i="41"/>
  <c r="D147" i="41"/>
  <c r="C147" i="41"/>
  <c r="B147" i="41"/>
  <c r="A147" i="41"/>
  <c r="G146" i="41"/>
  <c r="F146" i="41"/>
  <c r="E146" i="41"/>
  <c r="D146" i="41"/>
  <c r="C146" i="41"/>
  <c r="B146" i="41"/>
  <c r="A146" i="41"/>
  <c r="G145" i="41"/>
  <c r="F145" i="41"/>
  <c r="E145" i="41"/>
  <c r="D145" i="41"/>
  <c r="C145" i="41"/>
  <c r="B145" i="41"/>
  <c r="A145" i="41"/>
  <c r="G144" i="41"/>
  <c r="F144" i="41"/>
  <c r="E144" i="41"/>
  <c r="D144" i="41"/>
  <c r="C144" i="41"/>
  <c r="B144" i="41"/>
  <c r="A144" i="41"/>
  <c r="G143" i="41"/>
  <c r="F143" i="41"/>
  <c r="E143" i="41"/>
  <c r="D143" i="41"/>
  <c r="C143" i="41"/>
  <c r="B143" i="41"/>
  <c r="A143" i="41"/>
  <c r="G142" i="41"/>
  <c r="F142" i="41"/>
  <c r="E142" i="41"/>
  <c r="D142" i="41"/>
  <c r="C142" i="41"/>
  <c r="B142" i="41"/>
  <c r="A142" i="41"/>
  <c r="G141" i="41"/>
  <c r="F141" i="41"/>
  <c r="E141" i="41"/>
  <c r="D141" i="41"/>
  <c r="C141" i="41"/>
  <c r="B141" i="41"/>
  <c r="A141" i="41"/>
  <c r="G140" i="41"/>
  <c r="F140" i="41"/>
  <c r="E140" i="41"/>
  <c r="D140" i="41"/>
  <c r="C140" i="41"/>
  <c r="B140" i="41"/>
  <c r="A140" i="41"/>
  <c r="G139" i="41"/>
  <c r="F139" i="41"/>
  <c r="E139" i="41"/>
  <c r="D139" i="41"/>
  <c r="C139" i="41"/>
  <c r="B139" i="41"/>
  <c r="A139" i="41"/>
  <c r="G138" i="41"/>
  <c r="F138" i="41"/>
  <c r="E138" i="41"/>
  <c r="D138" i="41"/>
  <c r="C138" i="41"/>
  <c r="B138" i="41"/>
  <c r="A138" i="41"/>
  <c r="G137" i="41"/>
  <c r="F137" i="41"/>
  <c r="E137" i="41"/>
  <c r="D137" i="41"/>
  <c r="C137" i="41"/>
  <c r="B137" i="41"/>
  <c r="A137" i="41"/>
  <c r="G136" i="41"/>
  <c r="F136" i="41"/>
  <c r="E136" i="41"/>
  <c r="D136" i="41"/>
  <c r="C136" i="41"/>
  <c r="B136" i="41"/>
  <c r="A136" i="41"/>
  <c r="G135" i="41"/>
  <c r="F135" i="41"/>
  <c r="E135" i="41"/>
  <c r="D135" i="41"/>
  <c r="C135" i="41"/>
  <c r="B135" i="41"/>
  <c r="A135" i="41"/>
  <c r="G134" i="41"/>
  <c r="F134" i="41"/>
  <c r="E134" i="41"/>
  <c r="D134" i="41"/>
  <c r="C134" i="41"/>
  <c r="B134" i="41"/>
  <c r="A134" i="41"/>
  <c r="G133" i="41"/>
  <c r="F133" i="41"/>
  <c r="E133" i="41"/>
  <c r="D133" i="41"/>
  <c r="C133" i="41"/>
  <c r="B133" i="41"/>
  <c r="A133" i="41"/>
  <c r="G132" i="41"/>
  <c r="F132" i="41"/>
  <c r="E132" i="41"/>
  <c r="D132" i="41"/>
  <c r="C132" i="41"/>
  <c r="B132" i="41"/>
  <c r="A132" i="41"/>
  <c r="G131" i="41"/>
  <c r="F131" i="41"/>
  <c r="E131" i="41"/>
  <c r="D131" i="41"/>
  <c r="C131" i="41"/>
  <c r="B131" i="41"/>
  <c r="A131" i="41"/>
  <c r="G130" i="41"/>
  <c r="F130" i="41"/>
  <c r="E130" i="41"/>
  <c r="D130" i="41"/>
  <c r="C130" i="41"/>
  <c r="B130" i="41"/>
  <c r="A130" i="41"/>
  <c r="G129" i="41"/>
  <c r="F129" i="41"/>
  <c r="E129" i="41"/>
  <c r="D129" i="41"/>
  <c r="C129" i="41"/>
  <c r="B129" i="41"/>
  <c r="A129" i="41"/>
  <c r="G128" i="41"/>
  <c r="F128" i="41"/>
  <c r="E128" i="41"/>
  <c r="D128" i="41"/>
  <c r="C128" i="41"/>
  <c r="B128" i="41"/>
  <c r="A128" i="41"/>
  <c r="G127" i="41"/>
  <c r="F127" i="41"/>
  <c r="E127" i="41"/>
  <c r="D127" i="41"/>
  <c r="C127" i="41"/>
  <c r="B127" i="41"/>
  <c r="A127" i="41"/>
  <c r="G126" i="41"/>
  <c r="F126" i="41"/>
  <c r="E126" i="41"/>
  <c r="D126" i="41"/>
  <c r="C126" i="41"/>
  <c r="B126" i="41"/>
  <c r="A126" i="41"/>
  <c r="G125" i="41"/>
  <c r="F125" i="41"/>
  <c r="E125" i="41"/>
  <c r="D125" i="41"/>
  <c r="C125" i="41"/>
  <c r="B125" i="41"/>
  <c r="A125" i="41"/>
  <c r="G124" i="41"/>
  <c r="F124" i="41"/>
  <c r="E124" i="41"/>
  <c r="D124" i="41"/>
  <c r="C124" i="41"/>
  <c r="B124" i="41"/>
  <c r="A124" i="41"/>
  <c r="G123" i="41"/>
  <c r="F123" i="41"/>
  <c r="E123" i="41"/>
  <c r="D123" i="41"/>
  <c r="C123" i="41"/>
  <c r="B123" i="41"/>
  <c r="A123" i="41"/>
  <c r="G122" i="41"/>
  <c r="F122" i="41"/>
  <c r="E122" i="41"/>
  <c r="D122" i="41"/>
  <c r="C122" i="41"/>
  <c r="B122" i="41"/>
  <c r="A122" i="41"/>
  <c r="G121" i="41"/>
  <c r="F121" i="41"/>
  <c r="E121" i="41"/>
  <c r="D121" i="41"/>
  <c r="C121" i="41"/>
  <c r="B121" i="41"/>
  <c r="A121" i="41"/>
  <c r="G120" i="41"/>
  <c r="F120" i="41"/>
  <c r="E120" i="41"/>
  <c r="D120" i="41"/>
  <c r="C120" i="41"/>
  <c r="B120" i="41"/>
  <c r="A120" i="41"/>
  <c r="G119" i="41"/>
  <c r="F119" i="41"/>
  <c r="E119" i="41"/>
  <c r="D119" i="41"/>
  <c r="C119" i="41"/>
  <c r="B119" i="41"/>
  <c r="A119" i="41"/>
  <c r="G118" i="41"/>
  <c r="F118" i="41"/>
  <c r="E118" i="41"/>
  <c r="D118" i="41"/>
  <c r="C118" i="41"/>
  <c r="B118" i="41"/>
  <c r="A118" i="41"/>
  <c r="G117" i="41"/>
  <c r="F117" i="41"/>
  <c r="E117" i="41"/>
  <c r="D117" i="41"/>
  <c r="C117" i="41"/>
  <c r="B117" i="41"/>
  <c r="A117" i="41"/>
  <c r="G116" i="41"/>
  <c r="F116" i="41"/>
  <c r="E116" i="41"/>
  <c r="D116" i="41"/>
  <c r="C116" i="41"/>
  <c r="B116" i="41"/>
  <c r="A116" i="41"/>
  <c r="G115" i="41"/>
  <c r="F115" i="41"/>
  <c r="E115" i="41"/>
  <c r="D115" i="41"/>
  <c r="C115" i="41"/>
  <c r="B115" i="41"/>
  <c r="A115" i="41"/>
  <c r="G114" i="41"/>
  <c r="F114" i="41"/>
  <c r="E114" i="41"/>
  <c r="D114" i="41"/>
  <c r="C114" i="41"/>
  <c r="B114" i="41"/>
  <c r="A114" i="41"/>
  <c r="G113" i="41"/>
  <c r="F113" i="41"/>
  <c r="E113" i="41"/>
  <c r="D113" i="41"/>
  <c r="C113" i="41"/>
  <c r="B113" i="41"/>
  <c r="A113" i="41"/>
  <c r="G112" i="41"/>
  <c r="F112" i="41"/>
  <c r="E112" i="41"/>
  <c r="D112" i="41"/>
  <c r="C112" i="41"/>
  <c r="B112" i="41"/>
  <c r="A112" i="41"/>
  <c r="G111" i="41"/>
  <c r="F111" i="41"/>
  <c r="E111" i="41"/>
  <c r="D111" i="41"/>
  <c r="C111" i="41"/>
  <c r="B111" i="41"/>
  <c r="A111" i="41"/>
  <c r="G110" i="41"/>
  <c r="F110" i="41"/>
  <c r="E110" i="41"/>
  <c r="D110" i="41"/>
  <c r="C110" i="41"/>
  <c r="B110" i="41"/>
  <c r="A110" i="41"/>
  <c r="G109" i="41"/>
  <c r="F109" i="41"/>
  <c r="E109" i="41"/>
  <c r="D109" i="41"/>
  <c r="C109" i="41"/>
  <c r="B109" i="41"/>
  <c r="A109" i="41"/>
  <c r="G108" i="41"/>
  <c r="F108" i="41"/>
  <c r="E108" i="41"/>
  <c r="D108" i="41"/>
  <c r="C108" i="41"/>
  <c r="B108" i="41"/>
  <c r="A108" i="41"/>
  <c r="G107" i="41"/>
  <c r="F107" i="41"/>
  <c r="E107" i="41"/>
  <c r="D107" i="41"/>
  <c r="C107" i="41"/>
  <c r="B107" i="41"/>
  <c r="A107" i="41"/>
  <c r="G106" i="41"/>
  <c r="F106" i="41"/>
  <c r="E106" i="41"/>
  <c r="D106" i="41"/>
  <c r="C106" i="41"/>
  <c r="B106" i="41"/>
  <c r="A106" i="41"/>
  <c r="G105" i="41"/>
  <c r="F105" i="41"/>
  <c r="E105" i="41"/>
  <c r="D105" i="41"/>
  <c r="C105" i="41"/>
  <c r="B105" i="41"/>
  <c r="A105" i="41"/>
  <c r="G104" i="41"/>
  <c r="F104" i="41"/>
  <c r="E104" i="41"/>
  <c r="D104" i="41"/>
  <c r="C104" i="41"/>
  <c r="B104" i="41"/>
  <c r="A104" i="41"/>
  <c r="G103" i="41"/>
  <c r="F103" i="41"/>
  <c r="E103" i="41"/>
  <c r="D103" i="41"/>
  <c r="C103" i="41"/>
  <c r="B103" i="41"/>
  <c r="A103" i="41"/>
  <c r="G102" i="41"/>
  <c r="F102" i="41"/>
  <c r="E102" i="41"/>
  <c r="D102" i="41"/>
  <c r="C102" i="41"/>
  <c r="B102" i="41"/>
  <c r="A102" i="41"/>
  <c r="G101" i="41"/>
  <c r="F101" i="41"/>
  <c r="E101" i="41"/>
  <c r="D101" i="41"/>
  <c r="C101" i="41"/>
  <c r="B101" i="41"/>
  <c r="A101" i="41"/>
  <c r="G100" i="41"/>
  <c r="F100" i="41"/>
  <c r="E100" i="41"/>
  <c r="D100" i="41"/>
  <c r="C100" i="41"/>
  <c r="B100" i="41"/>
  <c r="A100" i="41"/>
  <c r="G99" i="41"/>
  <c r="F99" i="41"/>
  <c r="E99" i="41"/>
  <c r="D99" i="41"/>
  <c r="C99" i="41"/>
  <c r="B99" i="41"/>
  <c r="A99" i="41"/>
  <c r="G98" i="41"/>
  <c r="F98" i="41"/>
  <c r="E98" i="41"/>
  <c r="D98" i="41"/>
  <c r="C98" i="41"/>
  <c r="B98" i="41"/>
  <c r="A98" i="41"/>
  <c r="G97" i="41"/>
  <c r="F97" i="41"/>
  <c r="E97" i="41"/>
  <c r="D97" i="41"/>
  <c r="C97" i="41"/>
  <c r="B97" i="41"/>
  <c r="A97" i="41"/>
  <c r="G96" i="41"/>
  <c r="F96" i="41"/>
  <c r="E96" i="41"/>
  <c r="D96" i="41"/>
  <c r="C96" i="41"/>
  <c r="B96" i="41"/>
  <c r="A96" i="41"/>
  <c r="G95" i="41"/>
  <c r="F95" i="41"/>
  <c r="E95" i="41"/>
  <c r="D95" i="41"/>
  <c r="C95" i="41"/>
  <c r="B95" i="41"/>
  <c r="A95" i="41"/>
  <c r="G94" i="41"/>
  <c r="F94" i="41"/>
  <c r="E94" i="41"/>
  <c r="D94" i="41"/>
  <c r="C94" i="41"/>
  <c r="B94" i="41"/>
  <c r="A94" i="41"/>
  <c r="G93" i="41"/>
  <c r="F93" i="41"/>
  <c r="E93" i="41"/>
  <c r="D93" i="41"/>
  <c r="C93" i="41"/>
  <c r="B93" i="41"/>
  <c r="A93" i="41"/>
  <c r="G92" i="41"/>
  <c r="F92" i="41"/>
  <c r="E92" i="41"/>
  <c r="D92" i="41"/>
  <c r="C92" i="41"/>
  <c r="B92" i="41"/>
  <c r="A92" i="41"/>
  <c r="G91" i="41"/>
  <c r="F91" i="41"/>
  <c r="E91" i="41"/>
  <c r="D91" i="41"/>
  <c r="C91" i="41"/>
  <c r="B91" i="41"/>
  <c r="A91" i="41"/>
  <c r="G90" i="41"/>
  <c r="F90" i="41"/>
  <c r="E90" i="41"/>
  <c r="D90" i="41"/>
  <c r="C90" i="41"/>
  <c r="B90" i="41"/>
  <c r="A90" i="41"/>
  <c r="G89" i="41"/>
  <c r="F89" i="41"/>
  <c r="E89" i="41"/>
  <c r="D89" i="41"/>
  <c r="C89" i="41"/>
  <c r="B89" i="41"/>
  <c r="A89" i="41"/>
  <c r="G88" i="41"/>
  <c r="F88" i="41"/>
  <c r="E88" i="41"/>
  <c r="D88" i="41"/>
  <c r="C88" i="41"/>
  <c r="B88" i="41"/>
  <c r="A88" i="41"/>
  <c r="G87" i="41"/>
  <c r="F87" i="41"/>
  <c r="E87" i="41"/>
  <c r="D87" i="41"/>
  <c r="C87" i="41"/>
  <c r="B87" i="41"/>
  <c r="A87" i="41"/>
  <c r="G86" i="41"/>
  <c r="F86" i="41"/>
  <c r="E86" i="41"/>
  <c r="D86" i="41"/>
  <c r="C86" i="41"/>
  <c r="B86" i="41"/>
  <c r="A86" i="41"/>
  <c r="G85" i="41"/>
  <c r="F85" i="41"/>
  <c r="E85" i="41"/>
  <c r="D85" i="41"/>
  <c r="C85" i="41"/>
  <c r="B85" i="41"/>
  <c r="A85" i="41"/>
  <c r="G84" i="41"/>
  <c r="F84" i="41"/>
  <c r="E84" i="41"/>
  <c r="D84" i="41"/>
  <c r="C84" i="41"/>
  <c r="B84" i="41"/>
  <c r="A84" i="41"/>
  <c r="G83" i="41"/>
  <c r="F83" i="41"/>
  <c r="E83" i="41"/>
  <c r="D83" i="41"/>
  <c r="C83" i="41"/>
  <c r="B83" i="41"/>
  <c r="A83" i="41"/>
  <c r="G82" i="41"/>
  <c r="F82" i="41"/>
  <c r="E82" i="41"/>
  <c r="D82" i="41"/>
  <c r="C82" i="41"/>
  <c r="B82" i="41"/>
  <c r="A82" i="41"/>
  <c r="G81" i="41"/>
  <c r="F81" i="41"/>
  <c r="E81" i="41"/>
  <c r="D81" i="41"/>
  <c r="C81" i="41"/>
  <c r="B81" i="41"/>
  <c r="A81" i="41"/>
  <c r="G80" i="41"/>
  <c r="F80" i="41"/>
  <c r="E80" i="41"/>
  <c r="D80" i="41"/>
  <c r="C80" i="41"/>
  <c r="B80" i="41"/>
  <c r="A80" i="41"/>
  <c r="G79" i="41"/>
  <c r="F79" i="41"/>
  <c r="E79" i="41"/>
  <c r="D79" i="41"/>
  <c r="C79" i="41"/>
  <c r="B79" i="41"/>
  <c r="A79" i="41"/>
  <c r="G78" i="41"/>
  <c r="F78" i="41"/>
  <c r="E78" i="41"/>
  <c r="D78" i="41"/>
  <c r="C78" i="41"/>
  <c r="B78" i="41"/>
  <c r="A78" i="41"/>
  <c r="G77" i="41"/>
  <c r="F77" i="41"/>
  <c r="E77" i="41"/>
  <c r="D77" i="41"/>
  <c r="C77" i="41"/>
  <c r="B77" i="41"/>
  <c r="A77" i="41"/>
  <c r="G76" i="41"/>
  <c r="F76" i="41"/>
  <c r="E76" i="41"/>
  <c r="D76" i="41"/>
  <c r="C76" i="41"/>
  <c r="B76" i="41"/>
  <c r="A76" i="41"/>
  <c r="G75" i="41"/>
  <c r="F75" i="41"/>
  <c r="E75" i="41"/>
  <c r="D75" i="41"/>
  <c r="C75" i="41"/>
  <c r="B75" i="41"/>
  <c r="A75" i="41"/>
  <c r="G74" i="41"/>
  <c r="F74" i="41"/>
  <c r="E74" i="41"/>
  <c r="D74" i="41"/>
  <c r="C74" i="41"/>
  <c r="B74" i="41"/>
  <c r="A74" i="41"/>
  <c r="G73" i="41"/>
  <c r="F73" i="41"/>
  <c r="E73" i="41"/>
  <c r="D73" i="41"/>
  <c r="C73" i="41"/>
  <c r="B73" i="41"/>
  <c r="A73" i="41"/>
  <c r="G72" i="41"/>
  <c r="F72" i="41"/>
  <c r="E72" i="41"/>
  <c r="D72" i="41"/>
  <c r="C72" i="41"/>
  <c r="B72" i="41"/>
  <c r="A72" i="41"/>
  <c r="G71" i="41"/>
  <c r="F71" i="41"/>
  <c r="E71" i="41"/>
  <c r="D71" i="41"/>
  <c r="C71" i="41"/>
  <c r="B71" i="41"/>
  <c r="A71" i="41"/>
  <c r="G70" i="41"/>
  <c r="F70" i="41"/>
  <c r="E70" i="41"/>
  <c r="D70" i="41"/>
  <c r="C70" i="41"/>
  <c r="B70" i="41"/>
  <c r="A70" i="41"/>
  <c r="G69" i="41"/>
  <c r="F69" i="41"/>
  <c r="E69" i="41"/>
  <c r="D69" i="41"/>
  <c r="C69" i="41"/>
  <c r="B69" i="41"/>
  <c r="A69" i="41"/>
  <c r="G68" i="41"/>
  <c r="F68" i="41"/>
  <c r="E68" i="41"/>
  <c r="D68" i="41"/>
  <c r="C68" i="41"/>
  <c r="B68" i="41"/>
  <c r="A68" i="41"/>
  <c r="G67" i="41"/>
  <c r="F67" i="41"/>
  <c r="E67" i="41"/>
  <c r="D67" i="41"/>
  <c r="C67" i="41"/>
  <c r="B67" i="41"/>
  <c r="A67" i="41"/>
  <c r="G66" i="41"/>
  <c r="F66" i="41"/>
  <c r="E66" i="41"/>
  <c r="D66" i="41"/>
  <c r="C66" i="41"/>
  <c r="B66" i="41"/>
  <c r="A66" i="41"/>
  <c r="G65" i="41"/>
  <c r="F65" i="41"/>
  <c r="E65" i="41"/>
  <c r="D65" i="41"/>
  <c r="C65" i="41"/>
  <c r="B65" i="41"/>
  <c r="A65" i="41"/>
  <c r="G64" i="41"/>
  <c r="F64" i="41"/>
  <c r="E64" i="41"/>
  <c r="D64" i="41"/>
  <c r="C64" i="41"/>
  <c r="B64" i="41"/>
  <c r="A64" i="41"/>
  <c r="G63" i="41"/>
  <c r="F63" i="41"/>
  <c r="E63" i="41"/>
  <c r="D63" i="41"/>
  <c r="C63" i="41"/>
  <c r="B63" i="41"/>
  <c r="A63" i="41"/>
  <c r="G62" i="41"/>
  <c r="F62" i="41"/>
  <c r="E62" i="41"/>
  <c r="D62" i="41"/>
  <c r="C62" i="41"/>
  <c r="B62" i="41"/>
  <c r="A62" i="41"/>
  <c r="G61" i="41"/>
  <c r="F61" i="41"/>
  <c r="E61" i="41"/>
  <c r="D61" i="41"/>
  <c r="C61" i="41"/>
  <c r="B61" i="41"/>
  <c r="A61" i="41"/>
  <c r="G60" i="41"/>
  <c r="F60" i="41"/>
  <c r="E60" i="41"/>
  <c r="D60" i="41"/>
  <c r="C60" i="41"/>
  <c r="B60" i="41"/>
  <c r="A60" i="41"/>
  <c r="G59" i="41"/>
  <c r="F59" i="41"/>
  <c r="E59" i="41"/>
  <c r="D59" i="41"/>
  <c r="C59" i="41"/>
  <c r="B59" i="41"/>
  <c r="A59" i="41"/>
  <c r="G58" i="41"/>
  <c r="F58" i="41"/>
  <c r="E58" i="41"/>
  <c r="D58" i="41"/>
  <c r="C58" i="41"/>
  <c r="B58" i="41"/>
  <c r="A58" i="41"/>
  <c r="G57" i="41"/>
  <c r="F57" i="41"/>
  <c r="E57" i="41"/>
  <c r="D57" i="41"/>
  <c r="C57" i="41"/>
  <c r="B57" i="41"/>
  <c r="A57" i="41"/>
  <c r="G56" i="41"/>
  <c r="F56" i="41"/>
  <c r="E56" i="41"/>
  <c r="D56" i="41"/>
  <c r="C56" i="41"/>
  <c r="B56" i="41"/>
  <c r="A56" i="41"/>
  <c r="G55" i="41"/>
  <c r="F55" i="41"/>
  <c r="E55" i="41"/>
  <c r="D55" i="41"/>
  <c r="C55" i="41"/>
  <c r="B55" i="41"/>
  <c r="A55" i="41"/>
  <c r="G54" i="41"/>
  <c r="F54" i="41"/>
  <c r="E54" i="41"/>
  <c r="D54" i="41"/>
  <c r="C54" i="41"/>
  <c r="B54" i="41"/>
  <c r="A54" i="41"/>
  <c r="G53" i="41"/>
  <c r="F53" i="41"/>
  <c r="E53" i="41"/>
  <c r="D53" i="41"/>
  <c r="C53" i="41"/>
  <c r="B53" i="41"/>
  <c r="A53" i="41"/>
  <c r="G52" i="41"/>
  <c r="F52" i="41"/>
  <c r="E52" i="41"/>
  <c r="D52" i="41"/>
  <c r="C52" i="41"/>
  <c r="B52" i="41"/>
  <c r="A52" i="41"/>
  <c r="G51" i="41"/>
  <c r="F51" i="41"/>
  <c r="E51" i="41"/>
  <c r="D51" i="41"/>
  <c r="C51" i="41"/>
  <c r="B51" i="41"/>
  <c r="A51" i="41"/>
  <c r="G50" i="41"/>
  <c r="F50" i="41"/>
  <c r="E50" i="41"/>
  <c r="D50" i="41"/>
  <c r="C50" i="41"/>
  <c r="B50" i="41"/>
  <c r="A50" i="41"/>
  <c r="G49" i="41"/>
  <c r="F49" i="41"/>
  <c r="E49" i="41"/>
  <c r="D49" i="41"/>
  <c r="C49" i="41"/>
  <c r="B49" i="41"/>
  <c r="A49" i="41"/>
  <c r="G48" i="41"/>
  <c r="F48" i="41"/>
  <c r="E48" i="41"/>
  <c r="D48" i="41"/>
  <c r="C48" i="41"/>
  <c r="B48" i="41"/>
  <c r="A48" i="41"/>
  <c r="G47" i="41"/>
  <c r="F47" i="41"/>
  <c r="E47" i="41"/>
  <c r="D47" i="41"/>
  <c r="C47" i="41"/>
  <c r="B47" i="41"/>
  <c r="A47" i="41"/>
  <c r="G46" i="41"/>
  <c r="F46" i="41"/>
  <c r="E46" i="41"/>
  <c r="D46" i="41"/>
  <c r="C46" i="41"/>
  <c r="B46" i="41"/>
  <c r="A46" i="41"/>
  <c r="G45" i="41"/>
  <c r="F45" i="41"/>
  <c r="E45" i="41"/>
  <c r="D45" i="41"/>
  <c r="C45" i="41"/>
  <c r="B45" i="41"/>
  <c r="A45" i="41"/>
  <c r="G44" i="41"/>
  <c r="F44" i="41"/>
  <c r="E44" i="41"/>
  <c r="D44" i="41"/>
  <c r="C44" i="41"/>
  <c r="B44" i="41"/>
  <c r="A44" i="41"/>
  <c r="G43" i="41"/>
  <c r="F43" i="41"/>
  <c r="E43" i="41"/>
  <c r="D43" i="41"/>
  <c r="C43" i="41"/>
  <c r="B43" i="41"/>
  <c r="A43" i="41"/>
  <c r="G42" i="41"/>
  <c r="F42" i="41"/>
  <c r="E42" i="41"/>
  <c r="D42" i="41"/>
  <c r="C42" i="41"/>
  <c r="B42" i="41"/>
  <c r="A42" i="41"/>
  <c r="G41" i="41"/>
  <c r="F41" i="41"/>
  <c r="E41" i="41"/>
  <c r="D41" i="41"/>
  <c r="C41" i="41"/>
  <c r="B41" i="41"/>
  <c r="A41" i="41"/>
  <c r="G40" i="41"/>
  <c r="F40" i="41"/>
  <c r="E40" i="41"/>
  <c r="D40" i="41"/>
  <c r="C40" i="41"/>
  <c r="B40" i="41"/>
  <c r="A40" i="41"/>
  <c r="G39" i="41"/>
  <c r="F39" i="41"/>
  <c r="E39" i="41"/>
  <c r="D39" i="41"/>
  <c r="C39" i="41"/>
  <c r="B39" i="41"/>
  <c r="A39" i="41"/>
  <c r="G38" i="41"/>
  <c r="F38" i="41"/>
  <c r="E38" i="41"/>
  <c r="D38" i="41"/>
  <c r="C38" i="41"/>
  <c r="B38" i="41"/>
  <c r="A38" i="41"/>
  <c r="G37" i="41"/>
  <c r="F37" i="41"/>
  <c r="E37" i="41"/>
  <c r="D37" i="41"/>
  <c r="C37" i="41"/>
  <c r="B37" i="41"/>
  <c r="A37" i="41"/>
  <c r="G36" i="41"/>
  <c r="F36" i="41"/>
  <c r="E36" i="41"/>
  <c r="D36" i="41"/>
  <c r="C36" i="41"/>
  <c r="B36" i="41"/>
  <c r="A36" i="41"/>
  <c r="G35" i="41"/>
  <c r="F35" i="41"/>
  <c r="E35" i="41"/>
  <c r="D35" i="41"/>
  <c r="C35" i="41"/>
  <c r="B35" i="41"/>
  <c r="A35" i="41"/>
  <c r="G34" i="41"/>
  <c r="F34" i="41"/>
  <c r="E34" i="41"/>
  <c r="D34" i="41"/>
  <c r="C34" i="41"/>
  <c r="B34" i="41"/>
  <c r="A34" i="41"/>
  <c r="G33" i="41"/>
  <c r="F33" i="41"/>
  <c r="E33" i="41"/>
  <c r="D33" i="41"/>
  <c r="C33" i="41"/>
  <c r="B33" i="41"/>
  <c r="A33" i="41"/>
  <c r="G32" i="41"/>
  <c r="F32" i="41"/>
  <c r="E32" i="41"/>
  <c r="D32" i="41"/>
  <c r="C32" i="41"/>
  <c r="B32" i="41"/>
  <c r="A32" i="41"/>
  <c r="G31" i="41"/>
  <c r="F31" i="41"/>
  <c r="E31" i="41"/>
  <c r="D31" i="41"/>
  <c r="C31" i="41"/>
  <c r="B31" i="41"/>
  <c r="A31" i="41"/>
  <c r="G30" i="41"/>
  <c r="F30" i="41"/>
  <c r="E30" i="41"/>
  <c r="D30" i="41"/>
  <c r="C30" i="41"/>
  <c r="B30" i="41"/>
  <c r="A30" i="41"/>
  <c r="G29" i="41"/>
  <c r="F29" i="41"/>
  <c r="E29" i="41"/>
  <c r="D29" i="41"/>
  <c r="C29" i="41"/>
  <c r="B29" i="41"/>
  <c r="A29" i="41"/>
  <c r="G28" i="41"/>
  <c r="F28" i="41"/>
  <c r="E28" i="41"/>
  <c r="D28" i="41"/>
  <c r="C28" i="41"/>
  <c r="B28" i="41"/>
  <c r="A28" i="41"/>
  <c r="G27" i="41"/>
  <c r="F27" i="41"/>
  <c r="E27" i="41"/>
  <c r="D27" i="41"/>
  <c r="C27" i="41"/>
  <c r="B27" i="41"/>
  <c r="A27" i="41"/>
  <c r="G26" i="41"/>
  <c r="F26" i="41"/>
  <c r="E26" i="41"/>
  <c r="D26" i="41"/>
  <c r="C26" i="41"/>
  <c r="B26" i="41"/>
  <c r="A26" i="41"/>
  <c r="G25" i="41"/>
  <c r="F25" i="41"/>
  <c r="E25" i="41"/>
  <c r="D25" i="41"/>
  <c r="C25" i="41"/>
  <c r="B25" i="41"/>
  <c r="A25" i="41"/>
  <c r="G24" i="41"/>
  <c r="F24" i="41"/>
  <c r="E24" i="41"/>
  <c r="D24" i="41"/>
  <c r="C24" i="41"/>
  <c r="B24" i="41"/>
  <c r="A24" i="41"/>
  <c r="G23" i="41"/>
  <c r="F23" i="41"/>
  <c r="E23" i="41"/>
  <c r="D23" i="41"/>
  <c r="C23" i="41"/>
  <c r="B23" i="41"/>
  <c r="A23" i="41"/>
  <c r="G22" i="41"/>
  <c r="F22" i="41"/>
  <c r="E22" i="41"/>
  <c r="D22" i="41"/>
  <c r="C22" i="41"/>
  <c r="B22" i="41"/>
  <c r="A22" i="41"/>
  <c r="G21" i="41"/>
  <c r="F21" i="41"/>
  <c r="E21" i="41"/>
  <c r="D21" i="41"/>
  <c r="C21" i="41"/>
  <c r="B21" i="41"/>
  <c r="A21" i="41"/>
  <c r="G20" i="41"/>
  <c r="F20" i="41"/>
  <c r="E20" i="41"/>
  <c r="D20" i="41"/>
  <c r="C20" i="41"/>
  <c r="B20" i="41"/>
  <c r="A20" i="41"/>
  <c r="G19" i="41"/>
  <c r="F19" i="41"/>
  <c r="E19" i="41"/>
  <c r="D19" i="41"/>
  <c r="C19" i="41"/>
  <c r="B19" i="41"/>
  <c r="A19" i="41"/>
  <c r="G18" i="41"/>
  <c r="F18" i="41"/>
  <c r="E18" i="41"/>
  <c r="D18" i="41"/>
  <c r="C18" i="41"/>
  <c r="B18" i="41"/>
  <c r="A18" i="41"/>
  <c r="G17" i="41"/>
  <c r="F17" i="41"/>
  <c r="E17" i="41"/>
  <c r="D17" i="41"/>
  <c r="C17" i="41"/>
  <c r="B17" i="41"/>
  <c r="A17" i="41"/>
  <c r="G16" i="41"/>
  <c r="F16" i="41"/>
  <c r="E16" i="41"/>
  <c r="D16" i="41"/>
  <c r="C16" i="41"/>
  <c r="B16" i="41"/>
  <c r="A16" i="41"/>
  <c r="G15" i="41"/>
  <c r="F15" i="41"/>
  <c r="E15" i="41"/>
  <c r="D15" i="41"/>
  <c r="C15" i="41"/>
  <c r="B15" i="41"/>
  <c r="A15" i="41"/>
  <c r="G14" i="41"/>
  <c r="F14" i="41"/>
  <c r="E14" i="41"/>
  <c r="D14" i="41"/>
  <c r="C14" i="41"/>
  <c r="B14" i="41"/>
  <c r="A14" i="41"/>
  <c r="G13" i="41"/>
  <c r="F13" i="41"/>
  <c r="E13" i="41"/>
  <c r="D13" i="41"/>
  <c r="C13" i="41"/>
  <c r="B13" i="41"/>
  <c r="A13" i="41"/>
  <c r="G12" i="41"/>
  <c r="F12" i="41"/>
  <c r="E12" i="41"/>
  <c r="D12" i="41"/>
  <c r="C12" i="41"/>
  <c r="B12" i="41"/>
  <c r="A12" i="41"/>
  <c r="G11" i="41"/>
  <c r="F11" i="41"/>
  <c r="E11" i="41"/>
  <c r="D11" i="41"/>
  <c r="C11" i="41"/>
  <c r="B11" i="41"/>
  <c r="A11" i="41"/>
  <c r="G10" i="41"/>
  <c r="F10" i="41"/>
  <c r="E10" i="41"/>
  <c r="D10" i="41"/>
  <c r="C10" i="41"/>
  <c r="B10" i="41"/>
  <c r="A10" i="41"/>
  <c r="G9" i="41"/>
  <c r="F9" i="41"/>
  <c r="E9" i="41"/>
  <c r="D9" i="41"/>
  <c r="C9" i="41"/>
  <c r="B9" i="41"/>
  <c r="A9" i="41"/>
  <c r="G8" i="41"/>
  <c r="F8" i="41"/>
  <c r="E8" i="41"/>
  <c r="D8" i="41"/>
  <c r="C8" i="41"/>
  <c r="B8" i="41"/>
  <c r="A8" i="41"/>
  <c r="G7" i="41"/>
  <c r="F7" i="41"/>
  <c r="E7" i="41"/>
  <c r="D7" i="41"/>
  <c r="C7" i="41"/>
  <c r="B7" i="41"/>
  <c r="A7" i="41"/>
  <c r="G6" i="41"/>
  <c r="F6" i="41"/>
  <c r="E6" i="41"/>
  <c r="D6" i="41"/>
  <c r="C6" i="41"/>
  <c r="B6" i="41"/>
  <c r="A6" i="41"/>
  <c r="G5" i="41"/>
  <c r="F5" i="41"/>
  <c r="E5" i="41"/>
  <c r="D5" i="41"/>
  <c r="C5" i="41"/>
  <c r="B5" i="41"/>
  <c r="A5" i="41"/>
  <c r="G4" i="41"/>
  <c r="F4" i="41"/>
  <c r="E4" i="41"/>
  <c r="D4" i="41"/>
  <c r="C4" i="41"/>
  <c r="B4" i="41"/>
  <c r="A4" i="41"/>
  <c r="G3" i="41"/>
  <c r="F3" i="41"/>
  <c r="E3" i="41"/>
  <c r="D3" i="41"/>
  <c r="C3" i="41"/>
  <c r="B3" i="41"/>
  <c r="A3" i="41"/>
  <c r="G2" i="41"/>
  <c r="F2" i="41"/>
  <c r="E2" i="41"/>
  <c r="D2" i="41"/>
  <c r="C2" i="41"/>
  <c r="B2" i="41"/>
  <c r="A2" i="41"/>
  <c r="G1" i="41"/>
  <c r="F1" i="41"/>
  <c r="E1" i="41"/>
  <c r="D1" i="41"/>
  <c r="C1" i="41"/>
  <c r="B1" i="41"/>
  <c r="A1" i="41"/>
  <c r="G244" i="40"/>
  <c r="F244" i="40"/>
  <c r="E244" i="40"/>
  <c r="D244" i="40"/>
  <c r="C244" i="40"/>
  <c r="B244" i="40"/>
  <c r="A244" i="40"/>
  <c r="G243" i="40"/>
  <c r="F243" i="40"/>
  <c r="E243" i="40"/>
  <c r="D243" i="40"/>
  <c r="C243" i="40"/>
  <c r="B243" i="40"/>
  <c r="A243" i="40"/>
  <c r="G242" i="40"/>
  <c r="F242" i="40"/>
  <c r="E242" i="40"/>
  <c r="D242" i="40"/>
  <c r="C242" i="40"/>
  <c r="B242" i="40"/>
  <c r="A242" i="40"/>
  <c r="G241" i="40"/>
  <c r="F241" i="40"/>
  <c r="E241" i="40"/>
  <c r="D241" i="40"/>
  <c r="C241" i="40"/>
  <c r="B241" i="40"/>
  <c r="A241" i="40"/>
  <c r="G240" i="40"/>
  <c r="F240" i="40"/>
  <c r="E240" i="40"/>
  <c r="D240" i="40"/>
  <c r="C240" i="40"/>
  <c r="B240" i="40"/>
  <c r="A240" i="40"/>
  <c r="G239" i="40"/>
  <c r="F239" i="40"/>
  <c r="E239" i="40"/>
  <c r="D239" i="40"/>
  <c r="C239" i="40"/>
  <c r="B239" i="40"/>
  <c r="A239" i="40"/>
  <c r="G238" i="40"/>
  <c r="F238" i="40"/>
  <c r="E238" i="40"/>
  <c r="D238" i="40"/>
  <c r="C238" i="40"/>
  <c r="B238" i="40"/>
  <c r="A238" i="40"/>
  <c r="G237" i="40"/>
  <c r="F237" i="40"/>
  <c r="E237" i="40"/>
  <c r="D237" i="40"/>
  <c r="C237" i="40"/>
  <c r="B237" i="40"/>
  <c r="A237" i="40"/>
  <c r="G236" i="40"/>
  <c r="F236" i="40"/>
  <c r="E236" i="40"/>
  <c r="D236" i="40"/>
  <c r="C236" i="40"/>
  <c r="B236" i="40"/>
  <c r="A236" i="40"/>
  <c r="G235" i="40"/>
  <c r="F235" i="40"/>
  <c r="E235" i="40"/>
  <c r="D235" i="40"/>
  <c r="C235" i="40"/>
  <c r="B235" i="40"/>
  <c r="A235" i="40"/>
  <c r="G234" i="40"/>
  <c r="F234" i="40"/>
  <c r="E234" i="40"/>
  <c r="D234" i="40"/>
  <c r="C234" i="40"/>
  <c r="B234" i="40"/>
  <c r="A234" i="40"/>
  <c r="G233" i="40"/>
  <c r="F233" i="40"/>
  <c r="E233" i="40"/>
  <c r="D233" i="40"/>
  <c r="C233" i="40"/>
  <c r="B233" i="40"/>
  <c r="A233" i="40"/>
  <c r="G232" i="40"/>
  <c r="F232" i="40"/>
  <c r="E232" i="40"/>
  <c r="D232" i="40"/>
  <c r="C232" i="40"/>
  <c r="B232" i="40"/>
  <c r="A232" i="40"/>
  <c r="G231" i="40"/>
  <c r="F231" i="40"/>
  <c r="E231" i="40"/>
  <c r="D231" i="40"/>
  <c r="C231" i="40"/>
  <c r="B231" i="40"/>
  <c r="A231" i="40"/>
  <c r="G230" i="40"/>
  <c r="F230" i="40"/>
  <c r="E230" i="40"/>
  <c r="D230" i="40"/>
  <c r="C230" i="40"/>
  <c r="B230" i="40"/>
  <c r="A230" i="40"/>
  <c r="G229" i="40"/>
  <c r="F229" i="40"/>
  <c r="E229" i="40"/>
  <c r="D229" i="40"/>
  <c r="C229" i="40"/>
  <c r="B229" i="40"/>
  <c r="A229" i="40"/>
  <c r="G228" i="40"/>
  <c r="F228" i="40"/>
  <c r="E228" i="40"/>
  <c r="D228" i="40"/>
  <c r="C228" i="40"/>
  <c r="B228" i="40"/>
  <c r="A228" i="40"/>
  <c r="G227" i="40"/>
  <c r="F227" i="40"/>
  <c r="E227" i="40"/>
  <c r="D227" i="40"/>
  <c r="C227" i="40"/>
  <c r="B227" i="40"/>
  <c r="A227" i="40"/>
  <c r="G226" i="40"/>
  <c r="F226" i="40"/>
  <c r="E226" i="40"/>
  <c r="D226" i="40"/>
  <c r="C226" i="40"/>
  <c r="B226" i="40"/>
  <c r="A226" i="40"/>
  <c r="G225" i="40"/>
  <c r="F225" i="40"/>
  <c r="E225" i="40"/>
  <c r="D225" i="40"/>
  <c r="C225" i="40"/>
  <c r="B225" i="40"/>
  <c r="A225" i="40"/>
  <c r="G224" i="40"/>
  <c r="F224" i="40"/>
  <c r="E224" i="40"/>
  <c r="D224" i="40"/>
  <c r="C224" i="40"/>
  <c r="B224" i="40"/>
  <c r="A224" i="40"/>
  <c r="G223" i="40"/>
  <c r="F223" i="40"/>
  <c r="E223" i="40"/>
  <c r="D223" i="40"/>
  <c r="C223" i="40"/>
  <c r="B223" i="40"/>
  <c r="A223" i="40"/>
  <c r="G222" i="40"/>
  <c r="F222" i="40"/>
  <c r="E222" i="40"/>
  <c r="D222" i="40"/>
  <c r="C222" i="40"/>
  <c r="B222" i="40"/>
  <c r="A222" i="40"/>
  <c r="G221" i="40"/>
  <c r="F221" i="40"/>
  <c r="E221" i="40"/>
  <c r="D221" i="40"/>
  <c r="C221" i="40"/>
  <c r="B221" i="40"/>
  <c r="A221" i="40"/>
  <c r="G220" i="40"/>
  <c r="F220" i="40"/>
  <c r="E220" i="40"/>
  <c r="D220" i="40"/>
  <c r="C220" i="40"/>
  <c r="B220" i="40"/>
  <c r="A220" i="40"/>
  <c r="G219" i="40"/>
  <c r="F219" i="40"/>
  <c r="E219" i="40"/>
  <c r="D219" i="40"/>
  <c r="C219" i="40"/>
  <c r="B219" i="40"/>
  <c r="A219" i="40"/>
  <c r="G218" i="40"/>
  <c r="F218" i="40"/>
  <c r="E218" i="40"/>
  <c r="D218" i="40"/>
  <c r="C218" i="40"/>
  <c r="B218" i="40"/>
  <c r="A218" i="40"/>
  <c r="G217" i="40"/>
  <c r="F217" i="40"/>
  <c r="E217" i="40"/>
  <c r="D217" i="40"/>
  <c r="C217" i="40"/>
  <c r="B217" i="40"/>
  <c r="A217" i="40"/>
  <c r="G216" i="40"/>
  <c r="F216" i="40"/>
  <c r="E216" i="40"/>
  <c r="D216" i="40"/>
  <c r="C216" i="40"/>
  <c r="B216" i="40"/>
  <c r="A216" i="40"/>
  <c r="G215" i="40"/>
  <c r="F215" i="40"/>
  <c r="E215" i="40"/>
  <c r="D215" i="40"/>
  <c r="C215" i="40"/>
  <c r="B215" i="40"/>
  <c r="A215" i="40"/>
  <c r="G214" i="40"/>
  <c r="F214" i="40"/>
  <c r="E214" i="40"/>
  <c r="D214" i="40"/>
  <c r="C214" i="40"/>
  <c r="B214" i="40"/>
  <c r="A214" i="40"/>
  <c r="G213" i="40"/>
  <c r="F213" i="40"/>
  <c r="E213" i="40"/>
  <c r="D213" i="40"/>
  <c r="C213" i="40"/>
  <c r="B213" i="40"/>
  <c r="A213" i="40"/>
  <c r="G212" i="40"/>
  <c r="F212" i="40"/>
  <c r="E212" i="40"/>
  <c r="D212" i="40"/>
  <c r="C212" i="40"/>
  <c r="B212" i="40"/>
  <c r="A212" i="40"/>
  <c r="G211" i="40"/>
  <c r="F211" i="40"/>
  <c r="E211" i="40"/>
  <c r="D211" i="40"/>
  <c r="C211" i="40"/>
  <c r="B211" i="40"/>
  <c r="A211" i="40"/>
  <c r="G210" i="40"/>
  <c r="F210" i="40"/>
  <c r="E210" i="40"/>
  <c r="D210" i="40"/>
  <c r="C210" i="40"/>
  <c r="B210" i="40"/>
  <c r="A210" i="40"/>
  <c r="G209" i="40"/>
  <c r="F209" i="40"/>
  <c r="E209" i="40"/>
  <c r="D209" i="40"/>
  <c r="C209" i="40"/>
  <c r="B209" i="40"/>
  <c r="A209" i="40"/>
  <c r="G208" i="40"/>
  <c r="F208" i="40"/>
  <c r="E208" i="40"/>
  <c r="D208" i="40"/>
  <c r="C208" i="40"/>
  <c r="B208" i="40"/>
  <c r="A208" i="40"/>
  <c r="G207" i="40"/>
  <c r="F207" i="40"/>
  <c r="E207" i="40"/>
  <c r="D207" i="40"/>
  <c r="C207" i="40"/>
  <c r="B207" i="40"/>
  <c r="A207" i="40"/>
  <c r="G206" i="40"/>
  <c r="F206" i="40"/>
  <c r="E206" i="40"/>
  <c r="D206" i="40"/>
  <c r="C206" i="40"/>
  <c r="B206" i="40"/>
  <c r="A206" i="40"/>
  <c r="G205" i="40"/>
  <c r="F205" i="40"/>
  <c r="E205" i="40"/>
  <c r="D205" i="40"/>
  <c r="C205" i="40"/>
  <c r="B205" i="40"/>
  <c r="A205" i="40"/>
  <c r="G204" i="40"/>
  <c r="F204" i="40"/>
  <c r="E204" i="40"/>
  <c r="D204" i="40"/>
  <c r="C204" i="40"/>
  <c r="B204" i="40"/>
  <c r="A204" i="40"/>
  <c r="G203" i="40"/>
  <c r="F203" i="40"/>
  <c r="E203" i="40"/>
  <c r="D203" i="40"/>
  <c r="C203" i="40"/>
  <c r="B203" i="40"/>
  <c r="A203" i="40"/>
  <c r="G202" i="40"/>
  <c r="F202" i="40"/>
  <c r="E202" i="40"/>
  <c r="D202" i="40"/>
  <c r="C202" i="40"/>
  <c r="B202" i="40"/>
  <c r="A202" i="40"/>
  <c r="G201" i="40"/>
  <c r="F201" i="40"/>
  <c r="E201" i="40"/>
  <c r="D201" i="40"/>
  <c r="C201" i="40"/>
  <c r="B201" i="40"/>
  <c r="A201" i="40"/>
  <c r="G200" i="40"/>
  <c r="F200" i="40"/>
  <c r="E200" i="40"/>
  <c r="D200" i="40"/>
  <c r="C200" i="40"/>
  <c r="B200" i="40"/>
  <c r="A200" i="40"/>
  <c r="G199" i="40"/>
  <c r="F199" i="40"/>
  <c r="E199" i="40"/>
  <c r="D199" i="40"/>
  <c r="C199" i="40"/>
  <c r="B199" i="40"/>
  <c r="A199" i="40"/>
  <c r="G198" i="40"/>
  <c r="F198" i="40"/>
  <c r="E198" i="40"/>
  <c r="D198" i="40"/>
  <c r="C198" i="40"/>
  <c r="B198" i="40"/>
  <c r="A198" i="40"/>
  <c r="G197" i="40"/>
  <c r="F197" i="40"/>
  <c r="E197" i="40"/>
  <c r="D197" i="40"/>
  <c r="C197" i="40"/>
  <c r="B197" i="40"/>
  <c r="A197" i="40"/>
  <c r="G196" i="40"/>
  <c r="F196" i="40"/>
  <c r="E196" i="40"/>
  <c r="D196" i="40"/>
  <c r="C196" i="40"/>
  <c r="B196" i="40"/>
  <c r="A196" i="40"/>
  <c r="G195" i="40"/>
  <c r="F195" i="40"/>
  <c r="E195" i="40"/>
  <c r="D195" i="40"/>
  <c r="C195" i="40"/>
  <c r="B195" i="40"/>
  <c r="A195" i="40"/>
  <c r="G194" i="40"/>
  <c r="F194" i="40"/>
  <c r="E194" i="40"/>
  <c r="D194" i="40"/>
  <c r="C194" i="40"/>
  <c r="B194" i="40"/>
  <c r="A194" i="40"/>
  <c r="G193" i="40"/>
  <c r="F193" i="40"/>
  <c r="E193" i="40"/>
  <c r="D193" i="40"/>
  <c r="C193" i="40"/>
  <c r="B193" i="40"/>
  <c r="A193" i="40"/>
  <c r="G192" i="40"/>
  <c r="F192" i="40"/>
  <c r="E192" i="40"/>
  <c r="D192" i="40"/>
  <c r="C192" i="40"/>
  <c r="B192" i="40"/>
  <c r="A192" i="40"/>
  <c r="G191" i="40"/>
  <c r="F191" i="40"/>
  <c r="E191" i="40"/>
  <c r="D191" i="40"/>
  <c r="C191" i="40"/>
  <c r="B191" i="40"/>
  <c r="A191" i="40"/>
  <c r="G190" i="40"/>
  <c r="F190" i="40"/>
  <c r="E190" i="40"/>
  <c r="D190" i="40"/>
  <c r="C190" i="40"/>
  <c r="B190" i="40"/>
  <c r="A190" i="40"/>
  <c r="G189" i="40"/>
  <c r="F189" i="40"/>
  <c r="E189" i="40"/>
  <c r="D189" i="40"/>
  <c r="C189" i="40"/>
  <c r="B189" i="40"/>
  <c r="A189" i="40"/>
  <c r="G188" i="40"/>
  <c r="F188" i="40"/>
  <c r="E188" i="40"/>
  <c r="D188" i="40"/>
  <c r="C188" i="40"/>
  <c r="B188" i="40"/>
  <c r="A188" i="40"/>
  <c r="G187" i="40"/>
  <c r="F187" i="40"/>
  <c r="E187" i="40"/>
  <c r="D187" i="40"/>
  <c r="C187" i="40"/>
  <c r="B187" i="40"/>
  <c r="A187" i="40"/>
  <c r="G186" i="40"/>
  <c r="F186" i="40"/>
  <c r="E186" i="40"/>
  <c r="D186" i="40"/>
  <c r="C186" i="40"/>
  <c r="B186" i="40"/>
  <c r="A186" i="40"/>
  <c r="G185" i="40"/>
  <c r="F185" i="40"/>
  <c r="E185" i="40"/>
  <c r="D185" i="40"/>
  <c r="C185" i="40"/>
  <c r="B185" i="40"/>
  <c r="A185" i="40"/>
  <c r="G184" i="40"/>
  <c r="F184" i="40"/>
  <c r="E184" i="40"/>
  <c r="D184" i="40"/>
  <c r="C184" i="40"/>
  <c r="B184" i="40"/>
  <c r="A184" i="40"/>
  <c r="G183" i="40"/>
  <c r="F183" i="40"/>
  <c r="E183" i="40"/>
  <c r="D183" i="40"/>
  <c r="C183" i="40"/>
  <c r="B183" i="40"/>
  <c r="A183" i="40"/>
  <c r="G182" i="40"/>
  <c r="F182" i="40"/>
  <c r="E182" i="40"/>
  <c r="D182" i="40"/>
  <c r="C182" i="40"/>
  <c r="B182" i="40"/>
  <c r="A182" i="40"/>
  <c r="G181" i="40"/>
  <c r="F181" i="40"/>
  <c r="E181" i="40"/>
  <c r="D181" i="40"/>
  <c r="C181" i="40"/>
  <c r="B181" i="40"/>
  <c r="A181" i="40"/>
  <c r="G180" i="40"/>
  <c r="F180" i="40"/>
  <c r="E180" i="40"/>
  <c r="D180" i="40"/>
  <c r="C180" i="40"/>
  <c r="B180" i="40"/>
  <c r="A180" i="40"/>
  <c r="G179" i="40"/>
  <c r="F179" i="40"/>
  <c r="E179" i="40"/>
  <c r="D179" i="40"/>
  <c r="C179" i="40"/>
  <c r="B179" i="40"/>
  <c r="A179" i="40"/>
  <c r="G178" i="40"/>
  <c r="F178" i="40"/>
  <c r="E178" i="40"/>
  <c r="D178" i="40"/>
  <c r="C178" i="40"/>
  <c r="B178" i="40"/>
  <c r="A178" i="40"/>
  <c r="G177" i="40"/>
  <c r="F177" i="40"/>
  <c r="E177" i="40"/>
  <c r="D177" i="40"/>
  <c r="C177" i="40"/>
  <c r="B177" i="40"/>
  <c r="A177" i="40"/>
  <c r="G176" i="40"/>
  <c r="F176" i="40"/>
  <c r="E176" i="40"/>
  <c r="D176" i="40"/>
  <c r="C176" i="40"/>
  <c r="B176" i="40"/>
  <c r="A176" i="40"/>
  <c r="G175" i="40"/>
  <c r="F175" i="40"/>
  <c r="E175" i="40"/>
  <c r="D175" i="40"/>
  <c r="C175" i="40"/>
  <c r="B175" i="40"/>
  <c r="A175" i="40"/>
  <c r="G174" i="40"/>
  <c r="F174" i="40"/>
  <c r="E174" i="40"/>
  <c r="D174" i="40"/>
  <c r="C174" i="40"/>
  <c r="B174" i="40"/>
  <c r="A174" i="40"/>
  <c r="G173" i="40"/>
  <c r="F173" i="40"/>
  <c r="E173" i="40"/>
  <c r="D173" i="40"/>
  <c r="C173" i="40"/>
  <c r="B173" i="40"/>
  <c r="A173" i="40"/>
  <c r="G172" i="40"/>
  <c r="F172" i="40"/>
  <c r="E172" i="40"/>
  <c r="D172" i="40"/>
  <c r="C172" i="40"/>
  <c r="B172" i="40"/>
  <c r="A172" i="40"/>
  <c r="G171" i="40"/>
  <c r="F171" i="40"/>
  <c r="E171" i="40"/>
  <c r="D171" i="40"/>
  <c r="C171" i="40"/>
  <c r="B171" i="40"/>
  <c r="A171" i="40"/>
  <c r="G170" i="40"/>
  <c r="F170" i="40"/>
  <c r="E170" i="40"/>
  <c r="D170" i="40"/>
  <c r="C170" i="40"/>
  <c r="B170" i="40"/>
  <c r="A170" i="40"/>
  <c r="G169" i="40"/>
  <c r="F169" i="40"/>
  <c r="E169" i="40"/>
  <c r="D169" i="40"/>
  <c r="C169" i="40"/>
  <c r="B169" i="40"/>
  <c r="A169" i="40"/>
  <c r="G168" i="40"/>
  <c r="F168" i="40"/>
  <c r="E168" i="40"/>
  <c r="D168" i="40"/>
  <c r="C168" i="40"/>
  <c r="B168" i="40"/>
  <c r="A168" i="40"/>
  <c r="G167" i="40"/>
  <c r="F167" i="40"/>
  <c r="E167" i="40"/>
  <c r="D167" i="40"/>
  <c r="C167" i="40"/>
  <c r="B167" i="40"/>
  <c r="A167" i="40"/>
  <c r="G166" i="40"/>
  <c r="F166" i="40"/>
  <c r="E166" i="40"/>
  <c r="D166" i="40"/>
  <c r="C166" i="40"/>
  <c r="B166" i="40"/>
  <c r="A166" i="40"/>
  <c r="G165" i="40"/>
  <c r="F165" i="40"/>
  <c r="E165" i="40"/>
  <c r="D165" i="40"/>
  <c r="C165" i="40"/>
  <c r="B165" i="40"/>
  <c r="A165" i="40"/>
  <c r="G164" i="40"/>
  <c r="F164" i="40"/>
  <c r="E164" i="40"/>
  <c r="D164" i="40"/>
  <c r="C164" i="40"/>
  <c r="B164" i="40"/>
  <c r="A164" i="40"/>
  <c r="G163" i="40"/>
  <c r="F163" i="40"/>
  <c r="E163" i="40"/>
  <c r="D163" i="40"/>
  <c r="C163" i="40"/>
  <c r="B163" i="40"/>
  <c r="A163" i="40"/>
  <c r="G162" i="40"/>
  <c r="F162" i="40"/>
  <c r="E162" i="40"/>
  <c r="D162" i="40"/>
  <c r="C162" i="40"/>
  <c r="B162" i="40"/>
  <c r="A162" i="40"/>
  <c r="G161" i="40"/>
  <c r="F161" i="40"/>
  <c r="E161" i="40"/>
  <c r="D161" i="40"/>
  <c r="C161" i="40"/>
  <c r="B161" i="40"/>
  <c r="A161" i="40"/>
  <c r="G160" i="40"/>
  <c r="F160" i="40"/>
  <c r="E160" i="40"/>
  <c r="D160" i="40"/>
  <c r="C160" i="40"/>
  <c r="B160" i="40"/>
  <c r="A160" i="40"/>
  <c r="G159" i="40"/>
  <c r="F159" i="40"/>
  <c r="E159" i="40"/>
  <c r="D159" i="40"/>
  <c r="C159" i="40"/>
  <c r="B159" i="40"/>
  <c r="A159" i="40"/>
  <c r="G158" i="40"/>
  <c r="F158" i="40"/>
  <c r="E158" i="40"/>
  <c r="D158" i="40"/>
  <c r="C158" i="40"/>
  <c r="B158" i="40"/>
  <c r="A158" i="40"/>
  <c r="G157" i="40"/>
  <c r="F157" i="40"/>
  <c r="E157" i="40"/>
  <c r="D157" i="40"/>
  <c r="C157" i="40"/>
  <c r="B157" i="40"/>
  <c r="A157" i="40"/>
  <c r="G156" i="40"/>
  <c r="F156" i="40"/>
  <c r="E156" i="40"/>
  <c r="D156" i="40"/>
  <c r="C156" i="40"/>
  <c r="B156" i="40"/>
  <c r="A156" i="40"/>
  <c r="G155" i="40"/>
  <c r="F155" i="40"/>
  <c r="E155" i="40"/>
  <c r="D155" i="40"/>
  <c r="C155" i="40"/>
  <c r="B155" i="40"/>
  <c r="A155" i="40"/>
  <c r="G154" i="40"/>
  <c r="F154" i="40"/>
  <c r="E154" i="40"/>
  <c r="D154" i="40"/>
  <c r="C154" i="40"/>
  <c r="B154" i="40"/>
  <c r="A154" i="40"/>
  <c r="G153" i="40"/>
  <c r="F153" i="40"/>
  <c r="E153" i="40"/>
  <c r="D153" i="40"/>
  <c r="C153" i="40"/>
  <c r="B153" i="40"/>
  <c r="A153" i="40"/>
  <c r="G152" i="40"/>
  <c r="F152" i="40"/>
  <c r="E152" i="40"/>
  <c r="D152" i="40"/>
  <c r="C152" i="40"/>
  <c r="B152" i="40"/>
  <c r="A152" i="40"/>
  <c r="G151" i="40"/>
  <c r="F151" i="40"/>
  <c r="E151" i="40"/>
  <c r="D151" i="40"/>
  <c r="C151" i="40"/>
  <c r="B151" i="40"/>
  <c r="A151" i="40"/>
  <c r="G150" i="40"/>
  <c r="F150" i="40"/>
  <c r="E150" i="40"/>
  <c r="D150" i="40"/>
  <c r="C150" i="40"/>
  <c r="B150" i="40"/>
  <c r="A150" i="40"/>
  <c r="G149" i="40"/>
  <c r="F149" i="40"/>
  <c r="E149" i="40"/>
  <c r="D149" i="40"/>
  <c r="C149" i="40"/>
  <c r="B149" i="40"/>
  <c r="A149" i="40"/>
  <c r="G148" i="40"/>
  <c r="F148" i="40"/>
  <c r="E148" i="40"/>
  <c r="D148" i="40"/>
  <c r="C148" i="40"/>
  <c r="B148" i="40"/>
  <c r="A148" i="40"/>
  <c r="G147" i="40"/>
  <c r="F147" i="40"/>
  <c r="E147" i="40"/>
  <c r="D147" i="40"/>
  <c r="C147" i="40"/>
  <c r="B147" i="40"/>
  <c r="A147" i="40"/>
  <c r="G146" i="40"/>
  <c r="F146" i="40"/>
  <c r="E146" i="40"/>
  <c r="D146" i="40"/>
  <c r="C146" i="40"/>
  <c r="B146" i="40"/>
  <c r="A146" i="40"/>
  <c r="G145" i="40"/>
  <c r="F145" i="40"/>
  <c r="E145" i="40"/>
  <c r="D145" i="40"/>
  <c r="C145" i="40"/>
  <c r="B145" i="40"/>
  <c r="A145" i="40"/>
  <c r="G144" i="40"/>
  <c r="F144" i="40"/>
  <c r="E144" i="40"/>
  <c r="D144" i="40"/>
  <c r="C144" i="40"/>
  <c r="B144" i="40"/>
  <c r="A144" i="40"/>
  <c r="G143" i="40"/>
  <c r="F143" i="40"/>
  <c r="E143" i="40"/>
  <c r="D143" i="40"/>
  <c r="C143" i="40"/>
  <c r="B143" i="40"/>
  <c r="A143" i="40"/>
  <c r="G142" i="40"/>
  <c r="F142" i="40"/>
  <c r="E142" i="40"/>
  <c r="D142" i="40"/>
  <c r="C142" i="40"/>
  <c r="B142" i="40"/>
  <c r="A142" i="40"/>
  <c r="G141" i="40"/>
  <c r="F141" i="40"/>
  <c r="E141" i="40"/>
  <c r="D141" i="40"/>
  <c r="C141" i="40"/>
  <c r="B141" i="40"/>
  <c r="A141" i="40"/>
  <c r="G140" i="40"/>
  <c r="F140" i="40"/>
  <c r="E140" i="40"/>
  <c r="D140" i="40"/>
  <c r="C140" i="40"/>
  <c r="B140" i="40"/>
  <c r="A140" i="40"/>
  <c r="G139" i="40"/>
  <c r="F139" i="40"/>
  <c r="E139" i="40"/>
  <c r="D139" i="40"/>
  <c r="C139" i="40"/>
  <c r="B139" i="40"/>
  <c r="A139" i="40"/>
  <c r="G138" i="40"/>
  <c r="F138" i="40"/>
  <c r="E138" i="40"/>
  <c r="D138" i="40"/>
  <c r="C138" i="40"/>
  <c r="B138" i="40"/>
  <c r="A138" i="40"/>
  <c r="G137" i="40"/>
  <c r="F137" i="40"/>
  <c r="E137" i="40"/>
  <c r="D137" i="40"/>
  <c r="C137" i="40"/>
  <c r="B137" i="40"/>
  <c r="A137" i="40"/>
  <c r="G136" i="40"/>
  <c r="F136" i="40"/>
  <c r="E136" i="40"/>
  <c r="D136" i="40"/>
  <c r="C136" i="40"/>
  <c r="B136" i="40"/>
  <c r="A136" i="40"/>
  <c r="G135" i="40"/>
  <c r="F135" i="40"/>
  <c r="E135" i="40"/>
  <c r="D135" i="40"/>
  <c r="C135" i="40"/>
  <c r="B135" i="40"/>
  <c r="A135" i="40"/>
  <c r="G134" i="40"/>
  <c r="F134" i="40"/>
  <c r="E134" i="40"/>
  <c r="D134" i="40"/>
  <c r="C134" i="40"/>
  <c r="B134" i="40"/>
  <c r="A134" i="40"/>
  <c r="G133" i="40"/>
  <c r="F133" i="40"/>
  <c r="E133" i="40"/>
  <c r="D133" i="40"/>
  <c r="C133" i="40"/>
  <c r="B133" i="40"/>
  <c r="A133" i="40"/>
  <c r="G132" i="40"/>
  <c r="F132" i="40"/>
  <c r="E132" i="40"/>
  <c r="D132" i="40"/>
  <c r="C132" i="40"/>
  <c r="B132" i="40"/>
  <c r="A132" i="40"/>
  <c r="G131" i="40"/>
  <c r="F131" i="40"/>
  <c r="E131" i="40"/>
  <c r="D131" i="40"/>
  <c r="C131" i="40"/>
  <c r="B131" i="40"/>
  <c r="A131" i="40"/>
  <c r="G130" i="40"/>
  <c r="F130" i="40"/>
  <c r="E130" i="40"/>
  <c r="D130" i="40"/>
  <c r="C130" i="40"/>
  <c r="B130" i="40"/>
  <c r="A130" i="40"/>
  <c r="G129" i="40"/>
  <c r="F129" i="40"/>
  <c r="E129" i="40"/>
  <c r="D129" i="40"/>
  <c r="C129" i="40"/>
  <c r="B129" i="40"/>
  <c r="A129" i="40"/>
  <c r="G128" i="40"/>
  <c r="F128" i="40"/>
  <c r="E128" i="40"/>
  <c r="D128" i="40"/>
  <c r="C128" i="40"/>
  <c r="B128" i="40"/>
  <c r="A128" i="40"/>
  <c r="G127" i="40"/>
  <c r="F127" i="40"/>
  <c r="E127" i="40"/>
  <c r="D127" i="40"/>
  <c r="C127" i="40"/>
  <c r="B127" i="40"/>
  <c r="A127" i="40"/>
  <c r="G126" i="40"/>
  <c r="F126" i="40"/>
  <c r="E126" i="40"/>
  <c r="D126" i="40"/>
  <c r="C126" i="40"/>
  <c r="B126" i="40"/>
  <c r="A126" i="40"/>
  <c r="G125" i="40"/>
  <c r="F125" i="40"/>
  <c r="E125" i="40"/>
  <c r="D125" i="40"/>
  <c r="C125" i="40"/>
  <c r="B125" i="40"/>
  <c r="A125" i="40"/>
  <c r="G124" i="40"/>
  <c r="F124" i="40"/>
  <c r="E124" i="40"/>
  <c r="D124" i="40"/>
  <c r="C124" i="40"/>
  <c r="B124" i="40"/>
  <c r="A124" i="40"/>
  <c r="G123" i="40"/>
  <c r="F123" i="40"/>
  <c r="E123" i="40"/>
  <c r="D123" i="40"/>
  <c r="C123" i="40"/>
  <c r="B123" i="40"/>
  <c r="A123" i="40"/>
  <c r="G122" i="40"/>
  <c r="F122" i="40"/>
  <c r="E122" i="40"/>
  <c r="D122" i="40"/>
  <c r="C122" i="40"/>
  <c r="B122" i="40"/>
  <c r="A122" i="40"/>
  <c r="G121" i="40"/>
  <c r="F121" i="40"/>
  <c r="E121" i="40"/>
  <c r="D121" i="40"/>
  <c r="C121" i="40"/>
  <c r="B121" i="40"/>
  <c r="A121" i="40"/>
  <c r="G120" i="40"/>
  <c r="F120" i="40"/>
  <c r="E120" i="40"/>
  <c r="D120" i="40"/>
  <c r="C120" i="40"/>
  <c r="B120" i="40"/>
  <c r="A120" i="40"/>
  <c r="G119" i="40"/>
  <c r="F119" i="40"/>
  <c r="E119" i="40"/>
  <c r="D119" i="40"/>
  <c r="C119" i="40"/>
  <c r="B119" i="40"/>
  <c r="A119" i="40"/>
  <c r="G118" i="40"/>
  <c r="F118" i="40"/>
  <c r="E118" i="40"/>
  <c r="D118" i="40"/>
  <c r="C118" i="40"/>
  <c r="B118" i="40"/>
  <c r="A118" i="40"/>
  <c r="G117" i="40"/>
  <c r="F117" i="40"/>
  <c r="E117" i="40"/>
  <c r="D117" i="40"/>
  <c r="C117" i="40"/>
  <c r="B117" i="40"/>
  <c r="A117" i="40"/>
  <c r="G116" i="40"/>
  <c r="F116" i="40"/>
  <c r="E116" i="40"/>
  <c r="D116" i="40"/>
  <c r="C116" i="40"/>
  <c r="B116" i="40"/>
  <c r="A116" i="40"/>
  <c r="G115" i="40"/>
  <c r="F115" i="40"/>
  <c r="E115" i="40"/>
  <c r="D115" i="40"/>
  <c r="C115" i="40"/>
  <c r="B115" i="40"/>
  <c r="A115" i="40"/>
  <c r="G114" i="40"/>
  <c r="F114" i="40"/>
  <c r="E114" i="40"/>
  <c r="D114" i="40"/>
  <c r="C114" i="40"/>
  <c r="B114" i="40"/>
  <c r="A114" i="40"/>
  <c r="G113" i="40"/>
  <c r="F113" i="40"/>
  <c r="E113" i="40"/>
  <c r="D113" i="40"/>
  <c r="C113" i="40"/>
  <c r="B113" i="40"/>
  <c r="A113" i="40"/>
  <c r="G112" i="40"/>
  <c r="F112" i="40"/>
  <c r="E112" i="40"/>
  <c r="D112" i="40"/>
  <c r="C112" i="40"/>
  <c r="B112" i="40"/>
  <c r="A112" i="40"/>
  <c r="G111" i="40"/>
  <c r="F111" i="40"/>
  <c r="E111" i="40"/>
  <c r="D111" i="40"/>
  <c r="C111" i="40"/>
  <c r="B111" i="40"/>
  <c r="A111" i="40"/>
  <c r="G110" i="40"/>
  <c r="F110" i="40"/>
  <c r="E110" i="40"/>
  <c r="D110" i="40"/>
  <c r="C110" i="40"/>
  <c r="B110" i="40"/>
  <c r="A110" i="40"/>
  <c r="G109" i="40"/>
  <c r="F109" i="40"/>
  <c r="E109" i="40"/>
  <c r="D109" i="40"/>
  <c r="C109" i="40"/>
  <c r="B109" i="40"/>
  <c r="A109" i="40"/>
  <c r="G108" i="40"/>
  <c r="F108" i="40"/>
  <c r="E108" i="40"/>
  <c r="D108" i="40"/>
  <c r="C108" i="40"/>
  <c r="B108" i="40"/>
  <c r="A108" i="40"/>
  <c r="G107" i="40"/>
  <c r="F107" i="40"/>
  <c r="E107" i="40"/>
  <c r="D107" i="40"/>
  <c r="C107" i="40"/>
  <c r="B107" i="40"/>
  <c r="A107" i="40"/>
  <c r="G106" i="40"/>
  <c r="F106" i="40"/>
  <c r="E106" i="40"/>
  <c r="D106" i="40"/>
  <c r="C106" i="40"/>
  <c r="B106" i="40"/>
  <c r="A106" i="40"/>
  <c r="G105" i="40"/>
  <c r="F105" i="40"/>
  <c r="E105" i="40"/>
  <c r="D105" i="40"/>
  <c r="C105" i="40"/>
  <c r="B105" i="40"/>
  <c r="A105" i="40"/>
  <c r="G104" i="40"/>
  <c r="F104" i="40"/>
  <c r="E104" i="40"/>
  <c r="D104" i="40"/>
  <c r="C104" i="40"/>
  <c r="B104" i="40"/>
  <c r="A104" i="40"/>
  <c r="G103" i="40"/>
  <c r="F103" i="40"/>
  <c r="E103" i="40"/>
  <c r="D103" i="40"/>
  <c r="C103" i="40"/>
  <c r="B103" i="40"/>
  <c r="A103" i="40"/>
  <c r="G102" i="40"/>
  <c r="F102" i="40"/>
  <c r="E102" i="40"/>
  <c r="D102" i="40"/>
  <c r="C102" i="40"/>
  <c r="B102" i="40"/>
  <c r="A102" i="40"/>
  <c r="G101" i="40"/>
  <c r="F101" i="40"/>
  <c r="E101" i="40"/>
  <c r="D101" i="40"/>
  <c r="C101" i="40"/>
  <c r="B101" i="40"/>
  <c r="A101" i="40"/>
  <c r="G100" i="40"/>
  <c r="F100" i="40"/>
  <c r="E100" i="40"/>
  <c r="D100" i="40"/>
  <c r="C100" i="40"/>
  <c r="B100" i="40"/>
  <c r="A100" i="40"/>
  <c r="G99" i="40"/>
  <c r="F99" i="40"/>
  <c r="E99" i="40"/>
  <c r="D99" i="40"/>
  <c r="C99" i="40"/>
  <c r="B99" i="40"/>
  <c r="A99" i="40"/>
  <c r="G98" i="40"/>
  <c r="F98" i="40"/>
  <c r="E98" i="40"/>
  <c r="D98" i="40"/>
  <c r="C98" i="40"/>
  <c r="B98" i="40"/>
  <c r="A98" i="40"/>
  <c r="G97" i="40"/>
  <c r="F97" i="40"/>
  <c r="E97" i="40"/>
  <c r="D97" i="40"/>
  <c r="C97" i="40"/>
  <c r="B97" i="40"/>
  <c r="A97" i="40"/>
  <c r="G96" i="40"/>
  <c r="F96" i="40"/>
  <c r="E96" i="40"/>
  <c r="D96" i="40"/>
  <c r="C96" i="40"/>
  <c r="B96" i="40"/>
  <c r="A96" i="40"/>
  <c r="G95" i="40"/>
  <c r="F95" i="40"/>
  <c r="E95" i="40"/>
  <c r="D95" i="40"/>
  <c r="C95" i="40"/>
  <c r="B95" i="40"/>
  <c r="A95" i="40"/>
  <c r="G94" i="40"/>
  <c r="F94" i="40"/>
  <c r="E94" i="40"/>
  <c r="D94" i="40"/>
  <c r="C94" i="40"/>
  <c r="B94" i="40"/>
  <c r="A94" i="40"/>
  <c r="G93" i="40"/>
  <c r="F93" i="40"/>
  <c r="E93" i="40"/>
  <c r="D93" i="40"/>
  <c r="C93" i="40"/>
  <c r="B93" i="40"/>
  <c r="A93" i="40"/>
  <c r="G92" i="40"/>
  <c r="F92" i="40"/>
  <c r="E92" i="40"/>
  <c r="D92" i="40"/>
  <c r="C92" i="40"/>
  <c r="B92" i="40"/>
  <c r="A92" i="40"/>
  <c r="G91" i="40"/>
  <c r="F91" i="40"/>
  <c r="E91" i="40"/>
  <c r="D91" i="40"/>
  <c r="C91" i="40"/>
  <c r="B91" i="40"/>
  <c r="A91" i="40"/>
  <c r="G90" i="40"/>
  <c r="F90" i="40"/>
  <c r="E90" i="40"/>
  <c r="D90" i="40"/>
  <c r="C90" i="40"/>
  <c r="B90" i="40"/>
  <c r="A90" i="40"/>
  <c r="G89" i="40"/>
  <c r="F89" i="40"/>
  <c r="E89" i="40"/>
  <c r="D89" i="40"/>
  <c r="C89" i="40"/>
  <c r="B89" i="40"/>
  <c r="A89" i="40"/>
  <c r="G88" i="40"/>
  <c r="F88" i="40"/>
  <c r="E88" i="40"/>
  <c r="D88" i="40"/>
  <c r="C88" i="40"/>
  <c r="B88" i="40"/>
  <c r="A88" i="40"/>
  <c r="G87" i="40"/>
  <c r="F87" i="40"/>
  <c r="E87" i="40"/>
  <c r="D87" i="40"/>
  <c r="C87" i="40"/>
  <c r="B87" i="40"/>
  <c r="A87" i="40"/>
  <c r="G86" i="40"/>
  <c r="F86" i="40"/>
  <c r="E86" i="40"/>
  <c r="D86" i="40"/>
  <c r="C86" i="40"/>
  <c r="B86" i="40"/>
  <c r="A86" i="40"/>
  <c r="G85" i="40"/>
  <c r="F85" i="40"/>
  <c r="E85" i="40"/>
  <c r="D85" i="40"/>
  <c r="C85" i="40"/>
  <c r="B85" i="40"/>
  <c r="A85" i="40"/>
  <c r="G84" i="40"/>
  <c r="F84" i="40"/>
  <c r="E84" i="40"/>
  <c r="D84" i="40"/>
  <c r="C84" i="40"/>
  <c r="B84" i="40"/>
  <c r="A84" i="40"/>
  <c r="G83" i="40"/>
  <c r="F83" i="40"/>
  <c r="E83" i="40"/>
  <c r="D83" i="40"/>
  <c r="C83" i="40"/>
  <c r="B83" i="40"/>
  <c r="A83" i="40"/>
  <c r="G82" i="40"/>
  <c r="F82" i="40"/>
  <c r="E82" i="40"/>
  <c r="D82" i="40"/>
  <c r="C82" i="40"/>
  <c r="B82" i="40"/>
  <c r="A82" i="40"/>
  <c r="G81" i="40"/>
  <c r="F81" i="40"/>
  <c r="E81" i="40"/>
  <c r="D81" i="40"/>
  <c r="C81" i="40"/>
  <c r="B81" i="40"/>
  <c r="A81" i="40"/>
  <c r="G80" i="40"/>
  <c r="F80" i="40"/>
  <c r="E80" i="40"/>
  <c r="D80" i="40"/>
  <c r="C80" i="40"/>
  <c r="B80" i="40"/>
  <c r="A80" i="40"/>
  <c r="G79" i="40"/>
  <c r="F79" i="40"/>
  <c r="E79" i="40"/>
  <c r="D79" i="40"/>
  <c r="C79" i="40"/>
  <c r="B79" i="40"/>
  <c r="A79" i="40"/>
  <c r="G78" i="40"/>
  <c r="F78" i="40"/>
  <c r="E78" i="40"/>
  <c r="D78" i="40"/>
  <c r="C78" i="40"/>
  <c r="B78" i="40"/>
  <c r="A78" i="40"/>
  <c r="G77" i="40"/>
  <c r="F77" i="40"/>
  <c r="E77" i="40"/>
  <c r="D77" i="40"/>
  <c r="C77" i="40"/>
  <c r="B77" i="40"/>
  <c r="A77" i="40"/>
  <c r="G76" i="40"/>
  <c r="F76" i="40"/>
  <c r="E76" i="40"/>
  <c r="D76" i="40"/>
  <c r="C76" i="40"/>
  <c r="B76" i="40"/>
  <c r="A76" i="40"/>
  <c r="G75" i="40"/>
  <c r="F75" i="40"/>
  <c r="E75" i="40"/>
  <c r="D75" i="40"/>
  <c r="C75" i="40"/>
  <c r="B75" i="40"/>
  <c r="A75" i="40"/>
  <c r="G74" i="40"/>
  <c r="F74" i="40"/>
  <c r="E74" i="40"/>
  <c r="D74" i="40"/>
  <c r="C74" i="40"/>
  <c r="B74" i="40"/>
  <c r="A74" i="40"/>
  <c r="G73" i="40"/>
  <c r="F73" i="40"/>
  <c r="E73" i="40"/>
  <c r="D73" i="40"/>
  <c r="C73" i="40"/>
  <c r="B73" i="40"/>
  <c r="A73" i="40"/>
  <c r="G72" i="40"/>
  <c r="F72" i="40"/>
  <c r="E72" i="40"/>
  <c r="D72" i="40"/>
  <c r="C72" i="40"/>
  <c r="B72" i="40"/>
  <c r="A72" i="40"/>
  <c r="G71" i="40"/>
  <c r="F71" i="40"/>
  <c r="E71" i="40"/>
  <c r="D71" i="40"/>
  <c r="C71" i="40"/>
  <c r="B71" i="40"/>
  <c r="A71" i="40"/>
  <c r="G70" i="40"/>
  <c r="F70" i="40"/>
  <c r="E70" i="40"/>
  <c r="D70" i="40"/>
  <c r="C70" i="40"/>
  <c r="B70" i="40"/>
  <c r="A70" i="40"/>
  <c r="G69" i="40"/>
  <c r="F69" i="40"/>
  <c r="E69" i="40"/>
  <c r="D69" i="40"/>
  <c r="C69" i="40"/>
  <c r="B69" i="40"/>
  <c r="A69" i="40"/>
  <c r="G68" i="40"/>
  <c r="F68" i="40"/>
  <c r="E68" i="40"/>
  <c r="D68" i="40"/>
  <c r="C68" i="40"/>
  <c r="B68" i="40"/>
  <c r="A68" i="40"/>
  <c r="G67" i="40"/>
  <c r="F67" i="40"/>
  <c r="E67" i="40"/>
  <c r="D67" i="40"/>
  <c r="C67" i="40"/>
  <c r="B67" i="40"/>
  <c r="A67" i="40"/>
  <c r="G66" i="40"/>
  <c r="F66" i="40"/>
  <c r="E66" i="40"/>
  <c r="D66" i="40"/>
  <c r="C66" i="40"/>
  <c r="B66" i="40"/>
  <c r="A66" i="40"/>
  <c r="G65" i="40"/>
  <c r="F65" i="40"/>
  <c r="E65" i="40"/>
  <c r="D65" i="40"/>
  <c r="C65" i="40"/>
  <c r="B65" i="40"/>
  <c r="A65" i="40"/>
  <c r="G64" i="40"/>
  <c r="F64" i="40"/>
  <c r="E64" i="40"/>
  <c r="D64" i="40"/>
  <c r="C64" i="40"/>
  <c r="B64" i="40"/>
  <c r="A64" i="40"/>
  <c r="G63" i="40"/>
  <c r="F63" i="40"/>
  <c r="E63" i="40"/>
  <c r="D63" i="40"/>
  <c r="C63" i="40"/>
  <c r="B63" i="40"/>
  <c r="A63" i="40"/>
  <c r="G62" i="40"/>
  <c r="F62" i="40"/>
  <c r="E62" i="40"/>
  <c r="D62" i="40"/>
  <c r="C62" i="40"/>
  <c r="B62" i="40"/>
  <c r="A62" i="40"/>
  <c r="G61" i="40"/>
  <c r="F61" i="40"/>
  <c r="E61" i="40"/>
  <c r="D61" i="40"/>
  <c r="C61" i="40"/>
  <c r="B61" i="40"/>
  <c r="A61" i="40"/>
  <c r="G60" i="40"/>
  <c r="F60" i="40"/>
  <c r="E60" i="40"/>
  <c r="D60" i="40"/>
  <c r="C60" i="40"/>
  <c r="B60" i="40"/>
  <c r="A60" i="40"/>
  <c r="G59" i="40"/>
  <c r="F59" i="40"/>
  <c r="E59" i="40"/>
  <c r="D59" i="40"/>
  <c r="C59" i="40"/>
  <c r="B59" i="40"/>
  <c r="A59" i="40"/>
  <c r="G58" i="40"/>
  <c r="F58" i="40"/>
  <c r="E58" i="40"/>
  <c r="D58" i="40"/>
  <c r="C58" i="40"/>
  <c r="B58" i="40"/>
  <c r="A58" i="40"/>
  <c r="G57" i="40"/>
  <c r="F57" i="40"/>
  <c r="E57" i="40"/>
  <c r="D57" i="40"/>
  <c r="C57" i="40"/>
  <c r="B57" i="40"/>
  <c r="A57" i="40"/>
  <c r="G56" i="40"/>
  <c r="F56" i="40"/>
  <c r="E56" i="40"/>
  <c r="D56" i="40"/>
  <c r="C56" i="40"/>
  <c r="B56" i="40"/>
  <c r="A56" i="40"/>
  <c r="G55" i="40"/>
  <c r="F55" i="40"/>
  <c r="E55" i="40"/>
  <c r="D55" i="40"/>
  <c r="C55" i="40"/>
  <c r="B55" i="40"/>
  <c r="A55" i="40"/>
  <c r="G54" i="40"/>
  <c r="F54" i="40"/>
  <c r="E54" i="40"/>
  <c r="D54" i="40"/>
  <c r="C54" i="40"/>
  <c r="B54" i="40"/>
  <c r="A54" i="40"/>
  <c r="G53" i="40"/>
  <c r="F53" i="40"/>
  <c r="E53" i="40"/>
  <c r="D53" i="40"/>
  <c r="C53" i="40"/>
  <c r="B53" i="40"/>
  <c r="A53" i="40"/>
  <c r="G52" i="40"/>
  <c r="F52" i="40"/>
  <c r="E52" i="40"/>
  <c r="D52" i="40"/>
  <c r="C52" i="40"/>
  <c r="B52" i="40"/>
  <c r="A52" i="40"/>
  <c r="G51" i="40"/>
  <c r="F51" i="40"/>
  <c r="E51" i="40"/>
  <c r="D51" i="40"/>
  <c r="C51" i="40"/>
  <c r="B51" i="40"/>
  <c r="A51" i="40"/>
  <c r="G50" i="40"/>
  <c r="F50" i="40"/>
  <c r="E50" i="40"/>
  <c r="D50" i="40"/>
  <c r="C50" i="40"/>
  <c r="B50" i="40"/>
  <c r="A50" i="40"/>
  <c r="G49" i="40"/>
  <c r="F49" i="40"/>
  <c r="E49" i="40"/>
  <c r="D49" i="40"/>
  <c r="C49" i="40"/>
  <c r="B49" i="40"/>
  <c r="A49" i="40"/>
  <c r="G48" i="40"/>
  <c r="F48" i="40"/>
  <c r="E48" i="40"/>
  <c r="D48" i="40"/>
  <c r="C48" i="40"/>
  <c r="B48" i="40"/>
  <c r="A48" i="40"/>
  <c r="G47" i="40"/>
  <c r="F47" i="40"/>
  <c r="E47" i="40"/>
  <c r="D47" i="40"/>
  <c r="C47" i="40"/>
  <c r="B47" i="40"/>
  <c r="A47" i="40"/>
  <c r="G46" i="40"/>
  <c r="F46" i="40"/>
  <c r="E46" i="40"/>
  <c r="D46" i="40"/>
  <c r="C46" i="40"/>
  <c r="B46" i="40"/>
  <c r="A46" i="40"/>
  <c r="G45" i="40"/>
  <c r="F45" i="40"/>
  <c r="E45" i="40"/>
  <c r="D45" i="40"/>
  <c r="C45" i="40"/>
  <c r="B45" i="40"/>
  <c r="A45" i="40"/>
  <c r="G44" i="40"/>
  <c r="F44" i="40"/>
  <c r="E44" i="40"/>
  <c r="D44" i="40"/>
  <c r="C44" i="40"/>
  <c r="B44" i="40"/>
  <c r="A44" i="40"/>
  <c r="G43" i="40"/>
  <c r="F43" i="40"/>
  <c r="E43" i="40"/>
  <c r="D43" i="40"/>
  <c r="C43" i="40"/>
  <c r="B43" i="40"/>
  <c r="A43" i="40"/>
  <c r="G42" i="40"/>
  <c r="F42" i="40"/>
  <c r="E42" i="40"/>
  <c r="D42" i="40"/>
  <c r="C42" i="40"/>
  <c r="B42" i="40"/>
  <c r="A42" i="40"/>
  <c r="G41" i="40"/>
  <c r="F41" i="40"/>
  <c r="E41" i="40"/>
  <c r="D41" i="40"/>
  <c r="C41" i="40"/>
  <c r="B41" i="40"/>
  <c r="A41" i="40"/>
  <c r="G40" i="40"/>
  <c r="F40" i="40"/>
  <c r="E40" i="40"/>
  <c r="D40" i="40"/>
  <c r="C40" i="40"/>
  <c r="B40" i="40"/>
  <c r="A40" i="40"/>
  <c r="G39" i="40"/>
  <c r="F39" i="40"/>
  <c r="E39" i="40"/>
  <c r="D39" i="40"/>
  <c r="C39" i="40"/>
  <c r="B39" i="40"/>
  <c r="A39" i="40"/>
  <c r="G38" i="40"/>
  <c r="F38" i="40"/>
  <c r="E38" i="40"/>
  <c r="D38" i="40"/>
  <c r="C38" i="40"/>
  <c r="B38" i="40"/>
  <c r="A38" i="40"/>
  <c r="G37" i="40"/>
  <c r="F37" i="40"/>
  <c r="E37" i="40"/>
  <c r="D37" i="40"/>
  <c r="C37" i="40"/>
  <c r="B37" i="40"/>
  <c r="A37" i="40"/>
  <c r="G36" i="40"/>
  <c r="F36" i="40"/>
  <c r="E36" i="40"/>
  <c r="D36" i="40"/>
  <c r="C36" i="40"/>
  <c r="B36" i="40"/>
  <c r="A36" i="40"/>
  <c r="G35" i="40"/>
  <c r="F35" i="40"/>
  <c r="E35" i="40"/>
  <c r="D35" i="40"/>
  <c r="C35" i="40"/>
  <c r="B35" i="40"/>
  <c r="A35" i="40"/>
  <c r="G34" i="40"/>
  <c r="F34" i="40"/>
  <c r="E34" i="40"/>
  <c r="D34" i="40"/>
  <c r="C34" i="40"/>
  <c r="B34" i="40"/>
  <c r="A34" i="40"/>
  <c r="G33" i="40"/>
  <c r="F33" i="40"/>
  <c r="E33" i="40"/>
  <c r="D33" i="40"/>
  <c r="C33" i="40"/>
  <c r="B33" i="40"/>
  <c r="A33" i="40"/>
  <c r="G32" i="40"/>
  <c r="F32" i="40"/>
  <c r="E32" i="40"/>
  <c r="D32" i="40"/>
  <c r="C32" i="40"/>
  <c r="B32" i="40"/>
  <c r="A32" i="40"/>
  <c r="G31" i="40"/>
  <c r="F31" i="40"/>
  <c r="E31" i="40"/>
  <c r="D31" i="40"/>
  <c r="C31" i="40"/>
  <c r="B31" i="40"/>
  <c r="A31" i="40"/>
  <c r="G30" i="40"/>
  <c r="F30" i="40"/>
  <c r="E30" i="40"/>
  <c r="D30" i="40"/>
  <c r="C30" i="40"/>
  <c r="B30" i="40"/>
  <c r="A30" i="40"/>
  <c r="G29" i="40"/>
  <c r="F29" i="40"/>
  <c r="E29" i="40"/>
  <c r="D29" i="40"/>
  <c r="C29" i="40"/>
  <c r="B29" i="40"/>
  <c r="A29" i="40"/>
  <c r="G28" i="40"/>
  <c r="F28" i="40"/>
  <c r="E28" i="40"/>
  <c r="D28" i="40"/>
  <c r="C28" i="40"/>
  <c r="B28" i="40"/>
  <c r="A28" i="40"/>
  <c r="G27" i="40"/>
  <c r="F27" i="40"/>
  <c r="E27" i="40"/>
  <c r="D27" i="40"/>
  <c r="C27" i="40"/>
  <c r="B27" i="40"/>
  <c r="A27" i="40"/>
  <c r="G26" i="40"/>
  <c r="F26" i="40"/>
  <c r="E26" i="40"/>
  <c r="D26" i="40"/>
  <c r="C26" i="40"/>
  <c r="B26" i="40"/>
  <c r="A26" i="40"/>
  <c r="G25" i="40"/>
  <c r="F25" i="40"/>
  <c r="E25" i="40"/>
  <c r="D25" i="40"/>
  <c r="C25" i="40"/>
  <c r="B25" i="40"/>
  <c r="A25" i="40"/>
  <c r="G24" i="40"/>
  <c r="F24" i="40"/>
  <c r="E24" i="40"/>
  <c r="D24" i="40"/>
  <c r="C24" i="40"/>
  <c r="B24" i="40"/>
  <c r="A24" i="40"/>
  <c r="G23" i="40"/>
  <c r="F23" i="40"/>
  <c r="E23" i="40"/>
  <c r="D23" i="40"/>
  <c r="C23" i="40"/>
  <c r="B23" i="40"/>
  <c r="A23" i="40"/>
  <c r="G22" i="40"/>
  <c r="F22" i="40"/>
  <c r="E22" i="40"/>
  <c r="D22" i="40"/>
  <c r="C22" i="40"/>
  <c r="B22" i="40"/>
  <c r="A22" i="40"/>
  <c r="G21" i="40"/>
  <c r="F21" i="40"/>
  <c r="E21" i="40"/>
  <c r="D21" i="40"/>
  <c r="C21" i="40"/>
  <c r="B21" i="40"/>
  <c r="A21" i="40"/>
  <c r="G20" i="40"/>
  <c r="F20" i="40"/>
  <c r="E20" i="40"/>
  <c r="D20" i="40"/>
  <c r="C20" i="40"/>
  <c r="B20" i="40"/>
  <c r="A20" i="40"/>
  <c r="G19" i="40"/>
  <c r="F19" i="40"/>
  <c r="E19" i="40"/>
  <c r="D19" i="40"/>
  <c r="C19" i="40"/>
  <c r="B19" i="40"/>
  <c r="A19" i="40"/>
  <c r="G18" i="40"/>
  <c r="F18" i="40"/>
  <c r="E18" i="40"/>
  <c r="D18" i="40"/>
  <c r="C18" i="40"/>
  <c r="B18" i="40"/>
  <c r="A18" i="40"/>
  <c r="G17" i="40"/>
  <c r="F17" i="40"/>
  <c r="E17" i="40"/>
  <c r="D17" i="40"/>
  <c r="C17" i="40"/>
  <c r="B17" i="40"/>
  <c r="A17" i="40"/>
  <c r="G16" i="40"/>
  <c r="F16" i="40"/>
  <c r="E16" i="40"/>
  <c r="D16" i="40"/>
  <c r="C16" i="40"/>
  <c r="B16" i="40"/>
  <c r="A16" i="40"/>
  <c r="G15" i="40"/>
  <c r="F15" i="40"/>
  <c r="E15" i="40"/>
  <c r="D15" i="40"/>
  <c r="C15" i="40"/>
  <c r="B15" i="40"/>
  <c r="A15" i="40"/>
  <c r="G14" i="40"/>
  <c r="F14" i="40"/>
  <c r="E14" i="40"/>
  <c r="D14" i="40"/>
  <c r="C14" i="40"/>
  <c r="B14" i="40"/>
  <c r="A14" i="40"/>
  <c r="G13" i="40"/>
  <c r="F13" i="40"/>
  <c r="E13" i="40"/>
  <c r="D13" i="40"/>
  <c r="C13" i="40"/>
  <c r="B13" i="40"/>
  <c r="A13" i="40"/>
  <c r="G12" i="40"/>
  <c r="F12" i="40"/>
  <c r="E12" i="40"/>
  <c r="D12" i="40"/>
  <c r="C12" i="40"/>
  <c r="B12" i="40"/>
  <c r="A12" i="40"/>
  <c r="G11" i="40"/>
  <c r="F11" i="40"/>
  <c r="E11" i="40"/>
  <c r="D11" i="40"/>
  <c r="C11" i="40"/>
  <c r="B11" i="40"/>
  <c r="A11" i="40"/>
  <c r="G10" i="40"/>
  <c r="F10" i="40"/>
  <c r="E10" i="40"/>
  <c r="D10" i="40"/>
  <c r="C10" i="40"/>
  <c r="B10" i="40"/>
  <c r="A10" i="40"/>
  <c r="G9" i="40"/>
  <c r="F9" i="40"/>
  <c r="E9" i="40"/>
  <c r="D9" i="40"/>
  <c r="C9" i="40"/>
  <c r="B9" i="40"/>
  <c r="A9" i="40"/>
  <c r="G8" i="40"/>
  <c r="F8" i="40"/>
  <c r="E8" i="40"/>
  <c r="D8" i="40"/>
  <c r="C8" i="40"/>
  <c r="B8" i="40"/>
  <c r="A8" i="40"/>
  <c r="G7" i="40"/>
  <c r="F7" i="40"/>
  <c r="E7" i="40"/>
  <c r="D7" i="40"/>
  <c r="C7" i="40"/>
  <c r="B7" i="40"/>
  <c r="A7" i="40"/>
  <c r="G6" i="40"/>
  <c r="F6" i="40"/>
  <c r="E6" i="40"/>
  <c r="D6" i="40"/>
  <c r="C6" i="40"/>
  <c r="B6" i="40"/>
  <c r="A6" i="40"/>
  <c r="G5" i="40"/>
  <c r="F5" i="40"/>
  <c r="E5" i="40"/>
  <c r="D5" i="40"/>
  <c r="C5" i="40"/>
  <c r="B5" i="40"/>
  <c r="A5" i="40"/>
  <c r="G4" i="40"/>
  <c r="F4" i="40"/>
  <c r="E4" i="40"/>
  <c r="D4" i="40"/>
  <c r="C4" i="40"/>
  <c r="B4" i="40"/>
  <c r="A4" i="40"/>
  <c r="G3" i="40"/>
  <c r="F3" i="40"/>
  <c r="E3" i="40"/>
  <c r="D3" i="40"/>
  <c r="C3" i="40"/>
  <c r="B3" i="40"/>
  <c r="A3" i="40"/>
  <c r="G2" i="40"/>
  <c r="F2" i="40"/>
  <c r="E2" i="40"/>
  <c r="D2" i="40"/>
  <c r="C2" i="40"/>
  <c r="B2" i="40"/>
  <c r="A2" i="40"/>
  <c r="G1" i="40"/>
  <c r="F1" i="40"/>
  <c r="E1" i="40"/>
  <c r="D1" i="40"/>
  <c r="C1" i="40"/>
  <c r="B1" i="40"/>
  <c r="A1" i="40"/>
  <c r="G266" i="39"/>
  <c r="F266" i="39"/>
  <c r="E266" i="39"/>
  <c r="D266" i="39"/>
  <c r="C266" i="39"/>
  <c r="B266" i="39"/>
  <c r="A266" i="39"/>
  <c r="G265" i="39"/>
  <c r="F265" i="39"/>
  <c r="E265" i="39"/>
  <c r="D265" i="39"/>
  <c r="C265" i="39"/>
  <c r="B265" i="39"/>
  <c r="A265" i="39"/>
  <c r="G264" i="39"/>
  <c r="F264" i="39"/>
  <c r="E264" i="39"/>
  <c r="D264" i="39"/>
  <c r="C264" i="39"/>
  <c r="B264" i="39"/>
  <c r="A264" i="39"/>
  <c r="G263" i="39"/>
  <c r="F263" i="39"/>
  <c r="E263" i="39"/>
  <c r="D263" i="39"/>
  <c r="C263" i="39"/>
  <c r="B263" i="39"/>
  <c r="A263" i="39"/>
  <c r="G262" i="39"/>
  <c r="F262" i="39"/>
  <c r="E262" i="39"/>
  <c r="D262" i="39"/>
  <c r="C262" i="39"/>
  <c r="B262" i="39"/>
  <c r="A262" i="39"/>
  <c r="G261" i="39"/>
  <c r="F261" i="39"/>
  <c r="E261" i="39"/>
  <c r="D261" i="39"/>
  <c r="C261" i="39"/>
  <c r="B261" i="39"/>
  <c r="A261" i="39"/>
  <c r="G260" i="39"/>
  <c r="F260" i="39"/>
  <c r="E260" i="39"/>
  <c r="D260" i="39"/>
  <c r="C260" i="39"/>
  <c r="B260" i="39"/>
  <c r="A260" i="39"/>
  <c r="G259" i="39"/>
  <c r="F259" i="39"/>
  <c r="E259" i="39"/>
  <c r="D259" i="39"/>
  <c r="C259" i="39"/>
  <c r="B259" i="39"/>
  <c r="A259" i="39"/>
  <c r="G258" i="39"/>
  <c r="F258" i="39"/>
  <c r="E258" i="39"/>
  <c r="D258" i="39"/>
  <c r="C258" i="39"/>
  <c r="B258" i="39"/>
  <c r="A258" i="39"/>
  <c r="G257" i="39"/>
  <c r="F257" i="39"/>
  <c r="E257" i="39"/>
  <c r="D257" i="39"/>
  <c r="C257" i="39"/>
  <c r="B257" i="39"/>
  <c r="A257" i="39"/>
  <c r="G256" i="39"/>
  <c r="F256" i="39"/>
  <c r="E256" i="39"/>
  <c r="D256" i="39"/>
  <c r="C256" i="39"/>
  <c r="B256" i="39"/>
  <c r="A256" i="39"/>
  <c r="G255" i="39"/>
  <c r="F255" i="39"/>
  <c r="E255" i="39"/>
  <c r="D255" i="39"/>
  <c r="C255" i="39"/>
  <c r="B255" i="39"/>
  <c r="A255" i="39"/>
  <c r="G254" i="39"/>
  <c r="F254" i="39"/>
  <c r="E254" i="39"/>
  <c r="D254" i="39"/>
  <c r="C254" i="39"/>
  <c r="B254" i="39"/>
  <c r="A254" i="39"/>
  <c r="G253" i="39"/>
  <c r="F253" i="39"/>
  <c r="E253" i="39"/>
  <c r="D253" i="39"/>
  <c r="C253" i="39"/>
  <c r="B253" i="39"/>
  <c r="A253" i="39"/>
  <c r="G252" i="39"/>
  <c r="F252" i="39"/>
  <c r="E252" i="39"/>
  <c r="D252" i="39"/>
  <c r="C252" i="39"/>
  <c r="B252" i="39"/>
  <c r="A252" i="39"/>
  <c r="G251" i="39"/>
  <c r="F251" i="39"/>
  <c r="E251" i="39"/>
  <c r="D251" i="39"/>
  <c r="C251" i="39"/>
  <c r="B251" i="39"/>
  <c r="A251" i="39"/>
  <c r="G250" i="39"/>
  <c r="F250" i="39"/>
  <c r="E250" i="39"/>
  <c r="D250" i="39"/>
  <c r="C250" i="39"/>
  <c r="B250" i="39"/>
  <c r="A250" i="39"/>
  <c r="G249" i="39"/>
  <c r="F249" i="39"/>
  <c r="E249" i="39"/>
  <c r="D249" i="39"/>
  <c r="C249" i="39"/>
  <c r="B249" i="39"/>
  <c r="A249" i="39"/>
  <c r="G248" i="39"/>
  <c r="F248" i="39"/>
  <c r="E248" i="39"/>
  <c r="D248" i="39"/>
  <c r="C248" i="39"/>
  <c r="B248" i="39"/>
  <c r="A248" i="39"/>
  <c r="G247" i="39"/>
  <c r="F247" i="39"/>
  <c r="E247" i="39"/>
  <c r="D247" i="39"/>
  <c r="C247" i="39"/>
  <c r="B247" i="39"/>
  <c r="A247" i="39"/>
  <c r="G246" i="39"/>
  <c r="F246" i="39"/>
  <c r="E246" i="39"/>
  <c r="D246" i="39"/>
  <c r="C246" i="39"/>
  <c r="B246" i="39"/>
  <c r="A246" i="39"/>
  <c r="G245" i="39"/>
  <c r="F245" i="39"/>
  <c r="E245" i="39"/>
  <c r="D245" i="39"/>
  <c r="C245" i="39"/>
  <c r="B245" i="39"/>
  <c r="A245" i="39"/>
  <c r="G244" i="39"/>
  <c r="F244" i="39"/>
  <c r="E244" i="39"/>
  <c r="D244" i="39"/>
  <c r="C244" i="39"/>
  <c r="B244" i="39"/>
  <c r="A244" i="39"/>
  <c r="G243" i="39"/>
  <c r="F243" i="39"/>
  <c r="E243" i="39"/>
  <c r="D243" i="39"/>
  <c r="C243" i="39"/>
  <c r="B243" i="39"/>
  <c r="A243" i="39"/>
  <c r="G242" i="39"/>
  <c r="F242" i="39"/>
  <c r="E242" i="39"/>
  <c r="D242" i="39"/>
  <c r="C242" i="39"/>
  <c r="B242" i="39"/>
  <c r="A242" i="39"/>
  <c r="G241" i="39"/>
  <c r="F241" i="39"/>
  <c r="E241" i="39"/>
  <c r="D241" i="39"/>
  <c r="C241" i="39"/>
  <c r="B241" i="39"/>
  <c r="A241" i="39"/>
  <c r="G240" i="39"/>
  <c r="F240" i="39"/>
  <c r="E240" i="39"/>
  <c r="D240" i="39"/>
  <c r="C240" i="39"/>
  <c r="B240" i="39"/>
  <c r="A240" i="39"/>
  <c r="G239" i="39"/>
  <c r="F239" i="39"/>
  <c r="E239" i="39"/>
  <c r="D239" i="39"/>
  <c r="C239" i="39"/>
  <c r="B239" i="39"/>
  <c r="A239" i="39"/>
  <c r="G238" i="39"/>
  <c r="F238" i="39"/>
  <c r="E238" i="39"/>
  <c r="D238" i="39"/>
  <c r="C238" i="39"/>
  <c r="B238" i="39"/>
  <c r="A238" i="39"/>
  <c r="G237" i="39"/>
  <c r="F237" i="39"/>
  <c r="E237" i="39"/>
  <c r="D237" i="39"/>
  <c r="C237" i="39"/>
  <c r="B237" i="39"/>
  <c r="A237" i="39"/>
  <c r="G236" i="39"/>
  <c r="F236" i="39"/>
  <c r="E236" i="39"/>
  <c r="D236" i="39"/>
  <c r="C236" i="39"/>
  <c r="B236" i="39"/>
  <c r="A236" i="39"/>
  <c r="G235" i="39"/>
  <c r="F235" i="39"/>
  <c r="E235" i="39"/>
  <c r="D235" i="39"/>
  <c r="C235" i="39"/>
  <c r="B235" i="39"/>
  <c r="A235" i="39"/>
  <c r="G234" i="39"/>
  <c r="F234" i="39"/>
  <c r="E234" i="39"/>
  <c r="D234" i="39"/>
  <c r="C234" i="39"/>
  <c r="B234" i="39"/>
  <c r="A234" i="39"/>
  <c r="G233" i="39"/>
  <c r="F233" i="39"/>
  <c r="E233" i="39"/>
  <c r="D233" i="39"/>
  <c r="C233" i="39"/>
  <c r="B233" i="39"/>
  <c r="A233" i="39"/>
  <c r="G232" i="39"/>
  <c r="F232" i="39"/>
  <c r="E232" i="39"/>
  <c r="D232" i="39"/>
  <c r="C232" i="39"/>
  <c r="B232" i="39"/>
  <c r="A232" i="39"/>
  <c r="G231" i="39"/>
  <c r="F231" i="39"/>
  <c r="E231" i="39"/>
  <c r="D231" i="39"/>
  <c r="C231" i="39"/>
  <c r="B231" i="39"/>
  <c r="A231" i="39"/>
  <c r="G230" i="39"/>
  <c r="F230" i="39"/>
  <c r="E230" i="39"/>
  <c r="D230" i="39"/>
  <c r="C230" i="39"/>
  <c r="B230" i="39"/>
  <c r="A230" i="39"/>
  <c r="G229" i="39"/>
  <c r="F229" i="39"/>
  <c r="E229" i="39"/>
  <c r="D229" i="39"/>
  <c r="C229" i="39"/>
  <c r="B229" i="39"/>
  <c r="A229" i="39"/>
  <c r="G228" i="39"/>
  <c r="F228" i="39"/>
  <c r="E228" i="39"/>
  <c r="D228" i="39"/>
  <c r="C228" i="39"/>
  <c r="B228" i="39"/>
  <c r="A228" i="39"/>
  <c r="G227" i="39"/>
  <c r="F227" i="39"/>
  <c r="E227" i="39"/>
  <c r="D227" i="39"/>
  <c r="C227" i="39"/>
  <c r="B227" i="39"/>
  <c r="A227" i="39"/>
  <c r="G226" i="39"/>
  <c r="F226" i="39"/>
  <c r="E226" i="39"/>
  <c r="D226" i="39"/>
  <c r="C226" i="39"/>
  <c r="B226" i="39"/>
  <c r="A226" i="39"/>
  <c r="G225" i="39"/>
  <c r="F225" i="39"/>
  <c r="E225" i="39"/>
  <c r="D225" i="39"/>
  <c r="C225" i="39"/>
  <c r="B225" i="39"/>
  <c r="A225" i="39"/>
  <c r="G224" i="39"/>
  <c r="F224" i="39"/>
  <c r="E224" i="39"/>
  <c r="D224" i="39"/>
  <c r="C224" i="39"/>
  <c r="B224" i="39"/>
  <c r="A224" i="39"/>
  <c r="G223" i="39"/>
  <c r="F223" i="39"/>
  <c r="E223" i="39"/>
  <c r="D223" i="39"/>
  <c r="C223" i="39"/>
  <c r="B223" i="39"/>
  <c r="A223" i="39"/>
  <c r="G222" i="39"/>
  <c r="F222" i="39"/>
  <c r="E222" i="39"/>
  <c r="D222" i="39"/>
  <c r="C222" i="39"/>
  <c r="B222" i="39"/>
  <c r="A222" i="39"/>
  <c r="G221" i="39"/>
  <c r="F221" i="39"/>
  <c r="E221" i="39"/>
  <c r="D221" i="39"/>
  <c r="C221" i="39"/>
  <c r="B221" i="39"/>
  <c r="A221" i="39"/>
  <c r="G220" i="39"/>
  <c r="F220" i="39"/>
  <c r="E220" i="39"/>
  <c r="D220" i="39"/>
  <c r="C220" i="39"/>
  <c r="B220" i="39"/>
  <c r="A220" i="39"/>
  <c r="G219" i="39"/>
  <c r="F219" i="39"/>
  <c r="E219" i="39"/>
  <c r="D219" i="39"/>
  <c r="C219" i="39"/>
  <c r="B219" i="39"/>
  <c r="A219" i="39"/>
  <c r="G218" i="39"/>
  <c r="F218" i="39"/>
  <c r="E218" i="39"/>
  <c r="D218" i="39"/>
  <c r="C218" i="39"/>
  <c r="B218" i="39"/>
  <c r="A218" i="39"/>
  <c r="G217" i="39"/>
  <c r="F217" i="39"/>
  <c r="E217" i="39"/>
  <c r="D217" i="39"/>
  <c r="C217" i="39"/>
  <c r="B217" i="39"/>
  <c r="A217" i="39"/>
  <c r="G216" i="39"/>
  <c r="F216" i="39"/>
  <c r="E216" i="39"/>
  <c r="D216" i="39"/>
  <c r="C216" i="39"/>
  <c r="B216" i="39"/>
  <c r="A216" i="39"/>
  <c r="G215" i="39"/>
  <c r="F215" i="39"/>
  <c r="E215" i="39"/>
  <c r="D215" i="39"/>
  <c r="C215" i="39"/>
  <c r="B215" i="39"/>
  <c r="A215" i="39"/>
  <c r="G214" i="39"/>
  <c r="F214" i="39"/>
  <c r="E214" i="39"/>
  <c r="D214" i="39"/>
  <c r="C214" i="39"/>
  <c r="B214" i="39"/>
  <c r="A214" i="39"/>
  <c r="G213" i="39"/>
  <c r="F213" i="39"/>
  <c r="E213" i="39"/>
  <c r="D213" i="39"/>
  <c r="C213" i="39"/>
  <c r="B213" i="39"/>
  <c r="A213" i="39"/>
  <c r="G212" i="39"/>
  <c r="F212" i="39"/>
  <c r="E212" i="39"/>
  <c r="D212" i="39"/>
  <c r="C212" i="39"/>
  <c r="B212" i="39"/>
  <c r="A212" i="39"/>
  <c r="G211" i="39"/>
  <c r="F211" i="39"/>
  <c r="E211" i="39"/>
  <c r="D211" i="39"/>
  <c r="C211" i="39"/>
  <c r="B211" i="39"/>
  <c r="A211" i="39"/>
  <c r="G210" i="39"/>
  <c r="F210" i="39"/>
  <c r="E210" i="39"/>
  <c r="D210" i="39"/>
  <c r="C210" i="39"/>
  <c r="B210" i="39"/>
  <c r="A210" i="39"/>
  <c r="G209" i="39"/>
  <c r="F209" i="39"/>
  <c r="E209" i="39"/>
  <c r="D209" i="39"/>
  <c r="C209" i="39"/>
  <c r="B209" i="39"/>
  <c r="A209" i="39"/>
  <c r="G208" i="39"/>
  <c r="F208" i="39"/>
  <c r="E208" i="39"/>
  <c r="D208" i="39"/>
  <c r="C208" i="39"/>
  <c r="B208" i="39"/>
  <c r="A208" i="39"/>
  <c r="G207" i="39"/>
  <c r="F207" i="39"/>
  <c r="E207" i="39"/>
  <c r="D207" i="39"/>
  <c r="C207" i="39"/>
  <c r="B207" i="39"/>
  <c r="A207" i="39"/>
  <c r="G206" i="39"/>
  <c r="F206" i="39"/>
  <c r="E206" i="39"/>
  <c r="D206" i="39"/>
  <c r="C206" i="39"/>
  <c r="B206" i="39"/>
  <c r="A206" i="39"/>
  <c r="G205" i="39"/>
  <c r="F205" i="39"/>
  <c r="E205" i="39"/>
  <c r="D205" i="39"/>
  <c r="C205" i="39"/>
  <c r="B205" i="39"/>
  <c r="A205" i="39"/>
  <c r="G204" i="39"/>
  <c r="F204" i="39"/>
  <c r="E204" i="39"/>
  <c r="D204" i="39"/>
  <c r="C204" i="39"/>
  <c r="B204" i="39"/>
  <c r="A204" i="39"/>
  <c r="G203" i="39"/>
  <c r="F203" i="39"/>
  <c r="E203" i="39"/>
  <c r="D203" i="39"/>
  <c r="C203" i="39"/>
  <c r="B203" i="39"/>
  <c r="A203" i="39"/>
  <c r="G202" i="39"/>
  <c r="F202" i="39"/>
  <c r="E202" i="39"/>
  <c r="D202" i="39"/>
  <c r="C202" i="39"/>
  <c r="B202" i="39"/>
  <c r="A202" i="39"/>
  <c r="G201" i="39"/>
  <c r="F201" i="39"/>
  <c r="E201" i="39"/>
  <c r="D201" i="39"/>
  <c r="C201" i="39"/>
  <c r="B201" i="39"/>
  <c r="A201" i="39"/>
  <c r="G200" i="39"/>
  <c r="F200" i="39"/>
  <c r="E200" i="39"/>
  <c r="D200" i="39"/>
  <c r="C200" i="39"/>
  <c r="B200" i="39"/>
  <c r="A200" i="39"/>
  <c r="G199" i="39"/>
  <c r="F199" i="39"/>
  <c r="E199" i="39"/>
  <c r="D199" i="39"/>
  <c r="C199" i="39"/>
  <c r="B199" i="39"/>
  <c r="A199" i="39"/>
  <c r="G198" i="39"/>
  <c r="F198" i="39"/>
  <c r="E198" i="39"/>
  <c r="D198" i="39"/>
  <c r="C198" i="39"/>
  <c r="B198" i="39"/>
  <c r="A198" i="39"/>
  <c r="G197" i="39"/>
  <c r="F197" i="39"/>
  <c r="E197" i="39"/>
  <c r="D197" i="39"/>
  <c r="C197" i="39"/>
  <c r="B197" i="39"/>
  <c r="A197" i="39"/>
  <c r="G196" i="39"/>
  <c r="F196" i="39"/>
  <c r="E196" i="39"/>
  <c r="D196" i="39"/>
  <c r="C196" i="39"/>
  <c r="B196" i="39"/>
  <c r="A196" i="39"/>
  <c r="G195" i="39"/>
  <c r="F195" i="39"/>
  <c r="E195" i="39"/>
  <c r="D195" i="39"/>
  <c r="C195" i="39"/>
  <c r="B195" i="39"/>
  <c r="A195" i="39"/>
  <c r="G194" i="39"/>
  <c r="F194" i="39"/>
  <c r="E194" i="39"/>
  <c r="D194" i="39"/>
  <c r="C194" i="39"/>
  <c r="B194" i="39"/>
  <c r="A194" i="39"/>
  <c r="G193" i="39"/>
  <c r="F193" i="39"/>
  <c r="E193" i="39"/>
  <c r="D193" i="39"/>
  <c r="C193" i="39"/>
  <c r="B193" i="39"/>
  <c r="A193" i="39"/>
  <c r="G192" i="39"/>
  <c r="F192" i="39"/>
  <c r="E192" i="39"/>
  <c r="D192" i="39"/>
  <c r="C192" i="39"/>
  <c r="B192" i="39"/>
  <c r="A192" i="39"/>
  <c r="G191" i="39"/>
  <c r="F191" i="39"/>
  <c r="E191" i="39"/>
  <c r="D191" i="39"/>
  <c r="C191" i="39"/>
  <c r="B191" i="39"/>
  <c r="A191" i="39"/>
  <c r="G190" i="39"/>
  <c r="F190" i="39"/>
  <c r="E190" i="39"/>
  <c r="D190" i="39"/>
  <c r="C190" i="39"/>
  <c r="B190" i="39"/>
  <c r="A190" i="39"/>
  <c r="G189" i="39"/>
  <c r="F189" i="39"/>
  <c r="E189" i="39"/>
  <c r="D189" i="39"/>
  <c r="C189" i="39"/>
  <c r="B189" i="39"/>
  <c r="A189" i="39"/>
  <c r="G188" i="39"/>
  <c r="F188" i="39"/>
  <c r="E188" i="39"/>
  <c r="D188" i="39"/>
  <c r="C188" i="39"/>
  <c r="B188" i="39"/>
  <c r="A188" i="39"/>
  <c r="G187" i="39"/>
  <c r="F187" i="39"/>
  <c r="E187" i="39"/>
  <c r="D187" i="39"/>
  <c r="C187" i="39"/>
  <c r="B187" i="39"/>
  <c r="A187" i="39"/>
  <c r="G186" i="39"/>
  <c r="F186" i="39"/>
  <c r="E186" i="39"/>
  <c r="D186" i="39"/>
  <c r="C186" i="39"/>
  <c r="B186" i="39"/>
  <c r="A186" i="39"/>
  <c r="G185" i="39"/>
  <c r="F185" i="39"/>
  <c r="E185" i="39"/>
  <c r="D185" i="39"/>
  <c r="C185" i="39"/>
  <c r="B185" i="39"/>
  <c r="A185" i="39"/>
  <c r="G184" i="39"/>
  <c r="F184" i="39"/>
  <c r="E184" i="39"/>
  <c r="D184" i="39"/>
  <c r="C184" i="39"/>
  <c r="B184" i="39"/>
  <c r="A184" i="39"/>
  <c r="G183" i="39"/>
  <c r="F183" i="39"/>
  <c r="E183" i="39"/>
  <c r="D183" i="39"/>
  <c r="C183" i="39"/>
  <c r="B183" i="39"/>
  <c r="A183" i="39"/>
  <c r="G182" i="39"/>
  <c r="F182" i="39"/>
  <c r="E182" i="39"/>
  <c r="D182" i="39"/>
  <c r="C182" i="39"/>
  <c r="B182" i="39"/>
  <c r="A182" i="39"/>
  <c r="G181" i="39"/>
  <c r="F181" i="39"/>
  <c r="E181" i="39"/>
  <c r="D181" i="39"/>
  <c r="C181" i="39"/>
  <c r="B181" i="39"/>
  <c r="A181" i="39"/>
  <c r="G180" i="39"/>
  <c r="F180" i="39"/>
  <c r="E180" i="39"/>
  <c r="D180" i="39"/>
  <c r="C180" i="39"/>
  <c r="B180" i="39"/>
  <c r="A180" i="39"/>
  <c r="G179" i="39"/>
  <c r="F179" i="39"/>
  <c r="E179" i="39"/>
  <c r="D179" i="39"/>
  <c r="C179" i="39"/>
  <c r="B179" i="39"/>
  <c r="A179" i="39"/>
  <c r="G178" i="39"/>
  <c r="F178" i="39"/>
  <c r="E178" i="39"/>
  <c r="D178" i="39"/>
  <c r="C178" i="39"/>
  <c r="B178" i="39"/>
  <c r="A178" i="39"/>
  <c r="G177" i="39"/>
  <c r="F177" i="39"/>
  <c r="E177" i="39"/>
  <c r="D177" i="39"/>
  <c r="C177" i="39"/>
  <c r="B177" i="39"/>
  <c r="A177" i="39"/>
  <c r="G176" i="39"/>
  <c r="F176" i="39"/>
  <c r="E176" i="39"/>
  <c r="D176" i="39"/>
  <c r="C176" i="39"/>
  <c r="B176" i="39"/>
  <c r="A176" i="39"/>
  <c r="G175" i="39"/>
  <c r="F175" i="39"/>
  <c r="E175" i="39"/>
  <c r="D175" i="39"/>
  <c r="C175" i="39"/>
  <c r="B175" i="39"/>
  <c r="A175" i="39"/>
  <c r="G174" i="39"/>
  <c r="F174" i="39"/>
  <c r="E174" i="39"/>
  <c r="D174" i="39"/>
  <c r="C174" i="39"/>
  <c r="B174" i="39"/>
  <c r="A174" i="39"/>
  <c r="G173" i="39"/>
  <c r="F173" i="39"/>
  <c r="E173" i="39"/>
  <c r="D173" i="39"/>
  <c r="C173" i="39"/>
  <c r="B173" i="39"/>
  <c r="A173" i="39"/>
  <c r="G172" i="39"/>
  <c r="F172" i="39"/>
  <c r="E172" i="39"/>
  <c r="D172" i="39"/>
  <c r="C172" i="39"/>
  <c r="B172" i="39"/>
  <c r="A172" i="39"/>
  <c r="G171" i="39"/>
  <c r="F171" i="39"/>
  <c r="E171" i="39"/>
  <c r="D171" i="39"/>
  <c r="C171" i="39"/>
  <c r="B171" i="39"/>
  <c r="A171" i="39"/>
  <c r="G170" i="39"/>
  <c r="F170" i="39"/>
  <c r="E170" i="39"/>
  <c r="D170" i="39"/>
  <c r="C170" i="39"/>
  <c r="B170" i="39"/>
  <c r="A170" i="39"/>
  <c r="G169" i="39"/>
  <c r="F169" i="39"/>
  <c r="E169" i="39"/>
  <c r="D169" i="39"/>
  <c r="C169" i="39"/>
  <c r="B169" i="39"/>
  <c r="A169" i="39"/>
  <c r="G168" i="39"/>
  <c r="F168" i="39"/>
  <c r="E168" i="39"/>
  <c r="D168" i="39"/>
  <c r="C168" i="39"/>
  <c r="B168" i="39"/>
  <c r="A168" i="39"/>
  <c r="G167" i="39"/>
  <c r="F167" i="39"/>
  <c r="E167" i="39"/>
  <c r="D167" i="39"/>
  <c r="C167" i="39"/>
  <c r="B167" i="39"/>
  <c r="A167" i="39"/>
  <c r="G166" i="39"/>
  <c r="F166" i="39"/>
  <c r="E166" i="39"/>
  <c r="D166" i="39"/>
  <c r="C166" i="39"/>
  <c r="B166" i="39"/>
  <c r="A166" i="39"/>
  <c r="G165" i="39"/>
  <c r="F165" i="39"/>
  <c r="E165" i="39"/>
  <c r="D165" i="39"/>
  <c r="C165" i="39"/>
  <c r="B165" i="39"/>
  <c r="A165" i="39"/>
  <c r="G164" i="39"/>
  <c r="F164" i="39"/>
  <c r="E164" i="39"/>
  <c r="D164" i="39"/>
  <c r="C164" i="39"/>
  <c r="B164" i="39"/>
  <c r="A164" i="39"/>
  <c r="G163" i="39"/>
  <c r="F163" i="39"/>
  <c r="E163" i="39"/>
  <c r="D163" i="39"/>
  <c r="C163" i="39"/>
  <c r="B163" i="39"/>
  <c r="A163" i="39"/>
  <c r="G162" i="39"/>
  <c r="F162" i="39"/>
  <c r="E162" i="39"/>
  <c r="D162" i="39"/>
  <c r="C162" i="39"/>
  <c r="B162" i="39"/>
  <c r="A162" i="39"/>
  <c r="G161" i="39"/>
  <c r="F161" i="39"/>
  <c r="E161" i="39"/>
  <c r="D161" i="39"/>
  <c r="C161" i="39"/>
  <c r="B161" i="39"/>
  <c r="A161" i="39"/>
  <c r="G160" i="39"/>
  <c r="F160" i="39"/>
  <c r="E160" i="39"/>
  <c r="D160" i="39"/>
  <c r="C160" i="39"/>
  <c r="B160" i="39"/>
  <c r="A160" i="39"/>
  <c r="G159" i="39"/>
  <c r="F159" i="39"/>
  <c r="E159" i="39"/>
  <c r="D159" i="39"/>
  <c r="C159" i="39"/>
  <c r="B159" i="39"/>
  <c r="A159" i="39"/>
  <c r="G158" i="39"/>
  <c r="F158" i="39"/>
  <c r="E158" i="39"/>
  <c r="D158" i="39"/>
  <c r="C158" i="39"/>
  <c r="B158" i="39"/>
  <c r="A158" i="39"/>
  <c r="G157" i="39"/>
  <c r="F157" i="39"/>
  <c r="E157" i="39"/>
  <c r="D157" i="39"/>
  <c r="C157" i="39"/>
  <c r="B157" i="39"/>
  <c r="A157" i="39"/>
  <c r="G156" i="39"/>
  <c r="F156" i="39"/>
  <c r="E156" i="39"/>
  <c r="D156" i="39"/>
  <c r="C156" i="39"/>
  <c r="B156" i="39"/>
  <c r="A156" i="39"/>
  <c r="G155" i="39"/>
  <c r="F155" i="39"/>
  <c r="E155" i="39"/>
  <c r="D155" i="39"/>
  <c r="C155" i="39"/>
  <c r="B155" i="39"/>
  <c r="A155" i="39"/>
  <c r="G154" i="39"/>
  <c r="F154" i="39"/>
  <c r="E154" i="39"/>
  <c r="D154" i="39"/>
  <c r="C154" i="39"/>
  <c r="B154" i="39"/>
  <c r="A154" i="39"/>
  <c r="G153" i="39"/>
  <c r="F153" i="39"/>
  <c r="E153" i="39"/>
  <c r="D153" i="39"/>
  <c r="C153" i="39"/>
  <c r="B153" i="39"/>
  <c r="A153" i="39"/>
  <c r="G152" i="39"/>
  <c r="F152" i="39"/>
  <c r="E152" i="39"/>
  <c r="D152" i="39"/>
  <c r="C152" i="39"/>
  <c r="B152" i="39"/>
  <c r="A152" i="39"/>
  <c r="G151" i="39"/>
  <c r="F151" i="39"/>
  <c r="E151" i="39"/>
  <c r="D151" i="39"/>
  <c r="C151" i="39"/>
  <c r="B151" i="39"/>
  <c r="A151" i="39"/>
  <c r="G150" i="39"/>
  <c r="F150" i="39"/>
  <c r="E150" i="39"/>
  <c r="D150" i="39"/>
  <c r="C150" i="39"/>
  <c r="B150" i="39"/>
  <c r="A150" i="39"/>
  <c r="G149" i="39"/>
  <c r="F149" i="39"/>
  <c r="E149" i="39"/>
  <c r="D149" i="39"/>
  <c r="C149" i="39"/>
  <c r="B149" i="39"/>
  <c r="A149" i="39"/>
  <c r="G148" i="39"/>
  <c r="F148" i="39"/>
  <c r="E148" i="39"/>
  <c r="D148" i="39"/>
  <c r="C148" i="39"/>
  <c r="B148" i="39"/>
  <c r="A148" i="39"/>
  <c r="G147" i="39"/>
  <c r="F147" i="39"/>
  <c r="E147" i="39"/>
  <c r="D147" i="39"/>
  <c r="C147" i="39"/>
  <c r="B147" i="39"/>
  <c r="A147" i="39"/>
  <c r="G146" i="39"/>
  <c r="F146" i="39"/>
  <c r="E146" i="39"/>
  <c r="D146" i="39"/>
  <c r="C146" i="39"/>
  <c r="B146" i="39"/>
  <c r="A146" i="39"/>
  <c r="G145" i="39"/>
  <c r="F145" i="39"/>
  <c r="E145" i="39"/>
  <c r="D145" i="39"/>
  <c r="C145" i="39"/>
  <c r="B145" i="39"/>
  <c r="A145" i="39"/>
  <c r="G144" i="39"/>
  <c r="F144" i="39"/>
  <c r="E144" i="39"/>
  <c r="D144" i="39"/>
  <c r="C144" i="39"/>
  <c r="B144" i="39"/>
  <c r="A144" i="39"/>
  <c r="G143" i="39"/>
  <c r="F143" i="39"/>
  <c r="E143" i="39"/>
  <c r="D143" i="39"/>
  <c r="C143" i="39"/>
  <c r="B143" i="39"/>
  <c r="A143" i="39"/>
  <c r="G142" i="39"/>
  <c r="F142" i="39"/>
  <c r="E142" i="39"/>
  <c r="D142" i="39"/>
  <c r="C142" i="39"/>
  <c r="B142" i="39"/>
  <c r="A142" i="39"/>
  <c r="G141" i="39"/>
  <c r="F141" i="39"/>
  <c r="E141" i="39"/>
  <c r="D141" i="39"/>
  <c r="C141" i="39"/>
  <c r="B141" i="39"/>
  <c r="A141" i="39"/>
  <c r="G140" i="39"/>
  <c r="F140" i="39"/>
  <c r="E140" i="39"/>
  <c r="D140" i="39"/>
  <c r="C140" i="39"/>
  <c r="B140" i="39"/>
  <c r="A140" i="39"/>
  <c r="G139" i="39"/>
  <c r="F139" i="39"/>
  <c r="E139" i="39"/>
  <c r="D139" i="39"/>
  <c r="C139" i="39"/>
  <c r="B139" i="39"/>
  <c r="A139" i="39"/>
  <c r="G138" i="39"/>
  <c r="F138" i="39"/>
  <c r="E138" i="39"/>
  <c r="D138" i="39"/>
  <c r="C138" i="39"/>
  <c r="B138" i="39"/>
  <c r="A138" i="39"/>
  <c r="G137" i="39"/>
  <c r="F137" i="39"/>
  <c r="E137" i="39"/>
  <c r="D137" i="39"/>
  <c r="C137" i="39"/>
  <c r="B137" i="39"/>
  <c r="A137" i="39"/>
  <c r="G136" i="39"/>
  <c r="F136" i="39"/>
  <c r="E136" i="39"/>
  <c r="D136" i="39"/>
  <c r="C136" i="39"/>
  <c r="B136" i="39"/>
  <c r="A136" i="39"/>
  <c r="G135" i="39"/>
  <c r="F135" i="39"/>
  <c r="E135" i="39"/>
  <c r="D135" i="39"/>
  <c r="C135" i="39"/>
  <c r="B135" i="39"/>
  <c r="A135" i="39"/>
  <c r="G134" i="39"/>
  <c r="F134" i="39"/>
  <c r="E134" i="39"/>
  <c r="D134" i="39"/>
  <c r="C134" i="39"/>
  <c r="B134" i="39"/>
  <c r="A134" i="39"/>
  <c r="G133" i="39"/>
  <c r="F133" i="39"/>
  <c r="E133" i="39"/>
  <c r="D133" i="39"/>
  <c r="C133" i="39"/>
  <c r="B133" i="39"/>
  <c r="A133" i="39"/>
  <c r="G132" i="39"/>
  <c r="F132" i="39"/>
  <c r="E132" i="39"/>
  <c r="D132" i="39"/>
  <c r="C132" i="39"/>
  <c r="B132" i="39"/>
  <c r="A132" i="39"/>
  <c r="G131" i="39"/>
  <c r="F131" i="39"/>
  <c r="E131" i="39"/>
  <c r="D131" i="39"/>
  <c r="C131" i="39"/>
  <c r="B131" i="39"/>
  <c r="A131" i="39"/>
  <c r="G130" i="39"/>
  <c r="F130" i="39"/>
  <c r="E130" i="39"/>
  <c r="D130" i="39"/>
  <c r="C130" i="39"/>
  <c r="B130" i="39"/>
  <c r="A130" i="39"/>
  <c r="G129" i="39"/>
  <c r="F129" i="39"/>
  <c r="E129" i="39"/>
  <c r="D129" i="39"/>
  <c r="C129" i="39"/>
  <c r="B129" i="39"/>
  <c r="A129" i="39"/>
  <c r="G128" i="39"/>
  <c r="F128" i="39"/>
  <c r="E128" i="39"/>
  <c r="D128" i="39"/>
  <c r="C128" i="39"/>
  <c r="B128" i="39"/>
  <c r="A128" i="39"/>
  <c r="G127" i="39"/>
  <c r="F127" i="39"/>
  <c r="E127" i="39"/>
  <c r="D127" i="39"/>
  <c r="C127" i="39"/>
  <c r="B127" i="39"/>
  <c r="A127" i="39"/>
  <c r="G126" i="39"/>
  <c r="F126" i="39"/>
  <c r="E126" i="39"/>
  <c r="D126" i="39"/>
  <c r="C126" i="39"/>
  <c r="B126" i="39"/>
  <c r="A126" i="39"/>
  <c r="G125" i="39"/>
  <c r="F125" i="39"/>
  <c r="E125" i="39"/>
  <c r="D125" i="39"/>
  <c r="C125" i="39"/>
  <c r="B125" i="39"/>
  <c r="A125" i="39"/>
  <c r="G124" i="39"/>
  <c r="F124" i="39"/>
  <c r="E124" i="39"/>
  <c r="D124" i="39"/>
  <c r="C124" i="39"/>
  <c r="B124" i="39"/>
  <c r="A124" i="39"/>
  <c r="G123" i="39"/>
  <c r="F123" i="39"/>
  <c r="E123" i="39"/>
  <c r="D123" i="39"/>
  <c r="C123" i="39"/>
  <c r="B123" i="39"/>
  <c r="A123" i="39"/>
  <c r="G122" i="39"/>
  <c r="F122" i="39"/>
  <c r="E122" i="39"/>
  <c r="D122" i="39"/>
  <c r="C122" i="39"/>
  <c r="B122" i="39"/>
  <c r="A122" i="39"/>
  <c r="G121" i="39"/>
  <c r="F121" i="39"/>
  <c r="E121" i="39"/>
  <c r="D121" i="39"/>
  <c r="C121" i="39"/>
  <c r="B121" i="39"/>
  <c r="A121" i="39"/>
  <c r="G120" i="39"/>
  <c r="F120" i="39"/>
  <c r="E120" i="39"/>
  <c r="D120" i="39"/>
  <c r="C120" i="39"/>
  <c r="B120" i="39"/>
  <c r="A120" i="39"/>
  <c r="G119" i="39"/>
  <c r="F119" i="39"/>
  <c r="E119" i="39"/>
  <c r="D119" i="39"/>
  <c r="C119" i="39"/>
  <c r="B119" i="39"/>
  <c r="A119" i="39"/>
  <c r="G118" i="39"/>
  <c r="F118" i="39"/>
  <c r="E118" i="39"/>
  <c r="D118" i="39"/>
  <c r="C118" i="39"/>
  <c r="B118" i="39"/>
  <c r="A118" i="39"/>
  <c r="G117" i="39"/>
  <c r="F117" i="39"/>
  <c r="E117" i="39"/>
  <c r="D117" i="39"/>
  <c r="C117" i="39"/>
  <c r="B117" i="39"/>
  <c r="A117" i="39"/>
  <c r="G116" i="39"/>
  <c r="F116" i="39"/>
  <c r="E116" i="39"/>
  <c r="D116" i="39"/>
  <c r="C116" i="39"/>
  <c r="B116" i="39"/>
  <c r="A116" i="39"/>
  <c r="G115" i="39"/>
  <c r="F115" i="39"/>
  <c r="E115" i="39"/>
  <c r="D115" i="39"/>
  <c r="C115" i="39"/>
  <c r="B115" i="39"/>
  <c r="A115" i="39"/>
  <c r="G114" i="39"/>
  <c r="F114" i="39"/>
  <c r="E114" i="39"/>
  <c r="D114" i="39"/>
  <c r="C114" i="39"/>
  <c r="B114" i="39"/>
  <c r="A114" i="39"/>
  <c r="G113" i="39"/>
  <c r="F113" i="39"/>
  <c r="E113" i="39"/>
  <c r="D113" i="39"/>
  <c r="C113" i="39"/>
  <c r="B113" i="39"/>
  <c r="A113" i="39"/>
  <c r="G112" i="39"/>
  <c r="F112" i="39"/>
  <c r="E112" i="39"/>
  <c r="D112" i="39"/>
  <c r="C112" i="39"/>
  <c r="B112" i="39"/>
  <c r="A112" i="39"/>
  <c r="G111" i="39"/>
  <c r="F111" i="39"/>
  <c r="E111" i="39"/>
  <c r="D111" i="39"/>
  <c r="C111" i="39"/>
  <c r="B111" i="39"/>
  <c r="A111" i="39"/>
  <c r="G110" i="39"/>
  <c r="F110" i="39"/>
  <c r="E110" i="39"/>
  <c r="D110" i="39"/>
  <c r="C110" i="39"/>
  <c r="B110" i="39"/>
  <c r="A110" i="39"/>
  <c r="G109" i="39"/>
  <c r="F109" i="39"/>
  <c r="E109" i="39"/>
  <c r="D109" i="39"/>
  <c r="C109" i="39"/>
  <c r="B109" i="39"/>
  <c r="A109" i="39"/>
  <c r="G108" i="39"/>
  <c r="F108" i="39"/>
  <c r="E108" i="39"/>
  <c r="D108" i="39"/>
  <c r="C108" i="39"/>
  <c r="B108" i="39"/>
  <c r="A108" i="39"/>
  <c r="G107" i="39"/>
  <c r="F107" i="39"/>
  <c r="E107" i="39"/>
  <c r="D107" i="39"/>
  <c r="C107" i="39"/>
  <c r="B107" i="39"/>
  <c r="A107" i="39"/>
  <c r="G106" i="39"/>
  <c r="F106" i="39"/>
  <c r="E106" i="39"/>
  <c r="D106" i="39"/>
  <c r="C106" i="39"/>
  <c r="B106" i="39"/>
  <c r="A106" i="39"/>
  <c r="G105" i="39"/>
  <c r="F105" i="39"/>
  <c r="E105" i="39"/>
  <c r="D105" i="39"/>
  <c r="C105" i="39"/>
  <c r="B105" i="39"/>
  <c r="A105" i="39"/>
  <c r="G104" i="39"/>
  <c r="F104" i="39"/>
  <c r="E104" i="39"/>
  <c r="D104" i="39"/>
  <c r="C104" i="39"/>
  <c r="B104" i="39"/>
  <c r="A104" i="39"/>
  <c r="G103" i="39"/>
  <c r="F103" i="39"/>
  <c r="E103" i="39"/>
  <c r="D103" i="39"/>
  <c r="C103" i="39"/>
  <c r="B103" i="39"/>
  <c r="A103" i="39"/>
  <c r="G102" i="39"/>
  <c r="F102" i="39"/>
  <c r="E102" i="39"/>
  <c r="D102" i="39"/>
  <c r="C102" i="39"/>
  <c r="B102" i="39"/>
  <c r="A102" i="39"/>
  <c r="G101" i="39"/>
  <c r="F101" i="39"/>
  <c r="E101" i="39"/>
  <c r="D101" i="39"/>
  <c r="C101" i="39"/>
  <c r="B101" i="39"/>
  <c r="A101" i="39"/>
  <c r="G100" i="39"/>
  <c r="F100" i="39"/>
  <c r="E100" i="39"/>
  <c r="D100" i="39"/>
  <c r="C100" i="39"/>
  <c r="B100" i="39"/>
  <c r="A100" i="39"/>
  <c r="G99" i="39"/>
  <c r="F99" i="39"/>
  <c r="E99" i="39"/>
  <c r="D99" i="39"/>
  <c r="C99" i="39"/>
  <c r="B99" i="39"/>
  <c r="A99" i="39"/>
  <c r="G98" i="39"/>
  <c r="F98" i="39"/>
  <c r="E98" i="39"/>
  <c r="D98" i="39"/>
  <c r="C98" i="39"/>
  <c r="B98" i="39"/>
  <c r="A98" i="39"/>
  <c r="G97" i="39"/>
  <c r="F97" i="39"/>
  <c r="E97" i="39"/>
  <c r="D97" i="39"/>
  <c r="C97" i="39"/>
  <c r="B97" i="39"/>
  <c r="A97" i="39"/>
  <c r="G96" i="39"/>
  <c r="F96" i="39"/>
  <c r="E96" i="39"/>
  <c r="D96" i="39"/>
  <c r="C96" i="39"/>
  <c r="B96" i="39"/>
  <c r="A96" i="39"/>
  <c r="G95" i="39"/>
  <c r="F95" i="39"/>
  <c r="E95" i="39"/>
  <c r="D95" i="39"/>
  <c r="C95" i="39"/>
  <c r="B95" i="39"/>
  <c r="A95" i="39"/>
  <c r="G94" i="39"/>
  <c r="F94" i="39"/>
  <c r="E94" i="39"/>
  <c r="D94" i="39"/>
  <c r="C94" i="39"/>
  <c r="B94" i="39"/>
  <c r="A94" i="39"/>
  <c r="G93" i="39"/>
  <c r="F93" i="39"/>
  <c r="E93" i="39"/>
  <c r="D93" i="39"/>
  <c r="C93" i="39"/>
  <c r="B93" i="39"/>
  <c r="A93" i="39"/>
  <c r="G92" i="39"/>
  <c r="F92" i="39"/>
  <c r="E92" i="39"/>
  <c r="D92" i="39"/>
  <c r="C92" i="39"/>
  <c r="B92" i="39"/>
  <c r="A92" i="39"/>
  <c r="G91" i="39"/>
  <c r="F91" i="39"/>
  <c r="E91" i="39"/>
  <c r="D91" i="39"/>
  <c r="C91" i="39"/>
  <c r="B91" i="39"/>
  <c r="A91" i="39"/>
  <c r="G90" i="39"/>
  <c r="F90" i="39"/>
  <c r="E90" i="39"/>
  <c r="D90" i="39"/>
  <c r="C90" i="39"/>
  <c r="B90" i="39"/>
  <c r="A90" i="39"/>
  <c r="G89" i="39"/>
  <c r="F89" i="39"/>
  <c r="E89" i="39"/>
  <c r="D89" i="39"/>
  <c r="C89" i="39"/>
  <c r="B89" i="39"/>
  <c r="A89" i="39"/>
  <c r="G88" i="39"/>
  <c r="F88" i="39"/>
  <c r="E88" i="39"/>
  <c r="D88" i="39"/>
  <c r="C88" i="39"/>
  <c r="B88" i="39"/>
  <c r="A88" i="39"/>
  <c r="G87" i="39"/>
  <c r="F87" i="39"/>
  <c r="E87" i="39"/>
  <c r="D87" i="39"/>
  <c r="C87" i="39"/>
  <c r="B87" i="39"/>
  <c r="A87" i="39"/>
  <c r="G86" i="39"/>
  <c r="F86" i="39"/>
  <c r="E86" i="39"/>
  <c r="D86" i="39"/>
  <c r="C86" i="39"/>
  <c r="B86" i="39"/>
  <c r="A86" i="39"/>
  <c r="G85" i="39"/>
  <c r="F85" i="39"/>
  <c r="E85" i="39"/>
  <c r="D85" i="39"/>
  <c r="C85" i="39"/>
  <c r="B85" i="39"/>
  <c r="A85" i="39"/>
  <c r="G84" i="39"/>
  <c r="F84" i="39"/>
  <c r="E84" i="39"/>
  <c r="D84" i="39"/>
  <c r="C84" i="39"/>
  <c r="B84" i="39"/>
  <c r="A84" i="39"/>
  <c r="G83" i="39"/>
  <c r="F83" i="39"/>
  <c r="E83" i="39"/>
  <c r="D83" i="39"/>
  <c r="C83" i="39"/>
  <c r="B83" i="39"/>
  <c r="A83" i="39"/>
  <c r="G82" i="39"/>
  <c r="F82" i="39"/>
  <c r="E82" i="39"/>
  <c r="D82" i="39"/>
  <c r="C82" i="39"/>
  <c r="B82" i="39"/>
  <c r="A82" i="39"/>
  <c r="G81" i="39"/>
  <c r="F81" i="39"/>
  <c r="E81" i="39"/>
  <c r="D81" i="39"/>
  <c r="C81" i="39"/>
  <c r="B81" i="39"/>
  <c r="A81" i="39"/>
  <c r="G80" i="39"/>
  <c r="F80" i="39"/>
  <c r="E80" i="39"/>
  <c r="D80" i="39"/>
  <c r="C80" i="39"/>
  <c r="B80" i="39"/>
  <c r="A80" i="39"/>
  <c r="G79" i="39"/>
  <c r="F79" i="39"/>
  <c r="E79" i="39"/>
  <c r="D79" i="39"/>
  <c r="C79" i="39"/>
  <c r="B79" i="39"/>
  <c r="A79" i="39"/>
  <c r="G78" i="39"/>
  <c r="F78" i="39"/>
  <c r="E78" i="39"/>
  <c r="D78" i="39"/>
  <c r="C78" i="39"/>
  <c r="B78" i="39"/>
  <c r="A78" i="39"/>
  <c r="G77" i="39"/>
  <c r="F77" i="39"/>
  <c r="E77" i="39"/>
  <c r="D77" i="39"/>
  <c r="C77" i="39"/>
  <c r="B77" i="39"/>
  <c r="A77" i="39"/>
  <c r="G76" i="39"/>
  <c r="F76" i="39"/>
  <c r="E76" i="39"/>
  <c r="D76" i="39"/>
  <c r="C76" i="39"/>
  <c r="B76" i="39"/>
  <c r="A76" i="39"/>
  <c r="G75" i="39"/>
  <c r="F75" i="39"/>
  <c r="E75" i="39"/>
  <c r="D75" i="39"/>
  <c r="C75" i="39"/>
  <c r="B75" i="39"/>
  <c r="A75" i="39"/>
  <c r="G74" i="39"/>
  <c r="F74" i="39"/>
  <c r="E74" i="39"/>
  <c r="D74" i="39"/>
  <c r="C74" i="39"/>
  <c r="B74" i="39"/>
  <c r="A74" i="39"/>
  <c r="G73" i="39"/>
  <c r="F73" i="39"/>
  <c r="E73" i="39"/>
  <c r="D73" i="39"/>
  <c r="C73" i="39"/>
  <c r="B73" i="39"/>
  <c r="A73" i="39"/>
  <c r="G72" i="39"/>
  <c r="F72" i="39"/>
  <c r="E72" i="39"/>
  <c r="D72" i="39"/>
  <c r="C72" i="39"/>
  <c r="B72" i="39"/>
  <c r="A72" i="39"/>
  <c r="G71" i="39"/>
  <c r="F71" i="39"/>
  <c r="E71" i="39"/>
  <c r="D71" i="39"/>
  <c r="C71" i="39"/>
  <c r="B71" i="39"/>
  <c r="A71" i="39"/>
  <c r="G70" i="39"/>
  <c r="F70" i="39"/>
  <c r="E70" i="39"/>
  <c r="D70" i="39"/>
  <c r="C70" i="39"/>
  <c r="B70" i="39"/>
  <c r="A70" i="39"/>
  <c r="G69" i="39"/>
  <c r="F69" i="39"/>
  <c r="E69" i="39"/>
  <c r="D69" i="39"/>
  <c r="C69" i="39"/>
  <c r="B69" i="39"/>
  <c r="A69" i="39"/>
  <c r="G68" i="39"/>
  <c r="F68" i="39"/>
  <c r="E68" i="39"/>
  <c r="D68" i="39"/>
  <c r="C68" i="39"/>
  <c r="B68" i="39"/>
  <c r="A68" i="39"/>
  <c r="G67" i="39"/>
  <c r="F67" i="39"/>
  <c r="E67" i="39"/>
  <c r="D67" i="39"/>
  <c r="C67" i="39"/>
  <c r="B67" i="39"/>
  <c r="A67" i="39"/>
  <c r="G66" i="39"/>
  <c r="F66" i="39"/>
  <c r="E66" i="39"/>
  <c r="D66" i="39"/>
  <c r="C66" i="39"/>
  <c r="B66" i="39"/>
  <c r="A66" i="39"/>
  <c r="G65" i="39"/>
  <c r="F65" i="39"/>
  <c r="E65" i="39"/>
  <c r="D65" i="39"/>
  <c r="C65" i="39"/>
  <c r="B65" i="39"/>
  <c r="A65" i="39"/>
  <c r="G64" i="39"/>
  <c r="F64" i="39"/>
  <c r="E64" i="39"/>
  <c r="D64" i="39"/>
  <c r="C64" i="39"/>
  <c r="B64" i="39"/>
  <c r="A64" i="39"/>
  <c r="G63" i="39"/>
  <c r="F63" i="39"/>
  <c r="E63" i="39"/>
  <c r="D63" i="39"/>
  <c r="C63" i="39"/>
  <c r="B63" i="39"/>
  <c r="A63" i="39"/>
  <c r="G62" i="39"/>
  <c r="F62" i="39"/>
  <c r="E62" i="39"/>
  <c r="D62" i="39"/>
  <c r="C62" i="39"/>
  <c r="B62" i="39"/>
  <c r="A62" i="39"/>
  <c r="G61" i="39"/>
  <c r="F61" i="39"/>
  <c r="E61" i="39"/>
  <c r="D61" i="39"/>
  <c r="C61" i="39"/>
  <c r="B61" i="39"/>
  <c r="A61" i="39"/>
  <c r="G60" i="39"/>
  <c r="F60" i="39"/>
  <c r="E60" i="39"/>
  <c r="D60" i="39"/>
  <c r="C60" i="39"/>
  <c r="B60" i="39"/>
  <c r="A60" i="39"/>
  <c r="G59" i="39"/>
  <c r="F59" i="39"/>
  <c r="E59" i="39"/>
  <c r="D59" i="39"/>
  <c r="C59" i="39"/>
  <c r="B59" i="39"/>
  <c r="A59" i="39"/>
  <c r="G58" i="39"/>
  <c r="F58" i="39"/>
  <c r="E58" i="39"/>
  <c r="D58" i="39"/>
  <c r="C58" i="39"/>
  <c r="B58" i="39"/>
  <c r="A58" i="39"/>
  <c r="G57" i="39"/>
  <c r="F57" i="39"/>
  <c r="E57" i="39"/>
  <c r="D57" i="39"/>
  <c r="C57" i="39"/>
  <c r="B57" i="39"/>
  <c r="A57" i="39"/>
  <c r="G56" i="39"/>
  <c r="F56" i="39"/>
  <c r="E56" i="39"/>
  <c r="D56" i="39"/>
  <c r="C56" i="39"/>
  <c r="B56" i="39"/>
  <c r="A56" i="39"/>
  <c r="G55" i="39"/>
  <c r="F55" i="39"/>
  <c r="E55" i="39"/>
  <c r="D55" i="39"/>
  <c r="C55" i="39"/>
  <c r="B55" i="39"/>
  <c r="A55" i="39"/>
  <c r="G54" i="39"/>
  <c r="F54" i="39"/>
  <c r="E54" i="39"/>
  <c r="D54" i="39"/>
  <c r="C54" i="39"/>
  <c r="B54" i="39"/>
  <c r="A54" i="39"/>
  <c r="G53" i="39"/>
  <c r="F53" i="39"/>
  <c r="E53" i="39"/>
  <c r="D53" i="39"/>
  <c r="C53" i="39"/>
  <c r="B53" i="39"/>
  <c r="A53" i="39"/>
  <c r="G52" i="39"/>
  <c r="F52" i="39"/>
  <c r="E52" i="39"/>
  <c r="D52" i="39"/>
  <c r="C52" i="39"/>
  <c r="B52" i="39"/>
  <c r="A52" i="39"/>
  <c r="G51" i="39"/>
  <c r="F51" i="39"/>
  <c r="E51" i="39"/>
  <c r="D51" i="39"/>
  <c r="C51" i="39"/>
  <c r="B51" i="39"/>
  <c r="A51" i="39"/>
  <c r="G50" i="39"/>
  <c r="F50" i="39"/>
  <c r="E50" i="39"/>
  <c r="D50" i="39"/>
  <c r="C50" i="39"/>
  <c r="B50" i="39"/>
  <c r="A50" i="39"/>
  <c r="G49" i="39"/>
  <c r="F49" i="39"/>
  <c r="E49" i="39"/>
  <c r="D49" i="39"/>
  <c r="C49" i="39"/>
  <c r="B49" i="39"/>
  <c r="A49" i="39"/>
  <c r="G48" i="39"/>
  <c r="F48" i="39"/>
  <c r="E48" i="39"/>
  <c r="D48" i="39"/>
  <c r="C48" i="39"/>
  <c r="B48" i="39"/>
  <c r="A48" i="39"/>
  <c r="G47" i="39"/>
  <c r="F47" i="39"/>
  <c r="E47" i="39"/>
  <c r="D47" i="39"/>
  <c r="C47" i="39"/>
  <c r="B47" i="39"/>
  <c r="A47" i="39"/>
  <c r="G46" i="39"/>
  <c r="F46" i="39"/>
  <c r="E46" i="39"/>
  <c r="D46" i="39"/>
  <c r="C46" i="39"/>
  <c r="B46" i="39"/>
  <c r="A46" i="39"/>
  <c r="G45" i="39"/>
  <c r="F45" i="39"/>
  <c r="E45" i="39"/>
  <c r="D45" i="39"/>
  <c r="C45" i="39"/>
  <c r="B45" i="39"/>
  <c r="A45" i="39"/>
  <c r="G44" i="39"/>
  <c r="F44" i="39"/>
  <c r="E44" i="39"/>
  <c r="D44" i="39"/>
  <c r="C44" i="39"/>
  <c r="B44" i="39"/>
  <c r="A44" i="39"/>
  <c r="G43" i="39"/>
  <c r="F43" i="39"/>
  <c r="E43" i="39"/>
  <c r="D43" i="39"/>
  <c r="C43" i="39"/>
  <c r="B43" i="39"/>
  <c r="A43" i="39"/>
  <c r="G42" i="39"/>
  <c r="F42" i="39"/>
  <c r="E42" i="39"/>
  <c r="D42" i="39"/>
  <c r="C42" i="39"/>
  <c r="B42" i="39"/>
  <c r="A42" i="39"/>
  <c r="G41" i="39"/>
  <c r="F41" i="39"/>
  <c r="E41" i="39"/>
  <c r="D41" i="39"/>
  <c r="C41" i="39"/>
  <c r="B41" i="39"/>
  <c r="A41" i="39"/>
  <c r="G40" i="39"/>
  <c r="F40" i="39"/>
  <c r="E40" i="39"/>
  <c r="D40" i="39"/>
  <c r="C40" i="39"/>
  <c r="B40" i="39"/>
  <c r="A40" i="39"/>
  <c r="G39" i="39"/>
  <c r="F39" i="39"/>
  <c r="E39" i="39"/>
  <c r="D39" i="39"/>
  <c r="C39" i="39"/>
  <c r="B39" i="39"/>
  <c r="A39" i="39"/>
  <c r="G38" i="39"/>
  <c r="F38" i="39"/>
  <c r="E38" i="39"/>
  <c r="D38" i="39"/>
  <c r="C38" i="39"/>
  <c r="B38" i="39"/>
  <c r="A38" i="39"/>
  <c r="G37" i="39"/>
  <c r="F37" i="39"/>
  <c r="E37" i="39"/>
  <c r="D37" i="39"/>
  <c r="C37" i="39"/>
  <c r="B37" i="39"/>
  <c r="A37" i="39"/>
  <c r="G36" i="39"/>
  <c r="F36" i="39"/>
  <c r="E36" i="39"/>
  <c r="D36" i="39"/>
  <c r="C36" i="39"/>
  <c r="B36" i="39"/>
  <c r="A36" i="39"/>
  <c r="G35" i="39"/>
  <c r="F35" i="39"/>
  <c r="E35" i="39"/>
  <c r="D35" i="39"/>
  <c r="C35" i="39"/>
  <c r="B35" i="39"/>
  <c r="A35" i="39"/>
  <c r="G34" i="39"/>
  <c r="F34" i="39"/>
  <c r="E34" i="39"/>
  <c r="D34" i="39"/>
  <c r="C34" i="39"/>
  <c r="B34" i="39"/>
  <c r="A34" i="39"/>
  <c r="G33" i="39"/>
  <c r="F33" i="39"/>
  <c r="E33" i="39"/>
  <c r="D33" i="39"/>
  <c r="C33" i="39"/>
  <c r="B33" i="39"/>
  <c r="A33" i="39"/>
  <c r="G32" i="39"/>
  <c r="F32" i="39"/>
  <c r="E32" i="39"/>
  <c r="D32" i="39"/>
  <c r="C32" i="39"/>
  <c r="B32" i="39"/>
  <c r="A32" i="39"/>
  <c r="G31" i="39"/>
  <c r="F31" i="39"/>
  <c r="E31" i="39"/>
  <c r="D31" i="39"/>
  <c r="C31" i="39"/>
  <c r="B31" i="39"/>
  <c r="A31" i="39"/>
  <c r="G30" i="39"/>
  <c r="F30" i="39"/>
  <c r="E30" i="39"/>
  <c r="D30" i="39"/>
  <c r="C30" i="39"/>
  <c r="B30" i="39"/>
  <c r="A30" i="39"/>
  <c r="G29" i="39"/>
  <c r="F29" i="39"/>
  <c r="E29" i="39"/>
  <c r="D29" i="39"/>
  <c r="C29" i="39"/>
  <c r="B29" i="39"/>
  <c r="A29" i="39"/>
  <c r="G28" i="39"/>
  <c r="F28" i="39"/>
  <c r="E28" i="39"/>
  <c r="D28" i="39"/>
  <c r="C28" i="39"/>
  <c r="B28" i="39"/>
  <c r="A28" i="39"/>
  <c r="G27" i="39"/>
  <c r="F27" i="39"/>
  <c r="E27" i="39"/>
  <c r="D27" i="39"/>
  <c r="C27" i="39"/>
  <c r="B27" i="39"/>
  <c r="A27" i="39"/>
  <c r="G26" i="39"/>
  <c r="F26" i="39"/>
  <c r="E26" i="39"/>
  <c r="D26" i="39"/>
  <c r="C26" i="39"/>
  <c r="B26" i="39"/>
  <c r="A26" i="39"/>
  <c r="G25" i="39"/>
  <c r="F25" i="39"/>
  <c r="E25" i="39"/>
  <c r="D25" i="39"/>
  <c r="C25" i="39"/>
  <c r="B25" i="39"/>
  <c r="A25" i="39"/>
  <c r="G24" i="39"/>
  <c r="F24" i="39"/>
  <c r="E24" i="39"/>
  <c r="D24" i="39"/>
  <c r="C24" i="39"/>
  <c r="B24" i="39"/>
  <c r="A24" i="39"/>
  <c r="G23" i="39"/>
  <c r="F23" i="39"/>
  <c r="E23" i="39"/>
  <c r="D23" i="39"/>
  <c r="C23" i="39"/>
  <c r="B23" i="39"/>
  <c r="A23" i="39"/>
  <c r="G22" i="39"/>
  <c r="F22" i="39"/>
  <c r="E22" i="39"/>
  <c r="D22" i="39"/>
  <c r="C22" i="39"/>
  <c r="B22" i="39"/>
  <c r="A22" i="39"/>
  <c r="G21" i="39"/>
  <c r="F21" i="39"/>
  <c r="E21" i="39"/>
  <c r="D21" i="39"/>
  <c r="C21" i="39"/>
  <c r="B21" i="39"/>
  <c r="A21" i="39"/>
  <c r="G20" i="39"/>
  <c r="F20" i="39"/>
  <c r="E20" i="39"/>
  <c r="D20" i="39"/>
  <c r="C20" i="39"/>
  <c r="B20" i="39"/>
  <c r="A20" i="39"/>
  <c r="G19" i="39"/>
  <c r="F19" i="39"/>
  <c r="E19" i="39"/>
  <c r="D19" i="39"/>
  <c r="C19" i="39"/>
  <c r="B19" i="39"/>
  <c r="A19" i="39"/>
  <c r="G18" i="39"/>
  <c r="F18" i="39"/>
  <c r="E18" i="39"/>
  <c r="D18" i="39"/>
  <c r="C18" i="39"/>
  <c r="B18" i="39"/>
  <c r="A18" i="39"/>
  <c r="G17" i="39"/>
  <c r="F17" i="39"/>
  <c r="E17" i="39"/>
  <c r="D17" i="39"/>
  <c r="C17" i="39"/>
  <c r="B17" i="39"/>
  <c r="A17" i="39"/>
  <c r="G16" i="39"/>
  <c r="F16" i="39"/>
  <c r="E16" i="39"/>
  <c r="D16" i="39"/>
  <c r="C16" i="39"/>
  <c r="B16" i="39"/>
  <c r="A16" i="39"/>
  <c r="G15" i="39"/>
  <c r="F15" i="39"/>
  <c r="E15" i="39"/>
  <c r="D15" i="39"/>
  <c r="C15" i="39"/>
  <c r="B15" i="39"/>
  <c r="A15" i="39"/>
  <c r="G14" i="39"/>
  <c r="F14" i="39"/>
  <c r="E14" i="39"/>
  <c r="D14" i="39"/>
  <c r="C14" i="39"/>
  <c r="B14" i="39"/>
  <c r="A14" i="39"/>
  <c r="G13" i="39"/>
  <c r="F13" i="39"/>
  <c r="E13" i="39"/>
  <c r="D13" i="39"/>
  <c r="C13" i="39"/>
  <c r="B13" i="39"/>
  <c r="A13" i="39"/>
  <c r="G12" i="39"/>
  <c r="F12" i="39"/>
  <c r="E12" i="39"/>
  <c r="D12" i="39"/>
  <c r="C12" i="39"/>
  <c r="B12" i="39"/>
  <c r="A12" i="39"/>
  <c r="G11" i="39"/>
  <c r="F11" i="39"/>
  <c r="E11" i="39"/>
  <c r="D11" i="39"/>
  <c r="C11" i="39"/>
  <c r="B11" i="39"/>
  <c r="A11" i="39"/>
  <c r="G10" i="39"/>
  <c r="F10" i="39"/>
  <c r="E10" i="39"/>
  <c r="D10" i="39"/>
  <c r="C10" i="39"/>
  <c r="B10" i="39"/>
  <c r="A10" i="39"/>
  <c r="G9" i="39"/>
  <c r="F9" i="39"/>
  <c r="E9" i="39"/>
  <c r="D9" i="39"/>
  <c r="C9" i="39"/>
  <c r="B9" i="39"/>
  <c r="A9" i="39"/>
  <c r="G8" i="39"/>
  <c r="F8" i="39"/>
  <c r="E8" i="39"/>
  <c r="D8" i="39"/>
  <c r="C8" i="39"/>
  <c r="B8" i="39"/>
  <c r="A8" i="39"/>
  <c r="G7" i="39"/>
  <c r="F7" i="39"/>
  <c r="E7" i="39"/>
  <c r="D7" i="39"/>
  <c r="C7" i="39"/>
  <c r="B7" i="39"/>
  <c r="A7" i="39"/>
  <c r="G6" i="39"/>
  <c r="F6" i="39"/>
  <c r="E6" i="39"/>
  <c r="D6" i="39"/>
  <c r="C6" i="39"/>
  <c r="B6" i="39"/>
  <c r="A6" i="39"/>
  <c r="G5" i="39"/>
  <c r="F5" i="39"/>
  <c r="E5" i="39"/>
  <c r="D5" i="39"/>
  <c r="C5" i="39"/>
  <c r="B5" i="39"/>
  <c r="A5" i="39"/>
  <c r="G4" i="39"/>
  <c r="F4" i="39"/>
  <c r="E4" i="39"/>
  <c r="D4" i="39"/>
  <c r="C4" i="39"/>
  <c r="B4" i="39"/>
  <c r="A4" i="39"/>
  <c r="G3" i="39"/>
  <c r="F3" i="39"/>
  <c r="E3" i="39"/>
  <c r="D3" i="39"/>
  <c r="C3" i="39"/>
  <c r="B3" i="39"/>
  <c r="A3" i="39"/>
  <c r="G2" i="39"/>
  <c r="F2" i="39"/>
  <c r="E2" i="39"/>
  <c r="D2" i="39"/>
  <c r="C2" i="39"/>
  <c r="B2" i="39"/>
  <c r="A2" i="39"/>
  <c r="G1" i="39"/>
  <c r="F1" i="39"/>
  <c r="E1" i="39"/>
  <c r="D1" i="39"/>
  <c r="C1" i="39"/>
  <c r="B1" i="39"/>
  <c r="A1" i="39"/>
  <c r="G277" i="38"/>
  <c r="F277" i="38"/>
  <c r="E277" i="38"/>
  <c r="D277" i="38"/>
  <c r="C277" i="38"/>
  <c r="B277" i="38"/>
  <c r="A277" i="38"/>
  <c r="G276" i="38"/>
  <c r="F276" i="38"/>
  <c r="E276" i="38"/>
  <c r="D276" i="38"/>
  <c r="C276" i="38"/>
  <c r="B276" i="38"/>
  <c r="A276" i="38"/>
  <c r="G275" i="38"/>
  <c r="F275" i="38"/>
  <c r="E275" i="38"/>
  <c r="D275" i="38"/>
  <c r="C275" i="38"/>
  <c r="B275" i="38"/>
  <c r="A275" i="38"/>
  <c r="G274" i="38"/>
  <c r="F274" i="38"/>
  <c r="E274" i="38"/>
  <c r="D274" i="38"/>
  <c r="C274" i="38"/>
  <c r="B274" i="38"/>
  <c r="A274" i="38"/>
  <c r="G273" i="38"/>
  <c r="F273" i="38"/>
  <c r="E273" i="38"/>
  <c r="D273" i="38"/>
  <c r="C273" i="38"/>
  <c r="B273" i="38"/>
  <c r="A273" i="38"/>
  <c r="G272" i="38"/>
  <c r="F272" i="38"/>
  <c r="E272" i="38"/>
  <c r="D272" i="38"/>
  <c r="C272" i="38"/>
  <c r="B272" i="38"/>
  <c r="A272" i="38"/>
  <c r="G271" i="38"/>
  <c r="F271" i="38"/>
  <c r="E271" i="38"/>
  <c r="D271" i="38"/>
  <c r="C271" i="38"/>
  <c r="B271" i="38"/>
  <c r="A271" i="38"/>
  <c r="G270" i="38"/>
  <c r="F270" i="38"/>
  <c r="E270" i="38"/>
  <c r="D270" i="38"/>
  <c r="C270" i="38"/>
  <c r="B270" i="38"/>
  <c r="A270" i="38"/>
  <c r="G269" i="38"/>
  <c r="F269" i="38"/>
  <c r="E269" i="38"/>
  <c r="D269" i="38"/>
  <c r="C269" i="38"/>
  <c r="B269" i="38"/>
  <c r="A269" i="38"/>
  <c r="G268" i="38"/>
  <c r="F268" i="38"/>
  <c r="E268" i="38"/>
  <c r="D268" i="38"/>
  <c r="C268" i="38"/>
  <c r="B268" i="38"/>
  <c r="A268" i="38"/>
  <c r="G267" i="38"/>
  <c r="F267" i="38"/>
  <c r="E267" i="38"/>
  <c r="D267" i="38"/>
  <c r="C267" i="38"/>
  <c r="B267" i="38"/>
  <c r="A267" i="38"/>
  <c r="G266" i="38"/>
  <c r="F266" i="38"/>
  <c r="E266" i="38"/>
  <c r="D266" i="38"/>
  <c r="C266" i="38"/>
  <c r="B266" i="38"/>
  <c r="A266" i="38"/>
  <c r="G265" i="38"/>
  <c r="F265" i="38"/>
  <c r="E265" i="38"/>
  <c r="D265" i="38"/>
  <c r="C265" i="38"/>
  <c r="B265" i="38"/>
  <c r="A265" i="38"/>
  <c r="G264" i="38"/>
  <c r="F264" i="38"/>
  <c r="E264" i="38"/>
  <c r="D264" i="38"/>
  <c r="C264" i="38"/>
  <c r="B264" i="38"/>
  <c r="A264" i="38"/>
  <c r="G263" i="38"/>
  <c r="F263" i="38"/>
  <c r="E263" i="38"/>
  <c r="D263" i="38"/>
  <c r="C263" i="38"/>
  <c r="B263" i="38"/>
  <c r="A263" i="38"/>
  <c r="G262" i="38"/>
  <c r="F262" i="38"/>
  <c r="E262" i="38"/>
  <c r="D262" i="38"/>
  <c r="C262" i="38"/>
  <c r="B262" i="38"/>
  <c r="A262" i="38"/>
  <c r="G261" i="38"/>
  <c r="F261" i="38"/>
  <c r="E261" i="38"/>
  <c r="D261" i="38"/>
  <c r="C261" i="38"/>
  <c r="B261" i="38"/>
  <c r="A261" i="38"/>
  <c r="G260" i="38"/>
  <c r="F260" i="38"/>
  <c r="E260" i="38"/>
  <c r="D260" i="38"/>
  <c r="C260" i="38"/>
  <c r="B260" i="38"/>
  <c r="A260" i="38"/>
  <c r="G259" i="38"/>
  <c r="F259" i="38"/>
  <c r="E259" i="38"/>
  <c r="D259" i="38"/>
  <c r="C259" i="38"/>
  <c r="B259" i="38"/>
  <c r="A259" i="38"/>
  <c r="G258" i="38"/>
  <c r="F258" i="38"/>
  <c r="E258" i="38"/>
  <c r="D258" i="38"/>
  <c r="C258" i="38"/>
  <c r="B258" i="38"/>
  <c r="A258" i="38"/>
  <c r="G257" i="38"/>
  <c r="F257" i="38"/>
  <c r="E257" i="38"/>
  <c r="D257" i="38"/>
  <c r="C257" i="38"/>
  <c r="B257" i="38"/>
  <c r="A257" i="38"/>
  <c r="G256" i="38"/>
  <c r="F256" i="38"/>
  <c r="E256" i="38"/>
  <c r="D256" i="38"/>
  <c r="C256" i="38"/>
  <c r="B256" i="38"/>
  <c r="A256" i="38"/>
  <c r="G255" i="38"/>
  <c r="F255" i="38"/>
  <c r="E255" i="38"/>
  <c r="D255" i="38"/>
  <c r="C255" i="38"/>
  <c r="B255" i="38"/>
  <c r="A255" i="38"/>
  <c r="G254" i="38"/>
  <c r="F254" i="38"/>
  <c r="E254" i="38"/>
  <c r="D254" i="38"/>
  <c r="C254" i="38"/>
  <c r="B254" i="38"/>
  <c r="A254" i="38"/>
  <c r="G253" i="38"/>
  <c r="F253" i="38"/>
  <c r="E253" i="38"/>
  <c r="D253" i="38"/>
  <c r="C253" i="38"/>
  <c r="B253" i="38"/>
  <c r="A253" i="38"/>
  <c r="G252" i="38"/>
  <c r="F252" i="38"/>
  <c r="E252" i="38"/>
  <c r="D252" i="38"/>
  <c r="C252" i="38"/>
  <c r="B252" i="38"/>
  <c r="A252" i="38"/>
  <c r="G251" i="38"/>
  <c r="F251" i="38"/>
  <c r="E251" i="38"/>
  <c r="D251" i="38"/>
  <c r="C251" i="38"/>
  <c r="B251" i="38"/>
  <c r="A251" i="38"/>
  <c r="G250" i="38"/>
  <c r="F250" i="38"/>
  <c r="E250" i="38"/>
  <c r="D250" i="38"/>
  <c r="C250" i="38"/>
  <c r="B250" i="38"/>
  <c r="A250" i="38"/>
  <c r="G249" i="38"/>
  <c r="F249" i="38"/>
  <c r="E249" i="38"/>
  <c r="D249" i="38"/>
  <c r="C249" i="38"/>
  <c r="B249" i="38"/>
  <c r="A249" i="38"/>
  <c r="G248" i="38"/>
  <c r="F248" i="38"/>
  <c r="E248" i="38"/>
  <c r="D248" i="38"/>
  <c r="C248" i="38"/>
  <c r="B248" i="38"/>
  <c r="A248" i="38"/>
  <c r="G247" i="38"/>
  <c r="F247" i="38"/>
  <c r="E247" i="38"/>
  <c r="D247" i="38"/>
  <c r="C247" i="38"/>
  <c r="B247" i="38"/>
  <c r="A247" i="38"/>
  <c r="G246" i="38"/>
  <c r="F246" i="38"/>
  <c r="E246" i="38"/>
  <c r="D246" i="38"/>
  <c r="C246" i="38"/>
  <c r="B246" i="38"/>
  <c r="A246" i="38"/>
  <c r="G245" i="38"/>
  <c r="F245" i="38"/>
  <c r="E245" i="38"/>
  <c r="D245" i="38"/>
  <c r="C245" i="38"/>
  <c r="B245" i="38"/>
  <c r="A245" i="38"/>
  <c r="G244" i="38"/>
  <c r="F244" i="38"/>
  <c r="E244" i="38"/>
  <c r="D244" i="38"/>
  <c r="C244" i="38"/>
  <c r="B244" i="38"/>
  <c r="A244" i="38"/>
  <c r="G243" i="38"/>
  <c r="F243" i="38"/>
  <c r="E243" i="38"/>
  <c r="D243" i="38"/>
  <c r="C243" i="38"/>
  <c r="B243" i="38"/>
  <c r="A243" i="38"/>
  <c r="G242" i="38"/>
  <c r="F242" i="38"/>
  <c r="E242" i="38"/>
  <c r="D242" i="38"/>
  <c r="C242" i="38"/>
  <c r="B242" i="38"/>
  <c r="A242" i="38"/>
  <c r="G241" i="38"/>
  <c r="F241" i="38"/>
  <c r="E241" i="38"/>
  <c r="D241" i="38"/>
  <c r="C241" i="38"/>
  <c r="B241" i="38"/>
  <c r="A241" i="38"/>
  <c r="G240" i="38"/>
  <c r="F240" i="38"/>
  <c r="E240" i="38"/>
  <c r="D240" i="38"/>
  <c r="C240" i="38"/>
  <c r="B240" i="38"/>
  <c r="A240" i="38"/>
  <c r="G239" i="38"/>
  <c r="F239" i="38"/>
  <c r="E239" i="38"/>
  <c r="D239" i="38"/>
  <c r="C239" i="38"/>
  <c r="B239" i="38"/>
  <c r="A239" i="38"/>
  <c r="G238" i="38"/>
  <c r="F238" i="38"/>
  <c r="E238" i="38"/>
  <c r="D238" i="38"/>
  <c r="C238" i="38"/>
  <c r="B238" i="38"/>
  <c r="A238" i="38"/>
  <c r="G237" i="38"/>
  <c r="F237" i="38"/>
  <c r="E237" i="38"/>
  <c r="D237" i="38"/>
  <c r="C237" i="38"/>
  <c r="B237" i="38"/>
  <c r="A237" i="38"/>
  <c r="G236" i="38"/>
  <c r="F236" i="38"/>
  <c r="E236" i="38"/>
  <c r="D236" i="38"/>
  <c r="C236" i="38"/>
  <c r="B236" i="38"/>
  <c r="A236" i="38"/>
  <c r="G235" i="38"/>
  <c r="F235" i="38"/>
  <c r="E235" i="38"/>
  <c r="D235" i="38"/>
  <c r="C235" i="38"/>
  <c r="B235" i="38"/>
  <c r="A235" i="38"/>
  <c r="G234" i="38"/>
  <c r="F234" i="38"/>
  <c r="E234" i="38"/>
  <c r="D234" i="38"/>
  <c r="C234" i="38"/>
  <c r="B234" i="38"/>
  <c r="A234" i="38"/>
  <c r="G233" i="38"/>
  <c r="F233" i="38"/>
  <c r="E233" i="38"/>
  <c r="D233" i="38"/>
  <c r="C233" i="38"/>
  <c r="B233" i="38"/>
  <c r="A233" i="38"/>
  <c r="G232" i="38"/>
  <c r="F232" i="38"/>
  <c r="E232" i="38"/>
  <c r="D232" i="38"/>
  <c r="C232" i="38"/>
  <c r="B232" i="38"/>
  <c r="A232" i="38"/>
  <c r="G231" i="38"/>
  <c r="F231" i="38"/>
  <c r="E231" i="38"/>
  <c r="D231" i="38"/>
  <c r="C231" i="38"/>
  <c r="B231" i="38"/>
  <c r="A231" i="38"/>
  <c r="G230" i="38"/>
  <c r="F230" i="38"/>
  <c r="E230" i="38"/>
  <c r="D230" i="38"/>
  <c r="C230" i="38"/>
  <c r="B230" i="38"/>
  <c r="A230" i="38"/>
  <c r="G229" i="38"/>
  <c r="F229" i="38"/>
  <c r="E229" i="38"/>
  <c r="D229" i="38"/>
  <c r="C229" i="38"/>
  <c r="B229" i="38"/>
  <c r="A229" i="38"/>
  <c r="G228" i="38"/>
  <c r="F228" i="38"/>
  <c r="E228" i="38"/>
  <c r="D228" i="38"/>
  <c r="C228" i="38"/>
  <c r="B228" i="38"/>
  <c r="A228" i="38"/>
  <c r="G227" i="38"/>
  <c r="F227" i="38"/>
  <c r="E227" i="38"/>
  <c r="D227" i="38"/>
  <c r="C227" i="38"/>
  <c r="B227" i="38"/>
  <c r="A227" i="38"/>
  <c r="G226" i="38"/>
  <c r="F226" i="38"/>
  <c r="E226" i="38"/>
  <c r="D226" i="38"/>
  <c r="C226" i="38"/>
  <c r="B226" i="38"/>
  <c r="A226" i="38"/>
  <c r="G225" i="38"/>
  <c r="F225" i="38"/>
  <c r="E225" i="38"/>
  <c r="D225" i="38"/>
  <c r="C225" i="38"/>
  <c r="B225" i="38"/>
  <c r="A225" i="38"/>
  <c r="G224" i="38"/>
  <c r="F224" i="38"/>
  <c r="E224" i="38"/>
  <c r="D224" i="38"/>
  <c r="C224" i="38"/>
  <c r="B224" i="38"/>
  <c r="A224" i="38"/>
  <c r="G223" i="38"/>
  <c r="F223" i="38"/>
  <c r="E223" i="38"/>
  <c r="D223" i="38"/>
  <c r="C223" i="38"/>
  <c r="B223" i="38"/>
  <c r="A223" i="38"/>
  <c r="G222" i="38"/>
  <c r="F222" i="38"/>
  <c r="E222" i="38"/>
  <c r="D222" i="38"/>
  <c r="C222" i="38"/>
  <c r="B222" i="38"/>
  <c r="A222" i="38"/>
  <c r="G221" i="38"/>
  <c r="F221" i="38"/>
  <c r="E221" i="38"/>
  <c r="D221" i="38"/>
  <c r="C221" i="38"/>
  <c r="B221" i="38"/>
  <c r="A221" i="38"/>
  <c r="G220" i="38"/>
  <c r="F220" i="38"/>
  <c r="E220" i="38"/>
  <c r="D220" i="38"/>
  <c r="C220" i="38"/>
  <c r="B220" i="38"/>
  <c r="A220" i="38"/>
  <c r="G219" i="38"/>
  <c r="F219" i="38"/>
  <c r="E219" i="38"/>
  <c r="D219" i="38"/>
  <c r="C219" i="38"/>
  <c r="B219" i="38"/>
  <c r="A219" i="38"/>
  <c r="G218" i="38"/>
  <c r="F218" i="38"/>
  <c r="E218" i="38"/>
  <c r="D218" i="38"/>
  <c r="C218" i="38"/>
  <c r="B218" i="38"/>
  <c r="A218" i="38"/>
  <c r="G217" i="38"/>
  <c r="F217" i="38"/>
  <c r="E217" i="38"/>
  <c r="D217" i="38"/>
  <c r="C217" i="38"/>
  <c r="B217" i="38"/>
  <c r="A217" i="38"/>
  <c r="G216" i="38"/>
  <c r="F216" i="38"/>
  <c r="E216" i="38"/>
  <c r="D216" i="38"/>
  <c r="C216" i="38"/>
  <c r="B216" i="38"/>
  <c r="A216" i="38"/>
  <c r="G215" i="38"/>
  <c r="F215" i="38"/>
  <c r="E215" i="38"/>
  <c r="D215" i="38"/>
  <c r="C215" i="38"/>
  <c r="B215" i="38"/>
  <c r="A215" i="38"/>
  <c r="G214" i="38"/>
  <c r="F214" i="38"/>
  <c r="E214" i="38"/>
  <c r="D214" i="38"/>
  <c r="C214" i="38"/>
  <c r="B214" i="38"/>
  <c r="A214" i="38"/>
  <c r="G213" i="38"/>
  <c r="F213" i="38"/>
  <c r="E213" i="38"/>
  <c r="D213" i="38"/>
  <c r="C213" i="38"/>
  <c r="B213" i="38"/>
  <c r="A213" i="38"/>
  <c r="G212" i="38"/>
  <c r="F212" i="38"/>
  <c r="E212" i="38"/>
  <c r="D212" i="38"/>
  <c r="C212" i="38"/>
  <c r="B212" i="38"/>
  <c r="A212" i="38"/>
  <c r="G211" i="38"/>
  <c r="F211" i="38"/>
  <c r="E211" i="38"/>
  <c r="D211" i="38"/>
  <c r="C211" i="38"/>
  <c r="B211" i="38"/>
  <c r="A211" i="38"/>
  <c r="G210" i="38"/>
  <c r="F210" i="38"/>
  <c r="E210" i="38"/>
  <c r="D210" i="38"/>
  <c r="C210" i="38"/>
  <c r="B210" i="38"/>
  <c r="A210" i="38"/>
  <c r="G209" i="38"/>
  <c r="F209" i="38"/>
  <c r="E209" i="38"/>
  <c r="D209" i="38"/>
  <c r="C209" i="38"/>
  <c r="B209" i="38"/>
  <c r="A209" i="38"/>
  <c r="G208" i="38"/>
  <c r="F208" i="38"/>
  <c r="E208" i="38"/>
  <c r="D208" i="38"/>
  <c r="C208" i="38"/>
  <c r="B208" i="38"/>
  <c r="A208" i="38"/>
  <c r="G207" i="38"/>
  <c r="F207" i="38"/>
  <c r="E207" i="38"/>
  <c r="D207" i="38"/>
  <c r="C207" i="38"/>
  <c r="B207" i="38"/>
  <c r="A207" i="38"/>
  <c r="G206" i="38"/>
  <c r="F206" i="38"/>
  <c r="E206" i="38"/>
  <c r="D206" i="38"/>
  <c r="C206" i="38"/>
  <c r="B206" i="38"/>
  <c r="A206" i="38"/>
  <c r="G205" i="38"/>
  <c r="F205" i="38"/>
  <c r="E205" i="38"/>
  <c r="D205" i="38"/>
  <c r="C205" i="38"/>
  <c r="B205" i="38"/>
  <c r="A205" i="38"/>
  <c r="G204" i="38"/>
  <c r="F204" i="38"/>
  <c r="E204" i="38"/>
  <c r="D204" i="38"/>
  <c r="C204" i="38"/>
  <c r="B204" i="38"/>
  <c r="A204" i="38"/>
  <c r="G203" i="38"/>
  <c r="F203" i="38"/>
  <c r="E203" i="38"/>
  <c r="D203" i="38"/>
  <c r="C203" i="38"/>
  <c r="B203" i="38"/>
  <c r="A203" i="38"/>
  <c r="G202" i="38"/>
  <c r="F202" i="38"/>
  <c r="E202" i="38"/>
  <c r="D202" i="38"/>
  <c r="C202" i="38"/>
  <c r="B202" i="38"/>
  <c r="A202" i="38"/>
  <c r="G201" i="38"/>
  <c r="F201" i="38"/>
  <c r="E201" i="38"/>
  <c r="D201" i="38"/>
  <c r="C201" i="38"/>
  <c r="B201" i="38"/>
  <c r="A201" i="38"/>
  <c r="G200" i="38"/>
  <c r="F200" i="38"/>
  <c r="E200" i="38"/>
  <c r="D200" i="38"/>
  <c r="C200" i="38"/>
  <c r="B200" i="38"/>
  <c r="A200" i="38"/>
  <c r="G199" i="38"/>
  <c r="F199" i="38"/>
  <c r="E199" i="38"/>
  <c r="D199" i="38"/>
  <c r="C199" i="38"/>
  <c r="B199" i="38"/>
  <c r="A199" i="38"/>
  <c r="G198" i="38"/>
  <c r="F198" i="38"/>
  <c r="E198" i="38"/>
  <c r="D198" i="38"/>
  <c r="C198" i="38"/>
  <c r="B198" i="38"/>
  <c r="A198" i="38"/>
  <c r="G197" i="38"/>
  <c r="F197" i="38"/>
  <c r="E197" i="38"/>
  <c r="D197" i="38"/>
  <c r="C197" i="38"/>
  <c r="B197" i="38"/>
  <c r="A197" i="38"/>
  <c r="G196" i="38"/>
  <c r="F196" i="38"/>
  <c r="E196" i="38"/>
  <c r="D196" i="38"/>
  <c r="C196" i="38"/>
  <c r="B196" i="38"/>
  <c r="A196" i="38"/>
  <c r="G195" i="38"/>
  <c r="F195" i="38"/>
  <c r="E195" i="38"/>
  <c r="D195" i="38"/>
  <c r="C195" i="38"/>
  <c r="B195" i="38"/>
  <c r="A195" i="38"/>
  <c r="G194" i="38"/>
  <c r="F194" i="38"/>
  <c r="E194" i="38"/>
  <c r="D194" i="38"/>
  <c r="C194" i="38"/>
  <c r="B194" i="38"/>
  <c r="A194" i="38"/>
  <c r="G193" i="38"/>
  <c r="F193" i="38"/>
  <c r="E193" i="38"/>
  <c r="D193" i="38"/>
  <c r="C193" i="38"/>
  <c r="B193" i="38"/>
  <c r="A193" i="38"/>
  <c r="G192" i="38"/>
  <c r="F192" i="38"/>
  <c r="E192" i="38"/>
  <c r="D192" i="38"/>
  <c r="C192" i="38"/>
  <c r="B192" i="38"/>
  <c r="A192" i="38"/>
  <c r="G191" i="38"/>
  <c r="F191" i="38"/>
  <c r="E191" i="38"/>
  <c r="D191" i="38"/>
  <c r="C191" i="38"/>
  <c r="B191" i="38"/>
  <c r="A191" i="38"/>
  <c r="G190" i="38"/>
  <c r="F190" i="38"/>
  <c r="E190" i="38"/>
  <c r="D190" i="38"/>
  <c r="C190" i="38"/>
  <c r="B190" i="38"/>
  <c r="A190" i="38"/>
  <c r="G189" i="38"/>
  <c r="F189" i="38"/>
  <c r="E189" i="38"/>
  <c r="D189" i="38"/>
  <c r="C189" i="38"/>
  <c r="B189" i="38"/>
  <c r="A189" i="38"/>
  <c r="G188" i="38"/>
  <c r="F188" i="38"/>
  <c r="E188" i="38"/>
  <c r="D188" i="38"/>
  <c r="C188" i="38"/>
  <c r="B188" i="38"/>
  <c r="A188" i="38"/>
  <c r="G187" i="38"/>
  <c r="F187" i="38"/>
  <c r="E187" i="38"/>
  <c r="D187" i="38"/>
  <c r="C187" i="38"/>
  <c r="B187" i="38"/>
  <c r="A187" i="38"/>
  <c r="G186" i="38"/>
  <c r="F186" i="38"/>
  <c r="E186" i="38"/>
  <c r="D186" i="38"/>
  <c r="C186" i="38"/>
  <c r="B186" i="38"/>
  <c r="A186" i="38"/>
  <c r="G185" i="38"/>
  <c r="F185" i="38"/>
  <c r="E185" i="38"/>
  <c r="D185" i="38"/>
  <c r="C185" i="38"/>
  <c r="B185" i="38"/>
  <c r="A185" i="38"/>
  <c r="G184" i="38"/>
  <c r="F184" i="38"/>
  <c r="E184" i="38"/>
  <c r="D184" i="38"/>
  <c r="C184" i="38"/>
  <c r="B184" i="38"/>
  <c r="A184" i="38"/>
  <c r="G183" i="38"/>
  <c r="F183" i="38"/>
  <c r="E183" i="38"/>
  <c r="D183" i="38"/>
  <c r="C183" i="38"/>
  <c r="B183" i="38"/>
  <c r="A183" i="38"/>
  <c r="G182" i="38"/>
  <c r="F182" i="38"/>
  <c r="E182" i="38"/>
  <c r="D182" i="38"/>
  <c r="C182" i="38"/>
  <c r="B182" i="38"/>
  <c r="A182" i="38"/>
  <c r="G181" i="38"/>
  <c r="F181" i="38"/>
  <c r="E181" i="38"/>
  <c r="D181" i="38"/>
  <c r="C181" i="38"/>
  <c r="B181" i="38"/>
  <c r="A181" i="38"/>
  <c r="G180" i="38"/>
  <c r="F180" i="38"/>
  <c r="E180" i="38"/>
  <c r="D180" i="38"/>
  <c r="C180" i="38"/>
  <c r="B180" i="38"/>
  <c r="A180" i="38"/>
  <c r="G179" i="38"/>
  <c r="F179" i="38"/>
  <c r="E179" i="38"/>
  <c r="D179" i="38"/>
  <c r="C179" i="38"/>
  <c r="B179" i="38"/>
  <c r="A179" i="38"/>
  <c r="G178" i="38"/>
  <c r="F178" i="38"/>
  <c r="E178" i="38"/>
  <c r="D178" i="38"/>
  <c r="C178" i="38"/>
  <c r="B178" i="38"/>
  <c r="A178" i="38"/>
  <c r="G177" i="38"/>
  <c r="F177" i="38"/>
  <c r="E177" i="38"/>
  <c r="D177" i="38"/>
  <c r="C177" i="38"/>
  <c r="B177" i="38"/>
  <c r="A177" i="38"/>
  <c r="G176" i="38"/>
  <c r="F176" i="38"/>
  <c r="E176" i="38"/>
  <c r="D176" i="38"/>
  <c r="C176" i="38"/>
  <c r="B176" i="38"/>
  <c r="A176" i="38"/>
  <c r="G175" i="38"/>
  <c r="F175" i="38"/>
  <c r="E175" i="38"/>
  <c r="D175" i="38"/>
  <c r="C175" i="38"/>
  <c r="B175" i="38"/>
  <c r="A175" i="38"/>
  <c r="G174" i="38"/>
  <c r="F174" i="38"/>
  <c r="E174" i="38"/>
  <c r="D174" i="38"/>
  <c r="C174" i="38"/>
  <c r="B174" i="38"/>
  <c r="A174" i="38"/>
  <c r="G173" i="38"/>
  <c r="F173" i="38"/>
  <c r="E173" i="38"/>
  <c r="D173" i="38"/>
  <c r="C173" i="38"/>
  <c r="B173" i="38"/>
  <c r="A173" i="38"/>
  <c r="G172" i="38"/>
  <c r="F172" i="38"/>
  <c r="E172" i="38"/>
  <c r="D172" i="38"/>
  <c r="C172" i="38"/>
  <c r="B172" i="38"/>
  <c r="A172" i="38"/>
  <c r="G171" i="38"/>
  <c r="F171" i="38"/>
  <c r="E171" i="38"/>
  <c r="D171" i="38"/>
  <c r="C171" i="38"/>
  <c r="B171" i="38"/>
  <c r="A171" i="38"/>
  <c r="G170" i="38"/>
  <c r="F170" i="38"/>
  <c r="E170" i="38"/>
  <c r="D170" i="38"/>
  <c r="C170" i="38"/>
  <c r="B170" i="38"/>
  <c r="A170" i="38"/>
  <c r="G169" i="38"/>
  <c r="F169" i="38"/>
  <c r="E169" i="38"/>
  <c r="D169" i="38"/>
  <c r="C169" i="38"/>
  <c r="B169" i="38"/>
  <c r="A169" i="38"/>
  <c r="G168" i="38"/>
  <c r="F168" i="38"/>
  <c r="E168" i="38"/>
  <c r="D168" i="38"/>
  <c r="C168" i="38"/>
  <c r="B168" i="38"/>
  <c r="A168" i="38"/>
  <c r="G167" i="38"/>
  <c r="F167" i="38"/>
  <c r="E167" i="38"/>
  <c r="D167" i="38"/>
  <c r="C167" i="38"/>
  <c r="B167" i="38"/>
  <c r="A167" i="38"/>
  <c r="G166" i="38"/>
  <c r="F166" i="38"/>
  <c r="E166" i="38"/>
  <c r="D166" i="38"/>
  <c r="C166" i="38"/>
  <c r="B166" i="38"/>
  <c r="A166" i="38"/>
  <c r="G165" i="38"/>
  <c r="F165" i="38"/>
  <c r="E165" i="38"/>
  <c r="D165" i="38"/>
  <c r="C165" i="38"/>
  <c r="B165" i="38"/>
  <c r="A165" i="38"/>
  <c r="G164" i="38"/>
  <c r="F164" i="38"/>
  <c r="E164" i="38"/>
  <c r="D164" i="38"/>
  <c r="C164" i="38"/>
  <c r="B164" i="38"/>
  <c r="A164" i="38"/>
  <c r="G163" i="38"/>
  <c r="F163" i="38"/>
  <c r="E163" i="38"/>
  <c r="D163" i="38"/>
  <c r="C163" i="38"/>
  <c r="B163" i="38"/>
  <c r="A163" i="38"/>
  <c r="G162" i="38"/>
  <c r="F162" i="38"/>
  <c r="E162" i="38"/>
  <c r="D162" i="38"/>
  <c r="C162" i="38"/>
  <c r="B162" i="38"/>
  <c r="A162" i="38"/>
  <c r="G161" i="38"/>
  <c r="F161" i="38"/>
  <c r="E161" i="38"/>
  <c r="D161" i="38"/>
  <c r="C161" i="38"/>
  <c r="B161" i="38"/>
  <c r="A161" i="38"/>
  <c r="G160" i="38"/>
  <c r="F160" i="38"/>
  <c r="E160" i="38"/>
  <c r="D160" i="38"/>
  <c r="C160" i="38"/>
  <c r="B160" i="38"/>
  <c r="A160" i="38"/>
  <c r="G159" i="38"/>
  <c r="F159" i="38"/>
  <c r="E159" i="38"/>
  <c r="D159" i="38"/>
  <c r="C159" i="38"/>
  <c r="B159" i="38"/>
  <c r="A159" i="38"/>
  <c r="G158" i="38"/>
  <c r="F158" i="38"/>
  <c r="E158" i="38"/>
  <c r="D158" i="38"/>
  <c r="C158" i="38"/>
  <c r="B158" i="38"/>
  <c r="A158" i="38"/>
  <c r="G157" i="38"/>
  <c r="F157" i="38"/>
  <c r="E157" i="38"/>
  <c r="D157" i="38"/>
  <c r="C157" i="38"/>
  <c r="B157" i="38"/>
  <c r="A157" i="38"/>
  <c r="G156" i="38"/>
  <c r="F156" i="38"/>
  <c r="E156" i="38"/>
  <c r="D156" i="38"/>
  <c r="C156" i="38"/>
  <c r="B156" i="38"/>
  <c r="A156" i="38"/>
  <c r="G155" i="38"/>
  <c r="F155" i="38"/>
  <c r="E155" i="38"/>
  <c r="D155" i="38"/>
  <c r="C155" i="38"/>
  <c r="B155" i="38"/>
  <c r="A155" i="38"/>
  <c r="G154" i="38"/>
  <c r="F154" i="38"/>
  <c r="E154" i="38"/>
  <c r="D154" i="38"/>
  <c r="C154" i="38"/>
  <c r="B154" i="38"/>
  <c r="A154" i="38"/>
  <c r="G153" i="38"/>
  <c r="F153" i="38"/>
  <c r="E153" i="38"/>
  <c r="D153" i="38"/>
  <c r="C153" i="38"/>
  <c r="B153" i="38"/>
  <c r="A153" i="38"/>
  <c r="G152" i="38"/>
  <c r="F152" i="38"/>
  <c r="E152" i="38"/>
  <c r="D152" i="38"/>
  <c r="C152" i="38"/>
  <c r="B152" i="38"/>
  <c r="A152" i="38"/>
  <c r="G151" i="38"/>
  <c r="F151" i="38"/>
  <c r="E151" i="38"/>
  <c r="D151" i="38"/>
  <c r="C151" i="38"/>
  <c r="B151" i="38"/>
  <c r="A151" i="38"/>
  <c r="G150" i="38"/>
  <c r="F150" i="38"/>
  <c r="E150" i="38"/>
  <c r="D150" i="38"/>
  <c r="C150" i="38"/>
  <c r="B150" i="38"/>
  <c r="A150" i="38"/>
  <c r="G149" i="38"/>
  <c r="F149" i="38"/>
  <c r="E149" i="38"/>
  <c r="D149" i="38"/>
  <c r="C149" i="38"/>
  <c r="B149" i="38"/>
  <c r="A149" i="38"/>
  <c r="G148" i="38"/>
  <c r="F148" i="38"/>
  <c r="E148" i="38"/>
  <c r="D148" i="38"/>
  <c r="C148" i="38"/>
  <c r="B148" i="38"/>
  <c r="A148" i="38"/>
  <c r="G147" i="38"/>
  <c r="F147" i="38"/>
  <c r="E147" i="38"/>
  <c r="D147" i="38"/>
  <c r="C147" i="38"/>
  <c r="B147" i="38"/>
  <c r="A147" i="38"/>
  <c r="G146" i="38"/>
  <c r="F146" i="38"/>
  <c r="E146" i="38"/>
  <c r="D146" i="38"/>
  <c r="C146" i="38"/>
  <c r="B146" i="38"/>
  <c r="A146" i="38"/>
  <c r="G145" i="38"/>
  <c r="F145" i="38"/>
  <c r="E145" i="38"/>
  <c r="D145" i="38"/>
  <c r="C145" i="38"/>
  <c r="B145" i="38"/>
  <c r="A145" i="38"/>
  <c r="G144" i="38"/>
  <c r="F144" i="38"/>
  <c r="E144" i="38"/>
  <c r="D144" i="38"/>
  <c r="C144" i="38"/>
  <c r="B144" i="38"/>
  <c r="A144" i="38"/>
  <c r="G143" i="38"/>
  <c r="F143" i="38"/>
  <c r="E143" i="38"/>
  <c r="D143" i="38"/>
  <c r="C143" i="38"/>
  <c r="B143" i="38"/>
  <c r="A143" i="38"/>
  <c r="G142" i="38"/>
  <c r="F142" i="38"/>
  <c r="E142" i="38"/>
  <c r="D142" i="38"/>
  <c r="C142" i="38"/>
  <c r="B142" i="38"/>
  <c r="A142" i="38"/>
  <c r="G141" i="38"/>
  <c r="F141" i="38"/>
  <c r="E141" i="38"/>
  <c r="D141" i="38"/>
  <c r="C141" i="38"/>
  <c r="B141" i="38"/>
  <c r="A141" i="38"/>
  <c r="G140" i="38"/>
  <c r="F140" i="38"/>
  <c r="E140" i="38"/>
  <c r="D140" i="38"/>
  <c r="C140" i="38"/>
  <c r="B140" i="38"/>
  <c r="A140" i="38"/>
  <c r="G139" i="38"/>
  <c r="F139" i="38"/>
  <c r="E139" i="38"/>
  <c r="D139" i="38"/>
  <c r="C139" i="38"/>
  <c r="B139" i="38"/>
  <c r="A139" i="38"/>
  <c r="G138" i="38"/>
  <c r="F138" i="38"/>
  <c r="E138" i="38"/>
  <c r="D138" i="38"/>
  <c r="C138" i="38"/>
  <c r="B138" i="38"/>
  <c r="A138" i="38"/>
  <c r="G137" i="38"/>
  <c r="F137" i="38"/>
  <c r="E137" i="38"/>
  <c r="D137" i="38"/>
  <c r="C137" i="38"/>
  <c r="B137" i="38"/>
  <c r="A137" i="38"/>
  <c r="G136" i="38"/>
  <c r="F136" i="38"/>
  <c r="E136" i="38"/>
  <c r="D136" i="38"/>
  <c r="C136" i="38"/>
  <c r="B136" i="38"/>
  <c r="A136" i="38"/>
  <c r="G135" i="38"/>
  <c r="F135" i="38"/>
  <c r="E135" i="38"/>
  <c r="D135" i="38"/>
  <c r="C135" i="38"/>
  <c r="B135" i="38"/>
  <c r="A135" i="38"/>
  <c r="G134" i="38"/>
  <c r="F134" i="38"/>
  <c r="E134" i="38"/>
  <c r="D134" i="38"/>
  <c r="C134" i="38"/>
  <c r="B134" i="38"/>
  <c r="A134" i="38"/>
  <c r="G133" i="38"/>
  <c r="F133" i="38"/>
  <c r="E133" i="38"/>
  <c r="D133" i="38"/>
  <c r="C133" i="38"/>
  <c r="B133" i="38"/>
  <c r="A133" i="38"/>
  <c r="G132" i="38"/>
  <c r="F132" i="38"/>
  <c r="E132" i="38"/>
  <c r="D132" i="38"/>
  <c r="C132" i="38"/>
  <c r="B132" i="38"/>
  <c r="A132" i="38"/>
  <c r="G131" i="38"/>
  <c r="F131" i="38"/>
  <c r="E131" i="38"/>
  <c r="D131" i="38"/>
  <c r="C131" i="38"/>
  <c r="B131" i="38"/>
  <c r="A131" i="38"/>
  <c r="G130" i="38"/>
  <c r="F130" i="38"/>
  <c r="E130" i="38"/>
  <c r="D130" i="38"/>
  <c r="C130" i="38"/>
  <c r="B130" i="38"/>
  <c r="A130" i="38"/>
  <c r="G129" i="38"/>
  <c r="F129" i="38"/>
  <c r="E129" i="38"/>
  <c r="D129" i="38"/>
  <c r="C129" i="38"/>
  <c r="B129" i="38"/>
  <c r="A129" i="38"/>
  <c r="G128" i="38"/>
  <c r="F128" i="38"/>
  <c r="E128" i="38"/>
  <c r="D128" i="38"/>
  <c r="C128" i="38"/>
  <c r="B128" i="38"/>
  <c r="A128" i="38"/>
  <c r="G127" i="38"/>
  <c r="F127" i="38"/>
  <c r="E127" i="38"/>
  <c r="D127" i="38"/>
  <c r="C127" i="38"/>
  <c r="B127" i="38"/>
  <c r="A127" i="38"/>
  <c r="G126" i="38"/>
  <c r="F126" i="38"/>
  <c r="E126" i="38"/>
  <c r="D126" i="38"/>
  <c r="C126" i="38"/>
  <c r="B126" i="38"/>
  <c r="A126" i="38"/>
  <c r="G125" i="38"/>
  <c r="F125" i="38"/>
  <c r="E125" i="38"/>
  <c r="D125" i="38"/>
  <c r="C125" i="38"/>
  <c r="B125" i="38"/>
  <c r="A125" i="38"/>
  <c r="G124" i="38"/>
  <c r="F124" i="38"/>
  <c r="E124" i="38"/>
  <c r="D124" i="38"/>
  <c r="C124" i="38"/>
  <c r="B124" i="38"/>
  <c r="A124" i="38"/>
  <c r="G123" i="38"/>
  <c r="F123" i="38"/>
  <c r="E123" i="38"/>
  <c r="D123" i="38"/>
  <c r="C123" i="38"/>
  <c r="B123" i="38"/>
  <c r="A123" i="38"/>
  <c r="G122" i="38"/>
  <c r="F122" i="38"/>
  <c r="E122" i="38"/>
  <c r="D122" i="38"/>
  <c r="C122" i="38"/>
  <c r="B122" i="38"/>
  <c r="A122" i="38"/>
  <c r="G121" i="38"/>
  <c r="F121" i="38"/>
  <c r="E121" i="38"/>
  <c r="D121" i="38"/>
  <c r="C121" i="38"/>
  <c r="B121" i="38"/>
  <c r="A121" i="38"/>
  <c r="G120" i="38"/>
  <c r="F120" i="38"/>
  <c r="E120" i="38"/>
  <c r="D120" i="38"/>
  <c r="C120" i="38"/>
  <c r="B120" i="38"/>
  <c r="A120" i="38"/>
  <c r="G119" i="38"/>
  <c r="F119" i="38"/>
  <c r="E119" i="38"/>
  <c r="D119" i="38"/>
  <c r="C119" i="38"/>
  <c r="B119" i="38"/>
  <c r="A119" i="38"/>
  <c r="G118" i="38"/>
  <c r="F118" i="38"/>
  <c r="E118" i="38"/>
  <c r="D118" i="38"/>
  <c r="C118" i="38"/>
  <c r="B118" i="38"/>
  <c r="A118" i="38"/>
  <c r="G117" i="38"/>
  <c r="F117" i="38"/>
  <c r="E117" i="38"/>
  <c r="D117" i="38"/>
  <c r="C117" i="38"/>
  <c r="B117" i="38"/>
  <c r="A117" i="38"/>
  <c r="G116" i="38"/>
  <c r="F116" i="38"/>
  <c r="E116" i="38"/>
  <c r="D116" i="38"/>
  <c r="C116" i="38"/>
  <c r="B116" i="38"/>
  <c r="A116" i="38"/>
  <c r="G115" i="38"/>
  <c r="F115" i="38"/>
  <c r="E115" i="38"/>
  <c r="D115" i="38"/>
  <c r="C115" i="38"/>
  <c r="B115" i="38"/>
  <c r="A115" i="38"/>
  <c r="G114" i="38"/>
  <c r="F114" i="38"/>
  <c r="E114" i="38"/>
  <c r="D114" i="38"/>
  <c r="C114" i="38"/>
  <c r="B114" i="38"/>
  <c r="A114" i="38"/>
  <c r="G113" i="38"/>
  <c r="F113" i="38"/>
  <c r="E113" i="38"/>
  <c r="D113" i="38"/>
  <c r="C113" i="38"/>
  <c r="B113" i="38"/>
  <c r="A113" i="38"/>
  <c r="G112" i="38"/>
  <c r="F112" i="38"/>
  <c r="E112" i="38"/>
  <c r="D112" i="38"/>
  <c r="C112" i="38"/>
  <c r="B112" i="38"/>
  <c r="A112" i="38"/>
  <c r="G111" i="38"/>
  <c r="F111" i="38"/>
  <c r="E111" i="38"/>
  <c r="D111" i="38"/>
  <c r="C111" i="38"/>
  <c r="B111" i="38"/>
  <c r="A111" i="38"/>
  <c r="G110" i="38"/>
  <c r="F110" i="38"/>
  <c r="E110" i="38"/>
  <c r="D110" i="38"/>
  <c r="C110" i="38"/>
  <c r="B110" i="38"/>
  <c r="A110" i="38"/>
  <c r="G109" i="38"/>
  <c r="F109" i="38"/>
  <c r="E109" i="38"/>
  <c r="D109" i="38"/>
  <c r="C109" i="38"/>
  <c r="B109" i="38"/>
  <c r="A109" i="38"/>
  <c r="G108" i="38"/>
  <c r="F108" i="38"/>
  <c r="E108" i="38"/>
  <c r="D108" i="38"/>
  <c r="C108" i="38"/>
  <c r="B108" i="38"/>
  <c r="A108" i="38"/>
  <c r="G107" i="38"/>
  <c r="F107" i="38"/>
  <c r="E107" i="38"/>
  <c r="D107" i="38"/>
  <c r="C107" i="38"/>
  <c r="B107" i="38"/>
  <c r="A107" i="38"/>
  <c r="G106" i="38"/>
  <c r="F106" i="38"/>
  <c r="E106" i="38"/>
  <c r="D106" i="38"/>
  <c r="C106" i="38"/>
  <c r="B106" i="38"/>
  <c r="A106" i="38"/>
  <c r="G105" i="38"/>
  <c r="F105" i="38"/>
  <c r="E105" i="38"/>
  <c r="D105" i="38"/>
  <c r="C105" i="38"/>
  <c r="B105" i="38"/>
  <c r="A105" i="38"/>
  <c r="G104" i="38"/>
  <c r="F104" i="38"/>
  <c r="E104" i="38"/>
  <c r="D104" i="38"/>
  <c r="C104" i="38"/>
  <c r="B104" i="38"/>
  <c r="A104" i="38"/>
  <c r="G103" i="38"/>
  <c r="F103" i="38"/>
  <c r="E103" i="38"/>
  <c r="D103" i="38"/>
  <c r="C103" i="38"/>
  <c r="B103" i="38"/>
  <c r="A103" i="38"/>
  <c r="G102" i="38"/>
  <c r="F102" i="38"/>
  <c r="E102" i="38"/>
  <c r="D102" i="38"/>
  <c r="C102" i="38"/>
  <c r="B102" i="38"/>
  <c r="A102" i="38"/>
  <c r="G101" i="38"/>
  <c r="F101" i="38"/>
  <c r="E101" i="38"/>
  <c r="D101" i="38"/>
  <c r="C101" i="38"/>
  <c r="B101" i="38"/>
  <c r="A101" i="38"/>
  <c r="G100" i="38"/>
  <c r="F100" i="38"/>
  <c r="E100" i="38"/>
  <c r="D100" i="38"/>
  <c r="C100" i="38"/>
  <c r="B100" i="38"/>
  <c r="A100" i="38"/>
  <c r="G99" i="38"/>
  <c r="F99" i="38"/>
  <c r="E99" i="38"/>
  <c r="D99" i="38"/>
  <c r="C99" i="38"/>
  <c r="B99" i="38"/>
  <c r="A99" i="38"/>
  <c r="G98" i="38"/>
  <c r="F98" i="38"/>
  <c r="E98" i="38"/>
  <c r="D98" i="38"/>
  <c r="C98" i="38"/>
  <c r="B98" i="38"/>
  <c r="A98" i="38"/>
  <c r="G97" i="38"/>
  <c r="F97" i="38"/>
  <c r="E97" i="38"/>
  <c r="D97" i="38"/>
  <c r="C97" i="38"/>
  <c r="B97" i="38"/>
  <c r="A97" i="38"/>
  <c r="G96" i="38"/>
  <c r="F96" i="38"/>
  <c r="E96" i="38"/>
  <c r="D96" i="38"/>
  <c r="C96" i="38"/>
  <c r="B96" i="38"/>
  <c r="A96" i="38"/>
  <c r="G95" i="38"/>
  <c r="F95" i="38"/>
  <c r="E95" i="38"/>
  <c r="D95" i="38"/>
  <c r="C95" i="38"/>
  <c r="B95" i="38"/>
  <c r="A95" i="38"/>
  <c r="G94" i="38"/>
  <c r="F94" i="38"/>
  <c r="E94" i="38"/>
  <c r="D94" i="38"/>
  <c r="C94" i="38"/>
  <c r="B94" i="38"/>
  <c r="A94" i="38"/>
  <c r="G93" i="38"/>
  <c r="F93" i="38"/>
  <c r="E93" i="38"/>
  <c r="D93" i="38"/>
  <c r="C93" i="38"/>
  <c r="B93" i="38"/>
  <c r="A93" i="38"/>
  <c r="G92" i="38"/>
  <c r="F92" i="38"/>
  <c r="E92" i="38"/>
  <c r="D92" i="38"/>
  <c r="C92" i="38"/>
  <c r="B92" i="38"/>
  <c r="A92" i="38"/>
  <c r="G91" i="38"/>
  <c r="F91" i="38"/>
  <c r="E91" i="38"/>
  <c r="D91" i="38"/>
  <c r="C91" i="38"/>
  <c r="B91" i="38"/>
  <c r="A91" i="38"/>
  <c r="G90" i="38"/>
  <c r="F90" i="38"/>
  <c r="E90" i="38"/>
  <c r="D90" i="38"/>
  <c r="C90" i="38"/>
  <c r="B90" i="38"/>
  <c r="A90" i="38"/>
  <c r="G89" i="38"/>
  <c r="F89" i="38"/>
  <c r="E89" i="38"/>
  <c r="D89" i="38"/>
  <c r="C89" i="38"/>
  <c r="B89" i="38"/>
  <c r="A89" i="38"/>
  <c r="G88" i="38"/>
  <c r="F88" i="38"/>
  <c r="E88" i="38"/>
  <c r="D88" i="38"/>
  <c r="C88" i="38"/>
  <c r="B88" i="38"/>
  <c r="A88" i="38"/>
  <c r="G87" i="38"/>
  <c r="F87" i="38"/>
  <c r="E87" i="38"/>
  <c r="D87" i="38"/>
  <c r="C87" i="38"/>
  <c r="B87" i="38"/>
  <c r="A87" i="38"/>
  <c r="G86" i="38"/>
  <c r="F86" i="38"/>
  <c r="E86" i="38"/>
  <c r="D86" i="38"/>
  <c r="C86" i="38"/>
  <c r="B86" i="38"/>
  <c r="A86" i="38"/>
  <c r="G85" i="38"/>
  <c r="F85" i="38"/>
  <c r="E85" i="38"/>
  <c r="D85" i="38"/>
  <c r="C85" i="38"/>
  <c r="B85" i="38"/>
  <c r="A85" i="38"/>
  <c r="G84" i="38"/>
  <c r="F84" i="38"/>
  <c r="E84" i="38"/>
  <c r="D84" i="38"/>
  <c r="C84" i="38"/>
  <c r="B84" i="38"/>
  <c r="A84" i="38"/>
  <c r="G83" i="38"/>
  <c r="F83" i="38"/>
  <c r="E83" i="38"/>
  <c r="D83" i="38"/>
  <c r="C83" i="38"/>
  <c r="B83" i="38"/>
  <c r="A83" i="38"/>
  <c r="G82" i="38"/>
  <c r="F82" i="38"/>
  <c r="E82" i="38"/>
  <c r="D82" i="38"/>
  <c r="C82" i="38"/>
  <c r="B82" i="38"/>
  <c r="A82" i="38"/>
  <c r="G81" i="38"/>
  <c r="F81" i="38"/>
  <c r="E81" i="38"/>
  <c r="D81" i="38"/>
  <c r="C81" i="38"/>
  <c r="B81" i="38"/>
  <c r="A81" i="38"/>
  <c r="G80" i="38"/>
  <c r="F80" i="38"/>
  <c r="E80" i="38"/>
  <c r="D80" i="38"/>
  <c r="C80" i="38"/>
  <c r="B80" i="38"/>
  <c r="A80" i="38"/>
  <c r="G79" i="38"/>
  <c r="F79" i="38"/>
  <c r="E79" i="38"/>
  <c r="D79" i="38"/>
  <c r="C79" i="38"/>
  <c r="B79" i="38"/>
  <c r="A79" i="38"/>
  <c r="G78" i="38"/>
  <c r="F78" i="38"/>
  <c r="E78" i="38"/>
  <c r="D78" i="38"/>
  <c r="C78" i="38"/>
  <c r="B78" i="38"/>
  <c r="A78" i="38"/>
  <c r="G77" i="38"/>
  <c r="F77" i="38"/>
  <c r="E77" i="38"/>
  <c r="D77" i="38"/>
  <c r="C77" i="38"/>
  <c r="B77" i="38"/>
  <c r="A77" i="38"/>
  <c r="G76" i="38"/>
  <c r="F76" i="38"/>
  <c r="E76" i="38"/>
  <c r="D76" i="38"/>
  <c r="C76" i="38"/>
  <c r="B76" i="38"/>
  <c r="A76" i="38"/>
  <c r="G75" i="38"/>
  <c r="F75" i="38"/>
  <c r="E75" i="38"/>
  <c r="D75" i="38"/>
  <c r="C75" i="38"/>
  <c r="B75" i="38"/>
  <c r="A75" i="38"/>
  <c r="G74" i="38"/>
  <c r="F74" i="38"/>
  <c r="E74" i="38"/>
  <c r="D74" i="38"/>
  <c r="C74" i="38"/>
  <c r="B74" i="38"/>
  <c r="A74" i="38"/>
  <c r="G73" i="38"/>
  <c r="F73" i="38"/>
  <c r="E73" i="38"/>
  <c r="D73" i="38"/>
  <c r="C73" i="38"/>
  <c r="B73" i="38"/>
  <c r="A73" i="38"/>
  <c r="G72" i="38"/>
  <c r="F72" i="38"/>
  <c r="E72" i="38"/>
  <c r="D72" i="38"/>
  <c r="C72" i="38"/>
  <c r="B72" i="38"/>
  <c r="A72" i="38"/>
  <c r="G71" i="38"/>
  <c r="F71" i="38"/>
  <c r="E71" i="38"/>
  <c r="D71" i="38"/>
  <c r="C71" i="38"/>
  <c r="B71" i="38"/>
  <c r="A71" i="38"/>
  <c r="G70" i="38"/>
  <c r="F70" i="38"/>
  <c r="E70" i="38"/>
  <c r="D70" i="38"/>
  <c r="C70" i="38"/>
  <c r="B70" i="38"/>
  <c r="A70" i="38"/>
  <c r="G69" i="38"/>
  <c r="F69" i="38"/>
  <c r="E69" i="38"/>
  <c r="D69" i="38"/>
  <c r="C69" i="38"/>
  <c r="B69" i="38"/>
  <c r="A69" i="38"/>
  <c r="G68" i="38"/>
  <c r="F68" i="38"/>
  <c r="E68" i="38"/>
  <c r="D68" i="38"/>
  <c r="C68" i="38"/>
  <c r="B68" i="38"/>
  <c r="A68" i="38"/>
  <c r="G67" i="38"/>
  <c r="F67" i="38"/>
  <c r="E67" i="38"/>
  <c r="D67" i="38"/>
  <c r="C67" i="38"/>
  <c r="B67" i="38"/>
  <c r="A67" i="38"/>
  <c r="G66" i="38"/>
  <c r="F66" i="38"/>
  <c r="E66" i="38"/>
  <c r="D66" i="38"/>
  <c r="C66" i="38"/>
  <c r="B66" i="38"/>
  <c r="A66" i="38"/>
  <c r="G65" i="38"/>
  <c r="F65" i="38"/>
  <c r="E65" i="38"/>
  <c r="D65" i="38"/>
  <c r="C65" i="38"/>
  <c r="B65" i="38"/>
  <c r="A65" i="38"/>
  <c r="G64" i="38"/>
  <c r="F64" i="38"/>
  <c r="E64" i="38"/>
  <c r="D64" i="38"/>
  <c r="C64" i="38"/>
  <c r="B64" i="38"/>
  <c r="A64" i="38"/>
  <c r="G63" i="38"/>
  <c r="F63" i="38"/>
  <c r="E63" i="38"/>
  <c r="D63" i="38"/>
  <c r="C63" i="38"/>
  <c r="B63" i="38"/>
  <c r="A63" i="38"/>
  <c r="G62" i="38"/>
  <c r="F62" i="38"/>
  <c r="E62" i="38"/>
  <c r="D62" i="38"/>
  <c r="C62" i="38"/>
  <c r="B62" i="38"/>
  <c r="A62" i="38"/>
  <c r="G61" i="38"/>
  <c r="F61" i="38"/>
  <c r="E61" i="38"/>
  <c r="D61" i="38"/>
  <c r="C61" i="38"/>
  <c r="B61" i="38"/>
  <c r="A61" i="38"/>
  <c r="G60" i="38"/>
  <c r="F60" i="38"/>
  <c r="E60" i="38"/>
  <c r="D60" i="38"/>
  <c r="C60" i="38"/>
  <c r="B60" i="38"/>
  <c r="A60" i="38"/>
  <c r="G59" i="38"/>
  <c r="F59" i="38"/>
  <c r="E59" i="38"/>
  <c r="D59" i="38"/>
  <c r="C59" i="38"/>
  <c r="B59" i="38"/>
  <c r="A59" i="38"/>
  <c r="G58" i="38"/>
  <c r="F58" i="38"/>
  <c r="E58" i="38"/>
  <c r="D58" i="38"/>
  <c r="C58" i="38"/>
  <c r="B58" i="38"/>
  <c r="A58" i="38"/>
  <c r="G57" i="38"/>
  <c r="F57" i="38"/>
  <c r="E57" i="38"/>
  <c r="D57" i="38"/>
  <c r="C57" i="38"/>
  <c r="B57" i="38"/>
  <c r="A57" i="38"/>
  <c r="G56" i="38"/>
  <c r="F56" i="38"/>
  <c r="E56" i="38"/>
  <c r="D56" i="38"/>
  <c r="C56" i="38"/>
  <c r="B56" i="38"/>
  <c r="A56" i="38"/>
  <c r="G55" i="38"/>
  <c r="F55" i="38"/>
  <c r="E55" i="38"/>
  <c r="D55" i="38"/>
  <c r="C55" i="38"/>
  <c r="B55" i="38"/>
  <c r="A55" i="38"/>
  <c r="G54" i="38"/>
  <c r="F54" i="38"/>
  <c r="E54" i="38"/>
  <c r="D54" i="38"/>
  <c r="C54" i="38"/>
  <c r="B54" i="38"/>
  <c r="A54" i="38"/>
  <c r="G53" i="38"/>
  <c r="F53" i="38"/>
  <c r="E53" i="38"/>
  <c r="D53" i="38"/>
  <c r="C53" i="38"/>
  <c r="B53" i="38"/>
  <c r="A53" i="38"/>
  <c r="G52" i="38"/>
  <c r="F52" i="38"/>
  <c r="E52" i="38"/>
  <c r="D52" i="38"/>
  <c r="C52" i="38"/>
  <c r="B52" i="38"/>
  <c r="A52" i="38"/>
  <c r="G51" i="38"/>
  <c r="F51" i="38"/>
  <c r="E51" i="38"/>
  <c r="D51" i="38"/>
  <c r="C51" i="38"/>
  <c r="B51" i="38"/>
  <c r="A51" i="38"/>
  <c r="G50" i="38"/>
  <c r="F50" i="38"/>
  <c r="E50" i="38"/>
  <c r="D50" i="38"/>
  <c r="C50" i="38"/>
  <c r="B50" i="38"/>
  <c r="A50" i="38"/>
  <c r="G49" i="38"/>
  <c r="F49" i="38"/>
  <c r="E49" i="38"/>
  <c r="D49" i="38"/>
  <c r="C49" i="38"/>
  <c r="B49" i="38"/>
  <c r="A49" i="38"/>
  <c r="G48" i="38"/>
  <c r="F48" i="38"/>
  <c r="E48" i="38"/>
  <c r="D48" i="38"/>
  <c r="C48" i="38"/>
  <c r="B48" i="38"/>
  <c r="A48" i="38"/>
  <c r="G47" i="38"/>
  <c r="F47" i="38"/>
  <c r="E47" i="38"/>
  <c r="D47" i="38"/>
  <c r="C47" i="38"/>
  <c r="B47" i="38"/>
  <c r="A47" i="38"/>
  <c r="G46" i="38"/>
  <c r="F46" i="38"/>
  <c r="E46" i="38"/>
  <c r="D46" i="38"/>
  <c r="C46" i="38"/>
  <c r="B46" i="38"/>
  <c r="A46" i="38"/>
  <c r="G45" i="38"/>
  <c r="F45" i="38"/>
  <c r="E45" i="38"/>
  <c r="D45" i="38"/>
  <c r="C45" i="38"/>
  <c r="B45" i="38"/>
  <c r="A45" i="38"/>
  <c r="G44" i="38"/>
  <c r="F44" i="38"/>
  <c r="E44" i="38"/>
  <c r="D44" i="38"/>
  <c r="C44" i="38"/>
  <c r="B44" i="38"/>
  <c r="A44" i="38"/>
  <c r="G43" i="38"/>
  <c r="F43" i="38"/>
  <c r="E43" i="38"/>
  <c r="D43" i="38"/>
  <c r="C43" i="38"/>
  <c r="B43" i="38"/>
  <c r="A43" i="38"/>
  <c r="G42" i="38"/>
  <c r="F42" i="38"/>
  <c r="E42" i="38"/>
  <c r="D42" i="38"/>
  <c r="C42" i="38"/>
  <c r="B42" i="38"/>
  <c r="A42" i="38"/>
  <c r="G41" i="38"/>
  <c r="F41" i="38"/>
  <c r="E41" i="38"/>
  <c r="D41" i="38"/>
  <c r="C41" i="38"/>
  <c r="B41" i="38"/>
  <c r="A41" i="38"/>
  <c r="G40" i="38"/>
  <c r="F40" i="38"/>
  <c r="E40" i="38"/>
  <c r="D40" i="38"/>
  <c r="C40" i="38"/>
  <c r="B40" i="38"/>
  <c r="A40" i="38"/>
  <c r="G39" i="38"/>
  <c r="F39" i="38"/>
  <c r="E39" i="38"/>
  <c r="D39" i="38"/>
  <c r="C39" i="38"/>
  <c r="B39" i="38"/>
  <c r="A39" i="38"/>
  <c r="G38" i="38"/>
  <c r="F38" i="38"/>
  <c r="E38" i="38"/>
  <c r="D38" i="38"/>
  <c r="C38" i="38"/>
  <c r="B38" i="38"/>
  <c r="A38" i="38"/>
  <c r="G37" i="38"/>
  <c r="F37" i="38"/>
  <c r="E37" i="38"/>
  <c r="D37" i="38"/>
  <c r="C37" i="38"/>
  <c r="B37" i="38"/>
  <c r="A37" i="38"/>
  <c r="G36" i="38"/>
  <c r="F36" i="38"/>
  <c r="E36" i="38"/>
  <c r="D36" i="38"/>
  <c r="C36" i="38"/>
  <c r="B36" i="38"/>
  <c r="A36" i="38"/>
  <c r="G35" i="38"/>
  <c r="F35" i="38"/>
  <c r="E35" i="38"/>
  <c r="D35" i="38"/>
  <c r="C35" i="38"/>
  <c r="B35" i="38"/>
  <c r="A35" i="38"/>
  <c r="G34" i="38"/>
  <c r="F34" i="38"/>
  <c r="E34" i="38"/>
  <c r="D34" i="38"/>
  <c r="C34" i="38"/>
  <c r="B34" i="38"/>
  <c r="A34" i="38"/>
  <c r="G33" i="38"/>
  <c r="F33" i="38"/>
  <c r="E33" i="38"/>
  <c r="D33" i="38"/>
  <c r="C33" i="38"/>
  <c r="B33" i="38"/>
  <c r="A33" i="38"/>
  <c r="G32" i="38"/>
  <c r="F32" i="38"/>
  <c r="E32" i="38"/>
  <c r="D32" i="38"/>
  <c r="C32" i="38"/>
  <c r="B32" i="38"/>
  <c r="A32" i="38"/>
  <c r="G31" i="38"/>
  <c r="F31" i="38"/>
  <c r="E31" i="38"/>
  <c r="D31" i="38"/>
  <c r="C31" i="38"/>
  <c r="B31" i="38"/>
  <c r="A31" i="38"/>
  <c r="G30" i="38"/>
  <c r="F30" i="38"/>
  <c r="E30" i="38"/>
  <c r="D30" i="38"/>
  <c r="C30" i="38"/>
  <c r="B30" i="38"/>
  <c r="A30" i="38"/>
  <c r="G29" i="38"/>
  <c r="F29" i="38"/>
  <c r="E29" i="38"/>
  <c r="D29" i="38"/>
  <c r="C29" i="38"/>
  <c r="B29" i="38"/>
  <c r="A29" i="38"/>
  <c r="G28" i="38"/>
  <c r="F28" i="38"/>
  <c r="E28" i="38"/>
  <c r="D28" i="38"/>
  <c r="C28" i="38"/>
  <c r="B28" i="38"/>
  <c r="A28" i="38"/>
  <c r="G27" i="38"/>
  <c r="F27" i="38"/>
  <c r="E27" i="38"/>
  <c r="D27" i="38"/>
  <c r="C27" i="38"/>
  <c r="B27" i="38"/>
  <c r="A27" i="38"/>
  <c r="G26" i="38"/>
  <c r="F26" i="38"/>
  <c r="E26" i="38"/>
  <c r="D26" i="38"/>
  <c r="C26" i="38"/>
  <c r="B26" i="38"/>
  <c r="A26" i="38"/>
  <c r="G25" i="38"/>
  <c r="F25" i="38"/>
  <c r="E25" i="38"/>
  <c r="D25" i="38"/>
  <c r="C25" i="38"/>
  <c r="B25" i="38"/>
  <c r="A25" i="38"/>
  <c r="G24" i="38"/>
  <c r="F24" i="38"/>
  <c r="E24" i="38"/>
  <c r="D24" i="38"/>
  <c r="C24" i="38"/>
  <c r="B24" i="38"/>
  <c r="A24" i="38"/>
  <c r="G23" i="38"/>
  <c r="F23" i="38"/>
  <c r="E23" i="38"/>
  <c r="D23" i="38"/>
  <c r="C23" i="38"/>
  <c r="B23" i="38"/>
  <c r="A23" i="38"/>
  <c r="G22" i="38"/>
  <c r="F22" i="38"/>
  <c r="E22" i="38"/>
  <c r="D22" i="38"/>
  <c r="C22" i="38"/>
  <c r="B22" i="38"/>
  <c r="A22" i="38"/>
  <c r="G21" i="38"/>
  <c r="F21" i="38"/>
  <c r="E21" i="38"/>
  <c r="D21" i="38"/>
  <c r="C21" i="38"/>
  <c r="B21" i="38"/>
  <c r="A21" i="38"/>
  <c r="G20" i="38"/>
  <c r="F20" i="38"/>
  <c r="E20" i="38"/>
  <c r="D20" i="38"/>
  <c r="C20" i="38"/>
  <c r="B20" i="38"/>
  <c r="A20" i="38"/>
  <c r="G19" i="38"/>
  <c r="F19" i="38"/>
  <c r="E19" i="38"/>
  <c r="D19" i="38"/>
  <c r="C19" i="38"/>
  <c r="B19" i="38"/>
  <c r="A19" i="38"/>
  <c r="G18" i="38"/>
  <c r="F18" i="38"/>
  <c r="E18" i="38"/>
  <c r="D18" i="38"/>
  <c r="C18" i="38"/>
  <c r="B18" i="38"/>
  <c r="A18" i="38"/>
  <c r="G17" i="38"/>
  <c r="F17" i="38"/>
  <c r="E17" i="38"/>
  <c r="D17" i="38"/>
  <c r="C17" i="38"/>
  <c r="B17" i="38"/>
  <c r="A17" i="38"/>
  <c r="G16" i="38"/>
  <c r="F16" i="38"/>
  <c r="E16" i="38"/>
  <c r="D16" i="38"/>
  <c r="C16" i="38"/>
  <c r="B16" i="38"/>
  <c r="A16" i="38"/>
  <c r="G15" i="38"/>
  <c r="F15" i="38"/>
  <c r="E15" i="38"/>
  <c r="D15" i="38"/>
  <c r="C15" i="38"/>
  <c r="B15" i="38"/>
  <c r="A15" i="38"/>
  <c r="G14" i="38"/>
  <c r="F14" i="38"/>
  <c r="E14" i="38"/>
  <c r="D14" i="38"/>
  <c r="C14" i="38"/>
  <c r="B14" i="38"/>
  <c r="A14" i="38"/>
  <c r="G13" i="38"/>
  <c r="F13" i="38"/>
  <c r="E13" i="38"/>
  <c r="D13" i="38"/>
  <c r="C13" i="38"/>
  <c r="B13" i="38"/>
  <c r="A13" i="38"/>
  <c r="G12" i="38"/>
  <c r="F12" i="38"/>
  <c r="E12" i="38"/>
  <c r="D12" i="38"/>
  <c r="C12" i="38"/>
  <c r="B12" i="38"/>
  <c r="A12" i="38"/>
  <c r="G11" i="38"/>
  <c r="F11" i="38"/>
  <c r="E11" i="38"/>
  <c r="D11" i="38"/>
  <c r="C11" i="38"/>
  <c r="B11" i="38"/>
  <c r="A11" i="38"/>
  <c r="G10" i="38"/>
  <c r="F10" i="38"/>
  <c r="E10" i="38"/>
  <c r="D10" i="38"/>
  <c r="C10" i="38"/>
  <c r="B10" i="38"/>
  <c r="A10" i="38"/>
  <c r="G9" i="38"/>
  <c r="F9" i="38"/>
  <c r="E9" i="38"/>
  <c r="D9" i="38"/>
  <c r="C9" i="38"/>
  <c r="B9" i="38"/>
  <c r="A9" i="38"/>
  <c r="G8" i="38"/>
  <c r="F8" i="38"/>
  <c r="E8" i="38"/>
  <c r="D8" i="38"/>
  <c r="C8" i="38"/>
  <c r="B8" i="38"/>
  <c r="A8" i="38"/>
  <c r="G7" i="38"/>
  <c r="F7" i="38"/>
  <c r="E7" i="38"/>
  <c r="D7" i="38"/>
  <c r="C7" i="38"/>
  <c r="B7" i="38"/>
  <c r="A7" i="38"/>
  <c r="G6" i="38"/>
  <c r="F6" i="38"/>
  <c r="E6" i="38"/>
  <c r="D6" i="38"/>
  <c r="C6" i="38"/>
  <c r="B6" i="38"/>
  <c r="A6" i="38"/>
  <c r="G5" i="38"/>
  <c r="F5" i="38"/>
  <c r="E5" i="38"/>
  <c r="D5" i="38"/>
  <c r="C5" i="38"/>
  <c r="B5" i="38"/>
  <c r="A5" i="38"/>
  <c r="G4" i="38"/>
  <c r="F4" i="38"/>
  <c r="E4" i="38"/>
  <c r="D4" i="38"/>
  <c r="C4" i="38"/>
  <c r="B4" i="38"/>
  <c r="A4" i="38"/>
  <c r="G3" i="38"/>
  <c r="F3" i="38"/>
  <c r="E3" i="38"/>
  <c r="D3" i="38"/>
  <c r="C3" i="38"/>
  <c r="B3" i="38"/>
  <c r="A3" i="38"/>
  <c r="G2" i="38"/>
  <c r="F2" i="38"/>
  <c r="E2" i="38"/>
  <c r="D2" i="38"/>
  <c r="C2" i="38"/>
  <c r="B2" i="38"/>
  <c r="A2" i="38"/>
  <c r="G1" i="38"/>
  <c r="F1" i="38"/>
  <c r="E1" i="38"/>
  <c r="D1" i="38"/>
  <c r="C1" i="38"/>
  <c r="B1" i="38"/>
  <c r="A1" i="38"/>
  <c r="H277" i="37"/>
  <c r="G277" i="37"/>
  <c r="F277" i="37"/>
  <c r="E277" i="37"/>
  <c r="D277" i="37"/>
  <c r="C277" i="37"/>
  <c r="B277" i="37"/>
  <c r="A277" i="37"/>
  <c r="H276" i="37"/>
  <c r="G276" i="37"/>
  <c r="F276" i="37"/>
  <c r="E276" i="37"/>
  <c r="D276" i="37"/>
  <c r="C276" i="37"/>
  <c r="B276" i="37"/>
  <c r="A276" i="37"/>
  <c r="H275" i="37"/>
  <c r="G275" i="37"/>
  <c r="F275" i="37"/>
  <c r="E275" i="37"/>
  <c r="D275" i="37"/>
  <c r="C275" i="37"/>
  <c r="B275" i="37"/>
  <c r="A275" i="37"/>
  <c r="H274" i="37"/>
  <c r="G274" i="37"/>
  <c r="F274" i="37"/>
  <c r="E274" i="37"/>
  <c r="D274" i="37"/>
  <c r="C274" i="37"/>
  <c r="B274" i="37"/>
  <c r="A274" i="37"/>
  <c r="H273" i="37"/>
  <c r="G273" i="37"/>
  <c r="F273" i="37"/>
  <c r="E273" i="37"/>
  <c r="D273" i="37"/>
  <c r="C273" i="37"/>
  <c r="B273" i="37"/>
  <c r="A273" i="37"/>
  <c r="H272" i="37"/>
  <c r="G272" i="37"/>
  <c r="F272" i="37"/>
  <c r="E272" i="37"/>
  <c r="D272" i="37"/>
  <c r="C272" i="37"/>
  <c r="B272" i="37"/>
  <c r="A272" i="37"/>
  <c r="H271" i="37"/>
  <c r="G271" i="37"/>
  <c r="F271" i="37"/>
  <c r="E271" i="37"/>
  <c r="D271" i="37"/>
  <c r="C271" i="37"/>
  <c r="B271" i="37"/>
  <c r="A271" i="37"/>
  <c r="H270" i="37"/>
  <c r="G270" i="37"/>
  <c r="F270" i="37"/>
  <c r="E270" i="37"/>
  <c r="D270" i="37"/>
  <c r="C270" i="37"/>
  <c r="B270" i="37"/>
  <c r="A270" i="37"/>
  <c r="H269" i="37"/>
  <c r="G269" i="37"/>
  <c r="F269" i="37"/>
  <c r="E269" i="37"/>
  <c r="D269" i="37"/>
  <c r="C269" i="37"/>
  <c r="B269" i="37"/>
  <c r="A269" i="37"/>
  <c r="H268" i="37"/>
  <c r="G268" i="37"/>
  <c r="F268" i="37"/>
  <c r="E268" i="37"/>
  <c r="D268" i="37"/>
  <c r="C268" i="37"/>
  <c r="B268" i="37"/>
  <c r="A268" i="37"/>
  <c r="H267" i="37"/>
  <c r="G267" i="37"/>
  <c r="F267" i="37"/>
  <c r="E267" i="37"/>
  <c r="D267" i="37"/>
  <c r="C267" i="37"/>
  <c r="B267" i="37"/>
  <c r="A267" i="37"/>
  <c r="H266" i="37"/>
  <c r="G266" i="37"/>
  <c r="F266" i="37"/>
  <c r="E266" i="37"/>
  <c r="D266" i="37"/>
  <c r="C266" i="37"/>
  <c r="B266" i="37"/>
  <c r="A266" i="37"/>
  <c r="H265" i="37"/>
  <c r="G265" i="37"/>
  <c r="F265" i="37"/>
  <c r="E265" i="37"/>
  <c r="D265" i="37"/>
  <c r="C265" i="37"/>
  <c r="B265" i="37"/>
  <c r="A265" i="37"/>
  <c r="H264" i="37"/>
  <c r="G264" i="37"/>
  <c r="F264" i="37"/>
  <c r="E264" i="37"/>
  <c r="D264" i="37"/>
  <c r="C264" i="37"/>
  <c r="B264" i="37"/>
  <c r="A264" i="37"/>
  <c r="H263" i="37"/>
  <c r="G263" i="37"/>
  <c r="F263" i="37"/>
  <c r="E263" i="37"/>
  <c r="D263" i="37"/>
  <c r="C263" i="37"/>
  <c r="B263" i="37"/>
  <c r="A263" i="37"/>
  <c r="H262" i="37"/>
  <c r="G262" i="37"/>
  <c r="F262" i="37"/>
  <c r="E262" i="37"/>
  <c r="D262" i="37"/>
  <c r="C262" i="37"/>
  <c r="B262" i="37"/>
  <c r="A262" i="37"/>
  <c r="H261" i="37"/>
  <c r="G261" i="37"/>
  <c r="F261" i="37"/>
  <c r="E261" i="37"/>
  <c r="D261" i="37"/>
  <c r="C261" i="37"/>
  <c r="B261" i="37"/>
  <c r="A261" i="37"/>
  <c r="H260" i="37"/>
  <c r="G260" i="37"/>
  <c r="F260" i="37"/>
  <c r="E260" i="37"/>
  <c r="D260" i="37"/>
  <c r="C260" i="37"/>
  <c r="B260" i="37"/>
  <c r="A260" i="37"/>
  <c r="H259" i="37"/>
  <c r="G259" i="37"/>
  <c r="F259" i="37"/>
  <c r="E259" i="37"/>
  <c r="D259" i="37"/>
  <c r="C259" i="37"/>
  <c r="B259" i="37"/>
  <c r="A259" i="37"/>
  <c r="H258" i="37"/>
  <c r="G258" i="37"/>
  <c r="F258" i="37"/>
  <c r="E258" i="37"/>
  <c r="D258" i="37"/>
  <c r="C258" i="37"/>
  <c r="B258" i="37"/>
  <c r="A258" i="37"/>
  <c r="H257" i="37"/>
  <c r="G257" i="37"/>
  <c r="F257" i="37"/>
  <c r="E257" i="37"/>
  <c r="D257" i="37"/>
  <c r="C257" i="37"/>
  <c r="B257" i="37"/>
  <c r="A257" i="37"/>
  <c r="H256" i="37"/>
  <c r="G256" i="37"/>
  <c r="F256" i="37"/>
  <c r="E256" i="37"/>
  <c r="D256" i="37"/>
  <c r="C256" i="37"/>
  <c r="B256" i="37"/>
  <c r="A256" i="37"/>
  <c r="H255" i="37"/>
  <c r="G255" i="37"/>
  <c r="F255" i="37"/>
  <c r="E255" i="37"/>
  <c r="D255" i="37"/>
  <c r="C255" i="37"/>
  <c r="B255" i="37"/>
  <c r="A255" i="37"/>
  <c r="H254" i="37"/>
  <c r="G254" i="37"/>
  <c r="F254" i="37"/>
  <c r="E254" i="37"/>
  <c r="D254" i="37"/>
  <c r="C254" i="37"/>
  <c r="B254" i="37"/>
  <c r="A254" i="37"/>
  <c r="H253" i="37"/>
  <c r="G253" i="37"/>
  <c r="F253" i="37"/>
  <c r="E253" i="37"/>
  <c r="D253" i="37"/>
  <c r="C253" i="37"/>
  <c r="B253" i="37"/>
  <c r="A253" i="37"/>
  <c r="H252" i="37"/>
  <c r="G252" i="37"/>
  <c r="F252" i="37"/>
  <c r="E252" i="37"/>
  <c r="D252" i="37"/>
  <c r="C252" i="37"/>
  <c r="B252" i="37"/>
  <c r="A252" i="37"/>
  <c r="H251" i="37"/>
  <c r="G251" i="37"/>
  <c r="F251" i="37"/>
  <c r="E251" i="37"/>
  <c r="D251" i="37"/>
  <c r="C251" i="37"/>
  <c r="B251" i="37"/>
  <c r="A251" i="37"/>
  <c r="H250" i="37"/>
  <c r="G250" i="37"/>
  <c r="F250" i="37"/>
  <c r="E250" i="37"/>
  <c r="D250" i="37"/>
  <c r="C250" i="37"/>
  <c r="B250" i="37"/>
  <c r="A250" i="37"/>
  <c r="H249" i="37"/>
  <c r="G249" i="37"/>
  <c r="F249" i="37"/>
  <c r="E249" i="37"/>
  <c r="D249" i="37"/>
  <c r="C249" i="37"/>
  <c r="B249" i="37"/>
  <c r="A249" i="37"/>
  <c r="H248" i="37"/>
  <c r="G248" i="37"/>
  <c r="F248" i="37"/>
  <c r="E248" i="37"/>
  <c r="D248" i="37"/>
  <c r="C248" i="37"/>
  <c r="B248" i="37"/>
  <c r="A248" i="37"/>
  <c r="H247" i="37"/>
  <c r="G247" i="37"/>
  <c r="F247" i="37"/>
  <c r="E247" i="37"/>
  <c r="D247" i="37"/>
  <c r="C247" i="37"/>
  <c r="B247" i="37"/>
  <c r="A247" i="37"/>
  <c r="H246" i="37"/>
  <c r="G246" i="37"/>
  <c r="F246" i="37"/>
  <c r="E246" i="37"/>
  <c r="D246" i="37"/>
  <c r="C246" i="37"/>
  <c r="B246" i="37"/>
  <c r="A246" i="37"/>
  <c r="H245" i="37"/>
  <c r="G245" i="37"/>
  <c r="F245" i="37"/>
  <c r="E245" i="37"/>
  <c r="D245" i="37"/>
  <c r="C245" i="37"/>
  <c r="B245" i="37"/>
  <c r="A245" i="37"/>
  <c r="H244" i="37"/>
  <c r="G244" i="37"/>
  <c r="F244" i="37"/>
  <c r="E244" i="37"/>
  <c r="D244" i="37"/>
  <c r="C244" i="37"/>
  <c r="B244" i="37"/>
  <c r="A244" i="37"/>
  <c r="H243" i="37"/>
  <c r="G243" i="37"/>
  <c r="F243" i="37"/>
  <c r="E243" i="37"/>
  <c r="D243" i="37"/>
  <c r="C243" i="37"/>
  <c r="B243" i="37"/>
  <c r="A243" i="37"/>
  <c r="H242" i="37"/>
  <c r="G242" i="37"/>
  <c r="F242" i="37"/>
  <c r="E242" i="37"/>
  <c r="D242" i="37"/>
  <c r="C242" i="37"/>
  <c r="B242" i="37"/>
  <c r="A242" i="37"/>
  <c r="H241" i="37"/>
  <c r="G241" i="37"/>
  <c r="F241" i="37"/>
  <c r="E241" i="37"/>
  <c r="D241" i="37"/>
  <c r="C241" i="37"/>
  <c r="B241" i="37"/>
  <c r="A241" i="37"/>
  <c r="H240" i="37"/>
  <c r="G240" i="37"/>
  <c r="F240" i="37"/>
  <c r="E240" i="37"/>
  <c r="D240" i="37"/>
  <c r="C240" i="37"/>
  <c r="B240" i="37"/>
  <c r="A240" i="37"/>
  <c r="H239" i="37"/>
  <c r="G239" i="37"/>
  <c r="F239" i="37"/>
  <c r="E239" i="37"/>
  <c r="D239" i="37"/>
  <c r="C239" i="37"/>
  <c r="B239" i="37"/>
  <c r="A239" i="37"/>
  <c r="H238" i="37"/>
  <c r="G238" i="37"/>
  <c r="F238" i="37"/>
  <c r="E238" i="37"/>
  <c r="D238" i="37"/>
  <c r="C238" i="37"/>
  <c r="B238" i="37"/>
  <c r="A238" i="37"/>
  <c r="H237" i="37"/>
  <c r="G237" i="37"/>
  <c r="F237" i="37"/>
  <c r="E237" i="37"/>
  <c r="D237" i="37"/>
  <c r="C237" i="37"/>
  <c r="B237" i="37"/>
  <c r="A237" i="37"/>
  <c r="H236" i="37"/>
  <c r="G236" i="37"/>
  <c r="F236" i="37"/>
  <c r="E236" i="37"/>
  <c r="D236" i="37"/>
  <c r="C236" i="37"/>
  <c r="B236" i="37"/>
  <c r="A236" i="37"/>
  <c r="H235" i="37"/>
  <c r="G235" i="37"/>
  <c r="F235" i="37"/>
  <c r="E235" i="37"/>
  <c r="D235" i="37"/>
  <c r="C235" i="37"/>
  <c r="B235" i="37"/>
  <c r="A235" i="37"/>
  <c r="H234" i="37"/>
  <c r="G234" i="37"/>
  <c r="F234" i="37"/>
  <c r="E234" i="37"/>
  <c r="D234" i="37"/>
  <c r="C234" i="37"/>
  <c r="B234" i="37"/>
  <c r="A234" i="37"/>
  <c r="H233" i="37"/>
  <c r="G233" i="37"/>
  <c r="F233" i="37"/>
  <c r="E233" i="37"/>
  <c r="D233" i="37"/>
  <c r="C233" i="37"/>
  <c r="B233" i="37"/>
  <c r="A233" i="37"/>
  <c r="H232" i="37"/>
  <c r="G232" i="37"/>
  <c r="F232" i="37"/>
  <c r="E232" i="37"/>
  <c r="D232" i="37"/>
  <c r="C232" i="37"/>
  <c r="B232" i="37"/>
  <c r="A232" i="37"/>
  <c r="H231" i="37"/>
  <c r="G231" i="37"/>
  <c r="F231" i="37"/>
  <c r="E231" i="37"/>
  <c r="D231" i="37"/>
  <c r="C231" i="37"/>
  <c r="B231" i="37"/>
  <c r="A231" i="37"/>
  <c r="H230" i="37"/>
  <c r="G230" i="37"/>
  <c r="F230" i="37"/>
  <c r="E230" i="37"/>
  <c r="D230" i="37"/>
  <c r="C230" i="37"/>
  <c r="B230" i="37"/>
  <c r="A230" i="37"/>
  <c r="H229" i="37"/>
  <c r="G229" i="37"/>
  <c r="F229" i="37"/>
  <c r="E229" i="37"/>
  <c r="D229" i="37"/>
  <c r="C229" i="37"/>
  <c r="B229" i="37"/>
  <c r="A229" i="37"/>
  <c r="H228" i="37"/>
  <c r="G228" i="37"/>
  <c r="F228" i="37"/>
  <c r="E228" i="37"/>
  <c r="D228" i="37"/>
  <c r="C228" i="37"/>
  <c r="B228" i="37"/>
  <c r="A228" i="37"/>
  <c r="H227" i="37"/>
  <c r="G227" i="37"/>
  <c r="F227" i="37"/>
  <c r="E227" i="37"/>
  <c r="D227" i="37"/>
  <c r="C227" i="37"/>
  <c r="B227" i="37"/>
  <c r="A227" i="37"/>
  <c r="H226" i="37"/>
  <c r="G226" i="37"/>
  <c r="F226" i="37"/>
  <c r="E226" i="37"/>
  <c r="D226" i="37"/>
  <c r="C226" i="37"/>
  <c r="B226" i="37"/>
  <c r="A226" i="37"/>
  <c r="H225" i="37"/>
  <c r="G225" i="37"/>
  <c r="F225" i="37"/>
  <c r="E225" i="37"/>
  <c r="D225" i="37"/>
  <c r="C225" i="37"/>
  <c r="B225" i="37"/>
  <c r="A225" i="37"/>
  <c r="H224" i="37"/>
  <c r="G224" i="37"/>
  <c r="F224" i="37"/>
  <c r="E224" i="37"/>
  <c r="D224" i="37"/>
  <c r="C224" i="37"/>
  <c r="B224" i="37"/>
  <c r="A224" i="37"/>
  <c r="H223" i="37"/>
  <c r="G223" i="37"/>
  <c r="F223" i="37"/>
  <c r="E223" i="37"/>
  <c r="D223" i="37"/>
  <c r="C223" i="37"/>
  <c r="B223" i="37"/>
  <c r="A223" i="37"/>
  <c r="H222" i="37"/>
  <c r="G222" i="37"/>
  <c r="F222" i="37"/>
  <c r="E222" i="37"/>
  <c r="D222" i="37"/>
  <c r="C222" i="37"/>
  <c r="B222" i="37"/>
  <c r="A222" i="37"/>
  <c r="H221" i="37"/>
  <c r="G221" i="37"/>
  <c r="F221" i="37"/>
  <c r="E221" i="37"/>
  <c r="D221" i="37"/>
  <c r="C221" i="37"/>
  <c r="B221" i="37"/>
  <c r="A221" i="37"/>
  <c r="H220" i="37"/>
  <c r="G220" i="37"/>
  <c r="F220" i="37"/>
  <c r="E220" i="37"/>
  <c r="D220" i="37"/>
  <c r="C220" i="37"/>
  <c r="B220" i="37"/>
  <c r="A220" i="37"/>
  <c r="H219" i="37"/>
  <c r="G219" i="37"/>
  <c r="F219" i="37"/>
  <c r="E219" i="37"/>
  <c r="D219" i="37"/>
  <c r="C219" i="37"/>
  <c r="B219" i="37"/>
  <c r="A219" i="37"/>
  <c r="H218" i="37"/>
  <c r="G218" i="37"/>
  <c r="F218" i="37"/>
  <c r="E218" i="37"/>
  <c r="D218" i="37"/>
  <c r="C218" i="37"/>
  <c r="B218" i="37"/>
  <c r="A218" i="37"/>
  <c r="H217" i="37"/>
  <c r="G217" i="37"/>
  <c r="F217" i="37"/>
  <c r="E217" i="37"/>
  <c r="D217" i="37"/>
  <c r="C217" i="37"/>
  <c r="B217" i="37"/>
  <c r="A217" i="37"/>
  <c r="H216" i="37"/>
  <c r="G216" i="37"/>
  <c r="F216" i="37"/>
  <c r="E216" i="37"/>
  <c r="D216" i="37"/>
  <c r="C216" i="37"/>
  <c r="B216" i="37"/>
  <c r="A216" i="37"/>
  <c r="H215" i="37"/>
  <c r="G215" i="37"/>
  <c r="F215" i="37"/>
  <c r="E215" i="37"/>
  <c r="D215" i="37"/>
  <c r="C215" i="37"/>
  <c r="B215" i="37"/>
  <c r="A215" i="37"/>
  <c r="H214" i="37"/>
  <c r="G214" i="37"/>
  <c r="F214" i="37"/>
  <c r="E214" i="37"/>
  <c r="D214" i="37"/>
  <c r="C214" i="37"/>
  <c r="B214" i="37"/>
  <c r="A214" i="37"/>
  <c r="H213" i="37"/>
  <c r="G213" i="37"/>
  <c r="F213" i="37"/>
  <c r="E213" i="37"/>
  <c r="D213" i="37"/>
  <c r="C213" i="37"/>
  <c r="B213" i="37"/>
  <c r="A213" i="37"/>
  <c r="H212" i="37"/>
  <c r="G212" i="37"/>
  <c r="F212" i="37"/>
  <c r="E212" i="37"/>
  <c r="D212" i="37"/>
  <c r="C212" i="37"/>
  <c r="B212" i="37"/>
  <c r="A212" i="37"/>
  <c r="H211" i="37"/>
  <c r="G211" i="37"/>
  <c r="F211" i="37"/>
  <c r="E211" i="37"/>
  <c r="D211" i="37"/>
  <c r="C211" i="37"/>
  <c r="B211" i="37"/>
  <c r="A211" i="37"/>
  <c r="H210" i="37"/>
  <c r="G210" i="37"/>
  <c r="F210" i="37"/>
  <c r="E210" i="37"/>
  <c r="D210" i="37"/>
  <c r="C210" i="37"/>
  <c r="B210" i="37"/>
  <c r="A210" i="37"/>
  <c r="H209" i="37"/>
  <c r="G209" i="37"/>
  <c r="F209" i="37"/>
  <c r="E209" i="37"/>
  <c r="D209" i="37"/>
  <c r="C209" i="37"/>
  <c r="B209" i="37"/>
  <c r="A209" i="37"/>
  <c r="H208" i="37"/>
  <c r="G208" i="37"/>
  <c r="F208" i="37"/>
  <c r="E208" i="37"/>
  <c r="D208" i="37"/>
  <c r="C208" i="37"/>
  <c r="B208" i="37"/>
  <c r="A208" i="37"/>
  <c r="H207" i="37"/>
  <c r="G207" i="37"/>
  <c r="F207" i="37"/>
  <c r="E207" i="37"/>
  <c r="D207" i="37"/>
  <c r="C207" i="37"/>
  <c r="B207" i="37"/>
  <c r="A207" i="37"/>
  <c r="H206" i="37"/>
  <c r="G206" i="37"/>
  <c r="F206" i="37"/>
  <c r="E206" i="37"/>
  <c r="D206" i="37"/>
  <c r="C206" i="37"/>
  <c r="B206" i="37"/>
  <c r="A206" i="37"/>
  <c r="H205" i="37"/>
  <c r="G205" i="37"/>
  <c r="F205" i="37"/>
  <c r="E205" i="37"/>
  <c r="D205" i="37"/>
  <c r="C205" i="37"/>
  <c r="B205" i="37"/>
  <c r="A205" i="37"/>
  <c r="H204" i="37"/>
  <c r="G204" i="37"/>
  <c r="F204" i="37"/>
  <c r="E204" i="37"/>
  <c r="D204" i="37"/>
  <c r="C204" i="37"/>
  <c r="B204" i="37"/>
  <c r="A204" i="37"/>
  <c r="H203" i="37"/>
  <c r="G203" i="37"/>
  <c r="F203" i="37"/>
  <c r="E203" i="37"/>
  <c r="D203" i="37"/>
  <c r="C203" i="37"/>
  <c r="B203" i="37"/>
  <c r="A203" i="37"/>
  <c r="H202" i="37"/>
  <c r="G202" i="37"/>
  <c r="F202" i="37"/>
  <c r="E202" i="37"/>
  <c r="D202" i="37"/>
  <c r="C202" i="37"/>
  <c r="B202" i="37"/>
  <c r="A202" i="37"/>
  <c r="H201" i="37"/>
  <c r="G201" i="37"/>
  <c r="F201" i="37"/>
  <c r="E201" i="37"/>
  <c r="D201" i="37"/>
  <c r="C201" i="37"/>
  <c r="B201" i="37"/>
  <c r="A201" i="37"/>
  <c r="H200" i="37"/>
  <c r="G200" i="37"/>
  <c r="F200" i="37"/>
  <c r="E200" i="37"/>
  <c r="D200" i="37"/>
  <c r="C200" i="37"/>
  <c r="B200" i="37"/>
  <c r="A200" i="37"/>
  <c r="H199" i="37"/>
  <c r="G199" i="37"/>
  <c r="F199" i="37"/>
  <c r="E199" i="37"/>
  <c r="D199" i="37"/>
  <c r="C199" i="37"/>
  <c r="B199" i="37"/>
  <c r="A199" i="37"/>
  <c r="H198" i="37"/>
  <c r="G198" i="37"/>
  <c r="F198" i="37"/>
  <c r="E198" i="37"/>
  <c r="D198" i="37"/>
  <c r="C198" i="37"/>
  <c r="B198" i="37"/>
  <c r="A198" i="37"/>
  <c r="H197" i="37"/>
  <c r="G197" i="37"/>
  <c r="F197" i="37"/>
  <c r="E197" i="37"/>
  <c r="D197" i="37"/>
  <c r="C197" i="37"/>
  <c r="B197" i="37"/>
  <c r="A197" i="37"/>
  <c r="H196" i="37"/>
  <c r="G196" i="37"/>
  <c r="F196" i="37"/>
  <c r="E196" i="37"/>
  <c r="D196" i="37"/>
  <c r="C196" i="37"/>
  <c r="B196" i="37"/>
  <c r="A196" i="37"/>
  <c r="H195" i="37"/>
  <c r="G195" i="37"/>
  <c r="F195" i="37"/>
  <c r="E195" i="37"/>
  <c r="D195" i="37"/>
  <c r="C195" i="37"/>
  <c r="B195" i="37"/>
  <c r="A195" i="37"/>
  <c r="H194" i="37"/>
  <c r="G194" i="37"/>
  <c r="F194" i="37"/>
  <c r="E194" i="37"/>
  <c r="D194" i="37"/>
  <c r="C194" i="37"/>
  <c r="B194" i="37"/>
  <c r="A194" i="37"/>
  <c r="H193" i="37"/>
  <c r="G193" i="37"/>
  <c r="F193" i="37"/>
  <c r="E193" i="37"/>
  <c r="D193" i="37"/>
  <c r="C193" i="37"/>
  <c r="B193" i="37"/>
  <c r="A193" i="37"/>
  <c r="H192" i="37"/>
  <c r="G192" i="37"/>
  <c r="F192" i="37"/>
  <c r="E192" i="37"/>
  <c r="D192" i="37"/>
  <c r="C192" i="37"/>
  <c r="B192" i="37"/>
  <c r="A192" i="37"/>
  <c r="H191" i="37"/>
  <c r="G191" i="37"/>
  <c r="F191" i="37"/>
  <c r="E191" i="37"/>
  <c r="D191" i="37"/>
  <c r="C191" i="37"/>
  <c r="B191" i="37"/>
  <c r="A191" i="37"/>
  <c r="H190" i="37"/>
  <c r="G190" i="37"/>
  <c r="F190" i="37"/>
  <c r="E190" i="37"/>
  <c r="D190" i="37"/>
  <c r="C190" i="37"/>
  <c r="B190" i="37"/>
  <c r="A190" i="37"/>
  <c r="H189" i="37"/>
  <c r="G189" i="37"/>
  <c r="F189" i="37"/>
  <c r="E189" i="37"/>
  <c r="D189" i="37"/>
  <c r="C189" i="37"/>
  <c r="B189" i="37"/>
  <c r="A189" i="37"/>
  <c r="H188" i="37"/>
  <c r="G188" i="37"/>
  <c r="F188" i="37"/>
  <c r="E188" i="37"/>
  <c r="D188" i="37"/>
  <c r="C188" i="37"/>
  <c r="B188" i="37"/>
  <c r="A188" i="37"/>
  <c r="H187" i="37"/>
  <c r="G187" i="37"/>
  <c r="F187" i="37"/>
  <c r="E187" i="37"/>
  <c r="D187" i="37"/>
  <c r="C187" i="37"/>
  <c r="B187" i="37"/>
  <c r="A187" i="37"/>
  <c r="H186" i="37"/>
  <c r="G186" i="37"/>
  <c r="F186" i="37"/>
  <c r="E186" i="37"/>
  <c r="D186" i="37"/>
  <c r="C186" i="37"/>
  <c r="B186" i="37"/>
  <c r="A186" i="37"/>
  <c r="H185" i="37"/>
  <c r="G185" i="37"/>
  <c r="F185" i="37"/>
  <c r="E185" i="37"/>
  <c r="D185" i="37"/>
  <c r="C185" i="37"/>
  <c r="B185" i="37"/>
  <c r="A185" i="37"/>
  <c r="H184" i="37"/>
  <c r="G184" i="37"/>
  <c r="F184" i="37"/>
  <c r="E184" i="37"/>
  <c r="D184" i="37"/>
  <c r="C184" i="37"/>
  <c r="B184" i="37"/>
  <c r="A184" i="37"/>
  <c r="H183" i="37"/>
  <c r="G183" i="37"/>
  <c r="F183" i="37"/>
  <c r="E183" i="37"/>
  <c r="D183" i="37"/>
  <c r="C183" i="37"/>
  <c r="B183" i="37"/>
  <c r="A183" i="37"/>
  <c r="H182" i="37"/>
  <c r="G182" i="37"/>
  <c r="F182" i="37"/>
  <c r="E182" i="37"/>
  <c r="D182" i="37"/>
  <c r="C182" i="37"/>
  <c r="B182" i="37"/>
  <c r="A182" i="37"/>
  <c r="H181" i="37"/>
  <c r="G181" i="37"/>
  <c r="F181" i="37"/>
  <c r="E181" i="37"/>
  <c r="D181" i="37"/>
  <c r="C181" i="37"/>
  <c r="B181" i="37"/>
  <c r="A181" i="37"/>
  <c r="H180" i="37"/>
  <c r="G180" i="37"/>
  <c r="F180" i="37"/>
  <c r="E180" i="37"/>
  <c r="D180" i="37"/>
  <c r="C180" i="37"/>
  <c r="B180" i="37"/>
  <c r="A180" i="37"/>
  <c r="H179" i="37"/>
  <c r="G179" i="37"/>
  <c r="F179" i="37"/>
  <c r="E179" i="37"/>
  <c r="D179" i="37"/>
  <c r="C179" i="37"/>
  <c r="B179" i="37"/>
  <c r="A179" i="37"/>
  <c r="H178" i="37"/>
  <c r="G178" i="37"/>
  <c r="F178" i="37"/>
  <c r="E178" i="37"/>
  <c r="D178" i="37"/>
  <c r="C178" i="37"/>
  <c r="B178" i="37"/>
  <c r="A178" i="37"/>
  <c r="H177" i="37"/>
  <c r="G177" i="37"/>
  <c r="F177" i="37"/>
  <c r="E177" i="37"/>
  <c r="D177" i="37"/>
  <c r="C177" i="37"/>
  <c r="B177" i="37"/>
  <c r="A177" i="37"/>
  <c r="H176" i="37"/>
  <c r="G176" i="37"/>
  <c r="F176" i="37"/>
  <c r="E176" i="37"/>
  <c r="D176" i="37"/>
  <c r="C176" i="37"/>
  <c r="B176" i="37"/>
  <c r="A176" i="37"/>
  <c r="H175" i="37"/>
  <c r="G175" i="37"/>
  <c r="F175" i="37"/>
  <c r="E175" i="37"/>
  <c r="D175" i="37"/>
  <c r="C175" i="37"/>
  <c r="B175" i="37"/>
  <c r="A175" i="37"/>
  <c r="H174" i="37"/>
  <c r="G174" i="37"/>
  <c r="F174" i="37"/>
  <c r="E174" i="37"/>
  <c r="D174" i="37"/>
  <c r="C174" i="37"/>
  <c r="B174" i="37"/>
  <c r="A174" i="37"/>
  <c r="H173" i="37"/>
  <c r="G173" i="37"/>
  <c r="F173" i="37"/>
  <c r="E173" i="37"/>
  <c r="D173" i="37"/>
  <c r="C173" i="37"/>
  <c r="B173" i="37"/>
  <c r="A173" i="37"/>
  <c r="H172" i="37"/>
  <c r="G172" i="37"/>
  <c r="F172" i="37"/>
  <c r="E172" i="37"/>
  <c r="D172" i="37"/>
  <c r="C172" i="37"/>
  <c r="B172" i="37"/>
  <c r="A172" i="37"/>
  <c r="H171" i="37"/>
  <c r="G171" i="37"/>
  <c r="F171" i="37"/>
  <c r="E171" i="37"/>
  <c r="D171" i="37"/>
  <c r="C171" i="37"/>
  <c r="B171" i="37"/>
  <c r="A171" i="37"/>
  <c r="H170" i="37"/>
  <c r="G170" i="37"/>
  <c r="F170" i="37"/>
  <c r="E170" i="37"/>
  <c r="D170" i="37"/>
  <c r="C170" i="37"/>
  <c r="B170" i="37"/>
  <c r="A170" i="37"/>
  <c r="H169" i="37"/>
  <c r="G169" i="37"/>
  <c r="F169" i="37"/>
  <c r="E169" i="37"/>
  <c r="D169" i="37"/>
  <c r="C169" i="37"/>
  <c r="B169" i="37"/>
  <c r="A169" i="37"/>
  <c r="H168" i="37"/>
  <c r="G168" i="37"/>
  <c r="F168" i="37"/>
  <c r="E168" i="37"/>
  <c r="D168" i="37"/>
  <c r="C168" i="37"/>
  <c r="B168" i="37"/>
  <c r="A168" i="37"/>
  <c r="H167" i="37"/>
  <c r="G167" i="37"/>
  <c r="F167" i="37"/>
  <c r="E167" i="37"/>
  <c r="D167" i="37"/>
  <c r="C167" i="37"/>
  <c r="B167" i="37"/>
  <c r="A167" i="37"/>
  <c r="H166" i="37"/>
  <c r="G166" i="37"/>
  <c r="F166" i="37"/>
  <c r="E166" i="37"/>
  <c r="D166" i="37"/>
  <c r="C166" i="37"/>
  <c r="B166" i="37"/>
  <c r="A166" i="37"/>
  <c r="H165" i="37"/>
  <c r="G165" i="37"/>
  <c r="F165" i="37"/>
  <c r="E165" i="37"/>
  <c r="D165" i="37"/>
  <c r="C165" i="37"/>
  <c r="B165" i="37"/>
  <c r="A165" i="37"/>
  <c r="H164" i="37"/>
  <c r="G164" i="37"/>
  <c r="F164" i="37"/>
  <c r="E164" i="37"/>
  <c r="D164" i="37"/>
  <c r="C164" i="37"/>
  <c r="B164" i="37"/>
  <c r="A164" i="37"/>
  <c r="H163" i="37"/>
  <c r="G163" i="37"/>
  <c r="F163" i="37"/>
  <c r="E163" i="37"/>
  <c r="D163" i="37"/>
  <c r="C163" i="37"/>
  <c r="B163" i="37"/>
  <c r="A163" i="37"/>
  <c r="H162" i="37"/>
  <c r="G162" i="37"/>
  <c r="F162" i="37"/>
  <c r="E162" i="37"/>
  <c r="D162" i="37"/>
  <c r="C162" i="37"/>
  <c r="B162" i="37"/>
  <c r="A162" i="37"/>
  <c r="H161" i="37"/>
  <c r="G161" i="37"/>
  <c r="F161" i="37"/>
  <c r="E161" i="37"/>
  <c r="D161" i="37"/>
  <c r="C161" i="37"/>
  <c r="B161" i="37"/>
  <c r="A161" i="37"/>
  <c r="H160" i="37"/>
  <c r="G160" i="37"/>
  <c r="F160" i="37"/>
  <c r="E160" i="37"/>
  <c r="D160" i="37"/>
  <c r="C160" i="37"/>
  <c r="B160" i="37"/>
  <c r="A160" i="37"/>
  <c r="H159" i="37"/>
  <c r="G159" i="37"/>
  <c r="F159" i="37"/>
  <c r="E159" i="37"/>
  <c r="D159" i="37"/>
  <c r="C159" i="37"/>
  <c r="B159" i="37"/>
  <c r="A159" i="37"/>
  <c r="H158" i="37"/>
  <c r="G158" i="37"/>
  <c r="F158" i="37"/>
  <c r="E158" i="37"/>
  <c r="D158" i="37"/>
  <c r="C158" i="37"/>
  <c r="B158" i="37"/>
  <c r="A158" i="37"/>
  <c r="H157" i="37"/>
  <c r="G157" i="37"/>
  <c r="F157" i="37"/>
  <c r="E157" i="37"/>
  <c r="D157" i="37"/>
  <c r="C157" i="37"/>
  <c r="B157" i="37"/>
  <c r="A157" i="37"/>
  <c r="H156" i="37"/>
  <c r="G156" i="37"/>
  <c r="F156" i="37"/>
  <c r="E156" i="37"/>
  <c r="D156" i="37"/>
  <c r="C156" i="37"/>
  <c r="B156" i="37"/>
  <c r="A156" i="37"/>
  <c r="H155" i="37"/>
  <c r="G155" i="37"/>
  <c r="F155" i="37"/>
  <c r="E155" i="37"/>
  <c r="D155" i="37"/>
  <c r="C155" i="37"/>
  <c r="B155" i="37"/>
  <c r="A155" i="37"/>
  <c r="H154" i="37"/>
  <c r="G154" i="37"/>
  <c r="F154" i="37"/>
  <c r="E154" i="37"/>
  <c r="D154" i="37"/>
  <c r="C154" i="37"/>
  <c r="B154" i="37"/>
  <c r="A154" i="37"/>
  <c r="H153" i="37"/>
  <c r="G153" i="37"/>
  <c r="F153" i="37"/>
  <c r="E153" i="37"/>
  <c r="D153" i="37"/>
  <c r="C153" i="37"/>
  <c r="B153" i="37"/>
  <c r="A153" i="37"/>
  <c r="H152" i="37"/>
  <c r="G152" i="37"/>
  <c r="F152" i="37"/>
  <c r="E152" i="37"/>
  <c r="D152" i="37"/>
  <c r="C152" i="37"/>
  <c r="B152" i="37"/>
  <c r="A152" i="37"/>
  <c r="H151" i="37"/>
  <c r="G151" i="37"/>
  <c r="F151" i="37"/>
  <c r="E151" i="37"/>
  <c r="D151" i="37"/>
  <c r="C151" i="37"/>
  <c r="B151" i="37"/>
  <c r="A151" i="37"/>
  <c r="H150" i="37"/>
  <c r="G150" i="37"/>
  <c r="F150" i="37"/>
  <c r="E150" i="37"/>
  <c r="D150" i="37"/>
  <c r="C150" i="37"/>
  <c r="B150" i="37"/>
  <c r="A150" i="37"/>
  <c r="H149" i="37"/>
  <c r="G149" i="37"/>
  <c r="F149" i="37"/>
  <c r="E149" i="37"/>
  <c r="D149" i="37"/>
  <c r="C149" i="37"/>
  <c r="B149" i="37"/>
  <c r="A149" i="37"/>
  <c r="H148" i="37"/>
  <c r="G148" i="37"/>
  <c r="F148" i="37"/>
  <c r="E148" i="37"/>
  <c r="D148" i="37"/>
  <c r="C148" i="37"/>
  <c r="B148" i="37"/>
  <c r="A148" i="37"/>
  <c r="H147" i="37"/>
  <c r="G147" i="37"/>
  <c r="F147" i="37"/>
  <c r="E147" i="37"/>
  <c r="D147" i="37"/>
  <c r="C147" i="37"/>
  <c r="B147" i="37"/>
  <c r="A147" i="37"/>
  <c r="H146" i="37"/>
  <c r="G146" i="37"/>
  <c r="F146" i="37"/>
  <c r="E146" i="37"/>
  <c r="D146" i="37"/>
  <c r="C146" i="37"/>
  <c r="B146" i="37"/>
  <c r="A146" i="37"/>
  <c r="H145" i="37"/>
  <c r="G145" i="37"/>
  <c r="F145" i="37"/>
  <c r="E145" i="37"/>
  <c r="D145" i="37"/>
  <c r="C145" i="37"/>
  <c r="B145" i="37"/>
  <c r="A145" i="37"/>
  <c r="H144" i="37"/>
  <c r="G144" i="37"/>
  <c r="F144" i="37"/>
  <c r="E144" i="37"/>
  <c r="D144" i="37"/>
  <c r="C144" i="37"/>
  <c r="B144" i="37"/>
  <c r="A144" i="37"/>
  <c r="H143" i="37"/>
  <c r="G143" i="37"/>
  <c r="F143" i="37"/>
  <c r="E143" i="37"/>
  <c r="D143" i="37"/>
  <c r="C143" i="37"/>
  <c r="B143" i="37"/>
  <c r="A143" i="37"/>
  <c r="H142" i="37"/>
  <c r="G142" i="37"/>
  <c r="F142" i="37"/>
  <c r="E142" i="37"/>
  <c r="D142" i="37"/>
  <c r="C142" i="37"/>
  <c r="B142" i="37"/>
  <c r="A142" i="37"/>
  <c r="H141" i="37"/>
  <c r="G141" i="37"/>
  <c r="F141" i="37"/>
  <c r="E141" i="37"/>
  <c r="D141" i="37"/>
  <c r="C141" i="37"/>
  <c r="B141" i="37"/>
  <c r="A141" i="37"/>
  <c r="H140" i="37"/>
  <c r="G140" i="37"/>
  <c r="F140" i="37"/>
  <c r="E140" i="37"/>
  <c r="D140" i="37"/>
  <c r="C140" i="37"/>
  <c r="B140" i="37"/>
  <c r="A140" i="37"/>
  <c r="H139" i="37"/>
  <c r="G139" i="37"/>
  <c r="F139" i="37"/>
  <c r="E139" i="37"/>
  <c r="D139" i="37"/>
  <c r="C139" i="37"/>
  <c r="B139" i="37"/>
  <c r="A139" i="37"/>
  <c r="H138" i="37"/>
  <c r="G138" i="37"/>
  <c r="F138" i="37"/>
  <c r="E138" i="37"/>
  <c r="D138" i="37"/>
  <c r="C138" i="37"/>
  <c r="B138" i="37"/>
  <c r="A138" i="37"/>
  <c r="H137" i="37"/>
  <c r="G137" i="37"/>
  <c r="F137" i="37"/>
  <c r="E137" i="37"/>
  <c r="D137" i="37"/>
  <c r="C137" i="37"/>
  <c r="B137" i="37"/>
  <c r="A137" i="37"/>
  <c r="H136" i="37"/>
  <c r="G136" i="37"/>
  <c r="F136" i="37"/>
  <c r="E136" i="37"/>
  <c r="D136" i="37"/>
  <c r="C136" i="37"/>
  <c r="B136" i="37"/>
  <c r="A136" i="37"/>
  <c r="H135" i="37"/>
  <c r="G135" i="37"/>
  <c r="F135" i="37"/>
  <c r="E135" i="37"/>
  <c r="D135" i="37"/>
  <c r="C135" i="37"/>
  <c r="B135" i="37"/>
  <c r="A135" i="37"/>
  <c r="H134" i="37"/>
  <c r="G134" i="37"/>
  <c r="F134" i="37"/>
  <c r="E134" i="37"/>
  <c r="D134" i="37"/>
  <c r="C134" i="37"/>
  <c r="B134" i="37"/>
  <c r="A134" i="37"/>
  <c r="H133" i="37"/>
  <c r="G133" i="37"/>
  <c r="F133" i="37"/>
  <c r="E133" i="37"/>
  <c r="D133" i="37"/>
  <c r="C133" i="37"/>
  <c r="B133" i="37"/>
  <c r="A133" i="37"/>
  <c r="H132" i="37"/>
  <c r="G132" i="37"/>
  <c r="F132" i="37"/>
  <c r="E132" i="37"/>
  <c r="D132" i="37"/>
  <c r="C132" i="37"/>
  <c r="B132" i="37"/>
  <c r="A132" i="37"/>
  <c r="H131" i="37"/>
  <c r="G131" i="37"/>
  <c r="F131" i="37"/>
  <c r="E131" i="37"/>
  <c r="D131" i="37"/>
  <c r="C131" i="37"/>
  <c r="B131" i="37"/>
  <c r="A131" i="37"/>
  <c r="H130" i="37"/>
  <c r="G130" i="37"/>
  <c r="F130" i="37"/>
  <c r="E130" i="37"/>
  <c r="D130" i="37"/>
  <c r="C130" i="37"/>
  <c r="B130" i="37"/>
  <c r="A130" i="37"/>
  <c r="H129" i="37"/>
  <c r="G129" i="37"/>
  <c r="F129" i="37"/>
  <c r="E129" i="37"/>
  <c r="D129" i="37"/>
  <c r="C129" i="37"/>
  <c r="B129" i="37"/>
  <c r="A129" i="37"/>
  <c r="H128" i="37"/>
  <c r="G128" i="37"/>
  <c r="F128" i="37"/>
  <c r="E128" i="37"/>
  <c r="D128" i="37"/>
  <c r="C128" i="37"/>
  <c r="B128" i="37"/>
  <c r="A128" i="37"/>
  <c r="H127" i="37"/>
  <c r="G127" i="37"/>
  <c r="F127" i="37"/>
  <c r="E127" i="37"/>
  <c r="D127" i="37"/>
  <c r="C127" i="37"/>
  <c r="B127" i="37"/>
  <c r="A127" i="37"/>
  <c r="H126" i="37"/>
  <c r="G126" i="37"/>
  <c r="F126" i="37"/>
  <c r="E126" i="37"/>
  <c r="D126" i="37"/>
  <c r="C126" i="37"/>
  <c r="B126" i="37"/>
  <c r="A126" i="37"/>
  <c r="H125" i="37"/>
  <c r="G125" i="37"/>
  <c r="F125" i="37"/>
  <c r="E125" i="37"/>
  <c r="D125" i="37"/>
  <c r="C125" i="37"/>
  <c r="B125" i="37"/>
  <c r="A125" i="37"/>
  <c r="H124" i="37"/>
  <c r="G124" i="37"/>
  <c r="F124" i="37"/>
  <c r="E124" i="37"/>
  <c r="D124" i="37"/>
  <c r="C124" i="37"/>
  <c r="B124" i="37"/>
  <c r="A124" i="37"/>
  <c r="H123" i="37"/>
  <c r="G123" i="37"/>
  <c r="F123" i="37"/>
  <c r="E123" i="37"/>
  <c r="D123" i="37"/>
  <c r="C123" i="37"/>
  <c r="B123" i="37"/>
  <c r="A123" i="37"/>
  <c r="H122" i="37"/>
  <c r="G122" i="37"/>
  <c r="F122" i="37"/>
  <c r="E122" i="37"/>
  <c r="D122" i="37"/>
  <c r="C122" i="37"/>
  <c r="B122" i="37"/>
  <c r="A122" i="37"/>
  <c r="H121" i="37"/>
  <c r="G121" i="37"/>
  <c r="F121" i="37"/>
  <c r="E121" i="37"/>
  <c r="D121" i="37"/>
  <c r="C121" i="37"/>
  <c r="B121" i="37"/>
  <c r="A121" i="37"/>
  <c r="H120" i="37"/>
  <c r="G120" i="37"/>
  <c r="F120" i="37"/>
  <c r="E120" i="37"/>
  <c r="D120" i="37"/>
  <c r="C120" i="37"/>
  <c r="B120" i="37"/>
  <c r="A120" i="37"/>
  <c r="H119" i="37"/>
  <c r="G119" i="37"/>
  <c r="F119" i="37"/>
  <c r="E119" i="37"/>
  <c r="D119" i="37"/>
  <c r="C119" i="37"/>
  <c r="B119" i="37"/>
  <c r="A119" i="37"/>
  <c r="H118" i="37"/>
  <c r="G118" i="37"/>
  <c r="F118" i="37"/>
  <c r="E118" i="37"/>
  <c r="D118" i="37"/>
  <c r="C118" i="37"/>
  <c r="B118" i="37"/>
  <c r="A118" i="37"/>
  <c r="H117" i="37"/>
  <c r="G117" i="37"/>
  <c r="F117" i="37"/>
  <c r="E117" i="37"/>
  <c r="D117" i="37"/>
  <c r="C117" i="37"/>
  <c r="B117" i="37"/>
  <c r="A117" i="37"/>
  <c r="H116" i="37"/>
  <c r="G116" i="37"/>
  <c r="F116" i="37"/>
  <c r="E116" i="37"/>
  <c r="D116" i="37"/>
  <c r="C116" i="37"/>
  <c r="B116" i="37"/>
  <c r="A116" i="37"/>
  <c r="H115" i="37"/>
  <c r="G115" i="37"/>
  <c r="F115" i="37"/>
  <c r="E115" i="37"/>
  <c r="D115" i="37"/>
  <c r="C115" i="37"/>
  <c r="B115" i="37"/>
  <c r="A115" i="37"/>
  <c r="H114" i="37"/>
  <c r="G114" i="37"/>
  <c r="F114" i="37"/>
  <c r="E114" i="37"/>
  <c r="D114" i="37"/>
  <c r="C114" i="37"/>
  <c r="B114" i="37"/>
  <c r="A114" i="37"/>
  <c r="H113" i="37"/>
  <c r="G113" i="37"/>
  <c r="F113" i="37"/>
  <c r="E113" i="37"/>
  <c r="D113" i="37"/>
  <c r="C113" i="37"/>
  <c r="B113" i="37"/>
  <c r="A113" i="37"/>
  <c r="H112" i="37"/>
  <c r="G112" i="37"/>
  <c r="F112" i="37"/>
  <c r="E112" i="37"/>
  <c r="D112" i="37"/>
  <c r="C112" i="37"/>
  <c r="B112" i="37"/>
  <c r="A112" i="37"/>
  <c r="H111" i="37"/>
  <c r="G111" i="37"/>
  <c r="F111" i="37"/>
  <c r="E111" i="37"/>
  <c r="D111" i="37"/>
  <c r="C111" i="37"/>
  <c r="B111" i="37"/>
  <c r="A111" i="37"/>
  <c r="H110" i="37"/>
  <c r="G110" i="37"/>
  <c r="F110" i="37"/>
  <c r="E110" i="37"/>
  <c r="D110" i="37"/>
  <c r="C110" i="37"/>
  <c r="B110" i="37"/>
  <c r="A110" i="37"/>
  <c r="H109" i="37"/>
  <c r="G109" i="37"/>
  <c r="F109" i="37"/>
  <c r="E109" i="37"/>
  <c r="D109" i="37"/>
  <c r="C109" i="37"/>
  <c r="B109" i="37"/>
  <c r="A109" i="37"/>
  <c r="H108" i="37"/>
  <c r="G108" i="37"/>
  <c r="F108" i="37"/>
  <c r="E108" i="37"/>
  <c r="D108" i="37"/>
  <c r="C108" i="37"/>
  <c r="B108" i="37"/>
  <c r="A108" i="37"/>
  <c r="H107" i="37"/>
  <c r="G107" i="37"/>
  <c r="F107" i="37"/>
  <c r="E107" i="37"/>
  <c r="D107" i="37"/>
  <c r="C107" i="37"/>
  <c r="B107" i="37"/>
  <c r="A107" i="37"/>
  <c r="H106" i="37"/>
  <c r="G106" i="37"/>
  <c r="F106" i="37"/>
  <c r="E106" i="37"/>
  <c r="D106" i="37"/>
  <c r="C106" i="37"/>
  <c r="B106" i="37"/>
  <c r="A106" i="37"/>
  <c r="H105" i="37"/>
  <c r="G105" i="37"/>
  <c r="F105" i="37"/>
  <c r="E105" i="37"/>
  <c r="D105" i="37"/>
  <c r="C105" i="37"/>
  <c r="B105" i="37"/>
  <c r="A105" i="37"/>
  <c r="H104" i="37"/>
  <c r="G104" i="37"/>
  <c r="F104" i="37"/>
  <c r="E104" i="37"/>
  <c r="D104" i="37"/>
  <c r="C104" i="37"/>
  <c r="B104" i="37"/>
  <c r="A104" i="37"/>
  <c r="H103" i="37"/>
  <c r="G103" i="37"/>
  <c r="F103" i="37"/>
  <c r="E103" i="37"/>
  <c r="D103" i="37"/>
  <c r="C103" i="37"/>
  <c r="B103" i="37"/>
  <c r="A103" i="37"/>
  <c r="H102" i="37"/>
  <c r="G102" i="37"/>
  <c r="F102" i="37"/>
  <c r="E102" i="37"/>
  <c r="D102" i="37"/>
  <c r="C102" i="37"/>
  <c r="B102" i="37"/>
  <c r="A102" i="37"/>
  <c r="H101" i="37"/>
  <c r="G101" i="37"/>
  <c r="F101" i="37"/>
  <c r="E101" i="37"/>
  <c r="D101" i="37"/>
  <c r="C101" i="37"/>
  <c r="B101" i="37"/>
  <c r="A101" i="37"/>
  <c r="H100" i="37"/>
  <c r="G100" i="37"/>
  <c r="F100" i="37"/>
  <c r="E100" i="37"/>
  <c r="D100" i="37"/>
  <c r="C100" i="37"/>
  <c r="B100" i="37"/>
  <c r="A100" i="37"/>
  <c r="H99" i="37"/>
  <c r="G99" i="37"/>
  <c r="F99" i="37"/>
  <c r="E99" i="37"/>
  <c r="D99" i="37"/>
  <c r="C99" i="37"/>
  <c r="B99" i="37"/>
  <c r="A99" i="37"/>
  <c r="H98" i="37"/>
  <c r="G98" i="37"/>
  <c r="F98" i="37"/>
  <c r="E98" i="37"/>
  <c r="D98" i="37"/>
  <c r="C98" i="37"/>
  <c r="B98" i="37"/>
  <c r="A98" i="37"/>
  <c r="H97" i="37"/>
  <c r="G97" i="37"/>
  <c r="F97" i="37"/>
  <c r="E97" i="37"/>
  <c r="D97" i="37"/>
  <c r="C97" i="37"/>
  <c r="B97" i="37"/>
  <c r="A97" i="37"/>
  <c r="H96" i="37"/>
  <c r="G96" i="37"/>
  <c r="F96" i="37"/>
  <c r="E96" i="37"/>
  <c r="D96" i="37"/>
  <c r="C96" i="37"/>
  <c r="B96" i="37"/>
  <c r="A96" i="37"/>
  <c r="H95" i="37"/>
  <c r="G95" i="37"/>
  <c r="F95" i="37"/>
  <c r="E95" i="37"/>
  <c r="D95" i="37"/>
  <c r="C95" i="37"/>
  <c r="B95" i="37"/>
  <c r="A95" i="37"/>
  <c r="H94" i="37"/>
  <c r="G94" i="37"/>
  <c r="F94" i="37"/>
  <c r="E94" i="37"/>
  <c r="D94" i="37"/>
  <c r="C94" i="37"/>
  <c r="B94" i="37"/>
  <c r="A94" i="37"/>
  <c r="H93" i="37"/>
  <c r="G93" i="37"/>
  <c r="F93" i="37"/>
  <c r="E93" i="37"/>
  <c r="D93" i="37"/>
  <c r="C93" i="37"/>
  <c r="B93" i="37"/>
  <c r="A93" i="37"/>
  <c r="H92" i="37"/>
  <c r="G92" i="37"/>
  <c r="F92" i="37"/>
  <c r="E92" i="37"/>
  <c r="D92" i="37"/>
  <c r="C92" i="37"/>
  <c r="B92" i="37"/>
  <c r="A92" i="37"/>
  <c r="H91" i="37"/>
  <c r="G91" i="37"/>
  <c r="F91" i="37"/>
  <c r="E91" i="37"/>
  <c r="D91" i="37"/>
  <c r="C91" i="37"/>
  <c r="B91" i="37"/>
  <c r="A91" i="37"/>
  <c r="H90" i="37"/>
  <c r="G90" i="37"/>
  <c r="F90" i="37"/>
  <c r="E90" i="37"/>
  <c r="D90" i="37"/>
  <c r="C90" i="37"/>
  <c r="B90" i="37"/>
  <c r="A90" i="37"/>
  <c r="H89" i="37"/>
  <c r="G89" i="37"/>
  <c r="F89" i="37"/>
  <c r="E89" i="37"/>
  <c r="D89" i="37"/>
  <c r="C89" i="37"/>
  <c r="B89" i="37"/>
  <c r="A89" i="37"/>
  <c r="H88" i="37"/>
  <c r="G88" i="37"/>
  <c r="F88" i="37"/>
  <c r="E88" i="37"/>
  <c r="D88" i="37"/>
  <c r="C88" i="37"/>
  <c r="B88" i="37"/>
  <c r="A88" i="37"/>
  <c r="H87" i="37"/>
  <c r="G87" i="37"/>
  <c r="F87" i="37"/>
  <c r="E87" i="37"/>
  <c r="D87" i="37"/>
  <c r="C87" i="37"/>
  <c r="B87" i="37"/>
  <c r="A87" i="37"/>
  <c r="H86" i="37"/>
  <c r="G86" i="37"/>
  <c r="F86" i="37"/>
  <c r="E86" i="37"/>
  <c r="D86" i="37"/>
  <c r="C86" i="37"/>
  <c r="B86" i="37"/>
  <c r="A86" i="37"/>
  <c r="H85" i="37"/>
  <c r="G85" i="37"/>
  <c r="F85" i="37"/>
  <c r="E85" i="37"/>
  <c r="D85" i="37"/>
  <c r="C85" i="37"/>
  <c r="B85" i="37"/>
  <c r="A85" i="37"/>
  <c r="H84" i="37"/>
  <c r="G84" i="37"/>
  <c r="F84" i="37"/>
  <c r="E84" i="37"/>
  <c r="D84" i="37"/>
  <c r="C84" i="37"/>
  <c r="B84" i="37"/>
  <c r="A84" i="37"/>
  <c r="H83" i="37"/>
  <c r="G83" i="37"/>
  <c r="F83" i="37"/>
  <c r="E83" i="37"/>
  <c r="D83" i="37"/>
  <c r="C83" i="37"/>
  <c r="B83" i="37"/>
  <c r="A83" i="37"/>
  <c r="H82" i="37"/>
  <c r="G82" i="37"/>
  <c r="F82" i="37"/>
  <c r="E82" i="37"/>
  <c r="D82" i="37"/>
  <c r="C82" i="37"/>
  <c r="B82" i="37"/>
  <c r="A82" i="37"/>
  <c r="H81" i="37"/>
  <c r="G81" i="37"/>
  <c r="F81" i="37"/>
  <c r="E81" i="37"/>
  <c r="D81" i="37"/>
  <c r="C81" i="37"/>
  <c r="B81" i="37"/>
  <c r="A81" i="37"/>
  <c r="H80" i="37"/>
  <c r="G80" i="37"/>
  <c r="F80" i="37"/>
  <c r="E80" i="37"/>
  <c r="D80" i="37"/>
  <c r="C80" i="37"/>
  <c r="B80" i="37"/>
  <c r="A80" i="37"/>
  <c r="H79" i="37"/>
  <c r="G79" i="37"/>
  <c r="F79" i="37"/>
  <c r="E79" i="37"/>
  <c r="D79" i="37"/>
  <c r="C79" i="37"/>
  <c r="B79" i="37"/>
  <c r="A79" i="37"/>
  <c r="H78" i="37"/>
  <c r="G78" i="37"/>
  <c r="F78" i="37"/>
  <c r="E78" i="37"/>
  <c r="D78" i="37"/>
  <c r="C78" i="37"/>
  <c r="B78" i="37"/>
  <c r="A78" i="37"/>
  <c r="H77" i="37"/>
  <c r="G77" i="37"/>
  <c r="F77" i="37"/>
  <c r="E77" i="37"/>
  <c r="D77" i="37"/>
  <c r="C77" i="37"/>
  <c r="B77" i="37"/>
  <c r="A77" i="37"/>
  <c r="H76" i="37"/>
  <c r="G76" i="37"/>
  <c r="F76" i="37"/>
  <c r="E76" i="37"/>
  <c r="D76" i="37"/>
  <c r="C76" i="37"/>
  <c r="B76" i="37"/>
  <c r="A76" i="37"/>
  <c r="H75" i="37"/>
  <c r="G75" i="37"/>
  <c r="F75" i="37"/>
  <c r="E75" i="37"/>
  <c r="D75" i="37"/>
  <c r="C75" i="37"/>
  <c r="B75" i="37"/>
  <c r="A75" i="37"/>
  <c r="H74" i="37"/>
  <c r="G74" i="37"/>
  <c r="F74" i="37"/>
  <c r="E74" i="37"/>
  <c r="D74" i="37"/>
  <c r="C74" i="37"/>
  <c r="B74" i="37"/>
  <c r="A74" i="37"/>
  <c r="H73" i="37"/>
  <c r="G73" i="37"/>
  <c r="F73" i="37"/>
  <c r="E73" i="37"/>
  <c r="D73" i="37"/>
  <c r="C73" i="37"/>
  <c r="B73" i="37"/>
  <c r="A73" i="37"/>
  <c r="H72" i="37"/>
  <c r="G72" i="37"/>
  <c r="F72" i="37"/>
  <c r="E72" i="37"/>
  <c r="D72" i="37"/>
  <c r="C72" i="37"/>
  <c r="B72" i="37"/>
  <c r="A72" i="37"/>
  <c r="H71" i="37"/>
  <c r="G71" i="37"/>
  <c r="F71" i="37"/>
  <c r="E71" i="37"/>
  <c r="D71" i="37"/>
  <c r="C71" i="37"/>
  <c r="B71" i="37"/>
  <c r="A71" i="37"/>
  <c r="H70" i="37"/>
  <c r="G70" i="37"/>
  <c r="F70" i="37"/>
  <c r="E70" i="37"/>
  <c r="D70" i="37"/>
  <c r="C70" i="37"/>
  <c r="B70" i="37"/>
  <c r="A70" i="37"/>
  <c r="H69" i="37"/>
  <c r="G69" i="37"/>
  <c r="F69" i="37"/>
  <c r="E69" i="37"/>
  <c r="D69" i="37"/>
  <c r="C69" i="37"/>
  <c r="B69" i="37"/>
  <c r="A69" i="37"/>
  <c r="H68" i="37"/>
  <c r="G68" i="37"/>
  <c r="F68" i="37"/>
  <c r="E68" i="37"/>
  <c r="D68" i="37"/>
  <c r="C68" i="37"/>
  <c r="B68" i="37"/>
  <c r="A68" i="37"/>
  <c r="H67" i="37"/>
  <c r="G67" i="37"/>
  <c r="F67" i="37"/>
  <c r="E67" i="37"/>
  <c r="D67" i="37"/>
  <c r="C67" i="37"/>
  <c r="B67" i="37"/>
  <c r="A67" i="37"/>
  <c r="H66" i="37"/>
  <c r="G66" i="37"/>
  <c r="F66" i="37"/>
  <c r="E66" i="37"/>
  <c r="D66" i="37"/>
  <c r="C66" i="37"/>
  <c r="B66" i="37"/>
  <c r="A66" i="37"/>
  <c r="H65" i="37"/>
  <c r="G65" i="37"/>
  <c r="F65" i="37"/>
  <c r="E65" i="37"/>
  <c r="D65" i="37"/>
  <c r="C65" i="37"/>
  <c r="B65" i="37"/>
  <c r="A65" i="37"/>
  <c r="H64" i="37"/>
  <c r="G64" i="37"/>
  <c r="F64" i="37"/>
  <c r="E64" i="37"/>
  <c r="D64" i="37"/>
  <c r="C64" i="37"/>
  <c r="B64" i="37"/>
  <c r="A64" i="37"/>
  <c r="H63" i="37"/>
  <c r="G63" i="37"/>
  <c r="F63" i="37"/>
  <c r="E63" i="37"/>
  <c r="D63" i="37"/>
  <c r="C63" i="37"/>
  <c r="B63" i="37"/>
  <c r="A63" i="37"/>
  <c r="H62" i="37"/>
  <c r="G62" i="37"/>
  <c r="F62" i="37"/>
  <c r="E62" i="37"/>
  <c r="D62" i="37"/>
  <c r="C62" i="37"/>
  <c r="B62" i="37"/>
  <c r="A62" i="37"/>
  <c r="H61" i="37"/>
  <c r="G61" i="37"/>
  <c r="F61" i="37"/>
  <c r="E61" i="37"/>
  <c r="D61" i="37"/>
  <c r="C61" i="37"/>
  <c r="B61" i="37"/>
  <c r="A61" i="37"/>
  <c r="H60" i="37"/>
  <c r="G60" i="37"/>
  <c r="F60" i="37"/>
  <c r="E60" i="37"/>
  <c r="D60" i="37"/>
  <c r="C60" i="37"/>
  <c r="B60" i="37"/>
  <c r="A60" i="37"/>
  <c r="H59" i="37"/>
  <c r="G59" i="37"/>
  <c r="F59" i="37"/>
  <c r="E59" i="37"/>
  <c r="D59" i="37"/>
  <c r="C59" i="37"/>
  <c r="B59" i="37"/>
  <c r="A59" i="37"/>
  <c r="H58" i="37"/>
  <c r="G58" i="37"/>
  <c r="F58" i="37"/>
  <c r="E58" i="37"/>
  <c r="D58" i="37"/>
  <c r="C58" i="37"/>
  <c r="B58" i="37"/>
  <c r="A58" i="37"/>
  <c r="H57" i="37"/>
  <c r="G57" i="37"/>
  <c r="F57" i="37"/>
  <c r="E57" i="37"/>
  <c r="D57" i="37"/>
  <c r="C57" i="37"/>
  <c r="B57" i="37"/>
  <c r="A57" i="37"/>
  <c r="H56" i="37"/>
  <c r="G56" i="37"/>
  <c r="F56" i="37"/>
  <c r="E56" i="37"/>
  <c r="D56" i="37"/>
  <c r="C56" i="37"/>
  <c r="B56" i="37"/>
  <c r="A56" i="37"/>
  <c r="H55" i="37"/>
  <c r="G55" i="37"/>
  <c r="F55" i="37"/>
  <c r="E55" i="37"/>
  <c r="D55" i="37"/>
  <c r="C55" i="37"/>
  <c r="B55" i="37"/>
  <c r="A55" i="37"/>
  <c r="H54" i="37"/>
  <c r="G54" i="37"/>
  <c r="F54" i="37"/>
  <c r="E54" i="37"/>
  <c r="D54" i="37"/>
  <c r="C54" i="37"/>
  <c r="B54" i="37"/>
  <c r="A54" i="37"/>
  <c r="H53" i="37"/>
  <c r="G53" i="37"/>
  <c r="F53" i="37"/>
  <c r="E53" i="37"/>
  <c r="D53" i="37"/>
  <c r="C53" i="37"/>
  <c r="B53" i="37"/>
  <c r="A53" i="37"/>
  <c r="H52" i="37"/>
  <c r="G52" i="37"/>
  <c r="F52" i="37"/>
  <c r="E52" i="37"/>
  <c r="D52" i="37"/>
  <c r="C52" i="37"/>
  <c r="B52" i="37"/>
  <c r="A52" i="37"/>
  <c r="H51" i="37"/>
  <c r="G51" i="37"/>
  <c r="F51" i="37"/>
  <c r="E51" i="37"/>
  <c r="D51" i="37"/>
  <c r="C51" i="37"/>
  <c r="B51" i="37"/>
  <c r="A51" i="37"/>
  <c r="H50" i="37"/>
  <c r="G50" i="37"/>
  <c r="F50" i="37"/>
  <c r="E50" i="37"/>
  <c r="D50" i="37"/>
  <c r="C50" i="37"/>
  <c r="B50" i="37"/>
  <c r="A50" i="37"/>
  <c r="H49" i="37"/>
  <c r="G49" i="37"/>
  <c r="F49" i="37"/>
  <c r="E49" i="37"/>
  <c r="D49" i="37"/>
  <c r="C49" i="37"/>
  <c r="B49" i="37"/>
  <c r="A49" i="37"/>
  <c r="H48" i="37"/>
  <c r="G48" i="37"/>
  <c r="F48" i="37"/>
  <c r="E48" i="37"/>
  <c r="D48" i="37"/>
  <c r="C48" i="37"/>
  <c r="B48" i="37"/>
  <c r="A48" i="37"/>
  <c r="H47" i="37"/>
  <c r="G47" i="37"/>
  <c r="F47" i="37"/>
  <c r="E47" i="37"/>
  <c r="D47" i="37"/>
  <c r="C47" i="37"/>
  <c r="B47" i="37"/>
  <c r="A47" i="37"/>
  <c r="H46" i="37"/>
  <c r="G46" i="37"/>
  <c r="F46" i="37"/>
  <c r="E46" i="37"/>
  <c r="D46" i="37"/>
  <c r="C46" i="37"/>
  <c r="B46" i="37"/>
  <c r="A46" i="37"/>
  <c r="H45" i="37"/>
  <c r="G45" i="37"/>
  <c r="F45" i="37"/>
  <c r="E45" i="37"/>
  <c r="D45" i="37"/>
  <c r="C45" i="37"/>
  <c r="B45" i="37"/>
  <c r="A45" i="37"/>
  <c r="H44" i="37"/>
  <c r="G44" i="37"/>
  <c r="F44" i="37"/>
  <c r="E44" i="37"/>
  <c r="D44" i="37"/>
  <c r="C44" i="37"/>
  <c r="B44" i="37"/>
  <c r="A44" i="37"/>
  <c r="H43" i="37"/>
  <c r="G43" i="37"/>
  <c r="F43" i="37"/>
  <c r="E43" i="37"/>
  <c r="D43" i="37"/>
  <c r="C43" i="37"/>
  <c r="B43" i="37"/>
  <c r="A43" i="37"/>
  <c r="H42" i="37"/>
  <c r="G42" i="37"/>
  <c r="F42" i="37"/>
  <c r="E42" i="37"/>
  <c r="D42" i="37"/>
  <c r="C42" i="37"/>
  <c r="B42" i="37"/>
  <c r="A42" i="37"/>
  <c r="H41" i="37"/>
  <c r="G41" i="37"/>
  <c r="F41" i="37"/>
  <c r="E41" i="37"/>
  <c r="D41" i="37"/>
  <c r="C41" i="37"/>
  <c r="B41" i="37"/>
  <c r="A41" i="37"/>
  <c r="H40" i="37"/>
  <c r="G40" i="37"/>
  <c r="F40" i="37"/>
  <c r="E40" i="37"/>
  <c r="D40" i="37"/>
  <c r="C40" i="37"/>
  <c r="B40" i="37"/>
  <c r="A40" i="37"/>
  <c r="H39" i="37"/>
  <c r="G39" i="37"/>
  <c r="F39" i="37"/>
  <c r="E39" i="37"/>
  <c r="D39" i="37"/>
  <c r="C39" i="37"/>
  <c r="B39" i="37"/>
  <c r="A39" i="37"/>
  <c r="H38" i="37"/>
  <c r="G38" i="37"/>
  <c r="F38" i="37"/>
  <c r="E38" i="37"/>
  <c r="D38" i="37"/>
  <c r="C38" i="37"/>
  <c r="B38" i="37"/>
  <c r="A38" i="37"/>
  <c r="H37" i="37"/>
  <c r="G37" i="37"/>
  <c r="F37" i="37"/>
  <c r="E37" i="37"/>
  <c r="D37" i="37"/>
  <c r="C37" i="37"/>
  <c r="B37" i="37"/>
  <c r="A37" i="37"/>
  <c r="H36" i="37"/>
  <c r="G36" i="37"/>
  <c r="F36" i="37"/>
  <c r="E36" i="37"/>
  <c r="D36" i="37"/>
  <c r="C36" i="37"/>
  <c r="B36" i="37"/>
  <c r="A36" i="37"/>
  <c r="H35" i="37"/>
  <c r="G35" i="37"/>
  <c r="F35" i="37"/>
  <c r="E35" i="37"/>
  <c r="D35" i="37"/>
  <c r="C35" i="37"/>
  <c r="B35" i="37"/>
  <c r="A35" i="37"/>
  <c r="H34" i="37"/>
  <c r="G34" i="37"/>
  <c r="F34" i="37"/>
  <c r="E34" i="37"/>
  <c r="D34" i="37"/>
  <c r="C34" i="37"/>
  <c r="B34" i="37"/>
  <c r="A34" i="37"/>
  <c r="H33" i="37"/>
  <c r="G33" i="37"/>
  <c r="F33" i="37"/>
  <c r="E33" i="37"/>
  <c r="D33" i="37"/>
  <c r="C33" i="37"/>
  <c r="B33" i="37"/>
  <c r="A33" i="37"/>
  <c r="H32" i="37"/>
  <c r="G32" i="37"/>
  <c r="F32" i="37"/>
  <c r="E32" i="37"/>
  <c r="D32" i="37"/>
  <c r="C32" i="37"/>
  <c r="B32" i="37"/>
  <c r="A32" i="37"/>
  <c r="H31" i="37"/>
  <c r="G31" i="37"/>
  <c r="F31" i="37"/>
  <c r="E31" i="37"/>
  <c r="D31" i="37"/>
  <c r="C31" i="37"/>
  <c r="B31" i="37"/>
  <c r="A31" i="37"/>
  <c r="H30" i="37"/>
  <c r="G30" i="37"/>
  <c r="F30" i="37"/>
  <c r="E30" i="37"/>
  <c r="D30" i="37"/>
  <c r="C30" i="37"/>
  <c r="B30" i="37"/>
  <c r="A30" i="37"/>
  <c r="H29" i="37"/>
  <c r="G29" i="37"/>
  <c r="F29" i="37"/>
  <c r="E29" i="37"/>
  <c r="D29" i="37"/>
  <c r="C29" i="37"/>
  <c r="B29" i="37"/>
  <c r="A29" i="37"/>
  <c r="H28" i="37"/>
  <c r="G28" i="37"/>
  <c r="F28" i="37"/>
  <c r="E28" i="37"/>
  <c r="D28" i="37"/>
  <c r="C28" i="37"/>
  <c r="B28" i="37"/>
  <c r="A28" i="37"/>
  <c r="H27" i="37"/>
  <c r="G27" i="37"/>
  <c r="F27" i="37"/>
  <c r="E27" i="37"/>
  <c r="D27" i="37"/>
  <c r="C27" i="37"/>
  <c r="B27" i="37"/>
  <c r="A27" i="37"/>
  <c r="H26" i="37"/>
  <c r="G26" i="37"/>
  <c r="F26" i="37"/>
  <c r="E26" i="37"/>
  <c r="D26" i="37"/>
  <c r="C26" i="37"/>
  <c r="B26" i="37"/>
  <c r="A26" i="37"/>
  <c r="H25" i="37"/>
  <c r="G25" i="37"/>
  <c r="F25" i="37"/>
  <c r="E25" i="37"/>
  <c r="D25" i="37"/>
  <c r="C25" i="37"/>
  <c r="B25" i="37"/>
  <c r="A25" i="37"/>
  <c r="H24" i="37"/>
  <c r="G24" i="37"/>
  <c r="F24" i="37"/>
  <c r="E24" i="37"/>
  <c r="D24" i="37"/>
  <c r="C24" i="37"/>
  <c r="B24" i="37"/>
  <c r="A24" i="37"/>
  <c r="H23" i="37"/>
  <c r="G23" i="37"/>
  <c r="F23" i="37"/>
  <c r="E23" i="37"/>
  <c r="D23" i="37"/>
  <c r="C23" i="37"/>
  <c r="B23" i="37"/>
  <c r="A23" i="37"/>
  <c r="H22" i="37"/>
  <c r="G22" i="37"/>
  <c r="F22" i="37"/>
  <c r="E22" i="37"/>
  <c r="D22" i="37"/>
  <c r="C22" i="37"/>
  <c r="B22" i="37"/>
  <c r="A22" i="37"/>
  <c r="H21" i="37"/>
  <c r="G21" i="37"/>
  <c r="F21" i="37"/>
  <c r="E21" i="37"/>
  <c r="D21" i="37"/>
  <c r="C21" i="37"/>
  <c r="B21" i="37"/>
  <c r="A21" i="37"/>
  <c r="H20" i="37"/>
  <c r="G20" i="37"/>
  <c r="F20" i="37"/>
  <c r="E20" i="37"/>
  <c r="D20" i="37"/>
  <c r="C20" i="37"/>
  <c r="B20" i="37"/>
  <c r="A20" i="37"/>
  <c r="H19" i="37"/>
  <c r="G19" i="37"/>
  <c r="F19" i="37"/>
  <c r="E19" i="37"/>
  <c r="D19" i="37"/>
  <c r="C19" i="37"/>
  <c r="B19" i="37"/>
  <c r="A19" i="37"/>
  <c r="H18" i="37"/>
  <c r="G18" i="37"/>
  <c r="F18" i="37"/>
  <c r="E18" i="37"/>
  <c r="D18" i="37"/>
  <c r="C18" i="37"/>
  <c r="B18" i="37"/>
  <c r="A18" i="37"/>
  <c r="H17" i="37"/>
  <c r="G17" i="37"/>
  <c r="F17" i="37"/>
  <c r="E17" i="37"/>
  <c r="D17" i="37"/>
  <c r="C17" i="37"/>
  <c r="B17" i="37"/>
  <c r="A17" i="37"/>
  <c r="H16" i="37"/>
  <c r="G16" i="37"/>
  <c r="F16" i="37"/>
  <c r="E16" i="37"/>
  <c r="D16" i="37"/>
  <c r="C16" i="37"/>
  <c r="B16" i="37"/>
  <c r="A16" i="37"/>
  <c r="H15" i="37"/>
  <c r="G15" i="37"/>
  <c r="F15" i="37"/>
  <c r="E15" i="37"/>
  <c r="D15" i="37"/>
  <c r="C15" i="37"/>
  <c r="B15" i="37"/>
  <c r="A15" i="37"/>
  <c r="H14" i="37"/>
  <c r="G14" i="37"/>
  <c r="F14" i="37"/>
  <c r="E14" i="37"/>
  <c r="D14" i="37"/>
  <c r="C14" i="37"/>
  <c r="B14" i="37"/>
  <c r="A14" i="37"/>
  <c r="H13" i="37"/>
  <c r="G13" i="37"/>
  <c r="F13" i="37"/>
  <c r="E13" i="37"/>
  <c r="D13" i="37"/>
  <c r="C13" i="37"/>
  <c r="B13" i="37"/>
  <c r="A13" i="37"/>
  <c r="H12" i="37"/>
  <c r="G12" i="37"/>
  <c r="F12" i="37"/>
  <c r="E12" i="37"/>
  <c r="D12" i="37"/>
  <c r="C12" i="37"/>
  <c r="B12" i="37"/>
  <c r="A12" i="37"/>
  <c r="H11" i="37"/>
  <c r="G11" i="37"/>
  <c r="F11" i="37"/>
  <c r="E11" i="37"/>
  <c r="D11" i="37"/>
  <c r="C11" i="37"/>
  <c r="B11" i="37"/>
  <c r="A11" i="37"/>
  <c r="H10" i="37"/>
  <c r="G10" i="37"/>
  <c r="F10" i="37"/>
  <c r="E10" i="37"/>
  <c r="D10" i="37"/>
  <c r="C10" i="37"/>
  <c r="B10" i="37"/>
  <c r="A10" i="37"/>
  <c r="H9" i="37"/>
  <c r="G9" i="37"/>
  <c r="F9" i="37"/>
  <c r="E9" i="37"/>
  <c r="D9" i="37"/>
  <c r="C9" i="37"/>
  <c r="B9" i="37"/>
  <c r="A9" i="37"/>
  <c r="H8" i="37"/>
  <c r="G8" i="37"/>
  <c r="F8" i="37"/>
  <c r="E8" i="37"/>
  <c r="D8" i="37"/>
  <c r="C8" i="37"/>
  <c r="B8" i="37"/>
  <c r="A8" i="37"/>
  <c r="H7" i="37"/>
  <c r="G7" i="37"/>
  <c r="F7" i="37"/>
  <c r="E7" i="37"/>
  <c r="D7" i="37"/>
  <c r="C7" i="37"/>
  <c r="B7" i="37"/>
  <c r="A7" i="37"/>
  <c r="H6" i="37"/>
  <c r="G6" i="37"/>
  <c r="F6" i="37"/>
  <c r="E6" i="37"/>
  <c r="D6" i="37"/>
  <c r="C6" i="37"/>
  <c r="B6" i="37"/>
  <c r="A6" i="37"/>
  <c r="H5" i="37"/>
  <c r="G5" i="37"/>
  <c r="F5" i="37"/>
  <c r="E5" i="37"/>
  <c r="D5" i="37"/>
  <c r="C5" i="37"/>
  <c r="B5" i="37"/>
  <c r="A5" i="37"/>
  <c r="H4" i="37"/>
  <c r="G4" i="37"/>
  <c r="F4" i="37"/>
  <c r="E4" i="37"/>
  <c r="D4" i="37"/>
  <c r="C4" i="37"/>
  <c r="B4" i="37"/>
  <c r="A4" i="37"/>
  <c r="H3" i="37"/>
  <c r="G3" i="37"/>
  <c r="F3" i="37"/>
  <c r="E3" i="37"/>
  <c r="D3" i="37"/>
  <c r="C3" i="37"/>
  <c r="B3" i="37"/>
  <c r="A3" i="37"/>
  <c r="H2" i="37"/>
  <c r="G2" i="37"/>
  <c r="F2" i="37"/>
  <c r="E2" i="37"/>
  <c r="D2" i="37"/>
  <c r="C2" i="37"/>
  <c r="B2" i="37"/>
  <c r="A2" i="37"/>
  <c r="H1" i="37"/>
  <c r="G1" i="37"/>
  <c r="F1" i="37"/>
  <c r="E1" i="37"/>
  <c r="D1" i="37"/>
  <c r="C1" i="37"/>
  <c r="B1" i="37"/>
  <c r="A1" i="37"/>
  <c r="H265" i="36"/>
  <c r="G265" i="36"/>
  <c r="F265" i="36"/>
  <c r="E265" i="36"/>
  <c r="D265" i="36"/>
  <c r="C265" i="36"/>
  <c r="B265" i="36"/>
  <c r="A265" i="36"/>
  <c r="H264" i="36"/>
  <c r="G264" i="36"/>
  <c r="F264" i="36"/>
  <c r="E264" i="36"/>
  <c r="D264" i="36"/>
  <c r="C264" i="36"/>
  <c r="B264" i="36"/>
  <c r="A264" i="36"/>
  <c r="H263" i="36"/>
  <c r="G263" i="36"/>
  <c r="F263" i="36"/>
  <c r="E263" i="36"/>
  <c r="D263" i="36"/>
  <c r="C263" i="36"/>
  <c r="B263" i="36"/>
  <c r="A263" i="36"/>
  <c r="H262" i="36"/>
  <c r="G262" i="36"/>
  <c r="F262" i="36"/>
  <c r="E262" i="36"/>
  <c r="D262" i="36"/>
  <c r="C262" i="36"/>
  <c r="B262" i="36"/>
  <c r="A262" i="36"/>
  <c r="H261" i="36"/>
  <c r="G261" i="36"/>
  <c r="F261" i="36"/>
  <c r="E261" i="36"/>
  <c r="D261" i="36"/>
  <c r="C261" i="36"/>
  <c r="B261" i="36"/>
  <c r="A261" i="36"/>
  <c r="H260" i="36"/>
  <c r="G260" i="36"/>
  <c r="F260" i="36"/>
  <c r="E260" i="36"/>
  <c r="D260" i="36"/>
  <c r="C260" i="36"/>
  <c r="B260" i="36"/>
  <c r="A260" i="36"/>
  <c r="H259" i="36"/>
  <c r="G259" i="36"/>
  <c r="F259" i="36"/>
  <c r="E259" i="36"/>
  <c r="D259" i="36"/>
  <c r="C259" i="36"/>
  <c r="B259" i="36"/>
  <c r="A259" i="36"/>
  <c r="H258" i="36"/>
  <c r="G258" i="36"/>
  <c r="F258" i="36"/>
  <c r="E258" i="36"/>
  <c r="D258" i="36"/>
  <c r="C258" i="36"/>
  <c r="B258" i="36"/>
  <c r="A258" i="36"/>
  <c r="H257" i="36"/>
  <c r="G257" i="36"/>
  <c r="F257" i="36"/>
  <c r="E257" i="36"/>
  <c r="D257" i="36"/>
  <c r="C257" i="36"/>
  <c r="B257" i="36"/>
  <c r="A257" i="36"/>
  <c r="H256" i="36"/>
  <c r="G256" i="36"/>
  <c r="F256" i="36"/>
  <c r="E256" i="36"/>
  <c r="D256" i="36"/>
  <c r="C256" i="36"/>
  <c r="B256" i="36"/>
  <c r="A256" i="36"/>
  <c r="H255" i="36"/>
  <c r="G255" i="36"/>
  <c r="F255" i="36"/>
  <c r="E255" i="36"/>
  <c r="D255" i="36"/>
  <c r="C255" i="36"/>
  <c r="B255" i="36"/>
  <c r="A255" i="36"/>
  <c r="H254" i="36"/>
  <c r="G254" i="36"/>
  <c r="F254" i="36"/>
  <c r="E254" i="36"/>
  <c r="D254" i="36"/>
  <c r="C254" i="36"/>
  <c r="B254" i="36"/>
  <c r="A254" i="36"/>
  <c r="H253" i="36"/>
  <c r="G253" i="36"/>
  <c r="F253" i="36"/>
  <c r="E253" i="36"/>
  <c r="D253" i="36"/>
  <c r="C253" i="36"/>
  <c r="B253" i="36"/>
  <c r="A253" i="36"/>
  <c r="H252" i="36"/>
  <c r="G252" i="36"/>
  <c r="F252" i="36"/>
  <c r="E252" i="36"/>
  <c r="D252" i="36"/>
  <c r="C252" i="36"/>
  <c r="B252" i="36"/>
  <c r="A252" i="36"/>
  <c r="H251" i="36"/>
  <c r="G251" i="36"/>
  <c r="F251" i="36"/>
  <c r="E251" i="36"/>
  <c r="D251" i="36"/>
  <c r="C251" i="36"/>
  <c r="B251" i="36"/>
  <c r="A251" i="36"/>
  <c r="H250" i="36"/>
  <c r="G250" i="36"/>
  <c r="F250" i="36"/>
  <c r="E250" i="36"/>
  <c r="D250" i="36"/>
  <c r="C250" i="36"/>
  <c r="B250" i="36"/>
  <c r="A250" i="36"/>
  <c r="H249" i="36"/>
  <c r="G249" i="36"/>
  <c r="F249" i="36"/>
  <c r="E249" i="36"/>
  <c r="D249" i="36"/>
  <c r="C249" i="36"/>
  <c r="B249" i="36"/>
  <c r="A249" i="36"/>
  <c r="H248" i="36"/>
  <c r="G248" i="36"/>
  <c r="F248" i="36"/>
  <c r="E248" i="36"/>
  <c r="D248" i="36"/>
  <c r="C248" i="36"/>
  <c r="B248" i="36"/>
  <c r="A248" i="36"/>
  <c r="H247" i="36"/>
  <c r="G247" i="36"/>
  <c r="F247" i="36"/>
  <c r="E247" i="36"/>
  <c r="D247" i="36"/>
  <c r="C247" i="36"/>
  <c r="B247" i="36"/>
  <c r="A247" i="36"/>
  <c r="H246" i="36"/>
  <c r="G246" i="36"/>
  <c r="F246" i="36"/>
  <c r="E246" i="36"/>
  <c r="D246" i="36"/>
  <c r="C246" i="36"/>
  <c r="B246" i="36"/>
  <c r="A246" i="36"/>
  <c r="H245" i="36"/>
  <c r="G245" i="36"/>
  <c r="F245" i="36"/>
  <c r="E245" i="36"/>
  <c r="D245" i="36"/>
  <c r="C245" i="36"/>
  <c r="B245" i="36"/>
  <c r="A245" i="36"/>
  <c r="H244" i="36"/>
  <c r="G244" i="36"/>
  <c r="F244" i="36"/>
  <c r="E244" i="36"/>
  <c r="D244" i="36"/>
  <c r="C244" i="36"/>
  <c r="B244" i="36"/>
  <c r="A244" i="36"/>
  <c r="H243" i="36"/>
  <c r="G243" i="36"/>
  <c r="F243" i="36"/>
  <c r="E243" i="36"/>
  <c r="D243" i="36"/>
  <c r="C243" i="36"/>
  <c r="B243" i="36"/>
  <c r="A243" i="36"/>
  <c r="H242" i="36"/>
  <c r="G242" i="36"/>
  <c r="F242" i="36"/>
  <c r="E242" i="36"/>
  <c r="D242" i="36"/>
  <c r="C242" i="36"/>
  <c r="B242" i="36"/>
  <c r="A242" i="36"/>
  <c r="H241" i="36"/>
  <c r="G241" i="36"/>
  <c r="F241" i="36"/>
  <c r="E241" i="36"/>
  <c r="D241" i="36"/>
  <c r="C241" i="36"/>
  <c r="B241" i="36"/>
  <c r="A241" i="36"/>
  <c r="H240" i="36"/>
  <c r="G240" i="36"/>
  <c r="F240" i="36"/>
  <c r="E240" i="36"/>
  <c r="D240" i="36"/>
  <c r="C240" i="36"/>
  <c r="B240" i="36"/>
  <c r="A240" i="36"/>
  <c r="H239" i="36"/>
  <c r="G239" i="36"/>
  <c r="F239" i="36"/>
  <c r="E239" i="36"/>
  <c r="D239" i="36"/>
  <c r="C239" i="36"/>
  <c r="B239" i="36"/>
  <c r="A239" i="36"/>
  <c r="H238" i="36"/>
  <c r="G238" i="36"/>
  <c r="F238" i="36"/>
  <c r="E238" i="36"/>
  <c r="D238" i="36"/>
  <c r="C238" i="36"/>
  <c r="B238" i="36"/>
  <c r="A238" i="36"/>
  <c r="H237" i="36"/>
  <c r="G237" i="36"/>
  <c r="F237" i="36"/>
  <c r="E237" i="36"/>
  <c r="D237" i="36"/>
  <c r="C237" i="36"/>
  <c r="B237" i="36"/>
  <c r="A237" i="36"/>
  <c r="H236" i="36"/>
  <c r="G236" i="36"/>
  <c r="F236" i="36"/>
  <c r="E236" i="36"/>
  <c r="D236" i="36"/>
  <c r="C236" i="36"/>
  <c r="B236" i="36"/>
  <c r="A236" i="36"/>
  <c r="H235" i="36"/>
  <c r="G235" i="36"/>
  <c r="F235" i="36"/>
  <c r="E235" i="36"/>
  <c r="D235" i="36"/>
  <c r="C235" i="36"/>
  <c r="B235" i="36"/>
  <c r="A235" i="36"/>
  <c r="H234" i="36"/>
  <c r="G234" i="36"/>
  <c r="F234" i="36"/>
  <c r="E234" i="36"/>
  <c r="D234" i="36"/>
  <c r="C234" i="36"/>
  <c r="B234" i="36"/>
  <c r="A234" i="36"/>
  <c r="H233" i="36"/>
  <c r="G233" i="36"/>
  <c r="F233" i="36"/>
  <c r="E233" i="36"/>
  <c r="D233" i="36"/>
  <c r="C233" i="36"/>
  <c r="B233" i="36"/>
  <c r="A233" i="36"/>
  <c r="H232" i="36"/>
  <c r="G232" i="36"/>
  <c r="F232" i="36"/>
  <c r="E232" i="36"/>
  <c r="D232" i="36"/>
  <c r="C232" i="36"/>
  <c r="B232" i="36"/>
  <c r="A232" i="36"/>
  <c r="H231" i="36"/>
  <c r="G231" i="36"/>
  <c r="F231" i="36"/>
  <c r="E231" i="36"/>
  <c r="D231" i="36"/>
  <c r="C231" i="36"/>
  <c r="B231" i="36"/>
  <c r="A231" i="36"/>
  <c r="H230" i="36"/>
  <c r="G230" i="36"/>
  <c r="F230" i="36"/>
  <c r="E230" i="36"/>
  <c r="D230" i="36"/>
  <c r="C230" i="36"/>
  <c r="B230" i="36"/>
  <c r="A230" i="36"/>
  <c r="H229" i="36"/>
  <c r="G229" i="36"/>
  <c r="F229" i="36"/>
  <c r="E229" i="36"/>
  <c r="D229" i="36"/>
  <c r="C229" i="36"/>
  <c r="B229" i="36"/>
  <c r="A229" i="36"/>
  <c r="H228" i="36"/>
  <c r="G228" i="36"/>
  <c r="F228" i="36"/>
  <c r="E228" i="36"/>
  <c r="D228" i="36"/>
  <c r="C228" i="36"/>
  <c r="B228" i="36"/>
  <c r="A228" i="36"/>
  <c r="H227" i="36"/>
  <c r="G227" i="36"/>
  <c r="F227" i="36"/>
  <c r="E227" i="36"/>
  <c r="D227" i="36"/>
  <c r="C227" i="36"/>
  <c r="B227" i="36"/>
  <c r="A227" i="36"/>
  <c r="H226" i="36"/>
  <c r="G226" i="36"/>
  <c r="F226" i="36"/>
  <c r="E226" i="36"/>
  <c r="D226" i="36"/>
  <c r="C226" i="36"/>
  <c r="B226" i="36"/>
  <c r="A226" i="36"/>
  <c r="H225" i="36"/>
  <c r="G225" i="36"/>
  <c r="F225" i="36"/>
  <c r="E225" i="36"/>
  <c r="D225" i="36"/>
  <c r="C225" i="36"/>
  <c r="B225" i="36"/>
  <c r="A225" i="36"/>
  <c r="H224" i="36"/>
  <c r="G224" i="36"/>
  <c r="F224" i="36"/>
  <c r="E224" i="36"/>
  <c r="D224" i="36"/>
  <c r="C224" i="36"/>
  <c r="B224" i="36"/>
  <c r="A224" i="36"/>
  <c r="H223" i="36"/>
  <c r="G223" i="36"/>
  <c r="F223" i="36"/>
  <c r="E223" i="36"/>
  <c r="D223" i="36"/>
  <c r="C223" i="36"/>
  <c r="B223" i="36"/>
  <c r="A223" i="36"/>
  <c r="H222" i="36"/>
  <c r="G222" i="36"/>
  <c r="F222" i="36"/>
  <c r="E222" i="36"/>
  <c r="D222" i="36"/>
  <c r="C222" i="36"/>
  <c r="B222" i="36"/>
  <c r="A222" i="36"/>
  <c r="H221" i="36"/>
  <c r="G221" i="36"/>
  <c r="F221" i="36"/>
  <c r="E221" i="36"/>
  <c r="D221" i="36"/>
  <c r="C221" i="36"/>
  <c r="B221" i="36"/>
  <c r="A221" i="36"/>
  <c r="H220" i="36"/>
  <c r="G220" i="36"/>
  <c r="F220" i="36"/>
  <c r="E220" i="36"/>
  <c r="D220" i="36"/>
  <c r="C220" i="36"/>
  <c r="B220" i="36"/>
  <c r="A220" i="36"/>
  <c r="H219" i="36"/>
  <c r="G219" i="36"/>
  <c r="F219" i="36"/>
  <c r="E219" i="36"/>
  <c r="D219" i="36"/>
  <c r="C219" i="36"/>
  <c r="B219" i="36"/>
  <c r="A219" i="36"/>
  <c r="H218" i="36"/>
  <c r="G218" i="36"/>
  <c r="F218" i="36"/>
  <c r="E218" i="36"/>
  <c r="D218" i="36"/>
  <c r="C218" i="36"/>
  <c r="B218" i="36"/>
  <c r="A218" i="36"/>
  <c r="H217" i="36"/>
  <c r="G217" i="36"/>
  <c r="F217" i="36"/>
  <c r="E217" i="36"/>
  <c r="D217" i="36"/>
  <c r="C217" i="36"/>
  <c r="B217" i="36"/>
  <c r="A217" i="36"/>
  <c r="H216" i="36"/>
  <c r="G216" i="36"/>
  <c r="F216" i="36"/>
  <c r="E216" i="36"/>
  <c r="D216" i="36"/>
  <c r="C216" i="36"/>
  <c r="B216" i="36"/>
  <c r="A216" i="36"/>
  <c r="H215" i="36"/>
  <c r="G215" i="36"/>
  <c r="F215" i="36"/>
  <c r="E215" i="36"/>
  <c r="D215" i="36"/>
  <c r="C215" i="36"/>
  <c r="B215" i="36"/>
  <c r="A215" i="36"/>
  <c r="H214" i="36"/>
  <c r="G214" i="36"/>
  <c r="F214" i="36"/>
  <c r="E214" i="36"/>
  <c r="D214" i="36"/>
  <c r="C214" i="36"/>
  <c r="B214" i="36"/>
  <c r="A214" i="36"/>
  <c r="H213" i="36"/>
  <c r="G213" i="36"/>
  <c r="F213" i="36"/>
  <c r="E213" i="36"/>
  <c r="D213" i="36"/>
  <c r="C213" i="36"/>
  <c r="B213" i="36"/>
  <c r="A213" i="36"/>
  <c r="H212" i="36"/>
  <c r="G212" i="36"/>
  <c r="F212" i="36"/>
  <c r="E212" i="36"/>
  <c r="D212" i="36"/>
  <c r="C212" i="36"/>
  <c r="B212" i="36"/>
  <c r="A212" i="36"/>
  <c r="H211" i="36"/>
  <c r="G211" i="36"/>
  <c r="F211" i="36"/>
  <c r="E211" i="36"/>
  <c r="D211" i="36"/>
  <c r="C211" i="36"/>
  <c r="B211" i="36"/>
  <c r="A211" i="36"/>
  <c r="H210" i="36"/>
  <c r="G210" i="36"/>
  <c r="F210" i="36"/>
  <c r="E210" i="36"/>
  <c r="D210" i="36"/>
  <c r="C210" i="36"/>
  <c r="B210" i="36"/>
  <c r="A210" i="36"/>
  <c r="H209" i="36"/>
  <c r="G209" i="36"/>
  <c r="F209" i="36"/>
  <c r="E209" i="36"/>
  <c r="D209" i="36"/>
  <c r="C209" i="36"/>
  <c r="B209" i="36"/>
  <c r="A209" i="36"/>
  <c r="H208" i="36"/>
  <c r="G208" i="36"/>
  <c r="F208" i="36"/>
  <c r="E208" i="36"/>
  <c r="D208" i="36"/>
  <c r="C208" i="36"/>
  <c r="B208" i="36"/>
  <c r="A208" i="36"/>
  <c r="H207" i="36"/>
  <c r="G207" i="36"/>
  <c r="F207" i="36"/>
  <c r="E207" i="36"/>
  <c r="D207" i="36"/>
  <c r="C207" i="36"/>
  <c r="B207" i="36"/>
  <c r="A207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B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H197" i="36"/>
  <c r="G197" i="36"/>
  <c r="F197" i="36"/>
  <c r="E197" i="36"/>
  <c r="D197" i="36"/>
  <c r="C197" i="36"/>
  <c r="B197" i="36"/>
  <c r="A197" i="36"/>
  <c r="H196" i="36"/>
  <c r="G196" i="36"/>
  <c r="F196" i="36"/>
  <c r="E196" i="36"/>
  <c r="D196" i="36"/>
  <c r="C196" i="36"/>
  <c r="B196" i="36"/>
  <c r="A196" i="36"/>
  <c r="H195" i="36"/>
  <c r="G195" i="36"/>
  <c r="F195" i="36"/>
  <c r="E195" i="36"/>
  <c r="D195" i="36"/>
  <c r="C195" i="36"/>
  <c r="B195" i="36"/>
  <c r="A195" i="36"/>
  <c r="H194" i="36"/>
  <c r="G194" i="36"/>
  <c r="F194" i="36"/>
  <c r="E194" i="36"/>
  <c r="D194" i="36"/>
  <c r="C194" i="36"/>
  <c r="B194" i="36"/>
  <c r="A194" i="36"/>
  <c r="H193" i="36"/>
  <c r="G193" i="36"/>
  <c r="F193" i="36"/>
  <c r="E193" i="36"/>
  <c r="D193" i="36"/>
  <c r="C193" i="36"/>
  <c r="B193" i="36"/>
  <c r="A193" i="36"/>
  <c r="H192" i="36"/>
  <c r="G192" i="36"/>
  <c r="F192" i="36"/>
  <c r="E192" i="36"/>
  <c r="D192" i="36"/>
  <c r="C192" i="36"/>
  <c r="B192" i="36"/>
  <c r="A192" i="36"/>
  <c r="H191" i="36"/>
  <c r="G191" i="36"/>
  <c r="F191" i="36"/>
  <c r="E191" i="36"/>
  <c r="D191" i="36"/>
  <c r="C191" i="36"/>
  <c r="B191" i="36"/>
  <c r="A191" i="36"/>
  <c r="H190" i="36"/>
  <c r="G190" i="36"/>
  <c r="F190" i="36"/>
  <c r="E190" i="36"/>
  <c r="D190" i="36"/>
  <c r="C190" i="36"/>
  <c r="B190" i="36"/>
  <c r="A190" i="36"/>
  <c r="H189" i="36"/>
  <c r="G189" i="36"/>
  <c r="F189" i="36"/>
  <c r="E189" i="36"/>
  <c r="D189" i="36"/>
  <c r="C189" i="36"/>
  <c r="B189" i="36"/>
  <c r="A189" i="36"/>
  <c r="H188" i="36"/>
  <c r="G188" i="36"/>
  <c r="F188" i="36"/>
  <c r="E188" i="36"/>
  <c r="D188" i="36"/>
  <c r="C188" i="36"/>
  <c r="B188" i="36"/>
  <c r="A188" i="36"/>
  <c r="H187" i="36"/>
  <c r="G187" i="36"/>
  <c r="F187" i="36"/>
  <c r="E187" i="36"/>
  <c r="D187" i="36"/>
  <c r="C187" i="36"/>
  <c r="B187" i="36"/>
  <c r="A187" i="36"/>
  <c r="H186" i="36"/>
  <c r="G186" i="36"/>
  <c r="F186" i="36"/>
  <c r="E186" i="36"/>
  <c r="D186" i="36"/>
  <c r="C186" i="36"/>
  <c r="B186" i="36"/>
  <c r="A186" i="36"/>
  <c r="H185" i="36"/>
  <c r="G185" i="36"/>
  <c r="F185" i="36"/>
  <c r="E185" i="36"/>
  <c r="D185" i="36"/>
  <c r="C185" i="36"/>
  <c r="B185" i="36"/>
  <c r="A185" i="36"/>
  <c r="H184" i="36"/>
  <c r="G184" i="36"/>
  <c r="F184" i="36"/>
  <c r="E184" i="36"/>
  <c r="D184" i="36"/>
  <c r="C184" i="36"/>
  <c r="B184" i="36"/>
  <c r="A184" i="36"/>
  <c r="H183" i="36"/>
  <c r="G183" i="36"/>
  <c r="F183" i="36"/>
  <c r="E183" i="36"/>
  <c r="D183" i="36"/>
  <c r="C183" i="36"/>
  <c r="B183" i="36"/>
  <c r="A183" i="36"/>
  <c r="H182" i="36"/>
  <c r="G182" i="36"/>
  <c r="F182" i="36"/>
  <c r="E182" i="36"/>
  <c r="D182" i="36"/>
  <c r="C182" i="36"/>
  <c r="B182" i="36"/>
  <c r="A182" i="36"/>
  <c r="H181" i="36"/>
  <c r="G181" i="36"/>
  <c r="F181" i="36"/>
  <c r="E181" i="36"/>
  <c r="D181" i="36"/>
  <c r="C181" i="36"/>
  <c r="B181" i="36"/>
  <c r="A181" i="36"/>
  <c r="H180" i="36"/>
  <c r="G180" i="36"/>
  <c r="F180" i="36"/>
  <c r="E180" i="36"/>
  <c r="D180" i="36"/>
  <c r="C180" i="36"/>
  <c r="B180" i="36"/>
  <c r="A180" i="36"/>
  <c r="H179" i="36"/>
  <c r="G179" i="36"/>
  <c r="F179" i="36"/>
  <c r="E179" i="36"/>
  <c r="D179" i="36"/>
  <c r="C179" i="36"/>
  <c r="B179" i="36"/>
  <c r="A179" i="36"/>
  <c r="H178" i="36"/>
  <c r="G178" i="36"/>
  <c r="F178" i="36"/>
  <c r="E178" i="36"/>
  <c r="D178" i="36"/>
  <c r="C178" i="36"/>
  <c r="B178" i="36"/>
  <c r="A178" i="36"/>
  <c r="H177" i="36"/>
  <c r="G177" i="36"/>
  <c r="F177" i="36"/>
  <c r="E177" i="36"/>
  <c r="D177" i="36"/>
  <c r="C177" i="36"/>
  <c r="B177" i="36"/>
  <c r="A177" i="36"/>
  <c r="H176" i="36"/>
  <c r="G176" i="36"/>
  <c r="F176" i="36"/>
  <c r="E176" i="36"/>
  <c r="D176" i="36"/>
  <c r="C176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H173" i="36"/>
  <c r="G173" i="36"/>
  <c r="F173" i="36"/>
  <c r="E173" i="36"/>
  <c r="D173" i="36"/>
  <c r="C173" i="36"/>
  <c r="B173" i="36"/>
  <c r="A173" i="36"/>
  <c r="H172" i="36"/>
  <c r="G172" i="36"/>
  <c r="F172" i="36"/>
  <c r="E172" i="36"/>
  <c r="D172" i="36"/>
  <c r="C172" i="36"/>
  <c r="B172" i="36"/>
  <c r="A172" i="36"/>
  <c r="H171" i="36"/>
  <c r="G171" i="36"/>
  <c r="F171" i="36"/>
  <c r="E171" i="36"/>
  <c r="D171" i="36"/>
  <c r="C171" i="36"/>
  <c r="B171" i="36"/>
  <c r="A171" i="36"/>
  <c r="H170" i="36"/>
  <c r="G170" i="36"/>
  <c r="F170" i="36"/>
  <c r="E170" i="36"/>
  <c r="D170" i="36"/>
  <c r="C170" i="36"/>
  <c r="B170" i="36"/>
  <c r="A170" i="36"/>
  <c r="H169" i="36"/>
  <c r="G169" i="36"/>
  <c r="F169" i="36"/>
  <c r="E169" i="36"/>
  <c r="D169" i="36"/>
  <c r="C169" i="36"/>
  <c r="B169" i="36"/>
  <c r="A169" i="36"/>
  <c r="H168" i="36"/>
  <c r="G168" i="36"/>
  <c r="F168" i="36"/>
  <c r="E168" i="36"/>
  <c r="D168" i="36"/>
  <c r="C168" i="36"/>
  <c r="B168" i="36"/>
  <c r="A168" i="36"/>
  <c r="H167" i="36"/>
  <c r="G167" i="36"/>
  <c r="F167" i="36"/>
  <c r="E167" i="36"/>
  <c r="D167" i="36"/>
  <c r="C167" i="36"/>
  <c r="B167" i="36"/>
  <c r="A167" i="36"/>
  <c r="H166" i="36"/>
  <c r="G166" i="36"/>
  <c r="F166" i="36"/>
  <c r="E166" i="36"/>
  <c r="D166" i="36"/>
  <c r="C166" i="36"/>
  <c r="B166" i="36"/>
  <c r="A166" i="36"/>
  <c r="H165" i="36"/>
  <c r="G165" i="36"/>
  <c r="F165" i="36"/>
  <c r="E165" i="36"/>
  <c r="D165" i="36"/>
  <c r="C165" i="36"/>
  <c r="B165" i="36"/>
  <c r="A165" i="36"/>
  <c r="H164" i="36"/>
  <c r="G164" i="36"/>
  <c r="F164" i="36"/>
  <c r="E164" i="36"/>
  <c r="D164" i="36"/>
  <c r="C164" i="36"/>
  <c r="B164" i="36"/>
  <c r="A164" i="36"/>
  <c r="H163" i="36"/>
  <c r="G163" i="36"/>
  <c r="F163" i="36"/>
  <c r="E163" i="36"/>
  <c r="D163" i="36"/>
  <c r="C163" i="36"/>
  <c r="B163" i="36"/>
  <c r="A163" i="36"/>
  <c r="H162" i="36"/>
  <c r="G162" i="36"/>
  <c r="F162" i="36"/>
  <c r="E162" i="36"/>
  <c r="D162" i="36"/>
  <c r="C162" i="36"/>
  <c r="B162" i="36"/>
  <c r="A162" i="36"/>
  <c r="H161" i="36"/>
  <c r="G161" i="36"/>
  <c r="F161" i="36"/>
  <c r="E161" i="36"/>
  <c r="D161" i="36"/>
  <c r="C161" i="36"/>
  <c r="B161" i="36"/>
  <c r="A161" i="36"/>
  <c r="H160" i="36"/>
  <c r="G160" i="36"/>
  <c r="F160" i="36"/>
  <c r="E160" i="36"/>
  <c r="D160" i="36"/>
  <c r="C160" i="36"/>
  <c r="B160" i="36"/>
  <c r="A160" i="36"/>
  <c r="H159" i="36"/>
  <c r="G159" i="36"/>
  <c r="F159" i="36"/>
  <c r="E159" i="36"/>
  <c r="D159" i="36"/>
  <c r="C159" i="36"/>
  <c r="B159" i="36"/>
  <c r="A159" i="36"/>
  <c r="H158" i="36"/>
  <c r="G158" i="36"/>
  <c r="F158" i="36"/>
  <c r="E158" i="36"/>
  <c r="D158" i="36"/>
  <c r="C158" i="36"/>
  <c r="B158" i="36"/>
  <c r="A158" i="36"/>
  <c r="H157" i="36"/>
  <c r="G157" i="36"/>
  <c r="F157" i="36"/>
  <c r="E157" i="36"/>
  <c r="D157" i="36"/>
  <c r="C157" i="36"/>
  <c r="B157" i="36"/>
  <c r="A157" i="36"/>
  <c r="H156" i="36"/>
  <c r="G156" i="36"/>
  <c r="F156" i="36"/>
  <c r="E156" i="36"/>
  <c r="D156" i="36"/>
  <c r="C156" i="36"/>
  <c r="B156" i="36"/>
  <c r="A156" i="36"/>
  <c r="H155" i="36"/>
  <c r="G155" i="36"/>
  <c r="F155" i="36"/>
  <c r="E155" i="36"/>
  <c r="D155" i="36"/>
  <c r="C155" i="36"/>
  <c r="B155" i="36"/>
  <c r="A155" i="36"/>
  <c r="H154" i="36"/>
  <c r="G154" i="36"/>
  <c r="F154" i="36"/>
  <c r="E154" i="36"/>
  <c r="D154" i="36"/>
  <c r="C154" i="36"/>
  <c r="B154" i="36"/>
  <c r="A154" i="36"/>
  <c r="H153" i="36"/>
  <c r="G153" i="36"/>
  <c r="F153" i="36"/>
  <c r="E153" i="36"/>
  <c r="D153" i="36"/>
  <c r="C153" i="36"/>
  <c r="B153" i="36"/>
  <c r="A153" i="36"/>
  <c r="H152" i="36"/>
  <c r="G152" i="36"/>
  <c r="F152" i="36"/>
  <c r="E152" i="36"/>
  <c r="D152" i="36"/>
  <c r="C152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H149" i="36"/>
  <c r="G149" i="36"/>
  <c r="F149" i="36"/>
  <c r="E149" i="36"/>
  <c r="D149" i="36"/>
  <c r="C149" i="36"/>
  <c r="B149" i="36"/>
  <c r="A149" i="36"/>
  <c r="H148" i="36"/>
  <c r="G148" i="36"/>
  <c r="F148" i="36"/>
  <c r="E148" i="36"/>
  <c r="D148" i="36"/>
  <c r="C148" i="36"/>
  <c r="B148" i="36"/>
  <c r="A148" i="36"/>
  <c r="H147" i="36"/>
  <c r="G147" i="36"/>
  <c r="F147" i="36"/>
  <c r="E147" i="36"/>
  <c r="D147" i="36"/>
  <c r="C147" i="36"/>
  <c r="B147" i="36"/>
  <c r="A147" i="36"/>
  <c r="H146" i="36"/>
  <c r="G146" i="36"/>
  <c r="F146" i="36"/>
  <c r="E146" i="36"/>
  <c r="D146" i="36"/>
  <c r="C146" i="36"/>
  <c r="B146" i="36"/>
  <c r="A146" i="36"/>
  <c r="H145" i="36"/>
  <c r="G145" i="36"/>
  <c r="F145" i="36"/>
  <c r="E145" i="36"/>
  <c r="D145" i="36"/>
  <c r="C145" i="36"/>
  <c r="B145" i="36"/>
  <c r="A145" i="36"/>
  <c r="H144" i="36"/>
  <c r="G144" i="36"/>
  <c r="F144" i="36"/>
  <c r="E144" i="36"/>
  <c r="D144" i="36"/>
  <c r="C144" i="36"/>
  <c r="B144" i="36"/>
  <c r="A144" i="36"/>
  <c r="H143" i="36"/>
  <c r="G143" i="36"/>
  <c r="F143" i="36"/>
  <c r="E143" i="36"/>
  <c r="D143" i="36"/>
  <c r="C143" i="36"/>
  <c r="B143" i="36"/>
  <c r="A143" i="36"/>
  <c r="H142" i="36"/>
  <c r="G142" i="36"/>
  <c r="F142" i="36"/>
  <c r="E142" i="36"/>
  <c r="D142" i="36"/>
  <c r="C142" i="36"/>
  <c r="B142" i="36"/>
  <c r="A142" i="36"/>
  <c r="H141" i="36"/>
  <c r="G141" i="36"/>
  <c r="F141" i="36"/>
  <c r="E141" i="36"/>
  <c r="D141" i="36"/>
  <c r="C141" i="36"/>
  <c r="B141" i="36"/>
  <c r="A141" i="36"/>
  <c r="H140" i="36"/>
  <c r="G140" i="36"/>
  <c r="F140" i="36"/>
  <c r="E140" i="36"/>
  <c r="D140" i="36"/>
  <c r="C140" i="36"/>
  <c r="B140" i="36"/>
  <c r="A140" i="36"/>
  <c r="H139" i="36"/>
  <c r="G139" i="36"/>
  <c r="F139" i="36"/>
  <c r="E139" i="36"/>
  <c r="D139" i="36"/>
  <c r="C139" i="36"/>
  <c r="B139" i="36"/>
  <c r="A139" i="36"/>
  <c r="H138" i="36"/>
  <c r="G138" i="36"/>
  <c r="F138" i="36"/>
  <c r="E138" i="36"/>
  <c r="D138" i="36"/>
  <c r="C138" i="36"/>
  <c r="B138" i="36"/>
  <c r="A138" i="36"/>
  <c r="H137" i="36"/>
  <c r="G137" i="36"/>
  <c r="F137" i="36"/>
  <c r="E137" i="36"/>
  <c r="D137" i="36"/>
  <c r="C137" i="36"/>
  <c r="B137" i="36"/>
  <c r="A137" i="36"/>
  <c r="H136" i="36"/>
  <c r="G136" i="36"/>
  <c r="F136" i="36"/>
  <c r="E136" i="36"/>
  <c r="D136" i="36"/>
  <c r="C136" i="36"/>
  <c r="B136" i="36"/>
  <c r="A136" i="36"/>
  <c r="H135" i="36"/>
  <c r="G135" i="36"/>
  <c r="F135" i="36"/>
  <c r="E135" i="36"/>
  <c r="D135" i="36"/>
  <c r="C135" i="36"/>
  <c r="B135" i="36"/>
  <c r="A135" i="36"/>
  <c r="H134" i="36"/>
  <c r="G134" i="36"/>
  <c r="F134" i="36"/>
  <c r="E134" i="36"/>
  <c r="D134" i="36"/>
  <c r="C134" i="36"/>
  <c r="B134" i="36"/>
  <c r="A134" i="36"/>
  <c r="H133" i="36"/>
  <c r="G133" i="36"/>
  <c r="F133" i="36"/>
  <c r="E133" i="36"/>
  <c r="D133" i="36"/>
  <c r="C133" i="36"/>
  <c r="B133" i="36"/>
  <c r="A133" i="36"/>
  <c r="H132" i="36"/>
  <c r="G132" i="36"/>
  <c r="F132" i="36"/>
  <c r="E132" i="36"/>
  <c r="D132" i="36"/>
  <c r="C132" i="36"/>
  <c r="B132" i="36"/>
  <c r="A132" i="36"/>
  <c r="H131" i="36"/>
  <c r="G131" i="36"/>
  <c r="F131" i="36"/>
  <c r="E131" i="36"/>
  <c r="D131" i="36"/>
  <c r="C131" i="36"/>
  <c r="B131" i="36"/>
  <c r="A131" i="36"/>
  <c r="H130" i="36"/>
  <c r="G130" i="36"/>
  <c r="F130" i="36"/>
  <c r="E130" i="36"/>
  <c r="D130" i="36"/>
  <c r="C130" i="36"/>
  <c r="B130" i="36"/>
  <c r="A130" i="36"/>
  <c r="H129" i="36"/>
  <c r="G129" i="36"/>
  <c r="F129" i="36"/>
  <c r="E129" i="36"/>
  <c r="D129" i="36"/>
  <c r="C129" i="36"/>
  <c r="B129" i="36"/>
  <c r="A129" i="36"/>
  <c r="H128" i="36"/>
  <c r="G128" i="36"/>
  <c r="F128" i="36"/>
  <c r="E128" i="36"/>
  <c r="D128" i="36"/>
  <c r="C128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H124" i="36"/>
  <c r="G124" i="36"/>
  <c r="F124" i="36"/>
  <c r="E124" i="36"/>
  <c r="D124" i="36"/>
  <c r="C124" i="36"/>
  <c r="B124" i="36"/>
  <c r="A124" i="36"/>
  <c r="H123" i="36"/>
  <c r="G123" i="36"/>
  <c r="F123" i="36"/>
  <c r="E123" i="36"/>
  <c r="D123" i="36"/>
  <c r="C123" i="36"/>
  <c r="B123" i="36"/>
  <c r="A123" i="36"/>
  <c r="H122" i="36"/>
  <c r="G122" i="36"/>
  <c r="F122" i="36"/>
  <c r="E122" i="36"/>
  <c r="D122" i="36"/>
  <c r="C122" i="36"/>
  <c r="B122" i="36"/>
  <c r="A122" i="36"/>
  <c r="H121" i="36"/>
  <c r="G121" i="36"/>
  <c r="F121" i="36"/>
  <c r="E121" i="36"/>
  <c r="D121" i="36"/>
  <c r="C121" i="36"/>
  <c r="B121" i="36"/>
  <c r="A121" i="36"/>
  <c r="H120" i="36"/>
  <c r="G120" i="36"/>
  <c r="F120" i="36"/>
  <c r="E120" i="36"/>
  <c r="D120" i="36"/>
  <c r="C120" i="36"/>
  <c r="B120" i="36"/>
  <c r="A120" i="36"/>
  <c r="H119" i="36"/>
  <c r="G119" i="36"/>
  <c r="F119" i="36"/>
  <c r="E119" i="36"/>
  <c r="D119" i="36"/>
  <c r="C119" i="36"/>
  <c r="B119" i="36"/>
  <c r="A119" i="36"/>
  <c r="H118" i="36"/>
  <c r="G118" i="36"/>
  <c r="F118" i="36"/>
  <c r="E118" i="36"/>
  <c r="D118" i="36"/>
  <c r="C118" i="36"/>
  <c r="B118" i="36"/>
  <c r="A118" i="36"/>
  <c r="H117" i="36"/>
  <c r="G117" i="36"/>
  <c r="F117" i="36"/>
  <c r="E117" i="36"/>
  <c r="D117" i="36"/>
  <c r="C117" i="36"/>
  <c r="B117" i="36"/>
  <c r="A117" i="36"/>
  <c r="H116" i="36"/>
  <c r="G116" i="36"/>
  <c r="F116" i="36"/>
  <c r="E116" i="36"/>
  <c r="D116" i="36"/>
  <c r="C116" i="36"/>
  <c r="B116" i="36"/>
  <c r="A116" i="36"/>
  <c r="H115" i="36"/>
  <c r="G115" i="36"/>
  <c r="F115" i="36"/>
  <c r="E115" i="36"/>
  <c r="D115" i="36"/>
  <c r="C115" i="36"/>
  <c r="B115" i="36"/>
  <c r="A115" i="36"/>
  <c r="H114" i="36"/>
  <c r="G114" i="36"/>
  <c r="F114" i="36"/>
  <c r="E114" i="36"/>
  <c r="D114" i="36"/>
  <c r="C114" i="36"/>
  <c r="B114" i="36"/>
  <c r="A114" i="36"/>
  <c r="H113" i="36"/>
  <c r="G113" i="36"/>
  <c r="F113" i="36"/>
  <c r="E113" i="36"/>
  <c r="D113" i="36"/>
  <c r="C113" i="36"/>
  <c r="B113" i="36"/>
  <c r="A113" i="36"/>
  <c r="H112" i="36"/>
  <c r="G112" i="36"/>
  <c r="F112" i="36"/>
  <c r="E112" i="36"/>
  <c r="D112" i="36"/>
  <c r="C112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H108" i="36"/>
  <c r="G108" i="36"/>
  <c r="F108" i="36"/>
  <c r="E108" i="36"/>
  <c r="D108" i="36"/>
  <c r="C108" i="36"/>
  <c r="B108" i="36"/>
  <c r="A108" i="36"/>
  <c r="H107" i="36"/>
  <c r="G107" i="36"/>
  <c r="F107" i="36"/>
  <c r="E107" i="36"/>
  <c r="D107" i="36"/>
  <c r="C107" i="36"/>
  <c r="B107" i="36"/>
  <c r="A107" i="36"/>
  <c r="H106" i="36"/>
  <c r="G106" i="36"/>
  <c r="F106" i="36"/>
  <c r="E106" i="36"/>
  <c r="D106" i="36"/>
  <c r="C106" i="36"/>
  <c r="B106" i="36"/>
  <c r="A106" i="36"/>
  <c r="H105" i="36"/>
  <c r="G105" i="36"/>
  <c r="F105" i="36"/>
  <c r="E105" i="36"/>
  <c r="D105" i="36"/>
  <c r="C105" i="36"/>
  <c r="B105" i="36"/>
  <c r="A105" i="36"/>
  <c r="H104" i="36"/>
  <c r="G104" i="36"/>
  <c r="F104" i="36"/>
  <c r="E104" i="36"/>
  <c r="D104" i="36"/>
  <c r="C104" i="36"/>
  <c r="B104" i="36"/>
  <c r="A104" i="36"/>
  <c r="H103" i="36"/>
  <c r="G103" i="36"/>
  <c r="F103" i="36"/>
  <c r="E103" i="36"/>
  <c r="D103" i="36"/>
  <c r="C103" i="36"/>
  <c r="B103" i="36"/>
  <c r="A103" i="36"/>
  <c r="H102" i="36"/>
  <c r="G102" i="36"/>
  <c r="F102" i="36"/>
  <c r="E102" i="36"/>
  <c r="D102" i="36"/>
  <c r="C102" i="36"/>
  <c r="B102" i="36"/>
  <c r="A102" i="36"/>
  <c r="H101" i="36"/>
  <c r="G101" i="36"/>
  <c r="F101" i="36"/>
  <c r="E101" i="36"/>
  <c r="D101" i="36"/>
  <c r="C101" i="36"/>
  <c r="B101" i="36"/>
  <c r="A101" i="36"/>
  <c r="H100" i="36"/>
  <c r="G100" i="36"/>
  <c r="F100" i="36"/>
  <c r="E100" i="36"/>
  <c r="D100" i="36"/>
  <c r="C100" i="36"/>
  <c r="B100" i="36"/>
  <c r="A100" i="36"/>
  <c r="H99" i="36"/>
  <c r="G99" i="36"/>
  <c r="F99" i="36"/>
  <c r="E99" i="36"/>
  <c r="D99" i="36"/>
  <c r="C99" i="36"/>
  <c r="B99" i="36"/>
  <c r="A99" i="36"/>
  <c r="H98" i="36"/>
  <c r="G98" i="36"/>
  <c r="F98" i="36"/>
  <c r="E98" i="36"/>
  <c r="D98" i="36"/>
  <c r="C98" i="36"/>
  <c r="B98" i="36"/>
  <c r="A98" i="36"/>
  <c r="H97" i="36"/>
  <c r="G97" i="36"/>
  <c r="F97" i="36"/>
  <c r="E97" i="36"/>
  <c r="D97" i="36"/>
  <c r="C97" i="36"/>
  <c r="B97" i="36"/>
  <c r="A97" i="36"/>
  <c r="H96" i="36"/>
  <c r="G96" i="36"/>
  <c r="F96" i="36"/>
  <c r="E96" i="36"/>
  <c r="D96" i="36"/>
  <c r="C96" i="36"/>
  <c r="B96" i="36"/>
  <c r="A96" i="36"/>
  <c r="H95" i="36"/>
  <c r="G95" i="36"/>
  <c r="F95" i="36"/>
  <c r="E95" i="36"/>
  <c r="D95" i="36"/>
  <c r="C95" i="36"/>
  <c r="B95" i="36"/>
  <c r="A95" i="36"/>
  <c r="H94" i="36"/>
  <c r="G94" i="36"/>
  <c r="F94" i="36"/>
  <c r="E94" i="36"/>
  <c r="D94" i="36"/>
  <c r="C94" i="36"/>
  <c r="B94" i="36"/>
  <c r="A94" i="36"/>
  <c r="H93" i="36"/>
  <c r="G93" i="36"/>
  <c r="F93" i="36"/>
  <c r="E93" i="36"/>
  <c r="D93" i="36"/>
  <c r="C93" i="36"/>
  <c r="B93" i="36"/>
  <c r="A93" i="36"/>
  <c r="H92" i="36"/>
  <c r="G92" i="36"/>
  <c r="F92" i="36"/>
  <c r="E92" i="36"/>
  <c r="D92" i="36"/>
  <c r="C92" i="36"/>
  <c r="B92" i="36"/>
  <c r="A92" i="36"/>
  <c r="H91" i="36"/>
  <c r="G91" i="36"/>
  <c r="F91" i="36"/>
  <c r="E91" i="36"/>
  <c r="D91" i="36"/>
  <c r="C91" i="36"/>
  <c r="B91" i="36"/>
  <c r="A91" i="36"/>
  <c r="H90" i="36"/>
  <c r="G90" i="36"/>
  <c r="F90" i="36"/>
  <c r="E90" i="36"/>
  <c r="D90" i="36"/>
  <c r="C90" i="36"/>
  <c r="B90" i="36"/>
  <c r="A90" i="36"/>
  <c r="H89" i="36"/>
  <c r="G89" i="36"/>
  <c r="F89" i="36"/>
  <c r="E89" i="36"/>
  <c r="D89" i="36"/>
  <c r="C89" i="36"/>
  <c r="B89" i="36"/>
  <c r="A89" i="36"/>
  <c r="H88" i="36"/>
  <c r="G88" i="36"/>
  <c r="F88" i="36"/>
  <c r="E88" i="36"/>
  <c r="D88" i="36"/>
  <c r="C88" i="36"/>
  <c r="B88" i="36"/>
  <c r="A88" i="36"/>
  <c r="H87" i="36"/>
  <c r="G87" i="36"/>
  <c r="F87" i="36"/>
  <c r="E87" i="36"/>
  <c r="D87" i="36"/>
  <c r="C87" i="36"/>
  <c r="B87" i="36"/>
  <c r="A87" i="36"/>
  <c r="H86" i="36"/>
  <c r="G86" i="36"/>
  <c r="F86" i="36"/>
  <c r="E86" i="36"/>
  <c r="D86" i="36"/>
  <c r="C86" i="36"/>
  <c r="B86" i="36"/>
  <c r="A86" i="36"/>
  <c r="H85" i="36"/>
  <c r="G85" i="36"/>
  <c r="F85" i="36"/>
  <c r="E85" i="36"/>
  <c r="D85" i="36"/>
  <c r="C85" i="36"/>
  <c r="B85" i="36"/>
  <c r="A85" i="36"/>
  <c r="H84" i="36"/>
  <c r="G84" i="36"/>
  <c r="F84" i="36"/>
  <c r="E84" i="36"/>
  <c r="D84" i="36"/>
  <c r="C84" i="36"/>
  <c r="B84" i="36"/>
  <c r="A84" i="36"/>
  <c r="H83" i="36"/>
  <c r="G83" i="36"/>
  <c r="F83" i="36"/>
  <c r="E83" i="36"/>
  <c r="D83" i="36"/>
  <c r="C83" i="36"/>
  <c r="B83" i="36"/>
  <c r="A83" i="36"/>
  <c r="H82" i="36"/>
  <c r="G82" i="36"/>
  <c r="F82" i="36"/>
  <c r="E82" i="36"/>
  <c r="D82" i="36"/>
  <c r="C82" i="36"/>
  <c r="B82" i="36"/>
  <c r="A82" i="36"/>
  <c r="H81" i="36"/>
  <c r="G81" i="36"/>
  <c r="F81" i="36"/>
  <c r="E81" i="36"/>
  <c r="D81" i="36"/>
  <c r="C81" i="36"/>
  <c r="B81" i="36"/>
  <c r="A81" i="36"/>
  <c r="H80" i="36"/>
  <c r="G80" i="36"/>
  <c r="F80" i="36"/>
  <c r="E80" i="36"/>
  <c r="D80" i="36"/>
  <c r="C80" i="36"/>
  <c r="B80" i="36"/>
  <c r="A80" i="36"/>
  <c r="H79" i="36"/>
  <c r="G79" i="36"/>
  <c r="F79" i="36"/>
  <c r="E79" i="36"/>
  <c r="D79" i="36"/>
  <c r="C79" i="36"/>
  <c r="B79" i="36"/>
  <c r="A79" i="36"/>
  <c r="H78" i="36"/>
  <c r="G78" i="36"/>
  <c r="F78" i="36"/>
  <c r="E78" i="36"/>
  <c r="D78" i="36"/>
  <c r="C78" i="36"/>
  <c r="B78" i="36"/>
  <c r="A78" i="36"/>
  <c r="H77" i="36"/>
  <c r="G77" i="36"/>
  <c r="F77" i="36"/>
  <c r="E77" i="36"/>
  <c r="D77" i="36"/>
  <c r="C77" i="36"/>
  <c r="B77" i="36"/>
  <c r="A77" i="36"/>
  <c r="H76" i="36"/>
  <c r="G76" i="36"/>
  <c r="F76" i="36"/>
  <c r="E76" i="36"/>
  <c r="D76" i="36"/>
  <c r="C76" i="36"/>
  <c r="B76" i="36"/>
  <c r="A76" i="36"/>
  <c r="H75" i="36"/>
  <c r="G75" i="36"/>
  <c r="F75" i="36"/>
  <c r="E75" i="36"/>
  <c r="D75" i="36"/>
  <c r="C75" i="36"/>
  <c r="B75" i="36"/>
  <c r="A75" i="36"/>
  <c r="H74" i="36"/>
  <c r="G74" i="36"/>
  <c r="F74" i="36"/>
  <c r="E74" i="36"/>
  <c r="D74" i="36"/>
  <c r="C74" i="36"/>
  <c r="B74" i="36"/>
  <c r="A74" i="36"/>
  <c r="H73" i="36"/>
  <c r="G73" i="36"/>
  <c r="F73" i="36"/>
  <c r="E73" i="36"/>
  <c r="D73" i="36"/>
  <c r="C73" i="36"/>
  <c r="B73" i="36"/>
  <c r="A73" i="36"/>
  <c r="H72" i="36"/>
  <c r="G72" i="36"/>
  <c r="F72" i="36"/>
  <c r="E72" i="36"/>
  <c r="D72" i="36"/>
  <c r="C72" i="36"/>
  <c r="B72" i="36"/>
  <c r="A72" i="36"/>
  <c r="H71" i="36"/>
  <c r="G71" i="36"/>
  <c r="F71" i="36"/>
  <c r="E71" i="36"/>
  <c r="D71" i="36"/>
  <c r="C71" i="36"/>
  <c r="B71" i="36"/>
  <c r="A71" i="36"/>
  <c r="H70" i="36"/>
  <c r="G70" i="36"/>
  <c r="F70" i="36"/>
  <c r="E70" i="36"/>
  <c r="D70" i="36"/>
  <c r="C70" i="36"/>
  <c r="B70" i="36"/>
  <c r="A70" i="36"/>
  <c r="H69" i="36"/>
  <c r="G69" i="36"/>
  <c r="F69" i="36"/>
  <c r="E69" i="36"/>
  <c r="D69" i="36"/>
  <c r="C69" i="36"/>
  <c r="B69" i="36"/>
  <c r="A69" i="36"/>
  <c r="H68" i="36"/>
  <c r="G68" i="36"/>
  <c r="F68" i="36"/>
  <c r="E68" i="36"/>
  <c r="D68" i="36"/>
  <c r="C68" i="36"/>
  <c r="B68" i="36"/>
  <c r="A68" i="36"/>
  <c r="H67" i="36"/>
  <c r="G67" i="36"/>
  <c r="F67" i="36"/>
  <c r="E67" i="36"/>
  <c r="D67" i="36"/>
  <c r="C67" i="36"/>
  <c r="B67" i="36"/>
  <c r="A67" i="36"/>
  <c r="H66" i="36"/>
  <c r="G66" i="36"/>
  <c r="F66" i="36"/>
  <c r="E66" i="36"/>
  <c r="D66" i="36"/>
  <c r="C66" i="36"/>
  <c r="B66" i="36"/>
  <c r="A66" i="36"/>
  <c r="H65" i="36"/>
  <c r="G65" i="36"/>
  <c r="F65" i="36"/>
  <c r="E65" i="36"/>
  <c r="D65" i="36"/>
  <c r="C65" i="36"/>
  <c r="B65" i="36"/>
  <c r="A65" i="36"/>
  <c r="H64" i="36"/>
  <c r="G64" i="36"/>
  <c r="F64" i="36"/>
  <c r="E64" i="36"/>
  <c r="D64" i="36"/>
  <c r="C64" i="36"/>
  <c r="B64" i="36"/>
  <c r="A64" i="36"/>
  <c r="H63" i="36"/>
  <c r="G63" i="36"/>
  <c r="F63" i="36"/>
  <c r="E63" i="36"/>
  <c r="D63" i="36"/>
  <c r="C63" i="36"/>
  <c r="B63" i="36"/>
  <c r="A63" i="36"/>
  <c r="H62" i="36"/>
  <c r="G62" i="36"/>
  <c r="F62" i="36"/>
  <c r="E62" i="36"/>
  <c r="D62" i="36"/>
  <c r="C62" i="36"/>
  <c r="B62" i="36"/>
  <c r="A62" i="36"/>
  <c r="H61" i="36"/>
  <c r="G61" i="36"/>
  <c r="F61" i="36"/>
  <c r="E61" i="36"/>
  <c r="D61" i="36"/>
  <c r="C61" i="36"/>
  <c r="B61" i="36"/>
  <c r="A61" i="36"/>
  <c r="H60" i="36"/>
  <c r="G60" i="36"/>
  <c r="F60" i="36"/>
  <c r="E60" i="36"/>
  <c r="D60" i="36"/>
  <c r="C60" i="36"/>
  <c r="B60" i="36"/>
  <c r="A60" i="36"/>
  <c r="H59" i="36"/>
  <c r="G59" i="36"/>
  <c r="F59" i="36"/>
  <c r="E59" i="36"/>
  <c r="D59" i="36"/>
  <c r="C59" i="36"/>
  <c r="B59" i="36"/>
  <c r="A59" i="36"/>
  <c r="H58" i="36"/>
  <c r="G58" i="36"/>
  <c r="F58" i="36"/>
  <c r="E58" i="36"/>
  <c r="D58" i="36"/>
  <c r="C58" i="36"/>
  <c r="B58" i="36"/>
  <c r="A58" i="36"/>
  <c r="H57" i="36"/>
  <c r="G57" i="36"/>
  <c r="F57" i="36"/>
  <c r="E57" i="36"/>
  <c r="D57" i="36"/>
  <c r="C57" i="36"/>
  <c r="B57" i="36"/>
  <c r="A57" i="36"/>
  <c r="H56" i="36"/>
  <c r="G56" i="36"/>
  <c r="F56" i="36"/>
  <c r="E56" i="36"/>
  <c r="D56" i="36"/>
  <c r="C56" i="36"/>
  <c r="B56" i="36"/>
  <c r="A56" i="36"/>
  <c r="H55" i="36"/>
  <c r="G55" i="36"/>
  <c r="F55" i="36"/>
  <c r="E55" i="36"/>
  <c r="D55" i="36"/>
  <c r="C55" i="36"/>
  <c r="B55" i="36"/>
  <c r="A55" i="36"/>
  <c r="H54" i="36"/>
  <c r="G54" i="36"/>
  <c r="F54" i="36"/>
  <c r="E54" i="36"/>
  <c r="D54" i="36"/>
  <c r="C54" i="36"/>
  <c r="B54" i="36"/>
  <c r="A54" i="36"/>
  <c r="H53" i="36"/>
  <c r="G53" i="36"/>
  <c r="F53" i="36"/>
  <c r="E53" i="36"/>
  <c r="D53" i="36"/>
  <c r="C53" i="36"/>
  <c r="B53" i="36"/>
  <c r="A53" i="36"/>
  <c r="H52" i="36"/>
  <c r="G52" i="36"/>
  <c r="F52" i="36"/>
  <c r="E52" i="36"/>
  <c r="D52" i="36"/>
  <c r="C52" i="36"/>
  <c r="B52" i="36"/>
  <c r="A52" i="36"/>
  <c r="H51" i="36"/>
  <c r="G51" i="36"/>
  <c r="F51" i="36"/>
  <c r="E51" i="36"/>
  <c r="D51" i="36"/>
  <c r="C51" i="36"/>
  <c r="B51" i="36"/>
  <c r="A51" i="36"/>
  <c r="H50" i="36"/>
  <c r="G50" i="36"/>
  <c r="F50" i="36"/>
  <c r="E50" i="36"/>
  <c r="D50" i="36"/>
  <c r="C50" i="36"/>
  <c r="B50" i="36"/>
  <c r="A50" i="36"/>
  <c r="H49" i="36"/>
  <c r="G49" i="36"/>
  <c r="F49" i="36"/>
  <c r="E49" i="36"/>
  <c r="D49" i="36"/>
  <c r="C49" i="36"/>
  <c r="B49" i="36"/>
  <c r="A49" i="36"/>
  <c r="H48" i="36"/>
  <c r="G48" i="36"/>
  <c r="F48" i="36"/>
  <c r="E48" i="36"/>
  <c r="D48" i="36"/>
  <c r="C48" i="36"/>
  <c r="B48" i="36"/>
  <c r="A48" i="36"/>
  <c r="H47" i="36"/>
  <c r="G47" i="36"/>
  <c r="F47" i="36"/>
  <c r="E47" i="36"/>
  <c r="D47" i="36"/>
  <c r="C47" i="36"/>
  <c r="B47" i="36"/>
  <c r="A47" i="36"/>
  <c r="H46" i="36"/>
  <c r="G46" i="36"/>
  <c r="F46" i="36"/>
  <c r="E46" i="36"/>
  <c r="D46" i="36"/>
  <c r="C46" i="36"/>
  <c r="B46" i="36"/>
  <c r="A46" i="36"/>
  <c r="H45" i="36"/>
  <c r="G45" i="36"/>
  <c r="F45" i="36"/>
  <c r="E45" i="36"/>
  <c r="D45" i="36"/>
  <c r="C45" i="36"/>
  <c r="B45" i="36"/>
  <c r="A45" i="36"/>
  <c r="H44" i="36"/>
  <c r="G44" i="36"/>
  <c r="F44" i="36"/>
  <c r="E44" i="36"/>
  <c r="D44" i="36"/>
  <c r="C44" i="36"/>
  <c r="B44" i="36"/>
  <c r="A44" i="36"/>
  <c r="H43" i="36"/>
  <c r="G43" i="36"/>
  <c r="F43" i="36"/>
  <c r="E43" i="36"/>
  <c r="D43" i="36"/>
  <c r="C43" i="36"/>
  <c r="B43" i="36"/>
  <c r="A43" i="36"/>
  <c r="H42" i="36"/>
  <c r="G42" i="36"/>
  <c r="F42" i="36"/>
  <c r="E42" i="36"/>
  <c r="D42" i="36"/>
  <c r="C42" i="36"/>
  <c r="B42" i="36"/>
  <c r="A42" i="36"/>
  <c r="H41" i="36"/>
  <c r="G41" i="36"/>
  <c r="F41" i="36"/>
  <c r="E41" i="36"/>
  <c r="D41" i="36"/>
  <c r="C41" i="36"/>
  <c r="B41" i="36"/>
  <c r="A41" i="36"/>
  <c r="H40" i="36"/>
  <c r="G40" i="36"/>
  <c r="F40" i="36"/>
  <c r="E40" i="36"/>
  <c r="D40" i="36"/>
  <c r="C40" i="36"/>
  <c r="B40" i="36"/>
  <c r="A40" i="36"/>
  <c r="H39" i="36"/>
  <c r="G39" i="36"/>
  <c r="F39" i="36"/>
  <c r="E39" i="36"/>
  <c r="D39" i="36"/>
  <c r="C39" i="36"/>
  <c r="B39" i="36"/>
  <c r="A39" i="36"/>
  <c r="H38" i="36"/>
  <c r="G38" i="36"/>
  <c r="F38" i="36"/>
  <c r="E38" i="36"/>
  <c r="D38" i="36"/>
  <c r="C38" i="36"/>
  <c r="B38" i="36"/>
  <c r="A38" i="36"/>
  <c r="H37" i="36"/>
  <c r="G37" i="36"/>
  <c r="F37" i="36"/>
  <c r="E37" i="36"/>
  <c r="D37" i="36"/>
  <c r="C37" i="36"/>
  <c r="B37" i="36"/>
  <c r="A37" i="36"/>
  <c r="H36" i="36"/>
  <c r="G36" i="36"/>
  <c r="F36" i="36"/>
  <c r="E36" i="36"/>
  <c r="D36" i="36"/>
  <c r="C36" i="36"/>
  <c r="B36" i="36"/>
  <c r="A36" i="36"/>
  <c r="H35" i="36"/>
  <c r="G35" i="36"/>
  <c r="F35" i="36"/>
  <c r="E35" i="36"/>
  <c r="D35" i="36"/>
  <c r="C35" i="36"/>
  <c r="B35" i="36"/>
  <c r="A35" i="36"/>
  <c r="H34" i="36"/>
  <c r="G34" i="36"/>
  <c r="F34" i="36"/>
  <c r="E34" i="36"/>
  <c r="D34" i="36"/>
  <c r="C34" i="36"/>
  <c r="B34" i="36"/>
  <c r="A34" i="36"/>
  <c r="H33" i="36"/>
  <c r="G33" i="36"/>
  <c r="F33" i="36"/>
  <c r="E33" i="36"/>
  <c r="D33" i="36"/>
  <c r="C33" i="36"/>
  <c r="B33" i="36"/>
  <c r="A33" i="36"/>
  <c r="H32" i="36"/>
  <c r="G32" i="36"/>
  <c r="F32" i="36"/>
  <c r="E32" i="36"/>
  <c r="D32" i="36"/>
  <c r="C32" i="36"/>
  <c r="B32" i="36"/>
  <c r="A32" i="36"/>
  <c r="H31" i="36"/>
  <c r="G31" i="36"/>
  <c r="F31" i="36"/>
  <c r="E31" i="36"/>
  <c r="D31" i="36"/>
  <c r="C31" i="36"/>
  <c r="B31" i="36"/>
  <c r="A31" i="36"/>
  <c r="H30" i="36"/>
  <c r="G30" i="36"/>
  <c r="F30" i="36"/>
  <c r="E30" i="36"/>
  <c r="D30" i="36"/>
  <c r="C30" i="36"/>
  <c r="B30" i="36"/>
  <c r="A30" i="36"/>
  <c r="H29" i="36"/>
  <c r="G29" i="36"/>
  <c r="F29" i="36"/>
  <c r="E29" i="36"/>
  <c r="D29" i="36"/>
  <c r="C29" i="36"/>
  <c r="B29" i="36"/>
  <c r="A29" i="36"/>
  <c r="H28" i="36"/>
  <c r="G28" i="36"/>
  <c r="F28" i="36"/>
  <c r="E28" i="36"/>
  <c r="D28" i="36"/>
  <c r="C28" i="36"/>
  <c r="B28" i="36"/>
  <c r="A28" i="36"/>
  <c r="H27" i="36"/>
  <c r="G27" i="36"/>
  <c r="F27" i="36"/>
  <c r="E27" i="36"/>
  <c r="D27" i="36"/>
  <c r="C27" i="36"/>
  <c r="B27" i="36"/>
  <c r="A27" i="36"/>
  <c r="H26" i="36"/>
  <c r="G26" i="36"/>
  <c r="F26" i="36"/>
  <c r="E26" i="36"/>
  <c r="D26" i="36"/>
  <c r="C26" i="36"/>
  <c r="B26" i="36"/>
  <c r="A26" i="36"/>
  <c r="H25" i="36"/>
  <c r="G25" i="36"/>
  <c r="F25" i="36"/>
  <c r="E25" i="36"/>
  <c r="D25" i="36"/>
  <c r="C25" i="36"/>
  <c r="B25" i="36"/>
  <c r="A25" i="36"/>
  <c r="H24" i="36"/>
  <c r="G24" i="36"/>
  <c r="F24" i="36"/>
  <c r="E24" i="36"/>
  <c r="D24" i="36"/>
  <c r="C24" i="36"/>
  <c r="B24" i="36"/>
  <c r="A24" i="36"/>
  <c r="H23" i="36"/>
  <c r="G23" i="36"/>
  <c r="F23" i="36"/>
  <c r="E23" i="36"/>
  <c r="D23" i="36"/>
  <c r="C23" i="36"/>
  <c r="B23" i="36"/>
  <c r="A23" i="36"/>
  <c r="H22" i="36"/>
  <c r="G22" i="36"/>
  <c r="F22" i="36"/>
  <c r="E22" i="36"/>
  <c r="D22" i="36"/>
  <c r="C22" i="36"/>
  <c r="B22" i="36"/>
  <c r="A22" i="36"/>
  <c r="H21" i="36"/>
  <c r="G21" i="36"/>
  <c r="F21" i="36"/>
  <c r="E21" i="36"/>
  <c r="D21" i="36"/>
  <c r="C21" i="36"/>
  <c r="B21" i="36"/>
  <c r="A21" i="36"/>
  <c r="H20" i="36"/>
  <c r="G20" i="36"/>
  <c r="F20" i="36"/>
  <c r="E20" i="36"/>
  <c r="D20" i="36"/>
  <c r="C20" i="36"/>
  <c r="B20" i="36"/>
  <c r="A20" i="36"/>
  <c r="H19" i="36"/>
  <c r="G19" i="36"/>
  <c r="F19" i="36"/>
  <c r="E19" i="36"/>
  <c r="D19" i="36"/>
  <c r="C19" i="36"/>
  <c r="B19" i="36"/>
  <c r="A19" i="36"/>
  <c r="H18" i="36"/>
  <c r="G18" i="36"/>
  <c r="F18" i="36"/>
  <c r="E18" i="36"/>
  <c r="D18" i="36"/>
  <c r="C18" i="36"/>
  <c r="B18" i="36"/>
  <c r="A18" i="36"/>
  <c r="H17" i="36"/>
  <c r="G17" i="36"/>
  <c r="F17" i="36"/>
  <c r="E17" i="36"/>
  <c r="D17" i="36"/>
  <c r="C17" i="36"/>
  <c r="B17" i="36"/>
  <c r="A17" i="36"/>
  <c r="H16" i="36"/>
  <c r="G16" i="36"/>
  <c r="F16" i="36"/>
  <c r="E16" i="36"/>
  <c r="D16" i="36"/>
  <c r="C16" i="36"/>
  <c r="B16" i="36"/>
  <c r="A16" i="36"/>
  <c r="H15" i="36"/>
  <c r="G15" i="36"/>
  <c r="F15" i="36"/>
  <c r="E15" i="36"/>
  <c r="D15" i="36"/>
  <c r="C15" i="36"/>
  <c r="B15" i="36"/>
  <c r="A15" i="36"/>
  <c r="H14" i="36"/>
  <c r="G14" i="36"/>
  <c r="F14" i="36"/>
  <c r="E14" i="36"/>
  <c r="D14" i="36"/>
  <c r="C14" i="36"/>
  <c r="B14" i="36"/>
  <c r="A14" i="36"/>
  <c r="H13" i="36"/>
  <c r="G13" i="36"/>
  <c r="F13" i="36"/>
  <c r="E13" i="36"/>
  <c r="D13" i="36"/>
  <c r="C13" i="36"/>
  <c r="B13" i="36"/>
  <c r="A13" i="36"/>
  <c r="H12" i="36"/>
  <c r="G12" i="36"/>
  <c r="F12" i="36"/>
  <c r="E12" i="36"/>
  <c r="D12" i="36"/>
  <c r="C12" i="36"/>
  <c r="B12" i="36"/>
  <c r="A12" i="36"/>
  <c r="H11" i="36"/>
  <c r="G11" i="36"/>
  <c r="F11" i="36"/>
  <c r="E11" i="36"/>
  <c r="D11" i="36"/>
  <c r="C11" i="36"/>
  <c r="B11" i="36"/>
  <c r="A11" i="36"/>
  <c r="H10" i="36"/>
  <c r="G10" i="36"/>
  <c r="F10" i="36"/>
  <c r="E10" i="36"/>
  <c r="D10" i="36"/>
  <c r="C10" i="36"/>
  <c r="B10" i="36"/>
  <c r="A10" i="36"/>
  <c r="H9" i="36"/>
  <c r="G9" i="36"/>
  <c r="F9" i="36"/>
  <c r="E9" i="36"/>
  <c r="D9" i="36"/>
  <c r="C9" i="36"/>
  <c r="B9" i="36"/>
  <c r="A9" i="36"/>
  <c r="H8" i="36"/>
  <c r="G8" i="36"/>
  <c r="F8" i="36"/>
  <c r="E8" i="36"/>
  <c r="D8" i="36"/>
  <c r="C8" i="36"/>
  <c r="B8" i="36"/>
  <c r="A8" i="36"/>
  <c r="H7" i="36"/>
  <c r="G7" i="36"/>
  <c r="F7" i="36"/>
  <c r="E7" i="36"/>
  <c r="D7" i="36"/>
  <c r="C7" i="36"/>
  <c r="B7" i="36"/>
  <c r="A7" i="36"/>
  <c r="H6" i="36"/>
  <c r="G6" i="36"/>
  <c r="F6" i="36"/>
  <c r="E6" i="36"/>
  <c r="D6" i="36"/>
  <c r="C6" i="36"/>
  <c r="B6" i="36"/>
  <c r="A6" i="36"/>
  <c r="H5" i="36"/>
  <c r="G5" i="36"/>
  <c r="F5" i="36"/>
  <c r="E5" i="36"/>
  <c r="D5" i="36"/>
  <c r="C5" i="36"/>
  <c r="B5" i="36"/>
  <c r="A5" i="36"/>
  <c r="H4" i="36"/>
  <c r="G4" i="36"/>
  <c r="F4" i="36"/>
  <c r="E4" i="36"/>
  <c r="D4" i="36"/>
  <c r="C4" i="36"/>
  <c r="B4" i="36"/>
  <c r="A4" i="36"/>
  <c r="H3" i="36"/>
  <c r="G3" i="36"/>
  <c r="F3" i="36"/>
  <c r="E3" i="36"/>
  <c r="D3" i="36"/>
  <c r="C3" i="36"/>
  <c r="B3" i="36"/>
  <c r="A3" i="36"/>
  <c r="H2" i="36"/>
  <c r="G2" i="36"/>
  <c r="F2" i="36"/>
  <c r="E2" i="36"/>
  <c r="D2" i="36"/>
  <c r="C2" i="36"/>
  <c r="B2" i="36"/>
  <c r="A2" i="36"/>
  <c r="H1" i="36"/>
  <c r="G1" i="36"/>
  <c r="F1" i="36"/>
  <c r="E1" i="36"/>
  <c r="D1" i="36"/>
  <c r="C1" i="36"/>
  <c r="B1" i="36"/>
  <c r="A1" i="36"/>
  <c r="H277" i="35"/>
  <c r="G277" i="35"/>
  <c r="F277" i="35"/>
  <c r="E277" i="35"/>
  <c r="D277" i="35"/>
  <c r="C277" i="35"/>
  <c r="B277" i="35"/>
  <c r="A277" i="35"/>
  <c r="H276" i="35"/>
  <c r="G276" i="35"/>
  <c r="F276" i="35"/>
  <c r="E276" i="35"/>
  <c r="D276" i="35"/>
  <c r="C276" i="35"/>
  <c r="B276" i="35"/>
  <c r="A276" i="35"/>
  <c r="H275" i="35"/>
  <c r="G275" i="35"/>
  <c r="F275" i="35"/>
  <c r="E275" i="35"/>
  <c r="D275" i="35"/>
  <c r="C275" i="35"/>
  <c r="B275" i="35"/>
  <c r="A275" i="35"/>
  <c r="H274" i="35"/>
  <c r="G274" i="35"/>
  <c r="F274" i="35"/>
  <c r="E274" i="35"/>
  <c r="D274" i="35"/>
  <c r="C274" i="35"/>
  <c r="B274" i="35"/>
  <c r="A274" i="35"/>
  <c r="H273" i="35"/>
  <c r="G273" i="35"/>
  <c r="F273" i="35"/>
  <c r="E273" i="35"/>
  <c r="D273" i="35"/>
  <c r="C273" i="35"/>
  <c r="B273" i="35"/>
  <c r="A273" i="35"/>
  <c r="H272" i="35"/>
  <c r="G272" i="35"/>
  <c r="F272" i="35"/>
  <c r="E272" i="35"/>
  <c r="D272" i="35"/>
  <c r="C272" i="35"/>
  <c r="B272" i="35"/>
  <c r="A272" i="35"/>
  <c r="H271" i="35"/>
  <c r="G271" i="35"/>
  <c r="F271" i="35"/>
  <c r="E271" i="35"/>
  <c r="D271" i="35"/>
  <c r="C271" i="35"/>
  <c r="B271" i="35"/>
  <c r="A271" i="35"/>
  <c r="H270" i="35"/>
  <c r="G270" i="35"/>
  <c r="F270" i="35"/>
  <c r="E270" i="35"/>
  <c r="D270" i="35"/>
  <c r="C270" i="35"/>
  <c r="B270" i="35"/>
  <c r="A270" i="35"/>
  <c r="H269" i="35"/>
  <c r="G269" i="35"/>
  <c r="F269" i="35"/>
  <c r="E269" i="35"/>
  <c r="D269" i="35"/>
  <c r="C269" i="35"/>
  <c r="B269" i="35"/>
  <c r="A269" i="35"/>
  <c r="H268" i="35"/>
  <c r="G268" i="35"/>
  <c r="F268" i="35"/>
  <c r="E268" i="35"/>
  <c r="D268" i="35"/>
  <c r="C268" i="35"/>
  <c r="B268" i="35"/>
  <c r="A268" i="35"/>
  <c r="H267" i="35"/>
  <c r="G267" i="35"/>
  <c r="F267" i="35"/>
  <c r="E267" i="35"/>
  <c r="D267" i="35"/>
  <c r="C267" i="35"/>
  <c r="B267" i="35"/>
  <c r="A267" i="35"/>
  <c r="H266" i="35"/>
  <c r="G266" i="35"/>
  <c r="F266" i="35"/>
  <c r="E266" i="35"/>
  <c r="D266" i="35"/>
  <c r="C266" i="35"/>
  <c r="B266" i="35"/>
  <c r="A266" i="35"/>
  <c r="H265" i="35"/>
  <c r="G265" i="35"/>
  <c r="F265" i="35"/>
  <c r="E265" i="35"/>
  <c r="D265" i="35"/>
  <c r="C265" i="35"/>
  <c r="B265" i="35"/>
  <c r="A265" i="35"/>
  <c r="H264" i="35"/>
  <c r="G264" i="35"/>
  <c r="F264" i="35"/>
  <c r="E264" i="35"/>
  <c r="D264" i="35"/>
  <c r="C264" i="35"/>
  <c r="B264" i="35"/>
  <c r="A264" i="35"/>
  <c r="H263" i="35"/>
  <c r="G263" i="35"/>
  <c r="F263" i="35"/>
  <c r="E263" i="35"/>
  <c r="D263" i="35"/>
  <c r="C263" i="35"/>
  <c r="B263" i="35"/>
  <c r="A263" i="35"/>
  <c r="H262" i="35"/>
  <c r="G262" i="35"/>
  <c r="F262" i="35"/>
  <c r="E262" i="35"/>
  <c r="D262" i="35"/>
  <c r="C262" i="35"/>
  <c r="B262" i="35"/>
  <c r="A262" i="35"/>
  <c r="H261" i="35"/>
  <c r="G261" i="35"/>
  <c r="F261" i="35"/>
  <c r="E261" i="35"/>
  <c r="D261" i="35"/>
  <c r="C261" i="35"/>
  <c r="B261" i="35"/>
  <c r="A261" i="35"/>
  <c r="H260" i="35"/>
  <c r="G260" i="35"/>
  <c r="F260" i="35"/>
  <c r="E260" i="35"/>
  <c r="D260" i="35"/>
  <c r="C260" i="35"/>
  <c r="B260" i="35"/>
  <c r="A260" i="35"/>
  <c r="H259" i="35"/>
  <c r="G259" i="35"/>
  <c r="F259" i="35"/>
  <c r="E259" i="35"/>
  <c r="D259" i="35"/>
  <c r="C259" i="35"/>
  <c r="B259" i="35"/>
  <c r="A259" i="35"/>
  <c r="H258" i="35"/>
  <c r="G258" i="35"/>
  <c r="F258" i="35"/>
  <c r="E258" i="35"/>
  <c r="D258" i="35"/>
  <c r="C258" i="35"/>
  <c r="B258" i="35"/>
  <c r="A258" i="35"/>
  <c r="H257" i="35"/>
  <c r="G257" i="35"/>
  <c r="F257" i="35"/>
  <c r="E257" i="35"/>
  <c r="D257" i="35"/>
  <c r="C257" i="35"/>
  <c r="B257" i="35"/>
  <c r="A257" i="35"/>
  <c r="H256" i="35"/>
  <c r="G256" i="35"/>
  <c r="F256" i="35"/>
  <c r="E256" i="35"/>
  <c r="D256" i="35"/>
  <c r="C256" i="35"/>
  <c r="B256" i="35"/>
  <c r="A256" i="35"/>
  <c r="H255" i="35"/>
  <c r="G255" i="35"/>
  <c r="F255" i="35"/>
  <c r="E255" i="35"/>
  <c r="D255" i="35"/>
  <c r="C255" i="35"/>
  <c r="B255" i="35"/>
  <c r="A255" i="35"/>
  <c r="H254" i="35"/>
  <c r="G254" i="35"/>
  <c r="F254" i="35"/>
  <c r="E254" i="35"/>
  <c r="D254" i="35"/>
  <c r="C254" i="35"/>
  <c r="B254" i="35"/>
  <c r="A254" i="35"/>
  <c r="H253" i="35"/>
  <c r="G253" i="35"/>
  <c r="F253" i="35"/>
  <c r="E253" i="35"/>
  <c r="D253" i="35"/>
  <c r="C253" i="35"/>
  <c r="B253" i="35"/>
  <c r="A253" i="35"/>
  <c r="H252" i="35"/>
  <c r="G252" i="35"/>
  <c r="F252" i="35"/>
  <c r="E252" i="35"/>
  <c r="D252" i="35"/>
  <c r="C252" i="35"/>
  <c r="B252" i="35"/>
  <c r="A252" i="35"/>
  <c r="H251" i="35"/>
  <c r="G251" i="35"/>
  <c r="F251" i="35"/>
  <c r="E251" i="35"/>
  <c r="D251" i="35"/>
  <c r="C251" i="35"/>
  <c r="B251" i="35"/>
  <c r="A251" i="35"/>
  <c r="H250" i="35"/>
  <c r="G250" i="35"/>
  <c r="F250" i="35"/>
  <c r="E250" i="35"/>
  <c r="D250" i="35"/>
  <c r="C250" i="35"/>
  <c r="B250" i="35"/>
  <c r="A250" i="35"/>
  <c r="H249" i="35"/>
  <c r="G249" i="35"/>
  <c r="F249" i="35"/>
  <c r="E249" i="35"/>
  <c r="D249" i="35"/>
  <c r="C249" i="35"/>
  <c r="B249" i="35"/>
  <c r="A249" i="35"/>
  <c r="H248" i="35"/>
  <c r="G248" i="35"/>
  <c r="F248" i="35"/>
  <c r="E248" i="35"/>
  <c r="D248" i="35"/>
  <c r="C248" i="35"/>
  <c r="B248" i="35"/>
  <c r="A248" i="35"/>
  <c r="H247" i="35"/>
  <c r="G247" i="35"/>
  <c r="F247" i="35"/>
  <c r="E247" i="35"/>
  <c r="D247" i="35"/>
  <c r="C247" i="35"/>
  <c r="B247" i="35"/>
  <c r="A247" i="35"/>
  <c r="H246" i="35"/>
  <c r="G246" i="35"/>
  <c r="F246" i="35"/>
  <c r="E246" i="35"/>
  <c r="D246" i="35"/>
  <c r="C246" i="35"/>
  <c r="B246" i="35"/>
  <c r="A246" i="35"/>
  <c r="H245" i="35"/>
  <c r="G245" i="35"/>
  <c r="F245" i="35"/>
  <c r="E245" i="35"/>
  <c r="D245" i="35"/>
  <c r="C245" i="35"/>
  <c r="B245" i="35"/>
  <c r="A245" i="35"/>
  <c r="H244" i="35"/>
  <c r="G244" i="35"/>
  <c r="F244" i="35"/>
  <c r="E244" i="35"/>
  <c r="D244" i="35"/>
  <c r="C244" i="35"/>
  <c r="B244" i="35"/>
  <c r="A244" i="35"/>
  <c r="H243" i="35"/>
  <c r="G243" i="35"/>
  <c r="F243" i="35"/>
  <c r="E243" i="35"/>
  <c r="D243" i="35"/>
  <c r="C243" i="35"/>
  <c r="B243" i="35"/>
  <c r="A243" i="35"/>
  <c r="H242" i="35"/>
  <c r="G242" i="35"/>
  <c r="F242" i="35"/>
  <c r="E242" i="35"/>
  <c r="D242" i="35"/>
  <c r="C242" i="35"/>
  <c r="B242" i="35"/>
  <c r="A242" i="35"/>
  <c r="H241" i="35"/>
  <c r="G241" i="35"/>
  <c r="F241" i="35"/>
  <c r="E241" i="35"/>
  <c r="D241" i="35"/>
  <c r="C241" i="35"/>
  <c r="B241" i="35"/>
  <c r="A241" i="35"/>
  <c r="H240" i="35"/>
  <c r="G240" i="35"/>
  <c r="F240" i="35"/>
  <c r="E240" i="35"/>
  <c r="D240" i="35"/>
  <c r="C240" i="35"/>
  <c r="B240" i="35"/>
  <c r="A240" i="35"/>
  <c r="H239" i="35"/>
  <c r="G239" i="35"/>
  <c r="F239" i="35"/>
  <c r="E239" i="35"/>
  <c r="D239" i="35"/>
  <c r="C239" i="35"/>
  <c r="B239" i="35"/>
  <c r="A239" i="35"/>
  <c r="H238" i="35"/>
  <c r="G238" i="35"/>
  <c r="F238" i="35"/>
  <c r="E238" i="35"/>
  <c r="D238" i="35"/>
  <c r="C238" i="35"/>
  <c r="B238" i="35"/>
  <c r="A238" i="35"/>
  <c r="H237" i="35"/>
  <c r="G237" i="35"/>
  <c r="F237" i="35"/>
  <c r="E237" i="35"/>
  <c r="D237" i="35"/>
  <c r="C237" i="35"/>
  <c r="B237" i="35"/>
  <c r="A237" i="35"/>
  <c r="H236" i="35"/>
  <c r="G236" i="35"/>
  <c r="F236" i="35"/>
  <c r="E236" i="35"/>
  <c r="D236" i="35"/>
  <c r="C236" i="35"/>
  <c r="B236" i="35"/>
  <c r="A236" i="35"/>
  <c r="H235" i="35"/>
  <c r="G235" i="35"/>
  <c r="F235" i="35"/>
  <c r="E235" i="35"/>
  <c r="D235" i="35"/>
  <c r="C235" i="35"/>
  <c r="B235" i="35"/>
  <c r="A235" i="35"/>
  <c r="H234" i="35"/>
  <c r="G234" i="35"/>
  <c r="F234" i="35"/>
  <c r="E234" i="35"/>
  <c r="D234" i="35"/>
  <c r="C234" i="35"/>
  <c r="B234" i="35"/>
  <c r="A234" i="35"/>
  <c r="H233" i="35"/>
  <c r="G233" i="35"/>
  <c r="F233" i="35"/>
  <c r="E233" i="35"/>
  <c r="D233" i="35"/>
  <c r="C233" i="35"/>
  <c r="B233" i="35"/>
  <c r="A233" i="35"/>
  <c r="H232" i="35"/>
  <c r="G232" i="35"/>
  <c r="F232" i="35"/>
  <c r="E232" i="35"/>
  <c r="D232" i="35"/>
  <c r="C232" i="35"/>
  <c r="B232" i="35"/>
  <c r="A232" i="35"/>
  <c r="H231" i="35"/>
  <c r="G231" i="35"/>
  <c r="F231" i="35"/>
  <c r="E231" i="35"/>
  <c r="D231" i="35"/>
  <c r="C231" i="35"/>
  <c r="B231" i="35"/>
  <c r="A231" i="35"/>
  <c r="H230" i="35"/>
  <c r="G230" i="35"/>
  <c r="F230" i="35"/>
  <c r="E230" i="35"/>
  <c r="D230" i="35"/>
  <c r="C230" i="35"/>
  <c r="B230" i="35"/>
  <c r="A230" i="35"/>
  <c r="H229" i="35"/>
  <c r="G229" i="35"/>
  <c r="F229" i="35"/>
  <c r="E229" i="35"/>
  <c r="D229" i="35"/>
  <c r="C229" i="35"/>
  <c r="B229" i="35"/>
  <c r="A229" i="35"/>
  <c r="H228" i="35"/>
  <c r="G228" i="35"/>
  <c r="F228" i="35"/>
  <c r="E228" i="35"/>
  <c r="D228" i="35"/>
  <c r="C228" i="35"/>
  <c r="B228" i="35"/>
  <c r="A228" i="35"/>
  <c r="H227" i="35"/>
  <c r="G227" i="35"/>
  <c r="F227" i="35"/>
  <c r="E227" i="35"/>
  <c r="D227" i="35"/>
  <c r="C227" i="35"/>
  <c r="B227" i="35"/>
  <c r="A227" i="35"/>
  <c r="H226" i="35"/>
  <c r="G226" i="35"/>
  <c r="F226" i="35"/>
  <c r="E226" i="35"/>
  <c r="D226" i="35"/>
  <c r="C226" i="35"/>
  <c r="B226" i="35"/>
  <c r="A226" i="35"/>
  <c r="H225" i="35"/>
  <c r="G225" i="35"/>
  <c r="F225" i="35"/>
  <c r="E225" i="35"/>
  <c r="D225" i="35"/>
  <c r="C225" i="35"/>
  <c r="B225" i="35"/>
  <c r="A225" i="35"/>
  <c r="H224" i="35"/>
  <c r="G224" i="35"/>
  <c r="F224" i="35"/>
  <c r="E224" i="35"/>
  <c r="D224" i="35"/>
  <c r="C224" i="35"/>
  <c r="B224" i="35"/>
  <c r="A224" i="35"/>
  <c r="H223" i="35"/>
  <c r="G223" i="35"/>
  <c r="F223" i="35"/>
  <c r="E223" i="35"/>
  <c r="D223" i="35"/>
  <c r="C223" i="35"/>
  <c r="B223" i="35"/>
  <c r="A223" i="35"/>
  <c r="H222" i="35"/>
  <c r="G222" i="35"/>
  <c r="F222" i="35"/>
  <c r="E222" i="35"/>
  <c r="D222" i="35"/>
  <c r="C222" i="35"/>
  <c r="B222" i="35"/>
  <c r="A222" i="35"/>
  <c r="H221" i="35"/>
  <c r="G221" i="35"/>
  <c r="F221" i="35"/>
  <c r="E221" i="35"/>
  <c r="D221" i="35"/>
  <c r="C221" i="35"/>
  <c r="B221" i="35"/>
  <c r="A221" i="35"/>
  <c r="H220" i="35"/>
  <c r="G220" i="35"/>
  <c r="F220" i="35"/>
  <c r="E220" i="35"/>
  <c r="D220" i="35"/>
  <c r="C220" i="35"/>
  <c r="B220" i="35"/>
  <c r="A220" i="35"/>
  <c r="H219" i="35"/>
  <c r="G219" i="35"/>
  <c r="F219" i="35"/>
  <c r="E219" i="35"/>
  <c r="D219" i="35"/>
  <c r="C219" i="35"/>
  <c r="B219" i="35"/>
  <c r="A219" i="35"/>
  <c r="H218" i="35"/>
  <c r="G218" i="35"/>
  <c r="F218" i="35"/>
  <c r="E218" i="35"/>
  <c r="D218" i="35"/>
  <c r="C218" i="35"/>
  <c r="B218" i="35"/>
  <c r="A218" i="35"/>
  <c r="H217" i="35"/>
  <c r="G217" i="35"/>
  <c r="F217" i="35"/>
  <c r="E217" i="35"/>
  <c r="D217" i="35"/>
  <c r="C217" i="35"/>
  <c r="B217" i="35"/>
  <c r="A217" i="35"/>
  <c r="H216" i="35"/>
  <c r="G216" i="35"/>
  <c r="F216" i="35"/>
  <c r="E216" i="35"/>
  <c r="D216" i="35"/>
  <c r="C216" i="35"/>
  <c r="B216" i="35"/>
  <c r="A216" i="35"/>
  <c r="H215" i="35"/>
  <c r="G215" i="35"/>
  <c r="F215" i="35"/>
  <c r="E215" i="35"/>
  <c r="D215" i="35"/>
  <c r="C215" i="35"/>
  <c r="B215" i="35"/>
  <c r="A215" i="35"/>
  <c r="H214" i="35"/>
  <c r="G214" i="35"/>
  <c r="F214" i="35"/>
  <c r="E214" i="35"/>
  <c r="D214" i="35"/>
  <c r="C214" i="35"/>
  <c r="B214" i="35"/>
  <c r="A214" i="35"/>
  <c r="H213" i="35"/>
  <c r="G213" i="35"/>
  <c r="F213" i="35"/>
  <c r="E213" i="35"/>
  <c r="D213" i="35"/>
  <c r="C213" i="35"/>
  <c r="B213" i="35"/>
  <c r="A213" i="35"/>
  <c r="H212" i="35"/>
  <c r="G212" i="35"/>
  <c r="F212" i="35"/>
  <c r="E212" i="35"/>
  <c r="D212" i="35"/>
  <c r="C212" i="35"/>
  <c r="B212" i="35"/>
  <c r="A212" i="35"/>
  <c r="H211" i="35"/>
  <c r="G211" i="35"/>
  <c r="F211" i="35"/>
  <c r="E211" i="35"/>
  <c r="D211" i="35"/>
  <c r="C211" i="35"/>
  <c r="B211" i="35"/>
  <c r="A211" i="35"/>
  <c r="H210" i="35"/>
  <c r="G210" i="35"/>
  <c r="F210" i="35"/>
  <c r="E210" i="35"/>
  <c r="D210" i="35"/>
  <c r="C210" i="35"/>
  <c r="B210" i="35"/>
  <c r="A210" i="35"/>
  <c r="H209" i="35"/>
  <c r="G209" i="35"/>
  <c r="F209" i="35"/>
  <c r="E209" i="35"/>
  <c r="D209" i="35"/>
  <c r="C209" i="35"/>
  <c r="B209" i="35"/>
  <c r="A209" i="35"/>
  <c r="H208" i="35"/>
  <c r="G208" i="35"/>
  <c r="F208" i="35"/>
  <c r="E208" i="35"/>
  <c r="D208" i="35"/>
  <c r="C208" i="35"/>
  <c r="B208" i="35"/>
  <c r="A208" i="35"/>
  <c r="H207" i="35"/>
  <c r="G207" i="35"/>
  <c r="F207" i="35"/>
  <c r="E207" i="35"/>
  <c r="D207" i="35"/>
  <c r="C207" i="35"/>
  <c r="B207" i="35"/>
  <c r="A207" i="35"/>
  <c r="H206" i="35"/>
  <c r="G206" i="35"/>
  <c r="F206" i="35"/>
  <c r="E206" i="35"/>
  <c r="D206" i="35"/>
  <c r="C206" i="35"/>
  <c r="B206" i="35"/>
  <c r="A206" i="35"/>
  <c r="H205" i="35"/>
  <c r="G205" i="35"/>
  <c r="F205" i="35"/>
  <c r="E205" i="35"/>
  <c r="D205" i="35"/>
  <c r="C205" i="35"/>
  <c r="B205" i="35"/>
  <c r="A205" i="35"/>
  <c r="H204" i="35"/>
  <c r="G204" i="35"/>
  <c r="F204" i="35"/>
  <c r="E204" i="35"/>
  <c r="D204" i="35"/>
  <c r="C204" i="35"/>
  <c r="B204" i="35"/>
  <c r="A204" i="35"/>
  <c r="H203" i="35"/>
  <c r="G203" i="35"/>
  <c r="F203" i="35"/>
  <c r="E203" i="35"/>
  <c r="D203" i="35"/>
  <c r="C203" i="35"/>
  <c r="B203" i="35"/>
  <c r="A203" i="35"/>
  <c r="H202" i="35"/>
  <c r="G202" i="35"/>
  <c r="F202" i="35"/>
  <c r="E202" i="35"/>
  <c r="D202" i="35"/>
  <c r="C202" i="35"/>
  <c r="B202" i="35"/>
  <c r="A202" i="35"/>
  <c r="H201" i="35"/>
  <c r="G201" i="35"/>
  <c r="F201" i="35"/>
  <c r="E201" i="35"/>
  <c r="D201" i="35"/>
  <c r="C201" i="35"/>
  <c r="B201" i="35"/>
  <c r="A201" i="35"/>
  <c r="H200" i="35"/>
  <c r="G200" i="35"/>
  <c r="F200" i="35"/>
  <c r="E200" i="35"/>
  <c r="D200" i="35"/>
  <c r="C200" i="35"/>
  <c r="B200" i="35"/>
  <c r="A200" i="35"/>
  <c r="H199" i="35"/>
  <c r="G199" i="35"/>
  <c r="F199" i="35"/>
  <c r="E199" i="35"/>
  <c r="D199" i="35"/>
  <c r="C199" i="35"/>
  <c r="B199" i="35"/>
  <c r="A199" i="35"/>
  <c r="H198" i="35"/>
  <c r="G198" i="35"/>
  <c r="F198" i="35"/>
  <c r="E198" i="35"/>
  <c r="D198" i="35"/>
  <c r="C198" i="35"/>
  <c r="B198" i="35"/>
  <c r="A198" i="35"/>
  <c r="H197" i="35"/>
  <c r="G197" i="35"/>
  <c r="F197" i="35"/>
  <c r="E197" i="35"/>
  <c r="D197" i="35"/>
  <c r="C197" i="35"/>
  <c r="B197" i="35"/>
  <c r="A197" i="35"/>
  <c r="H196" i="35"/>
  <c r="G196" i="35"/>
  <c r="F196" i="35"/>
  <c r="E196" i="35"/>
  <c r="D196" i="35"/>
  <c r="C196" i="35"/>
  <c r="B196" i="35"/>
  <c r="A196" i="35"/>
  <c r="H195" i="35"/>
  <c r="G195" i="35"/>
  <c r="F195" i="35"/>
  <c r="E195" i="35"/>
  <c r="D195" i="35"/>
  <c r="C195" i="35"/>
  <c r="B195" i="35"/>
  <c r="A195" i="35"/>
  <c r="H194" i="35"/>
  <c r="G194" i="35"/>
  <c r="F194" i="35"/>
  <c r="E194" i="35"/>
  <c r="D194" i="35"/>
  <c r="C194" i="35"/>
  <c r="B194" i="35"/>
  <c r="A194" i="35"/>
  <c r="H193" i="35"/>
  <c r="G193" i="35"/>
  <c r="F193" i="35"/>
  <c r="E193" i="35"/>
  <c r="D193" i="35"/>
  <c r="C193" i="35"/>
  <c r="B193" i="35"/>
  <c r="A193" i="35"/>
  <c r="H192" i="35"/>
  <c r="G192" i="35"/>
  <c r="F192" i="35"/>
  <c r="E192" i="35"/>
  <c r="D192" i="35"/>
  <c r="C192" i="35"/>
  <c r="B192" i="35"/>
  <c r="A192" i="35"/>
  <c r="H191" i="35"/>
  <c r="G191" i="35"/>
  <c r="F191" i="35"/>
  <c r="E191" i="35"/>
  <c r="D191" i="35"/>
  <c r="C191" i="35"/>
  <c r="B191" i="35"/>
  <c r="A191" i="35"/>
  <c r="H190" i="35"/>
  <c r="G190" i="35"/>
  <c r="F190" i="35"/>
  <c r="E190" i="35"/>
  <c r="D190" i="35"/>
  <c r="C190" i="35"/>
  <c r="B190" i="35"/>
  <c r="A190" i="35"/>
  <c r="H189" i="35"/>
  <c r="G189" i="35"/>
  <c r="F189" i="35"/>
  <c r="E189" i="35"/>
  <c r="D189" i="35"/>
  <c r="C189" i="35"/>
  <c r="B189" i="35"/>
  <c r="A189" i="35"/>
  <c r="H188" i="35"/>
  <c r="G188" i="35"/>
  <c r="F188" i="35"/>
  <c r="E188" i="35"/>
  <c r="D188" i="35"/>
  <c r="C188" i="35"/>
  <c r="B188" i="35"/>
  <c r="A188" i="35"/>
  <c r="H187" i="35"/>
  <c r="G187" i="35"/>
  <c r="F187" i="35"/>
  <c r="E187" i="35"/>
  <c r="D187" i="35"/>
  <c r="C187" i="35"/>
  <c r="B187" i="35"/>
  <c r="A187" i="35"/>
  <c r="H186" i="35"/>
  <c r="G186" i="35"/>
  <c r="F186" i="35"/>
  <c r="E186" i="35"/>
  <c r="D186" i="35"/>
  <c r="C186" i="35"/>
  <c r="B186" i="35"/>
  <c r="A186" i="35"/>
  <c r="H185" i="35"/>
  <c r="G185" i="35"/>
  <c r="F185" i="35"/>
  <c r="E185" i="35"/>
  <c r="D185" i="35"/>
  <c r="C185" i="35"/>
  <c r="B185" i="35"/>
  <c r="A185" i="35"/>
  <c r="H184" i="35"/>
  <c r="G184" i="35"/>
  <c r="F184" i="35"/>
  <c r="E184" i="35"/>
  <c r="D184" i="35"/>
  <c r="C184" i="35"/>
  <c r="B184" i="35"/>
  <c r="A184" i="35"/>
  <c r="H183" i="35"/>
  <c r="G183" i="35"/>
  <c r="F183" i="35"/>
  <c r="E183" i="35"/>
  <c r="D183" i="35"/>
  <c r="C183" i="35"/>
  <c r="B183" i="35"/>
  <c r="A183" i="35"/>
  <c r="H182" i="35"/>
  <c r="G182" i="35"/>
  <c r="F182" i="35"/>
  <c r="E182" i="35"/>
  <c r="D182" i="35"/>
  <c r="C182" i="35"/>
  <c r="B182" i="35"/>
  <c r="A182" i="35"/>
  <c r="H181" i="35"/>
  <c r="G181" i="35"/>
  <c r="F181" i="35"/>
  <c r="E181" i="35"/>
  <c r="D181" i="35"/>
  <c r="C181" i="35"/>
  <c r="B181" i="35"/>
  <c r="A181" i="35"/>
  <c r="H180" i="35"/>
  <c r="G180" i="35"/>
  <c r="F180" i="35"/>
  <c r="E180" i="35"/>
  <c r="D180" i="35"/>
  <c r="C180" i="35"/>
  <c r="B180" i="35"/>
  <c r="A180" i="35"/>
  <c r="H179" i="35"/>
  <c r="G179" i="35"/>
  <c r="F179" i="35"/>
  <c r="E179" i="35"/>
  <c r="D179" i="35"/>
  <c r="C179" i="35"/>
  <c r="B179" i="35"/>
  <c r="A179" i="35"/>
  <c r="H178" i="35"/>
  <c r="G178" i="35"/>
  <c r="F178" i="35"/>
  <c r="E178" i="35"/>
  <c r="D178" i="35"/>
  <c r="C178" i="35"/>
  <c r="B178" i="35"/>
  <c r="A178" i="35"/>
  <c r="H177" i="35"/>
  <c r="G177" i="35"/>
  <c r="F177" i="35"/>
  <c r="E177" i="35"/>
  <c r="D177" i="35"/>
  <c r="C177" i="35"/>
  <c r="B177" i="35"/>
  <c r="A177" i="35"/>
  <c r="H176" i="35"/>
  <c r="G176" i="35"/>
  <c r="F176" i="35"/>
  <c r="E176" i="35"/>
  <c r="D176" i="35"/>
  <c r="C176" i="35"/>
  <c r="B176" i="35"/>
  <c r="A176" i="35"/>
  <c r="H175" i="35"/>
  <c r="G175" i="35"/>
  <c r="F175" i="35"/>
  <c r="E175" i="35"/>
  <c r="D175" i="35"/>
  <c r="C175" i="35"/>
  <c r="B175" i="35"/>
  <c r="A175" i="35"/>
  <c r="H174" i="35"/>
  <c r="G174" i="35"/>
  <c r="F174" i="35"/>
  <c r="E174" i="35"/>
  <c r="D174" i="35"/>
  <c r="C174" i="35"/>
  <c r="B174" i="35"/>
  <c r="A174" i="35"/>
  <c r="H173" i="35"/>
  <c r="G173" i="35"/>
  <c r="F173" i="35"/>
  <c r="E173" i="35"/>
  <c r="D173" i="35"/>
  <c r="C173" i="35"/>
  <c r="B173" i="35"/>
  <c r="A173" i="35"/>
  <c r="H172" i="35"/>
  <c r="G172" i="35"/>
  <c r="F172" i="35"/>
  <c r="E172" i="35"/>
  <c r="D172" i="35"/>
  <c r="C172" i="35"/>
  <c r="B172" i="35"/>
  <c r="A172" i="35"/>
  <c r="H171" i="35"/>
  <c r="G171" i="35"/>
  <c r="F171" i="35"/>
  <c r="E171" i="35"/>
  <c r="D171" i="35"/>
  <c r="C171" i="35"/>
  <c r="B171" i="35"/>
  <c r="A171" i="35"/>
  <c r="H170" i="35"/>
  <c r="G170" i="35"/>
  <c r="F170" i="35"/>
  <c r="E170" i="35"/>
  <c r="D170" i="35"/>
  <c r="C170" i="35"/>
  <c r="B170" i="35"/>
  <c r="A170" i="35"/>
  <c r="H169" i="35"/>
  <c r="G169" i="35"/>
  <c r="F169" i="35"/>
  <c r="E169" i="35"/>
  <c r="D169" i="35"/>
  <c r="C169" i="35"/>
  <c r="B169" i="35"/>
  <c r="A169" i="35"/>
  <c r="H168" i="35"/>
  <c r="G168" i="35"/>
  <c r="F168" i="35"/>
  <c r="E168" i="35"/>
  <c r="D168" i="35"/>
  <c r="C168" i="35"/>
  <c r="B168" i="35"/>
  <c r="A168" i="35"/>
  <c r="H167" i="35"/>
  <c r="G167" i="35"/>
  <c r="F167" i="35"/>
  <c r="E167" i="35"/>
  <c r="D167" i="35"/>
  <c r="C167" i="35"/>
  <c r="B167" i="35"/>
  <c r="A167" i="35"/>
  <c r="H166" i="35"/>
  <c r="G166" i="35"/>
  <c r="F166" i="35"/>
  <c r="E166" i="35"/>
  <c r="D166" i="35"/>
  <c r="C166" i="35"/>
  <c r="B166" i="35"/>
  <c r="A166" i="35"/>
  <c r="H165" i="35"/>
  <c r="G165" i="35"/>
  <c r="F165" i="35"/>
  <c r="E165" i="35"/>
  <c r="D165" i="35"/>
  <c r="C165" i="35"/>
  <c r="B165" i="35"/>
  <c r="A165" i="35"/>
  <c r="H164" i="35"/>
  <c r="G164" i="35"/>
  <c r="F164" i="35"/>
  <c r="E164" i="35"/>
  <c r="D164" i="35"/>
  <c r="C164" i="35"/>
  <c r="B164" i="35"/>
  <c r="A164" i="35"/>
  <c r="H163" i="35"/>
  <c r="G163" i="35"/>
  <c r="F163" i="35"/>
  <c r="E163" i="35"/>
  <c r="D163" i="35"/>
  <c r="C163" i="35"/>
  <c r="B163" i="35"/>
  <c r="A163" i="35"/>
  <c r="H162" i="35"/>
  <c r="G162" i="35"/>
  <c r="F162" i="35"/>
  <c r="E162" i="35"/>
  <c r="D162" i="35"/>
  <c r="C162" i="35"/>
  <c r="B162" i="35"/>
  <c r="A162" i="35"/>
  <c r="H161" i="35"/>
  <c r="G161" i="35"/>
  <c r="F161" i="35"/>
  <c r="E161" i="35"/>
  <c r="D161" i="35"/>
  <c r="C161" i="35"/>
  <c r="B161" i="35"/>
  <c r="A161" i="35"/>
  <c r="H160" i="35"/>
  <c r="G160" i="35"/>
  <c r="F160" i="35"/>
  <c r="E160" i="35"/>
  <c r="D160" i="35"/>
  <c r="C160" i="35"/>
  <c r="B160" i="35"/>
  <c r="A160" i="35"/>
  <c r="H159" i="35"/>
  <c r="G159" i="35"/>
  <c r="F159" i="35"/>
  <c r="E159" i="35"/>
  <c r="D159" i="35"/>
  <c r="C159" i="35"/>
  <c r="B159" i="35"/>
  <c r="A159" i="35"/>
  <c r="H158" i="35"/>
  <c r="G158" i="35"/>
  <c r="F158" i="35"/>
  <c r="E158" i="35"/>
  <c r="D158" i="35"/>
  <c r="C158" i="35"/>
  <c r="B158" i="35"/>
  <c r="A158" i="35"/>
  <c r="H157" i="35"/>
  <c r="G157" i="35"/>
  <c r="F157" i="35"/>
  <c r="E157" i="35"/>
  <c r="D157" i="35"/>
  <c r="C157" i="35"/>
  <c r="B157" i="35"/>
  <c r="A157" i="35"/>
  <c r="H156" i="35"/>
  <c r="G156" i="35"/>
  <c r="F156" i="35"/>
  <c r="E156" i="35"/>
  <c r="D156" i="35"/>
  <c r="C156" i="35"/>
  <c r="B156" i="35"/>
  <c r="A156" i="35"/>
  <c r="H155" i="35"/>
  <c r="G155" i="35"/>
  <c r="F155" i="35"/>
  <c r="E155" i="35"/>
  <c r="D155" i="35"/>
  <c r="C155" i="35"/>
  <c r="B155" i="35"/>
  <c r="A155" i="35"/>
  <c r="H154" i="35"/>
  <c r="G154" i="35"/>
  <c r="F154" i="35"/>
  <c r="E154" i="35"/>
  <c r="D154" i="35"/>
  <c r="C154" i="35"/>
  <c r="B154" i="35"/>
  <c r="A154" i="35"/>
  <c r="H153" i="35"/>
  <c r="G153" i="35"/>
  <c r="F153" i="35"/>
  <c r="E153" i="35"/>
  <c r="D153" i="35"/>
  <c r="C153" i="35"/>
  <c r="B153" i="35"/>
  <c r="A153" i="35"/>
  <c r="H152" i="35"/>
  <c r="G152" i="35"/>
  <c r="F152" i="35"/>
  <c r="E152" i="35"/>
  <c r="D152" i="35"/>
  <c r="C152" i="35"/>
  <c r="B152" i="35"/>
  <c r="A152" i="35"/>
  <c r="H151" i="35"/>
  <c r="G151" i="35"/>
  <c r="F151" i="35"/>
  <c r="E151" i="35"/>
  <c r="D151" i="35"/>
  <c r="C151" i="35"/>
  <c r="B151" i="35"/>
  <c r="A151" i="35"/>
  <c r="H150" i="35"/>
  <c r="G150" i="35"/>
  <c r="F150" i="35"/>
  <c r="E150" i="35"/>
  <c r="D150" i="35"/>
  <c r="C150" i="35"/>
  <c r="B150" i="35"/>
  <c r="A150" i="35"/>
  <c r="H149" i="35"/>
  <c r="G149" i="35"/>
  <c r="F149" i="35"/>
  <c r="E149" i="35"/>
  <c r="D149" i="35"/>
  <c r="C149" i="35"/>
  <c r="B149" i="35"/>
  <c r="A149" i="35"/>
  <c r="H148" i="35"/>
  <c r="G148" i="35"/>
  <c r="F148" i="35"/>
  <c r="E148" i="35"/>
  <c r="D148" i="35"/>
  <c r="C148" i="35"/>
  <c r="B148" i="35"/>
  <c r="A148" i="35"/>
  <c r="H147" i="35"/>
  <c r="G147" i="35"/>
  <c r="F147" i="35"/>
  <c r="E147" i="35"/>
  <c r="D147" i="35"/>
  <c r="C147" i="35"/>
  <c r="B147" i="35"/>
  <c r="A147" i="35"/>
  <c r="H146" i="35"/>
  <c r="G146" i="35"/>
  <c r="F146" i="35"/>
  <c r="E146" i="35"/>
  <c r="D146" i="35"/>
  <c r="C146" i="35"/>
  <c r="B146" i="35"/>
  <c r="A146" i="35"/>
  <c r="H145" i="35"/>
  <c r="G145" i="35"/>
  <c r="F145" i="35"/>
  <c r="E145" i="35"/>
  <c r="D145" i="35"/>
  <c r="C145" i="35"/>
  <c r="B145" i="35"/>
  <c r="A145" i="35"/>
  <c r="H144" i="35"/>
  <c r="G144" i="35"/>
  <c r="F144" i="35"/>
  <c r="E144" i="35"/>
  <c r="D144" i="35"/>
  <c r="C144" i="35"/>
  <c r="B144" i="35"/>
  <c r="A144" i="35"/>
  <c r="H143" i="35"/>
  <c r="G143" i="35"/>
  <c r="F143" i="35"/>
  <c r="E143" i="35"/>
  <c r="D143" i="35"/>
  <c r="C143" i="35"/>
  <c r="B143" i="35"/>
  <c r="A143" i="35"/>
  <c r="H142" i="35"/>
  <c r="G142" i="35"/>
  <c r="F142" i="35"/>
  <c r="E142" i="35"/>
  <c r="D142" i="35"/>
  <c r="C142" i="35"/>
  <c r="B142" i="35"/>
  <c r="A142" i="35"/>
  <c r="H141" i="35"/>
  <c r="G141" i="35"/>
  <c r="F141" i="35"/>
  <c r="E141" i="35"/>
  <c r="D141" i="35"/>
  <c r="C141" i="35"/>
  <c r="B141" i="35"/>
  <c r="A141" i="35"/>
  <c r="H140" i="35"/>
  <c r="G140" i="35"/>
  <c r="F140" i="35"/>
  <c r="E140" i="35"/>
  <c r="D140" i="35"/>
  <c r="C140" i="35"/>
  <c r="B140" i="35"/>
  <c r="A140" i="35"/>
  <c r="H139" i="35"/>
  <c r="G139" i="35"/>
  <c r="F139" i="35"/>
  <c r="E139" i="35"/>
  <c r="D139" i="35"/>
  <c r="C139" i="35"/>
  <c r="B139" i="35"/>
  <c r="A139" i="35"/>
  <c r="H138" i="35"/>
  <c r="G138" i="35"/>
  <c r="F138" i="35"/>
  <c r="E138" i="35"/>
  <c r="D138" i="35"/>
  <c r="C138" i="35"/>
  <c r="B138" i="35"/>
  <c r="A138" i="35"/>
  <c r="H137" i="35"/>
  <c r="G137" i="35"/>
  <c r="F137" i="35"/>
  <c r="E137" i="35"/>
  <c r="D137" i="35"/>
  <c r="C137" i="35"/>
  <c r="B137" i="35"/>
  <c r="A137" i="35"/>
  <c r="H136" i="35"/>
  <c r="G136" i="35"/>
  <c r="F136" i="35"/>
  <c r="E136" i="35"/>
  <c r="D136" i="35"/>
  <c r="C136" i="35"/>
  <c r="B136" i="35"/>
  <c r="A136" i="35"/>
  <c r="H135" i="35"/>
  <c r="G135" i="35"/>
  <c r="F135" i="35"/>
  <c r="E135" i="35"/>
  <c r="D135" i="35"/>
  <c r="C135" i="35"/>
  <c r="B135" i="35"/>
  <c r="A135" i="35"/>
  <c r="H134" i="35"/>
  <c r="G134" i="35"/>
  <c r="F134" i="35"/>
  <c r="E134" i="35"/>
  <c r="D134" i="35"/>
  <c r="C134" i="35"/>
  <c r="B134" i="35"/>
  <c r="A134" i="35"/>
  <c r="H133" i="35"/>
  <c r="G133" i="35"/>
  <c r="F133" i="35"/>
  <c r="E133" i="35"/>
  <c r="D133" i="35"/>
  <c r="C133" i="35"/>
  <c r="B133" i="35"/>
  <c r="A133" i="35"/>
  <c r="H132" i="35"/>
  <c r="G132" i="35"/>
  <c r="F132" i="35"/>
  <c r="E132" i="35"/>
  <c r="D132" i="35"/>
  <c r="C132" i="35"/>
  <c r="B132" i="35"/>
  <c r="A132" i="35"/>
  <c r="H131" i="35"/>
  <c r="G131" i="35"/>
  <c r="F131" i="35"/>
  <c r="E131" i="35"/>
  <c r="D131" i="35"/>
  <c r="C131" i="35"/>
  <c r="B131" i="35"/>
  <c r="A131" i="35"/>
  <c r="H130" i="35"/>
  <c r="G130" i="35"/>
  <c r="F130" i="35"/>
  <c r="E130" i="35"/>
  <c r="D130" i="35"/>
  <c r="C130" i="35"/>
  <c r="B130" i="35"/>
  <c r="A130" i="35"/>
  <c r="H129" i="35"/>
  <c r="G129" i="35"/>
  <c r="F129" i="35"/>
  <c r="E129" i="35"/>
  <c r="D129" i="35"/>
  <c r="C129" i="35"/>
  <c r="B129" i="35"/>
  <c r="A129" i="35"/>
  <c r="H128" i="35"/>
  <c r="G128" i="35"/>
  <c r="F128" i="35"/>
  <c r="E128" i="35"/>
  <c r="D128" i="35"/>
  <c r="C128" i="35"/>
  <c r="B128" i="35"/>
  <c r="A128" i="35"/>
  <c r="H127" i="35"/>
  <c r="G127" i="35"/>
  <c r="F127" i="35"/>
  <c r="E127" i="35"/>
  <c r="D127" i="35"/>
  <c r="C127" i="35"/>
  <c r="B127" i="35"/>
  <c r="A127" i="35"/>
  <c r="H126" i="35"/>
  <c r="G126" i="35"/>
  <c r="F126" i="35"/>
  <c r="E126" i="35"/>
  <c r="D126" i="35"/>
  <c r="C126" i="35"/>
  <c r="B126" i="35"/>
  <c r="A126" i="35"/>
  <c r="H125" i="35"/>
  <c r="G125" i="35"/>
  <c r="F125" i="35"/>
  <c r="E125" i="35"/>
  <c r="D125" i="35"/>
  <c r="C125" i="35"/>
  <c r="B125" i="35"/>
  <c r="A125" i="35"/>
  <c r="H124" i="35"/>
  <c r="G124" i="35"/>
  <c r="F124" i="35"/>
  <c r="E124" i="35"/>
  <c r="D124" i="35"/>
  <c r="C124" i="35"/>
  <c r="B124" i="35"/>
  <c r="A124" i="35"/>
  <c r="H123" i="35"/>
  <c r="G123" i="35"/>
  <c r="F123" i="35"/>
  <c r="E123" i="35"/>
  <c r="D123" i="35"/>
  <c r="C123" i="35"/>
  <c r="B123" i="35"/>
  <c r="A123" i="35"/>
  <c r="H122" i="35"/>
  <c r="G122" i="35"/>
  <c r="F122" i="35"/>
  <c r="E122" i="35"/>
  <c r="D122" i="35"/>
  <c r="C122" i="35"/>
  <c r="B122" i="35"/>
  <c r="A122" i="35"/>
  <c r="H121" i="35"/>
  <c r="G121" i="35"/>
  <c r="F121" i="35"/>
  <c r="E121" i="35"/>
  <c r="D121" i="35"/>
  <c r="C121" i="35"/>
  <c r="B121" i="35"/>
  <c r="A121" i="35"/>
  <c r="H120" i="35"/>
  <c r="G120" i="35"/>
  <c r="F120" i="35"/>
  <c r="E120" i="35"/>
  <c r="D120" i="35"/>
  <c r="C120" i="35"/>
  <c r="B120" i="35"/>
  <c r="A120" i="35"/>
  <c r="H119" i="35"/>
  <c r="G119" i="35"/>
  <c r="F119" i="35"/>
  <c r="E119" i="35"/>
  <c r="D119" i="35"/>
  <c r="C119" i="35"/>
  <c r="B119" i="35"/>
  <c r="A119" i="35"/>
  <c r="H118" i="35"/>
  <c r="G118" i="35"/>
  <c r="F118" i="35"/>
  <c r="E118" i="35"/>
  <c r="D118" i="35"/>
  <c r="C118" i="35"/>
  <c r="B118" i="35"/>
  <c r="A118" i="35"/>
  <c r="H117" i="35"/>
  <c r="G117" i="35"/>
  <c r="F117" i="35"/>
  <c r="E117" i="35"/>
  <c r="D117" i="35"/>
  <c r="C117" i="35"/>
  <c r="B117" i="35"/>
  <c r="A117" i="35"/>
  <c r="H116" i="35"/>
  <c r="G116" i="35"/>
  <c r="F116" i="35"/>
  <c r="E116" i="35"/>
  <c r="D116" i="35"/>
  <c r="C116" i="35"/>
  <c r="B116" i="35"/>
  <c r="A116" i="35"/>
  <c r="H115" i="35"/>
  <c r="G115" i="35"/>
  <c r="F115" i="35"/>
  <c r="E115" i="35"/>
  <c r="D115" i="35"/>
  <c r="C115" i="35"/>
  <c r="B115" i="35"/>
  <c r="A115" i="35"/>
  <c r="H114" i="35"/>
  <c r="G114" i="35"/>
  <c r="F114" i="35"/>
  <c r="E114" i="35"/>
  <c r="D114" i="35"/>
  <c r="C114" i="35"/>
  <c r="B114" i="35"/>
  <c r="A114" i="35"/>
  <c r="H113" i="35"/>
  <c r="G113" i="35"/>
  <c r="F113" i="35"/>
  <c r="E113" i="35"/>
  <c r="D113" i="35"/>
  <c r="C113" i="35"/>
  <c r="B113" i="35"/>
  <c r="A113" i="35"/>
  <c r="H112" i="35"/>
  <c r="G112" i="35"/>
  <c r="F112" i="35"/>
  <c r="E112" i="35"/>
  <c r="D112" i="35"/>
  <c r="C112" i="35"/>
  <c r="B112" i="35"/>
  <c r="A112" i="35"/>
  <c r="H111" i="35"/>
  <c r="G111" i="35"/>
  <c r="F111" i="35"/>
  <c r="E111" i="35"/>
  <c r="D111" i="35"/>
  <c r="C111" i="35"/>
  <c r="B111" i="35"/>
  <c r="A111" i="35"/>
  <c r="H110" i="35"/>
  <c r="G110" i="35"/>
  <c r="F110" i="35"/>
  <c r="E110" i="35"/>
  <c r="D110" i="35"/>
  <c r="C110" i="35"/>
  <c r="B110" i="35"/>
  <c r="A110" i="35"/>
  <c r="H109" i="35"/>
  <c r="G109" i="35"/>
  <c r="F109" i="35"/>
  <c r="E109" i="35"/>
  <c r="D109" i="35"/>
  <c r="C109" i="35"/>
  <c r="B109" i="35"/>
  <c r="A109" i="35"/>
  <c r="H108" i="35"/>
  <c r="G108" i="35"/>
  <c r="F108" i="35"/>
  <c r="E108" i="35"/>
  <c r="D108" i="35"/>
  <c r="C108" i="35"/>
  <c r="B108" i="35"/>
  <c r="A108" i="35"/>
  <c r="H107" i="35"/>
  <c r="G107" i="35"/>
  <c r="F107" i="35"/>
  <c r="E107" i="35"/>
  <c r="D107" i="35"/>
  <c r="C107" i="35"/>
  <c r="B107" i="35"/>
  <c r="A107" i="35"/>
  <c r="H106" i="35"/>
  <c r="G106" i="35"/>
  <c r="F106" i="35"/>
  <c r="E106" i="35"/>
  <c r="D106" i="35"/>
  <c r="C106" i="35"/>
  <c r="B106" i="35"/>
  <c r="A106" i="35"/>
  <c r="H105" i="35"/>
  <c r="G105" i="35"/>
  <c r="F105" i="35"/>
  <c r="E105" i="35"/>
  <c r="D105" i="35"/>
  <c r="C105" i="35"/>
  <c r="B105" i="35"/>
  <c r="A105" i="35"/>
  <c r="H104" i="35"/>
  <c r="G104" i="35"/>
  <c r="F104" i="35"/>
  <c r="E104" i="35"/>
  <c r="D104" i="35"/>
  <c r="C104" i="35"/>
  <c r="B104" i="35"/>
  <c r="A104" i="35"/>
  <c r="H103" i="35"/>
  <c r="G103" i="35"/>
  <c r="F103" i="35"/>
  <c r="E103" i="35"/>
  <c r="D103" i="35"/>
  <c r="C103" i="35"/>
  <c r="B103" i="35"/>
  <c r="A103" i="35"/>
  <c r="H102" i="35"/>
  <c r="G102" i="35"/>
  <c r="F102" i="35"/>
  <c r="E102" i="35"/>
  <c r="D102" i="35"/>
  <c r="C102" i="35"/>
  <c r="B102" i="35"/>
  <c r="A102" i="35"/>
  <c r="H101" i="35"/>
  <c r="G101" i="35"/>
  <c r="F101" i="35"/>
  <c r="E101" i="35"/>
  <c r="D101" i="35"/>
  <c r="C101" i="35"/>
  <c r="B101" i="35"/>
  <c r="A101" i="35"/>
  <c r="H100" i="35"/>
  <c r="G100" i="35"/>
  <c r="F100" i="35"/>
  <c r="E100" i="35"/>
  <c r="D100" i="35"/>
  <c r="C100" i="35"/>
  <c r="B100" i="35"/>
  <c r="A100" i="35"/>
  <c r="H99" i="35"/>
  <c r="G99" i="35"/>
  <c r="F99" i="35"/>
  <c r="E99" i="35"/>
  <c r="D99" i="35"/>
  <c r="C99" i="35"/>
  <c r="B99" i="35"/>
  <c r="A99" i="35"/>
  <c r="H98" i="35"/>
  <c r="G98" i="35"/>
  <c r="F98" i="35"/>
  <c r="E98" i="35"/>
  <c r="D98" i="35"/>
  <c r="C98" i="35"/>
  <c r="B98" i="35"/>
  <c r="A98" i="35"/>
  <c r="H97" i="35"/>
  <c r="G97" i="35"/>
  <c r="F97" i="35"/>
  <c r="E97" i="35"/>
  <c r="D97" i="35"/>
  <c r="C97" i="35"/>
  <c r="B97" i="35"/>
  <c r="A97" i="35"/>
  <c r="H96" i="35"/>
  <c r="G96" i="35"/>
  <c r="F96" i="35"/>
  <c r="E96" i="35"/>
  <c r="D96" i="35"/>
  <c r="C96" i="35"/>
  <c r="B96" i="35"/>
  <c r="A96" i="35"/>
  <c r="H95" i="35"/>
  <c r="G95" i="35"/>
  <c r="F95" i="35"/>
  <c r="E95" i="35"/>
  <c r="D95" i="35"/>
  <c r="C95" i="35"/>
  <c r="B95" i="35"/>
  <c r="A95" i="35"/>
  <c r="H94" i="35"/>
  <c r="G94" i="35"/>
  <c r="F94" i="35"/>
  <c r="E94" i="35"/>
  <c r="D94" i="35"/>
  <c r="C94" i="35"/>
  <c r="B94" i="35"/>
  <c r="A94" i="35"/>
  <c r="H93" i="35"/>
  <c r="G93" i="35"/>
  <c r="F93" i="35"/>
  <c r="E93" i="35"/>
  <c r="D93" i="35"/>
  <c r="C93" i="35"/>
  <c r="B93" i="35"/>
  <c r="A93" i="35"/>
  <c r="H92" i="35"/>
  <c r="G92" i="35"/>
  <c r="F92" i="35"/>
  <c r="E92" i="35"/>
  <c r="D92" i="35"/>
  <c r="C92" i="35"/>
  <c r="B92" i="35"/>
  <c r="A92" i="35"/>
  <c r="H91" i="35"/>
  <c r="G91" i="35"/>
  <c r="F91" i="35"/>
  <c r="E91" i="35"/>
  <c r="D91" i="35"/>
  <c r="C91" i="35"/>
  <c r="B91" i="35"/>
  <c r="A91" i="35"/>
  <c r="H90" i="35"/>
  <c r="G90" i="35"/>
  <c r="F90" i="35"/>
  <c r="E90" i="35"/>
  <c r="D90" i="35"/>
  <c r="C90" i="35"/>
  <c r="B90" i="35"/>
  <c r="A90" i="35"/>
  <c r="H89" i="35"/>
  <c r="G89" i="35"/>
  <c r="F89" i="35"/>
  <c r="E89" i="35"/>
  <c r="D89" i="35"/>
  <c r="C89" i="35"/>
  <c r="B89" i="35"/>
  <c r="A89" i="35"/>
  <c r="H88" i="35"/>
  <c r="G88" i="35"/>
  <c r="F88" i="35"/>
  <c r="E88" i="35"/>
  <c r="D88" i="35"/>
  <c r="C88" i="35"/>
  <c r="B88" i="35"/>
  <c r="A88" i="35"/>
  <c r="H87" i="35"/>
  <c r="G87" i="35"/>
  <c r="F87" i="35"/>
  <c r="E87" i="35"/>
  <c r="D87" i="35"/>
  <c r="C87" i="35"/>
  <c r="B87" i="35"/>
  <c r="A87" i="35"/>
  <c r="H86" i="35"/>
  <c r="G86" i="35"/>
  <c r="F86" i="35"/>
  <c r="E86" i="35"/>
  <c r="D86" i="35"/>
  <c r="C86" i="35"/>
  <c r="B86" i="35"/>
  <c r="A86" i="35"/>
  <c r="H85" i="35"/>
  <c r="G85" i="35"/>
  <c r="F85" i="35"/>
  <c r="E85" i="35"/>
  <c r="D85" i="35"/>
  <c r="C85" i="35"/>
  <c r="B85" i="35"/>
  <c r="A85" i="35"/>
  <c r="H84" i="35"/>
  <c r="G84" i="35"/>
  <c r="F84" i="35"/>
  <c r="E84" i="35"/>
  <c r="D84" i="35"/>
  <c r="C84" i="35"/>
  <c r="B84" i="35"/>
  <c r="A84" i="35"/>
  <c r="H83" i="35"/>
  <c r="G83" i="35"/>
  <c r="F83" i="35"/>
  <c r="E83" i="35"/>
  <c r="D83" i="35"/>
  <c r="C83" i="35"/>
  <c r="B83" i="35"/>
  <c r="A83" i="35"/>
  <c r="H82" i="35"/>
  <c r="G82" i="35"/>
  <c r="F82" i="35"/>
  <c r="E82" i="35"/>
  <c r="D82" i="35"/>
  <c r="C82" i="35"/>
  <c r="B82" i="35"/>
  <c r="A82" i="35"/>
  <c r="H81" i="35"/>
  <c r="G81" i="35"/>
  <c r="F81" i="35"/>
  <c r="E81" i="35"/>
  <c r="D81" i="35"/>
  <c r="C81" i="35"/>
  <c r="B81" i="35"/>
  <c r="A81" i="35"/>
  <c r="H80" i="35"/>
  <c r="G80" i="35"/>
  <c r="F80" i="35"/>
  <c r="E80" i="35"/>
  <c r="D80" i="35"/>
  <c r="C80" i="35"/>
  <c r="B80" i="35"/>
  <c r="A80" i="35"/>
  <c r="H79" i="35"/>
  <c r="G79" i="35"/>
  <c r="F79" i="35"/>
  <c r="E79" i="35"/>
  <c r="D79" i="35"/>
  <c r="C79" i="35"/>
  <c r="B79" i="35"/>
  <c r="A79" i="35"/>
  <c r="H78" i="35"/>
  <c r="G78" i="35"/>
  <c r="F78" i="35"/>
  <c r="E78" i="35"/>
  <c r="D78" i="35"/>
  <c r="C78" i="35"/>
  <c r="B78" i="35"/>
  <c r="A78" i="35"/>
  <c r="H77" i="35"/>
  <c r="G77" i="35"/>
  <c r="F77" i="35"/>
  <c r="E77" i="35"/>
  <c r="D77" i="35"/>
  <c r="C77" i="35"/>
  <c r="B77" i="35"/>
  <c r="A77" i="35"/>
  <c r="H76" i="35"/>
  <c r="G76" i="35"/>
  <c r="F76" i="35"/>
  <c r="E76" i="35"/>
  <c r="D76" i="35"/>
  <c r="C76" i="35"/>
  <c r="B76" i="35"/>
  <c r="A76" i="35"/>
  <c r="H75" i="35"/>
  <c r="G75" i="35"/>
  <c r="F75" i="35"/>
  <c r="E75" i="35"/>
  <c r="D75" i="35"/>
  <c r="C75" i="35"/>
  <c r="B75" i="35"/>
  <c r="A75" i="35"/>
  <c r="H74" i="35"/>
  <c r="G74" i="35"/>
  <c r="F74" i="35"/>
  <c r="E74" i="35"/>
  <c r="D74" i="35"/>
  <c r="C74" i="35"/>
  <c r="B74" i="35"/>
  <c r="A74" i="35"/>
  <c r="H73" i="35"/>
  <c r="G73" i="35"/>
  <c r="F73" i="35"/>
  <c r="E73" i="35"/>
  <c r="D73" i="35"/>
  <c r="C73" i="35"/>
  <c r="B73" i="35"/>
  <c r="A73" i="35"/>
  <c r="H72" i="35"/>
  <c r="G72" i="35"/>
  <c r="F72" i="35"/>
  <c r="E72" i="35"/>
  <c r="D72" i="35"/>
  <c r="C72" i="35"/>
  <c r="B72" i="35"/>
  <c r="A72" i="35"/>
  <c r="H71" i="35"/>
  <c r="G71" i="35"/>
  <c r="F71" i="35"/>
  <c r="E71" i="35"/>
  <c r="D71" i="35"/>
  <c r="C71" i="35"/>
  <c r="B71" i="35"/>
  <c r="A71" i="35"/>
  <c r="H70" i="35"/>
  <c r="G70" i="35"/>
  <c r="F70" i="35"/>
  <c r="E70" i="35"/>
  <c r="D70" i="35"/>
  <c r="C70" i="35"/>
  <c r="B70" i="35"/>
  <c r="A70" i="35"/>
  <c r="H69" i="35"/>
  <c r="G69" i="35"/>
  <c r="F69" i="35"/>
  <c r="E69" i="35"/>
  <c r="D69" i="35"/>
  <c r="C69" i="35"/>
  <c r="B69" i="35"/>
  <c r="A69" i="35"/>
  <c r="H68" i="35"/>
  <c r="G68" i="35"/>
  <c r="F68" i="35"/>
  <c r="E68" i="35"/>
  <c r="D68" i="35"/>
  <c r="C68" i="35"/>
  <c r="B68" i="35"/>
  <c r="A68" i="35"/>
  <c r="H67" i="35"/>
  <c r="G67" i="35"/>
  <c r="F67" i="35"/>
  <c r="E67" i="35"/>
  <c r="D67" i="35"/>
  <c r="C67" i="35"/>
  <c r="B67" i="35"/>
  <c r="A67" i="35"/>
  <c r="H66" i="35"/>
  <c r="G66" i="35"/>
  <c r="F66" i="35"/>
  <c r="E66" i="35"/>
  <c r="D66" i="35"/>
  <c r="C66" i="35"/>
  <c r="B66" i="35"/>
  <c r="A66" i="35"/>
  <c r="H65" i="35"/>
  <c r="G65" i="35"/>
  <c r="F65" i="35"/>
  <c r="E65" i="35"/>
  <c r="D65" i="35"/>
  <c r="C65" i="35"/>
  <c r="B65" i="35"/>
  <c r="A65" i="35"/>
  <c r="H64" i="35"/>
  <c r="G64" i="35"/>
  <c r="F64" i="35"/>
  <c r="E64" i="35"/>
  <c r="D64" i="35"/>
  <c r="C64" i="35"/>
  <c r="B64" i="35"/>
  <c r="A64" i="35"/>
  <c r="H63" i="35"/>
  <c r="G63" i="35"/>
  <c r="F63" i="35"/>
  <c r="E63" i="35"/>
  <c r="D63" i="35"/>
  <c r="C63" i="35"/>
  <c r="B63" i="35"/>
  <c r="A63" i="35"/>
  <c r="H62" i="35"/>
  <c r="G62" i="35"/>
  <c r="F62" i="35"/>
  <c r="E62" i="35"/>
  <c r="D62" i="35"/>
  <c r="C62" i="35"/>
  <c r="B62" i="35"/>
  <c r="A62" i="35"/>
  <c r="H61" i="35"/>
  <c r="G61" i="35"/>
  <c r="F61" i="35"/>
  <c r="E61" i="35"/>
  <c r="D61" i="35"/>
  <c r="C61" i="35"/>
  <c r="B61" i="35"/>
  <c r="A61" i="35"/>
  <c r="H60" i="35"/>
  <c r="G60" i="35"/>
  <c r="F60" i="35"/>
  <c r="E60" i="35"/>
  <c r="D60" i="35"/>
  <c r="C60" i="35"/>
  <c r="B60" i="35"/>
  <c r="A60" i="35"/>
  <c r="H59" i="35"/>
  <c r="G59" i="35"/>
  <c r="F59" i="35"/>
  <c r="E59" i="35"/>
  <c r="D59" i="35"/>
  <c r="C59" i="35"/>
  <c r="B59" i="35"/>
  <c r="A59" i="35"/>
  <c r="H58" i="35"/>
  <c r="G58" i="35"/>
  <c r="F58" i="35"/>
  <c r="E58" i="35"/>
  <c r="D58" i="35"/>
  <c r="C58" i="35"/>
  <c r="B58" i="35"/>
  <c r="A58" i="35"/>
  <c r="H57" i="35"/>
  <c r="G57" i="35"/>
  <c r="F57" i="35"/>
  <c r="E57" i="35"/>
  <c r="D57" i="35"/>
  <c r="C57" i="35"/>
  <c r="B57" i="35"/>
  <c r="A57" i="35"/>
  <c r="H56" i="35"/>
  <c r="G56" i="35"/>
  <c r="F56" i="35"/>
  <c r="E56" i="35"/>
  <c r="D56" i="35"/>
  <c r="C56" i="35"/>
  <c r="B56" i="35"/>
  <c r="A56" i="35"/>
  <c r="H55" i="35"/>
  <c r="G55" i="35"/>
  <c r="F55" i="35"/>
  <c r="E55" i="35"/>
  <c r="D55" i="35"/>
  <c r="C55" i="35"/>
  <c r="B55" i="35"/>
  <c r="A55" i="35"/>
  <c r="H54" i="35"/>
  <c r="G54" i="35"/>
  <c r="F54" i="35"/>
  <c r="E54" i="35"/>
  <c r="D54" i="35"/>
  <c r="C54" i="35"/>
  <c r="B54" i="35"/>
  <c r="A54" i="35"/>
  <c r="H53" i="35"/>
  <c r="G53" i="35"/>
  <c r="F53" i="35"/>
  <c r="E53" i="35"/>
  <c r="D53" i="35"/>
  <c r="C53" i="35"/>
  <c r="B53" i="35"/>
  <c r="A53" i="35"/>
  <c r="H52" i="35"/>
  <c r="G52" i="35"/>
  <c r="F52" i="35"/>
  <c r="E52" i="35"/>
  <c r="D52" i="35"/>
  <c r="C52" i="35"/>
  <c r="B52" i="35"/>
  <c r="A52" i="35"/>
  <c r="H51" i="35"/>
  <c r="G51" i="35"/>
  <c r="F51" i="35"/>
  <c r="E51" i="35"/>
  <c r="D51" i="35"/>
  <c r="C51" i="35"/>
  <c r="B51" i="35"/>
  <c r="A51" i="35"/>
  <c r="H50" i="35"/>
  <c r="G50" i="35"/>
  <c r="F50" i="35"/>
  <c r="E50" i="35"/>
  <c r="D50" i="35"/>
  <c r="C50" i="35"/>
  <c r="B50" i="35"/>
  <c r="A50" i="35"/>
  <c r="H49" i="35"/>
  <c r="G49" i="35"/>
  <c r="F49" i="35"/>
  <c r="E49" i="35"/>
  <c r="D49" i="35"/>
  <c r="C49" i="35"/>
  <c r="B49" i="35"/>
  <c r="A49" i="35"/>
  <c r="H48" i="35"/>
  <c r="G48" i="35"/>
  <c r="F48" i="35"/>
  <c r="E48" i="35"/>
  <c r="D48" i="35"/>
  <c r="C48" i="35"/>
  <c r="B48" i="35"/>
  <c r="A48" i="35"/>
  <c r="H47" i="35"/>
  <c r="G47" i="35"/>
  <c r="F47" i="35"/>
  <c r="E47" i="35"/>
  <c r="D47" i="35"/>
  <c r="C47" i="35"/>
  <c r="B47" i="35"/>
  <c r="A47" i="35"/>
  <c r="H46" i="35"/>
  <c r="G46" i="35"/>
  <c r="F46" i="35"/>
  <c r="E46" i="35"/>
  <c r="D46" i="35"/>
  <c r="C46" i="35"/>
  <c r="B46" i="35"/>
  <c r="A46" i="35"/>
  <c r="H45" i="35"/>
  <c r="G45" i="35"/>
  <c r="F45" i="35"/>
  <c r="E45" i="35"/>
  <c r="D45" i="35"/>
  <c r="C45" i="35"/>
  <c r="B45" i="35"/>
  <c r="A45" i="35"/>
  <c r="H44" i="35"/>
  <c r="G44" i="35"/>
  <c r="F44" i="35"/>
  <c r="E44" i="35"/>
  <c r="D44" i="35"/>
  <c r="C44" i="35"/>
  <c r="B44" i="35"/>
  <c r="A44" i="35"/>
  <c r="H43" i="35"/>
  <c r="G43" i="35"/>
  <c r="F43" i="35"/>
  <c r="E43" i="35"/>
  <c r="D43" i="35"/>
  <c r="C43" i="35"/>
  <c r="B43" i="35"/>
  <c r="A43" i="35"/>
  <c r="H42" i="35"/>
  <c r="G42" i="35"/>
  <c r="F42" i="35"/>
  <c r="E42" i="35"/>
  <c r="D42" i="35"/>
  <c r="C42" i="35"/>
  <c r="B42" i="35"/>
  <c r="A42" i="35"/>
  <c r="H41" i="35"/>
  <c r="G41" i="35"/>
  <c r="F41" i="35"/>
  <c r="E41" i="35"/>
  <c r="D41" i="35"/>
  <c r="C41" i="35"/>
  <c r="B41" i="35"/>
  <c r="A41" i="35"/>
  <c r="H40" i="35"/>
  <c r="G40" i="35"/>
  <c r="F40" i="35"/>
  <c r="E40" i="35"/>
  <c r="D40" i="35"/>
  <c r="C40" i="35"/>
  <c r="B40" i="35"/>
  <c r="A40" i="35"/>
  <c r="H39" i="35"/>
  <c r="G39" i="35"/>
  <c r="F39" i="35"/>
  <c r="E39" i="35"/>
  <c r="D39" i="35"/>
  <c r="C39" i="35"/>
  <c r="B39" i="35"/>
  <c r="A39" i="35"/>
  <c r="H38" i="35"/>
  <c r="G38" i="35"/>
  <c r="F38" i="35"/>
  <c r="E38" i="35"/>
  <c r="D38" i="35"/>
  <c r="C38" i="35"/>
  <c r="B38" i="35"/>
  <c r="A38" i="35"/>
  <c r="H37" i="35"/>
  <c r="G37" i="35"/>
  <c r="F37" i="35"/>
  <c r="E37" i="35"/>
  <c r="D37" i="35"/>
  <c r="C37" i="35"/>
  <c r="B37" i="35"/>
  <c r="A37" i="35"/>
  <c r="H36" i="35"/>
  <c r="G36" i="35"/>
  <c r="F36" i="35"/>
  <c r="E36" i="35"/>
  <c r="D36" i="35"/>
  <c r="C36" i="35"/>
  <c r="B36" i="35"/>
  <c r="A36" i="35"/>
  <c r="H35" i="35"/>
  <c r="G35" i="35"/>
  <c r="F35" i="35"/>
  <c r="E35" i="35"/>
  <c r="D35" i="35"/>
  <c r="C35" i="35"/>
  <c r="B35" i="35"/>
  <c r="A35" i="35"/>
  <c r="H34" i="35"/>
  <c r="G34" i="35"/>
  <c r="F34" i="35"/>
  <c r="E34" i="35"/>
  <c r="D34" i="35"/>
  <c r="C34" i="35"/>
  <c r="B34" i="35"/>
  <c r="A34" i="35"/>
  <c r="H33" i="35"/>
  <c r="G33" i="35"/>
  <c r="F33" i="35"/>
  <c r="E33" i="35"/>
  <c r="D33" i="35"/>
  <c r="C33" i="35"/>
  <c r="B33" i="35"/>
  <c r="A33" i="35"/>
  <c r="H32" i="35"/>
  <c r="G32" i="35"/>
  <c r="F32" i="35"/>
  <c r="E32" i="35"/>
  <c r="D32" i="35"/>
  <c r="C32" i="35"/>
  <c r="B32" i="35"/>
  <c r="A32" i="35"/>
  <c r="H31" i="35"/>
  <c r="G31" i="35"/>
  <c r="F31" i="35"/>
  <c r="E31" i="35"/>
  <c r="D31" i="35"/>
  <c r="C31" i="35"/>
  <c r="B31" i="35"/>
  <c r="A31" i="35"/>
  <c r="H30" i="35"/>
  <c r="G30" i="35"/>
  <c r="F30" i="35"/>
  <c r="E30" i="35"/>
  <c r="D30" i="35"/>
  <c r="C30" i="35"/>
  <c r="B30" i="35"/>
  <c r="A30" i="35"/>
  <c r="H29" i="35"/>
  <c r="G29" i="35"/>
  <c r="F29" i="35"/>
  <c r="E29" i="35"/>
  <c r="D29" i="35"/>
  <c r="C29" i="35"/>
  <c r="B29" i="35"/>
  <c r="A29" i="35"/>
  <c r="H28" i="35"/>
  <c r="G28" i="35"/>
  <c r="F28" i="35"/>
  <c r="E28" i="35"/>
  <c r="D28" i="35"/>
  <c r="C28" i="35"/>
  <c r="B28" i="35"/>
  <c r="A28" i="35"/>
  <c r="H27" i="35"/>
  <c r="G27" i="35"/>
  <c r="F27" i="35"/>
  <c r="E27" i="35"/>
  <c r="D27" i="35"/>
  <c r="C27" i="35"/>
  <c r="B27" i="35"/>
  <c r="A27" i="35"/>
  <c r="H26" i="35"/>
  <c r="G26" i="35"/>
  <c r="F26" i="35"/>
  <c r="E26" i="35"/>
  <c r="D26" i="35"/>
  <c r="C26" i="35"/>
  <c r="B26" i="35"/>
  <c r="A26" i="35"/>
  <c r="H25" i="35"/>
  <c r="G25" i="35"/>
  <c r="F25" i="35"/>
  <c r="E25" i="35"/>
  <c r="D25" i="35"/>
  <c r="C25" i="35"/>
  <c r="B25" i="35"/>
  <c r="A25" i="35"/>
  <c r="H24" i="35"/>
  <c r="G24" i="35"/>
  <c r="F24" i="35"/>
  <c r="E24" i="35"/>
  <c r="D24" i="35"/>
  <c r="C24" i="35"/>
  <c r="B24" i="35"/>
  <c r="A24" i="35"/>
  <c r="H23" i="35"/>
  <c r="G23" i="35"/>
  <c r="F23" i="35"/>
  <c r="E23" i="35"/>
  <c r="D23" i="35"/>
  <c r="C23" i="35"/>
  <c r="B23" i="35"/>
  <c r="A23" i="35"/>
  <c r="H22" i="35"/>
  <c r="G22" i="35"/>
  <c r="F22" i="35"/>
  <c r="E22" i="35"/>
  <c r="D22" i="35"/>
  <c r="C22" i="35"/>
  <c r="B22" i="35"/>
  <c r="A22" i="35"/>
  <c r="H21" i="35"/>
  <c r="G21" i="35"/>
  <c r="F21" i="35"/>
  <c r="E21" i="35"/>
  <c r="D21" i="35"/>
  <c r="C21" i="35"/>
  <c r="B21" i="35"/>
  <c r="A21" i="35"/>
  <c r="H20" i="35"/>
  <c r="G20" i="35"/>
  <c r="F20" i="35"/>
  <c r="E20" i="35"/>
  <c r="D20" i="35"/>
  <c r="C20" i="35"/>
  <c r="B20" i="35"/>
  <c r="A20" i="35"/>
  <c r="H19" i="35"/>
  <c r="G19" i="35"/>
  <c r="F19" i="35"/>
  <c r="E19" i="35"/>
  <c r="D19" i="35"/>
  <c r="C19" i="35"/>
  <c r="B19" i="35"/>
  <c r="A19" i="35"/>
  <c r="H18" i="35"/>
  <c r="G18" i="35"/>
  <c r="F18" i="35"/>
  <c r="E18" i="35"/>
  <c r="D18" i="35"/>
  <c r="C18" i="35"/>
  <c r="B18" i="35"/>
  <c r="A18" i="35"/>
  <c r="H17" i="35"/>
  <c r="G17" i="35"/>
  <c r="F17" i="35"/>
  <c r="E17" i="35"/>
  <c r="D17" i="35"/>
  <c r="C17" i="35"/>
  <c r="B17" i="35"/>
  <c r="A17" i="35"/>
  <c r="H16" i="35"/>
  <c r="G16" i="35"/>
  <c r="F16" i="35"/>
  <c r="E16" i="35"/>
  <c r="D16" i="35"/>
  <c r="C16" i="35"/>
  <c r="B16" i="35"/>
  <c r="A16" i="35"/>
  <c r="H15" i="35"/>
  <c r="G15" i="35"/>
  <c r="F15" i="35"/>
  <c r="E15" i="35"/>
  <c r="D15" i="35"/>
  <c r="C15" i="35"/>
  <c r="B15" i="35"/>
  <c r="A15" i="35"/>
  <c r="H14" i="35"/>
  <c r="G14" i="35"/>
  <c r="F14" i="35"/>
  <c r="E14" i="35"/>
  <c r="D14" i="35"/>
  <c r="C14" i="35"/>
  <c r="B14" i="35"/>
  <c r="A14" i="35"/>
  <c r="H13" i="35"/>
  <c r="G13" i="35"/>
  <c r="F13" i="35"/>
  <c r="E13" i="35"/>
  <c r="D13" i="35"/>
  <c r="C13" i="35"/>
  <c r="B13" i="35"/>
  <c r="A13" i="35"/>
  <c r="H12" i="35"/>
  <c r="G12" i="35"/>
  <c r="F12" i="35"/>
  <c r="E12" i="35"/>
  <c r="D12" i="35"/>
  <c r="C12" i="35"/>
  <c r="B12" i="35"/>
  <c r="A12" i="35"/>
  <c r="H11" i="35"/>
  <c r="G11" i="35"/>
  <c r="F11" i="35"/>
  <c r="E11" i="35"/>
  <c r="D11" i="35"/>
  <c r="C11" i="35"/>
  <c r="B11" i="35"/>
  <c r="A11" i="35"/>
  <c r="H10" i="35"/>
  <c r="G10" i="35"/>
  <c r="F10" i="35"/>
  <c r="E10" i="35"/>
  <c r="D10" i="35"/>
  <c r="C10" i="35"/>
  <c r="B10" i="35"/>
  <c r="A10" i="35"/>
  <c r="H9" i="35"/>
  <c r="G9" i="35"/>
  <c r="F9" i="35"/>
  <c r="E9" i="35"/>
  <c r="D9" i="35"/>
  <c r="C9" i="35"/>
  <c r="B9" i="35"/>
  <c r="A9" i="35"/>
  <c r="H8" i="35"/>
  <c r="G8" i="35"/>
  <c r="F8" i="35"/>
  <c r="E8" i="35"/>
  <c r="D8" i="35"/>
  <c r="C8" i="35"/>
  <c r="B8" i="35"/>
  <c r="A8" i="35"/>
  <c r="H7" i="35"/>
  <c r="G7" i="35"/>
  <c r="F7" i="35"/>
  <c r="E7" i="35"/>
  <c r="D7" i="35"/>
  <c r="C7" i="35"/>
  <c r="B7" i="35"/>
  <c r="A7" i="35"/>
  <c r="H6" i="35"/>
  <c r="G6" i="35"/>
  <c r="F6" i="35"/>
  <c r="E6" i="35"/>
  <c r="D6" i="35"/>
  <c r="C6" i="35"/>
  <c r="B6" i="35"/>
  <c r="A6" i="35"/>
  <c r="H5" i="35"/>
  <c r="G5" i="35"/>
  <c r="F5" i="35"/>
  <c r="E5" i="35"/>
  <c r="D5" i="35"/>
  <c r="C5" i="35"/>
  <c r="B5" i="35"/>
  <c r="A5" i="35"/>
  <c r="H4" i="35"/>
  <c r="G4" i="35"/>
  <c r="F4" i="35"/>
  <c r="E4" i="35"/>
  <c r="D4" i="35"/>
  <c r="C4" i="35"/>
  <c r="B4" i="35"/>
  <c r="A4" i="35"/>
  <c r="H3" i="35"/>
  <c r="G3" i="35"/>
  <c r="F3" i="35"/>
  <c r="E3" i="35"/>
  <c r="D3" i="35"/>
  <c r="C3" i="35"/>
  <c r="B3" i="35"/>
  <c r="A3" i="35"/>
  <c r="H2" i="35"/>
  <c r="G2" i="35"/>
  <c r="F2" i="35"/>
  <c r="E2" i="35"/>
  <c r="D2" i="35"/>
  <c r="C2" i="35"/>
  <c r="B2" i="35"/>
  <c r="A2" i="35"/>
  <c r="H1" i="35"/>
  <c r="G1" i="35"/>
  <c r="F1" i="35"/>
  <c r="E1" i="35"/>
  <c r="D1" i="35"/>
  <c r="C1" i="35"/>
  <c r="B1" i="35"/>
  <c r="A1" i="35"/>
  <c r="H276" i="34"/>
  <c r="G276" i="34"/>
  <c r="F276" i="34"/>
  <c r="E276" i="34"/>
  <c r="D276" i="34"/>
  <c r="C276" i="34"/>
  <c r="B276" i="34"/>
  <c r="A276" i="34"/>
  <c r="H275" i="34"/>
  <c r="G275" i="34"/>
  <c r="F275" i="34"/>
  <c r="E275" i="34"/>
  <c r="D275" i="34"/>
  <c r="C275" i="34"/>
  <c r="B275" i="34"/>
  <c r="A275" i="34"/>
  <c r="H274" i="34"/>
  <c r="G274" i="34"/>
  <c r="F274" i="34"/>
  <c r="E274" i="34"/>
  <c r="D274" i="34"/>
  <c r="C274" i="34"/>
  <c r="B274" i="34"/>
  <c r="A274" i="34"/>
  <c r="H273" i="34"/>
  <c r="G273" i="34"/>
  <c r="F273" i="34"/>
  <c r="E273" i="34"/>
  <c r="D273" i="34"/>
  <c r="C273" i="34"/>
  <c r="B273" i="34"/>
  <c r="A273" i="34"/>
  <c r="H272" i="34"/>
  <c r="G272" i="34"/>
  <c r="F272" i="34"/>
  <c r="E272" i="34"/>
  <c r="D272" i="34"/>
  <c r="C272" i="34"/>
  <c r="B272" i="34"/>
  <c r="A272" i="34"/>
  <c r="H271" i="34"/>
  <c r="G271" i="34"/>
  <c r="F271" i="34"/>
  <c r="E271" i="34"/>
  <c r="D271" i="34"/>
  <c r="C271" i="34"/>
  <c r="B271" i="34"/>
  <c r="A271" i="34"/>
  <c r="H270" i="34"/>
  <c r="G270" i="34"/>
  <c r="F270" i="34"/>
  <c r="E270" i="34"/>
  <c r="D270" i="34"/>
  <c r="C270" i="34"/>
  <c r="B270" i="34"/>
  <c r="A270" i="34"/>
  <c r="H269" i="34"/>
  <c r="G269" i="34"/>
  <c r="F269" i="34"/>
  <c r="E269" i="34"/>
  <c r="D269" i="34"/>
  <c r="C269" i="34"/>
  <c r="B269" i="34"/>
  <c r="A269" i="34"/>
  <c r="H268" i="34"/>
  <c r="G268" i="34"/>
  <c r="F268" i="34"/>
  <c r="E268" i="34"/>
  <c r="D268" i="34"/>
  <c r="C268" i="34"/>
  <c r="B268" i="34"/>
  <c r="A268" i="34"/>
  <c r="H267" i="34"/>
  <c r="G267" i="34"/>
  <c r="F267" i="34"/>
  <c r="E267" i="34"/>
  <c r="D267" i="34"/>
  <c r="C267" i="34"/>
  <c r="B267" i="34"/>
  <c r="A267" i="34"/>
  <c r="H266" i="34"/>
  <c r="G266" i="34"/>
  <c r="F266" i="34"/>
  <c r="E266" i="34"/>
  <c r="D266" i="34"/>
  <c r="C266" i="34"/>
  <c r="B266" i="34"/>
  <c r="A266" i="34"/>
  <c r="H265" i="34"/>
  <c r="G265" i="34"/>
  <c r="F265" i="34"/>
  <c r="E265" i="34"/>
  <c r="D265" i="34"/>
  <c r="C265" i="34"/>
  <c r="B265" i="34"/>
  <c r="A265" i="34"/>
  <c r="H264" i="34"/>
  <c r="G264" i="34"/>
  <c r="F264" i="34"/>
  <c r="E264" i="34"/>
  <c r="D264" i="34"/>
  <c r="C264" i="34"/>
  <c r="B264" i="34"/>
  <c r="A264" i="34"/>
  <c r="H263" i="34"/>
  <c r="G263" i="34"/>
  <c r="F263" i="34"/>
  <c r="E263" i="34"/>
  <c r="D263" i="34"/>
  <c r="C263" i="34"/>
  <c r="B263" i="34"/>
  <c r="A263" i="34"/>
  <c r="H262" i="34"/>
  <c r="G262" i="34"/>
  <c r="F262" i="34"/>
  <c r="E262" i="34"/>
  <c r="D262" i="34"/>
  <c r="C262" i="34"/>
  <c r="B262" i="34"/>
  <c r="A262" i="34"/>
  <c r="H261" i="34"/>
  <c r="G261" i="34"/>
  <c r="F261" i="34"/>
  <c r="E261" i="34"/>
  <c r="D261" i="34"/>
  <c r="C261" i="34"/>
  <c r="B261" i="34"/>
  <c r="A261" i="34"/>
  <c r="H260" i="34"/>
  <c r="G260" i="34"/>
  <c r="F260" i="34"/>
  <c r="E260" i="34"/>
  <c r="D260" i="34"/>
  <c r="C260" i="34"/>
  <c r="B260" i="34"/>
  <c r="A260" i="34"/>
  <c r="H259" i="34"/>
  <c r="G259" i="34"/>
  <c r="F259" i="34"/>
  <c r="E259" i="34"/>
  <c r="D259" i="34"/>
  <c r="C259" i="34"/>
  <c r="B259" i="34"/>
  <c r="A259" i="34"/>
  <c r="H258" i="34"/>
  <c r="G258" i="34"/>
  <c r="F258" i="34"/>
  <c r="E258" i="34"/>
  <c r="D258" i="34"/>
  <c r="C258" i="34"/>
  <c r="B258" i="34"/>
  <c r="A258" i="34"/>
  <c r="H257" i="34"/>
  <c r="G257" i="34"/>
  <c r="F257" i="34"/>
  <c r="E257" i="34"/>
  <c r="D257" i="34"/>
  <c r="C257" i="34"/>
  <c r="B257" i="34"/>
  <c r="A257" i="34"/>
  <c r="H256" i="34"/>
  <c r="G256" i="34"/>
  <c r="F256" i="34"/>
  <c r="E256" i="34"/>
  <c r="D256" i="34"/>
  <c r="C256" i="34"/>
  <c r="B256" i="34"/>
  <c r="A256" i="34"/>
  <c r="H255" i="34"/>
  <c r="G255" i="34"/>
  <c r="F255" i="34"/>
  <c r="E255" i="34"/>
  <c r="D255" i="34"/>
  <c r="C255" i="34"/>
  <c r="B255" i="34"/>
  <c r="A255" i="34"/>
  <c r="H254" i="34"/>
  <c r="G254" i="34"/>
  <c r="F254" i="34"/>
  <c r="E254" i="34"/>
  <c r="D254" i="34"/>
  <c r="C254" i="34"/>
  <c r="B254" i="34"/>
  <c r="A254" i="34"/>
  <c r="H253" i="34"/>
  <c r="G253" i="34"/>
  <c r="F253" i="34"/>
  <c r="E253" i="34"/>
  <c r="D253" i="34"/>
  <c r="C253" i="34"/>
  <c r="B253" i="34"/>
  <c r="A253" i="34"/>
  <c r="H252" i="34"/>
  <c r="G252" i="34"/>
  <c r="F252" i="34"/>
  <c r="E252" i="34"/>
  <c r="D252" i="34"/>
  <c r="C252" i="34"/>
  <c r="B252" i="34"/>
  <c r="A252" i="34"/>
  <c r="H251" i="34"/>
  <c r="G251" i="34"/>
  <c r="F251" i="34"/>
  <c r="E251" i="34"/>
  <c r="D251" i="34"/>
  <c r="C251" i="34"/>
  <c r="B251" i="34"/>
  <c r="A251" i="34"/>
  <c r="H250" i="34"/>
  <c r="G250" i="34"/>
  <c r="F250" i="34"/>
  <c r="E250" i="34"/>
  <c r="D250" i="34"/>
  <c r="C250" i="34"/>
  <c r="B250" i="34"/>
  <c r="A250" i="34"/>
  <c r="H249" i="34"/>
  <c r="G249" i="34"/>
  <c r="F249" i="34"/>
  <c r="E249" i="34"/>
  <c r="D249" i="34"/>
  <c r="C249" i="34"/>
  <c r="B249" i="34"/>
  <c r="A249" i="34"/>
  <c r="H248" i="34"/>
  <c r="G248" i="34"/>
  <c r="F248" i="34"/>
  <c r="E248" i="34"/>
  <c r="D248" i="34"/>
  <c r="C248" i="34"/>
  <c r="B248" i="34"/>
  <c r="A248" i="34"/>
  <c r="H247" i="34"/>
  <c r="G247" i="34"/>
  <c r="F247" i="34"/>
  <c r="E247" i="34"/>
  <c r="D247" i="34"/>
  <c r="C247" i="34"/>
  <c r="B247" i="34"/>
  <c r="A247" i="34"/>
  <c r="H246" i="34"/>
  <c r="G246" i="34"/>
  <c r="F246" i="34"/>
  <c r="E246" i="34"/>
  <c r="D246" i="34"/>
  <c r="C246" i="34"/>
  <c r="B246" i="34"/>
  <c r="A246" i="34"/>
  <c r="H245" i="34"/>
  <c r="G245" i="34"/>
  <c r="F245" i="34"/>
  <c r="E245" i="34"/>
  <c r="D245" i="34"/>
  <c r="C245" i="34"/>
  <c r="B245" i="34"/>
  <c r="A245" i="34"/>
  <c r="H244" i="34"/>
  <c r="G244" i="34"/>
  <c r="F244" i="34"/>
  <c r="E244" i="34"/>
  <c r="D244" i="34"/>
  <c r="C244" i="34"/>
  <c r="B244" i="34"/>
  <c r="A244" i="34"/>
  <c r="H243" i="34"/>
  <c r="G243" i="34"/>
  <c r="F243" i="34"/>
  <c r="E243" i="34"/>
  <c r="D243" i="34"/>
  <c r="C243" i="34"/>
  <c r="B243" i="34"/>
  <c r="A243" i="34"/>
  <c r="H242" i="34"/>
  <c r="G242" i="34"/>
  <c r="F242" i="34"/>
  <c r="E242" i="34"/>
  <c r="D242" i="34"/>
  <c r="C242" i="34"/>
  <c r="B242" i="34"/>
  <c r="A242" i="34"/>
  <c r="H241" i="34"/>
  <c r="G241" i="34"/>
  <c r="F241" i="34"/>
  <c r="E241" i="34"/>
  <c r="D241" i="34"/>
  <c r="C241" i="34"/>
  <c r="B241" i="34"/>
  <c r="A241" i="34"/>
  <c r="H240" i="34"/>
  <c r="G240" i="34"/>
  <c r="F240" i="34"/>
  <c r="E240" i="34"/>
  <c r="D240" i="34"/>
  <c r="C240" i="34"/>
  <c r="B240" i="34"/>
  <c r="A240" i="34"/>
  <c r="H239" i="34"/>
  <c r="G239" i="34"/>
  <c r="F239" i="34"/>
  <c r="E239" i="34"/>
  <c r="D239" i="34"/>
  <c r="C239" i="34"/>
  <c r="B239" i="34"/>
  <c r="A239" i="34"/>
  <c r="H238" i="34"/>
  <c r="G238" i="34"/>
  <c r="F238" i="34"/>
  <c r="E238" i="34"/>
  <c r="D238" i="34"/>
  <c r="C238" i="34"/>
  <c r="B238" i="34"/>
  <c r="A238" i="34"/>
  <c r="H237" i="34"/>
  <c r="G237" i="34"/>
  <c r="F237" i="34"/>
  <c r="E237" i="34"/>
  <c r="D237" i="34"/>
  <c r="C237" i="34"/>
  <c r="B237" i="34"/>
  <c r="A237" i="34"/>
  <c r="H236" i="34"/>
  <c r="G236" i="34"/>
  <c r="F236" i="34"/>
  <c r="E236" i="34"/>
  <c r="D236" i="34"/>
  <c r="C236" i="34"/>
  <c r="B236" i="34"/>
  <c r="A236" i="34"/>
  <c r="H235" i="34"/>
  <c r="G235" i="34"/>
  <c r="F235" i="34"/>
  <c r="E235" i="34"/>
  <c r="D235" i="34"/>
  <c r="C235" i="34"/>
  <c r="B235" i="34"/>
  <c r="A235" i="34"/>
  <c r="H234" i="34"/>
  <c r="G234" i="34"/>
  <c r="F234" i="34"/>
  <c r="E234" i="34"/>
  <c r="D234" i="34"/>
  <c r="C234" i="34"/>
  <c r="B234" i="34"/>
  <c r="A234" i="34"/>
  <c r="H233" i="34"/>
  <c r="G233" i="34"/>
  <c r="F233" i="34"/>
  <c r="E233" i="34"/>
  <c r="D233" i="34"/>
  <c r="C233" i="34"/>
  <c r="B233" i="34"/>
  <c r="A233" i="34"/>
  <c r="H232" i="34"/>
  <c r="G232" i="34"/>
  <c r="F232" i="34"/>
  <c r="E232" i="34"/>
  <c r="D232" i="34"/>
  <c r="C232" i="34"/>
  <c r="B232" i="34"/>
  <c r="A232" i="34"/>
  <c r="H231" i="34"/>
  <c r="G231" i="34"/>
  <c r="F231" i="34"/>
  <c r="E231" i="34"/>
  <c r="D231" i="34"/>
  <c r="C231" i="34"/>
  <c r="B231" i="34"/>
  <c r="A231" i="34"/>
  <c r="H230" i="34"/>
  <c r="G230" i="34"/>
  <c r="F230" i="34"/>
  <c r="E230" i="34"/>
  <c r="D230" i="34"/>
  <c r="C230" i="34"/>
  <c r="B230" i="34"/>
  <c r="A230" i="34"/>
  <c r="H229" i="34"/>
  <c r="G229" i="34"/>
  <c r="F229" i="34"/>
  <c r="E229" i="34"/>
  <c r="D229" i="34"/>
  <c r="C229" i="34"/>
  <c r="B229" i="34"/>
  <c r="A229" i="34"/>
  <c r="H228" i="34"/>
  <c r="G228" i="34"/>
  <c r="F228" i="34"/>
  <c r="E228" i="34"/>
  <c r="D228" i="34"/>
  <c r="C228" i="34"/>
  <c r="B228" i="34"/>
  <c r="A228" i="34"/>
  <c r="H227" i="34"/>
  <c r="G227" i="34"/>
  <c r="F227" i="34"/>
  <c r="E227" i="34"/>
  <c r="D227" i="34"/>
  <c r="C227" i="34"/>
  <c r="B227" i="34"/>
  <c r="A227" i="34"/>
  <c r="H226" i="34"/>
  <c r="G226" i="34"/>
  <c r="F226" i="34"/>
  <c r="E226" i="34"/>
  <c r="D226" i="34"/>
  <c r="C226" i="34"/>
  <c r="B226" i="34"/>
  <c r="A226" i="34"/>
  <c r="H225" i="34"/>
  <c r="G225" i="34"/>
  <c r="F225" i="34"/>
  <c r="E225" i="34"/>
  <c r="D225" i="34"/>
  <c r="C225" i="34"/>
  <c r="B225" i="34"/>
  <c r="A225" i="34"/>
  <c r="H224" i="34"/>
  <c r="G224" i="34"/>
  <c r="F224" i="34"/>
  <c r="E224" i="34"/>
  <c r="D224" i="34"/>
  <c r="C224" i="34"/>
  <c r="B224" i="34"/>
  <c r="A224" i="34"/>
  <c r="H223" i="34"/>
  <c r="G223" i="34"/>
  <c r="F223" i="34"/>
  <c r="E223" i="34"/>
  <c r="D223" i="34"/>
  <c r="C223" i="34"/>
  <c r="B223" i="34"/>
  <c r="A223" i="34"/>
  <c r="H222" i="34"/>
  <c r="G222" i="34"/>
  <c r="F222" i="34"/>
  <c r="E222" i="34"/>
  <c r="D222" i="34"/>
  <c r="C222" i="34"/>
  <c r="B222" i="34"/>
  <c r="A222" i="34"/>
  <c r="H221" i="34"/>
  <c r="G221" i="34"/>
  <c r="F221" i="34"/>
  <c r="E221" i="34"/>
  <c r="D221" i="34"/>
  <c r="C221" i="34"/>
  <c r="B221" i="34"/>
  <c r="A221" i="34"/>
  <c r="H220" i="34"/>
  <c r="G220" i="34"/>
  <c r="F220" i="34"/>
  <c r="E220" i="34"/>
  <c r="D220" i="34"/>
  <c r="C220" i="34"/>
  <c r="B220" i="34"/>
  <c r="A220" i="34"/>
  <c r="H219" i="34"/>
  <c r="G219" i="34"/>
  <c r="F219" i="34"/>
  <c r="E219" i="34"/>
  <c r="D219" i="34"/>
  <c r="C219" i="34"/>
  <c r="B219" i="34"/>
  <c r="A219" i="34"/>
  <c r="H218" i="34"/>
  <c r="G218" i="34"/>
  <c r="F218" i="34"/>
  <c r="E218" i="34"/>
  <c r="D218" i="34"/>
  <c r="C218" i="34"/>
  <c r="B218" i="34"/>
  <c r="A218" i="34"/>
  <c r="H217" i="34"/>
  <c r="G217" i="34"/>
  <c r="F217" i="34"/>
  <c r="E217" i="34"/>
  <c r="D217" i="34"/>
  <c r="C217" i="34"/>
  <c r="B217" i="34"/>
  <c r="A217" i="34"/>
  <c r="H216" i="34"/>
  <c r="G216" i="34"/>
  <c r="F216" i="34"/>
  <c r="E216" i="34"/>
  <c r="D216" i="34"/>
  <c r="C216" i="34"/>
  <c r="B216" i="34"/>
  <c r="A216" i="34"/>
  <c r="H215" i="34"/>
  <c r="G215" i="34"/>
  <c r="F215" i="34"/>
  <c r="E215" i="34"/>
  <c r="D215" i="34"/>
  <c r="C215" i="34"/>
  <c r="B215" i="34"/>
  <c r="A215" i="34"/>
  <c r="H214" i="34"/>
  <c r="G214" i="34"/>
  <c r="F214" i="34"/>
  <c r="E214" i="34"/>
  <c r="D214" i="34"/>
  <c r="C214" i="34"/>
  <c r="B214" i="34"/>
  <c r="A214" i="34"/>
  <c r="H213" i="34"/>
  <c r="G213" i="34"/>
  <c r="F213" i="34"/>
  <c r="E213" i="34"/>
  <c r="D213" i="34"/>
  <c r="C213" i="34"/>
  <c r="B213" i="34"/>
  <c r="A213" i="34"/>
  <c r="H212" i="34"/>
  <c r="G212" i="34"/>
  <c r="F212" i="34"/>
  <c r="E212" i="34"/>
  <c r="D212" i="34"/>
  <c r="C212" i="34"/>
  <c r="B212" i="34"/>
  <c r="A212" i="34"/>
  <c r="H211" i="34"/>
  <c r="G211" i="34"/>
  <c r="F211" i="34"/>
  <c r="E211" i="34"/>
  <c r="D211" i="34"/>
  <c r="C211" i="34"/>
  <c r="B211" i="34"/>
  <c r="A211" i="34"/>
  <c r="H210" i="34"/>
  <c r="G210" i="34"/>
  <c r="F210" i="34"/>
  <c r="E210" i="34"/>
  <c r="D210" i="34"/>
  <c r="C210" i="34"/>
  <c r="B210" i="34"/>
  <c r="A210" i="34"/>
  <c r="H209" i="34"/>
  <c r="G209" i="34"/>
  <c r="F209" i="34"/>
  <c r="E209" i="34"/>
  <c r="D209" i="34"/>
  <c r="C209" i="34"/>
  <c r="B209" i="34"/>
  <c r="A209" i="34"/>
  <c r="H208" i="34"/>
  <c r="G208" i="34"/>
  <c r="F208" i="34"/>
  <c r="E208" i="34"/>
  <c r="D208" i="34"/>
  <c r="C208" i="34"/>
  <c r="B208" i="34"/>
  <c r="A208" i="34"/>
  <c r="H207" i="34"/>
  <c r="G207" i="34"/>
  <c r="F207" i="34"/>
  <c r="E207" i="34"/>
  <c r="D207" i="34"/>
  <c r="C207" i="34"/>
  <c r="B207" i="34"/>
  <c r="A207" i="34"/>
  <c r="H206" i="34"/>
  <c r="G206" i="34"/>
  <c r="F206" i="34"/>
  <c r="E206" i="34"/>
  <c r="D206" i="34"/>
  <c r="C206" i="34"/>
  <c r="B206" i="34"/>
  <c r="A206" i="34"/>
  <c r="H205" i="34"/>
  <c r="G205" i="34"/>
  <c r="F205" i="34"/>
  <c r="E205" i="34"/>
  <c r="D205" i="34"/>
  <c r="C205" i="34"/>
  <c r="B205" i="34"/>
  <c r="A205" i="34"/>
  <c r="H204" i="34"/>
  <c r="G204" i="34"/>
  <c r="F204" i="34"/>
  <c r="E204" i="34"/>
  <c r="D204" i="34"/>
  <c r="C204" i="34"/>
  <c r="B204" i="34"/>
  <c r="A204" i="34"/>
  <c r="H203" i="34"/>
  <c r="G203" i="34"/>
  <c r="F203" i="34"/>
  <c r="E203" i="34"/>
  <c r="D203" i="34"/>
  <c r="C203" i="34"/>
  <c r="B203" i="34"/>
  <c r="A203" i="34"/>
  <c r="H202" i="34"/>
  <c r="G202" i="34"/>
  <c r="F202" i="34"/>
  <c r="E202" i="34"/>
  <c r="D202" i="34"/>
  <c r="C202" i="34"/>
  <c r="B202" i="34"/>
  <c r="A202" i="34"/>
  <c r="H201" i="34"/>
  <c r="G201" i="34"/>
  <c r="F201" i="34"/>
  <c r="E201" i="34"/>
  <c r="D201" i="34"/>
  <c r="C201" i="34"/>
  <c r="B201" i="34"/>
  <c r="A201" i="34"/>
  <c r="H200" i="34"/>
  <c r="G200" i="34"/>
  <c r="F200" i="34"/>
  <c r="E200" i="34"/>
  <c r="D200" i="34"/>
  <c r="C200" i="34"/>
  <c r="B200" i="34"/>
  <c r="A200" i="34"/>
  <c r="H199" i="34"/>
  <c r="G199" i="34"/>
  <c r="F199" i="34"/>
  <c r="E199" i="34"/>
  <c r="D199" i="34"/>
  <c r="C199" i="34"/>
  <c r="B199" i="34"/>
  <c r="A199" i="34"/>
  <c r="H198" i="34"/>
  <c r="G198" i="34"/>
  <c r="F198" i="34"/>
  <c r="E198" i="34"/>
  <c r="D198" i="34"/>
  <c r="C198" i="34"/>
  <c r="B198" i="34"/>
  <c r="A198" i="34"/>
  <c r="H197" i="34"/>
  <c r="G197" i="34"/>
  <c r="F197" i="34"/>
  <c r="E197" i="34"/>
  <c r="D197" i="34"/>
  <c r="C197" i="34"/>
  <c r="B197" i="34"/>
  <c r="A197" i="34"/>
  <c r="H196" i="34"/>
  <c r="G196" i="34"/>
  <c r="F196" i="34"/>
  <c r="E196" i="34"/>
  <c r="D196" i="34"/>
  <c r="C196" i="34"/>
  <c r="B196" i="34"/>
  <c r="A196" i="34"/>
  <c r="H195" i="34"/>
  <c r="G195" i="34"/>
  <c r="F195" i="34"/>
  <c r="E195" i="34"/>
  <c r="D195" i="34"/>
  <c r="C195" i="34"/>
  <c r="B195" i="34"/>
  <c r="A195" i="34"/>
  <c r="H194" i="34"/>
  <c r="G194" i="34"/>
  <c r="F194" i="34"/>
  <c r="E194" i="34"/>
  <c r="D194" i="34"/>
  <c r="C194" i="34"/>
  <c r="B194" i="34"/>
  <c r="A194" i="34"/>
  <c r="H193" i="34"/>
  <c r="G193" i="34"/>
  <c r="F193" i="34"/>
  <c r="E193" i="34"/>
  <c r="D193" i="34"/>
  <c r="C193" i="34"/>
  <c r="B193" i="34"/>
  <c r="A193" i="34"/>
  <c r="H192" i="34"/>
  <c r="G192" i="34"/>
  <c r="F192" i="34"/>
  <c r="E192" i="34"/>
  <c r="D192" i="34"/>
  <c r="C192" i="34"/>
  <c r="B192" i="34"/>
  <c r="A192" i="34"/>
  <c r="H191" i="34"/>
  <c r="G191" i="34"/>
  <c r="F191" i="34"/>
  <c r="E191" i="34"/>
  <c r="D191" i="34"/>
  <c r="C191" i="34"/>
  <c r="B191" i="34"/>
  <c r="A191" i="34"/>
  <c r="H190" i="34"/>
  <c r="G190" i="34"/>
  <c r="F190" i="34"/>
  <c r="E190" i="34"/>
  <c r="D190" i="34"/>
  <c r="C190" i="34"/>
  <c r="B190" i="34"/>
  <c r="A190" i="34"/>
  <c r="H189" i="34"/>
  <c r="G189" i="34"/>
  <c r="F189" i="34"/>
  <c r="E189" i="34"/>
  <c r="D189" i="34"/>
  <c r="C189" i="34"/>
  <c r="B189" i="34"/>
  <c r="A189" i="34"/>
  <c r="H188" i="34"/>
  <c r="G188" i="34"/>
  <c r="F188" i="34"/>
  <c r="E188" i="34"/>
  <c r="D188" i="34"/>
  <c r="C188" i="34"/>
  <c r="B188" i="34"/>
  <c r="A188" i="34"/>
  <c r="H187" i="34"/>
  <c r="G187" i="34"/>
  <c r="F187" i="34"/>
  <c r="E187" i="34"/>
  <c r="D187" i="34"/>
  <c r="C187" i="34"/>
  <c r="B187" i="34"/>
  <c r="A187" i="34"/>
  <c r="H186" i="34"/>
  <c r="G186" i="34"/>
  <c r="F186" i="34"/>
  <c r="E186" i="34"/>
  <c r="D186" i="34"/>
  <c r="C186" i="34"/>
  <c r="B186" i="34"/>
  <c r="A186" i="34"/>
  <c r="H185" i="34"/>
  <c r="G185" i="34"/>
  <c r="F185" i="34"/>
  <c r="E185" i="34"/>
  <c r="D185" i="34"/>
  <c r="C185" i="34"/>
  <c r="B185" i="34"/>
  <c r="A185" i="34"/>
  <c r="H184" i="34"/>
  <c r="G184" i="34"/>
  <c r="F184" i="34"/>
  <c r="E184" i="34"/>
  <c r="D184" i="34"/>
  <c r="C184" i="34"/>
  <c r="B184" i="34"/>
  <c r="A184" i="34"/>
  <c r="H183" i="34"/>
  <c r="G183" i="34"/>
  <c r="F183" i="34"/>
  <c r="E183" i="34"/>
  <c r="D183" i="34"/>
  <c r="C183" i="34"/>
  <c r="B183" i="34"/>
  <c r="A183" i="34"/>
  <c r="H182" i="34"/>
  <c r="G182" i="34"/>
  <c r="F182" i="34"/>
  <c r="E182" i="34"/>
  <c r="D182" i="34"/>
  <c r="C182" i="34"/>
  <c r="B182" i="34"/>
  <c r="A182" i="34"/>
  <c r="H181" i="34"/>
  <c r="G181" i="34"/>
  <c r="F181" i="34"/>
  <c r="E181" i="34"/>
  <c r="D181" i="34"/>
  <c r="C181" i="34"/>
  <c r="B181" i="34"/>
  <c r="A181" i="34"/>
  <c r="H180" i="34"/>
  <c r="G180" i="34"/>
  <c r="F180" i="34"/>
  <c r="E180" i="34"/>
  <c r="D180" i="34"/>
  <c r="C180" i="34"/>
  <c r="B180" i="34"/>
  <c r="A180" i="34"/>
  <c r="H179" i="34"/>
  <c r="G179" i="34"/>
  <c r="F179" i="34"/>
  <c r="E179" i="34"/>
  <c r="D179" i="34"/>
  <c r="C179" i="34"/>
  <c r="B179" i="34"/>
  <c r="A179" i="34"/>
  <c r="H178" i="34"/>
  <c r="G178" i="34"/>
  <c r="F178" i="34"/>
  <c r="E178" i="34"/>
  <c r="D178" i="34"/>
  <c r="C178" i="34"/>
  <c r="B178" i="34"/>
  <c r="A178" i="34"/>
  <c r="H177" i="34"/>
  <c r="G177" i="34"/>
  <c r="F177" i="34"/>
  <c r="E177" i="34"/>
  <c r="D177" i="34"/>
  <c r="C177" i="34"/>
  <c r="B177" i="34"/>
  <c r="A177" i="34"/>
  <c r="H176" i="34"/>
  <c r="G176" i="34"/>
  <c r="F176" i="34"/>
  <c r="E176" i="34"/>
  <c r="D176" i="34"/>
  <c r="C176" i="34"/>
  <c r="B176" i="34"/>
  <c r="A176" i="34"/>
  <c r="H175" i="34"/>
  <c r="G175" i="34"/>
  <c r="F175" i="34"/>
  <c r="E175" i="34"/>
  <c r="D175" i="34"/>
  <c r="C175" i="34"/>
  <c r="B175" i="34"/>
  <c r="A175" i="34"/>
  <c r="H174" i="34"/>
  <c r="G174" i="34"/>
  <c r="F174" i="34"/>
  <c r="E174" i="34"/>
  <c r="D174" i="34"/>
  <c r="C174" i="34"/>
  <c r="B174" i="34"/>
  <c r="A174" i="34"/>
  <c r="H173" i="34"/>
  <c r="G173" i="34"/>
  <c r="F173" i="34"/>
  <c r="E173" i="34"/>
  <c r="D173" i="34"/>
  <c r="C173" i="34"/>
  <c r="B173" i="34"/>
  <c r="A173" i="34"/>
  <c r="H172" i="34"/>
  <c r="G172" i="34"/>
  <c r="F172" i="34"/>
  <c r="E172" i="34"/>
  <c r="D172" i="34"/>
  <c r="C172" i="34"/>
  <c r="B172" i="34"/>
  <c r="A172" i="34"/>
  <c r="H171" i="34"/>
  <c r="G171" i="34"/>
  <c r="F171" i="34"/>
  <c r="E171" i="34"/>
  <c r="D171" i="34"/>
  <c r="C171" i="34"/>
  <c r="B171" i="34"/>
  <c r="A171" i="34"/>
  <c r="H170" i="34"/>
  <c r="G170" i="34"/>
  <c r="F170" i="34"/>
  <c r="E170" i="34"/>
  <c r="D170" i="34"/>
  <c r="C170" i="34"/>
  <c r="B170" i="34"/>
  <c r="A170" i="34"/>
  <c r="H169" i="34"/>
  <c r="G169" i="34"/>
  <c r="F169" i="34"/>
  <c r="E169" i="34"/>
  <c r="D169" i="34"/>
  <c r="C169" i="34"/>
  <c r="B169" i="34"/>
  <c r="A169" i="34"/>
  <c r="H168" i="34"/>
  <c r="G168" i="34"/>
  <c r="F168" i="34"/>
  <c r="E168" i="34"/>
  <c r="D168" i="34"/>
  <c r="C168" i="34"/>
  <c r="B168" i="34"/>
  <c r="A168" i="34"/>
  <c r="H167" i="34"/>
  <c r="G167" i="34"/>
  <c r="F167" i="34"/>
  <c r="E167" i="34"/>
  <c r="D167" i="34"/>
  <c r="C167" i="34"/>
  <c r="B167" i="34"/>
  <c r="A167" i="34"/>
  <c r="H166" i="34"/>
  <c r="G166" i="34"/>
  <c r="F166" i="34"/>
  <c r="E166" i="34"/>
  <c r="D166" i="34"/>
  <c r="C166" i="34"/>
  <c r="B166" i="34"/>
  <c r="A166" i="34"/>
  <c r="H165" i="34"/>
  <c r="G165" i="34"/>
  <c r="F165" i="34"/>
  <c r="E165" i="34"/>
  <c r="D165" i="34"/>
  <c r="C165" i="34"/>
  <c r="B165" i="34"/>
  <c r="A165" i="34"/>
  <c r="H164" i="34"/>
  <c r="G164" i="34"/>
  <c r="F164" i="34"/>
  <c r="E164" i="34"/>
  <c r="D164" i="34"/>
  <c r="C164" i="34"/>
  <c r="B164" i="34"/>
  <c r="A164" i="34"/>
  <c r="H163" i="34"/>
  <c r="G163" i="34"/>
  <c r="F163" i="34"/>
  <c r="E163" i="34"/>
  <c r="D163" i="34"/>
  <c r="C163" i="34"/>
  <c r="B163" i="34"/>
  <c r="A163" i="34"/>
  <c r="H162" i="34"/>
  <c r="G162" i="34"/>
  <c r="F162" i="34"/>
  <c r="E162" i="34"/>
  <c r="D162" i="34"/>
  <c r="C162" i="34"/>
  <c r="B162" i="34"/>
  <c r="A162" i="34"/>
  <c r="H161" i="34"/>
  <c r="G161" i="34"/>
  <c r="F161" i="34"/>
  <c r="E161" i="34"/>
  <c r="D161" i="34"/>
  <c r="C161" i="34"/>
  <c r="B161" i="34"/>
  <c r="A161" i="34"/>
  <c r="H160" i="34"/>
  <c r="G160" i="34"/>
  <c r="F160" i="34"/>
  <c r="E160" i="34"/>
  <c r="D160" i="34"/>
  <c r="C160" i="34"/>
  <c r="B160" i="34"/>
  <c r="A160" i="34"/>
  <c r="H159" i="34"/>
  <c r="G159" i="34"/>
  <c r="F159" i="34"/>
  <c r="E159" i="34"/>
  <c r="D159" i="34"/>
  <c r="C159" i="34"/>
  <c r="B159" i="34"/>
  <c r="A159" i="34"/>
  <c r="H158" i="34"/>
  <c r="G158" i="34"/>
  <c r="F158" i="34"/>
  <c r="E158" i="34"/>
  <c r="D158" i="34"/>
  <c r="C158" i="34"/>
  <c r="B158" i="34"/>
  <c r="A158" i="34"/>
  <c r="H157" i="34"/>
  <c r="G157" i="34"/>
  <c r="F157" i="34"/>
  <c r="E157" i="34"/>
  <c r="D157" i="34"/>
  <c r="C157" i="34"/>
  <c r="B157" i="34"/>
  <c r="A157" i="34"/>
  <c r="H156" i="34"/>
  <c r="G156" i="34"/>
  <c r="F156" i="34"/>
  <c r="E156" i="34"/>
  <c r="D156" i="34"/>
  <c r="C156" i="34"/>
  <c r="B156" i="34"/>
  <c r="A156" i="34"/>
  <c r="H155" i="34"/>
  <c r="G155" i="34"/>
  <c r="F155" i="34"/>
  <c r="E155" i="34"/>
  <c r="D155" i="34"/>
  <c r="C155" i="34"/>
  <c r="B155" i="34"/>
  <c r="A155" i="34"/>
  <c r="H154" i="34"/>
  <c r="G154" i="34"/>
  <c r="F154" i="34"/>
  <c r="E154" i="34"/>
  <c r="D154" i="34"/>
  <c r="C154" i="34"/>
  <c r="B154" i="34"/>
  <c r="A154" i="34"/>
  <c r="H153" i="34"/>
  <c r="G153" i="34"/>
  <c r="F153" i="34"/>
  <c r="E153" i="34"/>
  <c r="D153" i="34"/>
  <c r="C153" i="34"/>
  <c r="B153" i="34"/>
  <c r="A153" i="34"/>
  <c r="H152" i="34"/>
  <c r="G152" i="34"/>
  <c r="F152" i="34"/>
  <c r="E152" i="34"/>
  <c r="D152" i="34"/>
  <c r="C152" i="34"/>
  <c r="B152" i="34"/>
  <c r="A152" i="34"/>
  <c r="H151" i="34"/>
  <c r="G151" i="34"/>
  <c r="F151" i="34"/>
  <c r="E151" i="34"/>
  <c r="D151" i="34"/>
  <c r="C151" i="34"/>
  <c r="B151" i="34"/>
  <c r="A151" i="34"/>
  <c r="H150" i="34"/>
  <c r="G150" i="34"/>
  <c r="F150" i="34"/>
  <c r="E150" i="34"/>
  <c r="D150" i="34"/>
  <c r="C150" i="34"/>
  <c r="B150" i="34"/>
  <c r="A150" i="34"/>
  <c r="H149" i="34"/>
  <c r="G149" i="34"/>
  <c r="F149" i="34"/>
  <c r="E149" i="34"/>
  <c r="D149" i="34"/>
  <c r="C149" i="34"/>
  <c r="B149" i="34"/>
  <c r="A149" i="34"/>
  <c r="H148" i="34"/>
  <c r="G148" i="34"/>
  <c r="F148" i="34"/>
  <c r="E148" i="34"/>
  <c r="D148" i="34"/>
  <c r="C148" i="34"/>
  <c r="B148" i="34"/>
  <c r="A148" i="34"/>
  <c r="H147" i="34"/>
  <c r="G147" i="34"/>
  <c r="F147" i="34"/>
  <c r="E147" i="34"/>
  <c r="D147" i="34"/>
  <c r="C147" i="34"/>
  <c r="B147" i="34"/>
  <c r="A147" i="34"/>
  <c r="H146" i="34"/>
  <c r="G146" i="34"/>
  <c r="F146" i="34"/>
  <c r="E146" i="34"/>
  <c r="D146" i="34"/>
  <c r="C146" i="34"/>
  <c r="B146" i="34"/>
  <c r="A146" i="34"/>
  <c r="H145" i="34"/>
  <c r="G145" i="34"/>
  <c r="F145" i="34"/>
  <c r="E145" i="34"/>
  <c r="D145" i="34"/>
  <c r="C145" i="34"/>
  <c r="B145" i="34"/>
  <c r="A145" i="34"/>
  <c r="H144" i="34"/>
  <c r="G144" i="34"/>
  <c r="F144" i="34"/>
  <c r="E144" i="34"/>
  <c r="D144" i="34"/>
  <c r="C144" i="34"/>
  <c r="B144" i="34"/>
  <c r="A144" i="34"/>
  <c r="H143" i="34"/>
  <c r="G143" i="34"/>
  <c r="F143" i="34"/>
  <c r="E143" i="34"/>
  <c r="D143" i="34"/>
  <c r="C143" i="34"/>
  <c r="B143" i="34"/>
  <c r="A143" i="34"/>
  <c r="H142" i="34"/>
  <c r="G142" i="34"/>
  <c r="F142" i="34"/>
  <c r="E142" i="34"/>
  <c r="D142" i="34"/>
  <c r="C142" i="34"/>
  <c r="B142" i="34"/>
  <c r="A142" i="34"/>
  <c r="H141" i="34"/>
  <c r="G141" i="34"/>
  <c r="F141" i="34"/>
  <c r="E141" i="34"/>
  <c r="D141" i="34"/>
  <c r="C141" i="34"/>
  <c r="B141" i="34"/>
  <c r="A141" i="34"/>
  <c r="H140" i="34"/>
  <c r="G140" i="34"/>
  <c r="F140" i="34"/>
  <c r="E140" i="34"/>
  <c r="D140" i="34"/>
  <c r="C140" i="34"/>
  <c r="B140" i="34"/>
  <c r="A140" i="34"/>
  <c r="H139" i="34"/>
  <c r="G139" i="34"/>
  <c r="F139" i="34"/>
  <c r="E139" i="34"/>
  <c r="D139" i="34"/>
  <c r="C139" i="34"/>
  <c r="B139" i="34"/>
  <c r="A139" i="34"/>
  <c r="H138" i="34"/>
  <c r="G138" i="34"/>
  <c r="F138" i="34"/>
  <c r="E138" i="34"/>
  <c r="D138" i="34"/>
  <c r="C138" i="34"/>
  <c r="B138" i="34"/>
  <c r="A138" i="34"/>
  <c r="H137" i="34"/>
  <c r="G137" i="34"/>
  <c r="F137" i="34"/>
  <c r="E137" i="34"/>
  <c r="D137" i="34"/>
  <c r="C137" i="34"/>
  <c r="B137" i="34"/>
  <c r="A137" i="34"/>
  <c r="H136" i="34"/>
  <c r="G136" i="34"/>
  <c r="F136" i="34"/>
  <c r="E136" i="34"/>
  <c r="D136" i="34"/>
  <c r="C136" i="34"/>
  <c r="B136" i="34"/>
  <c r="A136" i="34"/>
  <c r="H135" i="34"/>
  <c r="G135" i="34"/>
  <c r="F135" i="34"/>
  <c r="E135" i="34"/>
  <c r="D135" i="34"/>
  <c r="C135" i="34"/>
  <c r="B135" i="34"/>
  <c r="A135" i="34"/>
  <c r="H134" i="34"/>
  <c r="G134" i="34"/>
  <c r="F134" i="34"/>
  <c r="E134" i="34"/>
  <c r="D134" i="34"/>
  <c r="C134" i="34"/>
  <c r="B134" i="34"/>
  <c r="A134" i="34"/>
  <c r="H133" i="34"/>
  <c r="G133" i="34"/>
  <c r="F133" i="34"/>
  <c r="E133" i="34"/>
  <c r="D133" i="34"/>
  <c r="C133" i="34"/>
  <c r="B133" i="34"/>
  <c r="A133" i="34"/>
  <c r="H132" i="34"/>
  <c r="G132" i="34"/>
  <c r="F132" i="34"/>
  <c r="E132" i="34"/>
  <c r="D132" i="34"/>
  <c r="C132" i="34"/>
  <c r="B132" i="34"/>
  <c r="A132" i="34"/>
  <c r="H131" i="34"/>
  <c r="G131" i="34"/>
  <c r="F131" i="34"/>
  <c r="E131" i="34"/>
  <c r="D131" i="34"/>
  <c r="C131" i="34"/>
  <c r="B131" i="34"/>
  <c r="A131" i="34"/>
  <c r="H130" i="34"/>
  <c r="G130" i="34"/>
  <c r="F130" i="34"/>
  <c r="E130" i="34"/>
  <c r="D130" i="34"/>
  <c r="C130" i="34"/>
  <c r="B130" i="34"/>
  <c r="A130" i="34"/>
  <c r="H129" i="34"/>
  <c r="G129" i="34"/>
  <c r="F129" i="34"/>
  <c r="E129" i="34"/>
  <c r="D129" i="34"/>
  <c r="C129" i="34"/>
  <c r="B129" i="34"/>
  <c r="A129" i="34"/>
  <c r="H128" i="34"/>
  <c r="G128" i="34"/>
  <c r="F128" i="34"/>
  <c r="E128" i="34"/>
  <c r="D128" i="34"/>
  <c r="C128" i="34"/>
  <c r="B128" i="34"/>
  <c r="A128" i="34"/>
  <c r="H127" i="34"/>
  <c r="G127" i="34"/>
  <c r="F127" i="34"/>
  <c r="E127" i="34"/>
  <c r="D127" i="34"/>
  <c r="C127" i="34"/>
  <c r="B127" i="34"/>
  <c r="A127" i="34"/>
  <c r="H126" i="34"/>
  <c r="G126" i="34"/>
  <c r="F126" i="34"/>
  <c r="E126" i="34"/>
  <c r="D126" i="34"/>
  <c r="C126" i="34"/>
  <c r="B126" i="34"/>
  <c r="A126" i="34"/>
  <c r="H125" i="34"/>
  <c r="G125" i="34"/>
  <c r="F125" i="34"/>
  <c r="E125" i="34"/>
  <c r="D125" i="34"/>
  <c r="C125" i="34"/>
  <c r="B125" i="34"/>
  <c r="A125" i="34"/>
  <c r="H124" i="34"/>
  <c r="G124" i="34"/>
  <c r="F124" i="34"/>
  <c r="E124" i="34"/>
  <c r="D124" i="34"/>
  <c r="C124" i="34"/>
  <c r="B124" i="34"/>
  <c r="A124" i="34"/>
  <c r="H123" i="34"/>
  <c r="G123" i="34"/>
  <c r="F123" i="34"/>
  <c r="E123" i="34"/>
  <c r="D123" i="34"/>
  <c r="C123" i="34"/>
  <c r="B123" i="34"/>
  <c r="A123" i="34"/>
  <c r="H122" i="34"/>
  <c r="G122" i="34"/>
  <c r="F122" i="34"/>
  <c r="E122" i="34"/>
  <c r="D122" i="34"/>
  <c r="C122" i="34"/>
  <c r="B122" i="34"/>
  <c r="A122" i="34"/>
  <c r="H121" i="34"/>
  <c r="G121" i="34"/>
  <c r="F121" i="34"/>
  <c r="E121" i="34"/>
  <c r="D121" i="34"/>
  <c r="C121" i="34"/>
  <c r="B121" i="34"/>
  <c r="A121" i="34"/>
  <c r="H120" i="34"/>
  <c r="G120" i="34"/>
  <c r="F120" i="34"/>
  <c r="E120" i="34"/>
  <c r="D120" i="34"/>
  <c r="C120" i="34"/>
  <c r="B120" i="34"/>
  <c r="A120" i="34"/>
  <c r="H119" i="34"/>
  <c r="G119" i="34"/>
  <c r="F119" i="34"/>
  <c r="E119" i="34"/>
  <c r="D119" i="34"/>
  <c r="C119" i="34"/>
  <c r="B119" i="34"/>
  <c r="A119" i="34"/>
  <c r="H118" i="34"/>
  <c r="G118" i="34"/>
  <c r="F118" i="34"/>
  <c r="E118" i="34"/>
  <c r="D118" i="34"/>
  <c r="C118" i="34"/>
  <c r="B118" i="34"/>
  <c r="A118" i="34"/>
  <c r="H117" i="34"/>
  <c r="G117" i="34"/>
  <c r="F117" i="34"/>
  <c r="E117" i="34"/>
  <c r="D117" i="34"/>
  <c r="C117" i="34"/>
  <c r="B117" i="34"/>
  <c r="A117" i="34"/>
  <c r="H116" i="34"/>
  <c r="G116" i="34"/>
  <c r="F116" i="34"/>
  <c r="E116" i="34"/>
  <c r="D116" i="34"/>
  <c r="C116" i="34"/>
  <c r="B116" i="34"/>
  <c r="A116" i="34"/>
  <c r="H115" i="34"/>
  <c r="G115" i="34"/>
  <c r="F115" i="34"/>
  <c r="E115" i="34"/>
  <c r="D115" i="34"/>
  <c r="C115" i="34"/>
  <c r="B115" i="34"/>
  <c r="A115" i="34"/>
  <c r="H114" i="34"/>
  <c r="G114" i="34"/>
  <c r="F114" i="34"/>
  <c r="E114" i="34"/>
  <c r="D114" i="34"/>
  <c r="C114" i="34"/>
  <c r="B114" i="34"/>
  <c r="A114" i="34"/>
  <c r="H113" i="34"/>
  <c r="G113" i="34"/>
  <c r="F113" i="34"/>
  <c r="E113" i="34"/>
  <c r="D113" i="34"/>
  <c r="C113" i="34"/>
  <c r="B113" i="34"/>
  <c r="A113" i="34"/>
  <c r="H112" i="34"/>
  <c r="G112" i="34"/>
  <c r="F112" i="34"/>
  <c r="E112" i="34"/>
  <c r="D112" i="34"/>
  <c r="C112" i="34"/>
  <c r="B112" i="34"/>
  <c r="A112" i="34"/>
  <c r="H111" i="34"/>
  <c r="G111" i="34"/>
  <c r="F111" i="34"/>
  <c r="E111" i="34"/>
  <c r="D111" i="34"/>
  <c r="C111" i="34"/>
  <c r="B111" i="34"/>
  <c r="A111" i="34"/>
  <c r="H110" i="34"/>
  <c r="G110" i="34"/>
  <c r="F110" i="34"/>
  <c r="E110" i="34"/>
  <c r="D110" i="34"/>
  <c r="C110" i="34"/>
  <c r="B110" i="34"/>
  <c r="A110" i="34"/>
  <c r="H109" i="34"/>
  <c r="G109" i="34"/>
  <c r="F109" i="34"/>
  <c r="E109" i="34"/>
  <c r="D109" i="34"/>
  <c r="C109" i="34"/>
  <c r="B109" i="34"/>
  <c r="A109" i="34"/>
  <c r="H108" i="34"/>
  <c r="G108" i="34"/>
  <c r="F108" i="34"/>
  <c r="E108" i="34"/>
  <c r="D108" i="34"/>
  <c r="C108" i="34"/>
  <c r="B108" i="34"/>
  <c r="A108" i="34"/>
  <c r="H107" i="34"/>
  <c r="G107" i="34"/>
  <c r="F107" i="34"/>
  <c r="E107" i="34"/>
  <c r="D107" i="34"/>
  <c r="C107" i="34"/>
  <c r="B107" i="34"/>
  <c r="A107" i="34"/>
  <c r="H106" i="34"/>
  <c r="G106" i="34"/>
  <c r="F106" i="34"/>
  <c r="E106" i="34"/>
  <c r="D106" i="34"/>
  <c r="C106" i="34"/>
  <c r="B106" i="34"/>
  <c r="A106" i="34"/>
  <c r="H105" i="34"/>
  <c r="G105" i="34"/>
  <c r="F105" i="34"/>
  <c r="E105" i="34"/>
  <c r="D105" i="34"/>
  <c r="C105" i="34"/>
  <c r="B105" i="34"/>
  <c r="A105" i="34"/>
  <c r="H104" i="34"/>
  <c r="G104" i="34"/>
  <c r="F104" i="34"/>
  <c r="E104" i="34"/>
  <c r="D104" i="34"/>
  <c r="C104" i="34"/>
  <c r="B104" i="34"/>
  <c r="A104" i="34"/>
  <c r="H103" i="34"/>
  <c r="G103" i="34"/>
  <c r="F103" i="34"/>
  <c r="E103" i="34"/>
  <c r="D103" i="34"/>
  <c r="C103" i="34"/>
  <c r="B103" i="34"/>
  <c r="A103" i="34"/>
  <c r="H102" i="34"/>
  <c r="G102" i="34"/>
  <c r="F102" i="34"/>
  <c r="E102" i="34"/>
  <c r="D102" i="34"/>
  <c r="C102" i="34"/>
  <c r="B102" i="34"/>
  <c r="A102" i="34"/>
  <c r="H101" i="34"/>
  <c r="G101" i="34"/>
  <c r="F101" i="34"/>
  <c r="E101" i="34"/>
  <c r="D101" i="34"/>
  <c r="C101" i="34"/>
  <c r="B101" i="34"/>
  <c r="A101" i="34"/>
  <c r="H100" i="34"/>
  <c r="G100" i="34"/>
  <c r="F100" i="34"/>
  <c r="E100" i="34"/>
  <c r="D100" i="34"/>
  <c r="C100" i="34"/>
  <c r="B100" i="34"/>
  <c r="A100" i="34"/>
  <c r="H99" i="34"/>
  <c r="G99" i="34"/>
  <c r="F99" i="34"/>
  <c r="E99" i="34"/>
  <c r="D99" i="34"/>
  <c r="C99" i="34"/>
  <c r="B99" i="34"/>
  <c r="A99" i="34"/>
  <c r="H98" i="34"/>
  <c r="G98" i="34"/>
  <c r="F98" i="34"/>
  <c r="E98" i="34"/>
  <c r="D98" i="34"/>
  <c r="C98" i="34"/>
  <c r="B98" i="34"/>
  <c r="A98" i="34"/>
  <c r="H97" i="34"/>
  <c r="G97" i="34"/>
  <c r="F97" i="34"/>
  <c r="E97" i="34"/>
  <c r="D97" i="34"/>
  <c r="C97" i="34"/>
  <c r="B97" i="34"/>
  <c r="A97" i="34"/>
  <c r="H96" i="34"/>
  <c r="G96" i="34"/>
  <c r="F96" i="34"/>
  <c r="E96" i="34"/>
  <c r="D96" i="34"/>
  <c r="C96" i="34"/>
  <c r="B96" i="34"/>
  <c r="A96" i="34"/>
  <c r="H95" i="34"/>
  <c r="G95" i="34"/>
  <c r="F95" i="34"/>
  <c r="E95" i="34"/>
  <c r="D95" i="34"/>
  <c r="C95" i="34"/>
  <c r="B95" i="34"/>
  <c r="A95" i="34"/>
  <c r="H94" i="34"/>
  <c r="G94" i="34"/>
  <c r="F94" i="34"/>
  <c r="E94" i="34"/>
  <c r="D94" i="34"/>
  <c r="C94" i="34"/>
  <c r="B94" i="34"/>
  <c r="A94" i="34"/>
  <c r="H93" i="34"/>
  <c r="G93" i="34"/>
  <c r="F93" i="34"/>
  <c r="E93" i="34"/>
  <c r="D93" i="34"/>
  <c r="C93" i="34"/>
  <c r="B93" i="34"/>
  <c r="A93" i="34"/>
  <c r="H92" i="34"/>
  <c r="G92" i="34"/>
  <c r="F92" i="34"/>
  <c r="E92" i="34"/>
  <c r="D92" i="34"/>
  <c r="C92" i="34"/>
  <c r="B92" i="34"/>
  <c r="A92" i="34"/>
  <c r="H91" i="34"/>
  <c r="G91" i="34"/>
  <c r="F91" i="34"/>
  <c r="E91" i="34"/>
  <c r="D91" i="34"/>
  <c r="C91" i="34"/>
  <c r="B91" i="34"/>
  <c r="A91" i="34"/>
  <c r="H90" i="34"/>
  <c r="G90" i="34"/>
  <c r="F90" i="34"/>
  <c r="E90" i="34"/>
  <c r="D90" i="34"/>
  <c r="C90" i="34"/>
  <c r="B90" i="34"/>
  <c r="A90" i="34"/>
  <c r="H89" i="34"/>
  <c r="G89" i="34"/>
  <c r="F89" i="34"/>
  <c r="E89" i="34"/>
  <c r="D89" i="34"/>
  <c r="C89" i="34"/>
  <c r="B89" i="34"/>
  <c r="A89" i="34"/>
  <c r="H88" i="34"/>
  <c r="G88" i="34"/>
  <c r="F88" i="34"/>
  <c r="E88" i="34"/>
  <c r="D88" i="34"/>
  <c r="C88" i="34"/>
  <c r="B88" i="34"/>
  <c r="A88" i="34"/>
  <c r="H87" i="34"/>
  <c r="G87" i="34"/>
  <c r="F87" i="34"/>
  <c r="E87" i="34"/>
  <c r="D87" i="34"/>
  <c r="C87" i="34"/>
  <c r="B87" i="34"/>
  <c r="A87" i="34"/>
  <c r="H86" i="34"/>
  <c r="G86" i="34"/>
  <c r="F86" i="34"/>
  <c r="E86" i="34"/>
  <c r="D86" i="34"/>
  <c r="C86" i="34"/>
  <c r="B86" i="34"/>
  <c r="A86" i="34"/>
  <c r="H85" i="34"/>
  <c r="G85" i="34"/>
  <c r="F85" i="34"/>
  <c r="E85" i="34"/>
  <c r="D85" i="34"/>
  <c r="C85" i="34"/>
  <c r="B85" i="34"/>
  <c r="A85" i="34"/>
  <c r="H84" i="34"/>
  <c r="G84" i="34"/>
  <c r="F84" i="34"/>
  <c r="E84" i="34"/>
  <c r="D84" i="34"/>
  <c r="C84" i="34"/>
  <c r="B84" i="34"/>
  <c r="A84" i="34"/>
  <c r="H83" i="34"/>
  <c r="G83" i="34"/>
  <c r="F83" i="34"/>
  <c r="E83" i="34"/>
  <c r="D83" i="34"/>
  <c r="C83" i="34"/>
  <c r="B83" i="34"/>
  <c r="A83" i="34"/>
  <c r="H82" i="34"/>
  <c r="G82" i="34"/>
  <c r="F82" i="34"/>
  <c r="E82" i="34"/>
  <c r="D82" i="34"/>
  <c r="C82" i="34"/>
  <c r="B82" i="34"/>
  <c r="A82" i="34"/>
  <c r="H81" i="34"/>
  <c r="G81" i="34"/>
  <c r="F81" i="34"/>
  <c r="E81" i="34"/>
  <c r="D81" i="34"/>
  <c r="C81" i="34"/>
  <c r="B81" i="34"/>
  <c r="A81" i="34"/>
  <c r="H80" i="34"/>
  <c r="G80" i="34"/>
  <c r="F80" i="34"/>
  <c r="E80" i="34"/>
  <c r="D80" i="34"/>
  <c r="C80" i="34"/>
  <c r="B80" i="34"/>
  <c r="A80" i="34"/>
  <c r="H79" i="34"/>
  <c r="G79" i="34"/>
  <c r="F79" i="34"/>
  <c r="E79" i="34"/>
  <c r="D79" i="34"/>
  <c r="C79" i="34"/>
  <c r="B79" i="34"/>
  <c r="A79" i="34"/>
  <c r="H78" i="34"/>
  <c r="G78" i="34"/>
  <c r="F78" i="34"/>
  <c r="E78" i="34"/>
  <c r="D78" i="34"/>
  <c r="C78" i="34"/>
  <c r="B78" i="34"/>
  <c r="A78" i="34"/>
  <c r="H77" i="34"/>
  <c r="G77" i="34"/>
  <c r="F77" i="34"/>
  <c r="E77" i="34"/>
  <c r="D77" i="34"/>
  <c r="C77" i="34"/>
  <c r="B77" i="34"/>
  <c r="A77" i="34"/>
  <c r="H76" i="34"/>
  <c r="G76" i="34"/>
  <c r="F76" i="34"/>
  <c r="E76" i="34"/>
  <c r="D76" i="34"/>
  <c r="C76" i="34"/>
  <c r="B76" i="34"/>
  <c r="A76" i="34"/>
  <c r="H75" i="34"/>
  <c r="G75" i="34"/>
  <c r="F75" i="34"/>
  <c r="E75" i="34"/>
  <c r="D75" i="34"/>
  <c r="C75" i="34"/>
  <c r="B75" i="34"/>
  <c r="A75" i="34"/>
  <c r="H74" i="34"/>
  <c r="G74" i="34"/>
  <c r="F74" i="34"/>
  <c r="E74" i="34"/>
  <c r="D74" i="34"/>
  <c r="C74" i="34"/>
  <c r="B74" i="34"/>
  <c r="A74" i="34"/>
  <c r="H73" i="34"/>
  <c r="G73" i="34"/>
  <c r="F73" i="34"/>
  <c r="E73" i="34"/>
  <c r="D73" i="34"/>
  <c r="C73" i="34"/>
  <c r="B73" i="34"/>
  <c r="A73" i="34"/>
  <c r="H72" i="34"/>
  <c r="G72" i="34"/>
  <c r="F72" i="34"/>
  <c r="E72" i="34"/>
  <c r="D72" i="34"/>
  <c r="C72" i="34"/>
  <c r="B72" i="34"/>
  <c r="A72" i="34"/>
  <c r="H71" i="34"/>
  <c r="G71" i="34"/>
  <c r="F71" i="34"/>
  <c r="E71" i="34"/>
  <c r="D71" i="34"/>
  <c r="C71" i="34"/>
  <c r="B71" i="34"/>
  <c r="A71" i="34"/>
  <c r="H70" i="34"/>
  <c r="G70" i="34"/>
  <c r="F70" i="34"/>
  <c r="E70" i="34"/>
  <c r="D70" i="34"/>
  <c r="C70" i="34"/>
  <c r="B70" i="34"/>
  <c r="A70" i="34"/>
  <c r="H69" i="34"/>
  <c r="G69" i="34"/>
  <c r="F69" i="34"/>
  <c r="E69" i="34"/>
  <c r="D69" i="34"/>
  <c r="C69" i="34"/>
  <c r="B69" i="34"/>
  <c r="A69" i="34"/>
  <c r="H68" i="34"/>
  <c r="G68" i="34"/>
  <c r="F68" i="34"/>
  <c r="E68" i="34"/>
  <c r="D68" i="34"/>
  <c r="C68" i="34"/>
  <c r="B68" i="34"/>
  <c r="A68" i="34"/>
  <c r="H67" i="34"/>
  <c r="G67" i="34"/>
  <c r="F67" i="34"/>
  <c r="E67" i="34"/>
  <c r="D67" i="34"/>
  <c r="C67" i="34"/>
  <c r="B67" i="34"/>
  <c r="A67" i="34"/>
  <c r="H66" i="34"/>
  <c r="G66" i="34"/>
  <c r="F66" i="34"/>
  <c r="E66" i="34"/>
  <c r="D66" i="34"/>
  <c r="C66" i="34"/>
  <c r="B66" i="34"/>
  <c r="A66" i="34"/>
  <c r="H65" i="34"/>
  <c r="G65" i="34"/>
  <c r="F65" i="34"/>
  <c r="E65" i="34"/>
  <c r="D65" i="34"/>
  <c r="C65" i="34"/>
  <c r="B65" i="34"/>
  <c r="A65" i="34"/>
  <c r="H64" i="34"/>
  <c r="G64" i="34"/>
  <c r="F64" i="34"/>
  <c r="E64" i="34"/>
  <c r="D64" i="34"/>
  <c r="C64" i="34"/>
  <c r="B64" i="34"/>
  <c r="A64" i="34"/>
  <c r="H63" i="34"/>
  <c r="G63" i="34"/>
  <c r="F63" i="34"/>
  <c r="E63" i="34"/>
  <c r="D63" i="34"/>
  <c r="C63" i="34"/>
  <c r="B63" i="34"/>
  <c r="A63" i="34"/>
  <c r="H62" i="34"/>
  <c r="G62" i="34"/>
  <c r="F62" i="34"/>
  <c r="E62" i="34"/>
  <c r="D62" i="34"/>
  <c r="C62" i="34"/>
  <c r="B62" i="34"/>
  <c r="A62" i="34"/>
  <c r="H61" i="34"/>
  <c r="G61" i="34"/>
  <c r="F61" i="34"/>
  <c r="E61" i="34"/>
  <c r="D61" i="34"/>
  <c r="C61" i="34"/>
  <c r="B61" i="34"/>
  <c r="A61" i="34"/>
  <c r="H60" i="34"/>
  <c r="G60" i="34"/>
  <c r="F60" i="34"/>
  <c r="E60" i="34"/>
  <c r="D60" i="34"/>
  <c r="C60" i="34"/>
  <c r="B60" i="34"/>
  <c r="A60" i="34"/>
  <c r="H59" i="34"/>
  <c r="G59" i="34"/>
  <c r="F59" i="34"/>
  <c r="E59" i="34"/>
  <c r="D59" i="34"/>
  <c r="C59" i="34"/>
  <c r="B59" i="34"/>
  <c r="A59" i="34"/>
  <c r="H58" i="34"/>
  <c r="G58" i="34"/>
  <c r="F58" i="34"/>
  <c r="E58" i="34"/>
  <c r="D58" i="34"/>
  <c r="C58" i="34"/>
  <c r="B58" i="34"/>
  <c r="A58" i="34"/>
  <c r="H57" i="34"/>
  <c r="G57" i="34"/>
  <c r="F57" i="34"/>
  <c r="E57" i="34"/>
  <c r="D57" i="34"/>
  <c r="C57" i="34"/>
  <c r="B57" i="34"/>
  <c r="A57" i="34"/>
  <c r="H56" i="34"/>
  <c r="G56" i="34"/>
  <c r="F56" i="34"/>
  <c r="E56" i="34"/>
  <c r="D56" i="34"/>
  <c r="C56" i="34"/>
  <c r="B56" i="34"/>
  <c r="A56" i="34"/>
  <c r="H55" i="34"/>
  <c r="G55" i="34"/>
  <c r="F55" i="34"/>
  <c r="E55" i="34"/>
  <c r="D55" i="34"/>
  <c r="C55" i="34"/>
  <c r="B55" i="34"/>
  <c r="A55" i="34"/>
  <c r="H54" i="34"/>
  <c r="G54" i="34"/>
  <c r="F54" i="34"/>
  <c r="E54" i="34"/>
  <c r="D54" i="34"/>
  <c r="C54" i="34"/>
  <c r="B54" i="34"/>
  <c r="A54" i="34"/>
  <c r="H53" i="34"/>
  <c r="G53" i="34"/>
  <c r="F53" i="34"/>
  <c r="E53" i="34"/>
  <c r="D53" i="34"/>
  <c r="C53" i="34"/>
  <c r="B53" i="34"/>
  <c r="A53" i="34"/>
  <c r="H52" i="34"/>
  <c r="G52" i="34"/>
  <c r="F52" i="34"/>
  <c r="E52" i="34"/>
  <c r="D52" i="34"/>
  <c r="C52" i="34"/>
  <c r="B52" i="34"/>
  <c r="A52" i="34"/>
  <c r="H51" i="34"/>
  <c r="G51" i="34"/>
  <c r="F51" i="34"/>
  <c r="E51" i="34"/>
  <c r="D51" i="34"/>
  <c r="C51" i="34"/>
  <c r="B51" i="34"/>
  <c r="A51" i="34"/>
  <c r="H50" i="34"/>
  <c r="G50" i="34"/>
  <c r="F50" i="34"/>
  <c r="E50" i="34"/>
  <c r="D50" i="34"/>
  <c r="C50" i="34"/>
  <c r="B50" i="34"/>
  <c r="A50" i="34"/>
  <c r="H49" i="34"/>
  <c r="G49" i="34"/>
  <c r="F49" i="34"/>
  <c r="E49" i="34"/>
  <c r="D49" i="34"/>
  <c r="C49" i="34"/>
  <c r="B49" i="34"/>
  <c r="A49" i="34"/>
  <c r="H48" i="34"/>
  <c r="G48" i="34"/>
  <c r="F48" i="34"/>
  <c r="E48" i="34"/>
  <c r="D48" i="34"/>
  <c r="C48" i="34"/>
  <c r="B48" i="34"/>
  <c r="A48" i="34"/>
  <c r="H47" i="34"/>
  <c r="G47" i="34"/>
  <c r="F47" i="34"/>
  <c r="E47" i="34"/>
  <c r="D47" i="34"/>
  <c r="C47" i="34"/>
  <c r="B47" i="34"/>
  <c r="A47" i="34"/>
  <c r="H46" i="34"/>
  <c r="G46" i="34"/>
  <c r="F46" i="34"/>
  <c r="E46" i="34"/>
  <c r="D46" i="34"/>
  <c r="C46" i="34"/>
  <c r="B46" i="34"/>
  <c r="A46" i="34"/>
  <c r="H45" i="34"/>
  <c r="G45" i="34"/>
  <c r="F45" i="34"/>
  <c r="E45" i="34"/>
  <c r="D45" i="34"/>
  <c r="C45" i="34"/>
  <c r="B45" i="34"/>
  <c r="A45" i="34"/>
  <c r="H44" i="34"/>
  <c r="G44" i="34"/>
  <c r="F44" i="34"/>
  <c r="E44" i="34"/>
  <c r="D44" i="34"/>
  <c r="C44" i="34"/>
  <c r="B44" i="34"/>
  <c r="A44" i="34"/>
  <c r="H43" i="34"/>
  <c r="G43" i="34"/>
  <c r="F43" i="34"/>
  <c r="E43" i="34"/>
  <c r="D43" i="34"/>
  <c r="C43" i="34"/>
  <c r="B43" i="34"/>
  <c r="A43" i="34"/>
  <c r="H42" i="34"/>
  <c r="G42" i="34"/>
  <c r="F42" i="34"/>
  <c r="E42" i="34"/>
  <c r="D42" i="34"/>
  <c r="C42" i="34"/>
  <c r="B42" i="34"/>
  <c r="A42" i="34"/>
  <c r="H41" i="34"/>
  <c r="G41" i="34"/>
  <c r="F41" i="34"/>
  <c r="E41" i="34"/>
  <c r="D41" i="34"/>
  <c r="C41" i="34"/>
  <c r="B41" i="34"/>
  <c r="A41" i="34"/>
  <c r="H40" i="34"/>
  <c r="G40" i="34"/>
  <c r="F40" i="34"/>
  <c r="E40" i="34"/>
  <c r="D40" i="34"/>
  <c r="C40" i="34"/>
  <c r="B40" i="34"/>
  <c r="A40" i="34"/>
  <c r="H39" i="34"/>
  <c r="G39" i="34"/>
  <c r="F39" i="34"/>
  <c r="E39" i="34"/>
  <c r="D39" i="34"/>
  <c r="C39" i="34"/>
  <c r="B39" i="34"/>
  <c r="A39" i="34"/>
  <c r="H38" i="34"/>
  <c r="G38" i="34"/>
  <c r="F38" i="34"/>
  <c r="E38" i="34"/>
  <c r="D38" i="34"/>
  <c r="C38" i="34"/>
  <c r="B38" i="34"/>
  <c r="A38" i="34"/>
  <c r="H37" i="34"/>
  <c r="G37" i="34"/>
  <c r="F37" i="34"/>
  <c r="E37" i="34"/>
  <c r="D37" i="34"/>
  <c r="C37" i="34"/>
  <c r="B37" i="34"/>
  <c r="A37" i="34"/>
  <c r="H36" i="34"/>
  <c r="G36" i="34"/>
  <c r="F36" i="34"/>
  <c r="E36" i="34"/>
  <c r="D36" i="34"/>
  <c r="C36" i="34"/>
  <c r="B36" i="34"/>
  <c r="A36" i="34"/>
  <c r="H35" i="34"/>
  <c r="G35" i="34"/>
  <c r="F35" i="34"/>
  <c r="E35" i="34"/>
  <c r="D35" i="34"/>
  <c r="C35" i="34"/>
  <c r="B35" i="34"/>
  <c r="A35" i="34"/>
  <c r="H34" i="34"/>
  <c r="G34" i="34"/>
  <c r="F34" i="34"/>
  <c r="E34" i="34"/>
  <c r="D34" i="34"/>
  <c r="C34" i="34"/>
  <c r="B34" i="34"/>
  <c r="A34" i="34"/>
  <c r="H33" i="34"/>
  <c r="G33" i="34"/>
  <c r="F33" i="34"/>
  <c r="E33" i="34"/>
  <c r="D33" i="34"/>
  <c r="C33" i="34"/>
  <c r="B33" i="34"/>
  <c r="A33" i="34"/>
  <c r="H32" i="34"/>
  <c r="G32" i="34"/>
  <c r="F32" i="34"/>
  <c r="E32" i="34"/>
  <c r="D32" i="34"/>
  <c r="C32" i="34"/>
  <c r="B32" i="34"/>
  <c r="A32" i="34"/>
  <c r="H31" i="34"/>
  <c r="G31" i="34"/>
  <c r="F31" i="34"/>
  <c r="E31" i="34"/>
  <c r="D31" i="34"/>
  <c r="C31" i="34"/>
  <c r="B31" i="34"/>
  <c r="A31" i="34"/>
  <c r="H30" i="34"/>
  <c r="G30" i="34"/>
  <c r="F30" i="34"/>
  <c r="E30" i="34"/>
  <c r="D30" i="34"/>
  <c r="C30" i="34"/>
  <c r="B30" i="34"/>
  <c r="A30" i="34"/>
  <c r="H29" i="34"/>
  <c r="G29" i="34"/>
  <c r="F29" i="34"/>
  <c r="E29" i="34"/>
  <c r="D29" i="34"/>
  <c r="C29" i="34"/>
  <c r="B29" i="34"/>
  <c r="A29" i="34"/>
  <c r="H28" i="34"/>
  <c r="G28" i="34"/>
  <c r="F28" i="34"/>
  <c r="E28" i="34"/>
  <c r="D28" i="34"/>
  <c r="C28" i="34"/>
  <c r="B28" i="34"/>
  <c r="A28" i="34"/>
  <c r="H27" i="34"/>
  <c r="G27" i="34"/>
  <c r="F27" i="34"/>
  <c r="E27" i="34"/>
  <c r="D27" i="34"/>
  <c r="C27" i="34"/>
  <c r="B27" i="34"/>
  <c r="A27" i="34"/>
  <c r="H26" i="34"/>
  <c r="G26" i="34"/>
  <c r="F26" i="34"/>
  <c r="E26" i="34"/>
  <c r="D26" i="34"/>
  <c r="C26" i="34"/>
  <c r="B26" i="34"/>
  <c r="A26" i="34"/>
  <c r="H25" i="34"/>
  <c r="G25" i="34"/>
  <c r="F25" i="34"/>
  <c r="E25" i="34"/>
  <c r="D25" i="34"/>
  <c r="C25" i="34"/>
  <c r="B25" i="34"/>
  <c r="A25" i="34"/>
  <c r="H24" i="34"/>
  <c r="G24" i="34"/>
  <c r="F24" i="34"/>
  <c r="E24" i="34"/>
  <c r="D24" i="34"/>
  <c r="C24" i="34"/>
  <c r="B24" i="34"/>
  <c r="A24" i="34"/>
  <c r="H23" i="34"/>
  <c r="G23" i="34"/>
  <c r="F23" i="34"/>
  <c r="E23" i="34"/>
  <c r="D23" i="34"/>
  <c r="C23" i="34"/>
  <c r="B23" i="34"/>
  <c r="A23" i="34"/>
  <c r="H22" i="34"/>
  <c r="G22" i="34"/>
  <c r="F22" i="34"/>
  <c r="E22" i="34"/>
  <c r="D22" i="34"/>
  <c r="C22" i="34"/>
  <c r="B22" i="34"/>
  <c r="A22" i="34"/>
  <c r="H21" i="34"/>
  <c r="G21" i="34"/>
  <c r="F21" i="34"/>
  <c r="E21" i="34"/>
  <c r="D21" i="34"/>
  <c r="C21" i="34"/>
  <c r="B21" i="34"/>
  <c r="A21" i="34"/>
  <c r="H20" i="34"/>
  <c r="G20" i="34"/>
  <c r="F20" i="34"/>
  <c r="E20" i="34"/>
  <c r="D20" i="34"/>
  <c r="C20" i="34"/>
  <c r="B20" i="34"/>
  <c r="A20" i="34"/>
  <c r="H19" i="34"/>
  <c r="G19" i="34"/>
  <c r="F19" i="34"/>
  <c r="E19" i="34"/>
  <c r="D19" i="34"/>
  <c r="C19" i="34"/>
  <c r="B19" i="34"/>
  <c r="A19" i="34"/>
  <c r="H18" i="34"/>
  <c r="G18" i="34"/>
  <c r="F18" i="34"/>
  <c r="E18" i="34"/>
  <c r="D18" i="34"/>
  <c r="C18" i="34"/>
  <c r="B18" i="34"/>
  <c r="A18" i="34"/>
  <c r="H17" i="34"/>
  <c r="G17" i="34"/>
  <c r="F17" i="34"/>
  <c r="E17" i="34"/>
  <c r="D17" i="34"/>
  <c r="C17" i="34"/>
  <c r="B17" i="34"/>
  <c r="A17" i="34"/>
  <c r="H16" i="34"/>
  <c r="G16" i="34"/>
  <c r="F16" i="34"/>
  <c r="E16" i="34"/>
  <c r="D16" i="34"/>
  <c r="C16" i="34"/>
  <c r="B16" i="34"/>
  <c r="A16" i="34"/>
  <c r="H15" i="34"/>
  <c r="G15" i="34"/>
  <c r="F15" i="34"/>
  <c r="E15" i="34"/>
  <c r="D15" i="34"/>
  <c r="C15" i="34"/>
  <c r="B15" i="34"/>
  <c r="A15" i="34"/>
  <c r="H14" i="34"/>
  <c r="G14" i="34"/>
  <c r="F14" i="34"/>
  <c r="E14" i="34"/>
  <c r="D14" i="34"/>
  <c r="C14" i="34"/>
  <c r="B14" i="34"/>
  <c r="A14" i="34"/>
  <c r="H13" i="34"/>
  <c r="G13" i="34"/>
  <c r="F13" i="34"/>
  <c r="E13" i="34"/>
  <c r="D13" i="34"/>
  <c r="C13" i="34"/>
  <c r="B13" i="34"/>
  <c r="A13" i="34"/>
  <c r="H12" i="34"/>
  <c r="G12" i="34"/>
  <c r="F12" i="34"/>
  <c r="E12" i="34"/>
  <c r="D12" i="34"/>
  <c r="C12" i="34"/>
  <c r="B12" i="34"/>
  <c r="A12" i="34"/>
  <c r="H11" i="34"/>
  <c r="G11" i="34"/>
  <c r="F11" i="34"/>
  <c r="E11" i="34"/>
  <c r="D11" i="34"/>
  <c r="C11" i="34"/>
  <c r="B11" i="34"/>
  <c r="A11" i="34"/>
  <c r="H10" i="34"/>
  <c r="G10" i="34"/>
  <c r="F10" i="34"/>
  <c r="E10" i="34"/>
  <c r="D10" i="34"/>
  <c r="C10" i="34"/>
  <c r="B10" i="34"/>
  <c r="A10" i="34"/>
  <c r="H9" i="34"/>
  <c r="G9" i="34"/>
  <c r="F9" i="34"/>
  <c r="E9" i="34"/>
  <c r="D9" i="34"/>
  <c r="C9" i="34"/>
  <c r="B9" i="34"/>
  <c r="A9" i="34"/>
  <c r="H8" i="34"/>
  <c r="G8" i="34"/>
  <c r="F8" i="34"/>
  <c r="E8" i="34"/>
  <c r="D8" i="34"/>
  <c r="C8" i="34"/>
  <c r="B8" i="34"/>
  <c r="A8" i="34"/>
  <c r="H7" i="34"/>
  <c r="G7" i="34"/>
  <c r="F7" i="34"/>
  <c r="E7" i="34"/>
  <c r="D7" i="34"/>
  <c r="C7" i="34"/>
  <c r="B7" i="34"/>
  <c r="A7" i="34"/>
  <c r="H6" i="34"/>
  <c r="G6" i="34"/>
  <c r="F6" i="34"/>
  <c r="E6" i="34"/>
  <c r="D6" i="34"/>
  <c r="C6" i="34"/>
  <c r="B6" i="34"/>
  <c r="A6" i="34"/>
  <c r="H5" i="34"/>
  <c r="G5" i="34"/>
  <c r="F5" i="34"/>
  <c r="E5" i="34"/>
  <c r="D5" i="34"/>
  <c r="C5" i="34"/>
  <c r="B5" i="34"/>
  <c r="A5" i="34"/>
  <c r="H4" i="34"/>
  <c r="G4" i="34"/>
  <c r="F4" i="34"/>
  <c r="E4" i="34"/>
  <c r="D4" i="34"/>
  <c r="C4" i="34"/>
  <c r="B4" i="34"/>
  <c r="A4" i="34"/>
  <c r="H3" i="34"/>
  <c r="G3" i="34"/>
  <c r="F3" i="34"/>
  <c r="E3" i="34"/>
  <c r="D3" i="34"/>
  <c r="C3" i="34"/>
  <c r="B3" i="34"/>
  <c r="A3" i="34"/>
  <c r="H2" i="34"/>
  <c r="G2" i="34"/>
  <c r="F2" i="34"/>
  <c r="E2" i="34"/>
  <c r="D2" i="34"/>
  <c r="C2" i="34"/>
  <c r="B2" i="34"/>
  <c r="A2" i="34"/>
  <c r="H1" i="34"/>
  <c r="G1" i="34"/>
  <c r="F1" i="34"/>
  <c r="E1" i="34"/>
  <c r="D1" i="34"/>
  <c r="C1" i="34"/>
  <c r="B1" i="34"/>
  <c r="A1" i="34"/>
  <c r="H277" i="33"/>
  <c r="G277" i="33"/>
  <c r="F277" i="33"/>
  <c r="E277" i="33"/>
  <c r="D277" i="33"/>
  <c r="C277" i="33"/>
  <c r="B277" i="33"/>
  <c r="A277" i="33"/>
  <c r="H276" i="33"/>
  <c r="G276" i="33"/>
  <c r="F276" i="33"/>
  <c r="E276" i="33"/>
  <c r="D276" i="33"/>
  <c r="C276" i="33"/>
  <c r="B276" i="33"/>
  <c r="A276" i="33"/>
  <c r="H275" i="33"/>
  <c r="G275" i="33"/>
  <c r="F275" i="33"/>
  <c r="E275" i="33"/>
  <c r="D275" i="33"/>
  <c r="C275" i="33"/>
  <c r="B275" i="33"/>
  <c r="A275" i="33"/>
  <c r="H274" i="33"/>
  <c r="G274" i="33"/>
  <c r="F274" i="33"/>
  <c r="E274" i="33"/>
  <c r="D274" i="33"/>
  <c r="C274" i="33"/>
  <c r="B274" i="33"/>
  <c r="A274" i="33"/>
  <c r="H273" i="33"/>
  <c r="G273" i="33"/>
  <c r="F273" i="33"/>
  <c r="E273" i="33"/>
  <c r="D273" i="33"/>
  <c r="C273" i="33"/>
  <c r="B273" i="33"/>
  <c r="A273" i="33"/>
  <c r="H272" i="33"/>
  <c r="G272" i="33"/>
  <c r="F272" i="33"/>
  <c r="E272" i="33"/>
  <c r="D272" i="33"/>
  <c r="C272" i="33"/>
  <c r="B272" i="33"/>
  <c r="A272" i="33"/>
  <c r="H271" i="33"/>
  <c r="G271" i="33"/>
  <c r="F271" i="33"/>
  <c r="E271" i="33"/>
  <c r="D271" i="33"/>
  <c r="C271" i="33"/>
  <c r="B271" i="33"/>
  <c r="A271" i="33"/>
  <c r="H270" i="33"/>
  <c r="G270" i="33"/>
  <c r="F270" i="33"/>
  <c r="E270" i="33"/>
  <c r="D270" i="33"/>
  <c r="C270" i="33"/>
  <c r="B270" i="33"/>
  <c r="A270" i="33"/>
  <c r="H269" i="33"/>
  <c r="G269" i="33"/>
  <c r="F269" i="33"/>
  <c r="E269" i="33"/>
  <c r="D269" i="33"/>
  <c r="C269" i="33"/>
  <c r="B269" i="33"/>
  <c r="A269" i="33"/>
  <c r="H268" i="33"/>
  <c r="G268" i="33"/>
  <c r="F268" i="33"/>
  <c r="E268" i="33"/>
  <c r="D268" i="33"/>
  <c r="C268" i="33"/>
  <c r="B268" i="33"/>
  <c r="A268" i="33"/>
  <c r="H267" i="33"/>
  <c r="G267" i="33"/>
  <c r="F267" i="33"/>
  <c r="E267" i="33"/>
  <c r="D267" i="33"/>
  <c r="C267" i="33"/>
  <c r="B267" i="33"/>
  <c r="A267" i="33"/>
  <c r="H266" i="33"/>
  <c r="G266" i="33"/>
  <c r="F266" i="33"/>
  <c r="E266" i="33"/>
  <c r="D266" i="33"/>
  <c r="C266" i="33"/>
  <c r="B266" i="33"/>
  <c r="A266" i="33"/>
  <c r="H265" i="33"/>
  <c r="G265" i="33"/>
  <c r="F265" i="33"/>
  <c r="E265" i="33"/>
  <c r="D265" i="33"/>
  <c r="C265" i="33"/>
  <c r="B265" i="33"/>
  <c r="A265" i="33"/>
  <c r="H264" i="33"/>
  <c r="G264" i="33"/>
  <c r="F264" i="33"/>
  <c r="E264" i="33"/>
  <c r="D264" i="33"/>
  <c r="C264" i="33"/>
  <c r="B264" i="33"/>
  <c r="A264" i="33"/>
  <c r="H263" i="33"/>
  <c r="G263" i="33"/>
  <c r="F263" i="33"/>
  <c r="E263" i="33"/>
  <c r="D263" i="33"/>
  <c r="C263" i="33"/>
  <c r="B263" i="33"/>
  <c r="A263" i="33"/>
  <c r="H262" i="33"/>
  <c r="G262" i="33"/>
  <c r="F262" i="33"/>
  <c r="E262" i="33"/>
  <c r="D262" i="33"/>
  <c r="C262" i="33"/>
  <c r="B262" i="33"/>
  <c r="A262" i="33"/>
  <c r="H261" i="33"/>
  <c r="G261" i="33"/>
  <c r="F261" i="33"/>
  <c r="E261" i="33"/>
  <c r="D261" i="33"/>
  <c r="C261" i="33"/>
  <c r="B261" i="33"/>
  <c r="A261" i="33"/>
  <c r="H260" i="33"/>
  <c r="G260" i="33"/>
  <c r="F260" i="33"/>
  <c r="E260" i="33"/>
  <c r="D260" i="33"/>
  <c r="C260" i="33"/>
  <c r="B260" i="33"/>
  <c r="A260" i="33"/>
  <c r="H259" i="33"/>
  <c r="G259" i="33"/>
  <c r="F259" i="33"/>
  <c r="E259" i="33"/>
  <c r="D259" i="33"/>
  <c r="C259" i="33"/>
  <c r="B259" i="33"/>
  <c r="A259" i="33"/>
  <c r="H258" i="33"/>
  <c r="G258" i="33"/>
  <c r="F258" i="33"/>
  <c r="E258" i="33"/>
  <c r="D258" i="33"/>
  <c r="C258" i="33"/>
  <c r="B258" i="33"/>
  <c r="A258" i="33"/>
  <c r="H257" i="33"/>
  <c r="G257" i="33"/>
  <c r="F257" i="33"/>
  <c r="E257" i="33"/>
  <c r="D257" i="33"/>
  <c r="C257" i="33"/>
  <c r="B257" i="33"/>
  <c r="A257" i="33"/>
  <c r="H256" i="33"/>
  <c r="G256" i="33"/>
  <c r="F256" i="33"/>
  <c r="E256" i="33"/>
  <c r="D256" i="33"/>
  <c r="C256" i="33"/>
  <c r="B256" i="33"/>
  <c r="A256" i="33"/>
  <c r="H255" i="33"/>
  <c r="G255" i="33"/>
  <c r="F255" i="33"/>
  <c r="E255" i="33"/>
  <c r="D255" i="33"/>
  <c r="C255" i="33"/>
  <c r="B255" i="33"/>
  <c r="A255" i="33"/>
  <c r="H254" i="33"/>
  <c r="G254" i="33"/>
  <c r="F254" i="33"/>
  <c r="E254" i="33"/>
  <c r="D254" i="33"/>
  <c r="C254" i="33"/>
  <c r="B254" i="33"/>
  <c r="A254" i="33"/>
  <c r="H253" i="33"/>
  <c r="G253" i="33"/>
  <c r="F253" i="33"/>
  <c r="E253" i="33"/>
  <c r="D253" i="33"/>
  <c r="C253" i="33"/>
  <c r="B253" i="33"/>
  <c r="A253" i="33"/>
  <c r="H252" i="33"/>
  <c r="G252" i="33"/>
  <c r="F252" i="33"/>
  <c r="E252" i="33"/>
  <c r="D252" i="33"/>
  <c r="C252" i="33"/>
  <c r="B252" i="33"/>
  <c r="A252" i="33"/>
  <c r="H251" i="33"/>
  <c r="G251" i="33"/>
  <c r="F251" i="33"/>
  <c r="E251" i="33"/>
  <c r="D251" i="33"/>
  <c r="C251" i="33"/>
  <c r="B251" i="33"/>
  <c r="A251" i="33"/>
  <c r="H250" i="33"/>
  <c r="G250" i="33"/>
  <c r="F250" i="33"/>
  <c r="E250" i="33"/>
  <c r="D250" i="33"/>
  <c r="C250" i="33"/>
  <c r="B250" i="33"/>
  <c r="A250" i="33"/>
  <c r="H249" i="33"/>
  <c r="G249" i="33"/>
  <c r="F249" i="33"/>
  <c r="E249" i="33"/>
  <c r="D249" i="33"/>
  <c r="C249" i="33"/>
  <c r="B249" i="33"/>
  <c r="A249" i="33"/>
  <c r="H248" i="33"/>
  <c r="G248" i="33"/>
  <c r="F248" i="33"/>
  <c r="E248" i="33"/>
  <c r="D248" i="33"/>
  <c r="C248" i="33"/>
  <c r="B248" i="33"/>
  <c r="A248" i="33"/>
  <c r="H247" i="33"/>
  <c r="G247" i="33"/>
  <c r="F247" i="33"/>
  <c r="E247" i="33"/>
  <c r="D247" i="33"/>
  <c r="C247" i="33"/>
  <c r="B247" i="33"/>
  <c r="A247" i="33"/>
  <c r="H246" i="33"/>
  <c r="G246" i="33"/>
  <c r="F246" i="33"/>
  <c r="E246" i="33"/>
  <c r="D246" i="33"/>
  <c r="C246" i="33"/>
  <c r="B246" i="33"/>
  <c r="A246" i="33"/>
  <c r="H245" i="33"/>
  <c r="G245" i="33"/>
  <c r="F245" i="33"/>
  <c r="E245" i="33"/>
  <c r="D245" i="33"/>
  <c r="C245" i="33"/>
  <c r="B245" i="33"/>
  <c r="A245" i="33"/>
  <c r="H244" i="33"/>
  <c r="G244" i="33"/>
  <c r="F244" i="33"/>
  <c r="E244" i="33"/>
  <c r="D244" i="33"/>
  <c r="C244" i="33"/>
  <c r="B244" i="33"/>
  <c r="A244" i="33"/>
  <c r="H243" i="33"/>
  <c r="G243" i="33"/>
  <c r="F243" i="33"/>
  <c r="E243" i="33"/>
  <c r="D243" i="33"/>
  <c r="C243" i="33"/>
  <c r="B243" i="33"/>
  <c r="A243" i="33"/>
  <c r="H242" i="33"/>
  <c r="G242" i="33"/>
  <c r="F242" i="33"/>
  <c r="E242" i="33"/>
  <c r="D242" i="33"/>
  <c r="C242" i="33"/>
  <c r="B242" i="33"/>
  <c r="A242" i="33"/>
  <c r="H241" i="33"/>
  <c r="G241" i="33"/>
  <c r="F241" i="33"/>
  <c r="E241" i="33"/>
  <c r="D241" i="33"/>
  <c r="C241" i="33"/>
  <c r="B241" i="33"/>
  <c r="A241" i="33"/>
  <c r="H240" i="33"/>
  <c r="G240" i="33"/>
  <c r="F240" i="33"/>
  <c r="E240" i="33"/>
  <c r="D240" i="33"/>
  <c r="C240" i="33"/>
  <c r="B240" i="33"/>
  <c r="A240" i="33"/>
  <c r="H239" i="33"/>
  <c r="G239" i="33"/>
  <c r="F239" i="33"/>
  <c r="E239" i="33"/>
  <c r="D239" i="33"/>
  <c r="C239" i="33"/>
  <c r="B239" i="33"/>
  <c r="A239" i="33"/>
  <c r="H238" i="33"/>
  <c r="G238" i="33"/>
  <c r="F238" i="33"/>
  <c r="E238" i="33"/>
  <c r="D238" i="33"/>
  <c r="C238" i="33"/>
  <c r="B238" i="33"/>
  <c r="A238" i="33"/>
  <c r="H237" i="33"/>
  <c r="G237" i="33"/>
  <c r="F237" i="33"/>
  <c r="E237" i="33"/>
  <c r="D237" i="33"/>
  <c r="C237" i="33"/>
  <c r="B237" i="33"/>
  <c r="A237" i="33"/>
  <c r="H236" i="33"/>
  <c r="G236" i="33"/>
  <c r="F236" i="33"/>
  <c r="E236" i="33"/>
  <c r="D236" i="33"/>
  <c r="C236" i="33"/>
  <c r="B236" i="33"/>
  <c r="A236" i="33"/>
  <c r="H235" i="33"/>
  <c r="G235" i="33"/>
  <c r="F235" i="33"/>
  <c r="E235" i="33"/>
  <c r="D235" i="33"/>
  <c r="C235" i="33"/>
  <c r="B235" i="33"/>
  <c r="A235" i="33"/>
  <c r="H234" i="33"/>
  <c r="G234" i="33"/>
  <c r="F234" i="33"/>
  <c r="E234" i="33"/>
  <c r="D234" i="33"/>
  <c r="C234" i="33"/>
  <c r="B234" i="33"/>
  <c r="A234" i="33"/>
  <c r="H233" i="33"/>
  <c r="G233" i="33"/>
  <c r="F233" i="33"/>
  <c r="E233" i="33"/>
  <c r="D233" i="33"/>
  <c r="C233" i="33"/>
  <c r="B233" i="33"/>
  <c r="A233" i="33"/>
  <c r="H232" i="33"/>
  <c r="G232" i="33"/>
  <c r="F232" i="33"/>
  <c r="E232" i="33"/>
  <c r="D232" i="33"/>
  <c r="C232" i="33"/>
  <c r="B232" i="33"/>
  <c r="A232" i="33"/>
  <c r="H231" i="33"/>
  <c r="G231" i="33"/>
  <c r="F231" i="33"/>
  <c r="E231" i="33"/>
  <c r="D231" i="33"/>
  <c r="C231" i="33"/>
  <c r="B231" i="33"/>
  <c r="A231" i="33"/>
  <c r="H230" i="33"/>
  <c r="G230" i="33"/>
  <c r="F230" i="33"/>
  <c r="E230" i="33"/>
  <c r="D230" i="33"/>
  <c r="C230" i="33"/>
  <c r="B230" i="33"/>
  <c r="A230" i="33"/>
  <c r="H229" i="33"/>
  <c r="G229" i="33"/>
  <c r="F229" i="33"/>
  <c r="E229" i="33"/>
  <c r="D229" i="33"/>
  <c r="C229" i="33"/>
  <c r="B229" i="33"/>
  <c r="A229" i="33"/>
  <c r="H228" i="33"/>
  <c r="G228" i="33"/>
  <c r="F228" i="33"/>
  <c r="E228" i="33"/>
  <c r="D228" i="33"/>
  <c r="C228" i="33"/>
  <c r="B228" i="33"/>
  <c r="A228" i="33"/>
  <c r="H227" i="33"/>
  <c r="G227" i="33"/>
  <c r="F227" i="33"/>
  <c r="E227" i="33"/>
  <c r="D227" i="33"/>
  <c r="C227" i="33"/>
  <c r="B227" i="33"/>
  <c r="A227" i="33"/>
  <c r="H226" i="33"/>
  <c r="G226" i="33"/>
  <c r="F226" i="33"/>
  <c r="E226" i="33"/>
  <c r="D226" i="33"/>
  <c r="C226" i="33"/>
  <c r="B226" i="33"/>
  <c r="A226" i="33"/>
  <c r="H225" i="33"/>
  <c r="G225" i="33"/>
  <c r="F225" i="33"/>
  <c r="E225" i="33"/>
  <c r="D225" i="33"/>
  <c r="C225" i="33"/>
  <c r="B225" i="33"/>
  <c r="A225" i="33"/>
  <c r="H224" i="33"/>
  <c r="G224" i="33"/>
  <c r="F224" i="33"/>
  <c r="E224" i="33"/>
  <c r="D224" i="33"/>
  <c r="C224" i="33"/>
  <c r="B224" i="33"/>
  <c r="A224" i="33"/>
  <c r="H223" i="33"/>
  <c r="G223" i="33"/>
  <c r="F223" i="33"/>
  <c r="E223" i="33"/>
  <c r="D223" i="33"/>
  <c r="C223" i="33"/>
  <c r="B223" i="33"/>
  <c r="A223" i="33"/>
  <c r="H222" i="33"/>
  <c r="G222" i="33"/>
  <c r="F222" i="33"/>
  <c r="E222" i="33"/>
  <c r="D222" i="33"/>
  <c r="C222" i="33"/>
  <c r="B222" i="33"/>
  <c r="A222" i="33"/>
  <c r="H221" i="33"/>
  <c r="G221" i="33"/>
  <c r="F221" i="33"/>
  <c r="E221" i="33"/>
  <c r="D221" i="33"/>
  <c r="C221" i="33"/>
  <c r="B221" i="33"/>
  <c r="A221" i="33"/>
  <c r="H220" i="33"/>
  <c r="G220" i="33"/>
  <c r="F220" i="33"/>
  <c r="E220" i="33"/>
  <c r="D220" i="33"/>
  <c r="C220" i="33"/>
  <c r="B220" i="33"/>
  <c r="A220" i="33"/>
  <c r="H219" i="33"/>
  <c r="G219" i="33"/>
  <c r="F219" i="33"/>
  <c r="E219" i="33"/>
  <c r="D219" i="33"/>
  <c r="C219" i="33"/>
  <c r="B219" i="33"/>
  <c r="A219" i="33"/>
  <c r="H218" i="33"/>
  <c r="G218" i="33"/>
  <c r="F218" i="33"/>
  <c r="E218" i="33"/>
  <c r="D218" i="33"/>
  <c r="C218" i="33"/>
  <c r="B218" i="33"/>
  <c r="A218" i="33"/>
  <c r="H217" i="33"/>
  <c r="G217" i="33"/>
  <c r="F217" i="33"/>
  <c r="E217" i="33"/>
  <c r="D217" i="33"/>
  <c r="C217" i="33"/>
  <c r="B217" i="33"/>
  <c r="A217" i="33"/>
  <c r="H216" i="33"/>
  <c r="G216" i="33"/>
  <c r="F216" i="33"/>
  <c r="E216" i="33"/>
  <c r="D216" i="33"/>
  <c r="C216" i="33"/>
  <c r="B216" i="33"/>
  <c r="A216" i="33"/>
  <c r="H215" i="33"/>
  <c r="G215" i="33"/>
  <c r="F215" i="33"/>
  <c r="E215" i="33"/>
  <c r="D215" i="33"/>
  <c r="C215" i="33"/>
  <c r="B215" i="33"/>
  <c r="A215" i="33"/>
  <c r="H214" i="33"/>
  <c r="G214" i="33"/>
  <c r="F214" i="33"/>
  <c r="E214" i="33"/>
  <c r="D214" i="33"/>
  <c r="C214" i="33"/>
  <c r="B214" i="33"/>
  <c r="A214" i="33"/>
  <c r="H213" i="33"/>
  <c r="G213" i="33"/>
  <c r="F213" i="33"/>
  <c r="E213" i="33"/>
  <c r="D213" i="33"/>
  <c r="C213" i="33"/>
  <c r="B213" i="33"/>
  <c r="A213" i="33"/>
  <c r="H212" i="33"/>
  <c r="G212" i="33"/>
  <c r="F212" i="33"/>
  <c r="E212" i="33"/>
  <c r="D212" i="33"/>
  <c r="C212" i="33"/>
  <c r="B212" i="33"/>
  <c r="A212" i="33"/>
  <c r="H211" i="33"/>
  <c r="G211" i="33"/>
  <c r="F211" i="33"/>
  <c r="E211" i="33"/>
  <c r="D211" i="33"/>
  <c r="C211" i="33"/>
  <c r="B211" i="33"/>
  <c r="A211" i="33"/>
  <c r="H210" i="33"/>
  <c r="G210" i="33"/>
  <c r="F210" i="33"/>
  <c r="E210" i="33"/>
  <c r="D210" i="33"/>
  <c r="C210" i="33"/>
  <c r="B210" i="33"/>
  <c r="A210" i="33"/>
  <c r="H209" i="33"/>
  <c r="G209" i="33"/>
  <c r="F209" i="33"/>
  <c r="E209" i="33"/>
  <c r="D209" i="33"/>
  <c r="C209" i="33"/>
  <c r="B209" i="33"/>
  <c r="A209" i="33"/>
  <c r="H208" i="33"/>
  <c r="G208" i="33"/>
  <c r="F208" i="33"/>
  <c r="E208" i="33"/>
  <c r="D208" i="33"/>
  <c r="C208" i="33"/>
  <c r="B208" i="33"/>
  <c r="A208" i="33"/>
  <c r="H207" i="33"/>
  <c r="G207" i="33"/>
  <c r="F207" i="33"/>
  <c r="E207" i="33"/>
  <c r="D207" i="33"/>
  <c r="C207" i="33"/>
  <c r="B207" i="33"/>
  <c r="A207" i="33"/>
  <c r="H206" i="33"/>
  <c r="G206" i="33"/>
  <c r="F206" i="33"/>
  <c r="E206" i="33"/>
  <c r="D206" i="33"/>
  <c r="C206" i="33"/>
  <c r="B206" i="33"/>
  <c r="A206" i="33"/>
  <c r="H205" i="33"/>
  <c r="G205" i="33"/>
  <c r="F205" i="33"/>
  <c r="E205" i="33"/>
  <c r="D205" i="33"/>
  <c r="C205" i="33"/>
  <c r="B205" i="33"/>
  <c r="A205" i="33"/>
  <c r="H204" i="33"/>
  <c r="G204" i="33"/>
  <c r="F204" i="33"/>
  <c r="E204" i="33"/>
  <c r="D204" i="33"/>
  <c r="C204" i="33"/>
  <c r="B204" i="33"/>
  <c r="A204" i="33"/>
  <c r="H203" i="33"/>
  <c r="G203" i="33"/>
  <c r="F203" i="33"/>
  <c r="E203" i="33"/>
  <c r="D203" i="33"/>
  <c r="C203" i="33"/>
  <c r="B203" i="33"/>
  <c r="A203" i="33"/>
  <c r="H202" i="33"/>
  <c r="G202" i="33"/>
  <c r="F202" i="33"/>
  <c r="E202" i="33"/>
  <c r="D202" i="33"/>
  <c r="C202" i="33"/>
  <c r="B202" i="33"/>
  <c r="A202" i="33"/>
  <c r="H201" i="33"/>
  <c r="G201" i="33"/>
  <c r="F201" i="33"/>
  <c r="E201" i="33"/>
  <c r="D201" i="33"/>
  <c r="C201" i="33"/>
  <c r="B201" i="33"/>
  <c r="A201" i="33"/>
  <c r="H200" i="33"/>
  <c r="G200" i="33"/>
  <c r="F200" i="33"/>
  <c r="E200" i="33"/>
  <c r="D200" i="33"/>
  <c r="C200" i="33"/>
  <c r="B200" i="33"/>
  <c r="A200" i="33"/>
  <c r="H199" i="33"/>
  <c r="G199" i="33"/>
  <c r="F199" i="33"/>
  <c r="E199" i="33"/>
  <c r="D199" i="33"/>
  <c r="C199" i="33"/>
  <c r="B199" i="33"/>
  <c r="A199" i="33"/>
  <c r="H198" i="33"/>
  <c r="G198" i="33"/>
  <c r="F198" i="33"/>
  <c r="E198" i="33"/>
  <c r="D198" i="33"/>
  <c r="C198" i="33"/>
  <c r="B198" i="33"/>
  <c r="A198" i="33"/>
  <c r="H197" i="33"/>
  <c r="G197" i="33"/>
  <c r="F197" i="33"/>
  <c r="E197" i="33"/>
  <c r="D197" i="33"/>
  <c r="C197" i="33"/>
  <c r="B197" i="33"/>
  <c r="A197" i="33"/>
  <c r="H196" i="33"/>
  <c r="G196" i="33"/>
  <c r="F196" i="33"/>
  <c r="E196" i="33"/>
  <c r="D196" i="33"/>
  <c r="C196" i="33"/>
  <c r="B196" i="33"/>
  <c r="A196" i="33"/>
  <c r="H195" i="33"/>
  <c r="G195" i="33"/>
  <c r="F195" i="33"/>
  <c r="E195" i="33"/>
  <c r="D195" i="33"/>
  <c r="C195" i="33"/>
  <c r="B195" i="33"/>
  <c r="A195" i="33"/>
  <c r="H194" i="33"/>
  <c r="G194" i="33"/>
  <c r="F194" i="33"/>
  <c r="E194" i="33"/>
  <c r="D194" i="33"/>
  <c r="C194" i="33"/>
  <c r="B194" i="33"/>
  <c r="A194" i="33"/>
  <c r="H193" i="33"/>
  <c r="G193" i="33"/>
  <c r="F193" i="33"/>
  <c r="E193" i="33"/>
  <c r="D193" i="33"/>
  <c r="C193" i="33"/>
  <c r="B193" i="33"/>
  <c r="A193" i="33"/>
  <c r="H192" i="33"/>
  <c r="G192" i="33"/>
  <c r="F192" i="33"/>
  <c r="E192" i="33"/>
  <c r="D192" i="33"/>
  <c r="C192" i="33"/>
  <c r="B192" i="33"/>
  <c r="A192" i="33"/>
  <c r="H191" i="33"/>
  <c r="G191" i="33"/>
  <c r="F191" i="33"/>
  <c r="E191" i="33"/>
  <c r="D191" i="33"/>
  <c r="C191" i="33"/>
  <c r="B191" i="33"/>
  <c r="A191" i="33"/>
  <c r="H190" i="33"/>
  <c r="G190" i="33"/>
  <c r="F190" i="33"/>
  <c r="E190" i="33"/>
  <c r="D190" i="33"/>
  <c r="C190" i="33"/>
  <c r="B190" i="33"/>
  <c r="A190" i="33"/>
  <c r="H189" i="33"/>
  <c r="G189" i="33"/>
  <c r="F189" i="33"/>
  <c r="E189" i="33"/>
  <c r="D189" i="33"/>
  <c r="C189" i="33"/>
  <c r="B189" i="33"/>
  <c r="A189" i="33"/>
  <c r="H188" i="33"/>
  <c r="G188" i="33"/>
  <c r="F188" i="33"/>
  <c r="E188" i="33"/>
  <c r="D188" i="33"/>
  <c r="C188" i="33"/>
  <c r="B188" i="33"/>
  <c r="A188" i="33"/>
  <c r="H187" i="33"/>
  <c r="G187" i="33"/>
  <c r="F187" i="33"/>
  <c r="E187" i="33"/>
  <c r="D187" i="33"/>
  <c r="C187" i="33"/>
  <c r="B187" i="33"/>
  <c r="A187" i="33"/>
  <c r="H186" i="33"/>
  <c r="G186" i="33"/>
  <c r="F186" i="33"/>
  <c r="E186" i="33"/>
  <c r="D186" i="33"/>
  <c r="C186" i="33"/>
  <c r="B186" i="33"/>
  <c r="A186" i="33"/>
  <c r="H185" i="33"/>
  <c r="G185" i="33"/>
  <c r="F185" i="33"/>
  <c r="E185" i="33"/>
  <c r="D185" i="33"/>
  <c r="C185" i="33"/>
  <c r="B185" i="33"/>
  <c r="A185" i="33"/>
  <c r="H184" i="33"/>
  <c r="G184" i="33"/>
  <c r="F184" i="33"/>
  <c r="E184" i="33"/>
  <c r="D184" i="33"/>
  <c r="C184" i="33"/>
  <c r="B184" i="33"/>
  <c r="A184" i="33"/>
  <c r="H183" i="33"/>
  <c r="G183" i="33"/>
  <c r="F183" i="33"/>
  <c r="E183" i="33"/>
  <c r="D183" i="33"/>
  <c r="C183" i="33"/>
  <c r="B183" i="33"/>
  <c r="A183" i="33"/>
  <c r="H182" i="33"/>
  <c r="G182" i="33"/>
  <c r="F182" i="33"/>
  <c r="E182" i="33"/>
  <c r="D182" i="33"/>
  <c r="C182" i="33"/>
  <c r="B182" i="33"/>
  <c r="A182" i="33"/>
  <c r="H181" i="33"/>
  <c r="G181" i="33"/>
  <c r="F181" i="33"/>
  <c r="E181" i="33"/>
  <c r="D181" i="33"/>
  <c r="C181" i="33"/>
  <c r="B181" i="33"/>
  <c r="A181" i="33"/>
  <c r="H180" i="33"/>
  <c r="G180" i="33"/>
  <c r="F180" i="33"/>
  <c r="E180" i="33"/>
  <c r="D180" i="33"/>
  <c r="C180" i="33"/>
  <c r="B180" i="33"/>
  <c r="A180" i="33"/>
  <c r="H179" i="33"/>
  <c r="G179" i="33"/>
  <c r="F179" i="33"/>
  <c r="E179" i="33"/>
  <c r="D179" i="33"/>
  <c r="C179" i="33"/>
  <c r="B179" i="33"/>
  <c r="A179" i="33"/>
  <c r="H178" i="33"/>
  <c r="G178" i="33"/>
  <c r="F178" i="33"/>
  <c r="E178" i="33"/>
  <c r="D178" i="33"/>
  <c r="C178" i="33"/>
  <c r="B178" i="33"/>
  <c r="A178" i="33"/>
  <c r="H177" i="33"/>
  <c r="G177" i="33"/>
  <c r="F177" i="33"/>
  <c r="E177" i="33"/>
  <c r="D177" i="33"/>
  <c r="C177" i="33"/>
  <c r="B177" i="33"/>
  <c r="A177" i="33"/>
  <c r="H176" i="33"/>
  <c r="G176" i="33"/>
  <c r="F176" i="33"/>
  <c r="E176" i="33"/>
  <c r="D176" i="33"/>
  <c r="C176" i="33"/>
  <c r="B176" i="33"/>
  <c r="A176" i="33"/>
  <c r="H175" i="33"/>
  <c r="G175" i="33"/>
  <c r="F175" i="33"/>
  <c r="E175" i="33"/>
  <c r="D175" i="33"/>
  <c r="C175" i="33"/>
  <c r="B175" i="33"/>
  <c r="A175" i="33"/>
  <c r="H174" i="33"/>
  <c r="G174" i="33"/>
  <c r="F174" i="33"/>
  <c r="E174" i="33"/>
  <c r="D174" i="33"/>
  <c r="C174" i="33"/>
  <c r="B174" i="33"/>
  <c r="A174" i="33"/>
  <c r="H173" i="33"/>
  <c r="G173" i="33"/>
  <c r="F173" i="33"/>
  <c r="E173" i="33"/>
  <c r="D173" i="33"/>
  <c r="C173" i="33"/>
  <c r="B173" i="33"/>
  <c r="A173" i="33"/>
  <c r="H172" i="33"/>
  <c r="G172" i="33"/>
  <c r="F172" i="33"/>
  <c r="E172" i="33"/>
  <c r="D172" i="33"/>
  <c r="C172" i="33"/>
  <c r="B172" i="33"/>
  <c r="A172" i="33"/>
  <c r="H171" i="33"/>
  <c r="G171" i="33"/>
  <c r="F171" i="33"/>
  <c r="E171" i="33"/>
  <c r="D171" i="33"/>
  <c r="C171" i="33"/>
  <c r="B171" i="33"/>
  <c r="A171" i="33"/>
  <c r="H170" i="33"/>
  <c r="G170" i="33"/>
  <c r="F170" i="33"/>
  <c r="E170" i="33"/>
  <c r="D170" i="33"/>
  <c r="C170" i="33"/>
  <c r="B170" i="33"/>
  <c r="A170" i="33"/>
  <c r="H169" i="33"/>
  <c r="G169" i="33"/>
  <c r="F169" i="33"/>
  <c r="E169" i="33"/>
  <c r="D169" i="33"/>
  <c r="C169" i="33"/>
  <c r="B169" i="33"/>
  <c r="A169" i="33"/>
  <c r="H168" i="33"/>
  <c r="G168" i="33"/>
  <c r="F168" i="33"/>
  <c r="E168" i="33"/>
  <c r="D168" i="33"/>
  <c r="C168" i="33"/>
  <c r="B168" i="33"/>
  <c r="A168" i="33"/>
  <c r="H167" i="33"/>
  <c r="G167" i="33"/>
  <c r="F167" i="33"/>
  <c r="E167" i="33"/>
  <c r="D167" i="33"/>
  <c r="C167" i="33"/>
  <c r="B167" i="33"/>
  <c r="A167" i="33"/>
  <c r="H166" i="33"/>
  <c r="G166" i="33"/>
  <c r="F166" i="33"/>
  <c r="E166" i="33"/>
  <c r="D166" i="33"/>
  <c r="C166" i="33"/>
  <c r="B166" i="33"/>
  <c r="A166" i="33"/>
  <c r="H165" i="33"/>
  <c r="G165" i="33"/>
  <c r="F165" i="33"/>
  <c r="E165" i="33"/>
  <c r="D165" i="33"/>
  <c r="C165" i="33"/>
  <c r="B165" i="33"/>
  <c r="A165" i="33"/>
  <c r="H164" i="33"/>
  <c r="G164" i="33"/>
  <c r="F164" i="33"/>
  <c r="E164" i="33"/>
  <c r="D164" i="33"/>
  <c r="C164" i="33"/>
  <c r="B164" i="33"/>
  <c r="A164" i="33"/>
  <c r="H163" i="33"/>
  <c r="G163" i="33"/>
  <c r="F163" i="33"/>
  <c r="E163" i="33"/>
  <c r="D163" i="33"/>
  <c r="C163" i="33"/>
  <c r="B163" i="33"/>
  <c r="A163" i="33"/>
  <c r="H162" i="33"/>
  <c r="G162" i="33"/>
  <c r="F162" i="33"/>
  <c r="E162" i="33"/>
  <c r="D162" i="33"/>
  <c r="C162" i="33"/>
  <c r="B162" i="33"/>
  <c r="A162" i="33"/>
  <c r="H161" i="33"/>
  <c r="G161" i="33"/>
  <c r="F161" i="33"/>
  <c r="E161" i="33"/>
  <c r="D161" i="33"/>
  <c r="C161" i="33"/>
  <c r="B161" i="33"/>
  <c r="A161" i="33"/>
  <c r="H160" i="33"/>
  <c r="G160" i="33"/>
  <c r="F160" i="33"/>
  <c r="E160" i="33"/>
  <c r="D160" i="33"/>
  <c r="C160" i="33"/>
  <c r="B160" i="33"/>
  <c r="A160" i="33"/>
  <c r="H159" i="33"/>
  <c r="G159" i="33"/>
  <c r="F159" i="33"/>
  <c r="E159" i="33"/>
  <c r="D159" i="33"/>
  <c r="C159" i="33"/>
  <c r="B159" i="33"/>
  <c r="A159" i="33"/>
  <c r="H158" i="33"/>
  <c r="G158" i="33"/>
  <c r="F158" i="33"/>
  <c r="E158" i="33"/>
  <c r="D158" i="33"/>
  <c r="C158" i="33"/>
  <c r="B158" i="33"/>
  <c r="A158" i="33"/>
  <c r="H157" i="33"/>
  <c r="G157" i="33"/>
  <c r="F157" i="33"/>
  <c r="E157" i="33"/>
  <c r="D157" i="33"/>
  <c r="C157" i="33"/>
  <c r="B157" i="33"/>
  <c r="A157" i="33"/>
  <c r="H156" i="33"/>
  <c r="G156" i="33"/>
  <c r="F156" i="33"/>
  <c r="E156" i="33"/>
  <c r="D156" i="33"/>
  <c r="C156" i="33"/>
  <c r="B156" i="33"/>
  <c r="A156" i="33"/>
  <c r="H155" i="33"/>
  <c r="G155" i="33"/>
  <c r="F155" i="33"/>
  <c r="E155" i="33"/>
  <c r="D155" i="33"/>
  <c r="C155" i="33"/>
  <c r="B155" i="33"/>
  <c r="A155" i="33"/>
  <c r="H154" i="33"/>
  <c r="G154" i="33"/>
  <c r="F154" i="33"/>
  <c r="E154" i="33"/>
  <c r="D154" i="33"/>
  <c r="C154" i="33"/>
  <c r="B154" i="33"/>
  <c r="A154" i="33"/>
  <c r="H153" i="33"/>
  <c r="G153" i="33"/>
  <c r="F153" i="33"/>
  <c r="E153" i="33"/>
  <c r="D153" i="33"/>
  <c r="C153" i="33"/>
  <c r="B153" i="33"/>
  <c r="A153" i="33"/>
  <c r="H152" i="33"/>
  <c r="G152" i="33"/>
  <c r="F152" i="33"/>
  <c r="E152" i="33"/>
  <c r="D152" i="33"/>
  <c r="C152" i="33"/>
  <c r="B152" i="33"/>
  <c r="A152" i="33"/>
  <c r="H151" i="33"/>
  <c r="G151" i="33"/>
  <c r="F151" i="33"/>
  <c r="E151" i="33"/>
  <c r="D151" i="33"/>
  <c r="C151" i="33"/>
  <c r="B151" i="33"/>
  <c r="A151" i="33"/>
  <c r="H150" i="33"/>
  <c r="G150" i="33"/>
  <c r="F150" i="33"/>
  <c r="E150" i="33"/>
  <c r="D150" i="33"/>
  <c r="C150" i="33"/>
  <c r="B150" i="33"/>
  <c r="A150" i="33"/>
  <c r="H149" i="33"/>
  <c r="G149" i="33"/>
  <c r="F149" i="33"/>
  <c r="E149" i="33"/>
  <c r="D149" i="33"/>
  <c r="C149" i="33"/>
  <c r="B149" i="33"/>
  <c r="A149" i="33"/>
  <c r="H148" i="33"/>
  <c r="G148" i="33"/>
  <c r="F148" i="33"/>
  <c r="E148" i="33"/>
  <c r="D148" i="33"/>
  <c r="C148" i="33"/>
  <c r="B148" i="33"/>
  <c r="A148" i="33"/>
  <c r="H147" i="33"/>
  <c r="G147" i="33"/>
  <c r="F147" i="33"/>
  <c r="E147" i="33"/>
  <c r="D147" i="33"/>
  <c r="C147" i="33"/>
  <c r="B147" i="33"/>
  <c r="A147" i="33"/>
  <c r="H146" i="33"/>
  <c r="G146" i="33"/>
  <c r="F146" i="33"/>
  <c r="E146" i="33"/>
  <c r="D146" i="33"/>
  <c r="C146" i="33"/>
  <c r="B146" i="33"/>
  <c r="A146" i="33"/>
  <c r="H145" i="33"/>
  <c r="G145" i="33"/>
  <c r="F145" i="33"/>
  <c r="E145" i="33"/>
  <c r="D145" i="33"/>
  <c r="C145" i="33"/>
  <c r="B145" i="33"/>
  <c r="A145" i="33"/>
  <c r="H144" i="33"/>
  <c r="G144" i="33"/>
  <c r="F144" i="33"/>
  <c r="E144" i="33"/>
  <c r="D144" i="33"/>
  <c r="C144" i="33"/>
  <c r="B144" i="33"/>
  <c r="A144" i="33"/>
  <c r="H143" i="33"/>
  <c r="G143" i="33"/>
  <c r="F143" i="33"/>
  <c r="E143" i="33"/>
  <c r="D143" i="33"/>
  <c r="C143" i="33"/>
  <c r="B143" i="33"/>
  <c r="A143" i="33"/>
  <c r="H142" i="33"/>
  <c r="G142" i="33"/>
  <c r="F142" i="33"/>
  <c r="E142" i="33"/>
  <c r="D142" i="33"/>
  <c r="C142" i="33"/>
  <c r="B142" i="33"/>
  <c r="A142" i="33"/>
  <c r="H141" i="33"/>
  <c r="G141" i="33"/>
  <c r="F141" i="33"/>
  <c r="E141" i="33"/>
  <c r="D141" i="33"/>
  <c r="C141" i="33"/>
  <c r="B141" i="33"/>
  <c r="A141" i="33"/>
  <c r="H140" i="33"/>
  <c r="G140" i="33"/>
  <c r="F140" i="33"/>
  <c r="E140" i="33"/>
  <c r="D140" i="33"/>
  <c r="C140" i="33"/>
  <c r="B140" i="33"/>
  <c r="A140" i="33"/>
  <c r="H139" i="33"/>
  <c r="G139" i="33"/>
  <c r="F139" i="33"/>
  <c r="E139" i="33"/>
  <c r="D139" i="33"/>
  <c r="C139" i="33"/>
  <c r="B139" i="33"/>
  <c r="A139" i="33"/>
  <c r="H138" i="33"/>
  <c r="G138" i="33"/>
  <c r="F138" i="33"/>
  <c r="E138" i="33"/>
  <c r="D138" i="33"/>
  <c r="C138" i="33"/>
  <c r="B138" i="33"/>
  <c r="A138" i="33"/>
  <c r="H137" i="33"/>
  <c r="G137" i="33"/>
  <c r="F137" i="33"/>
  <c r="E137" i="33"/>
  <c r="D137" i="33"/>
  <c r="C137" i="33"/>
  <c r="B137" i="33"/>
  <c r="A137" i="33"/>
  <c r="H136" i="33"/>
  <c r="G136" i="33"/>
  <c r="F136" i="33"/>
  <c r="E136" i="33"/>
  <c r="D136" i="33"/>
  <c r="C136" i="33"/>
  <c r="B136" i="33"/>
  <c r="A136" i="33"/>
  <c r="H135" i="33"/>
  <c r="G135" i="33"/>
  <c r="F135" i="33"/>
  <c r="E135" i="33"/>
  <c r="D135" i="33"/>
  <c r="C135" i="33"/>
  <c r="B135" i="33"/>
  <c r="A135" i="33"/>
  <c r="H134" i="33"/>
  <c r="G134" i="33"/>
  <c r="F134" i="33"/>
  <c r="E134" i="33"/>
  <c r="D134" i="33"/>
  <c r="C134" i="33"/>
  <c r="B134" i="33"/>
  <c r="A134" i="33"/>
  <c r="H133" i="33"/>
  <c r="G133" i="33"/>
  <c r="F133" i="33"/>
  <c r="E133" i="33"/>
  <c r="D133" i="33"/>
  <c r="C133" i="33"/>
  <c r="B133" i="33"/>
  <c r="A133" i="33"/>
  <c r="H132" i="33"/>
  <c r="G132" i="33"/>
  <c r="F132" i="33"/>
  <c r="E132" i="33"/>
  <c r="D132" i="33"/>
  <c r="C132" i="33"/>
  <c r="B132" i="33"/>
  <c r="A132" i="33"/>
  <c r="H131" i="33"/>
  <c r="G131" i="33"/>
  <c r="F131" i="33"/>
  <c r="E131" i="33"/>
  <c r="D131" i="33"/>
  <c r="C131" i="33"/>
  <c r="B131" i="33"/>
  <c r="A131" i="33"/>
  <c r="H130" i="33"/>
  <c r="G130" i="33"/>
  <c r="F130" i="33"/>
  <c r="E130" i="33"/>
  <c r="D130" i="33"/>
  <c r="C130" i="33"/>
  <c r="B130" i="33"/>
  <c r="A130" i="33"/>
  <c r="H129" i="33"/>
  <c r="G129" i="33"/>
  <c r="F129" i="33"/>
  <c r="E129" i="33"/>
  <c r="D129" i="33"/>
  <c r="C129" i="33"/>
  <c r="B129" i="33"/>
  <c r="A129" i="33"/>
  <c r="H128" i="33"/>
  <c r="G128" i="33"/>
  <c r="F128" i="33"/>
  <c r="E128" i="33"/>
  <c r="D128" i="33"/>
  <c r="C128" i="33"/>
  <c r="B128" i="33"/>
  <c r="A128" i="33"/>
  <c r="H127" i="33"/>
  <c r="G127" i="33"/>
  <c r="F127" i="33"/>
  <c r="E127" i="33"/>
  <c r="D127" i="33"/>
  <c r="C127" i="33"/>
  <c r="B127" i="33"/>
  <c r="A127" i="33"/>
  <c r="H126" i="33"/>
  <c r="G126" i="33"/>
  <c r="F126" i="33"/>
  <c r="E126" i="33"/>
  <c r="D126" i="33"/>
  <c r="C126" i="33"/>
  <c r="B126" i="33"/>
  <c r="A126" i="33"/>
  <c r="H125" i="33"/>
  <c r="G125" i="33"/>
  <c r="F125" i="33"/>
  <c r="E125" i="33"/>
  <c r="D125" i="33"/>
  <c r="C125" i="33"/>
  <c r="B125" i="33"/>
  <c r="A125" i="33"/>
  <c r="H124" i="33"/>
  <c r="G124" i="33"/>
  <c r="F124" i="33"/>
  <c r="E124" i="33"/>
  <c r="D124" i="33"/>
  <c r="C124" i="33"/>
  <c r="B124" i="33"/>
  <c r="A124" i="33"/>
  <c r="H123" i="33"/>
  <c r="G123" i="33"/>
  <c r="F123" i="33"/>
  <c r="E123" i="33"/>
  <c r="D123" i="33"/>
  <c r="C123" i="33"/>
  <c r="B123" i="33"/>
  <c r="A123" i="33"/>
  <c r="H122" i="33"/>
  <c r="G122" i="33"/>
  <c r="F122" i="33"/>
  <c r="E122" i="33"/>
  <c r="D122" i="33"/>
  <c r="C122" i="33"/>
  <c r="B122" i="33"/>
  <c r="A122" i="33"/>
  <c r="H121" i="33"/>
  <c r="G121" i="33"/>
  <c r="F121" i="33"/>
  <c r="E121" i="33"/>
  <c r="D121" i="33"/>
  <c r="C121" i="33"/>
  <c r="B121" i="33"/>
  <c r="A121" i="33"/>
  <c r="H120" i="33"/>
  <c r="G120" i="33"/>
  <c r="F120" i="33"/>
  <c r="E120" i="33"/>
  <c r="D120" i="33"/>
  <c r="C120" i="33"/>
  <c r="B120" i="33"/>
  <c r="A120" i="33"/>
  <c r="H119" i="33"/>
  <c r="G119" i="33"/>
  <c r="F119" i="33"/>
  <c r="E119" i="33"/>
  <c r="D119" i="33"/>
  <c r="C119" i="33"/>
  <c r="B119" i="33"/>
  <c r="A119" i="33"/>
  <c r="H118" i="33"/>
  <c r="G118" i="33"/>
  <c r="F118" i="33"/>
  <c r="E118" i="33"/>
  <c r="D118" i="33"/>
  <c r="C118" i="33"/>
  <c r="B118" i="33"/>
  <c r="A118" i="33"/>
  <c r="H117" i="33"/>
  <c r="G117" i="33"/>
  <c r="F117" i="33"/>
  <c r="E117" i="33"/>
  <c r="D117" i="33"/>
  <c r="C117" i="33"/>
  <c r="B117" i="33"/>
  <c r="A117" i="33"/>
  <c r="H116" i="33"/>
  <c r="G116" i="33"/>
  <c r="F116" i="33"/>
  <c r="E116" i="33"/>
  <c r="D116" i="33"/>
  <c r="C116" i="33"/>
  <c r="B116" i="33"/>
  <c r="A116" i="33"/>
  <c r="H115" i="33"/>
  <c r="G115" i="33"/>
  <c r="F115" i="33"/>
  <c r="E115" i="33"/>
  <c r="D115" i="33"/>
  <c r="C115" i="33"/>
  <c r="B115" i="33"/>
  <c r="A115" i="33"/>
  <c r="H114" i="33"/>
  <c r="G114" i="33"/>
  <c r="F114" i="33"/>
  <c r="E114" i="33"/>
  <c r="D114" i="33"/>
  <c r="C114" i="33"/>
  <c r="B114" i="33"/>
  <c r="A114" i="33"/>
  <c r="H113" i="33"/>
  <c r="G113" i="33"/>
  <c r="F113" i="33"/>
  <c r="E113" i="33"/>
  <c r="D113" i="33"/>
  <c r="C113" i="33"/>
  <c r="B113" i="33"/>
  <c r="A113" i="33"/>
  <c r="H112" i="33"/>
  <c r="G112" i="33"/>
  <c r="F112" i="33"/>
  <c r="E112" i="33"/>
  <c r="D112" i="33"/>
  <c r="C112" i="33"/>
  <c r="B112" i="33"/>
  <c r="A112" i="33"/>
  <c r="H111" i="33"/>
  <c r="G111" i="33"/>
  <c r="F111" i="33"/>
  <c r="E111" i="33"/>
  <c r="D111" i="33"/>
  <c r="C111" i="33"/>
  <c r="B111" i="33"/>
  <c r="A111" i="33"/>
  <c r="H110" i="33"/>
  <c r="G110" i="33"/>
  <c r="F110" i="33"/>
  <c r="E110" i="33"/>
  <c r="D110" i="33"/>
  <c r="C110" i="33"/>
  <c r="B110" i="33"/>
  <c r="A110" i="33"/>
  <c r="H109" i="33"/>
  <c r="G109" i="33"/>
  <c r="F109" i="33"/>
  <c r="E109" i="33"/>
  <c r="D109" i="33"/>
  <c r="C109" i="33"/>
  <c r="B109" i="33"/>
  <c r="A109" i="33"/>
  <c r="H108" i="33"/>
  <c r="G108" i="33"/>
  <c r="F108" i="33"/>
  <c r="E108" i="33"/>
  <c r="D108" i="33"/>
  <c r="C108" i="33"/>
  <c r="B108" i="33"/>
  <c r="A108" i="33"/>
  <c r="H107" i="33"/>
  <c r="G107" i="33"/>
  <c r="F107" i="33"/>
  <c r="E107" i="33"/>
  <c r="D107" i="33"/>
  <c r="C107" i="33"/>
  <c r="B107" i="33"/>
  <c r="A107" i="33"/>
  <c r="H106" i="33"/>
  <c r="G106" i="33"/>
  <c r="F106" i="33"/>
  <c r="E106" i="33"/>
  <c r="D106" i="33"/>
  <c r="C106" i="33"/>
  <c r="B106" i="33"/>
  <c r="A106" i="33"/>
  <c r="H105" i="33"/>
  <c r="G105" i="33"/>
  <c r="F105" i="33"/>
  <c r="E105" i="33"/>
  <c r="D105" i="33"/>
  <c r="C105" i="33"/>
  <c r="B105" i="33"/>
  <c r="A105" i="33"/>
  <c r="H104" i="33"/>
  <c r="G104" i="33"/>
  <c r="F104" i="33"/>
  <c r="E104" i="33"/>
  <c r="D104" i="33"/>
  <c r="C104" i="33"/>
  <c r="B104" i="33"/>
  <c r="A104" i="33"/>
  <c r="H103" i="33"/>
  <c r="G103" i="33"/>
  <c r="F103" i="33"/>
  <c r="E103" i="33"/>
  <c r="D103" i="33"/>
  <c r="C103" i="33"/>
  <c r="B103" i="33"/>
  <c r="A103" i="33"/>
  <c r="H102" i="33"/>
  <c r="G102" i="33"/>
  <c r="F102" i="33"/>
  <c r="E102" i="33"/>
  <c r="D102" i="33"/>
  <c r="C102" i="33"/>
  <c r="B102" i="33"/>
  <c r="A102" i="33"/>
  <c r="H101" i="33"/>
  <c r="G101" i="33"/>
  <c r="F101" i="33"/>
  <c r="E101" i="33"/>
  <c r="D101" i="33"/>
  <c r="C101" i="33"/>
  <c r="B101" i="33"/>
  <c r="A101" i="33"/>
  <c r="H100" i="33"/>
  <c r="G100" i="33"/>
  <c r="F100" i="33"/>
  <c r="E100" i="33"/>
  <c r="D100" i="33"/>
  <c r="C100" i="33"/>
  <c r="B100" i="33"/>
  <c r="A100" i="33"/>
  <c r="H99" i="33"/>
  <c r="G99" i="33"/>
  <c r="F99" i="33"/>
  <c r="E99" i="33"/>
  <c r="D99" i="33"/>
  <c r="C99" i="33"/>
  <c r="B99" i="33"/>
  <c r="A99" i="33"/>
  <c r="H98" i="33"/>
  <c r="G98" i="33"/>
  <c r="F98" i="33"/>
  <c r="E98" i="33"/>
  <c r="D98" i="33"/>
  <c r="C98" i="33"/>
  <c r="B98" i="33"/>
  <c r="A98" i="33"/>
  <c r="H97" i="33"/>
  <c r="G97" i="33"/>
  <c r="F97" i="33"/>
  <c r="E97" i="33"/>
  <c r="D97" i="33"/>
  <c r="C97" i="33"/>
  <c r="B97" i="33"/>
  <c r="A97" i="33"/>
  <c r="H96" i="33"/>
  <c r="G96" i="33"/>
  <c r="F96" i="33"/>
  <c r="E96" i="33"/>
  <c r="D96" i="33"/>
  <c r="C96" i="33"/>
  <c r="B96" i="33"/>
  <c r="A96" i="33"/>
  <c r="H95" i="33"/>
  <c r="G95" i="33"/>
  <c r="F95" i="33"/>
  <c r="E95" i="33"/>
  <c r="D95" i="33"/>
  <c r="C95" i="33"/>
  <c r="B95" i="33"/>
  <c r="A95" i="33"/>
  <c r="H94" i="33"/>
  <c r="G94" i="33"/>
  <c r="F94" i="33"/>
  <c r="E94" i="33"/>
  <c r="D94" i="33"/>
  <c r="C94" i="33"/>
  <c r="B94" i="33"/>
  <c r="A94" i="33"/>
  <c r="H93" i="33"/>
  <c r="G93" i="33"/>
  <c r="F93" i="33"/>
  <c r="E93" i="33"/>
  <c r="D93" i="33"/>
  <c r="C93" i="33"/>
  <c r="B93" i="33"/>
  <c r="A93" i="33"/>
  <c r="H92" i="33"/>
  <c r="G92" i="33"/>
  <c r="F92" i="33"/>
  <c r="E92" i="33"/>
  <c r="D92" i="33"/>
  <c r="C92" i="33"/>
  <c r="B92" i="33"/>
  <c r="A92" i="33"/>
  <c r="H91" i="33"/>
  <c r="G91" i="33"/>
  <c r="F91" i="33"/>
  <c r="E91" i="33"/>
  <c r="D91" i="33"/>
  <c r="C91" i="33"/>
  <c r="B91" i="33"/>
  <c r="A91" i="33"/>
  <c r="H90" i="33"/>
  <c r="G90" i="33"/>
  <c r="F90" i="33"/>
  <c r="E90" i="33"/>
  <c r="D90" i="33"/>
  <c r="C90" i="33"/>
  <c r="B90" i="33"/>
  <c r="A90" i="33"/>
  <c r="H89" i="33"/>
  <c r="G89" i="33"/>
  <c r="F89" i="33"/>
  <c r="E89" i="33"/>
  <c r="D89" i="33"/>
  <c r="C89" i="33"/>
  <c r="B89" i="33"/>
  <c r="A89" i="33"/>
  <c r="H88" i="33"/>
  <c r="G88" i="33"/>
  <c r="F88" i="33"/>
  <c r="E88" i="33"/>
  <c r="D88" i="33"/>
  <c r="C88" i="33"/>
  <c r="B88" i="33"/>
  <c r="A88" i="33"/>
  <c r="H87" i="33"/>
  <c r="G87" i="33"/>
  <c r="F87" i="33"/>
  <c r="E87" i="33"/>
  <c r="D87" i="33"/>
  <c r="C87" i="33"/>
  <c r="B87" i="33"/>
  <c r="A87" i="33"/>
  <c r="H86" i="33"/>
  <c r="G86" i="33"/>
  <c r="F86" i="33"/>
  <c r="E86" i="33"/>
  <c r="D86" i="33"/>
  <c r="C86" i="33"/>
  <c r="B86" i="33"/>
  <c r="A86" i="33"/>
  <c r="H85" i="33"/>
  <c r="G85" i="33"/>
  <c r="F85" i="33"/>
  <c r="E85" i="33"/>
  <c r="D85" i="33"/>
  <c r="C85" i="33"/>
  <c r="B85" i="33"/>
  <c r="A85" i="33"/>
  <c r="H84" i="33"/>
  <c r="G84" i="33"/>
  <c r="F84" i="33"/>
  <c r="E84" i="33"/>
  <c r="D84" i="33"/>
  <c r="C84" i="33"/>
  <c r="B84" i="33"/>
  <c r="A84" i="33"/>
  <c r="H83" i="33"/>
  <c r="G83" i="33"/>
  <c r="F83" i="33"/>
  <c r="E83" i="33"/>
  <c r="D83" i="33"/>
  <c r="C83" i="33"/>
  <c r="B83" i="33"/>
  <c r="A83" i="33"/>
  <c r="H82" i="33"/>
  <c r="G82" i="33"/>
  <c r="F82" i="33"/>
  <c r="E82" i="33"/>
  <c r="D82" i="33"/>
  <c r="C82" i="33"/>
  <c r="B82" i="33"/>
  <c r="A82" i="33"/>
  <c r="H81" i="33"/>
  <c r="G81" i="33"/>
  <c r="F81" i="33"/>
  <c r="E81" i="33"/>
  <c r="D81" i="33"/>
  <c r="C81" i="33"/>
  <c r="B81" i="33"/>
  <c r="A81" i="33"/>
  <c r="H80" i="33"/>
  <c r="G80" i="33"/>
  <c r="F80" i="33"/>
  <c r="E80" i="33"/>
  <c r="D80" i="33"/>
  <c r="C80" i="33"/>
  <c r="B80" i="33"/>
  <c r="A80" i="33"/>
  <c r="H79" i="33"/>
  <c r="G79" i="33"/>
  <c r="F79" i="33"/>
  <c r="E79" i="33"/>
  <c r="D79" i="33"/>
  <c r="C79" i="33"/>
  <c r="B79" i="33"/>
  <c r="A79" i="33"/>
  <c r="H78" i="33"/>
  <c r="G78" i="33"/>
  <c r="F78" i="33"/>
  <c r="E78" i="33"/>
  <c r="D78" i="33"/>
  <c r="C78" i="33"/>
  <c r="B78" i="33"/>
  <c r="A78" i="33"/>
  <c r="H77" i="33"/>
  <c r="G77" i="33"/>
  <c r="F77" i="33"/>
  <c r="E77" i="33"/>
  <c r="D77" i="33"/>
  <c r="C77" i="33"/>
  <c r="B77" i="33"/>
  <c r="A77" i="33"/>
  <c r="H76" i="33"/>
  <c r="G76" i="33"/>
  <c r="F76" i="33"/>
  <c r="E76" i="33"/>
  <c r="D76" i="33"/>
  <c r="C76" i="33"/>
  <c r="B76" i="33"/>
  <c r="A76" i="33"/>
  <c r="H75" i="33"/>
  <c r="G75" i="33"/>
  <c r="F75" i="33"/>
  <c r="E75" i="33"/>
  <c r="D75" i="33"/>
  <c r="C75" i="33"/>
  <c r="B75" i="33"/>
  <c r="A75" i="33"/>
  <c r="H74" i="33"/>
  <c r="G74" i="33"/>
  <c r="F74" i="33"/>
  <c r="E74" i="33"/>
  <c r="D74" i="33"/>
  <c r="C74" i="33"/>
  <c r="B74" i="33"/>
  <c r="A74" i="33"/>
  <c r="H73" i="33"/>
  <c r="G73" i="33"/>
  <c r="F73" i="33"/>
  <c r="E73" i="33"/>
  <c r="D73" i="33"/>
  <c r="C73" i="33"/>
  <c r="B73" i="33"/>
  <c r="A73" i="33"/>
  <c r="H72" i="33"/>
  <c r="G72" i="33"/>
  <c r="F72" i="33"/>
  <c r="E72" i="33"/>
  <c r="D72" i="33"/>
  <c r="C72" i="33"/>
  <c r="B72" i="33"/>
  <c r="A72" i="33"/>
  <c r="H71" i="33"/>
  <c r="G71" i="33"/>
  <c r="F71" i="33"/>
  <c r="E71" i="33"/>
  <c r="D71" i="33"/>
  <c r="C71" i="33"/>
  <c r="B71" i="33"/>
  <c r="A71" i="33"/>
  <c r="H70" i="33"/>
  <c r="G70" i="33"/>
  <c r="F70" i="33"/>
  <c r="E70" i="33"/>
  <c r="D70" i="33"/>
  <c r="C70" i="33"/>
  <c r="B70" i="33"/>
  <c r="A70" i="33"/>
  <c r="H69" i="33"/>
  <c r="G69" i="33"/>
  <c r="F69" i="33"/>
  <c r="E69" i="33"/>
  <c r="D69" i="33"/>
  <c r="C69" i="33"/>
  <c r="B69" i="33"/>
  <c r="A69" i="33"/>
  <c r="H68" i="33"/>
  <c r="G68" i="33"/>
  <c r="F68" i="33"/>
  <c r="E68" i="33"/>
  <c r="D68" i="33"/>
  <c r="C68" i="33"/>
  <c r="B68" i="33"/>
  <c r="A68" i="33"/>
  <c r="H67" i="33"/>
  <c r="G67" i="33"/>
  <c r="F67" i="33"/>
  <c r="E67" i="33"/>
  <c r="D67" i="33"/>
  <c r="C67" i="33"/>
  <c r="B67" i="33"/>
  <c r="A67" i="33"/>
  <c r="H66" i="33"/>
  <c r="G66" i="33"/>
  <c r="F66" i="33"/>
  <c r="E66" i="33"/>
  <c r="D66" i="33"/>
  <c r="C66" i="33"/>
  <c r="B66" i="33"/>
  <c r="A66" i="33"/>
  <c r="H65" i="33"/>
  <c r="G65" i="33"/>
  <c r="F65" i="33"/>
  <c r="E65" i="33"/>
  <c r="D65" i="33"/>
  <c r="C65" i="33"/>
  <c r="B65" i="33"/>
  <c r="A65" i="33"/>
  <c r="H64" i="33"/>
  <c r="G64" i="33"/>
  <c r="F64" i="33"/>
  <c r="E64" i="33"/>
  <c r="D64" i="33"/>
  <c r="C64" i="33"/>
  <c r="B64" i="33"/>
  <c r="A64" i="33"/>
  <c r="H63" i="33"/>
  <c r="G63" i="33"/>
  <c r="F63" i="33"/>
  <c r="E63" i="33"/>
  <c r="D63" i="33"/>
  <c r="C63" i="33"/>
  <c r="B63" i="33"/>
  <c r="A63" i="33"/>
  <c r="H62" i="33"/>
  <c r="G62" i="33"/>
  <c r="F62" i="33"/>
  <c r="E62" i="33"/>
  <c r="D62" i="33"/>
  <c r="C62" i="33"/>
  <c r="B62" i="33"/>
  <c r="A62" i="33"/>
  <c r="H61" i="33"/>
  <c r="G61" i="33"/>
  <c r="F61" i="33"/>
  <c r="E61" i="33"/>
  <c r="D61" i="33"/>
  <c r="C61" i="33"/>
  <c r="B61" i="33"/>
  <c r="A61" i="33"/>
  <c r="H60" i="33"/>
  <c r="G60" i="33"/>
  <c r="F60" i="33"/>
  <c r="E60" i="33"/>
  <c r="D60" i="33"/>
  <c r="C60" i="33"/>
  <c r="B60" i="33"/>
  <c r="A60" i="33"/>
  <c r="H59" i="33"/>
  <c r="G59" i="33"/>
  <c r="F59" i="33"/>
  <c r="E59" i="33"/>
  <c r="D59" i="33"/>
  <c r="C59" i="33"/>
  <c r="B59" i="33"/>
  <c r="A59" i="33"/>
  <c r="H58" i="33"/>
  <c r="G58" i="33"/>
  <c r="F58" i="33"/>
  <c r="E58" i="33"/>
  <c r="D58" i="33"/>
  <c r="C58" i="33"/>
  <c r="B58" i="33"/>
  <c r="A58" i="33"/>
  <c r="H57" i="33"/>
  <c r="G57" i="33"/>
  <c r="F57" i="33"/>
  <c r="E57" i="33"/>
  <c r="D57" i="33"/>
  <c r="C57" i="33"/>
  <c r="B57" i="33"/>
  <c r="A57" i="33"/>
  <c r="H56" i="33"/>
  <c r="G56" i="33"/>
  <c r="F56" i="33"/>
  <c r="E56" i="33"/>
  <c r="D56" i="33"/>
  <c r="C56" i="33"/>
  <c r="B56" i="33"/>
  <c r="A56" i="33"/>
  <c r="H55" i="33"/>
  <c r="G55" i="33"/>
  <c r="F55" i="33"/>
  <c r="E55" i="33"/>
  <c r="D55" i="33"/>
  <c r="C55" i="33"/>
  <c r="B55" i="33"/>
  <c r="A55" i="33"/>
  <c r="H54" i="33"/>
  <c r="G54" i="33"/>
  <c r="F54" i="33"/>
  <c r="E54" i="33"/>
  <c r="D54" i="33"/>
  <c r="C54" i="33"/>
  <c r="B54" i="33"/>
  <c r="A54" i="33"/>
  <c r="H53" i="33"/>
  <c r="G53" i="33"/>
  <c r="F53" i="33"/>
  <c r="E53" i="33"/>
  <c r="D53" i="33"/>
  <c r="C53" i="33"/>
  <c r="B53" i="33"/>
  <c r="A53" i="33"/>
  <c r="H52" i="33"/>
  <c r="G52" i="33"/>
  <c r="F52" i="33"/>
  <c r="E52" i="33"/>
  <c r="D52" i="33"/>
  <c r="C52" i="33"/>
  <c r="B52" i="33"/>
  <c r="A52" i="33"/>
  <c r="H51" i="33"/>
  <c r="G51" i="33"/>
  <c r="F51" i="33"/>
  <c r="E51" i="33"/>
  <c r="D51" i="33"/>
  <c r="C51" i="33"/>
  <c r="B51" i="33"/>
  <c r="A51" i="33"/>
  <c r="H50" i="33"/>
  <c r="G50" i="33"/>
  <c r="F50" i="33"/>
  <c r="E50" i="33"/>
  <c r="D50" i="33"/>
  <c r="C50" i="33"/>
  <c r="B50" i="33"/>
  <c r="A50" i="33"/>
  <c r="H49" i="33"/>
  <c r="G49" i="33"/>
  <c r="F49" i="33"/>
  <c r="E49" i="33"/>
  <c r="D49" i="33"/>
  <c r="C49" i="33"/>
  <c r="B49" i="33"/>
  <c r="A49" i="33"/>
  <c r="H48" i="33"/>
  <c r="G48" i="33"/>
  <c r="F48" i="33"/>
  <c r="E48" i="33"/>
  <c r="D48" i="33"/>
  <c r="C48" i="33"/>
  <c r="B48" i="33"/>
  <c r="A48" i="33"/>
  <c r="H47" i="33"/>
  <c r="G47" i="33"/>
  <c r="F47" i="33"/>
  <c r="E47" i="33"/>
  <c r="D47" i="33"/>
  <c r="C47" i="33"/>
  <c r="B47" i="33"/>
  <c r="A47" i="33"/>
  <c r="H46" i="33"/>
  <c r="G46" i="33"/>
  <c r="F46" i="33"/>
  <c r="E46" i="33"/>
  <c r="D46" i="33"/>
  <c r="C46" i="33"/>
  <c r="B46" i="33"/>
  <c r="A46" i="33"/>
  <c r="H45" i="33"/>
  <c r="G45" i="33"/>
  <c r="F45" i="33"/>
  <c r="E45" i="33"/>
  <c r="D45" i="33"/>
  <c r="C45" i="33"/>
  <c r="B45" i="33"/>
  <c r="A45" i="33"/>
  <c r="H44" i="33"/>
  <c r="G44" i="33"/>
  <c r="F44" i="33"/>
  <c r="E44" i="33"/>
  <c r="D44" i="33"/>
  <c r="C44" i="33"/>
  <c r="B44" i="33"/>
  <c r="A44" i="33"/>
  <c r="H43" i="33"/>
  <c r="G43" i="33"/>
  <c r="F43" i="33"/>
  <c r="E43" i="33"/>
  <c r="D43" i="33"/>
  <c r="C43" i="33"/>
  <c r="B43" i="33"/>
  <c r="A43" i="33"/>
  <c r="H42" i="33"/>
  <c r="G42" i="33"/>
  <c r="F42" i="33"/>
  <c r="E42" i="33"/>
  <c r="D42" i="33"/>
  <c r="C42" i="33"/>
  <c r="B42" i="33"/>
  <c r="A42" i="33"/>
  <c r="H41" i="33"/>
  <c r="G41" i="33"/>
  <c r="F41" i="33"/>
  <c r="E41" i="33"/>
  <c r="D41" i="33"/>
  <c r="C41" i="33"/>
  <c r="B41" i="33"/>
  <c r="A41" i="33"/>
  <c r="H40" i="33"/>
  <c r="G40" i="33"/>
  <c r="F40" i="33"/>
  <c r="E40" i="33"/>
  <c r="D40" i="33"/>
  <c r="C40" i="33"/>
  <c r="B40" i="33"/>
  <c r="A40" i="33"/>
  <c r="H39" i="33"/>
  <c r="G39" i="33"/>
  <c r="F39" i="33"/>
  <c r="E39" i="33"/>
  <c r="D39" i="33"/>
  <c r="C39" i="33"/>
  <c r="B39" i="33"/>
  <c r="A39" i="33"/>
  <c r="H38" i="33"/>
  <c r="G38" i="33"/>
  <c r="F38" i="33"/>
  <c r="E38" i="33"/>
  <c r="D38" i="33"/>
  <c r="C38" i="33"/>
  <c r="B38" i="33"/>
  <c r="A38" i="33"/>
  <c r="H37" i="33"/>
  <c r="G37" i="33"/>
  <c r="F37" i="33"/>
  <c r="E37" i="33"/>
  <c r="D37" i="33"/>
  <c r="C37" i="33"/>
  <c r="B37" i="33"/>
  <c r="A37" i="33"/>
  <c r="H36" i="33"/>
  <c r="G36" i="33"/>
  <c r="F36" i="33"/>
  <c r="E36" i="33"/>
  <c r="D36" i="33"/>
  <c r="C36" i="33"/>
  <c r="B36" i="33"/>
  <c r="A36" i="33"/>
  <c r="H35" i="33"/>
  <c r="G35" i="33"/>
  <c r="F35" i="33"/>
  <c r="E35" i="33"/>
  <c r="D35" i="33"/>
  <c r="C35" i="33"/>
  <c r="B35" i="33"/>
  <c r="A35" i="33"/>
  <c r="H34" i="33"/>
  <c r="G34" i="33"/>
  <c r="F34" i="33"/>
  <c r="E34" i="33"/>
  <c r="D34" i="33"/>
  <c r="C34" i="33"/>
  <c r="B34" i="33"/>
  <c r="A34" i="33"/>
  <c r="H33" i="33"/>
  <c r="G33" i="33"/>
  <c r="F33" i="33"/>
  <c r="E33" i="33"/>
  <c r="D33" i="33"/>
  <c r="C33" i="33"/>
  <c r="B33" i="33"/>
  <c r="A33" i="33"/>
  <c r="H32" i="33"/>
  <c r="G32" i="33"/>
  <c r="F32" i="33"/>
  <c r="E32" i="33"/>
  <c r="D32" i="33"/>
  <c r="C32" i="33"/>
  <c r="B32" i="33"/>
  <c r="A32" i="33"/>
  <c r="H31" i="33"/>
  <c r="G31" i="33"/>
  <c r="F31" i="33"/>
  <c r="E31" i="33"/>
  <c r="D31" i="33"/>
  <c r="C31" i="33"/>
  <c r="B31" i="33"/>
  <c r="A31" i="33"/>
  <c r="H30" i="33"/>
  <c r="G30" i="33"/>
  <c r="F30" i="33"/>
  <c r="E30" i="33"/>
  <c r="D30" i="33"/>
  <c r="C30" i="33"/>
  <c r="B30" i="33"/>
  <c r="A30" i="33"/>
  <c r="H29" i="33"/>
  <c r="G29" i="33"/>
  <c r="F29" i="33"/>
  <c r="E29" i="33"/>
  <c r="D29" i="33"/>
  <c r="C29" i="33"/>
  <c r="B29" i="33"/>
  <c r="A29" i="33"/>
  <c r="H28" i="33"/>
  <c r="G28" i="33"/>
  <c r="F28" i="33"/>
  <c r="E28" i="33"/>
  <c r="D28" i="33"/>
  <c r="C28" i="33"/>
  <c r="B28" i="33"/>
  <c r="A28" i="33"/>
  <c r="H27" i="33"/>
  <c r="G27" i="33"/>
  <c r="F27" i="33"/>
  <c r="E27" i="33"/>
  <c r="D27" i="33"/>
  <c r="C27" i="33"/>
  <c r="B27" i="33"/>
  <c r="A27" i="33"/>
  <c r="H26" i="33"/>
  <c r="G26" i="33"/>
  <c r="F26" i="33"/>
  <c r="E26" i="33"/>
  <c r="D26" i="33"/>
  <c r="C26" i="33"/>
  <c r="B26" i="33"/>
  <c r="A26" i="33"/>
  <c r="H25" i="33"/>
  <c r="G25" i="33"/>
  <c r="F25" i="33"/>
  <c r="E25" i="33"/>
  <c r="D25" i="33"/>
  <c r="C25" i="33"/>
  <c r="B25" i="33"/>
  <c r="A25" i="33"/>
  <c r="H24" i="33"/>
  <c r="G24" i="33"/>
  <c r="F24" i="33"/>
  <c r="E24" i="33"/>
  <c r="D24" i="33"/>
  <c r="C24" i="33"/>
  <c r="B24" i="33"/>
  <c r="A24" i="33"/>
  <c r="H23" i="33"/>
  <c r="G23" i="33"/>
  <c r="F23" i="33"/>
  <c r="E23" i="33"/>
  <c r="D23" i="33"/>
  <c r="C23" i="33"/>
  <c r="B23" i="33"/>
  <c r="A23" i="33"/>
  <c r="H22" i="33"/>
  <c r="G22" i="33"/>
  <c r="F22" i="33"/>
  <c r="E22" i="33"/>
  <c r="D22" i="33"/>
  <c r="C22" i="33"/>
  <c r="B22" i="33"/>
  <c r="A22" i="33"/>
  <c r="H21" i="33"/>
  <c r="G21" i="33"/>
  <c r="F21" i="33"/>
  <c r="E21" i="33"/>
  <c r="D21" i="33"/>
  <c r="C21" i="33"/>
  <c r="B21" i="33"/>
  <c r="A21" i="33"/>
  <c r="H20" i="33"/>
  <c r="G20" i="33"/>
  <c r="F20" i="33"/>
  <c r="E20" i="33"/>
  <c r="D20" i="33"/>
  <c r="C20" i="33"/>
  <c r="B20" i="33"/>
  <c r="A20" i="33"/>
  <c r="H19" i="33"/>
  <c r="G19" i="33"/>
  <c r="F19" i="33"/>
  <c r="E19" i="33"/>
  <c r="D19" i="33"/>
  <c r="C19" i="33"/>
  <c r="B19" i="33"/>
  <c r="A19" i="33"/>
  <c r="H18" i="33"/>
  <c r="G18" i="33"/>
  <c r="F18" i="33"/>
  <c r="E18" i="33"/>
  <c r="D18" i="33"/>
  <c r="C18" i="33"/>
  <c r="B18" i="33"/>
  <c r="A18" i="33"/>
  <c r="H17" i="33"/>
  <c r="G17" i="33"/>
  <c r="F17" i="33"/>
  <c r="E17" i="33"/>
  <c r="D17" i="33"/>
  <c r="C17" i="33"/>
  <c r="B17" i="33"/>
  <c r="A17" i="33"/>
  <c r="H16" i="33"/>
  <c r="G16" i="33"/>
  <c r="F16" i="33"/>
  <c r="E16" i="33"/>
  <c r="D16" i="33"/>
  <c r="C16" i="33"/>
  <c r="B16" i="33"/>
  <c r="A16" i="33"/>
  <c r="H15" i="33"/>
  <c r="G15" i="33"/>
  <c r="F15" i="33"/>
  <c r="E15" i="33"/>
  <c r="D15" i="33"/>
  <c r="C15" i="33"/>
  <c r="B15" i="33"/>
  <c r="A15" i="33"/>
  <c r="H14" i="33"/>
  <c r="G14" i="33"/>
  <c r="F14" i="33"/>
  <c r="E14" i="33"/>
  <c r="D14" i="33"/>
  <c r="C14" i="33"/>
  <c r="B14" i="33"/>
  <c r="A14" i="33"/>
  <c r="H13" i="33"/>
  <c r="G13" i="33"/>
  <c r="F13" i="33"/>
  <c r="E13" i="33"/>
  <c r="D13" i="33"/>
  <c r="C13" i="33"/>
  <c r="B13" i="33"/>
  <c r="A13" i="33"/>
  <c r="H12" i="33"/>
  <c r="G12" i="33"/>
  <c r="F12" i="33"/>
  <c r="E12" i="33"/>
  <c r="D12" i="33"/>
  <c r="C12" i="33"/>
  <c r="B12" i="33"/>
  <c r="A12" i="33"/>
  <c r="H11" i="33"/>
  <c r="G11" i="33"/>
  <c r="F11" i="33"/>
  <c r="E11" i="33"/>
  <c r="D11" i="33"/>
  <c r="C11" i="33"/>
  <c r="B11" i="33"/>
  <c r="A11" i="33"/>
  <c r="H10" i="33"/>
  <c r="G10" i="33"/>
  <c r="F10" i="33"/>
  <c r="E10" i="33"/>
  <c r="D10" i="33"/>
  <c r="C10" i="33"/>
  <c r="B10" i="33"/>
  <c r="A10" i="33"/>
  <c r="H9" i="33"/>
  <c r="G9" i="33"/>
  <c r="F9" i="33"/>
  <c r="E9" i="33"/>
  <c r="D9" i="33"/>
  <c r="C9" i="33"/>
  <c r="B9" i="33"/>
  <c r="A9" i="33"/>
  <c r="H8" i="33"/>
  <c r="G8" i="33"/>
  <c r="F8" i="33"/>
  <c r="E8" i="33"/>
  <c r="D8" i="33"/>
  <c r="C8" i="33"/>
  <c r="B8" i="33"/>
  <c r="A8" i="33"/>
  <c r="H7" i="33"/>
  <c r="G7" i="33"/>
  <c r="F7" i="33"/>
  <c r="E7" i="33"/>
  <c r="D7" i="33"/>
  <c r="C7" i="33"/>
  <c r="B7" i="33"/>
  <c r="A7" i="33"/>
  <c r="H6" i="33"/>
  <c r="G6" i="33"/>
  <c r="F6" i="33"/>
  <c r="E6" i="33"/>
  <c r="D6" i="33"/>
  <c r="C6" i="33"/>
  <c r="B6" i="33"/>
  <c r="A6" i="33"/>
  <c r="H5" i="33"/>
  <c r="G5" i="33"/>
  <c r="F5" i="33"/>
  <c r="E5" i="33"/>
  <c r="D5" i="33"/>
  <c r="C5" i="33"/>
  <c r="B5" i="33"/>
  <c r="A5" i="33"/>
  <c r="H4" i="33"/>
  <c r="G4" i="33"/>
  <c r="F4" i="33"/>
  <c r="E4" i="33"/>
  <c r="D4" i="33"/>
  <c r="C4" i="33"/>
  <c r="B4" i="33"/>
  <c r="A4" i="33"/>
  <c r="H3" i="33"/>
  <c r="G3" i="33"/>
  <c r="F3" i="33"/>
  <c r="E3" i="33"/>
  <c r="D3" i="33"/>
  <c r="C3" i="33"/>
  <c r="B3" i="33"/>
  <c r="A3" i="33"/>
  <c r="H2" i="33"/>
  <c r="G2" i="33"/>
  <c r="F2" i="33"/>
  <c r="E2" i="33"/>
  <c r="D2" i="33"/>
  <c r="C2" i="33"/>
  <c r="B2" i="33"/>
  <c r="A2" i="33"/>
  <c r="H1" i="33"/>
  <c r="G1" i="33"/>
  <c r="F1" i="33"/>
  <c r="E1" i="33"/>
  <c r="D1" i="33"/>
  <c r="C1" i="33"/>
  <c r="B1" i="33"/>
  <c r="A1" i="33"/>
  <c r="G289" i="32"/>
  <c r="F289" i="32"/>
  <c r="E289" i="32"/>
  <c r="D289" i="32"/>
  <c r="C289" i="32"/>
  <c r="B289" i="32"/>
  <c r="A289" i="32"/>
  <c r="G288" i="32"/>
  <c r="F288" i="32"/>
  <c r="E288" i="32"/>
  <c r="D288" i="32"/>
  <c r="C288" i="32"/>
  <c r="B288" i="32"/>
  <c r="A288" i="32"/>
  <c r="G287" i="32"/>
  <c r="F287" i="32"/>
  <c r="E287" i="32"/>
  <c r="D287" i="32"/>
  <c r="C287" i="32"/>
  <c r="B287" i="32"/>
  <c r="A287" i="32"/>
  <c r="G286" i="32"/>
  <c r="F286" i="32"/>
  <c r="E286" i="32"/>
  <c r="D286" i="32"/>
  <c r="C286" i="32"/>
  <c r="B286" i="32"/>
  <c r="A286" i="32"/>
  <c r="G285" i="32"/>
  <c r="F285" i="32"/>
  <c r="E285" i="32"/>
  <c r="D285" i="32"/>
  <c r="C285" i="32"/>
  <c r="B285" i="32"/>
  <c r="A285" i="32"/>
  <c r="G284" i="32"/>
  <c r="F284" i="32"/>
  <c r="E284" i="32"/>
  <c r="D284" i="32"/>
  <c r="C284" i="32"/>
  <c r="B284" i="32"/>
  <c r="A284" i="32"/>
  <c r="G283" i="32"/>
  <c r="F283" i="32"/>
  <c r="E283" i="32"/>
  <c r="D283" i="32"/>
  <c r="C283" i="32"/>
  <c r="B283" i="32"/>
  <c r="A283" i="32"/>
  <c r="G282" i="32"/>
  <c r="F282" i="32"/>
  <c r="E282" i="32"/>
  <c r="D282" i="32"/>
  <c r="C282" i="32"/>
  <c r="B282" i="32"/>
  <c r="A282" i="32"/>
  <c r="G281" i="32"/>
  <c r="F281" i="32"/>
  <c r="E281" i="32"/>
  <c r="D281" i="32"/>
  <c r="C281" i="32"/>
  <c r="B281" i="32"/>
  <c r="A281" i="32"/>
  <c r="G280" i="32"/>
  <c r="F280" i="32"/>
  <c r="E280" i="32"/>
  <c r="D280" i="32"/>
  <c r="C280" i="32"/>
  <c r="B280" i="32"/>
  <c r="A280" i="32"/>
  <c r="G279" i="32"/>
  <c r="F279" i="32"/>
  <c r="E279" i="32"/>
  <c r="D279" i="32"/>
  <c r="C279" i="32"/>
  <c r="B279" i="32"/>
  <c r="A279" i="32"/>
  <c r="G278" i="32"/>
  <c r="F278" i="32"/>
  <c r="E278" i="32"/>
  <c r="D278" i="32"/>
  <c r="C278" i="32"/>
  <c r="B278" i="32"/>
  <c r="A278" i="32"/>
  <c r="G277" i="32"/>
  <c r="F277" i="32"/>
  <c r="E277" i="32"/>
  <c r="D277" i="32"/>
  <c r="C277" i="32"/>
  <c r="B277" i="32"/>
  <c r="A277" i="32"/>
  <c r="G276" i="32"/>
  <c r="F276" i="32"/>
  <c r="E276" i="32"/>
  <c r="D276" i="32"/>
  <c r="C276" i="32"/>
  <c r="B276" i="32"/>
  <c r="A276" i="32"/>
  <c r="G275" i="32"/>
  <c r="F275" i="32"/>
  <c r="E275" i="32"/>
  <c r="D275" i="32"/>
  <c r="C275" i="32"/>
  <c r="B275" i="32"/>
  <c r="A275" i="32"/>
  <c r="G274" i="32"/>
  <c r="F274" i="32"/>
  <c r="E274" i="32"/>
  <c r="D274" i="32"/>
  <c r="C274" i="32"/>
  <c r="B274" i="32"/>
  <c r="A274" i="32"/>
  <c r="G273" i="32"/>
  <c r="F273" i="32"/>
  <c r="E273" i="32"/>
  <c r="D273" i="32"/>
  <c r="C273" i="32"/>
  <c r="B273" i="32"/>
  <c r="A273" i="32"/>
  <c r="G272" i="32"/>
  <c r="F272" i="32"/>
  <c r="E272" i="32"/>
  <c r="D272" i="32"/>
  <c r="C272" i="32"/>
  <c r="B272" i="32"/>
  <c r="A272" i="32"/>
  <c r="G271" i="32"/>
  <c r="F271" i="32"/>
  <c r="E271" i="32"/>
  <c r="D271" i="32"/>
  <c r="C271" i="32"/>
  <c r="B271" i="32"/>
  <c r="A271" i="32"/>
  <c r="G270" i="32"/>
  <c r="F270" i="32"/>
  <c r="E270" i="32"/>
  <c r="D270" i="32"/>
  <c r="C270" i="32"/>
  <c r="B270" i="32"/>
  <c r="A270" i="32"/>
  <c r="G269" i="32"/>
  <c r="F269" i="32"/>
  <c r="E269" i="32"/>
  <c r="D269" i="32"/>
  <c r="C269" i="32"/>
  <c r="B269" i="32"/>
  <c r="A269" i="32"/>
  <c r="G268" i="32"/>
  <c r="F268" i="32"/>
  <c r="E268" i="32"/>
  <c r="D268" i="32"/>
  <c r="C268" i="32"/>
  <c r="B268" i="32"/>
  <c r="A268" i="32"/>
  <c r="G267" i="32"/>
  <c r="F267" i="32"/>
  <c r="E267" i="32"/>
  <c r="D267" i="32"/>
  <c r="C267" i="32"/>
  <c r="B267" i="32"/>
  <c r="A267" i="32"/>
  <c r="G266" i="32"/>
  <c r="F266" i="32"/>
  <c r="E266" i="32"/>
  <c r="D266" i="32"/>
  <c r="C266" i="32"/>
  <c r="B266" i="32"/>
  <c r="A266" i="32"/>
  <c r="G265" i="32"/>
  <c r="F265" i="32"/>
  <c r="E265" i="32"/>
  <c r="D265" i="32"/>
  <c r="C265" i="32"/>
  <c r="B265" i="32"/>
  <c r="A265" i="32"/>
  <c r="G264" i="32"/>
  <c r="F264" i="32"/>
  <c r="E264" i="32"/>
  <c r="D264" i="32"/>
  <c r="C264" i="32"/>
  <c r="B264" i="32"/>
  <c r="A264" i="32"/>
  <c r="G263" i="32"/>
  <c r="F263" i="32"/>
  <c r="E263" i="32"/>
  <c r="D263" i="32"/>
  <c r="C263" i="32"/>
  <c r="B263" i="32"/>
  <c r="A263" i="32"/>
  <c r="G262" i="32"/>
  <c r="F262" i="32"/>
  <c r="E262" i="32"/>
  <c r="D262" i="32"/>
  <c r="C262" i="32"/>
  <c r="B262" i="32"/>
  <c r="A262" i="32"/>
  <c r="G261" i="32"/>
  <c r="F261" i="32"/>
  <c r="E261" i="32"/>
  <c r="D261" i="32"/>
  <c r="C261" i="32"/>
  <c r="B261" i="32"/>
  <c r="A261" i="32"/>
  <c r="G260" i="32"/>
  <c r="F260" i="32"/>
  <c r="E260" i="32"/>
  <c r="D260" i="32"/>
  <c r="C260" i="32"/>
  <c r="B260" i="32"/>
  <c r="A260" i="32"/>
  <c r="G259" i="32"/>
  <c r="F259" i="32"/>
  <c r="E259" i="32"/>
  <c r="D259" i="32"/>
  <c r="C259" i="32"/>
  <c r="B259" i="32"/>
  <c r="A259" i="32"/>
  <c r="G258" i="32"/>
  <c r="F258" i="32"/>
  <c r="E258" i="32"/>
  <c r="D258" i="32"/>
  <c r="C258" i="32"/>
  <c r="B258" i="32"/>
  <c r="A258" i="32"/>
  <c r="G257" i="32"/>
  <c r="F257" i="32"/>
  <c r="E257" i="32"/>
  <c r="D257" i="32"/>
  <c r="C257" i="32"/>
  <c r="B257" i="32"/>
  <c r="A257" i="32"/>
  <c r="G256" i="32"/>
  <c r="F256" i="32"/>
  <c r="E256" i="32"/>
  <c r="D256" i="32"/>
  <c r="C256" i="32"/>
  <c r="B256" i="32"/>
  <c r="A256" i="32"/>
  <c r="G255" i="32"/>
  <c r="F255" i="32"/>
  <c r="E255" i="32"/>
  <c r="D255" i="32"/>
  <c r="C255" i="32"/>
  <c r="B255" i="32"/>
  <c r="A255" i="32"/>
  <c r="G254" i="32"/>
  <c r="F254" i="32"/>
  <c r="E254" i="32"/>
  <c r="D254" i="32"/>
  <c r="C254" i="32"/>
  <c r="B254" i="32"/>
  <c r="A254" i="32"/>
  <c r="G253" i="32"/>
  <c r="F253" i="32"/>
  <c r="E253" i="32"/>
  <c r="D253" i="32"/>
  <c r="C253" i="32"/>
  <c r="B253" i="32"/>
  <c r="A253" i="32"/>
  <c r="G252" i="32"/>
  <c r="F252" i="32"/>
  <c r="E252" i="32"/>
  <c r="D252" i="32"/>
  <c r="C252" i="32"/>
  <c r="B252" i="32"/>
  <c r="A252" i="32"/>
  <c r="G251" i="32"/>
  <c r="F251" i="32"/>
  <c r="E251" i="32"/>
  <c r="D251" i="32"/>
  <c r="C251" i="32"/>
  <c r="B251" i="32"/>
  <c r="A251" i="32"/>
  <c r="G250" i="32"/>
  <c r="F250" i="32"/>
  <c r="E250" i="32"/>
  <c r="D250" i="32"/>
  <c r="C250" i="32"/>
  <c r="B250" i="32"/>
  <c r="A250" i="32"/>
  <c r="G249" i="32"/>
  <c r="F249" i="32"/>
  <c r="E249" i="32"/>
  <c r="D249" i="32"/>
  <c r="C249" i="32"/>
  <c r="B249" i="32"/>
  <c r="A249" i="32"/>
  <c r="G248" i="32"/>
  <c r="F248" i="32"/>
  <c r="E248" i="32"/>
  <c r="D248" i="32"/>
  <c r="C248" i="32"/>
  <c r="B248" i="32"/>
  <c r="A248" i="32"/>
  <c r="G247" i="32"/>
  <c r="F247" i="32"/>
  <c r="E247" i="32"/>
  <c r="D247" i="32"/>
  <c r="C247" i="32"/>
  <c r="B247" i="32"/>
  <c r="A247" i="32"/>
  <c r="G246" i="32"/>
  <c r="F246" i="32"/>
  <c r="E246" i="32"/>
  <c r="D246" i="32"/>
  <c r="C246" i="32"/>
  <c r="B246" i="32"/>
  <c r="A246" i="32"/>
  <c r="G245" i="32"/>
  <c r="F245" i="32"/>
  <c r="E245" i="32"/>
  <c r="D245" i="32"/>
  <c r="C245" i="32"/>
  <c r="B245" i="32"/>
  <c r="A245" i="32"/>
  <c r="G244" i="32"/>
  <c r="F244" i="32"/>
  <c r="E244" i="32"/>
  <c r="D244" i="32"/>
  <c r="C244" i="32"/>
  <c r="B244" i="32"/>
  <c r="A244" i="32"/>
  <c r="G243" i="32"/>
  <c r="F243" i="32"/>
  <c r="E243" i="32"/>
  <c r="D243" i="32"/>
  <c r="C243" i="32"/>
  <c r="B243" i="32"/>
  <c r="A243" i="32"/>
  <c r="G242" i="32"/>
  <c r="F242" i="32"/>
  <c r="E242" i="32"/>
  <c r="D242" i="32"/>
  <c r="C242" i="32"/>
  <c r="B242" i="32"/>
  <c r="A242" i="32"/>
  <c r="G241" i="32"/>
  <c r="F241" i="32"/>
  <c r="E241" i="32"/>
  <c r="D241" i="32"/>
  <c r="C241" i="32"/>
  <c r="B241" i="32"/>
  <c r="A241" i="32"/>
  <c r="G240" i="32"/>
  <c r="F240" i="32"/>
  <c r="E240" i="32"/>
  <c r="D240" i="32"/>
  <c r="C240" i="32"/>
  <c r="B240" i="32"/>
  <c r="A240" i="32"/>
  <c r="G239" i="32"/>
  <c r="F239" i="32"/>
  <c r="E239" i="32"/>
  <c r="D239" i="32"/>
  <c r="C239" i="32"/>
  <c r="B239" i="32"/>
  <c r="A239" i="32"/>
  <c r="G238" i="32"/>
  <c r="F238" i="32"/>
  <c r="E238" i="32"/>
  <c r="D238" i="32"/>
  <c r="C238" i="32"/>
  <c r="B238" i="32"/>
  <c r="A238" i="32"/>
  <c r="G237" i="32"/>
  <c r="F237" i="32"/>
  <c r="E237" i="32"/>
  <c r="D237" i="32"/>
  <c r="C237" i="32"/>
  <c r="B237" i="32"/>
  <c r="A237" i="32"/>
  <c r="G236" i="32"/>
  <c r="F236" i="32"/>
  <c r="E236" i="32"/>
  <c r="D236" i="32"/>
  <c r="C236" i="32"/>
  <c r="B236" i="32"/>
  <c r="A236" i="32"/>
  <c r="G235" i="32"/>
  <c r="F235" i="32"/>
  <c r="E235" i="32"/>
  <c r="D235" i="32"/>
  <c r="C235" i="32"/>
  <c r="B235" i="32"/>
  <c r="A235" i="32"/>
  <c r="G234" i="32"/>
  <c r="F234" i="32"/>
  <c r="E234" i="32"/>
  <c r="D234" i="32"/>
  <c r="C234" i="32"/>
  <c r="B234" i="32"/>
  <c r="A234" i="32"/>
  <c r="G233" i="32"/>
  <c r="F233" i="32"/>
  <c r="E233" i="32"/>
  <c r="D233" i="32"/>
  <c r="C233" i="32"/>
  <c r="B233" i="32"/>
  <c r="A233" i="32"/>
  <c r="G232" i="32"/>
  <c r="F232" i="32"/>
  <c r="E232" i="32"/>
  <c r="D232" i="32"/>
  <c r="C232" i="32"/>
  <c r="B232" i="32"/>
  <c r="A232" i="32"/>
  <c r="G231" i="32"/>
  <c r="F231" i="32"/>
  <c r="E231" i="32"/>
  <c r="D231" i="32"/>
  <c r="C231" i="32"/>
  <c r="B231" i="32"/>
  <c r="A231" i="32"/>
  <c r="G230" i="32"/>
  <c r="F230" i="32"/>
  <c r="E230" i="32"/>
  <c r="D230" i="32"/>
  <c r="C230" i="32"/>
  <c r="B230" i="32"/>
  <c r="A230" i="32"/>
  <c r="G229" i="32"/>
  <c r="F229" i="32"/>
  <c r="E229" i="32"/>
  <c r="D229" i="32"/>
  <c r="C229" i="32"/>
  <c r="B229" i="32"/>
  <c r="A229" i="32"/>
  <c r="G228" i="32"/>
  <c r="F228" i="32"/>
  <c r="E228" i="32"/>
  <c r="D228" i="32"/>
  <c r="C228" i="32"/>
  <c r="B228" i="32"/>
  <c r="A228" i="32"/>
  <c r="G227" i="32"/>
  <c r="F227" i="32"/>
  <c r="E227" i="32"/>
  <c r="D227" i="32"/>
  <c r="C227" i="32"/>
  <c r="B227" i="32"/>
  <c r="A227" i="32"/>
  <c r="G226" i="32"/>
  <c r="F226" i="32"/>
  <c r="E226" i="32"/>
  <c r="D226" i="32"/>
  <c r="C226" i="32"/>
  <c r="B226" i="32"/>
  <c r="A226" i="32"/>
  <c r="G225" i="32"/>
  <c r="F225" i="32"/>
  <c r="E225" i="32"/>
  <c r="D225" i="32"/>
  <c r="C225" i="32"/>
  <c r="B225" i="32"/>
  <c r="A225" i="32"/>
  <c r="G224" i="32"/>
  <c r="F224" i="32"/>
  <c r="E224" i="32"/>
  <c r="D224" i="32"/>
  <c r="C224" i="32"/>
  <c r="B224" i="32"/>
  <c r="A224" i="32"/>
  <c r="G223" i="32"/>
  <c r="F223" i="32"/>
  <c r="E223" i="32"/>
  <c r="D223" i="32"/>
  <c r="C223" i="32"/>
  <c r="B223" i="32"/>
  <c r="A223" i="32"/>
  <c r="G222" i="32"/>
  <c r="F222" i="32"/>
  <c r="E222" i="32"/>
  <c r="D222" i="32"/>
  <c r="C222" i="32"/>
  <c r="B222" i="32"/>
  <c r="A222" i="32"/>
  <c r="G221" i="32"/>
  <c r="F221" i="32"/>
  <c r="E221" i="32"/>
  <c r="D221" i="32"/>
  <c r="C221" i="32"/>
  <c r="B221" i="32"/>
  <c r="A221" i="32"/>
  <c r="G220" i="32"/>
  <c r="F220" i="32"/>
  <c r="E220" i="32"/>
  <c r="D220" i="32"/>
  <c r="C220" i="32"/>
  <c r="B220" i="32"/>
  <c r="A220" i="32"/>
  <c r="G219" i="32"/>
  <c r="F219" i="32"/>
  <c r="E219" i="32"/>
  <c r="D219" i="32"/>
  <c r="C219" i="32"/>
  <c r="B219" i="32"/>
  <c r="A219" i="32"/>
  <c r="G218" i="32"/>
  <c r="F218" i="32"/>
  <c r="E218" i="32"/>
  <c r="D218" i="32"/>
  <c r="C218" i="32"/>
  <c r="B218" i="32"/>
  <c r="A218" i="32"/>
  <c r="G217" i="32"/>
  <c r="F217" i="32"/>
  <c r="E217" i="32"/>
  <c r="D217" i="32"/>
  <c r="C217" i="32"/>
  <c r="B217" i="32"/>
  <c r="A217" i="32"/>
  <c r="G216" i="32"/>
  <c r="F216" i="32"/>
  <c r="E216" i="32"/>
  <c r="D216" i="32"/>
  <c r="C216" i="32"/>
  <c r="B216" i="32"/>
  <c r="A216" i="32"/>
  <c r="G215" i="32"/>
  <c r="F215" i="32"/>
  <c r="E215" i="32"/>
  <c r="D215" i="32"/>
  <c r="C215" i="32"/>
  <c r="B215" i="32"/>
  <c r="A215" i="32"/>
  <c r="G214" i="32"/>
  <c r="F214" i="32"/>
  <c r="E214" i="32"/>
  <c r="D214" i="32"/>
  <c r="C214" i="32"/>
  <c r="B214" i="32"/>
  <c r="A214" i="32"/>
  <c r="G213" i="32"/>
  <c r="F213" i="32"/>
  <c r="E213" i="32"/>
  <c r="D213" i="32"/>
  <c r="C213" i="32"/>
  <c r="B213" i="32"/>
  <c r="A213" i="32"/>
  <c r="G212" i="32"/>
  <c r="F212" i="32"/>
  <c r="E212" i="32"/>
  <c r="D212" i="32"/>
  <c r="C212" i="32"/>
  <c r="B212" i="32"/>
  <c r="A212" i="32"/>
  <c r="G211" i="32"/>
  <c r="F211" i="32"/>
  <c r="E211" i="32"/>
  <c r="D211" i="32"/>
  <c r="C211" i="32"/>
  <c r="B211" i="32"/>
  <c r="A211" i="32"/>
  <c r="G210" i="32"/>
  <c r="F210" i="32"/>
  <c r="E210" i="32"/>
  <c r="D210" i="32"/>
  <c r="C210" i="32"/>
  <c r="B210" i="32"/>
  <c r="A210" i="32"/>
  <c r="G209" i="32"/>
  <c r="F209" i="32"/>
  <c r="E209" i="32"/>
  <c r="D209" i="32"/>
  <c r="C209" i="32"/>
  <c r="B209" i="32"/>
  <c r="A209" i="32"/>
  <c r="G208" i="32"/>
  <c r="F208" i="32"/>
  <c r="E208" i="32"/>
  <c r="D208" i="32"/>
  <c r="C208" i="32"/>
  <c r="B208" i="32"/>
  <c r="A208" i="32"/>
  <c r="G207" i="32"/>
  <c r="F207" i="32"/>
  <c r="E207" i="32"/>
  <c r="D207" i="32"/>
  <c r="C207" i="32"/>
  <c r="B207" i="32"/>
  <c r="A207" i="32"/>
  <c r="G206" i="32"/>
  <c r="F206" i="32"/>
  <c r="E206" i="32"/>
  <c r="D206" i="32"/>
  <c r="C206" i="32"/>
  <c r="B206" i="32"/>
  <c r="A206" i="32"/>
  <c r="G205" i="32"/>
  <c r="F205" i="32"/>
  <c r="E205" i="32"/>
  <c r="D205" i="32"/>
  <c r="C205" i="32"/>
  <c r="B205" i="32"/>
  <c r="A205" i="32"/>
  <c r="G204" i="32"/>
  <c r="F204" i="32"/>
  <c r="E204" i="32"/>
  <c r="D204" i="32"/>
  <c r="C204" i="32"/>
  <c r="B204" i="32"/>
  <c r="A204" i="32"/>
  <c r="G203" i="32"/>
  <c r="F203" i="32"/>
  <c r="E203" i="32"/>
  <c r="D203" i="32"/>
  <c r="C203" i="32"/>
  <c r="B203" i="32"/>
  <c r="A203" i="32"/>
  <c r="G202" i="32"/>
  <c r="F202" i="32"/>
  <c r="E202" i="32"/>
  <c r="D202" i="32"/>
  <c r="C202" i="32"/>
  <c r="B202" i="32"/>
  <c r="A202" i="32"/>
  <c r="G201" i="32"/>
  <c r="F201" i="32"/>
  <c r="E201" i="32"/>
  <c r="D201" i="32"/>
  <c r="C201" i="32"/>
  <c r="B201" i="32"/>
  <c r="A201" i="32"/>
  <c r="G200" i="32"/>
  <c r="F200" i="32"/>
  <c r="E200" i="32"/>
  <c r="D200" i="32"/>
  <c r="C200" i="32"/>
  <c r="B200" i="32"/>
  <c r="A200" i="32"/>
  <c r="G199" i="32"/>
  <c r="F199" i="32"/>
  <c r="E199" i="32"/>
  <c r="D199" i="32"/>
  <c r="C199" i="32"/>
  <c r="B199" i="32"/>
  <c r="A199" i="32"/>
  <c r="G198" i="32"/>
  <c r="F198" i="32"/>
  <c r="E198" i="32"/>
  <c r="D198" i="32"/>
  <c r="C198" i="32"/>
  <c r="B198" i="32"/>
  <c r="A198" i="32"/>
  <c r="G197" i="32"/>
  <c r="F197" i="32"/>
  <c r="E197" i="32"/>
  <c r="D197" i="32"/>
  <c r="C197" i="32"/>
  <c r="B197" i="32"/>
  <c r="A197" i="32"/>
  <c r="G196" i="32"/>
  <c r="F196" i="32"/>
  <c r="E196" i="32"/>
  <c r="D196" i="32"/>
  <c r="C196" i="32"/>
  <c r="B196" i="32"/>
  <c r="A196" i="32"/>
  <c r="G195" i="32"/>
  <c r="F195" i="32"/>
  <c r="E195" i="32"/>
  <c r="D195" i="32"/>
  <c r="C195" i="32"/>
  <c r="B195" i="32"/>
  <c r="A195" i="32"/>
  <c r="G194" i="32"/>
  <c r="F194" i="32"/>
  <c r="E194" i="32"/>
  <c r="D194" i="32"/>
  <c r="C194" i="32"/>
  <c r="B194" i="32"/>
  <c r="A194" i="32"/>
  <c r="G193" i="32"/>
  <c r="F193" i="32"/>
  <c r="E193" i="32"/>
  <c r="D193" i="32"/>
  <c r="C193" i="32"/>
  <c r="B193" i="32"/>
  <c r="A193" i="32"/>
  <c r="G192" i="32"/>
  <c r="F192" i="32"/>
  <c r="E192" i="32"/>
  <c r="D192" i="32"/>
  <c r="C192" i="32"/>
  <c r="B192" i="32"/>
  <c r="A192" i="32"/>
  <c r="G191" i="32"/>
  <c r="F191" i="32"/>
  <c r="E191" i="32"/>
  <c r="D191" i="32"/>
  <c r="C191" i="32"/>
  <c r="B191" i="32"/>
  <c r="A191" i="32"/>
  <c r="G190" i="32"/>
  <c r="F190" i="32"/>
  <c r="E190" i="32"/>
  <c r="D190" i="32"/>
  <c r="C190" i="32"/>
  <c r="B190" i="32"/>
  <c r="A190" i="32"/>
  <c r="G189" i="32"/>
  <c r="F189" i="32"/>
  <c r="E189" i="32"/>
  <c r="D189" i="32"/>
  <c r="C189" i="32"/>
  <c r="B189" i="32"/>
  <c r="A189" i="32"/>
  <c r="G188" i="32"/>
  <c r="F188" i="32"/>
  <c r="E188" i="32"/>
  <c r="D188" i="32"/>
  <c r="C188" i="32"/>
  <c r="B188" i="32"/>
  <c r="A188" i="32"/>
  <c r="G187" i="32"/>
  <c r="F187" i="32"/>
  <c r="E187" i="32"/>
  <c r="D187" i="32"/>
  <c r="C187" i="32"/>
  <c r="B187" i="32"/>
  <c r="A187" i="32"/>
  <c r="G186" i="32"/>
  <c r="F186" i="32"/>
  <c r="E186" i="32"/>
  <c r="D186" i="32"/>
  <c r="C186" i="32"/>
  <c r="B186" i="32"/>
  <c r="A186" i="32"/>
  <c r="G185" i="32"/>
  <c r="F185" i="32"/>
  <c r="E185" i="32"/>
  <c r="D185" i="32"/>
  <c r="C185" i="32"/>
  <c r="B185" i="32"/>
  <c r="A185" i="32"/>
  <c r="G184" i="32"/>
  <c r="F184" i="32"/>
  <c r="E184" i="32"/>
  <c r="D184" i="32"/>
  <c r="C184" i="32"/>
  <c r="B184" i="32"/>
  <c r="A184" i="32"/>
  <c r="G183" i="32"/>
  <c r="F183" i="32"/>
  <c r="E183" i="32"/>
  <c r="D183" i="32"/>
  <c r="C183" i="32"/>
  <c r="B183" i="32"/>
  <c r="A183" i="32"/>
  <c r="G182" i="32"/>
  <c r="F182" i="32"/>
  <c r="E182" i="32"/>
  <c r="D182" i="32"/>
  <c r="C182" i="32"/>
  <c r="B182" i="32"/>
  <c r="A182" i="32"/>
  <c r="G181" i="32"/>
  <c r="F181" i="32"/>
  <c r="E181" i="32"/>
  <c r="D181" i="32"/>
  <c r="C181" i="32"/>
  <c r="B181" i="32"/>
  <c r="A181" i="32"/>
  <c r="G180" i="32"/>
  <c r="F180" i="32"/>
  <c r="E180" i="32"/>
  <c r="D180" i="32"/>
  <c r="C180" i="32"/>
  <c r="B180" i="32"/>
  <c r="A180" i="32"/>
  <c r="G179" i="32"/>
  <c r="F179" i="32"/>
  <c r="E179" i="32"/>
  <c r="D179" i="32"/>
  <c r="C179" i="32"/>
  <c r="B179" i="32"/>
  <c r="A179" i="32"/>
  <c r="G178" i="32"/>
  <c r="F178" i="32"/>
  <c r="E178" i="32"/>
  <c r="D178" i="32"/>
  <c r="C178" i="32"/>
  <c r="B178" i="32"/>
  <c r="A178" i="32"/>
  <c r="G177" i="32"/>
  <c r="F177" i="32"/>
  <c r="E177" i="32"/>
  <c r="D177" i="32"/>
  <c r="C177" i="32"/>
  <c r="B177" i="32"/>
  <c r="A177" i="32"/>
  <c r="G176" i="32"/>
  <c r="F176" i="32"/>
  <c r="E176" i="32"/>
  <c r="D176" i="32"/>
  <c r="C176" i="32"/>
  <c r="B176" i="32"/>
  <c r="A176" i="32"/>
  <c r="G175" i="32"/>
  <c r="F175" i="32"/>
  <c r="E175" i="32"/>
  <c r="D175" i="32"/>
  <c r="C175" i="32"/>
  <c r="B175" i="32"/>
  <c r="A175" i="32"/>
  <c r="G174" i="32"/>
  <c r="F174" i="32"/>
  <c r="E174" i="32"/>
  <c r="D174" i="32"/>
  <c r="C174" i="32"/>
  <c r="B174" i="32"/>
  <c r="A174" i="32"/>
  <c r="G173" i="32"/>
  <c r="F173" i="32"/>
  <c r="E173" i="32"/>
  <c r="D173" i="32"/>
  <c r="C173" i="32"/>
  <c r="B173" i="32"/>
  <c r="A173" i="32"/>
  <c r="G172" i="32"/>
  <c r="F172" i="32"/>
  <c r="E172" i="32"/>
  <c r="D172" i="32"/>
  <c r="C172" i="32"/>
  <c r="B172" i="32"/>
  <c r="A172" i="32"/>
  <c r="G171" i="32"/>
  <c r="F171" i="32"/>
  <c r="E171" i="32"/>
  <c r="D171" i="32"/>
  <c r="C171" i="32"/>
  <c r="B171" i="32"/>
  <c r="A171" i="32"/>
  <c r="G170" i="32"/>
  <c r="F170" i="32"/>
  <c r="E170" i="32"/>
  <c r="D170" i="32"/>
  <c r="C170" i="32"/>
  <c r="B170" i="32"/>
  <c r="A170" i="32"/>
  <c r="G169" i="32"/>
  <c r="F169" i="32"/>
  <c r="E169" i="32"/>
  <c r="D169" i="32"/>
  <c r="C169" i="32"/>
  <c r="B169" i="32"/>
  <c r="A169" i="32"/>
  <c r="G168" i="32"/>
  <c r="F168" i="32"/>
  <c r="E168" i="32"/>
  <c r="D168" i="32"/>
  <c r="C168" i="32"/>
  <c r="B168" i="32"/>
  <c r="A168" i="32"/>
  <c r="G167" i="32"/>
  <c r="F167" i="32"/>
  <c r="E167" i="32"/>
  <c r="D167" i="32"/>
  <c r="C167" i="32"/>
  <c r="B167" i="32"/>
  <c r="A167" i="32"/>
  <c r="G166" i="32"/>
  <c r="F166" i="32"/>
  <c r="E166" i="32"/>
  <c r="D166" i="32"/>
  <c r="C166" i="32"/>
  <c r="B166" i="32"/>
  <c r="A166" i="32"/>
  <c r="G165" i="32"/>
  <c r="F165" i="32"/>
  <c r="E165" i="32"/>
  <c r="D165" i="32"/>
  <c r="C165" i="32"/>
  <c r="B165" i="32"/>
  <c r="A165" i="32"/>
  <c r="G164" i="32"/>
  <c r="F164" i="32"/>
  <c r="E164" i="32"/>
  <c r="D164" i="32"/>
  <c r="C164" i="32"/>
  <c r="B164" i="32"/>
  <c r="A164" i="32"/>
  <c r="G163" i="32"/>
  <c r="F163" i="32"/>
  <c r="E163" i="32"/>
  <c r="D163" i="32"/>
  <c r="C163" i="32"/>
  <c r="B163" i="32"/>
  <c r="A163" i="32"/>
  <c r="G162" i="32"/>
  <c r="F162" i="32"/>
  <c r="E162" i="32"/>
  <c r="D162" i="32"/>
  <c r="C162" i="32"/>
  <c r="B162" i="32"/>
  <c r="A162" i="32"/>
  <c r="G161" i="32"/>
  <c r="F161" i="32"/>
  <c r="E161" i="32"/>
  <c r="D161" i="32"/>
  <c r="C161" i="32"/>
  <c r="B161" i="32"/>
  <c r="A161" i="32"/>
  <c r="G160" i="32"/>
  <c r="F160" i="32"/>
  <c r="E160" i="32"/>
  <c r="D160" i="32"/>
  <c r="C160" i="32"/>
  <c r="B160" i="32"/>
  <c r="A160" i="32"/>
  <c r="G159" i="32"/>
  <c r="F159" i="32"/>
  <c r="E159" i="32"/>
  <c r="D159" i="32"/>
  <c r="C159" i="32"/>
  <c r="B159" i="32"/>
  <c r="A159" i="32"/>
  <c r="G158" i="32"/>
  <c r="F158" i="32"/>
  <c r="E158" i="32"/>
  <c r="D158" i="32"/>
  <c r="C158" i="32"/>
  <c r="B158" i="32"/>
  <c r="A158" i="32"/>
  <c r="G157" i="32"/>
  <c r="F157" i="32"/>
  <c r="E157" i="32"/>
  <c r="D157" i="32"/>
  <c r="C157" i="32"/>
  <c r="B157" i="32"/>
  <c r="A157" i="32"/>
  <c r="G156" i="32"/>
  <c r="F156" i="32"/>
  <c r="E156" i="32"/>
  <c r="D156" i="32"/>
  <c r="C156" i="32"/>
  <c r="B156" i="32"/>
  <c r="A156" i="32"/>
  <c r="G155" i="32"/>
  <c r="F155" i="32"/>
  <c r="E155" i="32"/>
  <c r="D155" i="32"/>
  <c r="C155" i="32"/>
  <c r="B155" i="32"/>
  <c r="A155" i="32"/>
  <c r="G154" i="32"/>
  <c r="F154" i="32"/>
  <c r="E154" i="32"/>
  <c r="D154" i="32"/>
  <c r="C154" i="32"/>
  <c r="B154" i="32"/>
  <c r="A154" i="32"/>
  <c r="G153" i="32"/>
  <c r="F153" i="32"/>
  <c r="E153" i="32"/>
  <c r="D153" i="32"/>
  <c r="C153" i="32"/>
  <c r="B153" i="32"/>
  <c r="A153" i="32"/>
  <c r="G152" i="32"/>
  <c r="F152" i="32"/>
  <c r="E152" i="32"/>
  <c r="D152" i="32"/>
  <c r="C152" i="32"/>
  <c r="B152" i="32"/>
  <c r="A152" i="32"/>
  <c r="G151" i="32"/>
  <c r="F151" i="32"/>
  <c r="E151" i="32"/>
  <c r="D151" i="32"/>
  <c r="C151" i="32"/>
  <c r="B151" i="32"/>
  <c r="A151" i="32"/>
  <c r="G150" i="32"/>
  <c r="F150" i="32"/>
  <c r="E150" i="32"/>
  <c r="D150" i="32"/>
  <c r="C150" i="32"/>
  <c r="B150" i="32"/>
  <c r="A150" i="32"/>
  <c r="G149" i="32"/>
  <c r="F149" i="32"/>
  <c r="E149" i="32"/>
  <c r="D149" i="32"/>
  <c r="C149" i="32"/>
  <c r="B149" i="32"/>
  <c r="A149" i="32"/>
  <c r="G148" i="32"/>
  <c r="F148" i="32"/>
  <c r="E148" i="32"/>
  <c r="D148" i="32"/>
  <c r="C148" i="32"/>
  <c r="B148" i="32"/>
  <c r="A148" i="32"/>
  <c r="G147" i="32"/>
  <c r="F147" i="32"/>
  <c r="E147" i="32"/>
  <c r="D147" i="32"/>
  <c r="C147" i="32"/>
  <c r="B147" i="32"/>
  <c r="A147" i="32"/>
  <c r="G146" i="32"/>
  <c r="F146" i="32"/>
  <c r="E146" i="32"/>
  <c r="D146" i="32"/>
  <c r="C146" i="32"/>
  <c r="B146" i="32"/>
  <c r="A146" i="32"/>
  <c r="G145" i="32"/>
  <c r="F145" i="32"/>
  <c r="E145" i="32"/>
  <c r="D145" i="32"/>
  <c r="C145" i="32"/>
  <c r="B145" i="32"/>
  <c r="A145" i="32"/>
  <c r="G144" i="32"/>
  <c r="F144" i="32"/>
  <c r="E144" i="32"/>
  <c r="D144" i="32"/>
  <c r="C144" i="32"/>
  <c r="B144" i="32"/>
  <c r="A144" i="32"/>
  <c r="G143" i="32"/>
  <c r="F143" i="32"/>
  <c r="E143" i="32"/>
  <c r="D143" i="32"/>
  <c r="C143" i="32"/>
  <c r="B143" i="32"/>
  <c r="A143" i="32"/>
  <c r="G142" i="32"/>
  <c r="F142" i="32"/>
  <c r="E142" i="32"/>
  <c r="D142" i="32"/>
  <c r="C142" i="32"/>
  <c r="B142" i="32"/>
  <c r="A142" i="32"/>
  <c r="G141" i="32"/>
  <c r="F141" i="32"/>
  <c r="E141" i="32"/>
  <c r="D141" i="32"/>
  <c r="C141" i="32"/>
  <c r="B141" i="32"/>
  <c r="A141" i="32"/>
  <c r="G140" i="32"/>
  <c r="F140" i="32"/>
  <c r="E140" i="32"/>
  <c r="D140" i="32"/>
  <c r="C140" i="32"/>
  <c r="B140" i="32"/>
  <c r="A140" i="32"/>
  <c r="G139" i="32"/>
  <c r="F139" i="32"/>
  <c r="E139" i="32"/>
  <c r="D139" i="32"/>
  <c r="C139" i="32"/>
  <c r="B139" i="32"/>
  <c r="A139" i="32"/>
  <c r="G138" i="32"/>
  <c r="F138" i="32"/>
  <c r="E138" i="32"/>
  <c r="D138" i="32"/>
  <c r="C138" i="32"/>
  <c r="B138" i="32"/>
  <c r="A138" i="32"/>
  <c r="G137" i="32"/>
  <c r="F137" i="32"/>
  <c r="E137" i="32"/>
  <c r="D137" i="32"/>
  <c r="C137" i="32"/>
  <c r="B137" i="32"/>
  <c r="A137" i="32"/>
  <c r="G136" i="32"/>
  <c r="F136" i="32"/>
  <c r="E136" i="32"/>
  <c r="D136" i="32"/>
  <c r="C136" i="32"/>
  <c r="B136" i="32"/>
  <c r="A136" i="32"/>
  <c r="G135" i="32"/>
  <c r="F135" i="32"/>
  <c r="E135" i="32"/>
  <c r="D135" i="32"/>
  <c r="C135" i="32"/>
  <c r="B135" i="32"/>
  <c r="A135" i="32"/>
  <c r="G134" i="32"/>
  <c r="F134" i="32"/>
  <c r="E134" i="32"/>
  <c r="D134" i="32"/>
  <c r="C134" i="32"/>
  <c r="B134" i="32"/>
  <c r="A134" i="32"/>
  <c r="G133" i="32"/>
  <c r="F133" i="32"/>
  <c r="E133" i="32"/>
  <c r="D133" i="32"/>
  <c r="C133" i="32"/>
  <c r="B133" i="32"/>
  <c r="A133" i="32"/>
  <c r="G132" i="32"/>
  <c r="F132" i="32"/>
  <c r="E132" i="32"/>
  <c r="D132" i="32"/>
  <c r="C132" i="32"/>
  <c r="B132" i="32"/>
  <c r="A132" i="32"/>
  <c r="G131" i="32"/>
  <c r="F131" i="32"/>
  <c r="E131" i="32"/>
  <c r="D131" i="32"/>
  <c r="C131" i="32"/>
  <c r="B131" i="32"/>
  <c r="A131" i="32"/>
  <c r="G130" i="32"/>
  <c r="F130" i="32"/>
  <c r="E130" i="32"/>
  <c r="D130" i="32"/>
  <c r="C130" i="32"/>
  <c r="B130" i="32"/>
  <c r="A130" i="32"/>
  <c r="G129" i="32"/>
  <c r="F129" i="32"/>
  <c r="E129" i="32"/>
  <c r="D129" i="32"/>
  <c r="C129" i="32"/>
  <c r="B129" i="32"/>
  <c r="A129" i="32"/>
  <c r="G128" i="32"/>
  <c r="F128" i="32"/>
  <c r="E128" i="32"/>
  <c r="D128" i="32"/>
  <c r="C128" i="32"/>
  <c r="B128" i="32"/>
  <c r="A128" i="32"/>
  <c r="G127" i="32"/>
  <c r="F127" i="32"/>
  <c r="E127" i="32"/>
  <c r="D127" i="32"/>
  <c r="C127" i="32"/>
  <c r="B127" i="32"/>
  <c r="A127" i="32"/>
  <c r="G126" i="32"/>
  <c r="F126" i="32"/>
  <c r="E126" i="32"/>
  <c r="D126" i="32"/>
  <c r="C126" i="32"/>
  <c r="B126" i="32"/>
  <c r="A126" i="32"/>
  <c r="G125" i="32"/>
  <c r="F125" i="32"/>
  <c r="E125" i="32"/>
  <c r="D125" i="32"/>
  <c r="C125" i="32"/>
  <c r="B125" i="32"/>
  <c r="A125" i="32"/>
  <c r="G124" i="32"/>
  <c r="F124" i="32"/>
  <c r="E124" i="32"/>
  <c r="D124" i="32"/>
  <c r="C124" i="32"/>
  <c r="B124" i="32"/>
  <c r="A124" i="32"/>
  <c r="G123" i="32"/>
  <c r="F123" i="32"/>
  <c r="E123" i="32"/>
  <c r="D123" i="32"/>
  <c r="C123" i="32"/>
  <c r="B123" i="32"/>
  <c r="A123" i="32"/>
  <c r="G122" i="32"/>
  <c r="F122" i="32"/>
  <c r="E122" i="32"/>
  <c r="D122" i="32"/>
  <c r="C122" i="32"/>
  <c r="B122" i="32"/>
  <c r="A122" i="32"/>
  <c r="G121" i="32"/>
  <c r="F121" i="32"/>
  <c r="E121" i="32"/>
  <c r="D121" i="32"/>
  <c r="C121" i="32"/>
  <c r="B121" i="32"/>
  <c r="A121" i="32"/>
  <c r="G120" i="32"/>
  <c r="F120" i="32"/>
  <c r="E120" i="32"/>
  <c r="D120" i="32"/>
  <c r="C120" i="32"/>
  <c r="B120" i="32"/>
  <c r="A120" i="32"/>
  <c r="G119" i="32"/>
  <c r="F119" i="32"/>
  <c r="E119" i="32"/>
  <c r="D119" i="32"/>
  <c r="C119" i="32"/>
  <c r="B119" i="32"/>
  <c r="A119" i="32"/>
  <c r="G118" i="32"/>
  <c r="F118" i="32"/>
  <c r="E118" i="32"/>
  <c r="D118" i="32"/>
  <c r="C118" i="32"/>
  <c r="B118" i="32"/>
  <c r="A118" i="32"/>
  <c r="G117" i="32"/>
  <c r="F117" i="32"/>
  <c r="E117" i="32"/>
  <c r="D117" i="32"/>
  <c r="C117" i="32"/>
  <c r="B117" i="32"/>
  <c r="A117" i="32"/>
  <c r="G116" i="32"/>
  <c r="F116" i="32"/>
  <c r="E116" i="32"/>
  <c r="D116" i="32"/>
  <c r="C116" i="32"/>
  <c r="B116" i="32"/>
  <c r="A116" i="32"/>
  <c r="G115" i="32"/>
  <c r="F115" i="32"/>
  <c r="E115" i="32"/>
  <c r="D115" i="32"/>
  <c r="C115" i="32"/>
  <c r="B115" i="32"/>
  <c r="A115" i="32"/>
  <c r="G114" i="32"/>
  <c r="F114" i="32"/>
  <c r="E114" i="32"/>
  <c r="D114" i="32"/>
  <c r="C114" i="32"/>
  <c r="B114" i="32"/>
  <c r="A114" i="32"/>
  <c r="G113" i="32"/>
  <c r="F113" i="32"/>
  <c r="E113" i="32"/>
  <c r="D113" i="32"/>
  <c r="C113" i="32"/>
  <c r="B113" i="32"/>
  <c r="A113" i="32"/>
  <c r="G112" i="32"/>
  <c r="F112" i="32"/>
  <c r="E112" i="32"/>
  <c r="D112" i="32"/>
  <c r="C112" i="32"/>
  <c r="B112" i="32"/>
  <c r="A112" i="32"/>
  <c r="G111" i="32"/>
  <c r="F111" i="32"/>
  <c r="E111" i="32"/>
  <c r="D111" i="32"/>
  <c r="C111" i="32"/>
  <c r="B111" i="32"/>
  <c r="A111" i="32"/>
  <c r="G110" i="32"/>
  <c r="F110" i="32"/>
  <c r="E110" i="32"/>
  <c r="D110" i="32"/>
  <c r="C110" i="32"/>
  <c r="B110" i="32"/>
  <c r="A110" i="32"/>
  <c r="G109" i="32"/>
  <c r="F109" i="32"/>
  <c r="E109" i="32"/>
  <c r="D109" i="32"/>
  <c r="C109" i="32"/>
  <c r="B109" i="32"/>
  <c r="A109" i="32"/>
  <c r="G108" i="32"/>
  <c r="F108" i="32"/>
  <c r="E108" i="32"/>
  <c r="D108" i="32"/>
  <c r="C108" i="32"/>
  <c r="B108" i="32"/>
  <c r="A108" i="32"/>
  <c r="G107" i="32"/>
  <c r="F107" i="32"/>
  <c r="E107" i="32"/>
  <c r="D107" i="32"/>
  <c r="C107" i="32"/>
  <c r="B107" i="32"/>
  <c r="A107" i="32"/>
  <c r="G106" i="32"/>
  <c r="F106" i="32"/>
  <c r="E106" i="32"/>
  <c r="D106" i="32"/>
  <c r="C106" i="32"/>
  <c r="B106" i="32"/>
  <c r="A106" i="32"/>
  <c r="G105" i="32"/>
  <c r="F105" i="32"/>
  <c r="E105" i="32"/>
  <c r="D105" i="32"/>
  <c r="C105" i="32"/>
  <c r="B105" i="32"/>
  <c r="A105" i="32"/>
  <c r="G104" i="32"/>
  <c r="F104" i="32"/>
  <c r="E104" i="32"/>
  <c r="D104" i="32"/>
  <c r="C104" i="32"/>
  <c r="B104" i="32"/>
  <c r="A104" i="32"/>
  <c r="G103" i="32"/>
  <c r="F103" i="32"/>
  <c r="E103" i="32"/>
  <c r="D103" i="32"/>
  <c r="C103" i="32"/>
  <c r="B103" i="32"/>
  <c r="A103" i="32"/>
  <c r="G102" i="32"/>
  <c r="F102" i="32"/>
  <c r="E102" i="32"/>
  <c r="D102" i="32"/>
  <c r="C102" i="32"/>
  <c r="B102" i="32"/>
  <c r="A102" i="32"/>
  <c r="G101" i="32"/>
  <c r="F101" i="32"/>
  <c r="E101" i="32"/>
  <c r="D101" i="32"/>
  <c r="C101" i="32"/>
  <c r="B101" i="32"/>
  <c r="A101" i="32"/>
  <c r="G100" i="32"/>
  <c r="F100" i="32"/>
  <c r="E100" i="32"/>
  <c r="D100" i="32"/>
  <c r="C100" i="32"/>
  <c r="B100" i="32"/>
  <c r="A100" i="32"/>
  <c r="G99" i="32"/>
  <c r="F99" i="32"/>
  <c r="E99" i="32"/>
  <c r="D99" i="32"/>
  <c r="C99" i="32"/>
  <c r="B99" i="32"/>
  <c r="A99" i="32"/>
  <c r="G98" i="32"/>
  <c r="F98" i="32"/>
  <c r="E98" i="32"/>
  <c r="D98" i="32"/>
  <c r="C98" i="32"/>
  <c r="B98" i="32"/>
  <c r="A98" i="32"/>
  <c r="G97" i="32"/>
  <c r="F97" i="32"/>
  <c r="E97" i="32"/>
  <c r="D97" i="32"/>
  <c r="C97" i="32"/>
  <c r="B97" i="32"/>
  <c r="A97" i="32"/>
  <c r="G96" i="32"/>
  <c r="F96" i="32"/>
  <c r="E96" i="32"/>
  <c r="D96" i="32"/>
  <c r="C96" i="32"/>
  <c r="B96" i="32"/>
  <c r="A96" i="32"/>
  <c r="G95" i="32"/>
  <c r="F95" i="32"/>
  <c r="E95" i="32"/>
  <c r="D95" i="32"/>
  <c r="C95" i="32"/>
  <c r="B95" i="32"/>
  <c r="A95" i="32"/>
  <c r="G94" i="32"/>
  <c r="F94" i="32"/>
  <c r="E94" i="32"/>
  <c r="D94" i="32"/>
  <c r="C94" i="32"/>
  <c r="B94" i="32"/>
  <c r="A94" i="32"/>
  <c r="G93" i="32"/>
  <c r="F93" i="32"/>
  <c r="E93" i="32"/>
  <c r="D93" i="32"/>
  <c r="C93" i="32"/>
  <c r="B93" i="32"/>
  <c r="A93" i="32"/>
  <c r="G92" i="32"/>
  <c r="F92" i="32"/>
  <c r="E92" i="32"/>
  <c r="D92" i="32"/>
  <c r="C92" i="32"/>
  <c r="B92" i="32"/>
  <c r="A92" i="32"/>
  <c r="G91" i="32"/>
  <c r="F91" i="32"/>
  <c r="E91" i="32"/>
  <c r="D91" i="32"/>
  <c r="C91" i="32"/>
  <c r="B91" i="32"/>
  <c r="A91" i="32"/>
  <c r="G90" i="32"/>
  <c r="F90" i="32"/>
  <c r="E90" i="32"/>
  <c r="D90" i="32"/>
  <c r="C90" i="32"/>
  <c r="B90" i="32"/>
  <c r="A90" i="32"/>
  <c r="G89" i="32"/>
  <c r="F89" i="32"/>
  <c r="E89" i="32"/>
  <c r="D89" i="32"/>
  <c r="C89" i="32"/>
  <c r="B89" i="32"/>
  <c r="A89" i="32"/>
  <c r="G88" i="32"/>
  <c r="F88" i="32"/>
  <c r="E88" i="32"/>
  <c r="D88" i="32"/>
  <c r="C88" i="32"/>
  <c r="B88" i="32"/>
  <c r="A88" i="32"/>
  <c r="G87" i="32"/>
  <c r="F87" i="32"/>
  <c r="E87" i="32"/>
  <c r="D87" i="32"/>
  <c r="C87" i="32"/>
  <c r="B87" i="32"/>
  <c r="A87" i="32"/>
  <c r="G86" i="32"/>
  <c r="F86" i="32"/>
  <c r="E86" i="32"/>
  <c r="D86" i="32"/>
  <c r="C86" i="32"/>
  <c r="B86" i="32"/>
  <c r="A86" i="32"/>
  <c r="G85" i="32"/>
  <c r="F85" i="32"/>
  <c r="E85" i="32"/>
  <c r="D85" i="32"/>
  <c r="C85" i="32"/>
  <c r="B85" i="32"/>
  <c r="A85" i="32"/>
  <c r="G84" i="32"/>
  <c r="F84" i="32"/>
  <c r="E84" i="32"/>
  <c r="D84" i="32"/>
  <c r="C84" i="32"/>
  <c r="B84" i="32"/>
  <c r="A84" i="32"/>
  <c r="G83" i="32"/>
  <c r="F83" i="32"/>
  <c r="E83" i="32"/>
  <c r="D83" i="32"/>
  <c r="C83" i="32"/>
  <c r="B83" i="32"/>
  <c r="A83" i="32"/>
  <c r="G82" i="32"/>
  <c r="F82" i="32"/>
  <c r="E82" i="32"/>
  <c r="D82" i="32"/>
  <c r="C82" i="32"/>
  <c r="B82" i="32"/>
  <c r="A82" i="32"/>
  <c r="G81" i="32"/>
  <c r="F81" i="32"/>
  <c r="E81" i="32"/>
  <c r="D81" i="32"/>
  <c r="C81" i="32"/>
  <c r="B81" i="32"/>
  <c r="A81" i="32"/>
  <c r="G80" i="32"/>
  <c r="F80" i="32"/>
  <c r="E80" i="32"/>
  <c r="D80" i="32"/>
  <c r="C80" i="32"/>
  <c r="B80" i="32"/>
  <c r="A80" i="32"/>
  <c r="G79" i="32"/>
  <c r="F79" i="32"/>
  <c r="E79" i="32"/>
  <c r="D79" i="32"/>
  <c r="C79" i="32"/>
  <c r="B79" i="32"/>
  <c r="A79" i="32"/>
  <c r="G78" i="32"/>
  <c r="F78" i="32"/>
  <c r="E78" i="32"/>
  <c r="D78" i="32"/>
  <c r="C78" i="32"/>
  <c r="B78" i="32"/>
  <c r="A78" i="32"/>
  <c r="G77" i="32"/>
  <c r="F77" i="32"/>
  <c r="E77" i="32"/>
  <c r="D77" i="32"/>
  <c r="C77" i="32"/>
  <c r="B77" i="32"/>
  <c r="A77" i="32"/>
  <c r="G76" i="32"/>
  <c r="F76" i="32"/>
  <c r="E76" i="32"/>
  <c r="D76" i="32"/>
  <c r="C76" i="32"/>
  <c r="B76" i="32"/>
  <c r="A76" i="32"/>
  <c r="G75" i="32"/>
  <c r="F75" i="32"/>
  <c r="E75" i="32"/>
  <c r="D75" i="32"/>
  <c r="C75" i="32"/>
  <c r="B75" i="32"/>
  <c r="A75" i="32"/>
  <c r="G74" i="32"/>
  <c r="F74" i="32"/>
  <c r="E74" i="32"/>
  <c r="D74" i="32"/>
  <c r="C74" i="32"/>
  <c r="B74" i="32"/>
  <c r="A74" i="32"/>
  <c r="G73" i="32"/>
  <c r="F73" i="32"/>
  <c r="E73" i="32"/>
  <c r="D73" i="32"/>
  <c r="C73" i="32"/>
  <c r="B73" i="32"/>
  <c r="A73" i="32"/>
  <c r="G72" i="32"/>
  <c r="F72" i="32"/>
  <c r="E72" i="32"/>
  <c r="D72" i="32"/>
  <c r="C72" i="32"/>
  <c r="B72" i="32"/>
  <c r="A72" i="32"/>
  <c r="G71" i="32"/>
  <c r="F71" i="32"/>
  <c r="E71" i="32"/>
  <c r="D71" i="32"/>
  <c r="C71" i="32"/>
  <c r="B71" i="32"/>
  <c r="A71" i="32"/>
  <c r="G70" i="32"/>
  <c r="F70" i="32"/>
  <c r="E70" i="32"/>
  <c r="D70" i="32"/>
  <c r="C70" i="32"/>
  <c r="B70" i="32"/>
  <c r="A70" i="32"/>
  <c r="G69" i="32"/>
  <c r="F69" i="32"/>
  <c r="E69" i="32"/>
  <c r="D69" i="32"/>
  <c r="C69" i="32"/>
  <c r="B69" i="32"/>
  <c r="A69" i="32"/>
  <c r="G68" i="32"/>
  <c r="F68" i="32"/>
  <c r="E68" i="32"/>
  <c r="D68" i="32"/>
  <c r="C68" i="32"/>
  <c r="B68" i="32"/>
  <c r="A68" i="32"/>
  <c r="G67" i="32"/>
  <c r="F67" i="32"/>
  <c r="E67" i="32"/>
  <c r="D67" i="32"/>
  <c r="C67" i="32"/>
  <c r="B67" i="32"/>
  <c r="A67" i="32"/>
  <c r="G66" i="32"/>
  <c r="F66" i="32"/>
  <c r="E66" i="32"/>
  <c r="D66" i="32"/>
  <c r="C66" i="32"/>
  <c r="B66" i="32"/>
  <c r="A66" i="32"/>
  <c r="G65" i="32"/>
  <c r="F65" i="32"/>
  <c r="E65" i="32"/>
  <c r="D65" i="32"/>
  <c r="C65" i="32"/>
  <c r="B65" i="32"/>
  <c r="A65" i="32"/>
  <c r="G64" i="32"/>
  <c r="F64" i="32"/>
  <c r="E64" i="32"/>
  <c r="D64" i="32"/>
  <c r="C64" i="32"/>
  <c r="B64" i="32"/>
  <c r="A64" i="32"/>
  <c r="G63" i="32"/>
  <c r="F63" i="32"/>
  <c r="E63" i="32"/>
  <c r="D63" i="32"/>
  <c r="C63" i="32"/>
  <c r="B63" i="32"/>
  <c r="A63" i="32"/>
  <c r="G62" i="32"/>
  <c r="F62" i="32"/>
  <c r="E62" i="32"/>
  <c r="D62" i="32"/>
  <c r="C62" i="32"/>
  <c r="B62" i="32"/>
  <c r="A62" i="32"/>
  <c r="G61" i="32"/>
  <c r="F61" i="32"/>
  <c r="E61" i="32"/>
  <c r="D61" i="32"/>
  <c r="C61" i="32"/>
  <c r="B61" i="32"/>
  <c r="A61" i="32"/>
  <c r="G60" i="32"/>
  <c r="F60" i="32"/>
  <c r="E60" i="32"/>
  <c r="D60" i="32"/>
  <c r="C60" i="32"/>
  <c r="B60" i="32"/>
  <c r="A60" i="32"/>
  <c r="G59" i="32"/>
  <c r="F59" i="32"/>
  <c r="E59" i="32"/>
  <c r="D59" i="32"/>
  <c r="C59" i="32"/>
  <c r="B59" i="32"/>
  <c r="A59" i="32"/>
  <c r="G58" i="32"/>
  <c r="F58" i="32"/>
  <c r="E58" i="32"/>
  <c r="D58" i="32"/>
  <c r="C58" i="32"/>
  <c r="B58" i="32"/>
  <c r="A58" i="32"/>
  <c r="G57" i="32"/>
  <c r="F57" i="32"/>
  <c r="E57" i="32"/>
  <c r="D57" i="32"/>
  <c r="C57" i="32"/>
  <c r="B57" i="32"/>
  <c r="A57" i="32"/>
  <c r="G56" i="32"/>
  <c r="F56" i="32"/>
  <c r="E56" i="32"/>
  <c r="D56" i="32"/>
  <c r="C56" i="32"/>
  <c r="B56" i="32"/>
  <c r="A56" i="32"/>
  <c r="G55" i="32"/>
  <c r="F55" i="32"/>
  <c r="E55" i="32"/>
  <c r="D55" i="32"/>
  <c r="C55" i="32"/>
  <c r="B55" i="32"/>
  <c r="A55" i="32"/>
  <c r="G54" i="32"/>
  <c r="F54" i="32"/>
  <c r="E54" i="32"/>
  <c r="D54" i="32"/>
  <c r="C54" i="32"/>
  <c r="B54" i="32"/>
  <c r="A54" i="32"/>
  <c r="G53" i="32"/>
  <c r="F53" i="32"/>
  <c r="E53" i="32"/>
  <c r="D53" i="32"/>
  <c r="C53" i="32"/>
  <c r="B53" i="32"/>
  <c r="A53" i="32"/>
  <c r="G52" i="32"/>
  <c r="F52" i="32"/>
  <c r="E52" i="32"/>
  <c r="D52" i="32"/>
  <c r="C52" i="32"/>
  <c r="B52" i="32"/>
  <c r="A52" i="32"/>
  <c r="G51" i="32"/>
  <c r="F51" i="32"/>
  <c r="E51" i="32"/>
  <c r="D51" i="32"/>
  <c r="C51" i="32"/>
  <c r="B51" i="32"/>
  <c r="A51" i="32"/>
  <c r="G50" i="32"/>
  <c r="F50" i="32"/>
  <c r="E50" i="32"/>
  <c r="D50" i="32"/>
  <c r="C50" i="32"/>
  <c r="B50" i="32"/>
  <c r="A50" i="32"/>
  <c r="G49" i="32"/>
  <c r="F49" i="32"/>
  <c r="E49" i="32"/>
  <c r="D49" i="32"/>
  <c r="C49" i="32"/>
  <c r="B49" i="32"/>
  <c r="A49" i="32"/>
  <c r="G48" i="32"/>
  <c r="F48" i="32"/>
  <c r="E48" i="32"/>
  <c r="D48" i="32"/>
  <c r="C48" i="32"/>
  <c r="B48" i="32"/>
  <c r="A48" i="32"/>
  <c r="G47" i="32"/>
  <c r="F47" i="32"/>
  <c r="E47" i="32"/>
  <c r="D47" i="32"/>
  <c r="C47" i="32"/>
  <c r="B47" i="32"/>
  <c r="A47" i="32"/>
  <c r="G46" i="32"/>
  <c r="F46" i="32"/>
  <c r="E46" i="32"/>
  <c r="D46" i="32"/>
  <c r="C46" i="32"/>
  <c r="B46" i="32"/>
  <c r="A46" i="32"/>
  <c r="G45" i="32"/>
  <c r="F45" i="32"/>
  <c r="E45" i="32"/>
  <c r="D45" i="32"/>
  <c r="C45" i="32"/>
  <c r="B45" i="32"/>
  <c r="A45" i="32"/>
  <c r="G44" i="32"/>
  <c r="F44" i="32"/>
  <c r="E44" i="32"/>
  <c r="D44" i="32"/>
  <c r="C44" i="32"/>
  <c r="B44" i="32"/>
  <c r="A44" i="32"/>
  <c r="G43" i="32"/>
  <c r="F43" i="32"/>
  <c r="E43" i="32"/>
  <c r="D43" i="32"/>
  <c r="C43" i="32"/>
  <c r="B43" i="32"/>
  <c r="A43" i="32"/>
  <c r="G42" i="32"/>
  <c r="F42" i="32"/>
  <c r="E42" i="32"/>
  <c r="D42" i="32"/>
  <c r="C42" i="32"/>
  <c r="B42" i="32"/>
  <c r="A42" i="32"/>
  <c r="G41" i="32"/>
  <c r="F41" i="32"/>
  <c r="E41" i="32"/>
  <c r="D41" i="32"/>
  <c r="C41" i="32"/>
  <c r="B41" i="32"/>
  <c r="A41" i="32"/>
  <c r="G40" i="32"/>
  <c r="F40" i="32"/>
  <c r="E40" i="32"/>
  <c r="D40" i="32"/>
  <c r="C40" i="32"/>
  <c r="B40" i="32"/>
  <c r="A40" i="32"/>
  <c r="G39" i="32"/>
  <c r="F39" i="32"/>
  <c r="E39" i="32"/>
  <c r="D39" i="32"/>
  <c r="C39" i="32"/>
  <c r="B39" i="32"/>
  <c r="A39" i="32"/>
  <c r="G38" i="32"/>
  <c r="F38" i="32"/>
  <c r="E38" i="32"/>
  <c r="D38" i="32"/>
  <c r="C38" i="32"/>
  <c r="B38" i="32"/>
  <c r="A38" i="32"/>
  <c r="G37" i="32"/>
  <c r="F37" i="32"/>
  <c r="E37" i="32"/>
  <c r="D37" i="32"/>
  <c r="C37" i="32"/>
  <c r="B37" i="32"/>
  <c r="A37" i="32"/>
  <c r="G36" i="32"/>
  <c r="F36" i="32"/>
  <c r="E36" i="32"/>
  <c r="D36" i="32"/>
  <c r="C36" i="32"/>
  <c r="B36" i="32"/>
  <c r="A36" i="32"/>
  <c r="G35" i="32"/>
  <c r="F35" i="32"/>
  <c r="E35" i="32"/>
  <c r="D35" i="32"/>
  <c r="C35" i="32"/>
  <c r="B35" i="32"/>
  <c r="A35" i="32"/>
  <c r="G34" i="32"/>
  <c r="F34" i="32"/>
  <c r="E34" i="32"/>
  <c r="D34" i="32"/>
  <c r="C34" i="32"/>
  <c r="B34" i="32"/>
  <c r="A34" i="32"/>
  <c r="G33" i="32"/>
  <c r="F33" i="32"/>
  <c r="E33" i="32"/>
  <c r="D33" i="32"/>
  <c r="C33" i="32"/>
  <c r="B33" i="32"/>
  <c r="A33" i="32"/>
  <c r="G32" i="32"/>
  <c r="F32" i="32"/>
  <c r="E32" i="32"/>
  <c r="D32" i="32"/>
  <c r="C32" i="32"/>
  <c r="B32" i="32"/>
  <c r="A32" i="32"/>
  <c r="G31" i="32"/>
  <c r="F31" i="32"/>
  <c r="E31" i="32"/>
  <c r="D31" i="32"/>
  <c r="C31" i="32"/>
  <c r="B31" i="32"/>
  <c r="A31" i="32"/>
  <c r="G30" i="32"/>
  <c r="F30" i="32"/>
  <c r="E30" i="32"/>
  <c r="D30" i="32"/>
  <c r="C30" i="32"/>
  <c r="B30" i="32"/>
  <c r="A30" i="32"/>
  <c r="G29" i="32"/>
  <c r="F29" i="32"/>
  <c r="E29" i="32"/>
  <c r="D29" i="32"/>
  <c r="C29" i="32"/>
  <c r="B29" i="32"/>
  <c r="A29" i="32"/>
  <c r="G28" i="32"/>
  <c r="F28" i="32"/>
  <c r="E28" i="32"/>
  <c r="D28" i="32"/>
  <c r="C28" i="32"/>
  <c r="B28" i="32"/>
  <c r="A28" i="32"/>
  <c r="G27" i="32"/>
  <c r="F27" i="32"/>
  <c r="E27" i="32"/>
  <c r="D27" i="32"/>
  <c r="C27" i="32"/>
  <c r="B27" i="32"/>
  <c r="A27" i="32"/>
  <c r="G26" i="32"/>
  <c r="F26" i="32"/>
  <c r="E26" i="32"/>
  <c r="D26" i="32"/>
  <c r="C26" i="32"/>
  <c r="B26" i="32"/>
  <c r="A26" i="32"/>
  <c r="G25" i="32"/>
  <c r="F25" i="32"/>
  <c r="E25" i="32"/>
  <c r="D25" i="32"/>
  <c r="C25" i="32"/>
  <c r="B25" i="32"/>
  <c r="A25" i="32"/>
  <c r="G24" i="32"/>
  <c r="F24" i="32"/>
  <c r="E24" i="32"/>
  <c r="D24" i="32"/>
  <c r="C24" i="32"/>
  <c r="B24" i="32"/>
  <c r="A24" i="32"/>
  <c r="G23" i="32"/>
  <c r="F23" i="32"/>
  <c r="E23" i="32"/>
  <c r="D23" i="32"/>
  <c r="C23" i="32"/>
  <c r="B23" i="32"/>
  <c r="A23" i="32"/>
  <c r="G22" i="32"/>
  <c r="F22" i="32"/>
  <c r="E22" i="32"/>
  <c r="D22" i="32"/>
  <c r="C22" i="32"/>
  <c r="B22" i="32"/>
  <c r="A22" i="32"/>
  <c r="G21" i="32"/>
  <c r="F21" i="32"/>
  <c r="E21" i="32"/>
  <c r="D21" i="32"/>
  <c r="C21" i="32"/>
  <c r="B21" i="32"/>
  <c r="A21" i="32"/>
  <c r="G20" i="32"/>
  <c r="F20" i="32"/>
  <c r="E20" i="32"/>
  <c r="D20" i="32"/>
  <c r="C20" i="32"/>
  <c r="B20" i="32"/>
  <c r="A20" i="32"/>
  <c r="G19" i="32"/>
  <c r="F19" i="32"/>
  <c r="E19" i="32"/>
  <c r="D19" i="32"/>
  <c r="C19" i="32"/>
  <c r="B19" i="32"/>
  <c r="A19" i="32"/>
  <c r="G18" i="32"/>
  <c r="F18" i="32"/>
  <c r="E18" i="32"/>
  <c r="D18" i="32"/>
  <c r="C18" i="32"/>
  <c r="B18" i="32"/>
  <c r="A18" i="32"/>
  <c r="G17" i="32"/>
  <c r="F17" i="32"/>
  <c r="E17" i="32"/>
  <c r="D17" i="32"/>
  <c r="C17" i="32"/>
  <c r="B17" i="32"/>
  <c r="A17" i="32"/>
  <c r="G16" i="32"/>
  <c r="F16" i="32"/>
  <c r="E16" i="32"/>
  <c r="D16" i="32"/>
  <c r="C16" i="32"/>
  <c r="B16" i="32"/>
  <c r="A16" i="32"/>
  <c r="G15" i="32"/>
  <c r="F15" i="32"/>
  <c r="E15" i="32"/>
  <c r="D15" i="32"/>
  <c r="C15" i="32"/>
  <c r="B15" i="32"/>
  <c r="A15" i="32"/>
  <c r="G14" i="32"/>
  <c r="F14" i="32"/>
  <c r="E14" i="32"/>
  <c r="D14" i="32"/>
  <c r="C14" i="32"/>
  <c r="B14" i="32"/>
  <c r="A14" i="32"/>
  <c r="G13" i="32"/>
  <c r="F13" i="32"/>
  <c r="E13" i="32"/>
  <c r="D13" i="32"/>
  <c r="C13" i="32"/>
  <c r="B13" i="32"/>
  <c r="A13" i="32"/>
  <c r="G12" i="32"/>
  <c r="F12" i="32"/>
  <c r="E12" i="32"/>
  <c r="D12" i="32"/>
  <c r="C12" i="32"/>
  <c r="B12" i="32"/>
  <c r="A12" i="32"/>
  <c r="G11" i="32"/>
  <c r="F11" i="32"/>
  <c r="E11" i="32"/>
  <c r="D11" i="32"/>
  <c r="C11" i="32"/>
  <c r="B11" i="32"/>
  <c r="A11" i="32"/>
  <c r="G10" i="32"/>
  <c r="F10" i="32"/>
  <c r="E10" i="32"/>
  <c r="D10" i="32"/>
  <c r="C10" i="32"/>
  <c r="B10" i="32"/>
  <c r="A10" i="32"/>
  <c r="G9" i="32"/>
  <c r="F9" i="32"/>
  <c r="E9" i="32"/>
  <c r="D9" i="32"/>
  <c r="C9" i="32"/>
  <c r="B9" i="32"/>
  <c r="A9" i="32"/>
  <c r="G8" i="32"/>
  <c r="F8" i="32"/>
  <c r="E8" i="32"/>
  <c r="D8" i="32"/>
  <c r="C8" i="32"/>
  <c r="B8" i="32"/>
  <c r="A8" i="32"/>
  <c r="G7" i="32"/>
  <c r="F7" i="32"/>
  <c r="E7" i="32"/>
  <c r="D7" i="32"/>
  <c r="C7" i="32"/>
  <c r="B7" i="32"/>
  <c r="A7" i="32"/>
  <c r="G6" i="32"/>
  <c r="F6" i="32"/>
  <c r="E6" i="32"/>
  <c r="D6" i="32"/>
  <c r="C6" i="32"/>
  <c r="B6" i="32"/>
  <c r="A6" i="32"/>
  <c r="G5" i="32"/>
  <c r="F5" i="32"/>
  <c r="E5" i="32"/>
  <c r="D5" i="32"/>
  <c r="C5" i="32"/>
  <c r="B5" i="32"/>
  <c r="A5" i="32"/>
  <c r="G4" i="32"/>
  <c r="F4" i="32"/>
  <c r="E4" i="32"/>
  <c r="D4" i="32"/>
  <c r="C4" i="32"/>
  <c r="B4" i="32"/>
  <c r="A4" i="32"/>
  <c r="G3" i="32"/>
  <c r="F3" i="32"/>
  <c r="E3" i="32"/>
  <c r="D3" i="32"/>
  <c r="C3" i="32"/>
  <c r="B3" i="32"/>
  <c r="A3" i="32"/>
  <c r="G2" i="32"/>
  <c r="F2" i="32"/>
  <c r="E2" i="32"/>
  <c r="D2" i="32"/>
  <c r="C2" i="32"/>
  <c r="B2" i="32"/>
  <c r="A2" i="32"/>
  <c r="G1" i="32"/>
  <c r="F1" i="32"/>
  <c r="E1" i="32"/>
  <c r="D1" i="32"/>
  <c r="C1" i="32"/>
  <c r="B1" i="32"/>
  <c r="A1" i="32"/>
  <c r="G285" i="31"/>
  <c r="F285" i="31"/>
  <c r="E285" i="31"/>
  <c r="D285" i="31"/>
  <c r="C285" i="31"/>
  <c r="B285" i="31"/>
  <c r="A285" i="31"/>
  <c r="G284" i="31"/>
  <c r="F284" i="31"/>
  <c r="E284" i="31"/>
  <c r="D284" i="31"/>
  <c r="C284" i="31"/>
  <c r="B284" i="31"/>
  <c r="A284" i="31"/>
  <c r="G283" i="31"/>
  <c r="F283" i="31"/>
  <c r="E283" i="31"/>
  <c r="D283" i="31"/>
  <c r="C283" i="31"/>
  <c r="B283" i="31"/>
  <c r="A283" i="31"/>
  <c r="G282" i="31"/>
  <c r="F282" i="31"/>
  <c r="E282" i="31"/>
  <c r="D282" i="31"/>
  <c r="C282" i="31"/>
  <c r="B282" i="31"/>
  <c r="A282" i="31"/>
  <c r="G281" i="31"/>
  <c r="F281" i="31"/>
  <c r="E281" i="31"/>
  <c r="D281" i="31"/>
  <c r="C281" i="31"/>
  <c r="B281" i="31"/>
  <c r="A281" i="31"/>
  <c r="G280" i="31"/>
  <c r="F280" i="31"/>
  <c r="E280" i="31"/>
  <c r="D280" i="31"/>
  <c r="C280" i="31"/>
  <c r="B280" i="31"/>
  <c r="A280" i="31"/>
  <c r="G279" i="31"/>
  <c r="F279" i="31"/>
  <c r="E279" i="31"/>
  <c r="D279" i="31"/>
  <c r="C279" i="31"/>
  <c r="B279" i="31"/>
  <c r="A279" i="31"/>
  <c r="G278" i="31"/>
  <c r="F278" i="31"/>
  <c r="E278" i="31"/>
  <c r="D278" i="31"/>
  <c r="C278" i="31"/>
  <c r="B278" i="31"/>
  <c r="A278" i="31"/>
  <c r="G277" i="31"/>
  <c r="F277" i="31"/>
  <c r="E277" i="31"/>
  <c r="D277" i="31"/>
  <c r="C277" i="31"/>
  <c r="B277" i="31"/>
  <c r="A277" i="31"/>
  <c r="G276" i="31"/>
  <c r="F276" i="31"/>
  <c r="E276" i="31"/>
  <c r="D276" i="31"/>
  <c r="C276" i="31"/>
  <c r="B276" i="31"/>
  <c r="A276" i="31"/>
  <c r="G275" i="31"/>
  <c r="F275" i="31"/>
  <c r="E275" i="31"/>
  <c r="D275" i="31"/>
  <c r="C275" i="31"/>
  <c r="B275" i="31"/>
  <c r="A275" i="31"/>
  <c r="G274" i="31"/>
  <c r="F274" i="31"/>
  <c r="E274" i="31"/>
  <c r="D274" i="31"/>
  <c r="C274" i="31"/>
  <c r="B274" i="31"/>
  <c r="A274" i="31"/>
  <c r="G273" i="31"/>
  <c r="F273" i="31"/>
  <c r="E273" i="31"/>
  <c r="D273" i="31"/>
  <c r="C273" i="31"/>
  <c r="B273" i="31"/>
  <c r="A273" i="31"/>
  <c r="G272" i="31"/>
  <c r="F272" i="31"/>
  <c r="E272" i="31"/>
  <c r="D272" i="31"/>
  <c r="C272" i="31"/>
  <c r="B272" i="31"/>
  <c r="A272" i="31"/>
  <c r="G271" i="31"/>
  <c r="F271" i="31"/>
  <c r="E271" i="31"/>
  <c r="D271" i="31"/>
  <c r="C271" i="31"/>
  <c r="B271" i="31"/>
  <c r="A271" i="31"/>
  <c r="G270" i="31"/>
  <c r="F270" i="31"/>
  <c r="E270" i="31"/>
  <c r="D270" i="31"/>
  <c r="C270" i="31"/>
  <c r="B270" i="31"/>
  <c r="A270" i="31"/>
  <c r="G269" i="31"/>
  <c r="F269" i="31"/>
  <c r="E269" i="31"/>
  <c r="D269" i="31"/>
  <c r="C269" i="31"/>
  <c r="B269" i="31"/>
  <c r="A269" i="31"/>
  <c r="G268" i="31"/>
  <c r="F268" i="31"/>
  <c r="E268" i="31"/>
  <c r="D268" i="31"/>
  <c r="C268" i="31"/>
  <c r="B268" i="31"/>
  <c r="A268" i="31"/>
  <c r="G267" i="31"/>
  <c r="F267" i="31"/>
  <c r="E267" i="31"/>
  <c r="D267" i="31"/>
  <c r="C267" i="31"/>
  <c r="B267" i="31"/>
  <c r="A267" i="31"/>
  <c r="G266" i="31"/>
  <c r="F266" i="31"/>
  <c r="E266" i="31"/>
  <c r="D266" i="31"/>
  <c r="C266" i="31"/>
  <c r="B266" i="31"/>
  <c r="A266" i="31"/>
  <c r="G265" i="31"/>
  <c r="F265" i="31"/>
  <c r="E265" i="31"/>
  <c r="D265" i="31"/>
  <c r="C265" i="31"/>
  <c r="B265" i="31"/>
  <c r="A265" i="31"/>
  <c r="G264" i="31"/>
  <c r="F264" i="31"/>
  <c r="E264" i="31"/>
  <c r="D264" i="31"/>
  <c r="C264" i="31"/>
  <c r="B264" i="31"/>
  <c r="A264" i="31"/>
  <c r="G263" i="31"/>
  <c r="F263" i="31"/>
  <c r="E263" i="31"/>
  <c r="D263" i="31"/>
  <c r="C263" i="31"/>
  <c r="B263" i="31"/>
  <c r="A263" i="31"/>
  <c r="G262" i="31"/>
  <c r="F262" i="31"/>
  <c r="E262" i="31"/>
  <c r="D262" i="31"/>
  <c r="C262" i="31"/>
  <c r="B262" i="31"/>
  <c r="A262" i="31"/>
  <c r="G261" i="31"/>
  <c r="F261" i="31"/>
  <c r="E261" i="31"/>
  <c r="D261" i="31"/>
  <c r="C261" i="31"/>
  <c r="B261" i="31"/>
  <c r="A261" i="31"/>
  <c r="G260" i="31"/>
  <c r="F260" i="31"/>
  <c r="E260" i="31"/>
  <c r="D260" i="31"/>
  <c r="C260" i="31"/>
  <c r="B260" i="31"/>
  <c r="A260" i="31"/>
  <c r="G259" i="31"/>
  <c r="F259" i="31"/>
  <c r="E259" i="31"/>
  <c r="D259" i="31"/>
  <c r="C259" i="31"/>
  <c r="B259" i="31"/>
  <c r="A259" i="31"/>
  <c r="G258" i="31"/>
  <c r="F258" i="31"/>
  <c r="E258" i="31"/>
  <c r="D258" i="31"/>
  <c r="C258" i="31"/>
  <c r="B258" i="31"/>
  <c r="A258" i="31"/>
  <c r="G257" i="31"/>
  <c r="F257" i="31"/>
  <c r="E257" i="31"/>
  <c r="D257" i="31"/>
  <c r="C257" i="31"/>
  <c r="B257" i="31"/>
  <c r="A257" i="31"/>
  <c r="G256" i="31"/>
  <c r="F256" i="31"/>
  <c r="E256" i="31"/>
  <c r="D256" i="31"/>
  <c r="C256" i="31"/>
  <c r="B256" i="31"/>
  <c r="A256" i="31"/>
  <c r="G255" i="31"/>
  <c r="F255" i="31"/>
  <c r="E255" i="31"/>
  <c r="D255" i="31"/>
  <c r="C255" i="31"/>
  <c r="B255" i="31"/>
  <c r="A255" i="31"/>
  <c r="G254" i="31"/>
  <c r="F254" i="31"/>
  <c r="E254" i="31"/>
  <c r="D254" i="31"/>
  <c r="C254" i="31"/>
  <c r="B254" i="31"/>
  <c r="A254" i="31"/>
  <c r="G253" i="31"/>
  <c r="F253" i="31"/>
  <c r="E253" i="31"/>
  <c r="D253" i="31"/>
  <c r="C253" i="31"/>
  <c r="B253" i="31"/>
  <c r="A253" i="31"/>
  <c r="G252" i="31"/>
  <c r="F252" i="31"/>
  <c r="E252" i="31"/>
  <c r="D252" i="31"/>
  <c r="C252" i="31"/>
  <c r="B252" i="31"/>
  <c r="A252" i="31"/>
  <c r="G251" i="31"/>
  <c r="F251" i="31"/>
  <c r="E251" i="31"/>
  <c r="D251" i="31"/>
  <c r="C251" i="31"/>
  <c r="B251" i="31"/>
  <c r="A251" i="31"/>
  <c r="G250" i="31"/>
  <c r="F250" i="31"/>
  <c r="E250" i="31"/>
  <c r="D250" i="31"/>
  <c r="C250" i="31"/>
  <c r="B250" i="31"/>
  <c r="A250" i="31"/>
  <c r="G249" i="31"/>
  <c r="F249" i="31"/>
  <c r="E249" i="31"/>
  <c r="D249" i="31"/>
  <c r="C249" i="31"/>
  <c r="B249" i="31"/>
  <c r="A249" i="31"/>
  <c r="G248" i="31"/>
  <c r="F248" i="31"/>
  <c r="E248" i="31"/>
  <c r="D248" i="31"/>
  <c r="C248" i="31"/>
  <c r="B248" i="31"/>
  <c r="A248" i="31"/>
  <c r="G247" i="31"/>
  <c r="F247" i="31"/>
  <c r="E247" i="31"/>
  <c r="D247" i="31"/>
  <c r="C247" i="31"/>
  <c r="B247" i="31"/>
  <c r="A247" i="31"/>
  <c r="G246" i="31"/>
  <c r="F246" i="31"/>
  <c r="E246" i="31"/>
  <c r="D246" i="31"/>
  <c r="C246" i="31"/>
  <c r="B246" i="31"/>
  <c r="A246" i="31"/>
  <c r="G245" i="31"/>
  <c r="F245" i="31"/>
  <c r="E245" i="31"/>
  <c r="D245" i="31"/>
  <c r="C245" i="31"/>
  <c r="B245" i="31"/>
  <c r="A245" i="31"/>
  <c r="G244" i="31"/>
  <c r="F244" i="31"/>
  <c r="E244" i="31"/>
  <c r="D244" i="31"/>
  <c r="C244" i="31"/>
  <c r="B244" i="31"/>
  <c r="A244" i="31"/>
  <c r="G243" i="31"/>
  <c r="F243" i="31"/>
  <c r="E243" i="31"/>
  <c r="D243" i="31"/>
  <c r="C243" i="31"/>
  <c r="B243" i="31"/>
  <c r="A243" i="31"/>
  <c r="G242" i="31"/>
  <c r="F242" i="31"/>
  <c r="E242" i="31"/>
  <c r="D242" i="31"/>
  <c r="C242" i="31"/>
  <c r="B242" i="31"/>
  <c r="A242" i="31"/>
  <c r="G241" i="31"/>
  <c r="F241" i="31"/>
  <c r="E241" i="31"/>
  <c r="D241" i="31"/>
  <c r="C241" i="31"/>
  <c r="B241" i="31"/>
  <c r="A241" i="31"/>
  <c r="G240" i="31"/>
  <c r="F240" i="31"/>
  <c r="E240" i="31"/>
  <c r="D240" i="31"/>
  <c r="C240" i="31"/>
  <c r="B240" i="31"/>
  <c r="A240" i="31"/>
  <c r="G239" i="31"/>
  <c r="F239" i="31"/>
  <c r="E239" i="31"/>
  <c r="D239" i="31"/>
  <c r="C239" i="31"/>
  <c r="B239" i="31"/>
  <c r="A239" i="31"/>
  <c r="G238" i="31"/>
  <c r="F238" i="31"/>
  <c r="E238" i="31"/>
  <c r="D238" i="31"/>
  <c r="C238" i="31"/>
  <c r="B238" i="31"/>
  <c r="A238" i="31"/>
  <c r="G237" i="31"/>
  <c r="F237" i="31"/>
  <c r="E237" i="31"/>
  <c r="D237" i="31"/>
  <c r="C237" i="31"/>
  <c r="B237" i="31"/>
  <c r="A237" i="31"/>
  <c r="G236" i="31"/>
  <c r="F236" i="31"/>
  <c r="E236" i="31"/>
  <c r="D236" i="31"/>
  <c r="C236" i="31"/>
  <c r="B236" i="31"/>
  <c r="A236" i="31"/>
  <c r="G235" i="31"/>
  <c r="F235" i="31"/>
  <c r="E235" i="31"/>
  <c r="D235" i="31"/>
  <c r="C235" i="31"/>
  <c r="B235" i="31"/>
  <c r="A235" i="31"/>
  <c r="G234" i="31"/>
  <c r="F234" i="31"/>
  <c r="E234" i="31"/>
  <c r="D234" i="31"/>
  <c r="C234" i="31"/>
  <c r="B234" i="31"/>
  <c r="A234" i="31"/>
  <c r="G233" i="31"/>
  <c r="F233" i="31"/>
  <c r="E233" i="31"/>
  <c r="D233" i="31"/>
  <c r="C233" i="31"/>
  <c r="B233" i="31"/>
  <c r="A233" i="31"/>
  <c r="G232" i="31"/>
  <c r="F232" i="31"/>
  <c r="E232" i="31"/>
  <c r="D232" i="31"/>
  <c r="C232" i="31"/>
  <c r="B232" i="31"/>
  <c r="A232" i="31"/>
  <c r="G231" i="31"/>
  <c r="F231" i="31"/>
  <c r="E231" i="31"/>
  <c r="D231" i="31"/>
  <c r="C231" i="31"/>
  <c r="B231" i="31"/>
  <c r="A231" i="31"/>
  <c r="G230" i="31"/>
  <c r="F230" i="31"/>
  <c r="E230" i="31"/>
  <c r="D230" i="31"/>
  <c r="C230" i="31"/>
  <c r="B230" i="31"/>
  <c r="A230" i="31"/>
  <c r="G229" i="31"/>
  <c r="F229" i="31"/>
  <c r="E229" i="31"/>
  <c r="D229" i="31"/>
  <c r="C229" i="31"/>
  <c r="B229" i="31"/>
  <c r="A229" i="31"/>
  <c r="G228" i="31"/>
  <c r="F228" i="31"/>
  <c r="E228" i="31"/>
  <c r="D228" i="31"/>
  <c r="C228" i="31"/>
  <c r="B228" i="31"/>
  <c r="A228" i="31"/>
  <c r="G227" i="31"/>
  <c r="F227" i="31"/>
  <c r="E227" i="31"/>
  <c r="D227" i="31"/>
  <c r="C227" i="31"/>
  <c r="B227" i="31"/>
  <c r="A227" i="31"/>
  <c r="G226" i="31"/>
  <c r="F226" i="31"/>
  <c r="E226" i="31"/>
  <c r="D226" i="31"/>
  <c r="C226" i="31"/>
  <c r="B226" i="31"/>
  <c r="A226" i="31"/>
  <c r="G225" i="31"/>
  <c r="F225" i="31"/>
  <c r="E225" i="31"/>
  <c r="D225" i="31"/>
  <c r="C225" i="31"/>
  <c r="B225" i="31"/>
  <c r="A225" i="31"/>
  <c r="G224" i="31"/>
  <c r="F224" i="31"/>
  <c r="E224" i="31"/>
  <c r="D224" i="31"/>
  <c r="C224" i="31"/>
  <c r="B224" i="31"/>
  <c r="A224" i="31"/>
  <c r="G223" i="31"/>
  <c r="F223" i="31"/>
  <c r="E223" i="31"/>
  <c r="D223" i="31"/>
  <c r="C223" i="31"/>
  <c r="B223" i="31"/>
  <c r="A223" i="31"/>
  <c r="G222" i="31"/>
  <c r="F222" i="31"/>
  <c r="E222" i="31"/>
  <c r="D222" i="31"/>
  <c r="C222" i="31"/>
  <c r="B222" i="31"/>
  <c r="A222" i="31"/>
  <c r="G221" i="31"/>
  <c r="F221" i="31"/>
  <c r="E221" i="31"/>
  <c r="D221" i="31"/>
  <c r="C221" i="31"/>
  <c r="B221" i="31"/>
  <c r="A221" i="31"/>
  <c r="G220" i="31"/>
  <c r="F220" i="31"/>
  <c r="E220" i="31"/>
  <c r="D220" i="31"/>
  <c r="C220" i="31"/>
  <c r="B220" i="31"/>
  <c r="A220" i="31"/>
  <c r="G219" i="31"/>
  <c r="F219" i="31"/>
  <c r="E219" i="31"/>
  <c r="D219" i="31"/>
  <c r="C219" i="31"/>
  <c r="B219" i="31"/>
  <c r="A219" i="31"/>
  <c r="G218" i="31"/>
  <c r="F218" i="31"/>
  <c r="E218" i="31"/>
  <c r="D218" i="31"/>
  <c r="C218" i="31"/>
  <c r="B218" i="31"/>
  <c r="A218" i="31"/>
  <c r="G217" i="31"/>
  <c r="F217" i="31"/>
  <c r="E217" i="31"/>
  <c r="D217" i="31"/>
  <c r="C217" i="31"/>
  <c r="B217" i="31"/>
  <c r="A217" i="31"/>
  <c r="G216" i="31"/>
  <c r="F216" i="31"/>
  <c r="E216" i="31"/>
  <c r="D216" i="31"/>
  <c r="C216" i="31"/>
  <c r="B216" i="31"/>
  <c r="A216" i="31"/>
  <c r="G215" i="31"/>
  <c r="F215" i="31"/>
  <c r="E215" i="31"/>
  <c r="D215" i="31"/>
  <c r="C215" i="31"/>
  <c r="B215" i="31"/>
  <c r="A215" i="31"/>
  <c r="G214" i="31"/>
  <c r="F214" i="31"/>
  <c r="E214" i="31"/>
  <c r="D214" i="31"/>
  <c r="C214" i="31"/>
  <c r="B214" i="31"/>
  <c r="A214" i="31"/>
  <c r="G213" i="31"/>
  <c r="F213" i="31"/>
  <c r="E213" i="31"/>
  <c r="D213" i="31"/>
  <c r="C213" i="31"/>
  <c r="B213" i="31"/>
  <c r="A213" i="31"/>
  <c r="G212" i="31"/>
  <c r="F212" i="31"/>
  <c r="E212" i="31"/>
  <c r="D212" i="31"/>
  <c r="C212" i="31"/>
  <c r="B212" i="31"/>
  <c r="A212" i="31"/>
  <c r="G211" i="31"/>
  <c r="F211" i="31"/>
  <c r="E211" i="31"/>
  <c r="D211" i="31"/>
  <c r="C211" i="31"/>
  <c r="B211" i="31"/>
  <c r="A211" i="31"/>
  <c r="G210" i="31"/>
  <c r="F210" i="31"/>
  <c r="E210" i="31"/>
  <c r="D210" i="31"/>
  <c r="C210" i="31"/>
  <c r="B210" i="31"/>
  <c r="A210" i="31"/>
  <c r="G209" i="31"/>
  <c r="F209" i="31"/>
  <c r="E209" i="31"/>
  <c r="D209" i="31"/>
  <c r="C209" i="31"/>
  <c r="B209" i="31"/>
  <c r="A209" i="31"/>
  <c r="G208" i="31"/>
  <c r="F208" i="31"/>
  <c r="E208" i="31"/>
  <c r="D208" i="31"/>
  <c r="C208" i="31"/>
  <c r="B208" i="31"/>
  <c r="A208" i="31"/>
  <c r="G207" i="31"/>
  <c r="F207" i="31"/>
  <c r="E207" i="31"/>
  <c r="D207" i="31"/>
  <c r="C207" i="31"/>
  <c r="B207" i="31"/>
  <c r="A207" i="31"/>
  <c r="G206" i="31"/>
  <c r="F206" i="31"/>
  <c r="E206" i="31"/>
  <c r="D206" i="31"/>
  <c r="C206" i="31"/>
  <c r="B206" i="31"/>
  <c r="A206" i="31"/>
  <c r="G205" i="31"/>
  <c r="F205" i="31"/>
  <c r="E205" i="31"/>
  <c r="D205" i="31"/>
  <c r="C205" i="31"/>
  <c r="B205" i="31"/>
  <c r="A205" i="31"/>
  <c r="G204" i="31"/>
  <c r="F204" i="31"/>
  <c r="E204" i="31"/>
  <c r="D204" i="31"/>
  <c r="C204" i="31"/>
  <c r="B204" i="31"/>
  <c r="A204" i="31"/>
  <c r="G203" i="31"/>
  <c r="F203" i="31"/>
  <c r="E203" i="31"/>
  <c r="D203" i="31"/>
  <c r="C203" i="31"/>
  <c r="B203" i="31"/>
  <c r="A203" i="31"/>
  <c r="G202" i="31"/>
  <c r="F202" i="31"/>
  <c r="E202" i="31"/>
  <c r="D202" i="31"/>
  <c r="C202" i="31"/>
  <c r="B202" i="31"/>
  <c r="A202" i="31"/>
  <c r="G201" i="31"/>
  <c r="F201" i="31"/>
  <c r="E201" i="31"/>
  <c r="D201" i="31"/>
  <c r="C201" i="31"/>
  <c r="B201" i="31"/>
  <c r="A201" i="31"/>
  <c r="G200" i="31"/>
  <c r="F200" i="31"/>
  <c r="E200" i="31"/>
  <c r="D200" i="31"/>
  <c r="C200" i="31"/>
  <c r="B200" i="31"/>
  <c r="A200" i="31"/>
  <c r="G199" i="31"/>
  <c r="F199" i="31"/>
  <c r="E199" i="31"/>
  <c r="D199" i="31"/>
  <c r="C199" i="31"/>
  <c r="B199" i="31"/>
  <c r="A199" i="31"/>
  <c r="G198" i="31"/>
  <c r="F198" i="31"/>
  <c r="E198" i="31"/>
  <c r="D198" i="31"/>
  <c r="C198" i="31"/>
  <c r="B198" i="31"/>
  <c r="A198" i="31"/>
  <c r="G197" i="31"/>
  <c r="F197" i="31"/>
  <c r="E197" i="31"/>
  <c r="D197" i="31"/>
  <c r="C197" i="31"/>
  <c r="B197" i="31"/>
  <c r="A197" i="31"/>
  <c r="G196" i="31"/>
  <c r="F196" i="31"/>
  <c r="E196" i="31"/>
  <c r="D196" i="31"/>
  <c r="C196" i="31"/>
  <c r="B196" i="31"/>
  <c r="A196" i="31"/>
  <c r="G195" i="31"/>
  <c r="F195" i="31"/>
  <c r="E195" i="31"/>
  <c r="D195" i="31"/>
  <c r="C195" i="31"/>
  <c r="B195" i="31"/>
  <c r="A195" i="31"/>
  <c r="G194" i="31"/>
  <c r="F194" i="31"/>
  <c r="E194" i="31"/>
  <c r="D194" i="31"/>
  <c r="C194" i="31"/>
  <c r="B194" i="31"/>
  <c r="A194" i="31"/>
  <c r="G193" i="31"/>
  <c r="F193" i="31"/>
  <c r="E193" i="31"/>
  <c r="D193" i="31"/>
  <c r="C193" i="31"/>
  <c r="B193" i="31"/>
  <c r="A193" i="31"/>
  <c r="G192" i="31"/>
  <c r="F192" i="31"/>
  <c r="E192" i="31"/>
  <c r="D192" i="31"/>
  <c r="C192" i="31"/>
  <c r="B192" i="31"/>
  <c r="A192" i="31"/>
  <c r="G191" i="31"/>
  <c r="F191" i="31"/>
  <c r="E191" i="31"/>
  <c r="D191" i="31"/>
  <c r="C191" i="31"/>
  <c r="B191" i="31"/>
  <c r="A191" i="31"/>
  <c r="G190" i="31"/>
  <c r="F190" i="31"/>
  <c r="E190" i="31"/>
  <c r="D190" i="31"/>
  <c r="C190" i="31"/>
  <c r="B190" i="31"/>
  <c r="A190" i="31"/>
  <c r="G189" i="31"/>
  <c r="F189" i="31"/>
  <c r="E189" i="31"/>
  <c r="D189" i="31"/>
  <c r="C189" i="31"/>
  <c r="B189" i="31"/>
  <c r="A189" i="31"/>
  <c r="G188" i="31"/>
  <c r="F188" i="31"/>
  <c r="E188" i="31"/>
  <c r="D188" i="31"/>
  <c r="C188" i="31"/>
  <c r="B188" i="31"/>
  <c r="A188" i="31"/>
  <c r="G187" i="31"/>
  <c r="F187" i="31"/>
  <c r="E187" i="31"/>
  <c r="D187" i="31"/>
  <c r="C187" i="31"/>
  <c r="B187" i="31"/>
  <c r="A187" i="31"/>
  <c r="G186" i="31"/>
  <c r="F186" i="31"/>
  <c r="E186" i="31"/>
  <c r="D186" i="31"/>
  <c r="C186" i="31"/>
  <c r="B186" i="31"/>
  <c r="A186" i="31"/>
  <c r="G185" i="31"/>
  <c r="F185" i="31"/>
  <c r="E185" i="31"/>
  <c r="D185" i="31"/>
  <c r="C185" i="31"/>
  <c r="B185" i="31"/>
  <c r="A185" i="31"/>
  <c r="G184" i="31"/>
  <c r="F184" i="31"/>
  <c r="E184" i="31"/>
  <c r="D184" i="31"/>
  <c r="C184" i="31"/>
  <c r="B184" i="31"/>
  <c r="A184" i="31"/>
  <c r="G183" i="31"/>
  <c r="F183" i="31"/>
  <c r="E183" i="31"/>
  <c r="D183" i="31"/>
  <c r="C183" i="31"/>
  <c r="B183" i="31"/>
  <c r="A183" i="31"/>
  <c r="G182" i="31"/>
  <c r="F182" i="31"/>
  <c r="E182" i="31"/>
  <c r="D182" i="31"/>
  <c r="C182" i="31"/>
  <c r="B182" i="31"/>
  <c r="A182" i="31"/>
  <c r="G181" i="31"/>
  <c r="F181" i="31"/>
  <c r="E181" i="31"/>
  <c r="D181" i="31"/>
  <c r="C181" i="31"/>
  <c r="B181" i="31"/>
  <c r="A181" i="31"/>
  <c r="G180" i="31"/>
  <c r="F180" i="31"/>
  <c r="E180" i="31"/>
  <c r="D180" i="31"/>
  <c r="C180" i="31"/>
  <c r="B180" i="31"/>
  <c r="A180" i="31"/>
  <c r="G179" i="31"/>
  <c r="F179" i="31"/>
  <c r="E179" i="31"/>
  <c r="D179" i="31"/>
  <c r="C179" i="31"/>
  <c r="B179" i="31"/>
  <c r="A179" i="31"/>
  <c r="G178" i="31"/>
  <c r="F178" i="31"/>
  <c r="E178" i="31"/>
  <c r="D178" i="31"/>
  <c r="C178" i="31"/>
  <c r="B178" i="31"/>
  <c r="A178" i="31"/>
  <c r="G177" i="31"/>
  <c r="F177" i="31"/>
  <c r="E177" i="31"/>
  <c r="D177" i="31"/>
  <c r="C177" i="31"/>
  <c r="B177" i="31"/>
  <c r="A177" i="31"/>
  <c r="G176" i="31"/>
  <c r="F176" i="31"/>
  <c r="E176" i="31"/>
  <c r="D176" i="31"/>
  <c r="C176" i="31"/>
  <c r="B176" i="31"/>
  <c r="A176" i="31"/>
  <c r="G175" i="31"/>
  <c r="F175" i="31"/>
  <c r="E175" i="31"/>
  <c r="D175" i="31"/>
  <c r="C175" i="31"/>
  <c r="B175" i="31"/>
  <c r="A175" i="31"/>
  <c r="G174" i="31"/>
  <c r="F174" i="31"/>
  <c r="E174" i="31"/>
  <c r="D174" i="31"/>
  <c r="C174" i="31"/>
  <c r="B174" i="31"/>
  <c r="A174" i="31"/>
  <c r="G173" i="31"/>
  <c r="F173" i="31"/>
  <c r="E173" i="31"/>
  <c r="D173" i="31"/>
  <c r="C173" i="31"/>
  <c r="B173" i="31"/>
  <c r="A173" i="31"/>
  <c r="G172" i="31"/>
  <c r="F172" i="31"/>
  <c r="E172" i="31"/>
  <c r="D172" i="31"/>
  <c r="C172" i="31"/>
  <c r="B172" i="31"/>
  <c r="A172" i="31"/>
  <c r="G171" i="31"/>
  <c r="F171" i="31"/>
  <c r="E171" i="31"/>
  <c r="D171" i="31"/>
  <c r="C171" i="31"/>
  <c r="B171" i="31"/>
  <c r="A171" i="31"/>
  <c r="G170" i="31"/>
  <c r="F170" i="31"/>
  <c r="E170" i="31"/>
  <c r="D170" i="31"/>
  <c r="C170" i="31"/>
  <c r="B170" i="31"/>
  <c r="A170" i="31"/>
  <c r="G169" i="31"/>
  <c r="F169" i="31"/>
  <c r="E169" i="31"/>
  <c r="D169" i="31"/>
  <c r="C169" i="31"/>
  <c r="B169" i="31"/>
  <c r="A169" i="31"/>
  <c r="G168" i="31"/>
  <c r="F168" i="31"/>
  <c r="E168" i="31"/>
  <c r="D168" i="31"/>
  <c r="C168" i="31"/>
  <c r="B168" i="31"/>
  <c r="A168" i="31"/>
  <c r="G167" i="31"/>
  <c r="F167" i="31"/>
  <c r="E167" i="31"/>
  <c r="D167" i="31"/>
  <c r="C167" i="31"/>
  <c r="B167" i="31"/>
  <c r="A167" i="31"/>
  <c r="G166" i="31"/>
  <c r="F166" i="31"/>
  <c r="E166" i="31"/>
  <c r="D166" i="31"/>
  <c r="C166" i="31"/>
  <c r="B166" i="31"/>
  <c r="A166" i="31"/>
  <c r="G165" i="31"/>
  <c r="F165" i="31"/>
  <c r="E165" i="31"/>
  <c r="D165" i="31"/>
  <c r="C165" i="31"/>
  <c r="B165" i="31"/>
  <c r="A165" i="31"/>
  <c r="G164" i="31"/>
  <c r="F164" i="31"/>
  <c r="E164" i="31"/>
  <c r="D164" i="31"/>
  <c r="C164" i="31"/>
  <c r="B164" i="31"/>
  <c r="A164" i="31"/>
  <c r="G163" i="31"/>
  <c r="F163" i="31"/>
  <c r="E163" i="31"/>
  <c r="D163" i="31"/>
  <c r="C163" i="31"/>
  <c r="B163" i="31"/>
  <c r="A163" i="31"/>
  <c r="G162" i="31"/>
  <c r="F162" i="31"/>
  <c r="E162" i="31"/>
  <c r="D162" i="31"/>
  <c r="C162" i="31"/>
  <c r="B162" i="31"/>
  <c r="A162" i="31"/>
  <c r="G161" i="31"/>
  <c r="F161" i="31"/>
  <c r="E161" i="31"/>
  <c r="D161" i="31"/>
  <c r="C161" i="31"/>
  <c r="B161" i="31"/>
  <c r="A161" i="31"/>
  <c r="G160" i="31"/>
  <c r="F160" i="31"/>
  <c r="E160" i="31"/>
  <c r="D160" i="31"/>
  <c r="C160" i="31"/>
  <c r="B160" i="31"/>
  <c r="A160" i="31"/>
  <c r="G159" i="31"/>
  <c r="F159" i="31"/>
  <c r="E159" i="31"/>
  <c r="D159" i="31"/>
  <c r="C159" i="31"/>
  <c r="B159" i="31"/>
  <c r="A159" i="31"/>
  <c r="G158" i="31"/>
  <c r="F158" i="31"/>
  <c r="E158" i="31"/>
  <c r="D158" i="31"/>
  <c r="C158" i="31"/>
  <c r="B158" i="31"/>
  <c r="A158" i="31"/>
  <c r="G157" i="31"/>
  <c r="F157" i="31"/>
  <c r="E157" i="31"/>
  <c r="D157" i="31"/>
  <c r="C157" i="31"/>
  <c r="B157" i="31"/>
  <c r="A157" i="31"/>
  <c r="G156" i="31"/>
  <c r="F156" i="31"/>
  <c r="E156" i="31"/>
  <c r="D156" i="31"/>
  <c r="C156" i="31"/>
  <c r="B156" i="31"/>
  <c r="A156" i="31"/>
  <c r="G155" i="31"/>
  <c r="F155" i="31"/>
  <c r="E155" i="31"/>
  <c r="D155" i="31"/>
  <c r="C155" i="31"/>
  <c r="B155" i="31"/>
  <c r="A155" i="31"/>
  <c r="G154" i="31"/>
  <c r="F154" i="31"/>
  <c r="E154" i="31"/>
  <c r="D154" i="31"/>
  <c r="C154" i="31"/>
  <c r="B154" i="31"/>
  <c r="A154" i="31"/>
  <c r="G153" i="31"/>
  <c r="F153" i="31"/>
  <c r="E153" i="31"/>
  <c r="D153" i="31"/>
  <c r="C153" i="31"/>
  <c r="B153" i="31"/>
  <c r="A153" i="31"/>
  <c r="G152" i="31"/>
  <c r="F152" i="31"/>
  <c r="E152" i="31"/>
  <c r="D152" i="31"/>
  <c r="C152" i="31"/>
  <c r="B152" i="31"/>
  <c r="A152" i="31"/>
  <c r="G151" i="31"/>
  <c r="F151" i="31"/>
  <c r="E151" i="31"/>
  <c r="D151" i="31"/>
  <c r="C151" i="31"/>
  <c r="B151" i="31"/>
  <c r="A151" i="31"/>
  <c r="G150" i="31"/>
  <c r="F150" i="31"/>
  <c r="E150" i="31"/>
  <c r="D150" i="31"/>
  <c r="C150" i="31"/>
  <c r="B150" i="31"/>
  <c r="A150" i="31"/>
  <c r="G149" i="31"/>
  <c r="F149" i="31"/>
  <c r="E149" i="31"/>
  <c r="D149" i="31"/>
  <c r="C149" i="31"/>
  <c r="B149" i="31"/>
  <c r="A149" i="31"/>
  <c r="G148" i="31"/>
  <c r="F148" i="31"/>
  <c r="E148" i="31"/>
  <c r="D148" i="31"/>
  <c r="C148" i="31"/>
  <c r="B148" i="31"/>
  <c r="A148" i="31"/>
  <c r="G147" i="31"/>
  <c r="F147" i="31"/>
  <c r="E147" i="31"/>
  <c r="D147" i="31"/>
  <c r="C147" i="31"/>
  <c r="B147" i="31"/>
  <c r="A147" i="31"/>
  <c r="G146" i="31"/>
  <c r="F146" i="31"/>
  <c r="E146" i="31"/>
  <c r="D146" i="31"/>
  <c r="C146" i="31"/>
  <c r="B146" i="31"/>
  <c r="A146" i="31"/>
  <c r="G145" i="31"/>
  <c r="F145" i="31"/>
  <c r="E145" i="31"/>
  <c r="D145" i="31"/>
  <c r="C145" i="31"/>
  <c r="B145" i="31"/>
  <c r="A145" i="31"/>
  <c r="G144" i="31"/>
  <c r="F144" i="31"/>
  <c r="E144" i="31"/>
  <c r="D144" i="31"/>
  <c r="C144" i="31"/>
  <c r="B144" i="31"/>
  <c r="A144" i="31"/>
  <c r="G143" i="31"/>
  <c r="F143" i="31"/>
  <c r="E143" i="31"/>
  <c r="D143" i="31"/>
  <c r="C143" i="31"/>
  <c r="B143" i="31"/>
  <c r="A143" i="31"/>
  <c r="G142" i="31"/>
  <c r="F142" i="31"/>
  <c r="E142" i="31"/>
  <c r="D142" i="31"/>
  <c r="C142" i="31"/>
  <c r="B142" i="31"/>
  <c r="A142" i="31"/>
  <c r="G141" i="31"/>
  <c r="F141" i="31"/>
  <c r="E141" i="31"/>
  <c r="D141" i="31"/>
  <c r="C141" i="31"/>
  <c r="B141" i="31"/>
  <c r="A141" i="31"/>
  <c r="G140" i="31"/>
  <c r="F140" i="31"/>
  <c r="E140" i="31"/>
  <c r="D140" i="31"/>
  <c r="C140" i="31"/>
  <c r="B140" i="31"/>
  <c r="A140" i="31"/>
  <c r="G139" i="31"/>
  <c r="F139" i="31"/>
  <c r="E139" i="31"/>
  <c r="D139" i="31"/>
  <c r="C139" i="31"/>
  <c r="B139" i="31"/>
  <c r="A139" i="31"/>
  <c r="G138" i="31"/>
  <c r="F138" i="31"/>
  <c r="E138" i="31"/>
  <c r="D138" i="31"/>
  <c r="C138" i="31"/>
  <c r="B138" i="31"/>
  <c r="A138" i="31"/>
  <c r="G137" i="31"/>
  <c r="F137" i="31"/>
  <c r="E137" i="31"/>
  <c r="D137" i="31"/>
  <c r="C137" i="31"/>
  <c r="B137" i="31"/>
  <c r="A137" i="31"/>
  <c r="G136" i="31"/>
  <c r="F136" i="31"/>
  <c r="E136" i="31"/>
  <c r="D136" i="31"/>
  <c r="C136" i="31"/>
  <c r="B136" i="31"/>
  <c r="A136" i="31"/>
  <c r="G135" i="31"/>
  <c r="F135" i="31"/>
  <c r="E135" i="31"/>
  <c r="D135" i="31"/>
  <c r="C135" i="31"/>
  <c r="B135" i="31"/>
  <c r="A135" i="31"/>
  <c r="G134" i="31"/>
  <c r="F134" i="31"/>
  <c r="E134" i="31"/>
  <c r="D134" i="31"/>
  <c r="C134" i="31"/>
  <c r="B134" i="31"/>
  <c r="A134" i="31"/>
  <c r="G133" i="31"/>
  <c r="F133" i="31"/>
  <c r="E133" i="31"/>
  <c r="D133" i="31"/>
  <c r="C133" i="31"/>
  <c r="B133" i="31"/>
  <c r="A133" i="31"/>
  <c r="G132" i="31"/>
  <c r="F132" i="31"/>
  <c r="E132" i="31"/>
  <c r="D132" i="31"/>
  <c r="C132" i="31"/>
  <c r="B132" i="31"/>
  <c r="A132" i="31"/>
  <c r="G131" i="31"/>
  <c r="F131" i="31"/>
  <c r="E131" i="31"/>
  <c r="D131" i="31"/>
  <c r="C131" i="31"/>
  <c r="B131" i="31"/>
  <c r="A131" i="31"/>
  <c r="G130" i="31"/>
  <c r="F130" i="31"/>
  <c r="E130" i="31"/>
  <c r="D130" i="31"/>
  <c r="C130" i="31"/>
  <c r="B130" i="31"/>
  <c r="A130" i="31"/>
  <c r="G129" i="31"/>
  <c r="F129" i="31"/>
  <c r="E129" i="31"/>
  <c r="D129" i="31"/>
  <c r="C129" i="31"/>
  <c r="B129" i="31"/>
  <c r="A129" i="31"/>
  <c r="G128" i="31"/>
  <c r="F128" i="31"/>
  <c r="E128" i="31"/>
  <c r="D128" i="31"/>
  <c r="C128" i="31"/>
  <c r="B128" i="31"/>
  <c r="A128" i="31"/>
  <c r="G127" i="31"/>
  <c r="F127" i="31"/>
  <c r="E127" i="31"/>
  <c r="D127" i="31"/>
  <c r="C127" i="31"/>
  <c r="B127" i="31"/>
  <c r="A127" i="31"/>
  <c r="G126" i="31"/>
  <c r="F126" i="31"/>
  <c r="E126" i="31"/>
  <c r="D126" i="31"/>
  <c r="C126" i="31"/>
  <c r="B126" i="31"/>
  <c r="A126" i="31"/>
  <c r="G125" i="31"/>
  <c r="F125" i="31"/>
  <c r="E125" i="31"/>
  <c r="D125" i="31"/>
  <c r="C125" i="31"/>
  <c r="B125" i="31"/>
  <c r="A125" i="31"/>
  <c r="G124" i="31"/>
  <c r="F124" i="31"/>
  <c r="E124" i="31"/>
  <c r="D124" i="31"/>
  <c r="C124" i="31"/>
  <c r="B124" i="31"/>
  <c r="A124" i="31"/>
  <c r="G123" i="31"/>
  <c r="F123" i="31"/>
  <c r="E123" i="31"/>
  <c r="D123" i="31"/>
  <c r="C123" i="31"/>
  <c r="B123" i="31"/>
  <c r="A123" i="31"/>
  <c r="G122" i="31"/>
  <c r="F122" i="31"/>
  <c r="E122" i="31"/>
  <c r="D122" i="31"/>
  <c r="C122" i="31"/>
  <c r="B122" i="31"/>
  <c r="A122" i="31"/>
  <c r="G121" i="31"/>
  <c r="F121" i="31"/>
  <c r="E121" i="31"/>
  <c r="D121" i="31"/>
  <c r="C121" i="31"/>
  <c r="B121" i="31"/>
  <c r="A121" i="31"/>
  <c r="G120" i="31"/>
  <c r="F120" i="31"/>
  <c r="E120" i="31"/>
  <c r="D120" i="31"/>
  <c r="C120" i="31"/>
  <c r="B120" i="31"/>
  <c r="A120" i="31"/>
  <c r="G119" i="31"/>
  <c r="F119" i="31"/>
  <c r="E119" i="31"/>
  <c r="D119" i="31"/>
  <c r="C119" i="31"/>
  <c r="B119" i="31"/>
  <c r="A119" i="31"/>
  <c r="G118" i="31"/>
  <c r="F118" i="31"/>
  <c r="E118" i="31"/>
  <c r="D118" i="31"/>
  <c r="C118" i="31"/>
  <c r="B118" i="31"/>
  <c r="A118" i="31"/>
  <c r="G117" i="31"/>
  <c r="F117" i="31"/>
  <c r="E117" i="31"/>
  <c r="D117" i="31"/>
  <c r="C117" i="31"/>
  <c r="B117" i="31"/>
  <c r="A117" i="31"/>
  <c r="G116" i="31"/>
  <c r="F116" i="31"/>
  <c r="E116" i="31"/>
  <c r="D116" i="31"/>
  <c r="C116" i="31"/>
  <c r="B116" i="31"/>
  <c r="A116" i="31"/>
  <c r="G115" i="31"/>
  <c r="F115" i="31"/>
  <c r="E115" i="31"/>
  <c r="D115" i="31"/>
  <c r="C115" i="31"/>
  <c r="B115" i="31"/>
  <c r="A115" i="31"/>
  <c r="G114" i="31"/>
  <c r="F114" i="31"/>
  <c r="E114" i="31"/>
  <c r="D114" i="31"/>
  <c r="C114" i="31"/>
  <c r="B114" i="31"/>
  <c r="A114" i="31"/>
  <c r="G113" i="31"/>
  <c r="F113" i="31"/>
  <c r="E113" i="31"/>
  <c r="D113" i="31"/>
  <c r="C113" i="31"/>
  <c r="B113" i="31"/>
  <c r="A113" i="31"/>
  <c r="G112" i="31"/>
  <c r="F112" i="31"/>
  <c r="E112" i="31"/>
  <c r="D112" i="31"/>
  <c r="C112" i="31"/>
  <c r="B112" i="31"/>
  <c r="A112" i="31"/>
  <c r="G111" i="31"/>
  <c r="F111" i="31"/>
  <c r="E111" i="31"/>
  <c r="D111" i="31"/>
  <c r="C111" i="31"/>
  <c r="B111" i="31"/>
  <c r="A111" i="31"/>
  <c r="G110" i="31"/>
  <c r="F110" i="31"/>
  <c r="E110" i="31"/>
  <c r="D110" i="31"/>
  <c r="C110" i="31"/>
  <c r="B110" i="31"/>
  <c r="A110" i="31"/>
  <c r="G109" i="31"/>
  <c r="F109" i="31"/>
  <c r="E109" i="31"/>
  <c r="D109" i="31"/>
  <c r="C109" i="31"/>
  <c r="B109" i="31"/>
  <c r="A109" i="31"/>
  <c r="G108" i="31"/>
  <c r="F108" i="31"/>
  <c r="E108" i="31"/>
  <c r="D108" i="31"/>
  <c r="C108" i="31"/>
  <c r="B108" i="31"/>
  <c r="A108" i="31"/>
  <c r="G107" i="31"/>
  <c r="F107" i="31"/>
  <c r="E107" i="31"/>
  <c r="D107" i="31"/>
  <c r="C107" i="31"/>
  <c r="B107" i="31"/>
  <c r="A107" i="31"/>
  <c r="G106" i="31"/>
  <c r="F106" i="31"/>
  <c r="E106" i="31"/>
  <c r="D106" i="31"/>
  <c r="C106" i="31"/>
  <c r="B106" i="31"/>
  <c r="A106" i="31"/>
  <c r="G105" i="31"/>
  <c r="F105" i="31"/>
  <c r="E105" i="31"/>
  <c r="D105" i="31"/>
  <c r="C105" i="31"/>
  <c r="B105" i="31"/>
  <c r="A105" i="31"/>
  <c r="G104" i="31"/>
  <c r="F104" i="31"/>
  <c r="E104" i="31"/>
  <c r="D104" i="31"/>
  <c r="C104" i="31"/>
  <c r="B104" i="31"/>
  <c r="A104" i="31"/>
  <c r="G103" i="31"/>
  <c r="F103" i="31"/>
  <c r="E103" i="31"/>
  <c r="D103" i="31"/>
  <c r="C103" i="31"/>
  <c r="B103" i="31"/>
  <c r="A103" i="31"/>
  <c r="G102" i="31"/>
  <c r="F102" i="31"/>
  <c r="E102" i="31"/>
  <c r="D102" i="31"/>
  <c r="C102" i="31"/>
  <c r="B102" i="31"/>
  <c r="A102" i="31"/>
  <c r="G101" i="31"/>
  <c r="F101" i="31"/>
  <c r="E101" i="31"/>
  <c r="D101" i="31"/>
  <c r="C101" i="31"/>
  <c r="B101" i="31"/>
  <c r="A101" i="31"/>
  <c r="G100" i="31"/>
  <c r="F100" i="31"/>
  <c r="E100" i="31"/>
  <c r="D100" i="31"/>
  <c r="C100" i="31"/>
  <c r="B100" i="31"/>
  <c r="A100" i="31"/>
  <c r="G99" i="31"/>
  <c r="F99" i="31"/>
  <c r="E99" i="31"/>
  <c r="D99" i="31"/>
  <c r="C99" i="31"/>
  <c r="B99" i="31"/>
  <c r="A99" i="31"/>
  <c r="G98" i="31"/>
  <c r="F98" i="31"/>
  <c r="E98" i="31"/>
  <c r="D98" i="31"/>
  <c r="C98" i="31"/>
  <c r="B98" i="31"/>
  <c r="A98" i="31"/>
  <c r="G97" i="31"/>
  <c r="F97" i="31"/>
  <c r="E97" i="31"/>
  <c r="D97" i="31"/>
  <c r="C97" i="31"/>
  <c r="B97" i="31"/>
  <c r="A97" i="31"/>
  <c r="G96" i="31"/>
  <c r="F96" i="31"/>
  <c r="E96" i="31"/>
  <c r="D96" i="31"/>
  <c r="C96" i="31"/>
  <c r="B96" i="31"/>
  <c r="A96" i="31"/>
  <c r="G95" i="31"/>
  <c r="F95" i="31"/>
  <c r="E95" i="31"/>
  <c r="D95" i="31"/>
  <c r="C95" i="31"/>
  <c r="B95" i="31"/>
  <c r="A95" i="31"/>
  <c r="G94" i="31"/>
  <c r="F94" i="31"/>
  <c r="E94" i="31"/>
  <c r="D94" i="31"/>
  <c r="C94" i="31"/>
  <c r="B94" i="31"/>
  <c r="A94" i="31"/>
  <c r="G93" i="31"/>
  <c r="F93" i="31"/>
  <c r="E93" i="31"/>
  <c r="D93" i="31"/>
  <c r="C93" i="31"/>
  <c r="B93" i="31"/>
  <c r="A93" i="31"/>
  <c r="G92" i="31"/>
  <c r="F92" i="31"/>
  <c r="E92" i="31"/>
  <c r="D92" i="31"/>
  <c r="C92" i="31"/>
  <c r="B92" i="31"/>
  <c r="A92" i="31"/>
  <c r="G91" i="31"/>
  <c r="F91" i="31"/>
  <c r="E91" i="31"/>
  <c r="D91" i="31"/>
  <c r="C91" i="31"/>
  <c r="B91" i="31"/>
  <c r="A91" i="31"/>
  <c r="G90" i="31"/>
  <c r="F90" i="31"/>
  <c r="E90" i="31"/>
  <c r="D90" i="31"/>
  <c r="C90" i="31"/>
  <c r="B90" i="31"/>
  <c r="A90" i="31"/>
  <c r="G89" i="31"/>
  <c r="F89" i="31"/>
  <c r="E89" i="31"/>
  <c r="D89" i="31"/>
  <c r="C89" i="31"/>
  <c r="B89" i="31"/>
  <c r="A89" i="31"/>
  <c r="G88" i="31"/>
  <c r="F88" i="31"/>
  <c r="E88" i="31"/>
  <c r="D88" i="31"/>
  <c r="C88" i="31"/>
  <c r="B88" i="31"/>
  <c r="A88" i="31"/>
  <c r="G87" i="31"/>
  <c r="F87" i="31"/>
  <c r="E87" i="31"/>
  <c r="D87" i="31"/>
  <c r="C87" i="31"/>
  <c r="B87" i="31"/>
  <c r="A87" i="31"/>
  <c r="G86" i="31"/>
  <c r="F86" i="31"/>
  <c r="E86" i="31"/>
  <c r="D86" i="31"/>
  <c r="C86" i="31"/>
  <c r="B86" i="31"/>
  <c r="A86" i="31"/>
  <c r="G85" i="31"/>
  <c r="F85" i="31"/>
  <c r="E85" i="31"/>
  <c r="D85" i="31"/>
  <c r="C85" i="31"/>
  <c r="B85" i="31"/>
  <c r="A85" i="31"/>
  <c r="G84" i="31"/>
  <c r="F84" i="31"/>
  <c r="E84" i="31"/>
  <c r="D84" i="31"/>
  <c r="C84" i="31"/>
  <c r="B84" i="31"/>
  <c r="A84" i="31"/>
  <c r="G83" i="31"/>
  <c r="F83" i="31"/>
  <c r="E83" i="31"/>
  <c r="D83" i="31"/>
  <c r="C83" i="31"/>
  <c r="B83" i="31"/>
  <c r="A83" i="31"/>
  <c r="G82" i="31"/>
  <c r="F82" i="31"/>
  <c r="E82" i="31"/>
  <c r="D82" i="31"/>
  <c r="C82" i="31"/>
  <c r="B82" i="31"/>
  <c r="A82" i="31"/>
  <c r="G81" i="31"/>
  <c r="F81" i="31"/>
  <c r="E81" i="31"/>
  <c r="D81" i="31"/>
  <c r="C81" i="31"/>
  <c r="B81" i="31"/>
  <c r="A81" i="31"/>
  <c r="G80" i="31"/>
  <c r="F80" i="31"/>
  <c r="E80" i="31"/>
  <c r="D80" i="31"/>
  <c r="C80" i="31"/>
  <c r="B80" i="31"/>
  <c r="A80" i="31"/>
  <c r="G79" i="31"/>
  <c r="F79" i="31"/>
  <c r="E79" i="31"/>
  <c r="D79" i="31"/>
  <c r="C79" i="31"/>
  <c r="B79" i="31"/>
  <c r="A79" i="31"/>
  <c r="G78" i="31"/>
  <c r="F78" i="31"/>
  <c r="E78" i="31"/>
  <c r="D78" i="31"/>
  <c r="C78" i="31"/>
  <c r="B78" i="31"/>
  <c r="A78" i="31"/>
  <c r="G77" i="31"/>
  <c r="F77" i="31"/>
  <c r="E77" i="31"/>
  <c r="D77" i="31"/>
  <c r="C77" i="31"/>
  <c r="B77" i="31"/>
  <c r="A77" i="31"/>
  <c r="G76" i="31"/>
  <c r="F76" i="31"/>
  <c r="E76" i="31"/>
  <c r="D76" i="31"/>
  <c r="C76" i="31"/>
  <c r="B76" i="31"/>
  <c r="A76" i="31"/>
  <c r="G75" i="31"/>
  <c r="F75" i="31"/>
  <c r="E75" i="31"/>
  <c r="D75" i="31"/>
  <c r="C75" i="31"/>
  <c r="B75" i="31"/>
  <c r="A75" i="31"/>
  <c r="G74" i="31"/>
  <c r="F74" i="31"/>
  <c r="E74" i="31"/>
  <c r="D74" i="31"/>
  <c r="C74" i="31"/>
  <c r="B74" i="31"/>
  <c r="A74" i="31"/>
  <c r="G73" i="31"/>
  <c r="F73" i="31"/>
  <c r="E73" i="31"/>
  <c r="D73" i="31"/>
  <c r="C73" i="31"/>
  <c r="B73" i="31"/>
  <c r="A73" i="31"/>
  <c r="G72" i="31"/>
  <c r="F72" i="31"/>
  <c r="E72" i="31"/>
  <c r="D72" i="31"/>
  <c r="C72" i="31"/>
  <c r="B72" i="31"/>
  <c r="A72" i="31"/>
  <c r="G71" i="31"/>
  <c r="F71" i="31"/>
  <c r="E71" i="31"/>
  <c r="D71" i="31"/>
  <c r="C71" i="31"/>
  <c r="B71" i="31"/>
  <c r="A71" i="31"/>
  <c r="G70" i="31"/>
  <c r="F70" i="31"/>
  <c r="E70" i="31"/>
  <c r="D70" i="31"/>
  <c r="C70" i="31"/>
  <c r="B70" i="31"/>
  <c r="A70" i="31"/>
  <c r="G69" i="31"/>
  <c r="F69" i="31"/>
  <c r="E69" i="31"/>
  <c r="D69" i="31"/>
  <c r="C69" i="31"/>
  <c r="B69" i="31"/>
  <c r="A69" i="31"/>
  <c r="G68" i="31"/>
  <c r="F68" i="31"/>
  <c r="E68" i="31"/>
  <c r="D68" i="31"/>
  <c r="C68" i="31"/>
  <c r="B68" i="31"/>
  <c r="A68" i="31"/>
  <c r="G67" i="31"/>
  <c r="F67" i="31"/>
  <c r="E67" i="31"/>
  <c r="D67" i="31"/>
  <c r="C67" i="31"/>
  <c r="B67" i="31"/>
  <c r="A67" i="31"/>
  <c r="G66" i="31"/>
  <c r="F66" i="31"/>
  <c r="E66" i="31"/>
  <c r="D66" i="31"/>
  <c r="C66" i="31"/>
  <c r="B66" i="31"/>
  <c r="A66" i="31"/>
  <c r="G65" i="31"/>
  <c r="F65" i="31"/>
  <c r="E65" i="31"/>
  <c r="D65" i="31"/>
  <c r="C65" i="31"/>
  <c r="B65" i="31"/>
  <c r="A65" i="31"/>
  <c r="G64" i="31"/>
  <c r="F64" i="31"/>
  <c r="E64" i="31"/>
  <c r="D64" i="31"/>
  <c r="C64" i="31"/>
  <c r="B64" i="31"/>
  <c r="A64" i="31"/>
  <c r="G63" i="31"/>
  <c r="F63" i="31"/>
  <c r="E63" i="31"/>
  <c r="D63" i="31"/>
  <c r="C63" i="31"/>
  <c r="B63" i="31"/>
  <c r="A63" i="31"/>
  <c r="G62" i="31"/>
  <c r="F62" i="31"/>
  <c r="E62" i="31"/>
  <c r="D62" i="31"/>
  <c r="C62" i="31"/>
  <c r="B62" i="31"/>
  <c r="A62" i="31"/>
  <c r="G61" i="31"/>
  <c r="F61" i="31"/>
  <c r="E61" i="31"/>
  <c r="D61" i="31"/>
  <c r="C61" i="31"/>
  <c r="B61" i="31"/>
  <c r="A61" i="31"/>
  <c r="G60" i="31"/>
  <c r="F60" i="31"/>
  <c r="E60" i="31"/>
  <c r="D60" i="31"/>
  <c r="C60" i="31"/>
  <c r="B60" i="31"/>
  <c r="A60" i="31"/>
  <c r="G59" i="31"/>
  <c r="F59" i="31"/>
  <c r="E59" i="31"/>
  <c r="D59" i="31"/>
  <c r="C59" i="31"/>
  <c r="B59" i="31"/>
  <c r="A59" i="31"/>
  <c r="G58" i="31"/>
  <c r="F58" i="31"/>
  <c r="E58" i="31"/>
  <c r="D58" i="31"/>
  <c r="C58" i="31"/>
  <c r="B58" i="31"/>
  <c r="A58" i="31"/>
  <c r="G57" i="31"/>
  <c r="F57" i="31"/>
  <c r="E57" i="31"/>
  <c r="D57" i="31"/>
  <c r="C57" i="31"/>
  <c r="B57" i="31"/>
  <c r="A57" i="31"/>
  <c r="G56" i="31"/>
  <c r="F56" i="31"/>
  <c r="E56" i="31"/>
  <c r="D56" i="31"/>
  <c r="C56" i="31"/>
  <c r="B56" i="31"/>
  <c r="A56" i="31"/>
  <c r="G55" i="31"/>
  <c r="F55" i="31"/>
  <c r="E55" i="31"/>
  <c r="D55" i="31"/>
  <c r="C55" i="31"/>
  <c r="B55" i="31"/>
  <c r="A55" i="31"/>
  <c r="G54" i="31"/>
  <c r="F54" i="31"/>
  <c r="E54" i="31"/>
  <c r="D54" i="31"/>
  <c r="C54" i="31"/>
  <c r="B54" i="31"/>
  <c r="A54" i="31"/>
  <c r="G53" i="31"/>
  <c r="F53" i="31"/>
  <c r="E53" i="31"/>
  <c r="D53" i="31"/>
  <c r="C53" i="31"/>
  <c r="B53" i="31"/>
  <c r="A53" i="31"/>
  <c r="G52" i="31"/>
  <c r="F52" i="31"/>
  <c r="E52" i="31"/>
  <c r="D52" i="31"/>
  <c r="C52" i="31"/>
  <c r="B52" i="31"/>
  <c r="A52" i="31"/>
  <c r="G51" i="31"/>
  <c r="F51" i="31"/>
  <c r="E51" i="31"/>
  <c r="D51" i="31"/>
  <c r="C51" i="31"/>
  <c r="B51" i="31"/>
  <c r="A51" i="31"/>
  <c r="G50" i="31"/>
  <c r="F50" i="31"/>
  <c r="E50" i="31"/>
  <c r="D50" i="31"/>
  <c r="C50" i="31"/>
  <c r="B50" i="31"/>
  <c r="A50" i="31"/>
  <c r="G49" i="31"/>
  <c r="F49" i="31"/>
  <c r="E49" i="31"/>
  <c r="D49" i="31"/>
  <c r="C49" i="31"/>
  <c r="B49" i="31"/>
  <c r="A49" i="31"/>
  <c r="G48" i="31"/>
  <c r="F48" i="31"/>
  <c r="E48" i="31"/>
  <c r="D48" i="31"/>
  <c r="C48" i="31"/>
  <c r="B48" i="31"/>
  <c r="A48" i="31"/>
  <c r="G47" i="31"/>
  <c r="F47" i="31"/>
  <c r="E47" i="31"/>
  <c r="D47" i="31"/>
  <c r="C47" i="31"/>
  <c r="B47" i="31"/>
  <c r="A47" i="31"/>
  <c r="G46" i="31"/>
  <c r="F46" i="31"/>
  <c r="E46" i="31"/>
  <c r="D46" i="31"/>
  <c r="C46" i="31"/>
  <c r="B46" i="31"/>
  <c r="A46" i="31"/>
  <c r="G45" i="31"/>
  <c r="F45" i="31"/>
  <c r="E45" i="31"/>
  <c r="D45" i="31"/>
  <c r="C45" i="31"/>
  <c r="B45" i="31"/>
  <c r="A45" i="31"/>
  <c r="G44" i="31"/>
  <c r="F44" i="31"/>
  <c r="E44" i="31"/>
  <c r="D44" i="31"/>
  <c r="C44" i="31"/>
  <c r="B44" i="31"/>
  <c r="A44" i="31"/>
  <c r="G43" i="31"/>
  <c r="F43" i="31"/>
  <c r="E43" i="31"/>
  <c r="D43" i="31"/>
  <c r="C43" i="31"/>
  <c r="B43" i="31"/>
  <c r="A43" i="31"/>
  <c r="G42" i="31"/>
  <c r="F42" i="31"/>
  <c r="E42" i="31"/>
  <c r="D42" i="31"/>
  <c r="C42" i="31"/>
  <c r="B42" i="31"/>
  <c r="A42" i="31"/>
  <c r="G41" i="31"/>
  <c r="F41" i="31"/>
  <c r="E41" i="31"/>
  <c r="D41" i="31"/>
  <c r="C41" i="31"/>
  <c r="B41" i="31"/>
  <c r="A41" i="31"/>
  <c r="G40" i="31"/>
  <c r="F40" i="31"/>
  <c r="E40" i="31"/>
  <c r="D40" i="31"/>
  <c r="C40" i="31"/>
  <c r="B40" i="31"/>
  <c r="A40" i="31"/>
  <c r="G39" i="31"/>
  <c r="F39" i="31"/>
  <c r="E39" i="31"/>
  <c r="D39" i="31"/>
  <c r="C39" i="31"/>
  <c r="B39" i="31"/>
  <c r="A39" i="31"/>
  <c r="G38" i="31"/>
  <c r="F38" i="31"/>
  <c r="E38" i="31"/>
  <c r="D38" i="31"/>
  <c r="C38" i="31"/>
  <c r="B38" i="31"/>
  <c r="A38" i="31"/>
  <c r="G37" i="31"/>
  <c r="F37" i="31"/>
  <c r="E37" i="31"/>
  <c r="D37" i="31"/>
  <c r="C37" i="31"/>
  <c r="B37" i="31"/>
  <c r="A37" i="31"/>
  <c r="G36" i="31"/>
  <c r="F36" i="31"/>
  <c r="E36" i="31"/>
  <c r="D36" i="31"/>
  <c r="C36" i="31"/>
  <c r="B36" i="31"/>
  <c r="A36" i="31"/>
  <c r="G35" i="31"/>
  <c r="F35" i="31"/>
  <c r="E35" i="31"/>
  <c r="D35" i="31"/>
  <c r="C35" i="31"/>
  <c r="B35" i="31"/>
  <c r="A35" i="31"/>
  <c r="G34" i="31"/>
  <c r="F34" i="31"/>
  <c r="E34" i="31"/>
  <c r="D34" i="31"/>
  <c r="C34" i="31"/>
  <c r="B34" i="31"/>
  <c r="A34" i="31"/>
  <c r="G33" i="31"/>
  <c r="F33" i="31"/>
  <c r="E33" i="31"/>
  <c r="D33" i="31"/>
  <c r="C33" i="31"/>
  <c r="B33" i="31"/>
  <c r="A33" i="31"/>
  <c r="G32" i="31"/>
  <c r="F32" i="31"/>
  <c r="E32" i="31"/>
  <c r="D32" i="31"/>
  <c r="C32" i="31"/>
  <c r="B32" i="31"/>
  <c r="A32" i="31"/>
  <c r="G31" i="31"/>
  <c r="F31" i="31"/>
  <c r="E31" i="31"/>
  <c r="D31" i="31"/>
  <c r="C31" i="31"/>
  <c r="B31" i="31"/>
  <c r="A31" i="31"/>
  <c r="G30" i="31"/>
  <c r="F30" i="31"/>
  <c r="E30" i="31"/>
  <c r="D30" i="31"/>
  <c r="C30" i="31"/>
  <c r="B30" i="31"/>
  <c r="A30" i="31"/>
  <c r="G29" i="31"/>
  <c r="F29" i="31"/>
  <c r="E29" i="31"/>
  <c r="D29" i="31"/>
  <c r="C29" i="31"/>
  <c r="B29" i="31"/>
  <c r="A29" i="31"/>
  <c r="G28" i="31"/>
  <c r="F28" i="31"/>
  <c r="E28" i="31"/>
  <c r="D28" i="31"/>
  <c r="C28" i="31"/>
  <c r="B28" i="31"/>
  <c r="A28" i="31"/>
  <c r="G27" i="31"/>
  <c r="F27" i="31"/>
  <c r="E27" i="31"/>
  <c r="D27" i="31"/>
  <c r="C27" i="31"/>
  <c r="B27" i="31"/>
  <c r="A27" i="31"/>
  <c r="G26" i="31"/>
  <c r="F26" i="31"/>
  <c r="E26" i="31"/>
  <c r="D26" i="31"/>
  <c r="C26" i="31"/>
  <c r="B26" i="31"/>
  <c r="A26" i="31"/>
  <c r="G25" i="31"/>
  <c r="F25" i="31"/>
  <c r="E25" i="31"/>
  <c r="D25" i="31"/>
  <c r="C25" i="31"/>
  <c r="B25" i="31"/>
  <c r="A25" i="31"/>
  <c r="G24" i="31"/>
  <c r="F24" i="31"/>
  <c r="E24" i="31"/>
  <c r="D24" i="31"/>
  <c r="C24" i="31"/>
  <c r="B24" i="31"/>
  <c r="A24" i="31"/>
  <c r="G23" i="31"/>
  <c r="F23" i="31"/>
  <c r="E23" i="31"/>
  <c r="D23" i="31"/>
  <c r="C23" i="31"/>
  <c r="B23" i="31"/>
  <c r="A23" i="31"/>
  <c r="G22" i="31"/>
  <c r="F22" i="31"/>
  <c r="E22" i="31"/>
  <c r="D22" i="31"/>
  <c r="C22" i="31"/>
  <c r="B22" i="31"/>
  <c r="A22" i="31"/>
  <c r="G21" i="31"/>
  <c r="F21" i="31"/>
  <c r="E21" i="31"/>
  <c r="D21" i="31"/>
  <c r="C21" i="31"/>
  <c r="B21" i="31"/>
  <c r="A21" i="31"/>
  <c r="G20" i="31"/>
  <c r="F20" i="31"/>
  <c r="E20" i="31"/>
  <c r="D20" i="31"/>
  <c r="C20" i="31"/>
  <c r="B20" i="31"/>
  <c r="A20" i="31"/>
  <c r="G19" i="31"/>
  <c r="F19" i="31"/>
  <c r="E19" i="31"/>
  <c r="D19" i="31"/>
  <c r="C19" i="31"/>
  <c r="B19" i="31"/>
  <c r="A19" i="31"/>
  <c r="G18" i="31"/>
  <c r="F18" i="31"/>
  <c r="E18" i="31"/>
  <c r="D18" i="31"/>
  <c r="C18" i="31"/>
  <c r="B18" i="31"/>
  <c r="A18" i="31"/>
  <c r="G17" i="31"/>
  <c r="F17" i="31"/>
  <c r="E17" i="31"/>
  <c r="D17" i="31"/>
  <c r="C17" i="31"/>
  <c r="B17" i="31"/>
  <c r="A17" i="31"/>
  <c r="G16" i="31"/>
  <c r="F16" i="31"/>
  <c r="E16" i="31"/>
  <c r="D16" i="31"/>
  <c r="C16" i="31"/>
  <c r="B16" i="31"/>
  <c r="A16" i="31"/>
  <c r="G15" i="31"/>
  <c r="F15" i="31"/>
  <c r="E15" i="31"/>
  <c r="D15" i="31"/>
  <c r="C15" i="31"/>
  <c r="B15" i="31"/>
  <c r="A15" i="31"/>
  <c r="G14" i="31"/>
  <c r="F14" i="31"/>
  <c r="E14" i="31"/>
  <c r="D14" i="31"/>
  <c r="C14" i="31"/>
  <c r="B14" i="31"/>
  <c r="A14" i="31"/>
  <c r="G13" i="31"/>
  <c r="F13" i="31"/>
  <c r="E13" i="31"/>
  <c r="D13" i="31"/>
  <c r="C13" i="31"/>
  <c r="B13" i="31"/>
  <c r="A13" i="31"/>
  <c r="G12" i="31"/>
  <c r="F12" i="31"/>
  <c r="E12" i="31"/>
  <c r="D12" i="31"/>
  <c r="C12" i="31"/>
  <c r="B12" i="31"/>
  <c r="A12" i="31"/>
  <c r="G11" i="31"/>
  <c r="F11" i="31"/>
  <c r="E11" i="31"/>
  <c r="D11" i="31"/>
  <c r="C11" i="31"/>
  <c r="B11" i="31"/>
  <c r="A11" i="31"/>
  <c r="G10" i="31"/>
  <c r="F10" i="31"/>
  <c r="E10" i="31"/>
  <c r="D10" i="31"/>
  <c r="C10" i="31"/>
  <c r="B10" i="31"/>
  <c r="A10" i="31"/>
  <c r="G9" i="31"/>
  <c r="F9" i="31"/>
  <c r="E9" i="31"/>
  <c r="D9" i="31"/>
  <c r="C9" i="31"/>
  <c r="B9" i="31"/>
  <c r="A9" i="31"/>
  <c r="G8" i="31"/>
  <c r="F8" i="31"/>
  <c r="E8" i="31"/>
  <c r="D8" i="31"/>
  <c r="C8" i="31"/>
  <c r="B8" i="31"/>
  <c r="A8" i="31"/>
  <c r="G7" i="31"/>
  <c r="F7" i="31"/>
  <c r="E7" i="31"/>
  <c r="D7" i="31"/>
  <c r="C7" i="31"/>
  <c r="B7" i="31"/>
  <c r="A7" i="31"/>
  <c r="G6" i="31"/>
  <c r="F6" i="31"/>
  <c r="E6" i="31"/>
  <c r="D6" i="31"/>
  <c r="C6" i="31"/>
  <c r="B6" i="31"/>
  <c r="A6" i="31"/>
  <c r="G5" i="31"/>
  <c r="F5" i="31"/>
  <c r="E5" i="31"/>
  <c r="D5" i="31"/>
  <c r="C5" i="31"/>
  <c r="B5" i="31"/>
  <c r="A5" i="31"/>
  <c r="G4" i="31"/>
  <c r="F4" i="31"/>
  <c r="E4" i="31"/>
  <c r="D4" i="31"/>
  <c r="C4" i="31"/>
  <c r="B4" i="31"/>
  <c r="A4" i="31"/>
  <c r="G3" i="31"/>
  <c r="F3" i="31"/>
  <c r="E3" i="31"/>
  <c r="D3" i="31"/>
  <c r="C3" i="31"/>
  <c r="B3" i="31"/>
  <c r="A3" i="31"/>
  <c r="G2" i="31"/>
  <c r="F2" i="31"/>
  <c r="E2" i="31"/>
  <c r="D2" i="31"/>
  <c r="C2" i="31"/>
  <c r="B2" i="31"/>
  <c r="A2" i="31"/>
  <c r="G1" i="31"/>
  <c r="F1" i="31"/>
  <c r="E1" i="31"/>
  <c r="D1" i="31"/>
  <c r="C1" i="31"/>
  <c r="B1" i="31"/>
  <c r="A1" i="31"/>
  <c r="G290" i="30"/>
  <c r="F290" i="30"/>
  <c r="E290" i="30"/>
  <c r="D290" i="30"/>
  <c r="C290" i="30"/>
  <c r="B290" i="30"/>
  <c r="A290" i="30"/>
  <c r="G289" i="30"/>
  <c r="F289" i="30"/>
  <c r="E289" i="30"/>
  <c r="D289" i="30"/>
  <c r="C289" i="30"/>
  <c r="B289" i="30"/>
  <c r="A289" i="30"/>
  <c r="G288" i="30"/>
  <c r="F288" i="30"/>
  <c r="E288" i="30"/>
  <c r="D288" i="30"/>
  <c r="C288" i="30"/>
  <c r="B288" i="30"/>
  <c r="A288" i="30"/>
  <c r="G287" i="30"/>
  <c r="F287" i="30"/>
  <c r="E287" i="30"/>
  <c r="D287" i="30"/>
  <c r="C287" i="30"/>
  <c r="B287" i="30"/>
  <c r="A287" i="30"/>
  <c r="G286" i="30"/>
  <c r="F286" i="30"/>
  <c r="E286" i="30"/>
  <c r="D286" i="30"/>
  <c r="C286" i="30"/>
  <c r="B286" i="30"/>
  <c r="A286" i="30"/>
  <c r="G285" i="30"/>
  <c r="F285" i="30"/>
  <c r="E285" i="30"/>
  <c r="D285" i="30"/>
  <c r="C285" i="30"/>
  <c r="B285" i="30"/>
  <c r="A285" i="30"/>
  <c r="G284" i="30"/>
  <c r="F284" i="30"/>
  <c r="E284" i="30"/>
  <c r="D284" i="30"/>
  <c r="C284" i="30"/>
  <c r="B284" i="30"/>
  <c r="A284" i="30"/>
  <c r="G283" i="30"/>
  <c r="F283" i="30"/>
  <c r="E283" i="30"/>
  <c r="D283" i="30"/>
  <c r="C283" i="30"/>
  <c r="B283" i="30"/>
  <c r="A283" i="30"/>
  <c r="G282" i="30"/>
  <c r="F282" i="30"/>
  <c r="E282" i="30"/>
  <c r="D282" i="30"/>
  <c r="C282" i="30"/>
  <c r="B282" i="30"/>
  <c r="A282" i="30"/>
  <c r="G281" i="30"/>
  <c r="F281" i="30"/>
  <c r="E281" i="30"/>
  <c r="D281" i="30"/>
  <c r="C281" i="30"/>
  <c r="B281" i="30"/>
  <c r="A281" i="30"/>
  <c r="G280" i="30"/>
  <c r="F280" i="30"/>
  <c r="E280" i="30"/>
  <c r="D280" i="30"/>
  <c r="C280" i="30"/>
  <c r="B280" i="30"/>
  <c r="A280" i="30"/>
  <c r="G279" i="30"/>
  <c r="F279" i="30"/>
  <c r="E279" i="30"/>
  <c r="D279" i="30"/>
  <c r="C279" i="30"/>
  <c r="B279" i="30"/>
  <c r="A279" i="30"/>
  <c r="G278" i="30"/>
  <c r="F278" i="30"/>
  <c r="E278" i="30"/>
  <c r="D278" i="30"/>
  <c r="C278" i="30"/>
  <c r="B278" i="30"/>
  <c r="A278" i="30"/>
  <c r="G277" i="30"/>
  <c r="F277" i="30"/>
  <c r="E277" i="30"/>
  <c r="D277" i="30"/>
  <c r="C277" i="30"/>
  <c r="B277" i="30"/>
  <c r="A277" i="30"/>
  <c r="G276" i="30"/>
  <c r="F276" i="30"/>
  <c r="E276" i="30"/>
  <c r="D276" i="30"/>
  <c r="C276" i="30"/>
  <c r="B276" i="30"/>
  <c r="A276" i="30"/>
  <c r="G275" i="30"/>
  <c r="F275" i="30"/>
  <c r="E275" i="30"/>
  <c r="D275" i="30"/>
  <c r="C275" i="30"/>
  <c r="B275" i="30"/>
  <c r="A275" i="30"/>
  <c r="G274" i="30"/>
  <c r="F274" i="30"/>
  <c r="E274" i="30"/>
  <c r="D274" i="30"/>
  <c r="C274" i="30"/>
  <c r="B274" i="30"/>
  <c r="A274" i="30"/>
  <c r="G273" i="30"/>
  <c r="F273" i="30"/>
  <c r="E273" i="30"/>
  <c r="D273" i="30"/>
  <c r="C273" i="30"/>
  <c r="B273" i="30"/>
  <c r="A273" i="30"/>
  <c r="G272" i="30"/>
  <c r="F272" i="30"/>
  <c r="E272" i="30"/>
  <c r="D272" i="30"/>
  <c r="C272" i="30"/>
  <c r="B272" i="30"/>
  <c r="A272" i="30"/>
  <c r="G271" i="30"/>
  <c r="F271" i="30"/>
  <c r="E271" i="30"/>
  <c r="D271" i="30"/>
  <c r="C271" i="30"/>
  <c r="B271" i="30"/>
  <c r="A271" i="30"/>
  <c r="G270" i="30"/>
  <c r="F270" i="30"/>
  <c r="E270" i="30"/>
  <c r="D270" i="30"/>
  <c r="C270" i="30"/>
  <c r="B270" i="30"/>
  <c r="A270" i="30"/>
  <c r="G269" i="30"/>
  <c r="F269" i="30"/>
  <c r="E269" i="30"/>
  <c r="D269" i="30"/>
  <c r="C269" i="30"/>
  <c r="B269" i="30"/>
  <c r="A269" i="30"/>
  <c r="G268" i="30"/>
  <c r="F268" i="30"/>
  <c r="E268" i="30"/>
  <c r="D268" i="30"/>
  <c r="C268" i="30"/>
  <c r="B268" i="30"/>
  <c r="A268" i="30"/>
  <c r="G267" i="30"/>
  <c r="F267" i="30"/>
  <c r="E267" i="30"/>
  <c r="D267" i="30"/>
  <c r="C267" i="30"/>
  <c r="B267" i="30"/>
  <c r="A267" i="30"/>
  <c r="G266" i="30"/>
  <c r="F266" i="30"/>
  <c r="E266" i="30"/>
  <c r="D266" i="30"/>
  <c r="C266" i="30"/>
  <c r="B266" i="30"/>
  <c r="A266" i="30"/>
  <c r="G265" i="30"/>
  <c r="F265" i="30"/>
  <c r="E265" i="30"/>
  <c r="D265" i="30"/>
  <c r="C265" i="30"/>
  <c r="B265" i="30"/>
  <c r="A265" i="30"/>
  <c r="G264" i="30"/>
  <c r="F264" i="30"/>
  <c r="E264" i="30"/>
  <c r="D264" i="30"/>
  <c r="C264" i="30"/>
  <c r="B264" i="30"/>
  <c r="A264" i="30"/>
  <c r="G263" i="30"/>
  <c r="F263" i="30"/>
  <c r="E263" i="30"/>
  <c r="D263" i="30"/>
  <c r="C263" i="30"/>
  <c r="B263" i="30"/>
  <c r="A263" i="30"/>
  <c r="G262" i="30"/>
  <c r="F262" i="30"/>
  <c r="E262" i="30"/>
  <c r="D262" i="30"/>
  <c r="C262" i="30"/>
  <c r="B262" i="30"/>
  <c r="A262" i="30"/>
  <c r="G261" i="30"/>
  <c r="F261" i="30"/>
  <c r="E261" i="30"/>
  <c r="D261" i="30"/>
  <c r="C261" i="30"/>
  <c r="B261" i="30"/>
  <c r="A261" i="30"/>
  <c r="G260" i="30"/>
  <c r="F260" i="30"/>
  <c r="E260" i="30"/>
  <c r="D260" i="30"/>
  <c r="C260" i="30"/>
  <c r="B260" i="30"/>
  <c r="A260" i="30"/>
  <c r="G259" i="30"/>
  <c r="F259" i="30"/>
  <c r="E259" i="30"/>
  <c r="D259" i="30"/>
  <c r="C259" i="30"/>
  <c r="B259" i="30"/>
  <c r="A259" i="30"/>
  <c r="G258" i="30"/>
  <c r="F258" i="30"/>
  <c r="E258" i="30"/>
  <c r="D258" i="30"/>
  <c r="C258" i="30"/>
  <c r="B258" i="30"/>
  <c r="A258" i="30"/>
  <c r="G257" i="30"/>
  <c r="F257" i="30"/>
  <c r="E257" i="30"/>
  <c r="D257" i="30"/>
  <c r="C257" i="30"/>
  <c r="B257" i="30"/>
  <c r="A257" i="30"/>
  <c r="G256" i="30"/>
  <c r="F256" i="30"/>
  <c r="E256" i="30"/>
  <c r="D256" i="30"/>
  <c r="C256" i="30"/>
  <c r="B256" i="30"/>
  <c r="A256" i="30"/>
  <c r="G255" i="30"/>
  <c r="F255" i="30"/>
  <c r="E255" i="30"/>
  <c r="D255" i="30"/>
  <c r="C255" i="30"/>
  <c r="B255" i="30"/>
  <c r="A255" i="30"/>
  <c r="G254" i="30"/>
  <c r="F254" i="30"/>
  <c r="E254" i="30"/>
  <c r="D254" i="30"/>
  <c r="C254" i="30"/>
  <c r="B254" i="30"/>
  <c r="A254" i="30"/>
  <c r="G253" i="30"/>
  <c r="F253" i="30"/>
  <c r="E253" i="30"/>
  <c r="D253" i="30"/>
  <c r="C253" i="30"/>
  <c r="B253" i="30"/>
  <c r="A253" i="30"/>
  <c r="G252" i="30"/>
  <c r="F252" i="30"/>
  <c r="E252" i="30"/>
  <c r="D252" i="30"/>
  <c r="C252" i="30"/>
  <c r="B252" i="30"/>
  <c r="A252" i="30"/>
  <c r="G251" i="30"/>
  <c r="F251" i="30"/>
  <c r="E251" i="30"/>
  <c r="D251" i="30"/>
  <c r="C251" i="30"/>
  <c r="B251" i="30"/>
  <c r="A251" i="30"/>
  <c r="G250" i="30"/>
  <c r="F250" i="30"/>
  <c r="E250" i="30"/>
  <c r="D250" i="30"/>
  <c r="C250" i="30"/>
  <c r="B250" i="30"/>
  <c r="A250" i="30"/>
  <c r="G249" i="30"/>
  <c r="F249" i="30"/>
  <c r="E249" i="30"/>
  <c r="D249" i="30"/>
  <c r="C249" i="30"/>
  <c r="B249" i="30"/>
  <c r="A249" i="30"/>
  <c r="G248" i="30"/>
  <c r="F248" i="30"/>
  <c r="E248" i="30"/>
  <c r="D248" i="30"/>
  <c r="C248" i="30"/>
  <c r="B248" i="30"/>
  <c r="A248" i="30"/>
  <c r="G247" i="30"/>
  <c r="F247" i="30"/>
  <c r="E247" i="30"/>
  <c r="D247" i="30"/>
  <c r="C247" i="30"/>
  <c r="B247" i="30"/>
  <c r="A247" i="30"/>
  <c r="G246" i="30"/>
  <c r="F246" i="30"/>
  <c r="E246" i="30"/>
  <c r="D246" i="30"/>
  <c r="C246" i="30"/>
  <c r="B246" i="30"/>
  <c r="A246" i="30"/>
  <c r="G245" i="30"/>
  <c r="F245" i="30"/>
  <c r="E245" i="30"/>
  <c r="D245" i="30"/>
  <c r="C245" i="30"/>
  <c r="B245" i="30"/>
  <c r="A245" i="30"/>
  <c r="G244" i="30"/>
  <c r="F244" i="30"/>
  <c r="E244" i="30"/>
  <c r="D244" i="30"/>
  <c r="C244" i="30"/>
  <c r="B244" i="30"/>
  <c r="A244" i="30"/>
  <c r="G243" i="30"/>
  <c r="F243" i="30"/>
  <c r="E243" i="30"/>
  <c r="D243" i="30"/>
  <c r="C243" i="30"/>
  <c r="B243" i="30"/>
  <c r="A243" i="30"/>
  <c r="G242" i="30"/>
  <c r="F242" i="30"/>
  <c r="E242" i="30"/>
  <c r="D242" i="30"/>
  <c r="C242" i="30"/>
  <c r="B242" i="30"/>
  <c r="A242" i="30"/>
  <c r="G241" i="30"/>
  <c r="F241" i="30"/>
  <c r="E241" i="30"/>
  <c r="D241" i="30"/>
  <c r="C241" i="30"/>
  <c r="B241" i="30"/>
  <c r="A241" i="30"/>
  <c r="G240" i="30"/>
  <c r="F240" i="30"/>
  <c r="E240" i="30"/>
  <c r="D240" i="30"/>
  <c r="C240" i="30"/>
  <c r="B240" i="30"/>
  <c r="A240" i="30"/>
  <c r="G239" i="30"/>
  <c r="F239" i="30"/>
  <c r="E239" i="30"/>
  <c r="D239" i="30"/>
  <c r="C239" i="30"/>
  <c r="B239" i="30"/>
  <c r="A239" i="30"/>
  <c r="G238" i="30"/>
  <c r="F238" i="30"/>
  <c r="E238" i="30"/>
  <c r="D238" i="30"/>
  <c r="C238" i="30"/>
  <c r="B238" i="30"/>
  <c r="A238" i="30"/>
  <c r="G237" i="30"/>
  <c r="F237" i="30"/>
  <c r="E237" i="30"/>
  <c r="D237" i="30"/>
  <c r="C237" i="30"/>
  <c r="B237" i="30"/>
  <c r="A237" i="30"/>
  <c r="G236" i="30"/>
  <c r="F236" i="30"/>
  <c r="E236" i="30"/>
  <c r="D236" i="30"/>
  <c r="C236" i="30"/>
  <c r="B236" i="30"/>
  <c r="A236" i="30"/>
  <c r="G235" i="30"/>
  <c r="F235" i="30"/>
  <c r="E235" i="30"/>
  <c r="D235" i="30"/>
  <c r="C235" i="30"/>
  <c r="B235" i="30"/>
  <c r="A235" i="30"/>
  <c r="G234" i="30"/>
  <c r="F234" i="30"/>
  <c r="E234" i="30"/>
  <c r="D234" i="30"/>
  <c r="C234" i="30"/>
  <c r="B234" i="30"/>
  <c r="A234" i="30"/>
  <c r="G233" i="30"/>
  <c r="F233" i="30"/>
  <c r="E233" i="30"/>
  <c r="D233" i="30"/>
  <c r="C233" i="30"/>
  <c r="B233" i="30"/>
  <c r="A233" i="30"/>
  <c r="G232" i="30"/>
  <c r="F232" i="30"/>
  <c r="E232" i="30"/>
  <c r="D232" i="30"/>
  <c r="C232" i="30"/>
  <c r="B232" i="30"/>
  <c r="A232" i="30"/>
  <c r="G231" i="30"/>
  <c r="F231" i="30"/>
  <c r="E231" i="30"/>
  <c r="D231" i="30"/>
  <c r="C231" i="30"/>
  <c r="B231" i="30"/>
  <c r="A231" i="30"/>
  <c r="G230" i="30"/>
  <c r="F230" i="30"/>
  <c r="E230" i="30"/>
  <c r="D230" i="30"/>
  <c r="C230" i="30"/>
  <c r="B230" i="30"/>
  <c r="A230" i="30"/>
  <c r="G229" i="30"/>
  <c r="F229" i="30"/>
  <c r="E229" i="30"/>
  <c r="D229" i="30"/>
  <c r="C229" i="30"/>
  <c r="B229" i="30"/>
  <c r="A229" i="30"/>
  <c r="G228" i="30"/>
  <c r="F228" i="30"/>
  <c r="E228" i="30"/>
  <c r="D228" i="30"/>
  <c r="C228" i="30"/>
  <c r="B228" i="30"/>
  <c r="A228" i="30"/>
  <c r="G227" i="30"/>
  <c r="F227" i="30"/>
  <c r="E227" i="30"/>
  <c r="D227" i="30"/>
  <c r="C227" i="30"/>
  <c r="B227" i="30"/>
  <c r="A227" i="30"/>
  <c r="G226" i="30"/>
  <c r="F226" i="30"/>
  <c r="E226" i="30"/>
  <c r="D226" i="30"/>
  <c r="C226" i="30"/>
  <c r="B226" i="30"/>
  <c r="A226" i="30"/>
  <c r="G225" i="30"/>
  <c r="F225" i="30"/>
  <c r="E225" i="30"/>
  <c r="D225" i="30"/>
  <c r="C225" i="30"/>
  <c r="B225" i="30"/>
  <c r="A225" i="30"/>
  <c r="G224" i="30"/>
  <c r="F224" i="30"/>
  <c r="E224" i="30"/>
  <c r="D224" i="30"/>
  <c r="C224" i="30"/>
  <c r="B224" i="30"/>
  <c r="A224" i="30"/>
  <c r="G223" i="30"/>
  <c r="F223" i="30"/>
  <c r="E223" i="30"/>
  <c r="D223" i="30"/>
  <c r="C223" i="30"/>
  <c r="B223" i="30"/>
  <c r="A223" i="30"/>
  <c r="G222" i="30"/>
  <c r="F222" i="30"/>
  <c r="E222" i="30"/>
  <c r="D222" i="30"/>
  <c r="C222" i="30"/>
  <c r="B222" i="30"/>
  <c r="A222" i="30"/>
  <c r="G221" i="30"/>
  <c r="F221" i="30"/>
  <c r="E221" i="30"/>
  <c r="D221" i="30"/>
  <c r="C221" i="30"/>
  <c r="B221" i="30"/>
  <c r="A221" i="30"/>
  <c r="G220" i="30"/>
  <c r="F220" i="30"/>
  <c r="E220" i="30"/>
  <c r="D220" i="30"/>
  <c r="C220" i="30"/>
  <c r="B220" i="30"/>
  <c r="A220" i="30"/>
  <c r="G219" i="30"/>
  <c r="F219" i="30"/>
  <c r="E219" i="30"/>
  <c r="D219" i="30"/>
  <c r="C219" i="30"/>
  <c r="B219" i="30"/>
  <c r="A219" i="30"/>
  <c r="G218" i="30"/>
  <c r="F218" i="30"/>
  <c r="E218" i="30"/>
  <c r="D218" i="30"/>
  <c r="C218" i="30"/>
  <c r="B218" i="30"/>
  <c r="A218" i="30"/>
  <c r="G217" i="30"/>
  <c r="F217" i="30"/>
  <c r="E217" i="30"/>
  <c r="D217" i="30"/>
  <c r="C217" i="30"/>
  <c r="B217" i="30"/>
  <c r="A217" i="30"/>
  <c r="G216" i="30"/>
  <c r="F216" i="30"/>
  <c r="E216" i="30"/>
  <c r="D216" i="30"/>
  <c r="C216" i="30"/>
  <c r="B216" i="30"/>
  <c r="A216" i="30"/>
  <c r="G215" i="30"/>
  <c r="F215" i="30"/>
  <c r="E215" i="30"/>
  <c r="D215" i="30"/>
  <c r="C215" i="30"/>
  <c r="B215" i="30"/>
  <c r="A215" i="30"/>
  <c r="G214" i="30"/>
  <c r="F214" i="30"/>
  <c r="E214" i="30"/>
  <c r="D214" i="30"/>
  <c r="C214" i="30"/>
  <c r="B214" i="30"/>
  <c r="A214" i="30"/>
  <c r="G213" i="30"/>
  <c r="F213" i="30"/>
  <c r="E213" i="30"/>
  <c r="D213" i="30"/>
  <c r="C213" i="30"/>
  <c r="B213" i="30"/>
  <c r="A213" i="30"/>
  <c r="G212" i="30"/>
  <c r="F212" i="30"/>
  <c r="E212" i="30"/>
  <c r="D212" i="30"/>
  <c r="C212" i="30"/>
  <c r="B212" i="30"/>
  <c r="A212" i="30"/>
  <c r="G211" i="30"/>
  <c r="F211" i="30"/>
  <c r="E211" i="30"/>
  <c r="D211" i="30"/>
  <c r="C211" i="30"/>
  <c r="B211" i="30"/>
  <c r="A211" i="30"/>
  <c r="G210" i="30"/>
  <c r="F210" i="30"/>
  <c r="E210" i="30"/>
  <c r="D210" i="30"/>
  <c r="C210" i="30"/>
  <c r="B210" i="30"/>
  <c r="A210" i="30"/>
  <c r="G209" i="30"/>
  <c r="F209" i="30"/>
  <c r="E209" i="30"/>
  <c r="D209" i="30"/>
  <c r="C209" i="30"/>
  <c r="B209" i="30"/>
  <c r="A209" i="30"/>
  <c r="G208" i="30"/>
  <c r="F208" i="30"/>
  <c r="E208" i="30"/>
  <c r="D208" i="30"/>
  <c r="C208" i="30"/>
  <c r="B208" i="30"/>
  <c r="A208" i="30"/>
  <c r="G207" i="30"/>
  <c r="F207" i="30"/>
  <c r="E207" i="30"/>
  <c r="D207" i="30"/>
  <c r="C207" i="30"/>
  <c r="B207" i="30"/>
  <c r="A207" i="30"/>
  <c r="G206" i="30"/>
  <c r="F206" i="30"/>
  <c r="E206" i="30"/>
  <c r="D206" i="30"/>
  <c r="C206" i="30"/>
  <c r="B206" i="30"/>
  <c r="A206" i="30"/>
  <c r="G205" i="30"/>
  <c r="F205" i="30"/>
  <c r="E205" i="30"/>
  <c r="D205" i="30"/>
  <c r="C205" i="30"/>
  <c r="B205" i="30"/>
  <c r="A205" i="30"/>
  <c r="G204" i="30"/>
  <c r="F204" i="30"/>
  <c r="E204" i="30"/>
  <c r="D204" i="30"/>
  <c r="C204" i="30"/>
  <c r="B204" i="30"/>
  <c r="A204" i="30"/>
  <c r="G203" i="30"/>
  <c r="F203" i="30"/>
  <c r="E203" i="30"/>
  <c r="D203" i="30"/>
  <c r="C203" i="30"/>
  <c r="B203" i="30"/>
  <c r="A203" i="30"/>
  <c r="G202" i="30"/>
  <c r="F202" i="30"/>
  <c r="E202" i="30"/>
  <c r="D202" i="30"/>
  <c r="C202" i="30"/>
  <c r="B202" i="30"/>
  <c r="A202" i="30"/>
  <c r="G201" i="30"/>
  <c r="F201" i="30"/>
  <c r="E201" i="30"/>
  <c r="D201" i="30"/>
  <c r="C201" i="30"/>
  <c r="B201" i="30"/>
  <c r="A201" i="30"/>
  <c r="G200" i="30"/>
  <c r="F200" i="30"/>
  <c r="E200" i="30"/>
  <c r="D200" i="30"/>
  <c r="C200" i="30"/>
  <c r="B200" i="30"/>
  <c r="A200" i="30"/>
  <c r="G199" i="30"/>
  <c r="F199" i="30"/>
  <c r="E199" i="30"/>
  <c r="D199" i="30"/>
  <c r="C199" i="30"/>
  <c r="B199" i="30"/>
  <c r="A199" i="30"/>
  <c r="G198" i="30"/>
  <c r="F198" i="30"/>
  <c r="E198" i="30"/>
  <c r="D198" i="30"/>
  <c r="C198" i="30"/>
  <c r="B198" i="30"/>
  <c r="A198" i="30"/>
  <c r="G197" i="30"/>
  <c r="F197" i="30"/>
  <c r="E197" i="30"/>
  <c r="D197" i="30"/>
  <c r="C197" i="30"/>
  <c r="B197" i="30"/>
  <c r="A197" i="30"/>
  <c r="G196" i="30"/>
  <c r="F196" i="30"/>
  <c r="E196" i="30"/>
  <c r="D196" i="30"/>
  <c r="C196" i="30"/>
  <c r="B196" i="30"/>
  <c r="A196" i="30"/>
  <c r="G195" i="30"/>
  <c r="F195" i="30"/>
  <c r="E195" i="30"/>
  <c r="D195" i="30"/>
  <c r="C195" i="30"/>
  <c r="B195" i="30"/>
  <c r="A195" i="30"/>
  <c r="G194" i="30"/>
  <c r="F194" i="30"/>
  <c r="E194" i="30"/>
  <c r="D194" i="30"/>
  <c r="C194" i="30"/>
  <c r="B194" i="30"/>
  <c r="A194" i="30"/>
  <c r="G193" i="30"/>
  <c r="F193" i="30"/>
  <c r="E193" i="30"/>
  <c r="D193" i="30"/>
  <c r="C193" i="30"/>
  <c r="B193" i="30"/>
  <c r="A193" i="30"/>
  <c r="G192" i="30"/>
  <c r="F192" i="30"/>
  <c r="E192" i="30"/>
  <c r="D192" i="30"/>
  <c r="C192" i="30"/>
  <c r="B192" i="30"/>
  <c r="A192" i="30"/>
  <c r="G191" i="30"/>
  <c r="F191" i="30"/>
  <c r="E191" i="30"/>
  <c r="D191" i="30"/>
  <c r="C191" i="30"/>
  <c r="B191" i="30"/>
  <c r="A191" i="30"/>
  <c r="G190" i="30"/>
  <c r="F190" i="30"/>
  <c r="E190" i="30"/>
  <c r="D190" i="30"/>
  <c r="C190" i="30"/>
  <c r="B190" i="30"/>
  <c r="A190" i="30"/>
  <c r="G189" i="30"/>
  <c r="F189" i="30"/>
  <c r="E189" i="30"/>
  <c r="D189" i="30"/>
  <c r="C189" i="30"/>
  <c r="B189" i="30"/>
  <c r="A189" i="30"/>
  <c r="G188" i="30"/>
  <c r="F188" i="30"/>
  <c r="E188" i="30"/>
  <c r="D188" i="30"/>
  <c r="C188" i="30"/>
  <c r="B188" i="30"/>
  <c r="A188" i="30"/>
  <c r="G187" i="30"/>
  <c r="F187" i="30"/>
  <c r="E187" i="30"/>
  <c r="D187" i="30"/>
  <c r="C187" i="30"/>
  <c r="B187" i="30"/>
  <c r="A187" i="30"/>
  <c r="G186" i="30"/>
  <c r="F186" i="30"/>
  <c r="E186" i="30"/>
  <c r="D186" i="30"/>
  <c r="C186" i="30"/>
  <c r="B186" i="30"/>
  <c r="A186" i="30"/>
  <c r="G185" i="30"/>
  <c r="F185" i="30"/>
  <c r="E185" i="30"/>
  <c r="D185" i="30"/>
  <c r="C185" i="30"/>
  <c r="B185" i="30"/>
  <c r="A185" i="30"/>
  <c r="G184" i="30"/>
  <c r="F184" i="30"/>
  <c r="E184" i="30"/>
  <c r="D184" i="30"/>
  <c r="C184" i="30"/>
  <c r="B184" i="30"/>
  <c r="A184" i="30"/>
  <c r="G183" i="30"/>
  <c r="F183" i="30"/>
  <c r="E183" i="30"/>
  <c r="D183" i="30"/>
  <c r="C183" i="30"/>
  <c r="B183" i="30"/>
  <c r="A183" i="30"/>
  <c r="G182" i="30"/>
  <c r="F182" i="30"/>
  <c r="E182" i="30"/>
  <c r="D182" i="30"/>
  <c r="C182" i="30"/>
  <c r="B182" i="30"/>
  <c r="A182" i="30"/>
  <c r="G181" i="30"/>
  <c r="F181" i="30"/>
  <c r="E181" i="30"/>
  <c r="D181" i="30"/>
  <c r="C181" i="30"/>
  <c r="B181" i="30"/>
  <c r="A181" i="30"/>
  <c r="G180" i="30"/>
  <c r="F180" i="30"/>
  <c r="E180" i="30"/>
  <c r="D180" i="30"/>
  <c r="C180" i="30"/>
  <c r="B180" i="30"/>
  <c r="A180" i="30"/>
  <c r="G179" i="30"/>
  <c r="F179" i="30"/>
  <c r="E179" i="30"/>
  <c r="D179" i="30"/>
  <c r="C179" i="30"/>
  <c r="B179" i="30"/>
  <c r="A179" i="30"/>
  <c r="G178" i="30"/>
  <c r="F178" i="30"/>
  <c r="E178" i="30"/>
  <c r="D178" i="30"/>
  <c r="C178" i="30"/>
  <c r="B178" i="30"/>
  <c r="A178" i="30"/>
  <c r="G177" i="30"/>
  <c r="F177" i="30"/>
  <c r="E177" i="30"/>
  <c r="D177" i="30"/>
  <c r="C177" i="30"/>
  <c r="B177" i="30"/>
  <c r="A177" i="30"/>
  <c r="G176" i="30"/>
  <c r="F176" i="30"/>
  <c r="E176" i="30"/>
  <c r="D176" i="30"/>
  <c r="C176" i="30"/>
  <c r="B176" i="30"/>
  <c r="A176" i="30"/>
  <c r="G175" i="30"/>
  <c r="F175" i="30"/>
  <c r="E175" i="30"/>
  <c r="D175" i="30"/>
  <c r="C175" i="30"/>
  <c r="B175" i="30"/>
  <c r="A175" i="30"/>
  <c r="G174" i="30"/>
  <c r="F174" i="30"/>
  <c r="E174" i="30"/>
  <c r="D174" i="30"/>
  <c r="C174" i="30"/>
  <c r="B174" i="30"/>
  <c r="A174" i="30"/>
  <c r="G173" i="30"/>
  <c r="F173" i="30"/>
  <c r="E173" i="30"/>
  <c r="D173" i="30"/>
  <c r="C173" i="30"/>
  <c r="B173" i="30"/>
  <c r="A173" i="30"/>
  <c r="G172" i="30"/>
  <c r="F172" i="30"/>
  <c r="E172" i="30"/>
  <c r="D172" i="30"/>
  <c r="C172" i="30"/>
  <c r="B172" i="30"/>
  <c r="A172" i="30"/>
  <c r="G171" i="30"/>
  <c r="F171" i="30"/>
  <c r="E171" i="30"/>
  <c r="D171" i="30"/>
  <c r="C171" i="30"/>
  <c r="B171" i="30"/>
  <c r="A171" i="30"/>
  <c r="G170" i="30"/>
  <c r="F170" i="30"/>
  <c r="E170" i="30"/>
  <c r="D170" i="30"/>
  <c r="C170" i="30"/>
  <c r="B170" i="30"/>
  <c r="A170" i="30"/>
  <c r="G169" i="30"/>
  <c r="F169" i="30"/>
  <c r="E169" i="30"/>
  <c r="D169" i="30"/>
  <c r="C169" i="30"/>
  <c r="B169" i="30"/>
  <c r="A169" i="30"/>
  <c r="G168" i="30"/>
  <c r="F168" i="30"/>
  <c r="E168" i="30"/>
  <c r="D168" i="30"/>
  <c r="C168" i="30"/>
  <c r="B168" i="30"/>
  <c r="A168" i="30"/>
  <c r="G167" i="30"/>
  <c r="F167" i="30"/>
  <c r="E167" i="30"/>
  <c r="D167" i="30"/>
  <c r="C167" i="30"/>
  <c r="B167" i="30"/>
  <c r="A167" i="30"/>
  <c r="G166" i="30"/>
  <c r="F166" i="30"/>
  <c r="E166" i="30"/>
  <c r="D166" i="30"/>
  <c r="C166" i="30"/>
  <c r="B166" i="30"/>
  <c r="A166" i="30"/>
  <c r="G165" i="30"/>
  <c r="F165" i="30"/>
  <c r="E165" i="30"/>
  <c r="D165" i="30"/>
  <c r="C165" i="30"/>
  <c r="B165" i="30"/>
  <c r="A165" i="30"/>
  <c r="G164" i="30"/>
  <c r="F164" i="30"/>
  <c r="E164" i="30"/>
  <c r="D164" i="30"/>
  <c r="C164" i="30"/>
  <c r="B164" i="30"/>
  <c r="A164" i="30"/>
  <c r="G163" i="30"/>
  <c r="F163" i="30"/>
  <c r="E163" i="30"/>
  <c r="D163" i="30"/>
  <c r="C163" i="30"/>
  <c r="B163" i="30"/>
  <c r="A163" i="30"/>
  <c r="G162" i="30"/>
  <c r="F162" i="30"/>
  <c r="E162" i="30"/>
  <c r="D162" i="30"/>
  <c r="C162" i="30"/>
  <c r="B162" i="30"/>
  <c r="A162" i="30"/>
  <c r="G161" i="30"/>
  <c r="F161" i="30"/>
  <c r="E161" i="30"/>
  <c r="D161" i="30"/>
  <c r="C161" i="30"/>
  <c r="B161" i="30"/>
  <c r="A161" i="30"/>
  <c r="G160" i="30"/>
  <c r="F160" i="30"/>
  <c r="E160" i="30"/>
  <c r="D160" i="30"/>
  <c r="C160" i="30"/>
  <c r="B160" i="30"/>
  <c r="A160" i="30"/>
  <c r="G159" i="30"/>
  <c r="F159" i="30"/>
  <c r="E159" i="30"/>
  <c r="D159" i="30"/>
  <c r="C159" i="30"/>
  <c r="B159" i="30"/>
  <c r="A159" i="30"/>
  <c r="G158" i="30"/>
  <c r="F158" i="30"/>
  <c r="E158" i="30"/>
  <c r="D158" i="30"/>
  <c r="C158" i="30"/>
  <c r="B158" i="30"/>
  <c r="A158" i="30"/>
  <c r="G157" i="30"/>
  <c r="F157" i="30"/>
  <c r="E157" i="30"/>
  <c r="D157" i="30"/>
  <c r="C157" i="30"/>
  <c r="B157" i="30"/>
  <c r="A157" i="30"/>
  <c r="G156" i="30"/>
  <c r="F156" i="30"/>
  <c r="E156" i="30"/>
  <c r="D156" i="30"/>
  <c r="C156" i="30"/>
  <c r="B156" i="30"/>
  <c r="A156" i="30"/>
  <c r="G155" i="30"/>
  <c r="F155" i="30"/>
  <c r="E155" i="30"/>
  <c r="D155" i="30"/>
  <c r="C155" i="30"/>
  <c r="B155" i="30"/>
  <c r="A155" i="30"/>
  <c r="G154" i="30"/>
  <c r="F154" i="30"/>
  <c r="E154" i="30"/>
  <c r="D154" i="30"/>
  <c r="C154" i="30"/>
  <c r="B154" i="30"/>
  <c r="A154" i="30"/>
  <c r="G153" i="30"/>
  <c r="F153" i="30"/>
  <c r="E153" i="30"/>
  <c r="D153" i="30"/>
  <c r="C153" i="30"/>
  <c r="B153" i="30"/>
  <c r="A153" i="30"/>
  <c r="G152" i="30"/>
  <c r="F152" i="30"/>
  <c r="E152" i="30"/>
  <c r="D152" i="30"/>
  <c r="C152" i="30"/>
  <c r="B152" i="30"/>
  <c r="A152" i="30"/>
  <c r="G151" i="30"/>
  <c r="F151" i="30"/>
  <c r="E151" i="30"/>
  <c r="D151" i="30"/>
  <c r="C151" i="30"/>
  <c r="B151" i="30"/>
  <c r="A151" i="30"/>
  <c r="G150" i="30"/>
  <c r="F150" i="30"/>
  <c r="E150" i="30"/>
  <c r="D150" i="30"/>
  <c r="C150" i="30"/>
  <c r="B150" i="30"/>
  <c r="A150" i="30"/>
  <c r="G149" i="30"/>
  <c r="F149" i="30"/>
  <c r="E149" i="30"/>
  <c r="D149" i="30"/>
  <c r="C149" i="30"/>
  <c r="B149" i="30"/>
  <c r="A149" i="30"/>
  <c r="G148" i="30"/>
  <c r="F148" i="30"/>
  <c r="E148" i="30"/>
  <c r="D148" i="30"/>
  <c r="C148" i="30"/>
  <c r="B148" i="30"/>
  <c r="A148" i="30"/>
  <c r="G147" i="30"/>
  <c r="F147" i="30"/>
  <c r="E147" i="30"/>
  <c r="D147" i="30"/>
  <c r="C147" i="30"/>
  <c r="B147" i="30"/>
  <c r="A147" i="30"/>
  <c r="G146" i="30"/>
  <c r="F146" i="30"/>
  <c r="E146" i="30"/>
  <c r="D146" i="30"/>
  <c r="C146" i="30"/>
  <c r="B146" i="30"/>
  <c r="A146" i="30"/>
  <c r="G145" i="30"/>
  <c r="F145" i="30"/>
  <c r="E145" i="30"/>
  <c r="D145" i="30"/>
  <c r="C145" i="30"/>
  <c r="B145" i="30"/>
  <c r="A145" i="30"/>
  <c r="G144" i="30"/>
  <c r="F144" i="30"/>
  <c r="E144" i="30"/>
  <c r="D144" i="30"/>
  <c r="C144" i="30"/>
  <c r="B144" i="30"/>
  <c r="A144" i="30"/>
  <c r="G143" i="30"/>
  <c r="F143" i="30"/>
  <c r="E143" i="30"/>
  <c r="D143" i="30"/>
  <c r="C143" i="30"/>
  <c r="B143" i="30"/>
  <c r="A143" i="30"/>
  <c r="G142" i="30"/>
  <c r="F142" i="30"/>
  <c r="E142" i="30"/>
  <c r="D142" i="30"/>
  <c r="C142" i="30"/>
  <c r="B142" i="30"/>
  <c r="A142" i="30"/>
  <c r="G141" i="30"/>
  <c r="F141" i="30"/>
  <c r="E141" i="30"/>
  <c r="D141" i="30"/>
  <c r="C141" i="30"/>
  <c r="B141" i="30"/>
  <c r="A141" i="30"/>
  <c r="G140" i="30"/>
  <c r="F140" i="30"/>
  <c r="E140" i="30"/>
  <c r="D140" i="30"/>
  <c r="C140" i="30"/>
  <c r="B140" i="30"/>
  <c r="A140" i="30"/>
  <c r="G139" i="30"/>
  <c r="F139" i="30"/>
  <c r="E139" i="30"/>
  <c r="D139" i="30"/>
  <c r="C139" i="30"/>
  <c r="B139" i="30"/>
  <c r="A139" i="30"/>
  <c r="G138" i="30"/>
  <c r="F138" i="30"/>
  <c r="E138" i="30"/>
  <c r="D138" i="30"/>
  <c r="C138" i="30"/>
  <c r="B138" i="30"/>
  <c r="A138" i="30"/>
  <c r="G137" i="30"/>
  <c r="F137" i="30"/>
  <c r="E137" i="30"/>
  <c r="D137" i="30"/>
  <c r="C137" i="30"/>
  <c r="B137" i="30"/>
  <c r="A137" i="30"/>
  <c r="G136" i="30"/>
  <c r="F136" i="30"/>
  <c r="E136" i="30"/>
  <c r="D136" i="30"/>
  <c r="C136" i="30"/>
  <c r="B136" i="30"/>
  <c r="A136" i="30"/>
  <c r="G135" i="30"/>
  <c r="F135" i="30"/>
  <c r="E135" i="30"/>
  <c r="D135" i="30"/>
  <c r="C135" i="30"/>
  <c r="B135" i="30"/>
  <c r="A135" i="30"/>
  <c r="G134" i="30"/>
  <c r="F134" i="30"/>
  <c r="E134" i="30"/>
  <c r="D134" i="30"/>
  <c r="C134" i="30"/>
  <c r="B134" i="30"/>
  <c r="A134" i="30"/>
  <c r="G133" i="30"/>
  <c r="F133" i="30"/>
  <c r="E133" i="30"/>
  <c r="D133" i="30"/>
  <c r="C133" i="30"/>
  <c r="B133" i="30"/>
  <c r="A133" i="30"/>
  <c r="G132" i="30"/>
  <c r="F132" i="30"/>
  <c r="E132" i="30"/>
  <c r="D132" i="30"/>
  <c r="C132" i="30"/>
  <c r="B132" i="30"/>
  <c r="A132" i="30"/>
  <c r="G131" i="30"/>
  <c r="F131" i="30"/>
  <c r="E131" i="30"/>
  <c r="D131" i="30"/>
  <c r="C131" i="30"/>
  <c r="B131" i="30"/>
  <c r="A131" i="30"/>
  <c r="G130" i="30"/>
  <c r="F130" i="30"/>
  <c r="E130" i="30"/>
  <c r="D130" i="30"/>
  <c r="C130" i="30"/>
  <c r="B130" i="30"/>
  <c r="A130" i="30"/>
  <c r="G129" i="30"/>
  <c r="F129" i="30"/>
  <c r="E129" i="30"/>
  <c r="D129" i="30"/>
  <c r="C129" i="30"/>
  <c r="B129" i="30"/>
  <c r="A129" i="30"/>
  <c r="G128" i="30"/>
  <c r="F128" i="30"/>
  <c r="E128" i="30"/>
  <c r="D128" i="30"/>
  <c r="C128" i="30"/>
  <c r="B128" i="30"/>
  <c r="A128" i="30"/>
  <c r="G127" i="30"/>
  <c r="F127" i="30"/>
  <c r="E127" i="30"/>
  <c r="D127" i="30"/>
  <c r="C127" i="30"/>
  <c r="B127" i="30"/>
  <c r="A127" i="30"/>
  <c r="G126" i="30"/>
  <c r="F126" i="30"/>
  <c r="E126" i="30"/>
  <c r="D126" i="30"/>
  <c r="C126" i="30"/>
  <c r="B126" i="30"/>
  <c r="A126" i="30"/>
  <c r="G125" i="30"/>
  <c r="F125" i="30"/>
  <c r="E125" i="30"/>
  <c r="D125" i="30"/>
  <c r="C125" i="30"/>
  <c r="B125" i="30"/>
  <c r="A125" i="30"/>
  <c r="G124" i="30"/>
  <c r="F124" i="30"/>
  <c r="E124" i="30"/>
  <c r="D124" i="30"/>
  <c r="C124" i="30"/>
  <c r="B124" i="30"/>
  <c r="A124" i="30"/>
  <c r="G123" i="30"/>
  <c r="F123" i="30"/>
  <c r="E123" i="30"/>
  <c r="D123" i="30"/>
  <c r="C123" i="30"/>
  <c r="B123" i="30"/>
  <c r="A123" i="30"/>
  <c r="G122" i="30"/>
  <c r="F122" i="30"/>
  <c r="E122" i="30"/>
  <c r="D122" i="30"/>
  <c r="C122" i="30"/>
  <c r="B122" i="30"/>
  <c r="A122" i="30"/>
  <c r="G121" i="30"/>
  <c r="F121" i="30"/>
  <c r="E121" i="30"/>
  <c r="D121" i="30"/>
  <c r="C121" i="30"/>
  <c r="B121" i="30"/>
  <c r="A121" i="30"/>
  <c r="G120" i="30"/>
  <c r="F120" i="30"/>
  <c r="E120" i="30"/>
  <c r="D120" i="30"/>
  <c r="C120" i="30"/>
  <c r="B120" i="30"/>
  <c r="A120" i="30"/>
  <c r="G119" i="30"/>
  <c r="F119" i="30"/>
  <c r="E119" i="30"/>
  <c r="D119" i="30"/>
  <c r="C119" i="30"/>
  <c r="B119" i="30"/>
  <c r="A119" i="30"/>
  <c r="G118" i="30"/>
  <c r="F118" i="30"/>
  <c r="E118" i="30"/>
  <c r="D118" i="30"/>
  <c r="C118" i="30"/>
  <c r="B118" i="30"/>
  <c r="A118" i="30"/>
  <c r="G117" i="30"/>
  <c r="F117" i="30"/>
  <c r="E117" i="30"/>
  <c r="D117" i="30"/>
  <c r="C117" i="30"/>
  <c r="B117" i="30"/>
  <c r="A117" i="30"/>
  <c r="G116" i="30"/>
  <c r="F116" i="30"/>
  <c r="E116" i="30"/>
  <c r="D116" i="30"/>
  <c r="C116" i="30"/>
  <c r="B116" i="30"/>
  <c r="A116" i="30"/>
  <c r="G115" i="30"/>
  <c r="F115" i="30"/>
  <c r="E115" i="30"/>
  <c r="D115" i="30"/>
  <c r="C115" i="30"/>
  <c r="B115" i="30"/>
  <c r="A115" i="30"/>
  <c r="G114" i="30"/>
  <c r="F114" i="30"/>
  <c r="E114" i="30"/>
  <c r="D114" i="30"/>
  <c r="C114" i="30"/>
  <c r="B114" i="30"/>
  <c r="A114" i="30"/>
  <c r="G113" i="30"/>
  <c r="F113" i="30"/>
  <c r="E113" i="30"/>
  <c r="D113" i="30"/>
  <c r="C113" i="30"/>
  <c r="B113" i="30"/>
  <c r="A113" i="30"/>
  <c r="G112" i="30"/>
  <c r="F112" i="30"/>
  <c r="E112" i="30"/>
  <c r="D112" i="30"/>
  <c r="C112" i="30"/>
  <c r="B112" i="30"/>
  <c r="A112" i="30"/>
  <c r="G111" i="30"/>
  <c r="F111" i="30"/>
  <c r="E111" i="30"/>
  <c r="D111" i="30"/>
  <c r="C111" i="30"/>
  <c r="B111" i="30"/>
  <c r="A111" i="30"/>
  <c r="G110" i="30"/>
  <c r="F110" i="30"/>
  <c r="E110" i="30"/>
  <c r="D110" i="30"/>
  <c r="C110" i="30"/>
  <c r="B110" i="30"/>
  <c r="A110" i="30"/>
  <c r="G109" i="30"/>
  <c r="F109" i="30"/>
  <c r="E109" i="30"/>
  <c r="D109" i="30"/>
  <c r="C109" i="30"/>
  <c r="B109" i="30"/>
  <c r="A109" i="30"/>
  <c r="G108" i="30"/>
  <c r="F108" i="30"/>
  <c r="E108" i="30"/>
  <c r="D108" i="30"/>
  <c r="C108" i="30"/>
  <c r="B108" i="30"/>
  <c r="A108" i="30"/>
  <c r="G107" i="30"/>
  <c r="F107" i="30"/>
  <c r="E107" i="30"/>
  <c r="D107" i="30"/>
  <c r="C107" i="30"/>
  <c r="B107" i="30"/>
  <c r="A107" i="30"/>
  <c r="G106" i="30"/>
  <c r="F106" i="30"/>
  <c r="E106" i="30"/>
  <c r="D106" i="30"/>
  <c r="C106" i="30"/>
  <c r="B106" i="30"/>
  <c r="A106" i="30"/>
  <c r="G105" i="30"/>
  <c r="F105" i="30"/>
  <c r="E105" i="30"/>
  <c r="D105" i="30"/>
  <c r="C105" i="30"/>
  <c r="B105" i="30"/>
  <c r="A105" i="30"/>
  <c r="G104" i="30"/>
  <c r="F104" i="30"/>
  <c r="E104" i="30"/>
  <c r="D104" i="30"/>
  <c r="C104" i="30"/>
  <c r="B104" i="30"/>
  <c r="A104" i="30"/>
  <c r="G103" i="30"/>
  <c r="F103" i="30"/>
  <c r="E103" i="30"/>
  <c r="D103" i="30"/>
  <c r="C103" i="30"/>
  <c r="B103" i="30"/>
  <c r="A103" i="30"/>
  <c r="G102" i="30"/>
  <c r="F102" i="30"/>
  <c r="E102" i="30"/>
  <c r="D102" i="30"/>
  <c r="C102" i="30"/>
  <c r="B102" i="30"/>
  <c r="A102" i="30"/>
  <c r="G101" i="30"/>
  <c r="F101" i="30"/>
  <c r="E101" i="30"/>
  <c r="D101" i="30"/>
  <c r="C101" i="30"/>
  <c r="B101" i="30"/>
  <c r="A101" i="30"/>
  <c r="G100" i="30"/>
  <c r="F100" i="30"/>
  <c r="E100" i="30"/>
  <c r="D100" i="30"/>
  <c r="C100" i="30"/>
  <c r="B100" i="30"/>
  <c r="A100" i="30"/>
  <c r="G99" i="30"/>
  <c r="F99" i="30"/>
  <c r="E99" i="30"/>
  <c r="D99" i="30"/>
  <c r="C99" i="30"/>
  <c r="B99" i="30"/>
  <c r="A99" i="30"/>
  <c r="G98" i="30"/>
  <c r="F98" i="30"/>
  <c r="E98" i="30"/>
  <c r="D98" i="30"/>
  <c r="C98" i="30"/>
  <c r="B98" i="30"/>
  <c r="A98" i="30"/>
  <c r="G97" i="30"/>
  <c r="F97" i="30"/>
  <c r="E97" i="30"/>
  <c r="D97" i="30"/>
  <c r="C97" i="30"/>
  <c r="B97" i="30"/>
  <c r="A97" i="30"/>
  <c r="G96" i="30"/>
  <c r="F96" i="30"/>
  <c r="E96" i="30"/>
  <c r="D96" i="30"/>
  <c r="C96" i="30"/>
  <c r="B96" i="30"/>
  <c r="A96" i="30"/>
  <c r="G95" i="30"/>
  <c r="F95" i="30"/>
  <c r="E95" i="30"/>
  <c r="D95" i="30"/>
  <c r="C95" i="30"/>
  <c r="B95" i="30"/>
  <c r="A95" i="30"/>
  <c r="G94" i="30"/>
  <c r="F94" i="30"/>
  <c r="E94" i="30"/>
  <c r="D94" i="30"/>
  <c r="C94" i="30"/>
  <c r="B94" i="30"/>
  <c r="A94" i="30"/>
  <c r="G93" i="30"/>
  <c r="F93" i="30"/>
  <c r="E93" i="30"/>
  <c r="D93" i="30"/>
  <c r="C93" i="30"/>
  <c r="B93" i="30"/>
  <c r="A93" i="30"/>
  <c r="G92" i="30"/>
  <c r="F92" i="30"/>
  <c r="E92" i="30"/>
  <c r="D92" i="30"/>
  <c r="C92" i="30"/>
  <c r="B92" i="30"/>
  <c r="A92" i="30"/>
  <c r="G91" i="30"/>
  <c r="F91" i="30"/>
  <c r="E91" i="30"/>
  <c r="D91" i="30"/>
  <c r="C91" i="30"/>
  <c r="B91" i="30"/>
  <c r="A91" i="30"/>
  <c r="G90" i="30"/>
  <c r="F90" i="30"/>
  <c r="E90" i="30"/>
  <c r="D90" i="30"/>
  <c r="C90" i="30"/>
  <c r="B90" i="30"/>
  <c r="A90" i="30"/>
  <c r="G89" i="30"/>
  <c r="F89" i="30"/>
  <c r="E89" i="30"/>
  <c r="D89" i="30"/>
  <c r="C89" i="30"/>
  <c r="B89" i="30"/>
  <c r="A89" i="30"/>
  <c r="G88" i="30"/>
  <c r="F88" i="30"/>
  <c r="E88" i="30"/>
  <c r="D88" i="30"/>
  <c r="C88" i="30"/>
  <c r="B88" i="30"/>
  <c r="A88" i="30"/>
  <c r="G87" i="30"/>
  <c r="F87" i="30"/>
  <c r="E87" i="30"/>
  <c r="D87" i="30"/>
  <c r="C87" i="30"/>
  <c r="B87" i="30"/>
  <c r="A87" i="30"/>
  <c r="G86" i="30"/>
  <c r="F86" i="30"/>
  <c r="E86" i="30"/>
  <c r="D86" i="30"/>
  <c r="C86" i="30"/>
  <c r="B86" i="30"/>
  <c r="A86" i="30"/>
  <c r="G85" i="30"/>
  <c r="F85" i="30"/>
  <c r="E85" i="30"/>
  <c r="D85" i="30"/>
  <c r="C85" i="30"/>
  <c r="B85" i="30"/>
  <c r="A85" i="30"/>
  <c r="G84" i="30"/>
  <c r="F84" i="30"/>
  <c r="E84" i="30"/>
  <c r="D84" i="30"/>
  <c r="C84" i="30"/>
  <c r="B84" i="30"/>
  <c r="A84" i="30"/>
  <c r="G83" i="30"/>
  <c r="F83" i="30"/>
  <c r="E83" i="30"/>
  <c r="D83" i="30"/>
  <c r="C83" i="30"/>
  <c r="B83" i="30"/>
  <c r="A83" i="30"/>
  <c r="G82" i="30"/>
  <c r="F82" i="30"/>
  <c r="E82" i="30"/>
  <c r="D82" i="30"/>
  <c r="C82" i="30"/>
  <c r="B82" i="30"/>
  <c r="A82" i="30"/>
  <c r="G81" i="30"/>
  <c r="F81" i="30"/>
  <c r="E81" i="30"/>
  <c r="D81" i="30"/>
  <c r="C81" i="30"/>
  <c r="B81" i="30"/>
  <c r="A81" i="30"/>
  <c r="G80" i="30"/>
  <c r="F80" i="30"/>
  <c r="E80" i="30"/>
  <c r="D80" i="30"/>
  <c r="C80" i="30"/>
  <c r="B80" i="30"/>
  <c r="A80" i="30"/>
  <c r="G79" i="30"/>
  <c r="F79" i="30"/>
  <c r="E79" i="30"/>
  <c r="D79" i="30"/>
  <c r="C79" i="30"/>
  <c r="B79" i="30"/>
  <c r="A79" i="30"/>
  <c r="G78" i="30"/>
  <c r="F78" i="30"/>
  <c r="E78" i="30"/>
  <c r="D78" i="30"/>
  <c r="C78" i="30"/>
  <c r="B78" i="30"/>
  <c r="A78" i="30"/>
  <c r="G77" i="30"/>
  <c r="F77" i="30"/>
  <c r="E77" i="30"/>
  <c r="D77" i="30"/>
  <c r="C77" i="30"/>
  <c r="B77" i="30"/>
  <c r="A77" i="30"/>
  <c r="G76" i="30"/>
  <c r="F76" i="30"/>
  <c r="E76" i="30"/>
  <c r="D76" i="30"/>
  <c r="C76" i="30"/>
  <c r="B76" i="30"/>
  <c r="A76" i="30"/>
  <c r="G75" i="30"/>
  <c r="F75" i="30"/>
  <c r="E75" i="30"/>
  <c r="D75" i="30"/>
  <c r="C75" i="30"/>
  <c r="B75" i="30"/>
  <c r="A75" i="30"/>
  <c r="G74" i="30"/>
  <c r="F74" i="30"/>
  <c r="E74" i="30"/>
  <c r="D74" i="30"/>
  <c r="C74" i="30"/>
  <c r="B74" i="30"/>
  <c r="A74" i="30"/>
  <c r="G73" i="30"/>
  <c r="F73" i="30"/>
  <c r="E73" i="30"/>
  <c r="D73" i="30"/>
  <c r="C73" i="30"/>
  <c r="B73" i="30"/>
  <c r="A73" i="30"/>
  <c r="G72" i="30"/>
  <c r="F72" i="30"/>
  <c r="E72" i="30"/>
  <c r="D72" i="30"/>
  <c r="C72" i="30"/>
  <c r="B72" i="30"/>
  <c r="A72" i="30"/>
  <c r="G71" i="30"/>
  <c r="F71" i="30"/>
  <c r="E71" i="30"/>
  <c r="D71" i="30"/>
  <c r="C71" i="30"/>
  <c r="B71" i="30"/>
  <c r="A71" i="30"/>
  <c r="G70" i="30"/>
  <c r="F70" i="30"/>
  <c r="E70" i="30"/>
  <c r="D70" i="30"/>
  <c r="C70" i="30"/>
  <c r="B70" i="30"/>
  <c r="A70" i="30"/>
  <c r="G69" i="30"/>
  <c r="F69" i="30"/>
  <c r="E69" i="30"/>
  <c r="D69" i="30"/>
  <c r="C69" i="30"/>
  <c r="B69" i="30"/>
  <c r="A69" i="30"/>
  <c r="G68" i="30"/>
  <c r="F68" i="30"/>
  <c r="E68" i="30"/>
  <c r="D68" i="30"/>
  <c r="C68" i="30"/>
  <c r="B68" i="30"/>
  <c r="A68" i="30"/>
  <c r="G67" i="30"/>
  <c r="F67" i="30"/>
  <c r="E67" i="30"/>
  <c r="D67" i="30"/>
  <c r="C67" i="30"/>
  <c r="B67" i="30"/>
  <c r="A67" i="30"/>
  <c r="G66" i="30"/>
  <c r="F66" i="30"/>
  <c r="E66" i="30"/>
  <c r="D66" i="30"/>
  <c r="C66" i="30"/>
  <c r="B66" i="30"/>
  <c r="A66" i="30"/>
  <c r="G65" i="30"/>
  <c r="F65" i="30"/>
  <c r="E65" i="30"/>
  <c r="D65" i="30"/>
  <c r="C65" i="30"/>
  <c r="B65" i="30"/>
  <c r="A65" i="30"/>
  <c r="G64" i="30"/>
  <c r="F64" i="30"/>
  <c r="E64" i="30"/>
  <c r="D64" i="30"/>
  <c r="C64" i="30"/>
  <c r="B64" i="30"/>
  <c r="A64" i="30"/>
  <c r="G63" i="30"/>
  <c r="F63" i="30"/>
  <c r="E63" i="30"/>
  <c r="D63" i="30"/>
  <c r="C63" i="30"/>
  <c r="B63" i="30"/>
  <c r="A63" i="30"/>
  <c r="G62" i="30"/>
  <c r="F62" i="30"/>
  <c r="E62" i="30"/>
  <c r="D62" i="30"/>
  <c r="C62" i="30"/>
  <c r="B62" i="30"/>
  <c r="A62" i="30"/>
  <c r="G61" i="30"/>
  <c r="F61" i="30"/>
  <c r="E61" i="30"/>
  <c r="D61" i="30"/>
  <c r="C61" i="30"/>
  <c r="B61" i="30"/>
  <c r="A61" i="30"/>
  <c r="G60" i="30"/>
  <c r="F60" i="30"/>
  <c r="E60" i="30"/>
  <c r="D60" i="30"/>
  <c r="C60" i="30"/>
  <c r="B60" i="30"/>
  <c r="A60" i="30"/>
  <c r="G59" i="30"/>
  <c r="F59" i="30"/>
  <c r="E59" i="30"/>
  <c r="D59" i="30"/>
  <c r="C59" i="30"/>
  <c r="B59" i="30"/>
  <c r="A59" i="30"/>
  <c r="G58" i="30"/>
  <c r="F58" i="30"/>
  <c r="E58" i="30"/>
  <c r="D58" i="30"/>
  <c r="C58" i="30"/>
  <c r="B58" i="30"/>
  <c r="A58" i="30"/>
  <c r="G57" i="30"/>
  <c r="F57" i="30"/>
  <c r="E57" i="30"/>
  <c r="D57" i="30"/>
  <c r="C57" i="30"/>
  <c r="B57" i="30"/>
  <c r="A57" i="30"/>
  <c r="G56" i="30"/>
  <c r="F56" i="30"/>
  <c r="E56" i="30"/>
  <c r="D56" i="30"/>
  <c r="C56" i="30"/>
  <c r="B56" i="30"/>
  <c r="A56" i="30"/>
  <c r="G55" i="30"/>
  <c r="F55" i="30"/>
  <c r="E55" i="30"/>
  <c r="D55" i="30"/>
  <c r="C55" i="30"/>
  <c r="B55" i="30"/>
  <c r="A55" i="30"/>
  <c r="G54" i="30"/>
  <c r="F54" i="30"/>
  <c r="E54" i="30"/>
  <c r="D54" i="30"/>
  <c r="C54" i="30"/>
  <c r="B54" i="30"/>
  <c r="A54" i="30"/>
  <c r="G53" i="30"/>
  <c r="F53" i="30"/>
  <c r="E53" i="30"/>
  <c r="D53" i="30"/>
  <c r="C53" i="30"/>
  <c r="B53" i="30"/>
  <c r="A53" i="30"/>
  <c r="G52" i="30"/>
  <c r="F52" i="30"/>
  <c r="E52" i="30"/>
  <c r="D52" i="30"/>
  <c r="C52" i="30"/>
  <c r="B52" i="30"/>
  <c r="A52" i="30"/>
  <c r="G51" i="30"/>
  <c r="F51" i="30"/>
  <c r="E51" i="30"/>
  <c r="D51" i="30"/>
  <c r="C51" i="30"/>
  <c r="B51" i="30"/>
  <c r="A51" i="30"/>
  <c r="G50" i="30"/>
  <c r="F50" i="30"/>
  <c r="E50" i="30"/>
  <c r="D50" i="30"/>
  <c r="C50" i="30"/>
  <c r="B50" i="30"/>
  <c r="A50" i="30"/>
  <c r="G49" i="30"/>
  <c r="F49" i="30"/>
  <c r="E49" i="30"/>
  <c r="D49" i="30"/>
  <c r="C49" i="30"/>
  <c r="B49" i="30"/>
  <c r="A49" i="30"/>
  <c r="G48" i="30"/>
  <c r="F48" i="30"/>
  <c r="E48" i="30"/>
  <c r="D48" i="30"/>
  <c r="C48" i="30"/>
  <c r="B48" i="30"/>
  <c r="A48" i="30"/>
  <c r="G47" i="30"/>
  <c r="F47" i="30"/>
  <c r="E47" i="30"/>
  <c r="D47" i="30"/>
  <c r="C47" i="30"/>
  <c r="B47" i="30"/>
  <c r="A47" i="30"/>
  <c r="G46" i="30"/>
  <c r="F46" i="30"/>
  <c r="E46" i="30"/>
  <c r="D46" i="30"/>
  <c r="C46" i="30"/>
  <c r="B46" i="30"/>
  <c r="A46" i="30"/>
  <c r="G45" i="30"/>
  <c r="F45" i="30"/>
  <c r="E45" i="30"/>
  <c r="D45" i="30"/>
  <c r="C45" i="30"/>
  <c r="B45" i="30"/>
  <c r="A45" i="30"/>
  <c r="G44" i="30"/>
  <c r="F44" i="30"/>
  <c r="E44" i="30"/>
  <c r="D44" i="30"/>
  <c r="C44" i="30"/>
  <c r="B44" i="30"/>
  <c r="A44" i="30"/>
  <c r="G43" i="30"/>
  <c r="F43" i="30"/>
  <c r="E43" i="30"/>
  <c r="D43" i="30"/>
  <c r="C43" i="30"/>
  <c r="B43" i="30"/>
  <c r="A43" i="30"/>
  <c r="G42" i="30"/>
  <c r="F42" i="30"/>
  <c r="E42" i="30"/>
  <c r="D42" i="30"/>
  <c r="C42" i="30"/>
  <c r="B42" i="30"/>
  <c r="A42" i="30"/>
  <c r="G41" i="30"/>
  <c r="F41" i="30"/>
  <c r="E41" i="30"/>
  <c r="D41" i="30"/>
  <c r="C41" i="30"/>
  <c r="B41" i="30"/>
  <c r="A41" i="30"/>
  <c r="G40" i="30"/>
  <c r="F40" i="30"/>
  <c r="E40" i="30"/>
  <c r="D40" i="30"/>
  <c r="C40" i="30"/>
  <c r="B40" i="30"/>
  <c r="A40" i="30"/>
  <c r="G39" i="30"/>
  <c r="F39" i="30"/>
  <c r="E39" i="30"/>
  <c r="D39" i="30"/>
  <c r="C39" i="30"/>
  <c r="B39" i="30"/>
  <c r="A39" i="30"/>
  <c r="G38" i="30"/>
  <c r="F38" i="30"/>
  <c r="E38" i="30"/>
  <c r="D38" i="30"/>
  <c r="C38" i="30"/>
  <c r="B38" i="30"/>
  <c r="A38" i="30"/>
  <c r="G37" i="30"/>
  <c r="F37" i="30"/>
  <c r="E37" i="30"/>
  <c r="D37" i="30"/>
  <c r="C37" i="30"/>
  <c r="B37" i="30"/>
  <c r="A37" i="30"/>
  <c r="G36" i="30"/>
  <c r="F36" i="30"/>
  <c r="E36" i="30"/>
  <c r="D36" i="30"/>
  <c r="C36" i="30"/>
  <c r="B36" i="30"/>
  <c r="A36" i="30"/>
  <c r="G35" i="30"/>
  <c r="F35" i="30"/>
  <c r="E35" i="30"/>
  <c r="D35" i="30"/>
  <c r="C35" i="30"/>
  <c r="B35" i="30"/>
  <c r="A35" i="30"/>
  <c r="G34" i="30"/>
  <c r="F34" i="30"/>
  <c r="E34" i="30"/>
  <c r="D34" i="30"/>
  <c r="C34" i="30"/>
  <c r="B34" i="30"/>
  <c r="A34" i="30"/>
  <c r="G33" i="30"/>
  <c r="F33" i="30"/>
  <c r="E33" i="30"/>
  <c r="D33" i="30"/>
  <c r="C33" i="30"/>
  <c r="B33" i="30"/>
  <c r="A33" i="30"/>
  <c r="G32" i="30"/>
  <c r="F32" i="30"/>
  <c r="E32" i="30"/>
  <c r="D32" i="30"/>
  <c r="C32" i="30"/>
  <c r="B32" i="30"/>
  <c r="A32" i="30"/>
  <c r="G31" i="30"/>
  <c r="F31" i="30"/>
  <c r="E31" i="30"/>
  <c r="D31" i="30"/>
  <c r="C31" i="30"/>
  <c r="B31" i="30"/>
  <c r="A31" i="30"/>
  <c r="G30" i="30"/>
  <c r="F30" i="30"/>
  <c r="E30" i="30"/>
  <c r="D30" i="30"/>
  <c r="C30" i="30"/>
  <c r="B30" i="30"/>
  <c r="A30" i="30"/>
  <c r="G29" i="30"/>
  <c r="F29" i="30"/>
  <c r="E29" i="30"/>
  <c r="D29" i="30"/>
  <c r="C29" i="30"/>
  <c r="B29" i="30"/>
  <c r="A29" i="30"/>
  <c r="G28" i="30"/>
  <c r="F28" i="30"/>
  <c r="E28" i="30"/>
  <c r="D28" i="30"/>
  <c r="C28" i="30"/>
  <c r="B28" i="30"/>
  <c r="A28" i="30"/>
  <c r="G27" i="30"/>
  <c r="F27" i="30"/>
  <c r="E27" i="30"/>
  <c r="D27" i="30"/>
  <c r="C27" i="30"/>
  <c r="B27" i="30"/>
  <c r="A27" i="30"/>
  <c r="G26" i="30"/>
  <c r="F26" i="30"/>
  <c r="E26" i="30"/>
  <c r="D26" i="30"/>
  <c r="C26" i="30"/>
  <c r="B26" i="30"/>
  <c r="A26" i="30"/>
  <c r="G25" i="30"/>
  <c r="F25" i="30"/>
  <c r="E25" i="30"/>
  <c r="D25" i="30"/>
  <c r="C25" i="30"/>
  <c r="B25" i="30"/>
  <c r="A25" i="30"/>
  <c r="G24" i="30"/>
  <c r="F24" i="30"/>
  <c r="E24" i="30"/>
  <c r="D24" i="30"/>
  <c r="C24" i="30"/>
  <c r="B24" i="30"/>
  <c r="A24" i="30"/>
  <c r="G23" i="30"/>
  <c r="F23" i="30"/>
  <c r="E23" i="30"/>
  <c r="D23" i="30"/>
  <c r="C23" i="30"/>
  <c r="B23" i="30"/>
  <c r="A23" i="30"/>
  <c r="G22" i="30"/>
  <c r="F22" i="30"/>
  <c r="E22" i="30"/>
  <c r="D22" i="30"/>
  <c r="C22" i="30"/>
  <c r="B22" i="30"/>
  <c r="A22" i="30"/>
  <c r="G21" i="30"/>
  <c r="F21" i="30"/>
  <c r="E21" i="30"/>
  <c r="D21" i="30"/>
  <c r="C21" i="30"/>
  <c r="B21" i="30"/>
  <c r="A21" i="30"/>
  <c r="G20" i="30"/>
  <c r="F20" i="30"/>
  <c r="E20" i="30"/>
  <c r="D20" i="30"/>
  <c r="C20" i="30"/>
  <c r="B20" i="30"/>
  <c r="A20" i="30"/>
  <c r="G19" i="30"/>
  <c r="F19" i="30"/>
  <c r="E19" i="30"/>
  <c r="D19" i="30"/>
  <c r="C19" i="30"/>
  <c r="B19" i="30"/>
  <c r="A19" i="30"/>
  <c r="G18" i="30"/>
  <c r="F18" i="30"/>
  <c r="E18" i="30"/>
  <c r="D18" i="30"/>
  <c r="C18" i="30"/>
  <c r="B18" i="30"/>
  <c r="A18" i="30"/>
  <c r="G17" i="30"/>
  <c r="F17" i="30"/>
  <c r="E17" i="30"/>
  <c r="D17" i="30"/>
  <c r="C17" i="30"/>
  <c r="B17" i="30"/>
  <c r="A17" i="30"/>
  <c r="G16" i="30"/>
  <c r="F16" i="30"/>
  <c r="E16" i="30"/>
  <c r="D16" i="30"/>
  <c r="C16" i="30"/>
  <c r="B16" i="30"/>
  <c r="A16" i="30"/>
  <c r="G15" i="30"/>
  <c r="F15" i="30"/>
  <c r="E15" i="30"/>
  <c r="D15" i="30"/>
  <c r="C15" i="30"/>
  <c r="B15" i="30"/>
  <c r="A15" i="30"/>
  <c r="G14" i="30"/>
  <c r="F14" i="30"/>
  <c r="E14" i="30"/>
  <c r="D14" i="30"/>
  <c r="C14" i="30"/>
  <c r="B14" i="30"/>
  <c r="A14" i="30"/>
  <c r="G13" i="30"/>
  <c r="F13" i="30"/>
  <c r="E13" i="30"/>
  <c r="D13" i="30"/>
  <c r="C13" i="30"/>
  <c r="B13" i="30"/>
  <c r="A13" i="30"/>
  <c r="G12" i="30"/>
  <c r="F12" i="30"/>
  <c r="E12" i="30"/>
  <c r="D12" i="30"/>
  <c r="C12" i="30"/>
  <c r="B12" i="30"/>
  <c r="A12" i="30"/>
  <c r="G11" i="30"/>
  <c r="F11" i="30"/>
  <c r="E11" i="30"/>
  <c r="D11" i="30"/>
  <c r="C11" i="30"/>
  <c r="B11" i="30"/>
  <c r="A11" i="30"/>
  <c r="G10" i="30"/>
  <c r="F10" i="30"/>
  <c r="E10" i="30"/>
  <c r="D10" i="30"/>
  <c r="C10" i="30"/>
  <c r="B10" i="30"/>
  <c r="A10" i="30"/>
  <c r="G9" i="30"/>
  <c r="F9" i="30"/>
  <c r="E9" i="30"/>
  <c r="D9" i="30"/>
  <c r="C9" i="30"/>
  <c r="B9" i="30"/>
  <c r="A9" i="30"/>
  <c r="G8" i="30"/>
  <c r="F8" i="30"/>
  <c r="E8" i="30"/>
  <c r="D8" i="30"/>
  <c r="C8" i="30"/>
  <c r="B8" i="30"/>
  <c r="A8" i="30"/>
  <c r="G7" i="30"/>
  <c r="F7" i="30"/>
  <c r="E7" i="30"/>
  <c r="D7" i="30"/>
  <c r="C7" i="30"/>
  <c r="B7" i="30"/>
  <c r="A7" i="30"/>
  <c r="G6" i="30"/>
  <c r="F6" i="30"/>
  <c r="E6" i="30"/>
  <c r="D6" i="30"/>
  <c r="C6" i="30"/>
  <c r="B6" i="30"/>
  <c r="A6" i="30"/>
  <c r="G5" i="30"/>
  <c r="F5" i="30"/>
  <c r="E5" i="30"/>
  <c r="D5" i="30"/>
  <c r="C5" i="30"/>
  <c r="B5" i="30"/>
  <c r="A5" i="30"/>
  <c r="G4" i="30"/>
  <c r="F4" i="30"/>
  <c r="E4" i="30"/>
  <c r="D4" i="30"/>
  <c r="C4" i="30"/>
  <c r="B4" i="30"/>
  <c r="A4" i="30"/>
  <c r="G3" i="30"/>
  <c r="F3" i="30"/>
  <c r="E3" i="30"/>
  <c r="D3" i="30"/>
  <c r="C3" i="30"/>
  <c r="B3" i="30"/>
  <c r="A3" i="30"/>
  <c r="G2" i="30"/>
  <c r="F2" i="30"/>
  <c r="E2" i="30"/>
  <c r="D2" i="30"/>
  <c r="C2" i="30"/>
  <c r="B2" i="30"/>
  <c r="A2" i="30"/>
  <c r="G1" i="30"/>
  <c r="F1" i="30"/>
  <c r="E1" i="30"/>
  <c r="D1" i="30"/>
  <c r="C1" i="30"/>
  <c r="B1" i="30"/>
  <c r="A1" i="30"/>
  <c r="G290" i="29"/>
  <c r="F290" i="29"/>
  <c r="E290" i="29"/>
  <c r="D290" i="29"/>
  <c r="C290" i="29"/>
  <c r="B290" i="29"/>
  <c r="A290" i="29"/>
  <c r="G289" i="29"/>
  <c r="F289" i="29"/>
  <c r="E289" i="29"/>
  <c r="D289" i="29"/>
  <c r="C289" i="29"/>
  <c r="B289" i="29"/>
  <c r="A289" i="29"/>
  <c r="G288" i="29"/>
  <c r="F288" i="29"/>
  <c r="E288" i="29"/>
  <c r="D288" i="29"/>
  <c r="C288" i="29"/>
  <c r="B288" i="29"/>
  <c r="A288" i="29"/>
  <c r="G287" i="29"/>
  <c r="F287" i="29"/>
  <c r="E287" i="29"/>
  <c r="D287" i="29"/>
  <c r="C287" i="29"/>
  <c r="B287" i="29"/>
  <c r="A287" i="29"/>
  <c r="G286" i="29"/>
  <c r="F286" i="29"/>
  <c r="E286" i="29"/>
  <c r="D286" i="29"/>
  <c r="C286" i="29"/>
  <c r="B286" i="29"/>
  <c r="A286" i="29"/>
  <c r="G285" i="29"/>
  <c r="F285" i="29"/>
  <c r="E285" i="29"/>
  <c r="D285" i="29"/>
  <c r="C285" i="29"/>
  <c r="B285" i="29"/>
  <c r="A285" i="29"/>
  <c r="G284" i="29"/>
  <c r="F284" i="29"/>
  <c r="E284" i="29"/>
  <c r="D284" i="29"/>
  <c r="C284" i="29"/>
  <c r="B284" i="29"/>
  <c r="A284" i="29"/>
  <c r="G283" i="29"/>
  <c r="F283" i="29"/>
  <c r="E283" i="29"/>
  <c r="D283" i="29"/>
  <c r="C283" i="29"/>
  <c r="B283" i="29"/>
  <c r="A283" i="29"/>
  <c r="G282" i="29"/>
  <c r="F282" i="29"/>
  <c r="E282" i="29"/>
  <c r="D282" i="29"/>
  <c r="C282" i="29"/>
  <c r="B282" i="29"/>
  <c r="A282" i="29"/>
  <c r="G281" i="29"/>
  <c r="F281" i="29"/>
  <c r="E281" i="29"/>
  <c r="D281" i="29"/>
  <c r="C281" i="29"/>
  <c r="B281" i="29"/>
  <c r="A281" i="29"/>
  <c r="G280" i="29"/>
  <c r="F280" i="29"/>
  <c r="E280" i="29"/>
  <c r="D280" i="29"/>
  <c r="C280" i="29"/>
  <c r="B280" i="29"/>
  <c r="A280" i="29"/>
  <c r="G279" i="29"/>
  <c r="F279" i="29"/>
  <c r="E279" i="29"/>
  <c r="D279" i="29"/>
  <c r="C279" i="29"/>
  <c r="B279" i="29"/>
  <c r="A279" i="29"/>
  <c r="G278" i="29"/>
  <c r="F278" i="29"/>
  <c r="E278" i="29"/>
  <c r="D278" i="29"/>
  <c r="C278" i="29"/>
  <c r="B278" i="29"/>
  <c r="A278" i="29"/>
  <c r="G277" i="29"/>
  <c r="F277" i="29"/>
  <c r="E277" i="29"/>
  <c r="D277" i="29"/>
  <c r="C277" i="29"/>
  <c r="B277" i="29"/>
  <c r="A277" i="29"/>
  <c r="G276" i="29"/>
  <c r="F276" i="29"/>
  <c r="E276" i="29"/>
  <c r="D276" i="29"/>
  <c r="C276" i="29"/>
  <c r="B276" i="29"/>
  <c r="A276" i="29"/>
  <c r="G275" i="29"/>
  <c r="F275" i="29"/>
  <c r="E275" i="29"/>
  <c r="D275" i="29"/>
  <c r="C275" i="29"/>
  <c r="B275" i="29"/>
  <c r="A275" i="29"/>
  <c r="G274" i="29"/>
  <c r="F274" i="29"/>
  <c r="E274" i="29"/>
  <c r="D274" i="29"/>
  <c r="C274" i="29"/>
  <c r="B274" i="29"/>
  <c r="A274" i="29"/>
  <c r="G273" i="29"/>
  <c r="F273" i="29"/>
  <c r="E273" i="29"/>
  <c r="D273" i="29"/>
  <c r="C273" i="29"/>
  <c r="B273" i="29"/>
  <c r="A273" i="29"/>
  <c r="G272" i="29"/>
  <c r="F272" i="29"/>
  <c r="E272" i="29"/>
  <c r="D272" i="29"/>
  <c r="C272" i="29"/>
  <c r="B272" i="29"/>
  <c r="A272" i="29"/>
  <c r="G271" i="29"/>
  <c r="F271" i="29"/>
  <c r="E271" i="29"/>
  <c r="D271" i="29"/>
  <c r="C271" i="29"/>
  <c r="B271" i="29"/>
  <c r="A271" i="29"/>
  <c r="G270" i="29"/>
  <c r="F270" i="29"/>
  <c r="E270" i="29"/>
  <c r="D270" i="29"/>
  <c r="C270" i="29"/>
  <c r="B270" i="29"/>
  <c r="A270" i="29"/>
  <c r="G269" i="29"/>
  <c r="F269" i="29"/>
  <c r="E269" i="29"/>
  <c r="D269" i="29"/>
  <c r="C269" i="29"/>
  <c r="B269" i="29"/>
  <c r="A269" i="29"/>
  <c r="G268" i="29"/>
  <c r="F268" i="29"/>
  <c r="E268" i="29"/>
  <c r="D268" i="29"/>
  <c r="C268" i="29"/>
  <c r="B268" i="29"/>
  <c r="A268" i="29"/>
  <c r="G267" i="29"/>
  <c r="F267" i="29"/>
  <c r="E267" i="29"/>
  <c r="D267" i="29"/>
  <c r="C267" i="29"/>
  <c r="B267" i="29"/>
  <c r="A267" i="29"/>
  <c r="G266" i="29"/>
  <c r="F266" i="29"/>
  <c r="E266" i="29"/>
  <c r="D266" i="29"/>
  <c r="C266" i="29"/>
  <c r="B266" i="29"/>
  <c r="A266" i="29"/>
  <c r="G265" i="29"/>
  <c r="F265" i="29"/>
  <c r="E265" i="29"/>
  <c r="D265" i="29"/>
  <c r="C265" i="29"/>
  <c r="B265" i="29"/>
  <c r="A265" i="29"/>
  <c r="G264" i="29"/>
  <c r="F264" i="29"/>
  <c r="E264" i="29"/>
  <c r="D264" i="29"/>
  <c r="C264" i="29"/>
  <c r="B264" i="29"/>
  <c r="A264" i="29"/>
  <c r="G263" i="29"/>
  <c r="F263" i="29"/>
  <c r="E263" i="29"/>
  <c r="D263" i="29"/>
  <c r="C263" i="29"/>
  <c r="B263" i="29"/>
  <c r="A263" i="29"/>
  <c r="G262" i="29"/>
  <c r="F262" i="29"/>
  <c r="E262" i="29"/>
  <c r="D262" i="29"/>
  <c r="C262" i="29"/>
  <c r="B262" i="29"/>
  <c r="A262" i="29"/>
  <c r="G261" i="29"/>
  <c r="F261" i="29"/>
  <c r="E261" i="29"/>
  <c r="D261" i="29"/>
  <c r="C261" i="29"/>
  <c r="B261" i="29"/>
  <c r="A261" i="29"/>
  <c r="G260" i="29"/>
  <c r="F260" i="29"/>
  <c r="E260" i="29"/>
  <c r="D260" i="29"/>
  <c r="C260" i="29"/>
  <c r="B260" i="29"/>
  <c r="A260" i="29"/>
  <c r="G259" i="29"/>
  <c r="F259" i="29"/>
  <c r="E259" i="29"/>
  <c r="D259" i="29"/>
  <c r="C259" i="29"/>
  <c r="B259" i="29"/>
  <c r="A259" i="29"/>
  <c r="G258" i="29"/>
  <c r="F258" i="29"/>
  <c r="E258" i="29"/>
  <c r="D258" i="29"/>
  <c r="C258" i="29"/>
  <c r="B258" i="29"/>
  <c r="A258" i="29"/>
  <c r="G257" i="29"/>
  <c r="F257" i="29"/>
  <c r="E257" i="29"/>
  <c r="D257" i="29"/>
  <c r="C257" i="29"/>
  <c r="B257" i="29"/>
  <c r="A257" i="29"/>
  <c r="G256" i="29"/>
  <c r="F256" i="29"/>
  <c r="E256" i="29"/>
  <c r="D256" i="29"/>
  <c r="C256" i="29"/>
  <c r="B256" i="29"/>
  <c r="A256" i="29"/>
  <c r="G255" i="29"/>
  <c r="F255" i="29"/>
  <c r="E255" i="29"/>
  <c r="D255" i="29"/>
  <c r="C255" i="29"/>
  <c r="B255" i="29"/>
  <c r="A255" i="29"/>
  <c r="G254" i="29"/>
  <c r="F254" i="29"/>
  <c r="E254" i="29"/>
  <c r="D254" i="29"/>
  <c r="C254" i="29"/>
  <c r="B254" i="29"/>
  <c r="A254" i="29"/>
  <c r="G253" i="29"/>
  <c r="F253" i="29"/>
  <c r="E253" i="29"/>
  <c r="D253" i="29"/>
  <c r="C253" i="29"/>
  <c r="B253" i="29"/>
  <c r="A253" i="29"/>
  <c r="G252" i="29"/>
  <c r="F252" i="29"/>
  <c r="E252" i="29"/>
  <c r="D252" i="29"/>
  <c r="C252" i="29"/>
  <c r="B252" i="29"/>
  <c r="A252" i="29"/>
  <c r="G251" i="29"/>
  <c r="F251" i="29"/>
  <c r="E251" i="29"/>
  <c r="D251" i="29"/>
  <c r="C251" i="29"/>
  <c r="B251" i="29"/>
  <c r="A251" i="29"/>
  <c r="G250" i="29"/>
  <c r="F250" i="29"/>
  <c r="E250" i="29"/>
  <c r="D250" i="29"/>
  <c r="C250" i="29"/>
  <c r="B250" i="29"/>
  <c r="A250" i="29"/>
  <c r="G249" i="29"/>
  <c r="F249" i="29"/>
  <c r="E249" i="29"/>
  <c r="D249" i="29"/>
  <c r="C249" i="29"/>
  <c r="B249" i="29"/>
  <c r="A249" i="29"/>
  <c r="G248" i="29"/>
  <c r="F248" i="29"/>
  <c r="E248" i="29"/>
  <c r="D248" i="29"/>
  <c r="C248" i="29"/>
  <c r="B248" i="29"/>
  <c r="A248" i="29"/>
  <c r="G247" i="29"/>
  <c r="F247" i="29"/>
  <c r="E247" i="29"/>
  <c r="D247" i="29"/>
  <c r="C247" i="29"/>
  <c r="B247" i="29"/>
  <c r="A247" i="29"/>
  <c r="G246" i="29"/>
  <c r="F246" i="29"/>
  <c r="E246" i="29"/>
  <c r="D246" i="29"/>
  <c r="C246" i="29"/>
  <c r="B246" i="29"/>
  <c r="A246" i="29"/>
  <c r="G245" i="29"/>
  <c r="F245" i="29"/>
  <c r="E245" i="29"/>
  <c r="D245" i="29"/>
  <c r="C245" i="29"/>
  <c r="B245" i="29"/>
  <c r="A245" i="29"/>
  <c r="G244" i="29"/>
  <c r="F244" i="29"/>
  <c r="E244" i="29"/>
  <c r="D244" i="29"/>
  <c r="C244" i="29"/>
  <c r="B244" i="29"/>
  <c r="A244" i="29"/>
  <c r="G243" i="29"/>
  <c r="F243" i="29"/>
  <c r="E243" i="29"/>
  <c r="D243" i="29"/>
  <c r="C243" i="29"/>
  <c r="B243" i="29"/>
  <c r="A243" i="29"/>
  <c r="G242" i="29"/>
  <c r="F242" i="29"/>
  <c r="E242" i="29"/>
  <c r="D242" i="29"/>
  <c r="C242" i="29"/>
  <c r="B242" i="29"/>
  <c r="A242" i="29"/>
  <c r="G241" i="29"/>
  <c r="F241" i="29"/>
  <c r="E241" i="29"/>
  <c r="D241" i="29"/>
  <c r="C241" i="29"/>
  <c r="B241" i="29"/>
  <c r="A241" i="29"/>
  <c r="G240" i="29"/>
  <c r="F240" i="29"/>
  <c r="E240" i="29"/>
  <c r="D240" i="29"/>
  <c r="C240" i="29"/>
  <c r="B240" i="29"/>
  <c r="A240" i="29"/>
  <c r="G239" i="29"/>
  <c r="F239" i="29"/>
  <c r="E239" i="29"/>
  <c r="D239" i="29"/>
  <c r="C239" i="29"/>
  <c r="B239" i="29"/>
  <c r="A239" i="29"/>
  <c r="G238" i="29"/>
  <c r="F238" i="29"/>
  <c r="E238" i="29"/>
  <c r="D238" i="29"/>
  <c r="C238" i="29"/>
  <c r="B238" i="29"/>
  <c r="A238" i="29"/>
  <c r="G237" i="29"/>
  <c r="F237" i="29"/>
  <c r="E237" i="29"/>
  <c r="D237" i="29"/>
  <c r="C237" i="29"/>
  <c r="B237" i="29"/>
  <c r="A237" i="29"/>
  <c r="G236" i="29"/>
  <c r="F236" i="29"/>
  <c r="E236" i="29"/>
  <c r="D236" i="29"/>
  <c r="C236" i="29"/>
  <c r="B236" i="29"/>
  <c r="A236" i="29"/>
  <c r="G235" i="29"/>
  <c r="F235" i="29"/>
  <c r="E235" i="29"/>
  <c r="D235" i="29"/>
  <c r="C235" i="29"/>
  <c r="B235" i="29"/>
  <c r="A235" i="29"/>
  <c r="G234" i="29"/>
  <c r="F234" i="29"/>
  <c r="E234" i="29"/>
  <c r="D234" i="29"/>
  <c r="C234" i="29"/>
  <c r="B234" i="29"/>
  <c r="A234" i="29"/>
  <c r="G233" i="29"/>
  <c r="F233" i="29"/>
  <c r="E233" i="29"/>
  <c r="D233" i="29"/>
  <c r="C233" i="29"/>
  <c r="B233" i="29"/>
  <c r="A233" i="29"/>
  <c r="G232" i="29"/>
  <c r="F232" i="29"/>
  <c r="E232" i="29"/>
  <c r="D232" i="29"/>
  <c r="C232" i="29"/>
  <c r="B232" i="29"/>
  <c r="A232" i="29"/>
  <c r="G231" i="29"/>
  <c r="F231" i="29"/>
  <c r="E231" i="29"/>
  <c r="D231" i="29"/>
  <c r="C231" i="29"/>
  <c r="B231" i="29"/>
  <c r="A231" i="29"/>
  <c r="G230" i="29"/>
  <c r="F230" i="29"/>
  <c r="E230" i="29"/>
  <c r="D230" i="29"/>
  <c r="C230" i="29"/>
  <c r="B230" i="29"/>
  <c r="A230" i="29"/>
  <c r="G229" i="29"/>
  <c r="F229" i="29"/>
  <c r="E229" i="29"/>
  <c r="D229" i="29"/>
  <c r="C229" i="29"/>
  <c r="B229" i="29"/>
  <c r="A229" i="29"/>
  <c r="G228" i="29"/>
  <c r="F228" i="29"/>
  <c r="E228" i="29"/>
  <c r="D228" i="29"/>
  <c r="C228" i="29"/>
  <c r="B228" i="29"/>
  <c r="A228" i="29"/>
  <c r="G227" i="29"/>
  <c r="F227" i="29"/>
  <c r="E227" i="29"/>
  <c r="D227" i="29"/>
  <c r="C227" i="29"/>
  <c r="B227" i="29"/>
  <c r="A227" i="29"/>
  <c r="G226" i="29"/>
  <c r="F226" i="29"/>
  <c r="E226" i="29"/>
  <c r="D226" i="29"/>
  <c r="C226" i="29"/>
  <c r="B226" i="29"/>
  <c r="A226" i="29"/>
  <c r="G225" i="29"/>
  <c r="F225" i="29"/>
  <c r="E225" i="29"/>
  <c r="D225" i="29"/>
  <c r="C225" i="29"/>
  <c r="B225" i="29"/>
  <c r="A225" i="29"/>
  <c r="G224" i="29"/>
  <c r="F224" i="29"/>
  <c r="E224" i="29"/>
  <c r="D224" i="29"/>
  <c r="C224" i="29"/>
  <c r="B224" i="29"/>
  <c r="A224" i="29"/>
  <c r="G223" i="29"/>
  <c r="F223" i="29"/>
  <c r="E223" i="29"/>
  <c r="D223" i="29"/>
  <c r="C223" i="29"/>
  <c r="B223" i="29"/>
  <c r="A223" i="29"/>
  <c r="G222" i="29"/>
  <c r="F222" i="29"/>
  <c r="E222" i="29"/>
  <c r="D222" i="29"/>
  <c r="C222" i="29"/>
  <c r="B222" i="29"/>
  <c r="A222" i="29"/>
  <c r="G221" i="29"/>
  <c r="F221" i="29"/>
  <c r="E221" i="29"/>
  <c r="D221" i="29"/>
  <c r="C221" i="29"/>
  <c r="B221" i="29"/>
  <c r="A221" i="29"/>
  <c r="G220" i="29"/>
  <c r="F220" i="29"/>
  <c r="E220" i="29"/>
  <c r="D220" i="29"/>
  <c r="C220" i="29"/>
  <c r="B220" i="29"/>
  <c r="A220" i="29"/>
  <c r="G219" i="29"/>
  <c r="F219" i="29"/>
  <c r="E219" i="29"/>
  <c r="D219" i="29"/>
  <c r="C219" i="29"/>
  <c r="B219" i="29"/>
  <c r="A219" i="29"/>
  <c r="G218" i="29"/>
  <c r="F218" i="29"/>
  <c r="E218" i="29"/>
  <c r="D218" i="29"/>
  <c r="C218" i="29"/>
  <c r="B218" i="29"/>
  <c r="A218" i="29"/>
  <c r="G217" i="29"/>
  <c r="F217" i="29"/>
  <c r="E217" i="29"/>
  <c r="D217" i="29"/>
  <c r="C217" i="29"/>
  <c r="B217" i="29"/>
  <c r="A217" i="29"/>
  <c r="G216" i="29"/>
  <c r="F216" i="29"/>
  <c r="E216" i="29"/>
  <c r="D216" i="29"/>
  <c r="C216" i="29"/>
  <c r="B216" i="29"/>
  <c r="A216" i="29"/>
  <c r="G215" i="29"/>
  <c r="F215" i="29"/>
  <c r="E215" i="29"/>
  <c r="D215" i="29"/>
  <c r="C215" i="29"/>
  <c r="B215" i="29"/>
  <c r="A215" i="29"/>
  <c r="G214" i="29"/>
  <c r="F214" i="29"/>
  <c r="E214" i="29"/>
  <c r="D214" i="29"/>
  <c r="C214" i="29"/>
  <c r="B214" i="29"/>
  <c r="A214" i="29"/>
  <c r="G213" i="29"/>
  <c r="F213" i="29"/>
  <c r="E213" i="29"/>
  <c r="D213" i="29"/>
  <c r="C213" i="29"/>
  <c r="B213" i="29"/>
  <c r="A213" i="29"/>
  <c r="G212" i="29"/>
  <c r="F212" i="29"/>
  <c r="E212" i="29"/>
  <c r="D212" i="29"/>
  <c r="C212" i="29"/>
  <c r="B212" i="29"/>
  <c r="A212" i="29"/>
  <c r="G211" i="29"/>
  <c r="F211" i="29"/>
  <c r="E211" i="29"/>
  <c r="D211" i="29"/>
  <c r="C211" i="29"/>
  <c r="B211" i="29"/>
  <c r="A211" i="29"/>
  <c r="G210" i="29"/>
  <c r="F210" i="29"/>
  <c r="E210" i="29"/>
  <c r="D210" i="29"/>
  <c r="C210" i="29"/>
  <c r="B210" i="29"/>
  <c r="A210" i="29"/>
  <c r="G209" i="29"/>
  <c r="F209" i="29"/>
  <c r="E209" i="29"/>
  <c r="D209" i="29"/>
  <c r="C209" i="29"/>
  <c r="B209" i="29"/>
  <c r="A209" i="29"/>
  <c r="G208" i="29"/>
  <c r="F208" i="29"/>
  <c r="E208" i="29"/>
  <c r="D208" i="29"/>
  <c r="C208" i="29"/>
  <c r="B208" i="29"/>
  <c r="A208" i="29"/>
  <c r="G207" i="29"/>
  <c r="F207" i="29"/>
  <c r="E207" i="29"/>
  <c r="D207" i="29"/>
  <c r="C207" i="29"/>
  <c r="B207" i="29"/>
  <c r="A207" i="29"/>
  <c r="G206" i="29"/>
  <c r="F206" i="29"/>
  <c r="E206" i="29"/>
  <c r="D206" i="29"/>
  <c r="C206" i="29"/>
  <c r="B206" i="29"/>
  <c r="A206" i="29"/>
  <c r="G205" i="29"/>
  <c r="F205" i="29"/>
  <c r="E205" i="29"/>
  <c r="D205" i="29"/>
  <c r="C205" i="29"/>
  <c r="B205" i="29"/>
  <c r="A205" i="29"/>
  <c r="G204" i="29"/>
  <c r="F204" i="29"/>
  <c r="E204" i="29"/>
  <c r="D204" i="29"/>
  <c r="C204" i="29"/>
  <c r="B204" i="29"/>
  <c r="A204" i="29"/>
  <c r="G203" i="29"/>
  <c r="F203" i="29"/>
  <c r="E203" i="29"/>
  <c r="D203" i="29"/>
  <c r="C203" i="29"/>
  <c r="B203" i="29"/>
  <c r="A203" i="29"/>
  <c r="G202" i="29"/>
  <c r="F202" i="29"/>
  <c r="E202" i="29"/>
  <c r="D202" i="29"/>
  <c r="C202" i="29"/>
  <c r="B202" i="29"/>
  <c r="A202" i="29"/>
  <c r="G201" i="29"/>
  <c r="F201" i="29"/>
  <c r="E201" i="29"/>
  <c r="D201" i="29"/>
  <c r="C201" i="29"/>
  <c r="B201" i="29"/>
  <c r="A201" i="29"/>
  <c r="G200" i="29"/>
  <c r="F200" i="29"/>
  <c r="E200" i="29"/>
  <c r="D200" i="29"/>
  <c r="C200" i="29"/>
  <c r="B200" i="29"/>
  <c r="A200" i="29"/>
  <c r="G199" i="29"/>
  <c r="F199" i="29"/>
  <c r="E199" i="29"/>
  <c r="D199" i="29"/>
  <c r="C199" i="29"/>
  <c r="B199" i="29"/>
  <c r="A199" i="29"/>
  <c r="G198" i="29"/>
  <c r="F198" i="29"/>
  <c r="E198" i="29"/>
  <c r="D198" i="29"/>
  <c r="C198" i="29"/>
  <c r="B198" i="29"/>
  <c r="A198" i="29"/>
  <c r="G197" i="29"/>
  <c r="F197" i="29"/>
  <c r="E197" i="29"/>
  <c r="D197" i="29"/>
  <c r="C197" i="29"/>
  <c r="B197" i="29"/>
  <c r="A197" i="29"/>
  <c r="G196" i="29"/>
  <c r="F196" i="29"/>
  <c r="E196" i="29"/>
  <c r="D196" i="29"/>
  <c r="C196" i="29"/>
  <c r="B196" i="29"/>
  <c r="A196" i="29"/>
  <c r="G195" i="29"/>
  <c r="F195" i="29"/>
  <c r="E195" i="29"/>
  <c r="D195" i="29"/>
  <c r="C195" i="29"/>
  <c r="B195" i="29"/>
  <c r="A195" i="29"/>
  <c r="G194" i="29"/>
  <c r="F194" i="29"/>
  <c r="E194" i="29"/>
  <c r="D194" i="29"/>
  <c r="C194" i="29"/>
  <c r="B194" i="29"/>
  <c r="A194" i="29"/>
  <c r="G193" i="29"/>
  <c r="F193" i="29"/>
  <c r="E193" i="29"/>
  <c r="D193" i="29"/>
  <c r="C193" i="29"/>
  <c r="B193" i="29"/>
  <c r="A193" i="29"/>
  <c r="G192" i="29"/>
  <c r="F192" i="29"/>
  <c r="E192" i="29"/>
  <c r="D192" i="29"/>
  <c r="C192" i="29"/>
  <c r="B192" i="29"/>
  <c r="A192" i="29"/>
  <c r="G191" i="29"/>
  <c r="F191" i="29"/>
  <c r="E191" i="29"/>
  <c r="D191" i="29"/>
  <c r="C191" i="29"/>
  <c r="B191" i="29"/>
  <c r="A191" i="29"/>
  <c r="G190" i="29"/>
  <c r="F190" i="29"/>
  <c r="E190" i="29"/>
  <c r="D190" i="29"/>
  <c r="C190" i="29"/>
  <c r="B190" i="29"/>
  <c r="A190" i="29"/>
  <c r="G189" i="29"/>
  <c r="F189" i="29"/>
  <c r="E189" i="29"/>
  <c r="D189" i="29"/>
  <c r="C189" i="29"/>
  <c r="B189" i="29"/>
  <c r="A189" i="29"/>
  <c r="G188" i="29"/>
  <c r="F188" i="29"/>
  <c r="E188" i="29"/>
  <c r="D188" i="29"/>
  <c r="C188" i="29"/>
  <c r="B188" i="29"/>
  <c r="A188" i="29"/>
  <c r="G187" i="29"/>
  <c r="F187" i="29"/>
  <c r="E187" i="29"/>
  <c r="D187" i="29"/>
  <c r="C187" i="29"/>
  <c r="B187" i="29"/>
  <c r="A187" i="29"/>
  <c r="G186" i="29"/>
  <c r="F186" i="29"/>
  <c r="E186" i="29"/>
  <c r="D186" i="29"/>
  <c r="C186" i="29"/>
  <c r="B186" i="29"/>
  <c r="A186" i="29"/>
  <c r="G185" i="29"/>
  <c r="F185" i="29"/>
  <c r="E185" i="29"/>
  <c r="D185" i="29"/>
  <c r="C185" i="29"/>
  <c r="B185" i="29"/>
  <c r="A185" i="29"/>
  <c r="G184" i="29"/>
  <c r="F184" i="29"/>
  <c r="E184" i="29"/>
  <c r="D184" i="29"/>
  <c r="C184" i="29"/>
  <c r="B184" i="29"/>
  <c r="A184" i="29"/>
  <c r="G183" i="29"/>
  <c r="F183" i="29"/>
  <c r="E183" i="29"/>
  <c r="D183" i="29"/>
  <c r="C183" i="29"/>
  <c r="B183" i="29"/>
  <c r="A183" i="29"/>
  <c r="G182" i="29"/>
  <c r="F182" i="29"/>
  <c r="E182" i="29"/>
  <c r="D182" i="29"/>
  <c r="C182" i="29"/>
  <c r="B182" i="29"/>
  <c r="A182" i="29"/>
  <c r="G181" i="29"/>
  <c r="F181" i="29"/>
  <c r="E181" i="29"/>
  <c r="D181" i="29"/>
  <c r="C181" i="29"/>
  <c r="B181" i="29"/>
  <c r="A181" i="29"/>
  <c r="G180" i="29"/>
  <c r="F180" i="29"/>
  <c r="E180" i="29"/>
  <c r="D180" i="29"/>
  <c r="C180" i="29"/>
  <c r="B180" i="29"/>
  <c r="A180" i="29"/>
  <c r="G179" i="29"/>
  <c r="F179" i="29"/>
  <c r="E179" i="29"/>
  <c r="D179" i="29"/>
  <c r="C179" i="29"/>
  <c r="B179" i="29"/>
  <c r="A179" i="29"/>
  <c r="G178" i="29"/>
  <c r="F178" i="29"/>
  <c r="E178" i="29"/>
  <c r="D178" i="29"/>
  <c r="C178" i="29"/>
  <c r="B178" i="29"/>
  <c r="A178" i="29"/>
  <c r="G177" i="29"/>
  <c r="F177" i="29"/>
  <c r="E177" i="29"/>
  <c r="D177" i="29"/>
  <c r="C177" i="29"/>
  <c r="B177" i="29"/>
  <c r="A177" i="29"/>
  <c r="G176" i="29"/>
  <c r="F176" i="29"/>
  <c r="E176" i="29"/>
  <c r="D176" i="29"/>
  <c r="C176" i="29"/>
  <c r="B176" i="29"/>
  <c r="A176" i="29"/>
  <c r="G175" i="29"/>
  <c r="F175" i="29"/>
  <c r="E175" i="29"/>
  <c r="D175" i="29"/>
  <c r="C175" i="29"/>
  <c r="B175" i="29"/>
  <c r="A175" i="29"/>
  <c r="G174" i="29"/>
  <c r="F174" i="29"/>
  <c r="E174" i="29"/>
  <c r="D174" i="29"/>
  <c r="C174" i="29"/>
  <c r="B174" i="29"/>
  <c r="A174" i="29"/>
  <c r="G173" i="29"/>
  <c r="F173" i="29"/>
  <c r="E173" i="29"/>
  <c r="D173" i="29"/>
  <c r="C173" i="29"/>
  <c r="B173" i="29"/>
  <c r="A173" i="29"/>
  <c r="G172" i="29"/>
  <c r="F172" i="29"/>
  <c r="E172" i="29"/>
  <c r="D172" i="29"/>
  <c r="C172" i="29"/>
  <c r="B172" i="29"/>
  <c r="A172" i="29"/>
  <c r="G171" i="29"/>
  <c r="F171" i="29"/>
  <c r="E171" i="29"/>
  <c r="D171" i="29"/>
  <c r="C171" i="29"/>
  <c r="B171" i="29"/>
  <c r="A171" i="29"/>
  <c r="G170" i="29"/>
  <c r="F170" i="29"/>
  <c r="E170" i="29"/>
  <c r="D170" i="29"/>
  <c r="C170" i="29"/>
  <c r="B170" i="29"/>
  <c r="A170" i="29"/>
  <c r="G169" i="29"/>
  <c r="F169" i="29"/>
  <c r="E169" i="29"/>
  <c r="D169" i="29"/>
  <c r="C169" i="29"/>
  <c r="B169" i="29"/>
  <c r="A169" i="29"/>
  <c r="G168" i="29"/>
  <c r="F168" i="29"/>
  <c r="E168" i="29"/>
  <c r="D168" i="29"/>
  <c r="C168" i="29"/>
  <c r="B168" i="29"/>
  <c r="A168" i="29"/>
  <c r="G167" i="29"/>
  <c r="F167" i="29"/>
  <c r="E167" i="29"/>
  <c r="D167" i="29"/>
  <c r="C167" i="29"/>
  <c r="B167" i="29"/>
  <c r="A167" i="29"/>
  <c r="G166" i="29"/>
  <c r="F166" i="29"/>
  <c r="E166" i="29"/>
  <c r="D166" i="29"/>
  <c r="C166" i="29"/>
  <c r="B166" i="29"/>
  <c r="A166" i="29"/>
  <c r="G165" i="29"/>
  <c r="F165" i="29"/>
  <c r="E165" i="29"/>
  <c r="D165" i="29"/>
  <c r="C165" i="29"/>
  <c r="B165" i="29"/>
  <c r="A165" i="29"/>
  <c r="G164" i="29"/>
  <c r="F164" i="29"/>
  <c r="E164" i="29"/>
  <c r="D164" i="29"/>
  <c r="C164" i="29"/>
  <c r="B164" i="29"/>
  <c r="A164" i="29"/>
  <c r="G163" i="29"/>
  <c r="F163" i="29"/>
  <c r="E163" i="29"/>
  <c r="D163" i="29"/>
  <c r="C163" i="29"/>
  <c r="B163" i="29"/>
  <c r="A163" i="29"/>
  <c r="G162" i="29"/>
  <c r="F162" i="29"/>
  <c r="E162" i="29"/>
  <c r="D162" i="29"/>
  <c r="C162" i="29"/>
  <c r="B162" i="29"/>
  <c r="A162" i="29"/>
  <c r="G161" i="29"/>
  <c r="F161" i="29"/>
  <c r="E161" i="29"/>
  <c r="D161" i="29"/>
  <c r="C161" i="29"/>
  <c r="B161" i="29"/>
  <c r="A161" i="29"/>
  <c r="G160" i="29"/>
  <c r="F160" i="29"/>
  <c r="E160" i="29"/>
  <c r="D160" i="29"/>
  <c r="C160" i="29"/>
  <c r="B160" i="29"/>
  <c r="A160" i="29"/>
  <c r="G159" i="29"/>
  <c r="F159" i="29"/>
  <c r="E159" i="29"/>
  <c r="D159" i="29"/>
  <c r="C159" i="29"/>
  <c r="B159" i="29"/>
  <c r="A159" i="29"/>
  <c r="G158" i="29"/>
  <c r="F158" i="29"/>
  <c r="E158" i="29"/>
  <c r="D158" i="29"/>
  <c r="C158" i="29"/>
  <c r="B158" i="29"/>
  <c r="A158" i="29"/>
  <c r="G157" i="29"/>
  <c r="F157" i="29"/>
  <c r="E157" i="29"/>
  <c r="D157" i="29"/>
  <c r="C157" i="29"/>
  <c r="B157" i="29"/>
  <c r="A157" i="29"/>
  <c r="G156" i="29"/>
  <c r="F156" i="29"/>
  <c r="E156" i="29"/>
  <c r="D156" i="29"/>
  <c r="C156" i="29"/>
  <c r="B156" i="29"/>
  <c r="A156" i="29"/>
  <c r="G155" i="29"/>
  <c r="F155" i="29"/>
  <c r="E155" i="29"/>
  <c r="D155" i="29"/>
  <c r="C155" i="29"/>
  <c r="B155" i="29"/>
  <c r="A155" i="29"/>
  <c r="G154" i="29"/>
  <c r="F154" i="29"/>
  <c r="E154" i="29"/>
  <c r="D154" i="29"/>
  <c r="C154" i="29"/>
  <c r="B154" i="29"/>
  <c r="A154" i="29"/>
  <c r="G153" i="29"/>
  <c r="F153" i="29"/>
  <c r="E153" i="29"/>
  <c r="D153" i="29"/>
  <c r="C153" i="29"/>
  <c r="B153" i="29"/>
  <c r="A153" i="29"/>
  <c r="G152" i="29"/>
  <c r="F152" i="29"/>
  <c r="E152" i="29"/>
  <c r="D152" i="29"/>
  <c r="C152" i="29"/>
  <c r="B152" i="29"/>
  <c r="A152" i="29"/>
  <c r="G151" i="29"/>
  <c r="F151" i="29"/>
  <c r="E151" i="29"/>
  <c r="D151" i="29"/>
  <c r="C151" i="29"/>
  <c r="B151" i="29"/>
  <c r="A151" i="29"/>
  <c r="G150" i="29"/>
  <c r="F150" i="29"/>
  <c r="E150" i="29"/>
  <c r="D150" i="29"/>
  <c r="C150" i="29"/>
  <c r="B150" i="29"/>
  <c r="A150" i="29"/>
  <c r="G149" i="29"/>
  <c r="F149" i="29"/>
  <c r="E149" i="29"/>
  <c r="D149" i="29"/>
  <c r="C149" i="29"/>
  <c r="B149" i="29"/>
  <c r="A149" i="29"/>
  <c r="G148" i="29"/>
  <c r="F148" i="29"/>
  <c r="E148" i="29"/>
  <c r="D148" i="29"/>
  <c r="C148" i="29"/>
  <c r="B148" i="29"/>
  <c r="A148" i="29"/>
  <c r="G147" i="29"/>
  <c r="F147" i="29"/>
  <c r="E147" i="29"/>
  <c r="D147" i="29"/>
  <c r="C147" i="29"/>
  <c r="B147" i="29"/>
  <c r="A147" i="29"/>
  <c r="G146" i="29"/>
  <c r="F146" i="29"/>
  <c r="E146" i="29"/>
  <c r="D146" i="29"/>
  <c r="C146" i="29"/>
  <c r="B146" i="29"/>
  <c r="A146" i="29"/>
  <c r="G145" i="29"/>
  <c r="F145" i="29"/>
  <c r="E145" i="29"/>
  <c r="D145" i="29"/>
  <c r="C145" i="29"/>
  <c r="B145" i="29"/>
  <c r="A145" i="29"/>
  <c r="G144" i="29"/>
  <c r="F144" i="29"/>
  <c r="E144" i="29"/>
  <c r="D144" i="29"/>
  <c r="C144" i="29"/>
  <c r="B144" i="29"/>
  <c r="A144" i="29"/>
  <c r="G143" i="29"/>
  <c r="F143" i="29"/>
  <c r="E143" i="29"/>
  <c r="D143" i="29"/>
  <c r="C143" i="29"/>
  <c r="B143" i="29"/>
  <c r="A143" i="29"/>
  <c r="G142" i="29"/>
  <c r="F142" i="29"/>
  <c r="E142" i="29"/>
  <c r="D142" i="29"/>
  <c r="C142" i="29"/>
  <c r="B142" i="29"/>
  <c r="A142" i="29"/>
  <c r="G141" i="29"/>
  <c r="F141" i="29"/>
  <c r="E141" i="29"/>
  <c r="D141" i="29"/>
  <c r="C141" i="29"/>
  <c r="B141" i="29"/>
  <c r="A141" i="29"/>
  <c r="G140" i="29"/>
  <c r="F140" i="29"/>
  <c r="E140" i="29"/>
  <c r="D140" i="29"/>
  <c r="C140" i="29"/>
  <c r="B140" i="29"/>
  <c r="A140" i="29"/>
  <c r="G139" i="29"/>
  <c r="F139" i="29"/>
  <c r="E139" i="29"/>
  <c r="D139" i="29"/>
  <c r="C139" i="29"/>
  <c r="B139" i="29"/>
  <c r="A139" i="29"/>
  <c r="G138" i="29"/>
  <c r="F138" i="29"/>
  <c r="E138" i="29"/>
  <c r="D138" i="29"/>
  <c r="C138" i="29"/>
  <c r="B138" i="29"/>
  <c r="A138" i="29"/>
  <c r="G137" i="29"/>
  <c r="F137" i="29"/>
  <c r="E137" i="29"/>
  <c r="D137" i="29"/>
  <c r="C137" i="29"/>
  <c r="B137" i="29"/>
  <c r="A137" i="29"/>
  <c r="G136" i="29"/>
  <c r="F136" i="29"/>
  <c r="E136" i="29"/>
  <c r="D136" i="29"/>
  <c r="C136" i="29"/>
  <c r="B136" i="29"/>
  <c r="A136" i="29"/>
  <c r="G135" i="29"/>
  <c r="F135" i="29"/>
  <c r="E135" i="29"/>
  <c r="D135" i="29"/>
  <c r="C135" i="29"/>
  <c r="B135" i="29"/>
  <c r="A135" i="29"/>
  <c r="G134" i="29"/>
  <c r="F134" i="29"/>
  <c r="E134" i="29"/>
  <c r="D134" i="29"/>
  <c r="C134" i="29"/>
  <c r="B134" i="29"/>
  <c r="A134" i="29"/>
  <c r="G133" i="29"/>
  <c r="F133" i="29"/>
  <c r="E133" i="29"/>
  <c r="D133" i="29"/>
  <c r="C133" i="29"/>
  <c r="B133" i="29"/>
  <c r="A133" i="29"/>
  <c r="G132" i="29"/>
  <c r="F132" i="29"/>
  <c r="E132" i="29"/>
  <c r="D132" i="29"/>
  <c r="C132" i="29"/>
  <c r="B132" i="29"/>
  <c r="A132" i="29"/>
  <c r="G131" i="29"/>
  <c r="F131" i="29"/>
  <c r="E131" i="29"/>
  <c r="D131" i="29"/>
  <c r="C131" i="29"/>
  <c r="B131" i="29"/>
  <c r="A131" i="29"/>
  <c r="G130" i="29"/>
  <c r="F130" i="29"/>
  <c r="E130" i="29"/>
  <c r="D130" i="29"/>
  <c r="C130" i="29"/>
  <c r="B130" i="29"/>
  <c r="A130" i="29"/>
  <c r="G129" i="29"/>
  <c r="F129" i="29"/>
  <c r="E129" i="29"/>
  <c r="D129" i="29"/>
  <c r="C129" i="29"/>
  <c r="B129" i="29"/>
  <c r="A129" i="29"/>
  <c r="G128" i="29"/>
  <c r="F128" i="29"/>
  <c r="E128" i="29"/>
  <c r="D128" i="29"/>
  <c r="C128" i="29"/>
  <c r="B128" i="29"/>
  <c r="A128" i="29"/>
  <c r="G127" i="29"/>
  <c r="F127" i="29"/>
  <c r="E127" i="29"/>
  <c r="D127" i="29"/>
  <c r="C127" i="29"/>
  <c r="B127" i="29"/>
  <c r="A127" i="29"/>
  <c r="G126" i="29"/>
  <c r="F126" i="29"/>
  <c r="E126" i="29"/>
  <c r="D126" i="29"/>
  <c r="C126" i="29"/>
  <c r="B126" i="29"/>
  <c r="A126" i="29"/>
  <c r="G125" i="29"/>
  <c r="F125" i="29"/>
  <c r="E125" i="29"/>
  <c r="D125" i="29"/>
  <c r="C125" i="29"/>
  <c r="B125" i="29"/>
  <c r="A125" i="29"/>
  <c r="G124" i="29"/>
  <c r="F124" i="29"/>
  <c r="E124" i="29"/>
  <c r="D124" i="29"/>
  <c r="C124" i="29"/>
  <c r="B124" i="29"/>
  <c r="A124" i="29"/>
  <c r="G123" i="29"/>
  <c r="F123" i="29"/>
  <c r="E123" i="29"/>
  <c r="D123" i="29"/>
  <c r="C123" i="29"/>
  <c r="B123" i="29"/>
  <c r="A123" i="29"/>
  <c r="G122" i="29"/>
  <c r="F122" i="29"/>
  <c r="E122" i="29"/>
  <c r="D122" i="29"/>
  <c r="C122" i="29"/>
  <c r="B122" i="29"/>
  <c r="A122" i="29"/>
  <c r="G121" i="29"/>
  <c r="F121" i="29"/>
  <c r="E121" i="29"/>
  <c r="D121" i="29"/>
  <c r="C121" i="29"/>
  <c r="B121" i="29"/>
  <c r="A121" i="29"/>
  <c r="G120" i="29"/>
  <c r="F120" i="29"/>
  <c r="E120" i="29"/>
  <c r="D120" i="29"/>
  <c r="C120" i="29"/>
  <c r="B120" i="29"/>
  <c r="A120" i="29"/>
  <c r="G119" i="29"/>
  <c r="F119" i="29"/>
  <c r="E119" i="29"/>
  <c r="D119" i="29"/>
  <c r="C119" i="29"/>
  <c r="B119" i="29"/>
  <c r="A119" i="29"/>
  <c r="G118" i="29"/>
  <c r="F118" i="29"/>
  <c r="E118" i="29"/>
  <c r="D118" i="29"/>
  <c r="C118" i="29"/>
  <c r="B118" i="29"/>
  <c r="A118" i="29"/>
  <c r="G117" i="29"/>
  <c r="F117" i="29"/>
  <c r="E117" i="29"/>
  <c r="D117" i="29"/>
  <c r="C117" i="29"/>
  <c r="B117" i="29"/>
  <c r="A117" i="29"/>
  <c r="G116" i="29"/>
  <c r="F116" i="29"/>
  <c r="E116" i="29"/>
  <c r="D116" i="29"/>
  <c r="C116" i="29"/>
  <c r="B116" i="29"/>
  <c r="A116" i="29"/>
  <c r="G115" i="29"/>
  <c r="F115" i="29"/>
  <c r="E115" i="29"/>
  <c r="D115" i="29"/>
  <c r="C115" i="29"/>
  <c r="B115" i="29"/>
  <c r="A115" i="29"/>
  <c r="G114" i="29"/>
  <c r="F114" i="29"/>
  <c r="E114" i="29"/>
  <c r="D114" i="29"/>
  <c r="C114" i="29"/>
  <c r="B114" i="29"/>
  <c r="A114" i="29"/>
  <c r="G113" i="29"/>
  <c r="F113" i="29"/>
  <c r="E113" i="29"/>
  <c r="D113" i="29"/>
  <c r="C113" i="29"/>
  <c r="B113" i="29"/>
  <c r="A113" i="29"/>
  <c r="G112" i="29"/>
  <c r="F112" i="29"/>
  <c r="E112" i="29"/>
  <c r="D112" i="29"/>
  <c r="C112" i="29"/>
  <c r="B112" i="29"/>
  <c r="A112" i="29"/>
  <c r="G111" i="29"/>
  <c r="F111" i="29"/>
  <c r="E111" i="29"/>
  <c r="D111" i="29"/>
  <c r="C111" i="29"/>
  <c r="B111" i="29"/>
  <c r="A111" i="29"/>
  <c r="G110" i="29"/>
  <c r="F110" i="29"/>
  <c r="E110" i="29"/>
  <c r="D110" i="29"/>
  <c r="C110" i="29"/>
  <c r="B110" i="29"/>
  <c r="A110" i="29"/>
  <c r="G109" i="29"/>
  <c r="F109" i="29"/>
  <c r="E109" i="29"/>
  <c r="D109" i="29"/>
  <c r="C109" i="29"/>
  <c r="B109" i="29"/>
  <c r="A109" i="29"/>
  <c r="G108" i="29"/>
  <c r="F108" i="29"/>
  <c r="E108" i="29"/>
  <c r="D108" i="29"/>
  <c r="C108" i="29"/>
  <c r="B108" i="29"/>
  <c r="A108" i="29"/>
  <c r="G107" i="29"/>
  <c r="F107" i="29"/>
  <c r="E107" i="29"/>
  <c r="D107" i="29"/>
  <c r="C107" i="29"/>
  <c r="B107" i="29"/>
  <c r="A107" i="29"/>
  <c r="G106" i="29"/>
  <c r="F106" i="29"/>
  <c r="E106" i="29"/>
  <c r="D106" i="29"/>
  <c r="C106" i="29"/>
  <c r="B106" i="29"/>
  <c r="A106" i="29"/>
  <c r="G105" i="29"/>
  <c r="F105" i="29"/>
  <c r="E105" i="29"/>
  <c r="D105" i="29"/>
  <c r="C105" i="29"/>
  <c r="B105" i="29"/>
  <c r="A105" i="29"/>
  <c r="G104" i="29"/>
  <c r="F104" i="29"/>
  <c r="E104" i="29"/>
  <c r="D104" i="29"/>
  <c r="C104" i="29"/>
  <c r="B104" i="29"/>
  <c r="A104" i="29"/>
  <c r="G103" i="29"/>
  <c r="F103" i="29"/>
  <c r="E103" i="29"/>
  <c r="D103" i="29"/>
  <c r="C103" i="29"/>
  <c r="B103" i="29"/>
  <c r="A103" i="29"/>
  <c r="G102" i="29"/>
  <c r="F102" i="29"/>
  <c r="E102" i="29"/>
  <c r="D102" i="29"/>
  <c r="C102" i="29"/>
  <c r="B102" i="29"/>
  <c r="A102" i="29"/>
  <c r="G101" i="29"/>
  <c r="F101" i="29"/>
  <c r="E101" i="29"/>
  <c r="D101" i="29"/>
  <c r="C101" i="29"/>
  <c r="B101" i="29"/>
  <c r="A101" i="29"/>
  <c r="G100" i="29"/>
  <c r="F100" i="29"/>
  <c r="E100" i="29"/>
  <c r="D100" i="29"/>
  <c r="C100" i="29"/>
  <c r="B100" i="29"/>
  <c r="A100" i="29"/>
  <c r="G99" i="29"/>
  <c r="F99" i="29"/>
  <c r="E99" i="29"/>
  <c r="D99" i="29"/>
  <c r="C99" i="29"/>
  <c r="B99" i="29"/>
  <c r="A99" i="29"/>
  <c r="G98" i="29"/>
  <c r="F98" i="29"/>
  <c r="E98" i="29"/>
  <c r="D98" i="29"/>
  <c r="C98" i="29"/>
  <c r="B98" i="29"/>
  <c r="A98" i="29"/>
  <c r="G97" i="29"/>
  <c r="F97" i="29"/>
  <c r="E97" i="29"/>
  <c r="D97" i="29"/>
  <c r="C97" i="29"/>
  <c r="B97" i="29"/>
  <c r="A97" i="29"/>
  <c r="G96" i="29"/>
  <c r="F96" i="29"/>
  <c r="E96" i="29"/>
  <c r="D96" i="29"/>
  <c r="C96" i="29"/>
  <c r="B96" i="29"/>
  <c r="A96" i="29"/>
  <c r="G95" i="29"/>
  <c r="F95" i="29"/>
  <c r="E95" i="29"/>
  <c r="D95" i="29"/>
  <c r="C95" i="29"/>
  <c r="B95" i="29"/>
  <c r="A95" i="29"/>
  <c r="G94" i="29"/>
  <c r="F94" i="29"/>
  <c r="E94" i="29"/>
  <c r="D94" i="29"/>
  <c r="C94" i="29"/>
  <c r="B94" i="29"/>
  <c r="A94" i="29"/>
  <c r="G93" i="29"/>
  <c r="F93" i="29"/>
  <c r="E93" i="29"/>
  <c r="D93" i="29"/>
  <c r="C93" i="29"/>
  <c r="B93" i="29"/>
  <c r="A93" i="29"/>
  <c r="G92" i="29"/>
  <c r="F92" i="29"/>
  <c r="E92" i="29"/>
  <c r="D92" i="29"/>
  <c r="C92" i="29"/>
  <c r="B92" i="29"/>
  <c r="A92" i="29"/>
  <c r="G91" i="29"/>
  <c r="F91" i="29"/>
  <c r="E91" i="29"/>
  <c r="D91" i="29"/>
  <c r="C91" i="29"/>
  <c r="B91" i="29"/>
  <c r="A91" i="29"/>
  <c r="G90" i="29"/>
  <c r="F90" i="29"/>
  <c r="E90" i="29"/>
  <c r="D90" i="29"/>
  <c r="C90" i="29"/>
  <c r="B90" i="29"/>
  <c r="A90" i="29"/>
  <c r="G89" i="29"/>
  <c r="F89" i="29"/>
  <c r="E89" i="29"/>
  <c r="D89" i="29"/>
  <c r="C89" i="29"/>
  <c r="B89" i="29"/>
  <c r="A89" i="29"/>
  <c r="G88" i="29"/>
  <c r="F88" i="29"/>
  <c r="E88" i="29"/>
  <c r="D88" i="29"/>
  <c r="C88" i="29"/>
  <c r="B88" i="29"/>
  <c r="A88" i="29"/>
  <c r="G87" i="29"/>
  <c r="F87" i="29"/>
  <c r="E87" i="29"/>
  <c r="D87" i="29"/>
  <c r="C87" i="29"/>
  <c r="B87" i="29"/>
  <c r="A87" i="29"/>
  <c r="G86" i="29"/>
  <c r="F86" i="29"/>
  <c r="E86" i="29"/>
  <c r="D86" i="29"/>
  <c r="C86" i="29"/>
  <c r="B86" i="29"/>
  <c r="A86" i="29"/>
  <c r="G85" i="29"/>
  <c r="F85" i="29"/>
  <c r="E85" i="29"/>
  <c r="D85" i="29"/>
  <c r="C85" i="29"/>
  <c r="B85" i="29"/>
  <c r="A85" i="29"/>
  <c r="G84" i="29"/>
  <c r="F84" i="29"/>
  <c r="E84" i="29"/>
  <c r="D84" i="29"/>
  <c r="C84" i="29"/>
  <c r="B84" i="29"/>
  <c r="A84" i="29"/>
  <c r="G83" i="29"/>
  <c r="F83" i="29"/>
  <c r="E83" i="29"/>
  <c r="D83" i="29"/>
  <c r="C83" i="29"/>
  <c r="B83" i="29"/>
  <c r="A83" i="29"/>
  <c r="G82" i="29"/>
  <c r="F82" i="29"/>
  <c r="E82" i="29"/>
  <c r="D82" i="29"/>
  <c r="C82" i="29"/>
  <c r="B82" i="29"/>
  <c r="A82" i="29"/>
  <c r="G81" i="29"/>
  <c r="F81" i="29"/>
  <c r="E81" i="29"/>
  <c r="D81" i="29"/>
  <c r="C81" i="29"/>
  <c r="B81" i="29"/>
  <c r="A81" i="29"/>
  <c r="G80" i="29"/>
  <c r="F80" i="29"/>
  <c r="E80" i="29"/>
  <c r="D80" i="29"/>
  <c r="C80" i="29"/>
  <c r="B80" i="29"/>
  <c r="A80" i="29"/>
  <c r="G79" i="29"/>
  <c r="F79" i="29"/>
  <c r="E79" i="29"/>
  <c r="D79" i="29"/>
  <c r="C79" i="29"/>
  <c r="B79" i="29"/>
  <c r="A79" i="29"/>
  <c r="G78" i="29"/>
  <c r="F78" i="29"/>
  <c r="E78" i="29"/>
  <c r="D78" i="29"/>
  <c r="C78" i="29"/>
  <c r="B78" i="29"/>
  <c r="A78" i="29"/>
  <c r="G77" i="29"/>
  <c r="F77" i="29"/>
  <c r="E77" i="29"/>
  <c r="D77" i="29"/>
  <c r="C77" i="29"/>
  <c r="B77" i="29"/>
  <c r="A77" i="29"/>
  <c r="G76" i="29"/>
  <c r="F76" i="29"/>
  <c r="E76" i="29"/>
  <c r="D76" i="29"/>
  <c r="C76" i="29"/>
  <c r="B76" i="29"/>
  <c r="A76" i="29"/>
  <c r="G75" i="29"/>
  <c r="F75" i="29"/>
  <c r="E75" i="29"/>
  <c r="D75" i="29"/>
  <c r="C75" i="29"/>
  <c r="B75" i="29"/>
  <c r="A75" i="29"/>
  <c r="G74" i="29"/>
  <c r="F74" i="29"/>
  <c r="E74" i="29"/>
  <c r="D74" i="29"/>
  <c r="C74" i="29"/>
  <c r="B74" i="29"/>
  <c r="A74" i="29"/>
  <c r="G73" i="29"/>
  <c r="F73" i="29"/>
  <c r="E73" i="29"/>
  <c r="D73" i="29"/>
  <c r="C73" i="29"/>
  <c r="B73" i="29"/>
  <c r="A73" i="29"/>
  <c r="G72" i="29"/>
  <c r="F72" i="29"/>
  <c r="E72" i="29"/>
  <c r="D72" i="29"/>
  <c r="C72" i="29"/>
  <c r="B72" i="29"/>
  <c r="A72" i="29"/>
  <c r="G71" i="29"/>
  <c r="F71" i="29"/>
  <c r="E71" i="29"/>
  <c r="D71" i="29"/>
  <c r="C71" i="29"/>
  <c r="B71" i="29"/>
  <c r="A71" i="29"/>
  <c r="G70" i="29"/>
  <c r="F70" i="29"/>
  <c r="E70" i="29"/>
  <c r="D70" i="29"/>
  <c r="C70" i="29"/>
  <c r="B70" i="29"/>
  <c r="A70" i="29"/>
  <c r="G69" i="29"/>
  <c r="F69" i="29"/>
  <c r="E69" i="29"/>
  <c r="D69" i="29"/>
  <c r="C69" i="29"/>
  <c r="B69" i="29"/>
  <c r="A69" i="29"/>
  <c r="G68" i="29"/>
  <c r="F68" i="29"/>
  <c r="E68" i="29"/>
  <c r="D68" i="29"/>
  <c r="C68" i="29"/>
  <c r="B68" i="29"/>
  <c r="A68" i="29"/>
  <c r="G67" i="29"/>
  <c r="F67" i="29"/>
  <c r="E67" i="29"/>
  <c r="D67" i="29"/>
  <c r="C67" i="29"/>
  <c r="B67" i="29"/>
  <c r="A67" i="29"/>
  <c r="G66" i="29"/>
  <c r="F66" i="29"/>
  <c r="E66" i="29"/>
  <c r="D66" i="29"/>
  <c r="C66" i="29"/>
  <c r="B66" i="29"/>
  <c r="A66" i="29"/>
  <c r="G65" i="29"/>
  <c r="F65" i="29"/>
  <c r="E65" i="29"/>
  <c r="D65" i="29"/>
  <c r="C65" i="29"/>
  <c r="B65" i="29"/>
  <c r="A65" i="29"/>
  <c r="G64" i="29"/>
  <c r="F64" i="29"/>
  <c r="E64" i="29"/>
  <c r="D64" i="29"/>
  <c r="C64" i="29"/>
  <c r="B64" i="29"/>
  <c r="A64" i="29"/>
  <c r="G63" i="29"/>
  <c r="F63" i="29"/>
  <c r="E63" i="29"/>
  <c r="D63" i="29"/>
  <c r="C63" i="29"/>
  <c r="B63" i="29"/>
  <c r="A63" i="29"/>
  <c r="G62" i="29"/>
  <c r="F62" i="29"/>
  <c r="E62" i="29"/>
  <c r="D62" i="29"/>
  <c r="C62" i="29"/>
  <c r="B62" i="29"/>
  <c r="A62" i="29"/>
  <c r="G61" i="29"/>
  <c r="F61" i="29"/>
  <c r="E61" i="29"/>
  <c r="D61" i="29"/>
  <c r="C61" i="29"/>
  <c r="B61" i="29"/>
  <c r="A61" i="29"/>
  <c r="G60" i="29"/>
  <c r="F60" i="29"/>
  <c r="E60" i="29"/>
  <c r="D60" i="29"/>
  <c r="C60" i="29"/>
  <c r="B60" i="29"/>
  <c r="A60" i="29"/>
  <c r="G59" i="29"/>
  <c r="F59" i="29"/>
  <c r="E59" i="29"/>
  <c r="D59" i="29"/>
  <c r="C59" i="29"/>
  <c r="B59" i="29"/>
  <c r="A59" i="29"/>
  <c r="G58" i="29"/>
  <c r="F58" i="29"/>
  <c r="E58" i="29"/>
  <c r="D58" i="29"/>
  <c r="C58" i="29"/>
  <c r="B58" i="29"/>
  <c r="A58" i="29"/>
  <c r="G57" i="29"/>
  <c r="F57" i="29"/>
  <c r="E57" i="29"/>
  <c r="D57" i="29"/>
  <c r="C57" i="29"/>
  <c r="B57" i="29"/>
  <c r="A57" i="29"/>
  <c r="G56" i="29"/>
  <c r="F56" i="29"/>
  <c r="E56" i="29"/>
  <c r="D56" i="29"/>
  <c r="C56" i="29"/>
  <c r="B56" i="29"/>
  <c r="A56" i="29"/>
  <c r="G55" i="29"/>
  <c r="F55" i="29"/>
  <c r="E55" i="29"/>
  <c r="D55" i="29"/>
  <c r="C55" i="29"/>
  <c r="B55" i="29"/>
  <c r="A55" i="29"/>
  <c r="G54" i="29"/>
  <c r="F54" i="29"/>
  <c r="E54" i="29"/>
  <c r="D54" i="29"/>
  <c r="C54" i="29"/>
  <c r="B54" i="29"/>
  <c r="A54" i="29"/>
  <c r="G53" i="29"/>
  <c r="F53" i="29"/>
  <c r="E53" i="29"/>
  <c r="D53" i="29"/>
  <c r="C53" i="29"/>
  <c r="B53" i="29"/>
  <c r="A53" i="29"/>
  <c r="G52" i="29"/>
  <c r="F52" i="29"/>
  <c r="E52" i="29"/>
  <c r="D52" i="29"/>
  <c r="C52" i="29"/>
  <c r="B52" i="29"/>
  <c r="A52" i="29"/>
  <c r="G51" i="29"/>
  <c r="F51" i="29"/>
  <c r="E51" i="29"/>
  <c r="D51" i="29"/>
  <c r="C51" i="29"/>
  <c r="B51" i="29"/>
  <c r="A51" i="29"/>
  <c r="G50" i="29"/>
  <c r="F50" i="29"/>
  <c r="E50" i="29"/>
  <c r="D50" i="29"/>
  <c r="C50" i="29"/>
  <c r="B50" i="29"/>
  <c r="A50" i="29"/>
  <c r="G49" i="29"/>
  <c r="F49" i="29"/>
  <c r="E49" i="29"/>
  <c r="D49" i="29"/>
  <c r="C49" i="29"/>
  <c r="B49" i="29"/>
  <c r="A49" i="29"/>
  <c r="G48" i="29"/>
  <c r="F48" i="29"/>
  <c r="E48" i="29"/>
  <c r="D48" i="29"/>
  <c r="C48" i="29"/>
  <c r="B48" i="29"/>
  <c r="A48" i="29"/>
  <c r="G47" i="29"/>
  <c r="F47" i="29"/>
  <c r="E47" i="29"/>
  <c r="D47" i="29"/>
  <c r="C47" i="29"/>
  <c r="B47" i="29"/>
  <c r="A47" i="29"/>
  <c r="G46" i="29"/>
  <c r="F46" i="29"/>
  <c r="E46" i="29"/>
  <c r="D46" i="29"/>
  <c r="C46" i="29"/>
  <c r="B46" i="29"/>
  <c r="A46" i="29"/>
  <c r="G45" i="29"/>
  <c r="F45" i="29"/>
  <c r="E45" i="29"/>
  <c r="D45" i="29"/>
  <c r="C45" i="29"/>
  <c r="B45" i="29"/>
  <c r="A45" i="29"/>
  <c r="G44" i="29"/>
  <c r="F44" i="29"/>
  <c r="E44" i="29"/>
  <c r="D44" i="29"/>
  <c r="C44" i="29"/>
  <c r="B44" i="29"/>
  <c r="A44" i="29"/>
  <c r="G43" i="29"/>
  <c r="F43" i="29"/>
  <c r="E43" i="29"/>
  <c r="D43" i="29"/>
  <c r="C43" i="29"/>
  <c r="B43" i="29"/>
  <c r="A43" i="29"/>
  <c r="G42" i="29"/>
  <c r="F42" i="29"/>
  <c r="E42" i="29"/>
  <c r="D42" i="29"/>
  <c r="C42" i="29"/>
  <c r="B42" i="29"/>
  <c r="A42" i="29"/>
  <c r="G41" i="29"/>
  <c r="F41" i="29"/>
  <c r="E41" i="29"/>
  <c r="D41" i="29"/>
  <c r="C41" i="29"/>
  <c r="B41" i="29"/>
  <c r="A41" i="29"/>
  <c r="G40" i="29"/>
  <c r="F40" i="29"/>
  <c r="E40" i="29"/>
  <c r="D40" i="29"/>
  <c r="C40" i="29"/>
  <c r="B40" i="29"/>
  <c r="A40" i="29"/>
  <c r="G39" i="29"/>
  <c r="F39" i="29"/>
  <c r="E39" i="29"/>
  <c r="D39" i="29"/>
  <c r="C39" i="29"/>
  <c r="B39" i="29"/>
  <c r="A39" i="29"/>
  <c r="G38" i="29"/>
  <c r="F38" i="29"/>
  <c r="E38" i="29"/>
  <c r="D38" i="29"/>
  <c r="C38" i="29"/>
  <c r="B38" i="29"/>
  <c r="A38" i="29"/>
  <c r="G37" i="29"/>
  <c r="F37" i="29"/>
  <c r="E37" i="29"/>
  <c r="D37" i="29"/>
  <c r="C37" i="29"/>
  <c r="B37" i="29"/>
  <c r="A37" i="29"/>
  <c r="G36" i="29"/>
  <c r="F36" i="29"/>
  <c r="E36" i="29"/>
  <c r="D36" i="29"/>
  <c r="C36" i="29"/>
  <c r="B36" i="29"/>
  <c r="A36" i="29"/>
  <c r="G35" i="29"/>
  <c r="F35" i="29"/>
  <c r="E35" i="29"/>
  <c r="D35" i="29"/>
  <c r="C35" i="29"/>
  <c r="B35" i="29"/>
  <c r="A35" i="29"/>
  <c r="G34" i="29"/>
  <c r="F34" i="29"/>
  <c r="E34" i="29"/>
  <c r="D34" i="29"/>
  <c r="C34" i="29"/>
  <c r="B34" i="29"/>
  <c r="A34" i="29"/>
  <c r="G33" i="29"/>
  <c r="F33" i="29"/>
  <c r="E33" i="29"/>
  <c r="D33" i="29"/>
  <c r="C33" i="29"/>
  <c r="B33" i="29"/>
  <c r="A33" i="29"/>
  <c r="G32" i="29"/>
  <c r="F32" i="29"/>
  <c r="E32" i="29"/>
  <c r="D32" i="29"/>
  <c r="C32" i="29"/>
  <c r="B32" i="29"/>
  <c r="A32" i="29"/>
  <c r="G31" i="29"/>
  <c r="F31" i="29"/>
  <c r="E31" i="29"/>
  <c r="D31" i="29"/>
  <c r="C31" i="29"/>
  <c r="B31" i="29"/>
  <c r="A31" i="29"/>
  <c r="G30" i="29"/>
  <c r="F30" i="29"/>
  <c r="E30" i="29"/>
  <c r="D30" i="29"/>
  <c r="C30" i="29"/>
  <c r="B30" i="29"/>
  <c r="A30" i="29"/>
  <c r="G29" i="29"/>
  <c r="F29" i="29"/>
  <c r="E29" i="29"/>
  <c r="D29" i="29"/>
  <c r="C29" i="29"/>
  <c r="B29" i="29"/>
  <c r="A29" i="29"/>
  <c r="G28" i="29"/>
  <c r="F28" i="29"/>
  <c r="E28" i="29"/>
  <c r="D28" i="29"/>
  <c r="C28" i="29"/>
  <c r="B28" i="29"/>
  <c r="A28" i="29"/>
  <c r="G27" i="29"/>
  <c r="F27" i="29"/>
  <c r="E27" i="29"/>
  <c r="D27" i="29"/>
  <c r="C27" i="29"/>
  <c r="B27" i="29"/>
  <c r="A27" i="29"/>
  <c r="G26" i="29"/>
  <c r="F26" i="29"/>
  <c r="E26" i="29"/>
  <c r="D26" i="29"/>
  <c r="C26" i="29"/>
  <c r="B26" i="29"/>
  <c r="A26" i="29"/>
  <c r="G25" i="29"/>
  <c r="F25" i="29"/>
  <c r="E25" i="29"/>
  <c r="D25" i="29"/>
  <c r="C25" i="29"/>
  <c r="B25" i="29"/>
  <c r="A25" i="29"/>
  <c r="G24" i="29"/>
  <c r="F24" i="29"/>
  <c r="E24" i="29"/>
  <c r="D24" i="29"/>
  <c r="C24" i="29"/>
  <c r="B24" i="29"/>
  <c r="A24" i="29"/>
  <c r="G23" i="29"/>
  <c r="F23" i="29"/>
  <c r="E23" i="29"/>
  <c r="D23" i="29"/>
  <c r="C23" i="29"/>
  <c r="B23" i="29"/>
  <c r="A23" i="29"/>
  <c r="G22" i="29"/>
  <c r="F22" i="29"/>
  <c r="E22" i="29"/>
  <c r="D22" i="29"/>
  <c r="C22" i="29"/>
  <c r="B22" i="29"/>
  <c r="A22" i="29"/>
  <c r="G21" i="29"/>
  <c r="F21" i="29"/>
  <c r="E21" i="29"/>
  <c r="D21" i="29"/>
  <c r="C21" i="29"/>
  <c r="B21" i="29"/>
  <c r="A21" i="29"/>
  <c r="G20" i="29"/>
  <c r="F20" i="29"/>
  <c r="E20" i="29"/>
  <c r="D20" i="29"/>
  <c r="C20" i="29"/>
  <c r="B20" i="29"/>
  <c r="A20" i="29"/>
  <c r="G19" i="29"/>
  <c r="F19" i="29"/>
  <c r="E19" i="29"/>
  <c r="D19" i="29"/>
  <c r="C19" i="29"/>
  <c r="B19" i="29"/>
  <c r="A19" i="29"/>
  <c r="G18" i="29"/>
  <c r="F18" i="29"/>
  <c r="E18" i="29"/>
  <c r="D18" i="29"/>
  <c r="C18" i="29"/>
  <c r="B18" i="29"/>
  <c r="A18" i="29"/>
  <c r="G17" i="29"/>
  <c r="F17" i="29"/>
  <c r="E17" i="29"/>
  <c r="D17" i="29"/>
  <c r="C17" i="29"/>
  <c r="B17" i="29"/>
  <c r="A17" i="29"/>
  <c r="G16" i="29"/>
  <c r="F16" i="29"/>
  <c r="E16" i="29"/>
  <c r="D16" i="29"/>
  <c r="C16" i="29"/>
  <c r="B16" i="29"/>
  <c r="A16" i="29"/>
  <c r="G15" i="29"/>
  <c r="F15" i="29"/>
  <c r="E15" i="29"/>
  <c r="D15" i="29"/>
  <c r="C15" i="29"/>
  <c r="B15" i="29"/>
  <c r="A15" i="29"/>
  <c r="G14" i="29"/>
  <c r="F14" i="29"/>
  <c r="E14" i="29"/>
  <c r="D14" i="29"/>
  <c r="C14" i="29"/>
  <c r="B14" i="29"/>
  <c r="A14" i="29"/>
  <c r="G13" i="29"/>
  <c r="F13" i="29"/>
  <c r="E13" i="29"/>
  <c r="D13" i="29"/>
  <c r="C13" i="29"/>
  <c r="B13" i="29"/>
  <c r="A13" i="29"/>
  <c r="G12" i="29"/>
  <c r="F12" i="29"/>
  <c r="E12" i="29"/>
  <c r="D12" i="29"/>
  <c r="C12" i="29"/>
  <c r="B12" i="29"/>
  <c r="A12" i="29"/>
  <c r="G11" i="29"/>
  <c r="F11" i="29"/>
  <c r="E11" i="29"/>
  <c r="D11" i="29"/>
  <c r="C11" i="29"/>
  <c r="B11" i="29"/>
  <c r="A11" i="29"/>
  <c r="G10" i="29"/>
  <c r="F10" i="29"/>
  <c r="E10" i="29"/>
  <c r="D10" i="29"/>
  <c r="C10" i="29"/>
  <c r="B10" i="29"/>
  <c r="A10" i="29"/>
  <c r="G9" i="29"/>
  <c r="F9" i="29"/>
  <c r="E9" i="29"/>
  <c r="D9" i="29"/>
  <c r="C9" i="29"/>
  <c r="B9" i="29"/>
  <c r="A9" i="29"/>
  <c r="G8" i="29"/>
  <c r="F8" i="29"/>
  <c r="E8" i="29"/>
  <c r="D8" i="29"/>
  <c r="C8" i="29"/>
  <c r="B8" i="29"/>
  <c r="A8" i="29"/>
  <c r="G7" i="29"/>
  <c r="F7" i="29"/>
  <c r="E7" i="29"/>
  <c r="D7" i="29"/>
  <c r="C7" i="29"/>
  <c r="B7" i="29"/>
  <c r="A7" i="29"/>
  <c r="G6" i="29"/>
  <c r="F6" i="29"/>
  <c r="E6" i="29"/>
  <c r="D6" i="29"/>
  <c r="C6" i="29"/>
  <c r="B6" i="29"/>
  <c r="A6" i="29"/>
  <c r="G5" i="29"/>
  <c r="F5" i="29"/>
  <c r="E5" i="29"/>
  <c r="D5" i="29"/>
  <c r="C5" i="29"/>
  <c r="B5" i="29"/>
  <c r="A5" i="29"/>
  <c r="G4" i="29"/>
  <c r="F4" i="29"/>
  <c r="E4" i="29"/>
  <c r="D4" i="29"/>
  <c r="C4" i="29"/>
  <c r="B4" i="29"/>
  <c r="A4" i="29"/>
  <c r="G3" i="29"/>
  <c r="F3" i="29"/>
  <c r="E3" i="29"/>
  <c r="D3" i="29"/>
  <c r="C3" i="29"/>
  <c r="B3" i="29"/>
  <c r="A3" i="29"/>
  <c r="G2" i="29"/>
  <c r="F2" i="29"/>
  <c r="E2" i="29"/>
  <c r="D2" i="29"/>
  <c r="C2" i="29"/>
  <c r="B2" i="29"/>
  <c r="A2" i="29"/>
  <c r="G1" i="29"/>
  <c r="F1" i="29"/>
  <c r="E1" i="29"/>
  <c r="D1" i="29"/>
  <c r="C1" i="29"/>
  <c r="B1" i="29"/>
  <c r="A1" i="29"/>
  <c r="G290" i="28"/>
  <c r="F290" i="28"/>
  <c r="E290" i="28"/>
  <c r="D290" i="28"/>
  <c r="C290" i="28"/>
  <c r="B290" i="28"/>
  <c r="A290" i="28"/>
  <c r="G289" i="28"/>
  <c r="F289" i="28"/>
  <c r="E289" i="28"/>
  <c r="D289" i="28"/>
  <c r="C289" i="28"/>
  <c r="B289" i="28"/>
  <c r="A289" i="28"/>
  <c r="G288" i="28"/>
  <c r="F288" i="28"/>
  <c r="E288" i="28"/>
  <c r="D288" i="28"/>
  <c r="C288" i="28"/>
  <c r="B288" i="28"/>
  <c r="A288" i="28"/>
  <c r="G287" i="28"/>
  <c r="F287" i="28"/>
  <c r="E287" i="28"/>
  <c r="D287" i="28"/>
  <c r="C287" i="28"/>
  <c r="B287" i="28"/>
  <c r="A287" i="28"/>
  <c r="G286" i="28"/>
  <c r="F286" i="28"/>
  <c r="E286" i="28"/>
  <c r="D286" i="28"/>
  <c r="C286" i="28"/>
  <c r="B286" i="28"/>
  <c r="A286" i="28"/>
  <c r="G285" i="28"/>
  <c r="F285" i="28"/>
  <c r="E285" i="28"/>
  <c r="D285" i="28"/>
  <c r="C285" i="28"/>
  <c r="B285" i="28"/>
  <c r="A285" i="28"/>
  <c r="G284" i="28"/>
  <c r="F284" i="28"/>
  <c r="E284" i="28"/>
  <c r="D284" i="28"/>
  <c r="C284" i="28"/>
  <c r="B284" i="28"/>
  <c r="A284" i="28"/>
  <c r="G283" i="28"/>
  <c r="F283" i="28"/>
  <c r="E283" i="28"/>
  <c r="D283" i="28"/>
  <c r="C283" i="28"/>
  <c r="B283" i="28"/>
  <c r="A283" i="28"/>
  <c r="G282" i="28"/>
  <c r="F282" i="28"/>
  <c r="E282" i="28"/>
  <c r="D282" i="28"/>
  <c r="C282" i="28"/>
  <c r="B282" i="28"/>
  <c r="A282" i="28"/>
  <c r="G281" i="28"/>
  <c r="F281" i="28"/>
  <c r="E281" i="28"/>
  <c r="D281" i="28"/>
  <c r="C281" i="28"/>
  <c r="B281" i="28"/>
  <c r="A281" i="28"/>
  <c r="G280" i="28"/>
  <c r="F280" i="28"/>
  <c r="E280" i="28"/>
  <c r="D280" i="28"/>
  <c r="C280" i="28"/>
  <c r="B280" i="28"/>
  <c r="A280" i="28"/>
  <c r="G279" i="28"/>
  <c r="F279" i="28"/>
  <c r="E279" i="28"/>
  <c r="D279" i="28"/>
  <c r="C279" i="28"/>
  <c r="B279" i="28"/>
  <c r="A279" i="28"/>
  <c r="G278" i="28"/>
  <c r="F278" i="28"/>
  <c r="E278" i="28"/>
  <c r="D278" i="28"/>
  <c r="C278" i="28"/>
  <c r="B278" i="28"/>
  <c r="A278" i="28"/>
  <c r="G277" i="28"/>
  <c r="F277" i="28"/>
  <c r="E277" i="28"/>
  <c r="D277" i="28"/>
  <c r="C277" i="28"/>
  <c r="B277" i="28"/>
  <c r="A277" i="28"/>
  <c r="G276" i="28"/>
  <c r="F276" i="28"/>
  <c r="E276" i="28"/>
  <c r="D276" i="28"/>
  <c r="C276" i="28"/>
  <c r="B276" i="28"/>
  <c r="A276" i="28"/>
  <c r="G275" i="28"/>
  <c r="F275" i="28"/>
  <c r="E275" i="28"/>
  <c r="D275" i="28"/>
  <c r="C275" i="28"/>
  <c r="B275" i="28"/>
  <c r="A275" i="28"/>
  <c r="G274" i="28"/>
  <c r="F274" i="28"/>
  <c r="E274" i="28"/>
  <c r="D274" i="28"/>
  <c r="C274" i="28"/>
  <c r="B274" i="28"/>
  <c r="A274" i="28"/>
  <c r="G273" i="28"/>
  <c r="F273" i="28"/>
  <c r="E273" i="28"/>
  <c r="D273" i="28"/>
  <c r="C273" i="28"/>
  <c r="B273" i="28"/>
  <c r="A273" i="28"/>
  <c r="G272" i="28"/>
  <c r="F272" i="28"/>
  <c r="E272" i="28"/>
  <c r="D272" i="28"/>
  <c r="C272" i="28"/>
  <c r="B272" i="28"/>
  <c r="A272" i="28"/>
  <c r="G271" i="28"/>
  <c r="F271" i="28"/>
  <c r="E271" i="28"/>
  <c r="D271" i="28"/>
  <c r="C271" i="28"/>
  <c r="B271" i="28"/>
  <c r="A271" i="28"/>
  <c r="G270" i="28"/>
  <c r="F270" i="28"/>
  <c r="E270" i="28"/>
  <c r="D270" i="28"/>
  <c r="C270" i="28"/>
  <c r="B270" i="28"/>
  <c r="A270" i="28"/>
  <c r="G269" i="28"/>
  <c r="F269" i="28"/>
  <c r="E269" i="28"/>
  <c r="D269" i="28"/>
  <c r="C269" i="28"/>
  <c r="B269" i="28"/>
  <c r="A269" i="28"/>
  <c r="G268" i="28"/>
  <c r="F268" i="28"/>
  <c r="E268" i="28"/>
  <c r="D268" i="28"/>
  <c r="C268" i="28"/>
  <c r="B268" i="28"/>
  <c r="A268" i="28"/>
  <c r="G267" i="28"/>
  <c r="F267" i="28"/>
  <c r="E267" i="28"/>
  <c r="D267" i="28"/>
  <c r="C267" i="28"/>
  <c r="B267" i="28"/>
  <c r="A267" i="28"/>
  <c r="G266" i="28"/>
  <c r="F266" i="28"/>
  <c r="E266" i="28"/>
  <c r="D266" i="28"/>
  <c r="C266" i="28"/>
  <c r="B266" i="28"/>
  <c r="A266" i="28"/>
  <c r="G265" i="28"/>
  <c r="F265" i="28"/>
  <c r="E265" i="28"/>
  <c r="D265" i="28"/>
  <c r="C265" i="28"/>
  <c r="B265" i="28"/>
  <c r="A265" i="28"/>
  <c r="G264" i="28"/>
  <c r="F264" i="28"/>
  <c r="E264" i="28"/>
  <c r="D264" i="28"/>
  <c r="C264" i="28"/>
  <c r="B264" i="28"/>
  <c r="A264" i="28"/>
  <c r="G263" i="28"/>
  <c r="F263" i="28"/>
  <c r="E263" i="28"/>
  <c r="D263" i="28"/>
  <c r="C263" i="28"/>
  <c r="B263" i="28"/>
  <c r="A263" i="28"/>
  <c r="G262" i="28"/>
  <c r="F262" i="28"/>
  <c r="E262" i="28"/>
  <c r="D262" i="28"/>
  <c r="C262" i="28"/>
  <c r="B262" i="28"/>
  <c r="A262" i="28"/>
  <c r="G261" i="28"/>
  <c r="F261" i="28"/>
  <c r="E261" i="28"/>
  <c r="D261" i="28"/>
  <c r="C261" i="28"/>
  <c r="B261" i="28"/>
  <c r="A261" i="28"/>
  <c r="G260" i="28"/>
  <c r="F260" i="28"/>
  <c r="E260" i="28"/>
  <c r="D260" i="28"/>
  <c r="C260" i="28"/>
  <c r="B260" i="28"/>
  <c r="A260" i="28"/>
  <c r="G259" i="28"/>
  <c r="F259" i="28"/>
  <c r="E259" i="28"/>
  <c r="D259" i="28"/>
  <c r="C259" i="28"/>
  <c r="B259" i="28"/>
  <c r="A259" i="28"/>
  <c r="G258" i="28"/>
  <c r="F258" i="28"/>
  <c r="E258" i="28"/>
  <c r="D258" i="28"/>
  <c r="C258" i="28"/>
  <c r="B258" i="28"/>
  <c r="A258" i="28"/>
  <c r="G257" i="28"/>
  <c r="F257" i="28"/>
  <c r="E257" i="28"/>
  <c r="D257" i="28"/>
  <c r="C257" i="28"/>
  <c r="B257" i="28"/>
  <c r="A257" i="28"/>
  <c r="G256" i="28"/>
  <c r="F256" i="28"/>
  <c r="E256" i="28"/>
  <c r="D256" i="28"/>
  <c r="C256" i="28"/>
  <c r="B256" i="28"/>
  <c r="A256" i="28"/>
  <c r="G255" i="28"/>
  <c r="F255" i="28"/>
  <c r="E255" i="28"/>
  <c r="D255" i="28"/>
  <c r="C255" i="28"/>
  <c r="B255" i="28"/>
  <c r="A255" i="28"/>
  <c r="G254" i="28"/>
  <c r="F254" i="28"/>
  <c r="E254" i="28"/>
  <c r="D254" i="28"/>
  <c r="C254" i="28"/>
  <c r="B254" i="28"/>
  <c r="A254" i="28"/>
  <c r="G253" i="28"/>
  <c r="F253" i="28"/>
  <c r="E253" i="28"/>
  <c r="D253" i="28"/>
  <c r="C253" i="28"/>
  <c r="B253" i="28"/>
  <c r="A253" i="28"/>
  <c r="G252" i="28"/>
  <c r="F252" i="28"/>
  <c r="E252" i="28"/>
  <c r="D252" i="28"/>
  <c r="C252" i="28"/>
  <c r="B252" i="28"/>
  <c r="A252" i="28"/>
  <c r="G251" i="28"/>
  <c r="F251" i="28"/>
  <c r="E251" i="28"/>
  <c r="D251" i="28"/>
  <c r="C251" i="28"/>
  <c r="B251" i="28"/>
  <c r="A251" i="28"/>
  <c r="G250" i="28"/>
  <c r="F250" i="28"/>
  <c r="E250" i="28"/>
  <c r="D250" i="28"/>
  <c r="C250" i="28"/>
  <c r="B250" i="28"/>
  <c r="A250" i="28"/>
  <c r="G249" i="28"/>
  <c r="F249" i="28"/>
  <c r="E249" i="28"/>
  <c r="D249" i="28"/>
  <c r="C249" i="28"/>
  <c r="B249" i="28"/>
  <c r="A249" i="28"/>
  <c r="G248" i="28"/>
  <c r="F248" i="28"/>
  <c r="E248" i="28"/>
  <c r="D248" i="28"/>
  <c r="C248" i="28"/>
  <c r="B248" i="28"/>
  <c r="A248" i="28"/>
  <c r="G247" i="28"/>
  <c r="F247" i="28"/>
  <c r="E247" i="28"/>
  <c r="D247" i="28"/>
  <c r="C247" i="28"/>
  <c r="B247" i="28"/>
  <c r="A247" i="28"/>
  <c r="G246" i="28"/>
  <c r="F246" i="28"/>
  <c r="E246" i="28"/>
  <c r="D246" i="28"/>
  <c r="C246" i="28"/>
  <c r="B246" i="28"/>
  <c r="A246" i="28"/>
  <c r="G245" i="28"/>
  <c r="F245" i="28"/>
  <c r="E245" i="28"/>
  <c r="D245" i="28"/>
  <c r="C245" i="28"/>
  <c r="B245" i="28"/>
  <c r="A245" i="28"/>
  <c r="G244" i="28"/>
  <c r="F244" i="28"/>
  <c r="E244" i="28"/>
  <c r="D244" i="28"/>
  <c r="C244" i="28"/>
  <c r="B244" i="28"/>
  <c r="A244" i="28"/>
  <c r="G243" i="28"/>
  <c r="F243" i="28"/>
  <c r="E243" i="28"/>
  <c r="D243" i="28"/>
  <c r="C243" i="28"/>
  <c r="B243" i="28"/>
  <c r="A243" i="28"/>
  <c r="G242" i="28"/>
  <c r="F242" i="28"/>
  <c r="E242" i="28"/>
  <c r="D242" i="28"/>
  <c r="C242" i="28"/>
  <c r="B242" i="28"/>
  <c r="A242" i="28"/>
  <c r="G241" i="28"/>
  <c r="F241" i="28"/>
  <c r="E241" i="28"/>
  <c r="D241" i="28"/>
  <c r="C241" i="28"/>
  <c r="B241" i="28"/>
  <c r="A241" i="28"/>
  <c r="G240" i="28"/>
  <c r="F240" i="28"/>
  <c r="E240" i="28"/>
  <c r="D240" i="28"/>
  <c r="C240" i="28"/>
  <c r="B240" i="28"/>
  <c r="A240" i="28"/>
  <c r="G239" i="28"/>
  <c r="F239" i="28"/>
  <c r="E239" i="28"/>
  <c r="D239" i="28"/>
  <c r="C239" i="28"/>
  <c r="B239" i="28"/>
  <c r="A239" i="28"/>
  <c r="G238" i="28"/>
  <c r="F238" i="28"/>
  <c r="E238" i="28"/>
  <c r="D238" i="28"/>
  <c r="C238" i="28"/>
  <c r="B238" i="28"/>
  <c r="A238" i="28"/>
  <c r="G237" i="28"/>
  <c r="F237" i="28"/>
  <c r="E237" i="28"/>
  <c r="D237" i="28"/>
  <c r="C237" i="28"/>
  <c r="B237" i="28"/>
  <c r="A237" i="28"/>
  <c r="G236" i="28"/>
  <c r="F236" i="28"/>
  <c r="E236" i="28"/>
  <c r="D236" i="28"/>
  <c r="C236" i="28"/>
  <c r="B236" i="28"/>
  <c r="A236" i="28"/>
  <c r="G235" i="28"/>
  <c r="F235" i="28"/>
  <c r="E235" i="28"/>
  <c r="D235" i="28"/>
  <c r="C235" i="28"/>
  <c r="B235" i="28"/>
  <c r="A235" i="28"/>
  <c r="G234" i="28"/>
  <c r="F234" i="28"/>
  <c r="E234" i="28"/>
  <c r="D234" i="28"/>
  <c r="C234" i="28"/>
  <c r="B234" i="28"/>
  <c r="A234" i="28"/>
  <c r="G233" i="28"/>
  <c r="F233" i="28"/>
  <c r="E233" i="28"/>
  <c r="D233" i="28"/>
  <c r="C233" i="28"/>
  <c r="B233" i="28"/>
  <c r="A233" i="28"/>
  <c r="G232" i="28"/>
  <c r="F232" i="28"/>
  <c r="E232" i="28"/>
  <c r="D232" i="28"/>
  <c r="C232" i="28"/>
  <c r="B232" i="28"/>
  <c r="A232" i="28"/>
  <c r="G231" i="28"/>
  <c r="F231" i="28"/>
  <c r="E231" i="28"/>
  <c r="D231" i="28"/>
  <c r="C231" i="28"/>
  <c r="B231" i="28"/>
  <c r="A231" i="28"/>
  <c r="G230" i="28"/>
  <c r="F230" i="28"/>
  <c r="E230" i="28"/>
  <c r="D230" i="28"/>
  <c r="C230" i="28"/>
  <c r="B230" i="28"/>
  <c r="A230" i="28"/>
  <c r="G229" i="28"/>
  <c r="F229" i="28"/>
  <c r="E229" i="28"/>
  <c r="D229" i="28"/>
  <c r="C229" i="28"/>
  <c r="B229" i="28"/>
  <c r="A229" i="28"/>
  <c r="G228" i="28"/>
  <c r="F228" i="28"/>
  <c r="E228" i="28"/>
  <c r="D228" i="28"/>
  <c r="C228" i="28"/>
  <c r="B228" i="28"/>
  <c r="A228" i="28"/>
  <c r="G227" i="28"/>
  <c r="F227" i="28"/>
  <c r="E227" i="28"/>
  <c r="D227" i="28"/>
  <c r="C227" i="28"/>
  <c r="B227" i="28"/>
  <c r="A227" i="28"/>
  <c r="G226" i="28"/>
  <c r="F226" i="28"/>
  <c r="E226" i="28"/>
  <c r="D226" i="28"/>
  <c r="C226" i="28"/>
  <c r="B226" i="28"/>
  <c r="A226" i="28"/>
  <c r="G225" i="28"/>
  <c r="F225" i="28"/>
  <c r="E225" i="28"/>
  <c r="D225" i="28"/>
  <c r="C225" i="28"/>
  <c r="B225" i="28"/>
  <c r="A225" i="28"/>
  <c r="G224" i="28"/>
  <c r="F224" i="28"/>
  <c r="E224" i="28"/>
  <c r="D224" i="28"/>
  <c r="C224" i="28"/>
  <c r="B224" i="28"/>
  <c r="A224" i="28"/>
  <c r="G223" i="28"/>
  <c r="F223" i="28"/>
  <c r="E223" i="28"/>
  <c r="D223" i="28"/>
  <c r="C223" i="28"/>
  <c r="B223" i="28"/>
  <c r="A223" i="28"/>
  <c r="G222" i="28"/>
  <c r="F222" i="28"/>
  <c r="E222" i="28"/>
  <c r="D222" i="28"/>
  <c r="C222" i="28"/>
  <c r="B222" i="28"/>
  <c r="A222" i="28"/>
  <c r="G221" i="28"/>
  <c r="F221" i="28"/>
  <c r="E221" i="28"/>
  <c r="D221" i="28"/>
  <c r="C221" i="28"/>
  <c r="B221" i="28"/>
  <c r="A221" i="28"/>
  <c r="G220" i="28"/>
  <c r="F220" i="28"/>
  <c r="E220" i="28"/>
  <c r="D220" i="28"/>
  <c r="C220" i="28"/>
  <c r="B220" i="28"/>
  <c r="A220" i="28"/>
  <c r="G219" i="28"/>
  <c r="F219" i="28"/>
  <c r="E219" i="28"/>
  <c r="D219" i="28"/>
  <c r="C219" i="28"/>
  <c r="B219" i="28"/>
  <c r="A219" i="28"/>
  <c r="G218" i="28"/>
  <c r="F218" i="28"/>
  <c r="E218" i="28"/>
  <c r="D218" i="28"/>
  <c r="C218" i="28"/>
  <c r="B218" i="28"/>
  <c r="A218" i="28"/>
  <c r="G217" i="28"/>
  <c r="F217" i="28"/>
  <c r="E217" i="28"/>
  <c r="D217" i="28"/>
  <c r="C217" i="28"/>
  <c r="B217" i="28"/>
  <c r="A217" i="28"/>
  <c r="G216" i="28"/>
  <c r="F216" i="28"/>
  <c r="E216" i="28"/>
  <c r="D216" i="28"/>
  <c r="C216" i="28"/>
  <c r="B216" i="28"/>
  <c r="A216" i="28"/>
  <c r="G215" i="28"/>
  <c r="F215" i="28"/>
  <c r="E215" i="28"/>
  <c r="D215" i="28"/>
  <c r="C215" i="28"/>
  <c r="B215" i="28"/>
  <c r="A215" i="28"/>
  <c r="G214" i="28"/>
  <c r="F214" i="28"/>
  <c r="E214" i="28"/>
  <c r="D214" i="28"/>
  <c r="C214" i="28"/>
  <c r="B214" i="28"/>
  <c r="A214" i="28"/>
  <c r="G213" i="28"/>
  <c r="F213" i="28"/>
  <c r="E213" i="28"/>
  <c r="D213" i="28"/>
  <c r="C213" i="28"/>
  <c r="B213" i="28"/>
  <c r="A213" i="28"/>
  <c r="G212" i="28"/>
  <c r="F212" i="28"/>
  <c r="E212" i="28"/>
  <c r="D212" i="28"/>
  <c r="C212" i="28"/>
  <c r="B212" i="28"/>
  <c r="A212" i="28"/>
  <c r="G211" i="28"/>
  <c r="F211" i="28"/>
  <c r="E211" i="28"/>
  <c r="D211" i="28"/>
  <c r="C211" i="28"/>
  <c r="B211" i="28"/>
  <c r="A211" i="28"/>
  <c r="G210" i="28"/>
  <c r="F210" i="28"/>
  <c r="E210" i="28"/>
  <c r="D210" i="28"/>
  <c r="C210" i="28"/>
  <c r="B210" i="28"/>
  <c r="A210" i="28"/>
  <c r="G209" i="28"/>
  <c r="F209" i="28"/>
  <c r="E209" i="28"/>
  <c r="D209" i="28"/>
  <c r="C209" i="28"/>
  <c r="B209" i="28"/>
  <c r="A209" i="28"/>
  <c r="G208" i="28"/>
  <c r="F208" i="28"/>
  <c r="E208" i="28"/>
  <c r="D208" i="28"/>
  <c r="C208" i="28"/>
  <c r="B208" i="28"/>
  <c r="A208" i="28"/>
  <c r="G207" i="28"/>
  <c r="F207" i="28"/>
  <c r="E207" i="28"/>
  <c r="D207" i="28"/>
  <c r="C207" i="28"/>
  <c r="B207" i="28"/>
  <c r="A207" i="28"/>
  <c r="G206" i="28"/>
  <c r="F206" i="28"/>
  <c r="E206" i="28"/>
  <c r="D206" i="28"/>
  <c r="C206" i="28"/>
  <c r="B206" i="28"/>
  <c r="A206" i="28"/>
  <c r="G205" i="28"/>
  <c r="F205" i="28"/>
  <c r="E205" i="28"/>
  <c r="D205" i="28"/>
  <c r="C205" i="28"/>
  <c r="B205" i="28"/>
  <c r="A205" i="28"/>
  <c r="G204" i="28"/>
  <c r="F204" i="28"/>
  <c r="E204" i="28"/>
  <c r="D204" i="28"/>
  <c r="C204" i="28"/>
  <c r="B204" i="28"/>
  <c r="A204" i="28"/>
  <c r="G203" i="28"/>
  <c r="F203" i="28"/>
  <c r="E203" i="28"/>
  <c r="D203" i="28"/>
  <c r="C203" i="28"/>
  <c r="B203" i="28"/>
  <c r="A203" i="28"/>
  <c r="G202" i="28"/>
  <c r="F202" i="28"/>
  <c r="E202" i="28"/>
  <c r="D202" i="28"/>
  <c r="C202" i="28"/>
  <c r="B202" i="28"/>
  <c r="A202" i="28"/>
  <c r="G201" i="28"/>
  <c r="F201" i="28"/>
  <c r="E201" i="28"/>
  <c r="D201" i="28"/>
  <c r="C201" i="28"/>
  <c r="B201" i="28"/>
  <c r="A201" i="28"/>
  <c r="G200" i="28"/>
  <c r="F200" i="28"/>
  <c r="E200" i="28"/>
  <c r="D200" i="28"/>
  <c r="C200" i="28"/>
  <c r="B200" i="28"/>
  <c r="A200" i="28"/>
  <c r="G199" i="28"/>
  <c r="F199" i="28"/>
  <c r="E199" i="28"/>
  <c r="D199" i="28"/>
  <c r="C199" i="28"/>
  <c r="B199" i="28"/>
  <c r="A199" i="28"/>
  <c r="G198" i="28"/>
  <c r="F198" i="28"/>
  <c r="E198" i="28"/>
  <c r="D198" i="28"/>
  <c r="C198" i="28"/>
  <c r="B198" i="28"/>
  <c r="A198" i="28"/>
  <c r="G197" i="28"/>
  <c r="F197" i="28"/>
  <c r="E197" i="28"/>
  <c r="D197" i="28"/>
  <c r="C197" i="28"/>
  <c r="B197" i="28"/>
  <c r="A197" i="28"/>
  <c r="G196" i="28"/>
  <c r="F196" i="28"/>
  <c r="E196" i="28"/>
  <c r="D196" i="28"/>
  <c r="C196" i="28"/>
  <c r="B196" i="28"/>
  <c r="A196" i="28"/>
  <c r="G195" i="28"/>
  <c r="F195" i="28"/>
  <c r="E195" i="28"/>
  <c r="D195" i="28"/>
  <c r="C195" i="28"/>
  <c r="B195" i="28"/>
  <c r="A195" i="28"/>
  <c r="G194" i="28"/>
  <c r="F194" i="28"/>
  <c r="E194" i="28"/>
  <c r="D194" i="28"/>
  <c r="C194" i="28"/>
  <c r="B194" i="28"/>
  <c r="A194" i="28"/>
  <c r="G193" i="28"/>
  <c r="F193" i="28"/>
  <c r="E193" i="28"/>
  <c r="D193" i="28"/>
  <c r="C193" i="28"/>
  <c r="B193" i="28"/>
  <c r="A193" i="28"/>
  <c r="G192" i="28"/>
  <c r="F192" i="28"/>
  <c r="E192" i="28"/>
  <c r="D192" i="28"/>
  <c r="C192" i="28"/>
  <c r="B192" i="28"/>
  <c r="A192" i="28"/>
  <c r="G191" i="28"/>
  <c r="F191" i="28"/>
  <c r="E191" i="28"/>
  <c r="D191" i="28"/>
  <c r="C191" i="28"/>
  <c r="B191" i="28"/>
  <c r="A191" i="28"/>
  <c r="G190" i="28"/>
  <c r="F190" i="28"/>
  <c r="E190" i="28"/>
  <c r="D190" i="28"/>
  <c r="C190" i="28"/>
  <c r="B190" i="28"/>
  <c r="A190" i="28"/>
  <c r="G189" i="28"/>
  <c r="F189" i="28"/>
  <c r="E189" i="28"/>
  <c r="D189" i="28"/>
  <c r="C189" i="28"/>
  <c r="B189" i="28"/>
  <c r="A189" i="28"/>
  <c r="G188" i="28"/>
  <c r="F188" i="28"/>
  <c r="E188" i="28"/>
  <c r="D188" i="28"/>
  <c r="C188" i="28"/>
  <c r="B188" i="28"/>
  <c r="A188" i="28"/>
  <c r="G187" i="28"/>
  <c r="F187" i="28"/>
  <c r="E187" i="28"/>
  <c r="D187" i="28"/>
  <c r="C187" i="28"/>
  <c r="B187" i="28"/>
  <c r="A187" i="28"/>
  <c r="G186" i="28"/>
  <c r="F186" i="28"/>
  <c r="E186" i="28"/>
  <c r="D186" i="28"/>
  <c r="C186" i="28"/>
  <c r="B186" i="28"/>
  <c r="A186" i="28"/>
  <c r="G185" i="28"/>
  <c r="F185" i="28"/>
  <c r="E185" i="28"/>
  <c r="D185" i="28"/>
  <c r="C185" i="28"/>
  <c r="B185" i="28"/>
  <c r="A185" i="28"/>
  <c r="G184" i="28"/>
  <c r="F184" i="28"/>
  <c r="E184" i="28"/>
  <c r="D184" i="28"/>
  <c r="C184" i="28"/>
  <c r="B184" i="28"/>
  <c r="A184" i="28"/>
  <c r="G183" i="28"/>
  <c r="F183" i="28"/>
  <c r="E183" i="28"/>
  <c r="D183" i="28"/>
  <c r="C183" i="28"/>
  <c r="B183" i="28"/>
  <c r="A183" i="28"/>
  <c r="G182" i="28"/>
  <c r="F182" i="28"/>
  <c r="E182" i="28"/>
  <c r="D182" i="28"/>
  <c r="C182" i="28"/>
  <c r="B182" i="28"/>
  <c r="A182" i="28"/>
  <c r="G181" i="28"/>
  <c r="F181" i="28"/>
  <c r="E181" i="28"/>
  <c r="D181" i="28"/>
  <c r="C181" i="28"/>
  <c r="B181" i="28"/>
  <c r="A181" i="28"/>
  <c r="G180" i="28"/>
  <c r="F180" i="28"/>
  <c r="E180" i="28"/>
  <c r="D180" i="28"/>
  <c r="C180" i="28"/>
  <c r="B180" i="28"/>
  <c r="A180" i="28"/>
  <c r="G179" i="28"/>
  <c r="F179" i="28"/>
  <c r="E179" i="28"/>
  <c r="D179" i="28"/>
  <c r="C179" i="28"/>
  <c r="B179" i="28"/>
  <c r="A179" i="28"/>
  <c r="G178" i="28"/>
  <c r="F178" i="28"/>
  <c r="E178" i="28"/>
  <c r="D178" i="28"/>
  <c r="C178" i="28"/>
  <c r="B178" i="28"/>
  <c r="A178" i="28"/>
  <c r="G177" i="28"/>
  <c r="F177" i="28"/>
  <c r="E177" i="28"/>
  <c r="D177" i="28"/>
  <c r="C177" i="28"/>
  <c r="B177" i="28"/>
  <c r="A177" i="28"/>
  <c r="G176" i="28"/>
  <c r="F176" i="28"/>
  <c r="E176" i="28"/>
  <c r="D176" i="28"/>
  <c r="C176" i="28"/>
  <c r="B176" i="28"/>
  <c r="A176" i="28"/>
  <c r="G175" i="28"/>
  <c r="F175" i="28"/>
  <c r="E175" i="28"/>
  <c r="D175" i="28"/>
  <c r="C175" i="28"/>
  <c r="B175" i="28"/>
  <c r="A175" i="28"/>
  <c r="G174" i="28"/>
  <c r="F174" i="28"/>
  <c r="E174" i="28"/>
  <c r="D174" i="28"/>
  <c r="C174" i="28"/>
  <c r="B174" i="28"/>
  <c r="A174" i="28"/>
  <c r="G173" i="28"/>
  <c r="F173" i="28"/>
  <c r="E173" i="28"/>
  <c r="D173" i="28"/>
  <c r="C173" i="28"/>
  <c r="B173" i="28"/>
  <c r="A173" i="28"/>
  <c r="G172" i="28"/>
  <c r="F172" i="28"/>
  <c r="E172" i="28"/>
  <c r="D172" i="28"/>
  <c r="C172" i="28"/>
  <c r="B172" i="28"/>
  <c r="A172" i="28"/>
  <c r="G171" i="28"/>
  <c r="F171" i="28"/>
  <c r="E171" i="28"/>
  <c r="D171" i="28"/>
  <c r="C171" i="28"/>
  <c r="B171" i="28"/>
  <c r="A171" i="28"/>
  <c r="G170" i="28"/>
  <c r="F170" i="28"/>
  <c r="E170" i="28"/>
  <c r="D170" i="28"/>
  <c r="C170" i="28"/>
  <c r="B170" i="28"/>
  <c r="A170" i="28"/>
  <c r="G169" i="28"/>
  <c r="F169" i="28"/>
  <c r="E169" i="28"/>
  <c r="D169" i="28"/>
  <c r="C169" i="28"/>
  <c r="B169" i="28"/>
  <c r="A169" i="28"/>
  <c r="G168" i="28"/>
  <c r="F168" i="28"/>
  <c r="E168" i="28"/>
  <c r="D168" i="28"/>
  <c r="C168" i="28"/>
  <c r="B168" i="28"/>
  <c r="A168" i="28"/>
  <c r="G167" i="28"/>
  <c r="F167" i="28"/>
  <c r="E167" i="28"/>
  <c r="D167" i="28"/>
  <c r="C167" i="28"/>
  <c r="B167" i="28"/>
  <c r="A167" i="28"/>
  <c r="G166" i="28"/>
  <c r="F166" i="28"/>
  <c r="E166" i="28"/>
  <c r="D166" i="28"/>
  <c r="C166" i="28"/>
  <c r="B166" i="28"/>
  <c r="A166" i="28"/>
  <c r="G165" i="28"/>
  <c r="F165" i="28"/>
  <c r="E165" i="28"/>
  <c r="D165" i="28"/>
  <c r="C165" i="28"/>
  <c r="B165" i="28"/>
  <c r="A165" i="28"/>
  <c r="G164" i="28"/>
  <c r="F164" i="28"/>
  <c r="E164" i="28"/>
  <c r="D164" i="28"/>
  <c r="C164" i="28"/>
  <c r="B164" i="28"/>
  <c r="A164" i="28"/>
  <c r="G163" i="28"/>
  <c r="F163" i="28"/>
  <c r="E163" i="28"/>
  <c r="D163" i="28"/>
  <c r="C163" i="28"/>
  <c r="B163" i="28"/>
  <c r="A163" i="28"/>
  <c r="G162" i="28"/>
  <c r="F162" i="28"/>
  <c r="E162" i="28"/>
  <c r="D162" i="28"/>
  <c r="C162" i="28"/>
  <c r="B162" i="28"/>
  <c r="A162" i="28"/>
  <c r="G161" i="28"/>
  <c r="F161" i="28"/>
  <c r="E161" i="28"/>
  <c r="D161" i="28"/>
  <c r="C161" i="28"/>
  <c r="B161" i="28"/>
  <c r="A161" i="28"/>
  <c r="G160" i="28"/>
  <c r="F160" i="28"/>
  <c r="E160" i="28"/>
  <c r="D160" i="28"/>
  <c r="C160" i="28"/>
  <c r="B160" i="28"/>
  <c r="A160" i="28"/>
  <c r="G159" i="28"/>
  <c r="F159" i="28"/>
  <c r="E159" i="28"/>
  <c r="D159" i="28"/>
  <c r="C159" i="28"/>
  <c r="B159" i="28"/>
  <c r="A159" i="28"/>
  <c r="G158" i="28"/>
  <c r="F158" i="28"/>
  <c r="E158" i="28"/>
  <c r="D158" i="28"/>
  <c r="C158" i="28"/>
  <c r="B158" i="28"/>
  <c r="A158" i="28"/>
  <c r="G157" i="28"/>
  <c r="F157" i="28"/>
  <c r="E157" i="28"/>
  <c r="D157" i="28"/>
  <c r="C157" i="28"/>
  <c r="B157" i="28"/>
  <c r="A157" i="28"/>
  <c r="G156" i="28"/>
  <c r="F156" i="28"/>
  <c r="E156" i="28"/>
  <c r="D156" i="28"/>
  <c r="C156" i="28"/>
  <c r="B156" i="28"/>
  <c r="A156" i="28"/>
  <c r="G155" i="28"/>
  <c r="F155" i="28"/>
  <c r="E155" i="28"/>
  <c r="D155" i="28"/>
  <c r="C155" i="28"/>
  <c r="B155" i="28"/>
  <c r="A155" i="28"/>
  <c r="G154" i="28"/>
  <c r="F154" i="28"/>
  <c r="E154" i="28"/>
  <c r="D154" i="28"/>
  <c r="C154" i="28"/>
  <c r="B154" i="28"/>
  <c r="A154" i="28"/>
  <c r="G153" i="28"/>
  <c r="F153" i="28"/>
  <c r="E153" i="28"/>
  <c r="D153" i="28"/>
  <c r="C153" i="28"/>
  <c r="B153" i="28"/>
  <c r="A153" i="28"/>
  <c r="G152" i="28"/>
  <c r="F152" i="28"/>
  <c r="E152" i="28"/>
  <c r="D152" i="28"/>
  <c r="C152" i="28"/>
  <c r="B152" i="28"/>
  <c r="A152" i="28"/>
  <c r="G151" i="28"/>
  <c r="F151" i="28"/>
  <c r="E151" i="28"/>
  <c r="D151" i="28"/>
  <c r="C151" i="28"/>
  <c r="B151" i="28"/>
  <c r="A151" i="28"/>
  <c r="G150" i="28"/>
  <c r="F150" i="28"/>
  <c r="E150" i="28"/>
  <c r="D150" i="28"/>
  <c r="C150" i="28"/>
  <c r="B150" i="28"/>
  <c r="A150" i="28"/>
  <c r="G149" i="28"/>
  <c r="F149" i="28"/>
  <c r="E149" i="28"/>
  <c r="D149" i="28"/>
  <c r="C149" i="28"/>
  <c r="B149" i="28"/>
  <c r="A149" i="28"/>
  <c r="G148" i="28"/>
  <c r="F148" i="28"/>
  <c r="E148" i="28"/>
  <c r="D148" i="28"/>
  <c r="C148" i="28"/>
  <c r="B148" i="28"/>
  <c r="A148" i="28"/>
  <c r="G147" i="28"/>
  <c r="F147" i="28"/>
  <c r="E147" i="28"/>
  <c r="D147" i="28"/>
  <c r="C147" i="28"/>
  <c r="B147" i="28"/>
  <c r="A147" i="28"/>
  <c r="G146" i="28"/>
  <c r="F146" i="28"/>
  <c r="E146" i="28"/>
  <c r="D146" i="28"/>
  <c r="C146" i="28"/>
  <c r="B146" i="28"/>
  <c r="A146" i="28"/>
  <c r="G145" i="28"/>
  <c r="F145" i="28"/>
  <c r="E145" i="28"/>
  <c r="D145" i="28"/>
  <c r="C145" i="28"/>
  <c r="B145" i="28"/>
  <c r="A145" i="28"/>
  <c r="G144" i="28"/>
  <c r="F144" i="28"/>
  <c r="E144" i="28"/>
  <c r="D144" i="28"/>
  <c r="C144" i="28"/>
  <c r="B144" i="28"/>
  <c r="A144" i="28"/>
  <c r="G143" i="28"/>
  <c r="F143" i="28"/>
  <c r="E143" i="28"/>
  <c r="D143" i="28"/>
  <c r="C143" i="28"/>
  <c r="B143" i="28"/>
  <c r="A143" i="28"/>
  <c r="G142" i="28"/>
  <c r="F142" i="28"/>
  <c r="E142" i="28"/>
  <c r="D142" i="28"/>
  <c r="C142" i="28"/>
  <c r="B142" i="28"/>
  <c r="A142" i="28"/>
  <c r="G141" i="28"/>
  <c r="F141" i="28"/>
  <c r="E141" i="28"/>
  <c r="D141" i="28"/>
  <c r="C141" i="28"/>
  <c r="B141" i="28"/>
  <c r="A141" i="28"/>
  <c r="G140" i="28"/>
  <c r="F140" i="28"/>
  <c r="E140" i="28"/>
  <c r="D140" i="28"/>
  <c r="C140" i="28"/>
  <c r="B140" i="28"/>
  <c r="A140" i="28"/>
  <c r="G139" i="28"/>
  <c r="F139" i="28"/>
  <c r="E139" i="28"/>
  <c r="D139" i="28"/>
  <c r="C139" i="28"/>
  <c r="B139" i="28"/>
  <c r="A139" i="28"/>
  <c r="G138" i="28"/>
  <c r="F138" i="28"/>
  <c r="E138" i="28"/>
  <c r="D138" i="28"/>
  <c r="C138" i="28"/>
  <c r="B138" i="28"/>
  <c r="A138" i="28"/>
  <c r="G137" i="28"/>
  <c r="F137" i="28"/>
  <c r="E137" i="28"/>
  <c r="D137" i="28"/>
  <c r="C137" i="28"/>
  <c r="B137" i="28"/>
  <c r="A137" i="28"/>
  <c r="G136" i="28"/>
  <c r="F136" i="28"/>
  <c r="E136" i="28"/>
  <c r="D136" i="28"/>
  <c r="C136" i="28"/>
  <c r="B136" i="28"/>
  <c r="A136" i="28"/>
  <c r="G135" i="28"/>
  <c r="F135" i="28"/>
  <c r="E135" i="28"/>
  <c r="D135" i="28"/>
  <c r="C135" i="28"/>
  <c r="B135" i="28"/>
  <c r="A135" i="28"/>
  <c r="G134" i="28"/>
  <c r="F134" i="28"/>
  <c r="E134" i="28"/>
  <c r="D134" i="28"/>
  <c r="C134" i="28"/>
  <c r="B134" i="28"/>
  <c r="A134" i="28"/>
  <c r="G133" i="28"/>
  <c r="F133" i="28"/>
  <c r="E133" i="28"/>
  <c r="D133" i="28"/>
  <c r="C133" i="28"/>
  <c r="B133" i="28"/>
  <c r="A133" i="28"/>
  <c r="G132" i="28"/>
  <c r="F132" i="28"/>
  <c r="E132" i="28"/>
  <c r="D132" i="28"/>
  <c r="C132" i="28"/>
  <c r="B132" i="28"/>
  <c r="A132" i="28"/>
  <c r="G131" i="28"/>
  <c r="F131" i="28"/>
  <c r="E131" i="28"/>
  <c r="D131" i="28"/>
  <c r="C131" i="28"/>
  <c r="B131" i="28"/>
  <c r="A131" i="28"/>
  <c r="G130" i="28"/>
  <c r="F130" i="28"/>
  <c r="E130" i="28"/>
  <c r="D130" i="28"/>
  <c r="C130" i="28"/>
  <c r="B130" i="28"/>
  <c r="A130" i="28"/>
  <c r="G129" i="28"/>
  <c r="F129" i="28"/>
  <c r="E129" i="28"/>
  <c r="D129" i="28"/>
  <c r="C129" i="28"/>
  <c r="B129" i="28"/>
  <c r="A129" i="28"/>
  <c r="G128" i="28"/>
  <c r="F128" i="28"/>
  <c r="E128" i="28"/>
  <c r="D128" i="28"/>
  <c r="C128" i="28"/>
  <c r="B128" i="28"/>
  <c r="A128" i="28"/>
  <c r="G127" i="28"/>
  <c r="F127" i="28"/>
  <c r="E127" i="28"/>
  <c r="D127" i="28"/>
  <c r="C127" i="28"/>
  <c r="B127" i="28"/>
  <c r="A127" i="28"/>
  <c r="G126" i="28"/>
  <c r="F126" i="28"/>
  <c r="E126" i="28"/>
  <c r="D126" i="28"/>
  <c r="C126" i="28"/>
  <c r="B126" i="28"/>
  <c r="A126" i="28"/>
  <c r="G125" i="28"/>
  <c r="F125" i="28"/>
  <c r="E125" i="28"/>
  <c r="D125" i="28"/>
  <c r="C125" i="28"/>
  <c r="B125" i="28"/>
  <c r="A125" i="28"/>
  <c r="G124" i="28"/>
  <c r="F124" i="28"/>
  <c r="E124" i="28"/>
  <c r="D124" i="28"/>
  <c r="C124" i="28"/>
  <c r="B124" i="28"/>
  <c r="A124" i="28"/>
  <c r="G123" i="28"/>
  <c r="F123" i="28"/>
  <c r="E123" i="28"/>
  <c r="D123" i="28"/>
  <c r="C123" i="28"/>
  <c r="B123" i="28"/>
  <c r="A123" i="28"/>
  <c r="G122" i="28"/>
  <c r="F122" i="28"/>
  <c r="E122" i="28"/>
  <c r="D122" i="28"/>
  <c r="C122" i="28"/>
  <c r="B122" i="28"/>
  <c r="A122" i="28"/>
  <c r="G121" i="28"/>
  <c r="F121" i="28"/>
  <c r="E121" i="28"/>
  <c r="D121" i="28"/>
  <c r="C121" i="28"/>
  <c r="B121" i="28"/>
  <c r="A121" i="28"/>
  <c r="G120" i="28"/>
  <c r="F120" i="28"/>
  <c r="E120" i="28"/>
  <c r="D120" i="28"/>
  <c r="C120" i="28"/>
  <c r="B120" i="28"/>
  <c r="A120" i="28"/>
  <c r="G119" i="28"/>
  <c r="F119" i="28"/>
  <c r="E119" i="28"/>
  <c r="D119" i="28"/>
  <c r="C119" i="28"/>
  <c r="B119" i="28"/>
  <c r="A119" i="28"/>
  <c r="G118" i="28"/>
  <c r="F118" i="28"/>
  <c r="E118" i="28"/>
  <c r="D118" i="28"/>
  <c r="C118" i="28"/>
  <c r="B118" i="28"/>
  <c r="A118" i="28"/>
  <c r="G117" i="28"/>
  <c r="F117" i="28"/>
  <c r="E117" i="28"/>
  <c r="D117" i="28"/>
  <c r="C117" i="28"/>
  <c r="B117" i="28"/>
  <c r="A117" i="28"/>
  <c r="G116" i="28"/>
  <c r="F116" i="28"/>
  <c r="E116" i="28"/>
  <c r="D116" i="28"/>
  <c r="C116" i="28"/>
  <c r="B116" i="28"/>
  <c r="A116" i="28"/>
  <c r="G115" i="28"/>
  <c r="F115" i="28"/>
  <c r="E115" i="28"/>
  <c r="D115" i="28"/>
  <c r="C115" i="28"/>
  <c r="B115" i="28"/>
  <c r="A115" i="28"/>
  <c r="G114" i="28"/>
  <c r="F114" i="28"/>
  <c r="E114" i="28"/>
  <c r="D114" i="28"/>
  <c r="C114" i="28"/>
  <c r="B114" i="28"/>
  <c r="A114" i="28"/>
  <c r="G113" i="28"/>
  <c r="F113" i="28"/>
  <c r="E113" i="28"/>
  <c r="D113" i="28"/>
  <c r="C113" i="28"/>
  <c r="B113" i="28"/>
  <c r="A113" i="28"/>
  <c r="G112" i="28"/>
  <c r="F112" i="28"/>
  <c r="E112" i="28"/>
  <c r="D112" i="28"/>
  <c r="C112" i="28"/>
  <c r="B112" i="28"/>
  <c r="A112" i="28"/>
  <c r="G111" i="28"/>
  <c r="F111" i="28"/>
  <c r="E111" i="28"/>
  <c r="D111" i="28"/>
  <c r="C111" i="28"/>
  <c r="B111" i="28"/>
  <c r="A111" i="28"/>
  <c r="G110" i="28"/>
  <c r="F110" i="28"/>
  <c r="E110" i="28"/>
  <c r="D110" i="28"/>
  <c r="C110" i="28"/>
  <c r="B110" i="28"/>
  <c r="A110" i="28"/>
  <c r="G109" i="28"/>
  <c r="F109" i="28"/>
  <c r="E109" i="28"/>
  <c r="D109" i="28"/>
  <c r="C109" i="28"/>
  <c r="B109" i="28"/>
  <c r="A109" i="28"/>
  <c r="G108" i="28"/>
  <c r="F108" i="28"/>
  <c r="E108" i="28"/>
  <c r="D108" i="28"/>
  <c r="C108" i="28"/>
  <c r="B108" i="28"/>
  <c r="A108" i="28"/>
  <c r="G107" i="28"/>
  <c r="F107" i="28"/>
  <c r="E107" i="28"/>
  <c r="D107" i="28"/>
  <c r="C107" i="28"/>
  <c r="B107" i="28"/>
  <c r="A107" i="28"/>
  <c r="G106" i="28"/>
  <c r="F106" i="28"/>
  <c r="E106" i="28"/>
  <c r="D106" i="28"/>
  <c r="C106" i="28"/>
  <c r="B106" i="28"/>
  <c r="A106" i="28"/>
  <c r="G105" i="28"/>
  <c r="F105" i="28"/>
  <c r="E105" i="28"/>
  <c r="D105" i="28"/>
  <c r="C105" i="28"/>
  <c r="B105" i="28"/>
  <c r="A105" i="28"/>
  <c r="G104" i="28"/>
  <c r="F104" i="28"/>
  <c r="E104" i="28"/>
  <c r="D104" i="28"/>
  <c r="C104" i="28"/>
  <c r="B104" i="28"/>
  <c r="A104" i="28"/>
  <c r="G103" i="28"/>
  <c r="F103" i="28"/>
  <c r="E103" i="28"/>
  <c r="D103" i="28"/>
  <c r="C103" i="28"/>
  <c r="B103" i="28"/>
  <c r="A103" i="28"/>
  <c r="G102" i="28"/>
  <c r="F102" i="28"/>
  <c r="E102" i="28"/>
  <c r="D102" i="28"/>
  <c r="C102" i="28"/>
  <c r="B102" i="28"/>
  <c r="A102" i="28"/>
  <c r="G101" i="28"/>
  <c r="F101" i="28"/>
  <c r="E101" i="28"/>
  <c r="D101" i="28"/>
  <c r="C101" i="28"/>
  <c r="B101" i="28"/>
  <c r="A101" i="28"/>
  <c r="G100" i="28"/>
  <c r="F100" i="28"/>
  <c r="E100" i="28"/>
  <c r="D100" i="28"/>
  <c r="C100" i="28"/>
  <c r="B100" i="28"/>
  <c r="A100" i="28"/>
  <c r="G99" i="28"/>
  <c r="F99" i="28"/>
  <c r="E99" i="28"/>
  <c r="D99" i="28"/>
  <c r="C99" i="28"/>
  <c r="B99" i="28"/>
  <c r="A99" i="28"/>
  <c r="G98" i="28"/>
  <c r="F98" i="28"/>
  <c r="E98" i="28"/>
  <c r="D98" i="28"/>
  <c r="C98" i="28"/>
  <c r="B98" i="28"/>
  <c r="A98" i="28"/>
  <c r="G97" i="28"/>
  <c r="F97" i="28"/>
  <c r="E97" i="28"/>
  <c r="D97" i="28"/>
  <c r="C97" i="28"/>
  <c r="B97" i="28"/>
  <c r="A97" i="28"/>
  <c r="G96" i="28"/>
  <c r="F96" i="28"/>
  <c r="E96" i="28"/>
  <c r="D96" i="28"/>
  <c r="C96" i="28"/>
  <c r="B96" i="28"/>
  <c r="A96" i="28"/>
  <c r="G95" i="28"/>
  <c r="F95" i="28"/>
  <c r="E95" i="28"/>
  <c r="D95" i="28"/>
  <c r="C95" i="28"/>
  <c r="B95" i="28"/>
  <c r="A95" i="28"/>
  <c r="G94" i="28"/>
  <c r="F94" i="28"/>
  <c r="E94" i="28"/>
  <c r="D94" i="28"/>
  <c r="C94" i="28"/>
  <c r="B94" i="28"/>
  <c r="A94" i="28"/>
  <c r="G93" i="28"/>
  <c r="F93" i="28"/>
  <c r="E93" i="28"/>
  <c r="D93" i="28"/>
  <c r="C93" i="28"/>
  <c r="B93" i="28"/>
  <c r="A93" i="28"/>
  <c r="G92" i="28"/>
  <c r="F92" i="28"/>
  <c r="E92" i="28"/>
  <c r="D92" i="28"/>
  <c r="C92" i="28"/>
  <c r="B92" i="28"/>
  <c r="A92" i="28"/>
  <c r="G91" i="28"/>
  <c r="F91" i="28"/>
  <c r="E91" i="28"/>
  <c r="D91" i="28"/>
  <c r="C91" i="28"/>
  <c r="B91" i="28"/>
  <c r="A91" i="28"/>
  <c r="G90" i="28"/>
  <c r="F90" i="28"/>
  <c r="E90" i="28"/>
  <c r="D90" i="28"/>
  <c r="C90" i="28"/>
  <c r="B90" i="28"/>
  <c r="A90" i="28"/>
  <c r="G89" i="28"/>
  <c r="F89" i="28"/>
  <c r="E89" i="28"/>
  <c r="D89" i="28"/>
  <c r="C89" i="28"/>
  <c r="B89" i="28"/>
  <c r="A89" i="28"/>
  <c r="G88" i="28"/>
  <c r="F88" i="28"/>
  <c r="E88" i="28"/>
  <c r="D88" i="28"/>
  <c r="C88" i="28"/>
  <c r="B88" i="28"/>
  <c r="A88" i="28"/>
  <c r="G87" i="28"/>
  <c r="F87" i="28"/>
  <c r="E87" i="28"/>
  <c r="D87" i="28"/>
  <c r="C87" i="28"/>
  <c r="B87" i="28"/>
  <c r="A87" i="28"/>
  <c r="G86" i="28"/>
  <c r="F86" i="28"/>
  <c r="E86" i="28"/>
  <c r="D86" i="28"/>
  <c r="C86" i="28"/>
  <c r="B86" i="28"/>
  <c r="A86" i="28"/>
  <c r="G85" i="28"/>
  <c r="F85" i="28"/>
  <c r="E85" i="28"/>
  <c r="D85" i="28"/>
  <c r="C85" i="28"/>
  <c r="B85" i="28"/>
  <c r="A85" i="28"/>
  <c r="G84" i="28"/>
  <c r="F84" i="28"/>
  <c r="E84" i="28"/>
  <c r="D84" i="28"/>
  <c r="C84" i="28"/>
  <c r="B84" i="28"/>
  <c r="A84" i="28"/>
  <c r="G83" i="28"/>
  <c r="F83" i="28"/>
  <c r="E83" i="28"/>
  <c r="D83" i="28"/>
  <c r="C83" i="28"/>
  <c r="B83" i="28"/>
  <c r="A83" i="28"/>
  <c r="G82" i="28"/>
  <c r="F82" i="28"/>
  <c r="E82" i="28"/>
  <c r="D82" i="28"/>
  <c r="C82" i="28"/>
  <c r="B82" i="28"/>
  <c r="A82" i="28"/>
  <c r="G81" i="28"/>
  <c r="F81" i="28"/>
  <c r="E81" i="28"/>
  <c r="D81" i="28"/>
  <c r="C81" i="28"/>
  <c r="B81" i="28"/>
  <c r="A81" i="28"/>
  <c r="G80" i="28"/>
  <c r="F80" i="28"/>
  <c r="E80" i="28"/>
  <c r="D80" i="28"/>
  <c r="C80" i="28"/>
  <c r="B80" i="28"/>
  <c r="A80" i="28"/>
  <c r="G79" i="28"/>
  <c r="F79" i="28"/>
  <c r="E79" i="28"/>
  <c r="D79" i="28"/>
  <c r="C79" i="28"/>
  <c r="B79" i="28"/>
  <c r="A79" i="28"/>
  <c r="G78" i="28"/>
  <c r="F78" i="28"/>
  <c r="E78" i="28"/>
  <c r="D78" i="28"/>
  <c r="C78" i="28"/>
  <c r="B78" i="28"/>
  <c r="A78" i="28"/>
  <c r="G77" i="28"/>
  <c r="F77" i="28"/>
  <c r="E77" i="28"/>
  <c r="D77" i="28"/>
  <c r="C77" i="28"/>
  <c r="B77" i="28"/>
  <c r="A77" i="28"/>
  <c r="G76" i="28"/>
  <c r="F76" i="28"/>
  <c r="E76" i="28"/>
  <c r="D76" i="28"/>
  <c r="C76" i="28"/>
  <c r="B76" i="28"/>
  <c r="A76" i="28"/>
  <c r="G75" i="28"/>
  <c r="F75" i="28"/>
  <c r="E75" i="28"/>
  <c r="D75" i="28"/>
  <c r="C75" i="28"/>
  <c r="B75" i="28"/>
  <c r="A75" i="28"/>
  <c r="G74" i="28"/>
  <c r="F74" i="28"/>
  <c r="E74" i="28"/>
  <c r="D74" i="28"/>
  <c r="C74" i="28"/>
  <c r="B74" i="28"/>
  <c r="A74" i="28"/>
  <c r="G73" i="28"/>
  <c r="F73" i="28"/>
  <c r="E73" i="28"/>
  <c r="D73" i="28"/>
  <c r="C73" i="28"/>
  <c r="B73" i="28"/>
  <c r="A73" i="28"/>
  <c r="G72" i="28"/>
  <c r="F72" i="28"/>
  <c r="E72" i="28"/>
  <c r="D72" i="28"/>
  <c r="C72" i="28"/>
  <c r="B72" i="28"/>
  <c r="A72" i="28"/>
  <c r="G71" i="28"/>
  <c r="F71" i="28"/>
  <c r="E71" i="28"/>
  <c r="D71" i="28"/>
  <c r="C71" i="28"/>
  <c r="B71" i="28"/>
  <c r="A71" i="28"/>
  <c r="G70" i="28"/>
  <c r="F70" i="28"/>
  <c r="E70" i="28"/>
  <c r="D70" i="28"/>
  <c r="C70" i="28"/>
  <c r="B70" i="28"/>
  <c r="A70" i="28"/>
  <c r="G69" i="28"/>
  <c r="F69" i="28"/>
  <c r="E69" i="28"/>
  <c r="D69" i="28"/>
  <c r="C69" i="28"/>
  <c r="B69" i="28"/>
  <c r="A69" i="28"/>
  <c r="G68" i="28"/>
  <c r="F68" i="28"/>
  <c r="E68" i="28"/>
  <c r="D68" i="28"/>
  <c r="C68" i="28"/>
  <c r="B68" i="28"/>
  <c r="A68" i="28"/>
  <c r="G67" i="28"/>
  <c r="F67" i="28"/>
  <c r="E67" i="28"/>
  <c r="D67" i="28"/>
  <c r="C67" i="28"/>
  <c r="B67" i="28"/>
  <c r="A67" i="28"/>
  <c r="G66" i="28"/>
  <c r="F66" i="28"/>
  <c r="E66" i="28"/>
  <c r="D66" i="28"/>
  <c r="C66" i="28"/>
  <c r="B66" i="28"/>
  <c r="A66" i="28"/>
  <c r="G65" i="28"/>
  <c r="F65" i="28"/>
  <c r="E65" i="28"/>
  <c r="D65" i="28"/>
  <c r="C65" i="28"/>
  <c r="B65" i="28"/>
  <c r="A65" i="28"/>
  <c r="G64" i="28"/>
  <c r="F64" i="28"/>
  <c r="E64" i="28"/>
  <c r="D64" i="28"/>
  <c r="C64" i="28"/>
  <c r="B64" i="28"/>
  <c r="A64" i="28"/>
  <c r="G63" i="28"/>
  <c r="F63" i="28"/>
  <c r="E63" i="28"/>
  <c r="D63" i="28"/>
  <c r="C63" i="28"/>
  <c r="B63" i="28"/>
  <c r="A63" i="28"/>
  <c r="G62" i="28"/>
  <c r="F62" i="28"/>
  <c r="E62" i="28"/>
  <c r="D62" i="28"/>
  <c r="C62" i="28"/>
  <c r="B62" i="28"/>
  <c r="A62" i="28"/>
  <c r="G61" i="28"/>
  <c r="F61" i="28"/>
  <c r="E61" i="28"/>
  <c r="D61" i="28"/>
  <c r="C61" i="28"/>
  <c r="B61" i="28"/>
  <c r="A61" i="28"/>
  <c r="G60" i="28"/>
  <c r="F60" i="28"/>
  <c r="E60" i="28"/>
  <c r="D60" i="28"/>
  <c r="C60" i="28"/>
  <c r="B60" i="28"/>
  <c r="A60" i="28"/>
  <c r="G59" i="28"/>
  <c r="F59" i="28"/>
  <c r="E59" i="28"/>
  <c r="D59" i="28"/>
  <c r="C59" i="28"/>
  <c r="B59" i="28"/>
  <c r="A59" i="28"/>
  <c r="G58" i="28"/>
  <c r="F58" i="28"/>
  <c r="E58" i="28"/>
  <c r="D58" i="28"/>
  <c r="C58" i="28"/>
  <c r="B58" i="28"/>
  <c r="A58" i="28"/>
  <c r="G57" i="28"/>
  <c r="F57" i="28"/>
  <c r="E57" i="28"/>
  <c r="D57" i="28"/>
  <c r="C57" i="28"/>
  <c r="B57" i="28"/>
  <c r="A57" i="28"/>
  <c r="G56" i="28"/>
  <c r="F56" i="28"/>
  <c r="E56" i="28"/>
  <c r="D56" i="28"/>
  <c r="C56" i="28"/>
  <c r="B56" i="28"/>
  <c r="A56" i="28"/>
  <c r="G55" i="28"/>
  <c r="F55" i="28"/>
  <c r="E55" i="28"/>
  <c r="D55" i="28"/>
  <c r="C55" i="28"/>
  <c r="B55" i="28"/>
  <c r="A55" i="28"/>
  <c r="G54" i="28"/>
  <c r="F54" i="28"/>
  <c r="E54" i="28"/>
  <c r="D54" i="28"/>
  <c r="C54" i="28"/>
  <c r="B54" i="28"/>
  <c r="A54" i="28"/>
  <c r="G53" i="28"/>
  <c r="F53" i="28"/>
  <c r="E53" i="28"/>
  <c r="D53" i="28"/>
  <c r="C53" i="28"/>
  <c r="B53" i="28"/>
  <c r="A53" i="28"/>
  <c r="G52" i="28"/>
  <c r="F52" i="28"/>
  <c r="E52" i="28"/>
  <c r="D52" i="28"/>
  <c r="C52" i="28"/>
  <c r="B52" i="28"/>
  <c r="A52" i="28"/>
  <c r="G51" i="28"/>
  <c r="F51" i="28"/>
  <c r="E51" i="28"/>
  <c r="D51" i="28"/>
  <c r="C51" i="28"/>
  <c r="B51" i="28"/>
  <c r="A51" i="28"/>
  <c r="G50" i="28"/>
  <c r="F50" i="28"/>
  <c r="E50" i="28"/>
  <c r="D50" i="28"/>
  <c r="C50" i="28"/>
  <c r="B50" i="28"/>
  <c r="A50" i="28"/>
  <c r="G49" i="28"/>
  <c r="F49" i="28"/>
  <c r="E49" i="28"/>
  <c r="D49" i="28"/>
  <c r="C49" i="28"/>
  <c r="B49" i="28"/>
  <c r="A49" i="28"/>
  <c r="G48" i="28"/>
  <c r="F48" i="28"/>
  <c r="E48" i="28"/>
  <c r="D48" i="28"/>
  <c r="C48" i="28"/>
  <c r="B48" i="28"/>
  <c r="A48" i="28"/>
  <c r="G47" i="28"/>
  <c r="F47" i="28"/>
  <c r="E47" i="28"/>
  <c r="D47" i="28"/>
  <c r="C47" i="28"/>
  <c r="B47" i="28"/>
  <c r="A47" i="28"/>
  <c r="G46" i="28"/>
  <c r="F46" i="28"/>
  <c r="E46" i="28"/>
  <c r="D46" i="28"/>
  <c r="C46" i="28"/>
  <c r="B46" i="28"/>
  <c r="A46" i="28"/>
  <c r="G45" i="28"/>
  <c r="F45" i="28"/>
  <c r="E45" i="28"/>
  <c r="D45" i="28"/>
  <c r="C45" i="28"/>
  <c r="B45" i="28"/>
  <c r="A45" i="28"/>
  <c r="G44" i="28"/>
  <c r="F44" i="28"/>
  <c r="E44" i="28"/>
  <c r="D44" i="28"/>
  <c r="C44" i="28"/>
  <c r="B44" i="28"/>
  <c r="A44" i="28"/>
  <c r="G43" i="28"/>
  <c r="F43" i="28"/>
  <c r="E43" i="28"/>
  <c r="D43" i="28"/>
  <c r="C43" i="28"/>
  <c r="B43" i="28"/>
  <c r="A43" i="28"/>
  <c r="G42" i="28"/>
  <c r="F42" i="28"/>
  <c r="E42" i="28"/>
  <c r="D42" i="28"/>
  <c r="C42" i="28"/>
  <c r="B42" i="28"/>
  <c r="A42" i="28"/>
  <c r="G41" i="28"/>
  <c r="F41" i="28"/>
  <c r="E41" i="28"/>
  <c r="D41" i="28"/>
  <c r="C41" i="28"/>
  <c r="B41" i="28"/>
  <c r="A41" i="28"/>
  <c r="G40" i="28"/>
  <c r="F40" i="28"/>
  <c r="E40" i="28"/>
  <c r="D40" i="28"/>
  <c r="C40" i="28"/>
  <c r="B40" i="28"/>
  <c r="A40" i="28"/>
  <c r="G39" i="28"/>
  <c r="F39" i="28"/>
  <c r="E39" i="28"/>
  <c r="D39" i="28"/>
  <c r="C39" i="28"/>
  <c r="B39" i="28"/>
  <c r="A39" i="28"/>
  <c r="G38" i="28"/>
  <c r="F38" i="28"/>
  <c r="E38" i="28"/>
  <c r="D38" i="28"/>
  <c r="C38" i="28"/>
  <c r="B38" i="28"/>
  <c r="A38" i="28"/>
  <c r="G37" i="28"/>
  <c r="F37" i="28"/>
  <c r="E37" i="28"/>
  <c r="D37" i="28"/>
  <c r="C37" i="28"/>
  <c r="B37" i="28"/>
  <c r="A37" i="28"/>
  <c r="G36" i="28"/>
  <c r="F36" i="28"/>
  <c r="E36" i="28"/>
  <c r="D36" i="28"/>
  <c r="C36" i="28"/>
  <c r="B36" i="28"/>
  <c r="A36" i="28"/>
  <c r="G35" i="28"/>
  <c r="F35" i="28"/>
  <c r="E35" i="28"/>
  <c r="D35" i="28"/>
  <c r="C35" i="28"/>
  <c r="B35" i="28"/>
  <c r="A35" i="28"/>
  <c r="G34" i="28"/>
  <c r="F34" i="28"/>
  <c r="E34" i="28"/>
  <c r="D34" i="28"/>
  <c r="C34" i="28"/>
  <c r="B34" i="28"/>
  <c r="A34" i="28"/>
  <c r="G33" i="28"/>
  <c r="F33" i="28"/>
  <c r="E33" i="28"/>
  <c r="D33" i="28"/>
  <c r="C33" i="28"/>
  <c r="B33" i="28"/>
  <c r="A33" i="28"/>
  <c r="G32" i="28"/>
  <c r="F32" i="28"/>
  <c r="E32" i="28"/>
  <c r="D32" i="28"/>
  <c r="C32" i="28"/>
  <c r="B32" i="28"/>
  <c r="A32" i="28"/>
  <c r="G31" i="28"/>
  <c r="F31" i="28"/>
  <c r="E31" i="28"/>
  <c r="D31" i="28"/>
  <c r="C31" i="28"/>
  <c r="B31" i="28"/>
  <c r="A31" i="28"/>
  <c r="G30" i="28"/>
  <c r="F30" i="28"/>
  <c r="E30" i="28"/>
  <c r="D30" i="28"/>
  <c r="C30" i="28"/>
  <c r="B30" i="28"/>
  <c r="A30" i="28"/>
  <c r="G29" i="28"/>
  <c r="F29" i="28"/>
  <c r="E29" i="28"/>
  <c r="D29" i="28"/>
  <c r="C29" i="28"/>
  <c r="B29" i="28"/>
  <c r="A29" i="28"/>
  <c r="G28" i="28"/>
  <c r="F28" i="28"/>
  <c r="E28" i="28"/>
  <c r="D28" i="28"/>
  <c r="C28" i="28"/>
  <c r="B28" i="28"/>
  <c r="A28" i="28"/>
  <c r="G27" i="28"/>
  <c r="F27" i="28"/>
  <c r="E27" i="28"/>
  <c r="D27" i="28"/>
  <c r="C27" i="28"/>
  <c r="B27" i="28"/>
  <c r="A27" i="28"/>
  <c r="G26" i="28"/>
  <c r="F26" i="28"/>
  <c r="E26" i="28"/>
  <c r="D26" i="28"/>
  <c r="C26" i="28"/>
  <c r="B26" i="28"/>
  <c r="A26" i="28"/>
  <c r="G25" i="28"/>
  <c r="F25" i="28"/>
  <c r="E25" i="28"/>
  <c r="D25" i="28"/>
  <c r="C25" i="28"/>
  <c r="B25" i="28"/>
  <c r="A25" i="28"/>
  <c r="G24" i="28"/>
  <c r="F24" i="28"/>
  <c r="E24" i="28"/>
  <c r="D24" i="28"/>
  <c r="C24" i="28"/>
  <c r="B24" i="28"/>
  <c r="A24" i="28"/>
  <c r="G23" i="28"/>
  <c r="F23" i="28"/>
  <c r="E23" i="28"/>
  <c r="D23" i="28"/>
  <c r="C23" i="28"/>
  <c r="B23" i="28"/>
  <c r="A23" i="28"/>
  <c r="G22" i="28"/>
  <c r="F22" i="28"/>
  <c r="E22" i="28"/>
  <c r="D22" i="28"/>
  <c r="C22" i="28"/>
  <c r="B22" i="28"/>
  <c r="A22" i="28"/>
  <c r="G21" i="28"/>
  <c r="F21" i="28"/>
  <c r="E21" i="28"/>
  <c r="D21" i="28"/>
  <c r="C21" i="28"/>
  <c r="B21" i="28"/>
  <c r="A21" i="28"/>
  <c r="G20" i="28"/>
  <c r="F20" i="28"/>
  <c r="E20" i="28"/>
  <c r="D20" i="28"/>
  <c r="C20" i="28"/>
  <c r="B20" i="28"/>
  <c r="A20" i="28"/>
  <c r="G19" i="28"/>
  <c r="F19" i="28"/>
  <c r="E19" i="28"/>
  <c r="D19" i="28"/>
  <c r="C19" i="28"/>
  <c r="B19" i="28"/>
  <c r="A19" i="28"/>
  <c r="G18" i="28"/>
  <c r="F18" i="28"/>
  <c r="E18" i="28"/>
  <c r="D18" i="28"/>
  <c r="C18" i="28"/>
  <c r="B18" i="28"/>
  <c r="A18" i="28"/>
  <c r="G17" i="28"/>
  <c r="F17" i="28"/>
  <c r="E17" i="28"/>
  <c r="D17" i="28"/>
  <c r="C17" i="28"/>
  <c r="B17" i="28"/>
  <c r="A17" i="28"/>
  <c r="G16" i="28"/>
  <c r="F16" i="28"/>
  <c r="E16" i="28"/>
  <c r="D16" i="28"/>
  <c r="C16" i="28"/>
  <c r="B16" i="28"/>
  <c r="A16" i="28"/>
  <c r="G15" i="28"/>
  <c r="F15" i="28"/>
  <c r="E15" i="28"/>
  <c r="D15" i="28"/>
  <c r="C15" i="28"/>
  <c r="B15" i="28"/>
  <c r="A15" i="28"/>
  <c r="G14" i="28"/>
  <c r="F14" i="28"/>
  <c r="E14" i="28"/>
  <c r="D14" i="28"/>
  <c r="C14" i="28"/>
  <c r="B14" i="28"/>
  <c r="A14" i="28"/>
  <c r="G13" i="28"/>
  <c r="F13" i="28"/>
  <c r="E13" i="28"/>
  <c r="D13" i="28"/>
  <c r="C13" i="28"/>
  <c r="B13" i="28"/>
  <c r="A13" i="28"/>
  <c r="G12" i="28"/>
  <c r="F12" i="28"/>
  <c r="E12" i="28"/>
  <c r="D12" i="28"/>
  <c r="C12" i="28"/>
  <c r="B12" i="28"/>
  <c r="A12" i="28"/>
  <c r="G11" i="28"/>
  <c r="F11" i="28"/>
  <c r="E11" i="28"/>
  <c r="D11" i="28"/>
  <c r="C11" i="28"/>
  <c r="B11" i="28"/>
  <c r="A11" i="28"/>
  <c r="G10" i="28"/>
  <c r="F10" i="28"/>
  <c r="E10" i="28"/>
  <c r="D10" i="28"/>
  <c r="C10" i="28"/>
  <c r="B10" i="28"/>
  <c r="A10" i="28"/>
  <c r="G9" i="28"/>
  <c r="F9" i="28"/>
  <c r="E9" i="28"/>
  <c r="D9" i="28"/>
  <c r="C9" i="28"/>
  <c r="B9" i="28"/>
  <c r="A9" i="28"/>
  <c r="G8" i="28"/>
  <c r="F8" i="28"/>
  <c r="E8" i="28"/>
  <c r="D8" i="28"/>
  <c r="C8" i="28"/>
  <c r="B8" i="28"/>
  <c r="A8" i="28"/>
  <c r="G7" i="28"/>
  <c r="F7" i="28"/>
  <c r="E7" i="28"/>
  <c r="D7" i="28"/>
  <c r="C7" i="28"/>
  <c r="B7" i="28"/>
  <c r="A7" i="28"/>
  <c r="G6" i="28"/>
  <c r="F6" i="28"/>
  <c r="E6" i="28"/>
  <c r="D6" i="28"/>
  <c r="C6" i="28"/>
  <c r="B6" i="28"/>
  <c r="A6" i="28"/>
  <c r="G5" i="28"/>
  <c r="F5" i="28"/>
  <c r="E5" i="28"/>
  <c r="D5" i="28"/>
  <c r="C5" i="28"/>
  <c r="B5" i="28"/>
  <c r="A5" i="28"/>
  <c r="G4" i="28"/>
  <c r="F4" i="28"/>
  <c r="E4" i="28"/>
  <c r="D4" i="28"/>
  <c r="C4" i="28"/>
  <c r="B4" i="28"/>
  <c r="A4" i="28"/>
  <c r="G3" i="28"/>
  <c r="F3" i="28"/>
  <c r="E3" i="28"/>
  <c r="D3" i="28"/>
  <c r="C3" i="28"/>
  <c r="B3" i="28"/>
  <c r="A3" i="28"/>
  <c r="G2" i="28"/>
  <c r="F2" i="28"/>
  <c r="E2" i="28"/>
  <c r="D2" i="28"/>
  <c r="C2" i="28"/>
  <c r="B2" i="28"/>
  <c r="A2" i="28"/>
  <c r="G1" i="28"/>
  <c r="F1" i="28"/>
  <c r="E1" i="28"/>
  <c r="D1" i="28"/>
  <c r="C1" i="28"/>
  <c r="B1" i="28"/>
  <c r="A1" i="28"/>
  <c r="H290" i="27"/>
  <c r="G290" i="27"/>
  <c r="F290" i="27"/>
  <c r="E290" i="27"/>
  <c r="D290" i="27"/>
  <c r="C290" i="27"/>
  <c r="B290" i="27"/>
  <c r="A290" i="27"/>
  <c r="H289" i="27"/>
  <c r="G289" i="27"/>
  <c r="F289" i="27"/>
  <c r="E289" i="27"/>
  <c r="D289" i="27"/>
  <c r="C289" i="27"/>
  <c r="B289" i="27"/>
  <c r="A289" i="27"/>
  <c r="H288" i="27"/>
  <c r="G288" i="27"/>
  <c r="F288" i="27"/>
  <c r="E288" i="27"/>
  <c r="D288" i="27"/>
  <c r="C288" i="27"/>
  <c r="B288" i="27"/>
  <c r="A288" i="27"/>
  <c r="H287" i="27"/>
  <c r="G287" i="27"/>
  <c r="F287" i="27"/>
  <c r="E287" i="27"/>
  <c r="D287" i="27"/>
  <c r="C287" i="27"/>
  <c r="B287" i="27"/>
  <c r="A287" i="27"/>
  <c r="H286" i="27"/>
  <c r="G286" i="27"/>
  <c r="F286" i="27"/>
  <c r="E286" i="27"/>
  <c r="D286" i="27"/>
  <c r="C286" i="27"/>
  <c r="B286" i="27"/>
  <c r="A286" i="27"/>
  <c r="H285" i="27"/>
  <c r="G285" i="27"/>
  <c r="F285" i="27"/>
  <c r="E285" i="27"/>
  <c r="D285" i="27"/>
  <c r="C285" i="27"/>
  <c r="B285" i="27"/>
  <c r="A285" i="27"/>
  <c r="H284" i="27"/>
  <c r="G284" i="27"/>
  <c r="F284" i="27"/>
  <c r="E284" i="27"/>
  <c r="D284" i="27"/>
  <c r="C284" i="27"/>
  <c r="B284" i="27"/>
  <c r="A284" i="27"/>
  <c r="H283" i="27"/>
  <c r="G283" i="27"/>
  <c r="F283" i="27"/>
  <c r="E283" i="27"/>
  <c r="D283" i="27"/>
  <c r="C283" i="27"/>
  <c r="B283" i="27"/>
  <c r="A283" i="27"/>
  <c r="H282" i="27"/>
  <c r="G282" i="27"/>
  <c r="F282" i="27"/>
  <c r="E282" i="27"/>
  <c r="D282" i="27"/>
  <c r="C282" i="27"/>
  <c r="B282" i="27"/>
  <c r="A282" i="27"/>
  <c r="H281" i="27"/>
  <c r="G281" i="27"/>
  <c r="F281" i="27"/>
  <c r="E281" i="27"/>
  <c r="D281" i="27"/>
  <c r="C281" i="27"/>
  <c r="B281" i="27"/>
  <c r="A281" i="27"/>
  <c r="H280" i="27"/>
  <c r="G280" i="27"/>
  <c r="F280" i="27"/>
  <c r="E280" i="27"/>
  <c r="D280" i="27"/>
  <c r="C280" i="27"/>
  <c r="B280" i="27"/>
  <c r="A280" i="27"/>
  <c r="H279" i="27"/>
  <c r="G279" i="27"/>
  <c r="F279" i="27"/>
  <c r="E279" i="27"/>
  <c r="D279" i="27"/>
  <c r="C279" i="27"/>
  <c r="B279" i="27"/>
  <c r="A279" i="27"/>
  <c r="H278" i="27"/>
  <c r="G278" i="27"/>
  <c r="F278" i="27"/>
  <c r="E278" i="27"/>
  <c r="D278" i="27"/>
  <c r="C278" i="27"/>
  <c r="B278" i="27"/>
  <c r="A278" i="27"/>
  <c r="H277" i="27"/>
  <c r="G277" i="27"/>
  <c r="F277" i="27"/>
  <c r="E277" i="27"/>
  <c r="D277" i="27"/>
  <c r="C277" i="27"/>
  <c r="B277" i="27"/>
  <c r="A277" i="27"/>
  <c r="H276" i="27"/>
  <c r="G276" i="27"/>
  <c r="F276" i="27"/>
  <c r="E276" i="27"/>
  <c r="D276" i="27"/>
  <c r="C276" i="27"/>
  <c r="B276" i="27"/>
  <c r="A276" i="27"/>
  <c r="H275" i="27"/>
  <c r="G275" i="27"/>
  <c r="F275" i="27"/>
  <c r="E275" i="27"/>
  <c r="D275" i="27"/>
  <c r="C275" i="27"/>
  <c r="B275" i="27"/>
  <c r="A275" i="27"/>
  <c r="H274" i="27"/>
  <c r="G274" i="27"/>
  <c r="F274" i="27"/>
  <c r="E274" i="27"/>
  <c r="D274" i="27"/>
  <c r="C274" i="27"/>
  <c r="B274" i="27"/>
  <c r="A274" i="27"/>
  <c r="H273" i="27"/>
  <c r="G273" i="27"/>
  <c r="F273" i="27"/>
  <c r="E273" i="27"/>
  <c r="D273" i="27"/>
  <c r="C273" i="27"/>
  <c r="B273" i="27"/>
  <c r="A273" i="27"/>
  <c r="H272" i="27"/>
  <c r="G272" i="27"/>
  <c r="F272" i="27"/>
  <c r="E272" i="27"/>
  <c r="D272" i="27"/>
  <c r="C272" i="27"/>
  <c r="B272" i="27"/>
  <c r="A272" i="27"/>
  <c r="H271" i="27"/>
  <c r="G271" i="27"/>
  <c r="F271" i="27"/>
  <c r="E271" i="27"/>
  <c r="D271" i="27"/>
  <c r="C271" i="27"/>
  <c r="B271" i="27"/>
  <c r="A271" i="27"/>
  <c r="H270" i="27"/>
  <c r="G270" i="27"/>
  <c r="F270" i="27"/>
  <c r="E270" i="27"/>
  <c r="D270" i="27"/>
  <c r="C270" i="27"/>
  <c r="B270" i="27"/>
  <c r="A270" i="27"/>
  <c r="H269" i="27"/>
  <c r="G269" i="27"/>
  <c r="F269" i="27"/>
  <c r="E269" i="27"/>
  <c r="D269" i="27"/>
  <c r="C269" i="27"/>
  <c r="B269" i="27"/>
  <c r="A269" i="27"/>
  <c r="H268" i="27"/>
  <c r="G268" i="27"/>
  <c r="F268" i="27"/>
  <c r="E268" i="27"/>
  <c r="D268" i="27"/>
  <c r="C268" i="27"/>
  <c r="B268" i="27"/>
  <c r="A268" i="27"/>
  <c r="H267" i="27"/>
  <c r="G267" i="27"/>
  <c r="F267" i="27"/>
  <c r="E267" i="27"/>
  <c r="D267" i="27"/>
  <c r="C267" i="27"/>
  <c r="B267" i="27"/>
  <c r="A267" i="27"/>
  <c r="H266" i="27"/>
  <c r="G266" i="27"/>
  <c r="F266" i="27"/>
  <c r="E266" i="27"/>
  <c r="D266" i="27"/>
  <c r="C266" i="27"/>
  <c r="B266" i="27"/>
  <c r="A266" i="27"/>
  <c r="H265" i="27"/>
  <c r="G265" i="27"/>
  <c r="F265" i="27"/>
  <c r="E265" i="27"/>
  <c r="D265" i="27"/>
  <c r="C265" i="27"/>
  <c r="B265" i="27"/>
  <c r="A265" i="27"/>
  <c r="H264" i="27"/>
  <c r="G264" i="27"/>
  <c r="F264" i="27"/>
  <c r="E264" i="27"/>
  <c r="D264" i="27"/>
  <c r="C264" i="27"/>
  <c r="B264" i="27"/>
  <c r="A264" i="27"/>
  <c r="H263" i="27"/>
  <c r="G263" i="27"/>
  <c r="F263" i="27"/>
  <c r="E263" i="27"/>
  <c r="D263" i="27"/>
  <c r="C263" i="27"/>
  <c r="B263" i="27"/>
  <c r="A263" i="27"/>
  <c r="H262" i="27"/>
  <c r="G262" i="27"/>
  <c r="F262" i="27"/>
  <c r="E262" i="27"/>
  <c r="D262" i="27"/>
  <c r="C262" i="27"/>
  <c r="B262" i="27"/>
  <c r="A262" i="27"/>
  <c r="H261" i="27"/>
  <c r="G261" i="27"/>
  <c r="F261" i="27"/>
  <c r="E261" i="27"/>
  <c r="D261" i="27"/>
  <c r="C261" i="27"/>
  <c r="B261" i="27"/>
  <c r="A261" i="27"/>
  <c r="H260" i="27"/>
  <c r="G260" i="27"/>
  <c r="F260" i="27"/>
  <c r="E260" i="27"/>
  <c r="D260" i="27"/>
  <c r="C260" i="27"/>
  <c r="B260" i="27"/>
  <c r="A260" i="27"/>
  <c r="H259" i="27"/>
  <c r="G259" i="27"/>
  <c r="F259" i="27"/>
  <c r="E259" i="27"/>
  <c r="D259" i="27"/>
  <c r="C259" i="27"/>
  <c r="B259" i="27"/>
  <c r="A259" i="27"/>
  <c r="H258" i="27"/>
  <c r="G258" i="27"/>
  <c r="F258" i="27"/>
  <c r="E258" i="27"/>
  <c r="D258" i="27"/>
  <c r="C258" i="27"/>
  <c r="B258" i="27"/>
  <c r="A258" i="27"/>
  <c r="H257" i="27"/>
  <c r="G257" i="27"/>
  <c r="F257" i="27"/>
  <c r="E257" i="27"/>
  <c r="D257" i="27"/>
  <c r="C257" i="27"/>
  <c r="B257" i="27"/>
  <c r="A257" i="27"/>
  <c r="H256" i="27"/>
  <c r="G256" i="27"/>
  <c r="F256" i="27"/>
  <c r="E256" i="27"/>
  <c r="D256" i="27"/>
  <c r="C256" i="27"/>
  <c r="B256" i="27"/>
  <c r="A256" i="27"/>
  <c r="H255" i="27"/>
  <c r="G255" i="27"/>
  <c r="F255" i="27"/>
  <c r="E255" i="27"/>
  <c r="D255" i="27"/>
  <c r="C255" i="27"/>
  <c r="B255" i="27"/>
  <c r="A255" i="27"/>
  <c r="H254" i="27"/>
  <c r="G254" i="27"/>
  <c r="F254" i="27"/>
  <c r="E254" i="27"/>
  <c r="D254" i="27"/>
  <c r="C254" i="27"/>
  <c r="B254" i="27"/>
  <c r="A254" i="27"/>
  <c r="H253" i="27"/>
  <c r="G253" i="27"/>
  <c r="F253" i="27"/>
  <c r="E253" i="27"/>
  <c r="D253" i="27"/>
  <c r="C253" i="27"/>
  <c r="B253" i="27"/>
  <c r="A253" i="27"/>
  <c r="H252" i="27"/>
  <c r="G252" i="27"/>
  <c r="F252" i="27"/>
  <c r="E252" i="27"/>
  <c r="D252" i="27"/>
  <c r="C252" i="27"/>
  <c r="B252" i="27"/>
  <c r="A252" i="27"/>
  <c r="H251" i="27"/>
  <c r="G251" i="27"/>
  <c r="F251" i="27"/>
  <c r="E251" i="27"/>
  <c r="D251" i="27"/>
  <c r="C251" i="27"/>
  <c r="B251" i="27"/>
  <c r="A251" i="27"/>
  <c r="H250" i="27"/>
  <c r="G250" i="27"/>
  <c r="F250" i="27"/>
  <c r="E250" i="27"/>
  <c r="D250" i="27"/>
  <c r="C250" i="27"/>
  <c r="B250" i="27"/>
  <c r="A250" i="27"/>
  <c r="H249" i="27"/>
  <c r="G249" i="27"/>
  <c r="F249" i="27"/>
  <c r="E249" i="27"/>
  <c r="D249" i="27"/>
  <c r="C249" i="27"/>
  <c r="B249" i="27"/>
  <c r="A249" i="27"/>
  <c r="H248" i="27"/>
  <c r="G248" i="27"/>
  <c r="F248" i="27"/>
  <c r="E248" i="27"/>
  <c r="D248" i="27"/>
  <c r="C248" i="27"/>
  <c r="B248" i="27"/>
  <c r="A248" i="27"/>
  <c r="H247" i="27"/>
  <c r="G247" i="27"/>
  <c r="F247" i="27"/>
  <c r="E247" i="27"/>
  <c r="D247" i="27"/>
  <c r="C247" i="27"/>
  <c r="B247" i="27"/>
  <c r="A247" i="27"/>
  <c r="H246" i="27"/>
  <c r="G246" i="27"/>
  <c r="F246" i="27"/>
  <c r="E246" i="27"/>
  <c r="D246" i="27"/>
  <c r="C246" i="27"/>
  <c r="B246" i="27"/>
  <c r="A246" i="27"/>
  <c r="H245" i="27"/>
  <c r="G245" i="27"/>
  <c r="F245" i="27"/>
  <c r="E245" i="27"/>
  <c r="D245" i="27"/>
  <c r="C245" i="27"/>
  <c r="B245" i="27"/>
  <c r="A245" i="27"/>
  <c r="H244" i="27"/>
  <c r="G244" i="27"/>
  <c r="F244" i="27"/>
  <c r="E244" i="27"/>
  <c r="D244" i="27"/>
  <c r="C244" i="27"/>
  <c r="B244" i="27"/>
  <c r="A244" i="27"/>
  <c r="H243" i="27"/>
  <c r="G243" i="27"/>
  <c r="F243" i="27"/>
  <c r="E243" i="27"/>
  <c r="D243" i="27"/>
  <c r="C243" i="27"/>
  <c r="B243" i="27"/>
  <c r="A243" i="27"/>
  <c r="H242" i="27"/>
  <c r="G242" i="27"/>
  <c r="F242" i="27"/>
  <c r="E242" i="27"/>
  <c r="D242" i="27"/>
  <c r="C242" i="27"/>
  <c r="B242" i="27"/>
  <c r="A242" i="27"/>
  <c r="H241" i="27"/>
  <c r="G241" i="27"/>
  <c r="F241" i="27"/>
  <c r="E241" i="27"/>
  <c r="D241" i="27"/>
  <c r="C241" i="27"/>
  <c r="B241" i="27"/>
  <c r="A241" i="27"/>
  <c r="H240" i="27"/>
  <c r="G240" i="27"/>
  <c r="F240" i="27"/>
  <c r="E240" i="27"/>
  <c r="D240" i="27"/>
  <c r="C240" i="27"/>
  <c r="B240" i="27"/>
  <c r="A240" i="27"/>
  <c r="H239" i="27"/>
  <c r="G239" i="27"/>
  <c r="F239" i="27"/>
  <c r="E239" i="27"/>
  <c r="D239" i="27"/>
  <c r="C239" i="27"/>
  <c r="B239" i="27"/>
  <c r="A239" i="27"/>
  <c r="H238" i="27"/>
  <c r="G238" i="27"/>
  <c r="F238" i="27"/>
  <c r="E238" i="27"/>
  <c r="D238" i="27"/>
  <c r="C238" i="27"/>
  <c r="B238" i="27"/>
  <c r="A238" i="27"/>
  <c r="H237" i="27"/>
  <c r="G237" i="27"/>
  <c r="F237" i="27"/>
  <c r="E237" i="27"/>
  <c r="D237" i="27"/>
  <c r="C237" i="27"/>
  <c r="B237" i="27"/>
  <c r="A237" i="27"/>
  <c r="H236" i="27"/>
  <c r="G236" i="27"/>
  <c r="F236" i="27"/>
  <c r="E236" i="27"/>
  <c r="D236" i="27"/>
  <c r="C236" i="27"/>
  <c r="B236" i="27"/>
  <c r="A236" i="27"/>
  <c r="H235" i="27"/>
  <c r="G235" i="27"/>
  <c r="F235" i="27"/>
  <c r="E235" i="27"/>
  <c r="D235" i="27"/>
  <c r="C235" i="27"/>
  <c r="B235" i="27"/>
  <c r="A235" i="27"/>
  <c r="H234" i="27"/>
  <c r="G234" i="27"/>
  <c r="F234" i="27"/>
  <c r="E234" i="27"/>
  <c r="D234" i="27"/>
  <c r="C234" i="27"/>
  <c r="B234" i="27"/>
  <c r="A234" i="27"/>
  <c r="H233" i="27"/>
  <c r="G233" i="27"/>
  <c r="F233" i="27"/>
  <c r="E233" i="27"/>
  <c r="D233" i="27"/>
  <c r="C233" i="27"/>
  <c r="B233" i="27"/>
  <c r="A233" i="27"/>
  <c r="H232" i="27"/>
  <c r="G232" i="27"/>
  <c r="F232" i="27"/>
  <c r="E232" i="27"/>
  <c r="D232" i="27"/>
  <c r="C232" i="27"/>
  <c r="B232" i="27"/>
  <c r="A232" i="27"/>
  <c r="H231" i="27"/>
  <c r="G231" i="27"/>
  <c r="F231" i="27"/>
  <c r="E231" i="27"/>
  <c r="D231" i="27"/>
  <c r="C231" i="27"/>
  <c r="B231" i="27"/>
  <c r="A231" i="27"/>
  <c r="H230" i="27"/>
  <c r="G230" i="27"/>
  <c r="F230" i="27"/>
  <c r="E230" i="27"/>
  <c r="D230" i="27"/>
  <c r="C230" i="27"/>
  <c r="B230" i="27"/>
  <c r="A230" i="27"/>
  <c r="H229" i="27"/>
  <c r="G229" i="27"/>
  <c r="F229" i="27"/>
  <c r="E229" i="27"/>
  <c r="D229" i="27"/>
  <c r="C229" i="27"/>
  <c r="B229" i="27"/>
  <c r="A229" i="27"/>
  <c r="H228" i="27"/>
  <c r="G228" i="27"/>
  <c r="F228" i="27"/>
  <c r="E228" i="27"/>
  <c r="D228" i="27"/>
  <c r="C228" i="27"/>
  <c r="B228" i="27"/>
  <c r="A228" i="27"/>
  <c r="H227" i="27"/>
  <c r="G227" i="27"/>
  <c r="F227" i="27"/>
  <c r="E227" i="27"/>
  <c r="D227" i="27"/>
  <c r="C227" i="27"/>
  <c r="B227" i="27"/>
  <c r="A227" i="27"/>
  <c r="H226" i="27"/>
  <c r="G226" i="27"/>
  <c r="F226" i="27"/>
  <c r="E226" i="27"/>
  <c r="D226" i="27"/>
  <c r="C226" i="27"/>
  <c r="B226" i="27"/>
  <c r="A226" i="27"/>
  <c r="H225" i="27"/>
  <c r="G225" i="27"/>
  <c r="F225" i="27"/>
  <c r="E225" i="27"/>
  <c r="D225" i="27"/>
  <c r="C225" i="27"/>
  <c r="B225" i="27"/>
  <c r="A225" i="27"/>
  <c r="H224" i="27"/>
  <c r="G224" i="27"/>
  <c r="F224" i="27"/>
  <c r="E224" i="27"/>
  <c r="D224" i="27"/>
  <c r="C224" i="27"/>
  <c r="B224" i="27"/>
  <c r="A224" i="27"/>
  <c r="H223" i="27"/>
  <c r="G223" i="27"/>
  <c r="F223" i="27"/>
  <c r="E223" i="27"/>
  <c r="D223" i="27"/>
  <c r="C223" i="27"/>
  <c r="B223" i="27"/>
  <c r="A223" i="27"/>
  <c r="H222" i="27"/>
  <c r="G222" i="27"/>
  <c r="F222" i="27"/>
  <c r="E222" i="27"/>
  <c r="D222" i="27"/>
  <c r="C222" i="27"/>
  <c r="B222" i="27"/>
  <c r="A222" i="27"/>
  <c r="H221" i="27"/>
  <c r="G221" i="27"/>
  <c r="F221" i="27"/>
  <c r="E221" i="27"/>
  <c r="D221" i="27"/>
  <c r="C221" i="27"/>
  <c r="B221" i="27"/>
  <c r="A221" i="27"/>
  <c r="H220" i="27"/>
  <c r="G220" i="27"/>
  <c r="F220" i="27"/>
  <c r="E220" i="27"/>
  <c r="D220" i="27"/>
  <c r="C220" i="27"/>
  <c r="B220" i="27"/>
  <c r="A220" i="27"/>
  <c r="H219" i="27"/>
  <c r="G219" i="27"/>
  <c r="F219" i="27"/>
  <c r="E219" i="27"/>
  <c r="D219" i="27"/>
  <c r="C219" i="27"/>
  <c r="B219" i="27"/>
  <c r="A219" i="27"/>
  <c r="H218" i="27"/>
  <c r="G218" i="27"/>
  <c r="F218" i="27"/>
  <c r="E218" i="27"/>
  <c r="D218" i="27"/>
  <c r="C218" i="27"/>
  <c r="B218" i="27"/>
  <c r="A218" i="27"/>
  <c r="H217" i="27"/>
  <c r="G217" i="27"/>
  <c r="F217" i="27"/>
  <c r="E217" i="27"/>
  <c r="D217" i="27"/>
  <c r="C217" i="27"/>
  <c r="B217" i="27"/>
  <c r="A217" i="27"/>
  <c r="H216" i="27"/>
  <c r="G216" i="27"/>
  <c r="F216" i="27"/>
  <c r="E216" i="27"/>
  <c r="D216" i="27"/>
  <c r="C216" i="27"/>
  <c r="B216" i="27"/>
  <c r="A216" i="27"/>
  <c r="H215" i="27"/>
  <c r="G215" i="27"/>
  <c r="F215" i="27"/>
  <c r="E215" i="27"/>
  <c r="D215" i="27"/>
  <c r="C215" i="27"/>
  <c r="B215" i="27"/>
  <c r="A215" i="27"/>
  <c r="H214" i="27"/>
  <c r="G214" i="27"/>
  <c r="F214" i="27"/>
  <c r="E214" i="27"/>
  <c r="D214" i="27"/>
  <c r="C214" i="27"/>
  <c r="B214" i="27"/>
  <c r="A214" i="27"/>
  <c r="H213" i="27"/>
  <c r="G213" i="27"/>
  <c r="F213" i="27"/>
  <c r="E213" i="27"/>
  <c r="D213" i="27"/>
  <c r="C213" i="27"/>
  <c r="B213" i="27"/>
  <c r="A213" i="27"/>
  <c r="H212" i="27"/>
  <c r="G212" i="27"/>
  <c r="F212" i="27"/>
  <c r="E212" i="27"/>
  <c r="D212" i="27"/>
  <c r="C212" i="27"/>
  <c r="B212" i="27"/>
  <c r="A212" i="27"/>
  <c r="H211" i="27"/>
  <c r="G211" i="27"/>
  <c r="F211" i="27"/>
  <c r="E211" i="27"/>
  <c r="D211" i="27"/>
  <c r="C211" i="27"/>
  <c r="B211" i="27"/>
  <c r="A211" i="27"/>
  <c r="H210" i="27"/>
  <c r="G210" i="27"/>
  <c r="F210" i="27"/>
  <c r="E210" i="27"/>
  <c r="D210" i="27"/>
  <c r="C210" i="27"/>
  <c r="B210" i="27"/>
  <c r="A210" i="27"/>
  <c r="H209" i="27"/>
  <c r="G209" i="27"/>
  <c r="F209" i="27"/>
  <c r="E209" i="27"/>
  <c r="D209" i="27"/>
  <c r="C209" i="27"/>
  <c r="B209" i="27"/>
  <c r="A209" i="27"/>
  <c r="H208" i="27"/>
  <c r="G208" i="27"/>
  <c r="F208" i="27"/>
  <c r="E208" i="27"/>
  <c r="D208" i="27"/>
  <c r="C208" i="27"/>
  <c r="B208" i="27"/>
  <c r="A208" i="27"/>
  <c r="H207" i="27"/>
  <c r="G207" i="27"/>
  <c r="F207" i="27"/>
  <c r="E207" i="27"/>
  <c r="D207" i="27"/>
  <c r="C207" i="27"/>
  <c r="B207" i="27"/>
  <c r="A207" i="27"/>
  <c r="H206" i="27"/>
  <c r="G206" i="27"/>
  <c r="F206" i="27"/>
  <c r="E206" i="27"/>
  <c r="D206" i="27"/>
  <c r="C206" i="27"/>
  <c r="B206" i="27"/>
  <c r="A206" i="27"/>
  <c r="H205" i="27"/>
  <c r="G205" i="27"/>
  <c r="F205" i="27"/>
  <c r="E205" i="27"/>
  <c r="D205" i="27"/>
  <c r="C205" i="27"/>
  <c r="B205" i="27"/>
  <c r="A205" i="27"/>
  <c r="H204" i="27"/>
  <c r="G204" i="27"/>
  <c r="F204" i="27"/>
  <c r="E204" i="27"/>
  <c r="D204" i="27"/>
  <c r="C204" i="27"/>
  <c r="B204" i="27"/>
  <c r="A204" i="27"/>
  <c r="H203" i="27"/>
  <c r="G203" i="27"/>
  <c r="F203" i="27"/>
  <c r="E203" i="27"/>
  <c r="D203" i="27"/>
  <c r="C203" i="27"/>
  <c r="B203" i="27"/>
  <c r="A203" i="27"/>
  <c r="H202" i="27"/>
  <c r="G202" i="27"/>
  <c r="F202" i="27"/>
  <c r="E202" i="27"/>
  <c r="D202" i="27"/>
  <c r="C202" i="27"/>
  <c r="B202" i="27"/>
  <c r="A202" i="27"/>
  <c r="H201" i="27"/>
  <c r="G201" i="27"/>
  <c r="F201" i="27"/>
  <c r="E201" i="27"/>
  <c r="D201" i="27"/>
  <c r="C201" i="27"/>
  <c r="B201" i="27"/>
  <c r="A201" i="27"/>
  <c r="H200" i="27"/>
  <c r="G200" i="27"/>
  <c r="F200" i="27"/>
  <c r="E200" i="27"/>
  <c r="D200" i="27"/>
  <c r="C200" i="27"/>
  <c r="B200" i="27"/>
  <c r="A200" i="27"/>
  <c r="H199" i="27"/>
  <c r="G199" i="27"/>
  <c r="F199" i="27"/>
  <c r="E199" i="27"/>
  <c r="D199" i="27"/>
  <c r="C199" i="27"/>
  <c r="B199" i="27"/>
  <c r="A199" i="27"/>
  <c r="H198" i="27"/>
  <c r="G198" i="27"/>
  <c r="F198" i="27"/>
  <c r="E198" i="27"/>
  <c r="D198" i="27"/>
  <c r="C198" i="27"/>
  <c r="B198" i="27"/>
  <c r="A198" i="27"/>
  <c r="H197" i="27"/>
  <c r="G197" i="27"/>
  <c r="F197" i="27"/>
  <c r="E197" i="27"/>
  <c r="D197" i="27"/>
  <c r="C197" i="27"/>
  <c r="B197" i="27"/>
  <c r="A197" i="27"/>
  <c r="H196" i="27"/>
  <c r="G196" i="27"/>
  <c r="F196" i="27"/>
  <c r="E196" i="27"/>
  <c r="D196" i="27"/>
  <c r="C196" i="27"/>
  <c r="B196" i="27"/>
  <c r="A196" i="27"/>
  <c r="H195" i="27"/>
  <c r="G195" i="27"/>
  <c r="F195" i="27"/>
  <c r="E195" i="27"/>
  <c r="D195" i="27"/>
  <c r="C195" i="27"/>
  <c r="B195" i="27"/>
  <c r="A195" i="27"/>
  <c r="H194" i="27"/>
  <c r="G194" i="27"/>
  <c r="F194" i="27"/>
  <c r="E194" i="27"/>
  <c r="D194" i="27"/>
  <c r="C194" i="27"/>
  <c r="B194" i="27"/>
  <c r="A194" i="27"/>
  <c r="H193" i="27"/>
  <c r="G193" i="27"/>
  <c r="F193" i="27"/>
  <c r="E193" i="27"/>
  <c r="D193" i="27"/>
  <c r="C193" i="27"/>
  <c r="B193" i="27"/>
  <c r="A193" i="27"/>
  <c r="H192" i="27"/>
  <c r="G192" i="27"/>
  <c r="F192" i="27"/>
  <c r="E192" i="27"/>
  <c r="D192" i="27"/>
  <c r="C192" i="27"/>
  <c r="B192" i="27"/>
  <c r="A192" i="27"/>
  <c r="H191" i="27"/>
  <c r="G191" i="27"/>
  <c r="F191" i="27"/>
  <c r="E191" i="27"/>
  <c r="D191" i="27"/>
  <c r="C191" i="27"/>
  <c r="B191" i="27"/>
  <c r="A191" i="27"/>
  <c r="H190" i="27"/>
  <c r="G190" i="27"/>
  <c r="F190" i="27"/>
  <c r="E190" i="27"/>
  <c r="D190" i="27"/>
  <c r="C190" i="27"/>
  <c r="B190" i="27"/>
  <c r="A190" i="27"/>
  <c r="H189" i="27"/>
  <c r="G189" i="27"/>
  <c r="F189" i="27"/>
  <c r="E189" i="27"/>
  <c r="D189" i="27"/>
  <c r="C189" i="27"/>
  <c r="B189" i="27"/>
  <c r="A189" i="27"/>
  <c r="H188" i="27"/>
  <c r="G188" i="27"/>
  <c r="F188" i="27"/>
  <c r="E188" i="27"/>
  <c r="D188" i="27"/>
  <c r="C188" i="27"/>
  <c r="B188" i="27"/>
  <c r="A188" i="27"/>
  <c r="H187" i="27"/>
  <c r="G187" i="27"/>
  <c r="F187" i="27"/>
  <c r="E187" i="27"/>
  <c r="D187" i="27"/>
  <c r="C187" i="27"/>
  <c r="B187" i="27"/>
  <c r="A187" i="27"/>
  <c r="H186" i="27"/>
  <c r="G186" i="27"/>
  <c r="F186" i="27"/>
  <c r="E186" i="27"/>
  <c r="D186" i="27"/>
  <c r="C186" i="27"/>
  <c r="B186" i="27"/>
  <c r="A186" i="27"/>
  <c r="H185" i="27"/>
  <c r="G185" i="27"/>
  <c r="F185" i="27"/>
  <c r="E185" i="27"/>
  <c r="D185" i="27"/>
  <c r="C185" i="27"/>
  <c r="B185" i="27"/>
  <c r="A185" i="27"/>
  <c r="H184" i="27"/>
  <c r="G184" i="27"/>
  <c r="F184" i="27"/>
  <c r="E184" i="27"/>
  <c r="D184" i="27"/>
  <c r="C184" i="27"/>
  <c r="B184" i="27"/>
  <c r="A184" i="27"/>
  <c r="H183" i="27"/>
  <c r="G183" i="27"/>
  <c r="F183" i="27"/>
  <c r="E183" i="27"/>
  <c r="D183" i="27"/>
  <c r="C183" i="27"/>
  <c r="B183" i="27"/>
  <c r="A183" i="27"/>
  <c r="H182" i="27"/>
  <c r="G182" i="27"/>
  <c r="F182" i="27"/>
  <c r="E182" i="27"/>
  <c r="D182" i="27"/>
  <c r="C182" i="27"/>
  <c r="B182" i="27"/>
  <c r="A182" i="27"/>
  <c r="H181" i="27"/>
  <c r="G181" i="27"/>
  <c r="F181" i="27"/>
  <c r="E181" i="27"/>
  <c r="D181" i="27"/>
  <c r="C181" i="27"/>
  <c r="B181" i="27"/>
  <c r="A181" i="27"/>
  <c r="H180" i="27"/>
  <c r="G180" i="27"/>
  <c r="F180" i="27"/>
  <c r="E180" i="27"/>
  <c r="D180" i="27"/>
  <c r="C180" i="27"/>
  <c r="B180" i="27"/>
  <c r="A180" i="27"/>
  <c r="H179" i="27"/>
  <c r="G179" i="27"/>
  <c r="F179" i="27"/>
  <c r="E179" i="27"/>
  <c r="D179" i="27"/>
  <c r="C179" i="27"/>
  <c r="B179" i="27"/>
  <c r="A179" i="27"/>
  <c r="H178" i="27"/>
  <c r="G178" i="27"/>
  <c r="F178" i="27"/>
  <c r="E178" i="27"/>
  <c r="D178" i="27"/>
  <c r="C178" i="27"/>
  <c r="B178" i="27"/>
  <c r="A178" i="27"/>
  <c r="H177" i="27"/>
  <c r="G177" i="27"/>
  <c r="F177" i="27"/>
  <c r="E177" i="27"/>
  <c r="D177" i="27"/>
  <c r="C177" i="27"/>
  <c r="B177" i="27"/>
  <c r="A177" i="27"/>
  <c r="H176" i="27"/>
  <c r="G176" i="27"/>
  <c r="F176" i="27"/>
  <c r="E176" i="27"/>
  <c r="D176" i="27"/>
  <c r="C176" i="27"/>
  <c r="B176" i="27"/>
  <c r="A176" i="27"/>
  <c r="H175" i="27"/>
  <c r="G175" i="27"/>
  <c r="F175" i="27"/>
  <c r="E175" i="27"/>
  <c r="D175" i="27"/>
  <c r="C175" i="27"/>
  <c r="B175" i="27"/>
  <c r="A175" i="27"/>
  <c r="H174" i="27"/>
  <c r="G174" i="27"/>
  <c r="F174" i="27"/>
  <c r="E174" i="27"/>
  <c r="D174" i="27"/>
  <c r="C174" i="27"/>
  <c r="B174" i="27"/>
  <c r="A174" i="27"/>
  <c r="H173" i="27"/>
  <c r="G173" i="27"/>
  <c r="F173" i="27"/>
  <c r="E173" i="27"/>
  <c r="D173" i="27"/>
  <c r="C173" i="27"/>
  <c r="B173" i="27"/>
  <c r="A173" i="27"/>
  <c r="H172" i="27"/>
  <c r="G172" i="27"/>
  <c r="F172" i="27"/>
  <c r="E172" i="27"/>
  <c r="D172" i="27"/>
  <c r="C172" i="27"/>
  <c r="B172" i="27"/>
  <c r="A172" i="27"/>
  <c r="H171" i="27"/>
  <c r="G171" i="27"/>
  <c r="F171" i="27"/>
  <c r="E171" i="27"/>
  <c r="D171" i="27"/>
  <c r="C171" i="27"/>
  <c r="B171" i="27"/>
  <c r="A171" i="27"/>
  <c r="H170" i="27"/>
  <c r="G170" i="27"/>
  <c r="F170" i="27"/>
  <c r="E170" i="27"/>
  <c r="D170" i="27"/>
  <c r="C170" i="27"/>
  <c r="B170" i="27"/>
  <c r="A170" i="27"/>
  <c r="H169" i="27"/>
  <c r="G169" i="27"/>
  <c r="F169" i="27"/>
  <c r="E169" i="27"/>
  <c r="D169" i="27"/>
  <c r="C169" i="27"/>
  <c r="B169" i="27"/>
  <c r="A169" i="27"/>
  <c r="H168" i="27"/>
  <c r="G168" i="27"/>
  <c r="F168" i="27"/>
  <c r="E168" i="27"/>
  <c r="D168" i="27"/>
  <c r="C168" i="27"/>
  <c r="B168" i="27"/>
  <c r="A168" i="27"/>
  <c r="H167" i="27"/>
  <c r="G167" i="27"/>
  <c r="F167" i="27"/>
  <c r="E167" i="27"/>
  <c r="D167" i="27"/>
  <c r="C167" i="27"/>
  <c r="B167" i="27"/>
  <c r="A167" i="27"/>
  <c r="H166" i="27"/>
  <c r="G166" i="27"/>
  <c r="F166" i="27"/>
  <c r="E166" i="27"/>
  <c r="D166" i="27"/>
  <c r="C166" i="27"/>
  <c r="B166" i="27"/>
  <c r="A166" i="27"/>
  <c r="H165" i="27"/>
  <c r="G165" i="27"/>
  <c r="F165" i="27"/>
  <c r="E165" i="27"/>
  <c r="D165" i="27"/>
  <c r="C165" i="27"/>
  <c r="B165" i="27"/>
  <c r="A165" i="27"/>
  <c r="H164" i="27"/>
  <c r="G164" i="27"/>
  <c r="F164" i="27"/>
  <c r="E164" i="27"/>
  <c r="D164" i="27"/>
  <c r="C164" i="27"/>
  <c r="B164" i="27"/>
  <c r="A164" i="27"/>
  <c r="H163" i="27"/>
  <c r="G163" i="27"/>
  <c r="F163" i="27"/>
  <c r="E163" i="27"/>
  <c r="D163" i="27"/>
  <c r="C163" i="27"/>
  <c r="B163" i="27"/>
  <c r="A163" i="27"/>
  <c r="H162" i="27"/>
  <c r="G162" i="27"/>
  <c r="F162" i="27"/>
  <c r="E162" i="27"/>
  <c r="D162" i="27"/>
  <c r="C162" i="27"/>
  <c r="B162" i="27"/>
  <c r="A162" i="27"/>
  <c r="H161" i="27"/>
  <c r="G161" i="27"/>
  <c r="F161" i="27"/>
  <c r="E161" i="27"/>
  <c r="D161" i="27"/>
  <c r="C161" i="27"/>
  <c r="B161" i="27"/>
  <c r="A161" i="27"/>
  <c r="H160" i="27"/>
  <c r="G160" i="27"/>
  <c r="F160" i="27"/>
  <c r="E160" i="27"/>
  <c r="D160" i="27"/>
  <c r="C160" i="27"/>
  <c r="B160" i="27"/>
  <c r="A160" i="27"/>
  <c r="H159" i="27"/>
  <c r="G159" i="27"/>
  <c r="F159" i="27"/>
  <c r="E159" i="27"/>
  <c r="D159" i="27"/>
  <c r="C159" i="27"/>
  <c r="B159" i="27"/>
  <c r="A159" i="27"/>
  <c r="H158" i="27"/>
  <c r="G158" i="27"/>
  <c r="F158" i="27"/>
  <c r="E158" i="27"/>
  <c r="D158" i="27"/>
  <c r="C158" i="27"/>
  <c r="B158" i="27"/>
  <c r="A158" i="27"/>
  <c r="H157" i="27"/>
  <c r="G157" i="27"/>
  <c r="F157" i="27"/>
  <c r="E157" i="27"/>
  <c r="D157" i="27"/>
  <c r="C157" i="27"/>
  <c r="B157" i="27"/>
  <c r="A157" i="27"/>
  <c r="H156" i="27"/>
  <c r="G156" i="27"/>
  <c r="F156" i="27"/>
  <c r="E156" i="27"/>
  <c r="D156" i="27"/>
  <c r="C156" i="27"/>
  <c r="B156" i="27"/>
  <c r="A156" i="27"/>
  <c r="H155" i="27"/>
  <c r="G155" i="27"/>
  <c r="F155" i="27"/>
  <c r="E155" i="27"/>
  <c r="D155" i="27"/>
  <c r="C155" i="27"/>
  <c r="B155" i="27"/>
  <c r="A155" i="27"/>
  <c r="H154" i="27"/>
  <c r="G154" i="27"/>
  <c r="F154" i="27"/>
  <c r="E154" i="27"/>
  <c r="D154" i="27"/>
  <c r="C154" i="27"/>
  <c r="B154" i="27"/>
  <c r="A154" i="27"/>
  <c r="H153" i="27"/>
  <c r="G153" i="27"/>
  <c r="F153" i="27"/>
  <c r="E153" i="27"/>
  <c r="D153" i="27"/>
  <c r="C153" i="27"/>
  <c r="B153" i="27"/>
  <c r="A153" i="27"/>
  <c r="H152" i="27"/>
  <c r="G152" i="27"/>
  <c r="F152" i="27"/>
  <c r="E152" i="27"/>
  <c r="D152" i="27"/>
  <c r="C152" i="27"/>
  <c r="B152" i="27"/>
  <c r="A152" i="27"/>
  <c r="H151" i="27"/>
  <c r="G151" i="27"/>
  <c r="F151" i="27"/>
  <c r="E151" i="27"/>
  <c r="D151" i="27"/>
  <c r="C151" i="27"/>
  <c r="B151" i="27"/>
  <c r="A151" i="27"/>
  <c r="H150" i="27"/>
  <c r="G150" i="27"/>
  <c r="F150" i="27"/>
  <c r="E150" i="27"/>
  <c r="D150" i="27"/>
  <c r="C150" i="27"/>
  <c r="B150" i="27"/>
  <c r="A150" i="27"/>
  <c r="H149" i="27"/>
  <c r="G149" i="27"/>
  <c r="F149" i="27"/>
  <c r="E149" i="27"/>
  <c r="D149" i="27"/>
  <c r="C149" i="27"/>
  <c r="B149" i="27"/>
  <c r="A149" i="27"/>
  <c r="H148" i="27"/>
  <c r="G148" i="27"/>
  <c r="F148" i="27"/>
  <c r="E148" i="27"/>
  <c r="D148" i="27"/>
  <c r="C148" i="27"/>
  <c r="B148" i="27"/>
  <c r="A148" i="27"/>
  <c r="H147" i="27"/>
  <c r="G147" i="27"/>
  <c r="F147" i="27"/>
  <c r="E147" i="27"/>
  <c r="D147" i="27"/>
  <c r="C147" i="27"/>
  <c r="B147" i="27"/>
  <c r="A147" i="27"/>
  <c r="H146" i="27"/>
  <c r="G146" i="27"/>
  <c r="F146" i="27"/>
  <c r="E146" i="27"/>
  <c r="D146" i="27"/>
  <c r="C146" i="27"/>
  <c r="B146" i="27"/>
  <c r="A146" i="27"/>
  <c r="H145" i="27"/>
  <c r="G145" i="27"/>
  <c r="F145" i="27"/>
  <c r="E145" i="27"/>
  <c r="D145" i="27"/>
  <c r="C145" i="27"/>
  <c r="B145" i="27"/>
  <c r="A145" i="27"/>
  <c r="H144" i="27"/>
  <c r="G144" i="27"/>
  <c r="F144" i="27"/>
  <c r="E144" i="27"/>
  <c r="D144" i="27"/>
  <c r="C144" i="27"/>
  <c r="B144" i="27"/>
  <c r="A144" i="27"/>
  <c r="H143" i="27"/>
  <c r="G143" i="27"/>
  <c r="F143" i="27"/>
  <c r="E143" i="27"/>
  <c r="D143" i="27"/>
  <c r="C143" i="27"/>
  <c r="B143" i="27"/>
  <c r="A143" i="27"/>
  <c r="H142" i="27"/>
  <c r="G142" i="27"/>
  <c r="F142" i="27"/>
  <c r="E142" i="27"/>
  <c r="D142" i="27"/>
  <c r="C142" i="27"/>
  <c r="B142" i="27"/>
  <c r="A142" i="27"/>
  <c r="H141" i="27"/>
  <c r="G141" i="27"/>
  <c r="F141" i="27"/>
  <c r="E141" i="27"/>
  <c r="D141" i="27"/>
  <c r="C141" i="27"/>
  <c r="B141" i="27"/>
  <c r="A141" i="27"/>
  <c r="H140" i="27"/>
  <c r="G140" i="27"/>
  <c r="F140" i="27"/>
  <c r="E140" i="27"/>
  <c r="D140" i="27"/>
  <c r="C140" i="27"/>
  <c r="B140" i="27"/>
  <c r="A140" i="27"/>
  <c r="H139" i="27"/>
  <c r="G139" i="27"/>
  <c r="F139" i="27"/>
  <c r="E139" i="27"/>
  <c r="D139" i="27"/>
  <c r="C139" i="27"/>
  <c r="B139" i="27"/>
  <c r="A139" i="27"/>
  <c r="H138" i="27"/>
  <c r="G138" i="27"/>
  <c r="F138" i="27"/>
  <c r="E138" i="27"/>
  <c r="D138" i="27"/>
  <c r="C138" i="27"/>
  <c r="B138" i="27"/>
  <c r="A138" i="27"/>
  <c r="H137" i="27"/>
  <c r="G137" i="27"/>
  <c r="F137" i="27"/>
  <c r="E137" i="27"/>
  <c r="D137" i="27"/>
  <c r="C137" i="27"/>
  <c r="B137" i="27"/>
  <c r="A137" i="27"/>
  <c r="H136" i="27"/>
  <c r="G136" i="27"/>
  <c r="F136" i="27"/>
  <c r="E136" i="27"/>
  <c r="D136" i="27"/>
  <c r="C136" i="27"/>
  <c r="B136" i="27"/>
  <c r="A136" i="27"/>
  <c r="H135" i="27"/>
  <c r="G135" i="27"/>
  <c r="F135" i="27"/>
  <c r="E135" i="27"/>
  <c r="D135" i="27"/>
  <c r="C135" i="27"/>
  <c r="B135" i="27"/>
  <c r="A135" i="27"/>
  <c r="H134" i="27"/>
  <c r="G134" i="27"/>
  <c r="F134" i="27"/>
  <c r="E134" i="27"/>
  <c r="D134" i="27"/>
  <c r="C134" i="27"/>
  <c r="B134" i="27"/>
  <c r="A134" i="27"/>
  <c r="H133" i="27"/>
  <c r="G133" i="27"/>
  <c r="F133" i="27"/>
  <c r="E133" i="27"/>
  <c r="D133" i="27"/>
  <c r="C133" i="27"/>
  <c r="B133" i="27"/>
  <c r="A133" i="27"/>
  <c r="H132" i="27"/>
  <c r="G132" i="27"/>
  <c r="F132" i="27"/>
  <c r="E132" i="27"/>
  <c r="D132" i="27"/>
  <c r="C132" i="27"/>
  <c r="B132" i="27"/>
  <c r="A132" i="27"/>
  <c r="H131" i="27"/>
  <c r="G131" i="27"/>
  <c r="F131" i="27"/>
  <c r="E131" i="27"/>
  <c r="D131" i="27"/>
  <c r="C131" i="27"/>
  <c r="B131" i="27"/>
  <c r="A131" i="27"/>
  <c r="H130" i="27"/>
  <c r="G130" i="27"/>
  <c r="F130" i="27"/>
  <c r="E130" i="27"/>
  <c r="D130" i="27"/>
  <c r="C130" i="27"/>
  <c r="B130" i="27"/>
  <c r="A130" i="27"/>
  <c r="H129" i="27"/>
  <c r="G129" i="27"/>
  <c r="F129" i="27"/>
  <c r="E129" i="27"/>
  <c r="D129" i="27"/>
  <c r="C129" i="27"/>
  <c r="B129" i="27"/>
  <c r="A129" i="27"/>
  <c r="H128" i="27"/>
  <c r="G128" i="27"/>
  <c r="F128" i="27"/>
  <c r="E128" i="27"/>
  <c r="D128" i="27"/>
  <c r="C128" i="27"/>
  <c r="B128" i="27"/>
  <c r="A128" i="27"/>
  <c r="H127" i="27"/>
  <c r="G127" i="27"/>
  <c r="F127" i="27"/>
  <c r="E127" i="27"/>
  <c r="D127" i="27"/>
  <c r="C127" i="27"/>
  <c r="B127" i="27"/>
  <c r="A127" i="27"/>
  <c r="H126" i="27"/>
  <c r="G126" i="27"/>
  <c r="F126" i="27"/>
  <c r="E126" i="27"/>
  <c r="D126" i="27"/>
  <c r="C126" i="27"/>
  <c r="B126" i="27"/>
  <c r="A126" i="27"/>
  <c r="H125" i="27"/>
  <c r="G125" i="27"/>
  <c r="F125" i="27"/>
  <c r="E125" i="27"/>
  <c r="D125" i="27"/>
  <c r="C125" i="27"/>
  <c r="B125" i="27"/>
  <c r="A125" i="27"/>
  <c r="H124" i="27"/>
  <c r="G124" i="27"/>
  <c r="F124" i="27"/>
  <c r="E124" i="27"/>
  <c r="D124" i="27"/>
  <c r="C124" i="27"/>
  <c r="B124" i="27"/>
  <c r="A124" i="27"/>
  <c r="H123" i="27"/>
  <c r="G123" i="27"/>
  <c r="F123" i="27"/>
  <c r="E123" i="27"/>
  <c r="D123" i="27"/>
  <c r="C123" i="27"/>
  <c r="B123" i="27"/>
  <c r="A123" i="27"/>
  <c r="H122" i="27"/>
  <c r="G122" i="27"/>
  <c r="F122" i="27"/>
  <c r="E122" i="27"/>
  <c r="D122" i="27"/>
  <c r="C122" i="27"/>
  <c r="B122" i="27"/>
  <c r="A122" i="27"/>
  <c r="H121" i="27"/>
  <c r="G121" i="27"/>
  <c r="F121" i="27"/>
  <c r="E121" i="27"/>
  <c r="D121" i="27"/>
  <c r="C121" i="27"/>
  <c r="B121" i="27"/>
  <c r="A121" i="27"/>
  <c r="H120" i="27"/>
  <c r="G120" i="27"/>
  <c r="F120" i="27"/>
  <c r="E120" i="27"/>
  <c r="D120" i="27"/>
  <c r="C120" i="27"/>
  <c r="B120" i="27"/>
  <c r="A120" i="27"/>
  <c r="H119" i="27"/>
  <c r="G119" i="27"/>
  <c r="F119" i="27"/>
  <c r="E119" i="27"/>
  <c r="D119" i="27"/>
  <c r="C119" i="27"/>
  <c r="B119" i="27"/>
  <c r="A119" i="27"/>
  <c r="H118" i="27"/>
  <c r="G118" i="27"/>
  <c r="F118" i="27"/>
  <c r="E118" i="27"/>
  <c r="D118" i="27"/>
  <c r="C118" i="27"/>
  <c r="B118" i="27"/>
  <c r="A118" i="27"/>
  <c r="H117" i="27"/>
  <c r="G117" i="27"/>
  <c r="F117" i="27"/>
  <c r="E117" i="27"/>
  <c r="D117" i="27"/>
  <c r="C117" i="27"/>
  <c r="B117" i="27"/>
  <c r="A117" i="27"/>
  <c r="H116" i="27"/>
  <c r="G116" i="27"/>
  <c r="F116" i="27"/>
  <c r="E116" i="27"/>
  <c r="D116" i="27"/>
  <c r="C116" i="27"/>
  <c r="B116" i="27"/>
  <c r="A116" i="27"/>
  <c r="H115" i="27"/>
  <c r="G115" i="27"/>
  <c r="F115" i="27"/>
  <c r="E115" i="27"/>
  <c r="D115" i="27"/>
  <c r="C115" i="27"/>
  <c r="B115" i="27"/>
  <c r="A115" i="27"/>
  <c r="H114" i="27"/>
  <c r="G114" i="27"/>
  <c r="F114" i="27"/>
  <c r="E114" i="27"/>
  <c r="D114" i="27"/>
  <c r="C114" i="27"/>
  <c r="B114" i="27"/>
  <c r="A114" i="27"/>
  <c r="H113" i="27"/>
  <c r="G113" i="27"/>
  <c r="F113" i="27"/>
  <c r="E113" i="27"/>
  <c r="D113" i="27"/>
  <c r="C113" i="27"/>
  <c r="B113" i="27"/>
  <c r="A113" i="27"/>
  <c r="H112" i="27"/>
  <c r="G112" i="27"/>
  <c r="F112" i="27"/>
  <c r="E112" i="27"/>
  <c r="D112" i="27"/>
  <c r="C112" i="27"/>
  <c r="B112" i="27"/>
  <c r="A112" i="27"/>
  <c r="H111" i="27"/>
  <c r="G111" i="27"/>
  <c r="F111" i="27"/>
  <c r="E111" i="27"/>
  <c r="D111" i="27"/>
  <c r="C111" i="27"/>
  <c r="B111" i="27"/>
  <c r="A111" i="27"/>
  <c r="H110" i="27"/>
  <c r="G110" i="27"/>
  <c r="F110" i="27"/>
  <c r="E110" i="27"/>
  <c r="D110" i="27"/>
  <c r="C110" i="27"/>
  <c r="B110" i="27"/>
  <c r="A110" i="27"/>
  <c r="H109" i="27"/>
  <c r="G109" i="27"/>
  <c r="F109" i="27"/>
  <c r="E109" i="27"/>
  <c r="D109" i="27"/>
  <c r="C109" i="27"/>
  <c r="B109" i="27"/>
  <c r="A109" i="27"/>
  <c r="H108" i="27"/>
  <c r="G108" i="27"/>
  <c r="F108" i="27"/>
  <c r="E108" i="27"/>
  <c r="D108" i="27"/>
  <c r="C108" i="27"/>
  <c r="B108" i="27"/>
  <c r="A108" i="27"/>
  <c r="H107" i="27"/>
  <c r="G107" i="27"/>
  <c r="F107" i="27"/>
  <c r="E107" i="27"/>
  <c r="D107" i="27"/>
  <c r="C107" i="27"/>
  <c r="B107" i="27"/>
  <c r="A107" i="27"/>
  <c r="H106" i="27"/>
  <c r="G106" i="27"/>
  <c r="F106" i="27"/>
  <c r="E106" i="27"/>
  <c r="D106" i="27"/>
  <c r="C106" i="27"/>
  <c r="B106" i="27"/>
  <c r="A106" i="27"/>
  <c r="H105" i="27"/>
  <c r="G105" i="27"/>
  <c r="F105" i="27"/>
  <c r="E105" i="27"/>
  <c r="D105" i="27"/>
  <c r="C105" i="27"/>
  <c r="B105" i="27"/>
  <c r="A105" i="27"/>
  <c r="H104" i="27"/>
  <c r="G104" i="27"/>
  <c r="F104" i="27"/>
  <c r="E104" i="27"/>
  <c r="D104" i="27"/>
  <c r="C104" i="27"/>
  <c r="B104" i="27"/>
  <c r="A104" i="27"/>
  <c r="H103" i="27"/>
  <c r="G103" i="27"/>
  <c r="F103" i="27"/>
  <c r="E103" i="27"/>
  <c r="D103" i="27"/>
  <c r="C103" i="27"/>
  <c r="B103" i="27"/>
  <c r="A103" i="27"/>
  <c r="H102" i="27"/>
  <c r="G102" i="27"/>
  <c r="F102" i="27"/>
  <c r="E102" i="27"/>
  <c r="D102" i="27"/>
  <c r="C102" i="27"/>
  <c r="B102" i="27"/>
  <c r="A102" i="27"/>
  <c r="H101" i="27"/>
  <c r="G101" i="27"/>
  <c r="F101" i="27"/>
  <c r="E101" i="27"/>
  <c r="D101" i="27"/>
  <c r="C101" i="27"/>
  <c r="B101" i="27"/>
  <c r="A101" i="27"/>
  <c r="H100" i="27"/>
  <c r="G100" i="27"/>
  <c r="F100" i="27"/>
  <c r="E100" i="27"/>
  <c r="D100" i="27"/>
  <c r="C100" i="27"/>
  <c r="B100" i="27"/>
  <c r="A100" i="27"/>
  <c r="H99" i="27"/>
  <c r="G99" i="27"/>
  <c r="F99" i="27"/>
  <c r="E99" i="27"/>
  <c r="D99" i="27"/>
  <c r="C99" i="27"/>
  <c r="B99" i="27"/>
  <c r="A99" i="27"/>
  <c r="H98" i="27"/>
  <c r="G98" i="27"/>
  <c r="F98" i="27"/>
  <c r="E98" i="27"/>
  <c r="D98" i="27"/>
  <c r="C98" i="27"/>
  <c r="B98" i="27"/>
  <c r="A98" i="27"/>
  <c r="H97" i="27"/>
  <c r="G97" i="27"/>
  <c r="F97" i="27"/>
  <c r="E97" i="27"/>
  <c r="D97" i="27"/>
  <c r="C97" i="27"/>
  <c r="B97" i="27"/>
  <c r="A97" i="27"/>
  <c r="H96" i="27"/>
  <c r="G96" i="27"/>
  <c r="F96" i="27"/>
  <c r="E96" i="27"/>
  <c r="D96" i="27"/>
  <c r="C96" i="27"/>
  <c r="B96" i="27"/>
  <c r="A96" i="27"/>
  <c r="H95" i="27"/>
  <c r="G95" i="27"/>
  <c r="F95" i="27"/>
  <c r="E95" i="27"/>
  <c r="D95" i="27"/>
  <c r="C95" i="27"/>
  <c r="B95" i="27"/>
  <c r="A95" i="27"/>
  <c r="H94" i="27"/>
  <c r="G94" i="27"/>
  <c r="F94" i="27"/>
  <c r="E94" i="27"/>
  <c r="D94" i="27"/>
  <c r="C94" i="27"/>
  <c r="B94" i="27"/>
  <c r="A94" i="27"/>
  <c r="H93" i="27"/>
  <c r="G93" i="27"/>
  <c r="F93" i="27"/>
  <c r="E93" i="27"/>
  <c r="D93" i="27"/>
  <c r="C93" i="27"/>
  <c r="B93" i="27"/>
  <c r="A93" i="27"/>
  <c r="H92" i="27"/>
  <c r="G92" i="27"/>
  <c r="F92" i="27"/>
  <c r="E92" i="27"/>
  <c r="D92" i="27"/>
  <c r="C92" i="27"/>
  <c r="B92" i="27"/>
  <c r="A92" i="27"/>
  <c r="H91" i="27"/>
  <c r="G91" i="27"/>
  <c r="F91" i="27"/>
  <c r="E91" i="27"/>
  <c r="D91" i="27"/>
  <c r="C91" i="27"/>
  <c r="B91" i="27"/>
  <c r="A91" i="27"/>
  <c r="H90" i="27"/>
  <c r="G90" i="27"/>
  <c r="F90" i="27"/>
  <c r="E90" i="27"/>
  <c r="D90" i="27"/>
  <c r="C90" i="27"/>
  <c r="B90" i="27"/>
  <c r="A90" i="27"/>
  <c r="H89" i="27"/>
  <c r="G89" i="27"/>
  <c r="F89" i="27"/>
  <c r="E89" i="27"/>
  <c r="D89" i="27"/>
  <c r="C89" i="27"/>
  <c r="B89" i="27"/>
  <c r="A89" i="27"/>
  <c r="H88" i="27"/>
  <c r="G88" i="27"/>
  <c r="F88" i="27"/>
  <c r="E88" i="27"/>
  <c r="D88" i="27"/>
  <c r="C88" i="27"/>
  <c r="B88" i="27"/>
  <c r="A88" i="27"/>
  <c r="H87" i="27"/>
  <c r="G87" i="27"/>
  <c r="F87" i="27"/>
  <c r="E87" i="27"/>
  <c r="D87" i="27"/>
  <c r="C87" i="27"/>
  <c r="B87" i="27"/>
  <c r="A87" i="27"/>
  <c r="H86" i="27"/>
  <c r="G86" i="27"/>
  <c r="F86" i="27"/>
  <c r="E86" i="27"/>
  <c r="D86" i="27"/>
  <c r="C86" i="27"/>
  <c r="B86" i="27"/>
  <c r="A86" i="27"/>
  <c r="H85" i="27"/>
  <c r="G85" i="27"/>
  <c r="F85" i="27"/>
  <c r="E85" i="27"/>
  <c r="D85" i="27"/>
  <c r="C85" i="27"/>
  <c r="B85" i="27"/>
  <c r="A85" i="27"/>
  <c r="H84" i="27"/>
  <c r="G84" i="27"/>
  <c r="F84" i="27"/>
  <c r="E84" i="27"/>
  <c r="D84" i="27"/>
  <c r="C84" i="27"/>
  <c r="B84" i="27"/>
  <c r="A84" i="27"/>
  <c r="H83" i="27"/>
  <c r="G83" i="27"/>
  <c r="F83" i="27"/>
  <c r="E83" i="27"/>
  <c r="D83" i="27"/>
  <c r="C83" i="27"/>
  <c r="B83" i="27"/>
  <c r="A83" i="27"/>
  <c r="H82" i="27"/>
  <c r="G82" i="27"/>
  <c r="F82" i="27"/>
  <c r="E82" i="27"/>
  <c r="D82" i="27"/>
  <c r="C82" i="27"/>
  <c r="B82" i="27"/>
  <c r="A82" i="27"/>
  <c r="H81" i="27"/>
  <c r="G81" i="27"/>
  <c r="F81" i="27"/>
  <c r="E81" i="27"/>
  <c r="D81" i="27"/>
  <c r="C81" i="27"/>
  <c r="B81" i="27"/>
  <c r="A81" i="27"/>
  <c r="H80" i="27"/>
  <c r="G80" i="27"/>
  <c r="F80" i="27"/>
  <c r="E80" i="27"/>
  <c r="D80" i="27"/>
  <c r="C80" i="27"/>
  <c r="B80" i="27"/>
  <c r="A80" i="27"/>
  <c r="H79" i="27"/>
  <c r="G79" i="27"/>
  <c r="F79" i="27"/>
  <c r="E79" i="27"/>
  <c r="D79" i="27"/>
  <c r="C79" i="27"/>
  <c r="B79" i="27"/>
  <c r="A79" i="27"/>
  <c r="H78" i="27"/>
  <c r="G78" i="27"/>
  <c r="F78" i="27"/>
  <c r="E78" i="27"/>
  <c r="D78" i="27"/>
  <c r="C78" i="27"/>
  <c r="B78" i="27"/>
  <c r="A78" i="27"/>
  <c r="H77" i="27"/>
  <c r="G77" i="27"/>
  <c r="F77" i="27"/>
  <c r="E77" i="27"/>
  <c r="D77" i="27"/>
  <c r="C77" i="27"/>
  <c r="B77" i="27"/>
  <c r="A77" i="27"/>
  <c r="H76" i="27"/>
  <c r="G76" i="27"/>
  <c r="F76" i="27"/>
  <c r="E76" i="27"/>
  <c r="D76" i="27"/>
  <c r="C76" i="27"/>
  <c r="B76" i="27"/>
  <c r="A76" i="27"/>
  <c r="H75" i="27"/>
  <c r="G75" i="27"/>
  <c r="F75" i="27"/>
  <c r="E75" i="27"/>
  <c r="D75" i="27"/>
  <c r="C75" i="27"/>
  <c r="B75" i="27"/>
  <c r="A75" i="27"/>
  <c r="H74" i="27"/>
  <c r="G74" i="27"/>
  <c r="F74" i="27"/>
  <c r="E74" i="27"/>
  <c r="D74" i="27"/>
  <c r="C74" i="27"/>
  <c r="B74" i="27"/>
  <c r="A74" i="27"/>
  <c r="H73" i="27"/>
  <c r="G73" i="27"/>
  <c r="F73" i="27"/>
  <c r="E73" i="27"/>
  <c r="D73" i="27"/>
  <c r="C73" i="27"/>
  <c r="B73" i="27"/>
  <c r="A73" i="27"/>
  <c r="H72" i="27"/>
  <c r="G72" i="27"/>
  <c r="F72" i="27"/>
  <c r="E72" i="27"/>
  <c r="D72" i="27"/>
  <c r="C72" i="27"/>
  <c r="B72" i="27"/>
  <c r="A72" i="27"/>
  <c r="H71" i="27"/>
  <c r="G71" i="27"/>
  <c r="F71" i="27"/>
  <c r="E71" i="27"/>
  <c r="D71" i="27"/>
  <c r="C71" i="27"/>
  <c r="B71" i="27"/>
  <c r="A71" i="27"/>
  <c r="H70" i="27"/>
  <c r="G70" i="27"/>
  <c r="F70" i="27"/>
  <c r="E70" i="27"/>
  <c r="D70" i="27"/>
  <c r="C70" i="27"/>
  <c r="B70" i="27"/>
  <c r="A70" i="27"/>
  <c r="H69" i="27"/>
  <c r="G69" i="27"/>
  <c r="F69" i="27"/>
  <c r="E69" i="27"/>
  <c r="D69" i="27"/>
  <c r="C69" i="27"/>
  <c r="B69" i="27"/>
  <c r="A69" i="27"/>
  <c r="H68" i="27"/>
  <c r="G68" i="27"/>
  <c r="F68" i="27"/>
  <c r="E68" i="27"/>
  <c r="D68" i="27"/>
  <c r="C68" i="27"/>
  <c r="B68" i="27"/>
  <c r="A68" i="27"/>
  <c r="H67" i="27"/>
  <c r="G67" i="27"/>
  <c r="F67" i="27"/>
  <c r="E67" i="27"/>
  <c r="D67" i="27"/>
  <c r="C67" i="27"/>
  <c r="B67" i="27"/>
  <c r="A67" i="27"/>
  <c r="H66" i="27"/>
  <c r="G66" i="27"/>
  <c r="F66" i="27"/>
  <c r="E66" i="27"/>
  <c r="D66" i="27"/>
  <c r="C66" i="27"/>
  <c r="B66" i="27"/>
  <c r="A66" i="27"/>
  <c r="H65" i="27"/>
  <c r="G65" i="27"/>
  <c r="F65" i="27"/>
  <c r="E65" i="27"/>
  <c r="D65" i="27"/>
  <c r="C65" i="27"/>
  <c r="B65" i="27"/>
  <c r="A65" i="27"/>
  <c r="H64" i="27"/>
  <c r="G64" i="27"/>
  <c r="F64" i="27"/>
  <c r="E64" i="27"/>
  <c r="D64" i="27"/>
  <c r="C64" i="27"/>
  <c r="B64" i="27"/>
  <c r="A64" i="27"/>
  <c r="H63" i="27"/>
  <c r="G63" i="27"/>
  <c r="F63" i="27"/>
  <c r="E63" i="27"/>
  <c r="D63" i="27"/>
  <c r="C63" i="27"/>
  <c r="B63" i="27"/>
  <c r="A63" i="27"/>
  <c r="H62" i="27"/>
  <c r="G62" i="27"/>
  <c r="F62" i="27"/>
  <c r="E62" i="27"/>
  <c r="D62" i="27"/>
  <c r="C62" i="27"/>
  <c r="B62" i="27"/>
  <c r="A62" i="27"/>
  <c r="H61" i="27"/>
  <c r="G61" i="27"/>
  <c r="F61" i="27"/>
  <c r="E61" i="27"/>
  <c r="D61" i="27"/>
  <c r="C61" i="27"/>
  <c r="B61" i="27"/>
  <c r="A61" i="27"/>
  <c r="H60" i="27"/>
  <c r="G60" i="27"/>
  <c r="F60" i="27"/>
  <c r="E60" i="27"/>
  <c r="D60" i="27"/>
  <c r="C60" i="27"/>
  <c r="B60" i="27"/>
  <c r="A60" i="27"/>
  <c r="H59" i="27"/>
  <c r="G59" i="27"/>
  <c r="F59" i="27"/>
  <c r="E59" i="27"/>
  <c r="D59" i="27"/>
  <c r="C59" i="27"/>
  <c r="B59" i="27"/>
  <c r="A59" i="27"/>
  <c r="H58" i="27"/>
  <c r="G58" i="27"/>
  <c r="F58" i="27"/>
  <c r="E58" i="27"/>
  <c r="D58" i="27"/>
  <c r="C58" i="27"/>
  <c r="B58" i="27"/>
  <c r="A58" i="27"/>
  <c r="H57" i="27"/>
  <c r="G57" i="27"/>
  <c r="F57" i="27"/>
  <c r="E57" i="27"/>
  <c r="D57" i="27"/>
  <c r="C57" i="27"/>
  <c r="B57" i="27"/>
  <c r="A57" i="27"/>
  <c r="H56" i="27"/>
  <c r="G56" i="27"/>
  <c r="F56" i="27"/>
  <c r="E56" i="27"/>
  <c r="D56" i="27"/>
  <c r="C56" i="27"/>
  <c r="B56" i="27"/>
  <c r="A56" i="27"/>
  <c r="H55" i="27"/>
  <c r="G55" i="27"/>
  <c r="F55" i="27"/>
  <c r="E55" i="27"/>
  <c r="D55" i="27"/>
  <c r="C55" i="27"/>
  <c r="B55" i="27"/>
  <c r="A55" i="27"/>
  <c r="H54" i="27"/>
  <c r="G54" i="27"/>
  <c r="F54" i="27"/>
  <c r="E54" i="27"/>
  <c r="D54" i="27"/>
  <c r="C54" i="27"/>
  <c r="B54" i="27"/>
  <c r="A54" i="27"/>
  <c r="H53" i="27"/>
  <c r="G53" i="27"/>
  <c r="F53" i="27"/>
  <c r="E53" i="27"/>
  <c r="D53" i="27"/>
  <c r="C53" i="27"/>
  <c r="B53" i="27"/>
  <c r="A53" i="27"/>
  <c r="H52" i="27"/>
  <c r="G52" i="27"/>
  <c r="F52" i="27"/>
  <c r="E52" i="27"/>
  <c r="D52" i="27"/>
  <c r="C52" i="27"/>
  <c r="B52" i="27"/>
  <c r="A52" i="27"/>
  <c r="H51" i="27"/>
  <c r="G51" i="27"/>
  <c r="F51" i="27"/>
  <c r="E51" i="27"/>
  <c r="D51" i="27"/>
  <c r="C51" i="27"/>
  <c r="B51" i="27"/>
  <c r="A51" i="27"/>
  <c r="H50" i="27"/>
  <c r="G50" i="27"/>
  <c r="F50" i="27"/>
  <c r="E50" i="27"/>
  <c r="D50" i="27"/>
  <c r="C50" i="27"/>
  <c r="B50" i="27"/>
  <c r="A50" i="27"/>
  <c r="H49" i="27"/>
  <c r="G49" i="27"/>
  <c r="F49" i="27"/>
  <c r="E49" i="27"/>
  <c r="D49" i="27"/>
  <c r="C49" i="27"/>
  <c r="B49" i="27"/>
  <c r="A49" i="27"/>
  <c r="H48" i="27"/>
  <c r="G48" i="27"/>
  <c r="F48" i="27"/>
  <c r="E48" i="27"/>
  <c r="D48" i="27"/>
  <c r="C48" i="27"/>
  <c r="B48" i="27"/>
  <c r="A48" i="27"/>
  <c r="H47" i="27"/>
  <c r="G47" i="27"/>
  <c r="F47" i="27"/>
  <c r="E47" i="27"/>
  <c r="D47" i="27"/>
  <c r="C47" i="27"/>
  <c r="B47" i="27"/>
  <c r="A47" i="27"/>
  <c r="H46" i="27"/>
  <c r="G46" i="27"/>
  <c r="F46" i="27"/>
  <c r="E46" i="27"/>
  <c r="D46" i="27"/>
  <c r="C46" i="27"/>
  <c r="B46" i="27"/>
  <c r="A46" i="27"/>
  <c r="H45" i="27"/>
  <c r="G45" i="27"/>
  <c r="F45" i="27"/>
  <c r="E45" i="27"/>
  <c r="D45" i="27"/>
  <c r="C45" i="27"/>
  <c r="B45" i="27"/>
  <c r="A45" i="27"/>
  <c r="H44" i="27"/>
  <c r="G44" i="27"/>
  <c r="F44" i="27"/>
  <c r="E44" i="27"/>
  <c r="D44" i="27"/>
  <c r="C44" i="27"/>
  <c r="B44" i="27"/>
  <c r="A44" i="27"/>
  <c r="H43" i="27"/>
  <c r="G43" i="27"/>
  <c r="F43" i="27"/>
  <c r="E43" i="27"/>
  <c r="D43" i="27"/>
  <c r="C43" i="27"/>
  <c r="B43" i="27"/>
  <c r="A43" i="27"/>
  <c r="H42" i="27"/>
  <c r="G42" i="27"/>
  <c r="F42" i="27"/>
  <c r="E42" i="27"/>
  <c r="D42" i="27"/>
  <c r="C42" i="27"/>
  <c r="B42" i="27"/>
  <c r="A42" i="27"/>
  <c r="H41" i="27"/>
  <c r="G41" i="27"/>
  <c r="F41" i="27"/>
  <c r="E41" i="27"/>
  <c r="D41" i="27"/>
  <c r="C41" i="27"/>
  <c r="B41" i="27"/>
  <c r="A41" i="27"/>
  <c r="H40" i="27"/>
  <c r="G40" i="27"/>
  <c r="F40" i="27"/>
  <c r="E40" i="27"/>
  <c r="D40" i="27"/>
  <c r="C40" i="27"/>
  <c r="B40" i="27"/>
  <c r="A40" i="27"/>
  <c r="H39" i="27"/>
  <c r="G39" i="27"/>
  <c r="F39" i="27"/>
  <c r="E39" i="27"/>
  <c r="D39" i="27"/>
  <c r="C39" i="27"/>
  <c r="B39" i="27"/>
  <c r="A39" i="27"/>
  <c r="H38" i="27"/>
  <c r="G38" i="27"/>
  <c r="F38" i="27"/>
  <c r="E38" i="27"/>
  <c r="D38" i="27"/>
  <c r="C38" i="27"/>
  <c r="B38" i="27"/>
  <c r="A38" i="27"/>
  <c r="H37" i="27"/>
  <c r="G37" i="27"/>
  <c r="F37" i="27"/>
  <c r="E37" i="27"/>
  <c r="D37" i="27"/>
  <c r="C37" i="27"/>
  <c r="B37" i="27"/>
  <c r="A37" i="27"/>
  <c r="H36" i="27"/>
  <c r="G36" i="27"/>
  <c r="F36" i="27"/>
  <c r="E36" i="27"/>
  <c r="D36" i="27"/>
  <c r="C36" i="27"/>
  <c r="B36" i="27"/>
  <c r="A36" i="27"/>
  <c r="H35" i="27"/>
  <c r="G35" i="27"/>
  <c r="F35" i="27"/>
  <c r="E35" i="27"/>
  <c r="D35" i="27"/>
  <c r="C35" i="27"/>
  <c r="B35" i="27"/>
  <c r="A35" i="27"/>
  <c r="H34" i="27"/>
  <c r="G34" i="27"/>
  <c r="F34" i="27"/>
  <c r="E34" i="27"/>
  <c r="D34" i="27"/>
  <c r="C34" i="27"/>
  <c r="B34" i="27"/>
  <c r="A34" i="27"/>
  <c r="H33" i="27"/>
  <c r="G33" i="27"/>
  <c r="F33" i="27"/>
  <c r="E33" i="27"/>
  <c r="D33" i="27"/>
  <c r="C33" i="27"/>
  <c r="B33" i="27"/>
  <c r="A33" i="27"/>
  <c r="H32" i="27"/>
  <c r="G32" i="27"/>
  <c r="F32" i="27"/>
  <c r="E32" i="27"/>
  <c r="D32" i="27"/>
  <c r="C32" i="27"/>
  <c r="B32" i="27"/>
  <c r="A32" i="27"/>
  <c r="H31" i="27"/>
  <c r="G31" i="27"/>
  <c r="F31" i="27"/>
  <c r="E31" i="27"/>
  <c r="D31" i="27"/>
  <c r="C31" i="27"/>
  <c r="B31" i="27"/>
  <c r="A31" i="27"/>
  <c r="H30" i="27"/>
  <c r="G30" i="27"/>
  <c r="F30" i="27"/>
  <c r="E30" i="27"/>
  <c r="D30" i="27"/>
  <c r="C30" i="27"/>
  <c r="B30" i="27"/>
  <c r="A30" i="27"/>
  <c r="H29" i="27"/>
  <c r="G29" i="27"/>
  <c r="F29" i="27"/>
  <c r="E29" i="27"/>
  <c r="D29" i="27"/>
  <c r="C29" i="27"/>
  <c r="B29" i="27"/>
  <c r="A29" i="27"/>
  <c r="H28" i="27"/>
  <c r="G28" i="27"/>
  <c r="F28" i="27"/>
  <c r="E28" i="27"/>
  <c r="D28" i="27"/>
  <c r="C28" i="27"/>
  <c r="B28" i="27"/>
  <c r="A28" i="27"/>
  <c r="H27" i="27"/>
  <c r="G27" i="27"/>
  <c r="F27" i="27"/>
  <c r="E27" i="27"/>
  <c r="D27" i="27"/>
  <c r="C27" i="27"/>
  <c r="B27" i="27"/>
  <c r="A27" i="27"/>
  <c r="H26" i="27"/>
  <c r="G26" i="27"/>
  <c r="F26" i="27"/>
  <c r="E26" i="27"/>
  <c r="D26" i="27"/>
  <c r="C26" i="27"/>
  <c r="B26" i="27"/>
  <c r="A26" i="27"/>
  <c r="H25" i="27"/>
  <c r="G25" i="27"/>
  <c r="F25" i="27"/>
  <c r="E25" i="27"/>
  <c r="D25" i="27"/>
  <c r="C25" i="27"/>
  <c r="B25" i="27"/>
  <c r="A25" i="27"/>
  <c r="H24" i="27"/>
  <c r="G24" i="27"/>
  <c r="F24" i="27"/>
  <c r="E24" i="27"/>
  <c r="D24" i="27"/>
  <c r="C24" i="27"/>
  <c r="B24" i="27"/>
  <c r="A24" i="27"/>
  <c r="H23" i="27"/>
  <c r="G23" i="27"/>
  <c r="F23" i="27"/>
  <c r="E23" i="27"/>
  <c r="D23" i="27"/>
  <c r="C23" i="27"/>
  <c r="B23" i="27"/>
  <c r="A23" i="27"/>
  <c r="H22" i="27"/>
  <c r="G22" i="27"/>
  <c r="F22" i="27"/>
  <c r="E22" i="27"/>
  <c r="D22" i="27"/>
  <c r="C22" i="27"/>
  <c r="B22" i="27"/>
  <c r="A22" i="27"/>
  <c r="H21" i="27"/>
  <c r="G21" i="27"/>
  <c r="F21" i="27"/>
  <c r="E21" i="27"/>
  <c r="D21" i="27"/>
  <c r="C21" i="27"/>
  <c r="B21" i="27"/>
  <c r="A21" i="27"/>
  <c r="H20" i="27"/>
  <c r="G20" i="27"/>
  <c r="F20" i="27"/>
  <c r="E20" i="27"/>
  <c r="D20" i="27"/>
  <c r="C20" i="27"/>
  <c r="B20" i="27"/>
  <c r="A20" i="27"/>
  <c r="H19" i="27"/>
  <c r="G19" i="27"/>
  <c r="F19" i="27"/>
  <c r="E19" i="27"/>
  <c r="D19" i="27"/>
  <c r="C19" i="27"/>
  <c r="B19" i="27"/>
  <c r="A19" i="27"/>
  <c r="H18" i="27"/>
  <c r="G18" i="27"/>
  <c r="F18" i="27"/>
  <c r="E18" i="27"/>
  <c r="D18" i="27"/>
  <c r="C18" i="27"/>
  <c r="B18" i="27"/>
  <c r="A18" i="27"/>
  <c r="H17" i="27"/>
  <c r="G17" i="27"/>
  <c r="F17" i="27"/>
  <c r="E17" i="27"/>
  <c r="D17" i="27"/>
  <c r="C17" i="27"/>
  <c r="B17" i="27"/>
  <c r="A17" i="27"/>
  <c r="H16" i="27"/>
  <c r="G16" i="27"/>
  <c r="F16" i="27"/>
  <c r="E16" i="27"/>
  <c r="D16" i="27"/>
  <c r="C16" i="27"/>
  <c r="B16" i="27"/>
  <c r="A16" i="27"/>
  <c r="H15" i="27"/>
  <c r="G15" i="27"/>
  <c r="F15" i="27"/>
  <c r="E15" i="27"/>
  <c r="D15" i="27"/>
  <c r="C15" i="27"/>
  <c r="B15" i="27"/>
  <c r="A15" i="27"/>
  <c r="H14" i="27"/>
  <c r="G14" i="27"/>
  <c r="F14" i="27"/>
  <c r="E14" i="27"/>
  <c r="D14" i="27"/>
  <c r="C14" i="27"/>
  <c r="B14" i="27"/>
  <c r="A14" i="27"/>
  <c r="H13" i="27"/>
  <c r="G13" i="27"/>
  <c r="F13" i="27"/>
  <c r="E13" i="27"/>
  <c r="D13" i="27"/>
  <c r="C13" i="27"/>
  <c r="B13" i="27"/>
  <c r="A13" i="27"/>
  <c r="H12" i="27"/>
  <c r="G12" i="27"/>
  <c r="F12" i="27"/>
  <c r="E12" i="27"/>
  <c r="D12" i="27"/>
  <c r="C12" i="27"/>
  <c r="B12" i="27"/>
  <c r="A12" i="27"/>
  <c r="H11" i="27"/>
  <c r="G11" i="27"/>
  <c r="F11" i="27"/>
  <c r="E11" i="27"/>
  <c r="D11" i="27"/>
  <c r="C11" i="27"/>
  <c r="B11" i="27"/>
  <c r="A11" i="27"/>
  <c r="H10" i="27"/>
  <c r="G10" i="27"/>
  <c r="F10" i="27"/>
  <c r="E10" i="27"/>
  <c r="D10" i="27"/>
  <c r="C10" i="27"/>
  <c r="B10" i="27"/>
  <c r="A10" i="27"/>
  <c r="H9" i="27"/>
  <c r="G9" i="27"/>
  <c r="F9" i="27"/>
  <c r="E9" i="27"/>
  <c r="D9" i="27"/>
  <c r="C9" i="27"/>
  <c r="B9" i="27"/>
  <c r="A9" i="27"/>
  <c r="H8" i="27"/>
  <c r="G8" i="27"/>
  <c r="F8" i="27"/>
  <c r="E8" i="27"/>
  <c r="D8" i="27"/>
  <c r="C8" i="27"/>
  <c r="B8" i="27"/>
  <c r="A8" i="27"/>
  <c r="H7" i="27"/>
  <c r="G7" i="27"/>
  <c r="F7" i="27"/>
  <c r="E7" i="27"/>
  <c r="D7" i="27"/>
  <c r="C7" i="27"/>
  <c r="B7" i="27"/>
  <c r="A7" i="27"/>
  <c r="H6" i="27"/>
  <c r="G6" i="27"/>
  <c r="F6" i="27"/>
  <c r="E6" i="27"/>
  <c r="D6" i="27"/>
  <c r="C6" i="27"/>
  <c r="B6" i="27"/>
  <c r="A6" i="27"/>
  <c r="H5" i="27"/>
  <c r="G5" i="27"/>
  <c r="F5" i="27"/>
  <c r="E5" i="27"/>
  <c r="D5" i="27"/>
  <c r="C5" i="27"/>
  <c r="B5" i="27"/>
  <c r="A5" i="27"/>
  <c r="H4" i="27"/>
  <c r="G4" i="27"/>
  <c r="F4" i="27"/>
  <c r="E4" i="27"/>
  <c r="D4" i="27"/>
  <c r="C4" i="27"/>
  <c r="B4" i="27"/>
  <c r="A4" i="27"/>
  <c r="H3" i="27"/>
  <c r="G3" i="27"/>
  <c r="F3" i="27"/>
  <c r="E3" i="27"/>
  <c r="D3" i="27"/>
  <c r="C3" i="27"/>
  <c r="B3" i="27"/>
  <c r="A3" i="27"/>
  <c r="H2" i="27"/>
  <c r="G2" i="27"/>
  <c r="F2" i="27"/>
  <c r="E2" i="27"/>
  <c r="D2" i="27"/>
  <c r="C2" i="27"/>
  <c r="B2" i="27"/>
  <c r="A2" i="27"/>
  <c r="H1" i="27"/>
  <c r="G1" i="27"/>
  <c r="F1" i="27"/>
  <c r="E1" i="27"/>
  <c r="D1" i="27"/>
  <c r="C1" i="27"/>
  <c r="B1" i="27"/>
  <c r="A1" i="27"/>
  <c r="G277" i="26"/>
  <c r="F277" i="26"/>
  <c r="E277" i="26"/>
  <c r="D277" i="26"/>
  <c r="C277" i="26"/>
  <c r="B277" i="26"/>
  <c r="A277" i="26"/>
  <c r="G276" i="26"/>
  <c r="F276" i="26"/>
  <c r="E276" i="26"/>
  <c r="D276" i="26"/>
  <c r="C276" i="26"/>
  <c r="B276" i="26"/>
  <c r="A276" i="26"/>
  <c r="G275" i="26"/>
  <c r="F275" i="26"/>
  <c r="E275" i="26"/>
  <c r="D275" i="26"/>
  <c r="C275" i="26"/>
  <c r="B275" i="26"/>
  <c r="A275" i="26"/>
  <c r="G274" i="26"/>
  <c r="F274" i="26"/>
  <c r="E274" i="26"/>
  <c r="D274" i="26"/>
  <c r="C274" i="26"/>
  <c r="B274" i="26"/>
  <c r="A274" i="26"/>
  <c r="G273" i="26"/>
  <c r="F273" i="26"/>
  <c r="E273" i="26"/>
  <c r="D273" i="26"/>
  <c r="C273" i="26"/>
  <c r="B273" i="26"/>
  <c r="A273" i="26"/>
  <c r="G272" i="26"/>
  <c r="F272" i="26"/>
  <c r="E272" i="26"/>
  <c r="D272" i="26"/>
  <c r="C272" i="26"/>
  <c r="B272" i="26"/>
  <c r="A272" i="26"/>
  <c r="G271" i="26"/>
  <c r="F271" i="26"/>
  <c r="E271" i="26"/>
  <c r="D271" i="26"/>
  <c r="C271" i="26"/>
  <c r="B271" i="26"/>
  <c r="A271" i="26"/>
  <c r="G270" i="26"/>
  <c r="F270" i="26"/>
  <c r="E270" i="26"/>
  <c r="D270" i="26"/>
  <c r="C270" i="26"/>
  <c r="B270" i="26"/>
  <c r="A270" i="26"/>
  <c r="G269" i="26"/>
  <c r="F269" i="26"/>
  <c r="E269" i="26"/>
  <c r="D269" i="26"/>
  <c r="C269" i="26"/>
  <c r="B269" i="26"/>
  <c r="A269" i="26"/>
  <c r="G268" i="26"/>
  <c r="F268" i="26"/>
  <c r="E268" i="26"/>
  <c r="D268" i="26"/>
  <c r="C268" i="26"/>
  <c r="B268" i="26"/>
  <c r="A268" i="26"/>
  <c r="G267" i="26"/>
  <c r="F267" i="26"/>
  <c r="E267" i="26"/>
  <c r="D267" i="26"/>
  <c r="C267" i="26"/>
  <c r="B267" i="26"/>
  <c r="A267" i="26"/>
  <c r="G266" i="26"/>
  <c r="F266" i="26"/>
  <c r="E266" i="26"/>
  <c r="D266" i="26"/>
  <c r="C266" i="26"/>
  <c r="B266" i="26"/>
  <c r="A266" i="26"/>
  <c r="G265" i="26"/>
  <c r="F265" i="26"/>
  <c r="E265" i="26"/>
  <c r="D265" i="26"/>
  <c r="C265" i="26"/>
  <c r="B265" i="26"/>
  <c r="A265" i="26"/>
  <c r="G264" i="26"/>
  <c r="F264" i="26"/>
  <c r="E264" i="26"/>
  <c r="D264" i="26"/>
  <c r="C264" i="26"/>
  <c r="B264" i="26"/>
  <c r="A264" i="26"/>
  <c r="G263" i="26"/>
  <c r="F263" i="26"/>
  <c r="E263" i="26"/>
  <c r="D263" i="26"/>
  <c r="C263" i="26"/>
  <c r="B263" i="26"/>
  <c r="A263" i="26"/>
  <c r="G262" i="26"/>
  <c r="F262" i="26"/>
  <c r="E262" i="26"/>
  <c r="D262" i="26"/>
  <c r="C262" i="26"/>
  <c r="B262" i="26"/>
  <c r="A262" i="26"/>
  <c r="G261" i="26"/>
  <c r="F261" i="26"/>
  <c r="E261" i="26"/>
  <c r="D261" i="26"/>
  <c r="C261" i="26"/>
  <c r="B261" i="26"/>
  <c r="A261" i="26"/>
  <c r="G260" i="26"/>
  <c r="F260" i="26"/>
  <c r="E260" i="26"/>
  <c r="D260" i="26"/>
  <c r="C260" i="26"/>
  <c r="B260" i="26"/>
  <c r="A260" i="26"/>
  <c r="G259" i="26"/>
  <c r="F259" i="26"/>
  <c r="E259" i="26"/>
  <c r="D259" i="26"/>
  <c r="C259" i="26"/>
  <c r="B259" i="26"/>
  <c r="A259" i="26"/>
  <c r="G258" i="26"/>
  <c r="F258" i="26"/>
  <c r="E258" i="26"/>
  <c r="D258" i="26"/>
  <c r="C258" i="26"/>
  <c r="B258" i="26"/>
  <c r="A258" i="26"/>
  <c r="G257" i="26"/>
  <c r="F257" i="26"/>
  <c r="E257" i="26"/>
  <c r="D257" i="26"/>
  <c r="C257" i="26"/>
  <c r="B257" i="26"/>
  <c r="A257" i="26"/>
  <c r="G256" i="26"/>
  <c r="F256" i="26"/>
  <c r="E256" i="26"/>
  <c r="D256" i="26"/>
  <c r="C256" i="26"/>
  <c r="B256" i="26"/>
  <c r="A256" i="26"/>
  <c r="G255" i="26"/>
  <c r="F255" i="26"/>
  <c r="E255" i="26"/>
  <c r="D255" i="26"/>
  <c r="C255" i="26"/>
  <c r="B255" i="26"/>
  <c r="A255" i="26"/>
  <c r="G254" i="26"/>
  <c r="F254" i="26"/>
  <c r="E254" i="26"/>
  <c r="D254" i="26"/>
  <c r="C254" i="26"/>
  <c r="B254" i="26"/>
  <c r="A254" i="26"/>
  <c r="G253" i="26"/>
  <c r="F253" i="26"/>
  <c r="E253" i="26"/>
  <c r="D253" i="26"/>
  <c r="C253" i="26"/>
  <c r="B253" i="26"/>
  <c r="A253" i="26"/>
  <c r="G252" i="26"/>
  <c r="F252" i="26"/>
  <c r="E252" i="26"/>
  <c r="D252" i="26"/>
  <c r="C252" i="26"/>
  <c r="B252" i="26"/>
  <c r="A252" i="26"/>
  <c r="G251" i="26"/>
  <c r="F251" i="26"/>
  <c r="E251" i="26"/>
  <c r="D251" i="26"/>
  <c r="C251" i="26"/>
  <c r="B251" i="26"/>
  <c r="A251" i="26"/>
  <c r="G250" i="26"/>
  <c r="F250" i="26"/>
  <c r="E250" i="26"/>
  <c r="D250" i="26"/>
  <c r="C250" i="26"/>
  <c r="B250" i="26"/>
  <c r="A250" i="26"/>
  <c r="G249" i="26"/>
  <c r="F249" i="26"/>
  <c r="E249" i="26"/>
  <c r="D249" i="26"/>
  <c r="C249" i="26"/>
  <c r="B249" i="26"/>
  <c r="A249" i="26"/>
  <c r="G248" i="26"/>
  <c r="F248" i="26"/>
  <c r="E248" i="26"/>
  <c r="D248" i="26"/>
  <c r="C248" i="26"/>
  <c r="B248" i="26"/>
  <c r="A248" i="26"/>
  <c r="G247" i="26"/>
  <c r="F247" i="26"/>
  <c r="E247" i="26"/>
  <c r="D247" i="26"/>
  <c r="C247" i="26"/>
  <c r="B247" i="26"/>
  <c r="A247" i="26"/>
  <c r="G246" i="26"/>
  <c r="F246" i="26"/>
  <c r="E246" i="26"/>
  <c r="D246" i="26"/>
  <c r="C246" i="26"/>
  <c r="B246" i="26"/>
  <c r="A246" i="26"/>
  <c r="G245" i="26"/>
  <c r="F245" i="26"/>
  <c r="E245" i="26"/>
  <c r="D245" i="26"/>
  <c r="C245" i="26"/>
  <c r="B245" i="26"/>
  <c r="A245" i="26"/>
  <c r="G244" i="26"/>
  <c r="F244" i="26"/>
  <c r="E244" i="26"/>
  <c r="D244" i="26"/>
  <c r="C244" i="26"/>
  <c r="B244" i="26"/>
  <c r="A244" i="26"/>
  <c r="G243" i="26"/>
  <c r="F243" i="26"/>
  <c r="E243" i="26"/>
  <c r="D243" i="26"/>
  <c r="C243" i="26"/>
  <c r="B243" i="26"/>
  <c r="A243" i="26"/>
  <c r="G242" i="26"/>
  <c r="F242" i="26"/>
  <c r="E242" i="26"/>
  <c r="D242" i="26"/>
  <c r="C242" i="26"/>
  <c r="B242" i="26"/>
  <c r="A242" i="26"/>
  <c r="G241" i="26"/>
  <c r="F241" i="26"/>
  <c r="E241" i="26"/>
  <c r="D241" i="26"/>
  <c r="C241" i="26"/>
  <c r="B241" i="26"/>
  <c r="A241" i="26"/>
  <c r="G240" i="26"/>
  <c r="F240" i="26"/>
  <c r="E240" i="26"/>
  <c r="D240" i="26"/>
  <c r="C240" i="26"/>
  <c r="B240" i="26"/>
  <c r="A240" i="26"/>
  <c r="G239" i="26"/>
  <c r="F239" i="26"/>
  <c r="E239" i="26"/>
  <c r="D239" i="26"/>
  <c r="C239" i="26"/>
  <c r="B239" i="26"/>
  <c r="A239" i="26"/>
  <c r="G238" i="26"/>
  <c r="F238" i="26"/>
  <c r="E238" i="26"/>
  <c r="D238" i="26"/>
  <c r="C238" i="26"/>
  <c r="B238" i="26"/>
  <c r="A238" i="26"/>
  <c r="G237" i="26"/>
  <c r="F237" i="26"/>
  <c r="E237" i="26"/>
  <c r="D237" i="26"/>
  <c r="C237" i="26"/>
  <c r="B237" i="26"/>
  <c r="A237" i="26"/>
  <c r="G236" i="26"/>
  <c r="F236" i="26"/>
  <c r="E236" i="26"/>
  <c r="D236" i="26"/>
  <c r="C236" i="26"/>
  <c r="B236" i="26"/>
  <c r="A236" i="26"/>
  <c r="G235" i="26"/>
  <c r="F235" i="26"/>
  <c r="E235" i="26"/>
  <c r="D235" i="26"/>
  <c r="C235" i="26"/>
  <c r="B235" i="26"/>
  <c r="A235" i="26"/>
  <c r="G234" i="26"/>
  <c r="F234" i="26"/>
  <c r="E234" i="26"/>
  <c r="D234" i="26"/>
  <c r="C234" i="26"/>
  <c r="B234" i="26"/>
  <c r="A234" i="26"/>
  <c r="G233" i="26"/>
  <c r="F233" i="26"/>
  <c r="E233" i="26"/>
  <c r="D233" i="26"/>
  <c r="C233" i="26"/>
  <c r="B233" i="26"/>
  <c r="A233" i="26"/>
  <c r="G232" i="26"/>
  <c r="F232" i="26"/>
  <c r="E232" i="26"/>
  <c r="D232" i="26"/>
  <c r="C232" i="26"/>
  <c r="B232" i="26"/>
  <c r="A232" i="26"/>
  <c r="G231" i="26"/>
  <c r="F231" i="26"/>
  <c r="E231" i="26"/>
  <c r="D231" i="26"/>
  <c r="C231" i="26"/>
  <c r="B231" i="26"/>
  <c r="A231" i="26"/>
  <c r="G230" i="26"/>
  <c r="F230" i="26"/>
  <c r="E230" i="26"/>
  <c r="D230" i="26"/>
  <c r="C230" i="26"/>
  <c r="B230" i="26"/>
  <c r="A230" i="26"/>
  <c r="G229" i="26"/>
  <c r="F229" i="26"/>
  <c r="E229" i="26"/>
  <c r="D229" i="26"/>
  <c r="C229" i="26"/>
  <c r="B229" i="26"/>
  <c r="A229" i="26"/>
  <c r="G228" i="26"/>
  <c r="F228" i="26"/>
  <c r="E228" i="26"/>
  <c r="D228" i="26"/>
  <c r="C228" i="26"/>
  <c r="B228" i="26"/>
  <c r="A228" i="26"/>
  <c r="G227" i="26"/>
  <c r="F227" i="26"/>
  <c r="E227" i="26"/>
  <c r="D227" i="26"/>
  <c r="C227" i="26"/>
  <c r="B227" i="26"/>
  <c r="A227" i="26"/>
  <c r="G226" i="26"/>
  <c r="F226" i="26"/>
  <c r="E226" i="26"/>
  <c r="D226" i="26"/>
  <c r="C226" i="26"/>
  <c r="B226" i="26"/>
  <c r="A226" i="26"/>
  <c r="G225" i="26"/>
  <c r="F225" i="26"/>
  <c r="E225" i="26"/>
  <c r="D225" i="26"/>
  <c r="C225" i="26"/>
  <c r="B225" i="26"/>
  <c r="A225" i="26"/>
  <c r="G224" i="26"/>
  <c r="F224" i="26"/>
  <c r="E224" i="26"/>
  <c r="D224" i="26"/>
  <c r="C224" i="26"/>
  <c r="B224" i="26"/>
  <c r="A224" i="26"/>
  <c r="G223" i="26"/>
  <c r="F223" i="26"/>
  <c r="E223" i="26"/>
  <c r="D223" i="26"/>
  <c r="C223" i="26"/>
  <c r="B223" i="26"/>
  <c r="A223" i="26"/>
  <c r="G222" i="26"/>
  <c r="F222" i="26"/>
  <c r="E222" i="26"/>
  <c r="D222" i="26"/>
  <c r="C222" i="26"/>
  <c r="B222" i="26"/>
  <c r="A222" i="26"/>
  <c r="G221" i="26"/>
  <c r="F221" i="26"/>
  <c r="E221" i="26"/>
  <c r="D221" i="26"/>
  <c r="C221" i="26"/>
  <c r="B221" i="26"/>
  <c r="A221" i="26"/>
  <c r="G220" i="26"/>
  <c r="F220" i="26"/>
  <c r="E220" i="26"/>
  <c r="D220" i="26"/>
  <c r="C220" i="26"/>
  <c r="B220" i="26"/>
  <c r="A220" i="26"/>
  <c r="G219" i="26"/>
  <c r="F219" i="26"/>
  <c r="E219" i="26"/>
  <c r="D219" i="26"/>
  <c r="C219" i="26"/>
  <c r="B219" i="26"/>
  <c r="A219" i="26"/>
  <c r="G218" i="26"/>
  <c r="F218" i="26"/>
  <c r="E218" i="26"/>
  <c r="D218" i="26"/>
  <c r="C218" i="26"/>
  <c r="B218" i="26"/>
  <c r="A218" i="26"/>
  <c r="G217" i="26"/>
  <c r="F217" i="26"/>
  <c r="E217" i="26"/>
  <c r="D217" i="26"/>
  <c r="C217" i="26"/>
  <c r="B217" i="26"/>
  <c r="A217" i="26"/>
  <c r="G216" i="26"/>
  <c r="F216" i="26"/>
  <c r="E216" i="26"/>
  <c r="D216" i="26"/>
  <c r="C216" i="26"/>
  <c r="B216" i="26"/>
  <c r="A216" i="26"/>
  <c r="G215" i="26"/>
  <c r="F215" i="26"/>
  <c r="E215" i="26"/>
  <c r="D215" i="26"/>
  <c r="C215" i="26"/>
  <c r="B215" i="26"/>
  <c r="A215" i="26"/>
  <c r="G214" i="26"/>
  <c r="F214" i="26"/>
  <c r="E214" i="26"/>
  <c r="D214" i="26"/>
  <c r="C214" i="26"/>
  <c r="B214" i="26"/>
  <c r="A214" i="26"/>
  <c r="G213" i="26"/>
  <c r="F213" i="26"/>
  <c r="E213" i="26"/>
  <c r="D213" i="26"/>
  <c r="C213" i="26"/>
  <c r="B213" i="26"/>
  <c r="A213" i="26"/>
  <c r="G212" i="26"/>
  <c r="F212" i="26"/>
  <c r="E212" i="26"/>
  <c r="D212" i="26"/>
  <c r="C212" i="26"/>
  <c r="B212" i="26"/>
  <c r="A212" i="26"/>
  <c r="G211" i="26"/>
  <c r="F211" i="26"/>
  <c r="E211" i="26"/>
  <c r="D211" i="26"/>
  <c r="C211" i="26"/>
  <c r="B211" i="26"/>
  <c r="A211" i="26"/>
  <c r="G210" i="26"/>
  <c r="F210" i="26"/>
  <c r="E210" i="26"/>
  <c r="D210" i="26"/>
  <c r="C210" i="26"/>
  <c r="B210" i="26"/>
  <c r="A210" i="26"/>
  <c r="G209" i="26"/>
  <c r="F209" i="26"/>
  <c r="E209" i="26"/>
  <c r="D209" i="26"/>
  <c r="C209" i="26"/>
  <c r="B209" i="26"/>
  <c r="A209" i="26"/>
  <c r="G208" i="26"/>
  <c r="F208" i="26"/>
  <c r="E208" i="26"/>
  <c r="D208" i="26"/>
  <c r="C208" i="26"/>
  <c r="B208" i="26"/>
  <c r="A208" i="26"/>
  <c r="G207" i="26"/>
  <c r="F207" i="26"/>
  <c r="E207" i="26"/>
  <c r="D207" i="26"/>
  <c r="C207" i="26"/>
  <c r="B207" i="26"/>
  <c r="A207" i="26"/>
  <c r="G206" i="26"/>
  <c r="F206" i="26"/>
  <c r="E206" i="26"/>
  <c r="D206" i="26"/>
  <c r="C206" i="26"/>
  <c r="B206" i="26"/>
  <c r="A206" i="26"/>
  <c r="G205" i="26"/>
  <c r="F205" i="26"/>
  <c r="E205" i="26"/>
  <c r="D205" i="26"/>
  <c r="C205" i="26"/>
  <c r="B205" i="26"/>
  <c r="A205" i="26"/>
  <c r="G204" i="26"/>
  <c r="F204" i="26"/>
  <c r="E204" i="26"/>
  <c r="D204" i="26"/>
  <c r="C204" i="26"/>
  <c r="B204" i="26"/>
  <c r="A204" i="26"/>
  <c r="G203" i="26"/>
  <c r="F203" i="26"/>
  <c r="E203" i="26"/>
  <c r="D203" i="26"/>
  <c r="C203" i="26"/>
  <c r="B203" i="26"/>
  <c r="A203" i="26"/>
  <c r="G202" i="26"/>
  <c r="F202" i="26"/>
  <c r="E202" i="26"/>
  <c r="D202" i="26"/>
  <c r="C202" i="26"/>
  <c r="B202" i="26"/>
  <c r="A202" i="26"/>
  <c r="G201" i="26"/>
  <c r="F201" i="26"/>
  <c r="E201" i="26"/>
  <c r="D201" i="26"/>
  <c r="C201" i="26"/>
  <c r="B201" i="26"/>
  <c r="A201" i="26"/>
  <c r="G200" i="26"/>
  <c r="F200" i="26"/>
  <c r="E200" i="26"/>
  <c r="D200" i="26"/>
  <c r="C200" i="26"/>
  <c r="B200" i="26"/>
  <c r="A200" i="26"/>
  <c r="G199" i="26"/>
  <c r="F199" i="26"/>
  <c r="E199" i="26"/>
  <c r="D199" i="26"/>
  <c r="C199" i="26"/>
  <c r="B199" i="26"/>
  <c r="A199" i="26"/>
  <c r="G198" i="26"/>
  <c r="F198" i="26"/>
  <c r="E198" i="26"/>
  <c r="D198" i="26"/>
  <c r="C198" i="26"/>
  <c r="B198" i="26"/>
  <c r="A198" i="26"/>
  <c r="G197" i="26"/>
  <c r="F197" i="26"/>
  <c r="E197" i="26"/>
  <c r="D197" i="26"/>
  <c r="C197" i="26"/>
  <c r="B197" i="26"/>
  <c r="A197" i="26"/>
  <c r="G196" i="26"/>
  <c r="F196" i="26"/>
  <c r="E196" i="26"/>
  <c r="D196" i="26"/>
  <c r="C196" i="26"/>
  <c r="B196" i="26"/>
  <c r="A196" i="26"/>
  <c r="G195" i="26"/>
  <c r="F195" i="26"/>
  <c r="E195" i="26"/>
  <c r="D195" i="26"/>
  <c r="C195" i="26"/>
  <c r="B195" i="26"/>
  <c r="A195" i="26"/>
  <c r="G194" i="26"/>
  <c r="F194" i="26"/>
  <c r="E194" i="26"/>
  <c r="D194" i="26"/>
  <c r="C194" i="26"/>
  <c r="B194" i="26"/>
  <c r="A194" i="26"/>
  <c r="G193" i="26"/>
  <c r="F193" i="26"/>
  <c r="E193" i="26"/>
  <c r="D193" i="26"/>
  <c r="C193" i="26"/>
  <c r="B193" i="26"/>
  <c r="A193" i="26"/>
  <c r="G192" i="26"/>
  <c r="F192" i="26"/>
  <c r="E192" i="26"/>
  <c r="D192" i="26"/>
  <c r="C192" i="26"/>
  <c r="B192" i="26"/>
  <c r="A192" i="26"/>
  <c r="G191" i="26"/>
  <c r="F191" i="26"/>
  <c r="E191" i="26"/>
  <c r="D191" i="26"/>
  <c r="C191" i="26"/>
  <c r="B191" i="26"/>
  <c r="A191" i="26"/>
  <c r="G190" i="26"/>
  <c r="F190" i="26"/>
  <c r="E190" i="26"/>
  <c r="D190" i="26"/>
  <c r="C190" i="26"/>
  <c r="B190" i="26"/>
  <c r="A190" i="26"/>
  <c r="G189" i="26"/>
  <c r="F189" i="26"/>
  <c r="E189" i="26"/>
  <c r="D189" i="26"/>
  <c r="C189" i="26"/>
  <c r="B189" i="26"/>
  <c r="A189" i="26"/>
  <c r="G188" i="26"/>
  <c r="F188" i="26"/>
  <c r="E188" i="26"/>
  <c r="D188" i="26"/>
  <c r="C188" i="26"/>
  <c r="B188" i="26"/>
  <c r="A188" i="26"/>
  <c r="G187" i="26"/>
  <c r="F187" i="26"/>
  <c r="E187" i="26"/>
  <c r="D187" i="26"/>
  <c r="C187" i="26"/>
  <c r="B187" i="26"/>
  <c r="A187" i="26"/>
  <c r="G186" i="26"/>
  <c r="F186" i="26"/>
  <c r="E186" i="26"/>
  <c r="D186" i="26"/>
  <c r="C186" i="26"/>
  <c r="B186" i="26"/>
  <c r="A186" i="26"/>
  <c r="G185" i="26"/>
  <c r="F185" i="26"/>
  <c r="E185" i="26"/>
  <c r="D185" i="26"/>
  <c r="C185" i="26"/>
  <c r="B185" i="26"/>
  <c r="A185" i="26"/>
  <c r="G184" i="26"/>
  <c r="F184" i="26"/>
  <c r="E184" i="26"/>
  <c r="D184" i="26"/>
  <c r="C184" i="26"/>
  <c r="B184" i="26"/>
  <c r="A184" i="26"/>
  <c r="G183" i="26"/>
  <c r="F183" i="26"/>
  <c r="E183" i="26"/>
  <c r="D183" i="26"/>
  <c r="C183" i="26"/>
  <c r="B183" i="26"/>
  <c r="A183" i="26"/>
  <c r="G182" i="26"/>
  <c r="F182" i="26"/>
  <c r="E182" i="26"/>
  <c r="D182" i="26"/>
  <c r="C182" i="26"/>
  <c r="B182" i="26"/>
  <c r="A182" i="26"/>
  <c r="G181" i="26"/>
  <c r="F181" i="26"/>
  <c r="E181" i="26"/>
  <c r="D181" i="26"/>
  <c r="C181" i="26"/>
  <c r="B181" i="26"/>
  <c r="A181" i="26"/>
  <c r="G180" i="26"/>
  <c r="F180" i="26"/>
  <c r="E180" i="26"/>
  <c r="D180" i="26"/>
  <c r="C180" i="26"/>
  <c r="B180" i="26"/>
  <c r="A180" i="26"/>
  <c r="G179" i="26"/>
  <c r="F179" i="26"/>
  <c r="E179" i="26"/>
  <c r="D179" i="26"/>
  <c r="C179" i="26"/>
  <c r="B179" i="26"/>
  <c r="A179" i="26"/>
  <c r="G178" i="26"/>
  <c r="F178" i="26"/>
  <c r="E178" i="26"/>
  <c r="D178" i="26"/>
  <c r="C178" i="26"/>
  <c r="B178" i="26"/>
  <c r="A178" i="26"/>
  <c r="G177" i="26"/>
  <c r="F177" i="26"/>
  <c r="E177" i="26"/>
  <c r="D177" i="26"/>
  <c r="C177" i="26"/>
  <c r="B177" i="26"/>
  <c r="A177" i="26"/>
  <c r="G176" i="26"/>
  <c r="F176" i="26"/>
  <c r="E176" i="26"/>
  <c r="D176" i="26"/>
  <c r="C176" i="26"/>
  <c r="B176" i="26"/>
  <c r="A176" i="26"/>
  <c r="G175" i="26"/>
  <c r="F175" i="26"/>
  <c r="E175" i="26"/>
  <c r="D175" i="26"/>
  <c r="C175" i="26"/>
  <c r="B175" i="26"/>
  <c r="A175" i="26"/>
  <c r="G174" i="26"/>
  <c r="F174" i="26"/>
  <c r="E174" i="26"/>
  <c r="D174" i="26"/>
  <c r="C174" i="26"/>
  <c r="B174" i="26"/>
  <c r="A174" i="26"/>
  <c r="G173" i="26"/>
  <c r="F173" i="26"/>
  <c r="E173" i="26"/>
  <c r="D173" i="26"/>
  <c r="C173" i="26"/>
  <c r="B173" i="26"/>
  <c r="A173" i="26"/>
  <c r="G172" i="26"/>
  <c r="F172" i="26"/>
  <c r="E172" i="26"/>
  <c r="D172" i="26"/>
  <c r="C172" i="26"/>
  <c r="B172" i="26"/>
  <c r="A172" i="26"/>
  <c r="G171" i="26"/>
  <c r="F171" i="26"/>
  <c r="E171" i="26"/>
  <c r="D171" i="26"/>
  <c r="C171" i="26"/>
  <c r="B171" i="26"/>
  <c r="A171" i="26"/>
  <c r="G170" i="26"/>
  <c r="F170" i="26"/>
  <c r="E170" i="26"/>
  <c r="D170" i="26"/>
  <c r="C170" i="26"/>
  <c r="B170" i="26"/>
  <c r="A170" i="26"/>
  <c r="G169" i="26"/>
  <c r="F169" i="26"/>
  <c r="E169" i="26"/>
  <c r="D169" i="26"/>
  <c r="C169" i="26"/>
  <c r="B169" i="26"/>
  <c r="A169" i="26"/>
  <c r="G168" i="26"/>
  <c r="F168" i="26"/>
  <c r="E168" i="26"/>
  <c r="D168" i="26"/>
  <c r="C168" i="26"/>
  <c r="B168" i="26"/>
  <c r="A168" i="26"/>
  <c r="G167" i="26"/>
  <c r="F167" i="26"/>
  <c r="E167" i="26"/>
  <c r="D167" i="26"/>
  <c r="C167" i="26"/>
  <c r="B167" i="26"/>
  <c r="A167" i="26"/>
  <c r="G166" i="26"/>
  <c r="F166" i="26"/>
  <c r="E166" i="26"/>
  <c r="D166" i="26"/>
  <c r="C166" i="26"/>
  <c r="B166" i="26"/>
  <c r="A166" i="26"/>
  <c r="G165" i="26"/>
  <c r="F165" i="26"/>
  <c r="E165" i="26"/>
  <c r="D165" i="26"/>
  <c r="C165" i="26"/>
  <c r="B165" i="26"/>
  <c r="A165" i="26"/>
  <c r="G164" i="26"/>
  <c r="F164" i="26"/>
  <c r="E164" i="26"/>
  <c r="D164" i="26"/>
  <c r="C164" i="26"/>
  <c r="B164" i="26"/>
  <c r="A164" i="26"/>
  <c r="G163" i="26"/>
  <c r="F163" i="26"/>
  <c r="E163" i="26"/>
  <c r="D163" i="26"/>
  <c r="C163" i="26"/>
  <c r="B163" i="26"/>
  <c r="A163" i="26"/>
  <c r="G162" i="26"/>
  <c r="F162" i="26"/>
  <c r="E162" i="26"/>
  <c r="D162" i="26"/>
  <c r="C162" i="26"/>
  <c r="B162" i="26"/>
  <c r="A162" i="26"/>
  <c r="G161" i="26"/>
  <c r="F161" i="26"/>
  <c r="E161" i="26"/>
  <c r="D161" i="26"/>
  <c r="C161" i="26"/>
  <c r="B161" i="26"/>
  <c r="A161" i="26"/>
  <c r="G160" i="26"/>
  <c r="F160" i="26"/>
  <c r="E160" i="26"/>
  <c r="D160" i="26"/>
  <c r="C160" i="26"/>
  <c r="B160" i="26"/>
  <c r="A160" i="26"/>
  <c r="G159" i="26"/>
  <c r="F159" i="26"/>
  <c r="E159" i="26"/>
  <c r="D159" i="26"/>
  <c r="C159" i="26"/>
  <c r="B159" i="26"/>
  <c r="A159" i="26"/>
  <c r="G158" i="26"/>
  <c r="F158" i="26"/>
  <c r="E158" i="26"/>
  <c r="D158" i="26"/>
  <c r="C158" i="26"/>
  <c r="B158" i="26"/>
  <c r="A158" i="26"/>
  <c r="G157" i="26"/>
  <c r="F157" i="26"/>
  <c r="E157" i="26"/>
  <c r="D157" i="26"/>
  <c r="C157" i="26"/>
  <c r="B157" i="26"/>
  <c r="A157" i="26"/>
  <c r="G156" i="26"/>
  <c r="F156" i="26"/>
  <c r="E156" i="26"/>
  <c r="D156" i="26"/>
  <c r="C156" i="26"/>
  <c r="B156" i="26"/>
  <c r="A156" i="26"/>
  <c r="G155" i="26"/>
  <c r="F155" i="26"/>
  <c r="E155" i="26"/>
  <c r="D155" i="26"/>
  <c r="C155" i="26"/>
  <c r="B155" i="26"/>
  <c r="A155" i="26"/>
  <c r="G154" i="26"/>
  <c r="F154" i="26"/>
  <c r="E154" i="26"/>
  <c r="D154" i="26"/>
  <c r="C154" i="26"/>
  <c r="B154" i="26"/>
  <c r="A154" i="26"/>
  <c r="G153" i="26"/>
  <c r="F153" i="26"/>
  <c r="E153" i="26"/>
  <c r="D153" i="26"/>
  <c r="C153" i="26"/>
  <c r="B153" i="26"/>
  <c r="A153" i="26"/>
  <c r="G152" i="26"/>
  <c r="F152" i="26"/>
  <c r="E152" i="26"/>
  <c r="D152" i="26"/>
  <c r="C152" i="26"/>
  <c r="B152" i="26"/>
  <c r="A152" i="26"/>
  <c r="G151" i="26"/>
  <c r="F151" i="26"/>
  <c r="E151" i="26"/>
  <c r="D151" i="26"/>
  <c r="C151" i="26"/>
  <c r="B151" i="26"/>
  <c r="A151" i="26"/>
  <c r="G150" i="26"/>
  <c r="F150" i="26"/>
  <c r="E150" i="26"/>
  <c r="D150" i="26"/>
  <c r="C150" i="26"/>
  <c r="B150" i="26"/>
  <c r="A150" i="26"/>
  <c r="G149" i="26"/>
  <c r="F149" i="26"/>
  <c r="E149" i="26"/>
  <c r="D149" i="26"/>
  <c r="C149" i="26"/>
  <c r="B149" i="26"/>
  <c r="A149" i="26"/>
  <c r="G148" i="26"/>
  <c r="F148" i="26"/>
  <c r="E148" i="26"/>
  <c r="D148" i="26"/>
  <c r="C148" i="26"/>
  <c r="B148" i="26"/>
  <c r="A148" i="26"/>
  <c r="G147" i="26"/>
  <c r="F147" i="26"/>
  <c r="E147" i="26"/>
  <c r="D147" i="26"/>
  <c r="C147" i="26"/>
  <c r="B147" i="26"/>
  <c r="A147" i="26"/>
  <c r="G146" i="26"/>
  <c r="F146" i="26"/>
  <c r="E146" i="26"/>
  <c r="D146" i="26"/>
  <c r="C146" i="26"/>
  <c r="B146" i="26"/>
  <c r="A146" i="26"/>
  <c r="G145" i="26"/>
  <c r="F145" i="26"/>
  <c r="E145" i="26"/>
  <c r="D145" i="26"/>
  <c r="C145" i="26"/>
  <c r="B145" i="26"/>
  <c r="A145" i="26"/>
  <c r="G144" i="26"/>
  <c r="F144" i="26"/>
  <c r="E144" i="26"/>
  <c r="D144" i="26"/>
  <c r="C144" i="26"/>
  <c r="B144" i="26"/>
  <c r="A144" i="26"/>
  <c r="G143" i="26"/>
  <c r="F143" i="26"/>
  <c r="E143" i="26"/>
  <c r="D143" i="26"/>
  <c r="C143" i="26"/>
  <c r="B143" i="26"/>
  <c r="A143" i="26"/>
  <c r="G142" i="26"/>
  <c r="F142" i="26"/>
  <c r="E142" i="26"/>
  <c r="D142" i="26"/>
  <c r="C142" i="26"/>
  <c r="B142" i="26"/>
  <c r="A142" i="26"/>
  <c r="G141" i="26"/>
  <c r="F141" i="26"/>
  <c r="E141" i="26"/>
  <c r="D141" i="26"/>
  <c r="C141" i="26"/>
  <c r="B141" i="26"/>
  <c r="A141" i="26"/>
  <c r="G140" i="26"/>
  <c r="F140" i="26"/>
  <c r="E140" i="26"/>
  <c r="D140" i="26"/>
  <c r="C140" i="26"/>
  <c r="B140" i="26"/>
  <c r="A140" i="26"/>
  <c r="G139" i="26"/>
  <c r="F139" i="26"/>
  <c r="E139" i="26"/>
  <c r="D139" i="26"/>
  <c r="C139" i="26"/>
  <c r="B139" i="26"/>
  <c r="A139" i="26"/>
  <c r="G138" i="26"/>
  <c r="F138" i="26"/>
  <c r="E138" i="26"/>
  <c r="D138" i="26"/>
  <c r="C138" i="26"/>
  <c r="B138" i="26"/>
  <c r="A138" i="26"/>
  <c r="G137" i="26"/>
  <c r="F137" i="26"/>
  <c r="E137" i="26"/>
  <c r="D137" i="26"/>
  <c r="C137" i="26"/>
  <c r="B137" i="26"/>
  <c r="A137" i="26"/>
  <c r="G136" i="26"/>
  <c r="F136" i="26"/>
  <c r="E136" i="26"/>
  <c r="D136" i="26"/>
  <c r="C136" i="26"/>
  <c r="B136" i="26"/>
  <c r="A136" i="26"/>
  <c r="G135" i="26"/>
  <c r="F135" i="26"/>
  <c r="E135" i="26"/>
  <c r="D135" i="26"/>
  <c r="C135" i="26"/>
  <c r="B135" i="26"/>
  <c r="A135" i="26"/>
  <c r="G134" i="26"/>
  <c r="F134" i="26"/>
  <c r="E134" i="26"/>
  <c r="D134" i="26"/>
  <c r="C134" i="26"/>
  <c r="B134" i="26"/>
  <c r="A134" i="26"/>
  <c r="G133" i="26"/>
  <c r="F133" i="26"/>
  <c r="E133" i="26"/>
  <c r="D133" i="26"/>
  <c r="C133" i="26"/>
  <c r="B133" i="26"/>
  <c r="A133" i="26"/>
  <c r="G132" i="26"/>
  <c r="F132" i="26"/>
  <c r="E132" i="26"/>
  <c r="D132" i="26"/>
  <c r="C132" i="26"/>
  <c r="B132" i="26"/>
  <c r="A132" i="26"/>
  <c r="G131" i="26"/>
  <c r="F131" i="26"/>
  <c r="E131" i="26"/>
  <c r="D131" i="26"/>
  <c r="C131" i="26"/>
  <c r="B131" i="26"/>
  <c r="A131" i="26"/>
  <c r="G130" i="26"/>
  <c r="F130" i="26"/>
  <c r="E130" i="26"/>
  <c r="D130" i="26"/>
  <c r="C130" i="26"/>
  <c r="B130" i="26"/>
  <c r="A130" i="26"/>
  <c r="G129" i="26"/>
  <c r="F129" i="26"/>
  <c r="E129" i="26"/>
  <c r="D129" i="26"/>
  <c r="C129" i="26"/>
  <c r="B129" i="26"/>
  <c r="A129" i="26"/>
  <c r="G128" i="26"/>
  <c r="F128" i="26"/>
  <c r="E128" i="26"/>
  <c r="D128" i="26"/>
  <c r="C128" i="26"/>
  <c r="B128" i="26"/>
  <c r="A128" i="26"/>
  <c r="G127" i="26"/>
  <c r="F127" i="26"/>
  <c r="E127" i="26"/>
  <c r="D127" i="26"/>
  <c r="C127" i="26"/>
  <c r="B127" i="26"/>
  <c r="A127" i="26"/>
  <c r="G126" i="26"/>
  <c r="F126" i="26"/>
  <c r="E126" i="26"/>
  <c r="D126" i="26"/>
  <c r="C126" i="26"/>
  <c r="B126" i="26"/>
  <c r="A126" i="26"/>
  <c r="G125" i="26"/>
  <c r="F125" i="26"/>
  <c r="E125" i="26"/>
  <c r="D125" i="26"/>
  <c r="C125" i="26"/>
  <c r="B125" i="26"/>
  <c r="A125" i="26"/>
  <c r="G124" i="26"/>
  <c r="F124" i="26"/>
  <c r="E124" i="26"/>
  <c r="D124" i="26"/>
  <c r="C124" i="26"/>
  <c r="B124" i="26"/>
  <c r="A124" i="26"/>
  <c r="G123" i="26"/>
  <c r="F123" i="26"/>
  <c r="E123" i="26"/>
  <c r="D123" i="26"/>
  <c r="C123" i="26"/>
  <c r="B123" i="26"/>
  <c r="A123" i="26"/>
  <c r="G122" i="26"/>
  <c r="F122" i="26"/>
  <c r="E122" i="26"/>
  <c r="D122" i="26"/>
  <c r="C122" i="26"/>
  <c r="B122" i="26"/>
  <c r="A122" i="26"/>
  <c r="G121" i="26"/>
  <c r="F121" i="26"/>
  <c r="E121" i="26"/>
  <c r="D121" i="26"/>
  <c r="C121" i="26"/>
  <c r="B121" i="26"/>
  <c r="A121" i="26"/>
  <c r="G120" i="26"/>
  <c r="F120" i="26"/>
  <c r="E120" i="26"/>
  <c r="D120" i="26"/>
  <c r="C120" i="26"/>
  <c r="B120" i="26"/>
  <c r="A120" i="26"/>
  <c r="G119" i="26"/>
  <c r="F119" i="26"/>
  <c r="E119" i="26"/>
  <c r="D119" i="26"/>
  <c r="C119" i="26"/>
  <c r="B119" i="26"/>
  <c r="A119" i="26"/>
  <c r="G118" i="26"/>
  <c r="F118" i="26"/>
  <c r="E118" i="26"/>
  <c r="D118" i="26"/>
  <c r="C118" i="26"/>
  <c r="B118" i="26"/>
  <c r="A118" i="26"/>
  <c r="G117" i="26"/>
  <c r="F117" i="26"/>
  <c r="E117" i="26"/>
  <c r="D117" i="26"/>
  <c r="C117" i="26"/>
  <c r="B117" i="26"/>
  <c r="A117" i="26"/>
  <c r="G116" i="26"/>
  <c r="F116" i="26"/>
  <c r="E116" i="26"/>
  <c r="D116" i="26"/>
  <c r="C116" i="26"/>
  <c r="B116" i="26"/>
  <c r="A116" i="26"/>
  <c r="G115" i="26"/>
  <c r="F115" i="26"/>
  <c r="E115" i="26"/>
  <c r="D115" i="26"/>
  <c r="C115" i="26"/>
  <c r="B115" i="26"/>
  <c r="A115" i="26"/>
  <c r="G114" i="26"/>
  <c r="F114" i="26"/>
  <c r="E114" i="26"/>
  <c r="D114" i="26"/>
  <c r="C114" i="26"/>
  <c r="B114" i="26"/>
  <c r="A114" i="26"/>
  <c r="G113" i="26"/>
  <c r="F113" i="26"/>
  <c r="E113" i="26"/>
  <c r="D113" i="26"/>
  <c r="C113" i="26"/>
  <c r="B113" i="26"/>
  <c r="A113" i="26"/>
  <c r="G112" i="26"/>
  <c r="F112" i="26"/>
  <c r="E112" i="26"/>
  <c r="D112" i="26"/>
  <c r="C112" i="26"/>
  <c r="B112" i="26"/>
  <c r="A112" i="26"/>
  <c r="G111" i="26"/>
  <c r="F111" i="26"/>
  <c r="E111" i="26"/>
  <c r="D111" i="26"/>
  <c r="C111" i="26"/>
  <c r="B111" i="26"/>
  <c r="A111" i="26"/>
  <c r="G110" i="26"/>
  <c r="F110" i="26"/>
  <c r="E110" i="26"/>
  <c r="D110" i="26"/>
  <c r="C110" i="26"/>
  <c r="B110" i="26"/>
  <c r="A110" i="26"/>
  <c r="G109" i="26"/>
  <c r="F109" i="26"/>
  <c r="E109" i="26"/>
  <c r="D109" i="26"/>
  <c r="C109" i="26"/>
  <c r="B109" i="26"/>
  <c r="A109" i="26"/>
  <c r="G108" i="26"/>
  <c r="F108" i="26"/>
  <c r="E108" i="26"/>
  <c r="D108" i="26"/>
  <c r="C108" i="26"/>
  <c r="B108" i="26"/>
  <c r="A108" i="26"/>
  <c r="G107" i="26"/>
  <c r="F107" i="26"/>
  <c r="E107" i="26"/>
  <c r="D107" i="26"/>
  <c r="C107" i="26"/>
  <c r="B107" i="26"/>
  <c r="A107" i="26"/>
  <c r="G106" i="26"/>
  <c r="F106" i="26"/>
  <c r="E106" i="26"/>
  <c r="D106" i="26"/>
  <c r="C106" i="26"/>
  <c r="B106" i="26"/>
  <c r="A106" i="26"/>
  <c r="G105" i="26"/>
  <c r="F105" i="26"/>
  <c r="E105" i="26"/>
  <c r="D105" i="26"/>
  <c r="C105" i="26"/>
  <c r="B105" i="26"/>
  <c r="A105" i="26"/>
  <c r="G104" i="26"/>
  <c r="F104" i="26"/>
  <c r="E104" i="26"/>
  <c r="D104" i="26"/>
  <c r="C104" i="26"/>
  <c r="B104" i="26"/>
  <c r="A104" i="26"/>
  <c r="G103" i="26"/>
  <c r="F103" i="26"/>
  <c r="E103" i="26"/>
  <c r="D103" i="26"/>
  <c r="C103" i="26"/>
  <c r="B103" i="26"/>
  <c r="A103" i="26"/>
  <c r="G102" i="26"/>
  <c r="F102" i="26"/>
  <c r="E102" i="26"/>
  <c r="D102" i="26"/>
  <c r="C102" i="26"/>
  <c r="B102" i="26"/>
  <c r="A102" i="26"/>
  <c r="G101" i="26"/>
  <c r="F101" i="26"/>
  <c r="E101" i="26"/>
  <c r="D101" i="26"/>
  <c r="C101" i="26"/>
  <c r="B101" i="26"/>
  <c r="A101" i="26"/>
  <c r="G100" i="26"/>
  <c r="F100" i="26"/>
  <c r="E100" i="26"/>
  <c r="D100" i="26"/>
  <c r="C100" i="26"/>
  <c r="B100" i="26"/>
  <c r="A100" i="26"/>
  <c r="G99" i="26"/>
  <c r="F99" i="26"/>
  <c r="E99" i="26"/>
  <c r="D99" i="26"/>
  <c r="C99" i="26"/>
  <c r="B99" i="26"/>
  <c r="A99" i="26"/>
  <c r="G98" i="26"/>
  <c r="F98" i="26"/>
  <c r="E98" i="26"/>
  <c r="D98" i="26"/>
  <c r="C98" i="26"/>
  <c r="B98" i="26"/>
  <c r="A98" i="26"/>
  <c r="G97" i="26"/>
  <c r="F97" i="26"/>
  <c r="E97" i="26"/>
  <c r="D97" i="26"/>
  <c r="C97" i="26"/>
  <c r="B97" i="26"/>
  <c r="A97" i="26"/>
  <c r="G96" i="26"/>
  <c r="F96" i="26"/>
  <c r="E96" i="26"/>
  <c r="D96" i="26"/>
  <c r="C96" i="26"/>
  <c r="B96" i="26"/>
  <c r="A96" i="26"/>
  <c r="G95" i="26"/>
  <c r="F95" i="26"/>
  <c r="E95" i="26"/>
  <c r="D95" i="26"/>
  <c r="C95" i="26"/>
  <c r="B95" i="26"/>
  <c r="A95" i="26"/>
  <c r="G94" i="26"/>
  <c r="F94" i="26"/>
  <c r="E94" i="26"/>
  <c r="D94" i="26"/>
  <c r="C94" i="26"/>
  <c r="B94" i="26"/>
  <c r="A94" i="26"/>
  <c r="G93" i="26"/>
  <c r="F93" i="26"/>
  <c r="E93" i="26"/>
  <c r="D93" i="26"/>
  <c r="C93" i="26"/>
  <c r="B93" i="26"/>
  <c r="A93" i="26"/>
  <c r="G92" i="26"/>
  <c r="F92" i="26"/>
  <c r="E92" i="26"/>
  <c r="D92" i="26"/>
  <c r="C92" i="26"/>
  <c r="B92" i="26"/>
  <c r="A92" i="26"/>
  <c r="G91" i="26"/>
  <c r="F91" i="26"/>
  <c r="E91" i="26"/>
  <c r="D91" i="26"/>
  <c r="C91" i="26"/>
  <c r="B91" i="26"/>
  <c r="A91" i="26"/>
  <c r="G90" i="26"/>
  <c r="F90" i="26"/>
  <c r="E90" i="26"/>
  <c r="D90" i="26"/>
  <c r="C90" i="26"/>
  <c r="B90" i="26"/>
  <c r="A90" i="26"/>
  <c r="G89" i="26"/>
  <c r="F89" i="26"/>
  <c r="E89" i="26"/>
  <c r="D89" i="26"/>
  <c r="C89" i="26"/>
  <c r="B89" i="26"/>
  <c r="A89" i="26"/>
  <c r="G88" i="26"/>
  <c r="F88" i="26"/>
  <c r="E88" i="26"/>
  <c r="D88" i="26"/>
  <c r="C88" i="26"/>
  <c r="B88" i="26"/>
  <c r="A88" i="26"/>
  <c r="G87" i="26"/>
  <c r="F87" i="26"/>
  <c r="E87" i="26"/>
  <c r="D87" i="26"/>
  <c r="C87" i="26"/>
  <c r="B87" i="26"/>
  <c r="A87" i="26"/>
  <c r="G86" i="26"/>
  <c r="F86" i="26"/>
  <c r="E86" i="26"/>
  <c r="D86" i="26"/>
  <c r="C86" i="26"/>
  <c r="B86" i="26"/>
  <c r="A86" i="26"/>
  <c r="G85" i="26"/>
  <c r="F85" i="26"/>
  <c r="E85" i="26"/>
  <c r="D85" i="26"/>
  <c r="C85" i="26"/>
  <c r="B85" i="26"/>
  <c r="A85" i="26"/>
  <c r="G84" i="26"/>
  <c r="F84" i="26"/>
  <c r="E84" i="26"/>
  <c r="D84" i="26"/>
  <c r="C84" i="26"/>
  <c r="B84" i="26"/>
  <c r="A84" i="26"/>
  <c r="G83" i="26"/>
  <c r="F83" i="26"/>
  <c r="E83" i="26"/>
  <c r="D83" i="26"/>
  <c r="C83" i="26"/>
  <c r="B83" i="26"/>
  <c r="A83" i="26"/>
  <c r="G82" i="26"/>
  <c r="F82" i="26"/>
  <c r="E82" i="26"/>
  <c r="D82" i="26"/>
  <c r="C82" i="26"/>
  <c r="B82" i="26"/>
  <c r="A82" i="26"/>
  <c r="G81" i="26"/>
  <c r="F81" i="26"/>
  <c r="E81" i="26"/>
  <c r="D81" i="26"/>
  <c r="C81" i="26"/>
  <c r="B81" i="26"/>
  <c r="A81" i="26"/>
  <c r="G80" i="26"/>
  <c r="F80" i="26"/>
  <c r="E80" i="26"/>
  <c r="D80" i="26"/>
  <c r="C80" i="26"/>
  <c r="B80" i="26"/>
  <c r="A80" i="26"/>
  <c r="G79" i="26"/>
  <c r="F79" i="26"/>
  <c r="E79" i="26"/>
  <c r="D79" i="26"/>
  <c r="C79" i="26"/>
  <c r="B79" i="26"/>
  <c r="A79" i="26"/>
  <c r="G78" i="26"/>
  <c r="F78" i="26"/>
  <c r="E78" i="26"/>
  <c r="D78" i="26"/>
  <c r="C78" i="26"/>
  <c r="B78" i="26"/>
  <c r="A78" i="26"/>
  <c r="G77" i="26"/>
  <c r="F77" i="26"/>
  <c r="E77" i="26"/>
  <c r="D77" i="26"/>
  <c r="C77" i="26"/>
  <c r="B77" i="26"/>
  <c r="A77" i="26"/>
  <c r="G76" i="26"/>
  <c r="F76" i="26"/>
  <c r="E76" i="26"/>
  <c r="D76" i="26"/>
  <c r="C76" i="26"/>
  <c r="B76" i="26"/>
  <c r="A76" i="26"/>
  <c r="G75" i="26"/>
  <c r="F75" i="26"/>
  <c r="E75" i="26"/>
  <c r="D75" i="26"/>
  <c r="C75" i="26"/>
  <c r="B75" i="26"/>
  <c r="A75" i="26"/>
  <c r="G74" i="26"/>
  <c r="F74" i="26"/>
  <c r="E74" i="26"/>
  <c r="D74" i="26"/>
  <c r="C74" i="26"/>
  <c r="B74" i="26"/>
  <c r="A74" i="26"/>
  <c r="G73" i="26"/>
  <c r="F73" i="26"/>
  <c r="E73" i="26"/>
  <c r="D73" i="26"/>
  <c r="C73" i="26"/>
  <c r="B73" i="26"/>
  <c r="A73" i="26"/>
  <c r="G72" i="26"/>
  <c r="F72" i="26"/>
  <c r="E72" i="26"/>
  <c r="D72" i="26"/>
  <c r="C72" i="26"/>
  <c r="B72" i="26"/>
  <c r="A72" i="26"/>
  <c r="G71" i="26"/>
  <c r="F71" i="26"/>
  <c r="E71" i="26"/>
  <c r="D71" i="26"/>
  <c r="C71" i="26"/>
  <c r="B71" i="26"/>
  <c r="A71" i="26"/>
  <c r="G70" i="26"/>
  <c r="F70" i="26"/>
  <c r="E70" i="26"/>
  <c r="D70" i="26"/>
  <c r="C70" i="26"/>
  <c r="B70" i="26"/>
  <c r="A70" i="26"/>
  <c r="G69" i="26"/>
  <c r="F69" i="26"/>
  <c r="E69" i="26"/>
  <c r="D69" i="26"/>
  <c r="C69" i="26"/>
  <c r="B69" i="26"/>
  <c r="A69" i="26"/>
  <c r="G68" i="26"/>
  <c r="F68" i="26"/>
  <c r="E68" i="26"/>
  <c r="D68" i="26"/>
  <c r="C68" i="26"/>
  <c r="B68" i="26"/>
  <c r="A68" i="26"/>
  <c r="G67" i="26"/>
  <c r="F67" i="26"/>
  <c r="E67" i="26"/>
  <c r="D67" i="26"/>
  <c r="C67" i="26"/>
  <c r="B67" i="26"/>
  <c r="A67" i="26"/>
  <c r="G66" i="26"/>
  <c r="F66" i="26"/>
  <c r="E66" i="26"/>
  <c r="D66" i="26"/>
  <c r="C66" i="26"/>
  <c r="B66" i="26"/>
  <c r="A66" i="26"/>
  <c r="G65" i="26"/>
  <c r="F65" i="26"/>
  <c r="E65" i="26"/>
  <c r="D65" i="26"/>
  <c r="C65" i="26"/>
  <c r="B65" i="26"/>
  <c r="A65" i="26"/>
  <c r="G64" i="26"/>
  <c r="F64" i="26"/>
  <c r="E64" i="26"/>
  <c r="D64" i="26"/>
  <c r="C64" i="26"/>
  <c r="B64" i="26"/>
  <c r="A64" i="26"/>
  <c r="G63" i="26"/>
  <c r="F63" i="26"/>
  <c r="E63" i="26"/>
  <c r="D63" i="26"/>
  <c r="C63" i="26"/>
  <c r="B63" i="26"/>
  <c r="A63" i="26"/>
  <c r="G62" i="26"/>
  <c r="F62" i="26"/>
  <c r="E62" i="26"/>
  <c r="D62" i="26"/>
  <c r="C62" i="26"/>
  <c r="B62" i="26"/>
  <c r="A62" i="26"/>
  <c r="G61" i="26"/>
  <c r="F61" i="26"/>
  <c r="E61" i="26"/>
  <c r="D61" i="26"/>
  <c r="C61" i="26"/>
  <c r="B61" i="26"/>
  <c r="A61" i="26"/>
  <c r="G60" i="26"/>
  <c r="F60" i="26"/>
  <c r="E60" i="26"/>
  <c r="D60" i="26"/>
  <c r="C60" i="26"/>
  <c r="B60" i="26"/>
  <c r="A60" i="26"/>
  <c r="G59" i="26"/>
  <c r="F59" i="26"/>
  <c r="E59" i="26"/>
  <c r="D59" i="26"/>
  <c r="C59" i="26"/>
  <c r="B59" i="26"/>
  <c r="A59" i="26"/>
  <c r="G58" i="26"/>
  <c r="F58" i="26"/>
  <c r="E58" i="26"/>
  <c r="D58" i="26"/>
  <c r="C58" i="26"/>
  <c r="B58" i="26"/>
  <c r="A58" i="26"/>
  <c r="G57" i="26"/>
  <c r="F57" i="26"/>
  <c r="E57" i="26"/>
  <c r="D57" i="26"/>
  <c r="C57" i="26"/>
  <c r="B57" i="26"/>
  <c r="A57" i="26"/>
  <c r="G56" i="26"/>
  <c r="F56" i="26"/>
  <c r="E56" i="26"/>
  <c r="D56" i="26"/>
  <c r="C56" i="26"/>
  <c r="B56" i="26"/>
  <c r="A56" i="26"/>
  <c r="G55" i="26"/>
  <c r="F55" i="26"/>
  <c r="E55" i="26"/>
  <c r="D55" i="26"/>
  <c r="C55" i="26"/>
  <c r="B55" i="26"/>
  <c r="A55" i="26"/>
  <c r="G54" i="26"/>
  <c r="F54" i="26"/>
  <c r="E54" i="26"/>
  <c r="D54" i="26"/>
  <c r="C54" i="26"/>
  <c r="B54" i="26"/>
  <c r="A54" i="26"/>
  <c r="G53" i="26"/>
  <c r="F53" i="26"/>
  <c r="E53" i="26"/>
  <c r="D53" i="26"/>
  <c r="C53" i="26"/>
  <c r="B53" i="26"/>
  <c r="A53" i="26"/>
  <c r="G52" i="26"/>
  <c r="F52" i="26"/>
  <c r="E52" i="26"/>
  <c r="D52" i="26"/>
  <c r="C52" i="26"/>
  <c r="B52" i="26"/>
  <c r="A52" i="26"/>
  <c r="G51" i="26"/>
  <c r="F51" i="26"/>
  <c r="E51" i="26"/>
  <c r="D51" i="26"/>
  <c r="C51" i="26"/>
  <c r="B51" i="26"/>
  <c r="A51" i="26"/>
  <c r="G50" i="26"/>
  <c r="F50" i="26"/>
  <c r="E50" i="26"/>
  <c r="D50" i="26"/>
  <c r="C50" i="26"/>
  <c r="B50" i="26"/>
  <c r="A50" i="26"/>
  <c r="G49" i="26"/>
  <c r="F49" i="26"/>
  <c r="E49" i="26"/>
  <c r="D49" i="26"/>
  <c r="C49" i="26"/>
  <c r="B49" i="26"/>
  <c r="A49" i="26"/>
  <c r="G48" i="26"/>
  <c r="F48" i="26"/>
  <c r="E48" i="26"/>
  <c r="D48" i="26"/>
  <c r="C48" i="26"/>
  <c r="B48" i="26"/>
  <c r="A48" i="26"/>
  <c r="G47" i="26"/>
  <c r="F47" i="26"/>
  <c r="E47" i="26"/>
  <c r="D47" i="26"/>
  <c r="C47" i="26"/>
  <c r="B47" i="26"/>
  <c r="A47" i="26"/>
  <c r="G46" i="26"/>
  <c r="F46" i="26"/>
  <c r="E46" i="26"/>
  <c r="D46" i="26"/>
  <c r="C46" i="26"/>
  <c r="B46" i="26"/>
  <c r="A46" i="26"/>
  <c r="G45" i="26"/>
  <c r="F45" i="26"/>
  <c r="E45" i="26"/>
  <c r="D45" i="26"/>
  <c r="C45" i="26"/>
  <c r="B45" i="26"/>
  <c r="A45" i="26"/>
  <c r="G44" i="26"/>
  <c r="F44" i="26"/>
  <c r="E44" i="26"/>
  <c r="D44" i="26"/>
  <c r="C44" i="26"/>
  <c r="B44" i="26"/>
  <c r="A44" i="26"/>
  <c r="G43" i="26"/>
  <c r="F43" i="26"/>
  <c r="E43" i="26"/>
  <c r="D43" i="26"/>
  <c r="C43" i="26"/>
  <c r="B43" i="26"/>
  <c r="A43" i="26"/>
  <c r="G42" i="26"/>
  <c r="F42" i="26"/>
  <c r="E42" i="26"/>
  <c r="D42" i="26"/>
  <c r="C42" i="26"/>
  <c r="B42" i="26"/>
  <c r="A42" i="26"/>
  <c r="G41" i="26"/>
  <c r="F41" i="26"/>
  <c r="E41" i="26"/>
  <c r="D41" i="26"/>
  <c r="C41" i="26"/>
  <c r="B41" i="26"/>
  <c r="A41" i="26"/>
  <c r="G40" i="26"/>
  <c r="F40" i="26"/>
  <c r="E40" i="26"/>
  <c r="D40" i="26"/>
  <c r="C40" i="26"/>
  <c r="B40" i="26"/>
  <c r="A40" i="26"/>
  <c r="G39" i="26"/>
  <c r="F39" i="26"/>
  <c r="E39" i="26"/>
  <c r="D39" i="26"/>
  <c r="C39" i="26"/>
  <c r="B39" i="26"/>
  <c r="A39" i="26"/>
  <c r="G38" i="26"/>
  <c r="F38" i="26"/>
  <c r="E38" i="26"/>
  <c r="D38" i="26"/>
  <c r="C38" i="26"/>
  <c r="B38" i="26"/>
  <c r="A38" i="26"/>
  <c r="G37" i="26"/>
  <c r="F37" i="26"/>
  <c r="E37" i="26"/>
  <c r="D37" i="26"/>
  <c r="C37" i="26"/>
  <c r="B37" i="26"/>
  <c r="A37" i="26"/>
  <c r="G36" i="26"/>
  <c r="F36" i="26"/>
  <c r="E36" i="26"/>
  <c r="D36" i="26"/>
  <c r="C36" i="26"/>
  <c r="B36" i="26"/>
  <c r="A36" i="26"/>
  <c r="G35" i="26"/>
  <c r="F35" i="26"/>
  <c r="E35" i="26"/>
  <c r="D35" i="26"/>
  <c r="C35" i="26"/>
  <c r="B35" i="26"/>
  <c r="A35" i="26"/>
  <c r="G34" i="26"/>
  <c r="F34" i="26"/>
  <c r="E34" i="26"/>
  <c r="D34" i="26"/>
  <c r="C34" i="26"/>
  <c r="B34" i="26"/>
  <c r="A34" i="26"/>
  <c r="G33" i="26"/>
  <c r="F33" i="26"/>
  <c r="E33" i="26"/>
  <c r="D33" i="26"/>
  <c r="C33" i="26"/>
  <c r="B33" i="26"/>
  <c r="A33" i="26"/>
  <c r="G32" i="26"/>
  <c r="F32" i="26"/>
  <c r="E32" i="26"/>
  <c r="D32" i="26"/>
  <c r="C32" i="26"/>
  <c r="B32" i="26"/>
  <c r="A32" i="26"/>
  <c r="G31" i="26"/>
  <c r="F31" i="26"/>
  <c r="E31" i="26"/>
  <c r="D31" i="26"/>
  <c r="C31" i="26"/>
  <c r="B31" i="26"/>
  <c r="A31" i="26"/>
  <c r="G30" i="26"/>
  <c r="F30" i="26"/>
  <c r="E30" i="26"/>
  <c r="D30" i="26"/>
  <c r="C30" i="26"/>
  <c r="B30" i="26"/>
  <c r="A30" i="26"/>
  <c r="G29" i="26"/>
  <c r="F29" i="26"/>
  <c r="E29" i="26"/>
  <c r="D29" i="26"/>
  <c r="C29" i="26"/>
  <c r="B29" i="26"/>
  <c r="A29" i="26"/>
  <c r="G28" i="26"/>
  <c r="F28" i="26"/>
  <c r="E28" i="26"/>
  <c r="D28" i="26"/>
  <c r="C28" i="26"/>
  <c r="B28" i="26"/>
  <c r="A28" i="26"/>
  <c r="G27" i="26"/>
  <c r="F27" i="26"/>
  <c r="E27" i="26"/>
  <c r="D27" i="26"/>
  <c r="C27" i="26"/>
  <c r="B27" i="26"/>
  <c r="A27" i="26"/>
  <c r="G26" i="26"/>
  <c r="F26" i="26"/>
  <c r="E26" i="26"/>
  <c r="D26" i="26"/>
  <c r="C26" i="26"/>
  <c r="B26" i="26"/>
  <c r="A26" i="26"/>
  <c r="G25" i="26"/>
  <c r="F25" i="26"/>
  <c r="E25" i="26"/>
  <c r="D25" i="26"/>
  <c r="C25" i="26"/>
  <c r="B25" i="26"/>
  <c r="A25" i="26"/>
  <c r="G24" i="26"/>
  <c r="F24" i="26"/>
  <c r="E24" i="26"/>
  <c r="D24" i="26"/>
  <c r="C24" i="26"/>
  <c r="B24" i="26"/>
  <c r="A24" i="26"/>
  <c r="G23" i="26"/>
  <c r="F23" i="26"/>
  <c r="E23" i="26"/>
  <c r="D23" i="26"/>
  <c r="C23" i="26"/>
  <c r="B23" i="26"/>
  <c r="A23" i="26"/>
  <c r="G22" i="26"/>
  <c r="F22" i="26"/>
  <c r="E22" i="26"/>
  <c r="D22" i="26"/>
  <c r="C22" i="26"/>
  <c r="B22" i="26"/>
  <c r="A22" i="26"/>
  <c r="G21" i="26"/>
  <c r="F21" i="26"/>
  <c r="E21" i="26"/>
  <c r="D21" i="26"/>
  <c r="C21" i="26"/>
  <c r="B21" i="26"/>
  <c r="A21" i="26"/>
  <c r="G20" i="26"/>
  <c r="F20" i="26"/>
  <c r="E20" i="26"/>
  <c r="D20" i="26"/>
  <c r="C20" i="26"/>
  <c r="B20" i="26"/>
  <c r="A20" i="26"/>
  <c r="G19" i="26"/>
  <c r="F19" i="26"/>
  <c r="E19" i="26"/>
  <c r="D19" i="26"/>
  <c r="C19" i="26"/>
  <c r="B19" i="26"/>
  <c r="A19" i="26"/>
  <c r="G18" i="26"/>
  <c r="F18" i="26"/>
  <c r="E18" i="26"/>
  <c r="D18" i="26"/>
  <c r="C18" i="26"/>
  <c r="B18" i="26"/>
  <c r="A18" i="26"/>
  <c r="G17" i="26"/>
  <c r="F17" i="26"/>
  <c r="E17" i="26"/>
  <c r="D17" i="26"/>
  <c r="C17" i="26"/>
  <c r="B17" i="26"/>
  <c r="A17" i="26"/>
  <c r="G16" i="26"/>
  <c r="F16" i="26"/>
  <c r="E16" i="26"/>
  <c r="D16" i="26"/>
  <c r="C16" i="26"/>
  <c r="B16" i="26"/>
  <c r="A16" i="26"/>
  <c r="G15" i="26"/>
  <c r="F15" i="26"/>
  <c r="E15" i="26"/>
  <c r="D15" i="26"/>
  <c r="C15" i="26"/>
  <c r="B15" i="26"/>
  <c r="A15" i="26"/>
  <c r="G14" i="26"/>
  <c r="F14" i="26"/>
  <c r="E14" i="26"/>
  <c r="D14" i="26"/>
  <c r="C14" i="26"/>
  <c r="B14" i="26"/>
  <c r="A14" i="26"/>
  <c r="G13" i="26"/>
  <c r="F13" i="26"/>
  <c r="E13" i="26"/>
  <c r="D13" i="26"/>
  <c r="C13" i="26"/>
  <c r="B13" i="26"/>
  <c r="A13" i="26"/>
  <c r="G12" i="26"/>
  <c r="F12" i="26"/>
  <c r="E12" i="26"/>
  <c r="D12" i="26"/>
  <c r="C12" i="26"/>
  <c r="B12" i="26"/>
  <c r="A12" i="26"/>
  <c r="G11" i="26"/>
  <c r="F11" i="26"/>
  <c r="E11" i="26"/>
  <c r="D11" i="26"/>
  <c r="C11" i="26"/>
  <c r="B11" i="26"/>
  <c r="A11" i="26"/>
  <c r="G10" i="26"/>
  <c r="F10" i="26"/>
  <c r="E10" i="26"/>
  <c r="D10" i="26"/>
  <c r="C10" i="26"/>
  <c r="B10" i="26"/>
  <c r="A10" i="26"/>
  <c r="G9" i="26"/>
  <c r="F9" i="26"/>
  <c r="E9" i="26"/>
  <c r="D9" i="26"/>
  <c r="C9" i="26"/>
  <c r="B9" i="26"/>
  <c r="A9" i="26"/>
  <c r="G8" i="26"/>
  <c r="F8" i="26"/>
  <c r="E8" i="26"/>
  <c r="D8" i="26"/>
  <c r="C8" i="26"/>
  <c r="B8" i="26"/>
  <c r="A8" i="26"/>
  <c r="G7" i="26"/>
  <c r="F7" i="26"/>
  <c r="E7" i="26"/>
  <c r="D7" i="26"/>
  <c r="C7" i="26"/>
  <c r="B7" i="26"/>
  <c r="A7" i="26"/>
  <c r="G6" i="26"/>
  <c r="F6" i="26"/>
  <c r="E6" i="26"/>
  <c r="D6" i="26"/>
  <c r="C6" i="26"/>
  <c r="B6" i="26"/>
  <c r="A6" i="26"/>
  <c r="G5" i="26"/>
  <c r="F5" i="26"/>
  <c r="E5" i="26"/>
  <c r="D5" i="26"/>
  <c r="C5" i="26"/>
  <c r="B5" i="26"/>
  <c r="A5" i="26"/>
  <c r="G4" i="26"/>
  <c r="F4" i="26"/>
  <c r="E4" i="26"/>
  <c r="D4" i="26"/>
  <c r="C4" i="26"/>
  <c r="B4" i="26"/>
  <c r="A4" i="26"/>
  <c r="G3" i="26"/>
  <c r="F3" i="26"/>
  <c r="E3" i="26"/>
  <c r="D3" i="26"/>
  <c r="C3" i="26"/>
  <c r="B3" i="26"/>
  <c r="A3" i="26"/>
  <c r="G2" i="26"/>
  <c r="F2" i="26"/>
  <c r="E2" i="26"/>
  <c r="D2" i="26"/>
  <c r="C2" i="26"/>
  <c r="B2" i="26"/>
  <c r="A2" i="26"/>
  <c r="G1" i="26"/>
  <c r="F1" i="26"/>
  <c r="E1" i="26"/>
  <c r="D1" i="26"/>
  <c r="C1" i="26"/>
  <c r="B1" i="26"/>
  <c r="A1" i="26"/>
  <c r="G277" i="25"/>
  <c r="F277" i="25"/>
  <c r="E277" i="25"/>
  <c r="D277" i="25"/>
  <c r="C277" i="25"/>
  <c r="B277" i="25"/>
  <c r="A277" i="25"/>
  <c r="G276" i="25"/>
  <c r="F276" i="25"/>
  <c r="E276" i="25"/>
  <c r="D276" i="25"/>
  <c r="C276" i="25"/>
  <c r="B276" i="25"/>
  <c r="A276" i="25"/>
  <c r="G275" i="25"/>
  <c r="F275" i="25"/>
  <c r="E275" i="25"/>
  <c r="D275" i="25"/>
  <c r="C275" i="25"/>
  <c r="B275" i="25"/>
  <c r="A275" i="25"/>
  <c r="G274" i="25"/>
  <c r="F274" i="25"/>
  <c r="E274" i="25"/>
  <c r="D274" i="25"/>
  <c r="C274" i="25"/>
  <c r="B274" i="25"/>
  <c r="A274" i="25"/>
  <c r="G273" i="25"/>
  <c r="F273" i="25"/>
  <c r="E273" i="25"/>
  <c r="D273" i="25"/>
  <c r="C273" i="25"/>
  <c r="B273" i="25"/>
  <c r="A273" i="25"/>
  <c r="G272" i="25"/>
  <c r="F272" i="25"/>
  <c r="E272" i="25"/>
  <c r="D272" i="25"/>
  <c r="C272" i="25"/>
  <c r="B272" i="25"/>
  <c r="A272" i="25"/>
  <c r="G271" i="25"/>
  <c r="F271" i="25"/>
  <c r="E271" i="25"/>
  <c r="D271" i="25"/>
  <c r="C271" i="25"/>
  <c r="B271" i="25"/>
  <c r="A271" i="25"/>
  <c r="G270" i="25"/>
  <c r="F270" i="25"/>
  <c r="E270" i="25"/>
  <c r="D270" i="25"/>
  <c r="C270" i="25"/>
  <c r="B270" i="25"/>
  <c r="A270" i="25"/>
  <c r="G269" i="25"/>
  <c r="F269" i="25"/>
  <c r="E269" i="25"/>
  <c r="D269" i="25"/>
  <c r="C269" i="25"/>
  <c r="B269" i="25"/>
  <c r="A269" i="25"/>
  <c r="G268" i="25"/>
  <c r="F268" i="25"/>
  <c r="E268" i="25"/>
  <c r="D268" i="25"/>
  <c r="C268" i="25"/>
  <c r="B268" i="25"/>
  <c r="A268" i="25"/>
  <c r="G267" i="25"/>
  <c r="F267" i="25"/>
  <c r="E267" i="25"/>
  <c r="D267" i="25"/>
  <c r="C267" i="25"/>
  <c r="B267" i="25"/>
  <c r="A267" i="25"/>
  <c r="G266" i="25"/>
  <c r="F266" i="25"/>
  <c r="E266" i="25"/>
  <c r="D266" i="25"/>
  <c r="C266" i="25"/>
  <c r="B266" i="25"/>
  <c r="A266" i="25"/>
  <c r="G265" i="25"/>
  <c r="F265" i="25"/>
  <c r="E265" i="25"/>
  <c r="D265" i="25"/>
  <c r="C265" i="25"/>
  <c r="B265" i="25"/>
  <c r="A265" i="25"/>
  <c r="G264" i="25"/>
  <c r="F264" i="25"/>
  <c r="E264" i="25"/>
  <c r="D264" i="25"/>
  <c r="C264" i="25"/>
  <c r="B264" i="25"/>
  <c r="A264" i="25"/>
  <c r="G263" i="25"/>
  <c r="F263" i="25"/>
  <c r="E263" i="25"/>
  <c r="D263" i="25"/>
  <c r="C263" i="25"/>
  <c r="B263" i="25"/>
  <c r="A263" i="25"/>
  <c r="G262" i="25"/>
  <c r="F262" i="25"/>
  <c r="E262" i="25"/>
  <c r="D262" i="25"/>
  <c r="C262" i="25"/>
  <c r="B262" i="25"/>
  <c r="A262" i="25"/>
  <c r="G261" i="25"/>
  <c r="F261" i="25"/>
  <c r="E261" i="25"/>
  <c r="D261" i="25"/>
  <c r="C261" i="25"/>
  <c r="B261" i="25"/>
  <c r="A261" i="25"/>
  <c r="G260" i="25"/>
  <c r="F260" i="25"/>
  <c r="E260" i="25"/>
  <c r="D260" i="25"/>
  <c r="C260" i="25"/>
  <c r="B260" i="25"/>
  <c r="A260" i="25"/>
  <c r="G259" i="25"/>
  <c r="F259" i="25"/>
  <c r="E259" i="25"/>
  <c r="D259" i="25"/>
  <c r="C259" i="25"/>
  <c r="B259" i="25"/>
  <c r="A259" i="25"/>
  <c r="G258" i="25"/>
  <c r="F258" i="25"/>
  <c r="E258" i="25"/>
  <c r="D258" i="25"/>
  <c r="C258" i="25"/>
  <c r="B258" i="25"/>
  <c r="A258" i="25"/>
  <c r="G257" i="25"/>
  <c r="F257" i="25"/>
  <c r="E257" i="25"/>
  <c r="D257" i="25"/>
  <c r="C257" i="25"/>
  <c r="B257" i="25"/>
  <c r="A257" i="25"/>
  <c r="G256" i="25"/>
  <c r="F256" i="25"/>
  <c r="E256" i="25"/>
  <c r="D256" i="25"/>
  <c r="C256" i="25"/>
  <c r="B256" i="25"/>
  <c r="A256" i="25"/>
  <c r="G255" i="25"/>
  <c r="F255" i="25"/>
  <c r="E255" i="25"/>
  <c r="D255" i="25"/>
  <c r="C255" i="25"/>
  <c r="B255" i="25"/>
  <c r="A255" i="25"/>
  <c r="G254" i="25"/>
  <c r="F254" i="25"/>
  <c r="E254" i="25"/>
  <c r="D254" i="25"/>
  <c r="C254" i="25"/>
  <c r="B254" i="25"/>
  <c r="A254" i="25"/>
  <c r="G253" i="25"/>
  <c r="F253" i="25"/>
  <c r="E253" i="25"/>
  <c r="D253" i="25"/>
  <c r="C253" i="25"/>
  <c r="B253" i="25"/>
  <c r="A253" i="25"/>
  <c r="G252" i="25"/>
  <c r="F252" i="25"/>
  <c r="E252" i="25"/>
  <c r="D252" i="25"/>
  <c r="C252" i="25"/>
  <c r="B252" i="25"/>
  <c r="A252" i="25"/>
  <c r="G251" i="25"/>
  <c r="F251" i="25"/>
  <c r="E251" i="25"/>
  <c r="D251" i="25"/>
  <c r="C251" i="25"/>
  <c r="B251" i="25"/>
  <c r="A251" i="25"/>
  <c r="G250" i="25"/>
  <c r="F250" i="25"/>
  <c r="E250" i="25"/>
  <c r="D250" i="25"/>
  <c r="C250" i="25"/>
  <c r="B250" i="25"/>
  <c r="A250" i="25"/>
  <c r="G249" i="25"/>
  <c r="F249" i="25"/>
  <c r="E249" i="25"/>
  <c r="D249" i="25"/>
  <c r="C249" i="25"/>
  <c r="B249" i="25"/>
  <c r="A249" i="25"/>
  <c r="G248" i="25"/>
  <c r="F248" i="25"/>
  <c r="E248" i="25"/>
  <c r="D248" i="25"/>
  <c r="C248" i="25"/>
  <c r="B248" i="25"/>
  <c r="A248" i="25"/>
  <c r="G247" i="25"/>
  <c r="F247" i="25"/>
  <c r="E247" i="25"/>
  <c r="D247" i="25"/>
  <c r="C247" i="25"/>
  <c r="B247" i="25"/>
  <c r="A247" i="25"/>
  <c r="G246" i="25"/>
  <c r="F246" i="25"/>
  <c r="E246" i="25"/>
  <c r="D246" i="25"/>
  <c r="C246" i="25"/>
  <c r="B246" i="25"/>
  <c r="A246" i="25"/>
  <c r="G245" i="25"/>
  <c r="F245" i="25"/>
  <c r="E245" i="25"/>
  <c r="D245" i="25"/>
  <c r="C245" i="25"/>
  <c r="B245" i="25"/>
  <c r="A245" i="25"/>
  <c r="G244" i="25"/>
  <c r="F244" i="25"/>
  <c r="E244" i="25"/>
  <c r="D244" i="25"/>
  <c r="C244" i="25"/>
  <c r="B244" i="25"/>
  <c r="A244" i="25"/>
  <c r="G243" i="25"/>
  <c r="F243" i="25"/>
  <c r="E243" i="25"/>
  <c r="D243" i="25"/>
  <c r="C243" i="25"/>
  <c r="B243" i="25"/>
  <c r="A243" i="25"/>
  <c r="G242" i="25"/>
  <c r="F242" i="25"/>
  <c r="E242" i="25"/>
  <c r="D242" i="25"/>
  <c r="C242" i="25"/>
  <c r="B242" i="25"/>
  <c r="A242" i="25"/>
  <c r="G241" i="25"/>
  <c r="F241" i="25"/>
  <c r="E241" i="25"/>
  <c r="D241" i="25"/>
  <c r="C241" i="25"/>
  <c r="B241" i="25"/>
  <c r="A241" i="25"/>
  <c r="G240" i="25"/>
  <c r="F240" i="25"/>
  <c r="E240" i="25"/>
  <c r="D240" i="25"/>
  <c r="C240" i="25"/>
  <c r="B240" i="25"/>
  <c r="A240" i="25"/>
  <c r="G239" i="25"/>
  <c r="F239" i="25"/>
  <c r="E239" i="25"/>
  <c r="D239" i="25"/>
  <c r="C239" i="25"/>
  <c r="B239" i="25"/>
  <c r="A239" i="25"/>
  <c r="G238" i="25"/>
  <c r="F238" i="25"/>
  <c r="E238" i="25"/>
  <c r="D238" i="25"/>
  <c r="C238" i="25"/>
  <c r="B238" i="25"/>
  <c r="A238" i="25"/>
  <c r="G237" i="25"/>
  <c r="F237" i="25"/>
  <c r="E237" i="25"/>
  <c r="D237" i="25"/>
  <c r="C237" i="25"/>
  <c r="B237" i="25"/>
  <c r="A237" i="25"/>
  <c r="G236" i="25"/>
  <c r="F236" i="25"/>
  <c r="E236" i="25"/>
  <c r="D236" i="25"/>
  <c r="C236" i="25"/>
  <c r="B236" i="25"/>
  <c r="A236" i="25"/>
  <c r="G235" i="25"/>
  <c r="F235" i="25"/>
  <c r="E235" i="25"/>
  <c r="D235" i="25"/>
  <c r="C235" i="25"/>
  <c r="B235" i="25"/>
  <c r="A235" i="25"/>
  <c r="G234" i="25"/>
  <c r="F234" i="25"/>
  <c r="E234" i="25"/>
  <c r="D234" i="25"/>
  <c r="C234" i="25"/>
  <c r="B234" i="25"/>
  <c r="A234" i="25"/>
  <c r="G233" i="25"/>
  <c r="F233" i="25"/>
  <c r="E233" i="25"/>
  <c r="D233" i="25"/>
  <c r="C233" i="25"/>
  <c r="B233" i="25"/>
  <c r="A233" i="25"/>
  <c r="G232" i="25"/>
  <c r="F232" i="25"/>
  <c r="E232" i="25"/>
  <c r="D232" i="25"/>
  <c r="C232" i="25"/>
  <c r="B232" i="25"/>
  <c r="A232" i="25"/>
  <c r="G231" i="25"/>
  <c r="F231" i="25"/>
  <c r="E231" i="25"/>
  <c r="D231" i="25"/>
  <c r="C231" i="25"/>
  <c r="B231" i="25"/>
  <c r="A231" i="25"/>
  <c r="G230" i="25"/>
  <c r="F230" i="25"/>
  <c r="E230" i="25"/>
  <c r="D230" i="25"/>
  <c r="C230" i="25"/>
  <c r="B230" i="25"/>
  <c r="A230" i="25"/>
  <c r="G229" i="25"/>
  <c r="F229" i="25"/>
  <c r="E229" i="25"/>
  <c r="D229" i="25"/>
  <c r="C229" i="25"/>
  <c r="B229" i="25"/>
  <c r="A229" i="25"/>
  <c r="G228" i="25"/>
  <c r="F228" i="25"/>
  <c r="E228" i="25"/>
  <c r="D228" i="25"/>
  <c r="C228" i="25"/>
  <c r="B228" i="25"/>
  <c r="A228" i="25"/>
  <c r="G227" i="25"/>
  <c r="F227" i="25"/>
  <c r="E227" i="25"/>
  <c r="D227" i="25"/>
  <c r="C227" i="25"/>
  <c r="B227" i="25"/>
  <c r="A227" i="25"/>
  <c r="G226" i="25"/>
  <c r="F226" i="25"/>
  <c r="E226" i="25"/>
  <c r="D226" i="25"/>
  <c r="C226" i="25"/>
  <c r="B226" i="25"/>
  <c r="A226" i="25"/>
  <c r="G225" i="25"/>
  <c r="F225" i="25"/>
  <c r="E225" i="25"/>
  <c r="D225" i="25"/>
  <c r="C225" i="25"/>
  <c r="B225" i="25"/>
  <c r="A225" i="25"/>
  <c r="G224" i="25"/>
  <c r="F224" i="25"/>
  <c r="E224" i="25"/>
  <c r="D224" i="25"/>
  <c r="C224" i="25"/>
  <c r="B224" i="25"/>
  <c r="A224" i="25"/>
  <c r="G223" i="25"/>
  <c r="F223" i="25"/>
  <c r="E223" i="25"/>
  <c r="D223" i="25"/>
  <c r="C223" i="25"/>
  <c r="B223" i="25"/>
  <c r="A223" i="25"/>
  <c r="G222" i="25"/>
  <c r="F222" i="25"/>
  <c r="E222" i="25"/>
  <c r="D222" i="25"/>
  <c r="C222" i="25"/>
  <c r="B222" i="25"/>
  <c r="A222" i="25"/>
  <c r="G221" i="25"/>
  <c r="F221" i="25"/>
  <c r="E221" i="25"/>
  <c r="D221" i="25"/>
  <c r="C221" i="25"/>
  <c r="B221" i="25"/>
  <c r="A221" i="25"/>
  <c r="G220" i="25"/>
  <c r="F220" i="25"/>
  <c r="E220" i="25"/>
  <c r="D220" i="25"/>
  <c r="C220" i="25"/>
  <c r="B220" i="25"/>
  <c r="A220" i="25"/>
  <c r="G219" i="25"/>
  <c r="F219" i="25"/>
  <c r="E219" i="25"/>
  <c r="D219" i="25"/>
  <c r="C219" i="25"/>
  <c r="B219" i="25"/>
  <c r="A219" i="25"/>
  <c r="G218" i="25"/>
  <c r="F218" i="25"/>
  <c r="E218" i="25"/>
  <c r="D218" i="25"/>
  <c r="C218" i="25"/>
  <c r="B218" i="25"/>
  <c r="A218" i="25"/>
  <c r="G217" i="25"/>
  <c r="F217" i="25"/>
  <c r="E217" i="25"/>
  <c r="D217" i="25"/>
  <c r="C217" i="25"/>
  <c r="B217" i="25"/>
  <c r="A217" i="25"/>
  <c r="G216" i="25"/>
  <c r="F216" i="25"/>
  <c r="E216" i="25"/>
  <c r="D216" i="25"/>
  <c r="C216" i="25"/>
  <c r="B216" i="25"/>
  <c r="A216" i="25"/>
  <c r="G215" i="25"/>
  <c r="F215" i="25"/>
  <c r="E215" i="25"/>
  <c r="D215" i="25"/>
  <c r="C215" i="25"/>
  <c r="B215" i="25"/>
  <c r="A215" i="25"/>
  <c r="G214" i="25"/>
  <c r="F214" i="25"/>
  <c r="E214" i="25"/>
  <c r="D214" i="25"/>
  <c r="C214" i="25"/>
  <c r="B214" i="25"/>
  <c r="A214" i="25"/>
  <c r="G213" i="25"/>
  <c r="F213" i="25"/>
  <c r="E213" i="25"/>
  <c r="D213" i="25"/>
  <c r="C213" i="25"/>
  <c r="B213" i="25"/>
  <c r="A213" i="25"/>
  <c r="G212" i="25"/>
  <c r="F212" i="25"/>
  <c r="E212" i="25"/>
  <c r="D212" i="25"/>
  <c r="C212" i="25"/>
  <c r="B212" i="25"/>
  <c r="A212" i="25"/>
  <c r="G211" i="25"/>
  <c r="F211" i="25"/>
  <c r="E211" i="25"/>
  <c r="D211" i="25"/>
  <c r="C211" i="25"/>
  <c r="B211" i="25"/>
  <c r="A211" i="25"/>
  <c r="G210" i="25"/>
  <c r="F210" i="25"/>
  <c r="E210" i="25"/>
  <c r="D210" i="25"/>
  <c r="C210" i="25"/>
  <c r="B210" i="25"/>
  <c r="A210" i="25"/>
  <c r="G209" i="25"/>
  <c r="F209" i="25"/>
  <c r="E209" i="25"/>
  <c r="D209" i="25"/>
  <c r="C209" i="25"/>
  <c r="B209" i="25"/>
  <c r="A209" i="25"/>
  <c r="G208" i="25"/>
  <c r="F208" i="25"/>
  <c r="E208" i="25"/>
  <c r="D208" i="25"/>
  <c r="C208" i="25"/>
  <c r="B208" i="25"/>
  <c r="A208" i="25"/>
  <c r="G207" i="25"/>
  <c r="F207" i="25"/>
  <c r="E207" i="25"/>
  <c r="D207" i="25"/>
  <c r="C207" i="25"/>
  <c r="B207" i="25"/>
  <c r="A207" i="25"/>
  <c r="G206" i="25"/>
  <c r="F206" i="25"/>
  <c r="E206" i="25"/>
  <c r="D206" i="25"/>
  <c r="C206" i="25"/>
  <c r="B206" i="25"/>
  <c r="A206" i="25"/>
  <c r="G205" i="25"/>
  <c r="F205" i="25"/>
  <c r="E205" i="25"/>
  <c r="D205" i="25"/>
  <c r="C205" i="25"/>
  <c r="B205" i="25"/>
  <c r="A205" i="25"/>
  <c r="G204" i="25"/>
  <c r="F204" i="25"/>
  <c r="E204" i="25"/>
  <c r="D204" i="25"/>
  <c r="C204" i="25"/>
  <c r="B204" i="25"/>
  <c r="A204" i="25"/>
  <c r="G203" i="25"/>
  <c r="F203" i="25"/>
  <c r="E203" i="25"/>
  <c r="D203" i="25"/>
  <c r="C203" i="25"/>
  <c r="B203" i="25"/>
  <c r="A203" i="25"/>
  <c r="G202" i="25"/>
  <c r="F202" i="25"/>
  <c r="E202" i="25"/>
  <c r="D202" i="25"/>
  <c r="C202" i="25"/>
  <c r="B202" i="25"/>
  <c r="A202" i="25"/>
  <c r="G201" i="25"/>
  <c r="F201" i="25"/>
  <c r="E201" i="25"/>
  <c r="D201" i="25"/>
  <c r="C201" i="25"/>
  <c r="B201" i="25"/>
  <c r="A201" i="25"/>
  <c r="G200" i="25"/>
  <c r="F200" i="25"/>
  <c r="E200" i="25"/>
  <c r="D200" i="25"/>
  <c r="C200" i="25"/>
  <c r="B200" i="25"/>
  <c r="A200" i="25"/>
  <c r="G199" i="25"/>
  <c r="F199" i="25"/>
  <c r="E199" i="25"/>
  <c r="D199" i="25"/>
  <c r="C199" i="25"/>
  <c r="B199" i="25"/>
  <c r="A199" i="25"/>
  <c r="G198" i="25"/>
  <c r="F198" i="25"/>
  <c r="E198" i="25"/>
  <c r="D198" i="25"/>
  <c r="C198" i="25"/>
  <c r="B198" i="25"/>
  <c r="A198" i="25"/>
  <c r="G197" i="25"/>
  <c r="F197" i="25"/>
  <c r="E197" i="25"/>
  <c r="D197" i="25"/>
  <c r="C197" i="25"/>
  <c r="B197" i="25"/>
  <c r="A197" i="25"/>
  <c r="G196" i="25"/>
  <c r="F196" i="25"/>
  <c r="E196" i="25"/>
  <c r="D196" i="25"/>
  <c r="C196" i="25"/>
  <c r="B196" i="25"/>
  <c r="A196" i="25"/>
  <c r="G195" i="25"/>
  <c r="F195" i="25"/>
  <c r="E195" i="25"/>
  <c r="D195" i="25"/>
  <c r="C195" i="25"/>
  <c r="B195" i="25"/>
  <c r="A195" i="25"/>
  <c r="G194" i="25"/>
  <c r="F194" i="25"/>
  <c r="E194" i="25"/>
  <c r="D194" i="25"/>
  <c r="C194" i="25"/>
  <c r="B194" i="25"/>
  <c r="A194" i="25"/>
  <c r="G193" i="25"/>
  <c r="F193" i="25"/>
  <c r="E193" i="25"/>
  <c r="D193" i="25"/>
  <c r="C193" i="25"/>
  <c r="B193" i="25"/>
  <c r="A193" i="25"/>
  <c r="G192" i="25"/>
  <c r="F192" i="25"/>
  <c r="E192" i="25"/>
  <c r="D192" i="25"/>
  <c r="C192" i="25"/>
  <c r="B192" i="25"/>
  <c r="A192" i="25"/>
  <c r="G191" i="25"/>
  <c r="F191" i="25"/>
  <c r="E191" i="25"/>
  <c r="D191" i="25"/>
  <c r="C191" i="25"/>
  <c r="B191" i="25"/>
  <c r="A191" i="25"/>
  <c r="G190" i="25"/>
  <c r="F190" i="25"/>
  <c r="E190" i="25"/>
  <c r="D190" i="25"/>
  <c r="C190" i="25"/>
  <c r="B190" i="25"/>
  <c r="A190" i="25"/>
  <c r="G189" i="25"/>
  <c r="F189" i="25"/>
  <c r="E189" i="25"/>
  <c r="D189" i="25"/>
  <c r="C189" i="25"/>
  <c r="B189" i="25"/>
  <c r="A189" i="25"/>
  <c r="G188" i="25"/>
  <c r="F188" i="25"/>
  <c r="E188" i="25"/>
  <c r="D188" i="25"/>
  <c r="C188" i="25"/>
  <c r="B188" i="25"/>
  <c r="A188" i="25"/>
  <c r="G187" i="25"/>
  <c r="F187" i="25"/>
  <c r="E187" i="25"/>
  <c r="D187" i="25"/>
  <c r="C187" i="25"/>
  <c r="B187" i="25"/>
  <c r="A187" i="25"/>
  <c r="G186" i="25"/>
  <c r="F186" i="25"/>
  <c r="E186" i="25"/>
  <c r="D186" i="25"/>
  <c r="C186" i="25"/>
  <c r="B186" i="25"/>
  <c r="A186" i="25"/>
  <c r="G185" i="25"/>
  <c r="F185" i="25"/>
  <c r="E185" i="25"/>
  <c r="D185" i="25"/>
  <c r="C185" i="25"/>
  <c r="B185" i="25"/>
  <c r="A185" i="25"/>
  <c r="G184" i="25"/>
  <c r="F184" i="25"/>
  <c r="E184" i="25"/>
  <c r="D184" i="25"/>
  <c r="C184" i="25"/>
  <c r="B184" i="25"/>
  <c r="A184" i="25"/>
  <c r="G183" i="25"/>
  <c r="F183" i="25"/>
  <c r="E183" i="25"/>
  <c r="D183" i="25"/>
  <c r="C183" i="25"/>
  <c r="B183" i="25"/>
  <c r="A183" i="25"/>
  <c r="G182" i="25"/>
  <c r="F182" i="25"/>
  <c r="E182" i="25"/>
  <c r="D182" i="25"/>
  <c r="C182" i="25"/>
  <c r="B182" i="25"/>
  <c r="A182" i="25"/>
  <c r="G181" i="25"/>
  <c r="F181" i="25"/>
  <c r="E181" i="25"/>
  <c r="D181" i="25"/>
  <c r="C181" i="25"/>
  <c r="B181" i="25"/>
  <c r="A181" i="25"/>
  <c r="G180" i="25"/>
  <c r="F180" i="25"/>
  <c r="E180" i="25"/>
  <c r="D180" i="25"/>
  <c r="C180" i="25"/>
  <c r="B180" i="25"/>
  <c r="A180" i="25"/>
  <c r="G179" i="25"/>
  <c r="F179" i="25"/>
  <c r="E179" i="25"/>
  <c r="D179" i="25"/>
  <c r="C179" i="25"/>
  <c r="B179" i="25"/>
  <c r="A179" i="25"/>
  <c r="G178" i="25"/>
  <c r="F178" i="25"/>
  <c r="E178" i="25"/>
  <c r="D178" i="25"/>
  <c r="C178" i="25"/>
  <c r="B178" i="25"/>
  <c r="A178" i="25"/>
  <c r="G177" i="25"/>
  <c r="F177" i="25"/>
  <c r="E177" i="25"/>
  <c r="D177" i="25"/>
  <c r="C177" i="25"/>
  <c r="B177" i="25"/>
  <c r="A177" i="25"/>
  <c r="G176" i="25"/>
  <c r="F176" i="25"/>
  <c r="E176" i="25"/>
  <c r="D176" i="25"/>
  <c r="C176" i="25"/>
  <c r="B176" i="25"/>
  <c r="A176" i="25"/>
  <c r="G175" i="25"/>
  <c r="F175" i="25"/>
  <c r="E175" i="25"/>
  <c r="D175" i="25"/>
  <c r="C175" i="25"/>
  <c r="B175" i="25"/>
  <c r="A175" i="25"/>
  <c r="G174" i="25"/>
  <c r="F174" i="25"/>
  <c r="E174" i="25"/>
  <c r="D174" i="25"/>
  <c r="C174" i="25"/>
  <c r="B174" i="25"/>
  <c r="A174" i="25"/>
  <c r="G173" i="25"/>
  <c r="F173" i="25"/>
  <c r="E173" i="25"/>
  <c r="D173" i="25"/>
  <c r="C173" i="25"/>
  <c r="B173" i="25"/>
  <c r="A173" i="25"/>
  <c r="G172" i="25"/>
  <c r="F172" i="25"/>
  <c r="E172" i="25"/>
  <c r="D172" i="25"/>
  <c r="C172" i="25"/>
  <c r="B172" i="25"/>
  <c r="A172" i="25"/>
  <c r="G171" i="25"/>
  <c r="F171" i="25"/>
  <c r="E171" i="25"/>
  <c r="D171" i="25"/>
  <c r="C171" i="25"/>
  <c r="B171" i="25"/>
  <c r="A171" i="25"/>
  <c r="G170" i="25"/>
  <c r="F170" i="25"/>
  <c r="E170" i="25"/>
  <c r="D170" i="25"/>
  <c r="C170" i="25"/>
  <c r="B170" i="25"/>
  <c r="A170" i="25"/>
  <c r="G169" i="25"/>
  <c r="F169" i="25"/>
  <c r="E169" i="25"/>
  <c r="D169" i="25"/>
  <c r="C169" i="25"/>
  <c r="B169" i="25"/>
  <c r="A169" i="25"/>
  <c r="G168" i="25"/>
  <c r="F168" i="25"/>
  <c r="E168" i="25"/>
  <c r="D168" i="25"/>
  <c r="C168" i="25"/>
  <c r="B168" i="25"/>
  <c r="A168" i="25"/>
  <c r="G167" i="25"/>
  <c r="F167" i="25"/>
  <c r="E167" i="25"/>
  <c r="D167" i="25"/>
  <c r="C167" i="25"/>
  <c r="B167" i="25"/>
  <c r="A167" i="25"/>
  <c r="G166" i="25"/>
  <c r="F166" i="25"/>
  <c r="E166" i="25"/>
  <c r="D166" i="25"/>
  <c r="C166" i="25"/>
  <c r="B166" i="25"/>
  <c r="A166" i="25"/>
  <c r="G165" i="25"/>
  <c r="F165" i="25"/>
  <c r="E165" i="25"/>
  <c r="D165" i="25"/>
  <c r="C165" i="25"/>
  <c r="B165" i="25"/>
  <c r="A165" i="25"/>
  <c r="G164" i="25"/>
  <c r="F164" i="25"/>
  <c r="E164" i="25"/>
  <c r="D164" i="25"/>
  <c r="C164" i="25"/>
  <c r="B164" i="25"/>
  <c r="A164" i="25"/>
  <c r="G163" i="25"/>
  <c r="F163" i="25"/>
  <c r="E163" i="25"/>
  <c r="D163" i="25"/>
  <c r="C163" i="25"/>
  <c r="B163" i="25"/>
  <c r="A163" i="25"/>
  <c r="G162" i="25"/>
  <c r="F162" i="25"/>
  <c r="E162" i="25"/>
  <c r="D162" i="25"/>
  <c r="C162" i="25"/>
  <c r="B162" i="25"/>
  <c r="A162" i="25"/>
  <c r="G161" i="25"/>
  <c r="F161" i="25"/>
  <c r="E161" i="25"/>
  <c r="D161" i="25"/>
  <c r="C161" i="25"/>
  <c r="B161" i="25"/>
  <c r="A161" i="25"/>
  <c r="G160" i="25"/>
  <c r="F160" i="25"/>
  <c r="E160" i="25"/>
  <c r="D160" i="25"/>
  <c r="C160" i="25"/>
  <c r="B160" i="25"/>
  <c r="A160" i="25"/>
  <c r="G159" i="25"/>
  <c r="F159" i="25"/>
  <c r="E159" i="25"/>
  <c r="D159" i="25"/>
  <c r="C159" i="25"/>
  <c r="B159" i="25"/>
  <c r="A159" i="25"/>
  <c r="G158" i="25"/>
  <c r="F158" i="25"/>
  <c r="E158" i="25"/>
  <c r="D158" i="25"/>
  <c r="C158" i="25"/>
  <c r="B158" i="25"/>
  <c r="A158" i="25"/>
  <c r="G157" i="25"/>
  <c r="F157" i="25"/>
  <c r="E157" i="25"/>
  <c r="D157" i="25"/>
  <c r="C157" i="25"/>
  <c r="B157" i="25"/>
  <c r="A157" i="25"/>
  <c r="G156" i="25"/>
  <c r="F156" i="25"/>
  <c r="E156" i="25"/>
  <c r="D156" i="25"/>
  <c r="C156" i="25"/>
  <c r="B156" i="25"/>
  <c r="A156" i="25"/>
  <c r="G155" i="25"/>
  <c r="F155" i="25"/>
  <c r="E155" i="25"/>
  <c r="D155" i="25"/>
  <c r="C155" i="25"/>
  <c r="B155" i="25"/>
  <c r="A155" i="25"/>
  <c r="G154" i="25"/>
  <c r="F154" i="25"/>
  <c r="E154" i="25"/>
  <c r="D154" i="25"/>
  <c r="C154" i="25"/>
  <c r="B154" i="25"/>
  <c r="A154" i="25"/>
  <c r="G153" i="25"/>
  <c r="F153" i="25"/>
  <c r="E153" i="25"/>
  <c r="D153" i="25"/>
  <c r="C153" i="25"/>
  <c r="B153" i="25"/>
  <c r="A153" i="25"/>
  <c r="G152" i="25"/>
  <c r="F152" i="25"/>
  <c r="E152" i="25"/>
  <c r="D152" i="25"/>
  <c r="C152" i="25"/>
  <c r="B152" i="25"/>
  <c r="A152" i="25"/>
  <c r="G151" i="25"/>
  <c r="F151" i="25"/>
  <c r="E151" i="25"/>
  <c r="D151" i="25"/>
  <c r="C151" i="25"/>
  <c r="B151" i="25"/>
  <c r="A151" i="25"/>
  <c r="G150" i="25"/>
  <c r="F150" i="25"/>
  <c r="E150" i="25"/>
  <c r="D150" i="25"/>
  <c r="C150" i="25"/>
  <c r="B150" i="25"/>
  <c r="A150" i="25"/>
  <c r="G149" i="25"/>
  <c r="F149" i="25"/>
  <c r="E149" i="25"/>
  <c r="D149" i="25"/>
  <c r="C149" i="25"/>
  <c r="B149" i="25"/>
  <c r="A149" i="25"/>
  <c r="G148" i="25"/>
  <c r="F148" i="25"/>
  <c r="E148" i="25"/>
  <c r="D148" i="25"/>
  <c r="C148" i="25"/>
  <c r="B148" i="25"/>
  <c r="A148" i="25"/>
  <c r="G147" i="25"/>
  <c r="F147" i="25"/>
  <c r="E147" i="25"/>
  <c r="D147" i="25"/>
  <c r="C147" i="25"/>
  <c r="B147" i="25"/>
  <c r="A147" i="25"/>
  <c r="G146" i="25"/>
  <c r="F146" i="25"/>
  <c r="E146" i="25"/>
  <c r="D146" i="25"/>
  <c r="C146" i="25"/>
  <c r="B146" i="25"/>
  <c r="A146" i="25"/>
  <c r="G145" i="25"/>
  <c r="F145" i="25"/>
  <c r="E145" i="25"/>
  <c r="D145" i="25"/>
  <c r="C145" i="25"/>
  <c r="B145" i="25"/>
  <c r="A145" i="25"/>
  <c r="G144" i="25"/>
  <c r="F144" i="25"/>
  <c r="E144" i="25"/>
  <c r="D144" i="25"/>
  <c r="C144" i="25"/>
  <c r="B144" i="25"/>
  <c r="A144" i="25"/>
  <c r="G143" i="25"/>
  <c r="F143" i="25"/>
  <c r="E143" i="25"/>
  <c r="D143" i="25"/>
  <c r="C143" i="25"/>
  <c r="B143" i="25"/>
  <c r="A143" i="25"/>
  <c r="G142" i="25"/>
  <c r="F142" i="25"/>
  <c r="E142" i="25"/>
  <c r="D142" i="25"/>
  <c r="C142" i="25"/>
  <c r="B142" i="25"/>
  <c r="A142" i="25"/>
  <c r="G141" i="25"/>
  <c r="F141" i="25"/>
  <c r="E141" i="25"/>
  <c r="D141" i="25"/>
  <c r="C141" i="25"/>
  <c r="B141" i="25"/>
  <c r="A141" i="25"/>
  <c r="G140" i="25"/>
  <c r="F140" i="25"/>
  <c r="E140" i="25"/>
  <c r="D140" i="25"/>
  <c r="C140" i="25"/>
  <c r="B140" i="25"/>
  <c r="A140" i="25"/>
  <c r="G139" i="25"/>
  <c r="F139" i="25"/>
  <c r="E139" i="25"/>
  <c r="D139" i="25"/>
  <c r="C139" i="25"/>
  <c r="B139" i="25"/>
  <c r="A139" i="25"/>
  <c r="G138" i="25"/>
  <c r="F138" i="25"/>
  <c r="E138" i="25"/>
  <c r="D138" i="25"/>
  <c r="C138" i="25"/>
  <c r="B138" i="25"/>
  <c r="A138" i="25"/>
  <c r="G137" i="25"/>
  <c r="F137" i="25"/>
  <c r="E137" i="25"/>
  <c r="D137" i="25"/>
  <c r="C137" i="25"/>
  <c r="B137" i="25"/>
  <c r="A137" i="25"/>
  <c r="G136" i="25"/>
  <c r="F136" i="25"/>
  <c r="E136" i="25"/>
  <c r="D136" i="25"/>
  <c r="C136" i="25"/>
  <c r="B136" i="25"/>
  <c r="A136" i="25"/>
  <c r="G135" i="25"/>
  <c r="F135" i="25"/>
  <c r="E135" i="25"/>
  <c r="D135" i="25"/>
  <c r="C135" i="25"/>
  <c r="B135" i="25"/>
  <c r="A135" i="25"/>
  <c r="G134" i="25"/>
  <c r="F134" i="25"/>
  <c r="E134" i="25"/>
  <c r="D134" i="25"/>
  <c r="C134" i="25"/>
  <c r="B134" i="25"/>
  <c r="A134" i="25"/>
  <c r="G133" i="25"/>
  <c r="F133" i="25"/>
  <c r="E133" i="25"/>
  <c r="D133" i="25"/>
  <c r="C133" i="25"/>
  <c r="B133" i="25"/>
  <c r="A133" i="25"/>
  <c r="G132" i="25"/>
  <c r="F132" i="25"/>
  <c r="E132" i="25"/>
  <c r="D132" i="25"/>
  <c r="C132" i="25"/>
  <c r="B132" i="25"/>
  <c r="A132" i="25"/>
  <c r="G131" i="25"/>
  <c r="F131" i="25"/>
  <c r="E131" i="25"/>
  <c r="D131" i="25"/>
  <c r="C131" i="25"/>
  <c r="B131" i="25"/>
  <c r="A131" i="25"/>
  <c r="G130" i="25"/>
  <c r="F130" i="25"/>
  <c r="E130" i="25"/>
  <c r="D130" i="25"/>
  <c r="C130" i="25"/>
  <c r="B130" i="25"/>
  <c r="A130" i="25"/>
  <c r="G129" i="25"/>
  <c r="F129" i="25"/>
  <c r="E129" i="25"/>
  <c r="D129" i="25"/>
  <c r="C129" i="25"/>
  <c r="B129" i="25"/>
  <c r="A129" i="25"/>
  <c r="G128" i="25"/>
  <c r="F128" i="25"/>
  <c r="E128" i="25"/>
  <c r="D128" i="25"/>
  <c r="C128" i="25"/>
  <c r="B128" i="25"/>
  <c r="A128" i="25"/>
  <c r="G127" i="25"/>
  <c r="F127" i="25"/>
  <c r="E127" i="25"/>
  <c r="D127" i="25"/>
  <c r="C127" i="25"/>
  <c r="B127" i="25"/>
  <c r="A127" i="25"/>
  <c r="G126" i="25"/>
  <c r="F126" i="25"/>
  <c r="E126" i="25"/>
  <c r="D126" i="25"/>
  <c r="C126" i="25"/>
  <c r="B126" i="25"/>
  <c r="A126" i="25"/>
  <c r="G125" i="25"/>
  <c r="F125" i="25"/>
  <c r="E125" i="25"/>
  <c r="D125" i="25"/>
  <c r="C125" i="25"/>
  <c r="B125" i="25"/>
  <c r="A125" i="25"/>
  <c r="G124" i="25"/>
  <c r="F124" i="25"/>
  <c r="E124" i="25"/>
  <c r="D124" i="25"/>
  <c r="C124" i="25"/>
  <c r="B124" i="25"/>
  <c r="A124" i="25"/>
  <c r="G123" i="25"/>
  <c r="F123" i="25"/>
  <c r="E123" i="25"/>
  <c r="D123" i="25"/>
  <c r="C123" i="25"/>
  <c r="B123" i="25"/>
  <c r="A123" i="25"/>
  <c r="G122" i="25"/>
  <c r="F122" i="25"/>
  <c r="E122" i="25"/>
  <c r="D122" i="25"/>
  <c r="C122" i="25"/>
  <c r="B122" i="25"/>
  <c r="A122" i="25"/>
  <c r="G121" i="25"/>
  <c r="F121" i="25"/>
  <c r="E121" i="25"/>
  <c r="D121" i="25"/>
  <c r="C121" i="25"/>
  <c r="B121" i="25"/>
  <c r="A121" i="25"/>
  <c r="G120" i="25"/>
  <c r="F120" i="25"/>
  <c r="E120" i="25"/>
  <c r="D120" i="25"/>
  <c r="C120" i="25"/>
  <c r="B120" i="25"/>
  <c r="A120" i="25"/>
  <c r="G119" i="25"/>
  <c r="F119" i="25"/>
  <c r="E119" i="25"/>
  <c r="D119" i="25"/>
  <c r="C119" i="25"/>
  <c r="B119" i="25"/>
  <c r="A119" i="25"/>
  <c r="G118" i="25"/>
  <c r="F118" i="25"/>
  <c r="E118" i="25"/>
  <c r="D118" i="25"/>
  <c r="C118" i="25"/>
  <c r="B118" i="25"/>
  <c r="A118" i="25"/>
  <c r="G117" i="25"/>
  <c r="F117" i="25"/>
  <c r="E117" i="25"/>
  <c r="D117" i="25"/>
  <c r="C117" i="25"/>
  <c r="B117" i="25"/>
  <c r="A117" i="25"/>
  <c r="G116" i="25"/>
  <c r="F116" i="25"/>
  <c r="E116" i="25"/>
  <c r="D116" i="25"/>
  <c r="C116" i="25"/>
  <c r="B116" i="25"/>
  <c r="A116" i="25"/>
  <c r="G115" i="25"/>
  <c r="F115" i="25"/>
  <c r="E115" i="25"/>
  <c r="D115" i="25"/>
  <c r="C115" i="25"/>
  <c r="B115" i="25"/>
  <c r="A115" i="25"/>
  <c r="G114" i="25"/>
  <c r="F114" i="25"/>
  <c r="E114" i="25"/>
  <c r="D114" i="25"/>
  <c r="C114" i="25"/>
  <c r="B114" i="25"/>
  <c r="A114" i="25"/>
  <c r="G113" i="25"/>
  <c r="F113" i="25"/>
  <c r="E113" i="25"/>
  <c r="D113" i="25"/>
  <c r="C113" i="25"/>
  <c r="B113" i="25"/>
  <c r="A113" i="25"/>
  <c r="G112" i="25"/>
  <c r="F112" i="25"/>
  <c r="E112" i="25"/>
  <c r="D112" i="25"/>
  <c r="C112" i="25"/>
  <c r="B112" i="25"/>
  <c r="A112" i="25"/>
  <c r="G111" i="25"/>
  <c r="F111" i="25"/>
  <c r="E111" i="25"/>
  <c r="D111" i="25"/>
  <c r="C111" i="25"/>
  <c r="B111" i="25"/>
  <c r="A111" i="25"/>
  <c r="G110" i="25"/>
  <c r="F110" i="25"/>
  <c r="E110" i="25"/>
  <c r="D110" i="25"/>
  <c r="C110" i="25"/>
  <c r="B110" i="25"/>
  <c r="A110" i="25"/>
  <c r="G109" i="25"/>
  <c r="F109" i="25"/>
  <c r="E109" i="25"/>
  <c r="D109" i="25"/>
  <c r="C109" i="25"/>
  <c r="B109" i="25"/>
  <c r="A109" i="25"/>
  <c r="G108" i="25"/>
  <c r="F108" i="25"/>
  <c r="E108" i="25"/>
  <c r="D108" i="25"/>
  <c r="C108" i="25"/>
  <c r="B108" i="25"/>
  <c r="A108" i="25"/>
  <c r="G107" i="25"/>
  <c r="F107" i="25"/>
  <c r="E107" i="25"/>
  <c r="D107" i="25"/>
  <c r="C107" i="25"/>
  <c r="B107" i="25"/>
  <c r="A107" i="25"/>
  <c r="G106" i="25"/>
  <c r="F106" i="25"/>
  <c r="E106" i="25"/>
  <c r="D106" i="25"/>
  <c r="C106" i="25"/>
  <c r="B106" i="25"/>
  <c r="A106" i="25"/>
  <c r="G105" i="25"/>
  <c r="F105" i="25"/>
  <c r="E105" i="25"/>
  <c r="D105" i="25"/>
  <c r="C105" i="25"/>
  <c r="B105" i="25"/>
  <c r="A105" i="25"/>
  <c r="G104" i="25"/>
  <c r="F104" i="25"/>
  <c r="E104" i="25"/>
  <c r="D104" i="25"/>
  <c r="C104" i="25"/>
  <c r="B104" i="25"/>
  <c r="A104" i="25"/>
  <c r="G103" i="25"/>
  <c r="F103" i="25"/>
  <c r="E103" i="25"/>
  <c r="D103" i="25"/>
  <c r="C103" i="25"/>
  <c r="B103" i="25"/>
  <c r="A103" i="25"/>
  <c r="G102" i="25"/>
  <c r="F102" i="25"/>
  <c r="E102" i="25"/>
  <c r="D102" i="25"/>
  <c r="C102" i="25"/>
  <c r="B102" i="25"/>
  <c r="A102" i="25"/>
  <c r="G101" i="25"/>
  <c r="F101" i="25"/>
  <c r="E101" i="25"/>
  <c r="D101" i="25"/>
  <c r="C101" i="25"/>
  <c r="B101" i="25"/>
  <c r="A101" i="25"/>
  <c r="G100" i="25"/>
  <c r="F100" i="25"/>
  <c r="E100" i="25"/>
  <c r="D100" i="25"/>
  <c r="C100" i="25"/>
  <c r="B100" i="25"/>
  <c r="A100" i="25"/>
  <c r="G99" i="25"/>
  <c r="F99" i="25"/>
  <c r="E99" i="25"/>
  <c r="D99" i="25"/>
  <c r="C99" i="25"/>
  <c r="B99" i="25"/>
  <c r="A99" i="25"/>
  <c r="G98" i="25"/>
  <c r="F98" i="25"/>
  <c r="E98" i="25"/>
  <c r="D98" i="25"/>
  <c r="C98" i="25"/>
  <c r="B98" i="25"/>
  <c r="A98" i="25"/>
  <c r="G97" i="25"/>
  <c r="F97" i="25"/>
  <c r="E97" i="25"/>
  <c r="D97" i="25"/>
  <c r="C97" i="25"/>
  <c r="B97" i="25"/>
  <c r="A97" i="25"/>
  <c r="G96" i="25"/>
  <c r="F96" i="25"/>
  <c r="E96" i="25"/>
  <c r="D96" i="25"/>
  <c r="C96" i="25"/>
  <c r="B96" i="25"/>
  <c r="A96" i="25"/>
  <c r="G95" i="25"/>
  <c r="F95" i="25"/>
  <c r="E95" i="25"/>
  <c r="D95" i="25"/>
  <c r="C95" i="25"/>
  <c r="B95" i="25"/>
  <c r="A95" i="25"/>
  <c r="G94" i="25"/>
  <c r="F94" i="25"/>
  <c r="E94" i="25"/>
  <c r="D94" i="25"/>
  <c r="C94" i="25"/>
  <c r="B94" i="25"/>
  <c r="A94" i="25"/>
  <c r="G93" i="25"/>
  <c r="F93" i="25"/>
  <c r="E93" i="25"/>
  <c r="D93" i="25"/>
  <c r="C93" i="25"/>
  <c r="B93" i="25"/>
  <c r="A93" i="25"/>
  <c r="G92" i="25"/>
  <c r="F92" i="25"/>
  <c r="E92" i="25"/>
  <c r="D92" i="25"/>
  <c r="C92" i="25"/>
  <c r="B92" i="25"/>
  <c r="A92" i="25"/>
  <c r="G91" i="25"/>
  <c r="F91" i="25"/>
  <c r="E91" i="25"/>
  <c r="D91" i="25"/>
  <c r="C91" i="25"/>
  <c r="B91" i="25"/>
  <c r="A91" i="25"/>
  <c r="G90" i="25"/>
  <c r="F90" i="25"/>
  <c r="E90" i="25"/>
  <c r="D90" i="25"/>
  <c r="C90" i="25"/>
  <c r="B90" i="25"/>
  <c r="A90" i="25"/>
  <c r="G89" i="25"/>
  <c r="F89" i="25"/>
  <c r="E89" i="25"/>
  <c r="D89" i="25"/>
  <c r="C89" i="25"/>
  <c r="B89" i="25"/>
  <c r="A89" i="25"/>
  <c r="G88" i="25"/>
  <c r="F88" i="25"/>
  <c r="E88" i="25"/>
  <c r="D88" i="25"/>
  <c r="C88" i="25"/>
  <c r="B88" i="25"/>
  <c r="A88" i="25"/>
  <c r="G87" i="25"/>
  <c r="F87" i="25"/>
  <c r="E87" i="25"/>
  <c r="D87" i="25"/>
  <c r="C87" i="25"/>
  <c r="B87" i="25"/>
  <c r="A87" i="25"/>
  <c r="G86" i="25"/>
  <c r="F86" i="25"/>
  <c r="E86" i="25"/>
  <c r="D86" i="25"/>
  <c r="C86" i="25"/>
  <c r="B86" i="25"/>
  <c r="A86" i="25"/>
  <c r="G85" i="25"/>
  <c r="F85" i="25"/>
  <c r="E85" i="25"/>
  <c r="D85" i="25"/>
  <c r="C85" i="25"/>
  <c r="B85" i="25"/>
  <c r="A85" i="25"/>
  <c r="G84" i="25"/>
  <c r="F84" i="25"/>
  <c r="E84" i="25"/>
  <c r="D84" i="25"/>
  <c r="C84" i="25"/>
  <c r="B84" i="25"/>
  <c r="A84" i="25"/>
  <c r="G83" i="25"/>
  <c r="F83" i="25"/>
  <c r="E83" i="25"/>
  <c r="D83" i="25"/>
  <c r="C83" i="25"/>
  <c r="B83" i="25"/>
  <c r="A83" i="25"/>
  <c r="G82" i="25"/>
  <c r="F82" i="25"/>
  <c r="E82" i="25"/>
  <c r="D82" i="25"/>
  <c r="C82" i="25"/>
  <c r="B82" i="25"/>
  <c r="A82" i="25"/>
  <c r="G81" i="25"/>
  <c r="F81" i="25"/>
  <c r="E81" i="25"/>
  <c r="D81" i="25"/>
  <c r="C81" i="25"/>
  <c r="B81" i="25"/>
  <c r="A81" i="25"/>
  <c r="G80" i="25"/>
  <c r="F80" i="25"/>
  <c r="E80" i="25"/>
  <c r="D80" i="25"/>
  <c r="C80" i="25"/>
  <c r="B80" i="25"/>
  <c r="A80" i="25"/>
  <c r="G79" i="25"/>
  <c r="F79" i="25"/>
  <c r="E79" i="25"/>
  <c r="D79" i="25"/>
  <c r="C79" i="25"/>
  <c r="B79" i="25"/>
  <c r="A79" i="25"/>
  <c r="G78" i="25"/>
  <c r="F78" i="25"/>
  <c r="E78" i="25"/>
  <c r="D78" i="25"/>
  <c r="C78" i="25"/>
  <c r="B78" i="25"/>
  <c r="A78" i="25"/>
  <c r="G77" i="25"/>
  <c r="F77" i="25"/>
  <c r="E77" i="25"/>
  <c r="D77" i="25"/>
  <c r="C77" i="25"/>
  <c r="B77" i="25"/>
  <c r="A77" i="25"/>
  <c r="G76" i="25"/>
  <c r="F76" i="25"/>
  <c r="E76" i="25"/>
  <c r="D76" i="25"/>
  <c r="C76" i="25"/>
  <c r="B76" i="25"/>
  <c r="A76" i="25"/>
  <c r="G75" i="25"/>
  <c r="F75" i="25"/>
  <c r="E75" i="25"/>
  <c r="D75" i="25"/>
  <c r="C75" i="25"/>
  <c r="B75" i="25"/>
  <c r="A75" i="25"/>
  <c r="G74" i="25"/>
  <c r="F74" i="25"/>
  <c r="E74" i="25"/>
  <c r="D74" i="25"/>
  <c r="C74" i="25"/>
  <c r="B74" i="25"/>
  <c r="A74" i="25"/>
  <c r="G73" i="25"/>
  <c r="F73" i="25"/>
  <c r="E73" i="25"/>
  <c r="D73" i="25"/>
  <c r="C73" i="25"/>
  <c r="B73" i="25"/>
  <c r="A73" i="25"/>
  <c r="G72" i="25"/>
  <c r="F72" i="25"/>
  <c r="E72" i="25"/>
  <c r="D72" i="25"/>
  <c r="C72" i="25"/>
  <c r="B72" i="25"/>
  <c r="A72" i="25"/>
  <c r="G71" i="25"/>
  <c r="F71" i="25"/>
  <c r="E71" i="25"/>
  <c r="D71" i="25"/>
  <c r="C71" i="25"/>
  <c r="B71" i="25"/>
  <c r="A71" i="25"/>
  <c r="G70" i="25"/>
  <c r="F70" i="25"/>
  <c r="E70" i="25"/>
  <c r="D70" i="25"/>
  <c r="C70" i="25"/>
  <c r="B70" i="25"/>
  <c r="A70" i="25"/>
  <c r="G69" i="25"/>
  <c r="F69" i="25"/>
  <c r="E69" i="25"/>
  <c r="D69" i="25"/>
  <c r="C69" i="25"/>
  <c r="B69" i="25"/>
  <c r="A69" i="25"/>
  <c r="G68" i="25"/>
  <c r="F68" i="25"/>
  <c r="E68" i="25"/>
  <c r="D68" i="25"/>
  <c r="C68" i="25"/>
  <c r="B68" i="25"/>
  <c r="A68" i="25"/>
  <c r="G67" i="25"/>
  <c r="F67" i="25"/>
  <c r="E67" i="25"/>
  <c r="D67" i="25"/>
  <c r="C67" i="25"/>
  <c r="B67" i="25"/>
  <c r="A67" i="25"/>
  <c r="G66" i="25"/>
  <c r="F66" i="25"/>
  <c r="E66" i="25"/>
  <c r="D66" i="25"/>
  <c r="C66" i="25"/>
  <c r="B66" i="25"/>
  <c r="A66" i="25"/>
  <c r="G65" i="25"/>
  <c r="F65" i="25"/>
  <c r="E65" i="25"/>
  <c r="D65" i="25"/>
  <c r="C65" i="25"/>
  <c r="B65" i="25"/>
  <c r="A65" i="25"/>
  <c r="G64" i="25"/>
  <c r="F64" i="25"/>
  <c r="E64" i="25"/>
  <c r="D64" i="25"/>
  <c r="C64" i="25"/>
  <c r="B64" i="25"/>
  <c r="A64" i="25"/>
  <c r="G63" i="25"/>
  <c r="F63" i="25"/>
  <c r="E63" i="25"/>
  <c r="D63" i="25"/>
  <c r="C63" i="25"/>
  <c r="B63" i="25"/>
  <c r="A63" i="25"/>
  <c r="G62" i="25"/>
  <c r="F62" i="25"/>
  <c r="E62" i="25"/>
  <c r="D62" i="25"/>
  <c r="C62" i="25"/>
  <c r="B62" i="25"/>
  <c r="A62" i="25"/>
  <c r="G61" i="25"/>
  <c r="F61" i="25"/>
  <c r="E61" i="25"/>
  <c r="D61" i="25"/>
  <c r="C61" i="25"/>
  <c r="B61" i="25"/>
  <c r="A61" i="25"/>
  <c r="G60" i="25"/>
  <c r="F60" i="25"/>
  <c r="E60" i="25"/>
  <c r="D60" i="25"/>
  <c r="C60" i="25"/>
  <c r="B60" i="25"/>
  <c r="A60" i="25"/>
  <c r="G59" i="25"/>
  <c r="F59" i="25"/>
  <c r="E59" i="25"/>
  <c r="D59" i="25"/>
  <c r="C59" i="25"/>
  <c r="B59" i="25"/>
  <c r="A59" i="25"/>
  <c r="G58" i="25"/>
  <c r="F58" i="25"/>
  <c r="E58" i="25"/>
  <c r="D58" i="25"/>
  <c r="C58" i="25"/>
  <c r="B58" i="25"/>
  <c r="A58" i="25"/>
  <c r="G57" i="25"/>
  <c r="F57" i="25"/>
  <c r="E57" i="25"/>
  <c r="D57" i="25"/>
  <c r="C57" i="25"/>
  <c r="B57" i="25"/>
  <c r="A57" i="25"/>
  <c r="G56" i="25"/>
  <c r="F56" i="25"/>
  <c r="E56" i="25"/>
  <c r="D56" i="25"/>
  <c r="C56" i="25"/>
  <c r="B56" i="25"/>
  <c r="A56" i="25"/>
  <c r="G55" i="25"/>
  <c r="F55" i="25"/>
  <c r="E55" i="25"/>
  <c r="D55" i="25"/>
  <c r="C55" i="25"/>
  <c r="B55" i="25"/>
  <c r="A55" i="25"/>
  <c r="G54" i="25"/>
  <c r="F54" i="25"/>
  <c r="E54" i="25"/>
  <c r="D54" i="25"/>
  <c r="C54" i="25"/>
  <c r="B54" i="25"/>
  <c r="A54" i="25"/>
  <c r="G53" i="25"/>
  <c r="F53" i="25"/>
  <c r="E53" i="25"/>
  <c r="D53" i="25"/>
  <c r="C53" i="25"/>
  <c r="B53" i="25"/>
  <c r="A53" i="25"/>
  <c r="G52" i="25"/>
  <c r="F52" i="25"/>
  <c r="E52" i="25"/>
  <c r="D52" i="25"/>
  <c r="C52" i="25"/>
  <c r="B52" i="25"/>
  <c r="A52" i="25"/>
  <c r="G51" i="25"/>
  <c r="F51" i="25"/>
  <c r="E51" i="25"/>
  <c r="D51" i="25"/>
  <c r="C51" i="25"/>
  <c r="B51" i="25"/>
  <c r="A51" i="25"/>
  <c r="G50" i="25"/>
  <c r="F50" i="25"/>
  <c r="E50" i="25"/>
  <c r="D50" i="25"/>
  <c r="C50" i="25"/>
  <c r="B50" i="25"/>
  <c r="A50" i="25"/>
  <c r="G49" i="25"/>
  <c r="F49" i="25"/>
  <c r="E49" i="25"/>
  <c r="D49" i="25"/>
  <c r="C49" i="25"/>
  <c r="B49" i="25"/>
  <c r="A49" i="25"/>
  <c r="G48" i="25"/>
  <c r="F48" i="25"/>
  <c r="E48" i="25"/>
  <c r="D48" i="25"/>
  <c r="C48" i="25"/>
  <c r="B48" i="25"/>
  <c r="A48" i="25"/>
  <c r="G47" i="25"/>
  <c r="F47" i="25"/>
  <c r="E47" i="25"/>
  <c r="D47" i="25"/>
  <c r="C47" i="25"/>
  <c r="B47" i="25"/>
  <c r="A47" i="25"/>
  <c r="G46" i="25"/>
  <c r="F46" i="25"/>
  <c r="E46" i="25"/>
  <c r="D46" i="25"/>
  <c r="C46" i="25"/>
  <c r="B46" i="25"/>
  <c r="A46" i="25"/>
  <c r="G45" i="25"/>
  <c r="F45" i="25"/>
  <c r="E45" i="25"/>
  <c r="D45" i="25"/>
  <c r="C45" i="25"/>
  <c r="B45" i="25"/>
  <c r="A45" i="25"/>
  <c r="G44" i="25"/>
  <c r="F44" i="25"/>
  <c r="E44" i="25"/>
  <c r="D44" i="25"/>
  <c r="C44" i="25"/>
  <c r="B44" i="25"/>
  <c r="A44" i="25"/>
  <c r="G43" i="25"/>
  <c r="F43" i="25"/>
  <c r="E43" i="25"/>
  <c r="D43" i="25"/>
  <c r="C43" i="25"/>
  <c r="B43" i="25"/>
  <c r="A43" i="25"/>
  <c r="G42" i="25"/>
  <c r="F42" i="25"/>
  <c r="E42" i="25"/>
  <c r="D42" i="25"/>
  <c r="C42" i="25"/>
  <c r="B42" i="25"/>
  <c r="A42" i="25"/>
  <c r="G41" i="25"/>
  <c r="F41" i="25"/>
  <c r="E41" i="25"/>
  <c r="D41" i="25"/>
  <c r="C41" i="25"/>
  <c r="B41" i="25"/>
  <c r="A41" i="25"/>
  <c r="G40" i="25"/>
  <c r="F40" i="25"/>
  <c r="E40" i="25"/>
  <c r="D40" i="25"/>
  <c r="C40" i="25"/>
  <c r="B40" i="25"/>
  <c r="A40" i="25"/>
  <c r="G39" i="25"/>
  <c r="F39" i="25"/>
  <c r="E39" i="25"/>
  <c r="D39" i="25"/>
  <c r="C39" i="25"/>
  <c r="B39" i="25"/>
  <c r="A39" i="25"/>
  <c r="G38" i="25"/>
  <c r="F38" i="25"/>
  <c r="E38" i="25"/>
  <c r="D38" i="25"/>
  <c r="C38" i="25"/>
  <c r="B38" i="25"/>
  <c r="A38" i="25"/>
  <c r="G37" i="25"/>
  <c r="F37" i="25"/>
  <c r="E37" i="25"/>
  <c r="D37" i="25"/>
  <c r="C37" i="25"/>
  <c r="B37" i="25"/>
  <c r="A37" i="25"/>
  <c r="G36" i="25"/>
  <c r="F36" i="25"/>
  <c r="E36" i="25"/>
  <c r="D36" i="25"/>
  <c r="C36" i="25"/>
  <c r="B36" i="25"/>
  <c r="A36" i="25"/>
  <c r="G35" i="25"/>
  <c r="F35" i="25"/>
  <c r="E35" i="25"/>
  <c r="D35" i="25"/>
  <c r="C35" i="25"/>
  <c r="B35" i="25"/>
  <c r="A35" i="25"/>
  <c r="G34" i="25"/>
  <c r="F34" i="25"/>
  <c r="E34" i="25"/>
  <c r="D34" i="25"/>
  <c r="C34" i="25"/>
  <c r="B34" i="25"/>
  <c r="A34" i="25"/>
  <c r="G33" i="25"/>
  <c r="F33" i="25"/>
  <c r="E33" i="25"/>
  <c r="D33" i="25"/>
  <c r="C33" i="25"/>
  <c r="B33" i="25"/>
  <c r="A33" i="25"/>
  <c r="G32" i="25"/>
  <c r="F32" i="25"/>
  <c r="E32" i="25"/>
  <c r="D32" i="25"/>
  <c r="C32" i="25"/>
  <c r="B32" i="25"/>
  <c r="A32" i="25"/>
  <c r="G31" i="25"/>
  <c r="F31" i="25"/>
  <c r="E31" i="25"/>
  <c r="D31" i="25"/>
  <c r="C31" i="25"/>
  <c r="B31" i="25"/>
  <c r="A31" i="25"/>
  <c r="G30" i="25"/>
  <c r="F30" i="25"/>
  <c r="E30" i="25"/>
  <c r="D30" i="25"/>
  <c r="C30" i="25"/>
  <c r="B30" i="25"/>
  <c r="A30" i="25"/>
  <c r="G29" i="25"/>
  <c r="F29" i="25"/>
  <c r="E29" i="25"/>
  <c r="D29" i="25"/>
  <c r="C29" i="25"/>
  <c r="B29" i="25"/>
  <c r="A29" i="25"/>
  <c r="G28" i="25"/>
  <c r="F28" i="25"/>
  <c r="E28" i="25"/>
  <c r="D28" i="25"/>
  <c r="C28" i="25"/>
  <c r="B28" i="25"/>
  <c r="A28" i="25"/>
  <c r="G27" i="25"/>
  <c r="F27" i="25"/>
  <c r="E27" i="25"/>
  <c r="D27" i="25"/>
  <c r="C27" i="25"/>
  <c r="B27" i="25"/>
  <c r="A27" i="25"/>
  <c r="G26" i="25"/>
  <c r="F26" i="25"/>
  <c r="E26" i="25"/>
  <c r="D26" i="25"/>
  <c r="C26" i="25"/>
  <c r="B26" i="25"/>
  <c r="A26" i="25"/>
  <c r="G25" i="25"/>
  <c r="F25" i="25"/>
  <c r="E25" i="25"/>
  <c r="D25" i="25"/>
  <c r="C25" i="25"/>
  <c r="B25" i="25"/>
  <c r="A25" i="25"/>
  <c r="G24" i="25"/>
  <c r="F24" i="25"/>
  <c r="E24" i="25"/>
  <c r="D24" i="25"/>
  <c r="C24" i="25"/>
  <c r="B24" i="25"/>
  <c r="A24" i="25"/>
  <c r="G23" i="25"/>
  <c r="F23" i="25"/>
  <c r="E23" i="25"/>
  <c r="D23" i="25"/>
  <c r="C23" i="25"/>
  <c r="B23" i="25"/>
  <c r="A23" i="25"/>
  <c r="G22" i="25"/>
  <c r="F22" i="25"/>
  <c r="E22" i="25"/>
  <c r="D22" i="25"/>
  <c r="C22" i="25"/>
  <c r="B22" i="25"/>
  <c r="A22" i="25"/>
  <c r="G21" i="25"/>
  <c r="F21" i="25"/>
  <c r="E21" i="25"/>
  <c r="D21" i="25"/>
  <c r="C21" i="25"/>
  <c r="B21" i="25"/>
  <c r="A21" i="25"/>
  <c r="G20" i="25"/>
  <c r="F20" i="25"/>
  <c r="E20" i="25"/>
  <c r="D20" i="25"/>
  <c r="C20" i="25"/>
  <c r="B20" i="25"/>
  <c r="A20" i="25"/>
  <c r="G19" i="25"/>
  <c r="F19" i="25"/>
  <c r="E19" i="25"/>
  <c r="D19" i="25"/>
  <c r="C19" i="25"/>
  <c r="B19" i="25"/>
  <c r="A19" i="25"/>
  <c r="G18" i="25"/>
  <c r="F18" i="25"/>
  <c r="E18" i="25"/>
  <c r="D18" i="25"/>
  <c r="C18" i="25"/>
  <c r="B18" i="25"/>
  <c r="A18" i="25"/>
  <c r="G17" i="25"/>
  <c r="F17" i="25"/>
  <c r="E17" i="25"/>
  <c r="D17" i="25"/>
  <c r="C17" i="25"/>
  <c r="B17" i="25"/>
  <c r="A17" i="25"/>
  <c r="G16" i="25"/>
  <c r="F16" i="25"/>
  <c r="E16" i="25"/>
  <c r="D16" i="25"/>
  <c r="C16" i="25"/>
  <c r="B16" i="25"/>
  <c r="A16" i="25"/>
  <c r="G15" i="25"/>
  <c r="F15" i="25"/>
  <c r="E15" i="25"/>
  <c r="D15" i="25"/>
  <c r="C15" i="25"/>
  <c r="B15" i="25"/>
  <c r="A15" i="25"/>
  <c r="G14" i="25"/>
  <c r="F14" i="25"/>
  <c r="E14" i="25"/>
  <c r="D14" i="25"/>
  <c r="C14" i="25"/>
  <c r="B14" i="25"/>
  <c r="A14" i="25"/>
  <c r="G13" i="25"/>
  <c r="F13" i="25"/>
  <c r="E13" i="25"/>
  <c r="D13" i="25"/>
  <c r="C13" i="25"/>
  <c r="B13" i="25"/>
  <c r="A13" i="25"/>
  <c r="G12" i="25"/>
  <c r="F12" i="25"/>
  <c r="E12" i="25"/>
  <c r="D12" i="25"/>
  <c r="C12" i="25"/>
  <c r="B12" i="25"/>
  <c r="A12" i="25"/>
  <c r="G11" i="25"/>
  <c r="F11" i="25"/>
  <c r="E11" i="25"/>
  <c r="D11" i="25"/>
  <c r="C11" i="25"/>
  <c r="B11" i="25"/>
  <c r="A11" i="25"/>
  <c r="G10" i="25"/>
  <c r="F10" i="25"/>
  <c r="E10" i="25"/>
  <c r="D10" i="25"/>
  <c r="C10" i="25"/>
  <c r="B10" i="25"/>
  <c r="A10" i="25"/>
  <c r="G9" i="25"/>
  <c r="F9" i="25"/>
  <c r="E9" i="25"/>
  <c r="D9" i="25"/>
  <c r="C9" i="25"/>
  <c r="B9" i="25"/>
  <c r="A9" i="25"/>
  <c r="G8" i="25"/>
  <c r="F8" i="25"/>
  <c r="E8" i="25"/>
  <c r="D8" i="25"/>
  <c r="C8" i="25"/>
  <c r="B8" i="25"/>
  <c r="A8" i="25"/>
  <c r="G7" i="25"/>
  <c r="F7" i="25"/>
  <c r="E7" i="25"/>
  <c r="D7" i="25"/>
  <c r="C7" i="25"/>
  <c r="B7" i="25"/>
  <c r="A7" i="25"/>
  <c r="G6" i="25"/>
  <c r="F6" i="25"/>
  <c r="E6" i="25"/>
  <c r="D6" i="25"/>
  <c r="C6" i="25"/>
  <c r="B6" i="25"/>
  <c r="A6" i="25"/>
  <c r="G5" i="25"/>
  <c r="F5" i="25"/>
  <c r="E5" i="25"/>
  <c r="D5" i="25"/>
  <c r="C5" i="25"/>
  <c r="B5" i="25"/>
  <c r="A5" i="25"/>
  <c r="G4" i="25"/>
  <c r="F4" i="25"/>
  <c r="E4" i="25"/>
  <c r="D4" i="25"/>
  <c r="C4" i="25"/>
  <c r="B4" i="25"/>
  <c r="A4" i="25"/>
  <c r="G3" i="25"/>
  <c r="F3" i="25"/>
  <c r="E3" i="25"/>
  <c r="D3" i="25"/>
  <c r="C3" i="25"/>
  <c r="B3" i="25"/>
  <c r="A3" i="25"/>
  <c r="G2" i="25"/>
  <c r="F2" i="25"/>
  <c r="E2" i="25"/>
  <c r="D2" i="25"/>
  <c r="C2" i="25"/>
  <c r="B2" i="25"/>
  <c r="A2" i="25"/>
  <c r="G1" i="25"/>
  <c r="F1" i="25"/>
  <c r="E1" i="25"/>
  <c r="D1" i="25"/>
  <c r="C1" i="25"/>
  <c r="B1" i="25"/>
  <c r="A1" i="25"/>
  <c r="G276" i="24"/>
  <c r="F276" i="24"/>
  <c r="E276" i="24"/>
  <c r="D276" i="24"/>
  <c r="C276" i="24"/>
  <c r="B276" i="24"/>
  <c r="A276" i="24"/>
  <c r="G275" i="24"/>
  <c r="F275" i="24"/>
  <c r="E275" i="24"/>
  <c r="D275" i="24"/>
  <c r="C275" i="24"/>
  <c r="B275" i="24"/>
  <c r="A275" i="24"/>
  <c r="G274" i="24"/>
  <c r="F274" i="24"/>
  <c r="E274" i="24"/>
  <c r="D274" i="24"/>
  <c r="C274" i="24"/>
  <c r="B274" i="24"/>
  <c r="A274" i="24"/>
  <c r="G273" i="24"/>
  <c r="F273" i="24"/>
  <c r="E273" i="24"/>
  <c r="D273" i="24"/>
  <c r="C273" i="24"/>
  <c r="B273" i="24"/>
  <c r="A273" i="24"/>
  <c r="G272" i="24"/>
  <c r="F272" i="24"/>
  <c r="E272" i="24"/>
  <c r="D272" i="24"/>
  <c r="C272" i="24"/>
  <c r="B272" i="24"/>
  <c r="A272" i="24"/>
  <c r="G271" i="24"/>
  <c r="F271" i="24"/>
  <c r="E271" i="24"/>
  <c r="D271" i="24"/>
  <c r="C271" i="24"/>
  <c r="B271" i="24"/>
  <c r="A271" i="24"/>
  <c r="G270" i="24"/>
  <c r="F270" i="24"/>
  <c r="E270" i="24"/>
  <c r="D270" i="24"/>
  <c r="C270" i="24"/>
  <c r="B270" i="24"/>
  <c r="A270" i="24"/>
  <c r="G269" i="24"/>
  <c r="F269" i="24"/>
  <c r="E269" i="24"/>
  <c r="D269" i="24"/>
  <c r="C269" i="24"/>
  <c r="B269" i="24"/>
  <c r="A269" i="24"/>
  <c r="G268" i="24"/>
  <c r="F268" i="24"/>
  <c r="E268" i="24"/>
  <c r="D268" i="24"/>
  <c r="C268" i="24"/>
  <c r="B268" i="24"/>
  <c r="A268" i="24"/>
  <c r="G267" i="24"/>
  <c r="F267" i="24"/>
  <c r="E267" i="24"/>
  <c r="D267" i="24"/>
  <c r="C267" i="24"/>
  <c r="B267" i="24"/>
  <c r="A267" i="24"/>
  <c r="G266" i="24"/>
  <c r="F266" i="24"/>
  <c r="E266" i="24"/>
  <c r="D266" i="24"/>
  <c r="C266" i="24"/>
  <c r="B266" i="24"/>
  <c r="A266" i="24"/>
  <c r="G265" i="24"/>
  <c r="F265" i="24"/>
  <c r="E265" i="24"/>
  <c r="D265" i="24"/>
  <c r="C265" i="24"/>
  <c r="B265" i="24"/>
  <c r="A265" i="24"/>
  <c r="G264" i="24"/>
  <c r="F264" i="24"/>
  <c r="E264" i="24"/>
  <c r="D264" i="24"/>
  <c r="C264" i="24"/>
  <c r="B264" i="24"/>
  <c r="A264" i="24"/>
  <c r="G263" i="24"/>
  <c r="F263" i="24"/>
  <c r="E263" i="24"/>
  <c r="D263" i="24"/>
  <c r="C263" i="24"/>
  <c r="B263" i="24"/>
  <c r="A263" i="24"/>
  <c r="G262" i="24"/>
  <c r="F262" i="24"/>
  <c r="E262" i="24"/>
  <c r="D262" i="24"/>
  <c r="C262" i="24"/>
  <c r="B262" i="24"/>
  <c r="A262" i="24"/>
  <c r="G261" i="24"/>
  <c r="F261" i="24"/>
  <c r="E261" i="24"/>
  <c r="D261" i="24"/>
  <c r="C261" i="24"/>
  <c r="B261" i="24"/>
  <c r="A261" i="24"/>
  <c r="G260" i="24"/>
  <c r="F260" i="24"/>
  <c r="E260" i="24"/>
  <c r="D260" i="24"/>
  <c r="C260" i="24"/>
  <c r="B260" i="24"/>
  <c r="A260" i="24"/>
  <c r="G259" i="24"/>
  <c r="F259" i="24"/>
  <c r="E259" i="24"/>
  <c r="D259" i="24"/>
  <c r="C259" i="24"/>
  <c r="B259" i="24"/>
  <c r="A259" i="24"/>
  <c r="G258" i="24"/>
  <c r="F258" i="24"/>
  <c r="E258" i="24"/>
  <c r="D258" i="24"/>
  <c r="C258" i="24"/>
  <c r="B258" i="24"/>
  <c r="A258" i="24"/>
  <c r="G257" i="24"/>
  <c r="F257" i="24"/>
  <c r="E257" i="24"/>
  <c r="D257" i="24"/>
  <c r="C257" i="24"/>
  <c r="B257" i="24"/>
  <c r="A257" i="24"/>
  <c r="G256" i="24"/>
  <c r="F256" i="24"/>
  <c r="E256" i="24"/>
  <c r="D256" i="24"/>
  <c r="C256" i="24"/>
  <c r="B256" i="24"/>
  <c r="A256" i="24"/>
  <c r="G255" i="24"/>
  <c r="F255" i="24"/>
  <c r="E255" i="24"/>
  <c r="D255" i="24"/>
  <c r="C255" i="24"/>
  <c r="B255" i="24"/>
  <c r="A255" i="24"/>
  <c r="G254" i="24"/>
  <c r="F254" i="24"/>
  <c r="E254" i="24"/>
  <c r="D254" i="24"/>
  <c r="C254" i="24"/>
  <c r="B254" i="24"/>
  <c r="A254" i="24"/>
  <c r="G253" i="24"/>
  <c r="F253" i="24"/>
  <c r="E253" i="24"/>
  <c r="D253" i="24"/>
  <c r="C253" i="24"/>
  <c r="B253" i="24"/>
  <c r="A253" i="24"/>
  <c r="G252" i="24"/>
  <c r="F252" i="24"/>
  <c r="E252" i="24"/>
  <c r="D252" i="24"/>
  <c r="C252" i="24"/>
  <c r="B252" i="24"/>
  <c r="A252" i="24"/>
  <c r="G251" i="24"/>
  <c r="F251" i="24"/>
  <c r="E251" i="24"/>
  <c r="D251" i="24"/>
  <c r="C251" i="24"/>
  <c r="B251" i="24"/>
  <c r="A251" i="24"/>
  <c r="G250" i="24"/>
  <c r="F250" i="24"/>
  <c r="E250" i="24"/>
  <c r="D250" i="24"/>
  <c r="C250" i="24"/>
  <c r="B250" i="24"/>
  <c r="A250" i="24"/>
  <c r="G249" i="24"/>
  <c r="F249" i="24"/>
  <c r="E249" i="24"/>
  <c r="D249" i="24"/>
  <c r="C249" i="24"/>
  <c r="B249" i="24"/>
  <c r="A249" i="24"/>
  <c r="G248" i="24"/>
  <c r="F248" i="24"/>
  <c r="E248" i="24"/>
  <c r="D248" i="24"/>
  <c r="C248" i="24"/>
  <c r="B248" i="24"/>
  <c r="A248" i="24"/>
  <c r="G247" i="24"/>
  <c r="F247" i="24"/>
  <c r="E247" i="24"/>
  <c r="D247" i="24"/>
  <c r="C247" i="24"/>
  <c r="B247" i="24"/>
  <c r="A247" i="24"/>
  <c r="G246" i="24"/>
  <c r="F246" i="24"/>
  <c r="E246" i="24"/>
  <c r="D246" i="24"/>
  <c r="C246" i="24"/>
  <c r="B246" i="24"/>
  <c r="A246" i="24"/>
  <c r="G245" i="24"/>
  <c r="F245" i="24"/>
  <c r="E245" i="24"/>
  <c r="D245" i="24"/>
  <c r="C245" i="24"/>
  <c r="B245" i="24"/>
  <c r="A245" i="24"/>
  <c r="G244" i="24"/>
  <c r="F244" i="24"/>
  <c r="E244" i="24"/>
  <c r="D244" i="24"/>
  <c r="C244" i="24"/>
  <c r="B244" i="24"/>
  <c r="A244" i="24"/>
  <c r="G243" i="24"/>
  <c r="F243" i="24"/>
  <c r="E243" i="24"/>
  <c r="D243" i="24"/>
  <c r="C243" i="24"/>
  <c r="B243" i="24"/>
  <c r="A243" i="24"/>
  <c r="G242" i="24"/>
  <c r="F242" i="24"/>
  <c r="E242" i="24"/>
  <c r="D242" i="24"/>
  <c r="C242" i="24"/>
  <c r="B242" i="24"/>
  <c r="A242" i="24"/>
  <c r="G241" i="24"/>
  <c r="F241" i="24"/>
  <c r="E241" i="24"/>
  <c r="D241" i="24"/>
  <c r="C241" i="24"/>
  <c r="B241" i="24"/>
  <c r="A241" i="24"/>
  <c r="G240" i="24"/>
  <c r="F240" i="24"/>
  <c r="E240" i="24"/>
  <c r="D240" i="24"/>
  <c r="C240" i="24"/>
  <c r="B240" i="24"/>
  <c r="A240" i="24"/>
  <c r="G239" i="24"/>
  <c r="F239" i="24"/>
  <c r="E239" i="24"/>
  <c r="D239" i="24"/>
  <c r="C239" i="24"/>
  <c r="B239" i="24"/>
  <c r="A239" i="24"/>
  <c r="G238" i="24"/>
  <c r="F238" i="24"/>
  <c r="E238" i="24"/>
  <c r="D238" i="24"/>
  <c r="C238" i="24"/>
  <c r="B238" i="24"/>
  <c r="A238" i="24"/>
  <c r="G237" i="24"/>
  <c r="F237" i="24"/>
  <c r="E237" i="24"/>
  <c r="D237" i="24"/>
  <c r="C237" i="24"/>
  <c r="B237" i="24"/>
  <c r="A237" i="24"/>
  <c r="G236" i="24"/>
  <c r="F236" i="24"/>
  <c r="E236" i="24"/>
  <c r="D236" i="24"/>
  <c r="C236" i="24"/>
  <c r="B236" i="24"/>
  <c r="A236" i="24"/>
  <c r="G235" i="24"/>
  <c r="F235" i="24"/>
  <c r="E235" i="24"/>
  <c r="D235" i="24"/>
  <c r="C235" i="24"/>
  <c r="B235" i="24"/>
  <c r="A235" i="24"/>
  <c r="G234" i="24"/>
  <c r="F234" i="24"/>
  <c r="E234" i="24"/>
  <c r="D234" i="24"/>
  <c r="C234" i="24"/>
  <c r="B234" i="24"/>
  <c r="A234" i="24"/>
  <c r="G233" i="24"/>
  <c r="F233" i="24"/>
  <c r="E233" i="24"/>
  <c r="D233" i="24"/>
  <c r="C233" i="24"/>
  <c r="B233" i="24"/>
  <c r="A233" i="24"/>
  <c r="G232" i="24"/>
  <c r="F232" i="24"/>
  <c r="E232" i="24"/>
  <c r="D232" i="24"/>
  <c r="C232" i="24"/>
  <c r="B232" i="24"/>
  <c r="A232" i="24"/>
  <c r="G231" i="24"/>
  <c r="F231" i="24"/>
  <c r="E231" i="24"/>
  <c r="D231" i="24"/>
  <c r="C231" i="24"/>
  <c r="B231" i="24"/>
  <c r="A231" i="24"/>
  <c r="G230" i="24"/>
  <c r="F230" i="24"/>
  <c r="E230" i="24"/>
  <c r="D230" i="24"/>
  <c r="C230" i="24"/>
  <c r="B230" i="24"/>
  <c r="A230" i="24"/>
  <c r="G229" i="24"/>
  <c r="F229" i="24"/>
  <c r="E229" i="24"/>
  <c r="D229" i="24"/>
  <c r="C229" i="24"/>
  <c r="B229" i="24"/>
  <c r="A229" i="24"/>
  <c r="G228" i="24"/>
  <c r="F228" i="24"/>
  <c r="E228" i="24"/>
  <c r="D228" i="24"/>
  <c r="C228" i="24"/>
  <c r="B228" i="24"/>
  <c r="A228" i="24"/>
  <c r="G227" i="24"/>
  <c r="F227" i="24"/>
  <c r="E227" i="24"/>
  <c r="D227" i="24"/>
  <c r="C227" i="24"/>
  <c r="B227" i="24"/>
  <c r="A227" i="24"/>
  <c r="G226" i="24"/>
  <c r="F226" i="24"/>
  <c r="E226" i="24"/>
  <c r="D226" i="24"/>
  <c r="C226" i="24"/>
  <c r="B226" i="24"/>
  <c r="A226" i="24"/>
  <c r="G225" i="24"/>
  <c r="F225" i="24"/>
  <c r="E225" i="24"/>
  <c r="D225" i="24"/>
  <c r="C225" i="24"/>
  <c r="B225" i="24"/>
  <c r="A225" i="24"/>
  <c r="G224" i="24"/>
  <c r="F224" i="24"/>
  <c r="E224" i="24"/>
  <c r="D224" i="24"/>
  <c r="C224" i="24"/>
  <c r="B224" i="24"/>
  <c r="A224" i="24"/>
  <c r="G223" i="24"/>
  <c r="F223" i="24"/>
  <c r="E223" i="24"/>
  <c r="D223" i="24"/>
  <c r="C223" i="24"/>
  <c r="B223" i="24"/>
  <c r="A223" i="24"/>
  <c r="G222" i="24"/>
  <c r="F222" i="24"/>
  <c r="E222" i="24"/>
  <c r="D222" i="24"/>
  <c r="C222" i="24"/>
  <c r="B222" i="24"/>
  <c r="A222" i="24"/>
  <c r="G221" i="24"/>
  <c r="F221" i="24"/>
  <c r="E221" i="24"/>
  <c r="D221" i="24"/>
  <c r="C221" i="24"/>
  <c r="B221" i="24"/>
  <c r="A221" i="24"/>
  <c r="G220" i="24"/>
  <c r="F220" i="24"/>
  <c r="E220" i="24"/>
  <c r="D220" i="24"/>
  <c r="C220" i="24"/>
  <c r="B220" i="24"/>
  <c r="A220" i="24"/>
  <c r="G219" i="24"/>
  <c r="F219" i="24"/>
  <c r="E219" i="24"/>
  <c r="D219" i="24"/>
  <c r="C219" i="24"/>
  <c r="B219" i="24"/>
  <c r="A219" i="24"/>
  <c r="G218" i="24"/>
  <c r="F218" i="24"/>
  <c r="E218" i="24"/>
  <c r="D218" i="24"/>
  <c r="C218" i="24"/>
  <c r="B218" i="24"/>
  <c r="A218" i="24"/>
  <c r="G217" i="24"/>
  <c r="F217" i="24"/>
  <c r="E217" i="24"/>
  <c r="D217" i="24"/>
  <c r="C217" i="24"/>
  <c r="B217" i="24"/>
  <c r="A217" i="24"/>
  <c r="G216" i="24"/>
  <c r="F216" i="24"/>
  <c r="E216" i="24"/>
  <c r="D216" i="24"/>
  <c r="C216" i="24"/>
  <c r="B216" i="24"/>
  <c r="A216" i="24"/>
  <c r="G215" i="24"/>
  <c r="F215" i="24"/>
  <c r="E215" i="24"/>
  <c r="D215" i="24"/>
  <c r="C215" i="24"/>
  <c r="B215" i="24"/>
  <c r="A215" i="24"/>
  <c r="G214" i="24"/>
  <c r="F214" i="24"/>
  <c r="E214" i="24"/>
  <c r="D214" i="24"/>
  <c r="C214" i="24"/>
  <c r="B214" i="24"/>
  <c r="A214" i="24"/>
  <c r="G213" i="24"/>
  <c r="F213" i="24"/>
  <c r="E213" i="24"/>
  <c r="D213" i="24"/>
  <c r="C213" i="24"/>
  <c r="B213" i="24"/>
  <c r="A213" i="24"/>
  <c r="G212" i="24"/>
  <c r="F212" i="24"/>
  <c r="E212" i="24"/>
  <c r="D212" i="24"/>
  <c r="C212" i="24"/>
  <c r="B212" i="24"/>
  <c r="A212" i="24"/>
  <c r="G211" i="24"/>
  <c r="F211" i="24"/>
  <c r="E211" i="24"/>
  <c r="D211" i="24"/>
  <c r="C211" i="24"/>
  <c r="B211" i="24"/>
  <c r="A211" i="24"/>
  <c r="G210" i="24"/>
  <c r="F210" i="24"/>
  <c r="E210" i="24"/>
  <c r="D210" i="24"/>
  <c r="C210" i="24"/>
  <c r="B210" i="24"/>
  <c r="A210" i="24"/>
  <c r="G209" i="24"/>
  <c r="F209" i="24"/>
  <c r="E209" i="24"/>
  <c r="D209" i="24"/>
  <c r="C209" i="24"/>
  <c r="B209" i="24"/>
  <c r="A209" i="24"/>
  <c r="G208" i="24"/>
  <c r="F208" i="24"/>
  <c r="E208" i="24"/>
  <c r="D208" i="24"/>
  <c r="C208" i="24"/>
  <c r="B208" i="24"/>
  <c r="A208" i="24"/>
  <c r="G207" i="24"/>
  <c r="F207" i="24"/>
  <c r="E207" i="24"/>
  <c r="D207" i="24"/>
  <c r="C207" i="24"/>
  <c r="B207" i="24"/>
  <c r="A207" i="24"/>
  <c r="G206" i="24"/>
  <c r="F206" i="24"/>
  <c r="E206" i="24"/>
  <c r="D206" i="24"/>
  <c r="C206" i="24"/>
  <c r="B206" i="24"/>
  <c r="A206" i="24"/>
  <c r="G205" i="24"/>
  <c r="F205" i="24"/>
  <c r="E205" i="24"/>
  <c r="D205" i="24"/>
  <c r="C205" i="24"/>
  <c r="B205" i="24"/>
  <c r="A205" i="24"/>
  <c r="G204" i="24"/>
  <c r="F204" i="24"/>
  <c r="E204" i="24"/>
  <c r="D204" i="24"/>
  <c r="C204" i="24"/>
  <c r="B204" i="24"/>
  <c r="A204" i="24"/>
  <c r="G203" i="24"/>
  <c r="F203" i="24"/>
  <c r="E203" i="24"/>
  <c r="D203" i="24"/>
  <c r="C203" i="24"/>
  <c r="B203" i="24"/>
  <c r="A203" i="24"/>
  <c r="G202" i="24"/>
  <c r="F202" i="24"/>
  <c r="E202" i="24"/>
  <c r="D202" i="24"/>
  <c r="C202" i="24"/>
  <c r="B202" i="24"/>
  <c r="A202" i="24"/>
  <c r="G201" i="24"/>
  <c r="F201" i="24"/>
  <c r="E201" i="24"/>
  <c r="D201" i="24"/>
  <c r="C201" i="24"/>
  <c r="B201" i="24"/>
  <c r="A201" i="24"/>
  <c r="G200" i="24"/>
  <c r="F200" i="24"/>
  <c r="E200" i="24"/>
  <c r="D200" i="24"/>
  <c r="C200" i="24"/>
  <c r="B200" i="24"/>
  <c r="A200" i="24"/>
  <c r="G199" i="24"/>
  <c r="F199" i="24"/>
  <c r="E199" i="24"/>
  <c r="D199" i="24"/>
  <c r="C199" i="24"/>
  <c r="B199" i="24"/>
  <c r="A199" i="24"/>
  <c r="G198" i="24"/>
  <c r="F198" i="24"/>
  <c r="E198" i="24"/>
  <c r="D198" i="24"/>
  <c r="C198" i="24"/>
  <c r="B198" i="24"/>
  <c r="A198" i="24"/>
  <c r="G197" i="24"/>
  <c r="F197" i="24"/>
  <c r="E197" i="24"/>
  <c r="D197" i="24"/>
  <c r="C197" i="24"/>
  <c r="B197" i="24"/>
  <c r="A197" i="24"/>
  <c r="G196" i="24"/>
  <c r="F196" i="24"/>
  <c r="E196" i="24"/>
  <c r="D196" i="24"/>
  <c r="C196" i="24"/>
  <c r="B196" i="24"/>
  <c r="A196" i="24"/>
  <c r="G195" i="24"/>
  <c r="F195" i="24"/>
  <c r="E195" i="24"/>
  <c r="D195" i="24"/>
  <c r="C195" i="24"/>
  <c r="B195" i="24"/>
  <c r="A195" i="24"/>
  <c r="G194" i="24"/>
  <c r="F194" i="24"/>
  <c r="E194" i="24"/>
  <c r="D194" i="24"/>
  <c r="C194" i="24"/>
  <c r="B194" i="24"/>
  <c r="A194" i="24"/>
  <c r="G193" i="24"/>
  <c r="F193" i="24"/>
  <c r="E193" i="24"/>
  <c r="D193" i="24"/>
  <c r="C193" i="24"/>
  <c r="B193" i="24"/>
  <c r="A193" i="24"/>
  <c r="G192" i="24"/>
  <c r="F192" i="24"/>
  <c r="E192" i="24"/>
  <c r="D192" i="24"/>
  <c r="C192" i="24"/>
  <c r="B192" i="24"/>
  <c r="A192" i="24"/>
  <c r="G191" i="24"/>
  <c r="F191" i="24"/>
  <c r="E191" i="24"/>
  <c r="D191" i="24"/>
  <c r="C191" i="24"/>
  <c r="B191" i="24"/>
  <c r="A191" i="24"/>
  <c r="G190" i="24"/>
  <c r="F190" i="24"/>
  <c r="E190" i="24"/>
  <c r="D190" i="24"/>
  <c r="C190" i="24"/>
  <c r="B190" i="24"/>
  <c r="A190" i="24"/>
  <c r="G189" i="24"/>
  <c r="F189" i="24"/>
  <c r="E189" i="24"/>
  <c r="D189" i="24"/>
  <c r="C189" i="24"/>
  <c r="B189" i="24"/>
  <c r="A189" i="24"/>
  <c r="G188" i="24"/>
  <c r="F188" i="24"/>
  <c r="E188" i="24"/>
  <c r="D188" i="24"/>
  <c r="C188" i="24"/>
  <c r="B188" i="24"/>
  <c r="A188" i="24"/>
  <c r="G187" i="24"/>
  <c r="F187" i="24"/>
  <c r="E187" i="24"/>
  <c r="D187" i="24"/>
  <c r="C187" i="24"/>
  <c r="B187" i="24"/>
  <c r="A187" i="24"/>
  <c r="G186" i="24"/>
  <c r="F186" i="24"/>
  <c r="E186" i="24"/>
  <c r="D186" i="24"/>
  <c r="C186" i="24"/>
  <c r="B186" i="24"/>
  <c r="A186" i="24"/>
  <c r="G185" i="24"/>
  <c r="F185" i="24"/>
  <c r="E185" i="24"/>
  <c r="D185" i="24"/>
  <c r="C185" i="24"/>
  <c r="B185" i="24"/>
  <c r="A185" i="24"/>
  <c r="G184" i="24"/>
  <c r="F184" i="24"/>
  <c r="E184" i="24"/>
  <c r="D184" i="24"/>
  <c r="C184" i="24"/>
  <c r="B184" i="24"/>
  <c r="A184" i="24"/>
  <c r="G183" i="24"/>
  <c r="F183" i="24"/>
  <c r="E183" i="24"/>
  <c r="D183" i="24"/>
  <c r="C183" i="24"/>
  <c r="B183" i="24"/>
  <c r="A183" i="24"/>
  <c r="G182" i="24"/>
  <c r="F182" i="24"/>
  <c r="E182" i="24"/>
  <c r="D182" i="24"/>
  <c r="C182" i="24"/>
  <c r="B182" i="24"/>
  <c r="A182" i="24"/>
  <c r="G181" i="24"/>
  <c r="F181" i="24"/>
  <c r="E181" i="24"/>
  <c r="D181" i="24"/>
  <c r="C181" i="24"/>
  <c r="B181" i="24"/>
  <c r="A181" i="24"/>
  <c r="G180" i="24"/>
  <c r="F180" i="24"/>
  <c r="E180" i="24"/>
  <c r="D180" i="24"/>
  <c r="C180" i="24"/>
  <c r="B180" i="24"/>
  <c r="A180" i="24"/>
  <c r="G179" i="24"/>
  <c r="F179" i="24"/>
  <c r="E179" i="24"/>
  <c r="D179" i="24"/>
  <c r="C179" i="24"/>
  <c r="B179" i="24"/>
  <c r="A179" i="24"/>
  <c r="G178" i="24"/>
  <c r="F178" i="24"/>
  <c r="E178" i="24"/>
  <c r="D178" i="24"/>
  <c r="C178" i="24"/>
  <c r="B178" i="24"/>
  <c r="A178" i="24"/>
  <c r="G177" i="24"/>
  <c r="F177" i="24"/>
  <c r="E177" i="24"/>
  <c r="D177" i="24"/>
  <c r="C177" i="24"/>
  <c r="B177" i="24"/>
  <c r="A177" i="24"/>
  <c r="G176" i="24"/>
  <c r="F176" i="24"/>
  <c r="E176" i="24"/>
  <c r="D176" i="24"/>
  <c r="C176" i="24"/>
  <c r="B176" i="24"/>
  <c r="A176" i="24"/>
  <c r="G175" i="24"/>
  <c r="F175" i="24"/>
  <c r="E175" i="24"/>
  <c r="D175" i="24"/>
  <c r="C175" i="24"/>
  <c r="B175" i="24"/>
  <c r="A175" i="24"/>
  <c r="G174" i="24"/>
  <c r="F174" i="24"/>
  <c r="E174" i="24"/>
  <c r="D174" i="24"/>
  <c r="C174" i="24"/>
  <c r="B174" i="24"/>
  <c r="A174" i="24"/>
  <c r="G173" i="24"/>
  <c r="F173" i="24"/>
  <c r="E173" i="24"/>
  <c r="D173" i="24"/>
  <c r="C173" i="24"/>
  <c r="B173" i="24"/>
  <c r="A173" i="24"/>
  <c r="G172" i="24"/>
  <c r="F172" i="24"/>
  <c r="E172" i="24"/>
  <c r="D172" i="24"/>
  <c r="C172" i="24"/>
  <c r="B172" i="24"/>
  <c r="A172" i="24"/>
  <c r="G171" i="24"/>
  <c r="F171" i="24"/>
  <c r="E171" i="24"/>
  <c r="D171" i="24"/>
  <c r="C171" i="24"/>
  <c r="B171" i="24"/>
  <c r="A171" i="24"/>
  <c r="G170" i="24"/>
  <c r="F170" i="24"/>
  <c r="E170" i="24"/>
  <c r="D170" i="24"/>
  <c r="C170" i="24"/>
  <c r="B170" i="24"/>
  <c r="A170" i="24"/>
  <c r="G169" i="24"/>
  <c r="F169" i="24"/>
  <c r="E169" i="24"/>
  <c r="D169" i="24"/>
  <c r="C169" i="24"/>
  <c r="B169" i="24"/>
  <c r="A169" i="24"/>
  <c r="G168" i="24"/>
  <c r="F168" i="24"/>
  <c r="E168" i="24"/>
  <c r="D168" i="24"/>
  <c r="C168" i="24"/>
  <c r="B168" i="24"/>
  <c r="A168" i="24"/>
  <c r="G167" i="24"/>
  <c r="F167" i="24"/>
  <c r="E167" i="24"/>
  <c r="D167" i="24"/>
  <c r="C167" i="24"/>
  <c r="B167" i="24"/>
  <c r="A167" i="24"/>
  <c r="G166" i="24"/>
  <c r="F166" i="24"/>
  <c r="E166" i="24"/>
  <c r="D166" i="24"/>
  <c r="C166" i="24"/>
  <c r="B166" i="24"/>
  <c r="A166" i="24"/>
  <c r="G165" i="24"/>
  <c r="F165" i="24"/>
  <c r="E165" i="24"/>
  <c r="D165" i="24"/>
  <c r="C165" i="24"/>
  <c r="B165" i="24"/>
  <c r="A165" i="24"/>
  <c r="G164" i="24"/>
  <c r="F164" i="24"/>
  <c r="E164" i="24"/>
  <c r="D164" i="24"/>
  <c r="C164" i="24"/>
  <c r="B164" i="24"/>
  <c r="A164" i="24"/>
  <c r="G163" i="24"/>
  <c r="F163" i="24"/>
  <c r="E163" i="24"/>
  <c r="D163" i="24"/>
  <c r="C163" i="24"/>
  <c r="B163" i="24"/>
  <c r="A163" i="24"/>
  <c r="G162" i="24"/>
  <c r="F162" i="24"/>
  <c r="E162" i="24"/>
  <c r="D162" i="24"/>
  <c r="C162" i="24"/>
  <c r="B162" i="24"/>
  <c r="A162" i="24"/>
  <c r="G161" i="24"/>
  <c r="F161" i="24"/>
  <c r="E161" i="24"/>
  <c r="D161" i="24"/>
  <c r="C161" i="24"/>
  <c r="B161" i="24"/>
  <c r="A161" i="24"/>
  <c r="G160" i="24"/>
  <c r="F160" i="24"/>
  <c r="E160" i="24"/>
  <c r="D160" i="24"/>
  <c r="C160" i="24"/>
  <c r="B160" i="24"/>
  <c r="A160" i="24"/>
  <c r="G159" i="24"/>
  <c r="F159" i="24"/>
  <c r="E159" i="24"/>
  <c r="D159" i="24"/>
  <c r="C159" i="24"/>
  <c r="B159" i="24"/>
  <c r="A159" i="24"/>
  <c r="G158" i="24"/>
  <c r="F158" i="24"/>
  <c r="E158" i="24"/>
  <c r="D158" i="24"/>
  <c r="C158" i="24"/>
  <c r="B158" i="24"/>
  <c r="A158" i="24"/>
  <c r="G157" i="24"/>
  <c r="F157" i="24"/>
  <c r="E157" i="24"/>
  <c r="D157" i="24"/>
  <c r="C157" i="24"/>
  <c r="B157" i="24"/>
  <c r="A157" i="24"/>
  <c r="G156" i="24"/>
  <c r="F156" i="24"/>
  <c r="E156" i="24"/>
  <c r="D156" i="24"/>
  <c r="C156" i="24"/>
  <c r="B156" i="24"/>
  <c r="A156" i="24"/>
  <c r="G155" i="24"/>
  <c r="F155" i="24"/>
  <c r="E155" i="24"/>
  <c r="D155" i="24"/>
  <c r="C155" i="24"/>
  <c r="B155" i="24"/>
  <c r="A155" i="24"/>
  <c r="G154" i="24"/>
  <c r="F154" i="24"/>
  <c r="E154" i="24"/>
  <c r="D154" i="24"/>
  <c r="C154" i="24"/>
  <c r="B154" i="24"/>
  <c r="A154" i="24"/>
  <c r="G153" i="24"/>
  <c r="F153" i="24"/>
  <c r="E153" i="24"/>
  <c r="D153" i="24"/>
  <c r="C153" i="24"/>
  <c r="B153" i="24"/>
  <c r="A153" i="24"/>
  <c r="G152" i="24"/>
  <c r="F152" i="24"/>
  <c r="E152" i="24"/>
  <c r="D152" i="24"/>
  <c r="C152" i="24"/>
  <c r="B152" i="24"/>
  <c r="A152" i="24"/>
  <c r="G151" i="24"/>
  <c r="F151" i="24"/>
  <c r="E151" i="24"/>
  <c r="D151" i="24"/>
  <c r="C151" i="24"/>
  <c r="B151" i="24"/>
  <c r="A151" i="24"/>
  <c r="G150" i="24"/>
  <c r="F150" i="24"/>
  <c r="E150" i="24"/>
  <c r="D150" i="24"/>
  <c r="C150" i="24"/>
  <c r="B150" i="24"/>
  <c r="A150" i="24"/>
  <c r="G149" i="24"/>
  <c r="F149" i="24"/>
  <c r="E149" i="24"/>
  <c r="D149" i="24"/>
  <c r="C149" i="24"/>
  <c r="B149" i="24"/>
  <c r="A149" i="24"/>
  <c r="G148" i="24"/>
  <c r="F148" i="24"/>
  <c r="E148" i="24"/>
  <c r="D148" i="24"/>
  <c r="C148" i="24"/>
  <c r="B148" i="24"/>
  <c r="A148" i="24"/>
  <c r="G147" i="24"/>
  <c r="F147" i="24"/>
  <c r="E147" i="24"/>
  <c r="D147" i="24"/>
  <c r="C147" i="24"/>
  <c r="B147" i="24"/>
  <c r="A147" i="24"/>
  <c r="G146" i="24"/>
  <c r="F146" i="24"/>
  <c r="E146" i="24"/>
  <c r="D146" i="24"/>
  <c r="C146" i="24"/>
  <c r="B146" i="24"/>
  <c r="A146" i="24"/>
  <c r="G145" i="24"/>
  <c r="F145" i="24"/>
  <c r="E145" i="24"/>
  <c r="D145" i="24"/>
  <c r="C145" i="24"/>
  <c r="B145" i="24"/>
  <c r="A145" i="24"/>
  <c r="G144" i="24"/>
  <c r="F144" i="24"/>
  <c r="E144" i="24"/>
  <c r="D144" i="24"/>
  <c r="C144" i="24"/>
  <c r="B144" i="24"/>
  <c r="A144" i="24"/>
  <c r="G143" i="24"/>
  <c r="F143" i="24"/>
  <c r="E143" i="24"/>
  <c r="D143" i="24"/>
  <c r="C143" i="24"/>
  <c r="B143" i="24"/>
  <c r="A143" i="24"/>
  <c r="G142" i="24"/>
  <c r="F142" i="24"/>
  <c r="E142" i="24"/>
  <c r="D142" i="24"/>
  <c r="C142" i="24"/>
  <c r="B142" i="24"/>
  <c r="A142" i="24"/>
  <c r="G141" i="24"/>
  <c r="F141" i="24"/>
  <c r="E141" i="24"/>
  <c r="D141" i="24"/>
  <c r="C141" i="24"/>
  <c r="B141" i="24"/>
  <c r="A141" i="24"/>
  <c r="G140" i="24"/>
  <c r="F140" i="24"/>
  <c r="E140" i="24"/>
  <c r="D140" i="24"/>
  <c r="C140" i="24"/>
  <c r="B140" i="24"/>
  <c r="A140" i="24"/>
  <c r="G139" i="24"/>
  <c r="F139" i="24"/>
  <c r="E139" i="24"/>
  <c r="D139" i="24"/>
  <c r="C139" i="24"/>
  <c r="B139" i="24"/>
  <c r="A139" i="24"/>
  <c r="G138" i="24"/>
  <c r="F138" i="24"/>
  <c r="E138" i="24"/>
  <c r="D138" i="24"/>
  <c r="C138" i="24"/>
  <c r="B138" i="24"/>
  <c r="A138" i="24"/>
  <c r="G137" i="24"/>
  <c r="F137" i="24"/>
  <c r="E137" i="24"/>
  <c r="D137" i="24"/>
  <c r="C137" i="24"/>
  <c r="B137" i="24"/>
  <c r="A137" i="24"/>
  <c r="G136" i="24"/>
  <c r="F136" i="24"/>
  <c r="E136" i="24"/>
  <c r="D136" i="24"/>
  <c r="C136" i="24"/>
  <c r="B136" i="24"/>
  <c r="A136" i="24"/>
  <c r="G135" i="24"/>
  <c r="F135" i="24"/>
  <c r="E135" i="24"/>
  <c r="D135" i="24"/>
  <c r="C135" i="24"/>
  <c r="B135" i="24"/>
  <c r="A135" i="24"/>
  <c r="G134" i="24"/>
  <c r="F134" i="24"/>
  <c r="E134" i="24"/>
  <c r="D134" i="24"/>
  <c r="C134" i="24"/>
  <c r="B134" i="24"/>
  <c r="A134" i="24"/>
  <c r="G133" i="24"/>
  <c r="F133" i="24"/>
  <c r="E133" i="24"/>
  <c r="D133" i="24"/>
  <c r="C133" i="24"/>
  <c r="B133" i="24"/>
  <c r="A133" i="24"/>
  <c r="G132" i="24"/>
  <c r="F132" i="24"/>
  <c r="E132" i="24"/>
  <c r="D132" i="24"/>
  <c r="C132" i="24"/>
  <c r="B132" i="24"/>
  <c r="A132" i="24"/>
  <c r="G131" i="24"/>
  <c r="F131" i="24"/>
  <c r="E131" i="24"/>
  <c r="D131" i="24"/>
  <c r="C131" i="24"/>
  <c r="B131" i="24"/>
  <c r="A131" i="24"/>
  <c r="G130" i="24"/>
  <c r="F130" i="24"/>
  <c r="E130" i="24"/>
  <c r="D130" i="24"/>
  <c r="C130" i="24"/>
  <c r="B130" i="24"/>
  <c r="A130" i="24"/>
  <c r="G129" i="24"/>
  <c r="F129" i="24"/>
  <c r="E129" i="24"/>
  <c r="D129" i="24"/>
  <c r="C129" i="24"/>
  <c r="B129" i="24"/>
  <c r="A129" i="24"/>
  <c r="G128" i="24"/>
  <c r="F128" i="24"/>
  <c r="E128" i="24"/>
  <c r="D128" i="24"/>
  <c r="C128" i="24"/>
  <c r="B128" i="24"/>
  <c r="A128" i="24"/>
  <c r="G127" i="24"/>
  <c r="F127" i="24"/>
  <c r="E127" i="24"/>
  <c r="D127" i="24"/>
  <c r="C127" i="24"/>
  <c r="B127" i="24"/>
  <c r="A127" i="24"/>
  <c r="G126" i="24"/>
  <c r="F126" i="24"/>
  <c r="E126" i="24"/>
  <c r="D126" i="24"/>
  <c r="C126" i="24"/>
  <c r="B126" i="24"/>
  <c r="A126" i="24"/>
  <c r="G125" i="24"/>
  <c r="F125" i="24"/>
  <c r="E125" i="24"/>
  <c r="D125" i="24"/>
  <c r="C125" i="24"/>
  <c r="B125" i="24"/>
  <c r="A125" i="24"/>
  <c r="G124" i="24"/>
  <c r="F124" i="24"/>
  <c r="E124" i="24"/>
  <c r="D124" i="24"/>
  <c r="C124" i="24"/>
  <c r="B124" i="24"/>
  <c r="A124" i="24"/>
  <c r="G123" i="24"/>
  <c r="F123" i="24"/>
  <c r="E123" i="24"/>
  <c r="D123" i="24"/>
  <c r="C123" i="24"/>
  <c r="B123" i="24"/>
  <c r="A123" i="24"/>
  <c r="G122" i="24"/>
  <c r="F122" i="24"/>
  <c r="E122" i="24"/>
  <c r="D122" i="24"/>
  <c r="C122" i="24"/>
  <c r="B122" i="24"/>
  <c r="A122" i="24"/>
  <c r="G121" i="24"/>
  <c r="F121" i="24"/>
  <c r="E121" i="24"/>
  <c r="D121" i="24"/>
  <c r="C121" i="24"/>
  <c r="B121" i="24"/>
  <c r="A121" i="24"/>
  <c r="G120" i="24"/>
  <c r="F120" i="24"/>
  <c r="E120" i="24"/>
  <c r="D120" i="24"/>
  <c r="C120" i="24"/>
  <c r="B120" i="24"/>
  <c r="A120" i="24"/>
  <c r="G119" i="24"/>
  <c r="F119" i="24"/>
  <c r="E119" i="24"/>
  <c r="D119" i="24"/>
  <c r="C119" i="24"/>
  <c r="B119" i="24"/>
  <c r="A119" i="24"/>
  <c r="G118" i="24"/>
  <c r="F118" i="24"/>
  <c r="E118" i="24"/>
  <c r="D118" i="24"/>
  <c r="C118" i="24"/>
  <c r="B118" i="24"/>
  <c r="A118" i="24"/>
  <c r="G117" i="24"/>
  <c r="F117" i="24"/>
  <c r="E117" i="24"/>
  <c r="D117" i="24"/>
  <c r="C117" i="24"/>
  <c r="B117" i="24"/>
  <c r="A117" i="24"/>
  <c r="G116" i="24"/>
  <c r="F116" i="24"/>
  <c r="E116" i="24"/>
  <c r="D116" i="24"/>
  <c r="C116" i="24"/>
  <c r="B116" i="24"/>
  <c r="A116" i="24"/>
  <c r="G115" i="24"/>
  <c r="F115" i="24"/>
  <c r="E115" i="24"/>
  <c r="D115" i="24"/>
  <c r="C115" i="24"/>
  <c r="B115" i="24"/>
  <c r="A115" i="24"/>
  <c r="G114" i="24"/>
  <c r="F114" i="24"/>
  <c r="E114" i="24"/>
  <c r="D114" i="24"/>
  <c r="C114" i="24"/>
  <c r="B114" i="24"/>
  <c r="A114" i="24"/>
  <c r="G113" i="24"/>
  <c r="F113" i="24"/>
  <c r="E113" i="24"/>
  <c r="D113" i="24"/>
  <c r="C113" i="24"/>
  <c r="B113" i="24"/>
  <c r="A113" i="24"/>
  <c r="G112" i="24"/>
  <c r="F112" i="24"/>
  <c r="E112" i="24"/>
  <c r="D112" i="24"/>
  <c r="C112" i="24"/>
  <c r="B112" i="24"/>
  <c r="A112" i="24"/>
  <c r="G111" i="24"/>
  <c r="F111" i="24"/>
  <c r="E111" i="24"/>
  <c r="D111" i="24"/>
  <c r="C111" i="24"/>
  <c r="B111" i="24"/>
  <c r="A111" i="24"/>
  <c r="G110" i="24"/>
  <c r="F110" i="24"/>
  <c r="E110" i="24"/>
  <c r="D110" i="24"/>
  <c r="C110" i="24"/>
  <c r="B110" i="24"/>
  <c r="A110" i="24"/>
  <c r="G109" i="24"/>
  <c r="F109" i="24"/>
  <c r="E109" i="24"/>
  <c r="D109" i="24"/>
  <c r="C109" i="24"/>
  <c r="B109" i="24"/>
  <c r="A109" i="24"/>
  <c r="G108" i="24"/>
  <c r="F108" i="24"/>
  <c r="E108" i="24"/>
  <c r="D108" i="24"/>
  <c r="C108" i="24"/>
  <c r="B108" i="24"/>
  <c r="A108" i="24"/>
  <c r="G107" i="24"/>
  <c r="F107" i="24"/>
  <c r="E107" i="24"/>
  <c r="D107" i="24"/>
  <c r="C107" i="24"/>
  <c r="B107" i="24"/>
  <c r="A107" i="24"/>
  <c r="G106" i="24"/>
  <c r="F106" i="24"/>
  <c r="E106" i="24"/>
  <c r="D106" i="24"/>
  <c r="C106" i="24"/>
  <c r="B106" i="24"/>
  <c r="A106" i="24"/>
  <c r="G105" i="24"/>
  <c r="F105" i="24"/>
  <c r="E105" i="24"/>
  <c r="D105" i="24"/>
  <c r="C105" i="24"/>
  <c r="B105" i="24"/>
  <c r="A105" i="24"/>
  <c r="G104" i="24"/>
  <c r="F104" i="24"/>
  <c r="E104" i="24"/>
  <c r="D104" i="24"/>
  <c r="C104" i="24"/>
  <c r="B104" i="24"/>
  <c r="A104" i="24"/>
  <c r="G103" i="24"/>
  <c r="F103" i="24"/>
  <c r="E103" i="24"/>
  <c r="D103" i="24"/>
  <c r="C103" i="24"/>
  <c r="B103" i="24"/>
  <c r="A103" i="24"/>
  <c r="G102" i="24"/>
  <c r="F102" i="24"/>
  <c r="E102" i="24"/>
  <c r="D102" i="24"/>
  <c r="C102" i="24"/>
  <c r="B102" i="24"/>
  <c r="A102" i="24"/>
  <c r="G101" i="24"/>
  <c r="F101" i="24"/>
  <c r="E101" i="24"/>
  <c r="D101" i="24"/>
  <c r="C101" i="24"/>
  <c r="B101" i="24"/>
  <c r="A101" i="24"/>
  <c r="G100" i="24"/>
  <c r="F100" i="24"/>
  <c r="E100" i="24"/>
  <c r="D100" i="24"/>
  <c r="C100" i="24"/>
  <c r="B100" i="24"/>
  <c r="A100" i="24"/>
  <c r="G99" i="24"/>
  <c r="F99" i="24"/>
  <c r="E99" i="24"/>
  <c r="D99" i="24"/>
  <c r="C99" i="24"/>
  <c r="B99" i="24"/>
  <c r="A99" i="24"/>
  <c r="G98" i="24"/>
  <c r="F98" i="24"/>
  <c r="E98" i="24"/>
  <c r="D98" i="24"/>
  <c r="C98" i="24"/>
  <c r="B98" i="24"/>
  <c r="A98" i="24"/>
  <c r="G97" i="24"/>
  <c r="F97" i="24"/>
  <c r="E97" i="24"/>
  <c r="D97" i="24"/>
  <c r="C97" i="24"/>
  <c r="B97" i="24"/>
  <c r="A97" i="24"/>
  <c r="G96" i="24"/>
  <c r="F96" i="24"/>
  <c r="E96" i="24"/>
  <c r="D96" i="24"/>
  <c r="C96" i="24"/>
  <c r="B96" i="24"/>
  <c r="A96" i="24"/>
  <c r="G95" i="24"/>
  <c r="F95" i="24"/>
  <c r="E95" i="24"/>
  <c r="D95" i="24"/>
  <c r="C95" i="24"/>
  <c r="B95" i="24"/>
  <c r="A95" i="24"/>
  <c r="G94" i="24"/>
  <c r="F94" i="24"/>
  <c r="E94" i="24"/>
  <c r="D94" i="24"/>
  <c r="C94" i="24"/>
  <c r="B94" i="24"/>
  <c r="A94" i="24"/>
  <c r="G93" i="24"/>
  <c r="F93" i="24"/>
  <c r="E93" i="24"/>
  <c r="D93" i="24"/>
  <c r="C93" i="24"/>
  <c r="B93" i="24"/>
  <c r="A93" i="24"/>
  <c r="G92" i="24"/>
  <c r="F92" i="24"/>
  <c r="E92" i="24"/>
  <c r="D92" i="24"/>
  <c r="C92" i="24"/>
  <c r="B92" i="24"/>
  <c r="A92" i="24"/>
  <c r="G91" i="24"/>
  <c r="F91" i="24"/>
  <c r="E91" i="24"/>
  <c r="D91" i="24"/>
  <c r="C91" i="24"/>
  <c r="B91" i="24"/>
  <c r="A91" i="24"/>
  <c r="G90" i="24"/>
  <c r="F90" i="24"/>
  <c r="E90" i="24"/>
  <c r="D90" i="24"/>
  <c r="C90" i="24"/>
  <c r="B90" i="24"/>
  <c r="A90" i="24"/>
  <c r="G89" i="24"/>
  <c r="F89" i="24"/>
  <c r="E89" i="24"/>
  <c r="D89" i="24"/>
  <c r="C89" i="24"/>
  <c r="B89" i="24"/>
  <c r="A89" i="24"/>
  <c r="G88" i="24"/>
  <c r="F88" i="24"/>
  <c r="E88" i="24"/>
  <c r="D88" i="24"/>
  <c r="C88" i="24"/>
  <c r="B88" i="24"/>
  <c r="A88" i="24"/>
  <c r="G87" i="24"/>
  <c r="F87" i="24"/>
  <c r="E87" i="24"/>
  <c r="D87" i="24"/>
  <c r="C87" i="24"/>
  <c r="B87" i="24"/>
  <c r="A87" i="24"/>
  <c r="G86" i="24"/>
  <c r="F86" i="24"/>
  <c r="E86" i="24"/>
  <c r="D86" i="24"/>
  <c r="C86" i="24"/>
  <c r="B86" i="24"/>
  <c r="A86" i="24"/>
  <c r="G85" i="24"/>
  <c r="F85" i="24"/>
  <c r="E85" i="24"/>
  <c r="D85" i="24"/>
  <c r="C85" i="24"/>
  <c r="B85" i="24"/>
  <c r="A85" i="24"/>
  <c r="G84" i="24"/>
  <c r="F84" i="24"/>
  <c r="E84" i="24"/>
  <c r="D84" i="24"/>
  <c r="C84" i="24"/>
  <c r="B84" i="24"/>
  <c r="A84" i="24"/>
  <c r="G83" i="24"/>
  <c r="F83" i="24"/>
  <c r="E83" i="24"/>
  <c r="D83" i="24"/>
  <c r="C83" i="24"/>
  <c r="B83" i="24"/>
  <c r="A83" i="24"/>
  <c r="G82" i="24"/>
  <c r="F82" i="24"/>
  <c r="E82" i="24"/>
  <c r="D82" i="24"/>
  <c r="C82" i="24"/>
  <c r="B82" i="24"/>
  <c r="A82" i="24"/>
  <c r="G81" i="24"/>
  <c r="F81" i="24"/>
  <c r="E81" i="24"/>
  <c r="D81" i="24"/>
  <c r="C81" i="24"/>
  <c r="B81" i="24"/>
  <c r="A81" i="24"/>
  <c r="G80" i="24"/>
  <c r="F80" i="24"/>
  <c r="E80" i="24"/>
  <c r="D80" i="24"/>
  <c r="C80" i="24"/>
  <c r="B80" i="24"/>
  <c r="A80" i="24"/>
  <c r="G79" i="24"/>
  <c r="F79" i="24"/>
  <c r="E79" i="24"/>
  <c r="D79" i="24"/>
  <c r="C79" i="24"/>
  <c r="B79" i="24"/>
  <c r="A79" i="24"/>
  <c r="G78" i="24"/>
  <c r="F78" i="24"/>
  <c r="E78" i="24"/>
  <c r="D78" i="24"/>
  <c r="C78" i="24"/>
  <c r="B78" i="24"/>
  <c r="A78" i="24"/>
  <c r="G77" i="24"/>
  <c r="F77" i="24"/>
  <c r="E77" i="24"/>
  <c r="D77" i="24"/>
  <c r="C77" i="24"/>
  <c r="B77" i="24"/>
  <c r="A77" i="24"/>
  <c r="G76" i="24"/>
  <c r="F76" i="24"/>
  <c r="E76" i="24"/>
  <c r="D76" i="24"/>
  <c r="C76" i="24"/>
  <c r="B76" i="24"/>
  <c r="A76" i="24"/>
  <c r="G75" i="24"/>
  <c r="F75" i="24"/>
  <c r="E75" i="24"/>
  <c r="D75" i="24"/>
  <c r="C75" i="24"/>
  <c r="B75" i="24"/>
  <c r="A75" i="24"/>
  <c r="G74" i="24"/>
  <c r="F74" i="24"/>
  <c r="E74" i="24"/>
  <c r="D74" i="24"/>
  <c r="C74" i="24"/>
  <c r="B74" i="24"/>
  <c r="A74" i="24"/>
  <c r="G73" i="24"/>
  <c r="F73" i="24"/>
  <c r="E73" i="24"/>
  <c r="D73" i="24"/>
  <c r="C73" i="24"/>
  <c r="B73" i="24"/>
  <c r="A73" i="24"/>
  <c r="G72" i="24"/>
  <c r="F72" i="24"/>
  <c r="E72" i="24"/>
  <c r="D72" i="24"/>
  <c r="C72" i="24"/>
  <c r="B72" i="24"/>
  <c r="A72" i="24"/>
  <c r="G71" i="24"/>
  <c r="F71" i="24"/>
  <c r="E71" i="24"/>
  <c r="D71" i="24"/>
  <c r="C71" i="24"/>
  <c r="B71" i="24"/>
  <c r="A71" i="24"/>
  <c r="G70" i="24"/>
  <c r="F70" i="24"/>
  <c r="E70" i="24"/>
  <c r="D70" i="24"/>
  <c r="C70" i="24"/>
  <c r="B70" i="24"/>
  <c r="A70" i="24"/>
  <c r="G69" i="24"/>
  <c r="F69" i="24"/>
  <c r="E69" i="24"/>
  <c r="D69" i="24"/>
  <c r="C69" i="24"/>
  <c r="B69" i="24"/>
  <c r="A69" i="24"/>
  <c r="G68" i="24"/>
  <c r="F68" i="24"/>
  <c r="E68" i="24"/>
  <c r="D68" i="24"/>
  <c r="C68" i="24"/>
  <c r="B68" i="24"/>
  <c r="A68" i="24"/>
  <c r="G67" i="24"/>
  <c r="F67" i="24"/>
  <c r="E67" i="24"/>
  <c r="D67" i="24"/>
  <c r="C67" i="24"/>
  <c r="B67" i="24"/>
  <c r="A67" i="24"/>
  <c r="G66" i="24"/>
  <c r="F66" i="24"/>
  <c r="E66" i="24"/>
  <c r="D66" i="24"/>
  <c r="C66" i="24"/>
  <c r="B66" i="24"/>
  <c r="A66" i="24"/>
  <c r="G65" i="24"/>
  <c r="F65" i="24"/>
  <c r="E65" i="24"/>
  <c r="D65" i="24"/>
  <c r="C65" i="24"/>
  <c r="B65" i="24"/>
  <c r="A65" i="24"/>
  <c r="G64" i="24"/>
  <c r="F64" i="24"/>
  <c r="E64" i="24"/>
  <c r="D64" i="24"/>
  <c r="C64" i="24"/>
  <c r="B64" i="24"/>
  <c r="A64" i="24"/>
  <c r="G63" i="24"/>
  <c r="F63" i="24"/>
  <c r="E63" i="24"/>
  <c r="D63" i="24"/>
  <c r="C63" i="24"/>
  <c r="B63" i="24"/>
  <c r="A63" i="24"/>
  <c r="G62" i="24"/>
  <c r="F62" i="24"/>
  <c r="E62" i="24"/>
  <c r="D62" i="24"/>
  <c r="C62" i="24"/>
  <c r="B62" i="24"/>
  <c r="A62" i="24"/>
  <c r="G61" i="24"/>
  <c r="F61" i="24"/>
  <c r="E61" i="24"/>
  <c r="D61" i="24"/>
  <c r="C61" i="24"/>
  <c r="B61" i="24"/>
  <c r="A61" i="24"/>
  <c r="G60" i="24"/>
  <c r="F60" i="24"/>
  <c r="E60" i="24"/>
  <c r="D60" i="24"/>
  <c r="C60" i="24"/>
  <c r="B60" i="24"/>
  <c r="A60" i="24"/>
  <c r="G59" i="24"/>
  <c r="F59" i="24"/>
  <c r="E59" i="24"/>
  <c r="D59" i="24"/>
  <c r="C59" i="24"/>
  <c r="B59" i="24"/>
  <c r="A59" i="24"/>
  <c r="G58" i="24"/>
  <c r="F58" i="24"/>
  <c r="E58" i="24"/>
  <c r="D58" i="24"/>
  <c r="C58" i="24"/>
  <c r="B58" i="24"/>
  <c r="A58" i="24"/>
  <c r="G57" i="24"/>
  <c r="F57" i="24"/>
  <c r="E57" i="24"/>
  <c r="D57" i="24"/>
  <c r="C57" i="24"/>
  <c r="B57" i="24"/>
  <c r="A57" i="24"/>
  <c r="G56" i="24"/>
  <c r="F56" i="24"/>
  <c r="E56" i="24"/>
  <c r="D56" i="24"/>
  <c r="C56" i="24"/>
  <c r="B56" i="24"/>
  <c r="A56" i="24"/>
  <c r="G55" i="24"/>
  <c r="F55" i="24"/>
  <c r="E55" i="24"/>
  <c r="D55" i="24"/>
  <c r="C55" i="24"/>
  <c r="B55" i="24"/>
  <c r="A55" i="24"/>
  <c r="G54" i="24"/>
  <c r="F54" i="24"/>
  <c r="E54" i="24"/>
  <c r="D54" i="24"/>
  <c r="C54" i="24"/>
  <c r="B54" i="24"/>
  <c r="A54" i="24"/>
  <c r="G53" i="24"/>
  <c r="F53" i="24"/>
  <c r="E53" i="24"/>
  <c r="D53" i="24"/>
  <c r="C53" i="24"/>
  <c r="B53" i="24"/>
  <c r="A53" i="24"/>
  <c r="G52" i="24"/>
  <c r="F52" i="24"/>
  <c r="E52" i="24"/>
  <c r="D52" i="24"/>
  <c r="C52" i="24"/>
  <c r="B52" i="24"/>
  <c r="A52" i="24"/>
  <c r="G51" i="24"/>
  <c r="F51" i="24"/>
  <c r="E51" i="24"/>
  <c r="D51" i="24"/>
  <c r="C51" i="24"/>
  <c r="B51" i="24"/>
  <c r="A51" i="24"/>
  <c r="G50" i="24"/>
  <c r="F50" i="24"/>
  <c r="E50" i="24"/>
  <c r="D50" i="24"/>
  <c r="C50" i="24"/>
  <c r="B50" i="24"/>
  <c r="A50" i="24"/>
  <c r="G49" i="24"/>
  <c r="F49" i="24"/>
  <c r="E49" i="24"/>
  <c r="D49" i="24"/>
  <c r="C49" i="24"/>
  <c r="B49" i="24"/>
  <c r="A49" i="24"/>
  <c r="G48" i="24"/>
  <c r="F48" i="24"/>
  <c r="E48" i="24"/>
  <c r="D48" i="24"/>
  <c r="C48" i="24"/>
  <c r="B48" i="24"/>
  <c r="A48" i="24"/>
  <c r="G47" i="24"/>
  <c r="F47" i="24"/>
  <c r="E47" i="24"/>
  <c r="D47" i="24"/>
  <c r="C47" i="24"/>
  <c r="B47" i="24"/>
  <c r="A47" i="24"/>
  <c r="G46" i="24"/>
  <c r="F46" i="24"/>
  <c r="E46" i="24"/>
  <c r="D46" i="24"/>
  <c r="C46" i="24"/>
  <c r="B46" i="24"/>
  <c r="A46" i="24"/>
  <c r="G45" i="24"/>
  <c r="F45" i="24"/>
  <c r="E45" i="24"/>
  <c r="D45" i="24"/>
  <c r="C45" i="24"/>
  <c r="B45" i="24"/>
  <c r="A45" i="24"/>
  <c r="G44" i="24"/>
  <c r="F44" i="24"/>
  <c r="E44" i="24"/>
  <c r="D44" i="24"/>
  <c r="C44" i="24"/>
  <c r="B44" i="24"/>
  <c r="A44" i="24"/>
  <c r="G43" i="24"/>
  <c r="F43" i="24"/>
  <c r="E43" i="24"/>
  <c r="D43" i="24"/>
  <c r="C43" i="24"/>
  <c r="B43" i="24"/>
  <c r="A43" i="24"/>
  <c r="G42" i="24"/>
  <c r="F42" i="24"/>
  <c r="E42" i="24"/>
  <c r="D42" i="24"/>
  <c r="C42" i="24"/>
  <c r="B42" i="24"/>
  <c r="A42" i="24"/>
  <c r="G41" i="24"/>
  <c r="F41" i="24"/>
  <c r="E41" i="24"/>
  <c r="D41" i="24"/>
  <c r="C41" i="24"/>
  <c r="B41" i="24"/>
  <c r="A41" i="24"/>
  <c r="G40" i="24"/>
  <c r="F40" i="24"/>
  <c r="E40" i="24"/>
  <c r="D40" i="24"/>
  <c r="C40" i="24"/>
  <c r="B40" i="24"/>
  <c r="A40" i="24"/>
  <c r="G39" i="24"/>
  <c r="F39" i="24"/>
  <c r="E39" i="24"/>
  <c r="D39" i="24"/>
  <c r="C39" i="24"/>
  <c r="B39" i="24"/>
  <c r="A39" i="24"/>
  <c r="G38" i="24"/>
  <c r="F38" i="24"/>
  <c r="E38" i="24"/>
  <c r="D38" i="24"/>
  <c r="C38" i="24"/>
  <c r="B38" i="24"/>
  <c r="A38" i="24"/>
  <c r="G37" i="24"/>
  <c r="F37" i="24"/>
  <c r="E37" i="24"/>
  <c r="D37" i="24"/>
  <c r="C37" i="24"/>
  <c r="B37" i="24"/>
  <c r="A37" i="24"/>
  <c r="G36" i="24"/>
  <c r="F36" i="24"/>
  <c r="E36" i="24"/>
  <c r="D36" i="24"/>
  <c r="C36" i="24"/>
  <c r="B36" i="24"/>
  <c r="A36" i="24"/>
  <c r="G35" i="24"/>
  <c r="F35" i="24"/>
  <c r="E35" i="24"/>
  <c r="D35" i="24"/>
  <c r="C35" i="24"/>
  <c r="B35" i="24"/>
  <c r="A35" i="24"/>
  <c r="G34" i="24"/>
  <c r="F34" i="24"/>
  <c r="E34" i="24"/>
  <c r="D34" i="24"/>
  <c r="C34" i="24"/>
  <c r="B34" i="24"/>
  <c r="A34" i="24"/>
  <c r="G33" i="24"/>
  <c r="F33" i="24"/>
  <c r="E33" i="24"/>
  <c r="D33" i="24"/>
  <c r="C33" i="24"/>
  <c r="B33" i="24"/>
  <c r="A33" i="24"/>
  <c r="G32" i="24"/>
  <c r="F32" i="24"/>
  <c r="E32" i="24"/>
  <c r="D32" i="24"/>
  <c r="C32" i="24"/>
  <c r="B32" i="24"/>
  <c r="A32" i="24"/>
  <c r="G31" i="24"/>
  <c r="F31" i="24"/>
  <c r="E31" i="24"/>
  <c r="D31" i="24"/>
  <c r="C31" i="24"/>
  <c r="B31" i="24"/>
  <c r="A31" i="24"/>
  <c r="G30" i="24"/>
  <c r="F30" i="24"/>
  <c r="E30" i="24"/>
  <c r="D30" i="24"/>
  <c r="C30" i="24"/>
  <c r="B30" i="24"/>
  <c r="A30" i="24"/>
  <c r="G29" i="24"/>
  <c r="F29" i="24"/>
  <c r="E29" i="24"/>
  <c r="D29" i="24"/>
  <c r="C29" i="24"/>
  <c r="B29" i="24"/>
  <c r="A29" i="24"/>
  <c r="G28" i="24"/>
  <c r="F28" i="24"/>
  <c r="E28" i="24"/>
  <c r="D28" i="24"/>
  <c r="C28" i="24"/>
  <c r="B28" i="24"/>
  <c r="A28" i="24"/>
  <c r="G27" i="24"/>
  <c r="F27" i="24"/>
  <c r="E27" i="24"/>
  <c r="D27" i="24"/>
  <c r="C27" i="24"/>
  <c r="B27" i="24"/>
  <c r="A27" i="24"/>
  <c r="G26" i="24"/>
  <c r="F26" i="24"/>
  <c r="E26" i="24"/>
  <c r="D26" i="24"/>
  <c r="C26" i="24"/>
  <c r="B26" i="24"/>
  <c r="A26" i="24"/>
  <c r="G25" i="24"/>
  <c r="F25" i="24"/>
  <c r="E25" i="24"/>
  <c r="D25" i="24"/>
  <c r="C25" i="24"/>
  <c r="B25" i="24"/>
  <c r="A25" i="24"/>
  <c r="G24" i="24"/>
  <c r="F24" i="24"/>
  <c r="E24" i="24"/>
  <c r="D24" i="24"/>
  <c r="C24" i="24"/>
  <c r="B24" i="24"/>
  <c r="A24" i="24"/>
  <c r="G23" i="24"/>
  <c r="F23" i="24"/>
  <c r="E23" i="24"/>
  <c r="D23" i="24"/>
  <c r="C23" i="24"/>
  <c r="B23" i="24"/>
  <c r="A23" i="24"/>
  <c r="G22" i="24"/>
  <c r="F22" i="24"/>
  <c r="E22" i="24"/>
  <c r="D22" i="24"/>
  <c r="C22" i="24"/>
  <c r="B22" i="24"/>
  <c r="A22" i="24"/>
  <c r="G21" i="24"/>
  <c r="F21" i="24"/>
  <c r="E21" i="24"/>
  <c r="D21" i="24"/>
  <c r="C21" i="24"/>
  <c r="B21" i="24"/>
  <c r="A21" i="24"/>
  <c r="G20" i="24"/>
  <c r="F20" i="24"/>
  <c r="E20" i="24"/>
  <c r="D20" i="24"/>
  <c r="C20" i="24"/>
  <c r="B20" i="24"/>
  <c r="A20" i="24"/>
  <c r="G19" i="24"/>
  <c r="F19" i="24"/>
  <c r="E19" i="24"/>
  <c r="D19" i="24"/>
  <c r="C19" i="24"/>
  <c r="B19" i="24"/>
  <c r="A19" i="24"/>
  <c r="G18" i="24"/>
  <c r="F18" i="24"/>
  <c r="E18" i="24"/>
  <c r="D18" i="24"/>
  <c r="C18" i="24"/>
  <c r="B18" i="24"/>
  <c r="A18" i="24"/>
  <c r="G17" i="24"/>
  <c r="F17" i="24"/>
  <c r="E17" i="24"/>
  <c r="D17" i="24"/>
  <c r="C17" i="24"/>
  <c r="B17" i="24"/>
  <c r="A17" i="24"/>
  <c r="G16" i="24"/>
  <c r="F16" i="24"/>
  <c r="E16" i="24"/>
  <c r="D16" i="24"/>
  <c r="C16" i="24"/>
  <c r="B16" i="24"/>
  <c r="A16" i="24"/>
  <c r="G15" i="24"/>
  <c r="F15" i="24"/>
  <c r="E15" i="24"/>
  <c r="D15" i="24"/>
  <c r="C15" i="24"/>
  <c r="B15" i="24"/>
  <c r="A15" i="24"/>
  <c r="G14" i="24"/>
  <c r="F14" i="24"/>
  <c r="E14" i="24"/>
  <c r="D14" i="24"/>
  <c r="C14" i="24"/>
  <c r="B14" i="24"/>
  <c r="A14" i="24"/>
  <c r="G13" i="24"/>
  <c r="F13" i="24"/>
  <c r="E13" i="24"/>
  <c r="D13" i="24"/>
  <c r="C13" i="24"/>
  <c r="B13" i="24"/>
  <c r="A13" i="24"/>
  <c r="G12" i="24"/>
  <c r="F12" i="24"/>
  <c r="E12" i="24"/>
  <c r="D12" i="24"/>
  <c r="C12" i="24"/>
  <c r="B12" i="24"/>
  <c r="A12" i="24"/>
  <c r="G11" i="24"/>
  <c r="F11" i="24"/>
  <c r="E11" i="24"/>
  <c r="D11" i="24"/>
  <c r="C11" i="24"/>
  <c r="B11" i="24"/>
  <c r="A11" i="24"/>
  <c r="G10" i="24"/>
  <c r="F10" i="24"/>
  <c r="E10" i="24"/>
  <c r="D10" i="24"/>
  <c r="C10" i="24"/>
  <c r="B10" i="24"/>
  <c r="A10" i="24"/>
  <c r="G9" i="24"/>
  <c r="F9" i="24"/>
  <c r="E9" i="24"/>
  <c r="D9" i="24"/>
  <c r="C9" i="24"/>
  <c r="B9" i="24"/>
  <c r="A9" i="24"/>
  <c r="G8" i="24"/>
  <c r="F8" i="24"/>
  <c r="E8" i="24"/>
  <c r="D8" i="24"/>
  <c r="C8" i="24"/>
  <c r="B8" i="24"/>
  <c r="A8" i="24"/>
  <c r="G7" i="24"/>
  <c r="F7" i="24"/>
  <c r="E7" i="24"/>
  <c r="D7" i="24"/>
  <c r="C7" i="24"/>
  <c r="B7" i="24"/>
  <c r="A7" i="24"/>
  <c r="G6" i="24"/>
  <c r="F6" i="24"/>
  <c r="E6" i="24"/>
  <c r="D6" i="24"/>
  <c r="C6" i="24"/>
  <c r="B6" i="24"/>
  <c r="A6" i="24"/>
  <c r="G5" i="24"/>
  <c r="F5" i="24"/>
  <c r="E5" i="24"/>
  <c r="D5" i="24"/>
  <c r="C5" i="24"/>
  <c r="B5" i="24"/>
  <c r="A5" i="24"/>
  <c r="G4" i="24"/>
  <c r="F4" i="24"/>
  <c r="E4" i="24"/>
  <c r="D4" i="24"/>
  <c r="C4" i="24"/>
  <c r="B4" i="24"/>
  <c r="A4" i="24"/>
  <c r="G3" i="24"/>
  <c r="F3" i="24"/>
  <c r="E3" i="24"/>
  <c r="D3" i="24"/>
  <c r="C3" i="24"/>
  <c r="B3" i="24"/>
  <c r="A3" i="24"/>
  <c r="G2" i="24"/>
  <c r="F2" i="24"/>
  <c r="E2" i="24"/>
  <c r="D2" i="24"/>
  <c r="C2" i="24"/>
  <c r="B2" i="24"/>
  <c r="A2" i="24"/>
  <c r="G1" i="24"/>
  <c r="F1" i="24"/>
  <c r="E1" i="24"/>
  <c r="D1" i="24"/>
  <c r="C1" i="24"/>
  <c r="B1" i="24"/>
  <c r="A1" i="24"/>
  <c r="G276" i="23"/>
  <c r="F276" i="23"/>
  <c r="E276" i="23"/>
  <c r="D276" i="23"/>
  <c r="C276" i="23"/>
  <c r="B276" i="23"/>
  <c r="A276" i="23"/>
  <c r="G275" i="23"/>
  <c r="F275" i="23"/>
  <c r="E275" i="23"/>
  <c r="D275" i="23"/>
  <c r="C275" i="23"/>
  <c r="B275" i="23"/>
  <c r="A275" i="23"/>
  <c r="G274" i="23"/>
  <c r="F274" i="23"/>
  <c r="E274" i="23"/>
  <c r="D274" i="23"/>
  <c r="C274" i="23"/>
  <c r="B274" i="23"/>
  <c r="A274" i="23"/>
  <c r="G273" i="23"/>
  <c r="F273" i="23"/>
  <c r="E273" i="23"/>
  <c r="D273" i="23"/>
  <c r="C273" i="23"/>
  <c r="B273" i="23"/>
  <c r="A273" i="23"/>
  <c r="G272" i="23"/>
  <c r="F272" i="23"/>
  <c r="E272" i="23"/>
  <c r="D272" i="23"/>
  <c r="C272" i="23"/>
  <c r="B272" i="23"/>
  <c r="A272" i="23"/>
  <c r="G271" i="23"/>
  <c r="F271" i="23"/>
  <c r="E271" i="23"/>
  <c r="D271" i="23"/>
  <c r="C271" i="23"/>
  <c r="B271" i="23"/>
  <c r="A271" i="23"/>
  <c r="G270" i="23"/>
  <c r="F270" i="23"/>
  <c r="E270" i="23"/>
  <c r="D270" i="23"/>
  <c r="C270" i="23"/>
  <c r="B270" i="23"/>
  <c r="A270" i="23"/>
  <c r="G269" i="23"/>
  <c r="F269" i="23"/>
  <c r="E269" i="23"/>
  <c r="D269" i="23"/>
  <c r="C269" i="23"/>
  <c r="B269" i="23"/>
  <c r="A269" i="23"/>
  <c r="G268" i="23"/>
  <c r="F268" i="23"/>
  <c r="E268" i="23"/>
  <c r="D268" i="23"/>
  <c r="C268" i="23"/>
  <c r="B268" i="23"/>
  <c r="A268" i="23"/>
  <c r="G267" i="23"/>
  <c r="F267" i="23"/>
  <c r="E267" i="23"/>
  <c r="D267" i="23"/>
  <c r="C267" i="23"/>
  <c r="B267" i="23"/>
  <c r="A267" i="23"/>
  <c r="G266" i="23"/>
  <c r="F266" i="23"/>
  <c r="E266" i="23"/>
  <c r="D266" i="23"/>
  <c r="C266" i="23"/>
  <c r="B266" i="23"/>
  <c r="A266" i="23"/>
  <c r="G265" i="23"/>
  <c r="F265" i="23"/>
  <c r="E265" i="23"/>
  <c r="D265" i="23"/>
  <c r="C265" i="23"/>
  <c r="B265" i="23"/>
  <c r="A265" i="23"/>
  <c r="G264" i="23"/>
  <c r="F264" i="23"/>
  <c r="E264" i="23"/>
  <c r="D264" i="23"/>
  <c r="C264" i="23"/>
  <c r="B264" i="23"/>
  <c r="A264" i="23"/>
  <c r="G263" i="23"/>
  <c r="F263" i="23"/>
  <c r="E263" i="23"/>
  <c r="D263" i="23"/>
  <c r="C263" i="23"/>
  <c r="B263" i="23"/>
  <c r="A263" i="23"/>
  <c r="G262" i="23"/>
  <c r="F262" i="23"/>
  <c r="E262" i="23"/>
  <c r="D262" i="23"/>
  <c r="C262" i="23"/>
  <c r="B262" i="23"/>
  <c r="A262" i="23"/>
  <c r="G261" i="23"/>
  <c r="F261" i="23"/>
  <c r="E261" i="23"/>
  <c r="D261" i="23"/>
  <c r="C261" i="23"/>
  <c r="B261" i="23"/>
  <c r="A261" i="23"/>
  <c r="G260" i="23"/>
  <c r="F260" i="23"/>
  <c r="E260" i="23"/>
  <c r="D260" i="23"/>
  <c r="C260" i="23"/>
  <c r="B260" i="23"/>
  <c r="A260" i="23"/>
  <c r="G259" i="23"/>
  <c r="F259" i="23"/>
  <c r="E259" i="23"/>
  <c r="D259" i="23"/>
  <c r="C259" i="23"/>
  <c r="B259" i="23"/>
  <c r="A259" i="23"/>
  <c r="G258" i="23"/>
  <c r="F258" i="23"/>
  <c r="E258" i="23"/>
  <c r="D258" i="23"/>
  <c r="C258" i="23"/>
  <c r="B258" i="23"/>
  <c r="A258" i="23"/>
  <c r="G257" i="23"/>
  <c r="F257" i="23"/>
  <c r="E257" i="23"/>
  <c r="D257" i="23"/>
  <c r="C257" i="23"/>
  <c r="B257" i="23"/>
  <c r="A257" i="23"/>
  <c r="G256" i="23"/>
  <c r="F256" i="23"/>
  <c r="E256" i="23"/>
  <c r="D256" i="23"/>
  <c r="C256" i="23"/>
  <c r="B256" i="23"/>
  <c r="A256" i="23"/>
  <c r="G255" i="23"/>
  <c r="F255" i="23"/>
  <c r="E255" i="23"/>
  <c r="D255" i="23"/>
  <c r="C255" i="23"/>
  <c r="B255" i="23"/>
  <c r="A255" i="23"/>
  <c r="G254" i="23"/>
  <c r="F254" i="23"/>
  <c r="E254" i="23"/>
  <c r="D254" i="23"/>
  <c r="C254" i="23"/>
  <c r="B254" i="23"/>
  <c r="A254" i="23"/>
  <c r="G253" i="23"/>
  <c r="F253" i="23"/>
  <c r="E253" i="23"/>
  <c r="D253" i="23"/>
  <c r="C253" i="23"/>
  <c r="B253" i="23"/>
  <c r="A253" i="23"/>
  <c r="G252" i="23"/>
  <c r="F252" i="23"/>
  <c r="E252" i="23"/>
  <c r="D252" i="23"/>
  <c r="C252" i="23"/>
  <c r="B252" i="23"/>
  <c r="A252" i="23"/>
  <c r="G251" i="23"/>
  <c r="F251" i="23"/>
  <c r="E251" i="23"/>
  <c r="D251" i="23"/>
  <c r="C251" i="23"/>
  <c r="B251" i="23"/>
  <c r="A251" i="23"/>
  <c r="G250" i="23"/>
  <c r="F250" i="23"/>
  <c r="E250" i="23"/>
  <c r="D250" i="23"/>
  <c r="C250" i="23"/>
  <c r="B250" i="23"/>
  <c r="A250" i="23"/>
  <c r="G249" i="23"/>
  <c r="F249" i="23"/>
  <c r="E249" i="23"/>
  <c r="D249" i="23"/>
  <c r="C249" i="23"/>
  <c r="B249" i="23"/>
  <c r="A249" i="23"/>
  <c r="G248" i="23"/>
  <c r="F248" i="23"/>
  <c r="E248" i="23"/>
  <c r="D248" i="23"/>
  <c r="C248" i="23"/>
  <c r="B248" i="23"/>
  <c r="A248" i="23"/>
  <c r="G247" i="23"/>
  <c r="F247" i="23"/>
  <c r="E247" i="23"/>
  <c r="D247" i="23"/>
  <c r="C247" i="23"/>
  <c r="B247" i="23"/>
  <c r="A247" i="23"/>
  <c r="G246" i="23"/>
  <c r="F246" i="23"/>
  <c r="E246" i="23"/>
  <c r="D246" i="23"/>
  <c r="C246" i="23"/>
  <c r="B246" i="23"/>
  <c r="A246" i="23"/>
  <c r="G245" i="23"/>
  <c r="F245" i="23"/>
  <c r="E245" i="23"/>
  <c r="D245" i="23"/>
  <c r="C245" i="23"/>
  <c r="B245" i="23"/>
  <c r="A245" i="23"/>
  <c r="G244" i="23"/>
  <c r="F244" i="23"/>
  <c r="E244" i="23"/>
  <c r="D244" i="23"/>
  <c r="C244" i="23"/>
  <c r="B244" i="23"/>
  <c r="A244" i="23"/>
  <c r="G243" i="23"/>
  <c r="F243" i="23"/>
  <c r="E243" i="23"/>
  <c r="D243" i="23"/>
  <c r="C243" i="23"/>
  <c r="B243" i="23"/>
  <c r="A243" i="23"/>
  <c r="G242" i="23"/>
  <c r="F242" i="23"/>
  <c r="E242" i="23"/>
  <c r="D242" i="23"/>
  <c r="C242" i="23"/>
  <c r="B242" i="23"/>
  <c r="A242" i="23"/>
  <c r="G241" i="23"/>
  <c r="F241" i="23"/>
  <c r="E241" i="23"/>
  <c r="D241" i="23"/>
  <c r="C241" i="23"/>
  <c r="B241" i="23"/>
  <c r="A241" i="23"/>
  <c r="G240" i="23"/>
  <c r="F240" i="23"/>
  <c r="E240" i="23"/>
  <c r="D240" i="23"/>
  <c r="C240" i="23"/>
  <c r="B240" i="23"/>
  <c r="A240" i="23"/>
  <c r="G239" i="23"/>
  <c r="F239" i="23"/>
  <c r="E239" i="23"/>
  <c r="D239" i="23"/>
  <c r="C239" i="23"/>
  <c r="B239" i="23"/>
  <c r="A239" i="23"/>
  <c r="G238" i="23"/>
  <c r="F238" i="23"/>
  <c r="E238" i="23"/>
  <c r="D238" i="23"/>
  <c r="C238" i="23"/>
  <c r="B238" i="23"/>
  <c r="A238" i="23"/>
  <c r="G237" i="23"/>
  <c r="F237" i="23"/>
  <c r="E237" i="23"/>
  <c r="D237" i="23"/>
  <c r="C237" i="23"/>
  <c r="B237" i="23"/>
  <c r="A237" i="23"/>
  <c r="G236" i="23"/>
  <c r="F236" i="23"/>
  <c r="E236" i="23"/>
  <c r="D236" i="23"/>
  <c r="C236" i="23"/>
  <c r="B236" i="23"/>
  <c r="A236" i="23"/>
  <c r="G235" i="23"/>
  <c r="F235" i="23"/>
  <c r="E235" i="23"/>
  <c r="D235" i="23"/>
  <c r="C235" i="23"/>
  <c r="B235" i="23"/>
  <c r="A235" i="23"/>
  <c r="G234" i="23"/>
  <c r="F234" i="23"/>
  <c r="E234" i="23"/>
  <c r="D234" i="23"/>
  <c r="C234" i="23"/>
  <c r="B234" i="23"/>
  <c r="A234" i="23"/>
  <c r="G233" i="23"/>
  <c r="F233" i="23"/>
  <c r="E233" i="23"/>
  <c r="D233" i="23"/>
  <c r="C233" i="23"/>
  <c r="B233" i="23"/>
  <c r="A233" i="23"/>
  <c r="G232" i="23"/>
  <c r="F232" i="23"/>
  <c r="E232" i="23"/>
  <c r="D232" i="23"/>
  <c r="C232" i="23"/>
  <c r="B232" i="23"/>
  <c r="A232" i="23"/>
  <c r="G231" i="23"/>
  <c r="F231" i="23"/>
  <c r="E231" i="23"/>
  <c r="D231" i="23"/>
  <c r="C231" i="23"/>
  <c r="B231" i="23"/>
  <c r="A231" i="23"/>
  <c r="G230" i="23"/>
  <c r="F230" i="23"/>
  <c r="E230" i="23"/>
  <c r="D230" i="23"/>
  <c r="C230" i="23"/>
  <c r="B230" i="23"/>
  <c r="A230" i="23"/>
  <c r="G229" i="23"/>
  <c r="F229" i="23"/>
  <c r="E229" i="23"/>
  <c r="D229" i="23"/>
  <c r="C229" i="23"/>
  <c r="B229" i="23"/>
  <c r="A229" i="23"/>
  <c r="G228" i="23"/>
  <c r="F228" i="23"/>
  <c r="E228" i="23"/>
  <c r="D228" i="23"/>
  <c r="C228" i="23"/>
  <c r="B228" i="23"/>
  <c r="A228" i="23"/>
  <c r="G227" i="23"/>
  <c r="F227" i="23"/>
  <c r="E227" i="23"/>
  <c r="D227" i="23"/>
  <c r="C227" i="23"/>
  <c r="B227" i="23"/>
  <c r="A227" i="23"/>
  <c r="G226" i="23"/>
  <c r="F226" i="23"/>
  <c r="E226" i="23"/>
  <c r="D226" i="23"/>
  <c r="C226" i="23"/>
  <c r="B226" i="23"/>
  <c r="A226" i="23"/>
  <c r="G225" i="23"/>
  <c r="F225" i="23"/>
  <c r="E225" i="23"/>
  <c r="D225" i="23"/>
  <c r="C225" i="23"/>
  <c r="B225" i="23"/>
  <c r="A225" i="23"/>
  <c r="G224" i="23"/>
  <c r="F224" i="23"/>
  <c r="E224" i="23"/>
  <c r="D224" i="23"/>
  <c r="C224" i="23"/>
  <c r="B224" i="23"/>
  <c r="A224" i="23"/>
  <c r="G223" i="23"/>
  <c r="F223" i="23"/>
  <c r="E223" i="23"/>
  <c r="D223" i="23"/>
  <c r="C223" i="23"/>
  <c r="B223" i="23"/>
  <c r="A223" i="23"/>
  <c r="G222" i="23"/>
  <c r="F222" i="23"/>
  <c r="E222" i="23"/>
  <c r="D222" i="23"/>
  <c r="C222" i="23"/>
  <c r="B222" i="23"/>
  <c r="A222" i="23"/>
  <c r="G221" i="23"/>
  <c r="F221" i="23"/>
  <c r="E221" i="23"/>
  <c r="D221" i="23"/>
  <c r="C221" i="23"/>
  <c r="B221" i="23"/>
  <c r="A221" i="23"/>
  <c r="G220" i="23"/>
  <c r="F220" i="23"/>
  <c r="E220" i="23"/>
  <c r="D220" i="23"/>
  <c r="C220" i="23"/>
  <c r="B220" i="23"/>
  <c r="A220" i="23"/>
  <c r="G219" i="23"/>
  <c r="F219" i="23"/>
  <c r="E219" i="23"/>
  <c r="D219" i="23"/>
  <c r="C219" i="23"/>
  <c r="B219" i="23"/>
  <c r="A219" i="23"/>
  <c r="G218" i="23"/>
  <c r="F218" i="23"/>
  <c r="E218" i="23"/>
  <c r="D218" i="23"/>
  <c r="C218" i="23"/>
  <c r="B218" i="23"/>
  <c r="A218" i="23"/>
  <c r="G217" i="23"/>
  <c r="F217" i="23"/>
  <c r="E217" i="23"/>
  <c r="D217" i="23"/>
  <c r="C217" i="23"/>
  <c r="B217" i="23"/>
  <c r="A217" i="23"/>
  <c r="G216" i="23"/>
  <c r="F216" i="23"/>
  <c r="E216" i="23"/>
  <c r="D216" i="23"/>
  <c r="C216" i="23"/>
  <c r="B216" i="23"/>
  <c r="A216" i="23"/>
  <c r="G215" i="23"/>
  <c r="F215" i="23"/>
  <c r="E215" i="23"/>
  <c r="D215" i="23"/>
  <c r="C215" i="23"/>
  <c r="B215" i="23"/>
  <c r="A215" i="23"/>
  <c r="G214" i="23"/>
  <c r="F214" i="23"/>
  <c r="E214" i="23"/>
  <c r="D214" i="23"/>
  <c r="C214" i="23"/>
  <c r="B214" i="23"/>
  <c r="A214" i="23"/>
  <c r="G213" i="23"/>
  <c r="F213" i="23"/>
  <c r="E213" i="23"/>
  <c r="D213" i="23"/>
  <c r="C213" i="23"/>
  <c r="B213" i="23"/>
  <c r="A213" i="23"/>
  <c r="G212" i="23"/>
  <c r="F212" i="23"/>
  <c r="E212" i="23"/>
  <c r="D212" i="23"/>
  <c r="C212" i="23"/>
  <c r="B212" i="23"/>
  <c r="A212" i="23"/>
  <c r="G211" i="23"/>
  <c r="F211" i="23"/>
  <c r="E211" i="23"/>
  <c r="D211" i="23"/>
  <c r="C211" i="23"/>
  <c r="B211" i="23"/>
  <c r="A211" i="23"/>
  <c r="G210" i="23"/>
  <c r="F210" i="23"/>
  <c r="E210" i="23"/>
  <c r="D210" i="23"/>
  <c r="C210" i="23"/>
  <c r="B210" i="23"/>
  <c r="A210" i="23"/>
  <c r="G209" i="23"/>
  <c r="F209" i="23"/>
  <c r="E209" i="23"/>
  <c r="D209" i="23"/>
  <c r="C209" i="23"/>
  <c r="B209" i="23"/>
  <c r="A209" i="23"/>
  <c r="G208" i="23"/>
  <c r="F208" i="23"/>
  <c r="E208" i="23"/>
  <c r="D208" i="23"/>
  <c r="C208" i="23"/>
  <c r="B208" i="23"/>
  <c r="A208" i="23"/>
  <c r="G207" i="23"/>
  <c r="F207" i="23"/>
  <c r="E207" i="23"/>
  <c r="D207" i="23"/>
  <c r="C207" i="23"/>
  <c r="B207" i="23"/>
  <c r="A207" i="23"/>
  <c r="G206" i="23"/>
  <c r="F206" i="23"/>
  <c r="E206" i="23"/>
  <c r="D206" i="23"/>
  <c r="C206" i="23"/>
  <c r="B206" i="23"/>
  <c r="A206" i="23"/>
  <c r="G205" i="23"/>
  <c r="F205" i="23"/>
  <c r="E205" i="23"/>
  <c r="D205" i="23"/>
  <c r="C205" i="23"/>
  <c r="B205" i="23"/>
  <c r="A205" i="23"/>
  <c r="G204" i="23"/>
  <c r="F204" i="23"/>
  <c r="E204" i="23"/>
  <c r="D204" i="23"/>
  <c r="C204" i="23"/>
  <c r="B204" i="23"/>
  <c r="A204" i="23"/>
  <c r="G203" i="23"/>
  <c r="F203" i="23"/>
  <c r="E203" i="23"/>
  <c r="D203" i="23"/>
  <c r="C203" i="23"/>
  <c r="B203" i="23"/>
  <c r="A203" i="23"/>
  <c r="G202" i="23"/>
  <c r="F202" i="23"/>
  <c r="E202" i="23"/>
  <c r="D202" i="23"/>
  <c r="C202" i="23"/>
  <c r="B202" i="23"/>
  <c r="A202" i="23"/>
  <c r="G201" i="23"/>
  <c r="F201" i="23"/>
  <c r="E201" i="23"/>
  <c r="D201" i="23"/>
  <c r="C201" i="23"/>
  <c r="B201" i="23"/>
  <c r="A201" i="23"/>
  <c r="G200" i="23"/>
  <c r="F200" i="23"/>
  <c r="E200" i="23"/>
  <c r="D200" i="23"/>
  <c r="C200" i="23"/>
  <c r="B200" i="23"/>
  <c r="A200" i="23"/>
  <c r="G199" i="23"/>
  <c r="F199" i="23"/>
  <c r="E199" i="23"/>
  <c r="D199" i="23"/>
  <c r="C199" i="23"/>
  <c r="B199" i="23"/>
  <c r="A199" i="23"/>
  <c r="G198" i="23"/>
  <c r="F198" i="23"/>
  <c r="E198" i="23"/>
  <c r="D198" i="23"/>
  <c r="C198" i="23"/>
  <c r="B198" i="23"/>
  <c r="A198" i="23"/>
  <c r="G197" i="23"/>
  <c r="F197" i="23"/>
  <c r="E197" i="23"/>
  <c r="D197" i="23"/>
  <c r="C197" i="23"/>
  <c r="B197" i="23"/>
  <c r="A197" i="23"/>
  <c r="G196" i="23"/>
  <c r="F196" i="23"/>
  <c r="E196" i="23"/>
  <c r="D196" i="23"/>
  <c r="C196" i="23"/>
  <c r="B196" i="23"/>
  <c r="A196" i="23"/>
  <c r="G195" i="23"/>
  <c r="F195" i="23"/>
  <c r="E195" i="23"/>
  <c r="D195" i="23"/>
  <c r="C195" i="23"/>
  <c r="B195" i="23"/>
  <c r="A195" i="23"/>
  <c r="G194" i="23"/>
  <c r="F194" i="23"/>
  <c r="E194" i="23"/>
  <c r="D194" i="23"/>
  <c r="C194" i="23"/>
  <c r="B194" i="23"/>
  <c r="A194" i="23"/>
  <c r="G193" i="23"/>
  <c r="F193" i="23"/>
  <c r="E193" i="23"/>
  <c r="D193" i="23"/>
  <c r="C193" i="23"/>
  <c r="B193" i="23"/>
  <c r="A193" i="23"/>
  <c r="G192" i="23"/>
  <c r="F192" i="23"/>
  <c r="E192" i="23"/>
  <c r="D192" i="23"/>
  <c r="C192" i="23"/>
  <c r="B192" i="23"/>
  <c r="A192" i="23"/>
  <c r="G191" i="23"/>
  <c r="F191" i="23"/>
  <c r="E191" i="23"/>
  <c r="D191" i="23"/>
  <c r="C191" i="23"/>
  <c r="B191" i="23"/>
  <c r="A191" i="23"/>
  <c r="G190" i="23"/>
  <c r="F190" i="23"/>
  <c r="E190" i="23"/>
  <c r="D190" i="23"/>
  <c r="C190" i="23"/>
  <c r="B190" i="23"/>
  <c r="A190" i="23"/>
  <c r="G189" i="23"/>
  <c r="F189" i="23"/>
  <c r="E189" i="23"/>
  <c r="D189" i="23"/>
  <c r="C189" i="23"/>
  <c r="B189" i="23"/>
  <c r="A189" i="23"/>
  <c r="G188" i="23"/>
  <c r="F188" i="23"/>
  <c r="E188" i="23"/>
  <c r="D188" i="23"/>
  <c r="C188" i="23"/>
  <c r="B188" i="23"/>
  <c r="A188" i="23"/>
  <c r="G187" i="23"/>
  <c r="F187" i="23"/>
  <c r="E187" i="23"/>
  <c r="D187" i="23"/>
  <c r="C187" i="23"/>
  <c r="B187" i="23"/>
  <c r="A187" i="23"/>
  <c r="G186" i="23"/>
  <c r="F186" i="23"/>
  <c r="E186" i="23"/>
  <c r="D186" i="23"/>
  <c r="C186" i="23"/>
  <c r="B186" i="23"/>
  <c r="A186" i="23"/>
  <c r="G185" i="23"/>
  <c r="F185" i="23"/>
  <c r="E185" i="23"/>
  <c r="D185" i="23"/>
  <c r="C185" i="23"/>
  <c r="B185" i="23"/>
  <c r="A185" i="23"/>
  <c r="G184" i="23"/>
  <c r="F184" i="23"/>
  <c r="E184" i="23"/>
  <c r="D184" i="23"/>
  <c r="C184" i="23"/>
  <c r="B184" i="23"/>
  <c r="A184" i="23"/>
  <c r="G183" i="23"/>
  <c r="F183" i="23"/>
  <c r="E183" i="23"/>
  <c r="D183" i="23"/>
  <c r="C183" i="23"/>
  <c r="B183" i="23"/>
  <c r="A183" i="23"/>
  <c r="G182" i="23"/>
  <c r="F182" i="23"/>
  <c r="E182" i="23"/>
  <c r="D182" i="23"/>
  <c r="C182" i="23"/>
  <c r="B182" i="23"/>
  <c r="A182" i="23"/>
  <c r="G181" i="23"/>
  <c r="F181" i="23"/>
  <c r="E181" i="23"/>
  <c r="D181" i="23"/>
  <c r="C181" i="23"/>
  <c r="B181" i="23"/>
  <c r="A181" i="23"/>
  <c r="G180" i="23"/>
  <c r="F180" i="23"/>
  <c r="E180" i="23"/>
  <c r="D180" i="23"/>
  <c r="C180" i="23"/>
  <c r="B180" i="23"/>
  <c r="A180" i="23"/>
  <c r="G179" i="23"/>
  <c r="F179" i="23"/>
  <c r="E179" i="23"/>
  <c r="D179" i="23"/>
  <c r="C179" i="23"/>
  <c r="B179" i="23"/>
  <c r="A179" i="23"/>
  <c r="G178" i="23"/>
  <c r="F178" i="23"/>
  <c r="E178" i="23"/>
  <c r="D178" i="23"/>
  <c r="C178" i="23"/>
  <c r="B178" i="23"/>
  <c r="A178" i="23"/>
  <c r="G177" i="23"/>
  <c r="F177" i="23"/>
  <c r="E177" i="23"/>
  <c r="D177" i="23"/>
  <c r="C177" i="23"/>
  <c r="B177" i="23"/>
  <c r="A177" i="23"/>
  <c r="G176" i="23"/>
  <c r="F176" i="23"/>
  <c r="E176" i="23"/>
  <c r="D176" i="23"/>
  <c r="C176" i="23"/>
  <c r="B176" i="23"/>
  <c r="A176" i="23"/>
  <c r="G175" i="23"/>
  <c r="F175" i="23"/>
  <c r="E175" i="23"/>
  <c r="D175" i="23"/>
  <c r="C175" i="23"/>
  <c r="B175" i="23"/>
  <c r="A175" i="23"/>
  <c r="G174" i="23"/>
  <c r="F174" i="23"/>
  <c r="E174" i="23"/>
  <c r="D174" i="23"/>
  <c r="C174" i="23"/>
  <c r="B174" i="23"/>
  <c r="A174" i="23"/>
  <c r="G173" i="23"/>
  <c r="F173" i="23"/>
  <c r="E173" i="23"/>
  <c r="D173" i="23"/>
  <c r="C173" i="23"/>
  <c r="B173" i="23"/>
  <c r="A173" i="23"/>
  <c r="G172" i="23"/>
  <c r="F172" i="23"/>
  <c r="E172" i="23"/>
  <c r="D172" i="23"/>
  <c r="C172" i="23"/>
  <c r="B172" i="23"/>
  <c r="A172" i="23"/>
  <c r="G171" i="23"/>
  <c r="F171" i="23"/>
  <c r="E171" i="23"/>
  <c r="D171" i="23"/>
  <c r="C171" i="23"/>
  <c r="B171" i="23"/>
  <c r="A171" i="23"/>
  <c r="G170" i="23"/>
  <c r="F170" i="23"/>
  <c r="E170" i="23"/>
  <c r="D170" i="23"/>
  <c r="C170" i="23"/>
  <c r="B170" i="23"/>
  <c r="A170" i="23"/>
  <c r="G169" i="23"/>
  <c r="F169" i="23"/>
  <c r="E169" i="23"/>
  <c r="D169" i="23"/>
  <c r="C169" i="23"/>
  <c r="B169" i="23"/>
  <c r="A169" i="23"/>
  <c r="G168" i="23"/>
  <c r="F168" i="23"/>
  <c r="E168" i="23"/>
  <c r="D168" i="23"/>
  <c r="C168" i="23"/>
  <c r="B168" i="23"/>
  <c r="A168" i="23"/>
  <c r="G167" i="23"/>
  <c r="F167" i="23"/>
  <c r="E167" i="23"/>
  <c r="D167" i="23"/>
  <c r="C167" i="23"/>
  <c r="B167" i="23"/>
  <c r="A167" i="23"/>
  <c r="G166" i="23"/>
  <c r="F166" i="23"/>
  <c r="E166" i="23"/>
  <c r="D166" i="23"/>
  <c r="C166" i="23"/>
  <c r="B166" i="23"/>
  <c r="A166" i="23"/>
  <c r="G165" i="23"/>
  <c r="F165" i="23"/>
  <c r="E165" i="23"/>
  <c r="D165" i="23"/>
  <c r="C165" i="23"/>
  <c r="B165" i="23"/>
  <c r="A165" i="23"/>
  <c r="G164" i="23"/>
  <c r="F164" i="23"/>
  <c r="E164" i="23"/>
  <c r="D164" i="23"/>
  <c r="C164" i="23"/>
  <c r="B164" i="23"/>
  <c r="A164" i="23"/>
  <c r="G163" i="23"/>
  <c r="F163" i="23"/>
  <c r="E163" i="23"/>
  <c r="D163" i="23"/>
  <c r="C163" i="23"/>
  <c r="B163" i="23"/>
  <c r="A163" i="23"/>
  <c r="G162" i="23"/>
  <c r="F162" i="23"/>
  <c r="E162" i="23"/>
  <c r="D162" i="23"/>
  <c r="C162" i="23"/>
  <c r="B162" i="23"/>
  <c r="A162" i="23"/>
  <c r="G161" i="23"/>
  <c r="F161" i="23"/>
  <c r="E161" i="23"/>
  <c r="D161" i="23"/>
  <c r="C161" i="23"/>
  <c r="B161" i="23"/>
  <c r="A161" i="23"/>
  <c r="G160" i="23"/>
  <c r="F160" i="23"/>
  <c r="E160" i="23"/>
  <c r="D160" i="23"/>
  <c r="C160" i="23"/>
  <c r="B160" i="23"/>
  <c r="A160" i="23"/>
  <c r="G159" i="23"/>
  <c r="F159" i="23"/>
  <c r="E159" i="23"/>
  <c r="D159" i="23"/>
  <c r="C159" i="23"/>
  <c r="B159" i="23"/>
  <c r="A159" i="23"/>
  <c r="G158" i="23"/>
  <c r="F158" i="23"/>
  <c r="E158" i="23"/>
  <c r="D158" i="23"/>
  <c r="C158" i="23"/>
  <c r="B158" i="23"/>
  <c r="A158" i="23"/>
  <c r="G157" i="23"/>
  <c r="F157" i="23"/>
  <c r="E157" i="23"/>
  <c r="D157" i="23"/>
  <c r="C157" i="23"/>
  <c r="B157" i="23"/>
  <c r="A157" i="23"/>
  <c r="G156" i="23"/>
  <c r="F156" i="23"/>
  <c r="E156" i="23"/>
  <c r="D156" i="23"/>
  <c r="C156" i="23"/>
  <c r="B156" i="23"/>
  <c r="A156" i="23"/>
  <c r="G155" i="23"/>
  <c r="F155" i="23"/>
  <c r="E155" i="23"/>
  <c r="D155" i="23"/>
  <c r="C155" i="23"/>
  <c r="B155" i="23"/>
  <c r="A155" i="23"/>
  <c r="G154" i="23"/>
  <c r="F154" i="23"/>
  <c r="E154" i="23"/>
  <c r="D154" i="23"/>
  <c r="C154" i="23"/>
  <c r="B154" i="23"/>
  <c r="A154" i="23"/>
  <c r="G153" i="23"/>
  <c r="F153" i="23"/>
  <c r="E153" i="23"/>
  <c r="D153" i="23"/>
  <c r="C153" i="23"/>
  <c r="B153" i="23"/>
  <c r="A153" i="23"/>
  <c r="G152" i="23"/>
  <c r="F152" i="23"/>
  <c r="E152" i="23"/>
  <c r="D152" i="23"/>
  <c r="C152" i="23"/>
  <c r="B152" i="23"/>
  <c r="A152" i="23"/>
  <c r="G151" i="23"/>
  <c r="F151" i="23"/>
  <c r="E151" i="23"/>
  <c r="D151" i="23"/>
  <c r="C151" i="23"/>
  <c r="B151" i="23"/>
  <c r="A151" i="23"/>
  <c r="G150" i="23"/>
  <c r="F150" i="23"/>
  <c r="E150" i="23"/>
  <c r="D150" i="23"/>
  <c r="C150" i="23"/>
  <c r="B150" i="23"/>
  <c r="A150" i="23"/>
  <c r="G149" i="23"/>
  <c r="F149" i="23"/>
  <c r="E149" i="23"/>
  <c r="D149" i="23"/>
  <c r="C149" i="23"/>
  <c r="B149" i="23"/>
  <c r="A149" i="23"/>
  <c r="G148" i="23"/>
  <c r="F148" i="23"/>
  <c r="E148" i="23"/>
  <c r="D148" i="23"/>
  <c r="C148" i="23"/>
  <c r="B148" i="23"/>
  <c r="A148" i="23"/>
  <c r="G147" i="23"/>
  <c r="F147" i="23"/>
  <c r="E147" i="23"/>
  <c r="D147" i="23"/>
  <c r="C147" i="23"/>
  <c r="B147" i="23"/>
  <c r="A147" i="23"/>
  <c r="G146" i="23"/>
  <c r="F146" i="23"/>
  <c r="E146" i="23"/>
  <c r="D146" i="23"/>
  <c r="C146" i="23"/>
  <c r="B146" i="23"/>
  <c r="A146" i="23"/>
  <c r="G145" i="23"/>
  <c r="F145" i="23"/>
  <c r="E145" i="23"/>
  <c r="D145" i="23"/>
  <c r="C145" i="23"/>
  <c r="B145" i="23"/>
  <c r="A145" i="23"/>
  <c r="G144" i="23"/>
  <c r="F144" i="23"/>
  <c r="E144" i="23"/>
  <c r="D144" i="23"/>
  <c r="C144" i="23"/>
  <c r="B144" i="23"/>
  <c r="A144" i="23"/>
  <c r="G143" i="23"/>
  <c r="F143" i="23"/>
  <c r="E143" i="23"/>
  <c r="D143" i="23"/>
  <c r="C143" i="23"/>
  <c r="B143" i="23"/>
  <c r="A143" i="23"/>
  <c r="G142" i="23"/>
  <c r="F142" i="23"/>
  <c r="E142" i="23"/>
  <c r="D142" i="23"/>
  <c r="C142" i="23"/>
  <c r="B142" i="23"/>
  <c r="A142" i="23"/>
  <c r="G141" i="23"/>
  <c r="F141" i="23"/>
  <c r="E141" i="23"/>
  <c r="D141" i="23"/>
  <c r="C141" i="23"/>
  <c r="B141" i="23"/>
  <c r="A141" i="23"/>
  <c r="G140" i="23"/>
  <c r="F140" i="23"/>
  <c r="E140" i="23"/>
  <c r="D140" i="23"/>
  <c r="C140" i="23"/>
  <c r="B140" i="23"/>
  <c r="A140" i="23"/>
  <c r="G139" i="23"/>
  <c r="F139" i="23"/>
  <c r="E139" i="23"/>
  <c r="D139" i="23"/>
  <c r="C139" i="23"/>
  <c r="B139" i="23"/>
  <c r="A139" i="23"/>
  <c r="G138" i="23"/>
  <c r="F138" i="23"/>
  <c r="E138" i="23"/>
  <c r="D138" i="23"/>
  <c r="C138" i="23"/>
  <c r="B138" i="23"/>
  <c r="A138" i="23"/>
  <c r="G137" i="23"/>
  <c r="F137" i="23"/>
  <c r="E137" i="23"/>
  <c r="D137" i="23"/>
  <c r="C137" i="23"/>
  <c r="B137" i="23"/>
  <c r="A137" i="23"/>
  <c r="G136" i="23"/>
  <c r="F136" i="23"/>
  <c r="E136" i="23"/>
  <c r="D136" i="23"/>
  <c r="C136" i="23"/>
  <c r="B136" i="23"/>
  <c r="A136" i="23"/>
  <c r="G135" i="23"/>
  <c r="F135" i="23"/>
  <c r="E135" i="23"/>
  <c r="D135" i="23"/>
  <c r="C135" i="23"/>
  <c r="B135" i="23"/>
  <c r="A135" i="23"/>
  <c r="G134" i="23"/>
  <c r="F134" i="23"/>
  <c r="E134" i="23"/>
  <c r="D134" i="23"/>
  <c r="C134" i="23"/>
  <c r="B134" i="23"/>
  <c r="A134" i="23"/>
  <c r="G133" i="23"/>
  <c r="F133" i="23"/>
  <c r="E133" i="23"/>
  <c r="D133" i="23"/>
  <c r="C133" i="23"/>
  <c r="B133" i="23"/>
  <c r="A133" i="23"/>
  <c r="G132" i="23"/>
  <c r="F132" i="23"/>
  <c r="E132" i="23"/>
  <c r="D132" i="23"/>
  <c r="C132" i="23"/>
  <c r="B132" i="23"/>
  <c r="A132" i="23"/>
  <c r="G131" i="23"/>
  <c r="F131" i="23"/>
  <c r="E131" i="23"/>
  <c r="D131" i="23"/>
  <c r="C131" i="23"/>
  <c r="B131" i="23"/>
  <c r="A131" i="23"/>
  <c r="G130" i="23"/>
  <c r="F130" i="23"/>
  <c r="E130" i="23"/>
  <c r="D130" i="23"/>
  <c r="C130" i="23"/>
  <c r="B130" i="23"/>
  <c r="A130" i="23"/>
  <c r="G129" i="23"/>
  <c r="F129" i="23"/>
  <c r="E129" i="23"/>
  <c r="D129" i="23"/>
  <c r="C129" i="23"/>
  <c r="B129" i="23"/>
  <c r="A129" i="23"/>
  <c r="G128" i="23"/>
  <c r="F128" i="23"/>
  <c r="E128" i="23"/>
  <c r="D128" i="23"/>
  <c r="C128" i="23"/>
  <c r="B128" i="23"/>
  <c r="A128" i="23"/>
  <c r="G127" i="23"/>
  <c r="F127" i="23"/>
  <c r="E127" i="23"/>
  <c r="D127" i="23"/>
  <c r="C127" i="23"/>
  <c r="B127" i="23"/>
  <c r="A127" i="23"/>
  <c r="G126" i="23"/>
  <c r="F126" i="23"/>
  <c r="E126" i="23"/>
  <c r="D126" i="23"/>
  <c r="C126" i="23"/>
  <c r="B126" i="23"/>
  <c r="A126" i="23"/>
  <c r="G125" i="23"/>
  <c r="F125" i="23"/>
  <c r="E125" i="23"/>
  <c r="D125" i="23"/>
  <c r="C125" i="23"/>
  <c r="B125" i="23"/>
  <c r="A125" i="23"/>
  <c r="G124" i="23"/>
  <c r="F124" i="23"/>
  <c r="E124" i="23"/>
  <c r="D124" i="23"/>
  <c r="C124" i="23"/>
  <c r="B124" i="23"/>
  <c r="A124" i="23"/>
  <c r="G123" i="23"/>
  <c r="F123" i="23"/>
  <c r="E123" i="23"/>
  <c r="D123" i="23"/>
  <c r="C123" i="23"/>
  <c r="B123" i="23"/>
  <c r="A123" i="23"/>
  <c r="G122" i="23"/>
  <c r="F122" i="23"/>
  <c r="E122" i="23"/>
  <c r="D122" i="23"/>
  <c r="C122" i="23"/>
  <c r="B122" i="23"/>
  <c r="A122" i="23"/>
  <c r="G121" i="23"/>
  <c r="F121" i="23"/>
  <c r="E121" i="23"/>
  <c r="D121" i="23"/>
  <c r="C121" i="23"/>
  <c r="B121" i="23"/>
  <c r="A121" i="23"/>
  <c r="G120" i="23"/>
  <c r="F120" i="23"/>
  <c r="E120" i="23"/>
  <c r="D120" i="23"/>
  <c r="C120" i="23"/>
  <c r="B120" i="23"/>
  <c r="A120" i="23"/>
  <c r="G119" i="23"/>
  <c r="F119" i="23"/>
  <c r="E119" i="23"/>
  <c r="D119" i="23"/>
  <c r="C119" i="23"/>
  <c r="B119" i="23"/>
  <c r="A119" i="23"/>
  <c r="G118" i="23"/>
  <c r="F118" i="23"/>
  <c r="E118" i="23"/>
  <c r="D118" i="23"/>
  <c r="C118" i="23"/>
  <c r="B118" i="23"/>
  <c r="A118" i="23"/>
  <c r="G117" i="23"/>
  <c r="F117" i="23"/>
  <c r="E117" i="23"/>
  <c r="D117" i="23"/>
  <c r="C117" i="23"/>
  <c r="B117" i="23"/>
  <c r="A117" i="23"/>
  <c r="G116" i="23"/>
  <c r="F116" i="23"/>
  <c r="E116" i="23"/>
  <c r="D116" i="23"/>
  <c r="C116" i="23"/>
  <c r="B116" i="23"/>
  <c r="A116" i="23"/>
  <c r="G115" i="23"/>
  <c r="F115" i="23"/>
  <c r="E115" i="23"/>
  <c r="D115" i="23"/>
  <c r="C115" i="23"/>
  <c r="B115" i="23"/>
  <c r="A115" i="23"/>
  <c r="G114" i="23"/>
  <c r="F114" i="23"/>
  <c r="E114" i="23"/>
  <c r="D114" i="23"/>
  <c r="C114" i="23"/>
  <c r="B114" i="23"/>
  <c r="A114" i="23"/>
  <c r="G113" i="23"/>
  <c r="F113" i="23"/>
  <c r="E113" i="23"/>
  <c r="D113" i="23"/>
  <c r="C113" i="23"/>
  <c r="B113" i="23"/>
  <c r="A113" i="23"/>
  <c r="G112" i="23"/>
  <c r="F112" i="23"/>
  <c r="E112" i="23"/>
  <c r="D112" i="23"/>
  <c r="C112" i="23"/>
  <c r="B112" i="23"/>
  <c r="A112" i="23"/>
  <c r="G111" i="23"/>
  <c r="F111" i="23"/>
  <c r="E111" i="23"/>
  <c r="D111" i="23"/>
  <c r="C111" i="23"/>
  <c r="B111" i="23"/>
  <c r="A111" i="23"/>
  <c r="G110" i="23"/>
  <c r="F110" i="23"/>
  <c r="E110" i="23"/>
  <c r="D110" i="23"/>
  <c r="C110" i="23"/>
  <c r="B110" i="23"/>
  <c r="A110" i="23"/>
  <c r="G109" i="23"/>
  <c r="F109" i="23"/>
  <c r="E109" i="23"/>
  <c r="D109" i="23"/>
  <c r="C109" i="23"/>
  <c r="B109" i="23"/>
  <c r="A109" i="23"/>
  <c r="G108" i="23"/>
  <c r="F108" i="23"/>
  <c r="E108" i="23"/>
  <c r="D108" i="23"/>
  <c r="C108" i="23"/>
  <c r="B108" i="23"/>
  <c r="A108" i="23"/>
  <c r="G107" i="23"/>
  <c r="F107" i="23"/>
  <c r="E107" i="23"/>
  <c r="D107" i="23"/>
  <c r="C107" i="23"/>
  <c r="B107" i="23"/>
  <c r="A107" i="23"/>
  <c r="G106" i="23"/>
  <c r="F106" i="23"/>
  <c r="E106" i="23"/>
  <c r="D106" i="23"/>
  <c r="C106" i="23"/>
  <c r="B106" i="23"/>
  <c r="A106" i="23"/>
  <c r="G105" i="23"/>
  <c r="F105" i="23"/>
  <c r="E105" i="23"/>
  <c r="D105" i="23"/>
  <c r="C105" i="23"/>
  <c r="B105" i="23"/>
  <c r="A105" i="23"/>
  <c r="G104" i="23"/>
  <c r="F104" i="23"/>
  <c r="E104" i="23"/>
  <c r="D104" i="23"/>
  <c r="C104" i="23"/>
  <c r="B104" i="23"/>
  <c r="A104" i="23"/>
  <c r="G103" i="23"/>
  <c r="F103" i="23"/>
  <c r="E103" i="23"/>
  <c r="D103" i="23"/>
  <c r="C103" i="23"/>
  <c r="B103" i="23"/>
  <c r="A103" i="23"/>
  <c r="G102" i="23"/>
  <c r="F102" i="23"/>
  <c r="E102" i="23"/>
  <c r="D102" i="23"/>
  <c r="C102" i="23"/>
  <c r="B102" i="23"/>
  <c r="A102" i="23"/>
  <c r="G101" i="23"/>
  <c r="F101" i="23"/>
  <c r="E101" i="23"/>
  <c r="D101" i="23"/>
  <c r="C101" i="23"/>
  <c r="B101" i="23"/>
  <c r="A101" i="23"/>
  <c r="G100" i="23"/>
  <c r="F100" i="23"/>
  <c r="E100" i="23"/>
  <c r="D100" i="23"/>
  <c r="C100" i="23"/>
  <c r="B100" i="23"/>
  <c r="A100" i="23"/>
  <c r="G99" i="23"/>
  <c r="F99" i="23"/>
  <c r="E99" i="23"/>
  <c r="D99" i="23"/>
  <c r="C99" i="23"/>
  <c r="B99" i="23"/>
  <c r="A99" i="23"/>
  <c r="G98" i="23"/>
  <c r="F98" i="23"/>
  <c r="E98" i="23"/>
  <c r="D98" i="23"/>
  <c r="C98" i="23"/>
  <c r="B98" i="23"/>
  <c r="A98" i="23"/>
  <c r="G97" i="23"/>
  <c r="F97" i="23"/>
  <c r="E97" i="23"/>
  <c r="D97" i="23"/>
  <c r="C97" i="23"/>
  <c r="B97" i="23"/>
  <c r="A97" i="23"/>
  <c r="G96" i="23"/>
  <c r="F96" i="23"/>
  <c r="E96" i="23"/>
  <c r="D96" i="23"/>
  <c r="C96" i="23"/>
  <c r="B96" i="23"/>
  <c r="A96" i="23"/>
  <c r="G95" i="23"/>
  <c r="F95" i="23"/>
  <c r="E95" i="23"/>
  <c r="D95" i="23"/>
  <c r="C95" i="23"/>
  <c r="B95" i="23"/>
  <c r="A95" i="23"/>
  <c r="G94" i="23"/>
  <c r="F94" i="23"/>
  <c r="E94" i="23"/>
  <c r="D94" i="23"/>
  <c r="C94" i="23"/>
  <c r="B94" i="23"/>
  <c r="A94" i="23"/>
  <c r="G93" i="23"/>
  <c r="F93" i="23"/>
  <c r="E93" i="23"/>
  <c r="D93" i="23"/>
  <c r="C93" i="23"/>
  <c r="B93" i="23"/>
  <c r="A93" i="23"/>
  <c r="G92" i="23"/>
  <c r="F92" i="23"/>
  <c r="E92" i="23"/>
  <c r="D92" i="23"/>
  <c r="C92" i="23"/>
  <c r="B92" i="23"/>
  <c r="A92" i="23"/>
  <c r="G91" i="23"/>
  <c r="F91" i="23"/>
  <c r="E91" i="23"/>
  <c r="D91" i="23"/>
  <c r="C91" i="23"/>
  <c r="B91" i="23"/>
  <c r="A91" i="23"/>
  <c r="G90" i="23"/>
  <c r="F90" i="23"/>
  <c r="E90" i="23"/>
  <c r="D90" i="23"/>
  <c r="C90" i="23"/>
  <c r="B90" i="23"/>
  <c r="A90" i="23"/>
  <c r="G89" i="23"/>
  <c r="F89" i="23"/>
  <c r="E89" i="23"/>
  <c r="D89" i="23"/>
  <c r="C89" i="23"/>
  <c r="B89" i="23"/>
  <c r="A89" i="23"/>
  <c r="G88" i="23"/>
  <c r="F88" i="23"/>
  <c r="E88" i="23"/>
  <c r="D88" i="23"/>
  <c r="C88" i="23"/>
  <c r="B88" i="23"/>
  <c r="A88" i="23"/>
  <c r="G87" i="23"/>
  <c r="F87" i="23"/>
  <c r="E87" i="23"/>
  <c r="D87" i="23"/>
  <c r="C87" i="23"/>
  <c r="B87" i="23"/>
  <c r="A87" i="23"/>
  <c r="G86" i="23"/>
  <c r="F86" i="23"/>
  <c r="E86" i="23"/>
  <c r="D86" i="23"/>
  <c r="C86" i="23"/>
  <c r="B86" i="23"/>
  <c r="A86" i="23"/>
  <c r="G85" i="23"/>
  <c r="F85" i="23"/>
  <c r="E85" i="23"/>
  <c r="D85" i="23"/>
  <c r="C85" i="23"/>
  <c r="B85" i="23"/>
  <c r="A85" i="23"/>
  <c r="G84" i="23"/>
  <c r="F84" i="23"/>
  <c r="E84" i="23"/>
  <c r="D84" i="23"/>
  <c r="C84" i="23"/>
  <c r="B84" i="23"/>
  <c r="A84" i="23"/>
  <c r="G83" i="23"/>
  <c r="F83" i="23"/>
  <c r="E83" i="23"/>
  <c r="D83" i="23"/>
  <c r="C83" i="23"/>
  <c r="B83" i="23"/>
  <c r="A83" i="23"/>
  <c r="G82" i="23"/>
  <c r="F82" i="23"/>
  <c r="E82" i="23"/>
  <c r="D82" i="23"/>
  <c r="C82" i="23"/>
  <c r="B82" i="23"/>
  <c r="A82" i="23"/>
  <c r="G81" i="23"/>
  <c r="F81" i="23"/>
  <c r="E81" i="23"/>
  <c r="D81" i="23"/>
  <c r="C81" i="23"/>
  <c r="B81" i="23"/>
  <c r="A81" i="23"/>
  <c r="G80" i="23"/>
  <c r="F80" i="23"/>
  <c r="E80" i="23"/>
  <c r="D80" i="23"/>
  <c r="C80" i="23"/>
  <c r="B80" i="23"/>
  <c r="A80" i="23"/>
  <c r="G79" i="23"/>
  <c r="F79" i="23"/>
  <c r="E79" i="23"/>
  <c r="D79" i="23"/>
  <c r="C79" i="23"/>
  <c r="B79" i="23"/>
  <c r="A79" i="23"/>
  <c r="G78" i="23"/>
  <c r="F78" i="23"/>
  <c r="E78" i="23"/>
  <c r="D78" i="23"/>
  <c r="C78" i="23"/>
  <c r="B78" i="23"/>
  <c r="A78" i="23"/>
  <c r="G77" i="23"/>
  <c r="F77" i="23"/>
  <c r="E77" i="23"/>
  <c r="D77" i="23"/>
  <c r="C77" i="23"/>
  <c r="B77" i="23"/>
  <c r="A77" i="23"/>
  <c r="G76" i="23"/>
  <c r="F76" i="23"/>
  <c r="E76" i="23"/>
  <c r="D76" i="23"/>
  <c r="C76" i="23"/>
  <c r="B76" i="23"/>
  <c r="A76" i="23"/>
  <c r="G75" i="23"/>
  <c r="F75" i="23"/>
  <c r="E75" i="23"/>
  <c r="D75" i="23"/>
  <c r="C75" i="23"/>
  <c r="B75" i="23"/>
  <c r="A75" i="23"/>
  <c r="G74" i="23"/>
  <c r="F74" i="23"/>
  <c r="E74" i="23"/>
  <c r="D74" i="23"/>
  <c r="C74" i="23"/>
  <c r="B74" i="23"/>
  <c r="A74" i="23"/>
  <c r="G73" i="23"/>
  <c r="F73" i="23"/>
  <c r="E73" i="23"/>
  <c r="D73" i="23"/>
  <c r="C73" i="23"/>
  <c r="B73" i="23"/>
  <c r="A73" i="23"/>
  <c r="G72" i="23"/>
  <c r="F72" i="23"/>
  <c r="E72" i="23"/>
  <c r="D72" i="23"/>
  <c r="C72" i="23"/>
  <c r="B72" i="23"/>
  <c r="A72" i="23"/>
  <c r="G71" i="23"/>
  <c r="F71" i="23"/>
  <c r="E71" i="23"/>
  <c r="D71" i="23"/>
  <c r="C71" i="23"/>
  <c r="B71" i="23"/>
  <c r="A71" i="23"/>
  <c r="G70" i="23"/>
  <c r="F70" i="23"/>
  <c r="E70" i="23"/>
  <c r="D70" i="23"/>
  <c r="C70" i="23"/>
  <c r="B70" i="23"/>
  <c r="A70" i="23"/>
  <c r="G69" i="23"/>
  <c r="F69" i="23"/>
  <c r="E69" i="23"/>
  <c r="D69" i="23"/>
  <c r="C69" i="23"/>
  <c r="B69" i="23"/>
  <c r="A69" i="23"/>
  <c r="G68" i="23"/>
  <c r="F68" i="23"/>
  <c r="E68" i="23"/>
  <c r="D68" i="23"/>
  <c r="C68" i="23"/>
  <c r="B68" i="23"/>
  <c r="A68" i="23"/>
  <c r="G67" i="23"/>
  <c r="F67" i="23"/>
  <c r="E67" i="23"/>
  <c r="D67" i="23"/>
  <c r="C67" i="23"/>
  <c r="B67" i="23"/>
  <c r="A67" i="23"/>
  <c r="G66" i="23"/>
  <c r="F66" i="23"/>
  <c r="E66" i="23"/>
  <c r="D66" i="23"/>
  <c r="C66" i="23"/>
  <c r="B66" i="23"/>
  <c r="A66" i="23"/>
  <c r="G65" i="23"/>
  <c r="F65" i="23"/>
  <c r="E65" i="23"/>
  <c r="D65" i="23"/>
  <c r="C65" i="23"/>
  <c r="B65" i="23"/>
  <c r="A65" i="23"/>
  <c r="G64" i="23"/>
  <c r="F64" i="23"/>
  <c r="E64" i="23"/>
  <c r="D64" i="23"/>
  <c r="C64" i="23"/>
  <c r="B64" i="23"/>
  <c r="A64" i="23"/>
  <c r="G63" i="23"/>
  <c r="F63" i="23"/>
  <c r="E63" i="23"/>
  <c r="D63" i="23"/>
  <c r="C63" i="23"/>
  <c r="B63" i="23"/>
  <c r="A63" i="23"/>
  <c r="G62" i="23"/>
  <c r="F62" i="23"/>
  <c r="E62" i="23"/>
  <c r="D62" i="23"/>
  <c r="C62" i="23"/>
  <c r="B62" i="23"/>
  <c r="A62" i="23"/>
  <c r="G61" i="23"/>
  <c r="F61" i="23"/>
  <c r="E61" i="23"/>
  <c r="D61" i="23"/>
  <c r="C61" i="23"/>
  <c r="B61" i="23"/>
  <c r="A61" i="23"/>
  <c r="G60" i="23"/>
  <c r="F60" i="23"/>
  <c r="E60" i="23"/>
  <c r="D60" i="23"/>
  <c r="C60" i="23"/>
  <c r="B60" i="23"/>
  <c r="A60" i="23"/>
  <c r="G59" i="23"/>
  <c r="F59" i="23"/>
  <c r="E59" i="23"/>
  <c r="D59" i="23"/>
  <c r="C59" i="23"/>
  <c r="B59" i="23"/>
  <c r="A59" i="23"/>
  <c r="G58" i="23"/>
  <c r="F58" i="23"/>
  <c r="E58" i="23"/>
  <c r="D58" i="23"/>
  <c r="C58" i="23"/>
  <c r="B58" i="23"/>
  <c r="A58" i="23"/>
  <c r="G57" i="23"/>
  <c r="F57" i="23"/>
  <c r="E57" i="23"/>
  <c r="D57" i="23"/>
  <c r="C57" i="23"/>
  <c r="B57" i="23"/>
  <c r="A57" i="23"/>
  <c r="G56" i="23"/>
  <c r="F56" i="23"/>
  <c r="E56" i="23"/>
  <c r="D56" i="23"/>
  <c r="C56" i="23"/>
  <c r="B56" i="23"/>
  <c r="A56" i="23"/>
  <c r="G55" i="23"/>
  <c r="F55" i="23"/>
  <c r="E55" i="23"/>
  <c r="D55" i="23"/>
  <c r="C55" i="23"/>
  <c r="B55" i="23"/>
  <c r="A55" i="23"/>
  <c r="G54" i="23"/>
  <c r="F54" i="23"/>
  <c r="E54" i="23"/>
  <c r="D54" i="23"/>
  <c r="C54" i="23"/>
  <c r="B54" i="23"/>
  <c r="A54" i="23"/>
  <c r="G53" i="23"/>
  <c r="F53" i="23"/>
  <c r="E53" i="23"/>
  <c r="D53" i="23"/>
  <c r="C53" i="23"/>
  <c r="B53" i="23"/>
  <c r="A53" i="23"/>
  <c r="G52" i="23"/>
  <c r="F52" i="23"/>
  <c r="E52" i="23"/>
  <c r="D52" i="23"/>
  <c r="C52" i="23"/>
  <c r="B52" i="23"/>
  <c r="A52" i="23"/>
  <c r="G51" i="23"/>
  <c r="F51" i="23"/>
  <c r="E51" i="23"/>
  <c r="D51" i="23"/>
  <c r="C51" i="23"/>
  <c r="B51" i="23"/>
  <c r="A51" i="23"/>
  <c r="G50" i="23"/>
  <c r="F50" i="23"/>
  <c r="E50" i="23"/>
  <c r="D50" i="23"/>
  <c r="C50" i="23"/>
  <c r="B50" i="23"/>
  <c r="A50" i="23"/>
  <c r="G49" i="23"/>
  <c r="F49" i="23"/>
  <c r="E49" i="23"/>
  <c r="D49" i="23"/>
  <c r="C49" i="23"/>
  <c r="B49" i="23"/>
  <c r="A49" i="23"/>
  <c r="G48" i="23"/>
  <c r="F48" i="23"/>
  <c r="E48" i="23"/>
  <c r="D48" i="23"/>
  <c r="C48" i="23"/>
  <c r="B48" i="23"/>
  <c r="A48" i="23"/>
  <c r="G47" i="23"/>
  <c r="F47" i="23"/>
  <c r="E47" i="23"/>
  <c r="D47" i="23"/>
  <c r="C47" i="23"/>
  <c r="B47" i="23"/>
  <c r="A47" i="23"/>
  <c r="G46" i="23"/>
  <c r="F46" i="23"/>
  <c r="E46" i="23"/>
  <c r="D46" i="23"/>
  <c r="C46" i="23"/>
  <c r="B46" i="23"/>
  <c r="A46" i="23"/>
  <c r="G45" i="23"/>
  <c r="F45" i="23"/>
  <c r="E45" i="23"/>
  <c r="D45" i="23"/>
  <c r="C45" i="23"/>
  <c r="B45" i="23"/>
  <c r="A45" i="23"/>
  <c r="G44" i="23"/>
  <c r="F44" i="23"/>
  <c r="E44" i="23"/>
  <c r="D44" i="23"/>
  <c r="C44" i="23"/>
  <c r="B44" i="23"/>
  <c r="A44" i="23"/>
  <c r="G43" i="23"/>
  <c r="F43" i="23"/>
  <c r="E43" i="23"/>
  <c r="D43" i="23"/>
  <c r="C43" i="23"/>
  <c r="B43" i="23"/>
  <c r="A43" i="23"/>
  <c r="G42" i="23"/>
  <c r="F42" i="23"/>
  <c r="E42" i="23"/>
  <c r="D42" i="23"/>
  <c r="C42" i="23"/>
  <c r="B42" i="23"/>
  <c r="A42" i="23"/>
  <c r="G41" i="23"/>
  <c r="F41" i="23"/>
  <c r="E41" i="23"/>
  <c r="D41" i="23"/>
  <c r="C41" i="23"/>
  <c r="B41" i="23"/>
  <c r="A41" i="23"/>
  <c r="G40" i="23"/>
  <c r="F40" i="23"/>
  <c r="E40" i="23"/>
  <c r="D40" i="23"/>
  <c r="C40" i="23"/>
  <c r="B40" i="23"/>
  <c r="A40" i="23"/>
  <c r="G39" i="23"/>
  <c r="F39" i="23"/>
  <c r="E39" i="23"/>
  <c r="D39" i="23"/>
  <c r="C39" i="23"/>
  <c r="B39" i="23"/>
  <c r="A39" i="23"/>
  <c r="G38" i="23"/>
  <c r="F38" i="23"/>
  <c r="E38" i="23"/>
  <c r="D38" i="23"/>
  <c r="C38" i="23"/>
  <c r="B38" i="23"/>
  <c r="A38" i="23"/>
  <c r="G37" i="23"/>
  <c r="F37" i="23"/>
  <c r="E37" i="23"/>
  <c r="D37" i="23"/>
  <c r="C37" i="23"/>
  <c r="B37" i="23"/>
  <c r="A37" i="23"/>
  <c r="G36" i="23"/>
  <c r="F36" i="23"/>
  <c r="E36" i="23"/>
  <c r="D36" i="23"/>
  <c r="C36" i="23"/>
  <c r="B36" i="23"/>
  <c r="A36" i="23"/>
  <c r="G35" i="23"/>
  <c r="F35" i="23"/>
  <c r="E35" i="23"/>
  <c r="D35" i="23"/>
  <c r="C35" i="23"/>
  <c r="B35" i="23"/>
  <c r="A35" i="23"/>
  <c r="G34" i="23"/>
  <c r="F34" i="23"/>
  <c r="E34" i="23"/>
  <c r="D34" i="23"/>
  <c r="C34" i="23"/>
  <c r="B34" i="23"/>
  <c r="A34" i="23"/>
  <c r="G33" i="23"/>
  <c r="F33" i="23"/>
  <c r="E33" i="23"/>
  <c r="D33" i="23"/>
  <c r="C33" i="23"/>
  <c r="B33" i="23"/>
  <c r="A33" i="23"/>
  <c r="G32" i="23"/>
  <c r="F32" i="23"/>
  <c r="E32" i="23"/>
  <c r="D32" i="23"/>
  <c r="C32" i="23"/>
  <c r="B32" i="23"/>
  <c r="A32" i="23"/>
  <c r="G31" i="23"/>
  <c r="F31" i="23"/>
  <c r="E31" i="23"/>
  <c r="D31" i="23"/>
  <c r="C31" i="23"/>
  <c r="B31" i="23"/>
  <c r="A31" i="23"/>
  <c r="G30" i="23"/>
  <c r="F30" i="23"/>
  <c r="E30" i="23"/>
  <c r="D30" i="23"/>
  <c r="C30" i="23"/>
  <c r="B30" i="23"/>
  <c r="A30" i="23"/>
  <c r="G29" i="23"/>
  <c r="F29" i="23"/>
  <c r="E29" i="23"/>
  <c r="D29" i="23"/>
  <c r="C29" i="23"/>
  <c r="B29" i="23"/>
  <c r="A29" i="23"/>
  <c r="G28" i="23"/>
  <c r="F28" i="23"/>
  <c r="E28" i="23"/>
  <c r="D28" i="23"/>
  <c r="C28" i="23"/>
  <c r="B28" i="23"/>
  <c r="A28" i="23"/>
  <c r="G27" i="23"/>
  <c r="F27" i="23"/>
  <c r="E27" i="23"/>
  <c r="D27" i="23"/>
  <c r="C27" i="23"/>
  <c r="B27" i="23"/>
  <c r="A27" i="23"/>
  <c r="G26" i="23"/>
  <c r="F26" i="23"/>
  <c r="E26" i="23"/>
  <c r="D26" i="23"/>
  <c r="C26" i="23"/>
  <c r="B26" i="23"/>
  <c r="A26" i="23"/>
  <c r="G25" i="23"/>
  <c r="F25" i="23"/>
  <c r="E25" i="23"/>
  <c r="D25" i="23"/>
  <c r="C25" i="23"/>
  <c r="B25" i="23"/>
  <c r="A25" i="23"/>
  <c r="G24" i="23"/>
  <c r="F24" i="23"/>
  <c r="E24" i="23"/>
  <c r="D24" i="23"/>
  <c r="C24" i="23"/>
  <c r="B24" i="23"/>
  <c r="A24" i="23"/>
  <c r="G23" i="23"/>
  <c r="F23" i="23"/>
  <c r="E23" i="23"/>
  <c r="D23" i="23"/>
  <c r="C23" i="23"/>
  <c r="B23" i="23"/>
  <c r="A23" i="23"/>
  <c r="G22" i="23"/>
  <c r="F22" i="23"/>
  <c r="E22" i="23"/>
  <c r="D22" i="23"/>
  <c r="C22" i="23"/>
  <c r="B22" i="23"/>
  <c r="A22" i="23"/>
  <c r="G21" i="23"/>
  <c r="F21" i="23"/>
  <c r="E21" i="23"/>
  <c r="D21" i="23"/>
  <c r="C21" i="23"/>
  <c r="B21" i="23"/>
  <c r="A21" i="23"/>
  <c r="G20" i="23"/>
  <c r="F20" i="23"/>
  <c r="E20" i="23"/>
  <c r="D20" i="23"/>
  <c r="C20" i="23"/>
  <c r="B20" i="23"/>
  <c r="A20" i="23"/>
  <c r="G19" i="23"/>
  <c r="F19" i="23"/>
  <c r="E19" i="23"/>
  <c r="D19" i="23"/>
  <c r="C19" i="23"/>
  <c r="B19" i="23"/>
  <c r="A19" i="23"/>
  <c r="G18" i="23"/>
  <c r="F18" i="23"/>
  <c r="E18" i="23"/>
  <c r="D18" i="23"/>
  <c r="C18" i="23"/>
  <c r="B18" i="23"/>
  <c r="A18" i="23"/>
  <c r="G17" i="23"/>
  <c r="F17" i="23"/>
  <c r="E17" i="23"/>
  <c r="D17" i="23"/>
  <c r="C17" i="23"/>
  <c r="B17" i="23"/>
  <c r="A17" i="23"/>
  <c r="G16" i="23"/>
  <c r="F16" i="23"/>
  <c r="E16" i="23"/>
  <c r="D16" i="23"/>
  <c r="C16" i="23"/>
  <c r="B16" i="23"/>
  <c r="A16" i="23"/>
  <c r="G15" i="23"/>
  <c r="F15" i="23"/>
  <c r="E15" i="23"/>
  <c r="D15" i="23"/>
  <c r="C15" i="23"/>
  <c r="B15" i="23"/>
  <c r="A15" i="23"/>
  <c r="G14" i="23"/>
  <c r="F14" i="23"/>
  <c r="E14" i="23"/>
  <c r="D14" i="23"/>
  <c r="C14" i="23"/>
  <c r="B14" i="23"/>
  <c r="A14" i="23"/>
  <c r="G13" i="23"/>
  <c r="F13" i="23"/>
  <c r="E13" i="23"/>
  <c r="D13" i="23"/>
  <c r="C13" i="23"/>
  <c r="B13" i="23"/>
  <c r="A13" i="23"/>
  <c r="G12" i="23"/>
  <c r="F12" i="23"/>
  <c r="E12" i="23"/>
  <c r="D12" i="23"/>
  <c r="C12" i="23"/>
  <c r="B12" i="23"/>
  <c r="A12" i="23"/>
  <c r="G11" i="23"/>
  <c r="F11" i="23"/>
  <c r="E11" i="23"/>
  <c r="D11" i="23"/>
  <c r="C11" i="23"/>
  <c r="B11" i="23"/>
  <c r="A11" i="23"/>
  <c r="G10" i="23"/>
  <c r="F10" i="23"/>
  <c r="E10" i="23"/>
  <c r="D10" i="23"/>
  <c r="C10" i="23"/>
  <c r="B10" i="23"/>
  <c r="A10" i="23"/>
  <c r="G9" i="23"/>
  <c r="F9" i="23"/>
  <c r="E9" i="23"/>
  <c r="D9" i="23"/>
  <c r="C9" i="23"/>
  <c r="B9" i="23"/>
  <c r="A9" i="23"/>
  <c r="G8" i="23"/>
  <c r="F8" i="23"/>
  <c r="E8" i="23"/>
  <c r="D8" i="23"/>
  <c r="C8" i="23"/>
  <c r="B8" i="23"/>
  <c r="A8" i="23"/>
  <c r="G7" i="23"/>
  <c r="F7" i="23"/>
  <c r="E7" i="23"/>
  <c r="D7" i="23"/>
  <c r="C7" i="23"/>
  <c r="B7" i="23"/>
  <c r="A7" i="23"/>
  <c r="G6" i="23"/>
  <c r="F6" i="23"/>
  <c r="E6" i="23"/>
  <c r="D6" i="23"/>
  <c r="C6" i="23"/>
  <c r="B6" i="23"/>
  <c r="A6" i="23"/>
  <c r="G5" i="23"/>
  <c r="F5" i="23"/>
  <c r="E5" i="23"/>
  <c r="D5" i="23"/>
  <c r="C5" i="23"/>
  <c r="B5" i="23"/>
  <c r="A5" i="23"/>
  <c r="G4" i="23"/>
  <c r="F4" i="23"/>
  <c r="E4" i="23"/>
  <c r="D4" i="23"/>
  <c r="C4" i="23"/>
  <c r="B4" i="23"/>
  <c r="A4" i="23"/>
  <c r="G3" i="23"/>
  <c r="F3" i="23"/>
  <c r="E3" i="23"/>
  <c r="D3" i="23"/>
  <c r="C3" i="23"/>
  <c r="B3" i="23"/>
  <c r="A3" i="23"/>
  <c r="G2" i="23"/>
  <c r="F2" i="23"/>
  <c r="E2" i="23"/>
  <c r="D2" i="23"/>
  <c r="C2" i="23"/>
  <c r="B2" i="23"/>
  <c r="A2" i="23"/>
  <c r="G1" i="23"/>
  <c r="F1" i="23"/>
  <c r="E1" i="23"/>
  <c r="D1" i="23"/>
  <c r="C1" i="23"/>
  <c r="B1" i="23"/>
  <c r="A1" i="23"/>
  <c r="I276" i="22"/>
  <c r="H276" i="22"/>
  <c r="G276" i="22"/>
  <c r="F276" i="22"/>
  <c r="E276" i="22"/>
  <c r="D276" i="22"/>
  <c r="C276" i="22"/>
  <c r="B276" i="22"/>
  <c r="A276" i="22"/>
  <c r="I275" i="22"/>
  <c r="H275" i="22"/>
  <c r="G275" i="22"/>
  <c r="F275" i="22"/>
  <c r="E275" i="22"/>
  <c r="D275" i="22"/>
  <c r="C275" i="22"/>
  <c r="B275" i="22"/>
  <c r="A275" i="22"/>
  <c r="I274" i="22"/>
  <c r="H274" i="22"/>
  <c r="G274" i="22"/>
  <c r="F274" i="22"/>
  <c r="E274" i="22"/>
  <c r="D274" i="22"/>
  <c r="C274" i="22"/>
  <c r="B274" i="22"/>
  <c r="A274" i="22"/>
  <c r="I273" i="22"/>
  <c r="H273" i="22"/>
  <c r="G273" i="22"/>
  <c r="F273" i="22"/>
  <c r="E273" i="22"/>
  <c r="D273" i="22"/>
  <c r="C273" i="22"/>
  <c r="B273" i="22"/>
  <c r="A273" i="22"/>
  <c r="I272" i="22"/>
  <c r="H272" i="22"/>
  <c r="G272" i="22"/>
  <c r="F272" i="22"/>
  <c r="E272" i="22"/>
  <c r="D272" i="22"/>
  <c r="C272" i="22"/>
  <c r="B272" i="22"/>
  <c r="A272" i="22"/>
  <c r="I271" i="22"/>
  <c r="H271" i="22"/>
  <c r="G271" i="22"/>
  <c r="F271" i="22"/>
  <c r="E271" i="22"/>
  <c r="D271" i="22"/>
  <c r="C271" i="22"/>
  <c r="B271" i="22"/>
  <c r="A271" i="22"/>
  <c r="I270" i="22"/>
  <c r="H270" i="22"/>
  <c r="G270" i="22"/>
  <c r="F270" i="22"/>
  <c r="E270" i="22"/>
  <c r="D270" i="22"/>
  <c r="C270" i="22"/>
  <c r="B270" i="22"/>
  <c r="A270" i="22"/>
  <c r="I269" i="22"/>
  <c r="H269" i="22"/>
  <c r="G269" i="22"/>
  <c r="F269" i="22"/>
  <c r="E269" i="22"/>
  <c r="D269" i="22"/>
  <c r="C269" i="22"/>
  <c r="B269" i="22"/>
  <c r="A269" i="22"/>
  <c r="I268" i="22"/>
  <c r="H268" i="22"/>
  <c r="G268" i="22"/>
  <c r="F268" i="22"/>
  <c r="E268" i="22"/>
  <c r="D268" i="22"/>
  <c r="C268" i="22"/>
  <c r="B268" i="22"/>
  <c r="A268" i="22"/>
  <c r="I267" i="22"/>
  <c r="H267" i="22"/>
  <c r="G267" i="22"/>
  <c r="F267" i="22"/>
  <c r="E267" i="22"/>
  <c r="D267" i="22"/>
  <c r="C267" i="22"/>
  <c r="B267" i="22"/>
  <c r="A267" i="22"/>
  <c r="I266" i="22"/>
  <c r="H266" i="22"/>
  <c r="G266" i="22"/>
  <c r="F266" i="22"/>
  <c r="E266" i="22"/>
  <c r="D266" i="22"/>
  <c r="C266" i="22"/>
  <c r="B266" i="22"/>
  <c r="A266" i="22"/>
  <c r="I265" i="22"/>
  <c r="H265" i="22"/>
  <c r="G265" i="22"/>
  <c r="F265" i="22"/>
  <c r="E265" i="22"/>
  <c r="D265" i="22"/>
  <c r="C265" i="22"/>
  <c r="B265" i="22"/>
  <c r="A265" i="22"/>
  <c r="I264" i="22"/>
  <c r="H264" i="22"/>
  <c r="G264" i="22"/>
  <c r="F264" i="22"/>
  <c r="E264" i="22"/>
  <c r="D264" i="22"/>
  <c r="C264" i="22"/>
  <c r="B264" i="22"/>
  <c r="A264" i="22"/>
  <c r="I263" i="22"/>
  <c r="H263" i="22"/>
  <c r="G263" i="22"/>
  <c r="F263" i="22"/>
  <c r="E263" i="22"/>
  <c r="D263" i="22"/>
  <c r="C263" i="22"/>
  <c r="B263" i="22"/>
  <c r="A263" i="22"/>
  <c r="I262" i="22"/>
  <c r="H262" i="22"/>
  <c r="G262" i="22"/>
  <c r="F262" i="22"/>
  <c r="E262" i="22"/>
  <c r="D262" i="22"/>
  <c r="C262" i="22"/>
  <c r="B262" i="22"/>
  <c r="A262" i="22"/>
  <c r="I261" i="22"/>
  <c r="H261" i="22"/>
  <c r="G261" i="22"/>
  <c r="F261" i="22"/>
  <c r="E261" i="22"/>
  <c r="D261" i="22"/>
  <c r="C261" i="22"/>
  <c r="B261" i="22"/>
  <c r="A261" i="22"/>
  <c r="I260" i="22"/>
  <c r="H260" i="22"/>
  <c r="G260" i="22"/>
  <c r="F260" i="22"/>
  <c r="E260" i="22"/>
  <c r="D260" i="22"/>
  <c r="C260" i="22"/>
  <c r="B260" i="22"/>
  <c r="A260" i="22"/>
  <c r="I259" i="22"/>
  <c r="H259" i="22"/>
  <c r="G259" i="22"/>
  <c r="F259" i="22"/>
  <c r="E259" i="22"/>
  <c r="D259" i="22"/>
  <c r="C259" i="22"/>
  <c r="B259" i="22"/>
  <c r="A259" i="22"/>
  <c r="I258" i="22"/>
  <c r="H258" i="22"/>
  <c r="G258" i="22"/>
  <c r="F258" i="22"/>
  <c r="E258" i="22"/>
  <c r="D258" i="22"/>
  <c r="C258" i="22"/>
  <c r="B258" i="22"/>
  <c r="A258" i="22"/>
  <c r="I257" i="22"/>
  <c r="H257" i="22"/>
  <c r="G257" i="22"/>
  <c r="F257" i="22"/>
  <c r="E257" i="22"/>
  <c r="D257" i="22"/>
  <c r="C257" i="22"/>
  <c r="B257" i="22"/>
  <c r="A257" i="22"/>
  <c r="I256" i="22"/>
  <c r="H256" i="22"/>
  <c r="G256" i="22"/>
  <c r="F256" i="22"/>
  <c r="E256" i="22"/>
  <c r="D256" i="22"/>
  <c r="C256" i="22"/>
  <c r="B256" i="22"/>
  <c r="A256" i="22"/>
  <c r="I255" i="22"/>
  <c r="H255" i="22"/>
  <c r="G255" i="22"/>
  <c r="F255" i="22"/>
  <c r="E255" i="22"/>
  <c r="D255" i="22"/>
  <c r="C255" i="22"/>
  <c r="B255" i="22"/>
  <c r="A255" i="22"/>
  <c r="I254" i="22"/>
  <c r="H254" i="22"/>
  <c r="G254" i="22"/>
  <c r="F254" i="22"/>
  <c r="E254" i="22"/>
  <c r="D254" i="22"/>
  <c r="C254" i="22"/>
  <c r="B254" i="22"/>
  <c r="A254" i="22"/>
  <c r="I253" i="22"/>
  <c r="H253" i="22"/>
  <c r="G253" i="22"/>
  <c r="F253" i="22"/>
  <c r="E253" i="22"/>
  <c r="D253" i="22"/>
  <c r="C253" i="22"/>
  <c r="B253" i="22"/>
  <c r="A253" i="22"/>
  <c r="I252" i="22"/>
  <c r="H252" i="22"/>
  <c r="G252" i="22"/>
  <c r="F252" i="22"/>
  <c r="E252" i="22"/>
  <c r="D252" i="22"/>
  <c r="C252" i="22"/>
  <c r="B252" i="22"/>
  <c r="A252" i="22"/>
  <c r="I251" i="22"/>
  <c r="H251" i="22"/>
  <c r="G251" i="22"/>
  <c r="F251" i="22"/>
  <c r="E251" i="22"/>
  <c r="D251" i="22"/>
  <c r="C251" i="22"/>
  <c r="B251" i="22"/>
  <c r="A251" i="22"/>
  <c r="I250" i="22"/>
  <c r="H250" i="22"/>
  <c r="G250" i="22"/>
  <c r="F250" i="22"/>
  <c r="E250" i="22"/>
  <c r="D250" i="22"/>
  <c r="C250" i="22"/>
  <c r="B250" i="22"/>
  <c r="A250" i="22"/>
  <c r="I249" i="22"/>
  <c r="H249" i="22"/>
  <c r="G249" i="22"/>
  <c r="F249" i="22"/>
  <c r="E249" i="22"/>
  <c r="D249" i="22"/>
  <c r="C249" i="22"/>
  <c r="B249" i="22"/>
  <c r="A249" i="22"/>
  <c r="I248" i="22"/>
  <c r="H248" i="22"/>
  <c r="G248" i="22"/>
  <c r="F248" i="22"/>
  <c r="E248" i="22"/>
  <c r="D248" i="22"/>
  <c r="C248" i="22"/>
  <c r="B248" i="22"/>
  <c r="A248" i="22"/>
  <c r="I247" i="22"/>
  <c r="H247" i="22"/>
  <c r="G247" i="22"/>
  <c r="F247" i="22"/>
  <c r="E247" i="22"/>
  <c r="D247" i="22"/>
  <c r="C247" i="22"/>
  <c r="B247" i="22"/>
  <c r="A247" i="22"/>
  <c r="I246" i="22"/>
  <c r="H246" i="22"/>
  <c r="G246" i="22"/>
  <c r="F246" i="22"/>
  <c r="E246" i="22"/>
  <c r="D246" i="22"/>
  <c r="C246" i="22"/>
  <c r="B246" i="22"/>
  <c r="A246" i="22"/>
  <c r="I245" i="22"/>
  <c r="H245" i="22"/>
  <c r="G245" i="22"/>
  <c r="F245" i="22"/>
  <c r="E245" i="22"/>
  <c r="D245" i="22"/>
  <c r="C245" i="22"/>
  <c r="B245" i="22"/>
  <c r="A245" i="22"/>
  <c r="I244" i="22"/>
  <c r="H244" i="22"/>
  <c r="G244" i="22"/>
  <c r="F244" i="22"/>
  <c r="E244" i="22"/>
  <c r="D244" i="22"/>
  <c r="C244" i="22"/>
  <c r="B244" i="22"/>
  <c r="A244" i="22"/>
  <c r="I243" i="22"/>
  <c r="H243" i="22"/>
  <c r="G243" i="22"/>
  <c r="F243" i="22"/>
  <c r="E243" i="22"/>
  <c r="D243" i="22"/>
  <c r="C243" i="22"/>
  <c r="B243" i="22"/>
  <c r="A243" i="22"/>
  <c r="I242" i="22"/>
  <c r="H242" i="22"/>
  <c r="G242" i="22"/>
  <c r="F242" i="22"/>
  <c r="E242" i="22"/>
  <c r="D242" i="22"/>
  <c r="C242" i="22"/>
  <c r="B242" i="22"/>
  <c r="A242" i="22"/>
  <c r="I241" i="22"/>
  <c r="H241" i="22"/>
  <c r="G241" i="22"/>
  <c r="F241" i="22"/>
  <c r="E241" i="22"/>
  <c r="D241" i="22"/>
  <c r="C241" i="22"/>
  <c r="B241" i="22"/>
  <c r="A241" i="22"/>
  <c r="I240" i="22"/>
  <c r="H240" i="22"/>
  <c r="G240" i="22"/>
  <c r="F240" i="22"/>
  <c r="E240" i="22"/>
  <c r="D240" i="22"/>
  <c r="C240" i="22"/>
  <c r="B240" i="22"/>
  <c r="A240" i="22"/>
  <c r="I239" i="22"/>
  <c r="H239" i="22"/>
  <c r="G239" i="22"/>
  <c r="F239" i="22"/>
  <c r="E239" i="22"/>
  <c r="D239" i="22"/>
  <c r="C239" i="22"/>
  <c r="B239" i="22"/>
  <c r="A239" i="22"/>
  <c r="I238" i="22"/>
  <c r="H238" i="22"/>
  <c r="G238" i="22"/>
  <c r="F238" i="22"/>
  <c r="E238" i="22"/>
  <c r="D238" i="22"/>
  <c r="C238" i="22"/>
  <c r="B238" i="22"/>
  <c r="A238" i="22"/>
  <c r="I237" i="22"/>
  <c r="H237" i="22"/>
  <c r="G237" i="22"/>
  <c r="F237" i="22"/>
  <c r="E237" i="22"/>
  <c r="D237" i="22"/>
  <c r="C237" i="22"/>
  <c r="B237" i="22"/>
  <c r="A237" i="22"/>
  <c r="I236" i="22"/>
  <c r="H236" i="22"/>
  <c r="G236" i="22"/>
  <c r="F236" i="22"/>
  <c r="E236" i="22"/>
  <c r="D236" i="22"/>
  <c r="C236" i="22"/>
  <c r="B236" i="22"/>
  <c r="A236" i="22"/>
  <c r="I235" i="22"/>
  <c r="H235" i="22"/>
  <c r="G235" i="22"/>
  <c r="F235" i="22"/>
  <c r="E235" i="22"/>
  <c r="D235" i="22"/>
  <c r="C235" i="22"/>
  <c r="B235" i="22"/>
  <c r="A235" i="22"/>
  <c r="I234" i="22"/>
  <c r="H234" i="22"/>
  <c r="G234" i="22"/>
  <c r="F234" i="22"/>
  <c r="E234" i="22"/>
  <c r="D234" i="22"/>
  <c r="C234" i="22"/>
  <c r="B234" i="22"/>
  <c r="A234" i="22"/>
  <c r="I233" i="22"/>
  <c r="H233" i="22"/>
  <c r="G233" i="22"/>
  <c r="F233" i="22"/>
  <c r="E233" i="22"/>
  <c r="D233" i="22"/>
  <c r="C233" i="22"/>
  <c r="B233" i="22"/>
  <c r="A233" i="22"/>
  <c r="I232" i="22"/>
  <c r="H232" i="22"/>
  <c r="G232" i="22"/>
  <c r="F232" i="22"/>
  <c r="E232" i="22"/>
  <c r="D232" i="22"/>
  <c r="C232" i="22"/>
  <c r="B232" i="22"/>
  <c r="A232" i="22"/>
  <c r="I231" i="22"/>
  <c r="H231" i="22"/>
  <c r="G231" i="22"/>
  <c r="F231" i="22"/>
  <c r="E231" i="22"/>
  <c r="D231" i="22"/>
  <c r="C231" i="22"/>
  <c r="B231" i="22"/>
  <c r="A231" i="22"/>
  <c r="I230" i="22"/>
  <c r="H230" i="22"/>
  <c r="G230" i="22"/>
  <c r="F230" i="22"/>
  <c r="E230" i="22"/>
  <c r="D230" i="22"/>
  <c r="C230" i="22"/>
  <c r="B230" i="22"/>
  <c r="A230" i="22"/>
  <c r="I229" i="22"/>
  <c r="H229" i="22"/>
  <c r="G229" i="22"/>
  <c r="F229" i="22"/>
  <c r="E229" i="22"/>
  <c r="D229" i="22"/>
  <c r="C229" i="22"/>
  <c r="B229" i="22"/>
  <c r="A229" i="22"/>
  <c r="I228" i="22"/>
  <c r="H228" i="22"/>
  <c r="G228" i="22"/>
  <c r="F228" i="22"/>
  <c r="E228" i="22"/>
  <c r="D228" i="22"/>
  <c r="C228" i="22"/>
  <c r="B228" i="22"/>
  <c r="A228" i="22"/>
  <c r="I227" i="22"/>
  <c r="H227" i="22"/>
  <c r="G227" i="22"/>
  <c r="F227" i="22"/>
  <c r="E227" i="22"/>
  <c r="D227" i="22"/>
  <c r="C227" i="22"/>
  <c r="B227" i="22"/>
  <c r="A227" i="22"/>
  <c r="I226" i="22"/>
  <c r="H226" i="22"/>
  <c r="G226" i="22"/>
  <c r="F226" i="22"/>
  <c r="E226" i="22"/>
  <c r="D226" i="22"/>
  <c r="C226" i="22"/>
  <c r="B226" i="22"/>
  <c r="A226" i="22"/>
  <c r="I225" i="22"/>
  <c r="H225" i="22"/>
  <c r="G225" i="22"/>
  <c r="F225" i="22"/>
  <c r="E225" i="22"/>
  <c r="D225" i="22"/>
  <c r="C225" i="22"/>
  <c r="B225" i="22"/>
  <c r="A225" i="22"/>
  <c r="I224" i="22"/>
  <c r="H224" i="22"/>
  <c r="G224" i="22"/>
  <c r="F224" i="22"/>
  <c r="E224" i="22"/>
  <c r="D224" i="22"/>
  <c r="C224" i="22"/>
  <c r="B224" i="22"/>
  <c r="A224" i="22"/>
  <c r="I223" i="22"/>
  <c r="H223" i="22"/>
  <c r="G223" i="22"/>
  <c r="F223" i="22"/>
  <c r="E223" i="22"/>
  <c r="D223" i="22"/>
  <c r="C223" i="22"/>
  <c r="B223" i="22"/>
  <c r="A223" i="22"/>
  <c r="I222" i="22"/>
  <c r="H222" i="22"/>
  <c r="G222" i="22"/>
  <c r="F222" i="22"/>
  <c r="E222" i="22"/>
  <c r="D222" i="22"/>
  <c r="C222" i="22"/>
  <c r="B222" i="22"/>
  <c r="A222" i="22"/>
  <c r="I221" i="22"/>
  <c r="H221" i="22"/>
  <c r="G221" i="22"/>
  <c r="F221" i="22"/>
  <c r="E221" i="22"/>
  <c r="D221" i="22"/>
  <c r="C221" i="22"/>
  <c r="B221" i="22"/>
  <c r="A221" i="22"/>
  <c r="I220" i="22"/>
  <c r="H220" i="22"/>
  <c r="G220" i="22"/>
  <c r="F220" i="22"/>
  <c r="E220" i="22"/>
  <c r="D220" i="22"/>
  <c r="C220" i="22"/>
  <c r="B220" i="22"/>
  <c r="A220" i="22"/>
  <c r="I219" i="22"/>
  <c r="H219" i="22"/>
  <c r="G219" i="22"/>
  <c r="F219" i="22"/>
  <c r="E219" i="22"/>
  <c r="D219" i="22"/>
  <c r="C219" i="22"/>
  <c r="B219" i="22"/>
  <c r="A219" i="22"/>
  <c r="I218" i="22"/>
  <c r="H218" i="22"/>
  <c r="G218" i="22"/>
  <c r="F218" i="22"/>
  <c r="E218" i="22"/>
  <c r="D218" i="22"/>
  <c r="C218" i="22"/>
  <c r="B218" i="22"/>
  <c r="A218" i="22"/>
  <c r="I217" i="22"/>
  <c r="H217" i="22"/>
  <c r="G217" i="22"/>
  <c r="F217" i="22"/>
  <c r="E217" i="22"/>
  <c r="D217" i="22"/>
  <c r="C217" i="22"/>
  <c r="B217" i="22"/>
  <c r="A217" i="22"/>
  <c r="I216" i="22"/>
  <c r="H216" i="22"/>
  <c r="G216" i="22"/>
  <c r="F216" i="22"/>
  <c r="E216" i="22"/>
  <c r="D216" i="22"/>
  <c r="C216" i="22"/>
  <c r="B216" i="22"/>
  <c r="A216" i="22"/>
  <c r="I215" i="22"/>
  <c r="H215" i="22"/>
  <c r="G215" i="22"/>
  <c r="F215" i="22"/>
  <c r="E215" i="22"/>
  <c r="D215" i="22"/>
  <c r="C215" i="22"/>
  <c r="B215" i="22"/>
  <c r="A215" i="22"/>
  <c r="I214" i="22"/>
  <c r="H214" i="22"/>
  <c r="G214" i="22"/>
  <c r="F214" i="22"/>
  <c r="E214" i="22"/>
  <c r="D214" i="22"/>
  <c r="C214" i="22"/>
  <c r="B214" i="22"/>
  <c r="A214" i="22"/>
  <c r="I213" i="22"/>
  <c r="H213" i="22"/>
  <c r="G213" i="22"/>
  <c r="F213" i="22"/>
  <c r="E213" i="22"/>
  <c r="D213" i="22"/>
  <c r="C213" i="22"/>
  <c r="B213" i="22"/>
  <c r="A213" i="22"/>
  <c r="I212" i="22"/>
  <c r="H212" i="22"/>
  <c r="G212" i="22"/>
  <c r="F212" i="22"/>
  <c r="E212" i="22"/>
  <c r="D212" i="22"/>
  <c r="C212" i="22"/>
  <c r="B212" i="22"/>
  <c r="A212" i="22"/>
  <c r="I211" i="22"/>
  <c r="H211" i="22"/>
  <c r="G211" i="22"/>
  <c r="F211" i="22"/>
  <c r="E211" i="22"/>
  <c r="D211" i="22"/>
  <c r="C211" i="22"/>
  <c r="B211" i="22"/>
  <c r="A211" i="22"/>
  <c r="I210" i="22"/>
  <c r="H210" i="22"/>
  <c r="G210" i="22"/>
  <c r="F210" i="22"/>
  <c r="E210" i="22"/>
  <c r="D210" i="22"/>
  <c r="C210" i="22"/>
  <c r="B210" i="22"/>
  <c r="A210" i="22"/>
  <c r="I209" i="22"/>
  <c r="H209" i="22"/>
  <c r="G209" i="22"/>
  <c r="F209" i="22"/>
  <c r="E209" i="22"/>
  <c r="D209" i="22"/>
  <c r="C209" i="22"/>
  <c r="B209" i="22"/>
  <c r="A209" i="22"/>
  <c r="I208" i="22"/>
  <c r="H208" i="22"/>
  <c r="G208" i="22"/>
  <c r="F208" i="22"/>
  <c r="E208" i="22"/>
  <c r="D208" i="22"/>
  <c r="C208" i="22"/>
  <c r="B208" i="22"/>
  <c r="A208" i="22"/>
  <c r="I207" i="22"/>
  <c r="H207" i="22"/>
  <c r="G207" i="22"/>
  <c r="F207" i="22"/>
  <c r="E207" i="22"/>
  <c r="D207" i="22"/>
  <c r="C207" i="22"/>
  <c r="B207" i="22"/>
  <c r="A207" i="22"/>
  <c r="I206" i="22"/>
  <c r="H206" i="22"/>
  <c r="G206" i="22"/>
  <c r="F206" i="22"/>
  <c r="E206" i="22"/>
  <c r="D206" i="22"/>
  <c r="C206" i="22"/>
  <c r="B206" i="22"/>
  <c r="A206" i="22"/>
  <c r="I205" i="22"/>
  <c r="H205" i="22"/>
  <c r="G205" i="22"/>
  <c r="F205" i="22"/>
  <c r="E205" i="22"/>
  <c r="D205" i="22"/>
  <c r="C205" i="22"/>
  <c r="B205" i="22"/>
  <c r="A205" i="22"/>
  <c r="I204" i="22"/>
  <c r="H204" i="22"/>
  <c r="G204" i="22"/>
  <c r="F204" i="22"/>
  <c r="E204" i="22"/>
  <c r="D204" i="22"/>
  <c r="C204" i="22"/>
  <c r="B204" i="22"/>
  <c r="A204" i="22"/>
  <c r="I203" i="22"/>
  <c r="H203" i="22"/>
  <c r="G203" i="22"/>
  <c r="F203" i="22"/>
  <c r="E203" i="22"/>
  <c r="D203" i="22"/>
  <c r="C203" i="22"/>
  <c r="B203" i="22"/>
  <c r="A203" i="22"/>
  <c r="I202" i="22"/>
  <c r="H202" i="22"/>
  <c r="G202" i="22"/>
  <c r="F202" i="22"/>
  <c r="E202" i="22"/>
  <c r="D202" i="22"/>
  <c r="C202" i="22"/>
  <c r="B202" i="22"/>
  <c r="A202" i="22"/>
  <c r="I201" i="22"/>
  <c r="H201" i="22"/>
  <c r="G201" i="22"/>
  <c r="F201" i="22"/>
  <c r="E201" i="22"/>
  <c r="D201" i="22"/>
  <c r="C201" i="22"/>
  <c r="B201" i="22"/>
  <c r="A201" i="22"/>
  <c r="I200" i="22"/>
  <c r="H200" i="22"/>
  <c r="G200" i="22"/>
  <c r="F200" i="22"/>
  <c r="E200" i="22"/>
  <c r="D200" i="22"/>
  <c r="C200" i="22"/>
  <c r="B200" i="22"/>
  <c r="A200" i="22"/>
  <c r="I199" i="22"/>
  <c r="H199" i="22"/>
  <c r="G199" i="22"/>
  <c r="F199" i="22"/>
  <c r="E199" i="22"/>
  <c r="D199" i="22"/>
  <c r="C199" i="22"/>
  <c r="B199" i="22"/>
  <c r="A199" i="22"/>
  <c r="I198" i="22"/>
  <c r="H198" i="22"/>
  <c r="G198" i="22"/>
  <c r="F198" i="22"/>
  <c r="E198" i="22"/>
  <c r="D198" i="22"/>
  <c r="C198" i="22"/>
  <c r="B198" i="22"/>
  <c r="A198" i="22"/>
  <c r="I197" i="22"/>
  <c r="H197" i="22"/>
  <c r="G197" i="22"/>
  <c r="F197" i="22"/>
  <c r="E197" i="22"/>
  <c r="D197" i="22"/>
  <c r="C197" i="22"/>
  <c r="B197" i="22"/>
  <c r="A197" i="22"/>
  <c r="I196" i="22"/>
  <c r="H196" i="22"/>
  <c r="G196" i="22"/>
  <c r="F196" i="22"/>
  <c r="E196" i="22"/>
  <c r="D196" i="22"/>
  <c r="C196" i="22"/>
  <c r="B196" i="22"/>
  <c r="A196" i="22"/>
  <c r="I195" i="22"/>
  <c r="H195" i="22"/>
  <c r="G195" i="22"/>
  <c r="F195" i="22"/>
  <c r="E195" i="22"/>
  <c r="D195" i="22"/>
  <c r="C195" i="22"/>
  <c r="B195" i="22"/>
  <c r="A195" i="22"/>
  <c r="I194" i="22"/>
  <c r="H194" i="22"/>
  <c r="G194" i="22"/>
  <c r="F194" i="22"/>
  <c r="E194" i="22"/>
  <c r="D194" i="22"/>
  <c r="C194" i="22"/>
  <c r="B194" i="22"/>
  <c r="A194" i="22"/>
  <c r="I193" i="22"/>
  <c r="H193" i="22"/>
  <c r="G193" i="22"/>
  <c r="F193" i="22"/>
  <c r="E193" i="22"/>
  <c r="D193" i="22"/>
  <c r="C193" i="22"/>
  <c r="B193" i="22"/>
  <c r="A193" i="22"/>
  <c r="I192" i="22"/>
  <c r="H192" i="22"/>
  <c r="G192" i="22"/>
  <c r="F192" i="22"/>
  <c r="E192" i="22"/>
  <c r="D192" i="22"/>
  <c r="C192" i="22"/>
  <c r="B192" i="22"/>
  <c r="A192" i="22"/>
  <c r="I191" i="22"/>
  <c r="H191" i="22"/>
  <c r="G191" i="22"/>
  <c r="F191" i="22"/>
  <c r="E191" i="22"/>
  <c r="D191" i="22"/>
  <c r="C191" i="22"/>
  <c r="B191" i="22"/>
  <c r="A191" i="22"/>
  <c r="I190" i="22"/>
  <c r="H190" i="22"/>
  <c r="G190" i="22"/>
  <c r="F190" i="22"/>
  <c r="E190" i="22"/>
  <c r="D190" i="22"/>
  <c r="C190" i="22"/>
  <c r="B190" i="22"/>
  <c r="A190" i="22"/>
  <c r="I189" i="22"/>
  <c r="H189" i="22"/>
  <c r="G189" i="22"/>
  <c r="F189" i="22"/>
  <c r="E189" i="22"/>
  <c r="D189" i="22"/>
  <c r="C189" i="22"/>
  <c r="B189" i="22"/>
  <c r="A189" i="22"/>
  <c r="I188" i="22"/>
  <c r="H188" i="22"/>
  <c r="G188" i="22"/>
  <c r="F188" i="22"/>
  <c r="E188" i="22"/>
  <c r="D188" i="22"/>
  <c r="C188" i="22"/>
  <c r="B188" i="22"/>
  <c r="A188" i="22"/>
  <c r="I187" i="22"/>
  <c r="H187" i="22"/>
  <c r="G187" i="22"/>
  <c r="F187" i="22"/>
  <c r="E187" i="22"/>
  <c r="D187" i="22"/>
  <c r="C187" i="22"/>
  <c r="B187" i="22"/>
  <c r="A187" i="22"/>
  <c r="I186" i="22"/>
  <c r="H186" i="22"/>
  <c r="G186" i="22"/>
  <c r="F186" i="22"/>
  <c r="E186" i="22"/>
  <c r="D186" i="22"/>
  <c r="C186" i="22"/>
  <c r="B186" i="22"/>
  <c r="A186" i="22"/>
  <c r="I185" i="22"/>
  <c r="H185" i="22"/>
  <c r="G185" i="22"/>
  <c r="F185" i="22"/>
  <c r="E185" i="22"/>
  <c r="D185" i="22"/>
  <c r="C185" i="22"/>
  <c r="B185" i="22"/>
  <c r="A185" i="22"/>
  <c r="I184" i="22"/>
  <c r="H184" i="22"/>
  <c r="G184" i="22"/>
  <c r="F184" i="22"/>
  <c r="E184" i="22"/>
  <c r="D184" i="22"/>
  <c r="C184" i="22"/>
  <c r="B184" i="22"/>
  <c r="A184" i="22"/>
  <c r="I183" i="22"/>
  <c r="H183" i="22"/>
  <c r="G183" i="22"/>
  <c r="F183" i="22"/>
  <c r="E183" i="22"/>
  <c r="D183" i="22"/>
  <c r="C183" i="22"/>
  <c r="B183" i="22"/>
  <c r="A183" i="22"/>
  <c r="I182" i="22"/>
  <c r="H182" i="22"/>
  <c r="G182" i="22"/>
  <c r="F182" i="22"/>
  <c r="E182" i="22"/>
  <c r="D182" i="22"/>
  <c r="C182" i="22"/>
  <c r="B182" i="22"/>
  <c r="A182" i="22"/>
  <c r="I181" i="22"/>
  <c r="H181" i="22"/>
  <c r="G181" i="22"/>
  <c r="F181" i="22"/>
  <c r="E181" i="22"/>
  <c r="D181" i="22"/>
  <c r="C181" i="22"/>
  <c r="B181" i="22"/>
  <c r="A181" i="22"/>
  <c r="I180" i="22"/>
  <c r="H180" i="22"/>
  <c r="G180" i="22"/>
  <c r="F180" i="22"/>
  <c r="E180" i="22"/>
  <c r="D180" i="22"/>
  <c r="C180" i="22"/>
  <c r="B180" i="22"/>
  <c r="A180" i="22"/>
  <c r="I179" i="22"/>
  <c r="H179" i="22"/>
  <c r="G179" i="22"/>
  <c r="F179" i="22"/>
  <c r="E179" i="22"/>
  <c r="D179" i="22"/>
  <c r="C179" i="22"/>
  <c r="B179" i="22"/>
  <c r="A179" i="22"/>
  <c r="I178" i="22"/>
  <c r="H178" i="22"/>
  <c r="G178" i="22"/>
  <c r="F178" i="22"/>
  <c r="E178" i="22"/>
  <c r="D178" i="22"/>
  <c r="C178" i="22"/>
  <c r="B178" i="22"/>
  <c r="A178" i="22"/>
  <c r="I177" i="22"/>
  <c r="H177" i="22"/>
  <c r="G177" i="22"/>
  <c r="F177" i="22"/>
  <c r="E177" i="22"/>
  <c r="D177" i="22"/>
  <c r="C177" i="22"/>
  <c r="B177" i="22"/>
  <c r="A177" i="22"/>
  <c r="I176" i="22"/>
  <c r="H176" i="22"/>
  <c r="G176" i="22"/>
  <c r="F176" i="22"/>
  <c r="E176" i="22"/>
  <c r="D176" i="22"/>
  <c r="C176" i="22"/>
  <c r="B176" i="22"/>
  <c r="A176" i="22"/>
  <c r="I175" i="22"/>
  <c r="H175" i="22"/>
  <c r="G175" i="22"/>
  <c r="F175" i="22"/>
  <c r="E175" i="22"/>
  <c r="D175" i="22"/>
  <c r="C175" i="22"/>
  <c r="B175" i="22"/>
  <c r="A175" i="22"/>
  <c r="I174" i="22"/>
  <c r="H174" i="22"/>
  <c r="G174" i="22"/>
  <c r="F174" i="22"/>
  <c r="E174" i="22"/>
  <c r="D174" i="22"/>
  <c r="C174" i="22"/>
  <c r="B174" i="22"/>
  <c r="A174" i="22"/>
  <c r="I173" i="22"/>
  <c r="H173" i="22"/>
  <c r="G173" i="22"/>
  <c r="F173" i="22"/>
  <c r="E173" i="22"/>
  <c r="D173" i="22"/>
  <c r="C173" i="22"/>
  <c r="B173" i="22"/>
  <c r="A173" i="22"/>
  <c r="I172" i="22"/>
  <c r="H172" i="22"/>
  <c r="G172" i="22"/>
  <c r="F172" i="22"/>
  <c r="E172" i="22"/>
  <c r="D172" i="22"/>
  <c r="C172" i="22"/>
  <c r="B172" i="22"/>
  <c r="A172" i="22"/>
  <c r="I171" i="22"/>
  <c r="H171" i="22"/>
  <c r="G171" i="22"/>
  <c r="F171" i="22"/>
  <c r="E171" i="22"/>
  <c r="D171" i="22"/>
  <c r="C171" i="22"/>
  <c r="B171" i="22"/>
  <c r="A171" i="22"/>
  <c r="I170" i="22"/>
  <c r="H170" i="22"/>
  <c r="G170" i="22"/>
  <c r="F170" i="22"/>
  <c r="E170" i="22"/>
  <c r="D170" i="22"/>
  <c r="C170" i="22"/>
  <c r="B170" i="22"/>
  <c r="A170" i="22"/>
  <c r="I169" i="22"/>
  <c r="H169" i="22"/>
  <c r="G169" i="22"/>
  <c r="F169" i="22"/>
  <c r="E169" i="22"/>
  <c r="D169" i="22"/>
  <c r="C169" i="22"/>
  <c r="B169" i="22"/>
  <c r="A169" i="22"/>
  <c r="I168" i="22"/>
  <c r="H168" i="22"/>
  <c r="G168" i="22"/>
  <c r="F168" i="22"/>
  <c r="E168" i="22"/>
  <c r="D168" i="22"/>
  <c r="C168" i="22"/>
  <c r="B168" i="22"/>
  <c r="A168" i="22"/>
  <c r="I167" i="22"/>
  <c r="H167" i="22"/>
  <c r="G167" i="22"/>
  <c r="F167" i="22"/>
  <c r="E167" i="22"/>
  <c r="D167" i="22"/>
  <c r="C167" i="22"/>
  <c r="B167" i="22"/>
  <c r="A167" i="22"/>
  <c r="I166" i="22"/>
  <c r="H166" i="22"/>
  <c r="G166" i="22"/>
  <c r="F166" i="22"/>
  <c r="E166" i="22"/>
  <c r="D166" i="22"/>
  <c r="C166" i="22"/>
  <c r="B166" i="22"/>
  <c r="A166" i="22"/>
  <c r="I165" i="22"/>
  <c r="H165" i="22"/>
  <c r="G165" i="22"/>
  <c r="F165" i="22"/>
  <c r="E165" i="22"/>
  <c r="D165" i="22"/>
  <c r="C165" i="22"/>
  <c r="B165" i="22"/>
  <c r="A165" i="22"/>
  <c r="I164" i="22"/>
  <c r="H164" i="22"/>
  <c r="G164" i="22"/>
  <c r="F164" i="22"/>
  <c r="E164" i="22"/>
  <c r="D164" i="22"/>
  <c r="C164" i="22"/>
  <c r="B164" i="22"/>
  <c r="A164" i="22"/>
  <c r="I163" i="22"/>
  <c r="H163" i="22"/>
  <c r="G163" i="22"/>
  <c r="F163" i="22"/>
  <c r="E163" i="22"/>
  <c r="D163" i="22"/>
  <c r="C163" i="22"/>
  <c r="B163" i="22"/>
  <c r="A163" i="22"/>
  <c r="I162" i="22"/>
  <c r="H162" i="22"/>
  <c r="G162" i="22"/>
  <c r="F162" i="22"/>
  <c r="E162" i="22"/>
  <c r="D162" i="22"/>
  <c r="C162" i="22"/>
  <c r="B162" i="22"/>
  <c r="A162" i="22"/>
  <c r="I161" i="22"/>
  <c r="H161" i="22"/>
  <c r="G161" i="22"/>
  <c r="F161" i="22"/>
  <c r="E161" i="22"/>
  <c r="D161" i="22"/>
  <c r="C161" i="22"/>
  <c r="B161" i="22"/>
  <c r="A161" i="22"/>
  <c r="I160" i="22"/>
  <c r="H160" i="22"/>
  <c r="G160" i="22"/>
  <c r="F160" i="22"/>
  <c r="E160" i="22"/>
  <c r="D160" i="22"/>
  <c r="C160" i="22"/>
  <c r="B160" i="22"/>
  <c r="A160" i="22"/>
  <c r="I159" i="22"/>
  <c r="H159" i="22"/>
  <c r="G159" i="22"/>
  <c r="F159" i="22"/>
  <c r="E159" i="22"/>
  <c r="D159" i="22"/>
  <c r="C159" i="22"/>
  <c r="B159" i="22"/>
  <c r="A159" i="22"/>
  <c r="I158" i="22"/>
  <c r="H158" i="22"/>
  <c r="G158" i="22"/>
  <c r="F158" i="22"/>
  <c r="E158" i="22"/>
  <c r="D158" i="22"/>
  <c r="C158" i="22"/>
  <c r="B158" i="22"/>
  <c r="A158" i="22"/>
  <c r="I157" i="22"/>
  <c r="H157" i="22"/>
  <c r="G157" i="22"/>
  <c r="F157" i="22"/>
  <c r="E157" i="22"/>
  <c r="D157" i="22"/>
  <c r="C157" i="22"/>
  <c r="B157" i="22"/>
  <c r="A157" i="22"/>
  <c r="I156" i="22"/>
  <c r="H156" i="22"/>
  <c r="G156" i="22"/>
  <c r="F156" i="22"/>
  <c r="E156" i="22"/>
  <c r="D156" i="22"/>
  <c r="C156" i="22"/>
  <c r="B156" i="22"/>
  <c r="A156" i="22"/>
  <c r="I155" i="22"/>
  <c r="H155" i="22"/>
  <c r="G155" i="22"/>
  <c r="F155" i="22"/>
  <c r="E155" i="22"/>
  <c r="D155" i="22"/>
  <c r="C155" i="22"/>
  <c r="B155" i="22"/>
  <c r="A155" i="22"/>
  <c r="I154" i="22"/>
  <c r="H154" i="22"/>
  <c r="G154" i="22"/>
  <c r="F154" i="22"/>
  <c r="E154" i="22"/>
  <c r="D154" i="22"/>
  <c r="C154" i="22"/>
  <c r="B154" i="22"/>
  <c r="A154" i="22"/>
  <c r="I153" i="22"/>
  <c r="H153" i="22"/>
  <c r="G153" i="22"/>
  <c r="F153" i="22"/>
  <c r="E153" i="22"/>
  <c r="D153" i="22"/>
  <c r="C153" i="22"/>
  <c r="B153" i="22"/>
  <c r="A153" i="22"/>
  <c r="I152" i="22"/>
  <c r="H152" i="22"/>
  <c r="G152" i="22"/>
  <c r="F152" i="22"/>
  <c r="E152" i="22"/>
  <c r="D152" i="22"/>
  <c r="C152" i="22"/>
  <c r="B152" i="22"/>
  <c r="A152" i="22"/>
  <c r="I151" i="22"/>
  <c r="H151" i="22"/>
  <c r="G151" i="22"/>
  <c r="F151" i="22"/>
  <c r="E151" i="22"/>
  <c r="D151" i="22"/>
  <c r="C151" i="22"/>
  <c r="B151" i="22"/>
  <c r="A151" i="22"/>
  <c r="I150" i="22"/>
  <c r="H150" i="22"/>
  <c r="G150" i="22"/>
  <c r="F150" i="22"/>
  <c r="E150" i="22"/>
  <c r="D150" i="22"/>
  <c r="C150" i="22"/>
  <c r="B150" i="22"/>
  <c r="A150" i="22"/>
  <c r="I149" i="22"/>
  <c r="H149" i="22"/>
  <c r="G149" i="22"/>
  <c r="F149" i="22"/>
  <c r="E149" i="22"/>
  <c r="D149" i="22"/>
  <c r="C149" i="22"/>
  <c r="B149" i="22"/>
  <c r="A149" i="22"/>
  <c r="I148" i="22"/>
  <c r="H148" i="22"/>
  <c r="G148" i="22"/>
  <c r="F148" i="22"/>
  <c r="E148" i="22"/>
  <c r="D148" i="22"/>
  <c r="C148" i="22"/>
  <c r="B148" i="22"/>
  <c r="A148" i="22"/>
  <c r="I147" i="22"/>
  <c r="H147" i="22"/>
  <c r="G147" i="22"/>
  <c r="F147" i="22"/>
  <c r="E147" i="22"/>
  <c r="D147" i="22"/>
  <c r="C147" i="22"/>
  <c r="B147" i="22"/>
  <c r="A147" i="22"/>
  <c r="I146" i="22"/>
  <c r="H146" i="22"/>
  <c r="G146" i="22"/>
  <c r="F146" i="22"/>
  <c r="E146" i="22"/>
  <c r="D146" i="22"/>
  <c r="C146" i="22"/>
  <c r="B146" i="22"/>
  <c r="A146" i="22"/>
  <c r="I145" i="22"/>
  <c r="H145" i="22"/>
  <c r="G145" i="22"/>
  <c r="F145" i="22"/>
  <c r="E145" i="22"/>
  <c r="D145" i="22"/>
  <c r="C145" i="22"/>
  <c r="B145" i="22"/>
  <c r="A145" i="22"/>
  <c r="I144" i="22"/>
  <c r="H144" i="22"/>
  <c r="G144" i="22"/>
  <c r="F144" i="22"/>
  <c r="E144" i="22"/>
  <c r="D144" i="22"/>
  <c r="C144" i="22"/>
  <c r="B144" i="22"/>
  <c r="A144" i="22"/>
  <c r="I143" i="22"/>
  <c r="H143" i="22"/>
  <c r="G143" i="22"/>
  <c r="F143" i="22"/>
  <c r="E143" i="22"/>
  <c r="D143" i="22"/>
  <c r="C143" i="22"/>
  <c r="B143" i="22"/>
  <c r="A143" i="22"/>
  <c r="I142" i="22"/>
  <c r="H142" i="22"/>
  <c r="G142" i="22"/>
  <c r="F142" i="22"/>
  <c r="E142" i="22"/>
  <c r="D142" i="22"/>
  <c r="C142" i="22"/>
  <c r="B142" i="22"/>
  <c r="A142" i="22"/>
  <c r="I141" i="22"/>
  <c r="H141" i="22"/>
  <c r="G141" i="22"/>
  <c r="F141" i="22"/>
  <c r="E141" i="22"/>
  <c r="D141" i="22"/>
  <c r="C141" i="22"/>
  <c r="B141" i="22"/>
  <c r="A141" i="22"/>
  <c r="I140" i="22"/>
  <c r="H140" i="22"/>
  <c r="G140" i="22"/>
  <c r="F140" i="22"/>
  <c r="E140" i="22"/>
  <c r="D140" i="22"/>
  <c r="C140" i="22"/>
  <c r="B140" i="22"/>
  <c r="A140" i="22"/>
  <c r="I139" i="22"/>
  <c r="H139" i="22"/>
  <c r="G139" i="22"/>
  <c r="F139" i="22"/>
  <c r="E139" i="22"/>
  <c r="D139" i="22"/>
  <c r="C139" i="22"/>
  <c r="B139" i="22"/>
  <c r="A139" i="22"/>
  <c r="I138" i="22"/>
  <c r="H138" i="22"/>
  <c r="G138" i="22"/>
  <c r="F138" i="22"/>
  <c r="E138" i="22"/>
  <c r="D138" i="22"/>
  <c r="C138" i="22"/>
  <c r="B138" i="22"/>
  <c r="A138" i="22"/>
  <c r="I137" i="22"/>
  <c r="H137" i="22"/>
  <c r="G137" i="22"/>
  <c r="F137" i="22"/>
  <c r="E137" i="22"/>
  <c r="D137" i="22"/>
  <c r="C137" i="22"/>
  <c r="B137" i="22"/>
  <c r="A137" i="22"/>
  <c r="I136" i="22"/>
  <c r="H136" i="22"/>
  <c r="G136" i="22"/>
  <c r="F136" i="22"/>
  <c r="E136" i="22"/>
  <c r="D136" i="22"/>
  <c r="C136" i="22"/>
  <c r="B136" i="22"/>
  <c r="A136" i="22"/>
  <c r="I135" i="22"/>
  <c r="H135" i="22"/>
  <c r="G135" i="22"/>
  <c r="F135" i="22"/>
  <c r="E135" i="22"/>
  <c r="D135" i="22"/>
  <c r="C135" i="22"/>
  <c r="B135" i="22"/>
  <c r="A135" i="22"/>
  <c r="I134" i="22"/>
  <c r="H134" i="22"/>
  <c r="G134" i="22"/>
  <c r="F134" i="22"/>
  <c r="E134" i="22"/>
  <c r="D134" i="22"/>
  <c r="C134" i="22"/>
  <c r="B134" i="22"/>
  <c r="A134" i="22"/>
  <c r="I133" i="22"/>
  <c r="H133" i="22"/>
  <c r="G133" i="22"/>
  <c r="F133" i="22"/>
  <c r="E133" i="22"/>
  <c r="D133" i="22"/>
  <c r="C133" i="22"/>
  <c r="B133" i="22"/>
  <c r="A133" i="22"/>
  <c r="I132" i="22"/>
  <c r="H132" i="22"/>
  <c r="G132" i="22"/>
  <c r="F132" i="22"/>
  <c r="E132" i="22"/>
  <c r="D132" i="22"/>
  <c r="C132" i="22"/>
  <c r="B132" i="22"/>
  <c r="A132" i="22"/>
  <c r="I131" i="22"/>
  <c r="H131" i="22"/>
  <c r="G131" i="22"/>
  <c r="F131" i="22"/>
  <c r="E131" i="22"/>
  <c r="D131" i="22"/>
  <c r="C131" i="22"/>
  <c r="B131" i="22"/>
  <c r="A131" i="22"/>
  <c r="I130" i="22"/>
  <c r="H130" i="22"/>
  <c r="G130" i="22"/>
  <c r="F130" i="22"/>
  <c r="E130" i="22"/>
  <c r="D130" i="22"/>
  <c r="C130" i="22"/>
  <c r="B130" i="22"/>
  <c r="A130" i="22"/>
  <c r="I129" i="22"/>
  <c r="H129" i="22"/>
  <c r="G129" i="22"/>
  <c r="F129" i="22"/>
  <c r="E129" i="22"/>
  <c r="D129" i="22"/>
  <c r="C129" i="22"/>
  <c r="B129" i="22"/>
  <c r="A129" i="22"/>
  <c r="I128" i="22"/>
  <c r="H128" i="22"/>
  <c r="G128" i="22"/>
  <c r="F128" i="22"/>
  <c r="E128" i="22"/>
  <c r="D128" i="22"/>
  <c r="C128" i="22"/>
  <c r="B128" i="22"/>
  <c r="A128" i="22"/>
  <c r="I127" i="22"/>
  <c r="H127" i="22"/>
  <c r="G127" i="22"/>
  <c r="F127" i="22"/>
  <c r="E127" i="22"/>
  <c r="D127" i="22"/>
  <c r="C127" i="22"/>
  <c r="B127" i="22"/>
  <c r="A127" i="22"/>
  <c r="I126" i="22"/>
  <c r="H126" i="22"/>
  <c r="G126" i="22"/>
  <c r="F126" i="22"/>
  <c r="E126" i="22"/>
  <c r="D126" i="22"/>
  <c r="C126" i="22"/>
  <c r="B126" i="22"/>
  <c r="A126" i="22"/>
  <c r="I125" i="22"/>
  <c r="H125" i="22"/>
  <c r="G125" i="22"/>
  <c r="F125" i="22"/>
  <c r="E125" i="22"/>
  <c r="D125" i="22"/>
  <c r="C125" i="22"/>
  <c r="B125" i="22"/>
  <c r="A125" i="22"/>
  <c r="I124" i="22"/>
  <c r="H124" i="22"/>
  <c r="G124" i="22"/>
  <c r="F124" i="22"/>
  <c r="E124" i="22"/>
  <c r="D124" i="22"/>
  <c r="C124" i="22"/>
  <c r="B124" i="22"/>
  <c r="A124" i="22"/>
  <c r="I123" i="22"/>
  <c r="H123" i="22"/>
  <c r="G123" i="22"/>
  <c r="F123" i="22"/>
  <c r="E123" i="22"/>
  <c r="D123" i="22"/>
  <c r="C123" i="22"/>
  <c r="B123" i="22"/>
  <c r="A123" i="22"/>
  <c r="I122" i="22"/>
  <c r="H122" i="22"/>
  <c r="G122" i="22"/>
  <c r="F122" i="22"/>
  <c r="E122" i="22"/>
  <c r="D122" i="22"/>
  <c r="C122" i="22"/>
  <c r="B122" i="22"/>
  <c r="A122" i="22"/>
  <c r="I121" i="22"/>
  <c r="H121" i="22"/>
  <c r="G121" i="22"/>
  <c r="F121" i="22"/>
  <c r="E121" i="22"/>
  <c r="D121" i="22"/>
  <c r="C121" i="22"/>
  <c r="B121" i="22"/>
  <c r="A121" i="22"/>
  <c r="I120" i="22"/>
  <c r="H120" i="22"/>
  <c r="G120" i="22"/>
  <c r="F120" i="22"/>
  <c r="E120" i="22"/>
  <c r="D120" i="22"/>
  <c r="C120" i="22"/>
  <c r="B120" i="22"/>
  <c r="A120" i="22"/>
  <c r="I119" i="22"/>
  <c r="H119" i="22"/>
  <c r="G119" i="22"/>
  <c r="F119" i="22"/>
  <c r="E119" i="22"/>
  <c r="D119" i="22"/>
  <c r="C119" i="22"/>
  <c r="B119" i="22"/>
  <c r="A119" i="22"/>
  <c r="I118" i="22"/>
  <c r="H118" i="22"/>
  <c r="G118" i="22"/>
  <c r="F118" i="22"/>
  <c r="E118" i="22"/>
  <c r="D118" i="22"/>
  <c r="C118" i="22"/>
  <c r="B118" i="22"/>
  <c r="A118" i="22"/>
  <c r="I117" i="22"/>
  <c r="H117" i="22"/>
  <c r="G117" i="22"/>
  <c r="F117" i="22"/>
  <c r="E117" i="22"/>
  <c r="D117" i="22"/>
  <c r="C117" i="22"/>
  <c r="B117" i="22"/>
  <c r="A117" i="22"/>
  <c r="I116" i="22"/>
  <c r="H116" i="22"/>
  <c r="G116" i="22"/>
  <c r="F116" i="22"/>
  <c r="E116" i="22"/>
  <c r="D116" i="22"/>
  <c r="C116" i="22"/>
  <c r="B116" i="22"/>
  <c r="A116" i="22"/>
  <c r="I115" i="22"/>
  <c r="H115" i="22"/>
  <c r="G115" i="22"/>
  <c r="F115" i="22"/>
  <c r="E115" i="22"/>
  <c r="D115" i="22"/>
  <c r="C115" i="22"/>
  <c r="B115" i="22"/>
  <c r="A115" i="22"/>
  <c r="I114" i="22"/>
  <c r="H114" i="22"/>
  <c r="G114" i="22"/>
  <c r="F114" i="22"/>
  <c r="E114" i="22"/>
  <c r="D114" i="22"/>
  <c r="C114" i="22"/>
  <c r="B114" i="22"/>
  <c r="A114" i="22"/>
  <c r="I113" i="22"/>
  <c r="H113" i="22"/>
  <c r="G113" i="22"/>
  <c r="F113" i="22"/>
  <c r="E113" i="22"/>
  <c r="D113" i="22"/>
  <c r="C113" i="22"/>
  <c r="B113" i="22"/>
  <c r="A113" i="22"/>
  <c r="I112" i="22"/>
  <c r="H112" i="22"/>
  <c r="G112" i="22"/>
  <c r="F112" i="22"/>
  <c r="E112" i="22"/>
  <c r="D112" i="22"/>
  <c r="C112" i="22"/>
  <c r="B112" i="22"/>
  <c r="A112" i="22"/>
  <c r="I111" i="22"/>
  <c r="H111" i="22"/>
  <c r="G111" i="22"/>
  <c r="F111" i="22"/>
  <c r="E111" i="22"/>
  <c r="D111" i="22"/>
  <c r="C111" i="22"/>
  <c r="B111" i="22"/>
  <c r="A111" i="22"/>
  <c r="I110" i="22"/>
  <c r="H110" i="22"/>
  <c r="G110" i="22"/>
  <c r="F110" i="22"/>
  <c r="E110" i="22"/>
  <c r="D110" i="22"/>
  <c r="C110" i="22"/>
  <c r="B110" i="22"/>
  <c r="A110" i="22"/>
  <c r="I109" i="22"/>
  <c r="H109" i="22"/>
  <c r="G109" i="22"/>
  <c r="F109" i="22"/>
  <c r="E109" i="22"/>
  <c r="D109" i="22"/>
  <c r="C109" i="22"/>
  <c r="B109" i="22"/>
  <c r="A109" i="22"/>
  <c r="I108" i="22"/>
  <c r="H108" i="22"/>
  <c r="G108" i="22"/>
  <c r="F108" i="22"/>
  <c r="E108" i="22"/>
  <c r="D108" i="22"/>
  <c r="C108" i="22"/>
  <c r="B108" i="22"/>
  <c r="A108" i="22"/>
  <c r="I107" i="22"/>
  <c r="H107" i="22"/>
  <c r="G107" i="22"/>
  <c r="F107" i="22"/>
  <c r="E107" i="22"/>
  <c r="D107" i="22"/>
  <c r="C107" i="22"/>
  <c r="B107" i="22"/>
  <c r="A107" i="22"/>
  <c r="I106" i="22"/>
  <c r="H106" i="22"/>
  <c r="G106" i="22"/>
  <c r="F106" i="22"/>
  <c r="E106" i="22"/>
  <c r="D106" i="22"/>
  <c r="C106" i="22"/>
  <c r="B106" i="22"/>
  <c r="A106" i="22"/>
  <c r="I105" i="22"/>
  <c r="H105" i="22"/>
  <c r="G105" i="22"/>
  <c r="F105" i="22"/>
  <c r="E105" i="22"/>
  <c r="D105" i="22"/>
  <c r="C105" i="22"/>
  <c r="B105" i="22"/>
  <c r="A105" i="22"/>
  <c r="I104" i="22"/>
  <c r="H104" i="22"/>
  <c r="G104" i="22"/>
  <c r="F104" i="22"/>
  <c r="E104" i="22"/>
  <c r="D104" i="22"/>
  <c r="C104" i="22"/>
  <c r="B104" i="22"/>
  <c r="A104" i="22"/>
  <c r="I103" i="22"/>
  <c r="H103" i="22"/>
  <c r="G103" i="22"/>
  <c r="F103" i="22"/>
  <c r="E103" i="22"/>
  <c r="D103" i="22"/>
  <c r="C103" i="22"/>
  <c r="B103" i="22"/>
  <c r="A103" i="22"/>
  <c r="I102" i="22"/>
  <c r="H102" i="22"/>
  <c r="G102" i="22"/>
  <c r="F102" i="22"/>
  <c r="E102" i="22"/>
  <c r="D102" i="22"/>
  <c r="C102" i="22"/>
  <c r="B102" i="22"/>
  <c r="A102" i="22"/>
  <c r="I101" i="22"/>
  <c r="H101" i="22"/>
  <c r="G101" i="22"/>
  <c r="F101" i="22"/>
  <c r="E101" i="22"/>
  <c r="D101" i="22"/>
  <c r="C101" i="22"/>
  <c r="B101" i="22"/>
  <c r="A101" i="22"/>
  <c r="I100" i="22"/>
  <c r="H100" i="22"/>
  <c r="G100" i="22"/>
  <c r="F100" i="22"/>
  <c r="E100" i="22"/>
  <c r="D100" i="22"/>
  <c r="C100" i="22"/>
  <c r="B100" i="22"/>
  <c r="A100" i="22"/>
  <c r="I99" i="22"/>
  <c r="H99" i="22"/>
  <c r="G99" i="22"/>
  <c r="F99" i="22"/>
  <c r="E99" i="22"/>
  <c r="D99" i="22"/>
  <c r="C99" i="22"/>
  <c r="B99" i="22"/>
  <c r="A99" i="22"/>
  <c r="I98" i="22"/>
  <c r="H98" i="22"/>
  <c r="G98" i="22"/>
  <c r="F98" i="22"/>
  <c r="E98" i="22"/>
  <c r="D98" i="22"/>
  <c r="C98" i="22"/>
  <c r="B98" i="22"/>
  <c r="A98" i="22"/>
  <c r="I97" i="22"/>
  <c r="H97" i="22"/>
  <c r="G97" i="22"/>
  <c r="F97" i="22"/>
  <c r="E97" i="22"/>
  <c r="D97" i="22"/>
  <c r="C97" i="22"/>
  <c r="B97" i="22"/>
  <c r="A97" i="22"/>
  <c r="I96" i="22"/>
  <c r="H96" i="22"/>
  <c r="G96" i="22"/>
  <c r="F96" i="22"/>
  <c r="E96" i="22"/>
  <c r="D96" i="22"/>
  <c r="C96" i="22"/>
  <c r="B96" i="22"/>
  <c r="A96" i="22"/>
  <c r="I95" i="22"/>
  <c r="H95" i="22"/>
  <c r="G95" i="22"/>
  <c r="F95" i="22"/>
  <c r="E95" i="22"/>
  <c r="D95" i="22"/>
  <c r="C95" i="22"/>
  <c r="B95" i="22"/>
  <c r="A95" i="22"/>
  <c r="I94" i="22"/>
  <c r="H94" i="22"/>
  <c r="G94" i="22"/>
  <c r="F94" i="22"/>
  <c r="E94" i="22"/>
  <c r="D94" i="22"/>
  <c r="C94" i="22"/>
  <c r="B94" i="22"/>
  <c r="A94" i="22"/>
  <c r="I93" i="22"/>
  <c r="H93" i="22"/>
  <c r="G93" i="22"/>
  <c r="F93" i="22"/>
  <c r="E93" i="22"/>
  <c r="D93" i="22"/>
  <c r="C93" i="22"/>
  <c r="B93" i="22"/>
  <c r="A93" i="22"/>
  <c r="I92" i="22"/>
  <c r="H92" i="22"/>
  <c r="G92" i="22"/>
  <c r="F92" i="22"/>
  <c r="E92" i="22"/>
  <c r="D92" i="22"/>
  <c r="C92" i="22"/>
  <c r="B92" i="22"/>
  <c r="A92" i="22"/>
  <c r="I91" i="22"/>
  <c r="H91" i="22"/>
  <c r="G91" i="22"/>
  <c r="F91" i="22"/>
  <c r="E91" i="22"/>
  <c r="D91" i="22"/>
  <c r="C91" i="22"/>
  <c r="B91" i="22"/>
  <c r="A91" i="22"/>
  <c r="I90" i="22"/>
  <c r="H90" i="22"/>
  <c r="G90" i="22"/>
  <c r="F90" i="22"/>
  <c r="E90" i="22"/>
  <c r="D90" i="22"/>
  <c r="C90" i="22"/>
  <c r="B90" i="22"/>
  <c r="A90" i="22"/>
  <c r="I89" i="22"/>
  <c r="H89" i="22"/>
  <c r="G89" i="22"/>
  <c r="F89" i="22"/>
  <c r="E89" i="22"/>
  <c r="D89" i="22"/>
  <c r="C89" i="22"/>
  <c r="B89" i="22"/>
  <c r="A89" i="22"/>
  <c r="I88" i="22"/>
  <c r="H88" i="22"/>
  <c r="G88" i="22"/>
  <c r="F88" i="22"/>
  <c r="E88" i="22"/>
  <c r="D88" i="22"/>
  <c r="C88" i="22"/>
  <c r="B88" i="22"/>
  <c r="A88" i="22"/>
  <c r="I87" i="22"/>
  <c r="H87" i="22"/>
  <c r="G87" i="22"/>
  <c r="F87" i="22"/>
  <c r="E87" i="22"/>
  <c r="D87" i="22"/>
  <c r="C87" i="22"/>
  <c r="B87" i="22"/>
  <c r="A87" i="22"/>
  <c r="I86" i="22"/>
  <c r="H86" i="22"/>
  <c r="G86" i="22"/>
  <c r="F86" i="22"/>
  <c r="E86" i="22"/>
  <c r="D86" i="22"/>
  <c r="C86" i="22"/>
  <c r="B86" i="22"/>
  <c r="A86" i="22"/>
  <c r="I85" i="22"/>
  <c r="H85" i="22"/>
  <c r="G85" i="22"/>
  <c r="F85" i="22"/>
  <c r="E85" i="22"/>
  <c r="D85" i="22"/>
  <c r="C85" i="22"/>
  <c r="B85" i="22"/>
  <c r="A85" i="22"/>
  <c r="I84" i="22"/>
  <c r="H84" i="22"/>
  <c r="G84" i="22"/>
  <c r="F84" i="22"/>
  <c r="E84" i="22"/>
  <c r="D84" i="22"/>
  <c r="C84" i="22"/>
  <c r="B84" i="22"/>
  <c r="A84" i="22"/>
  <c r="I83" i="22"/>
  <c r="H83" i="22"/>
  <c r="G83" i="22"/>
  <c r="F83" i="22"/>
  <c r="E83" i="22"/>
  <c r="D83" i="22"/>
  <c r="C83" i="22"/>
  <c r="B83" i="22"/>
  <c r="A83" i="22"/>
  <c r="I82" i="22"/>
  <c r="H82" i="22"/>
  <c r="G82" i="22"/>
  <c r="F82" i="22"/>
  <c r="E82" i="22"/>
  <c r="D82" i="22"/>
  <c r="C82" i="22"/>
  <c r="B82" i="22"/>
  <c r="A82" i="22"/>
  <c r="I81" i="22"/>
  <c r="H81" i="22"/>
  <c r="G81" i="22"/>
  <c r="F81" i="22"/>
  <c r="E81" i="22"/>
  <c r="D81" i="22"/>
  <c r="C81" i="22"/>
  <c r="B81" i="22"/>
  <c r="A81" i="22"/>
  <c r="I80" i="22"/>
  <c r="H80" i="22"/>
  <c r="G80" i="22"/>
  <c r="F80" i="22"/>
  <c r="E80" i="22"/>
  <c r="D80" i="22"/>
  <c r="C80" i="22"/>
  <c r="B80" i="22"/>
  <c r="A80" i="22"/>
  <c r="I79" i="22"/>
  <c r="H79" i="22"/>
  <c r="G79" i="22"/>
  <c r="F79" i="22"/>
  <c r="E79" i="22"/>
  <c r="D79" i="22"/>
  <c r="C79" i="22"/>
  <c r="B79" i="22"/>
  <c r="A79" i="22"/>
  <c r="I78" i="22"/>
  <c r="H78" i="22"/>
  <c r="G78" i="22"/>
  <c r="F78" i="22"/>
  <c r="E78" i="22"/>
  <c r="D78" i="22"/>
  <c r="C78" i="22"/>
  <c r="B78" i="22"/>
  <c r="A78" i="22"/>
  <c r="I77" i="22"/>
  <c r="H77" i="22"/>
  <c r="G77" i="22"/>
  <c r="F77" i="22"/>
  <c r="E77" i="22"/>
  <c r="D77" i="22"/>
  <c r="C77" i="22"/>
  <c r="B77" i="22"/>
  <c r="A77" i="22"/>
  <c r="I76" i="22"/>
  <c r="H76" i="22"/>
  <c r="G76" i="22"/>
  <c r="F76" i="22"/>
  <c r="E76" i="22"/>
  <c r="D76" i="22"/>
  <c r="C76" i="22"/>
  <c r="B76" i="22"/>
  <c r="A76" i="22"/>
  <c r="I75" i="22"/>
  <c r="H75" i="22"/>
  <c r="G75" i="22"/>
  <c r="F75" i="22"/>
  <c r="E75" i="22"/>
  <c r="D75" i="22"/>
  <c r="C75" i="22"/>
  <c r="B75" i="22"/>
  <c r="A75" i="22"/>
  <c r="I74" i="22"/>
  <c r="H74" i="22"/>
  <c r="G74" i="22"/>
  <c r="F74" i="22"/>
  <c r="E74" i="22"/>
  <c r="D74" i="22"/>
  <c r="C74" i="22"/>
  <c r="B74" i="22"/>
  <c r="A74" i="22"/>
  <c r="I73" i="22"/>
  <c r="H73" i="22"/>
  <c r="G73" i="22"/>
  <c r="F73" i="22"/>
  <c r="E73" i="22"/>
  <c r="D73" i="22"/>
  <c r="C73" i="22"/>
  <c r="B73" i="22"/>
  <c r="A73" i="22"/>
  <c r="I72" i="22"/>
  <c r="H72" i="22"/>
  <c r="G72" i="22"/>
  <c r="F72" i="22"/>
  <c r="E72" i="22"/>
  <c r="D72" i="22"/>
  <c r="C72" i="22"/>
  <c r="B72" i="22"/>
  <c r="A72" i="22"/>
  <c r="I71" i="22"/>
  <c r="H71" i="22"/>
  <c r="G71" i="22"/>
  <c r="F71" i="22"/>
  <c r="E71" i="22"/>
  <c r="D71" i="22"/>
  <c r="C71" i="22"/>
  <c r="B71" i="22"/>
  <c r="A71" i="22"/>
  <c r="I70" i="22"/>
  <c r="H70" i="22"/>
  <c r="G70" i="22"/>
  <c r="F70" i="22"/>
  <c r="E70" i="22"/>
  <c r="D70" i="22"/>
  <c r="C70" i="22"/>
  <c r="B70" i="22"/>
  <c r="A70" i="22"/>
  <c r="I69" i="22"/>
  <c r="H69" i="22"/>
  <c r="G69" i="22"/>
  <c r="F69" i="22"/>
  <c r="E69" i="22"/>
  <c r="D69" i="22"/>
  <c r="C69" i="22"/>
  <c r="B69" i="22"/>
  <c r="A69" i="22"/>
  <c r="I68" i="22"/>
  <c r="H68" i="22"/>
  <c r="G68" i="22"/>
  <c r="F68" i="22"/>
  <c r="E68" i="22"/>
  <c r="D68" i="22"/>
  <c r="C68" i="22"/>
  <c r="B68" i="22"/>
  <c r="A68" i="22"/>
  <c r="I67" i="22"/>
  <c r="H67" i="22"/>
  <c r="G67" i="22"/>
  <c r="F67" i="22"/>
  <c r="E67" i="22"/>
  <c r="D67" i="22"/>
  <c r="C67" i="22"/>
  <c r="B67" i="22"/>
  <c r="A67" i="22"/>
  <c r="I66" i="22"/>
  <c r="H66" i="22"/>
  <c r="G66" i="22"/>
  <c r="F66" i="22"/>
  <c r="E66" i="22"/>
  <c r="D66" i="22"/>
  <c r="C66" i="22"/>
  <c r="B66" i="22"/>
  <c r="A66" i="22"/>
  <c r="I65" i="22"/>
  <c r="H65" i="22"/>
  <c r="G65" i="22"/>
  <c r="F65" i="22"/>
  <c r="E65" i="22"/>
  <c r="D65" i="22"/>
  <c r="C65" i="22"/>
  <c r="B65" i="22"/>
  <c r="A65" i="22"/>
  <c r="I64" i="22"/>
  <c r="H64" i="22"/>
  <c r="G64" i="22"/>
  <c r="F64" i="22"/>
  <c r="E64" i="22"/>
  <c r="D64" i="22"/>
  <c r="C64" i="22"/>
  <c r="B64" i="22"/>
  <c r="A64" i="22"/>
  <c r="I63" i="22"/>
  <c r="H63" i="22"/>
  <c r="G63" i="22"/>
  <c r="F63" i="22"/>
  <c r="E63" i="22"/>
  <c r="D63" i="22"/>
  <c r="C63" i="22"/>
  <c r="B63" i="22"/>
  <c r="A63" i="22"/>
  <c r="I62" i="22"/>
  <c r="H62" i="22"/>
  <c r="G62" i="22"/>
  <c r="F62" i="22"/>
  <c r="E62" i="22"/>
  <c r="D62" i="22"/>
  <c r="C62" i="22"/>
  <c r="B62" i="22"/>
  <c r="A62" i="22"/>
  <c r="I61" i="22"/>
  <c r="H61" i="22"/>
  <c r="G61" i="22"/>
  <c r="F61" i="22"/>
  <c r="E61" i="22"/>
  <c r="D61" i="22"/>
  <c r="C61" i="22"/>
  <c r="B61" i="22"/>
  <c r="A61" i="22"/>
  <c r="I60" i="22"/>
  <c r="H60" i="22"/>
  <c r="G60" i="22"/>
  <c r="F60" i="22"/>
  <c r="E60" i="22"/>
  <c r="D60" i="22"/>
  <c r="C60" i="22"/>
  <c r="B60" i="22"/>
  <c r="A60" i="22"/>
  <c r="I59" i="22"/>
  <c r="H59" i="22"/>
  <c r="G59" i="22"/>
  <c r="F59" i="22"/>
  <c r="E59" i="22"/>
  <c r="D59" i="22"/>
  <c r="C59" i="22"/>
  <c r="B59" i="22"/>
  <c r="A59" i="22"/>
  <c r="I58" i="22"/>
  <c r="H58" i="22"/>
  <c r="G58" i="22"/>
  <c r="F58" i="22"/>
  <c r="E58" i="22"/>
  <c r="D58" i="22"/>
  <c r="C58" i="22"/>
  <c r="B58" i="22"/>
  <c r="A58" i="22"/>
  <c r="I57" i="22"/>
  <c r="H57" i="22"/>
  <c r="G57" i="22"/>
  <c r="F57" i="22"/>
  <c r="E57" i="22"/>
  <c r="D57" i="22"/>
  <c r="C57" i="22"/>
  <c r="B57" i="22"/>
  <c r="A57" i="22"/>
  <c r="I56" i="22"/>
  <c r="H56" i="22"/>
  <c r="G56" i="22"/>
  <c r="F56" i="22"/>
  <c r="E56" i="22"/>
  <c r="D56" i="22"/>
  <c r="C56" i="22"/>
  <c r="B56" i="22"/>
  <c r="A56" i="22"/>
  <c r="I55" i="22"/>
  <c r="H55" i="22"/>
  <c r="G55" i="22"/>
  <c r="F55" i="22"/>
  <c r="E55" i="22"/>
  <c r="D55" i="22"/>
  <c r="C55" i="22"/>
  <c r="B55" i="22"/>
  <c r="A55" i="22"/>
  <c r="I54" i="22"/>
  <c r="H54" i="22"/>
  <c r="G54" i="22"/>
  <c r="F54" i="22"/>
  <c r="E54" i="22"/>
  <c r="D54" i="22"/>
  <c r="C54" i="22"/>
  <c r="B54" i="22"/>
  <c r="A54" i="22"/>
  <c r="I53" i="22"/>
  <c r="H53" i="22"/>
  <c r="G53" i="22"/>
  <c r="F53" i="22"/>
  <c r="E53" i="22"/>
  <c r="D53" i="22"/>
  <c r="C53" i="22"/>
  <c r="B53" i="22"/>
  <c r="A53" i="22"/>
  <c r="I52" i="22"/>
  <c r="H52" i="22"/>
  <c r="G52" i="22"/>
  <c r="F52" i="22"/>
  <c r="E52" i="22"/>
  <c r="D52" i="22"/>
  <c r="C52" i="22"/>
  <c r="B52" i="22"/>
  <c r="A52" i="22"/>
  <c r="I51" i="22"/>
  <c r="H51" i="22"/>
  <c r="G51" i="22"/>
  <c r="F51" i="22"/>
  <c r="E51" i="22"/>
  <c r="D51" i="22"/>
  <c r="C51" i="22"/>
  <c r="B51" i="22"/>
  <c r="A51" i="22"/>
  <c r="I50" i="22"/>
  <c r="H50" i="22"/>
  <c r="G50" i="22"/>
  <c r="F50" i="22"/>
  <c r="E50" i="22"/>
  <c r="D50" i="22"/>
  <c r="C50" i="22"/>
  <c r="B50" i="22"/>
  <c r="A50" i="22"/>
  <c r="I49" i="22"/>
  <c r="H49" i="22"/>
  <c r="G49" i="22"/>
  <c r="F49" i="22"/>
  <c r="E49" i="22"/>
  <c r="D49" i="22"/>
  <c r="C49" i="22"/>
  <c r="B49" i="22"/>
  <c r="A49" i="22"/>
  <c r="I48" i="22"/>
  <c r="H48" i="22"/>
  <c r="G48" i="22"/>
  <c r="F48" i="22"/>
  <c r="E48" i="22"/>
  <c r="D48" i="22"/>
  <c r="C48" i="22"/>
  <c r="B48" i="22"/>
  <c r="A48" i="22"/>
  <c r="I47" i="22"/>
  <c r="H47" i="22"/>
  <c r="G47" i="22"/>
  <c r="F47" i="22"/>
  <c r="E47" i="22"/>
  <c r="D47" i="22"/>
  <c r="C47" i="22"/>
  <c r="B47" i="22"/>
  <c r="A47" i="22"/>
  <c r="I46" i="22"/>
  <c r="H46" i="22"/>
  <c r="G46" i="22"/>
  <c r="F46" i="22"/>
  <c r="E46" i="22"/>
  <c r="D46" i="22"/>
  <c r="C46" i="22"/>
  <c r="B46" i="22"/>
  <c r="A46" i="22"/>
  <c r="I45" i="22"/>
  <c r="H45" i="22"/>
  <c r="G45" i="22"/>
  <c r="F45" i="22"/>
  <c r="E45" i="22"/>
  <c r="D45" i="22"/>
  <c r="C45" i="22"/>
  <c r="B45" i="22"/>
  <c r="A45" i="22"/>
  <c r="I44" i="22"/>
  <c r="H44" i="22"/>
  <c r="G44" i="22"/>
  <c r="F44" i="22"/>
  <c r="E44" i="22"/>
  <c r="D44" i="22"/>
  <c r="C44" i="22"/>
  <c r="B44" i="22"/>
  <c r="A44" i="22"/>
  <c r="I43" i="22"/>
  <c r="H43" i="22"/>
  <c r="G43" i="22"/>
  <c r="F43" i="22"/>
  <c r="E43" i="22"/>
  <c r="D43" i="22"/>
  <c r="C43" i="22"/>
  <c r="B43" i="22"/>
  <c r="A43" i="22"/>
  <c r="I42" i="22"/>
  <c r="H42" i="22"/>
  <c r="G42" i="22"/>
  <c r="F42" i="22"/>
  <c r="E42" i="22"/>
  <c r="D42" i="22"/>
  <c r="C42" i="22"/>
  <c r="B42" i="22"/>
  <c r="A42" i="22"/>
  <c r="I41" i="22"/>
  <c r="H41" i="22"/>
  <c r="G41" i="22"/>
  <c r="F41" i="22"/>
  <c r="E41" i="22"/>
  <c r="D41" i="22"/>
  <c r="C41" i="22"/>
  <c r="B41" i="22"/>
  <c r="A41" i="22"/>
  <c r="I40" i="22"/>
  <c r="H40" i="22"/>
  <c r="G40" i="22"/>
  <c r="F40" i="22"/>
  <c r="E40" i="22"/>
  <c r="D40" i="22"/>
  <c r="C40" i="22"/>
  <c r="B40" i="22"/>
  <c r="A40" i="22"/>
  <c r="I39" i="22"/>
  <c r="H39" i="22"/>
  <c r="G39" i="22"/>
  <c r="F39" i="22"/>
  <c r="E39" i="22"/>
  <c r="D39" i="22"/>
  <c r="C39" i="22"/>
  <c r="B39" i="22"/>
  <c r="A39" i="22"/>
  <c r="I38" i="22"/>
  <c r="H38" i="22"/>
  <c r="G38" i="22"/>
  <c r="F38" i="22"/>
  <c r="E38" i="22"/>
  <c r="D38" i="22"/>
  <c r="C38" i="22"/>
  <c r="B38" i="22"/>
  <c r="A38" i="22"/>
  <c r="I37" i="22"/>
  <c r="H37" i="22"/>
  <c r="G37" i="22"/>
  <c r="F37" i="22"/>
  <c r="E37" i="22"/>
  <c r="D37" i="22"/>
  <c r="C37" i="22"/>
  <c r="B37" i="22"/>
  <c r="A37" i="22"/>
  <c r="I36" i="22"/>
  <c r="H36" i="22"/>
  <c r="G36" i="22"/>
  <c r="F36" i="22"/>
  <c r="E36" i="22"/>
  <c r="D36" i="22"/>
  <c r="C36" i="22"/>
  <c r="B36" i="22"/>
  <c r="A36" i="22"/>
  <c r="I35" i="22"/>
  <c r="H35" i="22"/>
  <c r="G35" i="22"/>
  <c r="F35" i="22"/>
  <c r="E35" i="22"/>
  <c r="D35" i="22"/>
  <c r="C35" i="22"/>
  <c r="B35" i="22"/>
  <c r="A35" i="22"/>
  <c r="I34" i="22"/>
  <c r="H34" i="22"/>
  <c r="G34" i="22"/>
  <c r="F34" i="22"/>
  <c r="E34" i="22"/>
  <c r="D34" i="22"/>
  <c r="C34" i="22"/>
  <c r="B34" i="22"/>
  <c r="A34" i="22"/>
  <c r="I33" i="22"/>
  <c r="H33" i="22"/>
  <c r="G33" i="22"/>
  <c r="F33" i="22"/>
  <c r="E33" i="22"/>
  <c r="D33" i="22"/>
  <c r="C33" i="22"/>
  <c r="B33" i="22"/>
  <c r="A33" i="22"/>
  <c r="I32" i="22"/>
  <c r="H32" i="22"/>
  <c r="G32" i="22"/>
  <c r="F32" i="22"/>
  <c r="E32" i="22"/>
  <c r="D32" i="22"/>
  <c r="C32" i="22"/>
  <c r="B32" i="22"/>
  <c r="A32" i="22"/>
  <c r="I31" i="22"/>
  <c r="H31" i="22"/>
  <c r="G31" i="22"/>
  <c r="F31" i="22"/>
  <c r="E31" i="22"/>
  <c r="D31" i="22"/>
  <c r="C31" i="22"/>
  <c r="B31" i="22"/>
  <c r="A31" i="22"/>
  <c r="I30" i="22"/>
  <c r="H30" i="22"/>
  <c r="G30" i="22"/>
  <c r="F30" i="22"/>
  <c r="E30" i="22"/>
  <c r="D30" i="22"/>
  <c r="C30" i="22"/>
  <c r="B30" i="22"/>
  <c r="A30" i="22"/>
  <c r="I29" i="22"/>
  <c r="H29" i="22"/>
  <c r="G29" i="22"/>
  <c r="F29" i="22"/>
  <c r="E29" i="22"/>
  <c r="D29" i="22"/>
  <c r="C29" i="22"/>
  <c r="B29" i="22"/>
  <c r="A29" i="22"/>
  <c r="I28" i="22"/>
  <c r="H28" i="22"/>
  <c r="G28" i="22"/>
  <c r="F28" i="22"/>
  <c r="E28" i="22"/>
  <c r="D28" i="22"/>
  <c r="C28" i="22"/>
  <c r="B28" i="22"/>
  <c r="A28" i="22"/>
  <c r="I27" i="22"/>
  <c r="H27" i="22"/>
  <c r="G27" i="22"/>
  <c r="F27" i="22"/>
  <c r="E27" i="22"/>
  <c r="D27" i="22"/>
  <c r="C27" i="22"/>
  <c r="B27" i="22"/>
  <c r="A27" i="22"/>
  <c r="I26" i="22"/>
  <c r="H26" i="22"/>
  <c r="G26" i="22"/>
  <c r="F26" i="22"/>
  <c r="E26" i="22"/>
  <c r="D26" i="22"/>
  <c r="C26" i="22"/>
  <c r="B26" i="22"/>
  <c r="A26" i="22"/>
  <c r="I25" i="22"/>
  <c r="H25" i="22"/>
  <c r="G25" i="22"/>
  <c r="F25" i="22"/>
  <c r="E25" i="22"/>
  <c r="D25" i="22"/>
  <c r="C25" i="22"/>
  <c r="B25" i="22"/>
  <c r="A25" i="22"/>
  <c r="I24" i="22"/>
  <c r="H24" i="22"/>
  <c r="G24" i="22"/>
  <c r="F24" i="22"/>
  <c r="E24" i="22"/>
  <c r="D24" i="22"/>
  <c r="C24" i="22"/>
  <c r="B24" i="22"/>
  <c r="A24" i="22"/>
  <c r="I23" i="22"/>
  <c r="H23" i="22"/>
  <c r="G23" i="22"/>
  <c r="F23" i="22"/>
  <c r="E23" i="22"/>
  <c r="D23" i="22"/>
  <c r="C23" i="22"/>
  <c r="B23" i="22"/>
  <c r="A23" i="22"/>
  <c r="I22" i="22"/>
  <c r="H22" i="22"/>
  <c r="G22" i="22"/>
  <c r="F22" i="22"/>
  <c r="E22" i="22"/>
  <c r="D22" i="22"/>
  <c r="C22" i="22"/>
  <c r="B22" i="22"/>
  <c r="A22" i="22"/>
  <c r="I21" i="22"/>
  <c r="H21" i="22"/>
  <c r="G21" i="22"/>
  <c r="F21" i="22"/>
  <c r="E21" i="22"/>
  <c r="D21" i="22"/>
  <c r="C21" i="22"/>
  <c r="B21" i="22"/>
  <c r="A21" i="22"/>
  <c r="I20" i="22"/>
  <c r="H20" i="22"/>
  <c r="G20" i="22"/>
  <c r="F20" i="22"/>
  <c r="E20" i="22"/>
  <c r="D20" i="22"/>
  <c r="C20" i="22"/>
  <c r="B20" i="22"/>
  <c r="A20" i="22"/>
  <c r="I19" i="22"/>
  <c r="H19" i="22"/>
  <c r="G19" i="22"/>
  <c r="F19" i="22"/>
  <c r="E19" i="22"/>
  <c r="D19" i="22"/>
  <c r="C19" i="22"/>
  <c r="B19" i="22"/>
  <c r="A19" i="22"/>
  <c r="I18" i="22"/>
  <c r="H18" i="22"/>
  <c r="G18" i="22"/>
  <c r="F18" i="22"/>
  <c r="E18" i="22"/>
  <c r="D18" i="22"/>
  <c r="C18" i="22"/>
  <c r="B18" i="22"/>
  <c r="A18" i="22"/>
  <c r="I17" i="22"/>
  <c r="H17" i="22"/>
  <c r="G17" i="22"/>
  <c r="F17" i="22"/>
  <c r="E17" i="22"/>
  <c r="D17" i="22"/>
  <c r="C17" i="22"/>
  <c r="B17" i="22"/>
  <c r="A17" i="22"/>
  <c r="I16" i="22"/>
  <c r="H16" i="22"/>
  <c r="G16" i="22"/>
  <c r="F16" i="22"/>
  <c r="E16" i="22"/>
  <c r="D16" i="22"/>
  <c r="C16" i="22"/>
  <c r="B16" i="22"/>
  <c r="A16" i="22"/>
  <c r="I15" i="22"/>
  <c r="H15" i="22"/>
  <c r="G15" i="22"/>
  <c r="F15" i="22"/>
  <c r="E15" i="22"/>
  <c r="D15" i="22"/>
  <c r="C15" i="22"/>
  <c r="B15" i="22"/>
  <c r="A15" i="22"/>
  <c r="I14" i="22"/>
  <c r="H14" i="22"/>
  <c r="G14" i="22"/>
  <c r="F14" i="22"/>
  <c r="E14" i="22"/>
  <c r="D14" i="22"/>
  <c r="C14" i="22"/>
  <c r="B14" i="22"/>
  <c r="A14" i="22"/>
  <c r="I13" i="22"/>
  <c r="H13" i="22"/>
  <c r="G13" i="22"/>
  <c r="F13" i="22"/>
  <c r="E13" i="22"/>
  <c r="D13" i="22"/>
  <c r="C13" i="22"/>
  <c r="B13" i="22"/>
  <c r="A13" i="22"/>
  <c r="I12" i="22"/>
  <c r="H12" i="22"/>
  <c r="G12" i="22"/>
  <c r="F12" i="22"/>
  <c r="E12" i="22"/>
  <c r="D12" i="22"/>
  <c r="C12" i="22"/>
  <c r="B12" i="22"/>
  <c r="A12" i="22"/>
  <c r="I11" i="22"/>
  <c r="H11" i="22"/>
  <c r="G11" i="22"/>
  <c r="F11" i="22"/>
  <c r="E11" i="22"/>
  <c r="D11" i="22"/>
  <c r="C11" i="22"/>
  <c r="B11" i="22"/>
  <c r="A11" i="22"/>
  <c r="I10" i="22"/>
  <c r="H10" i="22"/>
  <c r="G10" i="22"/>
  <c r="F10" i="22"/>
  <c r="E10" i="22"/>
  <c r="D10" i="22"/>
  <c r="C10" i="22"/>
  <c r="B10" i="22"/>
  <c r="A10" i="22"/>
  <c r="I9" i="22"/>
  <c r="H9" i="22"/>
  <c r="G9" i="22"/>
  <c r="F9" i="22"/>
  <c r="E9" i="22"/>
  <c r="D9" i="22"/>
  <c r="C9" i="22"/>
  <c r="B9" i="22"/>
  <c r="A9" i="22"/>
  <c r="I8" i="22"/>
  <c r="H8" i="22"/>
  <c r="G8" i="22"/>
  <c r="F8" i="22"/>
  <c r="E8" i="22"/>
  <c r="D8" i="22"/>
  <c r="C8" i="22"/>
  <c r="B8" i="22"/>
  <c r="A8" i="22"/>
  <c r="I7" i="22"/>
  <c r="H7" i="22"/>
  <c r="G7" i="22"/>
  <c r="F7" i="22"/>
  <c r="E7" i="22"/>
  <c r="D7" i="22"/>
  <c r="C7" i="22"/>
  <c r="B7" i="22"/>
  <c r="A7" i="22"/>
  <c r="I6" i="22"/>
  <c r="H6" i="22"/>
  <c r="G6" i="22"/>
  <c r="F6" i="22"/>
  <c r="E6" i="22"/>
  <c r="D6" i="22"/>
  <c r="C6" i="22"/>
  <c r="B6" i="22"/>
  <c r="A6" i="22"/>
  <c r="I5" i="22"/>
  <c r="H5" i="22"/>
  <c r="G5" i="22"/>
  <c r="F5" i="22"/>
  <c r="E5" i="22"/>
  <c r="D5" i="22"/>
  <c r="C5" i="22"/>
  <c r="B5" i="22"/>
  <c r="A5" i="22"/>
  <c r="I4" i="22"/>
  <c r="H4" i="22"/>
  <c r="G4" i="22"/>
  <c r="F4" i="22"/>
  <c r="E4" i="22"/>
  <c r="D4" i="22"/>
  <c r="C4" i="22"/>
  <c r="B4" i="22"/>
  <c r="A4" i="22"/>
  <c r="I3" i="22"/>
  <c r="H3" i="22"/>
  <c r="G3" i="22"/>
  <c r="F3" i="22"/>
  <c r="E3" i="22"/>
  <c r="D3" i="22"/>
  <c r="C3" i="22"/>
  <c r="B3" i="22"/>
  <c r="A3" i="22"/>
  <c r="I2" i="22"/>
  <c r="H2" i="22"/>
  <c r="G2" i="22"/>
  <c r="F2" i="22"/>
  <c r="E2" i="22"/>
  <c r="D2" i="22"/>
  <c r="C2" i="22"/>
  <c r="B2" i="22"/>
  <c r="A2" i="22"/>
  <c r="I1" i="22"/>
  <c r="H1" i="22"/>
  <c r="G1" i="22"/>
  <c r="F1" i="22"/>
  <c r="E1" i="22"/>
  <c r="D1" i="22"/>
  <c r="C1" i="22"/>
  <c r="B1" i="22"/>
  <c r="A1" i="22"/>
  <c r="I277" i="21"/>
  <c r="H277" i="21"/>
  <c r="G277" i="21"/>
  <c r="F277" i="21"/>
  <c r="E277" i="21"/>
  <c r="D277" i="21"/>
  <c r="C277" i="21"/>
  <c r="B277" i="21"/>
  <c r="A277" i="21"/>
  <c r="I276" i="21"/>
  <c r="H276" i="21"/>
  <c r="G276" i="21"/>
  <c r="F276" i="21"/>
  <c r="E276" i="21"/>
  <c r="D276" i="21"/>
  <c r="C276" i="21"/>
  <c r="B276" i="21"/>
  <c r="A276" i="21"/>
  <c r="I275" i="21"/>
  <c r="H275" i="21"/>
  <c r="G275" i="21"/>
  <c r="F275" i="21"/>
  <c r="E275" i="21"/>
  <c r="D275" i="21"/>
  <c r="C275" i="21"/>
  <c r="B275" i="21"/>
  <c r="A275" i="21"/>
  <c r="I274" i="21"/>
  <c r="H274" i="21"/>
  <c r="G274" i="21"/>
  <c r="F274" i="21"/>
  <c r="E274" i="21"/>
  <c r="D274" i="21"/>
  <c r="C274" i="21"/>
  <c r="B274" i="21"/>
  <c r="A274" i="21"/>
  <c r="I273" i="21"/>
  <c r="H273" i="21"/>
  <c r="G273" i="21"/>
  <c r="F273" i="21"/>
  <c r="E273" i="21"/>
  <c r="D273" i="21"/>
  <c r="C273" i="21"/>
  <c r="B273" i="21"/>
  <c r="A273" i="21"/>
  <c r="I272" i="21"/>
  <c r="H272" i="21"/>
  <c r="G272" i="21"/>
  <c r="F272" i="21"/>
  <c r="E272" i="21"/>
  <c r="D272" i="21"/>
  <c r="C272" i="21"/>
  <c r="B272" i="21"/>
  <c r="A272" i="21"/>
  <c r="I271" i="21"/>
  <c r="H271" i="21"/>
  <c r="G271" i="21"/>
  <c r="F271" i="21"/>
  <c r="E271" i="21"/>
  <c r="D271" i="21"/>
  <c r="C271" i="21"/>
  <c r="B271" i="21"/>
  <c r="A271" i="21"/>
  <c r="I270" i="21"/>
  <c r="H270" i="21"/>
  <c r="G270" i="21"/>
  <c r="F270" i="21"/>
  <c r="E270" i="21"/>
  <c r="D270" i="21"/>
  <c r="C270" i="21"/>
  <c r="B270" i="21"/>
  <c r="A270" i="21"/>
  <c r="I269" i="21"/>
  <c r="H269" i="21"/>
  <c r="G269" i="21"/>
  <c r="F269" i="21"/>
  <c r="E269" i="21"/>
  <c r="D269" i="21"/>
  <c r="C269" i="21"/>
  <c r="B269" i="21"/>
  <c r="A269" i="21"/>
  <c r="I268" i="21"/>
  <c r="H268" i="21"/>
  <c r="G268" i="21"/>
  <c r="F268" i="21"/>
  <c r="E268" i="21"/>
  <c r="D268" i="21"/>
  <c r="C268" i="21"/>
  <c r="B268" i="21"/>
  <c r="A268" i="21"/>
  <c r="I267" i="21"/>
  <c r="H267" i="21"/>
  <c r="G267" i="21"/>
  <c r="F267" i="21"/>
  <c r="E267" i="21"/>
  <c r="D267" i="21"/>
  <c r="C267" i="21"/>
  <c r="B267" i="21"/>
  <c r="A267" i="21"/>
  <c r="I266" i="21"/>
  <c r="H266" i="21"/>
  <c r="G266" i="21"/>
  <c r="F266" i="21"/>
  <c r="E266" i="21"/>
  <c r="D266" i="21"/>
  <c r="C266" i="21"/>
  <c r="B266" i="21"/>
  <c r="A266" i="21"/>
  <c r="I265" i="21"/>
  <c r="H265" i="21"/>
  <c r="G265" i="21"/>
  <c r="F265" i="21"/>
  <c r="E265" i="21"/>
  <c r="D265" i="21"/>
  <c r="C265" i="21"/>
  <c r="B265" i="21"/>
  <c r="A265" i="21"/>
  <c r="I264" i="21"/>
  <c r="H264" i="21"/>
  <c r="G264" i="21"/>
  <c r="F264" i="21"/>
  <c r="E264" i="21"/>
  <c r="D264" i="21"/>
  <c r="C264" i="21"/>
  <c r="B264" i="21"/>
  <c r="A264" i="21"/>
  <c r="I263" i="21"/>
  <c r="H263" i="21"/>
  <c r="G263" i="21"/>
  <c r="F263" i="21"/>
  <c r="E263" i="21"/>
  <c r="D263" i="21"/>
  <c r="C263" i="21"/>
  <c r="B263" i="21"/>
  <c r="A263" i="21"/>
  <c r="I262" i="21"/>
  <c r="H262" i="21"/>
  <c r="G262" i="21"/>
  <c r="F262" i="21"/>
  <c r="E262" i="21"/>
  <c r="D262" i="21"/>
  <c r="C262" i="21"/>
  <c r="B262" i="21"/>
  <c r="A262" i="21"/>
  <c r="I261" i="21"/>
  <c r="H261" i="21"/>
  <c r="G261" i="21"/>
  <c r="F261" i="21"/>
  <c r="E261" i="21"/>
  <c r="D261" i="21"/>
  <c r="C261" i="21"/>
  <c r="B261" i="21"/>
  <c r="A261" i="21"/>
  <c r="I260" i="21"/>
  <c r="H260" i="21"/>
  <c r="G260" i="21"/>
  <c r="F260" i="21"/>
  <c r="E260" i="21"/>
  <c r="D260" i="21"/>
  <c r="C260" i="21"/>
  <c r="B260" i="21"/>
  <c r="A260" i="21"/>
  <c r="I259" i="21"/>
  <c r="H259" i="21"/>
  <c r="G259" i="21"/>
  <c r="F259" i="21"/>
  <c r="E259" i="21"/>
  <c r="D259" i="21"/>
  <c r="C259" i="21"/>
  <c r="B259" i="21"/>
  <c r="A259" i="21"/>
  <c r="I258" i="21"/>
  <c r="H258" i="21"/>
  <c r="G258" i="21"/>
  <c r="F258" i="21"/>
  <c r="E258" i="21"/>
  <c r="D258" i="21"/>
  <c r="C258" i="21"/>
  <c r="B258" i="21"/>
  <c r="A258" i="21"/>
  <c r="I257" i="21"/>
  <c r="H257" i="21"/>
  <c r="G257" i="21"/>
  <c r="F257" i="21"/>
  <c r="E257" i="21"/>
  <c r="D257" i="21"/>
  <c r="C257" i="21"/>
  <c r="B257" i="21"/>
  <c r="A257" i="21"/>
  <c r="I256" i="21"/>
  <c r="H256" i="21"/>
  <c r="G256" i="21"/>
  <c r="F256" i="21"/>
  <c r="E256" i="21"/>
  <c r="D256" i="21"/>
  <c r="C256" i="21"/>
  <c r="B256" i="21"/>
  <c r="A256" i="21"/>
  <c r="I255" i="21"/>
  <c r="H255" i="21"/>
  <c r="G255" i="21"/>
  <c r="F255" i="21"/>
  <c r="E255" i="21"/>
  <c r="D255" i="21"/>
  <c r="C255" i="21"/>
  <c r="B255" i="21"/>
  <c r="A255" i="21"/>
  <c r="I254" i="21"/>
  <c r="H254" i="21"/>
  <c r="G254" i="21"/>
  <c r="F254" i="21"/>
  <c r="E254" i="21"/>
  <c r="D254" i="21"/>
  <c r="C254" i="21"/>
  <c r="B254" i="21"/>
  <c r="A254" i="21"/>
  <c r="I253" i="21"/>
  <c r="H253" i="21"/>
  <c r="G253" i="21"/>
  <c r="F253" i="21"/>
  <c r="E253" i="21"/>
  <c r="D253" i="21"/>
  <c r="C253" i="21"/>
  <c r="B253" i="21"/>
  <c r="A253" i="21"/>
  <c r="I252" i="21"/>
  <c r="H252" i="21"/>
  <c r="G252" i="21"/>
  <c r="F252" i="21"/>
  <c r="E252" i="21"/>
  <c r="D252" i="21"/>
  <c r="C252" i="21"/>
  <c r="B252" i="21"/>
  <c r="A252" i="21"/>
  <c r="I251" i="21"/>
  <c r="H251" i="21"/>
  <c r="G251" i="21"/>
  <c r="F251" i="21"/>
  <c r="E251" i="21"/>
  <c r="D251" i="21"/>
  <c r="C251" i="21"/>
  <c r="B251" i="21"/>
  <c r="A251" i="21"/>
  <c r="I250" i="21"/>
  <c r="H250" i="21"/>
  <c r="G250" i="21"/>
  <c r="F250" i="21"/>
  <c r="E250" i="21"/>
  <c r="D250" i="21"/>
  <c r="C250" i="21"/>
  <c r="B250" i="21"/>
  <c r="A250" i="21"/>
  <c r="I249" i="21"/>
  <c r="H249" i="21"/>
  <c r="G249" i="21"/>
  <c r="F249" i="21"/>
  <c r="E249" i="21"/>
  <c r="D249" i="21"/>
  <c r="C249" i="21"/>
  <c r="B249" i="21"/>
  <c r="A249" i="21"/>
  <c r="I248" i="21"/>
  <c r="H248" i="21"/>
  <c r="G248" i="21"/>
  <c r="F248" i="21"/>
  <c r="E248" i="21"/>
  <c r="D248" i="21"/>
  <c r="C248" i="21"/>
  <c r="B248" i="21"/>
  <c r="A248" i="21"/>
  <c r="I247" i="21"/>
  <c r="H247" i="21"/>
  <c r="G247" i="21"/>
  <c r="F247" i="21"/>
  <c r="E247" i="21"/>
  <c r="D247" i="21"/>
  <c r="C247" i="21"/>
  <c r="B247" i="21"/>
  <c r="A247" i="21"/>
  <c r="I246" i="21"/>
  <c r="H246" i="21"/>
  <c r="G246" i="21"/>
  <c r="F246" i="21"/>
  <c r="E246" i="21"/>
  <c r="D246" i="21"/>
  <c r="C246" i="21"/>
  <c r="B246" i="21"/>
  <c r="A246" i="21"/>
  <c r="I245" i="21"/>
  <c r="H245" i="21"/>
  <c r="G245" i="21"/>
  <c r="F245" i="21"/>
  <c r="E245" i="21"/>
  <c r="D245" i="21"/>
  <c r="C245" i="21"/>
  <c r="B245" i="21"/>
  <c r="A245" i="21"/>
  <c r="I244" i="21"/>
  <c r="H244" i="21"/>
  <c r="G244" i="21"/>
  <c r="F244" i="21"/>
  <c r="E244" i="21"/>
  <c r="D244" i="21"/>
  <c r="C244" i="21"/>
  <c r="B244" i="21"/>
  <c r="A244" i="21"/>
  <c r="I243" i="21"/>
  <c r="H243" i="21"/>
  <c r="G243" i="21"/>
  <c r="F243" i="21"/>
  <c r="E243" i="21"/>
  <c r="D243" i="21"/>
  <c r="C243" i="21"/>
  <c r="B243" i="21"/>
  <c r="A243" i="21"/>
  <c r="I242" i="21"/>
  <c r="H242" i="21"/>
  <c r="G242" i="21"/>
  <c r="F242" i="21"/>
  <c r="E242" i="21"/>
  <c r="D242" i="21"/>
  <c r="C242" i="21"/>
  <c r="B242" i="21"/>
  <c r="A242" i="21"/>
  <c r="I241" i="21"/>
  <c r="H241" i="21"/>
  <c r="G241" i="21"/>
  <c r="F241" i="21"/>
  <c r="E241" i="21"/>
  <c r="D241" i="21"/>
  <c r="C241" i="21"/>
  <c r="B241" i="21"/>
  <c r="A241" i="21"/>
  <c r="I240" i="21"/>
  <c r="H240" i="21"/>
  <c r="G240" i="21"/>
  <c r="F240" i="21"/>
  <c r="E240" i="21"/>
  <c r="D240" i="21"/>
  <c r="C240" i="21"/>
  <c r="B240" i="21"/>
  <c r="A240" i="21"/>
  <c r="I239" i="21"/>
  <c r="H239" i="21"/>
  <c r="G239" i="21"/>
  <c r="F239" i="21"/>
  <c r="E239" i="21"/>
  <c r="D239" i="21"/>
  <c r="C239" i="21"/>
  <c r="B239" i="21"/>
  <c r="A239" i="21"/>
  <c r="I238" i="21"/>
  <c r="H238" i="21"/>
  <c r="G238" i="21"/>
  <c r="F238" i="21"/>
  <c r="E238" i="21"/>
  <c r="D238" i="21"/>
  <c r="C238" i="21"/>
  <c r="B238" i="21"/>
  <c r="A238" i="21"/>
  <c r="I237" i="21"/>
  <c r="H237" i="21"/>
  <c r="G237" i="21"/>
  <c r="F237" i="21"/>
  <c r="E237" i="21"/>
  <c r="D237" i="21"/>
  <c r="C237" i="21"/>
  <c r="B237" i="21"/>
  <c r="A237" i="21"/>
  <c r="I236" i="21"/>
  <c r="H236" i="21"/>
  <c r="G236" i="21"/>
  <c r="F236" i="21"/>
  <c r="E236" i="21"/>
  <c r="D236" i="21"/>
  <c r="C236" i="21"/>
  <c r="B236" i="21"/>
  <c r="A236" i="21"/>
  <c r="I235" i="21"/>
  <c r="H235" i="21"/>
  <c r="G235" i="21"/>
  <c r="F235" i="21"/>
  <c r="E235" i="21"/>
  <c r="D235" i="21"/>
  <c r="C235" i="21"/>
  <c r="B235" i="21"/>
  <c r="A235" i="21"/>
  <c r="I234" i="21"/>
  <c r="H234" i="21"/>
  <c r="G234" i="21"/>
  <c r="F234" i="21"/>
  <c r="E234" i="21"/>
  <c r="D234" i="21"/>
  <c r="C234" i="21"/>
  <c r="B234" i="21"/>
  <c r="A234" i="21"/>
  <c r="I233" i="21"/>
  <c r="H233" i="21"/>
  <c r="G233" i="21"/>
  <c r="F233" i="21"/>
  <c r="E233" i="21"/>
  <c r="D233" i="21"/>
  <c r="C233" i="21"/>
  <c r="B233" i="21"/>
  <c r="A233" i="21"/>
  <c r="I232" i="21"/>
  <c r="H232" i="21"/>
  <c r="G232" i="21"/>
  <c r="F232" i="21"/>
  <c r="E232" i="21"/>
  <c r="D232" i="21"/>
  <c r="C232" i="21"/>
  <c r="B232" i="21"/>
  <c r="A232" i="21"/>
  <c r="I231" i="21"/>
  <c r="H231" i="21"/>
  <c r="G231" i="21"/>
  <c r="F231" i="21"/>
  <c r="E231" i="21"/>
  <c r="D231" i="21"/>
  <c r="C231" i="21"/>
  <c r="B231" i="21"/>
  <c r="A231" i="21"/>
  <c r="I230" i="21"/>
  <c r="H230" i="21"/>
  <c r="G230" i="21"/>
  <c r="F230" i="21"/>
  <c r="E230" i="21"/>
  <c r="D230" i="21"/>
  <c r="C230" i="21"/>
  <c r="B230" i="21"/>
  <c r="A230" i="21"/>
  <c r="I229" i="21"/>
  <c r="H229" i="21"/>
  <c r="G229" i="21"/>
  <c r="F229" i="21"/>
  <c r="E229" i="21"/>
  <c r="D229" i="21"/>
  <c r="C229" i="21"/>
  <c r="B229" i="21"/>
  <c r="A229" i="21"/>
  <c r="I228" i="21"/>
  <c r="H228" i="21"/>
  <c r="G228" i="21"/>
  <c r="F228" i="21"/>
  <c r="E228" i="21"/>
  <c r="D228" i="21"/>
  <c r="C228" i="21"/>
  <c r="B228" i="21"/>
  <c r="A228" i="21"/>
  <c r="I227" i="21"/>
  <c r="H227" i="21"/>
  <c r="G227" i="21"/>
  <c r="F227" i="21"/>
  <c r="E227" i="21"/>
  <c r="D227" i="21"/>
  <c r="C227" i="21"/>
  <c r="B227" i="21"/>
  <c r="A227" i="21"/>
  <c r="I226" i="21"/>
  <c r="H226" i="21"/>
  <c r="G226" i="21"/>
  <c r="F226" i="21"/>
  <c r="E226" i="21"/>
  <c r="D226" i="21"/>
  <c r="C226" i="21"/>
  <c r="B226" i="21"/>
  <c r="A226" i="21"/>
  <c r="I225" i="21"/>
  <c r="H225" i="21"/>
  <c r="G225" i="21"/>
  <c r="F225" i="21"/>
  <c r="E225" i="21"/>
  <c r="D225" i="21"/>
  <c r="C225" i="21"/>
  <c r="B225" i="21"/>
  <c r="A225" i="21"/>
  <c r="I224" i="21"/>
  <c r="H224" i="21"/>
  <c r="G224" i="21"/>
  <c r="F224" i="21"/>
  <c r="E224" i="21"/>
  <c r="D224" i="21"/>
  <c r="C224" i="21"/>
  <c r="B224" i="21"/>
  <c r="A224" i="21"/>
  <c r="I223" i="21"/>
  <c r="H223" i="21"/>
  <c r="G223" i="21"/>
  <c r="F223" i="21"/>
  <c r="E223" i="21"/>
  <c r="D223" i="21"/>
  <c r="C223" i="21"/>
  <c r="B223" i="21"/>
  <c r="A223" i="21"/>
  <c r="I222" i="21"/>
  <c r="H222" i="21"/>
  <c r="G222" i="21"/>
  <c r="F222" i="21"/>
  <c r="E222" i="21"/>
  <c r="D222" i="21"/>
  <c r="C222" i="21"/>
  <c r="B222" i="21"/>
  <c r="A222" i="21"/>
  <c r="I221" i="21"/>
  <c r="H221" i="21"/>
  <c r="G221" i="21"/>
  <c r="F221" i="21"/>
  <c r="E221" i="21"/>
  <c r="D221" i="21"/>
  <c r="C221" i="21"/>
  <c r="B221" i="21"/>
  <c r="A221" i="21"/>
  <c r="I220" i="21"/>
  <c r="H220" i="21"/>
  <c r="G220" i="21"/>
  <c r="F220" i="21"/>
  <c r="E220" i="21"/>
  <c r="D220" i="21"/>
  <c r="C220" i="21"/>
  <c r="B220" i="21"/>
  <c r="A220" i="21"/>
  <c r="I219" i="21"/>
  <c r="H219" i="21"/>
  <c r="G219" i="21"/>
  <c r="F219" i="21"/>
  <c r="E219" i="21"/>
  <c r="D219" i="21"/>
  <c r="C219" i="21"/>
  <c r="B219" i="21"/>
  <c r="A219" i="21"/>
  <c r="I218" i="21"/>
  <c r="H218" i="21"/>
  <c r="G218" i="21"/>
  <c r="F218" i="21"/>
  <c r="E218" i="21"/>
  <c r="D218" i="21"/>
  <c r="C218" i="21"/>
  <c r="B218" i="21"/>
  <c r="A218" i="21"/>
  <c r="I217" i="21"/>
  <c r="H217" i="21"/>
  <c r="G217" i="21"/>
  <c r="F217" i="21"/>
  <c r="E217" i="21"/>
  <c r="D217" i="21"/>
  <c r="C217" i="21"/>
  <c r="B217" i="21"/>
  <c r="A217" i="21"/>
  <c r="I216" i="21"/>
  <c r="H216" i="21"/>
  <c r="G216" i="21"/>
  <c r="F216" i="21"/>
  <c r="E216" i="21"/>
  <c r="D216" i="21"/>
  <c r="C216" i="21"/>
  <c r="B216" i="21"/>
  <c r="A216" i="21"/>
  <c r="I215" i="21"/>
  <c r="H215" i="21"/>
  <c r="G215" i="21"/>
  <c r="F215" i="21"/>
  <c r="E215" i="21"/>
  <c r="D215" i="21"/>
  <c r="C215" i="21"/>
  <c r="B215" i="21"/>
  <c r="A215" i="21"/>
  <c r="I214" i="21"/>
  <c r="H214" i="21"/>
  <c r="G214" i="21"/>
  <c r="F214" i="21"/>
  <c r="E214" i="21"/>
  <c r="D214" i="21"/>
  <c r="C214" i="21"/>
  <c r="B214" i="21"/>
  <c r="A214" i="21"/>
  <c r="I213" i="21"/>
  <c r="H213" i="21"/>
  <c r="G213" i="21"/>
  <c r="F213" i="21"/>
  <c r="E213" i="21"/>
  <c r="D213" i="21"/>
  <c r="C213" i="21"/>
  <c r="B213" i="21"/>
  <c r="A213" i="21"/>
  <c r="I212" i="21"/>
  <c r="H212" i="21"/>
  <c r="G212" i="21"/>
  <c r="F212" i="21"/>
  <c r="E212" i="21"/>
  <c r="D212" i="21"/>
  <c r="C212" i="21"/>
  <c r="B212" i="21"/>
  <c r="A212" i="21"/>
  <c r="I211" i="21"/>
  <c r="H211" i="21"/>
  <c r="G211" i="21"/>
  <c r="F211" i="21"/>
  <c r="E211" i="21"/>
  <c r="D211" i="21"/>
  <c r="C211" i="21"/>
  <c r="B211" i="21"/>
  <c r="A211" i="21"/>
  <c r="I210" i="21"/>
  <c r="H210" i="21"/>
  <c r="G210" i="21"/>
  <c r="F210" i="21"/>
  <c r="E210" i="21"/>
  <c r="D210" i="21"/>
  <c r="C210" i="21"/>
  <c r="B210" i="21"/>
  <c r="A210" i="21"/>
  <c r="I209" i="21"/>
  <c r="H209" i="21"/>
  <c r="G209" i="21"/>
  <c r="F209" i="21"/>
  <c r="E209" i="21"/>
  <c r="D209" i="21"/>
  <c r="C209" i="21"/>
  <c r="B209" i="21"/>
  <c r="A209" i="21"/>
  <c r="I208" i="21"/>
  <c r="H208" i="21"/>
  <c r="G208" i="21"/>
  <c r="F208" i="21"/>
  <c r="E208" i="21"/>
  <c r="D208" i="21"/>
  <c r="C208" i="21"/>
  <c r="B208" i="21"/>
  <c r="A208" i="21"/>
  <c r="I207" i="21"/>
  <c r="H207" i="21"/>
  <c r="G207" i="21"/>
  <c r="F207" i="21"/>
  <c r="E207" i="21"/>
  <c r="D207" i="21"/>
  <c r="C207" i="21"/>
  <c r="B207" i="21"/>
  <c r="A207" i="21"/>
  <c r="I206" i="21"/>
  <c r="H206" i="21"/>
  <c r="G206" i="21"/>
  <c r="F206" i="21"/>
  <c r="E206" i="21"/>
  <c r="D206" i="21"/>
  <c r="C206" i="21"/>
  <c r="B206" i="21"/>
  <c r="A206" i="21"/>
  <c r="I205" i="21"/>
  <c r="H205" i="21"/>
  <c r="G205" i="21"/>
  <c r="F205" i="21"/>
  <c r="E205" i="21"/>
  <c r="D205" i="21"/>
  <c r="C205" i="21"/>
  <c r="B205" i="21"/>
  <c r="A205" i="21"/>
  <c r="I204" i="21"/>
  <c r="H204" i="21"/>
  <c r="G204" i="21"/>
  <c r="F204" i="21"/>
  <c r="E204" i="21"/>
  <c r="D204" i="21"/>
  <c r="C204" i="21"/>
  <c r="B204" i="21"/>
  <c r="A204" i="21"/>
  <c r="I203" i="21"/>
  <c r="H203" i="21"/>
  <c r="G203" i="21"/>
  <c r="F203" i="21"/>
  <c r="E203" i="21"/>
  <c r="D203" i="21"/>
  <c r="C203" i="21"/>
  <c r="B203" i="21"/>
  <c r="A203" i="21"/>
  <c r="I202" i="21"/>
  <c r="H202" i="21"/>
  <c r="G202" i="21"/>
  <c r="F202" i="21"/>
  <c r="E202" i="21"/>
  <c r="D202" i="21"/>
  <c r="C202" i="21"/>
  <c r="B202" i="21"/>
  <c r="A202" i="21"/>
  <c r="I201" i="21"/>
  <c r="H201" i="21"/>
  <c r="G201" i="21"/>
  <c r="F201" i="21"/>
  <c r="E201" i="21"/>
  <c r="D201" i="21"/>
  <c r="C201" i="21"/>
  <c r="B201" i="21"/>
  <c r="A201" i="21"/>
  <c r="I200" i="21"/>
  <c r="H200" i="21"/>
  <c r="G200" i="21"/>
  <c r="F200" i="21"/>
  <c r="E200" i="21"/>
  <c r="D200" i="21"/>
  <c r="C200" i="21"/>
  <c r="B200" i="21"/>
  <c r="A200" i="21"/>
  <c r="I199" i="21"/>
  <c r="H199" i="21"/>
  <c r="G199" i="21"/>
  <c r="F199" i="21"/>
  <c r="E199" i="21"/>
  <c r="D199" i="21"/>
  <c r="C199" i="21"/>
  <c r="B199" i="21"/>
  <c r="A199" i="21"/>
  <c r="I198" i="21"/>
  <c r="H198" i="21"/>
  <c r="G198" i="21"/>
  <c r="F198" i="21"/>
  <c r="E198" i="21"/>
  <c r="D198" i="21"/>
  <c r="C198" i="21"/>
  <c r="B198" i="21"/>
  <c r="A198" i="21"/>
  <c r="I197" i="21"/>
  <c r="H197" i="21"/>
  <c r="G197" i="21"/>
  <c r="F197" i="21"/>
  <c r="E197" i="21"/>
  <c r="D197" i="21"/>
  <c r="C197" i="21"/>
  <c r="B197" i="21"/>
  <c r="A197" i="21"/>
  <c r="I196" i="21"/>
  <c r="H196" i="21"/>
  <c r="G196" i="21"/>
  <c r="F196" i="21"/>
  <c r="E196" i="21"/>
  <c r="D196" i="21"/>
  <c r="C196" i="21"/>
  <c r="B196" i="21"/>
  <c r="A196" i="21"/>
  <c r="I195" i="21"/>
  <c r="H195" i="21"/>
  <c r="G195" i="21"/>
  <c r="F195" i="21"/>
  <c r="E195" i="21"/>
  <c r="D195" i="21"/>
  <c r="C195" i="21"/>
  <c r="B195" i="21"/>
  <c r="A195" i="21"/>
  <c r="I194" i="21"/>
  <c r="H194" i="21"/>
  <c r="G194" i="21"/>
  <c r="F194" i="21"/>
  <c r="E194" i="21"/>
  <c r="D194" i="21"/>
  <c r="C194" i="21"/>
  <c r="B194" i="21"/>
  <c r="A194" i="21"/>
  <c r="I193" i="21"/>
  <c r="H193" i="21"/>
  <c r="G193" i="21"/>
  <c r="F193" i="21"/>
  <c r="E193" i="21"/>
  <c r="D193" i="21"/>
  <c r="C193" i="21"/>
  <c r="B193" i="21"/>
  <c r="A193" i="21"/>
  <c r="I192" i="21"/>
  <c r="H192" i="21"/>
  <c r="G192" i="21"/>
  <c r="F192" i="21"/>
  <c r="E192" i="21"/>
  <c r="D192" i="21"/>
  <c r="C192" i="21"/>
  <c r="B192" i="21"/>
  <c r="A192" i="21"/>
  <c r="I191" i="21"/>
  <c r="H191" i="21"/>
  <c r="G191" i="21"/>
  <c r="F191" i="21"/>
  <c r="E191" i="21"/>
  <c r="D191" i="21"/>
  <c r="C191" i="21"/>
  <c r="B191" i="21"/>
  <c r="A191" i="21"/>
  <c r="I190" i="21"/>
  <c r="H190" i="21"/>
  <c r="G190" i="21"/>
  <c r="F190" i="21"/>
  <c r="E190" i="21"/>
  <c r="D190" i="21"/>
  <c r="C190" i="21"/>
  <c r="B190" i="21"/>
  <c r="A190" i="21"/>
  <c r="I189" i="21"/>
  <c r="H189" i="21"/>
  <c r="G189" i="21"/>
  <c r="F189" i="21"/>
  <c r="E189" i="21"/>
  <c r="D189" i="21"/>
  <c r="C189" i="21"/>
  <c r="B189" i="21"/>
  <c r="A189" i="21"/>
  <c r="I188" i="21"/>
  <c r="H188" i="21"/>
  <c r="G188" i="21"/>
  <c r="F188" i="21"/>
  <c r="E188" i="21"/>
  <c r="D188" i="21"/>
  <c r="C188" i="21"/>
  <c r="B188" i="21"/>
  <c r="A188" i="21"/>
  <c r="I187" i="21"/>
  <c r="H187" i="21"/>
  <c r="G187" i="21"/>
  <c r="F187" i="21"/>
  <c r="E187" i="21"/>
  <c r="D187" i="21"/>
  <c r="C187" i="21"/>
  <c r="B187" i="21"/>
  <c r="A187" i="21"/>
  <c r="I186" i="21"/>
  <c r="H186" i="21"/>
  <c r="G186" i="21"/>
  <c r="F186" i="21"/>
  <c r="E186" i="21"/>
  <c r="D186" i="21"/>
  <c r="C186" i="21"/>
  <c r="B186" i="21"/>
  <c r="A186" i="21"/>
  <c r="I185" i="21"/>
  <c r="H185" i="21"/>
  <c r="G185" i="21"/>
  <c r="F185" i="21"/>
  <c r="E185" i="21"/>
  <c r="D185" i="21"/>
  <c r="C185" i="21"/>
  <c r="B185" i="21"/>
  <c r="A185" i="21"/>
  <c r="I184" i="21"/>
  <c r="H184" i="21"/>
  <c r="G184" i="21"/>
  <c r="F184" i="21"/>
  <c r="E184" i="21"/>
  <c r="D184" i="21"/>
  <c r="C184" i="21"/>
  <c r="B184" i="21"/>
  <c r="A184" i="21"/>
  <c r="I183" i="21"/>
  <c r="H183" i="21"/>
  <c r="G183" i="21"/>
  <c r="F183" i="21"/>
  <c r="E183" i="21"/>
  <c r="D183" i="21"/>
  <c r="C183" i="21"/>
  <c r="B183" i="21"/>
  <c r="A183" i="21"/>
  <c r="I182" i="21"/>
  <c r="H182" i="21"/>
  <c r="G182" i="21"/>
  <c r="F182" i="21"/>
  <c r="E182" i="21"/>
  <c r="D182" i="21"/>
  <c r="C182" i="21"/>
  <c r="B182" i="21"/>
  <c r="A182" i="21"/>
  <c r="I181" i="21"/>
  <c r="H181" i="21"/>
  <c r="G181" i="21"/>
  <c r="F181" i="21"/>
  <c r="E181" i="21"/>
  <c r="D181" i="21"/>
  <c r="C181" i="21"/>
  <c r="B181" i="21"/>
  <c r="A181" i="21"/>
  <c r="I180" i="21"/>
  <c r="H180" i="21"/>
  <c r="G180" i="21"/>
  <c r="F180" i="21"/>
  <c r="E180" i="21"/>
  <c r="D180" i="21"/>
  <c r="C180" i="21"/>
  <c r="B180" i="21"/>
  <c r="A180" i="21"/>
  <c r="I179" i="21"/>
  <c r="H179" i="21"/>
  <c r="G179" i="21"/>
  <c r="F179" i="21"/>
  <c r="E179" i="21"/>
  <c r="D179" i="21"/>
  <c r="C179" i="21"/>
  <c r="B179" i="21"/>
  <c r="A179" i="21"/>
  <c r="I178" i="21"/>
  <c r="H178" i="21"/>
  <c r="G178" i="21"/>
  <c r="F178" i="21"/>
  <c r="E178" i="21"/>
  <c r="D178" i="21"/>
  <c r="C178" i="21"/>
  <c r="B178" i="21"/>
  <c r="A178" i="21"/>
  <c r="I177" i="21"/>
  <c r="H177" i="21"/>
  <c r="G177" i="21"/>
  <c r="F177" i="21"/>
  <c r="E177" i="21"/>
  <c r="D177" i="21"/>
  <c r="C177" i="21"/>
  <c r="B177" i="21"/>
  <c r="A177" i="21"/>
  <c r="I176" i="21"/>
  <c r="H176" i="21"/>
  <c r="G176" i="21"/>
  <c r="F176" i="21"/>
  <c r="E176" i="21"/>
  <c r="D176" i="21"/>
  <c r="C176" i="21"/>
  <c r="B176" i="21"/>
  <c r="A176" i="21"/>
  <c r="I175" i="21"/>
  <c r="H175" i="21"/>
  <c r="G175" i="21"/>
  <c r="F175" i="21"/>
  <c r="E175" i="21"/>
  <c r="D175" i="21"/>
  <c r="C175" i="21"/>
  <c r="B175" i="21"/>
  <c r="A175" i="21"/>
  <c r="I174" i="21"/>
  <c r="H174" i="21"/>
  <c r="G174" i="21"/>
  <c r="F174" i="21"/>
  <c r="E174" i="21"/>
  <c r="D174" i="21"/>
  <c r="C174" i="21"/>
  <c r="B174" i="21"/>
  <c r="A174" i="21"/>
  <c r="I173" i="21"/>
  <c r="H173" i="21"/>
  <c r="G173" i="21"/>
  <c r="F173" i="21"/>
  <c r="E173" i="21"/>
  <c r="D173" i="21"/>
  <c r="C173" i="21"/>
  <c r="B173" i="21"/>
  <c r="A173" i="21"/>
  <c r="I172" i="21"/>
  <c r="H172" i="21"/>
  <c r="G172" i="21"/>
  <c r="F172" i="21"/>
  <c r="E172" i="21"/>
  <c r="D172" i="21"/>
  <c r="C172" i="21"/>
  <c r="B172" i="21"/>
  <c r="A172" i="21"/>
  <c r="I171" i="21"/>
  <c r="H171" i="21"/>
  <c r="G171" i="21"/>
  <c r="F171" i="21"/>
  <c r="E171" i="21"/>
  <c r="D171" i="21"/>
  <c r="C171" i="21"/>
  <c r="B171" i="21"/>
  <c r="A171" i="21"/>
  <c r="I170" i="21"/>
  <c r="H170" i="21"/>
  <c r="G170" i="21"/>
  <c r="F170" i="21"/>
  <c r="E170" i="21"/>
  <c r="D170" i="21"/>
  <c r="C170" i="21"/>
  <c r="B170" i="21"/>
  <c r="A170" i="21"/>
  <c r="I169" i="21"/>
  <c r="H169" i="21"/>
  <c r="G169" i="21"/>
  <c r="F169" i="21"/>
  <c r="E169" i="21"/>
  <c r="D169" i="21"/>
  <c r="C169" i="21"/>
  <c r="B169" i="21"/>
  <c r="A169" i="21"/>
  <c r="I168" i="21"/>
  <c r="H168" i="21"/>
  <c r="G168" i="21"/>
  <c r="F168" i="21"/>
  <c r="E168" i="21"/>
  <c r="D168" i="21"/>
  <c r="C168" i="21"/>
  <c r="B168" i="21"/>
  <c r="A168" i="21"/>
  <c r="I167" i="21"/>
  <c r="H167" i="21"/>
  <c r="G167" i="21"/>
  <c r="F167" i="21"/>
  <c r="E167" i="21"/>
  <c r="D167" i="21"/>
  <c r="C167" i="21"/>
  <c r="B167" i="21"/>
  <c r="A167" i="21"/>
  <c r="I166" i="21"/>
  <c r="H166" i="21"/>
  <c r="G166" i="21"/>
  <c r="F166" i="21"/>
  <c r="E166" i="21"/>
  <c r="D166" i="21"/>
  <c r="C166" i="21"/>
  <c r="B166" i="21"/>
  <c r="A166" i="21"/>
  <c r="I165" i="21"/>
  <c r="H165" i="21"/>
  <c r="G165" i="21"/>
  <c r="F165" i="21"/>
  <c r="E165" i="21"/>
  <c r="D165" i="21"/>
  <c r="C165" i="21"/>
  <c r="B165" i="21"/>
  <c r="A165" i="21"/>
  <c r="I164" i="21"/>
  <c r="H164" i="21"/>
  <c r="G164" i="21"/>
  <c r="F164" i="21"/>
  <c r="E164" i="21"/>
  <c r="D164" i="21"/>
  <c r="C164" i="21"/>
  <c r="B164" i="21"/>
  <c r="A164" i="21"/>
  <c r="I163" i="21"/>
  <c r="H163" i="21"/>
  <c r="G163" i="21"/>
  <c r="F163" i="21"/>
  <c r="E163" i="21"/>
  <c r="D163" i="21"/>
  <c r="C163" i="21"/>
  <c r="B163" i="21"/>
  <c r="A163" i="21"/>
  <c r="I162" i="21"/>
  <c r="H162" i="21"/>
  <c r="G162" i="21"/>
  <c r="F162" i="21"/>
  <c r="E162" i="21"/>
  <c r="D162" i="21"/>
  <c r="C162" i="21"/>
  <c r="B162" i="21"/>
  <c r="A162" i="21"/>
  <c r="I161" i="21"/>
  <c r="H161" i="21"/>
  <c r="G161" i="21"/>
  <c r="F161" i="21"/>
  <c r="E161" i="21"/>
  <c r="D161" i="21"/>
  <c r="C161" i="21"/>
  <c r="B161" i="21"/>
  <c r="A161" i="21"/>
  <c r="I160" i="21"/>
  <c r="H160" i="21"/>
  <c r="G160" i="21"/>
  <c r="F160" i="21"/>
  <c r="E160" i="21"/>
  <c r="D160" i="21"/>
  <c r="C160" i="21"/>
  <c r="B160" i="21"/>
  <c r="A160" i="21"/>
  <c r="I159" i="21"/>
  <c r="H159" i="21"/>
  <c r="G159" i="21"/>
  <c r="F159" i="21"/>
  <c r="E159" i="21"/>
  <c r="D159" i="21"/>
  <c r="C159" i="21"/>
  <c r="B159" i="21"/>
  <c r="A159" i="21"/>
  <c r="I158" i="21"/>
  <c r="H158" i="21"/>
  <c r="G158" i="21"/>
  <c r="F158" i="21"/>
  <c r="E158" i="21"/>
  <c r="D158" i="21"/>
  <c r="C158" i="21"/>
  <c r="B158" i="21"/>
  <c r="A158" i="21"/>
  <c r="I157" i="21"/>
  <c r="H157" i="21"/>
  <c r="G157" i="21"/>
  <c r="F157" i="21"/>
  <c r="E157" i="21"/>
  <c r="D157" i="21"/>
  <c r="C157" i="21"/>
  <c r="B157" i="21"/>
  <c r="A157" i="21"/>
  <c r="I156" i="21"/>
  <c r="H156" i="21"/>
  <c r="G156" i="21"/>
  <c r="F156" i="21"/>
  <c r="E156" i="21"/>
  <c r="D156" i="21"/>
  <c r="C156" i="21"/>
  <c r="B156" i="21"/>
  <c r="A156" i="21"/>
  <c r="I155" i="21"/>
  <c r="H155" i="21"/>
  <c r="G155" i="21"/>
  <c r="F155" i="21"/>
  <c r="E155" i="21"/>
  <c r="D155" i="21"/>
  <c r="C155" i="21"/>
  <c r="B155" i="21"/>
  <c r="A155" i="21"/>
  <c r="I154" i="21"/>
  <c r="H154" i="21"/>
  <c r="G154" i="21"/>
  <c r="F154" i="21"/>
  <c r="E154" i="21"/>
  <c r="D154" i="21"/>
  <c r="C154" i="21"/>
  <c r="B154" i="21"/>
  <c r="A154" i="21"/>
  <c r="I153" i="21"/>
  <c r="H153" i="21"/>
  <c r="G153" i="21"/>
  <c r="F153" i="21"/>
  <c r="E153" i="21"/>
  <c r="D153" i="21"/>
  <c r="C153" i="21"/>
  <c r="B153" i="21"/>
  <c r="A153" i="21"/>
  <c r="I152" i="21"/>
  <c r="H152" i="21"/>
  <c r="G152" i="21"/>
  <c r="F152" i="21"/>
  <c r="E152" i="21"/>
  <c r="D152" i="21"/>
  <c r="C152" i="21"/>
  <c r="B152" i="21"/>
  <c r="A152" i="21"/>
  <c r="I151" i="21"/>
  <c r="H151" i="21"/>
  <c r="G151" i="21"/>
  <c r="F151" i="21"/>
  <c r="E151" i="21"/>
  <c r="D151" i="21"/>
  <c r="C151" i="21"/>
  <c r="B151" i="21"/>
  <c r="A151" i="21"/>
  <c r="I150" i="21"/>
  <c r="H150" i="21"/>
  <c r="G150" i="21"/>
  <c r="F150" i="21"/>
  <c r="E150" i="21"/>
  <c r="D150" i="21"/>
  <c r="C150" i="21"/>
  <c r="B150" i="21"/>
  <c r="A150" i="21"/>
  <c r="I149" i="21"/>
  <c r="H149" i="21"/>
  <c r="G149" i="21"/>
  <c r="F149" i="21"/>
  <c r="E149" i="21"/>
  <c r="D149" i="21"/>
  <c r="C149" i="21"/>
  <c r="B149" i="21"/>
  <c r="A149" i="21"/>
  <c r="I148" i="21"/>
  <c r="H148" i="21"/>
  <c r="G148" i="21"/>
  <c r="F148" i="21"/>
  <c r="E148" i="21"/>
  <c r="D148" i="21"/>
  <c r="C148" i="21"/>
  <c r="B148" i="21"/>
  <c r="A148" i="21"/>
  <c r="I147" i="21"/>
  <c r="H147" i="21"/>
  <c r="G147" i="21"/>
  <c r="F147" i="21"/>
  <c r="E147" i="21"/>
  <c r="D147" i="21"/>
  <c r="C147" i="21"/>
  <c r="B147" i="21"/>
  <c r="A147" i="21"/>
  <c r="I146" i="21"/>
  <c r="H146" i="21"/>
  <c r="G146" i="21"/>
  <c r="F146" i="21"/>
  <c r="E146" i="21"/>
  <c r="D146" i="21"/>
  <c r="C146" i="21"/>
  <c r="B146" i="21"/>
  <c r="A146" i="21"/>
  <c r="I145" i="21"/>
  <c r="H145" i="21"/>
  <c r="G145" i="21"/>
  <c r="F145" i="21"/>
  <c r="E145" i="21"/>
  <c r="D145" i="21"/>
  <c r="C145" i="21"/>
  <c r="B145" i="21"/>
  <c r="A145" i="21"/>
  <c r="I144" i="21"/>
  <c r="H144" i="21"/>
  <c r="G144" i="21"/>
  <c r="F144" i="21"/>
  <c r="E144" i="21"/>
  <c r="D144" i="21"/>
  <c r="C144" i="21"/>
  <c r="B144" i="21"/>
  <c r="A144" i="21"/>
  <c r="I143" i="21"/>
  <c r="H143" i="21"/>
  <c r="G143" i="21"/>
  <c r="F143" i="21"/>
  <c r="E143" i="21"/>
  <c r="D143" i="21"/>
  <c r="C143" i="21"/>
  <c r="B143" i="21"/>
  <c r="A143" i="21"/>
  <c r="I142" i="21"/>
  <c r="H142" i="21"/>
  <c r="G142" i="21"/>
  <c r="F142" i="21"/>
  <c r="E142" i="21"/>
  <c r="D142" i="21"/>
  <c r="C142" i="21"/>
  <c r="B142" i="21"/>
  <c r="A142" i="21"/>
  <c r="I141" i="21"/>
  <c r="H141" i="21"/>
  <c r="G141" i="21"/>
  <c r="F141" i="21"/>
  <c r="E141" i="21"/>
  <c r="D141" i="21"/>
  <c r="C141" i="21"/>
  <c r="B141" i="21"/>
  <c r="A141" i="21"/>
  <c r="I140" i="21"/>
  <c r="H140" i="21"/>
  <c r="G140" i="21"/>
  <c r="F140" i="21"/>
  <c r="E140" i="21"/>
  <c r="D140" i="21"/>
  <c r="C140" i="21"/>
  <c r="B140" i="21"/>
  <c r="A140" i="21"/>
  <c r="I139" i="21"/>
  <c r="H139" i="21"/>
  <c r="G139" i="21"/>
  <c r="F139" i="21"/>
  <c r="E139" i="21"/>
  <c r="D139" i="21"/>
  <c r="C139" i="21"/>
  <c r="B139" i="21"/>
  <c r="A139" i="21"/>
  <c r="I138" i="21"/>
  <c r="H138" i="21"/>
  <c r="G138" i="21"/>
  <c r="F138" i="21"/>
  <c r="E138" i="21"/>
  <c r="D138" i="21"/>
  <c r="C138" i="21"/>
  <c r="B138" i="21"/>
  <c r="A138" i="21"/>
  <c r="I137" i="21"/>
  <c r="H137" i="21"/>
  <c r="G137" i="21"/>
  <c r="F137" i="21"/>
  <c r="E137" i="21"/>
  <c r="D137" i="21"/>
  <c r="C137" i="21"/>
  <c r="B137" i="21"/>
  <c r="A137" i="21"/>
  <c r="I136" i="21"/>
  <c r="H136" i="21"/>
  <c r="G136" i="21"/>
  <c r="F136" i="21"/>
  <c r="E136" i="21"/>
  <c r="D136" i="21"/>
  <c r="C136" i="21"/>
  <c r="B136" i="21"/>
  <c r="A136" i="21"/>
  <c r="I135" i="21"/>
  <c r="H135" i="21"/>
  <c r="G135" i="21"/>
  <c r="F135" i="21"/>
  <c r="E135" i="21"/>
  <c r="D135" i="21"/>
  <c r="C135" i="21"/>
  <c r="B135" i="21"/>
  <c r="A135" i="21"/>
  <c r="I134" i="21"/>
  <c r="H134" i="21"/>
  <c r="G134" i="21"/>
  <c r="F134" i="21"/>
  <c r="E134" i="21"/>
  <c r="D134" i="21"/>
  <c r="C134" i="21"/>
  <c r="B134" i="21"/>
  <c r="A134" i="21"/>
  <c r="I133" i="21"/>
  <c r="H133" i="21"/>
  <c r="G133" i="21"/>
  <c r="F133" i="21"/>
  <c r="E133" i="21"/>
  <c r="D133" i="21"/>
  <c r="C133" i="21"/>
  <c r="B133" i="21"/>
  <c r="A133" i="21"/>
  <c r="I132" i="21"/>
  <c r="H132" i="21"/>
  <c r="G132" i="21"/>
  <c r="F132" i="21"/>
  <c r="E132" i="21"/>
  <c r="D132" i="21"/>
  <c r="C132" i="21"/>
  <c r="B132" i="21"/>
  <c r="A132" i="21"/>
  <c r="I131" i="21"/>
  <c r="H131" i="21"/>
  <c r="G131" i="21"/>
  <c r="F131" i="21"/>
  <c r="E131" i="21"/>
  <c r="D131" i="21"/>
  <c r="C131" i="21"/>
  <c r="B131" i="21"/>
  <c r="A131" i="21"/>
  <c r="I130" i="21"/>
  <c r="H130" i="21"/>
  <c r="G130" i="21"/>
  <c r="F130" i="21"/>
  <c r="E130" i="21"/>
  <c r="D130" i="21"/>
  <c r="C130" i="21"/>
  <c r="B130" i="21"/>
  <c r="A130" i="21"/>
  <c r="I129" i="21"/>
  <c r="H129" i="21"/>
  <c r="G129" i="21"/>
  <c r="F129" i="21"/>
  <c r="E129" i="21"/>
  <c r="D129" i="21"/>
  <c r="C129" i="21"/>
  <c r="B129" i="21"/>
  <c r="A129" i="21"/>
  <c r="I128" i="21"/>
  <c r="H128" i="21"/>
  <c r="G128" i="21"/>
  <c r="F128" i="21"/>
  <c r="E128" i="21"/>
  <c r="D128" i="21"/>
  <c r="C128" i="21"/>
  <c r="B128" i="21"/>
  <c r="A128" i="21"/>
  <c r="I127" i="21"/>
  <c r="H127" i="21"/>
  <c r="G127" i="21"/>
  <c r="F127" i="21"/>
  <c r="E127" i="21"/>
  <c r="D127" i="21"/>
  <c r="C127" i="21"/>
  <c r="B127" i="21"/>
  <c r="A127" i="21"/>
  <c r="I126" i="21"/>
  <c r="H126" i="21"/>
  <c r="G126" i="21"/>
  <c r="F126" i="21"/>
  <c r="E126" i="21"/>
  <c r="D126" i="21"/>
  <c r="C126" i="21"/>
  <c r="B126" i="21"/>
  <c r="A126" i="21"/>
  <c r="I125" i="21"/>
  <c r="H125" i="21"/>
  <c r="G125" i="21"/>
  <c r="F125" i="21"/>
  <c r="E125" i="21"/>
  <c r="D125" i="21"/>
  <c r="C125" i="21"/>
  <c r="B125" i="21"/>
  <c r="A125" i="21"/>
  <c r="I124" i="21"/>
  <c r="H124" i="21"/>
  <c r="G124" i="21"/>
  <c r="F124" i="21"/>
  <c r="E124" i="21"/>
  <c r="D124" i="21"/>
  <c r="C124" i="21"/>
  <c r="B124" i="21"/>
  <c r="A124" i="21"/>
  <c r="I123" i="21"/>
  <c r="H123" i="21"/>
  <c r="G123" i="21"/>
  <c r="F123" i="21"/>
  <c r="E123" i="21"/>
  <c r="D123" i="21"/>
  <c r="C123" i="21"/>
  <c r="B123" i="21"/>
  <c r="A123" i="21"/>
  <c r="I122" i="21"/>
  <c r="H122" i="21"/>
  <c r="G122" i="21"/>
  <c r="F122" i="21"/>
  <c r="E122" i="21"/>
  <c r="D122" i="21"/>
  <c r="C122" i="21"/>
  <c r="B122" i="21"/>
  <c r="A122" i="21"/>
  <c r="I121" i="21"/>
  <c r="H121" i="21"/>
  <c r="G121" i="21"/>
  <c r="F121" i="21"/>
  <c r="E121" i="21"/>
  <c r="D121" i="21"/>
  <c r="C121" i="21"/>
  <c r="B121" i="21"/>
  <c r="A121" i="21"/>
  <c r="I120" i="21"/>
  <c r="H120" i="21"/>
  <c r="G120" i="21"/>
  <c r="F120" i="21"/>
  <c r="E120" i="21"/>
  <c r="D120" i="21"/>
  <c r="C120" i="21"/>
  <c r="B120" i="21"/>
  <c r="A120" i="21"/>
  <c r="I119" i="21"/>
  <c r="H119" i="21"/>
  <c r="G119" i="21"/>
  <c r="F119" i="21"/>
  <c r="E119" i="21"/>
  <c r="D119" i="21"/>
  <c r="C119" i="21"/>
  <c r="B119" i="21"/>
  <c r="A119" i="21"/>
  <c r="I118" i="21"/>
  <c r="H118" i="21"/>
  <c r="G118" i="21"/>
  <c r="F118" i="21"/>
  <c r="E118" i="21"/>
  <c r="D118" i="21"/>
  <c r="C118" i="21"/>
  <c r="B118" i="21"/>
  <c r="A118" i="21"/>
  <c r="I117" i="21"/>
  <c r="H117" i="21"/>
  <c r="G117" i="21"/>
  <c r="F117" i="21"/>
  <c r="E117" i="21"/>
  <c r="D117" i="21"/>
  <c r="C117" i="21"/>
  <c r="B117" i="21"/>
  <c r="A117" i="21"/>
  <c r="I116" i="21"/>
  <c r="H116" i="21"/>
  <c r="G116" i="21"/>
  <c r="F116" i="21"/>
  <c r="E116" i="21"/>
  <c r="D116" i="21"/>
  <c r="C116" i="21"/>
  <c r="B116" i="21"/>
  <c r="A116" i="21"/>
  <c r="I115" i="21"/>
  <c r="H115" i="21"/>
  <c r="G115" i="21"/>
  <c r="F115" i="21"/>
  <c r="E115" i="21"/>
  <c r="D115" i="21"/>
  <c r="C115" i="21"/>
  <c r="B115" i="21"/>
  <c r="A115" i="21"/>
  <c r="I114" i="21"/>
  <c r="H114" i="21"/>
  <c r="G114" i="21"/>
  <c r="F114" i="21"/>
  <c r="E114" i="21"/>
  <c r="D114" i="21"/>
  <c r="C114" i="21"/>
  <c r="B114" i="21"/>
  <c r="A114" i="21"/>
  <c r="I113" i="21"/>
  <c r="H113" i="21"/>
  <c r="G113" i="21"/>
  <c r="F113" i="21"/>
  <c r="E113" i="21"/>
  <c r="D113" i="21"/>
  <c r="C113" i="21"/>
  <c r="B113" i="21"/>
  <c r="A113" i="21"/>
  <c r="I112" i="21"/>
  <c r="H112" i="21"/>
  <c r="G112" i="21"/>
  <c r="F112" i="21"/>
  <c r="E112" i="21"/>
  <c r="D112" i="21"/>
  <c r="C112" i="21"/>
  <c r="B112" i="21"/>
  <c r="A112" i="21"/>
  <c r="I111" i="21"/>
  <c r="H111" i="21"/>
  <c r="G111" i="21"/>
  <c r="F111" i="21"/>
  <c r="E111" i="21"/>
  <c r="D111" i="21"/>
  <c r="C111" i="21"/>
  <c r="B111" i="21"/>
  <c r="A111" i="21"/>
  <c r="I110" i="21"/>
  <c r="H110" i="21"/>
  <c r="G110" i="21"/>
  <c r="F110" i="21"/>
  <c r="E110" i="21"/>
  <c r="D110" i="21"/>
  <c r="C110" i="21"/>
  <c r="B110" i="21"/>
  <c r="A110" i="21"/>
  <c r="I109" i="21"/>
  <c r="H109" i="21"/>
  <c r="G109" i="21"/>
  <c r="F109" i="21"/>
  <c r="E109" i="21"/>
  <c r="D109" i="21"/>
  <c r="C109" i="21"/>
  <c r="B109" i="21"/>
  <c r="A109" i="21"/>
  <c r="I108" i="21"/>
  <c r="H108" i="21"/>
  <c r="G108" i="21"/>
  <c r="F108" i="21"/>
  <c r="E108" i="21"/>
  <c r="D108" i="21"/>
  <c r="C108" i="21"/>
  <c r="B108" i="21"/>
  <c r="A108" i="21"/>
  <c r="I107" i="21"/>
  <c r="H107" i="21"/>
  <c r="G107" i="21"/>
  <c r="F107" i="21"/>
  <c r="E107" i="21"/>
  <c r="D107" i="21"/>
  <c r="C107" i="21"/>
  <c r="B107" i="21"/>
  <c r="A107" i="21"/>
  <c r="I106" i="21"/>
  <c r="H106" i="21"/>
  <c r="G106" i="21"/>
  <c r="F106" i="21"/>
  <c r="E106" i="21"/>
  <c r="D106" i="21"/>
  <c r="C106" i="21"/>
  <c r="B106" i="21"/>
  <c r="A106" i="21"/>
  <c r="I105" i="21"/>
  <c r="H105" i="21"/>
  <c r="G105" i="21"/>
  <c r="F105" i="21"/>
  <c r="E105" i="21"/>
  <c r="D105" i="21"/>
  <c r="C105" i="21"/>
  <c r="B105" i="21"/>
  <c r="A105" i="21"/>
  <c r="I104" i="21"/>
  <c r="H104" i="21"/>
  <c r="G104" i="21"/>
  <c r="F104" i="21"/>
  <c r="E104" i="21"/>
  <c r="D104" i="21"/>
  <c r="C104" i="21"/>
  <c r="B104" i="21"/>
  <c r="A104" i="21"/>
  <c r="I103" i="21"/>
  <c r="H103" i="21"/>
  <c r="G103" i="21"/>
  <c r="F103" i="21"/>
  <c r="E103" i="21"/>
  <c r="D103" i="21"/>
  <c r="C103" i="21"/>
  <c r="B103" i="21"/>
  <c r="A103" i="21"/>
  <c r="I102" i="21"/>
  <c r="H102" i="21"/>
  <c r="G102" i="21"/>
  <c r="F102" i="21"/>
  <c r="E102" i="21"/>
  <c r="D102" i="21"/>
  <c r="C102" i="21"/>
  <c r="B102" i="21"/>
  <c r="A102" i="21"/>
  <c r="I101" i="21"/>
  <c r="H101" i="21"/>
  <c r="G101" i="21"/>
  <c r="F101" i="21"/>
  <c r="E101" i="21"/>
  <c r="D101" i="21"/>
  <c r="C101" i="21"/>
  <c r="B101" i="21"/>
  <c r="A101" i="21"/>
  <c r="I100" i="21"/>
  <c r="H100" i="21"/>
  <c r="G100" i="21"/>
  <c r="F100" i="21"/>
  <c r="E100" i="21"/>
  <c r="D100" i="21"/>
  <c r="C100" i="21"/>
  <c r="B100" i="21"/>
  <c r="A100" i="21"/>
  <c r="I99" i="21"/>
  <c r="H99" i="21"/>
  <c r="G99" i="21"/>
  <c r="F99" i="21"/>
  <c r="E99" i="21"/>
  <c r="D99" i="21"/>
  <c r="C99" i="21"/>
  <c r="B99" i="21"/>
  <c r="A99" i="21"/>
  <c r="I98" i="21"/>
  <c r="H98" i="21"/>
  <c r="G98" i="21"/>
  <c r="F98" i="21"/>
  <c r="E98" i="21"/>
  <c r="D98" i="21"/>
  <c r="C98" i="21"/>
  <c r="B98" i="21"/>
  <c r="A98" i="21"/>
  <c r="I97" i="21"/>
  <c r="H97" i="21"/>
  <c r="G97" i="21"/>
  <c r="F97" i="21"/>
  <c r="E97" i="21"/>
  <c r="D97" i="21"/>
  <c r="C97" i="21"/>
  <c r="B97" i="21"/>
  <c r="A97" i="21"/>
  <c r="I96" i="21"/>
  <c r="H96" i="21"/>
  <c r="G96" i="21"/>
  <c r="F96" i="21"/>
  <c r="E96" i="21"/>
  <c r="D96" i="21"/>
  <c r="C96" i="21"/>
  <c r="B96" i="21"/>
  <c r="A96" i="21"/>
  <c r="I95" i="21"/>
  <c r="H95" i="21"/>
  <c r="G95" i="21"/>
  <c r="F95" i="21"/>
  <c r="E95" i="21"/>
  <c r="D95" i="21"/>
  <c r="C95" i="21"/>
  <c r="B95" i="21"/>
  <c r="A95" i="21"/>
  <c r="I94" i="21"/>
  <c r="H94" i="21"/>
  <c r="G94" i="21"/>
  <c r="F94" i="21"/>
  <c r="E94" i="21"/>
  <c r="D94" i="21"/>
  <c r="C94" i="21"/>
  <c r="B94" i="21"/>
  <c r="A94" i="21"/>
  <c r="I93" i="21"/>
  <c r="H93" i="21"/>
  <c r="G93" i="21"/>
  <c r="F93" i="21"/>
  <c r="E93" i="21"/>
  <c r="D93" i="21"/>
  <c r="C93" i="21"/>
  <c r="B93" i="21"/>
  <c r="A93" i="21"/>
  <c r="I92" i="21"/>
  <c r="H92" i="21"/>
  <c r="G92" i="21"/>
  <c r="F92" i="21"/>
  <c r="E92" i="21"/>
  <c r="D92" i="21"/>
  <c r="C92" i="21"/>
  <c r="B92" i="21"/>
  <c r="A92" i="21"/>
  <c r="I91" i="21"/>
  <c r="H91" i="21"/>
  <c r="G91" i="21"/>
  <c r="F91" i="21"/>
  <c r="E91" i="21"/>
  <c r="D91" i="21"/>
  <c r="C91" i="21"/>
  <c r="B91" i="21"/>
  <c r="A91" i="21"/>
  <c r="I90" i="21"/>
  <c r="H90" i="21"/>
  <c r="G90" i="21"/>
  <c r="F90" i="21"/>
  <c r="E90" i="21"/>
  <c r="D90" i="21"/>
  <c r="C90" i="21"/>
  <c r="B90" i="21"/>
  <c r="A90" i="21"/>
  <c r="I89" i="21"/>
  <c r="H89" i="21"/>
  <c r="G89" i="21"/>
  <c r="F89" i="21"/>
  <c r="E89" i="21"/>
  <c r="D89" i="21"/>
  <c r="C89" i="21"/>
  <c r="B89" i="21"/>
  <c r="A89" i="21"/>
  <c r="I88" i="21"/>
  <c r="H88" i="21"/>
  <c r="G88" i="21"/>
  <c r="F88" i="21"/>
  <c r="E88" i="21"/>
  <c r="D88" i="21"/>
  <c r="C88" i="21"/>
  <c r="B88" i="21"/>
  <c r="A88" i="21"/>
  <c r="I87" i="21"/>
  <c r="H87" i="21"/>
  <c r="G87" i="21"/>
  <c r="F87" i="21"/>
  <c r="E87" i="21"/>
  <c r="D87" i="21"/>
  <c r="C87" i="21"/>
  <c r="B87" i="21"/>
  <c r="A87" i="21"/>
  <c r="I86" i="21"/>
  <c r="H86" i="21"/>
  <c r="G86" i="21"/>
  <c r="F86" i="21"/>
  <c r="E86" i="21"/>
  <c r="D86" i="21"/>
  <c r="C86" i="21"/>
  <c r="B86" i="21"/>
  <c r="A86" i="21"/>
  <c r="I85" i="21"/>
  <c r="H85" i="21"/>
  <c r="G85" i="21"/>
  <c r="F85" i="21"/>
  <c r="E85" i="21"/>
  <c r="D85" i="21"/>
  <c r="C85" i="21"/>
  <c r="B85" i="21"/>
  <c r="A85" i="21"/>
  <c r="I84" i="21"/>
  <c r="H84" i="21"/>
  <c r="G84" i="21"/>
  <c r="F84" i="21"/>
  <c r="E84" i="21"/>
  <c r="D84" i="21"/>
  <c r="C84" i="21"/>
  <c r="B84" i="21"/>
  <c r="A84" i="21"/>
  <c r="I83" i="21"/>
  <c r="H83" i="21"/>
  <c r="G83" i="21"/>
  <c r="F83" i="21"/>
  <c r="E83" i="21"/>
  <c r="D83" i="21"/>
  <c r="C83" i="21"/>
  <c r="B83" i="21"/>
  <c r="A83" i="21"/>
  <c r="I82" i="21"/>
  <c r="H82" i="21"/>
  <c r="G82" i="21"/>
  <c r="F82" i="21"/>
  <c r="E82" i="21"/>
  <c r="D82" i="21"/>
  <c r="C82" i="21"/>
  <c r="B82" i="21"/>
  <c r="A82" i="21"/>
  <c r="I81" i="21"/>
  <c r="H81" i="21"/>
  <c r="G81" i="21"/>
  <c r="F81" i="21"/>
  <c r="E81" i="21"/>
  <c r="D81" i="21"/>
  <c r="C81" i="21"/>
  <c r="B81" i="21"/>
  <c r="A81" i="21"/>
  <c r="I80" i="21"/>
  <c r="H80" i="21"/>
  <c r="G80" i="21"/>
  <c r="F80" i="21"/>
  <c r="E80" i="21"/>
  <c r="D80" i="21"/>
  <c r="C80" i="21"/>
  <c r="B80" i="21"/>
  <c r="A80" i="21"/>
  <c r="I79" i="21"/>
  <c r="H79" i="21"/>
  <c r="G79" i="21"/>
  <c r="F79" i="21"/>
  <c r="E79" i="21"/>
  <c r="D79" i="21"/>
  <c r="C79" i="21"/>
  <c r="B79" i="21"/>
  <c r="A79" i="21"/>
  <c r="I78" i="21"/>
  <c r="H78" i="21"/>
  <c r="G78" i="21"/>
  <c r="F78" i="21"/>
  <c r="E78" i="21"/>
  <c r="D78" i="21"/>
  <c r="C78" i="21"/>
  <c r="B78" i="21"/>
  <c r="A78" i="21"/>
  <c r="I77" i="21"/>
  <c r="H77" i="21"/>
  <c r="G77" i="21"/>
  <c r="F77" i="21"/>
  <c r="E77" i="21"/>
  <c r="D77" i="21"/>
  <c r="C77" i="21"/>
  <c r="B77" i="21"/>
  <c r="A77" i="21"/>
  <c r="I76" i="21"/>
  <c r="H76" i="21"/>
  <c r="G76" i="21"/>
  <c r="F76" i="21"/>
  <c r="E76" i="21"/>
  <c r="D76" i="21"/>
  <c r="C76" i="21"/>
  <c r="B76" i="21"/>
  <c r="A76" i="21"/>
  <c r="I75" i="21"/>
  <c r="H75" i="21"/>
  <c r="G75" i="21"/>
  <c r="F75" i="21"/>
  <c r="E75" i="21"/>
  <c r="D75" i="21"/>
  <c r="C75" i="21"/>
  <c r="B75" i="21"/>
  <c r="A75" i="21"/>
  <c r="I74" i="21"/>
  <c r="H74" i="21"/>
  <c r="G74" i="21"/>
  <c r="F74" i="21"/>
  <c r="E74" i="21"/>
  <c r="D74" i="21"/>
  <c r="C74" i="21"/>
  <c r="B74" i="21"/>
  <c r="A74" i="21"/>
  <c r="I73" i="21"/>
  <c r="H73" i="21"/>
  <c r="G73" i="21"/>
  <c r="F73" i="21"/>
  <c r="E73" i="21"/>
  <c r="D73" i="21"/>
  <c r="C73" i="21"/>
  <c r="B73" i="21"/>
  <c r="A73" i="21"/>
  <c r="I72" i="21"/>
  <c r="H72" i="21"/>
  <c r="G72" i="21"/>
  <c r="F72" i="21"/>
  <c r="E72" i="21"/>
  <c r="D72" i="21"/>
  <c r="C72" i="21"/>
  <c r="B72" i="21"/>
  <c r="A72" i="21"/>
  <c r="I71" i="21"/>
  <c r="H71" i="21"/>
  <c r="G71" i="21"/>
  <c r="F71" i="21"/>
  <c r="E71" i="21"/>
  <c r="D71" i="21"/>
  <c r="C71" i="21"/>
  <c r="B71" i="21"/>
  <c r="A71" i="21"/>
  <c r="I70" i="21"/>
  <c r="H70" i="21"/>
  <c r="G70" i="21"/>
  <c r="F70" i="21"/>
  <c r="E70" i="21"/>
  <c r="D70" i="21"/>
  <c r="C70" i="21"/>
  <c r="B70" i="21"/>
  <c r="A70" i="21"/>
  <c r="I69" i="21"/>
  <c r="H69" i="21"/>
  <c r="G69" i="21"/>
  <c r="F69" i="21"/>
  <c r="E69" i="21"/>
  <c r="D69" i="21"/>
  <c r="C69" i="21"/>
  <c r="B69" i="21"/>
  <c r="A69" i="21"/>
  <c r="I68" i="21"/>
  <c r="H68" i="21"/>
  <c r="G68" i="21"/>
  <c r="F68" i="21"/>
  <c r="E68" i="21"/>
  <c r="D68" i="21"/>
  <c r="C68" i="21"/>
  <c r="B68" i="21"/>
  <c r="A68" i="21"/>
  <c r="I67" i="21"/>
  <c r="H67" i="21"/>
  <c r="G67" i="21"/>
  <c r="F67" i="21"/>
  <c r="E67" i="21"/>
  <c r="D67" i="21"/>
  <c r="C67" i="21"/>
  <c r="B67" i="21"/>
  <c r="A67" i="21"/>
  <c r="I66" i="21"/>
  <c r="H66" i="21"/>
  <c r="G66" i="21"/>
  <c r="F66" i="21"/>
  <c r="E66" i="21"/>
  <c r="D66" i="21"/>
  <c r="C66" i="21"/>
  <c r="B66" i="21"/>
  <c r="A66" i="21"/>
  <c r="I65" i="21"/>
  <c r="H65" i="21"/>
  <c r="G65" i="21"/>
  <c r="F65" i="21"/>
  <c r="E65" i="21"/>
  <c r="D65" i="21"/>
  <c r="C65" i="21"/>
  <c r="B65" i="21"/>
  <c r="A65" i="21"/>
  <c r="I64" i="21"/>
  <c r="H64" i="21"/>
  <c r="G64" i="21"/>
  <c r="F64" i="21"/>
  <c r="E64" i="21"/>
  <c r="D64" i="21"/>
  <c r="C64" i="21"/>
  <c r="B64" i="21"/>
  <c r="A64" i="21"/>
  <c r="I63" i="21"/>
  <c r="H63" i="21"/>
  <c r="G63" i="21"/>
  <c r="F63" i="21"/>
  <c r="E63" i="21"/>
  <c r="D63" i="21"/>
  <c r="C63" i="21"/>
  <c r="B63" i="21"/>
  <c r="A63" i="21"/>
  <c r="I62" i="21"/>
  <c r="H62" i="21"/>
  <c r="G62" i="21"/>
  <c r="F62" i="21"/>
  <c r="E62" i="21"/>
  <c r="D62" i="21"/>
  <c r="C62" i="21"/>
  <c r="B62" i="21"/>
  <c r="A62" i="21"/>
  <c r="I61" i="21"/>
  <c r="H61" i="21"/>
  <c r="G61" i="21"/>
  <c r="F61" i="21"/>
  <c r="E61" i="21"/>
  <c r="D61" i="21"/>
  <c r="C61" i="21"/>
  <c r="B61" i="21"/>
  <c r="A61" i="21"/>
  <c r="I60" i="21"/>
  <c r="H60" i="21"/>
  <c r="G60" i="21"/>
  <c r="F60" i="21"/>
  <c r="E60" i="21"/>
  <c r="D60" i="21"/>
  <c r="C60" i="21"/>
  <c r="B60" i="21"/>
  <c r="A60" i="21"/>
  <c r="I59" i="21"/>
  <c r="H59" i="21"/>
  <c r="G59" i="21"/>
  <c r="F59" i="21"/>
  <c r="E59" i="21"/>
  <c r="D59" i="21"/>
  <c r="C59" i="21"/>
  <c r="B59" i="21"/>
  <c r="A59" i="21"/>
  <c r="I58" i="21"/>
  <c r="H58" i="21"/>
  <c r="G58" i="21"/>
  <c r="F58" i="21"/>
  <c r="E58" i="21"/>
  <c r="D58" i="21"/>
  <c r="C58" i="21"/>
  <c r="B58" i="21"/>
  <c r="A58" i="21"/>
  <c r="I57" i="21"/>
  <c r="H57" i="21"/>
  <c r="G57" i="21"/>
  <c r="F57" i="21"/>
  <c r="E57" i="21"/>
  <c r="D57" i="21"/>
  <c r="C57" i="21"/>
  <c r="B57" i="21"/>
  <c r="A57" i="21"/>
  <c r="I56" i="21"/>
  <c r="H56" i="21"/>
  <c r="G56" i="21"/>
  <c r="F56" i="21"/>
  <c r="E56" i="21"/>
  <c r="D56" i="21"/>
  <c r="C56" i="21"/>
  <c r="B56" i="21"/>
  <c r="A56" i="21"/>
  <c r="I55" i="21"/>
  <c r="H55" i="21"/>
  <c r="G55" i="21"/>
  <c r="F55" i="21"/>
  <c r="E55" i="21"/>
  <c r="D55" i="21"/>
  <c r="C55" i="21"/>
  <c r="B55" i="21"/>
  <c r="A55" i="21"/>
  <c r="I54" i="21"/>
  <c r="H54" i="21"/>
  <c r="G54" i="21"/>
  <c r="F54" i="21"/>
  <c r="E54" i="21"/>
  <c r="D54" i="21"/>
  <c r="C54" i="21"/>
  <c r="B54" i="21"/>
  <c r="A54" i="21"/>
  <c r="I53" i="21"/>
  <c r="H53" i="21"/>
  <c r="G53" i="21"/>
  <c r="F53" i="21"/>
  <c r="E53" i="21"/>
  <c r="D53" i="21"/>
  <c r="C53" i="21"/>
  <c r="B53" i="21"/>
  <c r="A53" i="21"/>
  <c r="I52" i="21"/>
  <c r="H52" i="21"/>
  <c r="G52" i="21"/>
  <c r="F52" i="21"/>
  <c r="E52" i="21"/>
  <c r="D52" i="21"/>
  <c r="C52" i="21"/>
  <c r="B52" i="21"/>
  <c r="A52" i="21"/>
  <c r="I51" i="21"/>
  <c r="H51" i="21"/>
  <c r="G51" i="21"/>
  <c r="F51" i="21"/>
  <c r="E51" i="21"/>
  <c r="D51" i="21"/>
  <c r="C51" i="21"/>
  <c r="B51" i="21"/>
  <c r="A51" i="21"/>
  <c r="I50" i="21"/>
  <c r="H50" i="21"/>
  <c r="G50" i="21"/>
  <c r="F50" i="21"/>
  <c r="E50" i="21"/>
  <c r="D50" i="21"/>
  <c r="C50" i="21"/>
  <c r="B50" i="21"/>
  <c r="A50" i="21"/>
  <c r="I49" i="21"/>
  <c r="H49" i="21"/>
  <c r="G49" i="21"/>
  <c r="F49" i="21"/>
  <c r="E49" i="21"/>
  <c r="D49" i="21"/>
  <c r="C49" i="21"/>
  <c r="B49" i="21"/>
  <c r="A49" i="21"/>
  <c r="I48" i="21"/>
  <c r="H48" i="21"/>
  <c r="G48" i="21"/>
  <c r="F48" i="21"/>
  <c r="E48" i="21"/>
  <c r="D48" i="21"/>
  <c r="C48" i="21"/>
  <c r="B48" i="21"/>
  <c r="A48" i="21"/>
  <c r="I47" i="21"/>
  <c r="H47" i="21"/>
  <c r="G47" i="21"/>
  <c r="F47" i="21"/>
  <c r="E47" i="21"/>
  <c r="D47" i="21"/>
  <c r="C47" i="21"/>
  <c r="B47" i="21"/>
  <c r="A47" i="21"/>
  <c r="I46" i="21"/>
  <c r="H46" i="21"/>
  <c r="G46" i="21"/>
  <c r="F46" i="21"/>
  <c r="E46" i="21"/>
  <c r="D46" i="21"/>
  <c r="C46" i="21"/>
  <c r="B46" i="21"/>
  <c r="A46" i="21"/>
  <c r="I45" i="21"/>
  <c r="H45" i="21"/>
  <c r="G45" i="21"/>
  <c r="F45" i="21"/>
  <c r="E45" i="21"/>
  <c r="D45" i="21"/>
  <c r="C45" i="21"/>
  <c r="B45" i="21"/>
  <c r="A45" i="21"/>
  <c r="I44" i="21"/>
  <c r="H44" i="21"/>
  <c r="G44" i="21"/>
  <c r="F44" i="21"/>
  <c r="E44" i="21"/>
  <c r="D44" i="21"/>
  <c r="C44" i="21"/>
  <c r="B44" i="21"/>
  <c r="A44" i="21"/>
  <c r="I43" i="21"/>
  <c r="H43" i="21"/>
  <c r="G43" i="21"/>
  <c r="F43" i="21"/>
  <c r="E43" i="21"/>
  <c r="D43" i="21"/>
  <c r="C43" i="21"/>
  <c r="B43" i="21"/>
  <c r="A43" i="21"/>
  <c r="I42" i="21"/>
  <c r="H42" i="21"/>
  <c r="G42" i="21"/>
  <c r="F42" i="21"/>
  <c r="E42" i="21"/>
  <c r="D42" i="21"/>
  <c r="C42" i="21"/>
  <c r="B42" i="21"/>
  <c r="A42" i="21"/>
  <c r="I41" i="21"/>
  <c r="H41" i="21"/>
  <c r="G41" i="21"/>
  <c r="F41" i="21"/>
  <c r="E41" i="21"/>
  <c r="D41" i="21"/>
  <c r="C41" i="21"/>
  <c r="B41" i="21"/>
  <c r="A41" i="21"/>
  <c r="I40" i="21"/>
  <c r="H40" i="21"/>
  <c r="G40" i="21"/>
  <c r="F40" i="21"/>
  <c r="E40" i="21"/>
  <c r="D40" i="21"/>
  <c r="C40" i="21"/>
  <c r="B40" i="21"/>
  <c r="A40" i="21"/>
  <c r="I39" i="21"/>
  <c r="H39" i="21"/>
  <c r="G39" i="21"/>
  <c r="F39" i="21"/>
  <c r="E39" i="21"/>
  <c r="D39" i="21"/>
  <c r="C39" i="21"/>
  <c r="B39" i="21"/>
  <c r="A39" i="21"/>
  <c r="I38" i="21"/>
  <c r="H38" i="21"/>
  <c r="G38" i="21"/>
  <c r="F38" i="21"/>
  <c r="E38" i="21"/>
  <c r="D38" i="21"/>
  <c r="C38" i="21"/>
  <c r="B38" i="21"/>
  <c r="A38" i="21"/>
  <c r="I37" i="21"/>
  <c r="H37" i="21"/>
  <c r="G37" i="21"/>
  <c r="F37" i="21"/>
  <c r="E37" i="21"/>
  <c r="D37" i="21"/>
  <c r="C37" i="21"/>
  <c r="B37" i="21"/>
  <c r="A37" i="21"/>
  <c r="I36" i="21"/>
  <c r="H36" i="21"/>
  <c r="G36" i="21"/>
  <c r="F36" i="21"/>
  <c r="E36" i="21"/>
  <c r="D36" i="21"/>
  <c r="C36" i="21"/>
  <c r="B36" i="21"/>
  <c r="A36" i="21"/>
  <c r="I35" i="21"/>
  <c r="H35" i="21"/>
  <c r="G35" i="21"/>
  <c r="F35" i="21"/>
  <c r="E35" i="21"/>
  <c r="D35" i="21"/>
  <c r="C35" i="21"/>
  <c r="B35" i="21"/>
  <c r="A35" i="21"/>
  <c r="I34" i="21"/>
  <c r="H34" i="21"/>
  <c r="G34" i="21"/>
  <c r="F34" i="21"/>
  <c r="E34" i="21"/>
  <c r="D34" i="21"/>
  <c r="C34" i="21"/>
  <c r="B34" i="21"/>
  <c r="A34" i="21"/>
  <c r="I33" i="21"/>
  <c r="H33" i="21"/>
  <c r="G33" i="21"/>
  <c r="F33" i="21"/>
  <c r="E33" i="21"/>
  <c r="D33" i="21"/>
  <c r="C33" i="21"/>
  <c r="B33" i="21"/>
  <c r="A33" i="21"/>
  <c r="I32" i="21"/>
  <c r="H32" i="21"/>
  <c r="G32" i="21"/>
  <c r="F32" i="21"/>
  <c r="E32" i="21"/>
  <c r="D32" i="21"/>
  <c r="C32" i="21"/>
  <c r="B32" i="21"/>
  <c r="A32" i="21"/>
  <c r="I31" i="21"/>
  <c r="H31" i="21"/>
  <c r="G31" i="21"/>
  <c r="F31" i="21"/>
  <c r="E31" i="21"/>
  <c r="D31" i="21"/>
  <c r="C31" i="21"/>
  <c r="B31" i="21"/>
  <c r="A31" i="21"/>
  <c r="I30" i="21"/>
  <c r="H30" i="21"/>
  <c r="G30" i="21"/>
  <c r="F30" i="21"/>
  <c r="E30" i="21"/>
  <c r="D30" i="21"/>
  <c r="C30" i="21"/>
  <c r="B30" i="21"/>
  <c r="A30" i="21"/>
  <c r="I29" i="21"/>
  <c r="H29" i="21"/>
  <c r="G29" i="21"/>
  <c r="F29" i="21"/>
  <c r="E29" i="21"/>
  <c r="D29" i="21"/>
  <c r="C29" i="21"/>
  <c r="B29" i="21"/>
  <c r="A29" i="21"/>
  <c r="I28" i="21"/>
  <c r="H28" i="21"/>
  <c r="G28" i="21"/>
  <c r="F28" i="21"/>
  <c r="E28" i="21"/>
  <c r="D28" i="21"/>
  <c r="C28" i="21"/>
  <c r="B28" i="21"/>
  <c r="A28" i="21"/>
  <c r="I27" i="21"/>
  <c r="H27" i="21"/>
  <c r="G27" i="21"/>
  <c r="F27" i="21"/>
  <c r="E27" i="21"/>
  <c r="D27" i="21"/>
  <c r="C27" i="21"/>
  <c r="B27" i="21"/>
  <c r="A27" i="21"/>
  <c r="I26" i="21"/>
  <c r="H26" i="21"/>
  <c r="G26" i="21"/>
  <c r="F26" i="21"/>
  <c r="E26" i="21"/>
  <c r="D26" i="21"/>
  <c r="C26" i="21"/>
  <c r="B26" i="21"/>
  <c r="A26" i="21"/>
  <c r="I25" i="21"/>
  <c r="H25" i="21"/>
  <c r="G25" i="21"/>
  <c r="F25" i="21"/>
  <c r="E25" i="21"/>
  <c r="D25" i="21"/>
  <c r="C25" i="21"/>
  <c r="B25" i="21"/>
  <c r="A25" i="21"/>
  <c r="I24" i="21"/>
  <c r="H24" i="21"/>
  <c r="G24" i="21"/>
  <c r="F24" i="21"/>
  <c r="E24" i="21"/>
  <c r="D24" i="21"/>
  <c r="C24" i="21"/>
  <c r="B24" i="21"/>
  <c r="A24" i="21"/>
  <c r="I23" i="21"/>
  <c r="H23" i="21"/>
  <c r="G23" i="21"/>
  <c r="F23" i="21"/>
  <c r="E23" i="21"/>
  <c r="D23" i="21"/>
  <c r="C23" i="21"/>
  <c r="B23" i="21"/>
  <c r="A23" i="21"/>
  <c r="I22" i="21"/>
  <c r="H22" i="21"/>
  <c r="G22" i="21"/>
  <c r="F22" i="21"/>
  <c r="E22" i="21"/>
  <c r="D22" i="21"/>
  <c r="C22" i="21"/>
  <c r="B22" i="21"/>
  <c r="A22" i="21"/>
  <c r="I21" i="21"/>
  <c r="H21" i="21"/>
  <c r="G21" i="21"/>
  <c r="F21" i="21"/>
  <c r="E21" i="21"/>
  <c r="D21" i="21"/>
  <c r="C21" i="21"/>
  <c r="B21" i="21"/>
  <c r="A21" i="21"/>
  <c r="I20" i="21"/>
  <c r="H20" i="21"/>
  <c r="G20" i="21"/>
  <c r="F20" i="21"/>
  <c r="E20" i="21"/>
  <c r="D20" i="21"/>
  <c r="C20" i="21"/>
  <c r="B20" i="21"/>
  <c r="A20" i="21"/>
  <c r="I19" i="21"/>
  <c r="H19" i="21"/>
  <c r="G19" i="21"/>
  <c r="F19" i="21"/>
  <c r="E19" i="21"/>
  <c r="D19" i="21"/>
  <c r="C19" i="21"/>
  <c r="B19" i="21"/>
  <c r="A19" i="21"/>
  <c r="I18" i="21"/>
  <c r="H18" i="21"/>
  <c r="G18" i="21"/>
  <c r="F18" i="21"/>
  <c r="E18" i="21"/>
  <c r="D18" i="21"/>
  <c r="C18" i="21"/>
  <c r="B18" i="21"/>
  <c r="A18" i="21"/>
  <c r="I17" i="21"/>
  <c r="H17" i="21"/>
  <c r="G17" i="21"/>
  <c r="F17" i="21"/>
  <c r="E17" i="21"/>
  <c r="D17" i="21"/>
  <c r="C17" i="21"/>
  <c r="B17" i="21"/>
  <c r="A17" i="21"/>
  <c r="I16" i="21"/>
  <c r="H16" i="21"/>
  <c r="G16" i="21"/>
  <c r="F16" i="21"/>
  <c r="E16" i="21"/>
  <c r="D16" i="21"/>
  <c r="C16" i="21"/>
  <c r="B16" i="21"/>
  <c r="A16" i="21"/>
  <c r="I15" i="21"/>
  <c r="H15" i="21"/>
  <c r="G15" i="21"/>
  <c r="F15" i="21"/>
  <c r="E15" i="21"/>
  <c r="D15" i="21"/>
  <c r="C15" i="21"/>
  <c r="B15" i="21"/>
  <c r="A15" i="21"/>
  <c r="I14" i="21"/>
  <c r="H14" i="21"/>
  <c r="G14" i="21"/>
  <c r="F14" i="21"/>
  <c r="E14" i="21"/>
  <c r="D14" i="21"/>
  <c r="C14" i="21"/>
  <c r="B14" i="21"/>
  <c r="A14" i="21"/>
  <c r="I13" i="21"/>
  <c r="H13" i="21"/>
  <c r="G13" i="21"/>
  <c r="F13" i="21"/>
  <c r="E13" i="21"/>
  <c r="D13" i="21"/>
  <c r="C13" i="21"/>
  <c r="B13" i="21"/>
  <c r="A13" i="21"/>
  <c r="I12" i="21"/>
  <c r="H12" i="21"/>
  <c r="G12" i="21"/>
  <c r="F12" i="21"/>
  <c r="E12" i="21"/>
  <c r="D12" i="21"/>
  <c r="C12" i="21"/>
  <c r="B12" i="21"/>
  <c r="A12" i="21"/>
  <c r="I11" i="21"/>
  <c r="H11" i="21"/>
  <c r="G11" i="21"/>
  <c r="F11" i="21"/>
  <c r="E11" i="21"/>
  <c r="D11" i="21"/>
  <c r="C11" i="21"/>
  <c r="B11" i="21"/>
  <c r="A11" i="21"/>
  <c r="I10" i="21"/>
  <c r="H10" i="21"/>
  <c r="G10" i="21"/>
  <c r="F10" i="21"/>
  <c r="E10" i="21"/>
  <c r="D10" i="21"/>
  <c r="C10" i="21"/>
  <c r="B10" i="21"/>
  <c r="A10" i="21"/>
  <c r="I9" i="21"/>
  <c r="H9" i="21"/>
  <c r="G9" i="21"/>
  <c r="F9" i="21"/>
  <c r="E9" i="21"/>
  <c r="D9" i="21"/>
  <c r="C9" i="21"/>
  <c r="B9" i="21"/>
  <c r="A9" i="21"/>
  <c r="I8" i="21"/>
  <c r="H8" i="21"/>
  <c r="G8" i="21"/>
  <c r="F8" i="21"/>
  <c r="E8" i="21"/>
  <c r="D8" i="21"/>
  <c r="C8" i="21"/>
  <c r="B8" i="21"/>
  <c r="A8" i="21"/>
  <c r="I7" i="21"/>
  <c r="H7" i="21"/>
  <c r="G7" i="21"/>
  <c r="F7" i="21"/>
  <c r="E7" i="21"/>
  <c r="D7" i="21"/>
  <c r="C7" i="21"/>
  <c r="B7" i="21"/>
  <c r="A7" i="21"/>
  <c r="I6" i="21"/>
  <c r="H6" i="21"/>
  <c r="G6" i="21"/>
  <c r="F6" i="21"/>
  <c r="E6" i="21"/>
  <c r="D6" i="21"/>
  <c r="C6" i="21"/>
  <c r="B6" i="21"/>
  <c r="A6" i="21"/>
  <c r="I5" i="21"/>
  <c r="H5" i="21"/>
  <c r="G5" i="21"/>
  <c r="F5" i="21"/>
  <c r="E5" i="21"/>
  <c r="D5" i="21"/>
  <c r="C5" i="21"/>
  <c r="B5" i="21"/>
  <c r="A5" i="21"/>
  <c r="I4" i="21"/>
  <c r="H4" i="21"/>
  <c r="G4" i="21"/>
  <c r="F4" i="21"/>
  <c r="E4" i="21"/>
  <c r="D4" i="21"/>
  <c r="C4" i="21"/>
  <c r="B4" i="21"/>
  <c r="A4" i="21"/>
  <c r="I3" i="21"/>
  <c r="H3" i="21"/>
  <c r="G3" i="21"/>
  <c r="F3" i="21"/>
  <c r="E3" i="21"/>
  <c r="D3" i="21"/>
  <c r="C3" i="21"/>
  <c r="B3" i="21"/>
  <c r="A3" i="21"/>
  <c r="I2" i="21"/>
  <c r="H2" i="21"/>
  <c r="G2" i="21"/>
  <c r="F2" i="21"/>
  <c r="E2" i="21"/>
  <c r="D2" i="21"/>
  <c r="C2" i="21"/>
  <c r="B2" i="21"/>
  <c r="A2" i="21"/>
  <c r="I1" i="21"/>
  <c r="H1" i="21"/>
  <c r="G1" i="21"/>
  <c r="F1" i="21"/>
  <c r="E1" i="21"/>
  <c r="D1" i="21"/>
  <c r="C1" i="21"/>
  <c r="B1" i="21"/>
  <c r="A1" i="21"/>
  <c r="I277" i="20"/>
  <c r="H277" i="20"/>
  <c r="G277" i="20"/>
  <c r="F277" i="20"/>
  <c r="E277" i="20"/>
  <c r="D277" i="20"/>
  <c r="C277" i="20"/>
  <c r="B277" i="20"/>
  <c r="A277" i="20"/>
  <c r="I276" i="20"/>
  <c r="H276" i="20"/>
  <c r="G276" i="20"/>
  <c r="F276" i="20"/>
  <c r="E276" i="20"/>
  <c r="D276" i="20"/>
  <c r="C276" i="20"/>
  <c r="B276" i="20"/>
  <c r="A276" i="20"/>
  <c r="I275" i="20"/>
  <c r="H275" i="20"/>
  <c r="G275" i="20"/>
  <c r="F275" i="20"/>
  <c r="E275" i="20"/>
  <c r="D275" i="20"/>
  <c r="C275" i="20"/>
  <c r="B275" i="20"/>
  <c r="A275" i="20"/>
  <c r="I274" i="20"/>
  <c r="H274" i="20"/>
  <c r="G274" i="20"/>
  <c r="F274" i="20"/>
  <c r="E274" i="20"/>
  <c r="D274" i="20"/>
  <c r="C274" i="20"/>
  <c r="B274" i="20"/>
  <c r="A274" i="20"/>
  <c r="I273" i="20"/>
  <c r="H273" i="20"/>
  <c r="G273" i="20"/>
  <c r="F273" i="20"/>
  <c r="E273" i="20"/>
  <c r="D273" i="20"/>
  <c r="C273" i="20"/>
  <c r="B273" i="20"/>
  <c r="A273" i="20"/>
  <c r="I272" i="20"/>
  <c r="H272" i="20"/>
  <c r="G272" i="20"/>
  <c r="F272" i="20"/>
  <c r="E272" i="20"/>
  <c r="D272" i="20"/>
  <c r="C272" i="20"/>
  <c r="B272" i="20"/>
  <c r="A272" i="20"/>
  <c r="I271" i="20"/>
  <c r="H271" i="20"/>
  <c r="G271" i="20"/>
  <c r="F271" i="20"/>
  <c r="E271" i="20"/>
  <c r="D271" i="20"/>
  <c r="C271" i="20"/>
  <c r="B271" i="20"/>
  <c r="A271" i="20"/>
  <c r="I270" i="20"/>
  <c r="H270" i="20"/>
  <c r="G270" i="20"/>
  <c r="F270" i="20"/>
  <c r="E270" i="20"/>
  <c r="D270" i="20"/>
  <c r="C270" i="20"/>
  <c r="B270" i="20"/>
  <c r="A270" i="20"/>
  <c r="I269" i="20"/>
  <c r="H269" i="20"/>
  <c r="G269" i="20"/>
  <c r="F269" i="20"/>
  <c r="E269" i="20"/>
  <c r="D269" i="20"/>
  <c r="C269" i="20"/>
  <c r="B269" i="20"/>
  <c r="A269" i="20"/>
  <c r="I268" i="20"/>
  <c r="H268" i="20"/>
  <c r="G268" i="20"/>
  <c r="F268" i="20"/>
  <c r="E268" i="20"/>
  <c r="D268" i="20"/>
  <c r="C268" i="20"/>
  <c r="B268" i="20"/>
  <c r="A268" i="20"/>
  <c r="I267" i="20"/>
  <c r="H267" i="20"/>
  <c r="G267" i="20"/>
  <c r="F267" i="20"/>
  <c r="E267" i="20"/>
  <c r="D267" i="20"/>
  <c r="C267" i="20"/>
  <c r="B267" i="20"/>
  <c r="A267" i="20"/>
  <c r="I266" i="20"/>
  <c r="H266" i="20"/>
  <c r="G266" i="20"/>
  <c r="F266" i="20"/>
  <c r="E266" i="20"/>
  <c r="D266" i="20"/>
  <c r="C266" i="20"/>
  <c r="B266" i="20"/>
  <c r="A266" i="20"/>
  <c r="I265" i="20"/>
  <c r="H265" i="20"/>
  <c r="G265" i="20"/>
  <c r="F265" i="20"/>
  <c r="E265" i="20"/>
  <c r="D265" i="20"/>
  <c r="C265" i="20"/>
  <c r="B265" i="20"/>
  <c r="A265" i="20"/>
  <c r="I264" i="20"/>
  <c r="H264" i="20"/>
  <c r="G264" i="20"/>
  <c r="F264" i="20"/>
  <c r="E264" i="20"/>
  <c r="D264" i="20"/>
  <c r="C264" i="20"/>
  <c r="B264" i="20"/>
  <c r="A264" i="20"/>
  <c r="I263" i="20"/>
  <c r="H263" i="20"/>
  <c r="G263" i="20"/>
  <c r="F263" i="20"/>
  <c r="E263" i="20"/>
  <c r="D263" i="20"/>
  <c r="C263" i="20"/>
  <c r="B263" i="20"/>
  <c r="A263" i="20"/>
  <c r="I262" i="20"/>
  <c r="H262" i="20"/>
  <c r="G262" i="20"/>
  <c r="F262" i="20"/>
  <c r="E262" i="20"/>
  <c r="D262" i="20"/>
  <c r="C262" i="20"/>
  <c r="B262" i="20"/>
  <c r="A262" i="20"/>
  <c r="I261" i="20"/>
  <c r="H261" i="20"/>
  <c r="G261" i="20"/>
  <c r="F261" i="20"/>
  <c r="E261" i="20"/>
  <c r="D261" i="20"/>
  <c r="C261" i="20"/>
  <c r="B261" i="20"/>
  <c r="A261" i="20"/>
  <c r="I260" i="20"/>
  <c r="H260" i="20"/>
  <c r="G260" i="20"/>
  <c r="F260" i="20"/>
  <c r="E260" i="20"/>
  <c r="D260" i="20"/>
  <c r="C260" i="20"/>
  <c r="B260" i="20"/>
  <c r="A260" i="20"/>
  <c r="I259" i="20"/>
  <c r="H259" i="20"/>
  <c r="G259" i="20"/>
  <c r="F259" i="20"/>
  <c r="E259" i="20"/>
  <c r="D259" i="20"/>
  <c r="C259" i="20"/>
  <c r="B259" i="20"/>
  <c r="A259" i="20"/>
  <c r="I258" i="20"/>
  <c r="H258" i="20"/>
  <c r="G258" i="20"/>
  <c r="F258" i="20"/>
  <c r="E258" i="20"/>
  <c r="D258" i="20"/>
  <c r="C258" i="20"/>
  <c r="B258" i="20"/>
  <c r="A258" i="20"/>
  <c r="I257" i="20"/>
  <c r="H257" i="20"/>
  <c r="G257" i="20"/>
  <c r="F257" i="20"/>
  <c r="E257" i="20"/>
  <c r="D257" i="20"/>
  <c r="C257" i="20"/>
  <c r="B257" i="20"/>
  <c r="A257" i="20"/>
  <c r="I256" i="20"/>
  <c r="H256" i="20"/>
  <c r="G256" i="20"/>
  <c r="F256" i="20"/>
  <c r="E256" i="20"/>
  <c r="D256" i="20"/>
  <c r="C256" i="20"/>
  <c r="B256" i="20"/>
  <c r="A256" i="20"/>
  <c r="I255" i="20"/>
  <c r="H255" i="20"/>
  <c r="G255" i="20"/>
  <c r="F255" i="20"/>
  <c r="E255" i="20"/>
  <c r="D255" i="20"/>
  <c r="C255" i="20"/>
  <c r="B255" i="20"/>
  <c r="A255" i="20"/>
  <c r="I254" i="20"/>
  <c r="H254" i="20"/>
  <c r="G254" i="20"/>
  <c r="F254" i="20"/>
  <c r="E254" i="20"/>
  <c r="D254" i="20"/>
  <c r="C254" i="20"/>
  <c r="B254" i="20"/>
  <c r="A254" i="20"/>
  <c r="I253" i="20"/>
  <c r="H253" i="20"/>
  <c r="G253" i="20"/>
  <c r="F253" i="20"/>
  <c r="E253" i="20"/>
  <c r="D253" i="20"/>
  <c r="C253" i="20"/>
  <c r="B253" i="20"/>
  <c r="A253" i="20"/>
  <c r="I252" i="20"/>
  <c r="H252" i="20"/>
  <c r="G252" i="20"/>
  <c r="F252" i="20"/>
  <c r="E252" i="20"/>
  <c r="D252" i="20"/>
  <c r="C252" i="20"/>
  <c r="B252" i="20"/>
  <c r="A252" i="20"/>
  <c r="I251" i="20"/>
  <c r="H251" i="20"/>
  <c r="G251" i="20"/>
  <c r="F251" i="20"/>
  <c r="E251" i="20"/>
  <c r="D251" i="20"/>
  <c r="C251" i="20"/>
  <c r="B251" i="20"/>
  <c r="A251" i="20"/>
  <c r="I250" i="20"/>
  <c r="H250" i="20"/>
  <c r="G250" i="20"/>
  <c r="F250" i="20"/>
  <c r="E250" i="20"/>
  <c r="D250" i="20"/>
  <c r="C250" i="20"/>
  <c r="B250" i="20"/>
  <c r="A250" i="20"/>
  <c r="I249" i="20"/>
  <c r="H249" i="20"/>
  <c r="G249" i="20"/>
  <c r="F249" i="20"/>
  <c r="E249" i="20"/>
  <c r="D249" i="20"/>
  <c r="C249" i="20"/>
  <c r="B249" i="20"/>
  <c r="A249" i="20"/>
  <c r="I248" i="20"/>
  <c r="H248" i="20"/>
  <c r="G248" i="20"/>
  <c r="F248" i="20"/>
  <c r="E248" i="20"/>
  <c r="D248" i="20"/>
  <c r="C248" i="20"/>
  <c r="B248" i="20"/>
  <c r="A248" i="20"/>
  <c r="I247" i="20"/>
  <c r="H247" i="20"/>
  <c r="G247" i="20"/>
  <c r="F247" i="20"/>
  <c r="E247" i="20"/>
  <c r="D247" i="20"/>
  <c r="C247" i="20"/>
  <c r="B247" i="20"/>
  <c r="A247" i="20"/>
  <c r="I246" i="20"/>
  <c r="H246" i="20"/>
  <c r="G246" i="20"/>
  <c r="F246" i="20"/>
  <c r="E246" i="20"/>
  <c r="D246" i="20"/>
  <c r="C246" i="20"/>
  <c r="B246" i="20"/>
  <c r="A246" i="20"/>
  <c r="I245" i="20"/>
  <c r="H245" i="20"/>
  <c r="G245" i="20"/>
  <c r="F245" i="20"/>
  <c r="E245" i="20"/>
  <c r="D245" i="20"/>
  <c r="C245" i="20"/>
  <c r="B245" i="20"/>
  <c r="A245" i="20"/>
  <c r="I244" i="20"/>
  <c r="H244" i="20"/>
  <c r="G244" i="20"/>
  <c r="F244" i="20"/>
  <c r="E244" i="20"/>
  <c r="D244" i="20"/>
  <c r="C244" i="20"/>
  <c r="B244" i="20"/>
  <c r="A244" i="20"/>
  <c r="I243" i="20"/>
  <c r="H243" i="20"/>
  <c r="G243" i="20"/>
  <c r="F243" i="20"/>
  <c r="E243" i="20"/>
  <c r="D243" i="20"/>
  <c r="C243" i="20"/>
  <c r="B243" i="20"/>
  <c r="A243" i="20"/>
  <c r="I242" i="20"/>
  <c r="H242" i="20"/>
  <c r="G242" i="20"/>
  <c r="F242" i="20"/>
  <c r="E242" i="20"/>
  <c r="D242" i="20"/>
  <c r="C242" i="20"/>
  <c r="B242" i="20"/>
  <c r="A242" i="20"/>
  <c r="I241" i="20"/>
  <c r="H241" i="20"/>
  <c r="G241" i="20"/>
  <c r="F241" i="20"/>
  <c r="E241" i="20"/>
  <c r="D241" i="20"/>
  <c r="C241" i="20"/>
  <c r="B241" i="20"/>
  <c r="A241" i="20"/>
  <c r="I240" i="20"/>
  <c r="H240" i="20"/>
  <c r="G240" i="20"/>
  <c r="F240" i="20"/>
  <c r="E240" i="20"/>
  <c r="D240" i="20"/>
  <c r="C240" i="20"/>
  <c r="B240" i="20"/>
  <c r="A240" i="20"/>
  <c r="I239" i="20"/>
  <c r="H239" i="20"/>
  <c r="G239" i="20"/>
  <c r="F239" i="20"/>
  <c r="E239" i="20"/>
  <c r="D239" i="20"/>
  <c r="C239" i="20"/>
  <c r="B239" i="20"/>
  <c r="A239" i="20"/>
  <c r="I238" i="20"/>
  <c r="H238" i="20"/>
  <c r="G238" i="20"/>
  <c r="F238" i="20"/>
  <c r="E238" i="20"/>
  <c r="D238" i="20"/>
  <c r="C238" i="20"/>
  <c r="B238" i="20"/>
  <c r="A238" i="20"/>
  <c r="I237" i="20"/>
  <c r="H237" i="20"/>
  <c r="G237" i="20"/>
  <c r="F237" i="20"/>
  <c r="E237" i="20"/>
  <c r="D237" i="20"/>
  <c r="C237" i="20"/>
  <c r="B237" i="20"/>
  <c r="A237" i="20"/>
  <c r="I236" i="20"/>
  <c r="H236" i="20"/>
  <c r="G236" i="20"/>
  <c r="F236" i="20"/>
  <c r="E236" i="20"/>
  <c r="D236" i="20"/>
  <c r="C236" i="20"/>
  <c r="B236" i="20"/>
  <c r="A236" i="20"/>
  <c r="I235" i="20"/>
  <c r="H235" i="20"/>
  <c r="G235" i="20"/>
  <c r="F235" i="20"/>
  <c r="E235" i="20"/>
  <c r="D235" i="20"/>
  <c r="C235" i="20"/>
  <c r="B235" i="20"/>
  <c r="A235" i="20"/>
  <c r="I234" i="20"/>
  <c r="H234" i="20"/>
  <c r="G234" i="20"/>
  <c r="F234" i="20"/>
  <c r="E234" i="20"/>
  <c r="D234" i="20"/>
  <c r="C234" i="20"/>
  <c r="B234" i="20"/>
  <c r="A234" i="20"/>
  <c r="I233" i="20"/>
  <c r="H233" i="20"/>
  <c r="G233" i="20"/>
  <c r="F233" i="20"/>
  <c r="E233" i="20"/>
  <c r="D233" i="20"/>
  <c r="C233" i="20"/>
  <c r="B233" i="20"/>
  <c r="A233" i="20"/>
  <c r="I232" i="20"/>
  <c r="H232" i="20"/>
  <c r="G232" i="20"/>
  <c r="F232" i="20"/>
  <c r="E232" i="20"/>
  <c r="D232" i="20"/>
  <c r="C232" i="20"/>
  <c r="B232" i="20"/>
  <c r="A232" i="20"/>
  <c r="I231" i="20"/>
  <c r="H231" i="20"/>
  <c r="G231" i="20"/>
  <c r="F231" i="20"/>
  <c r="E231" i="20"/>
  <c r="D231" i="20"/>
  <c r="C231" i="20"/>
  <c r="B231" i="20"/>
  <c r="A231" i="20"/>
  <c r="I230" i="20"/>
  <c r="H230" i="20"/>
  <c r="G230" i="20"/>
  <c r="F230" i="20"/>
  <c r="E230" i="20"/>
  <c r="D230" i="20"/>
  <c r="C230" i="20"/>
  <c r="B230" i="20"/>
  <c r="A230" i="20"/>
  <c r="I229" i="20"/>
  <c r="H229" i="20"/>
  <c r="G229" i="20"/>
  <c r="F229" i="20"/>
  <c r="E229" i="20"/>
  <c r="D229" i="20"/>
  <c r="C229" i="20"/>
  <c r="B229" i="20"/>
  <c r="A229" i="20"/>
  <c r="I228" i="20"/>
  <c r="H228" i="20"/>
  <c r="G228" i="20"/>
  <c r="F228" i="20"/>
  <c r="E228" i="20"/>
  <c r="D228" i="20"/>
  <c r="C228" i="20"/>
  <c r="B228" i="20"/>
  <c r="A228" i="20"/>
  <c r="I227" i="20"/>
  <c r="H227" i="20"/>
  <c r="G227" i="20"/>
  <c r="F227" i="20"/>
  <c r="E227" i="20"/>
  <c r="D227" i="20"/>
  <c r="C227" i="20"/>
  <c r="B227" i="20"/>
  <c r="A227" i="20"/>
  <c r="I226" i="20"/>
  <c r="H226" i="20"/>
  <c r="G226" i="20"/>
  <c r="F226" i="20"/>
  <c r="E226" i="20"/>
  <c r="D226" i="20"/>
  <c r="C226" i="20"/>
  <c r="B226" i="20"/>
  <c r="A226" i="20"/>
  <c r="I225" i="20"/>
  <c r="H225" i="20"/>
  <c r="G225" i="20"/>
  <c r="F225" i="20"/>
  <c r="E225" i="20"/>
  <c r="D225" i="20"/>
  <c r="C225" i="20"/>
  <c r="B225" i="20"/>
  <c r="A225" i="20"/>
  <c r="I224" i="20"/>
  <c r="H224" i="20"/>
  <c r="G224" i="20"/>
  <c r="F224" i="20"/>
  <c r="E224" i="20"/>
  <c r="D224" i="20"/>
  <c r="C224" i="20"/>
  <c r="B224" i="20"/>
  <c r="A224" i="20"/>
  <c r="I223" i="20"/>
  <c r="H223" i="20"/>
  <c r="G223" i="20"/>
  <c r="F223" i="20"/>
  <c r="E223" i="20"/>
  <c r="D223" i="20"/>
  <c r="C223" i="20"/>
  <c r="B223" i="20"/>
  <c r="A223" i="20"/>
  <c r="I222" i="20"/>
  <c r="H222" i="20"/>
  <c r="G222" i="20"/>
  <c r="F222" i="20"/>
  <c r="E222" i="20"/>
  <c r="D222" i="20"/>
  <c r="C222" i="20"/>
  <c r="B222" i="20"/>
  <c r="A222" i="20"/>
  <c r="I221" i="20"/>
  <c r="H221" i="20"/>
  <c r="G221" i="20"/>
  <c r="F221" i="20"/>
  <c r="E221" i="20"/>
  <c r="D221" i="20"/>
  <c r="C221" i="20"/>
  <c r="B221" i="20"/>
  <c r="A221" i="20"/>
  <c r="I220" i="20"/>
  <c r="H220" i="20"/>
  <c r="G220" i="20"/>
  <c r="F220" i="20"/>
  <c r="E220" i="20"/>
  <c r="D220" i="20"/>
  <c r="C220" i="20"/>
  <c r="B220" i="20"/>
  <c r="A220" i="20"/>
  <c r="I219" i="20"/>
  <c r="H219" i="20"/>
  <c r="G219" i="20"/>
  <c r="F219" i="20"/>
  <c r="E219" i="20"/>
  <c r="D219" i="20"/>
  <c r="C219" i="20"/>
  <c r="B219" i="20"/>
  <c r="A219" i="20"/>
  <c r="I218" i="20"/>
  <c r="H218" i="20"/>
  <c r="G218" i="20"/>
  <c r="F218" i="20"/>
  <c r="E218" i="20"/>
  <c r="D218" i="20"/>
  <c r="C218" i="20"/>
  <c r="B218" i="20"/>
  <c r="A218" i="20"/>
  <c r="I217" i="20"/>
  <c r="H217" i="20"/>
  <c r="G217" i="20"/>
  <c r="F217" i="20"/>
  <c r="E217" i="20"/>
  <c r="D217" i="20"/>
  <c r="C217" i="20"/>
  <c r="B217" i="20"/>
  <c r="A217" i="20"/>
  <c r="I216" i="20"/>
  <c r="H216" i="20"/>
  <c r="G216" i="20"/>
  <c r="F216" i="20"/>
  <c r="E216" i="20"/>
  <c r="D216" i="20"/>
  <c r="C216" i="20"/>
  <c r="B216" i="20"/>
  <c r="A216" i="20"/>
  <c r="I215" i="20"/>
  <c r="H215" i="20"/>
  <c r="G215" i="20"/>
  <c r="F215" i="20"/>
  <c r="E215" i="20"/>
  <c r="D215" i="20"/>
  <c r="C215" i="20"/>
  <c r="B215" i="20"/>
  <c r="A215" i="20"/>
  <c r="I214" i="20"/>
  <c r="H214" i="20"/>
  <c r="G214" i="20"/>
  <c r="F214" i="20"/>
  <c r="E214" i="20"/>
  <c r="D214" i="20"/>
  <c r="C214" i="20"/>
  <c r="B214" i="20"/>
  <c r="A214" i="20"/>
  <c r="I213" i="20"/>
  <c r="H213" i="20"/>
  <c r="G213" i="20"/>
  <c r="F213" i="20"/>
  <c r="E213" i="20"/>
  <c r="D213" i="20"/>
  <c r="C213" i="20"/>
  <c r="B213" i="20"/>
  <c r="A213" i="20"/>
  <c r="I212" i="20"/>
  <c r="H212" i="20"/>
  <c r="G212" i="20"/>
  <c r="F212" i="20"/>
  <c r="E212" i="20"/>
  <c r="D212" i="20"/>
  <c r="C212" i="20"/>
  <c r="B212" i="20"/>
  <c r="A212" i="20"/>
  <c r="I211" i="20"/>
  <c r="H211" i="20"/>
  <c r="G211" i="20"/>
  <c r="F211" i="20"/>
  <c r="E211" i="20"/>
  <c r="D211" i="20"/>
  <c r="C211" i="20"/>
  <c r="B211" i="20"/>
  <c r="A211" i="20"/>
  <c r="I210" i="20"/>
  <c r="H210" i="20"/>
  <c r="G210" i="20"/>
  <c r="F210" i="20"/>
  <c r="E210" i="20"/>
  <c r="D210" i="20"/>
  <c r="C210" i="20"/>
  <c r="B210" i="20"/>
  <c r="A210" i="20"/>
  <c r="I209" i="20"/>
  <c r="H209" i="20"/>
  <c r="G209" i="20"/>
  <c r="F209" i="20"/>
  <c r="E209" i="20"/>
  <c r="D209" i="20"/>
  <c r="C209" i="20"/>
  <c r="B209" i="20"/>
  <c r="A209" i="20"/>
  <c r="I208" i="20"/>
  <c r="H208" i="20"/>
  <c r="G208" i="20"/>
  <c r="F208" i="20"/>
  <c r="E208" i="20"/>
  <c r="D208" i="20"/>
  <c r="C208" i="20"/>
  <c r="B208" i="20"/>
  <c r="A208" i="20"/>
  <c r="I207" i="20"/>
  <c r="H207" i="20"/>
  <c r="G207" i="20"/>
  <c r="F207" i="20"/>
  <c r="E207" i="20"/>
  <c r="D207" i="20"/>
  <c r="C207" i="20"/>
  <c r="B207" i="20"/>
  <c r="A207" i="20"/>
  <c r="I206" i="20"/>
  <c r="H206" i="20"/>
  <c r="G206" i="20"/>
  <c r="F206" i="20"/>
  <c r="E206" i="20"/>
  <c r="D206" i="20"/>
  <c r="C206" i="20"/>
  <c r="B206" i="20"/>
  <c r="A206" i="20"/>
  <c r="I205" i="20"/>
  <c r="H205" i="20"/>
  <c r="G205" i="20"/>
  <c r="F205" i="20"/>
  <c r="E205" i="20"/>
  <c r="D205" i="20"/>
  <c r="C205" i="20"/>
  <c r="B205" i="20"/>
  <c r="A205" i="20"/>
  <c r="I204" i="20"/>
  <c r="H204" i="20"/>
  <c r="G204" i="20"/>
  <c r="F204" i="20"/>
  <c r="E204" i="20"/>
  <c r="D204" i="20"/>
  <c r="C204" i="20"/>
  <c r="B204" i="20"/>
  <c r="A204" i="20"/>
  <c r="I203" i="20"/>
  <c r="H203" i="20"/>
  <c r="G203" i="20"/>
  <c r="F203" i="20"/>
  <c r="E203" i="20"/>
  <c r="D203" i="20"/>
  <c r="C203" i="20"/>
  <c r="B203" i="20"/>
  <c r="A203" i="20"/>
  <c r="I202" i="20"/>
  <c r="H202" i="20"/>
  <c r="G202" i="20"/>
  <c r="F202" i="20"/>
  <c r="E202" i="20"/>
  <c r="D202" i="20"/>
  <c r="C202" i="20"/>
  <c r="B202" i="20"/>
  <c r="A202" i="20"/>
  <c r="I201" i="20"/>
  <c r="H201" i="20"/>
  <c r="G201" i="20"/>
  <c r="F201" i="20"/>
  <c r="E201" i="20"/>
  <c r="D201" i="20"/>
  <c r="C201" i="20"/>
  <c r="B201" i="20"/>
  <c r="A201" i="20"/>
  <c r="I200" i="20"/>
  <c r="H200" i="20"/>
  <c r="G200" i="20"/>
  <c r="F200" i="20"/>
  <c r="E200" i="20"/>
  <c r="D200" i="20"/>
  <c r="C200" i="20"/>
  <c r="B200" i="20"/>
  <c r="A200" i="20"/>
  <c r="I199" i="20"/>
  <c r="H199" i="20"/>
  <c r="G199" i="20"/>
  <c r="F199" i="20"/>
  <c r="E199" i="20"/>
  <c r="D199" i="20"/>
  <c r="C199" i="20"/>
  <c r="B199" i="20"/>
  <c r="A199" i="20"/>
  <c r="I198" i="20"/>
  <c r="H198" i="20"/>
  <c r="G198" i="20"/>
  <c r="F198" i="20"/>
  <c r="E198" i="20"/>
  <c r="D198" i="20"/>
  <c r="C198" i="20"/>
  <c r="B198" i="20"/>
  <c r="A198" i="20"/>
  <c r="I197" i="20"/>
  <c r="H197" i="20"/>
  <c r="G197" i="20"/>
  <c r="F197" i="20"/>
  <c r="E197" i="20"/>
  <c r="D197" i="20"/>
  <c r="C197" i="20"/>
  <c r="B197" i="20"/>
  <c r="A197" i="20"/>
  <c r="I196" i="20"/>
  <c r="H196" i="20"/>
  <c r="G196" i="20"/>
  <c r="F196" i="20"/>
  <c r="E196" i="20"/>
  <c r="D196" i="20"/>
  <c r="C196" i="20"/>
  <c r="B196" i="20"/>
  <c r="A196" i="20"/>
  <c r="I195" i="20"/>
  <c r="H195" i="20"/>
  <c r="G195" i="20"/>
  <c r="F195" i="20"/>
  <c r="E195" i="20"/>
  <c r="D195" i="20"/>
  <c r="C195" i="20"/>
  <c r="B195" i="20"/>
  <c r="A195" i="20"/>
  <c r="I194" i="20"/>
  <c r="H194" i="20"/>
  <c r="G194" i="20"/>
  <c r="F194" i="20"/>
  <c r="E194" i="20"/>
  <c r="D194" i="20"/>
  <c r="C194" i="20"/>
  <c r="B194" i="20"/>
  <c r="A194" i="20"/>
  <c r="I193" i="20"/>
  <c r="H193" i="20"/>
  <c r="G193" i="20"/>
  <c r="F193" i="20"/>
  <c r="E193" i="20"/>
  <c r="D193" i="20"/>
  <c r="C193" i="20"/>
  <c r="B193" i="20"/>
  <c r="A193" i="20"/>
  <c r="I192" i="20"/>
  <c r="H192" i="20"/>
  <c r="G192" i="20"/>
  <c r="F192" i="20"/>
  <c r="E192" i="20"/>
  <c r="D192" i="20"/>
  <c r="C192" i="20"/>
  <c r="B192" i="20"/>
  <c r="A192" i="20"/>
  <c r="I191" i="20"/>
  <c r="H191" i="20"/>
  <c r="G191" i="20"/>
  <c r="F191" i="20"/>
  <c r="E191" i="20"/>
  <c r="D191" i="20"/>
  <c r="C191" i="20"/>
  <c r="B191" i="20"/>
  <c r="A191" i="20"/>
  <c r="I190" i="20"/>
  <c r="H190" i="20"/>
  <c r="G190" i="20"/>
  <c r="F190" i="20"/>
  <c r="E190" i="20"/>
  <c r="D190" i="20"/>
  <c r="C190" i="20"/>
  <c r="B190" i="20"/>
  <c r="A190" i="20"/>
  <c r="I189" i="20"/>
  <c r="H189" i="20"/>
  <c r="G189" i="20"/>
  <c r="F189" i="20"/>
  <c r="E189" i="20"/>
  <c r="D189" i="20"/>
  <c r="C189" i="20"/>
  <c r="B189" i="20"/>
  <c r="A189" i="20"/>
  <c r="I188" i="20"/>
  <c r="H188" i="20"/>
  <c r="G188" i="20"/>
  <c r="F188" i="20"/>
  <c r="E188" i="20"/>
  <c r="D188" i="20"/>
  <c r="C188" i="20"/>
  <c r="B188" i="20"/>
  <c r="A188" i="20"/>
  <c r="I187" i="20"/>
  <c r="H187" i="20"/>
  <c r="G187" i="20"/>
  <c r="F187" i="20"/>
  <c r="E187" i="20"/>
  <c r="D187" i="20"/>
  <c r="C187" i="20"/>
  <c r="B187" i="20"/>
  <c r="A187" i="20"/>
  <c r="I186" i="20"/>
  <c r="H186" i="20"/>
  <c r="G186" i="20"/>
  <c r="F186" i="20"/>
  <c r="E186" i="20"/>
  <c r="D186" i="20"/>
  <c r="C186" i="20"/>
  <c r="B186" i="20"/>
  <c r="A186" i="20"/>
  <c r="I185" i="20"/>
  <c r="H185" i="20"/>
  <c r="G185" i="20"/>
  <c r="F185" i="20"/>
  <c r="E185" i="20"/>
  <c r="D185" i="20"/>
  <c r="C185" i="20"/>
  <c r="B185" i="20"/>
  <c r="A185" i="20"/>
  <c r="I184" i="20"/>
  <c r="H184" i="20"/>
  <c r="G184" i="20"/>
  <c r="F184" i="20"/>
  <c r="E184" i="20"/>
  <c r="D184" i="20"/>
  <c r="C184" i="20"/>
  <c r="B184" i="20"/>
  <c r="A184" i="20"/>
  <c r="I183" i="20"/>
  <c r="H183" i="20"/>
  <c r="G183" i="20"/>
  <c r="F183" i="20"/>
  <c r="E183" i="20"/>
  <c r="D183" i="20"/>
  <c r="C183" i="20"/>
  <c r="B183" i="20"/>
  <c r="A183" i="20"/>
  <c r="I182" i="20"/>
  <c r="H182" i="20"/>
  <c r="G182" i="20"/>
  <c r="F182" i="20"/>
  <c r="E182" i="20"/>
  <c r="D182" i="20"/>
  <c r="C182" i="20"/>
  <c r="B182" i="20"/>
  <c r="A182" i="20"/>
  <c r="I181" i="20"/>
  <c r="H181" i="20"/>
  <c r="G181" i="20"/>
  <c r="F181" i="20"/>
  <c r="E181" i="20"/>
  <c r="D181" i="20"/>
  <c r="C181" i="20"/>
  <c r="B181" i="20"/>
  <c r="A181" i="20"/>
  <c r="I180" i="20"/>
  <c r="H180" i="20"/>
  <c r="G180" i="20"/>
  <c r="F180" i="20"/>
  <c r="E180" i="20"/>
  <c r="D180" i="20"/>
  <c r="C180" i="20"/>
  <c r="B180" i="20"/>
  <c r="A180" i="20"/>
  <c r="I179" i="20"/>
  <c r="H179" i="20"/>
  <c r="G179" i="20"/>
  <c r="F179" i="20"/>
  <c r="E179" i="20"/>
  <c r="D179" i="20"/>
  <c r="C179" i="20"/>
  <c r="B179" i="20"/>
  <c r="A179" i="20"/>
  <c r="I178" i="20"/>
  <c r="H178" i="20"/>
  <c r="G178" i="20"/>
  <c r="F178" i="20"/>
  <c r="E178" i="20"/>
  <c r="D178" i="20"/>
  <c r="C178" i="20"/>
  <c r="B178" i="20"/>
  <c r="A178" i="20"/>
  <c r="I177" i="20"/>
  <c r="H177" i="20"/>
  <c r="G177" i="20"/>
  <c r="F177" i="20"/>
  <c r="E177" i="20"/>
  <c r="D177" i="20"/>
  <c r="C177" i="20"/>
  <c r="B177" i="20"/>
  <c r="A177" i="20"/>
  <c r="I176" i="20"/>
  <c r="H176" i="20"/>
  <c r="G176" i="20"/>
  <c r="F176" i="20"/>
  <c r="E176" i="20"/>
  <c r="D176" i="20"/>
  <c r="C176" i="20"/>
  <c r="B176" i="20"/>
  <c r="A176" i="20"/>
  <c r="I175" i="20"/>
  <c r="H175" i="20"/>
  <c r="G175" i="20"/>
  <c r="F175" i="20"/>
  <c r="E175" i="20"/>
  <c r="D175" i="20"/>
  <c r="C175" i="20"/>
  <c r="B175" i="20"/>
  <c r="A175" i="20"/>
  <c r="I174" i="20"/>
  <c r="H174" i="20"/>
  <c r="G174" i="20"/>
  <c r="F174" i="20"/>
  <c r="E174" i="20"/>
  <c r="D174" i="20"/>
  <c r="C174" i="20"/>
  <c r="B174" i="20"/>
  <c r="A174" i="20"/>
  <c r="I173" i="20"/>
  <c r="H173" i="20"/>
  <c r="G173" i="20"/>
  <c r="F173" i="20"/>
  <c r="E173" i="20"/>
  <c r="D173" i="20"/>
  <c r="C173" i="20"/>
  <c r="B173" i="20"/>
  <c r="A173" i="20"/>
  <c r="I172" i="20"/>
  <c r="H172" i="20"/>
  <c r="G172" i="20"/>
  <c r="F172" i="20"/>
  <c r="E172" i="20"/>
  <c r="D172" i="20"/>
  <c r="C172" i="20"/>
  <c r="B172" i="20"/>
  <c r="A172" i="20"/>
  <c r="I171" i="20"/>
  <c r="H171" i="20"/>
  <c r="G171" i="20"/>
  <c r="F171" i="20"/>
  <c r="E171" i="20"/>
  <c r="D171" i="20"/>
  <c r="C171" i="20"/>
  <c r="B171" i="20"/>
  <c r="A171" i="20"/>
  <c r="I170" i="20"/>
  <c r="H170" i="20"/>
  <c r="G170" i="20"/>
  <c r="F170" i="20"/>
  <c r="E170" i="20"/>
  <c r="D170" i="20"/>
  <c r="C170" i="20"/>
  <c r="B170" i="20"/>
  <c r="A170" i="20"/>
  <c r="I169" i="20"/>
  <c r="H169" i="20"/>
  <c r="G169" i="20"/>
  <c r="F169" i="20"/>
  <c r="E169" i="20"/>
  <c r="D169" i="20"/>
  <c r="C169" i="20"/>
  <c r="B169" i="20"/>
  <c r="A169" i="20"/>
  <c r="I168" i="20"/>
  <c r="H168" i="20"/>
  <c r="G168" i="20"/>
  <c r="F168" i="20"/>
  <c r="E168" i="20"/>
  <c r="D168" i="20"/>
  <c r="C168" i="20"/>
  <c r="B168" i="20"/>
  <c r="A168" i="20"/>
  <c r="I167" i="20"/>
  <c r="H167" i="20"/>
  <c r="G167" i="20"/>
  <c r="F167" i="20"/>
  <c r="E167" i="20"/>
  <c r="D167" i="20"/>
  <c r="C167" i="20"/>
  <c r="B167" i="20"/>
  <c r="A167" i="20"/>
  <c r="I166" i="20"/>
  <c r="H166" i="20"/>
  <c r="G166" i="20"/>
  <c r="F166" i="20"/>
  <c r="E166" i="20"/>
  <c r="D166" i="20"/>
  <c r="C166" i="20"/>
  <c r="B166" i="20"/>
  <c r="A166" i="20"/>
  <c r="I165" i="20"/>
  <c r="H165" i="20"/>
  <c r="G165" i="20"/>
  <c r="F165" i="20"/>
  <c r="E165" i="20"/>
  <c r="D165" i="20"/>
  <c r="C165" i="20"/>
  <c r="B165" i="20"/>
  <c r="A165" i="20"/>
  <c r="I164" i="20"/>
  <c r="H164" i="20"/>
  <c r="G164" i="20"/>
  <c r="F164" i="20"/>
  <c r="E164" i="20"/>
  <c r="D164" i="20"/>
  <c r="C164" i="20"/>
  <c r="B164" i="20"/>
  <c r="A164" i="20"/>
  <c r="I163" i="20"/>
  <c r="H163" i="20"/>
  <c r="G163" i="20"/>
  <c r="F163" i="20"/>
  <c r="E163" i="20"/>
  <c r="D163" i="20"/>
  <c r="C163" i="20"/>
  <c r="B163" i="20"/>
  <c r="A163" i="20"/>
  <c r="I162" i="20"/>
  <c r="H162" i="20"/>
  <c r="G162" i="20"/>
  <c r="F162" i="20"/>
  <c r="E162" i="20"/>
  <c r="D162" i="20"/>
  <c r="C162" i="20"/>
  <c r="B162" i="20"/>
  <c r="A162" i="20"/>
  <c r="I161" i="20"/>
  <c r="H161" i="20"/>
  <c r="G161" i="20"/>
  <c r="F161" i="20"/>
  <c r="E161" i="20"/>
  <c r="D161" i="20"/>
  <c r="C161" i="20"/>
  <c r="B161" i="20"/>
  <c r="A161" i="20"/>
  <c r="I160" i="20"/>
  <c r="H160" i="20"/>
  <c r="G160" i="20"/>
  <c r="F160" i="20"/>
  <c r="E160" i="20"/>
  <c r="D160" i="20"/>
  <c r="C160" i="20"/>
  <c r="B160" i="20"/>
  <c r="A160" i="20"/>
  <c r="I159" i="20"/>
  <c r="H159" i="20"/>
  <c r="G159" i="20"/>
  <c r="F159" i="20"/>
  <c r="E159" i="20"/>
  <c r="D159" i="20"/>
  <c r="C159" i="20"/>
  <c r="B159" i="20"/>
  <c r="A159" i="20"/>
  <c r="I158" i="20"/>
  <c r="H158" i="20"/>
  <c r="G158" i="20"/>
  <c r="F158" i="20"/>
  <c r="E158" i="20"/>
  <c r="D158" i="20"/>
  <c r="C158" i="20"/>
  <c r="B158" i="20"/>
  <c r="A158" i="20"/>
  <c r="I157" i="20"/>
  <c r="H157" i="20"/>
  <c r="G157" i="20"/>
  <c r="F157" i="20"/>
  <c r="E157" i="20"/>
  <c r="D157" i="20"/>
  <c r="C157" i="20"/>
  <c r="B157" i="20"/>
  <c r="A157" i="20"/>
  <c r="I156" i="20"/>
  <c r="H156" i="20"/>
  <c r="G156" i="20"/>
  <c r="F156" i="20"/>
  <c r="E156" i="20"/>
  <c r="D156" i="20"/>
  <c r="C156" i="20"/>
  <c r="B156" i="20"/>
  <c r="A156" i="20"/>
  <c r="I155" i="20"/>
  <c r="H155" i="20"/>
  <c r="G155" i="20"/>
  <c r="F155" i="20"/>
  <c r="E155" i="20"/>
  <c r="D155" i="20"/>
  <c r="C155" i="20"/>
  <c r="B155" i="20"/>
  <c r="A155" i="20"/>
  <c r="I154" i="20"/>
  <c r="H154" i="20"/>
  <c r="G154" i="20"/>
  <c r="F154" i="20"/>
  <c r="E154" i="20"/>
  <c r="D154" i="20"/>
  <c r="C154" i="20"/>
  <c r="B154" i="20"/>
  <c r="A154" i="20"/>
  <c r="I153" i="20"/>
  <c r="H153" i="20"/>
  <c r="G153" i="20"/>
  <c r="F153" i="20"/>
  <c r="E153" i="20"/>
  <c r="D153" i="20"/>
  <c r="C153" i="20"/>
  <c r="B153" i="20"/>
  <c r="A153" i="20"/>
  <c r="I152" i="20"/>
  <c r="H152" i="20"/>
  <c r="G152" i="20"/>
  <c r="F152" i="20"/>
  <c r="E152" i="20"/>
  <c r="D152" i="20"/>
  <c r="C152" i="20"/>
  <c r="B152" i="20"/>
  <c r="A152" i="20"/>
  <c r="I151" i="20"/>
  <c r="H151" i="20"/>
  <c r="G151" i="20"/>
  <c r="F151" i="20"/>
  <c r="E151" i="20"/>
  <c r="D151" i="20"/>
  <c r="C151" i="20"/>
  <c r="B151" i="20"/>
  <c r="A151" i="20"/>
  <c r="I150" i="20"/>
  <c r="H150" i="20"/>
  <c r="G150" i="20"/>
  <c r="F150" i="20"/>
  <c r="E150" i="20"/>
  <c r="D150" i="20"/>
  <c r="C150" i="20"/>
  <c r="B150" i="20"/>
  <c r="A150" i="20"/>
  <c r="I149" i="20"/>
  <c r="H149" i="20"/>
  <c r="G149" i="20"/>
  <c r="F149" i="20"/>
  <c r="E149" i="20"/>
  <c r="D149" i="20"/>
  <c r="C149" i="20"/>
  <c r="B149" i="20"/>
  <c r="A149" i="20"/>
  <c r="I148" i="20"/>
  <c r="H148" i="20"/>
  <c r="G148" i="20"/>
  <c r="F148" i="20"/>
  <c r="E148" i="20"/>
  <c r="D148" i="20"/>
  <c r="C148" i="20"/>
  <c r="B148" i="20"/>
  <c r="A148" i="20"/>
  <c r="I147" i="20"/>
  <c r="H147" i="20"/>
  <c r="G147" i="20"/>
  <c r="F147" i="20"/>
  <c r="E147" i="20"/>
  <c r="D147" i="20"/>
  <c r="C147" i="20"/>
  <c r="B147" i="20"/>
  <c r="A147" i="20"/>
  <c r="I146" i="20"/>
  <c r="H146" i="20"/>
  <c r="G146" i="20"/>
  <c r="F146" i="20"/>
  <c r="E146" i="20"/>
  <c r="D146" i="20"/>
  <c r="C146" i="20"/>
  <c r="B146" i="20"/>
  <c r="A146" i="20"/>
  <c r="I145" i="20"/>
  <c r="H145" i="20"/>
  <c r="G145" i="20"/>
  <c r="F145" i="20"/>
  <c r="E145" i="20"/>
  <c r="D145" i="20"/>
  <c r="C145" i="20"/>
  <c r="B145" i="20"/>
  <c r="A145" i="20"/>
  <c r="I144" i="20"/>
  <c r="H144" i="20"/>
  <c r="G144" i="20"/>
  <c r="F144" i="20"/>
  <c r="E144" i="20"/>
  <c r="D144" i="20"/>
  <c r="C144" i="20"/>
  <c r="B144" i="20"/>
  <c r="A144" i="20"/>
  <c r="I143" i="20"/>
  <c r="H143" i="20"/>
  <c r="G143" i="20"/>
  <c r="F143" i="20"/>
  <c r="E143" i="20"/>
  <c r="D143" i="20"/>
  <c r="C143" i="20"/>
  <c r="B143" i="20"/>
  <c r="A143" i="20"/>
  <c r="I142" i="20"/>
  <c r="H142" i="20"/>
  <c r="G142" i="20"/>
  <c r="F142" i="20"/>
  <c r="E142" i="20"/>
  <c r="D142" i="20"/>
  <c r="C142" i="20"/>
  <c r="B142" i="20"/>
  <c r="A142" i="20"/>
  <c r="I141" i="20"/>
  <c r="H141" i="20"/>
  <c r="G141" i="20"/>
  <c r="F141" i="20"/>
  <c r="E141" i="20"/>
  <c r="D141" i="20"/>
  <c r="C141" i="20"/>
  <c r="B141" i="20"/>
  <c r="A141" i="20"/>
  <c r="I140" i="20"/>
  <c r="H140" i="20"/>
  <c r="G140" i="20"/>
  <c r="F140" i="20"/>
  <c r="E140" i="20"/>
  <c r="D140" i="20"/>
  <c r="C140" i="20"/>
  <c r="B140" i="20"/>
  <c r="A140" i="20"/>
  <c r="I139" i="20"/>
  <c r="H139" i="20"/>
  <c r="G139" i="20"/>
  <c r="F139" i="20"/>
  <c r="E139" i="20"/>
  <c r="D139" i="20"/>
  <c r="C139" i="20"/>
  <c r="B139" i="20"/>
  <c r="A139" i="20"/>
  <c r="I138" i="20"/>
  <c r="H138" i="20"/>
  <c r="G138" i="20"/>
  <c r="F138" i="20"/>
  <c r="E138" i="20"/>
  <c r="D138" i="20"/>
  <c r="C138" i="20"/>
  <c r="B138" i="20"/>
  <c r="A138" i="20"/>
  <c r="I137" i="20"/>
  <c r="H137" i="20"/>
  <c r="G137" i="20"/>
  <c r="F137" i="20"/>
  <c r="E137" i="20"/>
  <c r="D137" i="20"/>
  <c r="C137" i="20"/>
  <c r="B137" i="20"/>
  <c r="A137" i="20"/>
  <c r="I136" i="20"/>
  <c r="H136" i="20"/>
  <c r="G136" i="20"/>
  <c r="F136" i="20"/>
  <c r="E136" i="20"/>
  <c r="D136" i="20"/>
  <c r="C136" i="20"/>
  <c r="B136" i="20"/>
  <c r="A136" i="20"/>
  <c r="I135" i="20"/>
  <c r="H135" i="20"/>
  <c r="G135" i="20"/>
  <c r="F135" i="20"/>
  <c r="E135" i="20"/>
  <c r="D135" i="20"/>
  <c r="C135" i="20"/>
  <c r="B135" i="20"/>
  <c r="A135" i="20"/>
  <c r="I134" i="20"/>
  <c r="H134" i="20"/>
  <c r="G134" i="20"/>
  <c r="F134" i="20"/>
  <c r="E134" i="20"/>
  <c r="D134" i="20"/>
  <c r="C134" i="20"/>
  <c r="B134" i="20"/>
  <c r="A134" i="20"/>
  <c r="I133" i="20"/>
  <c r="H133" i="20"/>
  <c r="G133" i="20"/>
  <c r="F133" i="20"/>
  <c r="E133" i="20"/>
  <c r="D133" i="20"/>
  <c r="C133" i="20"/>
  <c r="B133" i="20"/>
  <c r="A133" i="20"/>
  <c r="I132" i="20"/>
  <c r="H132" i="20"/>
  <c r="G132" i="20"/>
  <c r="F132" i="20"/>
  <c r="E132" i="20"/>
  <c r="D132" i="20"/>
  <c r="C132" i="20"/>
  <c r="B132" i="20"/>
  <c r="A132" i="20"/>
  <c r="I131" i="20"/>
  <c r="H131" i="20"/>
  <c r="G131" i="20"/>
  <c r="F131" i="20"/>
  <c r="E131" i="20"/>
  <c r="D131" i="20"/>
  <c r="C131" i="20"/>
  <c r="B131" i="20"/>
  <c r="A131" i="20"/>
  <c r="I130" i="20"/>
  <c r="H130" i="20"/>
  <c r="G130" i="20"/>
  <c r="F130" i="20"/>
  <c r="E130" i="20"/>
  <c r="D130" i="20"/>
  <c r="C130" i="20"/>
  <c r="B130" i="20"/>
  <c r="A130" i="20"/>
  <c r="I129" i="20"/>
  <c r="H129" i="20"/>
  <c r="G129" i="20"/>
  <c r="F129" i="20"/>
  <c r="E129" i="20"/>
  <c r="D129" i="20"/>
  <c r="C129" i="20"/>
  <c r="B129" i="20"/>
  <c r="A129" i="20"/>
  <c r="I128" i="20"/>
  <c r="H128" i="20"/>
  <c r="G128" i="20"/>
  <c r="F128" i="20"/>
  <c r="E128" i="20"/>
  <c r="D128" i="20"/>
  <c r="C128" i="20"/>
  <c r="B128" i="20"/>
  <c r="A128" i="20"/>
  <c r="I127" i="20"/>
  <c r="H127" i="20"/>
  <c r="G127" i="20"/>
  <c r="F127" i="20"/>
  <c r="E127" i="20"/>
  <c r="D127" i="20"/>
  <c r="C127" i="20"/>
  <c r="B127" i="20"/>
  <c r="A127" i="20"/>
  <c r="I126" i="20"/>
  <c r="H126" i="20"/>
  <c r="G126" i="20"/>
  <c r="F126" i="20"/>
  <c r="E126" i="20"/>
  <c r="D126" i="20"/>
  <c r="C126" i="20"/>
  <c r="B126" i="20"/>
  <c r="A126" i="20"/>
  <c r="I125" i="20"/>
  <c r="H125" i="20"/>
  <c r="G125" i="20"/>
  <c r="F125" i="20"/>
  <c r="E125" i="20"/>
  <c r="D125" i="20"/>
  <c r="C125" i="20"/>
  <c r="B125" i="20"/>
  <c r="A125" i="20"/>
  <c r="I124" i="20"/>
  <c r="H124" i="20"/>
  <c r="G124" i="20"/>
  <c r="F124" i="20"/>
  <c r="E124" i="20"/>
  <c r="D124" i="20"/>
  <c r="C124" i="20"/>
  <c r="B124" i="20"/>
  <c r="A124" i="20"/>
  <c r="I123" i="20"/>
  <c r="H123" i="20"/>
  <c r="G123" i="20"/>
  <c r="F123" i="20"/>
  <c r="E123" i="20"/>
  <c r="D123" i="20"/>
  <c r="C123" i="20"/>
  <c r="B123" i="20"/>
  <c r="A123" i="20"/>
  <c r="I122" i="20"/>
  <c r="H122" i="20"/>
  <c r="G122" i="20"/>
  <c r="F122" i="20"/>
  <c r="E122" i="20"/>
  <c r="D122" i="20"/>
  <c r="C122" i="20"/>
  <c r="B122" i="20"/>
  <c r="A122" i="20"/>
  <c r="I121" i="20"/>
  <c r="H121" i="20"/>
  <c r="G121" i="20"/>
  <c r="F121" i="20"/>
  <c r="E121" i="20"/>
  <c r="D121" i="20"/>
  <c r="C121" i="20"/>
  <c r="B121" i="20"/>
  <c r="A121" i="20"/>
  <c r="I120" i="20"/>
  <c r="H120" i="20"/>
  <c r="G120" i="20"/>
  <c r="F120" i="20"/>
  <c r="E120" i="20"/>
  <c r="D120" i="20"/>
  <c r="C120" i="20"/>
  <c r="B120" i="20"/>
  <c r="A120" i="20"/>
  <c r="I119" i="20"/>
  <c r="H119" i="20"/>
  <c r="G119" i="20"/>
  <c r="F119" i="20"/>
  <c r="E119" i="20"/>
  <c r="D119" i="20"/>
  <c r="C119" i="20"/>
  <c r="B119" i="20"/>
  <c r="A119" i="20"/>
  <c r="I118" i="20"/>
  <c r="H118" i="20"/>
  <c r="G118" i="20"/>
  <c r="F118" i="20"/>
  <c r="E118" i="20"/>
  <c r="D118" i="20"/>
  <c r="C118" i="20"/>
  <c r="B118" i="20"/>
  <c r="A118" i="20"/>
  <c r="I117" i="20"/>
  <c r="H117" i="20"/>
  <c r="G117" i="20"/>
  <c r="F117" i="20"/>
  <c r="E117" i="20"/>
  <c r="D117" i="20"/>
  <c r="C117" i="20"/>
  <c r="B117" i="20"/>
  <c r="A117" i="20"/>
  <c r="I116" i="20"/>
  <c r="H116" i="20"/>
  <c r="G116" i="20"/>
  <c r="F116" i="20"/>
  <c r="E116" i="20"/>
  <c r="D116" i="20"/>
  <c r="C116" i="20"/>
  <c r="B116" i="20"/>
  <c r="A116" i="20"/>
  <c r="I115" i="20"/>
  <c r="H115" i="20"/>
  <c r="G115" i="20"/>
  <c r="F115" i="20"/>
  <c r="E115" i="20"/>
  <c r="D115" i="20"/>
  <c r="C115" i="20"/>
  <c r="B115" i="20"/>
  <c r="A115" i="20"/>
  <c r="I114" i="20"/>
  <c r="H114" i="20"/>
  <c r="G114" i="20"/>
  <c r="F114" i="20"/>
  <c r="E114" i="20"/>
  <c r="D114" i="20"/>
  <c r="C114" i="20"/>
  <c r="B114" i="20"/>
  <c r="A114" i="20"/>
  <c r="I113" i="20"/>
  <c r="H113" i="20"/>
  <c r="G113" i="20"/>
  <c r="F113" i="20"/>
  <c r="E113" i="20"/>
  <c r="D113" i="20"/>
  <c r="C113" i="20"/>
  <c r="B113" i="20"/>
  <c r="A113" i="20"/>
  <c r="I112" i="20"/>
  <c r="H112" i="20"/>
  <c r="G112" i="20"/>
  <c r="F112" i="20"/>
  <c r="E112" i="20"/>
  <c r="D112" i="20"/>
  <c r="C112" i="20"/>
  <c r="B112" i="20"/>
  <c r="A112" i="20"/>
  <c r="I111" i="20"/>
  <c r="H111" i="20"/>
  <c r="G111" i="20"/>
  <c r="F111" i="20"/>
  <c r="E111" i="20"/>
  <c r="D111" i="20"/>
  <c r="C111" i="20"/>
  <c r="B111" i="20"/>
  <c r="A111" i="20"/>
  <c r="I110" i="20"/>
  <c r="H110" i="20"/>
  <c r="G110" i="20"/>
  <c r="F110" i="20"/>
  <c r="E110" i="20"/>
  <c r="D110" i="20"/>
  <c r="C110" i="20"/>
  <c r="B110" i="20"/>
  <c r="A110" i="20"/>
  <c r="I109" i="20"/>
  <c r="H109" i="20"/>
  <c r="G109" i="20"/>
  <c r="F109" i="20"/>
  <c r="E109" i="20"/>
  <c r="D109" i="20"/>
  <c r="C109" i="20"/>
  <c r="B109" i="20"/>
  <c r="A109" i="20"/>
  <c r="I108" i="20"/>
  <c r="H108" i="20"/>
  <c r="G108" i="20"/>
  <c r="F108" i="20"/>
  <c r="E108" i="20"/>
  <c r="D108" i="20"/>
  <c r="C108" i="20"/>
  <c r="B108" i="20"/>
  <c r="A108" i="20"/>
  <c r="I107" i="20"/>
  <c r="H107" i="20"/>
  <c r="G107" i="20"/>
  <c r="F107" i="20"/>
  <c r="E107" i="20"/>
  <c r="D107" i="20"/>
  <c r="C107" i="20"/>
  <c r="B107" i="20"/>
  <c r="A107" i="20"/>
  <c r="I106" i="20"/>
  <c r="H106" i="20"/>
  <c r="G106" i="20"/>
  <c r="F106" i="20"/>
  <c r="E106" i="20"/>
  <c r="D106" i="20"/>
  <c r="C106" i="20"/>
  <c r="B106" i="20"/>
  <c r="A106" i="20"/>
  <c r="I105" i="20"/>
  <c r="H105" i="20"/>
  <c r="G105" i="20"/>
  <c r="F105" i="20"/>
  <c r="E105" i="20"/>
  <c r="D105" i="20"/>
  <c r="C105" i="20"/>
  <c r="B105" i="20"/>
  <c r="A105" i="20"/>
  <c r="I104" i="20"/>
  <c r="H104" i="20"/>
  <c r="G104" i="20"/>
  <c r="F104" i="20"/>
  <c r="E104" i="20"/>
  <c r="D104" i="20"/>
  <c r="C104" i="20"/>
  <c r="B104" i="20"/>
  <c r="A104" i="20"/>
  <c r="I103" i="20"/>
  <c r="H103" i="20"/>
  <c r="G103" i="20"/>
  <c r="F103" i="20"/>
  <c r="E103" i="20"/>
  <c r="D103" i="20"/>
  <c r="C103" i="20"/>
  <c r="B103" i="20"/>
  <c r="A103" i="20"/>
  <c r="I102" i="20"/>
  <c r="H102" i="20"/>
  <c r="G102" i="20"/>
  <c r="F102" i="20"/>
  <c r="E102" i="20"/>
  <c r="D102" i="20"/>
  <c r="C102" i="20"/>
  <c r="B102" i="20"/>
  <c r="A102" i="20"/>
  <c r="I101" i="20"/>
  <c r="H101" i="20"/>
  <c r="G101" i="20"/>
  <c r="F101" i="20"/>
  <c r="E101" i="20"/>
  <c r="D101" i="20"/>
  <c r="C101" i="20"/>
  <c r="B101" i="20"/>
  <c r="A101" i="20"/>
  <c r="I100" i="20"/>
  <c r="H100" i="20"/>
  <c r="G100" i="20"/>
  <c r="F100" i="20"/>
  <c r="E100" i="20"/>
  <c r="D100" i="20"/>
  <c r="C100" i="20"/>
  <c r="B100" i="20"/>
  <c r="A100" i="20"/>
  <c r="I99" i="20"/>
  <c r="H99" i="20"/>
  <c r="G99" i="20"/>
  <c r="F99" i="20"/>
  <c r="E99" i="20"/>
  <c r="D99" i="20"/>
  <c r="C99" i="20"/>
  <c r="B99" i="20"/>
  <c r="A99" i="20"/>
  <c r="I98" i="20"/>
  <c r="H98" i="20"/>
  <c r="G98" i="20"/>
  <c r="F98" i="20"/>
  <c r="E98" i="20"/>
  <c r="D98" i="20"/>
  <c r="C98" i="20"/>
  <c r="B98" i="20"/>
  <c r="A98" i="20"/>
  <c r="I97" i="20"/>
  <c r="H97" i="20"/>
  <c r="G97" i="20"/>
  <c r="F97" i="20"/>
  <c r="E97" i="20"/>
  <c r="D97" i="20"/>
  <c r="C97" i="20"/>
  <c r="B97" i="20"/>
  <c r="A97" i="20"/>
  <c r="I96" i="20"/>
  <c r="H96" i="20"/>
  <c r="G96" i="20"/>
  <c r="F96" i="20"/>
  <c r="E96" i="20"/>
  <c r="D96" i="20"/>
  <c r="C96" i="20"/>
  <c r="B96" i="20"/>
  <c r="A96" i="20"/>
  <c r="I95" i="20"/>
  <c r="H95" i="20"/>
  <c r="G95" i="20"/>
  <c r="F95" i="20"/>
  <c r="E95" i="20"/>
  <c r="D95" i="20"/>
  <c r="C95" i="20"/>
  <c r="B95" i="20"/>
  <c r="A95" i="20"/>
  <c r="I94" i="20"/>
  <c r="H94" i="20"/>
  <c r="G94" i="20"/>
  <c r="F94" i="20"/>
  <c r="E94" i="20"/>
  <c r="D94" i="20"/>
  <c r="C94" i="20"/>
  <c r="B94" i="20"/>
  <c r="A94" i="20"/>
  <c r="I93" i="20"/>
  <c r="H93" i="20"/>
  <c r="G93" i="20"/>
  <c r="F93" i="20"/>
  <c r="E93" i="20"/>
  <c r="D93" i="20"/>
  <c r="C93" i="20"/>
  <c r="B93" i="20"/>
  <c r="A93" i="20"/>
  <c r="I92" i="20"/>
  <c r="H92" i="20"/>
  <c r="G92" i="20"/>
  <c r="F92" i="20"/>
  <c r="E92" i="20"/>
  <c r="D92" i="20"/>
  <c r="C92" i="20"/>
  <c r="B92" i="20"/>
  <c r="A92" i="20"/>
  <c r="I91" i="20"/>
  <c r="H91" i="20"/>
  <c r="G91" i="20"/>
  <c r="F91" i="20"/>
  <c r="E91" i="20"/>
  <c r="D91" i="20"/>
  <c r="C91" i="20"/>
  <c r="B91" i="20"/>
  <c r="A91" i="20"/>
  <c r="I90" i="20"/>
  <c r="H90" i="20"/>
  <c r="G90" i="20"/>
  <c r="F90" i="20"/>
  <c r="E90" i="20"/>
  <c r="D90" i="20"/>
  <c r="C90" i="20"/>
  <c r="B90" i="20"/>
  <c r="A90" i="20"/>
  <c r="I89" i="20"/>
  <c r="H89" i="20"/>
  <c r="G89" i="20"/>
  <c r="F89" i="20"/>
  <c r="E89" i="20"/>
  <c r="D89" i="20"/>
  <c r="C89" i="20"/>
  <c r="B89" i="20"/>
  <c r="A89" i="20"/>
  <c r="I88" i="20"/>
  <c r="H88" i="20"/>
  <c r="G88" i="20"/>
  <c r="F88" i="20"/>
  <c r="E88" i="20"/>
  <c r="D88" i="20"/>
  <c r="C88" i="20"/>
  <c r="B88" i="20"/>
  <c r="A88" i="20"/>
  <c r="I87" i="20"/>
  <c r="H87" i="20"/>
  <c r="G87" i="20"/>
  <c r="F87" i="20"/>
  <c r="E87" i="20"/>
  <c r="D87" i="20"/>
  <c r="C87" i="20"/>
  <c r="B87" i="20"/>
  <c r="A87" i="20"/>
  <c r="I86" i="20"/>
  <c r="H86" i="20"/>
  <c r="G86" i="20"/>
  <c r="F86" i="20"/>
  <c r="E86" i="20"/>
  <c r="D86" i="20"/>
  <c r="C86" i="20"/>
  <c r="B86" i="20"/>
  <c r="A86" i="20"/>
  <c r="I85" i="20"/>
  <c r="H85" i="20"/>
  <c r="G85" i="20"/>
  <c r="F85" i="20"/>
  <c r="E85" i="20"/>
  <c r="D85" i="20"/>
  <c r="C85" i="20"/>
  <c r="B85" i="20"/>
  <c r="A85" i="20"/>
  <c r="I84" i="20"/>
  <c r="H84" i="20"/>
  <c r="G84" i="20"/>
  <c r="F84" i="20"/>
  <c r="E84" i="20"/>
  <c r="D84" i="20"/>
  <c r="C84" i="20"/>
  <c r="B84" i="20"/>
  <c r="A84" i="20"/>
  <c r="I83" i="20"/>
  <c r="H83" i="20"/>
  <c r="G83" i="20"/>
  <c r="F83" i="20"/>
  <c r="E83" i="20"/>
  <c r="D83" i="20"/>
  <c r="C83" i="20"/>
  <c r="B83" i="20"/>
  <c r="A83" i="20"/>
  <c r="I82" i="20"/>
  <c r="H82" i="20"/>
  <c r="G82" i="20"/>
  <c r="F82" i="20"/>
  <c r="E82" i="20"/>
  <c r="D82" i="20"/>
  <c r="C82" i="20"/>
  <c r="B82" i="20"/>
  <c r="A82" i="20"/>
  <c r="I81" i="20"/>
  <c r="H81" i="20"/>
  <c r="G81" i="20"/>
  <c r="F81" i="20"/>
  <c r="E81" i="20"/>
  <c r="D81" i="20"/>
  <c r="C81" i="20"/>
  <c r="B81" i="20"/>
  <c r="A81" i="20"/>
  <c r="I80" i="20"/>
  <c r="H80" i="20"/>
  <c r="G80" i="20"/>
  <c r="F80" i="20"/>
  <c r="E80" i="20"/>
  <c r="D80" i="20"/>
  <c r="C80" i="20"/>
  <c r="B80" i="20"/>
  <c r="A80" i="20"/>
  <c r="I79" i="20"/>
  <c r="H79" i="20"/>
  <c r="G79" i="20"/>
  <c r="F79" i="20"/>
  <c r="E79" i="20"/>
  <c r="D79" i="20"/>
  <c r="C79" i="20"/>
  <c r="B79" i="20"/>
  <c r="A79" i="20"/>
  <c r="I78" i="20"/>
  <c r="H78" i="20"/>
  <c r="G78" i="20"/>
  <c r="F78" i="20"/>
  <c r="E78" i="20"/>
  <c r="D78" i="20"/>
  <c r="C78" i="20"/>
  <c r="B78" i="20"/>
  <c r="A78" i="20"/>
  <c r="I77" i="20"/>
  <c r="H77" i="20"/>
  <c r="G77" i="20"/>
  <c r="F77" i="20"/>
  <c r="E77" i="20"/>
  <c r="D77" i="20"/>
  <c r="C77" i="20"/>
  <c r="B77" i="20"/>
  <c r="A77" i="20"/>
  <c r="I76" i="20"/>
  <c r="H76" i="20"/>
  <c r="G76" i="20"/>
  <c r="F76" i="20"/>
  <c r="E76" i="20"/>
  <c r="D76" i="20"/>
  <c r="C76" i="20"/>
  <c r="B76" i="20"/>
  <c r="A76" i="20"/>
  <c r="I75" i="20"/>
  <c r="H75" i="20"/>
  <c r="G75" i="20"/>
  <c r="F75" i="20"/>
  <c r="E75" i="20"/>
  <c r="D75" i="20"/>
  <c r="C75" i="20"/>
  <c r="B75" i="20"/>
  <c r="A75" i="20"/>
  <c r="I74" i="20"/>
  <c r="H74" i="20"/>
  <c r="G74" i="20"/>
  <c r="F74" i="20"/>
  <c r="E74" i="20"/>
  <c r="D74" i="20"/>
  <c r="C74" i="20"/>
  <c r="B74" i="20"/>
  <c r="A74" i="20"/>
  <c r="I73" i="20"/>
  <c r="H73" i="20"/>
  <c r="G73" i="20"/>
  <c r="F73" i="20"/>
  <c r="E73" i="20"/>
  <c r="D73" i="20"/>
  <c r="C73" i="20"/>
  <c r="B73" i="20"/>
  <c r="A73" i="20"/>
  <c r="I72" i="20"/>
  <c r="H72" i="20"/>
  <c r="G72" i="20"/>
  <c r="F72" i="20"/>
  <c r="E72" i="20"/>
  <c r="D72" i="20"/>
  <c r="C72" i="20"/>
  <c r="B72" i="20"/>
  <c r="A72" i="20"/>
  <c r="I71" i="20"/>
  <c r="H71" i="20"/>
  <c r="G71" i="20"/>
  <c r="F71" i="20"/>
  <c r="E71" i="20"/>
  <c r="D71" i="20"/>
  <c r="C71" i="20"/>
  <c r="B71" i="20"/>
  <c r="A71" i="20"/>
  <c r="I70" i="20"/>
  <c r="H70" i="20"/>
  <c r="G70" i="20"/>
  <c r="F70" i="20"/>
  <c r="E70" i="20"/>
  <c r="D70" i="20"/>
  <c r="C70" i="20"/>
  <c r="B70" i="20"/>
  <c r="A70" i="20"/>
  <c r="I69" i="20"/>
  <c r="H69" i="20"/>
  <c r="G69" i="20"/>
  <c r="F69" i="20"/>
  <c r="E69" i="20"/>
  <c r="D69" i="20"/>
  <c r="C69" i="20"/>
  <c r="B69" i="20"/>
  <c r="A69" i="20"/>
  <c r="I68" i="20"/>
  <c r="H68" i="20"/>
  <c r="G68" i="20"/>
  <c r="F68" i="20"/>
  <c r="E68" i="20"/>
  <c r="D68" i="20"/>
  <c r="C68" i="20"/>
  <c r="B68" i="20"/>
  <c r="A68" i="20"/>
  <c r="I67" i="20"/>
  <c r="H67" i="20"/>
  <c r="G67" i="20"/>
  <c r="F67" i="20"/>
  <c r="E67" i="20"/>
  <c r="D67" i="20"/>
  <c r="C67" i="20"/>
  <c r="B67" i="20"/>
  <c r="A67" i="20"/>
  <c r="I66" i="20"/>
  <c r="H66" i="20"/>
  <c r="G66" i="20"/>
  <c r="F66" i="20"/>
  <c r="E66" i="20"/>
  <c r="D66" i="20"/>
  <c r="C66" i="20"/>
  <c r="B66" i="20"/>
  <c r="A66" i="20"/>
  <c r="I65" i="20"/>
  <c r="H65" i="20"/>
  <c r="G65" i="20"/>
  <c r="F65" i="20"/>
  <c r="E65" i="20"/>
  <c r="D65" i="20"/>
  <c r="C65" i="20"/>
  <c r="B65" i="20"/>
  <c r="A65" i="20"/>
  <c r="I64" i="20"/>
  <c r="H64" i="20"/>
  <c r="G64" i="20"/>
  <c r="F64" i="20"/>
  <c r="E64" i="20"/>
  <c r="D64" i="20"/>
  <c r="C64" i="20"/>
  <c r="B64" i="20"/>
  <c r="A64" i="20"/>
  <c r="I63" i="20"/>
  <c r="H63" i="20"/>
  <c r="G63" i="20"/>
  <c r="F63" i="20"/>
  <c r="E63" i="20"/>
  <c r="D63" i="20"/>
  <c r="C63" i="20"/>
  <c r="B63" i="20"/>
  <c r="A63" i="20"/>
  <c r="I62" i="20"/>
  <c r="H62" i="20"/>
  <c r="G62" i="20"/>
  <c r="F62" i="20"/>
  <c r="E62" i="20"/>
  <c r="D62" i="20"/>
  <c r="C62" i="20"/>
  <c r="B62" i="20"/>
  <c r="A62" i="20"/>
  <c r="I61" i="20"/>
  <c r="H61" i="20"/>
  <c r="G61" i="20"/>
  <c r="F61" i="20"/>
  <c r="E61" i="20"/>
  <c r="D61" i="20"/>
  <c r="C61" i="20"/>
  <c r="B61" i="20"/>
  <c r="A61" i="20"/>
  <c r="I60" i="20"/>
  <c r="H60" i="20"/>
  <c r="G60" i="20"/>
  <c r="F60" i="20"/>
  <c r="E60" i="20"/>
  <c r="D60" i="20"/>
  <c r="C60" i="20"/>
  <c r="B60" i="20"/>
  <c r="A60" i="20"/>
  <c r="I59" i="20"/>
  <c r="H59" i="20"/>
  <c r="G59" i="20"/>
  <c r="F59" i="20"/>
  <c r="E59" i="20"/>
  <c r="D59" i="20"/>
  <c r="C59" i="20"/>
  <c r="B59" i="20"/>
  <c r="A59" i="20"/>
  <c r="I58" i="20"/>
  <c r="H58" i="20"/>
  <c r="G58" i="20"/>
  <c r="F58" i="20"/>
  <c r="E58" i="20"/>
  <c r="D58" i="20"/>
  <c r="C58" i="20"/>
  <c r="B58" i="20"/>
  <c r="A58" i="20"/>
  <c r="I57" i="20"/>
  <c r="H57" i="20"/>
  <c r="G57" i="20"/>
  <c r="F57" i="20"/>
  <c r="E57" i="20"/>
  <c r="D57" i="20"/>
  <c r="C57" i="20"/>
  <c r="B57" i="20"/>
  <c r="A57" i="20"/>
  <c r="I56" i="20"/>
  <c r="H56" i="20"/>
  <c r="G56" i="20"/>
  <c r="F56" i="20"/>
  <c r="E56" i="20"/>
  <c r="D56" i="20"/>
  <c r="C56" i="20"/>
  <c r="B56" i="20"/>
  <c r="A56" i="20"/>
  <c r="I55" i="20"/>
  <c r="H55" i="20"/>
  <c r="G55" i="20"/>
  <c r="F55" i="20"/>
  <c r="E55" i="20"/>
  <c r="D55" i="20"/>
  <c r="C55" i="20"/>
  <c r="B55" i="20"/>
  <c r="A55" i="20"/>
  <c r="I54" i="20"/>
  <c r="H54" i="20"/>
  <c r="G54" i="20"/>
  <c r="F54" i="20"/>
  <c r="E54" i="20"/>
  <c r="D54" i="20"/>
  <c r="C54" i="20"/>
  <c r="B54" i="20"/>
  <c r="A54" i="20"/>
  <c r="I53" i="20"/>
  <c r="H53" i="20"/>
  <c r="G53" i="20"/>
  <c r="F53" i="20"/>
  <c r="E53" i="20"/>
  <c r="D53" i="20"/>
  <c r="C53" i="20"/>
  <c r="B53" i="20"/>
  <c r="A53" i="20"/>
  <c r="I52" i="20"/>
  <c r="H52" i="20"/>
  <c r="G52" i="20"/>
  <c r="F52" i="20"/>
  <c r="E52" i="20"/>
  <c r="D52" i="20"/>
  <c r="C52" i="20"/>
  <c r="B52" i="20"/>
  <c r="A52" i="20"/>
  <c r="I51" i="20"/>
  <c r="H51" i="20"/>
  <c r="G51" i="20"/>
  <c r="F51" i="20"/>
  <c r="E51" i="20"/>
  <c r="D51" i="20"/>
  <c r="C51" i="20"/>
  <c r="B51" i="20"/>
  <c r="A51" i="20"/>
  <c r="I50" i="20"/>
  <c r="H50" i="20"/>
  <c r="G50" i="20"/>
  <c r="F50" i="20"/>
  <c r="E50" i="20"/>
  <c r="D50" i="20"/>
  <c r="C50" i="20"/>
  <c r="B50" i="20"/>
  <c r="A50" i="20"/>
  <c r="I49" i="20"/>
  <c r="H49" i="20"/>
  <c r="G49" i="20"/>
  <c r="F49" i="20"/>
  <c r="E49" i="20"/>
  <c r="D49" i="20"/>
  <c r="C49" i="20"/>
  <c r="B49" i="20"/>
  <c r="A49" i="20"/>
  <c r="I48" i="20"/>
  <c r="H48" i="20"/>
  <c r="G48" i="20"/>
  <c r="F48" i="20"/>
  <c r="E48" i="20"/>
  <c r="D48" i="20"/>
  <c r="C48" i="20"/>
  <c r="B48" i="20"/>
  <c r="A48" i="20"/>
  <c r="I47" i="20"/>
  <c r="H47" i="20"/>
  <c r="G47" i="20"/>
  <c r="F47" i="20"/>
  <c r="E47" i="20"/>
  <c r="D47" i="20"/>
  <c r="C47" i="20"/>
  <c r="B47" i="20"/>
  <c r="A47" i="20"/>
  <c r="I46" i="20"/>
  <c r="H46" i="20"/>
  <c r="G46" i="20"/>
  <c r="F46" i="20"/>
  <c r="E46" i="20"/>
  <c r="D46" i="20"/>
  <c r="C46" i="20"/>
  <c r="B46" i="20"/>
  <c r="A46" i="20"/>
  <c r="I45" i="20"/>
  <c r="H45" i="20"/>
  <c r="G45" i="20"/>
  <c r="F45" i="20"/>
  <c r="E45" i="20"/>
  <c r="D45" i="20"/>
  <c r="C45" i="20"/>
  <c r="B45" i="20"/>
  <c r="A45" i="20"/>
  <c r="I44" i="20"/>
  <c r="H44" i="20"/>
  <c r="G44" i="20"/>
  <c r="F44" i="20"/>
  <c r="E44" i="20"/>
  <c r="D44" i="20"/>
  <c r="C44" i="20"/>
  <c r="B44" i="20"/>
  <c r="A44" i="20"/>
  <c r="I43" i="20"/>
  <c r="H43" i="20"/>
  <c r="G43" i="20"/>
  <c r="F43" i="20"/>
  <c r="E43" i="20"/>
  <c r="D43" i="20"/>
  <c r="C43" i="20"/>
  <c r="B43" i="20"/>
  <c r="A43" i="20"/>
  <c r="I42" i="20"/>
  <c r="H42" i="20"/>
  <c r="G42" i="20"/>
  <c r="F42" i="20"/>
  <c r="E42" i="20"/>
  <c r="D42" i="20"/>
  <c r="C42" i="20"/>
  <c r="B42" i="20"/>
  <c r="A42" i="20"/>
  <c r="I41" i="20"/>
  <c r="H41" i="20"/>
  <c r="G41" i="20"/>
  <c r="F41" i="20"/>
  <c r="E41" i="20"/>
  <c r="D41" i="20"/>
  <c r="C41" i="20"/>
  <c r="B41" i="20"/>
  <c r="A41" i="20"/>
  <c r="I40" i="20"/>
  <c r="H40" i="20"/>
  <c r="G40" i="20"/>
  <c r="F40" i="20"/>
  <c r="E40" i="20"/>
  <c r="D40" i="20"/>
  <c r="C40" i="20"/>
  <c r="B40" i="20"/>
  <c r="A40" i="20"/>
  <c r="I39" i="20"/>
  <c r="H39" i="20"/>
  <c r="G39" i="20"/>
  <c r="F39" i="20"/>
  <c r="E39" i="20"/>
  <c r="D39" i="20"/>
  <c r="C39" i="20"/>
  <c r="B39" i="20"/>
  <c r="A39" i="20"/>
  <c r="I38" i="20"/>
  <c r="H38" i="20"/>
  <c r="G38" i="20"/>
  <c r="F38" i="20"/>
  <c r="E38" i="20"/>
  <c r="D38" i="20"/>
  <c r="C38" i="20"/>
  <c r="B38" i="20"/>
  <c r="A38" i="20"/>
  <c r="I37" i="20"/>
  <c r="H37" i="20"/>
  <c r="G37" i="20"/>
  <c r="F37" i="20"/>
  <c r="E37" i="20"/>
  <c r="D37" i="20"/>
  <c r="C37" i="20"/>
  <c r="B37" i="20"/>
  <c r="A37" i="20"/>
  <c r="I36" i="20"/>
  <c r="H36" i="20"/>
  <c r="G36" i="20"/>
  <c r="F36" i="20"/>
  <c r="E36" i="20"/>
  <c r="D36" i="20"/>
  <c r="C36" i="20"/>
  <c r="B36" i="20"/>
  <c r="A36" i="20"/>
  <c r="I35" i="20"/>
  <c r="H35" i="20"/>
  <c r="G35" i="20"/>
  <c r="F35" i="20"/>
  <c r="E35" i="20"/>
  <c r="D35" i="20"/>
  <c r="C35" i="20"/>
  <c r="B35" i="20"/>
  <c r="A35" i="20"/>
  <c r="I34" i="20"/>
  <c r="H34" i="20"/>
  <c r="G34" i="20"/>
  <c r="F34" i="20"/>
  <c r="E34" i="20"/>
  <c r="D34" i="20"/>
  <c r="C34" i="20"/>
  <c r="B34" i="20"/>
  <c r="A34" i="20"/>
  <c r="I33" i="20"/>
  <c r="H33" i="20"/>
  <c r="G33" i="20"/>
  <c r="F33" i="20"/>
  <c r="E33" i="20"/>
  <c r="D33" i="20"/>
  <c r="C33" i="20"/>
  <c r="B33" i="20"/>
  <c r="A33" i="20"/>
  <c r="I32" i="20"/>
  <c r="H32" i="20"/>
  <c r="G32" i="20"/>
  <c r="F32" i="20"/>
  <c r="E32" i="20"/>
  <c r="D32" i="20"/>
  <c r="C32" i="20"/>
  <c r="B32" i="20"/>
  <c r="A32" i="20"/>
  <c r="I31" i="20"/>
  <c r="H31" i="20"/>
  <c r="G31" i="20"/>
  <c r="F31" i="20"/>
  <c r="E31" i="20"/>
  <c r="D31" i="20"/>
  <c r="C31" i="20"/>
  <c r="B31" i="20"/>
  <c r="A31" i="20"/>
  <c r="I30" i="20"/>
  <c r="H30" i="20"/>
  <c r="G30" i="20"/>
  <c r="F30" i="20"/>
  <c r="E30" i="20"/>
  <c r="D30" i="20"/>
  <c r="C30" i="20"/>
  <c r="B30" i="20"/>
  <c r="A30" i="20"/>
  <c r="I29" i="20"/>
  <c r="H29" i="20"/>
  <c r="G29" i="20"/>
  <c r="F29" i="20"/>
  <c r="E29" i="20"/>
  <c r="D29" i="20"/>
  <c r="C29" i="20"/>
  <c r="B29" i="20"/>
  <c r="A29" i="20"/>
  <c r="I28" i="20"/>
  <c r="H28" i="20"/>
  <c r="G28" i="20"/>
  <c r="F28" i="20"/>
  <c r="E28" i="20"/>
  <c r="D28" i="20"/>
  <c r="C28" i="20"/>
  <c r="B28" i="20"/>
  <c r="A28" i="20"/>
  <c r="I27" i="20"/>
  <c r="H27" i="20"/>
  <c r="G27" i="20"/>
  <c r="F27" i="20"/>
  <c r="E27" i="20"/>
  <c r="D27" i="20"/>
  <c r="C27" i="20"/>
  <c r="B27" i="20"/>
  <c r="A27" i="20"/>
  <c r="I26" i="20"/>
  <c r="H26" i="20"/>
  <c r="G26" i="20"/>
  <c r="F26" i="20"/>
  <c r="E26" i="20"/>
  <c r="D26" i="20"/>
  <c r="C26" i="20"/>
  <c r="B26" i="20"/>
  <c r="A26" i="20"/>
  <c r="I25" i="20"/>
  <c r="H25" i="20"/>
  <c r="G25" i="20"/>
  <c r="F25" i="20"/>
  <c r="E25" i="20"/>
  <c r="D25" i="20"/>
  <c r="C25" i="20"/>
  <c r="B25" i="20"/>
  <c r="A25" i="20"/>
  <c r="I24" i="20"/>
  <c r="H24" i="20"/>
  <c r="G24" i="20"/>
  <c r="F24" i="20"/>
  <c r="E24" i="20"/>
  <c r="D24" i="20"/>
  <c r="C24" i="20"/>
  <c r="B24" i="20"/>
  <c r="A24" i="20"/>
  <c r="I23" i="20"/>
  <c r="H23" i="20"/>
  <c r="G23" i="20"/>
  <c r="F23" i="20"/>
  <c r="E23" i="20"/>
  <c r="D23" i="20"/>
  <c r="C23" i="20"/>
  <c r="B23" i="20"/>
  <c r="A23" i="20"/>
  <c r="I22" i="20"/>
  <c r="H22" i="20"/>
  <c r="G22" i="20"/>
  <c r="F22" i="20"/>
  <c r="E22" i="20"/>
  <c r="D22" i="20"/>
  <c r="C22" i="20"/>
  <c r="B22" i="20"/>
  <c r="A22" i="20"/>
  <c r="I21" i="20"/>
  <c r="H21" i="20"/>
  <c r="G21" i="20"/>
  <c r="F21" i="20"/>
  <c r="E21" i="20"/>
  <c r="D21" i="20"/>
  <c r="C21" i="20"/>
  <c r="B21" i="20"/>
  <c r="A21" i="20"/>
  <c r="I20" i="20"/>
  <c r="H20" i="20"/>
  <c r="G20" i="20"/>
  <c r="F20" i="20"/>
  <c r="E20" i="20"/>
  <c r="D20" i="20"/>
  <c r="C20" i="20"/>
  <c r="B20" i="20"/>
  <c r="A20" i="20"/>
  <c r="I19" i="20"/>
  <c r="H19" i="20"/>
  <c r="G19" i="20"/>
  <c r="F19" i="20"/>
  <c r="E19" i="20"/>
  <c r="D19" i="20"/>
  <c r="C19" i="20"/>
  <c r="B19" i="20"/>
  <c r="A19" i="20"/>
  <c r="I18" i="20"/>
  <c r="H18" i="20"/>
  <c r="G18" i="20"/>
  <c r="F18" i="20"/>
  <c r="E18" i="20"/>
  <c r="D18" i="20"/>
  <c r="C18" i="20"/>
  <c r="B18" i="20"/>
  <c r="A18" i="20"/>
  <c r="I17" i="20"/>
  <c r="H17" i="20"/>
  <c r="G17" i="20"/>
  <c r="F17" i="20"/>
  <c r="E17" i="20"/>
  <c r="D17" i="20"/>
  <c r="C17" i="20"/>
  <c r="B17" i="20"/>
  <c r="A17" i="20"/>
  <c r="I16" i="20"/>
  <c r="H16" i="20"/>
  <c r="G16" i="20"/>
  <c r="F16" i="20"/>
  <c r="E16" i="20"/>
  <c r="D16" i="20"/>
  <c r="C16" i="20"/>
  <c r="B16" i="20"/>
  <c r="A16" i="20"/>
  <c r="I15" i="20"/>
  <c r="H15" i="20"/>
  <c r="G15" i="20"/>
  <c r="F15" i="20"/>
  <c r="E15" i="20"/>
  <c r="D15" i="20"/>
  <c r="C15" i="20"/>
  <c r="B15" i="20"/>
  <c r="A15" i="20"/>
  <c r="I14" i="20"/>
  <c r="H14" i="20"/>
  <c r="G14" i="20"/>
  <c r="F14" i="20"/>
  <c r="E14" i="20"/>
  <c r="D14" i="20"/>
  <c r="C14" i="20"/>
  <c r="B14" i="20"/>
  <c r="A14" i="20"/>
  <c r="I13" i="20"/>
  <c r="H13" i="20"/>
  <c r="G13" i="20"/>
  <c r="F13" i="20"/>
  <c r="E13" i="20"/>
  <c r="D13" i="20"/>
  <c r="C13" i="20"/>
  <c r="B13" i="20"/>
  <c r="A13" i="20"/>
  <c r="I12" i="20"/>
  <c r="H12" i="20"/>
  <c r="G12" i="20"/>
  <c r="F12" i="20"/>
  <c r="E12" i="20"/>
  <c r="D12" i="20"/>
  <c r="C12" i="20"/>
  <c r="B12" i="20"/>
  <c r="A12" i="20"/>
  <c r="I11" i="20"/>
  <c r="H11" i="20"/>
  <c r="G11" i="20"/>
  <c r="F11" i="20"/>
  <c r="E11" i="20"/>
  <c r="D11" i="20"/>
  <c r="C11" i="20"/>
  <c r="B11" i="20"/>
  <c r="A11" i="20"/>
  <c r="I10" i="20"/>
  <c r="H10" i="20"/>
  <c r="G10" i="20"/>
  <c r="F10" i="20"/>
  <c r="E10" i="20"/>
  <c r="D10" i="20"/>
  <c r="C10" i="20"/>
  <c r="B10" i="20"/>
  <c r="A10" i="20"/>
  <c r="I9" i="20"/>
  <c r="H9" i="20"/>
  <c r="G9" i="20"/>
  <c r="F9" i="20"/>
  <c r="E9" i="20"/>
  <c r="D9" i="20"/>
  <c r="C9" i="20"/>
  <c r="B9" i="20"/>
  <c r="A9" i="20"/>
  <c r="I8" i="20"/>
  <c r="H8" i="20"/>
  <c r="G8" i="20"/>
  <c r="F8" i="20"/>
  <c r="E8" i="20"/>
  <c r="D8" i="20"/>
  <c r="C8" i="20"/>
  <c r="B8" i="20"/>
  <c r="A8" i="20"/>
  <c r="I7" i="20"/>
  <c r="H7" i="20"/>
  <c r="G7" i="20"/>
  <c r="F7" i="20"/>
  <c r="E7" i="20"/>
  <c r="D7" i="20"/>
  <c r="C7" i="20"/>
  <c r="B7" i="20"/>
  <c r="A7" i="20"/>
  <c r="I6" i="20"/>
  <c r="H6" i="20"/>
  <c r="G6" i="20"/>
  <c r="F6" i="20"/>
  <c r="E6" i="20"/>
  <c r="D6" i="20"/>
  <c r="C6" i="20"/>
  <c r="B6" i="20"/>
  <c r="A6" i="20"/>
  <c r="I5" i="20"/>
  <c r="H5" i="20"/>
  <c r="G5" i="20"/>
  <c r="F5" i="20"/>
  <c r="E5" i="20"/>
  <c r="D5" i="20"/>
  <c r="C5" i="20"/>
  <c r="B5" i="20"/>
  <c r="A5" i="20"/>
  <c r="I4" i="20"/>
  <c r="H4" i="20"/>
  <c r="G4" i="20"/>
  <c r="F4" i="20"/>
  <c r="E4" i="20"/>
  <c r="D4" i="20"/>
  <c r="C4" i="20"/>
  <c r="B4" i="20"/>
  <c r="A4" i="20"/>
  <c r="I3" i="20"/>
  <c r="H3" i="20"/>
  <c r="G3" i="20"/>
  <c r="F3" i="20"/>
  <c r="E3" i="20"/>
  <c r="D3" i="20"/>
  <c r="C3" i="20"/>
  <c r="B3" i="20"/>
  <c r="A3" i="20"/>
  <c r="I2" i="20"/>
  <c r="H2" i="20"/>
  <c r="G2" i="20"/>
  <c r="F2" i="20"/>
  <c r="E2" i="20"/>
  <c r="D2" i="20"/>
  <c r="C2" i="20"/>
  <c r="B2" i="20"/>
  <c r="A2" i="20"/>
  <c r="I1" i="20"/>
  <c r="H1" i="20"/>
  <c r="G1" i="20"/>
  <c r="F1" i="20"/>
  <c r="E1" i="20"/>
  <c r="D1" i="20"/>
  <c r="C1" i="20"/>
  <c r="B1" i="20"/>
  <c r="A1" i="20"/>
  <c r="H277" i="19"/>
  <c r="G277" i="19"/>
  <c r="F277" i="19"/>
  <c r="E277" i="19"/>
  <c r="D277" i="19"/>
  <c r="C277" i="19"/>
  <c r="B277" i="19"/>
  <c r="A277" i="19"/>
  <c r="H276" i="19"/>
  <c r="G276" i="19"/>
  <c r="F276" i="19"/>
  <c r="E276" i="19"/>
  <c r="D276" i="19"/>
  <c r="C276" i="19"/>
  <c r="B276" i="19"/>
  <c r="A276" i="19"/>
  <c r="H275" i="19"/>
  <c r="G275" i="19"/>
  <c r="F275" i="19"/>
  <c r="E275" i="19"/>
  <c r="D275" i="19"/>
  <c r="C275" i="19"/>
  <c r="B275" i="19"/>
  <c r="A275" i="19"/>
  <c r="H274" i="19"/>
  <c r="G274" i="19"/>
  <c r="F274" i="19"/>
  <c r="E274" i="19"/>
  <c r="D274" i="19"/>
  <c r="C274" i="19"/>
  <c r="B274" i="19"/>
  <c r="A274" i="19"/>
  <c r="H273" i="19"/>
  <c r="G273" i="19"/>
  <c r="F273" i="19"/>
  <c r="E273" i="19"/>
  <c r="D273" i="19"/>
  <c r="C273" i="19"/>
  <c r="B273" i="19"/>
  <c r="A273" i="19"/>
  <c r="H272" i="19"/>
  <c r="G272" i="19"/>
  <c r="F272" i="19"/>
  <c r="E272" i="19"/>
  <c r="D272" i="19"/>
  <c r="C272" i="19"/>
  <c r="B272" i="19"/>
  <c r="A272" i="19"/>
  <c r="H271" i="19"/>
  <c r="G271" i="19"/>
  <c r="F271" i="19"/>
  <c r="E271" i="19"/>
  <c r="D271" i="19"/>
  <c r="C271" i="19"/>
  <c r="B271" i="19"/>
  <c r="A271" i="19"/>
  <c r="H270" i="19"/>
  <c r="G270" i="19"/>
  <c r="F270" i="19"/>
  <c r="E270" i="19"/>
  <c r="D270" i="19"/>
  <c r="C270" i="19"/>
  <c r="B270" i="19"/>
  <c r="A270" i="19"/>
  <c r="H269" i="19"/>
  <c r="G269" i="19"/>
  <c r="F269" i="19"/>
  <c r="E269" i="19"/>
  <c r="D269" i="19"/>
  <c r="C269" i="19"/>
  <c r="B269" i="19"/>
  <c r="A269" i="19"/>
  <c r="H268" i="19"/>
  <c r="G268" i="19"/>
  <c r="F268" i="19"/>
  <c r="E268" i="19"/>
  <c r="D268" i="19"/>
  <c r="C268" i="19"/>
  <c r="B268" i="19"/>
  <c r="A268" i="19"/>
  <c r="H267" i="19"/>
  <c r="G267" i="19"/>
  <c r="F267" i="19"/>
  <c r="E267" i="19"/>
  <c r="D267" i="19"/>
  <c r="C267" i="19"/>
  <c r="B267" i="19"/>
  <c r="A267" i="19"/>
  <c r="H266" i="19"/>
  <c r="G266" i="19"/>
  <c r="F266" i="19"/>
  <c r="E266" i="19"/>
  <c r="D266" i="19"/>
  <c r="C266" i="19"/>
  <c r="B266" i="19"/>
  <c r="A266" i="19"/>
  <c r="H265" i="19"/>
  <c r="G265" i="19"/>
  <c r="F265" i="19"/>
  <c r="E265" i="19"/>
  <c r="D265" i="19"/>
  <c r="C265" i="19"/>
  <c r="B265" i="19"/>
  <c r="A265" i="19"/>
  <c r="H264" i="19"/>
  <c r="G264" i="19"/>
  <c r="F264" i="19"/>
  <c r="E264" i="19"/>
  <c r="D264" i="19"/>
  <c r="C264" i="19"/>
  <c r="B264" i="19"/>
  <c r="A264" i="19"/>
  <c r="H263" i="19"/>
  <c r="G263" i="19"/>
  <c r="F263" i="19"/>
  <c r="E263" i="19"/>
  <c r="D263" i="19"/>
  <c r="C263" i="19"/>
  <c r="B263" i="19"/>
  <c r="A263" i="19"/>
  <c r="H262" i="19"/>
  <c r="G262" i="19"/>
  <c r="F262" i="19"/>
  <c r="E262" i="19"/>
  <c r="D262" i="19"/>
  <c r="C262" i="19"/>
  <c r="B262" i="19"/>
  <c r="A262" i="19"/>
  <c r="H261" i="19"/>
  <c r="G261" i="19"/>
  <c r="F261" i="19"/>
  <c r="E261" i="19"/>
  <c r="D261" i="19"/>
  <c r="C261" i="19"/>
  <c r="B261" i="19"/>
  <c r="A261" i="19"/>
  <c r="H260" i="19"/>
  <c r="G260" i="19"/>
  <c r="F260" i="19"/>
  <c r="E260" i="19"/>
  <c r="D260" i="19"/>
  <c r="C260" i="19"/>
  <c r="B260" i="19"/>
  <c r="A260" i="19"/>
  <c r="H259" i="19"/>
  <c r="G259" i="19"/>
  <c r="F259" i="19"/>
  <c r="E259" i="19"/>
  <c r="D259" i="19"/>
  <c r="C259" i="19"/>
  <c r="B259" i="19"/>
  <c r="A259" i="19"/>
  <c r="H258" i="19"/>
  <c r="G258" i="19"/>
  <c r="F258" i="19"/>
  <c r="E258" i="19"/>
  <c r="D258" i="19"/>
  <c r="C258" i="19"/>
  <c r="B258" i="19"/>
  <c r="A258" i="19"/>
  <c r="H257" i="19"/>
  <c r="G257" i="19"/>
  <c r="F257" i="19"/>
  <c r="E257" i="19"/>
  <c r="D257" i="19"/>
  <c r="C257" i="19"/>
  <c r="B257" i="19"/>
  <c r="A257" i="19"/>
  <c r="H256" i="19"/>
  <c r="G256" i="19"/>
  <c r="F256" i="19"/>
  <c r="E256" i="19"/>
  <c r="D256" i="19"/>
  <c r="C256" i="19"/>
  <c r="B256" i="19"/>
  <c r="A256" i="19"/>
  <c r="H255" i="19"/>
  <c r="G255" i="19"/>
  <c r="F255" i="19"/>
  <c r="E255" i="19"/>
  <c r="D255" i="19"/>
  <c r="C255" i="19"/>
  <c r="B255" i="19"/>
  <c r="A255" i="19"/>
  <c r="H254" i="19"/>
  <c r="G254" i="19"/>
  <c r="F254" i="19"/>
  <c r="E254" i="19"/>
  <c r="D254" i="19"/>
  <c r="C254" i="19"/>
  <c r="B254" i="19"/>
  <c r="A254" i="19"/>
  <c r="H253" i="19"/>
  <c r="G253" i="19"/>
  <c r="F253" i="19"/>
  <c r="E253" i="19"/>
  <c r="D253" i="19"/>
  <c r="C253" i="19"/>
  <c r="B253" i="19"/>
  <c r="A253" i="19"/>
  <c r="H252" i="19"/>
  <c r="G252" i="19"/>
  <c r="F252" i="19"/>
  <c r="E252" i="19"/>
  <c r="D252" i="19"/>
  <c r="C252" i="19"/>
  <c r="B252" i="19"/>
  <c r="A252" i="19"/>
  <c r="H251" i="19"/>
  <c r="G251" i="19"/>
  <c r="F251" i="19"/>
  <c r="E251" i="19"/>
  <c r="D251" i="19"/>
  <c r="C251" i="19"/>
  <c r="B251" i="19"/>
  <c r="A251" i="19"/>
  <c r="H250" i="19"/>
  <c r="G250" i="19"/>
  <c r="F250" i="19"/>
  <c r="E250" i="19"/>
  <c r="D250" i="19"/>
  <c r="C250" i="19"/>
  <c r="B250" i="19"/>
  <c r="A250" i="19"/>
  <c r="H249" i="19"/>
  <c r="G249" i="19"/>
  <c r="F249" i="19"/>
  <c r="E249" i="19"/>
  <c r="D249" i="19"/>
  <c r="C249" i="19"/>
  <c r="B249" i="19"/>
  <c r="A249" i="19"/>
  <c r="H248" i="19"/>
  <c r="G248" i="19"/>
  <c r="F248" i="19"/>
  <c r="E248" i="19"/>
  <c r="D248" i="19"/>
  <c r="C248" i="19"/>
  <c r="B248" i="19"/>
  <c r="A248" i="19"/>
  <c r="H247" i="19"/>
  <c r="G247" i="19"/>
  <c r="F247" i="19"/>
  <c r="E247" i="19"/>
  <c r="D247" i="19"/>
  <c r="C247" i="19"/>
  <c r="B247" i="19"/>
  <c r="A247" i="19"/>
  <c r="H246" i="19"/>
  <c r="G246" i="19"/>
  <c r="F246" i="19"/>
  <c r="E246" i="19"/>
  <c r="D246" i="19"/>
  <c r="C246" i="19"/>
  <c r="B246" i="19"/>
  <c r="A246" i="19"/>
  <c r="H245" i="19"/>
  <c r="G245" i="19"/>
  <c r="F245" i="19"/>
  <c r="E245" i="19"/>
  <c r="D245" i="19"/>
  <c r="C245" i="19"/>
  <c r="B245" i="19"/>
  <c r="A245" i="19"/>
  <c r="H244" i="19"/>
  <c r="G244" i="19"/>
  <c r="F244" i="19"/>
  <c r="E244" i="19"/>
  <c r="D244" i="19"/>
  <c r="C244" i="19"/>
  <c r="B244" i="19"/>
  <c r="A244" i="19"/>
  <c r="H243" i="19"/>
  <c r="G243" i="19"/>
  <c r="F243" i="19"/>
  <c r="E243" i="19"/>
  <c r="D243" i="19"/>
  <c r="C243" i="19"/>
  <c r="B243" i="19"/>
  <c r="A243" i="19"/>
  <c r="H242" i="19"/>
  <c r="G242" i="19"/>
  <c r="F242" i="19"/>
  <c r="E242" i="19"/>
  <c r="D242" i="19"/>
  <c r="C242" i="19"/>
  <c r="B242" i="19"/>
  <c r="A242" i="19"/>
  <c r="H241" i="19"/>
  <c r="G241" i="19"/>
  <c r="F241" i="19"/>
  <c r="E241" i="19"/>
  <c r="D241" i="19"/>
  <c r="C241" i="19"/>
  <c r="B241" i="19"/>
  <c r="A241" i="19"/>
  <c r="H240" i="19"/>
  <c r="G240" i="19"/>
  <c r="F240" i="19"/>
  <c r="E240" i="19"/>
  <c r="D240" i="19"/>
  <c r="C240" i="19"/>
  <c r="B240" i="19"/>
  <c r="A240" i="19"/>
  <c r="H239" i="19"/>
  <c r="G239" i="19"/>
  <c r="F239" i="19"/>
  <c r="E239" i="19"/>
  <c r="D239" i="19"/>
  <c r="C239" i="19"/>
  <c r="B239" i="19"/>
  <c r="A239" i="19"/>
  <c r="H238" i="19"/>
  <c r="G238" i="19"/>
  <c r="F238" i="19"/>
  <c r="E238" i="19"/>
  <c r="D238" i="19"/>
  <c r="C238" i="19"/>
  <c r="B238" i="19"/>
  <c r="A238" i="19"/>
  <c r="H237" i="19"/>
  <c r="G237" i="19"/>
  <c r="F237" i="19"/>
  <c r="E237" i="19"/>
  <c r="D237" i="19"/>
  <c r="C237" i="19"/>
  <c r="B237" i="19"/>
  <c r="A237" i="19"/>
  <c r="H236" i="19"/>
  <c r="G236" i="19"/>
  <c r="F236" i="19"/>
  <c r="E236" i="19"/>
  <c r="D236" i="19"/>
  <c r="C236" i="19"/>
  <c r="B236" i="19"/>
  <c r="A236" i="19"/>
  <c r="H235" i="19"/>
  <c r="G235" i="19"/>
  <c r="F235" i="19"/>
  <c r="E235" i="19"/>
  <c r="D235" i="19"/>
  <c r="C235" i="19"/>
  <c r="B235" i="19"/>
  <c r="A235" i="19"/>
  <c r="H234" i="19"/>
  <c r="G234" i="19"/>
  <c r="F234" i="19"/>
  <c r="E234" i="19"/>
  <c r="D234" i="19"/>
  <c r="C234" i="19"/>
  <c r="B234" i="19"/>
  <c r="A234" i="19"/>
  <c r="H233" i="19"/>
  <c r="G233" i="19"/>
  <c r="F233" i="19"/>
  <c r="E233" i="19"/>
  <c r="D233" i="19"/>
  <c r="C233" i="19"/>
  <c r="B233" i="19"/>
  <c r="A233" i="19"/>
  <c r="H232" i="19"/>
  <c r="G232" i="19"/>
  <c r="F232" i="19"/>
  <c r="E232" i="19"/>
  <c r="D232" i="19"/>
  <c r="C232" i="19"/>
  <c r="B232" i="19"/>
  <c r="A232" i="19"/>
  <c r="H231" i="19"/>
  <c r="G231" i="19"/>
  <c r="F231" i="19"/>
  <c r="E231" i="19"/>
  <c r="D231" i="19"/>
  <c r="C231" i="19"/>
  <c r="B231" i="19"/>
  <c r="A231" i="19"/>
  <c r="H230" i="19"/>
  <c r="G230" i="19"/>
  <c r="F230" i="19"/>
  <c r="E230" i="19"/>
  <c r="D230" i="19"/>
  <c r="C230" i="19"/>
  <c r="B230" i="19"/>
  <c r="A230" i="19"/>
  <c r="H229" i="19"/>
  <c r="G229" i="19"/>
  <c r="F229" i="19"/>
  <c r="E229" i="19"/>
  <c r="D229" i="19"/>
  <c r="C229" i="19"/>
  <c r="B229" i="19"/>
  <c r="A229" i="19"/>
  <c r="H228" i="19"/>
  <c r="G228" i="19"/>
  <c r="F228" i="19"/>
  <c r="E228" i="19"/>
  <c r="D228" i="19"/>
  <c r="C228" i="19"/>
  <c r="B228" i="19"/>
  <c r="A228" i="19"/>
  <c r="H227" i="19"/>
  <c r="G227" i="19"/>
  <c r="F227" i="19"/>
  <c r="E227" i="19"/>
  <c r="D227" i="19"/>
  <c r="C227" i="19"/>
  <c r="B227" i="19"/>
  <c r="A227" i="19"/>
  <c r="H226" i="19"/>
  <c r="G226" i="19"/>
  <c r="F226" i="19"/>
  <c r="E226" i="19"/>
  <c r="D226" i="19"/>
  <c r="C226" i="19"/>
  <c r="B226" i="19"/>
  <c r="A226" i="19"/>
  <c r="H225" i="19"/>
  <c r="G225" i="19"/>
  <c r="F225" i="19"/>
  <c r="E225" i="19"/>
  <c r="D225" i="19"/>
  <c r="C225" i="19"/>
  <c r="B225" i="19"/>
  <c r="A225" i="19"/>
  <c r="H224" i="19"/>
  <c r="G224" i="19"/>
  <c r="F224" i="19"/>
  <c r="E224" i="19"/>
  <c r="D224" i="19"/>
  <c r="C224" i="19"/>
  <c r="B224" i="19"/>
  <c r="A224" i="19"/>
  <c r="H223" i="19"/>
  <c r="G223" i="19"/>
  <c r="F223" i="19"/>
  <c r="E223" i="19"/>
  <c r="D223" i="19"/>
  <c r="C223" i="19"/>
  <c r="B223" i="19"/>
  <c r="A223" i="19"/>
  <c r="H222" i="19"/>
  <c r="G222" i="19"/>
  <c r="F222" i="19"/>
  <c r="E222" i="19"/>
  <c r="D222" i="19"/>
  <c r="C222" i="19"/>
  <c r="B222" i="19"/>
  <c r="A222" i="19"/>
  <c r="H221" i="19"/>
  <c r="G221" i="19"/>
  <c r="F221" i="19"/>
  <c r="E221" i="19"/>
  <c r="D221" i="19"/>
  <c r="C221" i="19"/>
  <c r="B221" i="19"/>
  <c r="A221" i="19"/>
  <c r="H220" i="19"/>
  <c r="G220" i="19"/>
  <c r="F220" i="19"/>
  <c r="E220" i="19"/>
  <c r="D220" i="19"/>
  <c r="C220" i="19"/>
  <c r="B220" i="19"/>
  <c r="A220" i="19"/>
  <c r="H219" i="19"/>
  <c r="G219" i="19"/>
  <c r="F219" i="19"/>
  <c r="E219" i="19"/>
  <c r="D219" i="19"/>
  <c r="C219" i="19"/>
  <c r="B219" i="19"/>
  <c r="A219" i="19"/>
  <c r="H218" i="19"/>
  <c r="G218" i="19"/>
  <c r="F218" i="19"/>
  <c r="E218" i="19"/>
  <c r="D218" i="19"/>
  <c r="C218" i="19"/>
  <c r="B218" i="19"/>
  <c r="A218" i="19"/>
  <c r="H217" i="19"/>
  <c r="G217" i="19"/>
  <c r="F217" i="19"/>
  <c r="E217" i="19"/>
  <c r="D217" i="19"/>
  <c r="C217" i="19"/>
  <c r="B217" i="19"/>
  <c r="A217" i="19"/>
  <c r="H216" i="19"/>
  <c r="G216" i="19"/>
  <c r="F216" i="19"/>
  <c r="E216" i="19"/>
  <c r="D216" i="19"/>
  <c r="C216" i="19"/>
  <c r="B216" i="19"/>
  <c r="A216" i="19"/>
  <c r="H215" i="19"/>
  <c r="G215" i="19"/>
  <c r="F215" i="19"/>
  <c r="E215" i="19"/>
  <c r="D215" i="19"/>
  <c r="C215" i="19"/>
  <c r="B215" i="19"/>
  <c r="A215" i="19"/>
  <c r="H214" i="19"/>
  <c r="G214" i="19"/>
  <c r="F214" i="19"/>
  <c r="E214" i="19"/>
  <c r="D214" i="19"/>
  <c r="C214" i="19"/>
  <c r="B214" i="19"/>
  <c r="A214" i="19"/>
  <c r="H213" i="19"/>
  <c r="G213" i="19"/>
  <c r="F213" i="19"/>
  <c r="E213" i="19"/>
  <c r="D213" i="19"/>
  <c r="C213" i="19"/>
  <c r="B213" i="19"/>
  <c r="A213" i="19"/>
  <c r="H212" i="19"/>
  <c r="G212" i="19"/>
  <c r="F212" i="19"/>
  <c r="E212" i="19"/>
  <c r="D212" i="19"/>
  <c r="C212" i="19"/>
  <c r="B212" i="19"/>
  <c r="A212" i="19"/>
  <c r="H211" i="19"/>
  <c r="G211" i="19"/>
  <c r="F211" i="19"/>
  <c r="E211" i="19"/>
  <c r="D211" i="19"/>
  <c r="C211" i="19"/>
  <c r="B211" i="19"/>
  <c r="A211" i="19"/>
  <c r="H210" i="19"/>
  <c r="G210" i="19"/>
  <c r="F210" i="19"/>
  <c r="E210" i="19"/>
  <c r="D210" i="19"/>
  <c r="C210" i="19"/>
  <c r="B210" i="19"/>
  <c r="A210" i="19"/>
  <c r="H209" i="19"/>
  <c r="G209" i="19"/>
  <c r="F209" i="19"/>
  <c r="E209" i="19"/>
  <c r="D209" i="19"/>
  <c r="C209" i="19"/>
  <c r="B209" i="19"/>
  <c r="A209" i="19"/>
  <c r="H208" i="19"/>
  <c r="G208" i="19"/>
  <c r="F208" i="19"/>
  <c r="E208" i="19"/>
  <c r="D208" i="19"/>
  <c r="C208" i="19"/>
  <c r="B208" i="19"/>
  <c r="A208" i="19"/>
  <c r="H207" i="19"/>
  <c r="G207" i="19"/>
  <c r="F207" i="19"/>
  <c r="E207" i="19"/>
  <c r="D207" i="19"/>
  <c r="C207" i="19"/>
  <c r="B207" i="19"/>
  <c r="A207" i="19"/>
  <c r="H206" i="19"/>
  <c r="G206" i="19"/>
  <c r="F206" i="19"/>
  <c r="E206" i="19"/>
  <c r="D206" i="19"/>
  <c r="C206" i="19"/>
  <c r="B206" i="19"/>
  <c r="A206" i="19"/>
  <c r="H205" i="19"/>
  <c r="G205" i="19"/>
  <c r="F205" i="19"/>
  <c r="E205" i="19"/>
  <c r="D205" i="19"/>
  <c r="C205" i="19"/>
  <c r="B205" i="19"/>
  <c r="A205" i="19"/>
  <c r="H204" i="19"/>
  <c r="G204" i="19"/>
  <c r="F204" i="19"/>
  <c r="E204" i="19"/>
  <c r="D204" i="19"/>
  <c r="C204" i="19"/>
  <c r="B204" i="19"/>
  <c r="A204" i="19"/>
  <c r="H203" i="19"/>
  <c r="G203" i="19"/>
  <c r="F203" i="19"/>
  <c r="E203" i="19"/>
  <c r="D203" i="19"/>
  <c r="C203" i="19"/>
  <c r="B203" i="19"/>
  <c r="A203" i="19"/>
  <c r="H202" i="19"/>
  <c r="G202" i="19"/>
  <c r="F202" i="19"/>
  <c r="E202" i="19"/>
  <c r="D202" i="19"/>
  <c r="C202" i="19"/>
  <c r="B202" i="19"/>
  <c r="A202" i="19"/>
  <c r="H201" i="19"/>
  <c r="G201" i="19"/>
  <c r="F201" i="19"/>
  <c r="E201" i="19"/>
  <c r="D201" i="19"/>
  <c r="C201" i="19"/>
  <c r="B201" i="19"/>
  <c r="A201" i="19"/>
  <c r="H200" i="19"/>
  <c r="G200" i="19"/>
  <c r="F200" i="19"/>
  <c r="E200" i="19"/>
  <c r="D200" i="19"/>
  <c r="C200" i="19"/>
  <c r="B200" i="19"/>
  <c r="A200" i="19"/>
  <c r="H199" i="19"/>
  <c r="G199" i="19"/>
  <c r="F199" i="19"/>
  <c r="E199" i="19"/>
  <c r="D199" i="19"/>
  <c r="C199" i="19"/>
  <c r="B199" i="19"/>
  <c r="A199" i="19"/>
  <c r="H198" i="19"/>
  <c r="G198" i="19"/>
  <c r="F198" i="19"/>
  <c r="E198" i="19"/>
  <c r="D198" i="19"/>
  <c r="C198" i="19"/>
  <c r="B198" i="19"/>
  <c r="A198" i="19"/>
  <c r="H197" i="19"/>
  <c r="G197" i="19"/>
  <c r="F197" i="19"/>
  <c r="E197" i="19"/>
  <c r="D197" i="19"/>
  <c r="C197" i="19"/>
  <c r="B197" i="19"/>
  <c r="A197" i="19"/>
  <c r="H196" i="19"/>
  <c r="G196" i="19"/>
  <c r="F196" i="19"/>
  <c r="E196" i="19"/>
  <c r="D196" i="19"/>
  <c r="C196" i="19"/>
  <c r="B196" i="19"/>
  <c r="A196" i="19"/>
  <c r="H195" i="19"/>
  <c r="G195" i="19"/>
  <c r="F195" i="19"/>
  <c r="E195" i="19"/>
  <c r="D195" i="19"/>
  <c r="C195" i="19"/>
  <c r="B195" i="19"/>
  <c r="A195" i="19"/>
  <c r="H194" i="19"/>
  <c r="G194" i="19"/>
  <c r="F194" i="19"/>
  <c r="E194" i="19"/>
  <c r="D194" i="19"/>
  <c r="C194" i="19"/>
  <c r="B194" i="19"/>
  <c r="A194" i="19"/>
  <c r="H193" i="19"/>
  <c r="G193" i="19"/>
  <c r="F193" i="19"/>
  <c r="E193" i="19"/>
  <c r="D193" i="19"/>
  <c r="C193" i="19"/>
  <c r="B193" i="19"/>
  <c r="A193" i="19"/>
  <c r="H192" i="19"/>
  <c r="G192" i="19"/>
  <c r="F192" i="19"/>
  <c r="E192" i="19"/>
  <c r="D192" i="19"/>
  <c r="C192" i="19"/>
  <c r="B192" i="19"/>
  <c r="A192" i="19"/>
  <c r="H191" i="19"/>
  <c r="G191" i="19"/>
  <c r="F191" i="19"/>
  <c r="E191" i="19"/>
  <c r="D191" i="19"/>
  <c r="C191" i="19"/>
  <c r="B191" i="19"/>
  <c r="A191" i="19"/>
  <c r="H190" i="19"/>
  <c r="G190" i="19"/>
  <c r="F190" i="19"/>
  <c r="E190" i="19"/>
  <c r="D190" i="19"/>
  <c r="C190" i="19"/>
  <c r="B190" i="19"/>
  <c r="A190" i="19"/>
  <c r="H189" i="19"/>
  <c r="G189" i="19"/>
  <c r="F189" i="19"/>
  <c r="E189" i="19"/>
  <c r="D189" i="19"/>
  <c r="C189" i="19"/>
  <c r="B189" i="19"/>
  <c r="A189" i="19"/>
  <c r="H188" i="19"/>
  <c r="G188" i="19"/>
  <c r="F188" i="19"/>
  <c r="E188" i="19"/>
  <c r="D188" i="19"/>
  <c r="C188" i="19"/>
  <c r="B188" i="19"/>
  <c r="A188" i="19"/>
  <c r="H187" i="19"/>
  <c r="G187" i="19"/>
  <c r="F187" i="19"/>
  <c r="E187" i="19"/>
  <c r="D187" i="19"/>
  <c r="C187" i="19"/>
  <c r="B187" i="19"/>
  <c r="A187" i="19"/>
  <c r="H186" i="19"/>
  <c r="G186" i="19"/>
  <c r="F186" i="19"/>
  <c r="E186" i="19"/>
  <c r="D186" i="19"/>
  <c r="C186" i="19"/>
  <c r="B186" i="19"/>
  <c r="A186" i="19"/>
  <c r="H185" i="19"/>
  <c r="G185" i="19"/>
  <c r="F185" i="19"/>
  <c r="E185" i="19"/>
  <c r="D185" i="19"/>
  <c r="C185" i="19"/>
  <c r="B185" i="19"/>
  <c r="A185" i="19"/>
  <c r="H184" i="19"/>
  <c r="G184" i="19"/>
  <c r="F184" i="19"/>
  <c r="E184" i="19"/>
  <c r="D184" i="19"/>
  <c r="C184" i="19"/>
  <c r="B184" i="19"/>
  <c r="A184" i="19"/>
  <c r="H183" i="19"/>
  <c r="G183" i="19"/>
  <c r="F183" i="19"/>
  <c r="E183" i="19"/>
  <c r="D183" i="19"/>
  <c r="C183" i="19"/>
  <c r="B183" i="19"/>
  <c r="A183" i="19"/>
  <c r="H182" i="19"/>
  <c r="G182" i="19"/>
  <c r="F182" i="19"/>
  <c r="E182" i="19"/>
  <c r="D182" i="19"/>
  <c r="C182" i="19"/>
  <c r="B182" i="19"/>
  <c r="A182" i="19"/>
  <c r="H181" i="19"/>
  <c r="G181" i="19"/>
  <c r="F181" i="19"/>
  <c r="E181" i="19"/>
  <c r="D181" i="19"/>
  <c r="C181" i="19"/>
  <c r="B181" i="19"/>
  <c r="A181" i="19"/>
  <c r="H180" i="19"/>
  <c r="G180" i="19"/>
  <c r="F180" i="19"/>
  <c r="E180" i="19"/>
  <c r="D180" i="19"/>
  <c r="C180" i="19"/>
  <c r="B180" i="19"/>
  <c r="A180" i="19"/>
  <c r="H179" i="19"/>
  <c r="G179" i="19"/>
  <c r="F179" i="19"/>
  <c r="E179" i="19"/>
  <c r="D179" i="19"/>
  <c r="C179" i="19"/>
  <c r="B179" i="19"/>
  <c r="A179" i="19"/>
  <c r="H178" i="19"/>
  <c r="G178" i="19"/>
  <c r="F178" i="19"/>
  <c r="E178" i="19"/>
  <c r="D178" i="19"/>
  <c r="C178" i="19"/>
  <c r="B178" i="19"/>
  <c r="A178" i="19"/>
  <c r="H177" i="19"/>
  <c r="G177" i="19"/>
  <c r="F177" i="19"/>
  <c r="E177" i="19"/>
  <c r="D177" i="19"/>
  <c r="C177" i="19"/>
  <c r="B177" i="19"/>
  <c r="A177" i="19"/>
  <c r="H176" i="19"/>
  <c r="G176" i="19"/>
  <c r="F176" i="19"/>
  <c r="E176" i="19"/>
  <c r="D176" i="19"/>
  <c r="C176" i="19"/>
  <c r="B176" i="19"/>
  <c r="A176" i="19"/>
  <c r="H175" i="19"/>
  <c r="G175" i="19"/>
  <c r="F175" i="19"/>
  <c r="E175" i="19"/>
  <c r="D175" i="19"/>
  <c r="C175" i="19"/>
  <c r="B175" i="19"/>
  <c r="A175" i="19"/>
  <c r="H174" i="19"/>
  <c r="G174" i="19"/>
  <c r="F174" i="19"/>
  <c r="E174" i="19"/>
  <c r="D174" i="19"/>
  <c r="C174" i="19"/>
  <c r="B174" i="19"/>
  <c r="A174" i="19"/>
  <c r="H173" i="19"/>
  <c r="G173" i="19"/>
  <c r="F173" i="19"/>
  <c r="E173" i="19"/>
  <c r="D173" i="19"/>
  <c r="C173" i="19"/>
  <c r="B173" i="19"/>
  <c r="A173" i="19"/>
  <c r="H172" i="19"/>
  <c r="G172" i="19"/>
  <c r="F172" i="19"/>
  <c r="E172" i="19"/>
  <c r="D172" i="19"/>
  <c r="C172" i="19"/>
  <c r="B172" i="19"/>
  <c r="A172" i="19"/>
  <c r="H171" i="19"/>
  <c r="G171" i="19"/>
  <c r="F171" i="19"/>
  <c r="E171" i="19"/>
  <c r="D171" i="19"/>
  <c r="C171" i="19"/>
  <c r="B171" i="19"/>
  <c r="A171" i="19"/>
  <c r="H170" i="19"/>
  <c r="G170" i="19"/>
  <c r="F170" i="19"/>
  <c r="E170" i="19"/>
  <c r="D170" i="19"/>
  <c r="C170" i="19"/>
  <c r="B170" i="19"/>
  <c r="A170" i="19"/>
  <c r="H169" i="19"/>
  <c r="G169" i="19"/>
  <c r="F169" i="19"/>
  <c r="E169" i="19"/>
  <c r="D169" i="19"/>
  <c r="C169" i="19"/>
  <c r="B169" i="19"/>
  <c r="A169" i="19"/>
  <c r="H168" i="19"/>
  <c r="G168" i="19"/>
  <c r="F168" i="19"/>
  <c r="E168" i="19"/>
  <c r="D168" i="19"/>
  <c r="C168" i="19"/>
  <c r="B168" i="19"/>
  <c r="A168" i="19"/>
  <c r="H167" i="19"/>
  <c r="G167" i="19"/>
  <c r="F167" i="19"/>
  <c r="E167" i="19"/>
  <c r="D167" i="19"/>
  <c r="C167" i="19"/>
  <c r="B167" i="19"/>
  <c r="A167" i="19"/>
  <c r="H166" i="19"/>
  <c r="G166" i="19"/>
  <c r="F166" i="19"/>
  <c r="E166" i="19"/>
  <c r="D166" i="19"/>
  <c r="C166" i="19"/>
  <c r="B166" i="19"/>
  <c r="A166" i="19"/>
  <c r="H165" i="19"/>
  <c r="G165" i="19"/>
  <c r="F165" i="19"/>
  <c r="E165" i="19"/>
  <c r="D165" i="19"/>
  <c r="C165" i="19"/>
  <c r="B165" i="19"/>
  <c r="A165" i="19"/>
  <c r="H164" i="19"/>
  <c r="G164" i="19"/>
  <c r="F164" i="19"/>
  <c r="E164" i="19"/>
  <c r="D164" i="19"/>
  <c r="C164" i="19"/>
  <c r="B164" i="19"/>
  <c r="A164" i="19"/>
  <c r="H163" i="19"/>
  <c r="G163" i="19"/>
  <c r="F163" i="19"/>
  <c r="E163" i="19"/>
  <c r="D163" i="19"/>
  <c r="C163" i="19"/>
  <c r="B163" i="19"/>
  <c r="A163" i="19"/>
  <c r="H162" i="19"/>
  <c r="G162" i="19"/>
  <c r="F162" i="19"/>
  <c r="E162" i="19"/>
  <c r="D162" i="19"/>
  <c r="C162" i="19"/>
  <c r="B162" i="19"/>
  <c r="A162" i="19"/>
  <c r="H161" i="19"/>
  <c r="G161" i="19"/>
  <c r="F161" i="19"/>
  <c r="E161" i="19"/>
  <c r="D161" i="19"/>
  <c r="C161" i="19"/>
  <c r="B161" i="19"/>
  <c r="A161" i="19"/>
  <c r="H160" i="19"/>
  <c r="G160" i="19"/>
  <c r="F160" i="19"/>
  <c r="E160" i="19"/>
  <c r="D160" i="19"/>
  <c r="C160" i="19"/>
  <c r="B160" i="19"/>
  <c r="A160" i="19"/>
  <c r="H159" i="19"/>
  <c r="G159" i="19"/>
  <c r="F159" i="19"/>
  <c r="E159" i="19"/>
  <c r="D159" i="19"/>
  <c r="C159" i="19"/>
  <c r="B159" i="19"/>
  <c r="A159" i="19"/>
  <c r="H158" i="19"/>
  <c r="G158" i="19"/>
  <c r="F158" i="19"/>
  <c r="E158" i="19"/>
  <c r="D158" i="19"/>
  <c r="C158" i="19"/>
  <c r="B158" i="19"/>
  <c r="A158" i="19"/>
  <c r="H157" i="19"/>
  <c r="G157" i="19"/>
  <c r="F157" i="19"/>
  <c r="E157" i="19"/>
  <c r="D157" i="19"/>
  <c r="C157" i="19"/>
  <c r="B157" i="19"/>
  <c r="A157" i="19"/>
  <c r="H156" i="19"/>
  <c r="G156" i="19"/>
  <c r="F156" i="19"/>
  <c r="E156" i="19"/>
  <c r="D156" i="19"/>
  <c r="C156" i="19"/>
  <c r="B156" i="19"/>
  <c r="A156" i="19"/>
  <c r="H155" i="19"/>
  <c r="G155" i="19"/>
  <c r="F155" i="19"/>
  <c r="E155" i="19"/>
  <c r="D155" i="19"/>
  <c r="C155" i="19"/>
  <c r="B155" i="19"/>
  <c r="A155" i="19"/>
  <c r="H154" i="19"/>
  <c r="G154" i="19"/>
  <c r="F154" i="19"/>
  <c r="E154" i="19"/>
  <c r="D154" i="19"/>
  <c r="C154" i="19"/>
  <c r="B154" i="19"/>
  <c r="A154" i="19"/>
  <c r="H153" i="19"/>
  <c r="G153" i="19"/>
  <c r="F153" i="19"/>
  <c r="E153" i="19"/>
  <c r="D153" i="19"/>
  <c r="C153" i="19"/>
  <c r="B153" i="19"/>
  <c r="A153" i="19"/>
  <c r="H152" i="19"/>
  <c r="G152" i="19"/>
  <c r="F152" i="19"/>
  <c r="E152" i="19"/>
  <c r="D152" i="19"/>
  <c r="C152" i="19"/>
  <c r="B152" i="19"/>
  <c r="A152" i="19"/>
  <c r="H151" i="19"/>
  <c r="G151" i="19"/>
  <c r="F151" i="19"/>
  <c r="E151" i="19"/>
  <c r="D151" i="19"/>
  <c r="C151" i="19"/>
  <c r="B151" i="19"/>
  <c r="A151" i="19"/>
  <c r="H150" i="19"/>
  <c r="G150" i="19"/>
  <c r="F150" i="19"/>
  <c r="E150" i="19"/>
  <c r="D150" i="19"/>
  <c r="C150" i="19"/>
  <c r="B150" i="19"/>
  <c r="A150" i="19"/>
  <c r="H149" i="19"/>
  <c r="G149" i="19"/>
  <c r="F149" i="19"/>
  <c r="E149" i="19"/>
  <c r="D149" i="19"/>
  <c r="C149" i="19"/>
  <c r="B149" i="19"/>
  <c r="A149" i="19"/>
  <c r="H148" i="19"/>
  <c r="G148" i="19"/>
  <c r="F148" i="19"/>
  <c r="E148" i="19"/>
  <c r="D148" i="19"/>
  <c r="C148" i="19"/>
  <c r="B148" i="19"/>
  <c r="A148" i="19"/>
  <c r="H147" i="19"/>
  <c r="G147" i="19"/>
  <c r="F147" i="19"/>
  <c r="E147" i="19"/>
  <c r="D147" i="19"/>
  <c r="C147" i="19"/>
  <c r="B147" i="19"/>
  <c r="A147" i="19"/>
  <c r="H146" i="19"/>
  <c r="G146" i="19"/>
  <c r="F146" i="19"/>
  <c r="E146" i="19"/>
  <c r="D146" i="19"/>
  <c r="C146" i="19"/>
  <c r="B146" i="19"/>
  <c r="A146" i="19"/>
  <c r="H145" i="19"/>
  <c r="G145" i="19"/>
  <c r="F145" i="19"/>
  <c r="E145" i="19"/>
  <c r="D145" i="19"/>
  <c r="C145" i="19"/>
  <c r="B145" i="19"/>
  <c r="A145" i="19"/>
  <c r="H144" i="19"/>
  <c r="G144" i="19"/>
  <c r="F144" i="19"/>
  <c r="E144" i="19"/>
  <c r="D144" i="19"/>
  <c r="C144" i="19"/>
  <c r="B144" i="19"/>
  <c r="A144" i="19"/>
  <c r="H143" i="19"/>
  <c r="G143" i="19"/>
  <c r="F143" i="19"/>
  <c r="E143" i="19"/>
  <c r="D143" i="19"/>
  <c r="C143" i="19"/>
  <c r="B143" i="19"/>
  <c r="A143" i="19"/>
  <c r="H142" i="19"/>
  <c r="G142" i="19"/>
  <c r="F142" i="19"/>
  <c r="E142" i="19"/>
  <c r="D142" i="19"/>
  <c r="C142" i="19"/>
  <c r="B142" i="19"/>
  <c r="A142" i="19"/>
  <c r="H141" i="19"/>
  <c r="G141" i="19"/>
  <c r="F141" i="19"/>
  <c r="E141" i="19"/>
  <c r="D141" i="19"/>
  <c r="C141" i="19"/>
  <c r="B141" i="19"/>
  <c r="A141" i="19"/>
  <c r="H140" i="19"/>
  <c r="G140" i="19"/>
  <c r="F140" i="19"/>
  <c r="E140" i="19"/>
  <c r="D140" i="19"/>
  <c r="C140" i="19"/>
  <c r="B140" i="19"/>
  <c r="A140" i="19"/>
  <c r="H139" i="19"/>
  <c r="G139" i="19"/>
  <c r="F139" i="19"/>
  <c r="E139" i="19"/>
  <c r="D139" i="19"/>
  <c r="C139" i="19"/>
  <c r="B139" i="19"/>
  <c r="A139" i="19"/>
  <c r="H138" i="19"/>
  <c r="G138" i="19"/>
  <c r="F138" i="19"/>
  <c r="E138" i="19"/>
  <c r="D138" i="19"/>
  <c r="C138" i="19"/>
  <c r="B138" i="19"/>
  <c r="A138" i="19"/>
  <c r="H137" i="19"/>
  <c r="G137" i="19"/>
  <c r="F137" i="19"/>
  <c r="E137" i="19"/>
  <c r="D137" i="19"/>
  <c r="C137" i="19"/>
  <c r="B137" i="19"/>
  <c r="A137" i="19"/>
  <c r="H136" i="19"/>
  <c r="G136" i="19"/>
  <c r="F136" i="19"/>
  <c r="E136" i="19"/>
  <c r="D136" i="19"/>
  <c r="C136" i="19"/>
  <c r="B136" i="19"/>
  <c r="A136" i="19"/>
  <c r="H135" i="19"/>
  <c r="G135" i="19"/>
  <c r="F135" i="19"/>
  <c r="E135" i="19"/>
  <c r="D135" i="19"/>
  <c r="C135" i="19"/>
  <c r="B135" i="19"/>
  <c r="A135" i="19"/>
  <c r="H134" i="19"/>
  <c r="G134" i="19"/>
  <c r="F134" i="19"/>
  <c r="E134" i="19"/>
  <c r="D134" i="19"/>
  <c r="C134" i="19"/>
  <c r="B134" i="19"/>
  <c r="A134" i="19"/>
  <c r="H133" i="19"/>
  <c r="G133" i="19"/>
  <c r="F133" i="19"/>
  <c r="E133" i="19"/>
  <c r="D133" i="19"/>
  <c r="C133" i="19"/>
  <c r="B133" i="19"/>
  <c r="A133" i="19"/>
  <c r="H132" i="19"/>
  <c r="G132" i="19"/>
  <c r="F132" i="19"/>
  <c r="E132" i="19"/>
  <c r="D132" i="19"/>
  <c r="C132" i="19"/>
  <c r="B132" i="19"/>
  <c r="A132" i="19"/>
  <c r="H131" i="19"/>
  <c r="G131" i="19"/>
  <c r="F131" i="19"/>
  <c r="E131" i="19"/>
  <c r="D131" i="19"/>
  <c r="C131" i="19"/>
  <c r="B131" i="19"/>
  <c r="A131" i="19"/>
  <c r="H130" i="19"/>
  <c r="G130" i="19"/>
  <c r="F130" i="19"/>
  <c r="E130" i="19"/>
  <c r="D130" i="19"/>
  <c r="C130" i="19"/>
  <c r="B130" i="19"/>
  <c r="A130" i="19"/>
  <c r="H129" i="19"/>
  <c r="G129" i="19"/>
  <c r="F129" i="19"/>
  <c r="E129" i="19"/>
  <c r="D129" i="19"/>
  <c r="C129" i="19"/>
  <c r="B129" i="19"/>
  <c r="A129" i="19"/>
  <c r="H128" i="19"/>
  <c r="G128" i="19"/>
  <c r="F128" i="19"/>
  <c r="E128" i="19"/>
  <c r="D128" i="19"/>
  <c r="C128" i="19"/>
  <c r="B128" i="19"/>
  <c r="A128" i="19"/>
  <c r="H127" i="19"/>
  <c r="G127" i="19"/>
  <c r="F127" i="19"/>
  <c r="E127" i="19"/>
  <c r="D127" i="19"/>
  <c r="C127" i="19"/>
  <c r="B127" i="19"/>
  <c r="A127" i="19"/>
  <c r="H126" i="19"/>
  <c r="G126" i="19"/>
  <c r="F126" i="19"/>
  <c r="E126" i="19"/>
  <c r="D126" i="19"/>
  <c r="C126" i="19"/>
  <c r="B126" i="19"/>
  <c r="A126" i="19"/>
  <c r="H125" i="19"/>
  <c r="G125" i="19"/>
  <c r="F125" i="19"/>
  <c r="E125" i="19"/>
  <c r="D125" i="19"/>
  <c r="C125" i="19"/>
  <c r="B125" i="19"/>
  <c r="A125" i="19"/>
  <c r="H124" i="19"/>
  <c r="G124" i="19"/>
  <c r="F124" i="19"/>
  <c r="E124" i="19"/>
  <c r="D124" i="19"/>
  <c r="C124" i="19"/>
  <c r="B124" i="19"/>
  <c r="A124" i="19"/>
  <c r="H123" i="19"/>
  <c r="G123" i="19"/>
  <c r="F123" i="19"/>
  <c r="E123" i="19"/>
  <c r="D123" i="19"/>
  <c r="C123" i="19"/>
  <c r="B123" i="19"/>
  <c r="A123" i="19"/>
  <c r="H122" i="19"/>
  <c r="G122" i="19"/>
  <c r="F122" i="19"/>
  <c r="E122" i="19"/>
  <c r="D122" i="19"/>
  <c r="C122" i="19"/>
  <c r="B122" i="19"/>
  <c r="A122" i="19"/>
  <c r="H121" i="19"/>
  <c r="G121" i="19"/>
  <c r="F121" i="19"/>
  <c r="E121" i="19"/>
  <c r="D121" i="19"/>
  <c r="C121" i="19"/>
  <c r="B121" i="19"/>
  <c r="A121" i="19"/>
  <c r="H120" i="19"/>
  <c r="G120" i="19"/>
  <c r="F120" i="19"/>
  <c r="E120" i="19"/>
  <c r="D120" i="19"/>
  <c r="C120" i="19"/>
  <c r="B120" i="19"/>
  <c r="A120" i="19"/>
  <c r="H119" i="19"/>
  <c r="G119" i="19"/>
  <c r="F119" i="19"/>
  <c r="E119" i="19"/>
  <c r="D119" i="19"/>
  <c r="C119" i="19"/>
  <c r="B119" i="19"/>
  <c r="A119" i="19"/>
  <c r="H118" i="19"/>
  <c r="G118" i="19"/>
  <c r="F118" i="19"/>
  <c r="E118" i="19"/>
  <c r="D118" i="19"/>
  <c r="C118" i="19"/>
  <c r="B118" i="19"/>
  <c r="A118" i="19"/>
  <c r="H117" i="19"/>
  <c r="G117" i="19"/>
  <c r="F117" i="19"/>
  <c r="E117" i="19"/>
  <c r="D117" i="19"/>
  <c r="C117" i="19"/>
  <c r="B117" i="19"/>
  <c r="A117" i="19"/>
  <c r="H116" i="19"/>
  <c r="G116" i="19"/>
  <c r="F116" i="19"/>
  <c r="E116" i="19"/>
  <c r="D116" i="19"/>
  <c r="C116" i="19"/>
  <c r="B116" i="19"/>
  <c r="A116" i="19"/>
  <c r="H115" i="19"/>
  <c r="G115" i="19"/>
  <c r="F115" i="19"/>
  <c r="E115" i="19"/>
  <c r="D115" i="19"/>
  <c r="C115" i="19"/>
  <c r="B115" i="19"/>
  <c r="A115" i="19"/>
  <c r="H114" i="19"/>
  <c r="G114" i="19"/>
  <c r="F114" i="19"/>
  <c r="E114" i="19"/>
  <c r="D114" i="19"/>
  <c r="C114" i="19"/>
  <c r="B114" i="19"/>
  <c r="A114" i="19"/>
  <c r="H113" i="19"/>
  <c r="G113" i="19"/>
  <c r="F113" i="19"/>
  <c r="E113" i="19"/>
  <c r="D113" i="19"/>
  <c r="C113" i="19"/>
  <c r="B113" i="19"/>
  <c r="A113" i="19"/>
  <c r="H112" i="19"/>
  <c r="G112" i="19"/>
  <c r="F112" i="19"/>
  <c r="E112" i="19"/>
  <c r="D112" i="19"/>
  <c r="C112" i="19"/>
  <c r="B112" i="19"/>
  <c r="A112" i="19"/>
  <c r="H111" i="19"/>
  <c r="G111" i="19"/>
  <c r="F111" i="19"/>
  <c r="E111" i="19"/>
  <c r="D111" i="19"/>
  <c r="C111" i="19"/>
  <c r="B111" i="19"/>
  <c r="A111" i="19"/>
  <c r="H110" i="19"/>
  <c r="G110" i="19"/>
  <c r="F110" i="19"/>
  <c r="E110" i="19"/>
  <c r="D110" i="19"/>
  <c r="C110" i="19"/>
  <c r="B110" i="19"/>
  <c r="A110" i="19"/>
  <c r="H109" i="19"/>
  <c r="G109" i="19"/>
  <c r="F109" i="19"/>
  <c r="E109" i="19"/>
  <c r="D109" i="19"/>
  <c r="C109" i="19"/>
  <c r="B109" i="19"/>
  <c r="A109" i="19"/>
  <c r="H108" i="19"/>
  <c r="G108" i="19"/>
  <c r="F108" i="19"/>
  <c r="E108" i="19"/>
  <c r="D108" i="19"/>
  <c r="C108" i="19"/>
  <c r="B108" i="19"/>
  <c r="A108" i="19"/>
  <c r="H107" i="19"/>
  <c r="G107" i="19"/>
  <c r="F107" i="19"/>
  <c r="E107" i="19"/>
  <c r="D107" i="19"/>
  <c r="C107" i="19"/>
  <c r="B107" i="19"/>
  <c r="A107" i="19"/>
  <c r="H106" i="19"/>
  <c r="G106" i="19"/>
  <c r="F106" i="19"/>
  <c r="E106" i="19"/>
  <c r="D106" i="19"/>
  <c r="C106" i="19"/>
  <c r="B106" i="19"/>
  <c r="A106" i="19"/>
  <c r="H105" i="19"/>
  <c r="G105" i="19"/>
  <c r="F105" i="19"/>
  <c r="E105" i="19"/>
  <c r="D105" i="19"/>
  <c r="C105" i="19"/>
  <c r="B105" i="19"/>
  <c r="A105" i="19"/>
  <c r="H104" i="19"/>
  <c r="G104" i="19"/>
  <c r="F104" i="19"/>
  <c r="E104" i="19"/>
  <c r="D104" i="19"/>
  <c r="C104" i="19"/>
  <c r="B104" i="19"/>
  <c r="A104" i="19"/>
  <c r="H103" i="19"/>
  <c r="G103" i="19"/>
  <c r="F103" i="19"/>
  <c r="E103" i="19"/>
  <c r="D103" i="19"/>
  <c r="C103" i="19"/>
  <c r="B103" i="19"/>
  <c r="A103" i="19"/>
  <c r="H102" i="19"/>
  <c r="G102" i="19"/>
  <c r="F102" i="19"/>
  <c r="E102" i="19"/>
  <c r="D102" i="19"/>
  <c r="C102" i="19"/>
  <c r="B102" i="19"/>
  <c r="A102" i="19"/>
  <c r="H101" i="19"/>
  <c r="G101" i="19"/>
  <c r="F101" i="19"/>
  <c r="E101" i="19"/>
  <c r="D101" i="19"/>
  <c r="C101" i="19"/>
  <c r="B101" i="19"/>
  <c r="A101" i="19"/>
  <c r="H100" i="19"/>
  <c r="G100" i="19"/>
  <c r="F100" i="19"/>
  <c r="E100" i="19"/>
  <c r="D100" i="19"/>
  <c r="C100" i="19"/>
  <c r="B100" i="19"/>
  <c r="A100" i="19"/>
  <c r="H99" i="19"/>
  <c r="G99" i="19"/>
  <c r="F99" i="19"/>
  <c r="E99" i="19"/>
  <c r="D99" i="19"/>
  <c r="C99" i="19"/>
  <c r="B99" i="19"/>
  <c r="A99" i="19"/>
  <c r="H98" i="19"/>
  <c r="G98" i="19"/>
  <c r="F98" i="19"/>
  <c r="E98" i="19"/>
  <c r="D98" i="19"/>
  <c r="C98" i="19"/>
  <c r="B98" i="19"/>
  <c r="A98" i="19"/>
  <c r="H97" i="19"/>
  <c r="G97" i="19"/>
  <c r="F97" i="19"/>
  <c r="E97" i="19"/>
  <c r="D97" i="19"/>
  <c r="C97" i="19"/>
  <c r="B97" i="19"/>
  <c r="A97" i="19"/>
  <c r="H96" i="19"/>
  <c r="G96" i="19"/>
  <c r="F96" i="19"/>
  <c r="E96" i="19"/>
  <c r="D96" i="19"/>
  <c r="C96" i="19"/>
  <c r="B96" i="19"/>
  <c r="A96" i="19"/>
  <c r="H95" i="19"/>
  <c r="G95" i="19"/>
  <c r="F95" i="19"/>
  <c r="E95" i="19"/>
  <c r="D95" i="19"/>
  <c r="C95" i="19"/>
  <c r="B95" i="19"/>
  <c r="A95" i="19"/>
  <c r="H94" i="19"/>
  <c r="G94" i="19"/>
  <c r="F94" i="19"/>
  <c r="E94" i="19"/>
  <c r="D94" i="19"/>
  <c r="C94" i="19"/>
  <c r="B94" i="19"/>
  <c r="A94" i="19"/>
  <c r="H93" i="19"/>
  <c r="G93" i="19"/>
  <c r="F93" i="19"/>
  <c r="E93" i="19"/>
  <c r="D93" i="19"/>
  <c r="C93" i="19"/>
  <c r="B93" i="19"/>
  <c r="A93" i="19"/>
  <c r="H92" i="19"/>
  <c r="G92" i="19"/>
  <c r="F92" i="19"/>
  <c r="E92" i="19"/>
  <c r="D92" i="19"/>
  <c r="C92" i="19"/>
  <c r="B92" i="19"/>
  <c r="A92" i="19"/>
  <c r="H91" i="19"/>
  <c r="G91" i="19"/>
  <c r="F91" i="19"/>
  <c r="E91" i="19"/>
  <c r="D91" i="19"/>
  <c r="C91" i="19"/>
  <c r="B91" i="19"/>
  <c r="A91" i="19"/>
  <c r="H90" i="19"/>
  <c r="G90" i="19"/>
  <c r="F90" i="19"/>
  <c r="E90" i="19"/>
  <c r="D90" i="19"/>
  <c r="C90" i="19"/>
  <c r="B90" i="19"/>
  <c r="A90" i="19"/>
  <c r="H89" i="19"/>
  <c r="G89" i="19"/>
  <c r="F89" i="19"/>
  <c r="E89" i="19"/>
  <c r="D89" i="19"/>
  <c r="C89" i="19"/>
  <c r="B89" i="19"/>
  <c r="A89" i="19"/>
  <c r="H88" i="19"/>
  <c r="G88" i="19"/>
  <c r="F88" i="19"/>
  <c r="E88" i="19"/>
  <c r="D88" i="19"/>
  <c r="C88" i="19"/>
  <c r="B88" i="19"/>
  <c r="A88" i="19"/>
  <c r="H87" i="19"/>
  <c r="G87" i="19"/>
  <c r="F87" i="19"/>
  <c r="E87" i="19"/>
  <c r="D87" i="19"/>
  <c r="C87" i="19"/>
  <c r="B87" i="19"/>
  <c r="A87" i="19"/>
  <c r="H86" i="19"/>
  <c r="G86" i="19"/>
  <c r="F86" i="19"/>
  <c r="E86" i="19"/>
  <c r="D86" i="19"/>
  <c r="C86" i="19"/>
  <c r="B86" i="19"/>
  <c r="A86" i="19"/>
  <c r="H85" i="19"/>
  <c r="G85" i="19"/>
  <c r="F85" i="19"/>
  <c r="E85" i="19"/>
  <c r="D85" i="19"/>
  <c r="C85" i="19"/>
  <c r="B85" i="19"/>
  <c r="A85" i="19"/>
  <c r="H84" i="19"/>
  <c r="G84" i="19"/>
  <c r="F84" i="19"/>
  <c r="E84" i="19"/>
  <c r="D84" i="19"/>
  <c r="C84" i="19"/>
  <c r="B84" i="19"/>
  <c r="A84" i="19"/>
  <c r="H83" i="19"/>
  <c r="G83" i="19"/>
  <c r="F83" i="19"/>
  <c r="E83" i="19"/>
  <c r="D83" i="19"/>
  <c r="C83" i="19"/>
  <c r="B83" i="19"/>
  <c r="A83" i="19"/>
  <c r="H82" i="19"/>
  <c r="G82" i="19"/>
  <c r="F82" i="19"/>
  <c r="E82" i="19"/>
  <c r="D82" i="19"/>
  <c r="C82" i="19"/>
  <c r="B82" i="19"/>
  <c r="A82" i="19"/>
  <c r="H81" i="19"/>
  <c r="G81" i="19"/>
  <c r="F81" i="19"/>
  <c r="E81" i="19"/>
  <c r="D81" i="19"/>
  <c r="C81" i="19"/>
  <c r="B81" i="19"/>
  <c r="A81" i="19"/>
  <c r="H80" i="19"/>
  <c r="G80" i="19"/>
  <c r="F80" i="19"/>
  <c r="E80" i="19"/>
  <c r="D80" i="19"/>
  <c r="C80" i="19"/>
  <c r="B80" i="19"/>
  <c r="A80" i="19"/>
  <c r="H79" i="19"/>
  <c r="G79" i="19"/>
  <c r="F79" i="19"/>
  <c r="E79" i="19"/>
  <c r="D79" i="19"/>
  <c r="C79" i="19"/>
  <c r="B79" i="19"/>
  <c r="A79" i="19"/>
  <c r="H78" i="19"/>
  <c r="G78" i="19"/>
  <c r="F78" i="19"/>
  <c r="E78" i="19"/>
  <c r="D78" i="19"/>
  <c r="C78" i="19"/>
  <c r="B78" i="19"/>
  <c r="A78" i="19"/>
  <c r="H77" i="19"/>
  <c r="G77" i="19"/>
  <c r="F77" i="19"/>
  <c r="E77" i="19"/>
  <c r="D77" i="19"/>
  <c r="C77" i="19"/>
  <c r="B77" i="19"/>
  <c r="A77" i="19"/>
  <c r="H76" i="19"/>
  <c r="G76" i="19"/>
  <c r="F76" i="19"/>
  <c r="E76" i="19"/>
  <c r="D76" i="19"/>
  <c r="C76" i="19"/>
  <c r="B76" i="19"/>
  <c r="A76" i="19"/>
  <c r="H75" i="19"/>
  <c r="G75" i="19"/>
  <c r="F75" i="19"/>
  <c r="E75" i="19"/>
  <c r="D75" i="19"/>
  <c r="C75" i="19"/>
  <c r="B75" i="19"/>
  <c r="A75" i="19"/>
  <c r="H74" i="19"/>
  <c r="G74" i="19"/>
  <c r="F74" i="19"/>
  <c r="E74" i="19"/>
  <c r="D74" i="19"/>
  <c r="C74" i="19"/>
  <c r="B74" i="19"/>
  <c r="A74" i="19"/>
  <c r="H73" i="19"/>
  <c r="G73" i="19"/>
  <c r="F73" i="19"/>
  <c r="E73" i="19"/>
  <c r="D73" i="19"/>
  <c r="C73" i="19"/>
  <c r="B73" i="19"/>
  <c r="A73" i="19"/>
  <c r="H72" i="19"/>
  <c r="G72" i="19"/>
  <c r="F72" i="19"/>
  <c r="E72" i="19"/>
  <c r="D72" i="19"/>
  <c r="C72" i="19"/>
  <c r="B72" i="19"/>
  <c r="A72" i="19"/>
  <c r="H71" i="19"/>
  <c r="G71" i="19"/>
  <c r="F71" i="19"/>
  <c r="E71" i="19"/>
  <c r="D71" i="19"/>
  <c r="C71" i="19"/>
  <c r="B71" i="19"/>
  <c r="A71" i="19"/>
  <c r="H70" i="19"/>
  <c r="G70" i="19"/>
  <c r="F70" i="19"/>
  <c r="E70" i="19"/>
  <c r="D70" i="19"/>
  <c r="C70" i="19"/>
  <c r="B70" i="19"/>
  <c r="A70" i="19"/>
  <c r="H69" i="19"/>
  <c r="G69" i="19"/>
  <c r="F69" i="19"/>
  <c r="E69" i="19"/>
  <c r="D69" i="19"/>
  <c r="C69" i="19"/>
  <c r="B69" i="19"/>
  <c r="A69" i="19"/>
  <c r="H68" i="19"/>
  <c r="G68" i="19"/>
  <c r="F68" i="19"/>
  <c r="E68" i="19"/>
  <c r="D68" i="19"/>
  <c r="C68" i="19"/>
  <c r="B68" i="19"/>
  <c r="A68" i="19"/>
  <c r="H67" i="19"/>
  <c r="G67" i="19"/>
  <c r="F67" i="19"/>
  <c r="E67" i="19"/>
  <c r="D67" i="19"/>
  <c r="C67" i="19"/>
  <c r="B67" i="19"/>
  <c r="A67" i="19"/>
  <c r="H66" i="19"/>
  <c r="G66" i="19"/>
  <c r="F66" i="19"/>
  <c r="E66" i="19"/>
  <c r="D66" i="19"/>
  <c r="C66" i="19"/>
  <c r="B66" i="19"/>
  <c r="A66" i="19"/>
  <c r="H65" i="19"/>
  <c r="G65" i="19"/>
  <c r="F65" i="19"/>
  <c r="E65" i="19"/>
  <c r="D65" i="19"/>
  <c r="C65" i="19"/>
  <c r="B65" i="19"/>
  <c r="A65" i="19"/>
  <c r="H64" i="19"/>
  <c r="G64" i="19"/>
  <c r="F64" i="19"/>
  <c r="E64" i="19"/>
  <c r="D64" i="19"/>
  <c r="C64" i="19"/>
  <c r="B64" i="19"/>
  <c r="A64" i="19"/>
  <c r="H63" i="19"/>
  <c r="G63" i="19"/>
  <c r="F63" i="19"/>
  <c r="E63" i="19"/>
  <c r="D63" i="19"/>
  <c r="C63" i="19"/>
  <c r="B63" i="19"/>
  <c r="A63" i="19"/>
  <c r="H62" i="19"/>
  <c r="G62" i="19"/>
  <c r="F62" i="19"/>
  <c r="E62" i="19"/>
  <c r="D62" i="19"/>
  <c r="C62" i="19"/>
  <c r="B62" i="19"/>
  <c r="A62" i="19"/>
  <c r="H61" i="19"/>
  <c r="G61" i="19"/>
  <c r="F61" i="19"/>
  <c r="E61" i="19"/>
  <c r="D61" i="19"/>
  <c r="C61" i="19"/>
  <c r="B61" i="19"/>
  <c r="A61" i="19"/>
  <c r="H60" i="19"/>
  <c r="G60" i="19"/>
  <c r="F60" i="19"/>
  <c r="E60" i="19"/>
  <c r="D60" i="19"/>
  <c r="C60" i="19"/>
  <c r="B60" i="19"/>
  <c r="A60" i="19"/>
  <c r="H59" i="19"/>
  <c r="G59" i="19"/>
  <c r="F59" i="19"/>
  <c r="E59" i="19"/>
  <c r="D59" i="19"/>
  <c r="C59" i="19"/>
  <c r="B59" i="19"/>
  <c r="A59" i="19"/>
  <c r="H58" i="19"/>
  <c r="G58" i="19"/>
  <c r="F58" i="19"/>
  <c r="E58" i="19"/>
  <c r="D58" i="19"/>
  <c r="C58" i="19"/>
  <c r="B58" i="19"/>
  <c r="A58" i="19"/>
  <c r="H57" i="19"/>
  <c r="G57" i="19"/>
  <c r="F57" i="19"/>
  <c r="E57" i="19"/>
  <c r="D57" i="19"/>
  <c r="C57" i="19"/>
  <c r="B57" i="19"/>
  <c r="A57" i="19"/>
  <c r="H56" i="19"/>
  <c r="G56" i="19"/>
  <c r="F56" i="19"/>
  <c r="E56" i="19"/>
  <c r="D56" i="19"/>
  <c r="C56" i="19"/>
  <c r="B56" i="19"/>
  <c r="A56" i="19"/>
  <c r="H55" i="19"/>
  <c r="G55" i="19"/>
  <c r="F55" i="19"/>
  <c r="E55" i="19"/>
  <c r="D55" i="19"/>
  <c r="C55" i="19"/>
  <c r="B55" i="19"/>
  <c r="A55" i="19"/>
  <c r="H54" i="19"/>
  <c r="G54" i="19"/>
  <c r="F54" i="19"/>
  <c r="E54" i="19"/>
  <c r="D54" i="19"/>
  <c r="C54" i="19"/>
  <c r="B54" i="19"/>
  <c r="A54" i="19"/>
  <c r="H53" i="19"/>
  <c r="G53" i="19"/>
  <c r="F53" i="19"/>
  <c r="E53" i="19"/>
  <c r="D53" i="19"/>
  <c r="C53" i="19"/>
  <c r="B53" i="19"/>
  <c r="A53" i="19"/>
  <c r="H52" i="19"/>
  <c r="G52" i="19"/>
  <c r="F52" i="19"/>
  <c r="E52" i="19"/>
  <c r="D52" i="19"/>
  <c r="C52" i="19"/>
  <c r="B52" i="19"/>
  <c r="A52" i="19"/>
  <c r="H51" i="19"/>
  <c r="G51" i="19"/>
  <c r="F51" i="19"/>
  <c r="E51" i="19"/>
  <c r="D51" i="19"/>
  <c r="C51" i="19"/>
  <c r="B51" i="19"/>
  <c r="A51" i="19"/>
  <c r="H50" i="19"/>
  <c r="G50" i="19"/>
  <c r="F50" i="19"/>
  <c r="E50" i="19"/>
  <c r="D50" i="19"/>
  <c r="C50" i="19"/>
  <c r="B50" i="19"/>
  <c r="A50" i="19"/>
  <c r="H49" i="19"/>
  <c r="G49" i="19"/>
  <c r="F49" i="19"/>
  <c r="E49" i="19"/>
  <c r="D49" i="19"/>
  <c r="C49" i="19"/>
  <c r="B49" i="19"/>
  <c r="A49" i="19"/>
  <c r="H48" i="19"/>
  <c r="G48" i="19"/>
  <c r="F48" i="19"/>
  <c r="E48" i="19"/>
  <c r="D48" i="19"/>
  <c r="C48" i="19"/>
  <c r="B48" i="19"/>
  <c r="A48" i="19"/>
  <c r="H47" i="19"/>
  <c r="G47" i="19"/>
  <c r="F47" i="19"/>
  <c r="E47" i="19"/>
  <c r="D47" i="19"/>
  <c r="C47" i="19"/>
  <c r="B47" i="19"/>
  <c r="A47" i="19"/>
  <c r="H46" i="19"/>
  <c r="G46" i="19"/>
  <c r="F46" i="19"/>
  <c r="E46" i="19"/>
  <c r="D46" i="19"/>
  <c r="C46" i="19"/>
  <c r="B46" i="19"/>
  <c r="A46" i="19"/>
  <c r="H45" i="19"/>
  <c r="G45" i="19"/>
  <c r="F45" i="19"/>
  <c r="E45" i="19"/>
  <c r="D45" i="19"/>
  <c r="C45" i="19"/>
  <c r="B45" i="19"/>
  <c r="A45" i="19"/>
  <c r="H44" i="19"/>
  <c r="G44" i="19"/>
  <c r="F44" i="19"/>
  <c r="E44" i="19"/>
  <c r="D44" i="19"/>
  <c r="C44" i="19"/>
  <c r="B44" i="19"/>
  <c r="A44" i="19"/>
  <c r="H43" i="19"/>
  <c r="G43" i="19"/>
  <c r="F43" i="19"/>
  <c r="E43" i="19"/>
  <c r="D43" i="19"/>
  <c r="C43" i="19"/>
  <c r="B43" i="19"/>
  <c r="A43" i="19"/>
  <c r="H42" i="19"/>
  <c r="G42" i="19"/>
  <c r="F42" i="19"/>
  <c r="E42" i="19"/>
  <c r="D42" i="19"/>
  <c r="C42" i="19"/>
  <c r="B42" i="19"/>
  <c r="A42" i="19"/>
  <c r="H41" i="19"/>
  <c r="G41" i="19"/>
  <c r="F41" i="19"/>
  <c r="E41" i="19"/>
  <c r="D41" i="19"/>
  <c r="C41" i="19"/>
  <c r="B41" i="19"/>
  <c r="A41" i="19"/>
  <c r="H40" i="19"/>
  <c r="G40" i="19"/>
  <c r="F40" i="19"/>
  <c r="E40" i="19"/>
  <c r="D40" i="19"/>
  <c r="C40" i="19"/>
  <c r="B40" i="19"/>
  <c r="A40" i="19"/>
  <c r="H39" i="19"/>
  <c r="G39" i="19"/>
  <c r="F39" i="19"/>
  <c r="E39" i="19"/>
  <c r="D39" i="19"/>
  <c r="C39" i="19"/>
  <c r="B39" i="19"/>
  <c r="A39" i="19"/>
  <c r="H38" i="19"/>
  <c r="G38" i="19"/>
  <c r="F38" i="19"/>
  <c r="E38" i="19"/>
  <c r="D38" i="19"/>
  <c r="C38" i="19"/>
  <c r="B38" i="19"/>
  <c r="A38" i="19"/>
  <c r="H37" i="19"/>
  <c r="G37" i="19"/>
  <c r="F37" i="19"/>
  <c r="E37" i="19"/>
  <c r="D37" i="19"/>
  <c r="C37" i="19"/>
  <c r="B37" i="19"/>
  <c r="A37" i="19"/>
  <c r="H36" i="19"/>
  <c r="G36" i="19"/>
  <c r="F36" i="19"/>
  <c r="E36" i="19"/>
  <c r="D36" i="19"/>
  <c r="C36" i="19"/>
  <c r="B36" i="19"/>
  <c r="A36" i="19"/>
  <c r="H35" i="19"/>
  <c r="G35" i="19"/>
  <c r="F35" i="19"/>
  <c r="E35" i="19"/>
  <c r="D35" i="19"/>
  <c r="C35" i="19"/>
  <c r="B35" i="19"/>
  <c r="A35" i="19"/>
  <c r="H34" i="19"/>
  <c r="G34" i="19"/>
  <c r="F34" i="19"/>
  <c r="E34" i="19"/>
  <c r="D34" i="19"/>
  <c r="C34" i="19"/>
  <c r="B34" i="19"/>
  <c r="A34" i="19"/>
  <c r="H33" i="19"/>
  <c r="G33" i="19"/>
  <c r="F33" i="19"/>
  <c r="E33" i="19"/>
  <c r="D33" i="19"/>
  <c r="C33" i="19"/>
  <c r="B33" i="19"/>
  <c r="A33" i="19"/>
  <c r="H32" i="19"/>
  <c r="G32" i="19"/>
  <c r="F32" i="19"/>
  <c r="E32" i="19"/>
  <c r="D32" i="19"/>
  <c r="C32" i="19"/>
  <c r="B32" i="19"/>
  <c r="A32" i="19"/>
  <c r="H31" i="19"/>
  <c r="G31" i="19"/>
  <c r="F31" i="19"/>
  <c r="E31" i="19"/>
  <c r="D31" i="19"/>
  <c r="C31" i="19"/>
  <c r="B31" i="19"/>
  <c r="A31" i="19"/>
  <c r="H30" i="19"/>
  <c r="G30" i="19"/>
  <c r="F30" i="19"/>
  <c r="E30" i="19"/>
  <c r="D30" i="19"/>
  <c r="C30" i="19"/>
  <c r="B30" i="19"/>
  <c r="A30" i="19"/>
  <c r="H29" i="19"/>
  <c r="G29" i="19"/>
  <c r="F29" i="19"/>
  <c r="E29" i="19"/>
  <c r="D29" i="19"/>
  <c r="C29" i="19"/>
  <c r="B29" i="19"/>
  <c r="A29" i="19"/>
  <c r="H28" i="19"/>
  <c r="G28" i="19"/>
  <c r="F28" i="19"/>
  <c r="E28" i="19"/>
  <c r="D28" i="19"/>
  <c r="C28" i="19"/>
  <c r="B28" i="19"/>
  <c r="A28" i="19"/>
  <c r="H27" i="19"/>
  <c r="G27" i="19"/>
  <c r="F27" i="19"/>
  <c r="E27" i="19"/>
  <c r="D27" i="19"/>
  <c r="C27" i="19"/>
  <c r="B27" i="19"/>
  <c r="A27" i="19"/>
  <c r="H26" i="19"/>
  <c r="G26" i="19"/>
  <c r="F26" i="19"/>
  <c r="E26" i="19"/>
  <c r="D26" i="19"/>
  <c r="C26" i="19"/>
  <c r="B26" i="19"/>
  <c r="A26" i="19"/>
  <c r="H25" i="19"/>
  <c r="G25" i="19"/>
  <c r="F25" i="19"/>
  <c r="E25" i="19"/>
  <c r="D25" i="19"/>
  <c r="C25" i="19"/>
  <c r="B25" i="19"/>
  <c r="A25" i="19"/>
  <c r="H24" i="19"/>
  <c r="G24" i="19"/>
  <c r="F24" i="19"/>
  <c r="E24" i="19"/>
  <c r="D24" i="19"/>
  <c r="C24" i="19"/>
  <c r="B24" i="19"/>
  <c r="A24" i="19"/>
  <c r="H23" i="19"/>
  <c r="G23" i="19"/>
  <c r="F23" i="19"/>
  <c r="E23" i="19"/>
  <c r="D23" i="19"/>
  <c r="C23" i="19"/>
  <c r="B23" i="19"/>
  <c r="A23" i="19"/>
  <c r="H22" i="19"/>
  <c r="G22" i="19"/>
  <c r="F22" i="19"/>
  <c r="E22" i="19"/>
  <c r="D22" i="19"/>
  <c r="C22" i="19"/>
  <c r="B22" i="19"/>
  <c r="A22" i="19"/>
  <c r="H21" i="19"/>
  <c r="G21" i="19"/>
  <c r="F21" i="19"/>
  <c r="E21" i="19"/>
  <c r="D21" i="19"/>
  <c r="C21" i="19"/>
  <c r="B21" i="19"/>
  <c r="A21" i="19"/>
  <c r="H20" i="19"/>
  <c r="G20" i="19"/>
  <c r="F20" i="19"/>
  <c r="E20" i="19"/>
  <c r="D20" i="19"/>
  <c r="C20" i="19"/>
  <c r="B20" i="19"/>
  <c r="A20" i="19"/>
  <c r="H19" i="19"/>
  <c r="G19" i="19"/>
  <c r="F19" i="19"/>
  <c r="E19" i="19"/>
  <c r="D19" i="19"/>
  <c r="C19" i="19"/>
  <c r="B19" i="19"/>
  <c r="A19" i="19"/>
  <c r="H18" i="19"/>
  <c r="G18" i="19"/>
  <c r="F18" i="19"/>
  <c r="E18" i="19"/>
  <c r="D18" i="19"/>
  <c r="C18" i="19"/>
  <c r="B18" i="19"/>
  <c r="A18" i="19"/>
  <c r="H17" i="19"/>
  <c r="G17" i="19"/>
  <c r="F17" i="19"/>
  <c r="E17" i="19"/>
  <c r="D17" i="19"/>
  <c r="C17" i="19"/>
  <c r="B17" i="19"/>
  <c r="A17" i="19"/>
  <c r="H16" i="19"/>
  <c r="G16" i="19"/>
  <c r="F16" i="19"/>
  <c r="E16" i="19"/>
  <c r="D16" i="19"/>
  <c r="C16" i="19"/>
  <c r="B16" i="19"/>
  <c r="A16" i="19"/>
  <c r="H15" i="19"/>
  <c r="G15" i="19"/>
  <c r="F15" i="19"/>
  <c r="E15" i="19"/>
  <c r="D15" i="19"/>
  <c r="C15" i="19"/>
  <c r="B15" i="19"/>
  <c r="A15" i="19"/>
  <c r="H14" i="19"/>
  <c r="G14" i="19"/>
  <c r="F14" i="19"/>
  <c r="E14" i="19"/>
  <c r="D14" i="19"/>
  <c r="C14" i="19"/>
  <c r="B14" i="19"/>
  <c r="A14" i="19"/>
  <c r="H13" i="19"/>
  <c r="G13" i="19"/>
  <c r="F13" i="19"/>
  <c r="E13" i="19"/>
  <c r="D13" i="19"/>
  <c r="C13" i="19"/>
  <c r="B13" i="19"/>
  <c r="A13" i="19"/>
  <c r="H12" i="19"/>
  <c r="G12" i="19"/>
  <c r="F12" i="19"/>
  <c r="E12" i="19"/>
  <c r="D12" i="19"/>
  <c r="C12" i="19"/>
  <c r="B12" i="19"/>
  <c r="A12" i="19"/>
  <c r="H11" i="19"/>
  <c r="G11" i="19"/>
  <c r="F11" i="19"/>
  <c r="E11" i="19"/>
  <c r="D11" i="19"/>
  <c r="C11" i="19"/>
  <c r="B11" i="19"/>
  <c r="A11" i="19"/>
  <c r="H10" i="19"/>
  <c r="G10" i="19"/>
  <c r="F10" i="19"/>
  <c r="E10" i="19"/>
  <c r="D10" i="19"/>
  <c r="C10" i="19"/>
  <c r="B10" i="19"/>
  <c r="A10" i="19"/>
  <c r="H9" i="19"/>
  <c r="G9" i="19"/>
  <c r="F9" i="19"/>
  <c r="E9" i="19"/>
  <c r="D9" i="19"/>
  <c r="C9" i="19"/>
  <c r="B9" i="19"/>
  <c r="A9" i="19"/>
  <c r="H8" i="19"/>
  <c r="G8" i="19"/>
  <c r="F8" i="19"/>
  <c r="E8" i="19"/>
  <c r="D8" i="19"/>
  <c r="C8" i="19"/>
  <c r="B8" i="19"/>
  <c r="A8" i="19"/>
  <c r="H7" i="19"/>
  <c r="G7" i="19"/>
  <c r="F7" i="19"/>
  <c r="E7" i="19"/>
  <c r="D7" i="19"/>
  <c r="C7" i="19"/>
  <c r="B7" i="19"/>
  <c r="A7" i="19"/>
  <c r="H6" i="19"/>
  <c r="G6" i="19"/>
  <c r="F6" i="19"/>
  <c r="E6" i="19"/>
  <c r="D6" i="19"/>
  <c r="C6" i="19"/>
  <c r="B6" i="19"/>
  <c r="A6" i="19"/>
  <c r="H5" i="19"/>
  <c r="G5" i="19"/>
  <c r="F5" i="19"/>
  <c r="E5" i="19"/>
  <c r="D5" i="19"/>
  <c r="C5" i="19"/>
  <c r="B5" i="19"/>
  <c r="A5" i="19"/>
  <c r="H4" i="19"/>
  <c r="G4" i="19"/>
  <c r="F4" i="19"/>
  <c r="E4" i="19"/>
  <c r="D4" i="19"/>
  <c r="C4" i="19"/>
  <c r="B4" i="19"/>
  <c r="A4" i="19"/>
  <c r="H3" i="19"/>
  <c r="G3" i="19"/>
  <c r="F3" i="19"/>
  <c r="E3" i="19"/>
  <c r="D3" i="19"/>
  <c r="C3" i="19"/>
  <c r="B3" i="19"/>
  <c r="A3" i="19"/>
  <c r="H2" i="19"/>
  <c r="G2" i="19"/>
  <c r="F2" i="19"/>
  <c r="E2" i="19"/>
  <c r="D2" i="19"/>
  <c r="C2" i="19"/>
  <c r="B2" i="19"/>
  <c r="A2" i="19"/>
  <c r="H1" i="19"/>
  <c r="G1" i="19"/>
  <c r="F1" i="19"/>
  <c r="E1" i="19"/>
  <c r="D1" i="19"/>
  <c r="C1" i="19"/>
  <c r="B1" i="19"/>
  <c r="A1" i="19"/>
  <c r="H277" i="18"/>
  <c r="G277" i="18"/>
  <c r="F277" i="18"/>
  <c r="E277" i="18"/>
  <c r="D277" i="18"/>
  <c r="C277" i="18"/>
  <c r="B277" i="18"/>
  <c r="A277" i="18"/>
  <c r="H276" i="18"/>
  <c r="G276" i="18"/>
  <c r="F276" i="18"/>
  <c r="E276" i="18"/>
  <c r="D276" i="18"/>
  <c r="C276" i="18"/>
  <c r="B276" i="18"/>
  <c r="A276" i="18"/>
  <c r="H275" i="18"/>
  <c r="G275" i="18"/>
  <c r="F275" i="18"/>
  <c r="E275" i="18"/>
  <c r="D275" i="18"/>
  <c r="C275" i="18"/>
  <c r="B275" i="18"/>
  <c r="A275" i="18"/>
  <c r="H274" i="18"/>
  <c r="G274" i="18"/>
  <c r="F274" i="18"/>
  <c r="E274" i="18"/>
  <c r="D274" i="18"/>
  <c r="C274" i="18"/>
  <c r="B274" i="18"/>
  <c r="A274" i="18"/>
  <c r="H273" i="18"/>
  <c r="G273" i="18"/>
  <c r="F273" i="18"/>
  <c r="E273" i="18"/>
  <c r="D273" i="18"/>
  <c r="C273" i="18"/>
  <c r="B273" i="18"/>
  <c r="A273" i="18"/>
  <c r="H272" i="18"/>
  <c r="G272" i="18"/>
  <c r="F272" i="18"/>
  <c r="E272" i="18"/>
  <c r="D272" i="18"/>
  <c r="C272" i="18"/>
  <c r="B272" i="18"/>
  <c r="A272" i="18"/>
  <c r="H271" i="18"/>
  <c r="G271" i="18"/>
  <c r="F271" i="18"/>
  <c r="E271" i="18"/>
  <c r="D271" i="18"/>
  <c r="C271" i="18"/>
  <c r="B271" i="18"/>
  <c r="A271" i="18"/>
  <c r="H270" i="18"/>
  <c r="G270" i="18"/>
  <c r="F270" i="18"/>
  <c r="E270" i="18"/>
  <c r="D270" i="18"/>
  <c r="C270" i="18"/>
  <c r="B270" i="18"/>
  <c r="A270" i="18"/>
  <c r="H269" i="18"/>
  <c r="G269" i="18"/>
  <c r="F269" i="18"/>
  <c r="E269" i="18"/>
  <c r="D269" i="18"/>
  <c r="C269" i="18"/>
  <c r="B269" i="18"/>
  <c r="A269" i="18"/>
  <c r="H268" i="18"/>
  <c r="G268" i="18"/>
  <c r="F268" i="18"/>
  <c r="E268" i="18"/>
  <c r="D268" i="18"/>
  <c r="C268" i="18"/>
  <c r="B268" i="18"/>
  <c r="A268" i="18"/>
  <c r="H267" i="18"/>
  <c r="G267" i="18"/>
  <c r="F267" i="18"/>
  <c r="E267" i="18"/>
  <c r="D267" i="18"/>
  <c r="C267" i="18"/>
  <c r="B267" i="18"/>
  <c r="A267" i="18"/>
  <c r="H266" i="18"/>
  <c r="G266" i="18"/>
  <c r="F266" i="18"/>
  <c r="E266" i="18"/>
  <c r="D266" i="18"/>
  <c r="C266" i="18"/>
  <c r="B266" i="18"/>
  <c r="A266" i="18"/>
  <c r="H265" i="18"/>
  <c r="G265" i="18"/>
  <c r="F265" i="18"/>
  <c r="E265" i="18"/>
  <c r="D265" i="18"/>
  <c r="C265" i="18"/>
  <c r="B265" i="18"/>
  <c r="A265" i="18"/>
  <c r="H264" i="18"/>
  <c r="G264" i="18"/>
  <c r="F264" i="18"/>
  <c r="E264" i="18"/>
  <c r="D264" i="18"/>
  <c r="C264" i="18"/>
  <c r="B264" i="18"/>
  <c r="A264" i="18"/>
  <c r="H263" i="18"/>
  <c r="G263" i="18"/>
  <c r="F263" i="18"/>
  <c r="E263" i="18"/>
  <c r="D263" i="18"/>
  <c r="C263" i="18"/>
  <c r="B263" i="18"/>
  <c r="A263" i="18"/>
  <c r="H262" i="18"/>
  <c r="G262" i="18"/>
  <c r="F262" i="18"/>
  <c r="E262" i="18"/>
  <c r="D262" i="18"/>
  <c r="C262" i="18"/>
  <c r="B262" i="18"/>
  <c r="A262" i="18"/>
  <c r="H261" i="18"/>
  <c r="G261" i="18"/>
  <c r="F261" i="18"/>
  <c r="E261" i="18"/>
  <c r="D261" i="18"/>
  <c r="C261" i="18"/>
  <c r="B261" i="18"/>
  <c r="A261" i="18"/>
  <c r="H260" i="18"/>
  <c r="G260" i="18"/>
  <c r="F260" i="18"/>
  <c r="E260" i="18"/>
  <c r="D260" i="18"/>
  <c r="C260" i="18"/>
  <c r="B260" i="18"/>
  <c r="A260" i="18"/>
  <c r="H259" i="18"/>
  <c r="G259" i="18"/>
  <c r="F259" i="18"/>
  <c r="E259" i="18"/>
  <c r="D259" i="18"/>
  <c r="C259" i="18"/>
  <c r="B259" i="18"/>
  <c r="A259" i="18"/>
  <c r="H258" i="18"/>
  <c r="G258" i="18"/>
  <c r="F258" i="18"/>
  <c r="E258" i="18"/>
  <c r="D258" i="18"/>
  <c r="C258" i="18"/>
  <c r="B258" i="18"/>
  <c r="A258" i="18"/>
  <c r="H257" i="18"/>
  <c r="G257" i="18"/>
  <c r="F257" i="18"/>
  <c r="E257" i="18"/>
  <c r="D257" i="18"/>
  <c r="C257" i="18"/>
  <c r="B257" i="18"/>
  <c r="A257" i="18"/>
  <c r="H256" i="18"/>
  <c r="G256" i="18"/>
  <c r="F256" i="18"/>
  <c r="E256" i="18"/>
  <c r="D256" i="18"/>
  <c r="C256" i="18"/>
  <c r="B256" i="18"/>
  <c r="A256" i="18"/>
  <c r="H255" i="18"/>
  <c r="G255" i="18"/>
  <c r="F255" i="18"/>
  <c r="E255" i="18"/>
  <c r="D255" i="18"/>
  <c r="C255" i="18"/>
  <c r="B255" i="18"/>
  <c r="A255" i="18"/>
  <c r="H254" i="18"/>
  <c r="G254" i="18"/>
  <c r="F254" i="18"/>
  <c r="E254" i="18"/>
  <c r="D254" i="18"/>
  <c r="C254" i="18"/>
  <c r="B254" i="18"/>
  <c r="A254" i="18"/>
  <c r="H253" i="18"/>
  <c r="G253" i="18"/>
  <c r="F253" i="18"/>
  <c r="E253" i="18"/>
  <c r="D253" i="18"/>
  <c r="C253" i="18"/>
  <c r="B253" i="18"/>
  <c r="A253" i="18"/>
  <c r="H252" i="18"/>
  <c r="G252" i="18"/>
  <c r="F252" i="18"/>
  <c r="E252" i="18"/>
  <c r="D252" i="18"/>
  <c r="C252" i="18"/>
  <c r="B252" i="18"/>
  <c r="A252" i="18"/>
  <c r="H251" i="18"/>
  <c r="G251" i="18"/>
  <c r="F251" i="18"/>
  <c r="E251" i="18"/>
  <c r="D251" i="18"/>
  <c r="C251" i="18"/>
  <c r="B251" i="18"/>
  <c r="A251" i="18"/>
  <c r="H250" i="18"/>
  <c r="G250" i="18"/>
  <c r="F250" i="18"/>
  <c r="E250" i="18"/>
  <c r="D250" i="18"/>
  <c r="C250" i="18"/>
  <c r="B250" i="18"/>
  <c r="A250" i="18"/>
  <c r="H249" i="18"/>
  <c r="G249" i="18"/>
  <c r="F249" i="18"/>
  <c r="E249" i="18"/>
  <c r="D249" i="18"/>
  <c r="C249" i="18"/>
  <c r="B249" i="18"/>
  <c r="A249" i="18"/>
  <c r="H248" i="18"/>
  <c r="G248" i="18"/>
  <c r="F248" i="18"/>
  <c r="E248" i="18"/>
  <c r="D248" i="18"/>
  <c r="C248" i="18"/>
  <c r="B248" i="18"/>
  <c r="A248" i="18"/>
  <c r="H247" i="18"/>
  <c r="G247" i="18"/>
  <c r="F247" i="18"/>
  <c r="E247" i="18"/>
  <c r="D247" i="18"/>
  <c r="C247" i="18"/>
  <c r="B247" i="18"/>
  <c r="A247" i="18"/>
  <c r="H246" i="18"/>
  <c r="G246" i="18"/>
  <c r="F246" i="18"/>
  <c r="E246" i="18"/>
  <c r="D246" i="18"/>
  <c r="C246" i="18"/>
  <c r="B246" i="18"/>
  <c r="A246" i="18"/>
  <c r="H245" i="18"/>
  <c r="G245" i="18"/>
  <c r="F245" i="18"/>
  <c r="E245" i="18"/>
  <c r="D245" i="18"/>
  <c r="C245" i="18"/>
  <c r="B245" i="18"/>
  <c r="A245" i="18"/>
  <c r="H244" i="18"/>
  <c r="G244" i="18"/>
  <c r="F244" i="18"/>
  <c r="E244" i="18"/>
  <c r="D244" i="18"/>
  <c r="C244" i="18"/>
  <c r="B244" i="18"/>
  <c r="A244" i="18"/>
  <c r="H243" i="18"/>
  <c r="G243" i="18"/>
  <c r="F243" i="18"/>
  <c r="E243" i="18"/>
  <c r="D243" i="18"/>
  <c r="C243" i="18"/>
  <c r="B243" i="18"/>
  <c r="A243" i="18"/>
  <c r="H242" i="18"/>
  <c r="G242" i="18"/>
  <c r="F242" i="18"/>
  <c r="E242" i="18"/>
  <c r="D242" i="18"/>
  <c r="C242" i="18"/>
  <c r="B242" i="18"/>
  <c r="A242" i="18"/>
  <c r="H241" i="18"/>
  <c r="G241" i="18"/>
  <c r="F241" i="18"/>
  <c r="E241" i="18"/>
  <c r="D241" i="18"/>
  <c r="C241" i="18"/>
  <c r="B241" i="18"/>
  <c r="A241" i="18"/>
  <c r="H240" i="18"/>
  <c r="G240" i="18"/>
  <c r="F240" i="18"/>
  <c r="E240" i="18"/>
  <c r="D240" i="18"/>
  <c r="C240" i="18"/>
  <c r="B240" i="18"/>
  <c r="A240" i="18"/>
  <c r="H239" i="18"/>
  <c r="G239" i="18"/>
  <c r="F239" i="18"/>
  <c r="E239" i="18"/>
  <c r="D239" i="18"/>
  <c r="C239" i="18"/>
  <c r="B239" i="18"/>
  <c r="A239" i="18"/>
  <c r="H238" i="18"/>
  <c r="G238" i="18"/>
  <c r="F238" i="18"/>
  <c r="E238" i="18"/>
  <c r="D238" i="18"/>
  <c r="C238" i="18"/>
  <c r="B238" i="18"/>
  <c r="A238" i="18"/>
  <c r="H237" i="18"/>
  <c r="G237" i="18"/>
  <c r="F237" i="18"/>
  <c r="E237" i="18"/>
  <c r="D237" i="18"/>
  <c r="C237" i="18"/>
  <c r="B237" i="18"/>
  <c r="A237" i="18"/>
  <c r="H236" i="18"/>
  <c r="G236" i="18"/>
  <c r="F236" i="18"/>
  <c r="E236" i="18"/>
  <c r="D236" i="18"/>
  <c r="C236" i="18"/>
  <c r="B236" i="18"/>
  <c r="A236" i="18"/>
  <c r="H235" i="18"/>
  <c r="G235" i="18"/>
  <c r="F235" i="18"/>
  <c r="E235" i="18"/>
  <c r="D235" i="18"/>
  <c r="C235" i="18"/>
  <c r="B235" i="18"/>
  <c r="A235" i="18"/>
  <c r="H234" i="18"/>
  <c r="G234" i="18"/>
  <c r="F234" i="18"/>
  <c r="E234" i="18"/>
  <c r="D234" i="18"/>
  <c r="C234" i="18"/>
  <c r="B234" i="18"/>
  <c r="A234" i="18"/>
  <c r="H233" i="18"/>
  <c r="G233" i="18"/>
  <c r="F233" i="18"/>
  <c r="E233" i="18"/>
  <c r="D233" i="18"/>
  <c r="C233" i="18"/>
  <c r="B233" i="18"/>
  <c r="A233" i="18"/>
  <c r="H232" i="18"/>
  <c r="G232" i="18"/>
  <c r="F232" i="18"/>
  <c r="E232" i="18"/>
  <c r="D232" i="18"/>
  <c r="C232" i="18"/>
  <c r="B232" i="18"/>
  <c r="A232" i="18"/>
  <c r="H231" i="18"/>
  <c r="G231" i="18"/>
  <c r="F231" i="18"/>
  <c r="E231" i="18"/>
  <c r="D231" i="18"/>
  <c r="C231" i="18"/>
  <c r="B231" i="18"/>
  <c r="A231" i="18"/>
  <c r="H230" i="18"/>
  <c r="G230" i="18"/>
  <c r="F230" i="18"/>
  <c r="E230" i="18"/>
  <c r="D230" i="18"/>
  <c r="C230" i="18"/>
  <c r="B230" i="18"/>
  <c r="A230" i="18"/>
  <c r="H229" i="18"/>
  <c r="G229" i="18"/>
  <c r="F229" i="18"/>
  <c r="E229" i="18"/>
  <c r="D229" i="18"/>
  <c r="C229" i="18"/>
  <c r="B229" i="18"/>
  <c r="A229" i="18"/>
  <c r="H228" i="18"/>
  <c r="G228" i="18"/>
  <c r="F228" i="18"/>
  <c r="E228" i="18"/>
  <c r="D228" i="18"/>
  <c r="C228" i="18"/>
  <c r="B228" i="18"/>
  <c r="A228" i="18"/>
  <c r="H227" i="18"/>
  <c r="G227" i="18"/>
  <c r="F227" i="18"/>
  <c r="E227" i="18"/>
  <c r="D227" i="18"/>
  <c r="C227" i="18"/>
  <c r="B227" i="18"/>
  <c r="A227" i="18"/>
  <c r="H226" i="18"/>
  <c r="G226" i="18"/>
  <c r="F226" i="18"/>
  <c r="E226" i="18"/>
  <c r="D226" i="18"/>
  <c r="C226" i="18"/>
  <c r="B226" i="18"/>
  <c r="A226" i="18"/>
  <c r="H225" i="18"/>
  <c r="G225" i="18"/>
  <c r="F225" i="18"/>
  <c r="E225" i="18"/>
  <c r="D225" i="18"/>
  <c r="C225" i="18"/>
  <c r="B225" i="18"/>
  <c r="A225" i="18"/>
  <c r="H224" i="18"/>
  <c r="G224" i="18"/>
  <c r="F224" i="18"/>
  <c r="E224" i="18"/>
  <c r="D224" i="18"/>
  <c r="C224" i="18"/>
  <c r="B224" i="18"/>
  <c r="A224" i="18"/>
  <c r="H223" i="18"/>
  <c r="G223" i="18"/>
  <c r="F223" i="18"/>
  <c r="E223" i="18"/>
  <c r="D223" i="18"/>
  <c r="C223" i="18"/>
  <c r="B223" i="18"/>
  <c r="A223" i="18"/>
  <c r="H222" i="18"/>
  <c r="G222" i="18"/>
  <c r="F222" i="18"/>
  <c r="E222" i="18"/>
  <c r="D222" i="18"/>
  <c r="C222" i="18"/>
  <c r="B222" i="18"/>
  <c r="A222" i="18"/>
  <c r="H221" i="18"/>
  <c r="G221" i="18"/>
  <c r="F221" i="18"/>
  <c r="E221" i="18"/>
  <c r="D221" i="18"/>
  <c r="C221" i="18"/>
  <c r="B221" i="18"/>
  <c r="A221" i="18"/>
  <c r="H220" i="18"/>
  <c r="G220" i="18"/>
  <c r="F220" i="18"/>
  <c r="E220" i="18"/>
  <c r="D220" i="18"/>
  <c r="C220" i="18"/>
  <c r="B220" i="18"/>
  <c r="A220" i="18"/>
  <c r="H219" i="18"/>
  <c r="G219" i="18"/>
  <c r="F219" i="18"/>
  <c r="E219" i="18"/>
  <c r="D219" i="18"/>
  <c r="C219" i="18"/>
  <c r="B219" i="18"/>
  <c r="A219" i="18"/>
  <c r="H218" i="18"/>
  <c r="G218" i="18"/>
  <c r="F218" i="18"/>
  <c r="E218" i="18"/>
  <c r="D218" i="18"/>
  <c r="C218" i="18"/>
  <c r="B218" i="18"/>
  <c r="A218" i="18"/>
  <c r="H217" i="18"/>
  <c r="G217" i="18"/>
  <c r="F217" i="18"/>
  <c r="E217" i="18"/>
  <c r="D217" i="18"/>
  <c r="C217" i="18"/>
  <c r="B217" i="18"/>
  <c r="A217" i="18"/>
  <c r="H216" i="18"/>
  <c r="G216" i="18"/>
  <c r="F216" i="18"/>
  <c r="E216" i="18"/>
  <c r="D216" i="18"/>
  <c r="C216" i="18"/>
  <c r="B216" i="18"/>
  <c r="A216" i="18"/>
  <c r="H215" i="18"/>
  <c r="G215" i="18"/>
  <c r="F215" i="18"/>
  <c r="E215" i="18"/>
  <c r="D215" i="18"/>
  <c r="C215" i="18"/>
  <c r="B215" i="18"/>
  <c r="A215" i="18"/>
  <c r="H214" i="18"/>
  <c r="G214" i="18"/>
  <c r="F214" i="18"/>
  <c r="E214" i="18"/>
  <c r="D214" i="18"/>
  <c r="C214" i="18"/>
  <c r="B214" i="18"/>
  <c r="A214" i="18"/>
  <c r="H213" i="18"/>
  <c r="G213" i="18"/>
  <c r="F213" i="18"/>
  <c r="E213" i="18"/>
  <c r="D213" i="18"/>
  <c r="C213" i="18"/>
  <c r="B213" i="18"/>
  <c r="A213" i="18"/>
  <c r="H212" i="18"/>
  <c r="G212" i="18"/>
  <c r="F212" i="18"/>
  <c r="E212" i="18"/>
  <c r="D212" i="18"/>
  <c r="C212" i="18"/>
  <c r="B212" i="18"/>
  <c r="A212" i="18"/>
  <c r="H211" i="18"/>
  <c r="G211" i="18"/>
  <c r="F211" i="18"/>
  <c r="E211" i="18"/>
  <c r="D211" i="18"/>
  <c r="C211" i="18"/>
  <c r="B211" i="18"/>
  <c r="A211" i="18"/>
  <c r="H210" i="18"/>
  <c r="G210" i="18"/>
  <c r="F210" i="18"/>
  <c r="E210" i="18"/>
  <c r="D210" i="18"/>
  <c r="C210" i="18"/>
  <c r="B210" i="18"/>
  <c r="A210" i="18"/>
  <c r="H209" i="18"/>
  <c r="G209" i="18"/>
  <c r="F209" i="18"/>
  <c r="E209" i="18"/>
  <c r="D209" i="18"/>
  <c r="C209" i="18"/>
  <c r="B209" i="18"/>
  <c r="A209" i="18"/>
  <c r="H208" i="18"/>
  <c r="G208" i="18"/>
  <c r="F208" i="18"/>
  <c r="E208" i="18"/>
  <c r="D208" i="18"/>
  <c r="C208" i="18"/>
  <c r="B208" i="18"/>
  <c r="A208" i="18"/>
  <c r="H207" i="18"/>
  <c r="G207" i="18"/>
  <c r="F207" i="18"/>
  <c r="E207" i="18"/>
  <c r="D207" i="18"/>
  <c r="C207" i="18"/>
  <c r="B207" i="18"/>
  <c r="A207" i="18"/>
  <c r="H206" i="18"/>
  <c r="G206" i="18"/>
  <c r="F206" i="18"/>
  <c r="E206" i="18"/>
  <c r="D206" i="18"/>
  <c r="C206" i="18"/>
  <c r="B206" i="18"/>
  <c r="A206" i="18"/>
  <c r="H205" i="18"/>
  <c r="G205" i="18"/>
  <c r="F205" i="18"/>
  <c r="E205" i="18"/>
  <c r="D205" i="18"/>
  <c r="C205" i="18"/>
  <c r="B205" i="18"/>
  <c r="A205" i="18"/>
  <c r="H204" i="18"/>
  <c r="G204" i="18"/>
  <c r="F204" i="18"/>
  <c r="E204" i="18"/>
  <c r="D204" i="18"/>
  <c r="C204" i="18"/>
  <c r="B204" i="18"/>
  <c r="A204" i="18"/>
  <c r="H203" i="18"/>
  <c r="G203" i="18"/>
  <c r="F203" i="18"/>
  <c r="E203" i="18"/>
  <c r="D203" i="18"/>
  <c r="C203" i="18"/>
  <c r="B203" i="18"/>
  <c r="A203" i="18"/>
  <c r="H202" i="18"/>
  <c r="G202" i="18"/>
  <c r="F202" i="18"/>
  <c r="E202" i="18"/>
  <c r="D202" i="18"/>
  <c r="C202" i="18"/>
  <c r="B202" i="18"/>
  <c r="A202" i="18"/>
  <c r="H201" i="18"/>
  <c r="G201" i="18"/>
  <c r="F201" i="18"/>
  <c r="E201" i="18"/>
  <c r="D201" i="18"/>
  <c r="C201" i="18"/>
  <c r="B201" i="18"/>
  <c r="A201" i="18"/>
  <c r="H200" i="18"/>
  <c r="G200" i="18"/>
  <c r="F200" i="18"/>
  <c r="E200" i="18"/>
  <c r="D200" i="18"/>
  <c r="C200" i="18"/>
  <c r="B200" i="18"/>
  <c r="A200" i="18"/>
  <c r="H199" i="18"/>
  <c r="G199" i="18"/>
  <c r="F199" i="18"/>
  <c r="E199" i="18"/>
  <c r="D199" i="18"/>
  <c r="C199" i="18"/>
  <c r="B199" i="18"/>
  <c r="A199" i="18"/>
  <c r="H198" i="18"/>
  <c r="G198" i="18"/>
  <c r="F198" i="18"/>
  <c r="E198" i="18"/>
  <c r="D198" i="18"/>
  <c r="C198" i="18"/>
  <c r="B198" i="18"/>
  <c r="A198" i="18"/>
  <c r="H197" i="18"/>
  <c r="G197" i="18"/>
  <c r="F197" i="18"/>
  <c r="E197" i="18"/>
  <c r="D197" i="18"/>
  <c r="C197" i="18"/>
  <c r="B197" i="18"/>
  <c r="A197" i="18"/>
  <c r="H196" i="18"/>
  <c r="G196" i="18"/>
  <c r="F196" i="18"/>
  <c r="E196" i="18"/>
  <c r="D196" i="18"/>
  <c r="C196" i="18"/>
  <c r="B196" i="18"/>
  <c r="A196" i="18"/>
  <c r="H195" i="18"/>
  <c r="G195" i="18"/>
  <c r="F195" i="18"/>
  <c r="E195" i="18"/>
  <c r="D195" i="18"/>
  <c r="C195" i="18"/>
  <c r="B195" i="18"/>
  <c r="A195" i="18"/>
  <c r="H194" i="18"/>
  <c r="G194" i="18"/>
  <c r="F194" i="18"/>
  <c r="E194" i="18"/>
  <c r="D194" i="18"/>
  <c r="C194" i="18"/>
  <c r="B194" i="18"/>
  <c r="A194" i="18"/>
  <c r="H193" i="18"/>
  <c r="G193" i="18"/>
  <c r="F193" i="18"/>
  <c r="E193" i="18"/>
  <c r="D193" i="18"/>
  <c r="C193" i="18"/>
  <c r="B193" i="18"/>
  <c r="A193" i="18"/>
  <c r="H192" i="18"/>
  <c r="G192" i="18"/>
  <c r="F192" i="18"/>
  <c r="E192" i="18"/>
  <c r="D192" i="18"/>
  <c r="C192" i="18"/>
  <c r="B192" i="18"/>
  <c r="A192" i="18"/>
  <c r="H191" i="18"/>
  <c r="G191" i="18"/>
  <c r="F191" i="18"/>
  <c r="E191" i="18"/>
  <c r="D191" i="18"/>
  <c r="C191" i="18"/>
  <c r="B191" i="18"/>
  <c r="A191" i="18"/>
  <c r="H190" i="18"/>
  <c r="G190" i="18"/>
  <c r="F190" i="18"/>
  <c r="E190" i="18"/>
  <c r="D190" i="18"/>
  <c r="C190" i="18"/>
  <c r="B190" i="18"/>
  <c r="A190" i="18"/>
  <c r="H189" i="18"/>
  <c r="G189" i="18"/>
  <c r="F189" i="18"/>
  <c r="E189" i="18"/>
  <c r="D189" i="18"/>
  <c r="C189" i="18"/>
  <c r="B189" i="18"/>
  <c r="A189" i="18"/>
  <c r="H188" i="18"/>
  <c r="G188" i="18"/>
  <c r="F188" i="18"/>
  <c r="E188" i="18"/>
  <c r="D188" i="18"/>
  <c r="C188" i="18"/>
  <c r="B188" i="18"/>
  <c r="A188" i="18"/>
  <c r="H187" i="18"/>
  <c r="G187" i="18"/>
  <c r="F187" i="18"/>
  <c r="E187" i="18"/>
  <c r="D187" i="18"/>
  <c r="C187" i="18"/>
  <c r="B187" i="18"/>
  <c r="A187" i="18"/>
  <c r="H186" i="18"/>
  <c r="G186" i="18"/>
  <c r="F186" i="18"/>
  <c r="E186" i="18"/>
  <c r="D186" i="18"/>
  <c r="C186" i="18"/>
  <c r="B186" i="18"/>
  <c r="A186" i="18"/>
  <c r="H185" i="18"/>
  <c r="G185" i="18"/>
  <c r="F185" i="18"/>
  <c r="E185" i="18"/>
  <c r="D185" i="18"/>
  <c r="C185" i="18"/>
  <c r="B185" i="18"/>
  <c r="A185" i="18"/>
  <c r="H184" i="18"/>
  <c r="G184" i="18"/>
  <c r="F184" i="18"/>
  <c r="E184" i="18"/>
  <c r="D184" i="18"/>
  <c r="C184" i="18"/>
  <c r="B184" i="18"/>
  <c r="A184" i="18"/>
  <c r="H183" i="18"/>
  <c r="G183" i="18"/>
  <c r="F183" i="18"/>
  <c r="E183" i="18"/>
  <c r="D183" i="18"/>
  <c r="C183" i="18"/>
  <c r="B183" i="18"/>
  <c r="A183" i="18"/>
  <c r="H182" i="18"/>
  <c r="G182" i="18"/>
  <c r="F182" i="18"/>
  <c r="E182" i="18"/>
  <c r="D182" i="18"/>
  <c r="C182" i="18"/>
  <c r="B182" i="18"/>
  <c r="A182" i="18"/>
  <c r="H181" i="18"/>
  <c r="G181" i="18"/>
  <c r="F181" i="18"/>
  <c r="E181" i="18"/>
  <c r="D181" i="18"/>
  <c r="C181" i="18"/>
  <c r="B181" i="18"/>
  <c r="A181" i="18"/>
  <c r="H180" i="18"/>
  <c r="G180" i="18"/>
  <c r="F180" i="18"/>
  <c r="E180" i="18"/>
  <c r="D180" i="18"/>
  <c r="C180" i="18"/>
  <c r="B180" i="18"/>
  <c r="A180" i="18"/>
  <c r="H179" i="18"/>
  <c r="G179" i="18"/>
  <c r="F179" i="18"/>
  <c r="E179" i="18"/>
  <c r="D179" i="18"/>
  <c r="C179" i="18"/>
  <c r="B179" i="18"/>
  <c r="A179" i="18"/>
  <c r="H178" i="18"/>
  <c r="G178" i="18"/>
  <c r="F178" i="18"/>
  <c r="E178" i="18"/>
  <c r="D178" i="18"/>
  <c r="C178" i="18"/>
  <c r="B178" i="18"/>
  <c r="A178" i="18"/>
  <c r="H177" i="18"/>
  <c r="G177" i="18"/>
  <c r="F177" i="18"/>
  <c r="E177" i="18"/>
  <c r="D177" i="18"/>
  <c r="C177" i="18"/>
  <c r="B177" i="18"/>
  <c r="A177" i="18"/>
  <c r="H176" i="18"/>
  <c r="G176" i="18"/>
  <c r="F176" i="18"/>
  <c r="E176" i="18"/>
  <c r="D176" i="18"/>
  <c r="C176" i="18"/>
  <c r="B176" i="18"/>
  <c r="A176" i="18"/>
  <c r="H175" i="18"/>
  <c r="G175" i="18"/>
  <c r="F175" i="18"/>
  <c r="E175" i="18"/>
  <c r="D175" i="18"/>
  <c r="C175" i="18"/>
  <c r="B175" i="18"/>
  <c r="A175" i="18"/>
  <c r="H174" i="18"/>
  <c r="G174" i="18"/>
  <c r="F174" i="18"/>
  <c r="E174" i="18"/>
  <c r="D174" i="18"/>
  <c r="C174" i="18"/>
  <c r="B174" i="18"/>
  <c r="A174" i="18"/>
  <c r="H173" i="18"/>
  <c r="G173" i="18"/>
  <c r="F173" i="18"/>
  <c r="E173" i="18"/>
  <c r="D173" i="18"/>
  <c r="C173" i="18"/>
  <c r="B173" i="18"/>
  <c r="A173" i="18"/>
  <c r="H172" i="18"/>
  <c r="G172" i="18"/>
  <c r="F172" i="18"/>
  <c r="E172" i="18"/>
  <c r="D172" i="18"/>
  <c r="C172" i="18"/>
  <c r="B172" i="18"/>
  <c r="A172" i="18"/>
  <c r="H171" i="18"/>
  <c r="G171" i="18"/>
  <c r="F171" i="18"/>
  <c r="E171" i="18"/>
  <c r="D171" i="18"/>
  <c r="C171" i="18"/>
  <c r="B171" i="18"/>
  <c r="A171" i="18"/>
  <c r="H170" i="18"/>
  <c r="G170" i="18"/>
  <c r="F170" i="18"/>
  <c r="E170" i="18"/>
  <c r="D170" i="18"/>
  <c r="C170" i="18"/>
  <c r="B170" i="18"/>
  <c r="A170" i="18"/>
  <c r="H169" i="18"/>
  <c r="G169" i="18"/>
  <c r="F169" i="18"/>
  <c r="E169" i="18"/>
  <c r="D169" i="18"/>
  <c r="C169" i="18"/>
  <c r="B169" i="18"/>
  <c r="A169" i="18"/>
  <c r="H168" i="18"/>
  <c r="G168" i="18"/>
  <c r="F168" i="18"/>
  <c r="E168" i="18"/>
  <c r="D168" i="18"/>
  <c r="C168" i="18"/>
  <c r="B168" i="18"/>
  <c r="A168" i="18"/>
  <c r="H167" i="18"/>
  <c r="G167" i="18"/>
  <c r="F167" i="18"/>
  <c r="E167" i="18"/>
  <c r="D167" i="18"/>
  <c r="C167" i="18"/>
  <c r="B167" i="18"/>
  <c r="A167" i="18"/>
  <c r="H166" i="18"/>
  <c r="G166" i="18"/>
  <c r="F166" i="18"/>
  <c r="E166" i="18"/>
  <c r="D166" i="18"/>
  <c r="C166" i="18"/>
  <c r="B166" i="18"/>
  <c r="A166" i="18"/>
  <c r="H165" i="18"/>
  <c r="G165" i="18"/>
  <c r="F165" i="18"/>
  <c r="E165" i="18"/>
  <c r="D165" i="18"/>
  <c r="C165" i="18"/>
  <c r="B165" i="18"/>
  <c r="A165" i="18"/>
  <c r="H164" i="18"/>
  <c r="G164" i="18"/>
  <c r="F164" i="18"/>
  <c r="E164" i="18"/>
  <c r="D164" i="18"/>
  <c r="C164" i="18"/>
  <c r="B164" i="18"/>
  <c r="A164" i="18"/>
  <c r="H163" i="18"/>
  <c r="G163" i="18"/>
  <c r="F163" i="18"/>
  <c r="E163" i="18"/>
  <c r="D163" i="18"/>
  <c r="C163" i="18"/>
  <c r="B163" i="18"/>
  <c r="A163" i="18"/>
  <c r="H162" i="18"/>
  <c r="G162" i="18"/>
  <c r="F162" i="18"/>
  <c r="E162" i="18"/>
  <c r="D162" i="18"/>
  <c r="C162" i="18"/>
  <c r="B162" i="18"/>
  <c r="A162" i="18"/>
  <c r="H161" i="18"/>
  <c r="G161" i="18"/>
  <c r="F161" i="18"/>
  <c r="E161" i="18"/>
  <c r="D161" i="18"/>
  <c r="C161" i="18"/>
  <c r="B161" i="18"/>
  <c r="A161" i="18"/>
  <c r="H160" i="18"/>
  <c r="G160" i="18"/>
  <c r="F160" i="18"/>
  <c r="E160" i="18"/>
  <c r="D160" i="18"/>
  <c r="C160" i="18"/>
  <c r="B160" i="18"/>
  <c r="A160" i="18"/>
  <c r="H159" i="18"/>
  <c r="G159" i="18"/>
  <c r="F159" i="18"/>
  <c r="E159" i="18"/>
  <c r="D159" i="18"/>
  <c r="C159" i="18"/>
  <c r="B159" i="18"/>
  <c r="A159" i="18"/>
  <c r="H158" i="18"/>
  <c r="G158" i="18"/>
  <c r="F158" i="18"/>
  <c r="E158" i="18"/>
  <c r="D158" i="18"/>
  <c r="C158" i="18"/>
  <c r="B158" i="18"/>
  <c r="A158" i="18"/>
  <c r="H157" i="18"/>
  <c r="G157" i="18"/>
  <c r="F157" i="18"/>
  <c r="E157" i="18"/>
  <c r="D157" i="18"/>
  <c r="C157" i="18"/>
  <c r="B157" i="18"/>
  <c r="A157" i="18"/>
  <c r="H156" i="18"/>
  <c r="G156" i="18"/>
  <c r="F156" i="18"/>
  <c r="E156" i="18"/>
  <c r="D156" i="18"/>
  <c r="C156" i="18"/>
  <c r="B156" i="18"/>
  <c r="A156" i="18"/>
  <c r="H155" i="18"/>
  <c r="G155" i="18"/>
  <c r="F155" i="18"/>
  <c r="E155" i="18"/>
  <c r="D155" i="18"/>
  <c r="C155" i="18"/>
  <c r="B155" i="18"/>
  <c r="A155" i="18"/>
  <c r="H154" i="18"/>
  <c r="G154" i="18"/>
  <c r="F154" i="18"/>
  <c r="E154" i="18"/>
  <c r="D154" i="18"/>
  <c r="C154" i="18"/>
  <c r="B154" i="18"/>
  <c r="A154" i="18"/>
  <c r="H153" i="18"/>
  <c r="G153" i="18"/>
  <c r="F153" i="18"/>
  <c r="E153" i="18"/>
  <c r="D153" i="18"/>
  <c r="C153" i="18"/>
  <c r="B153" i="18"/>
  <c r="A153" i="18"/>
  <c r="H152" i="18"/>
  <c r="G152" i="18"/>
  <c r="F152" i="18"/>
  <c r="E152" i="18"/>
  <c r="D152" i="18"/>
  <c r="C152" i="18"/>
  <c r="B152" i="18"/>
  <c r="A152" i="18"/>
  <c r="H151" i="18"/>
  <c r="G151" i="18"/>
  <c r="F151" i="18"/>
  <c r="E151" i="18"/>
  <c r="D151" i="18"/>
  <c r="C151" i="18"/>
  <c r="B151" i="18"/>
  <c r="A151" i="18"/>
  <c r="H150" i="18"/>
  <c r="G150" i="18"/>
  <c r="F150" i="18"/>
  <c r="E150" i="18"/>
  <c r="D150" i="18"/>
  <c r="C150" i="18"/>
  <c r="B150" i="18"/>
  <c r="A150" i="18"/>
  <c r="H149" i="18"/>
  <c r="G149" i="18"/>
  <c r="F149" i="18"/>
  <c r="E149" i="18"/>
  <c r="D149" i="18"/>
  <c r="C149" i="18"/>
  <c r="B149" i="18"/>
  <c r="A149" i="18"/>
  <c r="H148" i="18"/>
  <c r="G148" i="18"/>
  <c r="F148" i="18"/>
  <c r="E148" i="18"/>
  <c r="D148" i="18"/>
  <c r="C148" i="18"/>
  <c r="B148" i="18"/>
  <c r="A148" i="18"/>
  <c r="H147" i="18"/>
  <c r="G147" i="18"/>
  <c r="F147" i="18"/>
  <c r="E147" i="18"/>
  <c r="D147" i="18"/>
  <c r="C147" i="18"/>
  <c r="B147" i="18"/>
  <c r="A147" i="18"/>
  <c r="H146" i="18"/>
  <c r="G146" i="18"/>
  <c r="F146" i="18"/>
  <c r="E146" i="18"/>
  <c r="D146" i="18"/>
  <c r="C146" i="18"/>
  <c r="B146" i="18"/>
  <c r="A146" i="18"/>
  <c r="H145" i="18"/>
  <c r="G145" i="18"/>
  <c r="F145" i="18"/>
  <c r="E145" i="18"/>
  <c r="D145" i="18"/>
  <c r="C145" i="18"/>
  <c r="B145" i="18"/>
  <c r="A145" i="18"/>
  <c r="H144" i="18"/>
  <c r="G144" i="18"/>
  <c r="F144" i="18"/>
  <c r="E144" i="18"/>
  <c r="D144" i="18"/>
  <c r="C144" i="18"/>
  <c r="B144" i="18"/>
  <c r="A144" i="18"/>
  <c r="H143" i="18"/>
  <c r="G143" i="18"/>
  <c r="F143" i="18"/>
  <c r="E143" i="18"/>
  <c r="D143" i="18"/>
  <c r="C143" i="18"/>
  <c r="B143" i="18"/>
  <c r="A143" i="18"/>
  <c r="H142" i="18"/>
  <c r="G142" i="18"/>
  <c r="F142" i="18"/>
  <c r="E142" i="18"/>
  <c r="D142" i="18"/>
  <c r="C142" i="18"/>
  <c r="B142" i="18"/>
  <c r="A142" i="18"/>
  <c r="H141" i="18"/>
  <c r="G141" i="18"/>
  <c r="F141" i="18"/>
  <c r="E141" i="18"/>
  <c r="D141" i="18"/>
  <c r="C141" i="18"/>
  <c r="B141" i="18"/>
  <c r="A141" i="18"/>
  <c r="H140" i="18"/>
  <c r="G140" i="18"/>
  <c r="F140" i="18"/>
  <c r="E140" i="18"/>
  <c r="D140" i="18"/>
  <c r="C140" i="18"/>
  <c r="B140" i="18"/>
  <c r="A140" i="18"/>
  <c r="H139" i="18"/>
  <c r="G139" i="18"/>
  <c r="F139" i="18"/>
  <c r="E139" i="18"/>
  <c r="D139" i="18"/>
  <c r="C139" i="18"/>
  <c r="B139" i="18"/>
  <c r="A139" i="18"/>
  <c r="H138" i="18"/>
  <c r="G138" i="18"/>
  <c r="F138" i="18"/>
  <c r="E138" i="18"/>
  <c r="D138" i="18"/>
  <c r="C138" i="18"/>
  <c r="B138" i="18"/>
  <c r="A138" i="18"/>
  <c r="H137" i="18"/>
  <c r="G137" i="18"/>
  <c r="F137" i="18"/>
  <c r="E137" i="18"/>
  <c r="D137" i="18"/>
  <c r="C137" i="18"/>
  <c r="B137" i="18"/>
  <c r="A137" i="18"/>
  <c r="H136" i="18"/>
  <c r="G136" i="18"/>
  <c r="F136" i="18"/>
  <c r="E136" i="18"/>
  <c r="D136" i="18"/>
  <c r="C136" i="18"/>
  <c r="B136" i="18"/>
  <c r="A136" i="18"/>
  <c r="H135" i="18"/>
  <c r="G135" i="18"/>
  <c r="F135" i="18"/>
  <c r="E135" i="18"/>
  <c r="D135" i="18"/>
  <c r="C135" i="18"/>
  <c r="B135" i="18"/>
  <c r="A135" i="18"/>
  <c r="H134" i="18"/>
  <c r="G134" i="18"/>
  <c r="F134" i="18"/>
  <c r="E134" i="18"/>
  <c r="D134" i="18"/>
  <c r="C134" i="18"/>
  <c r="B134" i="18"/>
  <c r="A134" i="18"/>
  <c r="H133" i="18"/>
  <c r="G133" i="18"/>
  <c r="F133" i="18"/>
  <c r="E133" i="18"/>
  <c r="D133" i="18"/>
  <c r="C133" i="18"/>
  <c r="B133" i="18"/>
  <c r="A133" i="18"/>
  <c r="H132" i="18"/>
  <c r="G132" i="18"/>
  <c r="F132" i="18"/>
  <c r="E132" i="18"/>
  <c r="D132" i="18"/>
  <c r="C132" i="18"/>
  <c r="B132" i="18"/>
  <c r="A132" i="18"/>
  <c r="H131" i="18"/>
  <c r="G131" i="18"/>
  <c r="F131" i="18"/>
  <c r="E131" i="18"/>
  <c r="D131" i="18"/>
  <c r="C131" i="18"/>
  <c r="B131" i="18"/>
  <c r="A131" i="18"/>
  <c r="H130" i="18"/>
  <c r="G130" i="18"/>
  <c r="F130" i="18"/>
  <c r="E130" i="18"/>
  <c r="D130" i="18"/>
  <c r="C130" i="18"/>
  <c r="B130" i="18"/>
  <c r="A130" i="18"/>
  <c r="H129" i="18"/>
  <c r="G129" i="18"/>
  <c r="F129" i="18"/>
  <c r="E129" i="18"/>
  <c r="D129" i="18"/>
  <c r="C129" i="18"/>
  <c r="B129" i="18"/>
  <c r="A129" i="18"/>
  <c r="H128" i="18"/>
  <c r="G128" i="18"/>
  <c r="F128" i="18"/>
  <c r="E128" i="18"/>
  <c r="D128" i="18"/>
  <c r="C128" i="18"/>
  <c r="B128" i="18"/>
  <c r="A128" i="18"/>
  <c r="H127" i="18"/>
  <c r="G127" i="18"/>
  <c r="F127" i="18"/>
  <c r="E127" i="18"/>
  <c r="D127" i="18"/>
  <c r="C127" i="18"/>
  <c r="B127" i="18"/>
  <c r="A127" i="18"/>
  <c r="H126" i="18"/>
  <c r="G126" i="18"/>
  <c r="F126" i="18"/>
  <c r="E126" i="18"/>
  <c r="D126" i="18"/>
  <c r="C126" i="18"/>
  <c r="B126" i="18"/>
  <c r="A126" i="18"/>
  <c r="H125" i="18"/>
  <c r="G125" i="18"/>
  <c r="F125" i="18"/>
  <c r="E125" i="18"/>
  <c r="D125" i="18"/>
  <c r="C125" i="18"/>
  <c r="B125" i="18"/>
  <c r="A125" i="18"/>
  <c r="H124" i="18"/>
  <c r="G124" i="18"/>
  <c r="F124" i="18"/>
  <c r="E124" i="18"/>
  <c r="D124" i="18"/>
  <c r="C124" i="18"/>
  <c r="B124" i="18"/>
  <c r="A124" i="18"/>
  <c r="H123" i="18"/>
  <c r="G123" i="18"/>
  <c r="F123" i="18"/>
  <c r="E123" i="18"/>
  <c r="D123" i="18"/>
  <c r="C123" i="18"/>
  <c r="B123" i="18"/>
  <c r="A123" i="18"/>
  <c r="H122" i="18"/>
  <c r="G122" i="18"/>
  <c r="F122" i="18"/>
  <c r="E122" i="18"/>
  <c r="D122" i="18"/>
  <c r="C122" i="18"/>
  <c r="B122" i="18"/>
  <c r="A122" i="18"/>
  <c r="H121" i="18"/>
  <c r="G121" i="18"/>
  <c r="F121" i="18"/>
  <c r="E121" i="18"/>
  <c r="D121" i="18"/>
  <c r="C121" i="18"/>
  <c r="B121" i="18"/>
  <c r="A121" i="18"/>
  <c r="H120" i="18"/>
  <c r="G120" i="18"/>
  <c r="F120" i="18"/>
  <c r="E120" i="18"/>
  <c r="D120" i="18"/>
  <c r="C120" i="18"/>
  <c r="B120" i="18"/>
  <c r="A120" i="18"/>
  <c r="H119" i="18"/>
  <c r="G119" i="18"/>
  <c r="F119" i="18"/>
  <c r="E119" i="18"/>
  <c r="D119" i="18"/>
  <c r="C119" i="18"/>
  <c r="B119" i="18"/>
  <c r="A119" i="18"/>
  <c r="H118" i="18"/>
  <c r="G118" i="18"/>
  <c r="F118" i="18"/>
  <c r="E118" i="18"/>
  <c r="D118" i="18"/>
  <c r="C118" i="18"/>
  <c r="B118" i="18"/>
  <c r="A118" i="18"/>
  <c r="H117" i="18"/>
  <c r="G117" i="18"/>
  <c r="F117" i="18"/>
  <c r="E117" i="18"/>
  <c r="D117" i="18"/>
  <c r="C117" i="18"/>
  <c r="B117" i="18"/>
  <c r="A117" i="18"/>
  <c r="H116" i="18"/>
  <c r="G116" i="18"/>
  <c r="F116" i="18"/>
  <c r="E116" i="18"/>
  <c r="D116" i="18"/>
  <c r="C116" i="18"/>
  <c r="B116" i="18"/>
  <c r="A116" i="18"/>
  <c r="H115" i="18"/>
  <c r="G115" i="18"/>
  <c r="F115" i="18"/>
  <c r="E115" i="18"/>
  <c r="D115" i="18"/>
  <c r="C115" i="18"/>
  <c r="B115" i="18"/>
  <c r="A115" i="18"/>
  <c r="H114" i="18"/>
  <c r="G114" i="18"/>
  <c r="F114" i="18"/>
  <c r="E114" i="18"/>
  <c r="D114" i="18"/>
  <c r="C114" i="18"/>
  <c r="B114" i="18"/>
  <c r="A114" i="18"/>
  <c r="H113" i="18"/>
  <c r="G113" i="18"/>
  <c r="F113" i="18"/>
  <c r="E113" i="18"/>
  <c r="D113" i="18"/>
  <c r="C113" i="18"/>
  <c r="B113" i="18"/>
  <c r="A113" i="18"/>
  <c r="H112" i="18"/>
  <c r="G112" i="18"/>
  <c r="F112" i="18"/>
  <c r="E112" i="18"/>
  <c r="D112" i="18"/>
  <c r="C112" i="18"/>
  <c r="B112" i="18"/>
  <c r="A112" i="18"/>
  <c r="H111" i="18"/>
  <c r="G111" i="18"/>
  <c r="F111" i="18"/>
  <c r="E111" i="18"/>
  <c r="D111" i="18"/>
  <c r="C111" i="18"/>
  <c r="B111" i="18"/>
  <c r="A111" i="18"/>
  <c r="H110" i="18"/>
  <c r="G110" i="18"/>
  <c r="F110" i="18"/>
  <c r="E110" i="18"/>
  <c r="D110" i="18"/>
  <c r="C110" i="18"/>
  <c r="B110" i="18"/>
  <c r="A110" i="18"/>
  <c r="H109" i="18"/>
  <c r="G109" i="18"/>
  <c r="F109" i="18"/>
  <c r="E109" i="18"/>
  <c r="D109" i="18"/>
  <c r="C109" i="18"/>
  <c r="B109" i="18"/>
  <c r="A109" i="18"/>
  <c r="H108" i="18"/>
  <c r="G108" i="18"/>
  <c r="F108" i="18"/>
  <c r="E108" i="18"/>
  <c r="D108" i="18"/>
  <c r="C108" i="18"/>
  <c r="B108" i="18"/>
  <c r="A108" i="18"/>
  <c r="H107" i="18"/>
  <c r="G107" i="18"/>
  <c r="F107" i="18"/>
  <c r="E107" i="18"/>
  <c r="D107" i="18"/>
  <c r="C107" i="18"/>
  <c r="B107" i="18"/>
  <c r="A107" i="18"/>
  <c r="H106" i="18"/>
  <c r="G106" i="18"/>
  <c r="F106" i="18"/>
  <c r="E106" i="18"/>
  <c r="D106" i="18"/>
  <c r="C106" i="18"/>
  <c r="B106" i="18"/>
  <c r="A106" i="18"/>
  <c r="H105" i="18"/>
  <c r="G105" i="18"/>
  <c r="F105" i="18"/>
  <c r="E105" i="18"/>
  <c r="D105" i="18"/>
  <c r="C105" i="18"/>
  <c r="B105" i="18"/>
  <c r="A105" i="18"/>
  <c r="H104" i="18"/>
  <c r="G104" i="18"/>
  <c r="F104" i="18"/>
  <c r="E104" i="18"/>
  <c r="D104" i="18"/>
  <c r="C104" i="18"/>
  <c r="B104" i="18"/>
  <c r="A104" i="18"/>
  <c r="H103" i="18"/>
  <c r="G103" i="18"/>
  <c r="F103" i="18"/>
  <c r="E103" i="18"/>
  <c r="D103" i="18"/>
  <c r="C103" i="18"/>
  <c r="B103" i="18"/>
  <c r="A103" i="18"/>
  <c r="H102" i="18"/>
  <c r="G102" i="18"/>
  <c r="F102" i="18"/>
  <c r="E102" i="18"/>
  <c r="D102" i="18"/>
  <c r="C102" i="18"/>
  <c r="B102" i="18"/>
  <c r="A102" i="18"/>
  <c r="H101" i="18"/>
  <c r="G101" i="18"/>
  <c r="F101" i="18"/>
  <c r="E101" i="18"/>
  <c r="D101" i="18"/>
  <c r="C101" i="18"/>
  <c r="B101" i="18"/>
  <c r="A101" i="18"/>
  <c r="H100" i="18"/>
  <c r="G100" i="18"/>
  <c r="F100" i="18"/>
  <c r="E100" i="18"/>
  <c r="D100" i="18"/>
  <c r="C100" i="18"/>
  <c r="B100" i="18"/>
  <c r="A100" i="18"/>
  <c r="H99" i="18"/>
  <c r="G99" i="18"/>
  <c r="F99" i="18"/>
  <c r="E99" i="18"/>
  <c r="D99" i="18"/>
  <c r="C99" i="18"/>
  <c r="B99" i="18"/>
  <c r="A99" i="18"/>
  <c r="H98" i="18"/>
  <c r="G98" i="18"/>
  <c r="F98" i="18"/>
  <c r="E98" i="18"/>
  <c r="D98" i="18"/>
  <c r="C98" i="18"/>
  <c r="B98" i="18"/>
  <c r="A98" i="18"/>
  <c r="H97" i="18"/>
  <c r="G97" i="18"/>
  <c r="F97" i="18"/>
  <c r="E97" i="18"/>
  <c r="D97" i="18"/>
  <c r="C97" i="18"/>
  <c r="B97" i="18"/>
  <c r="A97" i="18"/>
  <c r="H96" i="18"/>
  <c r="G96" i="18"/>
  <c r="F96" i="18"/>
  <c r="E96" i="18"/>
  <c r="D96" i="18"/>
  <c r="C96" i="18"/>
  <c r="B96" i="18"/>
  <c r="A96" i="18"/>
  <c r="H95" i="18"/>
  <c r="G95" i="18"/>
  <c r="F95" i="18"/>
  <c r="E95" i="18"/>
  <c r="D95" i="18"/>
  <c r="C95" i="18"/>
  <c r="B95" i="18"/>
  <c r="A95" i="18"/>
  <c r="H94" i="18"/>
  <c r="G94" i="18"/>
  <c r="F94" i="18"/>
  <c r="E94" i="18"/>
  <c r="D94" i="18"/>
  <c r="C94" i="18"/>
  <c r="B94" i="18"/>
  <c r="A94" i="18"/>
  <c r="H93" i="18"/>
  <c r="G93" i="18"/>
  <c r="F93" i="18"/>
  <c r="E93" i="18"/>
  <c r="D93" i="18"/>
  <c r="C93" i="18"/>
  <c r="B93" i="18"/>
  <c r="A93" i="18"/>
  <c r="H92" i="18"/>
  <c r="G92" i="18"/>
  <c r="F92" i="18"/>
  <c r="E92" i="18"/>
  <c r="D92" i="18"/>
  <c r="C92" i="18"/>
  <c r="B92" i="18"/>
  <c r="A92" i="18"/>
  <c r="H91" i="18"/>
  <c r="G91" i="18"/>
  <c r="F91" i="18"/>
  <c r="E91" i="18"/>
  <c r="D91" i="18"/>
  <c r="C91" i="18"/>
  <c r="B91" i="18"/>
  <c r="A91" i="18"/>
  <c r="H90" i="18"/>
  <c r="G90" i="18"/>
  <c r="F90" i="18"/>
  <c r="E90" i="18"/>
  <c r="D90" i="18"/>
  <c r="C90" i="18"/>
  <c r="B90" i="18"/>
  <c r="A90" i="18"/>
  <c r="H89" i="18"/>
  <c r="G89" i="18"/>
  <c r="F89" i="18"/>
  <c r="E89" i="18"/>
  <c r="D89" i="18"/>
  <c r="C89" i="18"/>
  <c r="B89" i="18"/>
  <c r="A89" i="18"/>
  <c r="H88" i="18"/>
  <c r="G88" i="18"/>
  <c r="F88" i="18"/>
  <c r="E88" i="18"/>
  <c r="D88" i="18"/>
  <c r="C88" i="18"/>
  <c r="B88" i="18"/>
  <c r="A88" i="18"/>
  <c r="H87" i="18"/>
  <c r="G87" i="18"/>
  <c r="F87" i="18"/>
  <c r="E87" i="18"/>
  <c r="D87" i="18"/>
  <c r="C87" i="18"/>
  <c r="B87" i="18"/>
  <c r="A87" i="18"/>
  <c r="H86" i="18"/>
  <c r="G86" i="18"/>
  <c r="F86" i="18"/>
  <c r="E86" i="18"/>
  <c r="D86" i="18"/>
  <c r="C86" i="18"/>
  <c r="B86" i="18"/>
  <c r="A86" i="18"/>
  <c r="H85" i="18"/>
  <c r="G85" i="18"/>
  <c r="F85" i="18"/>
  <c r="E85" i="18"/>
  <c r="D85" i="18"/>
  <c r="C85" i="18"/>
  <c r="B85" i="18"/>
  <c r="A85" i="18"/>
  <c r="H84" i="18"/>
  <c r="G84" i="18"/>
  <c r="F84" i="18"/>
  <c r="E84" i="18"/>
  <c r="D84" i="18"/>
  <c r="C84" i="18"/>
  <c r="B84" i="18"/>
  <c r="A84" i="18"/>
  <c r="H83" i="18"/>
  <c r="G83" i="18"/>
  <c r="F83" i="18"/>
  <c r="E83" i="18"/>
  <c r="D83" i="18"/>
  <c r="C83" i="18"/>
  <c r="B83" i="18"/>
  <c r="A83" i="18"/>
  <c r="H82" i="18"/>
  <c r="G82" i="18"/>
  <c r="F82" i="18"/>
  <c r="E82" i="18"/>
  <c r="D82" i="18"/>
  <c r="C82" i="18"/>
  <c r="B82" i="18"/>
  <c r="A82" i="18"/>
  <c r="H81" i="18"/>
  <c r="G81" i="18"/>
  <c r="F81" i="18"/>
  <c r="E81" i="18"/>
  <c r="D81" i="18"/>
  <c r="C81" i="18"/>
  <c r="B81" i="18"/>
  <c r="A81" i="18"/>
  <c r="H80" i="18"/>
  <c r="G80" i="18"/>
  <c r="F80" i="18"/>
  <c r="E80" i="18"/>
  <c r="D80" i="18"/>
  <c r="C80" i="18"/>
  <c r="B80" i="18"/>
  <c r="A80" i="18"/>
  <c r="H79" i="18"/>
  <c r="G79" i="18"/>
  <c r="F79" i="18"/>
  <c r="E79" i="18"/>
  <c r="D79" i="18"/>
  <c r="C79" i="18"/>
  <c r="B79" i="18"/>
  <c r="A79" i="18"/>
  <c r="H78" i="18"/>
  <c r="G78" i="18"/>
  <c r="F78" i="18"/>
  <c r="E78" i="18"/>
  <c r="D78" i="18"/>
  <c r="C78" i="18"/>
  <c r="B78" i="18"/>
  <c r="A78" i="18"/>
  <c r="H77" i="18"/>
  <c r="G77" i="18"/>
  <c r="F77" i="18"/>
  <c r="E77" i="18"/>
  <c r="D77" i="18"/>
  <c r="C77" i="18"/>
  <c r="B77" i="18"/>
  <c r="A77" i="18"/>
  <c r="H76" i="18"/>
  <c r="G76" i="18"/>
  <c r="F76" i="18"/>
  <c r="E76" i="18"/>
  <c r="D76" i="18"/>
  <c r="C76" i="18"/>
  <c r="B76" i="18"/>
  <c r="A76" i="18"/>
  <c r="H75" i="18"/>
  <c r="G75" i="18"/>
  <c r="F75" i="18"/>
  <c r="E75" i="18"/>
  <c r="D75" i="18"/>
  <c r="C75" i="18"/>
  <c r="B75" i="18"/>
  <c r="A75" i="18"/>
  <c r="H74" i="18"/>
  <c r="G74" i="18"/>
  <c r="F74" i="18"/>
  <c r="E74" i="18"/>
  <c r="D74" i="18"/>
  <c r="C74" i="18"/>
  <c r="B74" i="18"/>
  <c r="A74" i="18"/>
  <c r="H73" i="18"/>
  <c r="G73" i="18"/>
  <c r="F73" i="18"/>
  <c r="E73" i="18"/>
  <c r="D73" i="18"/>
  <c r="C73" i="18"/>
  <c r="B73" i="18"/>
  <c r="A73" i="18"/>
  <c r="H72" i="18"/>
  <c r="G72" i="18"/>
  <c r="F72" i="18"/>
  <c r="E72" i="18"/>
  <c r="D72" i="18"/>
  <c r="C72" i="18"/>
  <c r="B72" i="18"/>
  <c r="A72" i="18"/>
  <c r="H71" i="18"/>
  <c r="G71" i="18"/>
  <c r="F71" i="18"/>
  <c r="E71" i="18"/>
  <c r="D71" i="18"/>
  <c r="C71" i="18"/>
  <c r="B71" i="18"/>
  <c r="A71" i="18"/>
  <c r="H70" i="18"/>
  <c r="G70" i="18"/>
  <c r="F70" i="18"/>
  <c r="E70" i="18"/>
  <c r="D70" i="18"/>
  <c r="C70" i="18"/>
  <c r="B70" i="18"/>
  <c r="A70" i="18"/>
  <c r="H69" i="18"/>
  <c r="G69" i="18"/>
  <c r="F69" i="18"/>
  <c r="E69" i="18"/>
  <c r="D69" i="18"/>
  <c r="C69" i="18"/>
  <c r="B69" i="18"/>
  <c r="A69" i="18"/>
  <c r="H68" i="18"/>
  <c r="G68" i="18"/>
  <c r="F68" i="18"/>
  <c r="E68" i="18"/>
  <c r="D68" i="18"/>
  <c r="C68" i="18"/>
  <c r="B68" i="18"/>
  <c r="A68" i="18"/>
  <c r="H67" i="18"/>
  <c r="G67" i="18"/>
  <c r="F67" i="18"/>
  <c r="E67" i="18"/>
  <c r="D67" i="18"/>
  <c r="C67" i="18"/>
  <c r="B67" i="18"/>
  <c r="A67" i="18"/>
  <c r="H66" i="18"/>
  <c r="G66" i="18"/>
  <c r="F66" i="18"/>
  <c r="E66" i="18"/>
  <c r="D66" i="18"/>
  <c r="C66" i="18"/>
  <c r="B66" i="18"/>
  <c r="A66" i="18"/>
  <c r="H65" i="18"/>
  <c r="G65" i="18"/>
  <c r="F65" i="18"/>
  <c r="E65" i="18"/>
  <c r="D65" i="18"/>
  <c r="C65" i="18"/>
  <c r="B65" i="18"/>
  <c r="A65" i="18"/>
  <c r="H64" i="18"/>
  <c r="G64" i="18"/>
  <c r="F64" i="18"/>
  <c r="E64" i="18"/>
  <c r="D64" i="18"/>
  <c r="C64" i="18"/>
  <c r="B64" i="18"/>
  <c r="A64" i="18"/>
  <c r="H63" i="18"/>
  <c r="G63" i="18"/>
  <c r="F63" i="18"/>
  <c r="E63" i="18"/>
  <c r="D63" i="18"/>
  <c r="C63" i="18"/>
  <c r="B63" i="18"/>
  <c r="A63" i="18"/>
  <c r="H62" i="18"/>
  <c r="G62" i="18"/>
  <c r="F62" i="18"/>
  <c r="E62" i="18"/>
  <c r="D62" i="18"/>
  <c r="C62" i="18"/>
  <c r="B62" i="18"/>
  <c r="A62" i="18"/>
  <c r="H61" i="18"/>
  <c r="G61" i="18"/>
  <c r="F61" i="18"/>
  <c r="E61" i="18"/>
  <c r="D61" i="18"/>
  <c r="C61" i="18"/>
  <c r="B61" i="18"/>
  <c r="A61" i="18"/>
  <c r="H60" i="18"/>
  <c r="G60" i="18"/>
  <c r="F60" i="18"/>
  <c r="E60" i="18"/>
  <c r="D60" i="18"/>
  <c r="C60" i="18"/>
  <c r="B60" i="18"/>
  <c r="A60" i="18"/>
  <c r="H59" i="18"/>
  <c r="G59" i="18"/>
  <c r="F59" i="18"/>
  <c r="E59" i="18"/>
  <c r="D59" i="18"/>
  <c r="C59" i="18"/>
  <c r="B59" i="18"/>
  <c r="A59" i="18"/>
  <c r="H58" i="18"/>
  <c r="G58" i="18"/>
  <c r="F58" i="18"/>
  <c r="E58" i="18"/>
  <c r="D58" i="18"/>
  <c r="C58" i="18"/>
  <c r="B58" i="18"/>
  <c r="A58" i="18"/>
  <c r="H57" i="18"/>
  <c r="G57" i="18"/>
  <c r="F57" i="18"/>
  <c r="E57" i="18"/>
  <c r="D57" i="18"/>
  <c r="C57" i="18"/>
  <c r="B57" i="18"/>
  <c r="A57" i="18"/>
  <c r="H56" i="18"/>
  <c r="G56" i="18"/>
  <c r="F56" i="18"/>
  <c r="E56" i="18"/>
  <c r="D56" i="18"/>
  <c r="C56" i="18"/>
  <c r="B56" i="18"/>
  <c r="A56" i="18"/>
  <c r="H55" i="18"/>
  <c r="G55" i="18"/>
  <c r="F55" i="18"/>
  <c r="E55" i="18"/>
  <c r="D55" i="18"/>
  <c r="C55" i="18"/>
  <c r="B55" i="18"/>
  <c r="A55" i="18"/>
  <c r="H54" i="18"/>
  <c r="G54" i="18"/>
  <c r="F54" i="18"/>
  <c r="E54" i="18"/>
  <c r="D54" i="18"/>
  <c r="C54" i="18"/>
  <c r="B54" i="18"/>
  <c r="A54" i="18"/>
  <c r="H53" i="18"/>
  <c r="G53" i="18"/>
  <c r="F53" i="18"/>
  <c r="E53" i="18"/>
  <c r="D53" i="18"/>
  <c r="C53" i="18"/>
  <c r="B53" i="18"/>
  <c r="A53" i="18"/>
  <c r="H52" i="18"/>
  <c r="G52" i="18"/>
  <c r="F52" i="18"/>
  <c r="E52" i="18"/>
  <c r="D52" i="18"/>
  <c r="C52" i="18"/>
  <c r="B52" i="18"/>
  <c r="A52" i="18"/>
  <c r="H51" i="18"/>
  <c r="G51" i="18"/>
  <c r="F51" i="18"/>
  <c r="E51" i="18"/>
  <c r="D51" i="18"/>
  <c r="C51" i="18"/>
  <c r="B51" i="18"/>
  <c r="A51" i="18"/>
  <c r="H50" i="18"/>
  <c r="G50" i="18"/>
  <c r="F50" i="18"/>
  <c r="E50" i="18"/>
  <c r="D50" i="18"/>
  <c r="C50" i="18"/>
  <c r="B50" i="18"/>
  <c r="A50" i="18"/>
  <c r="H49" i="18"/>
  <c r="G49" i="18"/>
  <c r="F49" i="18"/>
  <c r="E49" i="18"/>
  <c r="D49" i="18"/>
  <c r="C49" i="18"/>
  <c r="B49" i="18"/>
  <c r="A49" i="18"/>
  <c r="H48" i="18"/>
  <c r="G48" i="18"/>
  <c r="F48" i="18"/>
  <c r="E48" i="18"/>
  <c r="D48" i="18"/>
  <c r="C48" i="18"/>
  <c r="B48" i="18"/>
  <c r="A48" i="18"/>
  <c r="H47" i="18"/>
  <c r="G47" i="18"/>
  <c r="F47" i="18"/>
  <c r="E47" i="18"/>
  <c r="D47" i="18"/>
  <c r="C47" i="18"/>
  <c r="B47" i="18"/>
  <c r="A47" i="18"/>
  <c r="H46" i="18"/>
  <c r="G46" i="18"/>
  <c r="F46" i="18"/>
  <c r="E46" i="18"/>
  <c r="D46" i="18"/>
  <c r="C46" i="18"/>
  <c r="B46" i="18"/>
  <c r="A46" i="18"/>
  <c r="H45" i="18"/>
  <c r="G45" i="18"/>
  <c r="F45" i="18"/>
  <c r="E45" i="18"/>
  <c r="D45" i="18"/>
  <c r="C45" i="18"/>
  <c r="B45" i="18"/>
  <c r="A45" i="18"/>
  <c r="H44" i="18"/>
  <c r="G44" i="18"/>
  <c r="F44" i="18"/>
  <c r="E44" i="18"/>
  <c r="D44" i="18"/>
  <c r="C44" i="18"/>
  <c r="B44" i="18"/>
  <c r="A44" i="18"/>
  <c r="H43" i="18"/>
  <c r="G43" i="18"/>
  <c r="F43" i="18"/>
  <c r="E43" i="18"/>
  <c r="D43" i="18"/>
  <c r="C43" i="18"/>
  <c r="B43" i="18"/>
  <c r="A43" i="18"/>
  <c r="H42" i="18"/>
  <c r="G42" i="18"/>
  <c r="F42" i="18"/>
  <c r="E42" i="18"/>
  <c r="D42" i="18"/>
  <c r="C42" i="18"/>
  <c r="B42" i="18"/>
  <c r="A42" i="18"/>
  <c r="H41" i="18"/>
  <c r="G41" i="18"/>
  <c r="F41" i="18"/>
  <c r="E41" i="18"/>
  <c r="D41" i="18"/>
  <c r="C41" i="18"/>
  <c r="B41" i="18"/>
  <c r="A41" i="18"/>
  <c r="H40" i="18"/>
  <c r="G40" i="18"/>
  <c r="F40" i="18"/>
  <c r="E40" i="18"/>
  <c r="D40" i="18"/>
  <c r="C40" i="18"/>
  <c r="B40" i="18"/>
  <c r="A40" i="18"/>
  <c r="H39" i="18"/>
  <c r="G39" i="18"/>
  <c r="F39" i="18"/>
  <c r="E39" i="18"/>
  <c r="D39" i="18"/>
  <c r="C39" i="18"/>
  <c r="B39" i="18"/>
  <c r="A39" i="18"/>
  <c r="H38" i="18"/>
  <c r="G38" i="18"/>
  <c r="F38" i="18"/>
  <c r="E38" i="18"/>
  <c r="D38" i="18"/>
  <c r="C38" i="18"/>
  <c r="B38" i="18"/>
  <c r="A38" i="18"/>
  <c r="H37" i="18"/>
  <c r="G37" i="18"/>
  <c r="F37" i="18"/>
  <c r="E37" i="18"/>
  <c r="D37" i="18"/>
  <c r="C37" i="18"/>
  <c r="B37" i="18"/>
  <c r="A37" i="18"/>
  <c r="H36" i="18"/>
  <c r="G36" i="18"/>
  <c r="F36" i="18"/>
  <c r="E36" i="18"/>
  <c r="D36" i="18"/>
  <c r="C36" i="18"/>
  <c r="B36" i="18"/>
  <c r="A36" i="18"/>
  <c r="H35" i="18"/>
  <c r="G35" i="18"/>
  <c r="F35" i="18"/>
  <c r="E35" i="18"/>
  <c r="D35" i="18"/>
  <c r="C35" i="18"/>
  <c r="B35" i="18"/>
  <c r="A35" i="18"/>
  <c r="H34" i="18"/>
  <c r="G34" i="18"/>
  <c r="F34" i="18"/>
  <c r="E34" i="18"/>
  <c r="D34" i="18"/>
  <c r="C34" i="18"/>
  <c r="B34" i="18"/>
  <c r="A34" i="18"/>
  <c r="H33" i="18"/>
  <c r="G33" i="18"/>
  <c r="F33" i="18"/>
  <c r="E33" i="18"/>
  <c r="D33" i="18"/>
  <c r="C33" i="18"/>
  <c r="B33" i="18"/>
  <c r="A33" i="18"/>
  <c r="H32" i="18"/>
  <c r="G32" i="18"/>
  <c r="F32" i="18"/>
  <c r="E32" i="18"/>
  <c r="D32" i="18"/>
  <c r="C32" i="18"/>
  <c r="B32" i="18"/>
  <c r="A32" i="18"/>
  <c r="H31" i="18"/>
  <c r="G31" i="18"/>
  <c r="F31" i="18"/>
  <c r="E31" i="18"/>
  <c r="D31" i="18"/>
  <c r="C31" i="18"/>
  <c r="B31" i="18"/>
  <c r="A31" i="18"/>
  <c r="H30" i="18"/>
  <c r="G30" i="18"/>
  <c r="F30" i="18"/>
  <c r="E30" i="18"/>
  <c r="D30" i="18"/>
  <c r="C30" i="18"/>
  <c r="B30" i="18"/>
  <c r="A30" i="18"/>
  <c r="H29" i="18"/>
  <c r="G29" i="18"/>
  <c r="F29" i="18"/>
  <c r="E29" i="18"/>
  <c r="D29" i="18"/>
  <c r="C29" i="18"/>
  <c r="B29" i="18"/>
  <c r="A29" i="18"/>
  <c r="H28" i="18"/>
  <c r="G28" i="18"/>
  <c r="F28" i="18"/>
  <c r="E28" i="18"/>
  <c r="D28" i="18"/>
  <c r="C28" i="18"/>
  <c r="B28" i="18"/>
  <c r="A28" i="18"/>
  <c r="H27" i="18"/>
  <c r="G27" i="18"/>
  <c r="F27" i="18"/>
  <c r="E27" i="18"/>
  <c r="D27" i="18"/>
  <c r="C27" i="18"/>
  <c r="B27" i="18"/>
  <c r="A27" i="18"/>
  <c r="H26" i="18"/>
  <c r="G26" i="18"/>
  <c r="F26" i="18"/>
  <c r="E26" i="18"/>
  <c r="D26" i="18"/>
  <c r="C26" i="18"/>
  <c r="B26" i="18"/>
  <c r="A26" i="18"/>
  <c r="H25" i="18"/>
  <c r="G25" i="18"/>
  <c r="F25" i="18"/>
  <c r="E25" i="18"/>
  <c r="D25" i="18"/>
  <c r="C25" i="18"/>
  <c r="B25" i="18"/>
  <c r="A25" i="18"/>
  <c r="H24" i="18"/>
  <c r="G24" i="18"/>
  <c r="F24" i="18"/>
  <c r="E24" i="18"/>
  <c r="D24" i="18"/>
  <c r="C24" i="18"/>
  <c r="B24" i="18"/>
  <c r="A24" i="18"/>
  <c r="H23" i="18"/>
  <c r="G23" i="18"/>
  <c r="F23" i="18"/>
  <c r="E23" i="18"/>
  <c r="D23" i="18"/>
  <c r="C23" i="18"/>
  <c r="B23" i="18"/>
  <c r="A23" i="18"/>
  <c r="H22" i="18"/>
  <c r="G22" i="18"/>
  <c r="F22" i="18"/>
  <c r="E22" i="18"/>
  <c r="D22" i="18"/>
  <c r="C22" i="18"/>
  <c r="B22" i="18"/>
  <c r="A22" i="18"/>
  <c r="H21" i="18"/>
  <c r="G21" i="18"/>
  <c r="F21" i="18"/>
  <c r="E21" i="18"/>
  <c r="D21" i="18"/>
  <c r="C21" i="18"/>
  <c r="B21" i="18"/>
  <c r="A21" i="18"/>
  <c r="H20" i="18"/>
  <c r="G20" i="18"/>
  <c r="F20" i="18"/>
  <c r="E20" i="18"/>
  <c r="D20" i="18"/>
  <c r="C20" i="18"/>
  <c r="B20" i="18"/>
  <c r="A20" i="18"/>
  <c r="H19" i="18"/>
  <c r="G19" i="18"/>
  <c r="F19" i="18"/>
  <c r="E19" i="18"/>
  <c r="D19" i="18"/>
  <c r="C19" i="18"/>
  <c r="B19" i="18"/>
  <c r="A19" i="18"/>
  <c r="H18" i="18"/>
  <c r="G18" i="18"/>
  <c r="F18" i="18"/>
  <c r="E18" i="18"/>
  <c r="D18" i="18"/>
  <c r="C18" i="18"/>
  <c r="B18" i="18"/>
  <c r="A18" i="18"/>
  <c r="H17" i="18"/>
  <c r="G17" i="18"/>
  <c r="F17" i="18"/>
  <c r="E17" i="18"/>
  <c r="D17" i="18"/>
  <c r="C17" i="18"/>
  <c r="B17" i="18"/>
  <c r="A17" i="18"/>
  <c r="H16" i="18"/>
  <c r="G16" i="18"/>
  <c r="F16" i="18"/>
  <c r="E16" i="18"/>
  <c r="D16" i="18"/>
  <c r="C16" i="18"/>
  <c r="B16" i="18"/>
  <c r="A16" i="18"/>
  <c r="H15" i="18"/>
  <c r="G15" i="18"/>
  <c r="F15" i="18"/>
  <c r="E15" i="18"/>
  <c r="D15" i="18"/>
  <c r="C15" i="18"/>
  <c r="B15" i="18"/>
  <c r="A15" i="18"/>
  <c r="H14" i="18"/>
  <c r="G14" i="18"/>
  <c r="F14" i="18"/>
  <c r="E14" i="18"/>
  <c r="D14" i="18"/>
  <c r="C14" i="18"/>
  <c r="B14" i="18"/>
  <c r="A14" i="18"/>
  <c r="H13" i="18"/>
  <c r="G13" i="18"/>
  <c r="F13" i="18"/>
  <c r="E13" i="18"/>
  <c r="D13" i="18"/>
  <c r="C13" i="18"/>
  <c r="B13" i="18"/>
  <c r="A13" i="18"/>
  <c r="H12" i="18"/>
  <c r="G12" i="18"/>
  <c r="F12" i="18"/>
  <c r="E12" i="18"/>
  <c r="D12" i="18"/>
  <c r="C12" i="18"/>
  <c r="B12" i="18"/>
  <c r="A12" i="18"/>
  <c r="H11" i="18"/>
  <c r="G11" i="18"/>
  <c r="F11" i="18"/>
  <c r="E11" i="18"/>
  <c r="D11" i="18"/>
  <c r="C11" i="18"/>
  <c r="B11" i="18"/>
  <c r="A11" i="18"/>
  <c r="H10" i="18"/>
  <c r="G10" i="18"/>
  <c r="F10" i="18"/>
  <c r="E10" i="18"/>
  <c r="D10" i="18"/>
  <c r="C10" i="18"/>
  <c r="B10" i="18"/>
  <c r="A10" i="18"/>
  <c r="H9" i="18"/>
  <c r="G9" i="18"/>
  <c r="F9" i="18"/>
  <c r="E9" i="18"/>
  <c r="D9" i="18"/>
  <c r="C9" i="18"/>
  <c r="B9" i="18"/>
  <c r="A9" i="18"/>
  <c r="H8" i="18"/>
  <c r="G8" i="18"/>
  <c r="F8" i="18"/>
  <c r="E8" i="18"/>
  <c r="D8" i="18"/>
  <c r="C8" i="18"/>
  <c r="B8" i="18"/>
  <c r="A8" i="18"/>
  <c r="H7" i="18"/>
  <c r="G7" i="18"/>
  <c r="F7" i="18"/>
  <c r="E7" i="18"/>
  <c r="D7" i="18"/>
  <c r="C7" i="18"/>
  <c r="B7" i="18"/>
  <c r="A7" i="18"/>
  <c r="H6" i="18"/>
  <c r="G6" i="18"/>
  <c r="F6" i="18"/>
  <c r="E6" i="18"/>
  <c r="D6" i="18"/>
  <c r="C6" i="18"/>
  <c r="B6" i="18"/>
  <c r="A6" i="18"/>
  <c r="H5" i="18"/>
  <c r="G5" i="18"/>
  <c r="F5" i="18"/>
  <c r="E5" i="18"/>
  <c r="D5" i="18"/>
  <c r="C5" i="18"/>
  <c r="B5" i="18"/>
  <c r="A5" i="18"/>
  <c r="H4" i="18"/>
  <c r="G4" i="18"/>
  <c r="F4" i="18"/>
  <c r="E4" i="18"/>
  <c r="D4" i="18"/>
  <c r="C4" i="18"/>
  <c r="B4" i="18"/>
  <c r="A4" i="18"/>
  <c r="H3" i="18"/>
  <c r="G3" i="18"/>
  <c r="F3" i="18"/>
  <c r="E3" i="18"/>
  <c r="D3" i="18"/>
  <c r="C3" i="18"/>
  <c r="B3" i="18"/>
  <c r="A3" i="18"/>
  <c r="H2" i="18"/>
  <c r="G2" i="18"/>
  <c r="F2" i="18"/>
  <c r="E2" i="18"/>
  <c r="D2" i="18"/>
  <c r="C2" i="18"/>
  <c r="B2" i="18"/>
  <c r="A2" i="18"/>
  <c r="H1" i="18"/>
  <c r="G1" i="18"/>
  <c r="F1" i="18"/>
  <c r="E1" i="18"/>
  <c r="D1" i="18"/>
  <c r="C1" i="18"/>
  <c r="B1" i="18"/>
  <c r="A1" i="18"/>
  <c r="H277" i="17"/>
  <c r="G277" i="17"/>
  <c r="F277" i="17"/>
  <c r="E277" i="17"/>
  <c r="D277" i="17"/>
  <c r="C277" i="17"/>
  <c r="B277" i="17"/>
  <c r="A277" i="17"/>
  <c r="H276" i="17"/>
  <c r="G276" i="17"/>
  <c r="F276" i="17"/>
  <c r="E276" i="17"/>
  <c r="D276" i="17"/>
  <c r="C276" i="17"/>
  <c r="B276" i="17"/>
  <c r="A276" i="17"/>
  <c r="H275" i="17"/>
  <c r="G275" i="17"/>
  <c r="F275" i="17"/>
  <c r="E275" i="17"/>
  <c r="D275" i="17"/>
  <c r="C275" i="17"/>
  <c r="B275" i="17"/>
  <c r="A275" i="17"/>
  <c r="H274" i="17"/>
  <c r="G274" i="17"/>
  <c r="F274" i="17"/>
  <c r="E274" i="17"/>
  <c r="D274" i="17"/>
  <c r="C274" i="17"/>
  <c r="B274" i="17"/>
  <c r="A274" i="17"/>
  <c r="H273" i="17"/>
  <c r="G273" i="17"/>
  <c r="F273" i="17"/>
  <c r="E273" i="17"/>
  <c r="D273" i="17"/>
  <c r="C273" i="17"/>
  <c r="B273" i="17"/>
  <c r="A273" i="17"/>
  <c r="H272" i="17"/>
  <c r="G272" i="17"/>
  <c r="F272" i="17"/>
  <c r="E272" i="17"/>
  <c r="D272" i="17"/>
  <c r="C272" i="17"/>
  <c r="B272" i="17"/>
  <c r="A272" i="17"/>
  <c r="H271" i="17"/>
  <c r="G271" i="17"/>
  <c r="F271" i="17"/>
  <c r="E271" i="17"/>
  <c r="D271" i="17"/>
  <c r="C271" i="17"/>
  <c r="B271" i="17"/>
  <c r="A271" i="17"/>
  <c r="H270" i="17"/>
  <c r="G270" i="17"/>
  <c r="F270" i="17"/>
  <c r="E270" i="17"/>
  <c r="D270" i="17"/>
  <c r="C270" i="17"/>
  <c r="B270" i="17"/>
  <c r="A270" i="17"/>
  <c r="H269" i="17"/>
  <c r="G269" i="17"/>
  <c r="F269" i="17"/>
  <c r="E269" i="17"/>
  <c r="D269" i="17"/>
  <c r="C269" i="17"/>
  <c r="B269" i="17"/>
  <c r="A269" i="17"/>
  <c r="H268" i="17"/>
  <c r="G268" i="17"/>
  <c r="F268" i="17"/>
  <c r="E268" i="17"/>
  <c r="D268" i="17"/>
  <c r="C268" i="17"/>
  <c r="B268" i="17"/>
  <c r="A268" i="17"/>
  <c r="H267" i="17"/>
  <c r="G267" i="17"/>
  <c r="F267" i="17"/>
  <c r="E267" i="17"/>
  <c r="D267" i="17"/>
  <c r="C267" i="17"/>
  <c r="B267" i="17"/>
  <c r="A267" i="17"/>
  <c r="H266" i="17"/>
  <c r="G266" i="17"/>
  <c r="F266" i="17"/>
  <c r="E266" i="17"/>
  <c r="D266" i="17"/>
  <c r="C266" i="17"/>
  <c r="B266" i="17"/>
  <c r="A266" i="17"/>
  <c r="H265" i="17"/>
  <c r="G265" i="17"/>
  <c r="F265" i="17"/>
  <c r="E265" i="17"/>
  <c r="D265" i="17"/>
  <c r="C265" i="17"/>
  <c r="B265" i="17"/>
  <c r="A265" i="17"/>
  <c r="H264" i="17"/>
  <c r="G264" i="17"/>
  <c r="F264" i="17"/>
  <c r="E264" i="17"/>
  <c r="D264" i="17"/>
  <c r="C264" i="17"/>
  <c r="B264" i="17"/>
  <c r="A264" i="17"/>
  <c r="H263" i="17"/>
  <c r="G263" i="17"/>
  <c r="F263" i="17"/>
  <c r="E263" i="17"/>
  <c r="D263" i="17"/>
  <c r="C263" i="17"/>
  <c r="B263" i="17"/>
  <c r="A263" i="17"/>
  <c r="H262" i="17"/>
  <c r="G262" i="17"/>
  <c r="F262" i="17"/>
  <c r="E262" i="17"/>
  <c r="D262" i="17"/>
  <c r="C262" i="17"/>
  <c r="B262" i="17"/>
  <c r="A262" i="17"/>
  <c r="H261" i="17"/>
  <c r="G261" i="17"/>
  <c r="F261" i="17"/>
  <c r="E261" i="17"/>
  <c r="D261" i="17"/>
  <c r="C261" i="17"/>
  <c r="B261" i="17"/>
  <c r="A261" i="17"/>
  <c r="H260" i="17"/>
  <c r="G260" i="17"/>
  <c r="F260" i="17"/>
  <c r="E260" i="17"/>
  <c r="D260" i="17"/>
  <c r="C260" i="17"/>
  <c r="B260" i="17"/>
  <c r="A260" i="17"/>
  <c r="H259" i="17"/>
  <c r="G259" i="17"/>
  <c r="F259" i="17"/>
  <c r="E259" i="17"/>
  <c r="D259" i="17"/>
  <c r="C259" i="17"/>
  <c r="B259" i="17"/>
  <c r="A259" i="17"/>
  <c r="H258" i="17"/>
  <c r="G258" i="17"/>
  <c r="F258" i="17"/>
  <c r="E258" i="17"/>
  <c r="D258" i="17"/>
  <c r="C258" i="17"/>
  <c r="B258" i="17"/>
  <c r="A258" i="17"/>
  <c r="H257" i="17"/>
  <c r="G257" i="17"/>
  <c r="F257" i="17"/>
  <c r="E257" i="17"/>
  <c r="D257" i="17"/>
  <c r="C257" i="17"/>
  <c r="B257" i="17"/>
  <c r="A257" i="17"/>
  <c r="H256" i="17"/>
  <c r="G256" i="17"/>
  <c r="F256" i="17"/>
  <c r="E256" i="17"/>
  <c r="D256" i="17"/>
  <c r="C256" i="17"/>
  <c r="B256" i="17"/>
  <c r="A256" i="17"/>
  <c r="H255" i="17"/>
  <c r="G255" i="17"/>
  <c r="F255" i="17"/>
  <c r="E255" i="17"/>
  <c r="D255" i="17"/>
  <c r="C255" i="17"/>
  <c r="B255" i="17"/>
  <c r="A255" i="17"/>
  <c r="H254" i="17"/>
  <c r="G254" i="17"/>
  <c r="F254" i="17"/>
  <c r="E254" i="17"/>
  <c r="D254" i="17"/>
  <c r="C254" i="17"/>
  <c r="B254" i="17"/>
  <c r="A254" i="17"/>
  <c r="H253" i="17"/>
  <c r="G253" i="17"/>
  <c r="F253" i="17"/>
  <c r="E253" i="17"/>
  <c r="D253" i="17"/>
  <c r="C253" i="17"/>
  <c r="B253" i="17"/>
  <c r="A253" i="17"/>
  <c r="H252" i="17"/>
  <c r="G252" i="17"/>
  <c r="F252" i="17"/>
  <c r="E252" i="17"/>
  <c r="D252" i="17"/>
  <c r="C252" i="17"/>
  <c r="B252" i="17"/>
  <c r="A252" i="17"/>
  <c r="H251" i="17"/>
  <c r="G251" i="17"/>
  <c r="F251" i="17"/>
  <c r="E251" i="17"/>
  <c r="D251" i="17"/>
  <c r="C251" i="17"/>
  <c r="B251" i="17"/>
  <c r="A251" i="17"/>
  <c r="H250" i="17"/>
  <c r="G250" i="17"/>
  <c r="F250" i="17"/>
  <c r="E250" i="17"/>
  <c r="D250" i="17"/>
  <c r="C250" i="17"/>
  <c r="B250" i="17"/>
  <c r="A250" i="17"/>
  <c r="H249" i="17"/>
  <c r="G249" i="17"/>
  <c r="F249" i="17"/>
  <c r="E249" i="17"/>
  <c r="D249" i="17"/>
  <c r="C249" i="17"/>
  <c r="B249" i="17"/>
  <c r="A249" i="17"/>
  <c r="H248" i="17"/>
  <c r="G248" i="17"/>
  <c r="F248" i="17"/>
  <c r="E248" i="17"/>
  <c r="D248" i="17"/>
  <c r="C248" i="17"/>
  <c r="B248" i="17"/>
  <c r="A248" i="17"/>
  <c r="H247" i="17"/>
  <c r="G247" i="17"/>
  <c r="F247" i="17"/>
  <c r="E247" i="17"/>
  <c r="D247" i="17"/>
  <c r="C247" i="17"/>
  <c r="B247" i="17"/>
  <c r="A247" i="17"/>
  <c r="H246" i="17"/>
  <c r="G246" i="17"/>
  <c r="F246" i="17"/>
  <c r="E246" i="17"/>
  <c r="D246" i="17"/>
  <c r="C246" i="17"/>
  <c r="B246" i="17"/>
  <c r="A246" i="17"/>
  <c r="H245" i="17"/>
  <c r="G245" i="17"/>
  <c r="F245" i="17"/>
  <c r="E245" i="17"/>
  <c r="D245" i="17"/>
  <c r="C245" i="17"/>
  <c r="B245" i="17"/>
  <c r="A245" i="17"/>
  <c r="H244" i="17"/>
  <c r="G244" i="17"/>
  <c r="F244" i="17"/>
  <c r="E244" i="17"/>
  <c r="D244" i="17"/>
  <c r="C244" i="17"/>
  <c r="B244" i="17"/>
  <c r="A244" i="17"/>
  <c r="H243" i="17"/>
  <c r="G243" i="17"/>
  <c r="F243" i="17"/>
  <c r="E243" i="17"/>
  <c r="D243" i="17"/>
  <c r="C243" i="17"/>
  <c r="B243" i="17"/>
  <c r="A243" i="17"/>
  <c r="H242" i="17"/>
  <c r="G242" i="17"/>
  <c r="F242" i="17"/>
  <c r="E242" i="17"/>
  <c r="D242" i="17"/>
  <c r="C242" i="17"/>
  <c r="B242" i="17"/>
  <c r="A242" i="17"/>
  <c r="H241" i="17"/>
  <c r="G241" i="17"/>
  <c r="F241" i="17"/>
  <c r="E241" i="17"/>
  <c r="D241" i="17"/>
  <c r="C241" i="17"/>
  <c r="B241" i="17"/>
  <c r="A241" i="17"/>
  <c r="H240" i="17"/>
  <c r="G240" i="17"/>
  <c r="F240" i="17"/>
  <c r="E240" i="17"/>
  <c r="D240" i="17"/>
  <c r="C240" i="17"/>
  <c r="B240" i="17"/>
  <c r="A240" i="17"/>
  <c r="H239" i="17"/>
  <c r="G239" i="17"/>
  <c r="F239" i="17"/>
  <c r="E239" i="17"/>
  <c r="D239" i="17"/>
  <c r="C239" i="17"/>
  <c r="B239" i="17"/>
  <c r="A239" i="17"/>
  <c r="H238" i="17"/>
  <c r="G238" i="17"/>
  <c r="F238" i="17"/>
  <c r="E238" i="17"/>
  <c r="D238" i="17"/>
  <c r="C238" i="17"/>
  <c r="B238" i="17"/>
  <c r="A238" i="17"/>
  <c r="H237" i="17"/>
  <c r="G237" i="17"/>
  <c r="F237" i="17"/>
  <c r="E237" i="17"/>
  <c r="D237" i="17"/>
  <c r="C237" i="17"/>
  <c r="B237" i="17"/>
  <c r="A237" i="17"/>
  <c r="H236" i="17"/>
  <c r="G236" i="17"/>
  <c r="F236" i="17"/>
  <c r="E236" i="17"/>
  <c r="D236" i="17"/>
  <c r="C236" i="17"/>
  <c r="B236" i="17"/>
  <c r="A236" i="17"/>
  <c r="H235" i="17"/>
  <c r="G235" i="17"/>
  <c r="F235" i="17"/>
  <c r="E235" i="17"/>
  <c r="D235" i="17"/>
  <c r="C235" i="17"/>
  <c r="B235" i="17"/>
  <c r="A235" i="17"/>
  <c r="H234" i="17"/>
  <c r="G234" i="17"/>
  <c r="F234" i="17"/>
  <c r="E234" i="17"/>
  <c r="D234" i="17"/>
  <c r="C234" i="17"/>
  <c r="B234" i="17"/>
  <c r="A234" i="17"/>
  <c r="H233" i="17"/>
  <c r="G233" i="17"/>
  <c r="F233" i="17"/>
  <c r="E233" i="17"/>
  <c r="D233" i="17"/>
  <c r="C233" i="17"/>
  <c r="B233" i="17"/>
  <c r="A233" i="17"/>
  <c r="H232" i="17"/>
  <c r="G232" i="17"/>
  <c r="F232" i="17"/>
  <c r="E232" i="17"/>
  <c r="D232" i="17"/>
  <c r="C232" i="17"/>
  <c r="B232" i="17"/>
  <c r="A232" i="17"/>
  <c r="H231" i="17"/>
  <c r="G231" i="17"/>
  <c r="F231" i="17"/>
  <c r="E231" i="17"/>
  <c r="D231" i="17"/>
  <c r="C231" i="17"/>
  <c r="B231" i="17"/>
  <c r="A231" i="17"/>
  <c r="H230" i="17"/>
  <c r="G230" i="17"/>
  <c r="F230" i="17"/>
  <c r="E230" i="17"/>
  <c r="D230" i="17"/>
  <c r="C230" i="17"/>
  <c r="B230" i="17"/>
  <c r="A230" i="17"/>
  <c r="H229" i="17"/>
  <c r="G229" i="17"/>
  <c r="F229" i="17"/>
  <c r="E229" i="17"/>
  <c r="D229" i="17"/>
  <c r="C229" i="17"/>
  <c r="B229" i="17"/>
  <c r="A229" i="17"/>
  <c r="H228" i="17"/>
  <c r="G228" i="17"/>
  <c r="F228" i="17"/>
  <c r="E228" i="17"/>
  <c r="D228" i="17"/>
  <c r="C228" i="17"/>
  <c r="B228" i="17"/>
  <c r="A228" i="17"/>
  <c r="H227" i="17"/>
  <c r="G227" i="17"/>
  <c r="F227" i="17"/>
  <c r="E227" i="17"/>
  <c r="D227" i="17"/>
  <c r="C227" i="17"/>
  <c r="B227" i="17"/>
  <c r="A227" i="17"/>
  <c r="H226" i="17"/>
  <c r="G226" i="17"/>
  <c r="F226" i="17"/>
  <c r="E226" i="17"/>
  <c r="D226" i="17"/>
  <c r="C226" i="17"/>
  <c r="B226" i="17"/>
  <c r="A226" i="17"/>
  <c r="H225" i="17"/>
  <c r="G225" i="17"/>
  <c r="F225" i="17"/>
  <c r="E225" i="17"/>
  <c r="D225" i="17"/>
  <c r="C225" i="17"/>
  <c r="B225" i="17"/>
  <c r="A225" i="17"/>
  <c r="H224" i="17"/>
  <c r="G224" i="17"/>
  <c r="F224" i="17"/>
  <c r="E224" i="17"/>
  <c r="D224" i="17"/>
  <c r="C224" i="17"/>
  <c r="B224" i="17"/>
  <c r="A224" i="17"/>
  <c r="H223" i="17"/>
  <c r="G223" i="17"/>
  <c r="F223" i="17"/>
  <c r="E223" i="17"/>
  <c r="D223" i="17"/>
  <c r="C223" i="17"/>
  <c r="B223" i="17"/>
  <c r="A223" i="17"/>
  <c r="H222" i="17"/>
  <c r="G222" i="17"/>
  <c r="F222" i="17"/>
  <c r="E222" i="17"/>
  <c r="D222" i="17"/>
  <c r="C222" i="17"/>
  <c r="B222" i="17"/>
  <c r="A222" i="17"/>
  <c r="H221" i="17"/>
  <c r="G221" i="17"/>
  <c r="F221" i="17"/>
  <c r="E221" i="17"/>
  <c r="D221" i="17"/>
  <c r="C221" i="17"/>
  <c r="B221" i="17"/>
  <c r="A221" i="17"/>
  <c r="H220" i="17"/>
  <c r="G220" i="17"/>
  <c r="F220" i="17"/>
  <c r="E220" i="17"/>
  <c r="D220" i="17"/>
  <c r="C220" i="17"/>
  <c r="B220" i="17"/>
  <c r="A220" i="17"/>
  <c r="H219" i="17"/>
  <c r="G219" i="17"/>
  <c r="F219" i="17"/>
  <c r="E219" i="17"/>
  <c r="D219" i="17"/>
  <c r="C219" i="17"/>
  <c r="B219" i="17"/>
  <c r="A219" i="17"/>
  <c r="H218" i="17"/>
  <c r="G218" i="17"/>
  <c r="F218" i="17"/>
  <c r="E218" i="17"/>
  <c r="D218" i="17"/>
  <c r="C218" i="17"/>
  <c r="B218" i="17"/>
  <c r="A218" i="17"/>
  <c r="H217" i="17"/>
  <c r="G217" i="17"/>
  <c r="F217" i="17"/>
  <c r="E217" i="17"/>
  <c r="D217" i="17"/>
  <c r="C217" i="17"/>
  <c r="B217" i="17"/>
  <c r="A217" i="17"/>
  <c r="H216" i="17"/>
  <c r="G216" i="17"/>
  <c r="F216" i="17"/>
  <c r="E216" i="17"/>
  <c r="D216" i="17"/>
  <c r="C216" i="17"/>
  <c r="B216" i="17"/>
  <c r="A216" i="17"/>
  <c r="H215" i="17"/>
  <c r="G215" i="17"/>
  <c r="F215" i="17"/>
  <c r="E215" i="17"/>
  <c r="D215" i="17"/>
  <c r="C215" i="17"/>
  <c r="B215" i="17"/>
  <c r="A215" i="17"/>
  <c r="H214" i="17"/>
  <c r="G214" i="17"/>
  <c r="F214" i="17"/>
  <c r="E214" i="17"/>
  <c r="D214" i="17"/>
  <c r="C214" i="17"/>
  <c r="B214" i="17"/>
  <c r="A214" i="17"/>
  <c r="H213" i="17"/>
  <c r="G213" i="17"/>
  <c r="F213" i="17"/>
  <c r="E213" i="17"/>
  <c r="D213" i="17"/>
  <c r="C213" i="17"/>
  <c r="B213" i="17"/>
  <c r="A213" i="17"/>
  <c r="H212" i="17"/>
  <c r="G212" i="17"/>
  <c r="F212" i="17"/>
  <c r="E212" i="17"/>
  <c r="D212" i="17"/>
  <c r="C212" i="17"/>
  <c r="B212" i="17"/>
  <c r="A212" i="17"/>
  <c r="H211" i="17"/>
  <c r="G211" i="17"/>
  <c r="F211" i="17"/>
  <c r="E211" i="17"/>
  <c r="D211" i="17"/>
  <c r="C211" i="17"/>
  <c r="B211" i="17"/>
  <c r="A211" i="17"/>
  <c r="H210" i="17"/>
  <c r="G210" i="17"/>
  <c r="F210" i="17"/>
  <c r="E210" i="17"/>
  <c r="D210" i="17"/>
  <c r="C210" i="17"/>
  <c r="B210" i="17"/>
  <c r="A210" i="17"/>
  <c r="H209" i="17"/>
  <c r="G209" i="17"/>
  <c r="F209" i="17"/>
  <c r="E209" i="17"/>
  <c r="D209" i="17"/>
  <c r="C209" i="17"/>
  <c r="B209" i="17"/>
  <c r="A209" i="17"/>
  <c r="H208" i="17"/>
  <c r="G208" i="17"/>
  <c r="F208" i="17"/>
  <c r="E208" i="17"/>
  <c r="D208" i="17"/>
  <c r="C208" i="17"/>
  <c r="B208" i="17"/>
  <c r="A208" i="17"/>
  <c r="H207" i="17"/>
  <c r="G207" i="17"/>
  <c r="F207" i="17"/>
  <c r="E207" i="17"/>
  <c r="D207" i="17"/>
  <c r="C207" i="17"/>
  <c r="B207" i="17"/>
  <c r="A207" i="17"/>
  <c r="H206" i="17"/>
  <c r="G206" i="17"/>
  <c r="F206" i="17"/>
  <c r="E206" i="17"/>
  <c r="D206" i="17"/>
  <c r="C206" i="17"/>
  <c r="B206" i="17"/>
  <c r="A206" i="17"/>
  <c r="H205" i="17"/>
  <c r="G205" i="17"/>
  <c r="F205" i="17"/>
  <c r="E205" i="17"/>
  <c r="D205" i="17"/>
  <c r="C205" i="17"/>
  <c r="B205" i="17"/>
  <c r="A205" i="17"/>
  <c r="H204" i="17"/>
  <c r="G204" i="17"/>
  <c r="F204" i="17"/>
  <c r="E204" i="17"/>
  <c r="D204" i="17"/>
  <c r="C204" i="17"/>
  <c r="B204" i="17"/>
  <c r="A204" i="17"/>
  <c r="H203" i="17"/>
  <c r="G203" i="17"/>
  <c r="F203" i="17"/>
  <c r="E203" i="17"/>
  <c r="D203" i="17"/>
  <c r="C203" i="17"/>
  <c r="B203" i="17"/>
  <c r="A203" i="17"/>
  <c r="H202" i="17"/>
  <c r="G202" i="17"/>
  <c r="F202" i="17"/>
  <c r="E202" i="17"/>
  <c r="D202" i="17"/>
  <c r="C202" i="17"/>
  <c r="B202" i="17"/>
  <c r="A202" i="17"/>
  <c r="H201" i="17"/>
  <c r="G201" i="17"/>
  <c r="F201" i="17"/>
  <c r="E201" i="17"/>
  <c r="D201" i="17"/>
  <c r="C201" i="17"/>
  <c r="B201" i="17"/>
  <c r="A201" i="17"/>
  <c r="H200" i="17"/>
  <c r="G200" i="17"/>
  <c r="F200" i="17"/>
  <c r="E200" i="17"/>
  <c r="D200" i="17"/>
  <c r="C200" i="17"/>
  <c r="B200" i="17"/>
  <c r="A200" i="17"/>
  <c r="H199" i="17"/>
  <c r="G199" i="17"/>
  <c r="F199" i="17"/>
  <c r="E199" i="17"/>
  <c r="D199" i="17"/>
  <c r="C199" i="17"/>
  <c r="B199" i="17"/>
  <c r="A199" i="17"/>
  <c r="H198" i="17"/>
  <c r="G198" i="17"/>
  <c r="F198" i="17"/>
  <c r="E198" i="17"/>
  <c r="D198" i="17"/>
  <c r="C198" i="17"/>
  <c r="B198" i="17"/>
  <c r="A198" i="17"/>
  <c r="H197" i="17"/>
  <c r="G197" i="17"/>
  <c r="F197" i="17"/>
  <c r="E197" i="17"/>
  <c r="D197" i="17"/>
  <c r="C197" i="17"/>
  <c r="B197" i="17"/>
  <c r="A197" i="17"/>
  <c r="H196" i="17"/>
  <c r="G196" i="17"/>
  <c r="F196" i="17"/>
  <c r="E196" i="17"/>
  <c r="D196" i="17"/>
  <c r="C196" i="17"/>
  <c r="B196" i="17"/>
  <c r="A196" i="17"/>
  <c r="H195" i="17"/>
  <c r="G195" i="17"/>
  <c r="F195" i="17"/>
  <c r="E195" i="17"/>
  <c r="D195" i="17"/>
  <c r="C195" i="17"/>
  <c r="B195" i="17"/>
  <c r="A195" i="17"/>
  <c r="H194" i="17"/>
  <c r="G194" i="17"/>
  <c r="F194" i="17"/>
  <c r="E194" i="17"/>
  <c r="D194" i="17"/>
  <c r="C194" i="17"/>
  <c r="B194" i="17"/>
  <c r="A194" i="17"/>
  <c r="H193" i="17"/>
  <c r="G193" i="17"/>
  <c r="F193" i="17"/>
  <c r="E193" i="17"/>
  <c r="D193" i="17"/>
  <c r="C193" i="17"/>
  <c r="B193" i="17"/>
  <c r="A193" i="17"/>
  <c r="H192" i="17"/>
  <c r="G192" i="17"/>
  <c r="F192" i="17"/>
  <c r="E192" i="17"/>
  <c r="D192" i="17"/>
  <c r="C192" i="17"/>
  <c r="B192" i="17"/>
  <c r="A192" i="17"/>
  <c r="H191" i="17"/>
  <c r="G191" i="17"/>
  <c r="F191" i="17"/>
  <c r="E191" i="17"/>
  <c r="D191" i="17"/>
  <c r="C191" i="17"/>
  <c r="B191" i="17"/>
  <c r="A191" i="17"/>
  <c r="H190" i="17"/>
  <c r="G190" i="17"/>
  <c r="F190" i="17"/>
  <c r="E190" i="17"/>
  <c r="D190" i="17"/>
  <c r="C190" i="17"/>
  <c r="B190" i="17"/>
  <c r="A190" i="17"/>
  <c r="H189" i="17"/>
  <c r="G189" i="17"/>
  <c r="F189" i="17"/>
  <c r="E189" i="17"/>
  <c r="D189" i="17"/>
  <c r="C189" i="17"/>
  <c r="B189" i="17"/>
  <c r="A189" i="17"/>
  <c r="H188" i="17"/>
  <c r="G188" i="17"/>
  <c r="F188" i="17"/>
  <c r="E188" i="17"/>
  <c r="D188" i="17"/>
  <c r="C188" i="17"/>
  <c r="B188" i="17"/>
  <c r="A188" i="17"/>
  <c r="H187" i="17"/>
  <c r="G187" i="17"/>
  <c r="F187" i="17"/>
  <c r="E187" i="17"/>
  <c r="D187" i="17"/>
  <c r="C187" i="17"/>
  <c r="B187" i="17"/>
  <c r="A187" i="17"/>
  <c r="H186" i="17"/>
  <c r="G186" i="17"/>
  <c r="F186" i="17"/>
  <c r="E186" i="17"/>
  <c r="D186" i="17"/>
  <c r="C186" i="17"/>
  <c r="B186" i="17"/>
  <c r="A186" i="17"/>
  <c r="H185" i="17"/>
  <c r="G185" i="17"/>
  <c r="F185" i="17"/>
  <c r="E185" i="17"/>
  <c r="D185" i="17"/>
  <c r="C185" i="17"/>
  <c r="B185" i="17"/>
  <c r="A185" i="17"/>
  <c r="H184" i="17"/>
  <c r="G184" i="17"/>
  <c r="F184" i="17"/>
  <c r="E184" i="17"/>
  <c r="D184" i="17"/>
  <c r="C184" i="17"/>
  <c r="B184" i="17"/>
  <c r="A184" i="17"/>
  <c r="H183" i="17"/>
  <c r="G183" i="17"/>
  <c r="F183" i="17"/>
  <c r="E183" i="17"/>
  <c r="D183" i="17"/>
  <c r="C183" i="17"/>
  <c r="B183" i="17"/>
  <c r="A183" i="17"/>
  <c r="H182" i="17"/>
  <c r="G182" i="17"/>
  <c r="F182" i="17"/>
  <c r="E182" i="17"/>
  <c r="D182" i="17"/>
  <c r="C182" i="17"/>
  <c r="B182" i="17"/>
  <c r="A182" i="17"/>
  <c r="H181" i="17"/>
  <c r="G181" i="17"/>
  <c r="F181" i="17"/>
  <c r="E181" i="17"/>
  <c r="D181" i="17"/>
  <c r="C181" i="17"/>
  <c r="B181" i="17"/>
  <c r="A181" i="17"/>
  <c r="H180" i="17"/>
  <c r="G180" i="17"/>
  <c r="F180" i="17"/>
  <c r="E180" i="17"/>
  <c r="D180" i="17"/>
  <c r="C180" i="17"/>
  <c r="B180" i="17"/>
  <c r="A180" i="17"/>
  <c r="H179" i="17"/>
  <c r="G179" i="17"/>
  <c r="F179" i="17"/>
  <c r="E179" i="17"/>
  <c r="D179" i="17"/>
  <c r="C179" i="17"/>
  <c r="B179" i="17"/>
  <c r="A179" i="17"/>
  <c r="H178" i="17"/>
  <c r="G178" i="17"/>
  <c r="F178" i="17"/>
  <c r="E178" i="17"/>
  <c r="D178" i="17"/>
  <c r="C178" i="17"/>
  <c r="B178" i="17"/>
  <c r="A178" i="17"/>
  <c r="H177" i="17"/>
  <c r="G177" i="17"/>
  <c r="F177" i="17"/>
  <c r="E177" i="17"/>
  <c r="D177" i="17"/>
  <c r="C177" i="17"/>
  <c r="B177" i="17"/>
  <c r="A177" i="17"/>
  <c r="H176" i="17"/>
  <c r="G176" i="17"/>
  <c r="F176" i="17"/>
  <c r="E176" i="17"/>
  <c r="D176" i="17"/>
  <c r="C176" i="17"/>
  <c r="B176" i="17"/>
  <c r="A176" i="17"/>
  <c r="H175" i="17"/>
  <c r="G175" i="17"/>
  <c r="F175" i="17"/>
  <c r="E175" i="17"/>
  <c r="D175" i="17"/>
  <c r="C175" i="17"/>
  <c r="B175" i="17"/>
  <c r="A175" i="17"/>
  <c r="H174" i="17"/>
  <c r="G174" i="17"/>
  <c r="F174" i="17"/>
  <c r="E174" i="17"/>
  <c r="D174" i="17"/>
  <c r="C174" i="17"/>
  <c r="B174" i="17"/>
  <c r="A174" i="17"/>
  <c r="H173" i="17"/>
  <c r="G173" i="17"/>
  <c r="F173" i="17"/>
  <c r="E173" i="17"/>
  <c r="D173" i="17"/>
  <c r="C173" i="17"/>
  <c r="B173" i="17"/>
  <c r="A173" i="17"/>
  <c r="H172" i="17"/>
  <c r="G172" i="17"/>
  <c r="F172" i="17"/>
  <c r="E172" i="17"/>
  <c r="D172" i="17"/>
  <c r="C172" i="17"/>
  <c r="B172" i="17"/>
  <c r="A172" i="17"/>
  <c r="H171" i="17"/>
  <c r="G171" i="17"/>
  <c r="F171" i="17"/>
  <c r="E171" i="17"/>
  <c r="D171" i="17"/>
  <c r="C171" i="17"/>
  <c r="B171" i="17"/>
  <c r="A171" i="17"/>
  <c r="H170" i="17"/>
  <c r="G170" i="17"/>
  <c r="F170" i="17"/>
  <c r="E170" i="17"/>
  <c r="D170" i="17"/>
  <c r="C170" i="17"/>
  <c r="B170" i="17"/>
  <c r="A170" i="17"/>
  <c r="H169" i="17"/>
  <c r="G169" i="17"/>
  <c r="F169" i="17"/>
  <c r="E169" i="17"/>
  <c r="D169" i="17"/>
  <c r="C169" i="17"/>
  <c r="B169" i="17"/>
  <c r="A169" i="17"/>
  <c r="H168" i="17"/>
  <c r="G168" i="17"/>
  <c r="F168" i="17"/>
  <c r="E168" i="17"/>
  <c r="D168" i="17"/>
  <c r="C168" i="17"/>
  <c r="B168" i="17"/>
  <c r="A168" i="17"/>
  <c r="H167" i="17"/>
  <c r="G167" i="17"/>
  <c r="F167" i="17"/>
  <c r="E167" i="17"/>
  <c r="D167" i="17"/>
  <c r="C167" i="17"/>
  <c r="B167" i="17"/>
  <c r="A167" i="17"/>
  <c r="H166" i="17"/>
  <c r="G166" i="17"/>
  <c r="F166" i="17"/>
  <c r="E166" i="17"/>
  <c r="D166" i="17"/>
  <c r="C166" i="17"/>
  <c r="B166" i="17"/>
  <c r="A166" i="17"/>
  <c r="H165" i="17"/>
  <c r="G165" i="17"/>
  <c r="F165" i="17"/>
  <c r="E165" i="17"/>
  <c r="D165" i="17"/>
  <c r="C165" i="17"/>
  <c r="B165" i="17"/>
  <c r="A165" i="17"/>
  <c r="H164" i="17"/>
  <c r="G164" i="17"/>
  <c r="F164" i="17"/>
  <c r="E164" i="17"/>
  <c r="D164" i="17"/>
  <c r="C164" i="17"/>
  <c r="B164" i="17"/>
  <c r="A164" i="17"/>
  <c r="H163" i="17"/>
  <c r="G163" i="17"/>
  <c r="F163" i="17"/>
  <c r="E163" i="17"/>
  <c r="D163" i="17"/>
  <c r="C163" i="17"/>
  <c r="B163" i="17"/>
  <c r="A163" i="17"/>
  <c r="H162" i="17"/>
  <c r="G162" i="17"/>
  <c r="F162" i="17"/>
  <c r="E162" i="17"/>
  <c r="D162" i="17"/>
  <c r="C162" i="17"/>
  <c r="B162" i="17"/>
  <c r="A162" i="17"/>
  <c r="H161" i="17"/>
  <c r="G161" i="17"/>
  <c r="F161" i="17"/>
  <c r="E161" i="17"/>
  <c r="D161" i="17"/>
  <c r="C161" i="17"/>
  <c r="B161" i="17"/>
  <c r="A161" i="17"/>
  <c r="H160" i="17"/>
  <c r="G160" i="17"/>
  <c r="F160" i="17"/>
  <c r="E160" i="17"/>
  <c r="D160" i="17"/>
  <c r="C160" i="17"/>
  <c r="B160" i="17"/>
  <c r="A160" i="17"/>
  <c r="H159" i="17"/>
  <c r="G159" i="17"/>
  <c r="F159" i="17"/>
  <c r="E159" i="17"/>
  <c r="D159" i="17"/>
  <c r="C159" i="17"/>
  <c r="B159" i="17"/>
  <c r="A159" i="17"/>
  <c r="H158" i="17"/>
  <c r="G158" i="17"/>
  <c r="F158" i="17"/>
  <c r="E158" i="17"/>
  <c r="D158" i="17"/>
  <c r="C158" i="17"/>
  <c r="B158" i="17"/>
  <c r="A158" i="17"/>
  <c r="H157" i="17"/>
  <c r="G157" i="17"/>
  <c r="F157" i="17"/>
  <c r="E157" i="17"/>
  <c r="D157" i="17"/>
  <c r="C157" i="17"/>
  <c r="B157" i="17"/>
  <c r="A157" i="17"/>
  <c r="H156" i="17"/>
  <c r="G156" i="17"/>
  <c r="F156" i="17"/>
  <c r="E156" i="17"/>
  <c r="D156" i="17"/>
  <c r="C156" i="17"/>
  <c r="B156" i="17"/>
  <c r="A156" i="17"/>
  <c r="H155" i="17"/>
  <c r="G155" i="17"/>
  <c r="F155" i="17"/>
  <c r="E155" i="17"/>
  <c r="D155" i="17"/>
  <c r="C155" i="17"/>
  <c r="B155" i="17"/>
  <c r="A155" i="17"/>
  <c r="H154" i="17"/>
  <c r="G154" i="17"/>
  <c r="F154" i="17"/>
  <c r="E154" i="17"/>
  <c r="D154" i="17"/>
  <c r="C154" i="17"/>
  <c r="B154" i="17"/>
  <c r="A154" i="17"/>
  <c r="H153" i="17"/>
  <c r="G153" i="17"/>
  <c r="F153" i="17"/>
  <c r="E153" i="17"/>
  <c r="D153" i="17"/>
  <c r="C153" i="17"/>
  <c r="B153" i="17"/>
  <c r="A153" i="17"/>
  <c r="H152" i="17"/>
  <c r="G152" i="17"/>
  <c r="F152" i="17"/>
  <c r="E152" i="17"/>
  <c r="D152" i="17"/>
  <c r="C152" i="17"/>
  <c r="B152" i="17"/>
  <c r="A152" i="17"/>
  <c r="H151" i="17"/>
  <c r="G151" i="17"/>
  <c r="F151" i="17"/>
  <c r="E151" i="17"/>
  <c r="D151" i="17"/>
  <c r="C151" i="17"/>
  <c r="B151" i="17"/>
  <c r="A151" i="17"/>
  <c r="H150" i="17"/>
  <c r="G150" i="17"/>
  <c r="F150" i="17"/>
  <c r="E150" i="17"/>
  <c r="D150" i="17"/>
  <c r="C150" i="17"/>
  <c r="B150" i="17"/>
  <c r="A150" i="17"/>
  <c r="H149" i="17"/>
  <c r="G149" i="17"/>
  <c r="F149" i="17"/>
  <c r="E149" i="17"/>
  <c r="D149" i="17"/>
  <c r="C149" i="17"/>
  <c r="B149" i="17"/>
  <c r="A149" i="17"/>
  <c r="H148" i="17"/>
  <c r="G148" i="17"/>
  <c r="F148" i="17"/>
  <c r="E148" i="17"/>
  <c r="D148" i="17"/>
  <c r="C148" i="17"/>
  <c r="B148" i="17"/>
  <c r="A148" i="17"/>
  <c r="H147" i="17"/>
  <c r="G147" i="17"/>
  <c r="F147" i="17"/>
  <c r="E147" i="17"/>
  <c r="D147" i="17"/>
  <c r="C147" i="17"/>
  <c r="B147" i="17"/>
  <c r="A147" i="17"/>
  <c r="H146" i="17"/>
  <c r="G146" i="17"/>
  <c r="F146" i="17"/>
  <c r="E146" i="17"/>
  <c r="D146" i="17"/>
  <c r="C146" i="17"/>
  <c r="B146" i="17"/>
  <c r="A146" i="17"/>
  <c r="H145" i="17"/>
  <c r="G145" i="17"/>
  <c r="F145" i="17"/>
  <c r="E145" i="17"/>
  <c r="D145" i="17"/>
  <c r="C145" i="17"/>
  <c r="B145" i="17"/>
  <c r="A145" i="17"/>
  <c r="H144" i="17"/>
  <c r="G144" i="17"/>
  <c r="F144" i="17"/>
  <c r="E144" i="17"/>
  <c r="D144" i="17"/>
  <c r="C144" i="17"/>
  <c r="B144" i="17"/>
  <c r="A144" i="17"/>
  <c r="H143" i="17"/>
  <c r="G143" i="17"/>
  <c r="F143" i="17"/>
  <c r="E143" i="17"/>
  <c r="D143" i="17"/>
  <c r="C143" i="17"/>
  <c r="B143" i="17"/>
  <c r="A143" i="17"/>
  <c r="H142" i="17"/>
  <c r="G142" i="17"/>
  <c r="F142" i="17"/>
  <c r="E142" i="17"/>
  <c r="D142" i="17"/>
  <c r="C142" i="17"/>
  <c r="B142" i="17"/>
  <c r="A142" i="17"/>
  <c r="H141" i="17"/>
  <c r="G141" i="17"/>
  <c r="F141" i="17"/>
  <c r="E141" i="17"/>
  <c r="D141" i="17"/>
  <c r="C141" i="17"/>
  <c r="B141" i="17"/>
  <c r="A141" i="17"/>
  <c r="H140" i="17"/>
  <c r="G140" i="17"/>
  <c r="F140" i="17"/>
  <c r="E140" i="17"/>
  <c r="D140" i="17"/>
  <c r="C140" i="17"/>
  <c r="B140" i="17"/>
  <c r="A140" i="17"/>
  <c r="H139" i="17"/>
  <c r="G139" i="17"/>
  <c r="F139" i="17"/>
  <c r="E139" i="17"/>
  <c r="D139" i="17"/>
  <c r="C139" i="17"/>
  <c r="B139" i="17"/>
  <c r="A139" i="17"/>
  <c r="H138" i="17"/>
  <c r="G138" i="17"/>
  <c r="F138" i="17"/>
  <c r="E138" i="17"/>
  <c r="D138" i="17"/>
  <c r="C138" i="17"/>
  <c r="B138" i="17"/>
  <c r="A138" i="17"/>
  <c r="H137" i="17"/>
  <c r="G137" i="17"/>
  <c r="F137" i="17"/>
  <c r="E137" i="17"/>
  <c r="D137" i="17"/>
  <c r="C137" i="17"/>
  <c r="B137" i="17"/>
  <c r="A137" i="17"/>
  <c r="H136" i="17"/>
  <c r="G136" i="17"/>
  <c r="F136" i="17"/>
  <c r="E136" i="17"/>
  <c r="D136" i="17"/>
  <c r="C136" i="17"/>
  <c r="B136" i="17"/>
  <c r="A136" i="17"/>
  <c r="H135" i="17"/>
  <c r="G135" i="17"/>
  <c r="F135" i="17"/>
  <c r="E135" i="17"/>
  <c r="D135" i="17"/>
  <c r="C135" i="17"/>
  <c r="B135" i="17"/>
  <c r="A135" i="17"/>
  <c r="H134" i="17"/>
  <c r="G134" i="17"/>
  <c r="F134" i="17"/>
  <c r="E134" i="17"/>
  <c r="D134" i="17"/>
  <c r="C134" i="17"/>
  <c r="B134" i="17"/>
  <c r="A134" i="17"/>
  <c r="H133" i="17"/>
  <c r="G133" i="17"/>
  <c r="F133" i="17"/>
  <c r="E133" i="17"/>
  <c r="D133" i="17"/>
  <c r="C133" i="17"/>
  <c r="B133" i="17"/>
  <c r="A133" i="17"/>
  <c r="H132" i="17"/>
  <c r="G132" i="17"/>
  <c r="F132" i="17"/>
  <c r="E132" i="17"/>
  <c r="D132" i="17"/>
  <c r="C132" i="17"/>
  <c r="B132" i="17"/>
  <c r="A132" i="17"/>
  <c r="H131" i="17"/>
  <c r="G131" i="17"/>
  <c r="F131" i="17"/>
  <c r="E131" i="17"/>
  <c r="D131" i="17"/>
  <c r="C131" i="17"/>
  <c r="B131" i="17"/>
  <c r="A131" i="17"/>
  <c r="H130" i="17"/>
  <c r="G130" i="17"/>
  <c r="F130" i="17"/>
  <c r="E130" i="17"/>
  <c r="D130" i="17"/>
  <c r="C130" i="17"/>
  <c r="B130" i="17"/>
  <c r="A130" i="17"/>
  <c r="H129" i="17"/>
  <c r="G129" i="17"/>
  <c r="F129" i="17"/>
  <c r="E129" i="17"/>
  <c r="D129" i="17"/>
  <c r="C129" i="17"/>
  <c r="B129" i="17"/>
  <c r="A129" i="17"/>
  <c r="H128" i="17"/>
  <c r="G128" i="17"/>
  <c r="F128" i="17"/>
  <c r="E128" i="17"/>
  <c r="D128" i="17"/>
  <c r="C128" i="17"/>
  <c r="B128" i="17"/>
  <c r="A128" i="17"/>
  <c r="H127" i="17"/>
  <c r="G127" i="17"/>
  <c r="F127" i="17"/>
  <c r="E127" i="17"/>
  <c r="D127" i="17"/>
  <c r="C127" i="17"/>
  <c r="B127" i="17"/>
  <c r="A127" i="17"/>
  <c r="H126" i="17"/>
  <c r="G126" i="17"/>
  <c r="F126" i="17"/>
  <c r="E126" i="17"/>
  <c r="D126" i="17"/>
  <c r="C126" i="17"/>
  <c r="B126" i="17"/>
  <c r="A126" i="17"/>
  <c r="H125" i="17"/>
  <c r="G125" i="17"/>
  <c r="F125" i="17"/>
  <c r="E125" i="17"/>
  <c r="D125" i="17"/>
  <c r="C125" i="17"/>
  <c r="B125" i="17"/>
  <c r="A125" i="17"/>
  <c r="H124" i="17"/>
  <c r="G124" i="17"/>
  <c r="F124" i="17"/>
  <c r="E124" i="17"/>
  <c r="D124" i="17"/>
  <c r="C124" i="17"/>
  <c r="B124" i="17"/>
  <c r="A124" i="17"/>
  <c r="H123" i="17"/>
  <c r="G123" i="17"/>
  <c r="F123" i="17"/>
  <c r="E123" i="17"/>
  <c r="D123" i="17"/>
  <c r="C123" i="17"/>
  <c r="B123" i="17"/>
  <c r="A123" i="17"/>
  <c r="H122" i="17"/>
  <c r="G122" i="17"/>
  <c r="F122" i="17"/>
  <c r="E122" i="17"/>
  <c r="D122" i="17"/>
  <c r="C122" i="17"/>
  <c r="B122" i="17"/>
  <c r="A122" i="17"/>
  <c r="H121" i="17"/>
  <c r="G121" i="17"/>
  <c r="F121" i="17"/>
  <c r="E121" i="17"/>
  <c r="D121" i="17"/>
  <c r="C121" i="17"/>
  <c r="B121" i="17"/>
  <c r="A121" i="17"/>
  <c r="H120" i="17"/>
  <c r="G120" i="17"/>
  <c r="F120" i="17"/>
  <c r="E120" i="17"/>
  <c r="D120" i="17"/>
  <c r="C120" i="17"/>
  <c r="B120" i="17"/>
  <c r="A120" i="17"/>
  <c r="H119" i="17"/>
  <c r="G119" i="17"/>
  <c r="F119" i="17"/>
  <c r="E119" i="17"/>
  <c r="D119" i="17"/>
  <c r="C119" i="17"/>
  <c r="B119" i="17"/>
  <c r="A119" i="17"/>
  <c r="H118" i="17"/>
  <c r="G118" i="17"/>
  <c r="F118" i="17"/>
  <c r="E118" i="17"/>
  <c r="D118" i="17"/>
  <c r="C118" i="17"/>
  <c r="B118" i="17"/>
  <c r="A118" i="17"/>
  <c r="H117" i="17"/>
  <c r="G117" i="17"/>
  <c r="F117" i="17"/>
  <c r="E117" i="17"/>
  <c r="D117" i="17"/>
  <c r="C117" i="17"/>
  <c r="B117" i="17"/>
  <c r="A117" i="17"/>
  <c r="H116" i="17"/>
  <c r="G116" i="17"/>
  <c r="F116" i="17"/>
  <c r="E116" i="17"/>
  <c r="D116" i="17"/>
  <c r="C116" i="17"/>
  <c r="B116" i="17"/>
  <c r="A116" i="17"/>
  <c r="H115" i="17"/>
  <c r="G115" i="17"/>
  <c r="F115" i="17"/>
  <c r="E115" i="17"/>
  <c r="D115" i="17"/>
  <c r="C115" i="17"/>
  <c r="B115" i="17"/>
  <c r="A115" i="17"/>
  <c r="H114" i="17"/>
  <c r="G114" i="17"/>
  <c r="F114" i="17"/>
  <c r="E114" i="17"/>
  <c r="D114" i="17"/>
  <c r="C114" i="17"/>
  <c r="B114" i="17"/>
  <c r="A114" i="17"/>
  <c r="H113" i="17"/>
  <c r="G113" i="17"/>
  <c r="F113" i="17"/>
  <c r="E113" i="17"/>
  <c r="D113" i="17"/>
  <c r="C113" i="17"/>
  <c r="B113" i="17"/>
  <c r="A113" i="17"/>
  <c r="H112" i="17"/>
  <c r="G112" i="17"/>
  <c r="F112" i="17"/>
  <c r="E112" i="17"/>
  <c r="D112" i="17"/>
  <c r="C112" i="17"/>
  <c r="B112" i="17"/>
  <c r="A112" i="17"/>
  <c r="H111" i="17"/>
  <c r="G111" i="17"/>
  <c r="F111" i="17"/>
  <c r="E111" i="17"/>
  <c r="D111" i="17"/>
  <c r="C111" i="17"/>
  <c r="B111" i="17"/>
  <c r="A111" i="17"/>
  <c r="H110" i="17"/>
  <c r="G110" i="17"/>
  <c r="F110" i="17"/>
  <c r="E110" i="17"/>
  <c r="D110" i="17"/>
  <c r="C110" i="17"/>
  <c r="B110" i="17"/>
  <c r="A110" i="17"/>
  <c r="H109" i="17"/>
  <c r="G109" i="17"/>
  <c r="F109" i="17"/>
  <c r="E109" i="17"/>
  <c r="D109" i="17"/>
  <c r="C109" i="17"/>
  <c r="B109" i="17"/>
  <c r="A109" i="17"/>
  <c r="H108" i="17"/>
  <c r="G108" i="17"/>
  <c r="F108" i="17"/>
  <c r="E108" i="17"/>
  <c r="D108" i="17"/>
  <c r="C108" i="17"/>
  <c r="B108" i="17"/>
  <c r="A108" i="17"/>
  <c r="H107" i="17"/>
  <c r="G107" i="17"/>
  <c r="F107" i="17"/>
  <c r="E107" i="17"/>
  <c r="D107" i="17"/>
  <c r="C107" i="17"/>
  <c r="B107" i="17"/>
  <c r="A107" i="17"/>
  <c r="H106" i="17"/>
  <c r="G106" i="17"/>
  <c r="F106" i="17"/>
  <c r="E106" i="17"/>
  <c r="D106" i="17"/>
  <c r="C106" i="17"/>
  <c r="B106" i="17"/>
  <c r="A106" i="17"/>
  <c r="H105" i="17"/>
  <c r="G105" i="17"/>
  <c r="F105" i="17"/>
  <c r="E105" i="17"/>
  <c r="D105" i="17"/>
  <c r="C105" i="17"/>
  <c r="B105" i="17"/>
  <c r="A105" i="17"/>
  <c r="H104" i="17"/>
  <c r="G104" i="17"/>
  <c r="F104" i="17"/>
  <c r="E104" i="17"/>
  <c r="D104" i="17"/>
  <c r="C104" i="17"/>
  <c r="B104" i="17"/>
  <c r="A104" i="17"/>
  <c r="H103" i="17"/>
  <c r="G103" i="17"/>
  <c r="F103" i="17"/>
  <c r="E103" i="17"/>
  <c r="D103" i="17"/>
  <c r="C103" i="17"/>
  <c r="B103" i="17"/>
  <c r="A103" i="17"/>
  <c r="H102" i="17"/>
  <c r="G102" i="17"/>
  <c r="F102" i="17"/>
  <c r="E102" i="17"/>
  <c r="D102" i="17"/>
  <c r="C102" i="17"/>
  <c r="B102" i="17"/>
  <c r="A102" i="17"/>
  <c r="H101" i="17"/>
  <c r="G101" i="17"/>
  <c r="F101" i="17"/>
  <c r="E101" i="17"/>
  <c r="D101" i="17"/>
  <c r="C101" i="17"/>
  <c r="B101" i="17"/>
  <c r="A101" i="17"/>
  <c r="H100" i="17"/>
  <c r="G100" i="17"/>
  <c r="F100" i="17"/>
  <c r="E100" i="17"/>
  <c r="D100" i="17"/>
  <c r="C100" i="17"/>
  <c r="B100" i="17"/>
  <c r="A100" i="17"/>
  <c r="H99" i="17"/>
  <c r="G99" i="17"/>
  <c r="F99" i="17"/>
  <c r="E99" i="17"/>
  <c r="D99" i="17"/>
  <c r="C99" i="17"/>
  <c r="B99" i="17"/>
  <c r="A99" i="17"/>
  <c r="H98" i="17"/>
  <c r="G98" i="17"/>
  <c r="F98" i="17"/>
  <c r="E98" i="17"/>
  <c r="D98" i="17"/>
  <c r="C98" i="17"/>
  <c r="B98" i="17"/>
  <c r="A98" i="17"/>
  <c r="H97" i="17"/>
  <c r="G97" i="17"/>
  <c r="F97" i="17"/>
  <c r="E97" i="17"/>
  <c r="D97" i="17"/>
  <c r="C97" i="17"/>
  <c r="B97" i="17"/>
  <c r="A97" i="17"/>
  <c r="H96" i="17"/>
  <c r="G96" i="17"/>
  <c r="F96" i="17"/>
  <c r="E96" i="17"/>
  <c r="D96" i="17"/>
  <c r="C96" i="17"/>
  <c r="B96" i="17"/>
  <c r="A96" i="17"/>
  <c r="H95" i="17"/>
  <c r="G95" i="17"/>
  <c r="F95" i="17"/>
  <c r="E95" i="17"/>
  <c r="D95" i="17"/>
  <c r="C95" i="17"/>
  <c r="B95" i="17"/>
  <c r="A95" i="17"/>
  <c r="H94" i="17"/>
  <c r="G94" i="17"/>
  <c r="F94" i="17"/>
  <c r="E94" i="17"/>
  <c r="D94" i="17"/>
  <c r="C94" i="17"/>
  <c r="B94" i="17"/>
  <c r="A94" i="17"/>
  <c r="H93" i="17"/>
  <c r="G93" i="17"/>
  <c r="F93" i="17"/>
  <c r="E93" i="17"/>
  <c r="D93" i="17"/>
  <c r="C93" i="17"/>
  <c r="B93" i="17"/>
  <c r="A93" i="17"/>
  <c r="H92" i="17"/>
  <c r="G92" i="17"/>
  <c r="F92" i="17"/>
  <c r="E92" i="17"/>
  <c r="D92" i="17"/>
  <c r="C92" i="17"/>
  <c r="B92" i="17"/>
  <c r="A92" i="17"/>
  <c r="H91" i="17"/>
  <c r="G91" i="17"/>
  <c r="F91" i="17"/>
  <c r="E91" i="17"/>
  <c r="D91" i="17"/>
  <c r="C91" i="17"/>
  <c r="B91" i="17"/>
  <c r="A91" i="17"/>
  <c r="H90" i="17"/>
  <c r="G90" i="17"/>
  <c r="F90" i="17"/>
  <c r="E90" i="17"/>
  <c r="D90" i="17"/>
  <c r="C90" i="17"/>
  <c r="B90" i="17"/>
  <c r="A90" i="17"/>
  <c r="H89" i="17"/>
  <c r="G89" i="17"/>
  <c r="F89" i="17"/>
  <c r="E89" i="17"/>
  <c r="D89" i="17"/>
  <c r="C89" i="17"/>
  <c r="B89" i="17"/>
  <c r="A89" i="17"/>
  <c r="H88" i="17"/>
  <c r="G88" i="17"/>
  <c r="F88" i="17"/>
  <c r="E88" i="17"/>
  <c r="D88" i="17"/>
  <c r="C88" i="17"/>
  <c r="B88" i="17"/>
  <c r="A88" i="17"/>
  <c r="H87" i="17"/>
  <c r="G87" i="17"/>
  <c r="F87" i="17"/>
  <c r="E87" i="17"/>
  <c r="D87" i="17"/>
  <c r="C87" i="17"/>
  <c r="B87" i="17"/>
  <c r="A87" i="17"/>
  <c r="H86" i="17"/>
  <c r="G86" i="17"/>
  <c r="F86" i="17"/>
  <c r="E86" i="17"/>
  <c r="D86" i="17"/>
  <c r="C86" i="17"/>
  <c r="B86" i="17"/>
  <c r="A86" i="17"/>
  <c r="H85" i="17"/>
  <c r="G85" i="17"/>
  <c r="F85" i="17"/>
  <c r="E85" i="17"/>
  <c r="D85" i="17"/>
  <c r="C85" i="17"/>
  <c r="B85" i="17"/>
  <c r="A85" i="17"/>
  <c r="H84" i="17"/>
  <c r="G84" i="17"/>
  <c r="F84" i="17"/>
  <c r="E84" i="17"/>
  <c r="D84" i="17"/>
  <c r="C84" i="17"/>
  <c r="B84" i="17"/>
  <c r="A84" i="17"/>
  <c r="H83" i="17"/>
  <c r="G83" i="17"/>
  <c r="F83" i="17"/>
  <c r="E83" i="17"/>
  <c r="D83" i="17"/>
  <c r="C83" i="17"/>
  <c r="B83" i="17"/>
  <c r="A83" i="17"/>
  <c r="H82" i="17"/>
  <c r="G82" i="17"/>
  <c r="F82" i="17"/>
  <c r="E82" i="17"/>
  <c r="D82" i="17"/>
  <c r="C82" i="17"/>
  <c r="B82" i="17"/>
  <c r="A82" i="17"/>
  <c r="H81" i="17"/>
  <c r="G81" i="17"/>
  <c r="F81" i="17"/>
  <c r="E81" i="17"/>
  <c r="D81" i="17"/>
  <c r="C81" i="17"/>
  <c r="B81" i="17"/>
  <c r="A81" i="17"/>
  <c r="H80" i="17"/>
  <c r="G80" i="17"/>
  <c r="F80" i="17"/>
  <c r="E80" i="17"/>
  <c r="D80" i="17"/>
  <c r="C80" i="17"/>
  <c r="B80" i="17"/>
  <c r="A80" i="17"/>
  <c r="H79" i="17"/>
  <c r="G79" i="17"/>
  <c r="F79" i="17"/>
  <c r="E79" i="17"/>
  <c r="D79" i="17"/>
  <c r="C79" i="17"/>
  <c r="B79" i="17"/>
  <c r="A79" i="17"/>
  <c r="H78" i="17"/>
  <c r="G78" i="17"/>
  <c r="F78" i="17"/>
  <c r="E78" i="17"/>
  <c r="D78" i="17"/>
  <c r="C78" i="17"/>
  <c r="B78" i="17"/>
  <c r="A78" i="17"/>
  <c r="H77" i="17"/>
  <c r="G77" i="17"/>
  <c r="F77" i="17"/>
  <c r="E77" i="17"/>
  <c r="D77" i="17"/>
  <c r="C77" i="17"/>
  <c r="B77" i="17"/>
  <c r="A77" i="17"/>
  <c r="H76" i="17"/>
  <c r="G76" i="17"/>
  <c r="F76" i="17"/>
  <c r="E76" i="17"/>
  <c r="D76" i="17"/>
  <c r="C76" i="17"/>
  <c r="B76" i="17"/>
  <c r="A76" i="17"/>
  <c r="H75" i="17"/>
  <c r="G75" i="17"/>
  <c r="F75" i="17"/>
  <c r="E75" i="17"/>
  <c r="D75" i="17"/>
  <c r="C75" i="17"/>
  <c r="B75" i="17"/>
  <c r="A75" i="17"/>
  <c r="H74" i="17"/>
  <c r="G74" i="17"/>
  <c r="F74" i="17"/>
  <c r="E74" i="17"/>
  <c r="D74" i="17"/>
  <c r="C74" i="17"/>
  <c r="B74" i="17"/>
  <c r="A74" i="17"/>
  <c r="H73" i="17"/>
  <c r="G73" i="17"/>
  <c r="F73" i="17"/>
  <c r="E73" i="17"/>
  <c r="D73" i="17"/>
  <c r="C73" i="17"/>
  <c r="B73" i="17"/>
  <c r="A73" i="17"/>
  <c r="H72" i="17"/>
  <c r="G72" i="17"/>
  <c r="F72" i="17"/>
  <c r="E72" i="17"/>
  <c r="D72" i="17"/>
  <c r="C72" i="17"/>
  <c r="B72" i="17"/>
  <c r="A72" i="17"/>
  <c r="H71" i="17"/>
  <c r="G71" i="17"/>
  <c r="F71" i="17"/>
  <c r="E71" i="17"/>
  <c r="D71" i="17"/>
  <c r="C71" i="17"/>
  <c r="B71" i="17"/>
  <c r="A71" i="17"/>
  <c r="H70" i="17"/>
  <c r="G70" i="17"/>
  <c r="F70" i="17"/>
  <c r="E70" i="17"/>
  <c r="D70" i="17"/>
  <c r="C70" i="17"/>
  <c r="B70" i="17"/>
  <c r="A70" i="17"/>
  <c r="H69" i="17"/>
  <c r="G69" i="17"/>
  <c r="F69" i="17"/>
  <c r="E69" i="17"/>
  <c r="D69" i="17"/>
  <c r="C69" i="17"/>
  <c r="B69" i="17"/>
  <c r="A69" i="17"/>
  <c r="H68" i="17"/>
  <c r="G68" i="17"/>
  <c r="F68" i="17"/>
  <c r="E68" i="17"/>
  <c r="D68" i="17"/>
  <c r="C68" i="17"/>
  <c r="B68" i="17"/>
  <c r="A68" i="17"/>
  <c r="H67" i="17"/>
  <c r="G67" i="17"/>
  <c r="F67" i="17"/>
  <c r="E67" i="17"/>
  <c r="D67" i="17"/>
  <c r="C67" i="17"/>
  <c r="B67" i="17"/>
  <c r="A67" i="17"/>
  <c r="H66" i="17"/>
  <c r="G66" i="17"/>
  <c r="F66" i="17"/>
  <c r="E66" i="17"/>
  <c r="D66" i="17"/>
  <c r="C66" i="17"/>
  <c r="B66" i="17"/>
  <c r="A66" i="17"/>
  <c r="H65" i="17"/>
  <c r="G65" i="17"/>
  <c r="F65" i="17"/>
  <c r="E65" i="17"/>
  <c r="D65" i="17"/>
  <c r="C65" i="17"/>
  <c r="B65" i="17"/>
  <c r="A65" i="17"/>
  <c r="H64" i="17"/>
  <c r="G64" i="17"/>
  <c r="F64" i="17"/>
  <c r="E64" i="17"/>
  <c r="D64" i="17"/>
  <c r="C64" i="17"/>
  <c r="B64" i="17"/>
  <c r="A64" i="17"/>
  <c r="H63" i="17"/>
  <c r="G63" i="17"/>
  <c r="F63" i="17"/>
  <c r="E63" i="17"/>
  <c r="D63" i="17"/>
  <c r="C63" i="17"/>
  <c r="B63" i="17"/>
  <c r="A63" i="17"/>
  <c r="H62" i="17"/>
  <c r="G62" i="17"/>
  <c r="F62" i="17"/>
  <c r="E62" i="17"/>
  <c r="D62" i="17"/>
  <c r="C62" i="17"/>
  <c r="B62" i="17"/>
  <c r="A62" i="17"/>
  <c r="H61" i="17"/>
  <c r="G61" i="17"/>
  <c r="F61" i="17"/>
  <c r="E61" i="17"/>
  <c r="D61" i="17"/>
  <c r="C61" i="17"/>
  <c r="B61" i="17"/>
  <c r="A61" i="17"/>
  <c r="H60" i="17"/>
  <c r="G60" i="17"/>
  <c r="F60" i="17"/>
  <c r="E60" i="17"/>
  <c r="D60" i="17"/>
  <c r="C60" i="17"/>
  <c r="B60" i="17"/>
  <c r="A60" i="17"/>
  <c r="H59" i="17"/>
  <c r="G59" i="17"/>
  <c r="F59" i="17"/>
  <c r="E59" i="17"/>
  <c r="D59" i="17"/>
  <c r="C59" i="17"/>
  <c r="B59" i="17"/>
  <c r="A59" i="17"/>
  <c r="H58" i="17"/>
  <c r="G58" i="17"/>
  <c r="F58" i="17"/>
  <c r="E58" i="17"/>
  <c r="D58" i="17"/>
  <c r="C58" i="17"/>
  <c r="B58" i="17"/>
  <c r="A58" i="17"/>
  <c r="H57" i="17"/>
  <c r="G57" i="17"/>
  <c r="F57" i="17"/>
  <c r="E57" i="17"/>
  <c r="D57" i="17"/>
  <c r="C57" i="17"/>
  <c r="B57" i="17"/>
  <c r="A57" i="17"/>
  <c r="H56" i="17"/>
  <c r="G56" i="17"/>
  <c r="F56" i="17"/>
  <c r="E56" i="17"/>
  <c r="D56" i="17"/>
  <c r="C56" i="17"/>
  <c r="B56" i="17"/>
  <c r="A56" i="17"/>
  <c r="H55" i="17"/>
  <c r="G55" i="17"/>
  <c r="F55" i="17"/>
  <c r="E55" i="17"/>
  <c r="D55" i="17"/>
  <c r="C55" i="17"/>
  <c r="B55" i="17"/>
  <c r="A55" i="17"/>
  <c r="H54" i="17"/>
  <c r="G54" i="17"/>
  <c r="F54" i="17"/>
  <c r="E54" i="17"/>
  <c r="D54" i="17"/>
  <c r="C54" i="17"/>
  <c r="B54" i="17"/>
  <c r="A54" i="17"/>
  <c r="H53" i="17"/>
  <c r="G53" i="17"/>
  <c r="F53" i="17"/>
  <c r="E53" i="17"/>
  <c r="D53" i="17"/>
  <c r="C53" i="17"/>
  <c r="B53" i="17"/>
  <c r="A53" i="17"/>
  <c r="H52" i="17"/>
  <c r="G52" i="17"/>
  <c r="F52" i="17"/>
  <c r="E52" i="17"/>
  <c r="D52" i="17"/>
  <c r="C52" i="17"/>
  <c r="B52" i="17"/>
  <c r="A52" i="17"/>
  <c r="H51" i="17"/>
  <c r="G51" i="17"/>
  <c r="F51" i="17"/>
  <c r="E51" i="17"/>
  <c r="D51" i="17"/>
  <c r="C51" i="17"/>
  <c r="B51" i="17"/>
  <c r="A51" i="17"/>
  <c r="H50" i="17"/>
  <c r="G50" i="17"/>
  <c r="F50" i="17"/>
  <c r="E50" i="17"/>
  <c r="D50" i="17"/>
  <c r="C50" i="17"/>
  <c r="B50" i="17"/>
  <c r="A50" i="17"/>
  <c r="H49" i="17"/>
  <c r="G49" i="17"/>
  <c r="F49" i="17"/>
  <c r="E49" i="17"/>
  <c r="D49" i="17"/>
  <c r="C49" i="17"/>
  <c r="B49" i="17"/>
  <c r="A49" i="17"/>
  <c r="H48" i="17"/>
  <c r="G48" i="17"/>
  <c r="F48" i="17"/>
  <c r="E48" i="17"/>
  <c r="D48" i="17"/>
  <c r="C48" i="17"/>
  <c r="B48" i="17"/>
  <c r="A48" i="17"/>
  <c r="H47" i="17"/>
  <c r="G47" i="17"/>
  <c r="F47" i="17"/>
  <c r="E47" i="17"/>
  <c r="D47" i="17"/>
  <c r="C47" i="17"/>
  <c r="B47" i="17"/>
  <c r="A47" i="17"/>
  <c r="H46" i="17"/>
  <c r="G46" i="17"/>
  <c r="F46" i="17"/>
  <c r="E46" i="17"/>
  <c r="D46" i="17"/>
  <c r="C46" i="17"/>
  <c r="B46" i="17"/>
  <c r="A46" i="17"/>
  <c r="H45" i="17"/>
  <c r="G45" i="17"/>
  <c r="F45" i="17"/>
  <c r="E45" i="17"/>
  <c r="D45" i="17"/>
  <c r="C45" i="17"/>
  <c r="B45" i="17"/>
  <c r="A45" i="17"/>
  <c r="H44" i="17"/>
  <c r="G44" i="17"/>
  <c r="F44" i="17"/>
  <c r="E44" i="17"/>
  <c r="D44" i="17"/>
  <c r="C44" i="17"/>
  <c r="B44" i="17"/>
  <c r="A44" i="17"/>
  <c r="H43" i="17"/>
  <c r="G43" i="17"/>
  <c r="F43" i="17"/>
  <c r="E43" i="17"/>
  <c r="D43" i="17"/>
  <c r="C43" i="17"/>
  <c r="B43" i="17"/>
  <c r="A43" i="17"/>
  <c r="H42" i="17"/>
  <c r="G42" i="17"/>
  <c r="F42" i="17"/>
  <c r="E42" i="17"/>
  <c r="D42" i="17"/>
  <c r="C42" i="17"/>
  <c r="B42" i="17"/>
  <c r="A42" i="17"/>
  <c r="H41" i="17"/>
  <c r="G41" i="17"/>
  <c r="F41" i="17"/>
  <c r="E41" i="17"/>
  <c r="D41" i="17"/>
  <c r="C41" i="17"/>
  <c r="B41" i="17"/>
  <c r="A41" i="17"/>
  <c r="H40" i="17"/>
  <c r="G40" i="17"/>
  <c r="F40" i="17"/>
  <c r="E40" i="17"/>
  <c r="D40" i="17"/>
  <c r="C40" i="17"/>
  <c r="B40" i="17"/>
  <c r="A40" i="17"/>
  <c r="H39" i="17"/>
  <c r="G39" i="17"/>
  <c r="F39" i="17"/>
  <c r="E39" i="17"/>
  <c r="D39" i="17"/>
  <c r="C39" i="17"/>
  <c r="B39" i="17"/>
  <c r="A39" i="17"/>
  <c r="H38" i="17"/>
  <c r="G38" i="17"/>
  <c r="F38" i="17"/>
  <c r="E38" i="17"/>
  <c r="D38" i="17"/>
  <c r="C38" i="17"/>
  <c r="B38" i="17"/>
  <c r="A38" i="17"/>
  <c r="H37" i="17"/>
  <c r="G37" i="17"/>
  <c r="F37" i="17"/>
  <c r="E37" i="17"/>
  <c r="D37" i="17"/>
  <c r="C37" i="17"/>
  <c r="B37" i="17"/>
  <c r="A37" i="17"/>
  <c r="H36" i="17"/>
  <c r="G36" i="17"/>
  <c r="F36" i="17"/>
  <c r="E36" i="17"/>
  <c r="D36" i="17"/>
  <c r="C36" i="17"/>
  <c r="B36" i="17"/>
  <c r="A36" i="17"/>
  <c r="H35" i="17"/>
  <c r="G35" i="17"/>
  <c r="F35" i="17"/>
  <c r="E35" i="17"/>
  <c r="D35" i="17"/>
  <c r="C35" i="17"/>
  <c r="B35" i="17"/>
  <c r="A35" i="17"/>
  <c r="H34" i="17"/>
  <c r="G34" i="17"/>
  <c r="F34" i="17"/>
  <c r="E34" i="17"/>
  <c r="D34" i="17"/>
  <c r="C34" i="17"/>
  <c r="B34" i="17"/>
  <c r="A34" i="17"/>
  <c r="H33" i="17"/>
  <c r="G33" i="17"/>
  <c r="F33" i="17"/>
  <c r="E33" i="17"/>
  <c r="D33" i="17"/>
  <c r="C33" i="17"/>
  <c r="B33" i="17"/>
  <c r="A33" i="17"/>
  <c r="H32" i="17"/>
  <c r="G32" i="17"/>
  <c r="F32" i="17"/>
  <c r="E32" i="17"/>
  <c r="D32" i="17"/>
  <c r="C32" i="17"/>
  <c r="B32" i="17"/>
  <c r="A32" i="17"/>
  <c r="H31" i="17"/>
  <c r="G31" i="17"/>
  <c r="F31" i="17"/>
  <c r="E31" i="17"/>
  <c r="D31" i="17"/>
  <c r="C31" i="17"/>
  <c r="B31" i="17"/>
  <c r="A31" i="17"/>
  <c r="H30" i="17"/>
  <c r="G30" i="17"/>
  <c r="F30" i="17"/>
  <c r="E30" i="17"/>
  <c r="D30" i="17"/>
  <c r="C30" i="17"/>
  <c r="B30" i="17"/>
  <c r="A30" i="17"/>
  <c r="H29" i="17"/>
  <c r="G29" i="17"/>
  <c r="F29" i="17"/>
  <c r="E29" i="17"/>
  <c r="D29" i="17"/>
  <c r="C29" i="17"/>
  <c r="B29" i="17"/>
  <c r="A29" i="17"/>
  <c r="H28" i="17"/>
  <c r="G28" i="17"/>
  <c r="F28" i="17"/>
  <c r="E28" i="17"/>
  <c r="D28" i="17"/>
  <c r="C28" i="17"/>
  <c r="B28" i="17"/>
  <c r="A28" i="17"/>
  <c r="H27" i="17"/>
  <c r="G27" i="17"/>
  <c r="F27" i="17"/>
  <c r="E27" i="17"/>
  <c r="D27" i="17"/>
  <c r="C27" i="17"/>
  <c r="B27" i="17"/>
  <c r="A27" i="17"/>
  <c r="H26" i="17"/>
  <c r="G26" i="17"/>
  <c r="F26" i="17"/>
  <c r="E26" i="17"/>
  <c r="D26" i="17"/>
  <c r="C26" i="17"/>
  <c r="B26" i="17"/>
  <c r="A26" i="17"/>
  <c r="H25" i="17"/>
  <c r="G25" i="17"/>
  <c r="F25" i="17"/>
  <c r="E25" i="17"/>
  <c r="D25" i="17"/>
  <c r="C25" i="17"/>
  <c r="B25" i="17"/>
  <c r="A25" i="17"/>
  <c r="H24" i="17"/>
  <c r="G24" i="17"/>
  <c r="F24" i="17"/>
  <c r="E24" i="17"/>
  <c r="D24" i="17"/>
  <c r="C24" i="17"/>
  <c r="B24" i="17"/>
  <c r="A24" i="17"/>
  <c r="H23" i="17"/>
  <c r="G23" i="17"/>
  <c r="F23" i="17"/>
  <c r="E23" i="17"/>
  <c r="D23" i="17"/>
  <c r="C23" i="17"/>
  <c r="B23" i="17"/>
  <c r="A23" i="17"/>
  <c r="H22" i="17"/>
  <c r="G22" i="17"/>
  <c r="F22" i="17"/>
  <c r="E22" i="17"/>
  <c r="D22" i="17"/>
  <c r="C22" i="17"/>
  <c r="B22" i="17"/>
  <c r="A22" i="17"/>
  <c r="H21" i="17"/>
  <c r="G21" i="17"/>
  <c r="F21" i="17"/>
  <c r="E21" i="17"/>
  <c r="D21" i="17"/>
  <c r="C21" i="17"/>
  <c r="B21" i="17"/>
  <c r="A21" i="17"/>
  <c r="H20" i="17"/>
  <c r="G20" i="17"/>
  <c r="F20" i="17"/>
  <c r="E20" i="17"/>
  <c r="D20" i="17"/>
  <c r="C20" i="17"/>
  <c r="B20" i="17"/>
  <c r="A20" i="17"/>
  <c r="H19" i="17"/>
  <c r="G19" i="17"/>
  <c r="F19" i="17"/>
  <c r="E19" i="17"/>
  <c r="D19" i="17"/>
  <c r="C19" i="17"/>
  <c r="B19" i="17"/>
  <c r="A19" i="17"/>
  <c r="H18" i="17"/>
  <c r="G18" i="17"/>
  <c r="F18" i="17"/>
  <c r="E18" i="17"/>
  <c r="D18" i="17"/>
  <c r="C18" i="17"/>
  <c r="B18" i="17"/>
  <c r="A18" i="17"/>
  <c r="H17" i="17"/>
  <c r="G17" i="17"/>
  <c r="F17" i="17"/>
  <c r="E17" i="17"/>
  <c r="D17" i="17"/>
  <c r="C17" i="17"/>
  <c r="B17" i="17"/>
  <c r="A17" i="17"/>
  <c r="H16" i="17"/>
  <c r="G16" i="17"/>
  <c r="F16" i="17"/>
  <c r="E16" i="17"/>
  <c r="D16" i="17"/>
  <c r="C16" i="17"/>
  <c r="B16" i="17"/>
  <c r="A16" i="17"/>
  <c r="H15" i="17"/>
  <c r="G15" i="17"/>
  <c r="F15" i="17"/>
  <c r="E15" i="17"/>
  <c r="D15" i="17"/>
  <c r="C15" i="17"/>
  <c r="B15" i="17"/>
  <c r="A15" i="17"/>
  <c r="H14" i="17"/>
  <c r="G14" i="17"/>
  <c r="F14" i="17"/>
  <c r="E14" i="17"/>
  <c r="D14" i="17"/>
  <c r="C14" i="17"/>
  <c r="B14" i="17"/>
  <c r="A14" i="17"/>
  <c r="H13" i="17"/>
  <c r="G13" i="17"/>
  <c r="F13" i="17"/>
  <c r="E13" i="17"/>
  <c r="D13" i="17"/>
  <c r="C13" i="17"/>
  <c r="B13" i="17"/>
  <c r="A13" i="17"/>
  <c r="H12" i="17"/>
  <c r="G12" i="17"/>
  <c r="F12" i="17"/>
  <c r="E12" i="17"/>
  <c r="D12" i="17"/>
  <c r="C12" i="17"/>
  <c r="B12" i="17"/>
  <c r="A12" i="17"/>
  <c r="H11" i="17"/>
  <c r="G11" i="17"/>
  <c r="F11" i="17"/>
  <c r="E11" i="17"/>
  <c r="D11" i="17"/>
  <c r="C11" i="17"/>
  <c r="B11" i="17"/>
  <c r="A11" i="17"/>
  <c r="H10" i="17"/>
  <c r="G10" i="17"/>
  <c r="F10" i="17"/>
  <c r="E10" i="17"/>
  <c r="D10" i="17"/>
  <c r="C10" i="17"/>
  <c r="B10" i="17"/>
  <c r="A10" i="17"/>
  <c r="H9" i="17"/>
  <c r="G9" i="17"/>
  <c r="F9" i="17"/>
  <c r="E9" i="17"/>
  <c r="D9" i="17"/>
  <c r="C9" i="17"/>
  <c r="B9" i="17"/>
  <c r="A9" i="17"/>
  <c r="H8" i="17"/>
  <c r="G8" i="17"/>
  <c r="F8" i="17"/>
  <c r="E8" i="17"/>
  <c r="D8" i="17"/>
  <c r="C8" i="17"/>
  <c r="B8" i="17"/>
  <c r="A8" i="17"/>
  <c r="H7" i="17"/>
  <c r="G7" i="17"/>
  <c r="F7" i="17"/>
  <c r="E7" i="17"/>
  <c r="D7" i="17"/>
  <c r="C7" i="17"/>
  <c r="B7" i="17"/>
  <c r="A7" i="17"/>
  <c r="H6" i="17"/>
  <c r="G6" i="17"/>
  <c r="F6" i="17"/>
  <c r="E6" i="17"/>
  <c r="D6" i="17"/>
  <c r="C6" i="17"/>
  <c r="B6" i="17"/>
  <c r="A6" i="17"/>
  <c r="H5" i="17"/>
  <c r="G5" i="17"/>
  <c r="F5" i="17"/>
  <c r="E5" i="17"/>
  <c r="D5" i="17"/>
  <c r="C5" i="17"/>
  <c r="B5" i="17"/>
  <c r="A5" i="17"/>
  <c r="H4" i="17"/>
  <c r="G4" i="17"/>
  <c r="F4" i="17"/>
  <c r="E4" i="17"/>
  <c r="D4" i="17"/>
  <c r="C4" i="17"/>
  <c r="B4" i="17"/>
  <c r="A4" i="17"/>
  <c r="H3" i="17"/>
  <c r="G3" i="17"/>
  <c r="F3" i="17"/>
  <c r="E3" i="17"/>
  <c r="D3" i="17"/>
  <c r="C3" i="17"/>
  <c r="B3" i="17"/>
  <c r="A3" i="17"/>
  <c r="H2" i="17"/>
  <c r="G2" i="17"/>
  <c r="F2" i="17"/>
  <c r="E2" i="17"/>
  <c r="D2" i="17"/>
  <c r="C2" i="17"/>
  <c r="B2" i="17"/>
  <c r="A2" i="17"/>
  <c r="H1" i="17"/>
  <c r="G1" i="17"/>
  <c r="F1" i="17"/>
  <c r="E1" i="17"/>
  <c r="D1" i="17"/>
  <c r="C1" i="17"/>
  <c r="B1" i="17"/>
  <c r="A1" i="17"/>
  <c r="H277" i="16"/>
  <c r="G277" i="16"/>
  <c r="F277" i="16"/>
  <c r="E277" i="16"/>
  <c r="D277" i="16"/>
  <c r="C277" i="16"/>
  <c r="B277" i="16"/>
  <c r="A277" i="16"/>
  <c r="H276" i="16"/>
  <c r="G276" i="16"/>
  <c r="F276" i="16"/>
  <c r="E276" i="16"/>
  <c r="D276" i="16"/>
  <c r="C276" i="16"/>
  <c r="B276" i="16"/>
  <c r="A276" i="16"/>
  <c r="H275" i="16"/>
  <c r="G275" i="16"/>
  <c r="F275" i="16"/>
  <c r="E275" i="16"/>
  <c r="D275" i="16"/>
  <c r="C275" i="16"/>
  <c r="B275" i="16"/>
  <c r="A275" i="16"/>
  <c r="H274" i="16"/>
  <c r="G274" i="16"/>
  <c r="F274" i="16"/>
  <c r="E274" i="16"/>
  <c r="D274" i="16"/>
  <c r="C274" i="16"/>
  <c r="B274" i="16"/>
  <c r="A274" i="16"/>
  <c r="H273" i="16"/>
  <c r="G273" i="16"/>
  <c r="F273" i="16"/>
  <c r="E273" i="16"/>
  <c r="D273" i="16"/>
  <c r="C273" i="16"/>
  <c r="B273" i="16"/>
  <c r="A273" i="16"/>
  <c r="H272" i="16"/>
  <c r="G272" i="16"/>
  <c r="F272" i="16"/>
  <c r="E272" i="16"/>
  <c r="D272" i="16"/>
  <c r="C272" i="16"/>
  <c r="B272" i="16"/>
  <c r="A272" i="16"/>
  <c r="H271" i="16"/>
  <c r="G271" i="16"/>
  <c r="F271" i="16"/>
  <c r="E271" i="16"/>
  <c r="D271" i="16"/>
  <c r="C271" i="16"/>
  <c r="B271" i="16"/>
  <c r="A271" i="16"/>
  <c r="H270" i="16"/>
  <c r="G270" i="16"/>
  <c r="F270" i="16"/>
  <c r="E270" i="16"/>
  <c r="D270" i="16"/>
  <c r="C270" i="16"/>
  <c r="B270" i="16"/>
  <c r="A270" i="16"/>
  <c r="H269" i="16"/>
  <c r="G269" i="16"/>
  <c r="F269" i="16"/>
  <c r="E269" i="16"/>
  <c r="D269" i="16"/>
  <c r="C269" i="16"/>
  <c r="B269" i="16"/>
  <c r="A269" i="16"/>
  <c r="H268" i="16"/>
  <c r="G268" i="16"/>
  <c r="F268" i="16"/>
  <c r="E268" i="16"/>
  <c r="D268" i="16"/>
  <c r="C268" i="16"/>
  <c r="B268" i="16"/>
  <c r="A268" i="16"/>
  <c r="H267" i="16"/>
  <c r="G267" i="16"/>
  <c r="F267" i="16"/>
  <c r="E267" i="16"/>
  <c r="D267" i="16"/>
  <c r="C267" i="16"/>
  <c r="B267" i="16"/>
  <c r="A267" i="16"/>
  <c r="H266" i="16"/>
  <c r="G266" i="16"/>
  <c r="F266" i="16"/>
  <c r="E266" i="16"/>
  <c r="D266" i="16"/>
  <c r="C266" i="16"/>
  <c r="B266" i="16"/>
  <c r="A266" i="16"/>
  <c r="H265" i="16"/>
  <c r="G265" i="16"/>
  <c r="F265" i="16"/>
  <c r="E265" i="16"/>
  <c r="D265" i="16"/>
  <c r="C265" i="16"/>
  <c r="B265" i="16"/>
  <c r="A265" i="16"/>
  <c r="H264" i="16"/>
  <c r="G264" i="16"/>
  <c r="F264" i="16"/>
  <c r="E264" i="16"/>
  <c r="D264" i="16"/>
  <c r="C264" i="16"/>
  <c r="B264" i="16"/>
  <c r="A264" i="16"/>
  <c r="H263" i="16"/>
  <c r="G263" i="16"/>
  <c r="F263" i="16"/>
  <c r="E263" i="16"/>
  <c r="D263" i="16"/>
  <c r="C263" i="16"/>
  <c r="B263" i="16"/>
  <c r="A263" i="16"/>
  <c r="H262" i="16"/>
  <c r="G262" i="16"/>
  <c r="F262" i="16"/>
  <c r="E262" i="16"/>
  <c r="D262" i="16"/>
  <c r="C262" i="16"/>
  <c r="B262" i="16"/>
  <c r="A262" i="16"/>
  <c r="H261" i="16"/>
  <c r="G261" i="16"/>
  <c r="F261" i="16"/>
  <c r="E261" i="16"/>
  <c r="D261" i="16"/>
  <c r="C261" i="16"/>
  <c r="B261" i="16"/>
  <c r="A261" i="16"/>
  <c r="H260" i="16"/>
  <c r="G260" i="16"/>
  <c r="F260" i="16"/>
  <c r="E260" i="16"/>
  <c r="D260" i="16"/>
  <c r="C260" i="16"/>
  <c r="B260" i="16"/>
  <c r="A260" i="16"/>
  <c r="H259" i="16"/>
  <c r="G259" i="16"/>
  <c r="F259" i="16"/>
  <c r="E259" i="16"/>
  <c r="D259" i="16"/>
  <c r="C259" i="16"/>
  <c r="B259" i="16"/>
  <c r="A259" i="16"/>
  <c r="H258" i="16"/>
  <c r="G258" i="16"/>
  <c r="F258" i="16"/>
  <c r="E258" i="16"/>
  <c r="D258" i="16"/>
  <c r="C258" i="16"/>
  <c r="B258" i="16"/>
  <c r="A258" i="16"/>
  <c r="H257" i="16"/>
  <c r="G257" i="16"/>
  <c r="F257" i="16"/>
  <c r="E257" i="16"/>
  <c r="D257" i="16"/>
  <c r="C257" i="16"/>
  <c r="B257" i="16"/>
  <c r="A257" i="16"/>
  <c r="H256" i="16"/>
  <c r="G256" i="16"/>
  <c r="F256" i="16"/>
  <c r="E256" i="16"/>
  <c r="D256" i="16"/>
  <c r="C256" i="16"/>
  <c r="B256" i="16"/>
  <c r="A256" i="16"/>
  <c r="H255" i="16"/>
  <c r="G255" i="16"/>
  <c r="F255" i="16"/>
  <c r="E255" i="16"/>
  <c r="D255" i="16"/>
  <c r="C255" i="16"/>
  <c r="B255" i="16"/>
  <c r="A255" i="16"/>
  <c r="H254" i="16"/>
  <c r="G254" i="16"/>
  <c r="F254" i="16"/>
  <c r="E254" i="16"/>
  <c r="D254" i="16"/>
  <c r="C254" i="16"/>
  <c r="B254" i="16"/>
  <c r="A254" i="16"/>
  <c r="H253" i="16"/>
  <c r="G253" i="16"/>
  <c r="F253" i="16"/>
  <c r="E253" i="16"/>
  <c r="D253" i="16"/>
  <c r="C253" i="16"/>
  <c r="B253" i="16"/>
  <c r="A253" i="16"/>
  <c r="H252" i="16"/>
  <c r="G252" i="16"/>
  <c r="F252" i="16"/>
  <c r="E252" i="16"/>
  <c r="D252" i="16"/>
  <c r="C252" i="16"/>
  <c r="B252" i="16"/>
  <c r="A252" i="16"/>
  <c r="H251" i="16"/>
  <c r="G251" i="16"/>
  <c r="F251" i="16"/>
  <c r="E251" i="16"/>
  <c r="D251" i="16"/>
  <c r="C251" i="16"/>
  <c r="B251" i="16"/>
  <c r="A251" i="16"/>
  <c r="H250" i="16"/>
  <c r="G250" i="16"/>
  <c r="F250" i="16"/>
  <c r="E250" i="16"/>
  <c r="D250" i="16"/>
  <c r="C250" i="16"/>
  <c r="B250" i="16"/>
  <c r="A250" i="16"/>
  <c r="H249" i="16"/>
  <c r="G249" i="16"/>
  <c r="F249" i="16"/>
  <c r="E249" i="16"/>
  <c r="D249" i="16"/>
  <c r="C249" i="16"/>
  <c r="B249" i="16"/>
  <c r="A249" i="16"/>
  <c r="H248" i="16"/>
  <c r="G248" i="16"/>
  <c r="F248" i="16"/>
  <c r="E248" i="16"/>
  <c r="D248" i="16"/>
  <c r="C248" i="16"/>
  <c r="B248" i="16"/>
  <c r="A248" i="16"/>
  <c r="H247" i="16"/>
  <c r="G247" i="16"/>
  <c r="F247" i="16"/>
  <c r="E247" i="16"/>
  <c r="D247" i="16"/>
  <c r="C247" i="16"/>
  <c r="B247" i="16"/>
  <c r="A247" i="16"/>
  <c r="H246" i="16"/>
  <c r="G246" i="16"/>
  <c r="F246" i="16"/>
  <c r="E246" i="16"/>
  <c r="D246" i="16"/>
  <c r="C246" i="16"/>
  <c r="B246" i="16"/>
  <c r="A246" i="16"/>
  <c r="H245" i="16"/>
  <c r="G245" i="16"/>
  <c r="F245" i="16"/>
  <c r="E245" i="16"/>
  <c r="D245" i="16"/>
  <c r="C245" i="16"/>
  <c r="B245" i="16"/>
  <c r="A245" i="16"/>
  <c r="H244" i="16"/>
  <c r="G244" i="16"/>
  <c r="F244" i="16"/>
  <c r="E244" i="16"/>
  <c r="D244" i="16"/>
  <c r="C244" i="16"/>
  <c r="B244" i="16"/>
  <c r="A244" i="16"/>
  <c r="H243" i="16"/>
  <c r="G243" i="16"/>
  <c r="F243" i="16"/>
  <c r="E243" i="16"/>
  <c r="D243" i="16"/>
  <c r="C243" i="16"/>
  <c r="B243" i="16"/>
  <c r="A243" i="16"/>
  <c r="H242" i="16"/>
  <c r="G242" i="16"/>
  <c r="F242" i="16"/>
  <c r="E242" i="16"/>
  <c r="D242" i="16"/>
  <c r="C242" i="16"/>
  <c r="B242" i="16"/>
  <c r="A242" i="16"/>
  <c r="H241" i="16"/>
  <c r="G241" i="16"/>
  <c r="F241" i="16"/>
  <c r="E241" i="16"/>
  <c r="D241" i="16"/>
  <c r="C241" i="16"/>
  <c r="B241" i="16"/>
  <c r="A241" i="16"/>
  <c r="H240" i="16"/>
  <c r="G240" i="16"/>
  <c r="F240" i="16"/>
  <c r="E240" i="16"/>
  <c r="D240" i="16"/>
  <c r="C240" i="16"/>
  <c r="B240" i="16"/>
  <c r="A240" i="16"/>
  <c r="H239" i="16"/>
  <c r="G239" i="16"/>
  <c r="F239" i="16"/>
  <c r="E239" i="16"/>
  <c r="D239" i="16"/>
  <c r="C239" i="16"/>
  <c r="B239" i="16"/>
  <c r="A239" i="16"/>
  <c r="H238" i="16"/>
  <c r="G238" i="16"/>
  <c r="F238" i="16"/>
  <c r="E238" i="16"/>
  <c r="D238" i="16"/>
  <c r="C238" i="16"/>
  <c r="B238" i="16"/>
  <c r="A238" i="16"/>
  <c r="H237" i="16"/>
  <c r="G237" i="16"/>
  <c r="F237" i="16"/>
  <c r="E237" i="16"/>
  <c r="D237" i="16"/>
  <c r="C237" i="16"/>
  <c r="B237" i="16"/>
  <c r="A237" i="16"/>
  <c r="H236" i="16"/>
  <c r="G236" i="16"/>
  <c r="F236" i="16"/>
  <c r="E236" i="16"/>
  <c r="D236" i="16"/>
  <c r="C236" i="16"/>
  <c r="B236" i="16"/>
  <c r="A236" i="16"/>
  <c r="H235" i="16"/>
  <c r="G235" i="16"/>
  <c r="F235" i="16"/>
  <c r="E235" i="16"/>
  <c r="D235" i="16"/>
  <c r="C235" i="16"/>
  <c r="B235" i="16"/>
  <c r="A235" i="16"/>
  <c r="H234" i="16"/>
  <c r="G234" i="16"/>
  <c r="F234" i="16"/>
  <c r="E234" i="16"/>
  <c r="D234" i="16"/>
  <c r="C234" i="16"/>
  <c r="B234" i="16"/>
  <c r="A234" i="16"/>
  <c r="H233" i="16"/>
  <c r="G233" i="16"/>
  <c r="F233" i="16"/>
  <c r="E233" i="16"/>
  <c r="D233" i="16"/>
  <c r="C233" i="16"/>
  <c r="B233" i="16"/>
  <c r="A233" i="16"/>
  <c r="H232" i="16"/>
  <c r="G232" i="16"/>
  <c r="F232" i="16"/>
  <c r="E232" i="16"/>
  <c r="D232" i="16"/>
  <c r="C232" i="16"/>
  <c r="B232" i="16"/>
  <c r="A232" i="16"/>
  <c r="H231" i="16"/>
  <c r="G231" i="16"/>
  <c r="F231" i="16"/>
  <c r="E231" i="16"/>
  <c r="D231" i="16"/>
  <c r="C231" i="16"/>
  <c r="B231" i="16"/>
  <c r="A231" i="16"/>
  <c r="H230" i="16"/>
  <c r="G230" i="16"/>
  <c r="F230" i="16"/>
  <c r="E230" i="16"/>
  <c r="D230" i="16"/>
  <c r="C230" i="16"/>
  <c r="B230" i="16"/>
  <c r="A230" i="16"/>
  <c r="H229" i="16"/>
  <c r="G229" i="16"/>
  <c r="F229" i="16"/>
  <c r="E229" i="16"/>
  <c r="D229" i="16"/>
  <c r="C229" i="16"/>
  <c r="B229" i="16"/>
  <c r="A229" i="16"/>
  <c r="H228" i="16"/>
  <c r="G228" i="16"/>
  <c r="F228" i="16"/>
  <c r="E228" i="16"/>
  <c r="D228" i="16"/>
  <c r="C228" i="16"/>
  <c r="B228" i="16"/>
  <c r="A228" i="16"/>
  <c r="H227" i="16"/>
  <c r="G227" i="16"/>
  <c r="F227" i="16"/>
  <c r="E227" i="16"/>
  <c r="D227" i="16"/>
  <c r="C227" i="16"/>
  <c r="B227" i="16"/>
  <c r="A227" i="16"/>
  <c r="H226" i="16"/>
  <c r="G226" i="16"/>
  <c r="F226" i="16"/>
  <c r="E226" i="16"/>
  <c r="D226" i="16"/>
  <c r="C226" i="16"/>
  <c r="B226" i="16"/>
  <c r="A226" i="16"/>
  <c r="H225" i="16"/>
  <c r="G225" i="16"/>
  <c r="F225" i="16"/>
  <c r="E225" i="16"/>
  <c r="D225" i="16"/>
  <c r="C225" i="16"/>
  <c r="B225" i="16"/>
  <c r="A225" i="16"/>
  <c r="H224" i="16"/>
  <c r="G224" i="16"/>
  <c r="F224" i="16"/>
  <c r="E224" i="16"/>
  <c r="D224" i="16"/>
  <c r="C224" i="16"/>
  <c r="B224" i="16"/>
  <c r="A224" i="16"/>
  <c r="H223" i="16"/>
  <c r="G223" i="16"/>
  <c r="F223" i="16"/>
  <c r="E223" i="16"/>
  <c r="D223" i="16"/>
  <c r="C223" i="16"/>
  <c r="B223" i="16"/>
  <c r="A223" i="16"/>
  <c r="H222" i="16"/>
  <c r="G222" i="16"/>
  <c r="F222" i="16"/>
  <c r="E222" i="16"/>
  <c r="D222" i="16"/>
  <c r="C222" i="16"/>
  <c r="B222" i="16"/>
  <c r="A222" i="16"/>
  <c r="H221" i="16"/>
  <c r="G221" i="16"/>
  <c r="F221" i="16"/>
  <c r="E221" i="16"/>
  <c r="D221" i="16"/>
  <c r="C221" i="16"/>
  <c r="B221" i="16"/>
  <c r="A221" i="16"/>
  <c r="H220" i="16"/>
  <c r="G220" i="16"/>
  <c r="F220" i="16"/>
  <c r="E220" i="16"/>
  <c r="D220" i="16"/>
  <c r="C220" i="16"/>
  <c r="B220" i="16"/>
  <c r="A220" i="16"/>
  <c r="H219" i="16"/>
  <c r="G219" i="16"/>
  <c r="F219" i="16"/>
  <c r="E219" i="16"/>
  <c r="D219" i="16"/>
  <c r="C219" i="16"/>
  <c r="B219" i="16"/>
  <c r="A219" i="16"/>
  <c r="H218" i="16"/>
  <c r="G218" i="16"/>
  <c r="F218" i="16"/>
  <c r="E218" i="16"/>
  <c r="D218" i="16"/>
  <c r="C218" i="16"/>
  <c r="B218" i="16"/>
  <c r="A218" i="16"/>
  <c r="H217" i="16"/>
  <c r="G217" i="16"/>
  <c r="F217" i="16"/>
  <c r="E217" i="16"/>
  <c r="D217" i="16"/>
  <c r="C217" i="16"/>
  <c r="B217" i="16"/>
  <c r="A217" i="16"/>
  <c r="H216" i="16"/>
  <c r="G216" i="16"/>
  <c r="F216" i="16"/>
  <c r="E216" i="16"/>
  <c r="D216" i="16"/>
  <c r="C216" i="16"/>
  <c r="B216" i="16"/>
  <c r="A216" i="16"/>
  <c r="H215" i="16"/>
  <c r="G215" i="16"/>
  <c r="F215" i="16"/>
  <c r="E215" i="16"/>
  <c r="D215" i="16"/>
  <c r="C215" i="16"/>
  <c r="B215" i="16"/>
  <c r="A215" i="16"/>
  <c r="H214" i="16"/>
  <c r="G214" i="16"/>
  <c r="F214" i="16"/>
  <c r="E214" i="16"/>
  <c r="D214" i="16"/>
  <c r="C214" i="16"/>
  <c r="B214" i="16"/>
  <c r="A214" i="16"/>
  <c r="H213" i="16"/>
  <c r="G213" i="16"/>
  <c r="F213" i="16"/>
  <c r="E213" i="16"/>
  <c r="D213" i="16"/>
  <c r="C213" i="16"/>
  <c r="B213" i="16"/>
  <c r="A213" i="16"/>
  <c r="H212" i="16"/>
  <c r="G212" i="16"/>
  <c r="F212" i="16"/>
  <c r="E212" i="16"/>
  <c r="D212" i="16"/>
  <c r="C212" i="16"/>
  <c r="B212" i="16"/>
  <c r="A212" i="16"/>
  <c r="H211" i="16"/>
  <c r="G211" i="16"/>
  <c r="F211" i="16"/>
  <c r="E211" i="16"/>
  <c r="D211" i="16"/>
  <c r="C211" i="16"/>
  <c r="B211" i="16"/>
  <c r="A211" i="16"/>
  <c r="H210" i="16"/>
  <c r="G210" i="16"/>
  <c r="F210" i="16"/>
  <c r="E210" i="16"/>
  <c r="D210" i="16"/>
  <c r="C210" i="16"/>
  <c r="B210" i="16"/>
  <c r="A210" i="16"/>
  <c r="H209" i="16"/>
  <c r="G209" i="16"/>
  <c r="F209" i="16"/>
  <c r="E209" i="16"/>
  <c r="D209" i="16"/>
  <c r="C209" i="16"/>
  <c r="B209" i="16"/>
  <c r="A209" i="16"/>
  <c r="H208" i="16"/>
  <c r="G208" i="16"/>
  <c r="F208" i="16"/>
  <c r="E208" i="16"/>
  <c r="D208" i="16"/>
  <c r="C208" i="16"/>
  <c r="B208" i="16"/>
  <c r="A208" i="16"/>
  <c r="H207" i="16"/>
  <c r="G207" i="16"/>
  <c r="F207" i="16"/>
  <c r="E207" i="16"/>
  <c r="D207" i="16"/>
  <c r="C207" i="16"/>
  <c r="B207" i="16"/>
  <c r="A207" i="16"/>
  <c r="H206" i="16"/>
  <c r="G206" i="16"/>
  <c r="F206" i="16"/>
  <c r="E206" i="16"/>
  <c r="D206" i="16"/>
  <c r="C206" i="16"/>
  <c r="B206" i="16"/>
  <c r="A206" i="16"/>
  <c r="H205" i="16"/>
  <c r="G205" i="16"/>
  <c r="F205" i="16"/>
  <c r="E205" i="16"/>
  <c r="D205" i="16"/>
  <c r="C205" i="16"/>
  <c r="B205" i="16"/>
  <c r="A205" i="16"/>
  <c r="H204" i="16"/>
  <c r="G204" i="16"/>
  <c r="F204" i="16"/>
  <c r="E204" i="16"/>
  <c r="D204" i="16"/>
  <c r="C204" i="16"/>
  <c r="B204" i="16"/>
  <c r="A204" i="16"/>
  <c r="H203" i="16"/>
  <c r="G203" i="16"/>
  <c r="F203" i="16"/>
  <c r="E203" i="16"/>
  <c r="D203" i="16"/>
  <c r="C203" i="16"/>
  <c r="B203" i="16"/>
  <c r="A203" i="16"/>
  <c r="H202" i="16"/>
  <c r="G202" i="16"/>
  <c r="F202" i="16"/>
  <c r="E202" i="16"/>
  <c r="D202" i="16"/>
  <c r="C202" i="16"/>
  <c r="B202" i="16"/>
  <c r="A202" i="16"/>
  <c r="H201" i="16"/>
  <c r="G201" i="16"/>
  <c r="F201" i="16"/>
  <c r="E201" i="16"/>
  <c r="D201" i="16"/>
  <c r="C201" i="16"/>
  <c r="B201" i="16"/>
  <c r="A201" i="16"/>
  <c r="H200" i="16"/>
  <c r="G200" i="16"/>
  <c r="F200" i="16"/>
  <c r="E200" i="16"/>
  <c r="D200" i="16"/>
  <c r="C200" i="16"/>
  <c r="B200" i="16"/>
  <c r="A200" i="16"/>
  <c r="H199" i="16"/>
  <c r="G199" i="16"/>
  <c r="F199" i="16"/>
  <c r="E199" i="16"/>
  <c r="D199" i="16"/>
  <c r="C199" i="16"/>
  <c r="B199" i="16"/>
  <c r="A199" i="16"/>
  <c r="H198" i="16"/>
  <c r="G198" i="16"/>
  <c r="F198" i="16"/>
  <c r="E198" i="16"/>
  <c r="D198" i="16"/>
  <c r="C198" i="16"/>
  <c r="B198" i="16"/>
  <c r="A198" i="16"/>
  <c r="H197" i="16"/>
  <c r="G197" i="16"/>
  <c r="F197" i="16"/>
  <c r="E197" i="16"/>
  <c r="D197" i="16"/>
  <c r="C197" i="16"/>
  <c r="B197" i="16"/>
  <c r="A197" i="16"/>
  <c r="H196" i="16"/>
  <c r="G196" i="16"/>
  <c r="F196" i="16"/>
  <c r="E196" i="16"/>
  <c r="D196" i="16"/>
  <c r="C196" i="16"/>
  <c r="B196" i="16"/>
  <c r="A196" i="16"/>
  <c r="H195" i="16"/>
  <c r="G195" i="16"/>
  <c r="F195" i="16"/>
  <c r="E195" i="16"/>
  <c r="D195" i="16"/>
  <c r="C195" i="16"/>
  <c r="B195" i="16"/>
  <c r="A195" i="16"/>
  <c r="H194" i="16"/>
  <c r="G194" i="16"/>
  <c r="F194" i="16"/>
  <c r="E194" i="16"/>
  <c r="D194" i="16"/>
  <c r="C194" i="16"/>
  <c r="B194" i="16"/>
  <c r="A194" i="16"/>
  <c r="H193" i="16"/>
  <c r="G193" i="16"/>
  <c r="F193" i="16"/>
  <c r="E193" i="16"/>
  <c r="D193" i="16"/>
  <c r="C193" i="16"/>
  <c r="B193" i="16"/>
  <c r="A193" i="16"/>
  <c r="H192" i="16"/>
  <c r="G192" i="16"/>
  <c r="F192" i="16"/>
  <c r="E192" i="16"/>
  <c r="D192" i="16"/>
  <c r="C192" i="16"/>
  <c r="B192" i="16"/>
  <c r="A192" i="16"/>
  <c r="H191" i="16"/>
  <c r="G191" i="16"/>
  <c r="F191" i="16"/>
  <c r="E191" i="16"/>
  <c r="D191" i="16"/>
  <c r="C191" i="16"/>
  <c r="B191" i="16"/>
  <c r="A191" i="16"/>
  <c r="H190" i="16"/>
  <c r="G190" i="16"/>
  <c r="F190" i="16"/>
  <c r="E190" i="16"/>
  <c r="D190" i="16"/>
  <c r="C190" i="16"/>
  <c r="B190" i="16"/>
  <c r="A190" i="16"/>
  <c r="H189" i="16"/>
  <c r="G189" i="16"/>
  <c r="F189" i="16"/>
  <c r="E189" i="16"/>
  <c r="D189" i="16"/>
  <c r="C189" i="16"/>
  <c r="B189" i="16"/>
  <c r="A189" i="16"/>
  <c r="H188" i="16"/>
  <c r="G188" i="16"/>
  <c r="F188" i="16"/>
  <c r="E188" i="16"/>
  <c r="D188" i="16"/>
  <c r="C188" i="16"/>
  <c r="B188" i="16"/>
  <c r="A188" i="16"/>
  <c r="H187" i="16"/>
  <c r="G187" i="16"/>
  <c r="F187" i="16"/>
  <c r="E187" i="16"/>
  <c r="D187" i="16"/>
  <c r="C187" i="16"/>
  <c r="B187" i="16"/>
  <c r="A187" i="16"/>
  <c r="H186" i="16"/>
  <c r="G186" i="16"/>
  <c r="F186" i="16"/>
  <c r="E186" i="16"/>
  <c r="D186" i="16"/>
  <c r="C186" i="16"/>
  <c r="B186" i="16"/>
  <c r="A186" i="16"/>
  <c r="H185" i="16"/>
  <c r="G185" i="16"/>
  <c r="F185" i="16"/>
  <c r="E185" i="16"/>
  <c r="D185" i="16"/>
  <c r="C185" i="16"/>
  <c r="B185" i="16"/>
  <c r="A185" i="16"/>
  <c r="H184" i="16"/>
  <c r="G184" i="16"/>
  <c r="F184" i="16"/>
  <c r="E184" i="16"/>
  <c r="D184" i="16"/>
  <c r="C184" i="16"/>
  <c r="B184" i="16"/>
  <c r="A184" i="16"/>
  <c r="H183" i="16"/>
  <c r="G183" i="16"/>
  <c r="F183" i="16"/>
  <c r="E183" i="16"/>
  <c r="D183" i="16"/>
  <c r="C183" i="16"/>
  <c r="B183" i="16"/>
  <c r="A183" i="16"/>
  <c r="H182" i="16"/>
  <c r="G182" i="16"/>
  <c r="F182" i="16"/>
  <c r="E182" i="16"/>
  <c r="D182" i="16"/>
  <c r="C182" i="16"/>
  <c r="B182" i="16"/>
  <c r="A182" i="16"/>
  <c r="H181" i="16"/>
  <c r="G181" i="16"/>
  <c r="F181" i="16"/>
  <c r="E181" i="16"/>
  <c r="D181" i="16"/>
  <c r="C181" i="16"/>
  <c r="B181" i="16"/>
  <c r="A181" i="16"/>
  <c r="H180" i="16"/>
  <c r="G180" i="16"/>
  <c r="F180" i="16"/>
  <c r="E180" i="16"/>
  <c r="D180" i="16"/>
  <c r="C180" i="16"/>
  <c r="B180" i="16"/>
  <c r="A180" i="16"/>
  <c r="H179" i="16"/>
  <c r="G179" i="16"/>
  <c r="F179" i="16"/>
  <c r="E179" i="16"/>
  <c r="D179" i="16"/>
  <c r="C179" i="16"/>
  <c r="B179" i="16"/>
  <c r="A179" i="16"/>
  <c r="H178" i="16"/>
  <c r="G178" i="16"/>
  <c r="F178" i="16"/>
  <c r="E178" i="16"/>
  <c r="D178" i="16"/>
  <c r="C178" i="16"/>
  <c r="B178" i="16"/>
  <c r="A178" i="16"/>
  <c r="H177" i="16"/>
  <c r="G177" i="16"/>
  <c r="F177" i="16"/>
  <c r="E177" i="16"/>
  <c r="D177" i="16"/>
  <c r="C177" i="16"/>
  <c r="B177" i="16"/>
  <c r="A177" i="16"/>
  <c r="H176" i="16"/>
  <c r="G176" i="16"/>
  <c r="F176" i="16"/>
  <c r="E176" i="16"/>
  <c r="D176" i="16"/>
  <c r="C176" i="16"/>
  <c r="B176" i="16"/>
  <c r="A176" i="16"/>
  <c r="H175" i="16"/>
  <c r="G175" i="16"/>
  <c r="F175" i="16"/>
  <c r="E175" i="16"/>
  <c r="D175" i="16"/>
  <c r="C175" i="16"/>
  <c r="B175" i="16"/>
  <c r="A175" i="16"/>
  <c r="H174" i="16"/>
  <c r="G174" i="16"/>
  <c r="F174" i="16"/>
  <c r="E174" i="16"/>
  <c r="D174" i="16"/>
  <c r="C174" i="16"/>
  <c r="B174" i="16"/>
  <c r="A174" i="16"/>
  <c r="H173" i="16"/>
  <c r="G173" i="16"/>
  <c r="F173" i="16"/>
  <c r="E173" i="16"/>
  <c r="D173" i="16"/>
  <c r="C173" i="16"/>
  <c r="B173" i="16"/>
  <c r="A173" i="16"/>
  <c r="H172" i="16"/>
  <c r="G172" i="16"/>
  <c r="F172" i="16"/>
  <c r="E172" i="16"/>
  <c r="D172" i="16"/>
  <c r="C172" i="16"/>
  <c r="B172" i="16"/>
  <c r="A172" i="16"/>
  <c r="H171" i="16"/>
  <c r="G171" i="16"/>
  <c r="F171" i="16"/>
  <c r="E171" i="16"/>
  <c r="D171" i="16"/>
  <c r="C171" i="16"/>
  <c r="B171" i="16"/>
  <c r="A171" i="16"/>
  <c r="H170" i="16"/>
  <c r="G170" i="16"/>
  <c r="F170" i="16"/>
  <c r="E170" i="16"/>
  <c r="D170" i="16"/>
  <c r="C170" i="16"/>
  <c r="B170" i="16"/>
  <c r="A170" i="16"/>
  <c r="H169" i="16"/>
  <c r="G169" i="16"/>
  <c r="F169" i="16"/>
  <c r="E169" i="16"/>
  <c r="D169" i="16"/>
  <c r="C169" i="16"/>
  <c r="B169" i="16"/>
  <c r="A169" i="16"/>
  <c r="H168" i="16"/>
  <c r="G168" i="16"/>
  <c r="F168" i="16"/>
  <c r="E168" i="16"/>
  <c r="D168" i="16"/>
  <c r="C168" i="16"/>
  <c r="B168" i="16"/>
  <c r="A168" i="16"/>
  <c r="H167" i="16"/>
  <c r="G167" i="16"/>
  <c r="F167" i="16"/>
  <c r="E167" i="16"/>
  <c r="D167" i="16"/>
  <c r="C167" i="16"/>
  <c r="B167" i="16"/>
  <c r="A167" i="16"/>
  <c r="H166" i="16"/>
  <c r="G166" i="16"/>
  <c r="F166" i="16"/>
  <c r="E166" i="16"/>
  <c r="D166" i="16"/>
  <c r="C166" i="16"/>
  <c r="B166" i="16"/>
  <c r="A166" i="16"/>
  <c r="H165" i="16"/>
  <c r="G165" i="16"/>
  <c r="F165" i="16"/>
  <c r="E165" i="16"/>
  <c r="D165" i="16"/>
  <c r="C165" i="16"/>
  <c r="B165" i="16"/>
  <c r="A165" i="16"/>
  <c r="H164" i="16"/>
  <c r="G164" i="16"/>
  <c r="F164" i="16"/>
  <c r="E164" i="16"/>
  <c r="D164" i="16"/>
  <c r="C164" i="16"/>
  <c r="B164" i="16"/>
  <c r="A164" i="16"/>
  <c r="H163" i="16"/>
  <c r="G163" i="16"/>
  <c r="F163" i="16"/>
  <c r="E163" i="16"/>
  <c r="D163" i="16"/>
  <c r="C163" i="16"/>
  <c r="B163" i="16"/>
  <c r="A163" i="16"/>
  <c r="H162" i="16"/>
  <c r="G162" i="16"/>
  <c r="F162" i="16"/>
  <c r="E162" i="16"/>
  <c r="D162" i="16"/>
  <c r="C162" i="16"/>
  <c r="B162" i="16"/>
  <c r="A162" i="16"/>
  <c r="H161" i="16"/>
  <c r="G161" i="16"/>
  <c r="F161" i="16"/>
  <c r="E161" i="16"/>
  <c r="D161" i="16"/>
  <c r="C161" i="16"/>
  <c r="B161" i="16"/>
  <c r="A161" i="16"/>
  <c r="H160" i="16"/>
  <c r="G160" i="16"/>
  <c r="F160" i="16"/>
  <c r="E160" i="16"/>
  <c r="D160" i="16"/>
  <c r="C160" i="16"/>
  <c r="B160" i="16"/>
  <c r="A160" i="16"/>
  <c r="H159" i="16"/>
  <c r="G159" i="16"/>
  <c r="F159" i="16"/>
  <c r="E159" i="16"/>
  <c r="D159" i="16"/>
  <c r="C159" i="16"/>
  <c r="B159" i="16"/>
  <c r="A159" i="16"/>
  <c r="H158" i="16"/>
  <c r="G158" i="16"/>
  <c r="F158" i="16"/>
  <c r="E158" i="16"/>
  <c r="D158" i="16"/>
  <c r="C158" i="16"/>
  <c r="B158" i="16"/>
  <c r="A158" i="16"/>
  <c r="H157" i="16"/>
  <c r="G157" i="16"/>
  <c r="F157" i="16"/>
  <c r="E157" i="16"/>
  <c r="D157" i="16"/>
  <c r="C157" i="16"/>
  <c r="B157" i="16"/>
  <c r="A157" i="16"/>
  <c r="H156" i="16"/>
  <c r="G156" i="16"/>
  <c r="F156" i="16"/>
  <c r="E156" i="16"/>
  <c r="D156" i="16"/>
  <c r="C156" i="16"/>
  <c r="B156" i="16"/>
  <c r="A156" i="16"/>
  <c r="H155" i="16"/>
  <c r="G155" i="16"/>
  <c r="F155" i="16"/>
  <c r="E155" i="16"/>
  <c r="D155" i="16"/>
  <c r="C155" i="16"/>
  <c r="B155" i="16"/>
  <c r="A155" i="16"/>
  <c r="H154" i="16"/>
  <c r="G154" i="16"/>
  <c r="F154" i="16"/>
  <c r="E154" i="16"/>
  <c r="D154" i="16"/>
  <c r="C154" i="16"/>
  <c r="B154" i="16"/>
  <c r="A154" i="16"/>
  <c r="H153" i="16"/>
  <c r="G153" i="16"/>
  <c r="F153" i="16"/>
  <c r="E153" i="16"/>
  <c r="D153" i="16"/>
  <c r="C153" i="16"/>
  <c r="B153" i="16"/>
  <c r="A153" i="16"/>
  <c r="H152" i="16"/>
  <c r="G152" i="16"/>
  <c r="F152" i="16"/>
  <c r="E152" i="16"/>
  <c r="D152" i="16"/>
  <c r="C152" i="16"/>
  <c r="B152" i="16"/>
  <c r="A152" i="16"/>
  <c r="H151" i="16"/>
  <c r="G151" i="16"/>
  <c r="F151" i="16"/>
  <c r="E151" i="16"/>
  <c r="D151" i="16"/>
  <c r="C151" i="16"/>
  <c r="B151" i="16"/>
  <c r="A151" i="16"/>
  <c r="H150" i="16"/>
  <c r="G150" i="16"/>
  <c r="F150" i="16"/>
  <c r="E150" i="16"/>
  <c r="D150" i="16"/>
  <c r="C150" i="16"/>
  <c r="B150" i="16"/>
  <c r="A150" i="16"/>
  <c r="H149" i="16"/>
  <c r="G149" i="16"/>
  <c r="F149" i="16"/>
  <c r="E149" i="16"/>
  <c r="D149" i="16"/>
  <c r="C149" i="16"/>
  <c r="B149" i="16"/>
  <c r="A149" i="16"/>
  <c r="H148" i="16"/>
  <c r="G148" i="16"/>
  <c r="F148" i="16"/>
  <c r="E148" i="16"/>
  <c r="D148" i="16"/>
  <c r="C148" i="16"/>
  <c r="B148" i="16"/>
  <c r="A148" i="16"/>
  <c r="H147" i="16"/>
  <c r="G147" i="16"/>
  <c r="F147" i="16"/>
  <c r="E147" i="16"/>
  <c r="D147" i="16"/>
  <c r="C147" i="16"/>
  <c r="B147" i="16"/>
  <c r="A147" i="16"/>
  <c r="H146" i="16"/>
  <c r="G146" i="16"/>
  <c r="F146" i="16"/>
  <c r="E146" i="16"/>
  <c r="D146" i="16"/>
  <c r="C146" i="16"/>
  <c r="B146" i="16"/>
  <c r="A146" i="16"/>
  <c r="H145" i="16"/>
  <c r="G145" i="16"/>
  <c r="F145" i="16"/>
  <c r="E145" i="16"/>
  <c r="D145" i="16"/>
  <c r="C145" i="16"/>
  <c r="B145" i="16"/>
  <c r="A145" i="16"/>
  <c r="H144" i="16"/>
  <c r="G144" i="16"/>
  <c r="F144" i="16"/>
  <c r="E144" i="16"/>
  <c r="D144" i="16"/>
  <c r="C144" i="16"/>
  <c r="B144" i="16"/>
  <c r="A144" i="16"/>
  <c r="H143" i="16"/>
  <c r="G143" i="16"/>
  <c r="F143" i="16"/>
  <c r="E143" i="16"/>
  <c r="D143" i="16"/>
  <c r="C143" i="16"/>
  <c r="B143" i="16"/>
  <c r="A143" i="16"/>
  <c r="H142" i="16"/>
  <c r="G142" i="16"/>
  <c r="F142" i="16"/>
  <c r="E142" i="16"/>
  <c r="D142" i="16"/>
  <c r="C142" i="16"/>
  <c r="B142" i="16"/>
  <c r="A142" i="16"/>
  <c r="H141" i="16"/>
  <c r="G141" i="16"/>
  <c r="F141" i="16"/>
  <c r="E141" i="16"/>
  <c r="D141" i="16"/>
  <c r="C141" i="16"/>
  <c r="B141" i="16"/>
  <c r="A141" i="16"/>
  <c r="H140" i="16"/>
  <c r="G140" i="16"/>
  <c r="F140" i="16"/>
  <c r="E140" i="16"/>
  <c r="D140" i="16"/>
  <c r="C140" i="16"/>
  <c r="B140" i="16"/>
  <c r="A140" i="16"/>
  <c r="H139" i="16"/>
  <c r="G139" i="16"/>
  <c r="F139" i="16"/>
  <c r="E139" i="16"/>
  <c r="D139" i="16"/>
  <c r="C139" i="16"/>
  <c r="B139" i="16"/>
  <c r="A139" i="16"/>
  <c r="H138" i="16"/>
  <c r="G138" i="16"/>
  <c r="F138" i="16"/>
  <c r="E138" i="16"/>
  <c r="D138" i="16"/>
  <c r="C138" i="16"/>
  <c r="B138" i="16"/>
  <c r="A138" i="16"/>
  <c r="H137" i="16"/>
  <c r="G137" i="16"/>
  <c r="F137" i="16"/>
  <c r="E137" i="16"/>
  <c r="D137" i="16"/>
  <c r="C137" i="16"/>
  <c r="B137" i="16"/>
  <c r="A137" i="16"/>
  <c r="H136" i="16"/>
  <c r="G136" i="16"/>
  <c r="F136" i="16"/>
  <c r="E136" i="16"/>
  <c r="D136" i="16"/>
  <c r="C136" i="16"/>
  <c r="B136" i="16"/>
  <c r="A136" i="16"/>
  <c r="H135" i="16"/>
  <c r="G135" i="16"/>
  <c r="F135" i="16"/>
  <c r="E135" i="16"/>
  <c r="D135" i="16"/>
  <c r="C135" i="16"/>
  <c r="B135" i="16"/>
  <c r="A135" i="16"/>
  <c r="H134" i="16"/>
  <c r="G134" i="16"/>
  <c r="F134" i="16"/>
  <c r="E134" i="16"/>
  <c r="D134" i="16"/>
  <c r="C134" i="16"/>
  <c r="B134" i="16"/>
  <c r="A134" i="16"/>
  <c r="H133" i="16"/>
  <c r="G133" i="16"/>
  <c r="F133" i="16"/>
  <c r="E133" i="16"/>
  <c r="D133" i="16"/>
  <c r="C133" i="16"/>
  <c r="B133" i="16"/>
  <c r="A133" i="16"/>
  <c r="H132" i="16"/>
  <c r="G132" i="16"/>
  <c r="F132" i="16"/>
  <c r="E132" i="16"/>
  <c r="D132" i="16"/>
  <c r="C132" i="16"/>
  <c r="B132" i="16"/>
  <c r="A132" i="16"/>
  <c r="H131" i="16"/>
  <c r="G131" i="16"/>
  <c r="F131" i="16"/>
  <c r="E131" i="16"/>
  <c r="D131" i="16"/>
  <c r="C131" i="16"/>
  <c r="B131" i="16"/>
  <c r="A131" i="16"/>
  <c r="H130" i="16"/>
  <c r="G130" i="16"/>
  <c r="F130" i="16"/>
  <c r="E130" i="16"/>
  <c r="D130" i="16"/>
  <c r="C130" i="16"/>
  <c r="B130" i="16"/>
  <c r="A130" i="16"/>
  <c r="H129" i="16"/>
  <c r="G129" i="16"/>
  <c r="F129" i="16"/>
  <c r="E129" i="16"/>
  <c r="D129" i="16"/>
  <c r="C129" i="16"/>
  <c r="B129" i="16"/>
  <c r="A129" i="16"/>
  <c r="H128" i="16"/>
  <c r="G128" i="16"/>
  <c r="F128" i="16"/>
  <c r="E128" i="16"/>
  <c r="D128" i="16"/>
  <c r="C128" i="16"/>
  <c r="B128" i="16"/>
  <c r="A128" i="16"/>
  <c r="H127" i="16"/>
  <c r="G127" i="16"/>
  <c r="F127" i="16"/>
  <c r="E127" i="16"/>
  <c r="D127" i="16"/>
  <c r="C127" i="16"/>
  <c r="B127" i="16"/>
  <c r="A127" i="16"/>
  <c r="H126" i="16"/>
  <c r="G126" i="16"/>
  <c r="F126" i="16"/>
  <c r="E126" i="16"/>
  <c r="D126" i="16"/>
  <c r="C126" i="16"/>
  <c r="B126" i="16"/>
  <c r="A126" i="16"/>
  <c r="H125" i="16"/>
  <c r="G125" i="16"/>
  <c r="F125" i="16"/>
  <c r="E125" i="16"/>
  <c r="D125" i="16"/>
  <c r="C125" i="16"/>
  <c r="B125" i="16"/>
  <c r="A125" i="16"/>
  <c r="H124" i="16"/>
  <c r="G124" i="16"/>
  <c r="F124" i="16"/>
  <c r="E124" i="16"/>
  <c r="D124" i="16"/>
  <c r="C124" i="16"/>
  <c r="B124" i="16"/>
  <c r="A124" i="16"/>
  <c r="H123" i="16"/>
  <c r="G123" i="16"/>
  <c r="F123" i="16"/>
  <c r="E123" i="16"/>
  <c r="D123" i="16"/>
  <c r="C123" i="16"/>
  <c r="B123" i="16"/>
  <c r="A123" i="16"/>
  <c r="H122" i="16"/>
  <c r="G122" i="16"/>
  <c r="F122" i="16"/>
  <c r="E122" i="16"/>
  <c r="D122" i="16"/>
  <c r="C122" i="16"/>
  <c r="B122" i="16"/>
  <c r="A122" i="16"/>
  <c r="H121" i="16"/>
  <c r="G121" i="16"/>
  <c r="F121" i="16"/>
  <c r="E121" i="16"/>
  <c r="D121" i="16"/>
  <c r="C121" i="16"/>
  <c r="B121" i="16"/>
  <c r="A121" i="16"/>
  <c r="H120" i="16"/>
  <c r="G120" i="16"/>
  <c r="F120" i="16"/>
  <c r="E120" i="16"/>
  <c r="D120" i="16"/>
  <c r="C120" i="16"/>
  <c r="B120" i="16"/>
  <c r="A120" i="16"/>
  <c r="H119" i="16"/>
  <c r="G119" i="16"/>
  <c r="F119" i="16"/>
  <c r="E119" i="16"/>
  <c r="D119" i="16"/>
  <c r="C119" i="16"/>
  <c r="B119" i="16"/>
  <c r="A119" i="16"/>
  <c r="H118" i="16"/>
  <c r="G118" i="16"/>
  <c r="F118" i="16"/>
  <c r="E118" i="16"/>
  <c r="D118" i="16"/>
  <c r="C118" i="16"/>
  <c r="B118" i="16"/>
  <c r="A118" i="16"/>
  <c r="H117" i="16"/>
  <c r="G117" i="16"/>
  <c r="F117" i="16"/>
  <c r="E117" i="16"/>
  <c r="D117" i="16"/>
  <c r="C117" i="16"/>
  <c r="B117" i="16"/>
  <c r="A117" i="16"/>
  <c r="H116" i="16"/>
  <c r="G116" i="16"/>
  <c r="F116" i="16"/>
  <c r="E116" i="16"/>
  <c r="D116" i="16"/>
  <c r="C116" i="16"/>
  <c r="B116" i="16"/>
  <c r="A116" i="16"/>
  <c r="H115" i="16"/>
  <c r="G115" i="16"/>
  <c r="F115" i="16"/>
  <c r="E115" i="16"/>
  <c r="D115" i="16"/>
  <c r="C115" i="16"/>
  <c r="B115" i="16"/>
  <c r="A115" i="16"/>
  <c r="H114" i="16"/>
  <c r="G114" i="16"/>
  <c r="F114" i="16"/>
  <c r="E114" i="16"/>
  <c r="D114" i="16"/>
  <c r="C114" i="16"/>
  <c r="B114" i="16"/>
  <c r="A114" i="16"/>
  <c r="H113" i="16"/>
  <c r="G113" i="16"/>
  <c r="F113" i="16"/>
  <c r="E113" i="16"/>
  <c r="D113" i="16"/>
  <c r="C113" i="16"/>
  <c r="B113" i="16"/>
  <c r="A113" i="16"/>
  <c r="H112" i="16"/>
  <c r="G112" i="16"/>
  <c r="F112" i="16"/>
  <c r="E112" i="16"/>
  <c r="D112" i="16"/>
  <c r="C112" i="16"/>
  <c r="B112" i="16"/>
  <c r="A112" i="16"/>
  <c r="H111" i="16"/>
  <c r="G111" i="16"/>
  <c r="F111" i="16"/>
  <c r="E111" i="16"/>
  <c r="D111" i="16"/>
  <c r="C111" i="16"/>
  <c r="B111" i="16"/>
  <c r="A111" i="16"/>
  <c r="H110" i="16"/>
  <c r="G110" i="16"/>
  <c r="F110" i="16"/>
  <c r="E110" i="16"/>
  <c r="D110" i="16"/>
  <c r="C110" i="16"/>
  <c r="B110" i="16"/>
  <c r="A110" i="16"/>
  <c r="H109" i="16"/>
  <c r="G109" i="16"/>
  <c r="F109" i="16"/>
  <c r="E109" i="16"/>
  <c r="D109" i="16"/>
  <c r="C109" i="16"/>
  <c r="B109" i="16"/>
  <c r="A109" i="16"/>
  <c r="H108" i="16"/>
  <c r="G108" i="16"/>
  <c r="F108" i="16"/>
  <c r="E108" i="16"/>
  <c r="D108" i="16"/>
  <c r="C108" i="16"/>
  <c r="B108" i="16"/>
  <c r="A108" i="16"/>
  <c r="H107" i="16"/>
  <c r="G107" i="16"/>
  <c r="F107" i="16"/>
  <c r="E107" i="16"/>
  <c r="D107" i="16"/>
  <c r="C107" i="16"/>
  <c r="B107" i="16"/>
  <c r="A107" i="16"/>
  <c r="H106" i="16"/>
  <c r="G106" i="16"/>
  <c r="F106" i="16"/>
  <c r="E106" i="16"/>
  <c r="D106" i="16"/>
  <c r="C106" i="16"/>
  <c r="B106" i="16"/>
  <c r="A106" i="16"/>
  <c r="H105" i="16"/>
  <c r="G105" i="16"/>
  <c r="F105" i="16"/>
  <c r="E105" i="16"/>
  <c r="D105" i="16"/>
  <c r="C105" i="16"/>
  <c r="B105" i="16"/>
  <c r="A105" i="16"/>
  <c r="H104" i="16"/>
  <c r="G104" i="16"/>
  <c r="F104" i="16"/>
  <c r="E104" i="16"/>
  <c r="D104" i="16"/>
  <c r="C104" i="16"/>
  <c r="B104" i="16"/>
  <c r="A104" i="16"/>
  <c r="H103" i="16"/>
  <c r="G103" i="16"/>
  <c r="F103" i="16"/>
  <c r="E103" i="16"/>
  <c r="D103" i="16"/>
  <c r="C103" i="16"/>
  <c r="B103" i="16"/>
  <c r="A103" i="16"/>
  <c r="H102" i="16"/>
  <c r="G102" i="16"/>
  <c r="F102" i="16"/>
  <c r="E102" i="16"/>
  <c r="D102" i="16"/>
  <c r="C102" i="16"/>
  <c r="B102" i="16"/>
  <c r="A102" i="16"/>
  <c r="H101" i="16"/>
  <c r="G101" i="16"/>
  <c r="F101" i="16"/>
  <c r="E101" i="16"/>
  <c r="D101" i="16"/>
  <c r="C101" i="16"/>
  <c r="B101" i="16"/>
  <c r="A101" i="16"/>
  <c r="H100" i="16"/>
  <c r="G100" i="16"/>
  <c r="F100" i="16"/>
  <c r="E100" i="16"/>
  <c r="D100" i="16"/>
  <c r="C100" i="16"/>
  <c r="B100" i="16"/>
  <c r="A100" i="16"/>
  <c r="H99" i="16"/>
  <c r="G99" i="16"/>
  <c r="F99" i="16"/>
  <c r="E99" i="16"/>
  <c r="D99" i="16"/>
  <c r="C99" i="16"/>
  <c r="B99" i="16"/>
  <c r="A99" i="16"/>
  <c r="H98" i="16"/>
  <c r="G98" i="16"/>
  <c r="F98" i="16"/>
  <c r="E98" i="16"/>
  <c r="D98" i="16"/>
  <c r="C98" i="16"/>
  <c r="B98" i="16"/>
  <c r="A98" i="16"/>
  <c r="H97" i="16"/>
  <c r="G97" i="16"/>
  <c r="F97" i="16"/>
  <c r="E97" i="16"/>
  <c r="D97" i="16"/>
  <c r="C97" i="16"/>
  <c r="B97" i="16"/>
  <c r="A97" i="16"/>
  <c r="H96" i="16"/>
  <c r="G96" i="16"/>
  <c r="F96" i="16"/>
  <c r="E96" i="16"/>
  <c r="D96" i="16"/>
  <c r="C96" i="16"/>
  <c r="B96" i="16"/>
  <c r="A96" i="16"/>
  <c r="H95" i="16"/>
  <c r="G95" i="16"/>
  <c r="F95" i="16"/>
  <c r="E95" i="16"/>
  <c r="D95" i="16"/>
  <c r="C95" i="16"/>
  <c r="B95" i="16"/>
  <c r="A95" i="16"/>
  <c r="H94" i="16"/>
  <c r="G94" i="16"/>
  <c r="F94" i="16"/>
  <c r="E94" i="16"/>
  <c r="D94" i="16"/>
  <c r="C94" i="16"/>
  <c r="B94" i="16"/>
  <c r="A94" i="16"/>
  <c r="H93" i="16"/>
  <c r="G93" i="16"/>
  <c r="F93" i="16"/>
  <c r="E93" i="16"/>
  <c r="D93" i="16"/>
  <c r="C93" i="16"/>
  <c r="B93" i="16"/>
  <c r="A93" i="16"/>
  <c r="H92" i="16"/>
  <c r="G92" i="16"/>
  <c r="F92" i="16"/>
  <c r="E92" i="16"/>
  <c r="D92" i="16"/>
  <c r="C92" i="16"/>
  <c r="B92" i="16"/>
  <c r="A92" i="16"/>
  <c r="H91" i="16"/>
  <c r="G91" i="16"/>
  <c r="F91" i="16"/>
  <c r="E91" i="16"/>
  <c r="D91" i="16"/>
  <c r="C91" i="16"/>
  <c r="B91" i="16"/>
  <c r="A91" i="16"/>
  <c r="H90" i="16"/>
  <c r="G90" i="16"/>
  <c r="F90" i="16"/>
  <c r="E90" i="16"/>
  <c r="D90" i="16"/>
  <c r="C90" i="16"/>
  <c r="B90" i="16"/>
  <c r="A90" i="16"/>
  <c r="H89" i="16"/>
  <c r="G89" i="16"/>
  <c r="F89" i="16"/>
  <c r="E89" i="16"/>
  <c r="D89" i="16"/>
  <c r="C89" i="16"/>
  <c r="B89" i="16"/>
  <c r="A89" i="16"/>
  <c r="H88" i="16"/>
  <c r="G88" i="16"/>
  <c r="F88" i="16"/>
  <c r="E88" i="16"/>
  <c r="D88" i="16"/>
  <c r="C88" i="16"/>
  <c r="B88" i="16"/>
  <c r="A88" i="16"/>
  <c r="H87" i="16"/>
  <c r="G87" i="16"/>
  <c r="F87" i="16"/>
  <c r="E87" i="16"/>
  <c r="D87" i="16"/>
  <c r="C87" i="16"/>
  <c r="B87" i="16"/>
  <c r="A87" i="16"/>
  <c r="H86" i="16"/>
  <c r="G86" i="16"/>
  <c r="F86" i="16"/>
  <c r="E86" i="16"/>
  <c r="D86" i="16"/>
  <c r="C86" i="16"/>
  <c r="B86" i="16"/>
  <c r="A86" i="16"/>
  <c r="H85" i="16"/>
  <c r="G85" i="16"/>
  <c r="F85" i="16"/>
  <c r="E85" i="16"/>
  <c r="D85" i="16"/>
  <c r="C85" i="16"/>
  <c r="B85" i="16"/>
  <c r="A85" i="16"/>
  <c r="H84" i="16"/>
  <c r="G84" i="16"/>
  <c r="F84" i="16"/>
  <c r="E84" i="16"/>
  <c r="D84" i="16"/>
  <c r="C84" i="16"/>
  <c r="B84" i="16"/>
  <c r="A84" i="16"/>
  <c r="H83" i="16"/>
  <c r="G83" i="16"/>
  <c r="F83" i="16"/>
  <c r="E83" i="16"/>
  <c r="D83" i="16"/>
  <c r="C83" i="16"/>
  <c r="B83" i="16"/>
  <c r="A83" i="16"/>
  <c r="H82" i="16"/>
  <c r="G82" i="16"/>
  <c r="F82" i="16"/>
  <c r="E82" i="16"/>
  <c r="D82" i="16"/>
  <c r="C82" i="16"/>
  <c r="B82" i="16"/>
  <c r="A82" i="16"/>
  <c r="H81" i="16"/>
  <c r="G81" i="16"/>
  <c r="F81" i="16"/>
  <c r="E81" i="16"/>
  <c r="D81" i="16"/>
  <c r="C81" i="16"/>
  <c r="B81" i="16"/>
  <c r="A81" i="16"/>
  <c r="H80" i="16"/>
  <c r="G80" i="16"/>
  <c r="F80" i="16"/>
  <c r="E80" i="16"/>
  <c r="D80" i="16"/>
  <c r="C80" i="16"/>
  <c r="B80" i="16"/>
  <c r="A80" i="16"/>
  <c r="H79" i="16"/>
  <c r="G79" i="16"/>
  <c r="F79" i="16"/>
  <c r="E79" i="16"/>
  <c r="D79" i="16"/>
  <c r="C79" i="16"/>
  <c r="B79" i="16"/>
  <c r="A79" i="16"/>
  <c r="H78" i="16"/>
  <c r="G78" i="16"/>
  <c r="F78" i="16"/>
  <c r="E78" i="16"/>
  <c r="D78" i="16"/>
  <c r="C78" i="16"/>
  <c r="B78" i="16"/>
  <c r="A78" i="16"/>
  <c r="H77" i="16"/>
  <c r="G77" i="16"/>
  <c r="F77" i="16"/>
  <c r="E77" i="16"/>
  <c r="D77" i="16"/>
  <c r="C77" i="16"/>
  <c r="B77" i="16"/>
  <c r="A77" i="16"/>
  <c r="H76" i="16"/>
  <c r="G76" i="16"/>
  <c r="F76" i="16"/>
  <c r="E76" i="16"/>
  <c r="D76" i="16"/>
  <c r="C76" i="16"/>
  <c r="B76" i="16"/>
  <c r="A76" i="16"/>
  <c r="H75" i="16"/>
  <c r="G75" i="16"/>
  <c r="F75" i="16"/>
  <c r="E75" i="16"/>
  <c r="D75" i="16"/>
  <c r="C75" i="16"/>
  <c r="B75" i="16"/>
  <c r="A75" i="16"/>
  <c r="H74" i="16"/>
  <c r="G74" i="16"/>
  <c r="F74" i="16"/>
  <c r="E74" i="16"/>
  <c r="D74" i="16"/>
  <c r="C74" i="16"/>
  <c r="B74" i="16"/>
  <c r="A74" i="16"/>
  <c r="H73" i="16"/>
  <c r="G73" i="16"/>
  <c r="F73" i="16"/>
  <c r="E73" i="16"/>
  <c r="D73" i="16"/>
  <c r="C73" i="16"/>
  <c r="B73" i="16"/>
  <c r="A73" i="16"/>
  <c r="H72" i="16"/>
  <c r="G72" i="16"/>
  <c r="F72" i="16"/>
  <c r="E72" i="16"/>
  <c r="D72" i="16"/>
  <c r="C72" i="16"/>
  <c r="B72" i="16"/>
  <c r="A72" i="16"/>
  <c r="H71" i="16"/>
  <c r="G71" i="16"/>
  <c r="F71" i="16"/>
  <c r="E71" i="16"/>
  <c r="D71" i="16"/>
  <c r="C71" i="16"/>
  <c r="B71" i="16"/>
  <c r="A71" i="16"/>
  <c r="H70" i="16"/>
  <c r="G70" i="16"/>
  <c r="F70" i="16"/>
  <c r="E70" i="16"/>
  <c r="D70" i="16"/>
  <c r="C70" i="16"/>
  <c r="B70" i="16"/>
  <c r="A70" i="16"/>
  <c r="H69" i="16"/>
  <c r="G69" i="16"/>
  <c r="F69" i="16"/>
  <c r="E69" i="16"/>
  <c r="D69" i="16"/>
  <c r="C69" i="16"/>
  <c r="B69" i="16"/>
  <c r="A69" i="16"/>
  <c r="H68" i="16"/>
  <c r="G68" i="16"/>
  <c r="F68" i="16"/>
  <c r="E68" i="16"/>
  <c r="D68" i="16"/>
  <c r="C68" i="16"/>
  <c r="B68" i="16"/>
  <c r="A68" i="16"/>
  <c r="H67" i="16"/>
  <c r="G67" i="16"/>
  <c r="F67" i="16"/>
  <c r="E67" i="16"/>
  <c r="D67" i="16"/>
  <c r="C67" i="16"/>
  <c r="B67" i="16"/>
  <c r="A67" i="16"/>
  <c r="H66" i="16"/>
  <c r="G66" i="16"/>
  <c r="F66" i="16"/>
  <c r="E66" i="16"/>
  <c r="D66" i="16"/>
  <c r="C66" i="16"/>
  <c r="B66" i="16"/>
  <c r="A66" i="16"/>
  <c r="H65" i="16"/>
  <c r="G65" i="16"/>
  <c r="F65" i="16"/>
  <c r="E65" i="16"/>
  <c r="D65" i="16"/>
  <c r="C65" i="16"/>
  <c r="B65" i="16"/>
  <c r="A65" i="16"/>
  <c r="H64" i="16"/>
  <c r="G64" i="16"/>
  <c r="F64" i="16"/>
  <c r="E64" i="16"/>
  <c r="D64" i="16"/>
  <c r="C64" i="16"/>
  <c r="B64" i="16"/>
  <c r="A64" i="16"/>
  <c r="H63" i="16"/>
  <c r="G63" i="16"/>
  <c r="F63" i="16"/>
  <c r="E63" i="16"/>
  <c r="D63" i="16"/>
  <c r="C63" i="16"/>
  <c r="B63" i="16"/>
  <c r="A63" i="16"/>
  <c r="H62" i="16"/>
  <c r="G62" i="16"/>
  <c r="F62" i="16"/>
  <c r="E62" i="16"/>
  <c r="D62" i="16"/>
  <c r="C62" i="16"/>
  <c r="B62" i="16"/>
  <c r="A62" i="16"/>
  <c r="H61" i="16"/>
  <c r="G61" i="16"/>
  <c r="F61" i="16"/>
  <c r="E61" i="16"/>
  <c r="D61" i="16"/>
  <c r="C61" i="16"/>
  <c r="B61" i="16"/>
  <c r="A61" i="16"/>
  <c r="H60" i="16"/>
  <c r="G60" i="16"/>
  <c r="F60" i="16"/>
  <c r="E60" i="16"/>
  <c r="D60" i="16"/>
  <c r="C60" i="16"/>
  <c r="B60" i="16"/>
  <c r="A60" i="16"/>
  <c r="H59" i="16"/>
  <c r="G59" i="16"/>
  <c r="F59" i="16"/>
  <c r="E59" i="16"/>
  <c r="D59" i="16"/>
  <c r="C59" i="16"/>
  <c r="B59" i="16"/>
  <c r="A59" i="16"/>
  <c r="H58" i="16"/>
  <c r="G58" i="16"/>
  <c r="F58" i="16"/>
  <c r="E58" i="16"/>
  <c r="D58" i="16"/>
  <c r="C58" i="16"/>
  <c r="B58" i="16"/>
  <c r="A58" i="16"/>
  <c r="H57" i="16"/>
  <c r="G57" i="16"/>
  <c r="F57" i="16"/>
  <c r="E57" i="16"/>
  <c r="D57" i="16"/>
  <c r="C57" i="16"/>
  <c r="B57" i="16"/>
  <c r="A57" i="16"/>
  <c r="H56" i="16"/>
  <c r="G56" i="16"/>
  <c r="F56" i="16"/>
  <c r="E56" i="16"/>
  <c r="D56" i="16"/>
  <c r="C56" i="16"/>
  <c r="B56" i="16"/>
  <c r="A56" i="16"/>
  <c r="H55" i="16"/>
  <c r="G55" i="16"/>
  <c r="F55" i="16"/>
  <c r="E55" i="16"/>
  <c r="D55" i="16"/>
  <c r="C55" i="16"/>
  <c r="B55" i="16"/>
  <c r="A55" i="16"/>
  <c r="H54" i="16"/>
  <c r="G54" i="16"/>
  <c r="F54" i="16"/>
  <c r="E54" i="16"/>
  <c r="D54" i="16"/>
  <c r="C54" i="16"/>
  <c r="B54" i="16"/>
  <c r="A54" i="16"/>
  <c r="H53" i="16"/>
  <c r="G53" i="16"/>
  <c r="F53" i="16"/>
  <c r="E53" i="16"/>
  <c r="D53" i="16"/>
  <c r="C53" i="16"/>
  <c r="B53" i="16"/>
  <c r="A53" i="16"/>
  <c r="H52" i="16"/>
  <c r="G52" i="16"/>
  <c r="F52" i="16"/>
  <c r="E52" i="16"/>
  <c r="D52" i="16"/>
  <c r="C52" i="16"/>
  <c r="B52" i="16"/>
  <c r="A52" i="16"/>
  <c r="H51" i="16"/>
  <c r="G51" i="16"/>
  <c r="F51" i="16"/>
  <c r="E51" i="16"/>
  <c r="D51" i="16"/>
  <c r="C51" i="16"/>
  <c r="B51" i="16"/>
  <c r="A51" i="16"/>
  <c r="H50" i="16"/>
  <c r="G50" i="16"/>
  <c r="F50" i="16"/>
  <c r="E50" i="16"/>
  <c r="D50" i="16"/>
  <c r="C50" i="16"/>
  <c r="B50" i="16"/>
  <c r="A50" i="16"/>
  <c r="H49" i="16"/>
  <c r="G49" i="16"/>
  <c r="F49" i="16"/>
  <c r="E49" i="16"/>
  <c r="D49" i="16"/>
  <c r="C49" i="16"/>
  <c r="B49" i="16"/>
  <c r="A49" i="16"/>
  <c r="H48" i="16"/>
  <c r="G48" i="16"/>
  <c r="F48" i="16"/>
  <c r="E48" i="16"/>
  <c r="D48" i="16"/>
  <c r="C48" i="16"/>
  <c r="B48" i="16"/>
  <c r="A48" i="16"/>
  <c r="H47" i="16"/>
  <c r="G47" i="16"/>
  <c r="F47" i="16"/>
  <c r="E47" i="16"/>
  <c r="D47" i="16"/>
  <c r="C47" i="16"/>
  <c r="B47" i="16"/>
  <c r="A47" i="16"/>
  <c r="H46" i="16"/>
  <c r="G46" i="16"/>
  <c r="F46" i="16"/>
  <c r="E46" i="16"/>
  <c r="D46" i="16"/>
  <c r="C46" i="16"/>
  <c r="B46" i="16"/>
  <c r="A46" i="16"/>
  <c r="H45" i="16"/>
  <c r="G45" i="16"/>
  <c r="F45" i="16"/>
  <c r="E45" i="16"/>
  <c r="D45" i="16"/>
  <c r="C45" i="16"/>
  <c r="B45" i="16"/>
  <c r="A45" i="16"/>
  <c r="H44" i="16"/>
  <c r="G44" i="16"/>
  <c r="F44" i="16"/>
  <c r="E44" i="16"/>
  <c r="D44" i="16"/>
  <c r="C44" i="16"/>
  <c r="B44" i="16"/>
  <c r="A44" i="16"/>
  <c r="H43" i="16"/>
  <c r="G43" i="16"/>
  <c r="F43" i="16"/>
  <c r="E43" i="16"/>
  <c r="D43" i="16"/>
  <c r="C43" i="16"/>
  <c r="B43" i="16"/>
  <c r="A43" i="16"/>
  <c r="H42" i="16"/>
  <c r="G42" i="16"/>
  <c r="F42" i="16"/>
  <c r="E42" i="16"/>
  <c r="D42" i="16"/>
  <c r="C42" i="16"/>
  <c r="B42" i="16"/>
  <c r="A42" i="16"/>
  <c r="H41" i="16"/>
  <c r="G41" i="16"/>
  <c r="F41" i="16"/>
  <c r="E41" i="16"/>
  <c r="D41" i="16"/>
  <c r="C41" i="16"/>
  <c r="B41" i="16"/>
  <c r="A41" i="16"/>
  <c r="H40" i="16"/>
  <c r="G40" i="16"/>
  <c r="F40" i="16"/>
  <c r="E40" i="16"/>
  <c r="D40" i="16"/>
  <c r="C40" i="16"/>
  <c r="B40" i="16"/>
  <c r="A40" i="16"/>
  <c r="H39" i="16"/>
  <c r="G39" i="16"/>
  <c r="F39" i="16"/>
  <c r="E39" i="16"/>
  <c r="D39" i="16"/>
  <c r="C39" i="16"/>
  <c r="B39" i="16"/>
  <c r="A39" i="16"/>
  <c r="H38" i="16"/>
  <c r="G38" i="16"/>
  <c r="F38" i="16"/>
  <c r="E38" i="16"/>
  <c r="D38" i="16"/>
  <c r="C38" i="16"/>
  <c r="B38" i="16"/>
  <c r="A38" i="16"/>
  <c r="H37" i="16"/>
  <c r="G37" i="16"/>
  <c r="F37" i="16"/>
  <c r="E37" i="16"/>
  <c r="D37" i="16"/>
  <c r="C37" i="16"/>
  <c r="B37" i="16"/>
  <c r="A37" i="16"/>
  <c r="H36" i="16"/>
  <c r="G36" i="16"/>
  <c r="F36" i="16"/>
  <c r="E36" i="16"/>
  <c r="D36" i="16"/>
  <c r="C36" i="16"/>
  <c r="B36" i="16"/>
  <c r="A36" i="16"/>
  <c r="H35" i="16"/>
  <c r="G35" i="16"/>
  <c r="F35" i="16"/>
  <c r="E35" i="16"/>
  <c r="D35" i="16"/>
  <c r="C35" i="16"/>
  <c r="B35" i="16"/>
  <c r="A35" i="16"/>
  <c r="H34" i="16"/>
  <c r="G34" i="16"/>
  <c r="F34" i="16"/>
  <c r="E34" i="16"/>
  <c r="D34" i="16"/>
  <c r="C34" i="16"/>
  <c r="B34" i="16"/>
  <c r="A34" i="16"/>
  <c r="H33" i="16"/>
  <c r="G33" i="16"/>
  <c r="F33" i="16"/>
  <c r="E33" i="16"/>
  <c r="D33" i="16"/>
  <c r="C33" i="16"/>
  <c r="B33" i="16"/>
  <c r="A33" i="16"/>
  <c r="H32" i="16"/>
  <c r="G32" i="16"/>
  <c r="F32" i="16"/>
  <c r="E32" i="16"/>
  <c r="D32" i="16"/>
  <c r="C32" i="16"/>
  <c r="B32" i="16"/>
  <c r="A32" i="16"/>
  <c r="H31" i="16"/>
  <c r="G31" i="16"/>
  <c r="F31" i="16"/>
  <c r="E31" i="16"/>
  <c r="D31" i="16"/>
  <c r="C31" i="16"/>
  <c r="B31" i="16"/>
  <c r="A31" i="16"/>
  <c r="H30" i="16"/>
  <c r="G30" i="16"/>
  <c r="F30" i="16"/>
  <c r="E30" i="16"/>
  <c r="D30" i="16"/>
  <c r="C30" i="16"/>
  <c r="B30" i="16"/>
  <c r="A30" i="16"/>
  <c r="H29" i="16"/>
  <c r="G29" i="16"/>
  <c r="F29" i="16"/>
  <c r="E29" i="16"/>
  <c r="D29" i="16"/>
  <c r="C29" i="16"/>
  <c r="B29" i="16"/>
  <c r="A29" i="16"/>
  <c r="H28" i="16"/>
  <c r="G28" i="16"/>
  <c r="F28" i="16"/>
  <c r="E28" i="16"/>
  <c r="D28" i="16"/>
  <c r="C28" i="16"/>
  <c r="B28" i="16"/>
  <c r="A28" i="16"/>
  <c r="H27" i="16"/>
  <c r="G27" i="16"/>
  <c r="F27" i="16"/>
  <c r="E27" i="16"/>
  <c r="D27" i="16"/>
  <c r="C27" i="16"/>
  <c r="B27" i="16"/>
  <c r="A27" i="16"/>
  <c r="H26" i="16"/>
  <c r="G26" i="16"/>
  <c r="F26" i="16"/>
  <c r="E26" i="16"/>
  <c r="D26" i="16"/>
  <c r="C26" i="16"/>
  <c r="B26" i="16"/>
  <c r="A26" i="16"/>
  <c r="H25" i="16"/>
  <c r="G25" i="16"/>
  <c r="F25" i="16"/>
  <c r="E25" i="16"/>
  <c r="D25" i="16"/>
  <c r="C25" i="16"/>
  <c r="B25" i="16"/>
  <c r="A25" i="16"/>
  <c r="H24" i="16"/>
  <c r="G24" i="16"/>
  <c r="F24" i="16"/>
  <c r="E24" i="16"/>
  <c r="D24" i="16"/>
  <c r="C24" i="16"/>
  <c r="B24" i="16"/>
  <c r="A24" i="16"/>
  <c r="H23" i="16"/>
  <c r="G23" i="16"/>
  <c r="F23" i="16"/>
  <c r="E23" i="16"/>
  <c r="D23" i="16"/>
  <c r="C23" i="16"/>
  <c r="B23" i="16"/>
  <c r="A23" i="16"/>
  <c r="H22" i="16"/>
  <c r="G22" i="16"/>
  <c r="F22" i="16"/>
  <c r="E22" i="16"/>
  <c r="D22" i="16"/>
  <c r="C22" i="16"/>
  <c r="B22" i="16"/>
  <c r="A22" i="16"/>
  <c r="H21" i="16"/>
  <c r="G21" i="16"/>
  <c r="F21" i="16"/>
  <c r="E21" i="16"/>
  <c r="D21" i="16"/>
  <c r="C21" i="16"/>
  <c r="B21" i="16"/>
  <c r="A21" i="16"/>
  <c r="H20" i="16"/>
  <c r="G20" i="16"/>
  <c r="F20" i="16"/>
  <c r="E20" i="16"/>
  <c r="D20" i="16"/>
  <c r="C20" i="16"/>
  <c r="B20" i="16"/>
  <c r="A20" i="16"/>
  <c r="H19" i="16"/>
  <c r="G19" i="16"/>
  <c r="F19" i="16"/>
  <c r="E19" i="16"/>
  <c r="D19" i="16"/>
  <c r="C19" i="16"/>
  <c r="B19" i="16"/>
  <c r="A19" i="16"/>
  <c r="H18" i="16"/>
  <c r="G18" i="16"/>
  <c r="F18" i="16"/>
  <c r="E18" i="16"/>
  <c r="D18" i="16"/>
  <c r="C18" i="16"/>
  <c r="B18" i="16"/>
  <c r="A18" i="16"/>
  <c r="H17" i="16"/>
  <c r="G17" i="16"/>
  <c r="F17" i="16"/>
  <c r="E17" i="16"/>
  <c r="D17" i="16"/>
  <c r="C17" i="16"/>
  <c r="B17" i="16"/>
  <c r="A17" i="16"/>
  <c r="H16" i="16"/>
  <c r="G16" i="16"/>
  <c r="F16" i="16"/>
  <c r="E16" i="16"/>
  <c r="D16" i="16"/>
  <c r="C16" i="16"/>
  <c r="B16" i="16"/>
  <c r="A16" i="16"/>
  <c r="H15" i="16"/>
  <c r="G15" i="16"/>
  <c r="F15" i="16"/>
  <c r="E15" i="16"/>
  <c r="D15" i="16"/>
  <c r="C15" i="16"/>
  <c r="B15" i="16"/>
  <c r="A15" i="16"/>
  <c r="H14" i="16"/>
  <c r="G14" i="16"/>
  <c r="F14" i="16"/>
  <c r="E14" i="16"/>
  <c r="D14" i="16"/>
  <c r="C14" i="16"/>
  <c r="B14" i="16"/>
  <c r="A14" i="16"/>
  <c r="H13" i="16"/>
  <c r="G13" i="16"/>
  <c r="F13" i="16"/>
  <c r="E13" i="16"/>
  <c r="D13" i="16"/>
  <c r="C13" i="16"/>
  <c r="B13" i="16"/>
  <c r="A13" i="16"/>
  <c r="H12" i="16"/>
  <c r="G12" i="16"/>
  <c r="F12" i="16"/>
  <c r="E12" i="16"/>
  <c r="D12" i="16"/>
  <c r="C12" i="16"/>
  <c r="B12" i="16"/>
  <c r="A12" i="16"/>
  <c r="H11" i="16"/>
  <c r="G11" i="16"/>
  <c r="F11" i="16"/>
  <c r="E11" i="16"/>
  <c r="D11" i="16"/>
  <c r="C11" i="16"/>
  <c r="B11" i="16"/>
  <c r="A11" i="16"/>
  <c r="H10" i="16"/>
  <c r="G10" i="16"/>
  <c r="F10" i="16"/>
  <c r="E10" i="16"/>
  <c r="D10" i="16"/>
  <c r="C10" i="16"/>
  <c r="B10" i="16"/>
  <c r="A10" i="16"/>
  <c r="H9" i="16"/>
  <c r="G9" i="16"/>
  <c r="F9" i="16"/>
  <c r="E9" i="16"/>
  <c r="D9" i="16"/>
  <c r="C9" i="16"/>
  <c r="B9" i="16"/>
  <c r="A9" i="16"/>
  <c r="H8" i="16"/>
  <c r="G8" i="16"/>
  <c r="F8" i="16"/>
  <c r="E8" i="16"/>
  <c r="D8" i="16"/>
  <c r="C8" i="16"/>
  <c r="B8" i="16"/>
  <c r="A8" i="16"/>
  <c r="H7" i="16"/>
  <c r="G7" i="16"/>
  <c r="F7" i="16"/>
  <c r="E7" i="16"/>
  <c r="D7" i="16"/>
  <c r="C7" i="16"/>
  <c r="B7" i="16"/>
  <c r="A7" i="16"/>
  <c r="H6" i="16"/>
  <c r="G6" i="16"/>
  <c r="F6" i="16"/>
  <c r="E6" i="16"/>
  <c r="D6" i="16"/>
  <c r="C6" i="16"/>
  <c r="B6" i="16"/>
  <c r="A6" i="16"/>
  <c r="H5" i="16"/>
  <c r="G5" i="16"/>
  <c r="F5" i="16"/>
  <c r="E5" i="16"/>
  <c r="D5" i="16"/>
  <c r="C5" i="16"/>
  <c r="B5" i="16"/>
  <c r="A5" i="16"/>
  <c r="H4" i="16"/>
  <c r="G4" i="16"/>
  <c r="F4" i="16"/>
  <c r="E4" i="16"/>
  <c r="D4" i="16"/>
  <c r="C4" i="16"/>
  <c r="B4" i="16"/>
  <c r="A4" i="16"/>
  <c r="H3" i="16"/>
  <c r="G3" i="16"/>
  <c r="F3" i="16"/>
  <c r="E3" i="16"/>
  <c r="D3" i="16"/>
  <c r="C3" i="16"/>
  <c r="B3" i="16"/>
  <c r="A3" i="16"/>
  <c r="H2" i="16"/>
  <c r="G2" i="16"/>
  <c r="F2" i="16"/>
  <c r="E2" i="16"/>
  <c r="D2" i="16"/>
  <c r="C2" i="16"/>
  <c r="B2" i="16"/>
  <c r="A2" i="16"/>
  <c r="H1" i="16"/>
  <c r="G1" i="16"/>
  <c r="F1" i="16"/>
  <c r="E1" i="16"/>
  <c r="D1" i="16"/>
  <c r="C1" i="16"/>
  <c r="B1" i="16"/>
  <c r="A1" i="16"/>
  <c r="H277" i="15"/>
  <c r="G277" i="15"/>
  <c r="F277" i="15"/>
  <c r="E277" i="15"/>
  <c r="D277" i="15"/>
  <c r="C277" i="15"/>
  <c r="B277" i="15"/>
  <c r="A277" i="15"/>
  <c r="H276" i="15"/>
  <c r="G276" i="15"/>
  <c r="F276" i="15"/>
  <c r="E276" i="15"/>
  <c r="D276" i="15"/>
  <c r="C276" i="15"/>
  <c r="B276" i="15"/>
  <c r="A276" i="15"/>
  <c r="H275" i="15"/>
  <c r="G275" i="15"/>
  <c r="F275" i="15"/>
  <c r="E275" i="15"/>
  <c r="D275" i="15"/>
  <c r="C275" i="15"/>
  <c r="B275" i="15"/>
  <c r="A275" i="15"/>
  <c r="H274" i="15"/>
  <c r="G274" i="15"/>
  <c r="F274" i="15"/>
  <c r="E274" i="15"/>
  <c r="D274" i="15"/>
  <c r="C274" i="15"/>
  <c r="B274" i="15"/>
  <c r="A274" i="15"/>
  <c r="H273" i="15"/>
  <c r="G273" i="15"/>
  <c r="F273" i="15"/>
  <c r="E273" i="15"/>
  <c r="D273" i="15"/>
  <c r="C273" i="15"/>
  <c r="B273" i="15"/>
  <c r="A273" i="15"/>
  <c r="H272" i="15"/>
  <c r="G272" i="15"/>
  <c r="F272" i="15"/>
  <c r="E272" i="15"/>
  <c r="D272" i="15"/>
  <c r="C272" i="15"/>
  <c r="B272" i="15"/>
  <c r="A272" i="15"/>
  <c r="H271" i="15"/>
  <c r="G271" i="15"/>
  <c r="F271" i="15"/>
  <c r="E271" i="15"/>
  <c r="D271" i="15"/>
  <c r="C271" i="15"/>
  <c r="B271" i="15"/>
  <c r="A271" i="15"/>
  <c r="H270" i="15"/>
  <c r="G270" i="15"/>
  <c r="F270" i="15"/>
  <c r="E270" i="15"/>
  <c r="D270" i="15"/>
  <c r="C270" i="15"/>
  <c r="B270" i="15"/>
  <c r="A270" i="15"/>
  <c r="H269" i="15"/>
  <c r="G269" i="15"/>
  <c r="F269" i="15"/>
  <c r="E269" i="15"/>
  <c r="D269" i="15"/>
  <c r="C269" i="15"/>
  <c r="B269" i="15"/>
  <c r="A269" i="15"/>
  <c r="H268" i="15"/>
  <c r="G268" i="15"/>
  <c r="F268" i="15"/>
  <c r="E268" i="15"/>
  <c r="D268" i="15"/>
  <c r="C268" i="15"/>
  <c r="B268" i="15"/>
  <c r="A268" i="15"/>
  <c r="H267" i="15"/>
  <c r="G267" i="15"/>
  <c r="F267" i="15"/>
  <c r="E267" i="15"/>
  <c r="D267" i="15"/>
  <c r="C267" i="15"/>
  <c r="B267" i="15"/>
  <c r="A267" i="15"/>
  <c r="H266" i="15"/>
  <c r="G266" i="15"/>
  <c r="F266" i="15"/>
  <c r="E266" i="15"/>
  <c r="D266" i="15"/>
  <c r="C266" i="15"/>
  <c r="B266" i="15"/>
  <c r="A266" i="15"/>
  <c r="H265" i="15"/>
  <c r="G265" i="15"/>
  <c r="F265" i="15"/>
  <c r="E265" i="15"/>
  <c r="D265" i="15"/>
  <c r="C265" i="15"/>
  <c r="B265" i="15"/>
  <c r="A265" i="15"/>
  <c r="H264" i="15"/>
  <c r="G264" i="15"/>
  <c r="F264" i="15"/>
  <c r="E264" i="15"/>
  <c r="D264" i="15"/>
  <c r="C264" i="15"/>
  <c r="B264" i="15"/>
  <c r="A264" i="15"/>
  <c r="H263" i="15"/>
  <c r="G263" i="15"/>
  <c r="F263" i="15"/>
  <c r="E263" i="15"/>
  <c r="D263" i="15"/>
  <c r="C263" i="15"/>
  <c r="B263" i="15"/>
  <c r="A263" i="15"/>
  <c r="H262" i="15"/>
  <c r="G262" i="15"/>
  <c r="F262" i="15"/>
  <c r="E262" i="15"/>
  <c r="D262" i="15"/>
  <c r="C262" i="15"/>
  <c r="B262" i="15"/>
  <c r="A262" i="15"/>
  <c r="H261" i="15"/>
  <c r="G261" i="15"/>
  <c r="F261" i="15"/>
  <c r="E261" i="15"/>
  <c r="D261" i="15"/>
  <c r="C261" i="15"/>
  <c r="B261" i="15"/>
  <c r="A261" i="15"/>
  <c r="H260" i="15"/>
  <c r="G260" i="15"/>
  <c r="F260" i="15"/>
  <c r="E260" i="15"/>
  <c r="D260" i="15"/>
  <c r="C260" i="15"/>
  <c r="B260" i="15"/>
  <c r="A260" i="15"/>
  <c r="H259" i="15"/>
  <c r="G259" i="15"/>
  <c r="F259" i="15"/>
  <c r="E259" i="15"/>
  <c r="D259" i="15"/>
  <c r="C259" i="15"/>
  <c r="B259" i="15"/>
  <c r="A259" i="15"/>
  <c r="H258" i="15"/>
  <c r="G258" i="15"/>
  <c r="F258" i="15"/>
  <c r="E258" i="15"/>
  <c r="D258" i="15"/>
  <c r="C258" i="15"/>
  <c r="B258" i="15"/>
  <c r="A258" i="15"/>
  <c r="H257" i="15"/>
  <c r="G257" i="15"/>
  <c r="F257" i="15"/>
  <c r="E257" i="15"/>
  <c r="D257" i="15"/>
  <c r="C257" i="15"/>
  <c r="B257" i="15"/>
  <c r="A257" i="15"/>
  <c r="H256" i="15"/>
  <c r="G256" i="15"/>
  <c r="F256" i="15"/>
  <c r="E256" i="15"/>
  <c r="D256" i="15"/>
  <c r="C256" i="15"/>
  <c r="B256" i="15"/>
  <c r="A256" i="15"/>
  <c r="H255" i="15"/>
  <c r="G255" i="15"/>
  <c r="F255" i="15"/>
  <c r="E255" i="15"/>
  <c r="D255" i="15"/>
  <c r="C255" i="15"/>
  <c r="B255" i="15"/>
  <c r="A255" i="15"/>
  <c r="H254" i="15"/>
  <c r="G254" i="15"/>
  <c r="F254" i="15"/>
  <c r="E254" i="15"/>
  <c r="D254" i="15"/>
  <c r="C254" i="15"/>
  <c r="B254" i="15"/>
  <c r="A254" i="15"/>
  <c r="H253" i="15"/>
  <c r="G253" i="15"/>
  <c r="F253" i="15"/>
  <c r="E253" i="15"/>
  <c r="D253" i="15"/>
  <c r="C253" i="15"/>
  <c r="B253" i="15"/>
  <c r="A253" i="15"/>
  <c r="H252" i="15"/>
  <c r="G252" i="15"/>
  <c r="F252" i="15"/>
  <c r="E252" i="15"/>
  <c r="D252" i="15"/>
  <c r="C252" i="15"/>
  <c r="B252" i="15"/>
  <c r="A252" i="15"/>
  <c r="H251" i="15"/>
  <c r="G251" i="15"/>
  <c r="F251" i="15"/>
  <c r="E251" i="15"/>
  <c r="D251" i="15"/>
  <c r="C251" i="15"/>
  <c r="B251" i="15"/>
  <c r="A251" i="15"/>
  <c r="H250" i="15"/>
  <c r="G250" i="15"/>
  <c r="F250" i="15"/>
  <c r="E250" i="15"/>
  <c r="D250" i="15"/>
  <c r="C250" i="15"/>
  <c r="B250" i="15"/>
  <c r="A250" i="15"/>
  <c r="H249" i="15"/>
  <c r="G249" i="15"/>
  <c r="F249" i="15"/>
  <c r="E249" i="15"/>
  <c r="D249" i="15"/>
  <c r="C249" i="15"/>
  <c r="B249" i="15"/>
  <c r="A249" i="15"/>
  <c r="H248" i="15"/>
  <c r="G248" i="15"/>
  <c r="F248" i="15"/>
  <c r="E248" i="15"/>
  <c r="D248" i="15"/>
  <c r="C248" i="15"/>
  <c r="B248" i="15"/>
  <c r="A248" i="15"/>
  <c r="H247" i="15"/>
  <c r="G247" i="15"/>
  <c r="F247" i="15"/>
  <c r="E247" i="15"/>
  <c r="D247" i="15"/>
  <c r="C247" i="15"/>
  <c r="B247" i="15"/>
  <c r="A247" i="15"/>
  <c r="H246" i="15"/>
  <c r="G246" i="15"/>
  <c r="F246" i="15"/>
  <c r="E246" i="15"/>
  <c r="D246" i="15"/>
  <c r="C246" i="15"/>
  <c r="B246" i="15"/>
  <c r="A246" i="15"/>
  <c r="H245" i="15"/>
  <c r="G245" i="15"/>
  <c r="F245" i="15"/>
  <c r="E245" i="15"/>
  <c r="D245" i="15"/>
  <c r="C245" i="15"/>
  <c r="B245" i="15"/>
  <c r="A245" i="15"/>
  <c r="H244" i="15"/>
  <c r="G244" i="15"/>
  <c r="F244" i="15"/>
  <c r="E244" i="15"/>
  <c r="D244" i="15"/>
  <c r="C244" i="15"/>
  <c r="B244" i="15"/>
  <c r="A244" i="15"/>
  <c r="H243" i="15"/>
  <c r="G243" i="15"/>
  <c r="F243" i="15"/>
  <c r="E243" i="15"/>
  <c r="D243" i="15"/>
  <c r="C243" i="15"/>
  <c r="B243" i="15"/>
  <c r="A243" i="15"/>
  <c r="H242" i="15"/>
  <c r="G242" i="15"/>
  <c r="F242" i="15"/>
  <c r="E242" i="15"/>
  <c r="D242" i="15"/>
  <c r="C242" i="15"/>
  <c r="B242" i="15"/>
  <c r="A242" i="15"/>
  <c r="H241" i="15"/>
  <c r="G241" i="15"/>
  <c r="F241" i="15"/>
  <c r="E241" i="15"/>
  <c r="D241" i="15"/>
  <c r="C241" i="15"/>
  <c r="B241" i="15"/>
  <c r="A241" i="15"/>
  <c r="H240" i="15"/>
  <c r="G240" i="15"/>
  <c r="F240" i="15"/>
  <c r="E240" i="15"/>
  <c r="D240" i="15"/>
  <c r="C240" i="15"/>
  <c r="B240" i="15"/>
  <c r="A240" i="15"/>
  <c r="H239" i="15"/>
  <c r="G239" i="15"/>
  <c r="F239" i="15"/>
  <c r="E239" i="15"/>
  <c r="D239" i="15"/>
  <c r="C239" i="15"/>
  <c r="B239" i="15"/>
  <c r="A239" i="15"/>
  <c r="H238" i="15"/>
  <c r="G238" i="15"/>
  <c r="F238" i="15"/>
  <c r="E238" i="15"/>
  <c r="D238" i="15"/>
  <c r="C238" i="15"/>
  <c r="B238" i="15"/>
  <c r="A238" i="15"/>
  <c r="H237" i="15"/>
  <c r="G237" i="15"/>
  <c r="F237" i="15"/>
  <c r="E237" i="15"/>
  <c r="D237" i="15"/>
  <c r="C237" i="15"/>
  <c r="B237" i="15"/>
  <c r="A237" i="15"/>
  <c r="H236" i="15"/>
  <c r="G236" i="15"/>
  <c r="F236" i="15"/>
  <c r="E236" i="15"/>
  <c r="D236" i="15"/>
  <c r="C236" i="15"/>
  <c r="B236" i="15"/>
  <c r="A236" i="15"/>
  <c r="H235" i="15"/>
  <c r="G235" i="15"/>
  <c r="F235" i="15"/>
  <c r="E235" i="15"/>
  <c r="D235" i="15"/>
  <c r="C235" i="15"/>
  <c r="B235" i="15"/>
  <c r="A235" i="15"/>
  <c r="H234" i="15"/>
  <c r="G234" i="15"/>
  <c r="F234" i="15"/>
  <c r="E234" i="15"/>
  <c r="D234" i="15"/>
  <c r="C234" i="15"/>
  <c r="B234" i="15"/>
  <c r="A234" i="15"/>
  <c r="H233" i="15"/>
  <c r="G233" i="15"/>
  <c r="F233" i="15"/>
  <c r="E233" i="15"/>
  <c r="D233" i="15"/>
  <c r="C233" i="15"/>
  <c r="B233" i="15"/>
  <c r="A233" i="15"/>
  <c r="H232" i="15"/>
  <c r="G232" i="15"/>
  <c r="F232" i="15"/>
  <c r="E232" i="15"/>
  <c r="D232" i="15"/>
  <c r="C232" i="15"/>
  <c r="B232" i="15"/>
  <c r="A232" i="15"/>
  <c r="H231" i="15"/>
  <c r="G231" i="15"/>
  <c r="F231" i="15"/>
  <c r="E231" i="15"/>
  <c r="D231" i="15"/>
  <c r="C231" i="15"/>
  <c r="B231" i="15"/>
  <c r="A231" i="15"/>
  <c r="H230" i="15"/>
  <c r="G230" i="15"/>
  <c r="F230" i="15"/>
  <c r="E230" i="15"/>
  <c r="D230" i="15"/>
  <c r="C230" i="15"/>
  <c r="B230" i="15"/>
  <c r="A230" i="15"/>
  <c r="H229" i="15"/>
  <c r="G229" i="15"/>
  <c r="F229" i="15"/>
  <c r="E229" i="15"/>
  <c r="D229" i="15"/>
  <c r="C229" i="15"/>
  <c r="B229" i="15"/>
  <c r="A229" i="15"/>
  <c r="H228" i="15"/>
  <c r="G228" i="15"/>
  <c r="F228" i="15"/>
  <c r="E228" i="15"/>
  <c r="D228" i="15"/>
  <c r="C228" i="15"/>
  <c r="B228" i="15"/>
  <c r="A228" i="15"/>
  <c r="H227" i="15"/>
  <c r="G227" i="15"/>
  <c r="F227" i="15"/>
  <c r="E227" i="15"/>
  <c r="D227" i="15"/>
  <c r="C227" i="15"/>
  <c r="B227" i="15"/>
  <c r="A227" i="15"/>
  <c r="H226" i="15"/>
  <c r="G226" i="15"/>
  <c r="F226" i="15"/>
  <c r="E226" i="15"/>
  <c r="D226" i="15"/>
  <c r="C226" i="15"/>
  <c r="B226" i="15"/>
  <c r="A226" i="15"/>
  <c r="H225" i="15"/>
  <c r="G225" i="15"/>
  <c r="F225" i="15"/>
  <c r="E225" i="15"/>
  <c r="D225" i="15"/>
  <c r="C225" i="15"/>
  <c r="B225" i="15"/>
  <c r="A225" i="15"/>
  <c r="H224" i="15"/>
  <c r="G224" i="15"/>
  <c r="F224" i="15"/>
  <c r="E224" i="15"/>
  <c r="D224" i="15"/>
  <c r="C224" i="15"/>
  <c r="B224" i="15"/>
  <c r="A224" i="15"/>
  <c r="H223" i="15"/>
  <c r="G223" i="15"/>
  <c r="F223" i="15"/>
  <c r="E223" i="15"/>
  <c r="D223" i="15"/>
  <c r="C223" i="15"/>
  <c r="B223" i="15"/>
  <c r="A223" i="15"/>
  <c r="H222" i="15"/>
  <c r="G222" i="15"/>
  <c r="F222" i="15"/>
  <c r="E222" i="15"/>
  <c r="D222" i="15"/>
  <c r="C222" i="15"/>
  <c r="B222" i="15"/>
  <c r="A222" i="15"/>
  <c r="H221" i="15"/>
  <c r="G221" i="15"/>
  <c r="F221" i="15"/>
  <c r="E221" i="15"/>
  <c r="D221" i="15"/>
  <c r="C221" i="15"/>
  <c r="B221" i="15"/>
  <c r="A221" i="15"/>
  <c r="H220" i="15"/>
  <c r="G220" i="15"/>
  <c r="F220" i="15"/>
  <c r="E220" i="15"/>
  <c r="D220" i="15"/>
  <c r="C220" i="15"/>
  <c r="B220" i="15"/>
  <c r="A220" i="15"/>
  <c r="H219" i="15"/>
  <c r="G219" i="15"/>
  <c r="F219" i="15"/>
  <c r="E219" i="15"/>
  <c r="D219" i="15"/>
  <c r="C219" i="15"/>
  <c r="B219" i="15"/>
  <c r="A219" i="15"/>
  <c r="H218" i="15"/>
  <c r="G218" i="15"/>
  <c r="F218" i="15"/>
  <c r="E218" i="15"/>
  <c r="D218" i="15"/>
  <c r="C218" i="15"/>
  <c r="B218" i="15"/>
  <c r="A218" i="15"/>
  <c r="H217" i="15"/>
  <c r="G217" i="15"/>
  <c r="F217" i="15"/>
  <c r="E217" i="15"/>
  <c r="D217" i="15"/>
  <c r="C217" i="15"/>
  <c r="B217" i="15"/>
  <c r="A217" i="15"/>
  <c r="H216" i="15"/>
  <c r="G216" i="15"/>
  <c r="F216" i="15"/>
  <c r="E216" i="15"/>
  <c r="D216" i="15"/>
  <c r="C216" i="15"/>
  <c r="B216" i="15"/>
  <c r="A216" i="15"/>
  <c r="H215" i="15"/>
  <c r="G215" i="15"/>
  <c r="F215" i="15"/>
  <c r="E215" i="15"/>
  <c r="D215" i="15"/>
  <c r="C215" i="15"/>
  <c r="B215" i="15"/>
  <c r="A215" i="15"/>
  <c r="H214" i="15"/>
  <c r="G214" i="15"/>
  <c r="F214" i="15"/>
  <c r="E214" i="15"/>
  <c r="D214" i="15"/>
  <c r="C214" i="15"/>
  <c r="B214" i="15"/>
  <c r="A214" i="15"/>
  <c r="H213" i="15"/>
  <c r="G213" i="15"/>
  <c r="F213" i="15"/>
  <c r="E213" i="15"/>
  <c r="D213" i="15"/>
  <c r="C213" i="15"/>
  <c r="B213" i="15"/>
  <c r="A213" i="15"/>
  <c r="H212" i="15"/>
  <c r="G212" i="15"/>
  <c r="F212" i="15"/>
  <c r="E212" i="15"/>
  <c r="D212" i="15"/>
  <c r="C212" i="15"/>
  <c r="B212" i="15"/>
  <c r="A212" i="15"/>
  <c r="H211" i="15"/>
  <c r="G211" i="15"/>
  <c r="F211" i="15"/>
  <c r="E211" i="15"/>
  <c r="D211" i="15"/>
  <c r="C211" i="15"/>
  <c r="B211" i="15"/>
  <c r="A211" i="15"/>
  <c r="H210" i="15"/>
  <c r="G210" i="15"/>
  <c r="F210" i="15"/>
  <c r="E210" i="15"/>
  <c r="D210" i="15"/>
  <c r="C210" i="15"/>
  <c r="B210" i="15"/>
  <c r="A210" i="15"/>
  <c r="H209" i="15"/>
  <c r="G209" i="15"/>
  <c r="F209" i="15"/>
  <c r="E209" i="15"/>
  <c r="D209" i="15"/>
  <c r="C209" i="15"/>
  <c r="B209" i="15"/>
  <c r="A209" i="15"/>
  <c r="H208" i="15"/>
  <c r="G208" i="15"/>
  <c r="F208" i="15"/>
  <c r="E208" i="15"/>
  <c r="D208" i="15"/>
  <c r="C208" i="15"/>
  <c r="B208" i="15"/>
  <c r="A208" i="15"/>
  <c r="H207" i="15"/>
  <c r="G207" i="15"/>
  <c r="F207" i="15"/>
  <c r="E207" i="15"/>
  <c r="D207" i="15"/>
  <c r="C207" i="15"/>
  <c r="B207" i="15"/>
  <c r="A207" i="15"/>
  <c r="H206" i="15"/>
  <c r="G206" i="15"/>
  <c r="F206" i="15"/>
  <c r="E206" i="15"/>
  <c r="D206" i="15"/>
  <c r="C206" i="15"/>
  <c r="B206" i="15"/>
  <c r="A206" i="15"/>
  <c r="H205" i="15"/>
  <c r="G205" i="15"/>
  <c r="F205" i="15"/>
  <c r="E205" i="15"/>
  <c r="D205" i="15"/>
  <c r="C205" i="15"/>
  <c r="B205" i="15"/>
  <c r="A205" i="15"/>
  <c r="H204" i="15"/>
  <c r="G204" i="15"/>
  <c r="F204" i="15"/>
  <c r="E204" i="15"/>
  <c r="D204" i="15"/>
  <c r="C204" i="15"/>
  <c r="B204" i="15"/>
  <c r="A204" i="15"/>
  <c r="H203" i="15"/>
  <c r="G203" i="15"/>
  <c r="F203" i="15"/>
  <c r="E203" i="15"/>
  <c r="D203" i="15"/>
  <c r="C203" i="15"/>
  <c r="B203" i="15"/>
  <c r="A203" i="15"/>
  <c r="H202" i="15"/>
  <c r="G202" i="15"/>
  <c r="F202" i="15"/>
  <c r="E202" i="15"/>
  <c r="D202" i="15"/>
  <c r="C202" i="15"/>
  <c r="B202" i="15"/>
  <c r="A202" i="15"/>
  <c r="H201" i="15"/>
  <c r="G201" i="15"/>
  <c r="F201" i="15"/>
  <c r="E201" i="15"/>
  <c r="D201" i="15"/>
  <c r="C201" i="15"/>
  <c r="B201" i="15"/>
  <c r="A201" i="15"/>
  <c r="H200" i="15"/>
  <c r="G200" i="15"/>
  <c r="F200" i="15"/>
  <c r="E200" i="15"/>
  <c r="D200" i="15"/>
  <c r="C200" i="15"/>
  <c r="B200" i="15"/>
  <c r="A200" i="15"/>
  <c r="H199" i="15"/>
  <c r="G199" i="15"/>
  <c r="F199" i="15"/>
  <c r="E199" i="15"/>
  <c r="D199" i="15"/>
  <c r="C199" i="15"/>
  <c r="B199" i="15"/>
  <c r="A199" i="15"/>
  <c r="H198" i="15"/>
  <c r="G198" i="15"/>
  <c r="F198" i="15"/>
  <c r="E198" i="15"/>
  <c r="D198" i="15"/>
  <c r="C198" i="15"/>
  <c r="B198" i="15"/>
  <c r="A198" i="15"/>
  <c r="H197" i="15"/>
  <c r="G197" i="15"/>
  <c r="F197" i="15"/>
  <c r="E197" i="15"/>
  <c r="D197" i="15"/>
  <c r="C197" i="15"/>
  <c r="B197" i="15"/>
  <c r="A197" i="15"/>
  <c r="H196" i="15"/>
  <c r="G196" i="15"/>
  <c r="F196" i="15"/>
  <c r="E196" i="15"/>
  <c r="D196" i="15"/>
  <c r="C196" i="15"/>
  <c r="B196" i="15"/>
  <c r="A196" i="15"/>
  <c r="H195" i="15"/>
  <c r="G195" i="15"/>
  <c r="F195" i="15"/>
  <c r="E195" i="15"/>
  <c r="D195" i="15"/>
  <c r="C195" i="15"/>
  <c r="B195" i="15"/>
  <c r="A195" i="15"/>
  <c r="H194" i="15"/>
  <c r="G194" i="15"/>
  <c r="F194" i="15"/>
  <c r="E194" i="15"/>
  <c r="D194" i="15"/>
  <c r="C194" i="15"/>
  <c r="B194" i="15"/>
  <c r="A194" i="15"/>
  <c r="H193" i="15"/>
  <c r="G193" i="15"/>
  <c r="F193" i="15"/>
  <c r="E193" i="15"/>
  <c r="D193" i="15"/>
  <c r="C193" i="15"/>
  <c r="B193" i="15"/>
  <c r="A193" i="15"/>
  <c r="H192" i="15"/>
  <c r="G192" i="15"/>
  <c r="F192" i="15"/>
  <c r="E192" i="15"/>
  <c r="D192" i="15"/>
  <c r="C192" i="15"/>
  <c r="B192" i="15"/>
  <c r="A192" i="15"/>
  <c r="H191" i="15"/>
  <c r="G191" i="15"/>
  <c r="F191" i="15"/>
  <c r="E191" i="15"/>
  <c r="D191" i="15"/>
  <c r="C191" i="15"/>
  <c r="B191" i="15"/>
  <c r="A191" i="15"/>
  <c r="H190" i="15"/>
  <c r="G190" i="15"/>
  <c r="F190" i="15"/>
  <c r="E190" i="15"/>
  <c r="D190" i="15"/>
  <c r="C190" i="15"/>
  <c r="B190" i="15"/>
  <c r="A190" i="15"/>
  <c r="H189" i="15"/>
  <c r="G189" i="15"/>
  <c r="F189" i="15"/>
  <c r="E189" i="15"/>
  <c r="D189" i="15"/>
  <c r="C189" i="15"/>
  <c r="B189" i="15"/>
  <c r="A189" i="15"/>
  <c r="H188" i="15"/>
  <c r="G188" i="15"/>
  <c r="F188" i="15"/>
  <c r="E188" i="15"/>
  <c r="D188" i="15"/>
  <c r="C188" i="15"/>
  <c r="B188" i="15"/>
  <c r="A188" i="15"/>
  <c r="H187" i="15"/>
  <c r="G187" i="15"/>
  <c r="F187" i="15"/>
  <c r="E187" i="15"/>
  <c r="D187" i="15"/>
  <c r="C187" i="15"/>
  <c r="B187" i="15"/>
  <c r="A187" i="15"/>
  <c r="H186" i="15"/>
  <c r="G186" i="15"/>
  <c r="F186" i="15"/>
  <c r="E186" i="15"/>
  <c r="D186" i="15"/>
  <c r="C186" i="15"/>
  <c r="B186" i="15"/>
  <c r="A186" i="15"/>
  <c r="H185" i="15"/>
  <c r="G185" i="15"/>
  <c r="F185" i="15"/>
  <c r="E185" i="15"/>
  <c r="D185" i="15"/>
  <c r="C185" i="15"/>
  <c r="B185" i="15"/>
  <c r="A185" i="15"/>
  <c r="H184" i="15"/>
  <c r="G184" i="15"/>
  <c r="F184" i="15"/>
  <c r="E184" i="15"/>
  <c r="D184" i="15"/>
  <c r="C184" i="15"/>
  <c r="B184" i="15"/>
  <c r="A184" i="15"/>
  <c r="H183" i="15"/>
  <c r="G183" i="15"/>
  <c r="F183" i="15"/>
  <c r="E183" i="15"/>
  <c r="D183" i="15"/>
  <c r="C183" i="15"/>
  <c r="B183" i="15"/>
  <c r="A183" i="15"/>
  <c r="H182" i="15"/>
  <c r="G182" i="15"/>
  <c r="F182" i="15"/>
  <c r="E182" i="15"/>
  <c r="D182" i="15"/>
  <c r="C182" i="15"/>
  <c r="B182" i="15"/>
  <c r="A182" i="15"/>
  <c r="H181" i="15"/>
  <c r="G181" i="15"/>
  <c r="F181" i="15"/>
  <c r="E181" i="15"/>
  <c r="D181" i="15"/>
  <c r="C181" i="15"/>
  <c r="B181" i="15"/>
  <c r="A181" i="15"/>
  <c r="H180" i="15"/>
  <c r="G180" i="15"/>
  <c r="F180" i="15"/>
  <c r="E180" i="15"/>
  <c r="D180" i="15"/>
  <c r="C180" i="15"/>
  <c r="B180" i="15"/>
  <c r="A180" i="15"/>
  <c r="H179" i="15"/>
  <c r="G179" i="15"/>
  <c r="F179" i="15"/>
  <c r="E179" i="15"/>
  <c r="D179" i="15"/>
  <c r="C179" i="15"/>
  <c r="B179" i="15"/>
  <c r="A179" i="15"/>
  <c r="H178" i="15"/>
  <c r="G178" i="15"/>
  <c r="F178" i="15"/>
  <c r="E178" i="15"/>
  <c r="D178" i="15"/>
  <c r="C178" i="15"/>
  <c r="B178" i="15"/>
  <c r="A178" i="15"/>
  <c r="H177" i="15"/>
  <c r="G177" i="15"/>
  <c r="F177" i="15"/>
  <c r="E177" i="15"/>
  <c r="D177" i="15"/>
  <c r="C177" i="15"/>
  <c r="B177" i="15"/>
  <c r="A177" i="15"/>
  <c r="H176" i="15"/>
  <c r="G176" i="15"/>
  <c r="F176" i="15"/>
  <c r="E176" i="15"/>
  <c r="D176" i="15"/>
  <c r="C176" i="15"/>
  <c r="B176" i="15"/>
  <c r="A176" i="15"/>
  <c r="H175" i="15"/>
  <c r="G175" i="15"/>
  <c r="F175" i="15"/>
  <c r="E175" i="15"/>
  <c r="D175" i="15"/>
  <c r="C175" i="15"/>
  <c r="B175" i="15"/>
  <c r="A175" i="15"/>
  <c r="H174" i="15"/>
  <c r="G174" i="15"/>
  <c r="F174" i="15"/>
  <c r="E174" i="15"/>
  <c r="D174" i="15"/>
  <c r="C174" i="15"/>
  <c r="B174" i="15"/>
  <c r="A174" i="15"/>
  <c r="H173" i="15"/>
  <c r="G173" i="15"/>
  <c r="F173" i="15"/>
  <c r="E173" i="15"/>
  <c r="D173" i="15"/>
  <c r="C173" i="15"/>
  <c r="B173" i="15"/>
  <c r="A173" i="15"/>
  <c r="H172" i="15"/>
  <c r="G172" i="15"/>
  <c r="F172" i="15"/>
  <c r="E172" i="15"/>
  <c r="D172" i="15"/>
  <c r="C172" i="15"/>
  <c r="B172" i="15"/>
  <c r="A172" i="15"/>
  <c r="H171" i="15"/>
  <c r="G171" i="15"/>
  <c r="F171" i="15"/>
  <c r="E171" i="15"/>
  <c r="D171" i="15"/>
  <c r="C171" i="15"/>
  <c r="B171" i="15"/>
  <c r="A171" i="15"/>
  <c r="H170" i="15"/>
  <c r="G170" i="15"/>
  <c r="F170" i="15"/>
  <c r="E170" i="15"/>
  <c r="D170" i="15"/>
  <c r="C170" i="15"/>
  <c r="B170" i="15"/>
  <c r="A170" i="15"/>
  <c r="H169" i="15"/>
  <c r="G169" i="15"/>
  <c r="F169" i="15"/>
  <c r="E169" i="15"/>
  <c r="D169" i="15"/>
  <c r="C169" i="15"/>
  <c r="B169" i="15"/>
  <c r="A169" i="15"/>
  <c r="H168" i="15"/>
  <c r="G168" i="15"/>
  <c r="F168" i="15"/>
  <c r="E168" i="15"/>
  <c r="D168" i="15"/>
  <c r="C168" i="15"/>
  <c r="B168" i="15"/>
  <c r="A168" i="15"/>
  <c r="H167" i="15"/>
  <c r="G167" i="15"/>
  <c r="F167" i="15"/>
  <c r="E167" i="15"/>
  <c r="D167" i="15"/>
  <c r="C167" i="15"/>
  <c r="B167" i="15"/>
  <c r="A167" i="15"/>
  <c r="H166" i="15"/>
  <c r="G166" i="15"/>
  <c r="F166" i="15"/>
  <c r="E166" i="15"/>
  <c r="D166" i="15"/>
  <c r="C166" i="15"/>
  <c r="B166" i="15"/>
  <c r="A166" i="15"/>
  <c r="H165" i="15"/>
  <c r="G165" i="15"/>
  <c r="F165" i="15"/>
  <c r="E165" i="15"/>
  <c r="D165" i="15"/>
  <c r="C165" i="15"/>
  <c r="B165" i="15"/>
  <c r="A165" i="15"/>
  <c r="H164" i="15"/>
  <c r="G164" i="15"/>
  <c r="F164" i="15"/>
  <c r="E164" i="15"/>
  <c r="D164" i="15"/>
  <c r="C164" i="15"/>
  <c r="B164" i="15"/>
  <c r="A164" i="15"/>
  <c r="H163" i="15"/>
  <c r="G163" i="15"/>
  <c r="F163" i="15"/>
  <c r="E163" i="15"/>
  <c r="D163" i="15"/>
  <c r="C163" i="15"/>
  <c r="B163" i="15"/>
  <c r="A163" i="15"/>
  <c r="H162" i="15"/>
  <c r="G162" i="15"/>
  <c r="F162" i="15"/>
  <c r="E162" i="15"/>
  <c r="D162" i="15"/>
  <c r="C162" i="15"/>
  <c r="B162" i="15"/>
  <c r="A162" i="15"/>
  <c r="H161" i="15"/>
  <c r="G161" i="15"/>
  <c r="F161" i="15"/>
  <c r="E161" i="15"/>
  <c r="D161" i="15"/>
  <c r="C161" i="15"/>
  <c r="B161" i="15"/>
  <c r="A161" i="15"/>
  <c r="H160" i="15"/>
  <c r="G160" i="15"/>
  <c r="F160" i="15"/>
  <c r="E160" i="15"/>
  <c r="D160" i="15"/>
  <c r="C160" i="15"/>
  <c r="B160" i="15"/>
  <c r="A160" i="15"/>
  <c r="H159" i="15"/>
  <c r="G159" i="15"/>
  <c r="F159" i="15"/>
  <c r="E159" i="15"/>
  <c r="D159" i="15"/>
  <c r="C159" i="15"/>
  <c r="B159" i="15"/>
  <c r="A159" i="15"/>
  <c r="H158" i="15"/>
  <c r="G158" i="15"/>
  <c r="F158" i="15"/>
  <c r="E158" i="15"/>
  <c r="D158" i="15"/>
  <c r="C158" i="15"/>
  <c r="B158" i="15"/>
  <c r="A158" i="15"/>
  <c r="H157" i="15"/>
  <c r="G157" i="15"/>
  <c r="F157" i="15"/>
  <c r="E157" i="15"/>
  <c r="D157" i="15"/>
  <c r="C157" i="15"/>
  <c r="B157" i="15"/>
  <c r="A157" i="15"/>
  <c r="H156" i="15"/>
  <c r="G156" i="15"/>
  <c r="F156" i="15"/>
  <c r="E156" i="15"/>
  <c r="D156" i="15"/>
  <c r="C156" i="15"/>
  <c r="B156" i="15"/>
  <c r="A156" i="15"/>
  <c r="H155" i="15"/>
  <c r="G155" i="15"/>
  <c r="F155" i="15"/>
  <c r="E155" i="15"/>
  <c r="D155" i="15"/>
  <c r="C155" i="15"/>
  <c r="B155" i="15"/>
  <c r="A155" i="15"/>
  <c r="H154" i="15"/>
  <c r="G154" i="15"/>
  <c r="F154" i="15"/>
  <c r="E154" i="15"/>
  <c r="D154" i="15"/>
  <c r="C154" i="15"/>
  <c r="B154" i="15"/>
  <c r="A154" i="15"/>
  <c r="H153" i="15"/>
  <c r="G153" i="15"/>
  <c r="F153" i="15"/>
  <c r="E153" i="15"/>
  <c r="D153" i="15"/>
  <c r="C153" i="15"/>
  <c r="B153" i="15"/>
  <c r="A153" i="15"/>
  <c r="H152" i="15"/>
  <c r="G152" i="15"/>
  <c r="F152" i="15"/>
  <c r="E152" i="15"/>
  <c r="D152" i="15"/>
  <c r="C152" i="15"/>
  <c r="B152" i="15"/>
  <c r="A152" i="15"/>
  <c r="H151" i="15"/>
  <c r="G151" i="15"/>
  <c r="F151" i="15"/>
  <c r="E151" i="15"/>
  <c r="D151" i="15"/>
  <c r="C151" i="15"/>
  <c r="B151" i="15"/>
  <c r="A151" i="15"/>
  <c r="H150" i="15"/>
  <c r="G150" i="15"/>
  <c r="F150" i="15"/>
  <c r="E150" i="15"/>
  <c r="D150" i="15"/>
  <c r="C150" i="15"/>
  <c r="B150" i="15"/>
  <c r="A150" i="15"/>
  <c r="H149" i="15"/>
  <c r="G149" i="15"/>
  <c r="F149" i="15"/>
  <c r="E149" i="15"/>
  <c r="D149" i="15"/>
  <c r="C149" i="15"/>
  <c r="B149" i="15"/>
  <c r="A149" i="15"/>
  <c r="H148" i="15"/>
  <c r="G148" i="15"/>
  <c r="F148" i="15"/>
  <c r="E148" i="15"/>
  <c r="D148" i="15"/>
  <c r="C148" i="15"/>
  <c r="B148" i="15"/>
  <c r="A148" i="15"/>
  <c r="H147" i="15"/>
  <c r="G147" i="15"/>
  <c r="F147" i="15"/>
  <c r="E147" i="15"/>
  <c r="D147" i="15"/>
  <c r="C147" i="15"/>
  <c r="B147" i="15"/>
  <c r="A147" i="15"/>
  <c r="H146" i="15"/>
  <c r="G146" i="15"/>
  <c r="F146" i="15"/>
  <c r="E146" i="15"/>
  <c r="D146" i="15"/>
  <c r="C146" i="15"/>
  <c r="B146" i="15"/>
  <c r="A146" i="15"/>
  <c r="H145" i="15"/>
  <c r="G145" i="15"/>
  <c r="F145" i="15"/>
  <c r="E145" i="15"/>
  <c r="D145" i="15"/>
  <c r="C145" i="15"/>
  <c r="B145" i="15"/>
  <c r="A145" i="15"/>
  <c r="H144" i="15"/>
  <c r="G144" i="15"/>
  <c r="F144" i="15"/>
  <c r="E144" i="15"/>
  <c r="D144" i="15"/>
  <c r="C144" i="15"/>
  <c r="B144" i="15"/>
  <c r="A144" i="15"/>
  <c r="H143" i="15"/>
  <c r="G143" i="15"/>
  <c r="F143" i="15"/>
  <c r="E143" i="15"/>
  <c r="D143" i="15"/>
  <c r="C143" i="15"/>
  <c r="B143" i="15"/>
  <c r="A143" i="15"/>
  <c r="H142" i="15"/>
  <c r="G142" i="15"/>
  <c r="F142" i="15"/>
  <c r="E142" i="15"/>
  <c r="D142" i="15"/>
  <c r="C142" i="15"/>
  <c r="B142" i="15"/>
  <c r="A142" i="15"/>
  <c r="H141" i="15"/>
  <c r="G141" i="15"/>
  <c r="F141" i="15"/>
  <c r="E141" i="15"/>
  <c r="D141" i="15"/>
  <c r="C141" i="15"/>
  <c r="B141" i="15"/>
  <c r="A141" i="15"/>
  <c r="H140" i="15"/>
  <c r="G140" i="15"/>
  <c r="F140" i="15"/>
  <c r="E140" i="15"/>
  <c r="D140" i="15"/>
  <c r="C140" i="15"/>
  <c r="B140" i="15"/>
  <c r="A140" i="15"/>
  <c r="H139" i="15"/>
  <c r="G139" i="15"/>
  <c r="F139" i="15"/>
  <c r="E139" i="15"/>
  <c r="D139" i="15"/>
  <c r="C139" i="15"/>
  <c r="B139" i="15"/>
  <c r="A139" i="15"/>
  <c r="H138" i="15"/>
  <c r="G138" i="15"/>
  <c r="F138" i="15"/>
  <c r="E138" i="15"/>
  <c r="D138" i="15"/>
  <c r="C138" i="15"/>
  <c r="B138" i="15"/>
  <c r="A138" i="15"/>
  <c r="H137" i="15"/>
  <c r="G137" i="15"/>
  <c r="F137" i="15"/>
  <c r="E137" i="15"/>
  <c r="D137" i="15"/>
  <c r="C137" i="15"/>
  <c r="B137" i="15"/>
  <c r="A137" i="15"/>
  <c r="H136" i="15"/>
  <c r="G136" i="15"/>
  <c r="F136" i="15"/>
  <c r="E136" i="15"/>
  <c r="D136" i="15"/>
  <c r="C136" i="15"/>
  <c r="B136" i="15"/>
  <c r="A136" i="15"/>
  <c r="H135" i="15"/>
  <c r="G135" i="15"/>
  <c r="F135" i="15"/>
  <c r="E135" i="15"/>
  <c r="D135" i="15"/>
  <c r="C135" i="15"/>
  <c r="B135" i="15"/>
  <c r="A135" i="15"/>
  <c r="H134" i="15"/>
  <c r="G134" i="15"/>
  <c r="F134" i="15"/>
  <c r="E134" i="15"/>
  <c r="D134" i="15"/>
  <c r="C134" i="15"/>
  <c r="B134" i="15"/>
  <c r="A134" i="15"/>
  <c r="H133" i="15"/>
  <c r="G133" i="15"/>
  <c r="F133" i="15"/>
  <c r="E133" i="15"/>
  <c r="D133" i="15"/>
  <c r="C133" i="15"/>
  <c r="B133" i="15"/>
  <c r="A133" i="15"/>
  <c r="H132" i="15"/>
  <c r="G132" i="15"/>
  <c r="F132" i="15"/>
  <c r="E132" i="15"/>
  <c r="D132" i="15"/>
  <c r="C132" i="15"/>
  <c r="B132" i="15"/>
  <c r="A132" i="15"/>
  <c r="H131" i="15"/>
  <c r="G131" i="15"/>
  <c r="F131" i="15"/>
  <c r="E131" i="15"/>
  <c r="D131" i="15"/>
  <c r="C131" i="15"/>
  <c r="B131" i="15"/>
  <c r="A131" i="15"/>
  <c r="H130" i="15"/>
  <c r="G130" i="15"/>
  <c r="F130" i="15"/>
  <c r="E130" i="15"/>
  <c r="D130" i="15"/>
  <c r="C130" i="15"/>
  <c r="B130" i="15"/>
  <c r="A130" i="15"/>
  <c r="H129" i="15"/>
  <c r="G129" i="15"/>
  <c r="F129" i="15"/>
  <c r="E129" i="15"/>
  <c r="D129" i="15"/>
  <c r="C129" i="15"/>
  <c r="B129" i="15"/>
  <c r="A129" i="15"/>
  <c r="H128" i="15"/>
  <c r="G128" i="15"/>
  <c r="F128" i="15"/>
  <c r="E128" i="15"/>
  <c r="D128" i="15"/>
  <c r="C128" i="15"/>
  <c r="B128" i="15"/>
  <c r="A128" i="15"/>
  <c r="H127" i="15"/>
  <c r="G127" i="15"/>
  <c r="F127" i="15"/>
  <c r="E127" i="15"/>
  <c r="D127" i="15"/>
  <c r="C127" i="15"/>
  <c r="B127" i="15"/>
  <c r="A127" i="15"/>
  <c r="H126" i="15"/>
  <c r="G126" i="15"/>
  <c r="F126" i="15"/>
  <c r="E126" i="15"/>
  <c r="D126" i="15"/>
  <c r="C126" i="15"/>
  <c r="B126" i="15"/>
  <c r="A126" i="15"/>
  <c r="H125" i="15"/>
  <c r="G125" i="15"/>
  <c r="F125" i="15"/>
  <c r="E125" i="15"/>
  <c r="D125" i="15"/>
  <c r="C125" i="15"/>
  <c r="B125" i="15"/>
  <c r="A125" i="15"/>
  <c r="H124" i="15"/>
  <c r="G124" i="15"/>
  <c r="F124" i="15"/>
  <c r="E124" i="15"/>
  <c r="D124" i="15"/>
  <c r="C124" i="15"/>
  <c r="B124" i="15"/>
  <c r="A124" i="15"/>
  <c r="H123" i="15"/>
  <c r="G123" i="15"/>
  <c r="F123" i="15"/>
  <c r="E123" i="15"/>
  <c r="D123" i="15"/>
  <c r="C123" i="15"/>
  <c r="B123" i="15"/>
  <c r="A123" i="15"/>
  <c r="H122" i="15"/>
  <c r="G122" i="15"/>
  <c r="F122" i="15"/>
  <c r="E122" i="15"/>
  <c r="D122" i="15"/>
  <c r="C122" i="15"/>
  <c r="B122" i="15"/>
  <c r="A122" i="15"/>
  <c r="H121" i="15"/>
  <c r="G121" i="15"/>
  <c r="F121" i="15"/>
  <c r="E121" i="15"/>
  <c r="D121" i="15"/>
  <c r="C121" i="15"/>
  <c r="B121" i="15"/>
  <c r="A121" i="15"/>
  <c r="H120" i="15"/>
  <c r="G120" i="15"/>
  <c r="F120" i="15"/>
  <c r="E120" i="15"/>
  <c r="D120" i="15"/>
  <c r="C120" i="15"/>
  <c r="B120" i="15"/>
  <c r="A120" i="15"/>
  <c r="H119" i="15"/>
  <c r="G119" i="15"/>
  <c r="F119" i="15"/>
  <c r="E119" i="15"/>
  <c r="D119" i="15"/>
  <c r="C119" i="15"/>
  <c r="B119" i="15"/>
  <c r="A119" i="15"/>
  <c r="H118" i="15"/>
  <c r="G118" i="15"/>
  <c r="F118" i="15"/>
  <c r="E118" i="15"/>
  <c r="D118" i="15"/>
  <c r="C118" i="15"/>
  <c r="B118" i="15"/>
  <c r="A118" i="15"/>
  <c r="H117" i="15"/>
  <c r="G117" i="15"/>
  <c r="F117" i="15"/>
  <c r="E117" i="15"/>
  <c r="D117" i="15"/>
  <c r="C117" i="15"/>
  <c r="B117" i="15"/>
  <c r="A117" i="15"/>
  <c r="H116" i="15"/>
  <c r="G116" i="15"/>
  <c r="F116" i="15"/>
  <c r="E116" i="15"/>
  <c r="D116" i="15"/>
  <c r="C116" i="15"/>
  <c r="B116" i="15"/>
  <c r="A116" i="15"/>
  <c r="H115" i="15"/>
  <c r="G115" i="15"/>
  <c r="F115" i="15"/>
  <c r="E115" i="15"/>
  <c r="D115" i="15"/>
  <c r="C115" i="15"/>
  <c r="B115" i="15"/>
  <c r="A115" i="15"/>
  <c r="H114" i="15"/>
  <c r="G114" i="15"/>
  <c r="F114" i="15"/>
  <c r="E114" i="15"/>
  <c r="D114" i="15"/>
  <c r="C114" i="15"/>
  <c r="B114" i="15"/>
  <c r="A114" i="15"/>
  <c r="H113" i="15"/>
  <c r="G113" i="15"/>
  <c r="F113" i="15"/>
  <c r="E113" i="15"/>
  <c r="D113" i="15"/>
  <c r="C113" i="15"/>
  <c r="B113" i="15"/>
  <c r="A113" i="15"/>
  <c r="H112" i="15"/>
  <c r="G112" i="15"/>
  <c r="F112" i="15"/>
  <c r="E112" i="15"/>
  <c r="D112" i="15"/>
  <c r="C112" i="15"/>
  <c r="B112" i="15"/>
  <c r="A112" i="15"/>
  <c r="H111" i="15"/>
  <c r="G111" i="15"/>
  <c r="F111" i="15"/>
  <c r="E111" i="15"/>
  <c r="D111" i="15"/>
  <c r="C111" i="15"/>
  <c r="B111" i="15"/>
  <c r="A111" i="15"/>
  <c r="H110" i="15"/>
  <c r="G110" i="15"/>
  <c r="F110" i="15"/>
  <c r="E110" i="15"/>
  <c r="D110" i="15"/>
  <c r="C110" i="15"/>
  <c r="B110" i="15"/>
  <c r="A110" i="15"/>
  <c r="H109" i="15"/>
  <c r="G109" i="15"/>
  <c r="F109" i="15"/>
  <c r="E109" i="15"/>
  <c r="D109" i="15"/>
  <c r="C109" i="15"/>
  <c r="B109" i="15"/>
  <c r="A109" i="15"/>
  <c r="H108" i="15"/>
  <c r="G108" i="15"/>
  <c r="F108" i="15"/>
  <c r="E108" i="15"/>
  <c r="D108" i="15"/>
  <c r="C108" i="15"/>
  <c r="B108" i="15"/>
  <c r="A108" i="15"/>
  <c r="H107" i="15"/>
  <c r="G107" i="15"/>
  <c r="F107" i="15"/>
  <c r="E107" i="15"/>
  <c r="D107" i="15"/>
  <c r="C107" i="15"/>
  <c r="B107" i="15"/>
  <c r="A107" i="15"/>
  <c r="H106" i="15"/>
  <c r="G106" i="15"/>
  <c r="F106" i="15"/>
  <c r="E106" i="15"/>
  <c r="D106" i="15"/>
  <c r="C106" i="15"/>
  <c r="B106" i="15"/>
  <c r="A106" i="15"/>
  <c r="H105" i="15"/>
  <c r="G105" i="15"/>
  <c r="F105" i="15"/>
  <c r="E105" i="15"/>
  <c r="D105" i="15"/>
  <c r="C105" i="15"/>
  <c r="B105" i="15"/>
  <c r="A105" i="15"/>
  <c r="H104" i="15"/>
  <c r="G104" i="15"/>
  <c r="F104" i="15"/>
  <c r="E104" i="15"/>
  <c r="D104" i="15"/>
  <c r="C104" i="15"/>
  <c r="B104" i="15"/>
  <c r="A104" i="15"/>
  <c r="H103" i="15"/>
  <c r="G103" i="15"/>
  <c r="F103" i="15"/>
  <c r="E103" i="15"/>
  <c r="D103" i="15"/>
  <c r="C103" i="15"/>
  <c r="B103" i="15"/>
  <c r="A103" i="15"/>
  <c r="H102" i="15"/>
  <c r="G102" i="15"/>
  <c r="F102" i="15"/>
  <c r="E102" i="15"/>
  <c r="D102" i="15"/>
  <c r="C102" i="15"/>
  <c r="B102" i="15"/>
  <c r="A102" i="15"/>
  <c r="H101" i="15"/>
  <c r="G101" i="15"/>
  <c r="F101" i="15"/>
  <c r="E101" i="15"/>
  <c r="D101" i="15"/>
  <c r="C101" i="15"/>
  <c r="B101" i="15"/>
  <c r="A101" i="15"/>
  <c r="H100" i="15"/>
  <c r="G100" i="15"/>
  <c r="F100" i="15"/>
  <c r="E100" i="15"/>
  <c r="D100" i="15"/>
  <c r="C100" i="15"/>
  <c r="B100" i="15"/>
  <c r="A100" i="15"/>
  <c r="H99" i="15"/>
  <c r="G99" i="15"/>
  <c r="F99" i="15"/>
  <c r="E99" i="15"/>
  <c r="D99" i="15"/>
  <c r="C99" i="15"/>
  <c r="B99" i="15"/>
  <c r="A99" i="15"/>
  <c r="H98" i="15"/>
  <c r="G98" i="15"/>
  <c r="F98" i="15"/>
  <c r="E98" i="15"/>
  <c r="D98" i="15"/>
  <c r="C98" i="15"/>
  <c r="B98" i="15"/>
  <c r="A98" i="15"/>
  <c r="H97" i="15"/>
  <c r="G97" i="15"/>
  <c r="F97" i="15"/>
  <c r="E97" i="15"/>
  <c r="D97" i="15"/>
  <c r="C97" i="15"/>
  <c r="B97" i="15"/>
  <c r="A97" i="15"/>
  <c r="H96" i="15"/>
  <c r="G96" i="15"/>
  <c r="F96" i="15"/>
  <c r="E96" i="15"/>
  <c r="D96" i="15"/>
  <c r="C96" i="15"/>
  <c r="B96" i="15"/>
  <c r="A96" i="15"/>
  <c r="H95" i="15"/>
  <c r="G95" i="15"/>
  <c r="F95" i="15"/>
  <c r="E95" i="15"/>
  <c r="D95" i="15"/>
  <c r="C95" i="15"/>
  <c r="B95" i="15"/>
  <c r="A95" i="15"/>
  <c r="H94" i="15"/>
  <c r="G94" i="15"/>
  <c r="F94" i="15"/>
  <c r="E94" i="15"/>
  <c r="D94" i="15"/>
  <c r="C94" i="15"/>
  <c r="B94" i="15"/>
  <c r="A94" i="15"/>
  <c r="H93" i="15"/>
  <c r="G93" i="15"/>
  <c r="F93" i="15"/>
  <c r="E93" i="15"/>
  <c r="D93" i="15"/>
  <c r="C93" i="15"/>
  <c r="B93" i="15"/>
  <c r="A93" i="15"/>
  <c r="H92" i="15"/>
  <c r="G92" i="15"/>
  <c r="F92" i="15"/>
  <c r="E92" i="15"/>
  <c r="D92" i="15"/>
  <c r="C92" i="15"/>
  <c r="B92" i="15"/>
  <c r="A92" i="15"/>
  <c r="H91" i="15"/>
  <c r="G91" i="15"/>
  <c r="F91" i="15"/>
  <c r="E91" i="15"/>
  <c r="D91" i="15"/>
  <c r="C91" i="15"/>
  <c r="B91" i="15"/>
  <c r="A91" i="15"/>
  <c r="H90" i="15"/>
  <c r="G90" i="15"/>
  <c r="F90" i="15"/>
  <c r="E90" i="15"/>
  <c r="D90" i="15"/>
  <c r="C90" i="15"/>
  <c r="B90" i="15"/>
  <c r="A90" i="15"/>
  <c r="H89" i="15"/>
  <c r="G89" i="15"/>
  <c r="F89" i="15"/>
  <c r="E89" i="15"/>
  <c r="D89" i="15"/>
  <c r="C89" i="15"/>
  <c r="B89" i="15"/>
  <c r="A89" i="15"/>
  <c r="H88" i="15"/>
  <c r="G88" i="15"/>
  <c r="F88" i="15"/>
  <c r="E88" i="15"/>
  <c r="D88" i="15"/>
  <c r="C88" i="15"/>
  <c r="B88" i="15"/>
  <c r="A88" i="15"/>
  <c r="H87" i="15"/>
  <c r="G87" i="15"/>
  <c r="F87" i="15"/>
  <c r="E87" i="15"/>
  <c r="D87" i="15"/>
  <c r="C87" i="15"/>
  <c r="B87" i="15"/>
  <c r="A87" i="15"/>
  <c r="H86" i="15"/>
  <c r="G86" i="15"/>
  <c r="F86" i="15"/>
  <c r="E86" i="15"/>
  <c r="D86" i="15"/>
  <c r="C86" i="15"/>
  <c r="B86" i="15"/>
  <c r="A86" i="15"/>
  <c r="H85" i="15"/>
  <c r="G85" i="15"/>
  <c r="F85" i="15"/>
  <c r="E85" i="15"/>
  <c r="D85" i="15"/>
  <c r="C85" i="15"/>
  <c r="B85" i="15"/>
  <c r="A85" i="15"/>
  <c r="H84" i="15"/>
  <c r="G84" i="15"/>
  <c r="F84" i="15"/>
  <c r="E84" i="15"/>
  <c r="D84" i="15"/>
  <c r="C84" i="15"/>
  <c r="B84" i="15"/>
  <c r="A84" i="15"/>
  <c r="H83" i="15"/>
  <c r="G83" i="15"/>
  <c r="F83" i="15"/>
  <c r="E83" i="15"/>
  <c r="D83" i="15"/>
  <c r="C83" i="15"/>
  <c r="B83" i="15"/>
  <c r="A83" i="15"/>
  <c r="H82" i="15"/>
  <c r="G82" i="15"/>
  <c r="F82" i="15"/>
  <c r="E82" i="15"/>
  <c r="D82" i="15"/>
  <c r="C82" i="15"/>
  <c r="B82" i="15"/>
  <c r="A82" i="15"/>
  <c r="H81" i="15"/>
  <c r="G81" i="15"/>
  <c r="F81" i="15"/>
  <c r="E81" i="15"/>
  <c r="D81" i="15"/>
  <c r="C81" i="15"/>
  <c r="B81" i="15"/>
  <c r="A81" i="15"/>
  <c r="H80" i="15"/>
  <c r="G80" i="15"/>
  <c r="F80" i="15"/>
  <c r="E80" i="15"/>
  <c r="D80" i="15"/>
  <c r="C80" i="15"/>
  <c r="B80" i="15"/>
  <c r="A80" i="15"/>
  <c r="H79" i="15"/>
  <c r="G79" i="15"/>
  <c r="F79" i="15"/>
  <c r="E79" i="15"/>
  <c r="D79" i="15"/>
  <c r="C79" i="15"/>
  <c r="B79" i="15"/>
  <c r="A79" i="15"/>
  <c r="H78" i="15"/>
  <c r="G78" i="15"/>
  <c r="F78" i="15"/>
  <c r="E78" i="15"/>
  <c r="D78" i="15"/>
  <c r="C78" i="15"/>
  <c r="B78" i="15"/>
  <c r="A78" i="15"/>
  <c r="H77" i="15"/>
  <c r="G77" i="15"/>
  <c r="F77" i="15"/>
  <c r="E77" i="15"/>
  <c r="D77" i="15"/>
  <c r="C77" i="15"/>
  <c r="B77" i="15"/>
  <c r="A77" i="15"/>
  <c r="H76" i="15"/>
  <c r="G76" i="15"/>
  <c r="F76" i="15"/>
  <c r="E76" i="15"/>
  <c r="D76" i="15"/>
  <c r="C76" i="15"/>
  <c r="B76" i="15"/>
  <c r="A76" i="15"/>
  <c r="H75" i="15"/>
  <c r="G75" i="15"/>
  <c r="F75" i="15"/>
  <c r="E75" i="15"/>
  <c r="D75" i="15"/>
  <c r="C75" i="15"/>
  <c r="B75" i="15"/>
  <c r="A75" i="15"/>
  <c r="H74" i="15"/>
  <c r="G74" i="15"/>
  <c r="F74" i="15"/>
  <c r="E74" i="15"/>
  <c r="D74" i="15"/>
  <c r="C74" i="15"/>
  <c r="B74" i="15"/>
  <c r="A74" i="15"/>
  <c r="H73" i="15"/>
  <c r="G73" i="15"/>
  <c r="F73" i="15"/>
  <c r="E73" i="15"/>
  <c r="D73" i="15"/>
  <c r="C73" i="15"/>
  <c r="B73" i="15"/>
  <c r="A73" i="15"/>
  <c r="H72" i="15"/>
  <c r="G72" i="15"/>
  <c r="F72" i="15"/>
  <c r="E72" i="15"/>
  <c r="D72" i="15"/>
  <c r="C72" i="15"/>
  <c r="B72" i="15"/>
  <c r="A72" i="15"/>
  <c r="H71" i="15"/>
  <c r="G71" i="15"/>
  <c r="F71" i="15"/>
  <c r="E71" i="15"/>
  <c r="D71" i="15"/>
  <c r="C71" i="15"/>
  <c r="B71" i="15"/>
  <c r="A71" i="15"/>
  <c r="H70" i="15"/>
  <c r="G70" i="15"/>
  <c r="F70" i="15"/>
  <c r="E70" i="15"/>
  <c r="D70" i="15"/>
  <c r="C70" i="15"/>
  <c r="B70" i="15"/>
  <c r="A70" i="15"/>
  <c r="H69" i="15"/>
  <c r="G69" i="15"/>
  <c r="F69" i="15"/>
  <c r="E69" i="15"/>
  <c r="D69" i="15"/>
  <c r="C69" i="15"/>
  <c r="B69" i="15"/>
  <c r="A69" i="15"/>
  <c r="H68" i="15"/>
  <c r="G68" i="15"/>
  <c r="F68" i="15"/>
  <c r="E68" i="15"/>
  <c r="D68" i="15"/>
  <c r="C68" i="15"/>
  <c r="B68" i="15"/>
  <c r="A68" i="15"/>
  <c r="H67" i="15"/>
  <c r="G67" i="15"/>
  <c r="F67" i="15"/>
  <c r="E67" i="15"/>
  <c r="D67" i="15"/>
  <c r="C67" i="15"/>
  <c r="B67" i="15"/>
  <c r="A67" i="15"/>
  <c r="H66" i="15"/>
  <c r="G66" i="15"/>
  <c r="F66" i="15"/>
  <c r="E66" i="15"/>
  <c r="D66" i="15"/>
  <c r="C66" i="15"/>
  <c r="B66" i="15"/>
  <c r="A66" i="15"/>
  <c r="H65" i="15"/>
  <c r="G65" i="15"/>
  <c r="F65" i="15"/>
  <c r="E65" i="15"/>
  <c r="D65" i="15"/>
  <c r="C65" i="15"/>
  <c r="B65" i="15"/>
  <c r="A65" i="15"/>
  <c r="H64" i="15"/>
  <c r="G64" i="15"/>
  <c r="F64" i="15"/>
  <c r="E64" i="15"/>
  <c r="D64" i="15"/>
  <c r="C64" i="15"/>
  <c r="B64" i="15"/>
  <c r="A64" i="15"/>
  <c r="H63" i="15"/>
  <c r="G63" i="15"/>
  <c r="F63" i="15"/>
  <c r="E63" i="15"/>
  <c r="D63" i="15"/>
  <c r="C63" i="15"/>
  <c r="B63" i="15"/>
  <c r="A63" i="15"/>
  <c r="H62" i="15"/>
  <c r="G62" i="15"/>
  <c r="F62" i="15"/>
  <c r="E62" i="15"/>
  <c r="D62" i="15"/>
  <c r="C62" i="15"/>
  <c r="B62" i="15"/>
  <c r="A62" i="15"/>
  <c r="H61" i="15"/>
  <c r="G61" i="15"/>
  <c r="F61" i="15"/>
  <c r="E61" i="15"/>
  <c r="D61" i="15"/>
  <c r="C61" i="15"/>
  <c r="B61" i="15"/>
  <c r="A61" i="15"/>
  <c r="H60" i="15"/>
  <c r="G60" i="15"/>
  <c r="F60" i="15"/>
  <c r="E60" i="15"/>
  <c r="D60" i="15"/>
  <c r="C60" i="15"/>
  <c r="B60" i="15"/>
  <c r="A60" i="15"/>
  <c r="H59" i="15"/>
  <c r="G59" i="15"/>
  <c r="F59" i="15"/>
  <c r="E59" i="15"/>
  <c r="D59" i="15"/>
  <c r="C59" i="15"/>
  <c r="B59" i="15"/>
  <c r="A59" i="15"/>
  <c r="H58" i="15"/>
  <c r="G58" i="15"/>
  <c r="F58" i="15"/>
  <c r="E58" i="15"/>
  <c r="D58" i="15"/>
  <c r="C58" i="15"/>
  <c r="B58" i="15"/>
  <c r="A58" i="15"/>
  <c r="H57" i="15"/>
  <c r="G57" i="15"/>
  <c r="F57" i="15"/>
  <c r="E57" i="15"/>
  <c r="D57" i="15"/>
  <c r="C57" i="15"/>
  <c r="B57" i="15"/>
  <c r="A57" i="15"/>
  <c r="H56" i="15"/>
  <c r="G56" i="15"/>
  <c r="F56" i="15"/>
  <c r="E56" i="15"/>
  <c r="D56" i="15"/>
  <c r="C56" i="15"/>
  <c r="B56" i="15"/>
  <c r="A56" i="15"/>
  <c r="H55" i="15"/>
  <c r="G55" i="15"/>
  <c r="F55" i="15"/>
  <c r="E55" i="15"/>
  <c r="D55" i="15"/>
  <c r="C55" i="15"/>
  <c r="B55" i="15"/>
  <c r="A55" i="15"/>
  <c r="H54" i="15"/>
  <c r="G54" i="15"/>
  <c r="F54" i="15"/>
  <c r="E54" i="15"/>
  <c r="D54" i="15"/>
  <c r="C54" i="15"/>
  <c r="B54" i="15"/>
  <c r="A54" i="15"/>
  <c r="H53" i="15"/>
  <c r="G53" i="15"/>
  <c r="F53" i="15"/>
  <c r="E53" i="15"/>
  <c r="D53" i="15"/>
  <c r="C53" i="15"/>
  <c r="B53" i="15"/>
  <c r="A53" i="15"/>
  <c r="H52" i="15"/>
  <c r="G52" i="15"/>
  <c r="F52" i="15"/>
  <c r="E52" i="15"/>
  <c r="D52" i="15"/>
  <c r="C52" i="15"/>
  <c r="B52" i="15"/>
  <c r="A52" i="15"/>
  <c r="H51" i="15"/>
  <c r="G51" i="15"/>
  <c r="F51" i="15"/>
  <c r="E51" i="15"/>
  <c r="D51" i="15"/>
  <c r="C51" i="15"/>
  <c r="B51" i="15"/>
  <c r="A51" i="15"/>
  <c r="H50" i="15"/>
  <c r="G50" i="15"/>
  <c r="F50" i="15"/>
  <c r="E50" i="15"/>
  <c r="D50" i="15"/>
  <c r="C50" i="15"/>
  <c r="B50" i="15"/>
  <c r="A50" i="15"/>
  <c r="H49" i="15"/>
  <c r="G49" i="15"/>
  <c r="F49" i="15"/>
  <c r="E49" i="15"/>
  <c r="D49" i="15"/>
  <c r="C49" i="15"/>
  <c r="B49" i="15"/>
  <c r="A49" i="15"/>
  <c r="H48" i="15"/>
  <c r="G48" i="15"/>
  <c r="F48" i="15"/>
  <c r="E48" i="15"/>
  <c r="D48" i="15"/>
  <c r="C48" i="15"/>
  <c r="B48" i="15"/>
  <c r="A48" i="15"/>
  <c r="H47" i="15"/>
  <c r="G47" i="15"/>
  <c r="F47" i="15"/>
  <c r="E47" i="15"/>
  <c r="D47" i="15"/>
  <c r="C47" i="15"/>
  <c r="B47" i="15"/>
  <c r="A47" i="15"/>
  <c r="H46" i="15"/>
  <c r="G46" i="15"/>
  <c r="F46" i="15"/>
  <c r="E46" i="15"/>
  <c r="D46" i="15"/>
  <c r="C46" i="15"/>
  <c r="B46" i="15"/>
  <c r="A46" i="15"/>
  <c r="H45" i="15"/>
  <c r="G45" i="15"/>
  <c r="F45" i="15"/>
  <c r="E45" i="15"/>
  <c r="D45" i="15"/>
  <c r="C45" i="15"/>
  <c r="B45" i="15"/>
  <c r="A45" i="15"/>
  <c r="H44" i="15"/>
  <c r="G44" i="15"/>
  <c r="F44" i="15"/>
  <c r="E44" i="15"/>
  <c r="D44" i="15"/>
  <c r="C44" i="15"/>
  <c r="B44" i="15"/>
  <c r="A44" i="15"/>
  <c r="H43" i="15"/>
  <c r="G43" i="15"/>
  <c r="F43" i="15"/>
  <c r="E43" i="15"/>
  <c r="D43" i="15"/>
  <c r="C43" i="15"/>
  <c r="B43" i="15"/>
  <c r="A43" i="15"/>
  <c r="H42" i="15"/>
  <c r="G42" i="15"/>
  <c r="F42" i="15"/>
  <c r="E42" i="15"/>
  <c r="D42" i="15"/>
  <c r="C42" i="15"/>
  <c r="B42" i="15"/>
  <c r="A42" i="15"/>
  <c r="H41" i="15"/>
  <c r="G41" i="15"/>
  <c r="F41" i="15"/>
  <c r="E41" i="15"/>
  <c r="D41" i="15"/>
  <c r="C41" i="15"/>
  <c r="B41" i="15"/>
  <c r="A41" i="15"/>
  <c r="H40" i="15"/>
  <c r="G40" i="15"/>
  <c r="F40" i="15"/>
  <c r="E40" i="15"/>
  <c r="D40" i="15"/>
  <c r="C40" i="15"/>
  <c r="B40" i="15"/>
  <c r="A40" i="15"/>
  <c r="H39" i="15"/>
  <c r="G39" i="15"/>
  <c r="F39" i="15"/>
  <c r="E39" i="15"/>
  <c r="D39" i="15"/>
  <c r="C39" i="15"/>
  <c r="B39" i="15"/>
  <c r="A39" i="15"/>
  <c r="H38" i="15"/>
  <c r="G38" i="15"/>
  <c r="F38" i="15"/>
  <c r="E38" i="15"/>
  <c r="D38" i="15"/>
  <c r="C38" i="15"/>
  <c r="B38" i="15"/>
  <c r="A38" i="15"/>
  <c r="H37" i="15"/>
  <c r="G37" i="15"/>
  <c r="F37" i="15"/>
  <c r="E37" i="15"/>
  <c r="D37" i="15"/>
  <c r="C37" i="15"/>
  <c r="B37" i="15"/>
  <c r="A37" i="15"/>
  <c r="H36" i="15"/>
  <c r="G36" i="15"/>
  <c r="F36" i="15"/>
  <c r="E36" i="15"/>
  <c r="D36" i="15"/>
  <c r="C36" i="15"/>
  <c r="B36" i="15"/>
  <c r="A36" i="15"/>
  <c r="H35" i="15"/>
  <c r="G35" i="15"/>
  <c r="F35" i="15"/>
  <c r="E35" i="15"/>
  <c r="D35" i="15"/>
  <c r="C35" i="15"/>
  <c r="B35" i="15"/>
  <c r="A35" i="15"/>
  <c r="H34" i="15"/>
  <c r="G34" i="15"/>
  <c r="F34" i="15"/>
  <c r="E34" i="15"/>
  <c r="D34" i="15"/>
  <c r="C34" i="15"/>
  <c r="B34" i="15"/>
  <c r="A34" i="15"/>
  <c r="H33" i="15"/>
  <c r="G33" i="15"/>
  <c r="F33" i="15"/>
  <c r="E33" i="15"/>
  <c r="D33" i="15"/>
  <c r="C33" i="15"/>
  <c r="B33" i="15"/>
  <c r="A33" i="15"/>
  <c r="H32" i="15"/>
  <c r="G32" i="15"/>
  <c r="F32" i="15"/>
  <c r="E32" i="15"/>
  <c r="D32" i="15"/>
  <c r="C32" i="15"/>
  <c r="B32" i="15"/>
  <c r="A32" i="15"/>
  <c r="H31" i="15"/>
  <c r="G31" i="15"/>
  <c r="F31" i="15"/>
  <c r="E31" i="15"/>
  <c r="D31" i="15"/>
  <c r="C31" i="15"/>
  <c r="B31" i="15"/>
  <c r="A31" i="15"/>
  <c r="H30" i="15"/>
  <c r="G30" i="15"/>
  <c r="F30" i="15"/>
  <c r="E30" i="15"/>
  <c r="D30" i="15"/>
  <c r="C30" i="15"/>
  <c r="B30" i="15"/>
  <c r="A30" i="15"/>
  <c r="H29" i="15"/>
  <c r="G29" i="15"/>
  <c r="F29" i="15"/>
  <c r="E29" i="15"/>
  <c r="D29" i="15"/>
  <c r="C29" i="15"/>
  <c r="B29" i="15"/>
  <c r="A29" i="15"/>
  <c r="H28" i="15"/>
  <c r="G28" i="15"/>
  <c r="F28" i="15"/>
  <c r="E28" i="15"/>
  <c r="D28" i="15"/>
  <c r="C28" i="15"/>
  <c r="B28" i="15"/>
  <c r="A28" i="15"/>
  <c r="H27" i="15"/>
  <c r="G27" i="15"/>
  <c r="F27" i="15"/>
  <c r="E27" i="15"/>
  <c r="D27" i="15"/>
  <c r="C27" i="15"/>
  <c r="B27" i="15"/>
  <c r="A27" i="15"/>
  <c r="H26" i="15"/>
  <c r="G26" i="15"/>
  <c r="F26" i="15"/>
  <c r="E26" i="15"/>
  <c r="D26" i="15"/>
  <c r="C26" i="15"/>
  <c r="B26" i="15"/>
  <c r="A26" i="15"/>
  <c r="H25" i="15"/>
  <c r="G25" i="15"/>
  <c r="F25" i="15"/>
  <c r="E25" i="15"/>
  <c r="D25" i="15"/>
  <c r="C25" i="15"/>
  <c r="B25" i="15"/>
  <c r="A25" i="15"/>
  <c r="H24" i="15"/>
  <c r="G24" i="15"/>
  <c r="F24" i="15"/>
  <c r="E24" i="15"/>
  <c r="D24" i="15"/>
  <c r="C24" i="15"/>
  <c r="B24" i="15"/>
  <c r="A24" i="15"/>
  <c r="H23" i="15"/>
  <c r="G23" i="15"/>
  <c r="F23" i="15"/>
  <c r="E23" i="15"/>
  <c r="D23" i="15"/>
  <c r="C23" i="15"/>
  <c r="B23" i="15"/>
  <c r="A23" i="15"/>
  <c r="H22" i="15"/>
  <c r="G22" i="15"/>
  <c r="F22" i="15"/>
  <c r="E22" i="15"/>
  <c r="D22" i="15"/>
  <c r="C22" i="15"/>
  <c r="B22" i="15"/>
  <c r="A22" i="15"/>
  <c r="H21" i="15"/>
  <c r="G21" i="15"/>
  <c r="F21" i="15"/>
  <c r="E21" i="15"/>
  <c r="D21" i="15"/>
  <c r="C21" i="15"/>
  <c r="B21" i="15"/>
  <c r="A21" i="15"/>
  <c r="H20" i="15"/>
  <c r="G20" i="15"/>
  <c r="F20" i="15"/>
  <c r="E20" i="15"/>
  <c r="D20" i="15"/>
  <c r="C20" i="15"/>
  <c r="B20" i="15"/>
  <c r="A20" i="15"/>
  <c r="H19" i="15"/>
  <c r="G19" i="15"/>
  <c r="F19" i="15"/>
  <c r="E19" i="15"/>
  <c r="D19" i="15"/>
  <c r="C19" i="15"/>
  <c r="B19" i="15"/>
  <c r="A19" i="15"/>
  <c r="H18" i="15"/>
  <c r="G18" i="15"/>
  <c r="F18" i="15"/>
  <c r="E18" i="15"/>
  <c r="D18" i="15"/>
  <c r="C18" i="15"/>
  <c r="B18" i="15"/>
  <c r="A18" i="15"/>
  <c r="H17" i="15"/>
  <c r="G17" i="15"/>
  <c r="F17" i="15"/>
  <c r="E17" i="15"/>
  <c r="D17" i="15"/>
  <c r="C17" i="15"/>
  <c r="B17" i="15"/>
  <c r="A17" i="15"/>
  <c r="H16" i="15"/>
  <c r="G16" i="15"/>
  <c r="F16" i="15"/>
  <c r="E16" i="15"/>
  <c r="D16" i="15"/>
  <c r="C16" i="15"/>
  <c r="B16" i="15"/>
  <c r="A16" i="15"/>
  <c r="H15" i="15"/>
  <c r="G15" i="15"/>
  <c r="F15" i="15"/>
  <c r="E15" i="15"/>
  <c r="D15" i="15"/>
  <c r="C15" i="15"/>
  <c r="B15" i="15"/>
  <c r="A15" i="15"/>
  <c r="H14" i="15"/>
  <c r="G14" i="15"/>
  <c r="F14" i="15"/>
  <c r="E14" i="15"/>
  <c r="D14" i="15"/>
  <c r="C14" i="15"/>
  <c r="B14" i="15"/>
  <c r="A14" i="15"/>
  <c r="H13" i="15"/>
  <c r="G13" i="15"/>
  <c r="F13" i="15"/>
  <c r="E13" i="15"/>
  <c r="D13" i="15"/>
  <c r="C13" i="15"/>
  <c r="B13" i="15"/>
  <c r="A13" i="15"/>
  <c r="H12" i="15"/>
  <c r="G12" i="15"/>
  <c r="F12" i="15"/>
  <c r="E12" i="15"/>
  <c r="D12" i="15"/>
  <c r="C12" i="15"/>
  <c r="B12" i="15"/>
  <c r="A12" i="15"/>
  <c r="H11" i="15"/>
  <c r="G11" i="15"/>
  <c r="F11" i="15"/>
  <c r="E11" i="15"/>
  <c r="D11" i="15"/>
  <c r="C11" i="15"/>
  <c r="B11" i="15"/>
  <c r="A11" i="15"/>
  <c r="H10" i="15"/>
  <c r="G10" i="15"/>
  <c r="F10" i="15"/>
  <c r="E10" i="15"/>
  <c r="D10" i="15"/>
  <c r="C10" i="15"/>
  <c r="B10" i="15"/>
  <c r="A10" i="15"/>
  <c r="H9" i="15"/>
  <c r="G9" i="15"/>
  <c r="F9" i="15"/>
  <c r="E9" i="15"/>
  <c r="D9" i="15"/>
  <c r="C9" i="15"/>
  <c r="B9" i="15"/>
  <c r="A9" i="15"/>
  <c r="H8" i="15"/>
  <c r="G8" i="15"/>
  <c r="F8" i="15"/>
  <c r="E8" i="15"/>
  <c r="D8" i="15"/>
  <c r="C8" i="15"/>
  <c r="B8" i="15"/>
  <c r="A8" i="15"/>
  <c r="H7" i="15"/>
  <c r="G7" i="15"/>
  <c r="F7" i="15"/>
  <c r="E7" i="15"/>
  <c r="D7" i="15"/>
  <c r="C7" i="15"/>
  <c r="B7" i="15"/>
  <c r="A7" i="15"/>
  <c r="H6" i="15"/>
  <c r="G6" i="15"/>
  <c r="F6" i="15"/>
  <c r="E6" i="15"/>
  <c r="D6" i="15"/>
  <c r="C6" i="15"/>
  <c r="B6" i="15"/>
  <c r="A6" i="15"/>
  <c r="H5" i="15"/>
  <c r="G5" i="15"/>
  <c r="F5" i="15"/>
  <c r="E5" i="15"/>
  <c r="D5" i="15"/>
  <c r="C5" i="15"/>
  <c r="B5" i="15"/>
  <c r="A5" i="15"/>
  <c r="H4" i="15"/>
  <c r="G4" i="15"/>
  <c r="F4" i="15"/>
  <c r="E4" i="15"/>
  <c r="D4" i="15"/>
  <c r="C4" i="15"/>
  <c r="B4" i="15"/>
  <c r="A4" i="15"/>
  <c r="H3" i="15"/>
  <c r="G3" i="15"/>
  <c r="F3" i="15"/>
  <c r="E3" i="15"/>
  <c r="D3" i="15"/>
  <c r="C3" i="15"/>
  <c r="B3" i="15"/>
  <c r="A3" i="15"/>
  <c r="H2" i="15"/>
  <c r="G2" i="15"/>
  <c r="F2" i="15"/>
  <c r="E2" i="15"/>
  <c r="D2" i="15"/>
  <c r="C2" i="15"/>
  <c r="B2" i="15"/>
  <c r="A2" i="15"/>
  <c r="H1" i="15"/>
  <c r="G1" i="15"/>
  <c r="F1" i="15"/>
  <c r="E1" i="15"/>
  <c r="D1" i="15"/>
  <c r="C1" i="15"/>
  <c r="B1" i="15"/>
  <c r="A1" i="15"/>
  <c r="H277" i="14"/>
  <c r="G277" i="14"/>
  <c r="F277" i="14"/>
  <c r="E277" i="14"/>
  <c r="D277" i="14"/>
  <c r="C277" i="14"/>
  <c r="B277" i="14"/>
  <c r="A277" i="14"/>
  <c r="H276" i="14"/>
  <c r="G276" i="14"/>
  <c r="F276" i="14"/>
  <c r="E276" i="14"/>
  <c r="D276" i="14"/>
  <c r="C276" i="14"/>
  <c r="B276" i="14"/>
  <c r="A276" i="14"/>
  <c r="H275" i="14"/>
  <c r="G275" i="14"/>
  <c r="F275" i="14"/>
  <c r="E275" i="14"/>
  <c r="D275" i="14"/>
  <c r="C275" i="14"/>
  <c r="B275" i="14"/>
  <c r="A275" i="14"/>
  <c r="H274" i="14"/>
  <c r="G274" i="14"/>
  <c r="F274" i="14"/>
  <c r="E274" i="14"/>
  <c r="D274" i="14"/>
  <c r="C274" i="14"/>
  <c r="B274" i="14"/>
  <c r="A274" i="14"/>
  <c r="H273" i="14"/>
  <c r="G273" i="14"/>
  <c r="F273" i="14"/>
  <c r="E273" i="14"/>
  <c r="D273" i="14"/>
  <c r="C273" i="14"/>
  <c r="B273" i="14"/>
  <c r="A273" i="14"/>
  <c r="H272" i="14"/>
  <c r="G272" i="14"/>
  <c r="F272" i="14"/>
  <c r="E272" i="14"/>
  <c r="D272" i="14"/>
  <c r="C272" i="14"/>
  <c r="B272" i="14"/>
  <c r="A272" i="14"/>
  <c r="H271" i="14"/>
  <c r="G271" i="14"/>
  <c r="F271" i="14"/>
  <c r="E271" i="14"/>
  <c r="D271" i="14"/>
  <c r="C271" i="14"/>
  <c r="B271" i="14"/>
  <c r="A271" i="14"/>
  <c r="H270" i="14"/>
  <c r="G270" i="14"/>
  <c r="F270" i="14"/>
  <c r="E270" i="14"/>
  <c r="D270" i="14"/>
  <c r="C270" i="14"/>
  <c r="B270" i="14"/>
  <c r="A270" i="14"/>
  <c r="H269" i="14"/>
  <c r="G269" i="14"/>
  <c r="F269" i="14"/>
  <c r="E269" i="14"/>
  <c r="D269" i="14"/>
  <c r="C269" i="14"/>
  <c r="B269" i="14"/>
  <c r="A269" i="14"/>
  <c r="H268" i="14"/>
  <c r="G268" i="14"/>
  <c r="F268" i="14"/>
  <c r="E268" i="14"/>
  <c r="D268" i="14"/>
  <c r="C268" i="14"/>
  <c r="B268" i="14"/>
  <c r="A268" i="14"/>
  <c r="H267" i="14"/>
  <c r="G267" i="14"/>
  <c r="F267" i="14"/>
  <c r="E267" i="14"/>
  <c r="D267" i="14"/>
  <c r="C267" i="14"/>
  <c r="B267" i="14"/>
  <c r="A267" i="14"/>
  <c r="H266" i="14"/>
  <c r="G266" i="14"/>
  <c r="F266" i="14"/>
  <c r="E266" i="14"/>
  <c r="D266" i="14"/>
  <c r="C266" i="14"/>
  <c r="B266" i="14"/>
  <c r="A266" i="14"/>
  <c r="H265" i="14"/>
  <c r="G265" i="14"/>
  <c r="F265" i="14"/>
  <c r="E265" i="14"/>
  <c r="D265" i="14"/>
  <c r="C265" i="14"/>
  <c r="B265" i="14"/>
  <c r="A265" i="14"/>
  <c r="H264" i="14"/>
  <c r="G264" i="14"/>
  <c r="F264" i="14"/>
  <c r="E264" i="14"/>
  <c r="D264" i="14"/>
  <c r="C264" i="14"/>
  <c r="B264" i="14"/>
  <c r="A264" i="14"/>
  <c r="H263" i="14"/>
  <c r="G263" i="14"/>
  <c r="F263" i="14"/>
  <c r="E263" i="14"/>
  <c r="D263" i="14"/>
  <c r="C263" i="14"/>
  <c r="B263" i="14"/>
  <c r="A263" i="14"/>
  <c r="H262" i="14"/>
  <c r="G262" i="14"/>
  <c r="F262" i="14"/>
  <c r="E262" i="14"/>
  <c r="D262" i="14"/>
  <c r="C262" i="14"/>
  <c r="B262" i="14"/>
  <c r="A262" i="14"/>
  <c r="H261" i="14"/>
  <c r="G261" i="14"/>
  <c r="F261" i="14"/>
  <c r="E261" i="14"/>
  <c r="D261" i="14"/>
  <c r="C261" i="14"/>
  <c r="B261" i="14"/>
  <c r="A261" i="14"/>
  <c r="H260" i="14"/>
  <c r="G260" i="14"/>
  <c r="F260" i="14"/>
  <c r="E260" i="14"/>
  <c r="D260" i="14"/>
  <c r="C260" i="14"/>
  <c r="B260" i="14"/>
  <c r="A260" i="14"/>
  <c r="H259" i="14"/>
  <c r="G259" i="14"/>
  <c r="F259" i="14"/>
  <c r="E259" i="14"/>
  <c r="D259" i="14"/>
  <c r="C259" i="14"/>
  <c r="B259" i="14"/>
  <c r="A259" i="14"/>
  <c r="H258" i="14"/>
  <c r="G258" i="14"/>
  <c r="F258" i="14"/>
  <c r="E258" i="14"/>
  <c r="D258" i="14"/>
  <c r="C258" i="14"/>
  <c r="B258" i="14"/>
  <c r="A258" i="14"/>
  <c r="H257" i="14"/>
  <c r="G257" i="14"/>
  <c r="F257" i="14"/>
  <c r="E257" i="14"/>
  <c r="D257" i="14"/>
  <c r="C257" i="14"/>
  <c r="B257" i="14"/>
  <c r="A257" i="14"/>
  <c r="H256" i="14"/>
  <c r="G256" i="14"/>
  <c r="F256" i="14"/>
  <c r="E256" i="14"/>
  <c r="D256" i="14"/>
  <c r="C256" i="14"/>
  <c r="B256" i="14"/>
  <c r="A256" i="14"/>
  <c r="H255" i="14"/>
  <c r="G255" i="14"/>
  <c r="F255" i="14"/>
  <c r="E255" i="14"/>
  <c r="D255" i="14"/>
  <c r="C255" i="14"/>
  <c r="B255" i="14"/>
  <c r="A255" i="14"/>
  <c r="H254" i="14"/>
  <c r="G254" i="14"/>
  <c r="F254" i="14"/>
  <c r="E254" i="14"/>
  <c r="D254" i="14"/>
  <c r="C254" i="14"/>
  <c r="B254" i="14"/>
  <c r="A254" i="14"/>
  <c r="H253" i="14"/>
  <c r="G253" i="14"/>
  <c r="F253" i="14"/>
  <c r="E253" i="14"/>
  <c r="D253" i="14"/>
  <c r="C253" i="14"/>
  <c r="B253" i="14"/>
  <c r="A253" i="14"/>
  <c r="H252" i="14"/>
  <c r="G252" i="14"/>
  <c r="F252" i="14"/>
  <c r="E252" i="14"/>
  <c r="D252" i="14"/>
  <c r="C252" i="14"/>
  <c r="B252" i="14"/>
  <c r="A252" i="14"/>
  <c r="H251" i="14"/>
  <c r="G251" i="14"/>
  <c r="F251" i="14"/>
  <c r="E251" i="14"/>
  <c r="D251" i="14"/>
  <c r="C251" i="14"/>
  <c r="B251" i="14"/>
  <c r="A251" i="14"/>
  <c r="H250" i="14"/>
  <c r="G250" i="14"/>
  <c r="F250" i="14"/>
  <c r="E250" i="14"/>
  <c r="D250" i="14"/>
  <c r="C250" i="14"/>
  <c r="B250" i="14"/>
  <c r="A250" i="14"/>
  <c r="H249" i="14"/>
  <c r="G249" i="14"/>
  <c r="F249" i="14"/>
  <c r="E249" i="14"/>
  <c r="D249" i="14"/>
  <c r="C249" i="14"/>
  <c r="B249" i="14"/>
  <c r="A249" i="14"/>
  <c r="H248" i="14"/>
  <c r="G248" i="14"/>
  <c r="F248" i="14"/>
  <c r="E248" i="14"/>
  <c r="D248" i="14"/>
  <c r="C248" i="14"/>
  <c r="B248" i="14"/>
  <c r="A248" i="14"/>
  <c r="H247" i="14"/>
  <c r="G247" i="14"/>
  <c r="F247" i="14"/>
  <c r="E247" i="14"/>
  <c r="D247" i="14"/>
  <c r="C247" i="14"/>
  <c r="B247" i="14"/>
  <c r="A247" i="14"/>
  <c r="H246" i="14"/>
  <c r="G246" i="14"/>
  <c r="F246" i="14"/>
  <c r="E246" i="14"/>
  <c r="D246" i="14"/>
  <c r="C246" i="14"/>
  <c r="B246" i="14"/>
  <c r="A246" i="14"/>
  <c r="H245" i="14"/>
  <c r="G245" i="14"/>
  <c r="F245" i="14"/>
  <c r="E245" i="14"/>
  <c r="D245" i="14"/>
  <c r="C245" i="14"/>
  <c r="B245" i="14"/>
  <c r="A245" i="14"/>
  <c r="H244" i="14"/>
  <c r="G244" i="14"/>
  <c r="F244" i="14"/>
  <c r="E244" i="14"/>
  <c r="D244" i="14"/>
  <c r="C244" i="14"/>
  <c r="B244" i="14"/>
  <c r="A244" i="14"/>
  <c r="H243" i="14"/>
  <c r="G243" i="14"/>
  <c r="F243" i="14"/>
  <c r="E243" i="14"/>
  <c r="D243" i="14"/>
  <c r="C243" i="14"/>
  <c r="B243" i="14"/>
  <c r="A243" i="14"/>
  <c r="H242" i="14"/>
  <c r="G242" i="14"/>
  <c r="F242" i="14"/>
  <c r="E242" i="14"/>
  <c r="D242" i="14"/>
  <c r="C242" i="14"/>
  <c r="B242" i="14"/>
  <c r="A242" i="14"/>
  <c r="H241" i="14"/>
  <c r="G241" i="14"/>
  <c r="F241" i="14"/>
  <c r="E241" i="14"/>
  <c r="D241" i="14"/>
  <c r="C241" i="14"/>
  <c r="B241" i="14"/>
  <c r="A241" i="14"/>
  <c r="H240" i="14"/>
  <c r="G240" i="14"/>
  <c r="F240" i="14"/>
  <c r="E240" i="14"/>
  <c r="D240" i="14"/>
  <c r="C240" i="14"/>
  <c r="B240" i="14"/>
  <c r="A240" i="14"/>
  <c r="H239" i="14"/>
  <c r="G239" i="14"/>
  <c r="F239" i="14"/>
  <c r="E239" i="14"/>
  <c r="D239" i="14"/>
  <c r="C239" i="14"/>
  <c r="B239" i="14"/>
  <c r="A239" i="14"/>
  <c r="H238" i="14"/>
  <c r="G238" i="14"/>
  <c r="F238" i="14"/>
  <c r="E238" i="14"/>
  <c r="D238" i="14"/>
  <c r="C238" i="14"/>
  <c r="B238" i="14"/>
  <c r="A238" i="14"/>
  <c r="H237" i="14"/>
  <c r="G237" i="14"/>
  <c r="F237" i="14"/>
  <c r="E237" i="14"/>
  <c r="D237" i="14"/>
  <c r="C237" i="14"/>
  <c r="B237" i="14"/>
  <c r="A237" i="14"/>
  <c r="H236" i="14"/>
  <c r="G236" i="14"/>
  <c r="F236" i="14"/>
  <c r="E236" i="14"/>
  <c r="D236" i="14"/>
  <c r="C236" i="14"/>
  <c r="B236" i="14"/>
  <c r="A236" i="14"/>
  <c r="H235" i="14"/>
  <c r="G235" i="14"/>
  <c r="F235" i="14"/>
  <c r="E235" i="14"/>
  <c r="D235" i="14"/>
  <c r="C235" i="14"/>
  <c r="B235" i="14"/>
  <c r="A235" i="14"/>
  <c r="H234" i="14"/>
  <c r="G234" i="14"/>
  <c r="F234" i="14"/>
  <c r="E234" i="14"/>
  <c r="D234" i="14"/>
  <c r="C234" i="14"/>
  <c r="B234" i="14"/>
  <c r="A234" i="14"/>
  <c r="H233" i="14"/>
  <c r="G233" i="14"/>
  <c r="F233" i="14"/>
  <c r="E233" i="14"/>
  <c r="D233" i="14"/>
  <c r="C233" i="14"/>
  <c r="B233" i="14"/>
  <c r="A233" i="14"/>
  <c r="H232" i="14"/>
  <c r="G232" i="14"/>
  <c r="F232" i="14"/>
  <c r="E232" i="14"/>
  <c r="D232" i="14"/>
  <c r="C232" i="14"/>
  <c r="B232" i="14"/>
  <c r="A232" i="14"/>
  <c r="H231" i="14"/>
  <c r="G231" i="14"/>
  <c r="F231" i="14"/>
  <c r="E231" i="14"/>
  <c r="D231" i="14"/>
  <c r="C231" i="14"/>
  <c r="B231" i="14"/>
  <c r="A231" i="14"/>
  <c r="H230" i="14"/>
  <c r="G230" i="14"/>
  <c r="F230" i="14"/>
  <c r="E230" i="14"/>
  <c r="D230" i="14"/>
  <c r="C230" i="14"/>
  <c r="B230" i="14"/>
  <c r="A230" i="14"/>
  <c r="H229" i="14"/>
  <c r="G229" i="14"/>
  <c r="F229" i="14"/>
  <c r="E229" i="14"/>
  <c r="D229" i="14"/>
  <c r="C229" i="14"/>
  <c r="B229" i="14"/>
  <c r="A229" i="14"/>
  <c r="H228" i="14"/>
  <c r="G228" i="14"/>
  <c r="F228" i="14"/>
  <c r="E228" i="14"/>
  <c r="D228" i="14"/>
  <c r="C228" i="14"/>
  <c r="B228" i="14"/>
  <c r="A228" i="14"/>
  <c r="H227" i="14"/>
  <c r="G227" i="14"/>
  <c r="F227" i="14"/>
  <c r="E227" i="14"/>
  <c r="D227" i="14"/>
  <c r="C227" i="14"/>
  <c r="B227" i="14"/>
  <c r="A227" i="14"/>
  <c r="H226" i="14"/>
  <c r="G226" i="14"/>
  <c r="F226" i="14"/>
  <c r="E226" i="14"/>
  <c r="D226" i="14"/>
  <c r="C226" i="14"/>
  <c r="B226" i="14"/>
  <c r="A226" i="14"/>
  <c r="H225" i="14"/>
  <c r="G225" i="14"/>
  <c r="F225" i="14"/>
  <c r="E225" i="14"/>
  <c r="D225" i="14"/>
  <c r="C225" i="14"/>
  <c r="B225" i="14"/>
  <c r="A225" i="14"/>
  <c r="H224" i="14"/>
  <c r="G224" i="14"/>
  <c r="F224" i="14"/>
  <c r="E224" i="14"/>
  <c r="D224" i="14"/>
  <c r="C224" i="14"/>
  <c r="B224" i="14"/>
  <c r="A224" i="14"/>
  <c r="H223" i="14"/>
  <c r="G223" i="14"/>
  <c r="F223" i="14"/>
  <c r="E223" i="14"/>
  <c r="D223" i="14"/>
  <c r="C223" i="14"/>
  <c r="B223" i="14"/>
  <c r="A223" i="14"/>
  <c r="H222" i="14"/>
  <c r="G222" i="14"/>
  <c r="F222" i="14"/>
  <c r="E222" i="14"/>
  <c r="D222" i="14"/>
  <c r="C222" i="14"/>
  <c r="B222" i="14"/>
  <c r="A222" i="14"/>
  <c r="H221" i="14"/>
  <c r="G221" i="14"/>
  <c r="F221" i="14"/>
  <c r="E221" i="14"/>
  <c r="D221" i="14"/>
  <c r="C221" i="14"/>
  <c r="B221" i="14"/>
  <c r="A221" i="14"/>
  <c r="H220" i="14"/>
  <c r="G220" i="14"/>
  <c r="F220" i="14"/>
  <c r="E220" i="14"/>
  <c r="D220" i="14"/>
  <c r="C220" i="14"/>
  <c r="B220" i="14"/>
  <c r="A220" i="14"/>
  <c r="H219" i="14"/>
  <c r="G219" i="14"/>
  <c r="F219" i="14"/>
  <c r="E219" i="14"/>
  <c r="D219" i="14"/>
  <c r="C219" i="14"/>
  <c r="B219" i="14"/>
  <c r="A219" i="14"/>
  <c r="H218" i="14"/>
  <c r="G218" i="14"/>
  <c r="F218" i="14"/>
  <c r="E218" i="14"/>
  <c r="D218" i="14"/>
  <c r="C218" i="14"/>
  <c r="B218" i="14"/>
  <c r="A218" i="14"/>
  <c r="H217" i="14"/>
  <c r="G217" i="14"/>
  <c r="F217" i="14"/>
  <c r="E217" i="14"/>
  <c r="D217" i="14"/>
  <c r="C217" i="14"/>
  <c r="B217" i="14"/>
  <c r="A217" i="14"/>
  <c r="H216" i="14"/>
  <c r="G216" i="14"/>
  <c r="F216" i="14"/>
  <c r="E216" i="14"/>
  <c r="D216" i="14"/>
  <c r="C216" i="14"/>
  <c r="B216" i="14"/>
  <c r="A216" i="14"/>
  <c r="H215" i="14"/>
  <c r="G215" i="14"/>
  <c r="F215" i="14"/>
  <c r="E215" i="14"/>
  <c r="D215" i="14"/>
  <c r="C215" i="14"/>
  <c r="B215" i="14"/>
  <c r="A215" i="14"/>
  <c r="H214" i="14"/>
  <c r="G214" i="14"/>
  <c r="F214" i="14"/>
  <c r="E214" i="14"/>
  <c r="D214" i="14"/>
  <c r="C214" i="14"/>
  <c r="B214" i="14"/>
  <c r="A214" i="14"/>
  <c r="H213" i="14"/>
  <c r="G213" i="14"/>
  <c r="F213" i="14"/>
  <c r="E213" i="14"/>
  <c r="D213" i="14"/>
  <c r="C213" i="14"/>
  <c r="B213" i="14"/>
  <c r="A213" i="14"/>
  <c r="H212" i="14"/>
  <c r="G212" i="14"/>
  <c r="F212" i="14"/>
  <c r="E212" i="14"/>
  <c r="D212" i="14"/>
  <c r="C212" i="14"/>
  <c r="B212" i="14"/>
  <c r="A212" i="14"/>
  <c r="H211" i="14"/>
  <c r="G211" i="14"/>
  <c r="F211" i="14"/>
  <c r="E211" i="14"/>
  <c r="D211" i="14"/>
  <c r="C211" i="14"/>
  <c r="B211" i="14"/>
  <c r="A211" i="14"/>
  <c r="H210" i="14"/>
  <c r="G210" i="14"/>
  <c r="F210" i="14"/>
  <c r="E210" i="14"/>
  <c r="D210" i="14"/>
  <c r="C210" i="14"/>
  <c r="B210" i="14"/>
  <c r="A210" i="14"/>
  <c r="H209" i="14"/>
  <c r="G209" i="14"/>
  <c r="F209" i="14"/>
  <c r="E209" i="14"/>
  <c r="D209" i="14"/>
  <c r="C209" i="14"/>
  <c r="B209" i="14"/>
  <c r="A209" i="14"/>
  <c r="H208" i="14"/>
  <c r="G208" i="14"/>
  <c r="F208" i="14"/>
  <c r="E208" i="14"/>
  <c r="D208" i="14"/>
  <c r="C208" i="14"/>
  <c r="B208" i="14"/>
  <c r="A208" i="14"/>
  <c r="H207" i="14"/>
  <c r="G207" i="14"/>
  <c r="F207" i="14"/>
  <c r="E207" i="14"/>
  <c r="D207" i="14"/>
  <c r="C207" i="14"/>
  <c r="B207" i="14"/>
  <c r="A207" i="14"/>
  <c r="H206" i="14"/>
  <c r="G206" i="14"/>
  <c r="F206" i="14"/>
  <c r="E206" i="14"/>
  <c r="D206" i="14"/>
  <c r="C206" i="14"/>
  <c r="B206" i="14"/>
  <c r="A206" i="14"/>
  <c r="H205" i="14"/>
  <c r="G205" i="14"/>
  <c r="F205" i="14"/>
  <c r="E205" i="14"/>
  <c r="D205" i="14"/>
  <c r="C205" i="14"/>
  <c r="B205" i="14"/>
  <c r="A205" i="14"/>
  <c r="H204" i="14"/>
  <c r="G204" i="14"/>
  <c r="F204" i="14"/>
  <c r="E204" i="14"/>
  <c r="D204" i="14"/>
  <c r="C204" i="14"/>
  <c r="B204" i="14"/>
  <c r="A204" i="14"/>
  <c r="H203" i="14"/>
  <c r="G203" i="14"/>
  <c r="F203" i="14"/>
  <c r="E203" i="14"/>
  <c r="D203" i="14"/>
  <c r="C203" i="14"/>
  <c r="B203" i="14"/>
  <c r="A203" i="14"/>
  <c r="H202" i="14"/>
  <c r="G202" i="14"/>
  <c r="F202" i="14"/>
  <c r="E202" i="14"/>
  <c r="D202" i="14"/>
  <c r="C202" i="14"/>
  <c r="B202" i="14"/>
  <c r="A202" i="14"/>
  <c r="H201" i="14"/>
  <c r="G201" i="14"/>
  <c r="F201" i="14"/>
  <c r="E201" i="14"/>
  <c r="D201" i="14"/>
  <c r="C201" i="14"/>
  <c r="B201" i="14"/>
  <c r="A201" i="14"/>
  <c r="H200" i="14"/>
  <c r="G200" i="14"/>
  <c r="F200" i="14"/>
  <c r="E200" i="14"/>
  <c r="D200" i="14"/>
  <c r="C200" i="14"/>
  <c r="B200" i="14"/>
  <c r="A200" i="14"/>
  <c r="H199" i="14"/>
  <c r="G199" i="14"/>
  <c r="F199" i="14"/>
  <c r="E199" i="14"/>
  <c r="D199" i="14"/>
  <c r="C199" i="14"/>
  <c r="B199" i="14"/>
  <c r="A199" i="14"/>
  <c r="H198" i="14"/>
  <c r="G198" i="14"/>
  <c r="F198" i="14"/>
  <c r="E198" i="14"/>
  <c r="D198" i="14"/>
  <c r="C198" i="14"/>
  <c r="B198" i="14"/>
  <c r="A198" i="14"/>
  <c r="H197" i="14"/>
  <c r="G197" i="14"/>
  <c r="F197" i="14"/>
  <c r="E197" i="14"/>
  <c r="D197" i="14"/>
  <c r="C197" i="14"/>
  <c r="B197" i="14"/>
  <c r="A197" i="14"/>
  <c r="H196" i="14"/>
  <c r="G196" i="14"/>
  <c r="F196" i="14"/>
  <c r="E196" i="14"/>
  <c r="D196" i="14"/>
  <c r="C196" i="14"/>
  <c r="B196" i="14"/>
  <c r="A196" i="14"/>
  <c r="H195" i="14"/>
  <c r="G195" i="14"/>
  <c r="F195" i="14"/>
  <c r="E195" i="14"/>
  <c r="D195" i="14"/>
  <c r="C195" i="14"/>
  <c r="B195" i="14"/>
  <c r="A195" i="14"/>
  <c r="H194" i="14"/>
  <c r="G194" i="14"/>
  <c r="F194" i="14"/>
  <c r="E194" i="14"/>
  <c r="D194" i="14"/>
  <c r="C194" i="14"/>
  <c r="B194" i="14"/>
  <c r="A194" i="14"/>
  <c r="H193" i="14"/>
  <c r="G193" i="14"/>
  <c r="F193" i="14"/>
  <c r="E193" i="14"/>
  <c r="D193" i="14"/>
  <c r="C193" i="14"/>
  <c r="B193" i="14"/>
  <c r="A193" i="14"/>
  <c r="H192" i="14"/>
  <c r="G192" i="14"/>
  <c r="F192" i="14"/>
  <c r="E192" i="14"/>
  <c r="D192" i="14"/>
  <c r="C192" i="14"/>
  <c r="B192" i="14"/>
  <c r="A192" i="14"/>
  <c r="H191" i="14"/>
  <c r="G191" i="14"/>
  <c r="F191" i="14"/>
  <c r="E191" i="14"/>
  <c r="D191" i="14"/>
  <c r="C191" i="14"/>
  <c r="B191" i="14"/>
  <c r="A191" i="14"/>
  <c r="H190" i="14"/>
  <c r="G190" i="14"/>
  <c r="F190" i="14"/>
  <c r="E190" i="14"/>
  <c r="D190" i="14"/>
  <c r="C190" i="14"/>
  <c r="B190" i="14"/>
  <c r="A190" i="14"/>
  <c r="H189" i="14"/>
  <c r="G189" i="14"/>
  <c r="F189" i="14"/>
  <c r="E189" i="14"/>
  <c r="D189" i="14"/>
  <c r="C189" i="14"/>
  <c r="B189" i="14"/>
  <c r="A189" i="14"/>
  <c r="H188" i="14"/>
  <c r="G188" i="14"/>
  <c r="F188" i="14"/>
  <c r="E188" i="14"/>
  <c r="D188" i="14"/>
  <c r="C188" i="14"/>
  <c r="B188" i="14"/>
  <c r="A188" i="14"/>
  <c r="H187" i="14"/>
  <c r="G187" i="14"/>
  <c r="F187" i="14"/>
  <c r="E187" i="14"/>
  <c r="D187" i="14"/>
  <c r="C187" i="14"/>
  <c r="B187" i="14"/>
  <c r="A187" i="14"/>
  <c r="H186" i="14"/>
  <c r="G186" i="14"/>
  <c r="F186" i="14"/>
  <c r="E186" i="14"/>
  <c r="D186" i="14"/>
  <c r="C186" i="14"/>
  <c r="B186" i="14"/>
  <c r="A186" i="14"/>
  <c r="H185" i="14"/>
  <c r="G185" i="14"/>
  <c r="F185" i="14"/>
  <c r="E185" i="14"/>
  <c r="D185" i="14"/>
  <c r="C185" i="14"/>
  <c r="B185" i="14"/>
  <c r="A185" i="14"/>
  <c r="H184" i="14"/>
  <c r="G184" i="14"/>
  <c r="F184" i="14"/>
  <c r="E184" i="14"/>
  <c r="D184" i="14"/>
  <c r="C184" i="14"/>
  <c r="B184" i="14"/>
  <c r="A184" i="14"/>
  <c r="H183" i="14"/>
  <c r="G183" i="14"/>
  <c r="F183" i="14"/>
  <c r="E183" i="14"/>
  <c r="D183" i="14"/>
  <c r="C183" i="14"/>
  <c r="B183" i="14"/>
  <c r="A183" i="14"/>
  <c r="H182" i="14"/>
  <c r="G182" i="14"/>
  <c r="F182" i="14"/>
  <c r="E182" i="14"/>
  <c r="D182" i="14"/>
  <c r="C182" i="14"/>
  <c r="B182" i="14"/>
  <c r="A182" i="14"/>
  <c r="H181" i="14"/>
  <c r="G181" i="14"/>
  <c r="F181" i="14"/>
  <c r="E181" i="14"/>
  <c r="D181" i="14"/>
  <c r="C181" i="14"/>
  <c r="B181" i="14"/>
  <c r="A181" i="14"/>
  <c r="H180" i="14"/>
  <c r="G180" i="14"/>
  <c r="F180" i="14"/>
  <c r="E180" i="14"/>
  <c r="D180" i="14"/>
  <c r="C180" i="14"/>
  <c r="B180" i="14"/>
  <c r="A180" i="14"/>
  <c r="H179" i="14"/>
  <c r="G179" i="14"/>
  <c r="F179" i="14"/>
  <c r="E179" i="14"/>
  <c r="D179" i="14"/>
  <c r="C179" i="14"/>
  <c r="B179" i="14"/>
  <c r="A179" i="14"/>
  <c r="H178" i="14"/>
  <c r="G178" i="14"/>
  <c r="F178" i="14"/>
  <c r="E178" i="14"/>
  <c r="D178" i="14"/>
  <c r="C178" i="14"/>
  <c r="B178" i="14"/>
  <c r="A178" i="14"/>
  <c r="H177" i="14"/>
  <c r="G177" i="14"/>
  <c r="F177" i="14"/>
  <c r="E177" i="14"/>
  <c r="D177" i="14"/>
  <c r="C177" i="14"/>
  <c r="B177" i="14"/>
  <c r="A177" i="14"/>
  <c r="H176" i="14"/>
  <c r="G176" i="14"/>
  <c r="F176" i="14"/>
  <c r="E176" i="14"/>
  <c r="D176" i="14"/>
  <c r="C176" i="14"/>
  <c r="B176" i="14"/>
  <c r="A176" i="14"/>
  <c r="H175" i="14"/>
  <c r="G175" i="14"/>
  <c r="F175" i="14"/>
  <c r="E175" i="14"/>
  <c r="D175" i="14"/>
  <c r="C175" i="14"/>
  <c r="B175" i="14"/>
  <c r="A175" i="14"/>
  <c r="H174" i="14"/>
  <c r="G174" i="14"/>
  <c r="F174" i="14"/>
  <c r="E174" i="14"/>
  <c r="D174" i="14"/>
  <c r="C174" i="14"/>
  <c r="B174" i="14"/>
  <c r="A174" i="14"/>
  <c r="H173" i="14"/>
  <c r="G173" i="14"/>
  <c r="F173" i="14"/>
  <c r="E173" i="14"/>
  <c r="D173" i="14"/>
  <c r="C173" i="14"/>
  <c r="B173" i="14"/>
  <c r="A173" i="14"/>
  <c r="H172" i="14"/>
  <c r="G172" i="14"/>
  <c r="F172" i="14"/>
  <c r="E172" i="14"/>
  <c r="D172" i="14"/>
  <c r="C172" i="14"/>
  <c r="B172" i="14"/>
  <c r="A172" i="14"/>
  <c r="H171" i="14"/>
  <c r="G171" i="14"/>
  <c r="F171" i="14"/>
  <c r="E171" i="14"/>
  <c r="D171" i="14"/>
  <c r="C171" i="14"/>
  <c r="B171" i="14"/>
  <c r="A171" i="14"/>
  <c r="H170" i="14"/>
  <c r="G170" i="14"/>
  <c r="F170" i="14"/>
  <c r="E170" i="14"/>
  <c r="D170" i="14"/>
  <c r="C170" i="14"/>
  <c r="B170" i="14"/>
  <c r="A170" i="14"/>
  <c r="H169" i="14"/>
  <c r="G169" i="14"/>
  <c r="F169" i="14"/>
  <c r="E169" i="14"/>
  <c r="D169" i="14"/>
  <c r="C169" i="14"/>
  <c r="B169" i="14"/>
  <c r="A169" i="14"/>
  <c r="H168" i="14"/>
  <c r="G168" i="14"/>
  <c r="F168" i="14"/>
  <c r="E168" i="14"/>
  <c r="D168" i="14"/>
  <c r="C168" i="14"/>
  <c r="B168" i="14"/>
  <c r="A168" i="14"/>
  <c r="H167" i="14"/>
  <c r="G167" i="14"/>
  <c r="F167" i="14"/>
  <c r="E167" i="14"/>
  <c r="D167" i="14"/>
  <c r="C167" i="14"/>
  <c r="B167" i="14"/>
  <c r="A167" i="14"/>
  <c r="H166" i="14"/>
  <c r="G166" i="14"/>
  <c r="F166" i="14"/>
  <c r="E166" i="14"/>
  <c r="D166" i="14"/>
  <c r="C166" i="14"/>
  <c r="B166" i="14"/>
  <c r="A166" i="14"/>
  <c r="H165" i="14"/>
  <c r="G165" i="14"/>
  <c r="F165" i="14"/>
  <c r="E165" i="14"/>
  <c r="D165" i="14"/>
  <c r="C165" i="14"/>
  <c r="B165" i="14"/>
  <c r="A165" i="14"/>
  <c r="H164" i="14"/>
  <c r="G164" i="14"/>
  <c r="F164" i="14"/>
  <c r="E164" i="14"/>
  <c r="D164" i="14"/>
  <c r="C164" i="14"/>
  <c r="B164" i="14"/>
  <c r="A164" i="14"/>
  <c r="H163" i="14"/>
  <c r="G163" i="14"/>
  <c r="F163" i="14"/>
  <c r="E163" i="14"/>
  <c r="D163" i="14"/>
  <c r="C163" i="14"/>
  <c r="B163" i="14"/>
  <c r="A163" i="14"/>
  <c r="H162" i="14"/>
  <c r="G162" i="14"/>
  <c r="F162" i="14"/>
  <c r="E162" i="14"/>
  <c r="D162" i="14"/>
  <c r="C162" i="14"/>
  <c r="B162" i="14"/>
  <c r="A162" i="14"/>
  <c r="H161" i="14"/>
  <c r="G161" i="14"/>
  <c r="F161" i="14"/>
  <c r="E161" i="14"/>
  <c r="D161" i="14"/>
  <c r="C161" i="14"/>
  <c r="B161" i="14"/>
  <c r="A161" i="14"/>
  <c r="H160" i="14"/>
  <c r="G160" i="14"/>
  <c r="F160" i="14"/>
  <c r="E160" i="14"/>
  <c r="D160" i="14"/>
  <c r="C160" i="14"/>
  <c r="B160" i="14"/>
  <c r="A160" i="14"/>
  <c r="H159" i="14"/>
  <c r="G159" i="14"/>
  <c r="F159" i="14"/>
  <c r="E159" i="14"/>
  <c r="D159" i="14"/>
  <c r="C159" i="14"/>
  <c r="B159" i="14"/>
  <c r="A159" i="14"/>
  <c r="H158" i="14"/>
  <c r="G158" i="14"/>
  <c r="F158" i="14"/>
  <c r="E158" i="14"/>
  <c r="D158" i="14"/>
  <c r="C158" i="14"/>
  <c r="B158" i="14"/>
  <c r="A158" i="14"/>
  <c r="H157" i="14"/>
  <c r="G157" i="14"/>
  <c r="F157" i="14"/>
  <c r="E157" i="14"/>
  <c r="D157" i="14"/>
  <c r="C157" i="14"/>
  <c r="B157" i="14"/>
  <c r="A157" i="14"/>
  <c r="H156" i="14"/>
  <c r="G156" i="14"/>
  <c r="F156" i="14"/>
  <c r="E156" i="14"/>
  <c r="D156" i="14"/>
  <c r="C156" i="14"/>
  <c r="B156" i="14"/>
  <c r="A156" i="14"/>
  <c r="H155" i="14"/>
  <c r="G155" i="14"/>
  <c r="F155" i="14"/>
  <c r="E155" i="14"/>
  <c r="D155" i="14"/>
  <c r="C155" i="14"/>
  <c r="B155" i="14"/>
  <c r="A155" i="14"/>
  <c r="H154" i="14"/>
  <c r="G154" i="14"/>
  <c r="F154" i="14"/>
  <c r="E154" i="14"/>
  <c r="D154" i="14"/>
  <c r="C154" i="14"/>
  <c r="B154" i="14"/>
  <c r="A154" i="14"/>
  <c r="H153" i="14"/>
  <c r="G153" i="14"/>
  <c r="F153" i="14"/>
  <c r="E153" i="14"/>
  <c r="D153" i="14"/>
  <c r="C153" i="14"/>
  <c r="B153" i="14"/>
  <c r="A153" i="14"/>
  <c r="H152" i="14"/>
  <c r="G152" i="14"/>
  <c r="F152" i="14"/>
  <c r="E152" i="14"/>
  <c r="D152" i="14"/>
  <c r="C152" i="14"/>
  <c r="B152" i="14"/>
  <c r="A152" i="14"/>
  <c r="H151" i="14"/>
  <c r="G151" i="14"/>
  <c r="F151" i="14"/>
  <c r="E151" i="14"/>
  <c r="D151" i="14"/>
  <c r="C151" i="14"/>
  <c r="B151" i="14"/>
  <c r="A151" i="14"/>
  <c r="H150" i="14"/>
  <c r="G150" i="14"/>
  <c r="F150" i="14"/>
  <c r="E150" i="14"/>
  <c r="D150" i="14"/>
  <c r="C150" i="14"/>
  <c r="B150" i="14"/>
  <c r="A150" i="14"/>
  <c r="H149" i="14"/>
  <c r="G149" i="14"/>
  <c r="F149" i="14"/>
  <c r="E149" i="14"/>
  <c r="D149" i="14"/>
  <c r="C149" i="14"/>
  <c r="B149" i="14"/>
  <c r="A149" i="14"/>
  <c r="H148" i="14"/>
  <c r="G148" i="14"/>
  <c r="F148" i="14"/>
  <c r="E148" i="14"/>
  <c r="D148" i="14"/>
  <c r="C148" i="14"/>
  <c r="B148" i="14"/>
  <c r="A148" i="14"/>
  <c r="H147" i="14"/>
  <c r="G147" i="14"/>
  <c r="F147" i="14"/>
  <c r="E147" i="14"/>
  <c r="D147" i="14"/>
  <c r="C147" i="14"/>
  <c r="B147" i="14"/>
  <c r="A147" i="14"/>
  <c r="H146" i="14"/>
  <c r="G146" i="14"/>
  <c r="F146" i="14"/>
  <c r="E146" i="14"/>
  <c r="D146" i="14"/>
  <c r="C146" i="14"/>
  <c r="B146" i="14"/>
  <c r="A146" i="14"/>
  <c r="H145" i="14"/>
  <c r="G145" i="14"/>
  <c r="F145" i="14"/>
  <c r="E145" i="14"/>
  <c r="D145" i="14"/>
  <c r="C145" i="14"/>
  <c r="B145" i="14"/>
  <c r="A145" i="14"/>
  <c r="H144" i="14"/>
  <c r="G144" i="14"/>
  <c r="F144" i="14"/>
  <c r="E144" i="14"/>
  <c r="D144" i="14"/>
  <c r="C144" i="14"/>
  <c r="B144" i="14"/>
  <c r="A144" i="14"/>
  <c r="H143" i="14"/>
  <c r="G143" i="14"/>
  <c r="F143" i="14"/>
  <c r="E143" i="14"/>
  <c r="D143" i="14"/>
  <c r="C143" i="14"/>
  <c r="B143" i="14"/>
  <c r="A143" i="14"/>
  <c r="H142" i="14"/>
  <c r="G142" i="14"/>
  <c r="F142" i="14"/>
  <c r="E142" i="14"/>
  <c r="D142" i="14"/>
  <c r="C142" i="14"/>
  <c r="B142" i="14"/>
  <c r="A142" i="14"/>
  <c r="H141" i="14"/>
  <c r="G141" i="14"/>
  <c r="F141" i="14"/>
  <c r="E141" i="14"/>
  <c r="D141" i="14"/>
  <c r="C141" i="14"/>
  <c r="B141" i="14"/>
  <c r="A141" i="14"/>
  <c r="H140" i="14"/>
  <c r="G140" i="14"/>
  <c r="F140" i="14"/>
  <c r="E140" i="14"/>
  <c r="D140" i="14"/>
  <c r="C140" i="14"/>
  <c r="B140" i="14"/>
  <c r="A140" i="14"/>
  <c r="H139" i="14"/>
  <c r="G139" i="14"/>
  <c r="F139" i="14"/>
  <c r="E139" i="14"/>
  <c r="D139" i="14"/>
  <c r="C139" i="14"/>
  <c r="B139" i="14"/>
  <c r="A139" i="14"/>
  <c r="H138" i="14"/>
  <c r="G138" i="14"/>
  <c r="F138" i="14"/>
  <c r="E138" i="14"/>
  <c r="D138" i="14"/>
  <c r="C138" i="14"/>
  <c r="B138" i="14"/>
  <c r="A138" i="14"/>
  <c r="H137" i="14"/>
  <c r="G137" i="14"/>
  <c r="F137" i="14"/>
  <c r="E137" i="14"/>
  <c r="D137" i="14"/>
  <c r="C137" i="14"/>
  <c r="B137" i="14"/>
  <c r="A137" i="14"/>
  <c r="H136" i="14"/>
  <c r="G136" i="14"/>
  <c r="F136" i="14"/>
  <c r="E136" i="14"/>
  <c r="D136" i="14"/>
  <c r="C136" i="14"/>
  <c r="B136" i="14"/>
  <c r="A136" i="14"/>
  <c r="H135" i="14"/>
  <c r="G135" i="14"/>
  <c r="F135" i="14"/>
  <c r="E135" i="14"/>
  <c r="D135" i="14"/>
  <c r="C135" i="14"/>
  <c r="B135" i="14"/>
  <c r="A135" i="14"/>
  <c r="H134" i="14"/>
  <c r="G134" i="14"/>
  <c r="F134" i="14"/>
  <c r="E134" i="14"/>
  <c r="D134" i="14"/>
  <c r="C134" i="14"/>
  <c r="B134" i="14"/>
  <c r="A134" i="14"/>
  <c r="H133" i="14"/>
  <c r="G133" i="14"/>
  <c r="F133" i="14"/>
  <c r="E133" i="14"/>
  <c r="D133" i="14"/>
  <c r="C133" i="14"/>
  <c r="B133" i="14"/>
  <c r="A133" i="14"/>
  <c r="H132" i="14"/>
  <c r="G132" i="14"/>
  <c r="F132" i="14"/>
  <c r="E132" i="14"/>
  <c r="D132" i="14"/>
  <c r="C132" i="14"/>
  <c r="B132" i="14"/>
  <c r="A132" i="14"/>
  <c r="H131" i="14"/>
  <c r="G131" i="14"/>
  <c r="F131" i="14"/>
  <c r="E131" i="14"/>
  <c r="D131" i="14"/>
  <c r="C131" i="14"/>
  <c r="B131" i="14"/>
  <c r="A131" i="14"/>
  <c r="H130" i="14"/>
  <c r="G130" i="14"/>
  <c r="F130" i="14"/>
  <c r="E130" i="14"/>
  <c r="D130" i="14"/>
  <c r="C130" i="14"/>
  <c r="B130" i="14"/>
  <c r="A130" i="14"/>
  <c r="H129" i="14"/>
  <c r="G129" i="14"/>
  <c r="F129" i="14"/>
  <c r="E129" i="14"/>
  <c r="D129" i="14"/>
  <c r="C129" i="14"/>
  <c r="B129" i="14"/>
  <c r="A129" i="14"/>
  <c r="H128" i="14"/>
  <c r="G128" i="14"/>
  <c r="F128" i="14"/>
  <c r="E128" i="14"/>
  <c r="D128" i="14"/>
  <c r="C128" i="14"/>
  <c r="B128" i="14"/>
  <c r="A128" i="14"/>
  <c r="H127" i="14"/>
  <c r="G127" i="14"/>
  <c r="F127" i="14"/>
  <c r="E127" i="14"/>
  <c r="D127" i="14"/>
  <c r="C127" i="14"/>
  <c r="B127" i="14"/>
  <c r="A127" i="14"/>
  <c r="H126" i="14"/>
  <c r="G126" i="14"/>
  <c r="F126" i="14"/>
  <c r="E126" i="14"/>
  <c r="D126" i="14"/>
  <c r="C126" i="14"/>
  <c r="B126" i="14"/>
  <c r="A126" i="14"/>
  <c r="H125" i="14"/>
  <c r="G125" i="14"/>
  <c r="F125" i="14"/>
  <c r="E125" i="14"/>
  <c r="D125" i="14"/>
  <c r="C125" i="14"/>
  <c r="B125" i="14"/>
  <c r="A125" i="14"/>
  <c r="H124" i="14"/>
  <c r="G124" i="14"/>
  <c r="F124" i="14"/>
  <c r="E124" i="14"/>
  <c r="D124" i="14"/>
  <c r="C124" i="14"/>
  <c r="B124" i="14"/>
  <c r="A124" i="14"/>
  <c r="H123" i="14"/>
  <c r="G123" i="14"/>
  <c r="F123" i="14"/>
  <c r="E123" i="14"/>
  <c r="D123" i="14"/>
  <c r="C123" i="14"/>
  <c r="B123" i="14"/>
  <c r="A123" i="14"/>
  <c r="H122" i="14"/>
  <c r="G122" i="14"/>
  <c r="F122" i="14"/>
  <c r="E122" i="14"/>
  <c r="D122" i="14"/>
  <c r="C122" i="14"/>
  <c r="B122" i="14"/>
  <c r="A122" i="14"/>
  <c r="H121" i="14"/>
  <c r="G121" i="14"/>
  <c r="F121" i="14"/>
  <c r="E121" i="14"/>
  <c r="D121" i="14"/>
  <c r="C121" i="14"/>
  <c r="B121" i="14"/>
  <c r="A121" i="14"/>
  <c r="H120" i="14"/>
  <c r="G120" i="14"/>
  <c r="F120" i="14"/>
  <c r="E120" i="14"/>
  <c r="D120" i="14"/>
  <c r="C120" i="14"/>
  <c r="B120" i="14"/>
  <c r="A120" i="14"/>
  <c r="H119" i="14"/>
  <c r="G119" i="14"/>
  <c r="F119" i="14"/>
  <c r="E119" i="14"/>
  <c r="D119" i="14"/>
  <c r="C119" i="14"/>
  <c r="B119" i="14"/>
  <c r="A119" i="14"/>
  <c r="H118" i="14"/>
  <c r="G118" i="14"/>
  <c r="F118" i="14"/>
  <c r="E118" i="14"/>
  <c r="D118" i="14"/>
  <c r="C118" i="14"/>
  <c r="B118" i="14"/>
  <c r="A118" i="14"/>
  <c r="H117" i="14"/>
  <c r="G117" i="14"/>
  <c r="F117" i="14"/>
  <c r="E117" i="14"/>
  <c r="D117" i="14"/>
  <c r="C117" i="14"/>
  <c r="B117" i="14"/>
  <c r="A117" i="14"/>
  <c r="H116" i="14"/>
  <c r="G116" i="14"/>
  <c r="F116" i="14"/>
  <c r="E116" i="14"/>
  <c r="D116" i="14"/>
  <c r="C116" i="14"/>
  <c r="B116" i="14"/>
  <c r="A116" i="14"/>
  <c r="H115" i="14"/>
  <c r="G115" i="14"/>
  <c r="F115" i="14"/>
  <c r="E115" i="14"/>
  <c r="D115" i="14"/>
  <c r="C115" i="14"/>
  <c r="B115" i="14"/>
  <c r="A115" i="14"/>
  <c r="H114" i="14"/>
  <c r="G114" i="14"/>
  <c r="F114" i="14"/>
  <c r="E114" i="14"/>
  <c r="D114" i="14"/>
  <c r="C114" i="14"/>
  <c r="B114" i="14"/>
  <c r="A114" i="14"/>
  <c r="H113" i="14"/>
  <c r="G113" i="14"/>
  <c r="F113" i="14"/>
  <c r="E113" i="14"/>
  <c r="D113" i="14"/>
  <c r="C113" i="14"/>
  <c r="B113" i="14"/>
  <c r="A113" i="14"/>
  <c r="H112" i="14"/>
  <c r="G112" i="14"/>
  <c r="F112" i="14"/>
  <c r="E112" i="14"/>
  <c r="D112" i="14"/>
  <c r="C112" i="14"/>
  <c r="B112" i="14"/>
  <c r="A112" i="14"/>
  <c r="H111" i="14"/>
  <c r="G111" i="14"/>
  <c r="F111" i="14"/>
  <c r="E111" i="14"/>
  <c r="D111" i="14"/>
  <c r="C111" i="14"/>
  <c r="B111" i="14"/>
  <c r="A111" i="14"/>
  <c r="H110" i="14"/>
  <c r="G110" i="14"/>
  <c r="F110" i="14"/>
  <c r="E110" i="14"/>
  <c r="D110" i="14"/>
  <c r="C110" i="14"/>
  <c r="B110" i="14"/>
  <c r="A110" i="14"/>
  <c r="H109" i="14"/>
  <c r="G109" i="14"/>
  <c r="F109" i="14"/>
  <c r="E109" i="14"/>
  <c r="D109" i="14"/>
  <c r="C109" i="14"/>
  <c r="B109" i="14"/>
  <c r="A109" i="14"/>
  <c r="H108" i="14"/>
  <c r="G108" i="14"/>
  <c r="F108" i="14"/>
  <c r="E108" i="14"/>
  <c r="D108" i="14"/>
  <c r="C108" i="14"/>
  <c r="B108" i="14"/>
  <c r="A108" i="14"/>
  <c r="H107" i="14"/>
  <c r="G107" i="14"/>
  <c r="F107" i="14"/>
  <c r="E107" i="14"/>
  <c r="D107" i="14"/>
  <c r="C107" i="14"/>
  <c r="B107" i="14"/>
  <c r="A107" i="14"/>
  <c r="H106" i="14"/>
  <c r="G106" i="14"/>
  <c r="F106" i="14"/>
  <c r="E106" i="14"/>
  <c r="D106" i="14"/>
  <c r="C106" i="14"/>
  <c r="B106" i="14"/>
  <c r="A106" i="14"/>
  <c r="H105" i="14"/>
  <c r="G105" i="14"/>
  <c r="F105" i="14"/>
  <c r="E105" i="14"/>
  <c r="D105" i="14"/>
  <c r="C105" i="14"/>
  <c r="B105" i="14"/>
  <c r="A105" i="14"/>
  <c r="H104" i="14"/>
  <c r="G104" i="14"/>
  <c r="F104" i="14"/>
  <c r="E104" i="14"/>
  <c r="D104" i="14"/>
  <c r="C104" i="14"/>
  <c r="B104" i="14"/>
  <c r="A104" i="14"/>
  <c r="H103" i="14"/>
  <c r="G103" i="14"/>
  <c r="F103" i="14"/>
  <c r="E103" i="14"/>
  <c r="D103" i="14"/>
  <c r="C103" i="14"/>
  <c r="B103" i="14"/>
  <c r="A103" i="14"/>
  <c r="H102" i="14"/>
  <c r="G102" i="14"/>
  <c r="F102" i="14"/>
  <c r="E102" i="14"/>
  <c r="D102" i="14"/>
  <c r="C102" i="14"/>
  <c r="B102" i="14"/>
  <c r="A102" i="14"/>
  <c r="H101" i="14"/>
  <c r="G101" i="14"/>
  <c r="F101" i="14"/>
  <c r="E101" i="14"/>
  <c r="D101" i="14"/>
  <c r="C101" i="14"/>
  <c r="B101" i="14"/>
  <c r="A101" i="14"/>
  <c r="H100" i="14"/>
  <c r="G100" i="14"/>
  <c r="F100" i="14"/>
  <c r="E100" i="14"/>
  <c r="D100" i="14"/>
  <c r="C100" i="14"/>
  <c r="B100" i="14"/>
  <c r="A100" i="14"/>
  <c r="H99" i="14"/>
  <c r="G99" i="14"/>
  <c r="F99" i="14"/>
  <c r="E99" i="14"/>
  <c r="D99" i="14"/>
  <c r="C99" i="14"/>
  <c r="B99" i="14"/>
  <c r="A99" i="14"/>
  <c r="H98" i="14"/>
  <c r="G98" i="14"/>
  <c r="F98" i="14"/>
  <c r="E98" i="14"/>
  <c r="D98" i="14"/>
  <c r="C98" i="14"/>
  <c r="B98" i="14"/>
  <c r="A98" i="14"/>
  <c r="H97" i="14"/>
  <c r="G97" i="14"/>
  <c r="F97" i="14"/>
  <c r="E97" i="14"/>
  <c r="D97" i="14"/>
  <c r="C97" i="14"/>
  <c r="B97" i="14"/>
  <c r="A97" i="14"/>
  <c r="H96" i="14"/>
  <c r="G96" i="14"/>
  <c r="F96" i="14"/>
  <c r="E96" i="14"/>
  <c r="D96" i="14"/>
  <c r="C96" i="14"/>
  <c r="B96" i="14"/>
  <c r="A96" i="14"/>
  <c r="H95" i="14"/>
  <c r="G95" i="14"/>
  <c r="F95" i="14"/>
  <c r="E95" i="14"/>
  <c r="D95" i="14"/>
  <c r="C95" i="14"/>
  <c r="B95" i="14"/>
  <c r="A95" i="14"/>
  <c r="H94" i="14"/>
  <c r="G94" i="14"/>
  <c r="F94" i="14"/>
  <c r="E94" i="14"/>
  <c r="D94" i="14"/>
  <c r="C94" i="14"/>
  <c r="B94" i="14"/>
  <c r="A94" i="14"/>
  <c r="H93" i="14"/>
  <c r="G93" i="14"/>
  <c r="F93" i="14"/>
  <c r="E93" i="14"/>
  <c r="D93" i="14"/>
  <c r="C93" i="14"/>
  <c r="B93" i="14"/>
  <c r="A93" i="14"/>
  <c r="H92" i="14"/>
  <c r="G92" i="14"/>
  <c r="F92" i="14"/>
  <c r="E92" i="14"/>
  <c r="D92" i="14"/>
  <c r="C92" i="14"/>
  <c r="B92" i="14"/>
  <c r="A92" i="14"/>
  <c r="H91" i="14"/>
  <c r="G91" i="14"/>
  <c r="F91" i="14"/>
  <c r="E91" i="14"/>
  <c r="D91" i="14"/>
  <c r="C91" i="14"/>
  <c r="B91" i="14"/>
  <c r="A91" i="14"/>
  <c r="H90" i="14"/>
  <c r="G90" i="14"/>
  <c r="F90" i="14"/>
  <c r="E90" i="14"/>
  <c r="D90" i="14"/>
  <c r="C90" i="14"/>
  <c r="B90" i="14"/>
  <c r="A90" i="14"/>
  <c r="H89" i="14"/>
  <c r="G89" i="14"/>
  <c r="F89" i="14"/>
  <c r="E89" i="14"/>
  <c r="D89" i="14"/>
  <c r="C89" i="14"/>
  <c r="B89" i="14"/>
  <c r="A89" i="14"/>
  <c r="H88" i="14"/>
  <c r="G88" i="14"/>
  <c r="F88" i="14"/>
  <c r="E88" i="14"/>
  <c r="D88" i="14"/>
  <c r="C88" i="14"/>
  <c r="B88" i="14"/>
  <c r="A88" i="14"/>
  <c r="H87" i="14"/>
  <c r="G87" i="14"/>
  <c r="F87" i="14"/>
  <c r="E87" i="14"/>
  <c r="D87" i="14"/>
  <c r="C87" i="14"/>
  <c r="B87" i="14"/>
  <c r="A87" i="14"/>
  <c r="H86" i="14"/>
  <c r="G86" i="14"/>
  <c r="F86" i="14"/>
  <c r="E86" i="14"/>
  <c r="D86" i="14"/>
  <c r="C86" i="14"/>
  <c r="B86" i="14"/>
  <c r="A86" i="14"/>
  <c r="H85" i="14"/>
  <c r="G85" i="14"/>
  <c r="F85" i="14"/>
  <c r="E85" i="14"/>
  <c r="D85" i="14"/>
  <c r="C85" i="14"/>
  <c r="B85" i="14"/>
  <c r="A85" i="14"/>
  <c r="H84" i="14"/>
  <c r="G84" i="14"/>
  <c r="F84" i="14"/>
  <c r="E84" i="14"/>
  <c r="D84" i="14"/>
  <c r="C84" i="14"/>
  <c r="B84" i="14"/>
  <c r="A84" i="14"/>
  <c r="H83" i="14"/>
  <c r="G83" i="14"/>
  <c r="F83" i="14"/>
  <c r="E83" i="14"/>
  <c r="D83" i="14"/>
  <c r="C83" i="14"/>
  <c r="B83" i="14"/>
  <c r="A83" i="14"/>
  <c r="H82" i="14"/>
  <c r="G82" i="14"/>
  <c r="F82" i="14"/>
  <c r="E82" i="14"/>
  <c r="D82" i="14"/>
  <c r="C82" i="14"/>
  <c r="B82" i="14"/>
  <c r="A82" i="14"/>
  <c r="H81" i="14"/>
  <c r="G81" i="14"/>
  <c r="F81" i="14"/>
  <c r="E81" i="14"/>
  <c r="D81" i="14"/>
  <c r="C81" i="14"/>
  <c r="B81" i="14"/>
  <c r="A81" i="14"/>
  <c r="H80" i="14"/>
  <c r="G80" i="14"/>
  <c r="F80" i="14"/>
  <c r="E80" i="14"/>
  <c r="D80" i="14"/>
  <c r="C80" i="14"/>
  <c r="B80" i="14"/>
  <c r="A80" i="14"/>
  <c r="H79" i="14"/>
  <c r="G79" i="14"/>
  <c r="F79" i="14"/>
  <c r="E79" i="14"/>
  <c r="D79" i="14"/>
  <c r="C79" i="14"/>
  <c r="B79" i="14"/>
  <c r="A79" i="14"/>
  <c r="H78" i="14"/>
  <c r="G78" i="14"/>
  <c r="F78" i="14"/>
  <c r="E78" i="14"/>
  <c r="D78" i="14"/>
  <c r="C78" i="14"/>
  <c r="B78" i="14"/>
  <c r="A78" i="14"/>
  <c r="H77" i="14"/>
  <c r="G77" i="14"/>
  <c r="F77" i="14"/>
  <c r="E77" i="14"/>
  <c r="D77" i="14"/>
  <c r="C77" i="14"/>
  <c r="B77" i="14"/>
  <c r="A77" i="14"/>
  <c r="H76" i="14"/>
  <c r="G76" i="14"/>
  <c r="F76" i="14"/>
  <c r="E76" i="14"/>
  <c r="D76" i="14"/>
  <c r="C76" i="14"/>
  <c r="B76" i="14"/>
  <c r="A76" i="14"/>
  <c r="H75" i="14"/>
  <c r="G75" i="14"/>
  <c r="F75" i="14"/>
  <c r="E75" i="14"/>
  <c r="D75" i="14"/>
  <c r="C75" i="14"/>
  <c r="B75" i="14"/>
  <c r="A75" i="14"/>
  <c r="H74" i="14"/>
  <c r="G74" i="14"/>
  <c r="F74" i="14"/>
  <c r="E74" i="14"/>
  <c r="D74" i="14"/>
  <c r="C74" i="14"/>
  <c r="B74" i="14"/>
  <c r="A74" i="14"/>
  <c r="H73" i="14"/>
  <c r="G73" i="14"/>
  <c r="F73" i="14"/>
  <c r="E73" i="14"/>
  <c r="D73" i="14"/>
  <c r="C73" i="14"/>
  <c r="B73" i="14"/>
  <c r="A73" i="14"/>
  <c r="H72" i="14"/>
  <c r="G72" i="14"/>
  <c r="F72" i="14"/>
  <c r="E72" i="14"/>
  <c r="D72" i="14"/>
  <c r="C72" i="14"/>
  <c r="B72" i="14"/>
  <c r="A72" i="14"/>
  <c r="H71" i="14"/>
  <c r="G71" i="14"/>
  <c r="F71" i="14"/>
  <c r="E71" i="14"/>
  <c r="D71" i="14"/>
  <c r="C71" i="14"/>
  <c r="B71" i="14"/>
  <c r="A71" i="14"/>
  <c r="H70" i="14"/>
  <c r="G70" i="14"/>
  <c r="F70" i="14"/>
  <c r="E70" i="14"/>
  <c r="D70" i="14"/>
  <c r="C70" i="14"/>
  <c r="B70" i="14"/>
  <c r="A70" i="14"/>
  <c r="H69" i="14"/>
  <c r="G69" i="14"/>
  <c r="F69" i="14"/>
  <c r="E69" i="14"/>
  <c r="D69" i="14"/>
  <c r="C69" i="14"/>
  <c r="B69" i="14"/>
  <c r="A69" i="14"/>
  <c r="H68" i="14"/>
  <c r="G68" i="14"/>
  <c r="F68" i="14"/>
  <c r="E68" i="14"/>
  <c r="D68" i="14"/>
  <c r="C68" i="14"/>
  <c r="B68" i="14"/>
  <c r="A68" i="14"/>
  <c r="H67" i="14"/>
  <c r="G67" i="14"/>
  <c r="F67" i="14"/>
  <c r="E67" i="14"/>
  <c r="D67" i="14"/>
  <c r="C67" i="14"/>
  <c r="B67" i="14"/>
  <c r="A67" i="14"/>
  <c r="H66" i="14"/>
  <c r="G66" i="14"/>
  <c r="F66" i="14"/>
  <c r="E66" i="14"/>
  <c r="D66" i="14"/>
  <c r="C66" i="14"/>
  <c r="B66" i="14"/>
  <c r="A66" i="14"/>
  <c r="H65" i="14"/>
  <c r="G65" i="14"/>
  <c r="F65" i="14"/>
  <c r="E65" i="14"/>
  <c r="D65" i="14"/>
  <c r="C65" i="14"/>
  <c r="B65" i="14"/>
  <c r="A65" i="14"/>
  <c r="H64" i="14"/>
  <c r="G64" i="14"/>
  <c r="F64" i="14"/>
  <c r="E64" i="14"/>
  <c r="D64" i="14"/>
  <c r="C64" i="14"/>
  <c r="B64" i="14"/>
  <c r="A64" i="14"/>
  <c r="H63" i="14"/>
  <c r="G63" i="14"/>
  <c r="F63" i="14"/>
  <c r="E63" i="14"/>
  <c r="D63" i="14"/>
  <c r="C63" i="14"/>
  <c r="B63" i="14"/>
  <c r="A63" i="14"/>
  <c r="H62" i="14"/>
  <c r="G62" i="14"/>
  <c r="F62" i="14"/>
  <c r="E62" i="14"/>
  <c r="D62" i="14"/>
  <c r="C62" i="14"/>
  <c r="B62" i="14"/>
  <c r="A62" i="14"/>
  <c r="H61" i="14"/>
  <c r="G61" i="14"/>
  <c r="F61" i="14"/>
  <c r="E61" i="14"/>
  <c r="D61" i="14"/>
  <c r="C61" i="14"/>
  <c r="B61" i="14"/>
  <c r="A61" i="14"/>
  <c r="H60" i="14"/>
  <c r="G60" i="14"/>
  <c r="F60" i="14"/>
  <c r="E60" i="14"/>
  <c r="D60" i="14"/>
  <c r="C60" i="14"/>
  <c r="B60" i="14"/>
  <c r="A60" i="14"/>
  <c r="H59" i="14"/>
  <c r="G59" i="14"/>
  <c r="F59" i="14"/>
  <c r="E59" i="14"/>
  <c r="D59" i="14"/>
  <c r="C59" i="14"/>
  <c r="B59" i="14"/>
  <c r="A59" i="14"/>
  <c r="H58" i="14"/>
  <c r="G58" i="14"/>
  <c r="F58" i="14"/>
  <c r="E58" i="14"/>
  <c r="D58" i="14"/>
  <c r="C58" i="14"/>
  <c r="B58" i="14"/>
  <c r="A58" i="14"/>
  <c r="H57" i="14"/>
  <c r="G57" i="14"/>
  <c r="F57" i="14"/>
  <c r="E57" i="14"/>
  <c r="D57" i="14"/>
  <c r="C57" i="14"/>
  <c r="B57" i="14"/>
  <c r="A57" i="14"/>
  <c r="H56" i="14"/>
  <c r="G56" i="14"/>
  <c r="F56" i="14"/>
  <c r="E56" i="14"/>
  <c r="D56" i="14"/>
  <c r="C56" i="14"/>
  <c r="B56" i="14"/>
  <c r="A56" i="14"/>
  <c r="H55" i="14"/>
  <c r="G55" i="14"/>
  <c r="F55" i="14"/>
  <c r="E55" i="14"/>
  <c r="D55" i="14"/>
  <c r="C55" i="14"/>
  <c r="B55" i="14"/>
  <c r="A55" i="14"/>
  <c r="H54" i="14"/>
  <c r="G54" i="14"/>
  <c r="F54" i="14"/>
  <c r="E54" i="14"/>
  <c r="D54" i="14"/>
  <c r="C54" i="14"/>
  <c r="B54" i="14"/>
  <c r="A54" i="14"/>
  <c r="H53" i="14"/>
  <c r="G53" i="14"/>
  <c r="F53" i="14"/>
  <c r="E53" i="14"/>
  <c r="D53" i="14"/>
  <c r="C53" i="14"/>
  <c r="B53" i="14"/>
  <c r="A53" i="14"/>
  <c r="H52" i="14"/>
  <c r="G52" i="14"/>
  <c r="F52" i="14"/>
  <c r="E52" i="14"/>
  <c r="D52" i="14"/>
  <c r="C52" i="14"/>
  <c r="B52" i="14"/>
  <c r="A52" i="14"/>
  <c r="H51" i="14"/>
  <c r="G51" i="14"/>
  <c r="F51" i="14"/>
  <c r="E51" i="14"/>
  <c r="D51" i="14"/>
  <c r="C51" i="14"/>
  <c r="B51" i="14"/>
  <c r="A51" i="14"/>
  <c r="H50" i="14"/>
  <c r="G50" i="14"/>
  <c r="F50" i="14"/>
  <c r="E50" i="14"/>
  <c r="D50" i="14"/>
  <c r="C50" i="14"/>
  <c r="B50" i="14"/>
  <c r="A50" i="14"/>
  <c r="H49" i="14"/>
  <c r="G49" i="14"/>
  <c r="F49" i="14"/>
  <c r="E49" i="14"/>
  <c r="D49" i="14"/>
  <c r="C49" i="14"/>
  <c r="B49" i="14"/>
  <c r="A49" i="14"/>
  <c r="H48" i="14"/>
  <c r="G48" i="14"/>
  <c r="F48" i="14"/>
  <c r="E48" i="14"/>
  <c r="D48" i="14"/>
  <c r="C48" i="14"/>
  <c r="B48" i="14"/>
  <c r="A48" i="14"/>
  <c r="H47" i="14"/>
  <c r="G47" i="14"/>
  <c r="F47" i="14"/>
  <c r="E47" i="14"/>
  <c r="D47" i="14"/>
  <c r="C47" i="14"/>
  <c r="B47" i="14"/>
  <c r="A47" i="14"/>
  <c r="H46" i="14"/>
  <c r="G46" i="14"/>
  <c r="F46" i="14"/>
  <c r="E46" i="14"/>
  <c r="D46" i="14"/>
  <c r="C46" i="14"/>
  <c r="B46" i="14"/>
  <c r="A46" i="14"/>
  <c r="H45" i="14"/>
  <c r="G45" i="14"/>
  <c r="F45" i="14"/>
  <c r="E45" i="14"/>
  <c r="D45" i="14"/>
  <c r="C45" i="14"/>
  <c r="B45" i="14"/>
  <c r="A45" i="14"/>
  <c r="H44" i="14"/>
  <c r="G44" i="14"/>
  <c r="F44" i="14"/>
  <c r="E44" i="14"/>
  <c r="D44" i="14"/>
  <c r="C44" i="14"/>
  <c r="B44" i="14"/>
  <c r="A44" i="14"/>
  <c r="H43" i="14"/>
  <c r="G43" i="14"/>
  <c r="F43" i="14"/>
  <c r="E43" i="14"/>
  <c r="D43" i="14"/>
  <c r="C43" i="14"/>
  <c r="B43" i="14"/>
  <c r="A43" i="14"/>
  <c r="H42" i="14"/>
  <c r="G42" i="14"/>
  <c r="F42" i="14"/>
  <c r="E42" i="14"/>
  <c r="D42" i="14"/>
  <c r="C42" i="14"/>
  <c r="B42" i="14"/>
  <c r="A42" i="14"/>
  <c r="H41" i="14"/>
  <c r="G41" i="14"/>
  <c r="F41" i="14"/>
  <c r="E41" i="14"/>
  <c r="D41" i="14"/>
  <c r="C41" i="14"/>
  <c r="B41" i="14"/>
  <c r="A41" i="14"/>
  <c r="H40" i="14"/>
  <c r="G40" i="14"/>
  <c r="F40" i="14"/>
  <c r="E40" i="14"/>
  <c r="D40" i="14"/>
  <c r="C40" i="14"/>
  <c r="B40" i="14"/>
  <c r="A40" i="14"/>
  <c r="H39" i="14"/>
  <c r="G39" i="14"/>
  <c r="F39" i="14"/>
  <c r="E39" i="14"/>
  <c r="D39" i="14"/>
  <c r="C39" i="14"/>
  <c r="B39" i="14"/>
  <c r="A39" i="14"/>
  <c r="H38" i="14"/>
  <c r="G38" i="14"/>
  <c r="F38" i="14"/>
  <c r="E38" i="14"/>
  <c r="D38" i="14"/>
  <c r="C38" i="14"/>
  <c r="B38" i="14"/>
  <c r="A38" i="14"/>
  <c r="H37" i="14"/>
  <c r="G37" i="14"/>
  <c r="F37" i="14"/>
  <c r="E37" i="14"/>
  <c r="D37" i="14"/>
  <c r="C37" i="14"/>
  <c r="B37" i="14"/>
  <c r="A37" i="14"/>
  <c r="H36" i="14"/>
  <c r="G36" i="14"/>
  <c r="F36" i="14"/>
  <c r="E36" i="14"/>
  <c r="D36" i="14"/>
  <c r="C36" i="14"/>
  <c r="B36" i="14"/>
  <c r="A36" i="14"/>
  <c r="H35" i="14"/>
  <c r="G35" i="14"/>
  <c r="F35" i="14"/>
  <c r="E35" i="14"/>
  <c r="D35" i="14"/>
  <c r="C35" i="14"/>
  <c r="B35" i="14"/>
  <c r="A35" i="14"/>
  <c r="H34" i="14"/>
  <c r="G34" i="14"/>
  <c r="F34" i="14"/>
  <c r="E34" i="14"/>
  <c r="D34" i="14"/>
  <c r="C34" i="14"/>
  <c r="B34" i="14"/>
  <c r="A34" i="14"/>
  <c r="H33" i="14"/>
  <c r="G33" i="14"/>
  <c r="F33" i="14"/>
  <c r="E33" i="14"/>
  <c r="D33" i="14"/>
  <c r="C33" i="14"/>
  <c r="B33" i="14"/>
  <c r="A33" i="14"/>
  <c r="H32" i="14"/>
  <c r="G32" i="14"/>
  <c r="F32" i="14"/>
  <c r="E32" i="14"/>
  <c r="D32" i="14"/>
  <c r="C32" i="14"/>
  <c r="B32" i="14"/>
  <c r="A32" i="14"/>
  <c r="H31" i="14"/>
  <c r="G31" i="14"/>
  <c r="F31" i="14"/>
  <c r="E31" i="14"/>
  <c r="D31" i="14"/>
  <c r="C31" i="14"/>
  <c r="B31" i="14"/>
  <c r="A31" i="14"/>
  <c r="H30" i="14"/>
  <c r="G30" i="14"/>
  <c r="F30" i="14"/>
  <c r="E30" i="14"/>
  <c r="D30" i="14"/>
  <c r="C30" i="14"/>
  <c r="B30" i="14"/>
  <c r="A30" i="14"/>
  <c r="H29" i="14"/>
  <c r="G29" i="14"/>
  <c r="F29" i="14"/>
  <c r="E29" i="14"/>
  <c r="D29" i="14"/>
  <c r="C29" i="14"/>
  <c r="B29" i="14"/>
  <c r="A29" i="14"/>
  <c r="H28" i="14"/>
  <c r="G28" i="14"/>
  <c r="F28" i="14"/>
  <c r="E28" i="14"/>
  <c r="D28" i="14"/>
  <c r="C28" i="14"/>
  <c r="B28" i="14"/>
  <c r="A28" i="14"/>
  <c r="H27" i="14"/>
  <c r="G27" i="14"/>
  <c r="F27" i="14"/>
  <c r="E27" i="14"/>
  <c r="D27" i="14"/>
  <c r="C27" i="14"/>
  <c r="B27" i="14"/>
  <c r="A27" i="14"/>
  <c r="H26" i="14"/>
  <c r="G26" i="14"/>
  <c r="F26" i="14"/>
  <c r="E26" i="14"/>
  <c r="D26" i="14"/>
  <c r="C26" i="14"/>
  <c r="B26" i="14"/>
  <c r="A26" i="14"/>
  <c r="H25" i="14"/>
  <c r="G25" i="14"/>
  <c r="F25" i="14"/>
  <c r="E25" i="14"/>
  <c r="D25" i="14"/>
  <c r="C25" i="14"/>
  <c r="B25" i="14"/>
  <c r="A25" i="14"/>
  <c r="H24" i="14"/>
  <c r="G24" i="14"/>
  <c r="F24" i="14"/>
  <c r="E24" i="14"/>
  <c r="D24" i="14"/>
  <c r="C24" i="14"/>
  <c r="B24" i="14"/>
  <c r="A24" i="14"/>
  <c r="H23" i="14"/>
  <c r="G23" i="14"/>
  <c r="F23" i="14"/>
  <c r="E23" i="14"/>
  <c r="D23" i="14"/>
  <c r="C23" i="14"/>
  <c r="B23" i="14"/>
  <c r="A23" i="14"/>
  <c r="H22" i="14"/>
  <c r="G22" i="14"/>
  <c r="F22" i="14"/>
  <c r="E22" i="14"/>
  <c r="D22" i="14"/>
  <c r="C22" i="14"/>
  <c r="B22" i="14"/>
  <c r="A22" i="14"/>
  <c r="H21" i="14"/>
  <c r="G21" i="14"/>
  <c r="F21" i="14"/>
  <c r="E21" i="14"/>
  <c r="D21" i="14"/>
  <c r="C21" i="14"/>
  <c r="B21" i="14"/>
  <c r="A21" i="14"/>
  <c r="H20" i="14"/>
  <c r="G20" i="14"/>
  <c r="F20" i="14"/>
  <c r="E20" i="14"/>
  <c r="D20" i="14"/>
  <c r="C20" i="14"/>
  <c r="B20" i="14"/>
  <c r="A20" i="14"/>
  <c r="H19" i="14"/>
  <c r="G19" i="14"/>
  <c r="F19" i="14"/>
  <c r="E19" i="14"/>
  <c r="D19" i="14"/>
  <c r="C19" i="14"/>
  <c r="B19" i="14"/>
  <c r="A19" i="14"/>
  <c r="H18" i="14"/>
  <c r="G18" i="14"/>
  <c r="F18" i="14"/>
  <c r="E18" i="14"/>
  <c r="D18" i="14"/>
  <c r="C18" i="14"/>
  <c r="B18" i="14"/>
  <c r="A18" i="14"/>
  <c r="H17" i="14"/>
  <c r="G17" i="14"/>
  <c r="F17" i="14"/>
  <c r="E17" i="14"/>
  <c r="D17" i="14"/>
  <c r="C17" i="14"/>
  <c r="B17" i="14"/>
  <c r="A17" i="14"/>
  <c r="H16" i="14"/>
  <c r="G16" i="14"/>
  <c r="F16" i="14"/>
  <c r="E16" i="14"/>
  <c r="D16" i="14"/>
  <c r="C16" i="14"/>
  <c r="B16" i="14"/>
  <c r="A16" i="14"/>
  <c r="H15" i="14"/>
  <c r="G15" i="14"/>
  <c r="F15" i="14"/>
  <c r="E15" i="14"/>
  <c r="D15" i="14"/>
  <c r="C15" i="14"/>
  <c r="B15" i="14"/>
  <c r="A15" i="14"/>
  <c r="H14" i="14"/>
  <c r="G14" i="14"/>
  <c r="F14" i="14"/>
  <c r="E14" i="14"/>
  <c r="D14" i="14"/>
  <c r="C14" i="14"/>
  <c r="B14" i="14"/>
  <c r="A14" i="14"/>
  <c r="H13" i="14"/>
  <c r="G13" i="14"/>
  <c r="F13" i="14"/>
  <c r="E13" i="14"/>
  <c r="D13" i="14"/>
  <c r="C13" i="14"/>
  <c r="B13" i="14"/>
  <c r="A13" i="14"/>
  <c r="H12" i="14"/>
  <c r="G12" i="14"/>
  <c r="F12" i="14"/>
  <c r="E12" i="14"/>
  <c r="D12" i="14"/>
  <c r="C12" i="14"/>
  <c r="B12" i="14"/>
  <c r="A12" i="14"/>
  <c r="H11" i="14"/>
  <c r="G11" i="14"/>
  <c r="F11" i="14"/>
  <c r="E11" i="14"/>
  <c r="D11" i="14"/>
  <c r="C11" i="14"/>
  <c r="B11" i="14"/>
  <c r="A11" i="14"/>
  <c r="H10" i="14"/>
  <c r="G10" i="14"/>
  <c r="F10" i="14"/>
  <c r="E10" i="14"/>
  <c r="D10" i="14"/>
  <c r="C10" i="14"/>
  <c r="B10" i="14"/>
  <c r="A10" i="14"/>
  <c r="H9" i="14"/>
  <c r="G9" i="14"/>
  <c r="F9" i="14"/>
  <c r="E9" i="14"/>
  <c r="D9" i="14"/>
  <c r="C9" i="14"/>
  <c r="B9" i="14"/>
  <c r="A9" i="14"/>
  <c r="H8" i="14"/>
  <c r="G8" i="14"/>
  <c r="F8" i="14"/>
  <c r="E8" i="14"/>
  <c r="D8" i="14"/>
  <c r="C8" i="14"/>
  <c r="B8" i="14"/>
  <c r="A8" i="14"/>
  <c r="H7" i="14"/>
  <c r="G7" i="14"/>
  <c r="F7" i="14"/>
  <c r="E7" i="14"/>
  <c r="D7" i="14"/>
  <c r="C7" i="14"/>
  <c r="B7" i="14"/>
  <c r="A7" i="14"/>
  <c r="H6" i="14"/>
  <c r="G6" i="14"/>
  <c r="F6" i="14"/>
  <c r="E6" i="14"/>
  <c r="D6" i="14"/>
  <c r="C6" i="14"/>
  <c r="B6" i="14"/>
  <c r="A6" i="14"/>
  <c r="H5" i="14"/>
  <c r="G5" i="14"/>
  <c r="F5" i="14"/>
  <c r="E5" i="14"/>
  <c r="D5" i="14"/>
  <c r="C5" i="14"/>
  <c r="B5" i="14"/>
  <c r="A5" i="14"/>
  <c r="H4" i="14"/>
  <c r="G4" i="14"/>
  <c r="F4" i="14"/>
  <c r="E4" i="14"/>
  <c r="D4" i="14"/>
  <c r="C4" i="14"/>
  <c r="B4" i="14"/>
  <c r="A4" i="14"/>
  <c r="H3" i="14"/>
  <c r="G3" i="14"/>
  <c r="F3" i="14"/>
  <c r="E3" i="14"/>
  <c r="D3" i="14"/>
  <c r="C3" i="14"/>
  <c r="B3" i="14"/>
  <c r="A3" i="14"/>
  <c r="H2" i="14"/>
  <c r="G2" i="14"/>
  <c r="F2" i="14"/>
  <c r="E2" i="14"/>
  <c r="D2" i="14"/>
  <c r="C2" i="14"/>
  <c r="B2" i="14"/>
  <c r="A2" i="14"/>
  <c r="H1" i="14"/>
  <c r="G1" i="14"/>
  <c r="F1" i="14"/>
  <c r="E1" i="14"/>
  <c r="D1" i="14"/>
  <c r="C1" i="14"/>
  <c r="B1" i="14"/>
  <c r="A1" i="14"/>
  <c r="H277" i="13"/>
  <c r="G277" i="13"/>
  <c r="F277" i="13"/>
  <c r="E277" i="13"/>
  <c r="D277" i="13"/>
  <c r="C277" i="13"/>
  <c r="B277" i="13"/>
  <c r="A277" i="13"/>
  <c r="H276" i="13"/>
  <c r="G276" i="13"/>
  <c r="F276" i="13"/>
  <c r="E276" i="13"/>
  <c r="D276" i="13"/>
  <c r="C276" i="13"/>
  <c r="B276" i="13"/>
  <c r="A276" i="13"/>
  <c r="H275" i="13"/>
  <c r="G275" i="13"/>
  <c r="F275" i="13"/>
  <c r="E275" i="13"/>
  <c r="D275" i="13"/>
  <c r="C275" i="13"/>
  <c r="B275" i="13"/>
  <c r="A275" i="13"/>
  <c r="H274" i="13"/>
  <c r="G274" i="13"/>
  <c r="F274" i="13"/>
  <c r="E274" i="13"/>
  <c r="D274" i="13"/>
  <c r="C274" i="13"/>
  <c r="B274" i="13"/>
  <c r="A274" i="13"/>
  <c r="H273" i="13"/>
  <c r="G273" i="13"/>
  <c r="F273" i="13"/>
  <c r="E273" i="13"/>
  <c r="D273" i="13"/>
  <c r="C273" i="13"/>
  <c r="B273" i="13"/>
  <c r="A273" i="13"/>
  <c r="H272" i="13"/>
  <c r="G272" i="13"/>
  <c r="F272" i="13"/>
  <c r="E272" i="13"/>
  <c r="D272" i="13"/>
  <c r="C272" i="13"/>
  <c r="B272" i="13"/>
  <c r="A272" i="13"/>
  <c r="H271" i="13"/>
  <c r="G271" i="13"/>
  <c r="F271" i="13"/>
  <c r="E271" i="13"/>
  <c r="D271" i="13"/>
  <c r="C271" i="13"/>
  <c r="B271" i="13"/>
  <c r="A271" i="13"/>
  <c r="H270" i="13"/>
  <c r="G270" i="13"/>
  <c r="F270" i="13"/>
  <c r="E270" i="13"/>
  <c r="D270" i="13"/>
  <c r="C270" i="13"/>
  <c r="B270" i="13"/>
  <c r="A270" i="13"/>
  <c r="H269" i="13"/>
  <c r="G269" i="13"/>
  <c r="F269" i="13"/>
  <c r="E269" i="13"/>
  <c r="D269" i="13"/>
  <c r="C269" i="13"/>
  <c r="B269" i="13"/>
  <c r="A269" i="13"/>
  <c r="H268" i="13"/>
  <c r="G268" i="13"/>
  <c r="F268" i="13"/>
  <c r="E268" i="13"/>
  <c r="D268" i="13"/>
  <c r="C268" i="13"/>
  <c r="B268" i="13"/>
  <c r="A268" i="13"/>
  <c r="H267" i="13"/>
  <c r="G267" i="13"/>
  <c r="F267" i="13"/>
  <c r="E267" i="13"/>
  <c r="D267" i="13"/>
  <c r="C267" i="13"/>
  <c r="B267" i="13"/>
  <c r="A267" i="13"/>
  <c r="H266" i="13"/>
  <c r="G266" i="13"/>
  <c r="F266" i="13"/>
  <c r="E266" i="13"/>
  <c r="D266" i="13"/>
  <c r="C266" i="13"/>
  <c r="B266" i="13"/>
  <c r="A266" i="13"/>
  <c r="H265" i="13"/>
  <c r="G265" i="13"/>
  <c r="F265" i="13"/>
  <c r="E265" i="13"/>
  <c r="D265" i="13"/>
  <c r="C265" i="13"/>
  <c r="B265" i="13"/>
  <c r="A265" i="13"/>
  <c r="H264" i="13"/>
  <c r="G264" i="13"/>
  <c r="F264" i="13"/>
  <c r="E264" i="13"/>
  <c r="D264" i="13"/>
  <c r="C264" i="13"/>
  <c r="B264" i="13"/>
  <c r="A264" i="13"/>
  <c r="H263" i="13"/>
  <c r="G263" i="13"/>
  <c r="F263" i="13"/>
  <c r="E263" i="13"/>
  <c r="D263" i="13"/>
  <c r="C263" i="13"/>
  <c r="B263" i="13"/>
  <c r="A263" i="13"/>
  <c r="H262" i="13"/>
  <c r="G262" i="13"/>
  <c r="F262" i="13"/>
  <c r="E262" i="13"/>
  <c r="D262" i="13"/>
  <c r="C262" i="13"/>
  <c r="B262" i="13"/>
  <c r="A262" i="13"/>
  <c r="H261" i="13"/>
  <c r="G261" i="13"/>
  <c r="F261" i="13"/>
  <c r="E261" i="13"/>
  <c r="D261" i="13"/>
  <c r="C261" i="13"/>
  <c r="B261" i="13"/>
  <c r="A261" i="13"/>
  <c r="H260" i="13"/>
  <c r="G260" i="13"/>
  <c r="F260" i="13"/>
  <c r="E260" i="13"/>
  <c r="D260" i="13"/>
  <c r="C260" i="13"/>
  <c r="B260" i="13"/>
  <c r="A260" i="13"/>
  <c r="H259" i="13"/>
  <c r="G259" i="13"/>
  <c r="F259" i="13"/>
  <c r="E259" i="13"/>
  <c r="D259" i="13"/>
  <c r="C259" i="13"/>
  <c r="B259" i="13"/>
  <c r="A259" i="13"/>
  <c r="H258" i="13"/>
  <c r="G258" i="13"/>
  <c r="F258" i="13"/>
  <c r="E258" i="13"/>
  <c r="D258" i="13"/>
  <c r="C258" i="13"/>
  <c r="B258" i="13"/>
  <c r="A258" i="13"/>
  <c r="H257" i="13"/>
  <c r="G257" i="13"/>
  <c r="F257" i="13"/>
  <c r="E257" i="13"/>
  <c r="D257" i="13"/>
  <c r="C257" i="13"/>
  <c r="B257" i="13"/>
  <c r="A257" i="13"/>
  <c r="H256" i="13"/>
  <c r="G256" i="13"/>
  <c r="F256" i="13"/>
  <c r="E256" i="13"/>
  <c r="D256" i="13"/>
  <c r="C256" i="13"/>
  <c r="B256" i="13"/>
  <c r="A256" i="13"/>
  <c r="H255" i="13"/>
  <c r="G255" i="13"/>
  <c r="F255" i="13"/>
  <c r="E255" i="13"/>
  <c r="D255" i="13"/>
  <c r="C255" i="13"/>
  <c r="B255" i="13"/>
  <c r="A255" i="13"/>
  <c r="H254" i="13"/>
  <c r="G254" i="13"/>
  <c r="F254" i="13"/>
  <c r="E254" i="13"/>
  <c r="D254" i="13"/>
  <c r="C254" i="13"/>
  <c r="B254" i="13"/>
  <c r="A254" i="13"/>
  <c r="H253" i="13"/>
  <c r="G253" i="13"/>
  <c r="F253" i="13"/>
  <c r="E253" i="13"/>
  <c r="D253" i="13"/>
  <c r="C253" i="13"/>
  <c r="B253" i="13"/>
  <c r="A253" i="13"/>
  <c r="H252" i="13"/>
  <c r="G252" i="13"/>
  <c r="F252" i="13"/>
  <c r="E252" i="13"/>
  <c r="D252" i="13"/>
  <c r="C252" i="13"/>
  <c r="B252" i="13"/>
  <c r="A252" i="13"/>
  <c r="H251" i="13"/>
  <c r="G251" i="13"/>
  <c r="F251" i="13"/>
  <c r="E251" i="13"/>
  <c r="D251" i="13"/>
  <c r="C251" i="13"/>
  <c r="B251" i="13"/>
  <c r="A251" i="13"/>
  <c r="H250" i="13"/>
  <c r="G250" i="13"/>
  <c r="F250" i="13"/>
  <c r="E250" i="13"/>
  <c r="D250" i="13"/>
  <c r="C250" i="13"/>
  <c r="B250" i="13"/>
  <c r="A250" i="13"/>
  <c r="H249" i="13"/>
  <c r="G249" i="13"/>
  <c r="F249" i="13"/>
  <c r="E249" i="13"/>
  <c r="D249" i="13"/>
  <c r="C249" i="13"/>
  <c r="B249" i="13"/>
  <c r="A249" i="13"/>
  <c r="H248" i="13"/>
  <c r="G248" i="13"/>
  <c r="F248" i="13"/>
  <c r="E248" i="13"/>
  <c r="D248" i="13"/>
  <c r="C248" i="13"/>
  <c r="B248" i="13"/>
  <c r="A248" i="13"/>
  <c r="H247" i="13"/>
  <c r="G247" i="13"/>
  <c r="F247" i="13"/>
  <c r="E247" i="13"/>
  <c r="D247" i="13"/>
  <c r="C247" i="13"/>
  <c r="B247" i="13"/>
  <c r="A247" i="13"/>
  <c r="H246" i="13"/>
  <c r="G246" i="13"/>
  <c r="F246" i="13"/>
  <c r="E246" i="13"/>
  <c r="D246" i="13"/>
  <c r="C246" i="13"/>
  <c r="B246" i="13"/>
  <c r="A246" i="13"/>
  <c r="H245" i="13"/>
  <c r="G245" i="13"/>
  <c r="F245" i="13"/>
  <c r="E245" i="13"/>
  <c r="D245" i="13"/>
  <c r="C245" i="13"/>
  <c r="B245" i="13"/>
  <c r="A245" i="13"/>
  <c r="H244" i="13"/>
  <c r="G244" i="13"/>
  <c r="F244" i="13"/>
  <c r="E244" i="13"/>
  <c r="D244" i="13"/>
  <c r="C244" i="13"/>
  <c r="B244" i="13"/>
  <c r="A244" i="13"/>
  <c r="H243" i="13"/>
  <c r="G243" i="13"/>
  <c r="F243" i="13"/>
  <c r="E243" i="13"/>
  <c r="D243" i="13"/>
  <c r="C243" i="13"/>
  <c r="B243" i="13"/>
  <c r="A243" i="13"/>
  <c r="H242" i="13"/>
  <c r="G242" i="13"/>
  <c r="F242" i="13"/>
  <c r="E242" i="13"/>
  <c r="D242" i="13"/>
  <c r="C242" i="13"/>
  <c r="B242" i="13"/>
  <c r="A242" i="13"/>
  <c r="H241" i="13"/>
  <c r="G241" i="13"/>
  <c r="F241" i="13"/>
  <c r="E241" i="13"/>
  <c r="D241" i="13"/>
  <c r="C241" i="13"/>
  <c r="B241" i="13"/>
  <c r="A241" i="13"/>
  <c r="H240" i="13"/>
  <c r="G240" i="13"/>
  <c r="F240" i="13"/>
  <c r="E240" i="13"/>
  <c r="D240" i="13"/>
  <c r="C240" i="13"/>
  <c r="B240" i="13"/>
  <c r="A240" i="13"/>
  <c r="H239" i="13"/>
  <c r="G239" i="13"/>
  <c r="F239" i="13"/>
  <c r="E239" i="13"/>
  <c r="D239" i="13"/>
  <c r="C239" i="13"/>
  <c r="B239" i="13"/>
  <c r="A239" i="13"/>
  <c r="H238" i="13"/>
  <c r="G238" i="13"/>
  <c r="F238" i="13"/>
  <c r="E238" i="13"/>
  <c r="D238" i="13"/>
  <c r="C238" i="13"/>
  <c r="B238" i="13"/>
  <c r="A238" i="13"/>
  <c r="H237" i="13"/>
  <c r="G237" i="13"/>
  <c r="F237" i="13"/>
  <c r="E237" i="13"/>
  <c r="D237" i="13"/>
  <c r="C237" i="13"/>
  <c r="B237" i="13"/>
  <c r="A237" i="13"/>
  <c r="H236" i="13"/>
  <c r="G236" i="13"/>
  <c r="F236" i="13"/>
  <c r="E236" i="13"/>
  <c r="D236" i="13"/>
  <c r="C236" i="13"/>
  <c r="B236" i="13"/>
  <c r="A236" i="13"/>
  <c r="H235" i="13"/>
  <c r="G235" i="13"/>
  <c r="F235" i="13"/>
  <c r="E235" i="13"/>
  <c r="D235" i="13"/>
  <c r="C235" i="13"/>
  <c r="B235" i="13"/>
  <c r="A235" i="13"/>
  <c r="H234" i="13"/>
  <c r="G234" i="13"/>
  <c r="F234" i="13"/>
  <c r="E234" i="13"/>
  <c r="D234" i="13"/>
  <c r="C234" i="13"/>
  <c r="B234" i="13"/>
  <c r="A234" i="13"/>
  <c r="H233" i="13"/>
  <c r="G233" i="13"/>
  <c r="F233" i="13"/>
  <c r="E233" i="13"/>
  <c r="D233" i="13"/>
  <c r="C233" i="13"/>
  <c r="B233" i="13"/>
  <c r="A233" i="13"/>
  <c r="H232" i="13"/>
  <c r="G232" i="13"/>
  <c r="F232" i="13"/>
  <c r="E232" i="13"/>
  <c r="D232" i="13"/>
  <c r="C232" i="13"/>
  <c r="B232" i="13"/>
  <c r="A232" i="13"/>
  <c r="H231" i="13"/>
  <c r="G231" i="13"/>
  <c r="F231" i="13"/>
  <c r="E231" i="13"/>
  <c r="D231" i="13"/>
  <c r="C231" i="13"/>
  <c r="B231" i="13"/>
  <c r="A231" i="13"/>
  <c r="H230" i="13"/>
  <c r="G230" i="13"/>
  <c r="F230" i="13"/>
  <c r="E230" i="13"/>
  <c r="D230" i="13"/>
  <c r="C230" i="13"/>
  <c r="B230" i="13"/>
  <c r="A230" i="13"/>
  <c r="H229" i="13"/>
  <c r="G229" i="13"/>
  <c r="F229" i="13"/>
  <c r="E229" i="13"/>
  <c r="D229" i="13"/>
  <c r="C229" i="13"/>
  <c r="B229" i="13"/>
  <c r="A229" i="13"/>
  <c r="H228" i="13"/>
  <c r="G228" i="13"/>
  <c r="F228" i="13"/>
  <c r="E228" i="13"/>
  <c r="D228" i="13"/>
  <c r="C228" i="13"/>
  <c r="B228" i="13"/>
  <c r="A228" i="13"/>
  <c r="H227" i="13"/>
  <c r="G227" i="13"/>
  <c r="F227" i="13"/>
  <c r="E227" i="13"/>
  <c r="D227" i="13"/>
  <c r="C227" i="13"/>
  <c r="B227" i="13"/>
  <c r="A227" i="13"/>
  <c r="H226" i="13"/>
  <c r="G226" i="13"/>
  <c r="F226" i="13"/>
  <c r="E226" i="13"/>
  <c r="D226" i="13"/>
  <c r="C226" i="13"/>
  <c r="B226" i="13"/>
  <c r="A226" i="13"/>
  <c r="H225" i="13"/>
  <c r="G225" i="13"/>
  <c r="F225" i="13"/>
  <c r="E225" i="13"/>
  <c r="D225" i="13"/>
  <c r="C225" i="13"/>
  <c r="B225" i="13"/>
  <c r="A225" i="13"/>
  <c r="H224" i="13"/>
  <c r="G224" i="13"/>
  <c r="F224" i="13"/>
  <c r="E224" i="13"/>
  <c r="D224" i="13"/>
  <c r="C224" i="13"/>
  <c r="B224" i="13"/>
  <c r="A224" i="13"/>
  <c r="H223" i="13"/>
  <c r="G223" i="13"/>
  <c r="F223" i="13"/>
  <c r="E223" i="13"/>
  <c r="D223" i="13"/>
  <c r="C223" i="13"/>
  <c r="B223" i="13"/>
  <c r="A223" i="13"/>
  <c r="H222" i="13"/>
  <c r="G222" i="13"/>
  <c r="F222" i="13"/>
  <c r="E222" i="13"/>
  <c r="D222" i="13"/>
  <c r="C222" i="13"/>
  <c r="B222" i="13"/>
  <c r="A222" i="13"/>
  <c r="H221" i="13"/>
  <c r="G221" i="13"/>
  <c r="F221" i="13"/>
  <c r="E221" i="13"/>
  <c r="D221" i="13"/>
  <c r="C221" i="13"/>
  <c r="B221" i="13"/>
  <c r="A221" i="13"/>
  <c r="H220" i="13"/>
  <c r="G220" i="13"/>
  <c r="F220" i="13"/>
  <c r="E220" i="13"/>
  <c r="D220" i="13"/>
  <c r="C220" i="13"/>
  <c r="B220" i="13"/>
  <c r="A220" i="13"/>
  <c r="H219" i="13"/>
  <c r="G219" i="13"/>
  <c r="F219" i="13"/>
  <c r="E219" i="13"/>
  <c r="D219" i="13"/>
  <c r="C219" i="13"/>
  <c r="B219" i="13"/>
  <c r="A219" i="13"/>
  <c r="H218" i="13"/>
  <c r="G218" i="13"/>
  <c r="F218" i="13"/>
  <c r="E218" i="13"/>
  <c r="D218" i="13"/>
  <c r="C218" i="13"/>
  <c r="B218" i="13"/>
  <c r="A218" i="13"/>
  <c r="H217" i="13"/>
  <c r="G217" i="13"/>
  <c r="F217" i="13"/>
  <c r="E217" i="13"/>
  <c r="D217" i="13"/>
  <c r="C217" i="13"/>
  <c r="B217" i="13"/>
  <c r="A217" i="13"/>
  <c r="H216" i="13"/>
  <c r="G216" i="13"/>
  <c r="F216" i="13"/>
  <c r="E216" i="13"/>
  <c r="D216" i="13"/>
  <c r="C216" i="13"/>
  <c r="B216" i="13"/>
  <c r="A216" i="13"/>
  <c r="H215" i="13"/>
  <c r="G215" i="13"/>
  <c r="F215" i="13"/>
  <c r="E215" i="13"/>
  <c r="D215" i="13"/>
  <c r="C215" i="13"/>
  <c r="B215" i="13"/>
  <c r="A215" i="13"/>
  <c r="H214" i="13"/>
  <c r="G214" i="13"/>
  <c r="F214" i="13"/>
  <c r="E214" i="13"/>
  <c r="D214" i="13"/>
  <c r="C214" i="13"/>
  <c r="B214" i="13"/>
  <c r="A214" i="13"/>
  <c r="H213" i="13"/>
  <c r="G213" i="13"/>
  <c r="F213" i="13"/>
  <c r="E213" i="13"/>
  <c r="D213" i="13"/>
  <c r="C213" i="13"/>
  <c r="B213" i="13"/>
  <c r="A213" i="13"/>
  <c r="H212" i="13"/>
  <c r="G212" i="13"/>
  <c r="F212" i="13"/>
  <c r="E212" i="13"/>
  <c r="D212" i="13"/>
  <c r="C212" i="13"/>
  <c r="B212" i="13"/>
  <c r="A212" i="13"/>
  <c r="H211" i="13"/>
  <c r="G211" i="13"/>
  <c r="F211" i="13"/>
  <c r="E211" i="13"/>
  <c r="D211" i="13"/>
  <c r="C211" i="13"/>
  <c r="B211" i="13"/>
  <c r="A211" i="13"/>
  <c r="H210" i="13"/>
  <c r="G210" i="13"/>
  <c r="F210" i="13"/>
  <c r="E210" i="13"/>
  <c r="D210" i="13"/>
  <c r="C210" i="13"/>
  <c r="B210" i="13"/>
  <c r="A210" i="13"/>
  <c r="H209" i="13"/>
  <c r="G209" i="13"/>
  <c r="F209" i="13"/>
  <c r="E209" i="13"/>
  <c r="D209" i="13"/>
  <c r="C209" i="13"/>
  <c r="B209" i="13"/>
  <c r="A209" i="13"/>
  <c r="H208" i="13"/>
  <c r="G208" i="13"/>
  <c r="F208" i="13"/>
  <c r="E208" i="13"/>
  <c r="D208" i="13"/>
  <c r="C208" i="13"/>
  <c r="B208" i="13"/>
  <c r="A208" i="13"/>
  <c r="H207" i="13"/>
  <c r="G207" i="13"/>
  <c r="F207" i="13"/>
  <c r="E207" i="13"/>
  <c r="D207" i="13"/>
  <c r="C207" i="13"/>
  <c r="B207" i="13"/>
  <c r="A207" i="13"/>
  <c r="H206" i="13"/>
  <c r="G206" i="13"/>
  <c r="F206" i="13"/>
  <c r="E206" i="13"/>
  <c r="D206" i="13"/>
  <c r="C206" i="13"/>
  <c r="B206" i="13"/>
  <c r="A206" i="13"/>
  <c r="H205" i="13"/>
  <c r="G205" i="13"/>
  <c r="F205" i="13"/>
  <c r="E205" i="13"/>
  <c r="D205" i="13"/>
  <c r="C205" i="13"/>
  <c r="B205" i="13"/>
  <c r="A205" i="13"/>
  <c r="H204" i="13"/>
  <c r="G204" i="13"/>
  <c r="F204" i="13"/>
  <c r="E204" i="13"/>
  <c r="D204" i="13"/>
  <c r="C204" i="13"/>
  <c r="B204" i="13"/>
  <c r="A204" i="13"/>
  <c r="H203" i="13"/>
  <c r="G203" i="13"/>
  <c r="F203" i="13"/>
  <c r="E203" i="13"/>
  <c r="D203" i="13"/>
  <c r="C203" i="13"/>
  <c r="B203" i="13"/>
  <c r="A203" i="13"/>
  <c r="H202" i="13"/>
  <c r="G202" i="13"/>
  <c r="F202" i="13"/>
  <c r="E202" i="13"/>
  <c r="D202" i="13"/>
  <c r="C202" i="13"/>
  <c r="B202" i="13"/>
  <c r="A202" i="13"/>
  <c r="H201" i="13"/>
  <c r="G201" i="13"/>
  <c r="F201" i="13"/>
  <c r="E201" i="13"/>
  <c r="D201" i="13"/>
  <c r="C201" i="13"/>
  <c r="B201" i="13"/>
  <c r="A201" i="13"/>
  <c r="H200" i="13"/>
  <c r="G200" i="13"/>
  <c r="F200" i="13"/>
  <c r="E200" i="13"/>
  <c r="D200" i="13"/>
  <c r="C200" i="13"/>
  <c r="B200" i="13"/>
  <c r="A200" i="13"/>
  <c r="H199" i="13"/>
  <c r="G199" i="13"/>
  <c r="F199" i="13"/>
  <c r="E199" i="13"/>
  <c r="D199" i="13"/>
  <c r="C199" i="13"/>
  <c r="B199" i="13"/>
  <c r="A199" i="13"/>
  <c r="H198" i="13"/>
  <c r="G198" i="13"/>
  <c r="F198" i="13"/>
  <c r="E198" i="13"/>
  <c r="D198" i="13"/>
  <c r="C198" i="13"/>
  <c r="B198" i="13"/>
  <c r="A198" i="13"/>
  <c r="H197" i="13"/>
  <c r="G197" i="13"/>
  <c r="F197" i="13"/>
  <c r="E197" i="13"/>
  <c r="D197" i="13"/>
  <c r="C197" i="13"/>
  <c r="B197" i="13"/>
  <c r="A197" i="13"/>
  <c r="H196" i="13"/>
  <c r="G196" i="13"/>
  <c r="F196" i="13"/>
  <c r="E196" i="13"/>
  <c r="D196" i="13"/>
  <c r="C196" i="13"/>
  <c r="B196" i="13"/>
  <c r="A196" i="13"/>
  <c r="H195" i="13"/>
  <c r="G195" i="13"/>
  <c r="F195" i="13"/>
  <c r="E195" i="13"/>
  <c r="D195" i="13"/>
  <c r="C195" i="13"/>
  <c r="B195" i="13"/>
  <c r="A195" i="13"/>
  <c r="H194" i="13"/>
  <c r="G194" i="13"/>
  <c r="F194" i="13"/>
  <c r="E194" i="13"/>
  <c r="D194" i="13"/>
  <c r="C194" i="13"/>
  <c r="B194" i="13"/>
  <c r="A194" i="13"/>
  <c r="H193" i="13"/>
  <c r="G193" i="13"/>
  <c r="F193" i="13"/>
  <c r="E193" i="13"/>
  <c r="D193" i="13"/>
  <c r="C193" i="13"/>
  <c r="B193" i="13"/>
  <c r="A193" i="13"/>
  <c r="H192" i="13"/>
  <c r="G192" i="13"/>
  <c r="F192" i="13"/>
  <c r="E192" i="13"/>
  <c r="D192" i="13"/>
  <c r="C192" i="13"/>
  <c r="B192" i="13"/>
  <c r="A192" i="13"/>
  <c r="H191" i="13"/>
  <c r="G191" i="13"/>
  <c r="F191" i="13"/>
  <c r="E191" i="13"/>
  <c r="D191" i="13"/>
  <c r="C191" i="13"/>
  <c r="B191" i="13"/>
  <c r="A191" i="13"/>
  <c r="H190" i="13"/>
  <c r="G190" i="13"/>
  <c r="F190" i="13"/>
  <c r="E190" i="13"/>
  <c r="D190" i="13"/>
  <c r="C190" i="13"/>
  <c r="B190" i="13"/>
  <c r="A190" i="13"/>
  <c r="H189" i="13"/>
  <c r="G189" i="13"/>
  <c r="F189" i="13"/>
  <c r="E189" i="13"/>
  <c r="D189" i="13"/>
  <c r="C189" i="13"/>
  <c r="B189" i="13"/>
  <c r="A189" i="13"/>
  <c r="H188" i="13"/>
  <c r="G188" i="13"/>
  <c r="F188" i="13"/>
  <c r="E188" i="13"/>
  <c r="D188" i="13"/>
  <c r="C188" i="13"/>
  <c r="B188" i="13"/>
  <c r="A188" i="13"/>
  <c r="H187" i="13"/>
  <c r="G187" i="13"/>
  <c r="F187" i="13"/>
  <c r="E187" i="13"/>
  <c r="D187" i="13"/>
  <c r="C187" i="13"/>
  <c r="B187" i="13"/>
  <c r="A187" i="13"/>
  <c r="H186" i="13"/>
  <c r="G186" i="13"/>
  <c r="F186" i="13"/>
  <c r="E186" i="13"/>
  <c r="D186" i="13"/>
  <c r="C186" i="13"/>
  <c r="B186" i="13"/>
  <c r="A186" i="13"/>
  <c r="H185" i="13"/>
  <c r="G185" i="13"/>
  <c r="F185" i="13"/>
  <c r="E185" i="13"/>
  <c r="D185" i="13"/>
  <c r="C185" i="13"/>
  <c r="B185" i="13"/>
  <c r="A185" i="13"/>
  <c r="H184" i="13"/>
  <c r="G184" i="13"/>
  <c r="F184" i="13"/>
  <c r="E184" i="13"/>
  <c r="D184" i="13"/>
  <c r="C184" i="13"/>
  <c r="B184" i="13"/>
  <c r="A184" i="13"/>
  <c r="H183" i="13"/>
  <c r="G183" i="13"/>
  <c r="F183" i="13"/>
  <c r="E183" i="13"/>
  <c r="D183" i="13"/>
  <c r="C183" i="13"/>
  <c r="B183" i="13"/>
  <c r="A183" i="13"/>
  <c r="H182" i="13"/>
  <c r="G182" i="13"/>
  <c r="F182" i="13"/>
  <c r="E182" i="13"/>
  <c r="D182" i="13"/>
  <c r="C182" i="13"/>
  <c r="B182" i="13"/>
  <c r="A182" i="13"/>
  <c r="H181" i="13"/>
  <c r="G181" i="13"/>
  <c r="F181" i="13"/>
  <c r="E181" i="13"/>
  <c r="D181" i="13"/>
  <c r="C181" i="13"/>
  <c r="B181" i="13"/>
  <c r="A181" i="13"/>
  <c r="H180" i="13"/>
  <c r="G180" i="13"/>
  <c r="F180" i="13"/>
  <c r="E180" i="13"/>
  <c r="D180" i="13"/>
  <c r="C180" i="13"/>
  <c r="B180" i="13"/>
  <c r="A180" i="13"/>
  <c r="H179" i="13"/>
  <c r="G179" i="13"/>
  <c r="F179" i="13"/>
  <c r="E179" i="13"/>
  <c r="D179" i="13"/>
  <c r="C179" i="13"/>
  <c r="B179" i="13"/>
  <c r="A179" i="13"/>
  <c r="H178" i="13"/>
  <c r="G178" i="13"/>
  <c r="F178" i="13"/>
  <c r="E178" i="13"/>
  <c r="D178" i="13"/>
  <c r="C178" i="13"/>
  <c r="B178" i="13"/>
  <c r="A178" i="13"/>
  <c r="H177" i="13"/>
  <c r="G177" i="13"/>
  <c r="F177" i="13"/>
  <c r="E177" i="13"/>
  <c r="D177" i="13"/>
  <c r="C177" i="13"/>
  <c r="B177" i="13"/>
  <c r="A177" i="13"/>
  <c r="H176" i="13"/>
  <c r="G176" i="13"/>
  <c r="F176" i="13"/>
  <c r="E176" i="13"/>
  <c r="D176" i="13"/>
  <c r="C176" i="13"/>
  <c r="B176" i="13"/>
  <c r="A176" i="13"/>
  <c r="H175" i="13"/>
  <c r="G175" i="13"/>
  <c r="F175" i="13"/>
  <c r="E175" i="13"/>
  <c r="D175" i="13"/>
  <c r="C175" i="13"/>
  <c r="B175" i="13"/>
  <c r="A175" i="13"/>
  <c r="H174" i="13"/>
  <c r="G174" i="13"/>
  <c r="F174" i="13"/>
  <c r="E174" i="13"/>
  <c r="D174" i="13"/>
  <c r="C174" i="13"/>
  <c r="B174" i="13"/>
  <c r="A174" i="13"/>
  <c r="H173" i="13"/>
  <c r="G173" i="13"/>
  <c r="F173" i="13"/>
  <c r="E173" i="13"/>
  <c r="D173" i="13"/>
  <c r="C173" i="13"/>
  <c r="B173" i="13"/>
  <c r="A173" i="13"/>
  <c r="H172" i="13"/>
  <c r="G172" i="13"/>
  <c r="F172" i="13"/>
  <c r="E172" i="13"/>
  <c r="D172" i="13"/>
  <c r="C172" i="13"/>
  <c r="B172" i="13"/>
  <c r="A172" i="13"/>
  <c r="H171" i="13"/>
  <c r="G171" i="13"/>
  <c r="F171" i="13"/>
  <c r="E171" i="13"/>
  <c r="D171" i="13"/>
  <c r="C171" i="13"/>
  <c r="B171" i="13"/>
  <c r="A171" i="13"/>
  <c r="H170" i="13"/>
  <c r="G170" i="13"/>
  <c r="F170" i="13"/>
  <c r="E170" i="13"/>
  <c r="D170" i="13"/>
  <c r="C170" i="13"/>
  <c r="B170" i="13"/>
  <c r="A170" i="13"/>
  <c r="H169" i="13"/>
  <c r="G169" i="13"/>
  <c r="F169" i="13"/>
  <c r="E169" i="13"/>
  <c r="D169" i="13"/>
  <c r="C169" i="13"/>
  <c r="B169" i="13"/>
  <c r="A169" i="13"/>
  <c r="H168" i="13"/>
  <c r="G168" i="13"/>
  <c r="F168" i="13"/>
  <c r="E168" i="13"/>
  <c r="D168" i="13"/>
  <c r="C168" i="13"/>
  <c r="B168" i="13"/>
  <c r="A168" i="13"/>
  <c r="H167" i="13"/>
  <c r="G167" i="13"/>
  <c r="F167" i="13"/>
  <c r="E167" i="13"/>
  <c r="D167" i="13"/>
  <c r="C167" i="13"/>
  <c r="B167" i="13"/>
  <c r="A167" i="13"/>
  <c r="H166" i="13"/>
  <c r="G166" i="13"/>
  <c r="F166" i="13"/>
  <c r="E166" i="13"/>
  <c r="D166" i="13"/>
  <c r="C166" i="13"/>
  <c r="B166" i="13"/>
  <c r="A166" i="13"/>
  <c r="H165" i="13"/>
  <c r="G165" i="13"/>
  <c r="F165" i="13"/>
  <c r="E165" i="13"/>
  <c r="D165" i="13"/>
  <c r="C165" i="13"/>
  <c r="B165" i="13"/>
  <c r="A165" i="13"/>
  <c r="H164" i="13"/>
  <c r="G164" i="13"/>
  <c r="F164" i="13"/>
  <c r="E164" i="13"/>
  <c r="D164" i="13"/>
  <c r="C164" i="13"/>
  <c r="B164" i="13"/>
  <c r="A164" i="13"/>
  <c r="H163" i="13"/>
  <c r="G163" i="13"/>
  <c r="F163" i="13"/>
  <c r="E163" i="13"/>
  <c r="D163" i="13"/>
  <c r="C163" i="13"/>
  <c r="B163" i="13"/>
  <c r="A163" i="13"/>
  <c r="H162" i="13"/>
  <c r="G162" i="13"/>
  <c r="F162" i="13"/>
  <c r="E162" i="13"/>
  <c r="D162" i="13"/>
  <c r="C162" i="13"/>
  <c r="B162" i="13"/>
  <c r="A162" i="13"/>
  <c r="H161" i="13"/>
  <c r="G161" i="13"/>
  <c r="F161" i="13"/>
  <c r="E161" i="13"/>
  <c r="D161" i="13"/>
  <c r="C161" i="13"/>
  <c r="B161" i="13"/>
  <c r="A161" i="13"/>
  <c r="H160" i="13"/>
  <c r="G160" i="13"/>
  <c r="F160" i="13"/>
  <c r="E160" i="13"/>
  <c r="D160" i="13"/>
  <c r="C160" i="13"/>
  <c r="B160" i="13"/>
  <c r="A160" i="13"/>
  <c r="H159" i="13"/>
  <c r="G159" i="13"/>
  <c r="F159" i="13"/>
  <c r="E159" i="13"/>
  <c r="D159" i="13"/>
  <c r="C159" i="13"/>
  <c r="B159" i="13"/>
  <c r="A159" i="13"/>
  <c r="H158" i="13"/>
  <c r="G158" i="13"/>
  <c r="F158" i="13"/>
  <c r="E158" i="13"/>
  <c r="D158" i="13"/>
  <c r="C158" i="13"/>
  <c r="B158" i="13"/>
  <c r="A158" i="13"/>
  <c r="H157" i="13"/>
  <c r="G157" i="13"/>
  <c r="F157" i="13"/>
  <c r="E157" i="13"/>
  <c r="D157" i="13"/>
  <c r="C157" i="13"/>
  <c r="B157" i="13"/>
  <c r="A157" i="13"/>
  <c r="H156" i="13"/>
  <c r="G156" i="13"/>
  <c r="F156" i="13"/>
  <c r="E156" i="13"/>
  <c r="D156" i="13"/>
  <c r="C156" i="13"/>
  <c r="B156" i="13"/>
  <c r="A156" i="13"/>
  <c r="H155" i="13"/>
  <c r="G155" i="13"/>
  <c r="F155" i="13"/>
  <c r="E155" i="13"/>
  <c r="D155" i="13"/>
  <c r="C155" i="13"/>
  <c r="B155" i="13"/>
  <c r="A155" i="13"/>
  <c r="H154" i="13"/>
  <c r="G154" i="13"/>
  <c r="F154" i="13"/>
  <c r="E154" i="13"/>
  <c r="D154" i="13"/>
  <c r="C154" i="13"/>
  <c r="B154" i="13"/>
  <c r="A154" i="13"/>
  <c r="H153" i="13"/>
  <c r="G153" i="13"/>
  <c r="F153" i="13"/>
  <c r="E153" i="13"/>
  <c r="D153" i="13"/>
  <c r="C153" i="13"/>
  <c r="B153" i="13"/>
  <c r="A153" i="13"/>
  <c r="H152" i="13"/>
  <c r="G152" i="13"/>
  <c r="F152" i="13"/>
  <c r="E152" i="13"/>
  <c r="D152" i="13"/>
  <c r="C152" i="13"/>
  <c r="B152" i="13"/>
  <c r="A152" i="13"/>
  <c r="H151" i="13"/>
  <c r="G151" i="13"/>
  <c r="F151" i="13"/>
  <c r="E151" i="13"/>
  <c r="D151" i="13"/>
  <c r="C151" i="13"/>
  <c r="B151" i="13"/>
  <c r="A151" i="13"/>
  <c r="H150" i="13"/>
  <c r="G150" i="13"/>
  <c r="F150" i="13"/>
  <c r="E150" i="13"/>
  <c r="D150" i="13"/>
  <c r="C150" i="13"/>
  <c r="B150" i="13"/>
  <c r="A150" i="13"/>
  <c r="H149" i="13"/>
  <c r="G149" i="13"/>
  <c r="F149" i="13"/>
  <c r="E149" i="13"/>
  <c r="D149" i="13"/>
  <c r="C149" i="13"/>
  <c r="B149" i="13"/>
  <c r="A149" i="13"/>
  <c r="H148" i="13"/>
  <c r="G148" i="13"/>
  <c r="F148" i="13"/>
  <c r="E148" i="13"/>
  <c r="D148" i="13"/>
  <c r="C148" i="13"/>
  <c r="B148" i="13"/>
  <c r="A148" i="13"/>
  <c r="H147" i="13"/>
  <c r="G147" i="13"/>
  <c r="F147" i="13"/>
  <c r="E147" i="13"/>
  <c r="D147" i="13"/>
  <c r="C147" i="13"/>
  <c r="B147" i="13"/>
  <c r="A147" i="13"/>
  <c r="H146" i="13"/>
  <c r="G146" i="13"/>
  <c r="F146" i="13"/>
  <c r="E146" i="13"/>
  <c r="D146" i="13"/>
  <c r="C146" i="13"/>
  <c r="B146" i="13"/>
  <c r="A146" i="13"/>
  <c r="H145" i="13"/>
  <c r="G145" i="13"/>
  <c r="F145" i="13"/>
  <c r="E145" i="13"/>
  <c r="D145" i="13"/>
  <c r="C145" i="13"/>
  <c r="B145" i="13"/>
  <c r="A145" i="13"/>
  <c r="H144" i="13"/>
  <c r="G144" i="13"/>
  <c r="F144" i="13"/>
  <c r="E144" i="13"/>
  <c r="D144" i="13"/>
  <c r="C144" i="13"/>
  <c r="B144" i="13"/>
  <c r="A144" i="13"/>
  <c r="H143" i="13"/>
  <c r="G143" i="13"/>
  <c r="F143" i="13"/>
  <c r="E143" i="13"/>
  <c r="D143" i="13"/>
  <c r="C143" i="13"/>
  <c r="B143" i="13"/>
  <c r="A143" i="13"/>
  <c r="H142" i="13"/>
  <c r="G142" i="13"/>
  <c r="F142" i="13"/>
  <c r="E142" i="13"/>
  <c r="D142" i="13"/>
  <c r="C142" i="13"/>
  <c r="B142" i="13"/>
  <c r="A142" i="13"/>
  <c r="H141" i="13"/>
  <c r="G141" i="13"/>
  <c r="F141" i="13"/>
  <c r="E141" i="13"/>
  <c r="D141" i="13"/>
  <c r="C141" i="13"/>
  <c r="B141" i="13"/>
  <c r="A141" i="13"/>
  <c r="H140" i="13"/>
  <c r="G140" i="13"/>
  <c r="F140" i="13"/>
  <c r="E140" i="13"/>
  <c r="D140" i="13"/>
  <c r="C140" i="13"/>
  <c r="B140" i="13"/>
  <c r="A140" i="13"/>
  <c r="H139" i="13"/>
  <c r="G139" i="13"/>
  <c r="F139" i="13"/>
  <c r="E139" i="13"/>
  <c r="D139" i="13"/>
  <c r="C139" i="13"/>
  <c r="B139" i="13"/>
  <c r="A139" i="13"/>
  <c r="H138" i="13"/>
  <c r="G138" i="13"/>
  <c r="F138" i="13"/>
  <c r="E138" i="13"/>
  <c r="D138" i="13"/>
  <c r="C138" i="13"/>
  <c r="B138" i="13"/>
  <c r="A138" i="13"/>
  <c r="H137" i="13"/>
  <c r="G137" i="13"/>
  <c r="F137" i="13"/>
  <c r="E137" i="13"/>
  <c r="D137" i="13"/>
  <c r="C137" i="13"/>
  <c r="B137" i="13"/>
  <c r="A137" i="13"/>
  <c r="H136" i="13"/>
  <c r="G136" i="13"/>
  <c r="F136" i="13"/>
  <c r="E136" i="13"/>
  <c r="D136" i="13"/>
  <c r="C136" i="13"/>
  <c r="B136" i="13"/>
  <c r="A136" i="13"/>
  <c r="H135" i="13"/>
  <c r="G135" i="13"/>
  <c r="F135" i="13"/>
  <c r="E135" i="13"/>
  <c r="D135" i="13"/>
  <c r="C135" i="13"/>
  <c r="B135" i="13"/>
  <c r="A135" i="13"/>
  <c r="H134" i="13"/>
  <c r="G134" i="13"/>
  <c r="F134" i="13"/>
  <c r="E134" i="13"/>
  <c r="D134" i="13"/>
  <c r="C134" i="13"/>
  <c r="B134" i="13"/>
  <c r="A134" i="13"/>
  <c r="H133" i="13"/>
  <c r="G133" i="13"/>
  <c r="F133" i="13"/>
  <c r="E133" i="13"/>
  <c r="D133" i="13"/>
  <c r="C133" i="13"/>
  <c r="B133" i="13"/>
  <c r="A133" i="13"/>
  <c r="H132" i="13"/>
  <c r="G132" i="13"/>
  <c r="F132" i="13"/>
  <c r="E132" i="13"/>
  <c r="D132" i="13"/>
  <c r="C132" i="13"/>
  <c r="B132" i="13"/>
  <c r="A132" i="13"/>
  <c r="H131" i="13"/>
  <c r="G131" i="13"/>
  <c r="F131" i="13"/>
  <c r="E131" i="13"/>
  <c r="D131" i="13"/>
  <c r="C131" i="13"/>
  <c r="B131" i="13"/>
  <c r="A131" i="13"/>
  <c r="H130" i="13"/>
  <c r="G130" i="13"/>
  <c r="F130" i="13"/>
  <c r="E130" i="13"/>
  <c r="D130" i="13"/>
  <c r="C130" i="13"/>
  <c r="B130" i="13"/>
  <c r="A130" i="13"/>
  <c r="H129" i="13"/>
  <c r="G129" i="13"/>
  <c r="F129" i="13"/>
  <c r="E129" i="13"/>
  <c r="D129" i="13"/>
  <c r="C129" i="13"/>
  <c r="B129" i="13"/>
  <c r="A129" i="13"/>
  <c r="H128" i="13"/>
  <c r="G128" i="13"/>
  <c r="F128" i="13"/>
  <c r="E128" i="13"/>
  <c r="D128" i="13"/>
  <c r="C128" i="13"/>
  <c r="B128" i="13"/>
  <c r="A128" i="13"/>
  <c r="H127" i="13"/>
  <c r="G127" i="13"/>
  <c r="F127" i="13"/>
  <c r="E127" i="13"/>
  <c r="D127" i="13"/>
  <c r="C127" i="13"/>
  <c r="B127" i="13"/>
  <c r="A127" i="13"/>
  <c r="H126" i="13"/>
  <c r="G126" i="13"/>
  <c r="F126" i="13"/>
  <c r="E126" i="13"/>
  <c r="D126" i="13"/>
  <c r="C126" i="13"/>
  <c r="B126" i="13"/>
  <c r="A126" i="13"/>
  <c r="H125" i="13"/>
  <c r="G125" i="13"/>
  <c r="F125" i="13"/>
  <c r="E125" i="13"/>
  <c r="D125" i="13"/>
  <c r="C125" i="13"/>
  <c r="B125" i="13"/>
  <c r="A125" i="13"/>
  <c r="H124" i="13"/>
  <c r="G124" i="13"/>
  <c r="F124" i="13"/>
  <c r="E124" i="13"/>
  <c r="D124" i="13"/>
  <c r="C124" i="13"/>
  <c r="B124" i="13"/>
  <c r="A124" i="13"/>
  <c r="H123" i="13"/>
  <c r="G123" i="13"/>
  <c r="F123" i="13"/>
  <c r="E123" i="13"/>
  <c r="D123" i="13"/>
  <c r="C123" i="13"/>
  <c r="B123" i="13"/>
  <c r="A123" i="13"/>
  <c r="H122" i="13"/>
  <c r="G122" i="13"/>
  <c r="F122" i="13"/>
  <c r="E122" i="13"/>
  <c r="D122" i="13"/>
  <c r="C122" i="13"/>
  <c r="B122" i="13"/>
  <c r="A122" i="13"/>
  <c r="H121" i="13"/>
  <c r="G121" i="13"/>
  <c r="F121" i="13"/>
  <c r="E121" i="13"/>
  <c r="D121" i="13"/>
  <c r="C121" i="13"/>
  <c r="B121" i="13"/>
  <c r="A121" i="13"/>
  <c r="H120" i="13"/>
  <c r="G120" i="13"/>
  <c r="F120" i="13"/>
  <c r="E120" i="13"/>
  <c r="D120" i="13"/>
  <c r="C120" i="13"/>
  <c r="B120" i="13"/>
  <c r="A120" i="13"/>
  <c r="H119" i="13"/>
  <c r="G119" i="13"/>
  <c r="F119" i="13"/>
  <c r="E119" i="13"/>
  <c r="D119" i="13"/>
  <c r="C119" i="13"/>
  <c r="B119" i="13"/>
  <c r="A119" i="13"/>
  <c r="H118" i="13"/>
  <c r="G118" i="13"/>
  <c r="F118" i="13"/>
  <c r="E118" i="13"/>
  <c r="D118" i="13"/>
  <c r="C118" i="13"/>
  <c r="B118" i="13"/>
  <c r="A118" i="13"/>
  <c r="H117" i="13"/>
  <c r="G117" i="13"/>
  <c r="F117" i="13"/>
  <c r="E117" i="13"/>
  <c r="D117" i="13"/>
  <c r="C117" i="13"/>
  <c r="B117" i="13"/>
  <c r="A117" i="13"/>
  <c r="H116" i="13"/>
  <c r="G116" i="13"/>
  <c r="F116" i="13"/>
  <c r="E116" i="13"/>
  <c r="D116" i="13"/>
  <c r="C116" i="13"/>
  <c r="B116" i="13"/>
  <c r="A116" i="13"/>
  <c r="H115" i="13"/>
  <c r="G115" i="13"/>
  <c r="F115" i="13"/>
  <c r="E115" i="13"/>
  <c r="D115" i="13"/>
  <c r="C115" i="13"/>
  <c r="B115" i="13"/>
  <c r="A115" i="13"/>
  <c r="H114" i="13"/>
  <c r="G114" i="13"/>
  <c r="F114" i="13"/>
  <c r="E114" i="13"/>
  <c r="D114" i="13"/>
  <c r="C114" i="13"/>
  <c r="B114" i="13"/>
  <c r="A114" i="13"/>
  <c r="H113" i="13"/>
  <c r="G113" i="13"/>
  <c r="F113" i="13"/>
  <c r="E113" i="13"/>
  <c r="D113" i="13"/>
  <c r="C113" i="13"/>
  <c r="B113" i="13"/>
  <c r="A113" i="13"/>
  <c r="H112" i="13"/>
  <c r="G112" i="13"/>
  <c r="F112" i="13"/>
  <c r="E112" i="13"/>
  <c r="D112" i="13"/>
  <c r="C112" i="13"/>
  <c r="B112" i="13"/>
  <c r="A112" i="13"/>
  <c r="H111" i="13"/>
  <c r="G111" i="13"/>
  <c r="F111" i="13"/>
  <c r="E111" i="13"/>
  <c r="D111" i="13"/>
  <c r="C111" i="13"/>
  <c r="B111" i="13"/>
  <c r="A111" i="13"/>
  <c r="H110" i="13"/>
  <c r="G110" i="13"/>
  <c r="F110" i="13"/>
  <c r="E110" i="13"/>
  <c r="D110" i="13"/>
  <c r="C110" i="13"/>
  <c r="B110" i="13"/>
  <c r="A110" i="13"/>
  <c r="H109" i="13"/>
  <c r="G109" i="13"/>
  <c r="F109" i="13"/>
  <c r="E109" i="13"/>
  <c r="D109" i="13"/>
  <c r="C109" i="13"/>
  <c r="B109" i="13"/>
  <c r="A109" i="13"/>
  <c r="H108" i="13"/>
  <c r="G108" i="13"/>
  <c r="F108" i="13"/>
  <c r="E108" i="13"/>
  <c r="D108" i="13"/>
  <c r="C108" i="13"/>
  <c r="B108" i="13"/>
  <c r="A108" i="13"/>
  <c r="H107" i="13"/>
  <c r="G107" i="13"/>
  <c r="F107" i="13"/>
  <c r="E107" i="13"/>
  <c r="D107" i="13"/>
  <c r="C107" i="13"/>
  <c r="B107" i="13"/>
  <c r="A107" i="13"/>
  <c r="H106" i="13"/>
  <c r="G106" i="13"/>
  <c r="F106" i="13"/>
  <c r="E106" i="13"/>
  <c r="D106" i="13"/>
  <c r="C106" i="13"/>
  <c r="B106" i="13"/>
  <c r="A106" i="13"/>
  <c r="H105" i="13"/>
  <c r="G105" i="13"/>
  <c r="F105" i="13"/>
  <c r="E105" i="13"/>
  <c r="D105" i="13"/>
  <c r="C105" i="13"/>
  <c r="B105" i="13"/>
  <c r="A105" i="13"/>
  <c r="H104" i="13"/>
  <c r="G104" i="13"/>
  <c r="F104" i="13"/>
  <c r="E104" i="13"/>
  <c r="D104" i="13"/>
  <c r="C104" i="13"/>
  <c r="B104" i="13"/>
  <c r="A104" i="13"/>
  <c r="H103" i="13"/>
  <c r="G103" i="13"/>
  <c r="F103" i="13"/>
  <c r="E103" i="13"/>
  <c r="D103" i="13"/>
  <c r="C103" i="13"/>
  <c r="B103" i="13"/>
  <c r="A103" i="13"/>
  <c r="H102" i="13"/>
  <c r="G102" i="13"/>
  <c r="F102" i="13"/>
  <c r="E102" i="13"/>
  <c r="D102" i="13"/>
  <c r="C102" i="13"/>
  <c r="B102" i="13"/>
  <c r="A102" i="13"/>
  <c r="H101" i="13"/>
  <c r="G101" i="13"/>
  <c r="F101" i="13"/>
  <c r="E101" i="13"/>
  <c r="D101" i="13"/>
  <c r="C101" i="13"/>
  <c r="B101" i="13"/>
  <c r="A101" i="13"/>
  <c r="H100" i="13"/>
  <c r="G100" i="13"/>
  <c r="F100" i="13"/>
  <c r="E100" i="13"/>
  <c r="D100" i="13"/>
  <c r="C100" i="13"/>
  <c r="B100" i="13"/>
  <c r="A100" i="13"/>
  <c r="H99" i="13"/>
  <c r="G99" i="13"/>
  <c r="F99" i="13"/>
  <c r="E99" i="13"/>
  <c r="D99" i="13"/>
  <c r="C99" i="13"/>
  <c r="B99" i="13"/>
  <c r="A99" i="13"/>
  <c r="H98" i="13"/>
  <c r="G98" i="13"/>
  <c r="F98" i="13"/>
  <c r="E98" i="13"/>
  <c r="D98" i="13"/>
  <c r="C98" i="13"/>
  <c r="B98" i="13"/>
  <c r="A98" i="13"/>
  <c r="H97" i="13"/>
  <c r="G97" i="13"/>
  <c r="F97" i="13"/>
  <c r="E97" i="13"/>
  <c r="D97" i="13"/>
  <c r="C97" i="13"/>
  <c r="B97" i="13"/>
  <c r="A97" i="13"/>
  <c r="H96" i="13"/>
  <c r="G96" i="13"/>
  <c r="F96" i="13"/>
  <c r="E96" i="13"/>
  <c r="D96" i="13"/>
  <c r="C96" i="13"/>
  <c r="B96" i="13"/>
  <c r="A96" i="13"/>
  <c r="H95" i="13"/>
  <c r="G95" i="13"/>
  <c r="F95" i="13"/>
  <c r="E95" i="13"/>
  <c r="D95" i="13"/>
  <c r="C95" i="13"/>
  <c r="B95" i="13"/>
  <c r="A95" i="13"/>
  <c r="H94" i="13"/>
  <c r="G94" i="13"/>
  <c r="F94" i="13"/>
  <c r="E94" i="13"/>
  <c r="D94" i="13"/>
  <c r="C94" i="13"/>
  <c r="B94" i="13"/>
  <c r="A94" i="13"/>
  <c r="H93" i="13"/>
  <c r="G93" i="13"/>
  <c r="F93" i="13"/>
  <c r="E93" i="13"/>
  <c r="D93" i="13"/>
  <c r="C93" i="13"/>
  <c r="B93" i="13"/>
  <c r="A93" i="13"/>
  <c r="H92" i="13"/>
  <c r="G92" i="13"/>
  <c r="F92" i="13"/>
  <c r="E92" i="13"/>
  <c r="D92" i="13"/>
  <c r="C92" i="13"/>
  <c r="B92" i="13"/>
  <c r="A92" i="13"/>
  <c r="H91" i="13"/>
  <c r="G91" i="13"/>
  <c r="F91" i="13"/>
  <c r="E91" i="13"/>
  <c r="D91" i="13"/>
  <c r="C91" i="13"/>
  <c r="B91" i="13"/>
  <c r="A91" i="13"/>
  <c r="H90" i="13"/>
  <c r="G90" i="13"/>
  <c r="F90" i="13"/>
  <c r="E90" i="13"/>
  <c r="D90" i="13"/>
  <c r="C90" i="13"/>
  <c r="B90" i="13"/>
  <c r="A90" i="13"/>
  <c r="H89" i="13"/>
  <c r="G89" i="13"/>
  <c r="F89" i="13"/>
  <c r="E89" i="13"/>
  <c r="D89" i="13"/>
  <c r="C89" i="13"/>
  <c r="B89" i="13"/>
  <c r="A89" i="13"/>
  <c r="H88" i="13"/>
  <c r="G88" i="13"/>
  <c r="F88" i="13"/>
  <c r="E88" i="13"/>
  <c r="D88" i="13"/>
  <c r="C88" i="13"/>
  <c r="B88" i="13"/>
  <c r="A88" i="13"/>
  <c r="H87" i="13"/>
  <c r="G87" i="13"/>
  <c r="F87" i="13"/>
  <c r="E87" i="13"/>
  <c r="D87" i="13"/>
  <c r="C87" i="13"/>
  <c r="B87" i="13"/>
  <c r="A87" i="13"/>
  <c r="H86" i="13"/>
  <c r="G86" i="13"/>
  <c r="F86" i="13"/>
  <c r="E86" i="13"/>
  <c r="D86" i="13"/>
  <c r="C86" i="13"/>
  <c r="B86" i="13"/>
  <c r="A86" i="13"/>
  <c r="H85" i="13"/>
  <c r="G85" i="13"/>
  <c r="F85" i="13"/>
  <c r="E85" i="13"/>
  <c r="D85" i="13"/>
  <c r="C85" i="13"/>
  <c r="B85" i="13"/>
  <c r="A85" i="13"/>
  <c r="H84" i="13"/>
  <c r="G84" i="13"/>
  <c r="F84" i="13"/>
  <c r="E84" i="13"/>
  <c r="D84" i="13"/>
  <c r="C84" i="13"/>
  <c r="B84" i="13"/>
  <c r="A84" i="13"/>
  <c r="H83" i="13"/>
  <c r="G83" i="13"/>
  <c r="F83" i="13"/>
  <c r="E83" i="13"/>
  <c r="D83" i="13"/>
  <c r="C83" i="13"/>
  <c r="B83" i="13"/>
  <c r="A83" i="13"/>
  <c r="H82" i="13"/>
  <c r="G82" i="13"/>
  <c r="F82" i="13"/>
  <c r="E82" i="13"/>
  <c r="D82" i="13"/>
  <c r="C82" i="13"/>
  <c r="B82" i="13"/>
  <c r="A82" i="13"/>
  <c r="H81" i="13"/>
  <c r="G81" i="13"/>
  <c r="F81" i="13"/>
  <c r="E81" i="13"/>
  <c r="D81" i="13"/>
  <c r="C81" i="13"/>
  <c r="B81" i="13"/>
  <c r="A81" i="13"/>
  <c r="H80" i="13"/>
  <c r="G80" i="13"/>
  <c r="F80" i="13"/>
  <c r="E80" i="13"/>
  <c r="D80" i="13"/>
  <c r="C80" i="13"/>
  <c r="B80" i="13"/>
  <c r="A80" i="13"/>
  <c r="H79" i="13"/>
  <c r="G79" i="13"/>
  <c r="F79" i="13"/>
  <c r="E79" i="13"/>
  <c r="D79" i="13"/>
  <c r="C79" i="13"/>
  <c r="B79" i="13"/>
  <c r="A79" i="13"/>
  <c r="H78" i="13"/>
  <c r="G78" i="13"/>
  <c r="F78" i="13"/>
  <c r="E78" i="13"/>
  <c r="D78" i="13"/>
  <c r="C78" i="13"/>
  <c r="B78" i="13"/>
  <c r="A78" i="13"/>
  <c r="H77" i="13"/>
  <c r="G77" i="13"/>
  <c r="F77" i="13"/>
  <c r="E77" i="13"/>
  <c r="D77" i="13"/>
  <c r="C77" i="13"/>
  <c r="B77" i="13"/>
  <c r="A77" i="13"/>
  <c r="H76" i="13"/>
  <c r="G76" i="13"/>
  <c r="F76" i="13"/>
  <c r="E76" i="13"/>
  <c r="D76" i="13"/>
  <c r="C76" i="13"/>
  <c r="B76" i="13"/>
  <c r="A76" i="13"/>
  <c r="H75" i="13"/>
  <c r="G75" i="13"/>
  <c r="F75" i="13"/>
  <c r="E75" i="13"/>
  <c r="D75" i="13"/>
  <c r="C75" i="13"/>
  <c r="B75" i="13"/>
  <c r="A75" i="13"/>
  <c r="H74" i="13"/>
  <c r="G74" i="13"/>
  <c r="F74" i="13"/>
  <c r="E74" i="13"/>
  <c r="D74" i="13"/>
  <c r="C74" i="13"/>
  <c r="B74" i="13"/>
  <c r="A74" i="13"/>
  <c r="H73" i="13"/>
  <c r="G73" i="13"/>
  <c r="F73" i="13"/>
  <c r="E73" i="13"/>
  <c r="D73" i="13"/>
  <c r="C73" i="13"/>
  <c r="B73" i="13"/>
  <c r="A73" i="13"/>
  <c r="H72" i="13"/>
  <c r="G72" i="13"/>
  <c r="F72" i="13"/>
  <c r="E72" i="13"/>
  <c r="D72" i="13"/>
  <c r="C72" i="13"/>
  <c r="B72" i="13"/>
  <c r="A72" i="13"/>
  <c r="H71" i="13"/>
  <c r="G71" i="13"/>
  <c r="F71" i="13"/>
  <c r="E71" i="13"/>
  <c r="D71" i="13"/>
  <c r="C71" i="13"/>
  <c r="B71" i="13"/>
  <c r="A71" i="13"/>
  <c r="H70" i="13"/>
  <c r="G70" i="13"/>
  <c r="F70" i="13"/>
  <c r="E70" i="13"/>
  <c r="D70" i="13"/>
  <c r="C70" i="13"/>
  <c r="B70" i="13"/>
  <c r="A70" i="13"/>
  <c r="H69" i="13"/>
  <c r="G69" i="13"/>
  <c r="F69" i="13"/>
  <c r="E69" i="13"/>
  <c r="D69" i="13"/>
  <c r="C69" i="13"/>
  <c r="B69" i="13"/>
  <c r="A69" i="13"/>
  <c r="H68" i="13"/>
  <c r="G68" i="13"/>
  <c r="F68" i="13"/>
  <c r="E68" i="13"/>
  <c r="D68" i="13"/>
  <c r="C68" i="13"/>
  <c r="B68" i="13"/>
  <c r="A68" i="13"/>
  <c r="H67" i="13"/>
  <c r="G67" i="13"/>
  <c r="F67" i="13"/>
  <c r="E67" i="13"/>
  <c r="D67" i="13"/>
  <c r="C67" i="13"/>
  <c r="B67" i="13"/>
  <c r="A67" i="13"/>
  <c r="H66" i="13"/>
  <c r="G66" i="13"/>
  <c r="F66" i="13"/>
  <c r="E66" i="13"/>
  <c r="D66" i="13"/>
  <c r="C66" i="13"/>
  <c r="B66" i="13"/>
  <c r="A66" i="13"/>
  <c r="H65" i="13"/>
  <c r="G65" i="13"/>
  <c r="F65" i="13"/>
  <c r="E65" i="13"/>
  <c r="D65" i="13"/>
  <c r="C65" i="13"/>
  <c r="B65" i="13"/>
  <c r="A65" i="13"/>
  <c r="H64" i="13"/>
  <c r="G64" i="13"/>
  <c r="F64" i="13"/>
  <c r="E64" i="13"/>
  <c r="D64" i="13"/>
  <c r="C64" i="13"/>
  <c r="B64" i="13"/>
  <c r="A64" i="13"/>
  <c r="H63" i="13"/>
  <c r="G63" i="13"/>
  <c r="F63" i="13"/>
  <c r="E63" i="13"/>
  <c r="D63" i="13"/>
  <c r="C63" i="13"/>
  <c r="B63" i="13"/>
  <c r="A63" i="13"/>
  <c r="H62" i="13"/>
  <c r="G62" i="13"/>
  <c r="F62" i="13"/>
  <c r="E62" i="13"/>
  <c r="D62" i="13"/>
  <c r="C62" i="13"/>
  <c r="B62" i="13"/>
  <c r="A62" i="13"/>
  <c r="H61" i="13"/>
  <c r="G61" i="13"/>
  <c r="F61" i="13"/>
  <c r="E61" i="13"/>
  <c r="D61" i="13"/>
  <c r="C61" i="13"/>
  <c r="B61" i="13"/>
  <c r="A61" i="13"/>
  <c r="H60" i="13"/>
  <c r="G60" i="13"/>
  <c r="F60" i="13"/>
  <c r="E60" i="13"/>
  <c r="D60" i="13"/>
  <c r="C60" i="13"/>
  <c r="B60" i="13"/>
  <c r="A60" i="13"/>
  <c r="H59" i="13"/>
  <c r="G59" i="13"/>
  <c r="F59" i="13"/>
  <c r="E59" i="13"/>
  <c r="D59" i="13"/>
  <c r="C59" i="13"/>
  <c r="B59" i="13"/>
  <c r="A59" i="13"/>
  <c r="H58" i="13"/>
  <c r="G58" i="13"/>
  <c r="F58" i="13"/>
  <c r="E58" i="13"/>
  <c r="D58" i="13"/>
  <c r="C58" i="13"/>
  <c r="B58" i="13"/>
  <c r="A58" i="13"/>
  <c r="H57" i="13"/>
  <c r="G57" i="13"/>
  <c r="F57" i="13"/>
  <c r="E57" i="13"/>
  <c r="D57" i="13"/>
  <c r="C57" i="13"/>
  <c r="B57" i="13"/>
  <c r="A57" i="13"/>
  <c r="H56" i="13"/>
  <c r="G56" i="13"/>
  <c r="F56" i="13"/>
  <c r="E56" i="13"/>
  <c r="D56" i="13"/>
  <c r="C56" i="13"/>
  <c r="B56" i="13"/>
  <c r="A56" i="13"/>
  <c r="H55" i="13"/>
  <c r="G55" i="13"/>
  <c r="F55" i="13"/>
  <c r="E55" i="13"/>
  <c r="D55" i="13"/>
  <c r="C55" i="13"/>
  <c r="B55" i="13"/>
  <c r="A55" i="13"/>
  <c r="H54" i="13"/>
  <c r="G54" i="13"/>
  <c r="F54" i="13"/>
  <c r="E54" i="13"/>
  <c r="D54" i="13"/>
  <c r="C54" i="13"/>
  <c r="B54" i="13"/>
  <c r="A54" i="13"/>
  <c r="H53" i="13"/>
  <c r="G53" i="13"/>
  <c r="F53" i="13"/>
  <c r="E53" i="13"/>
  <c r="D53" i="13"/>
  <c r="C53" i="13"/>
  <c r="B53" i="13"/>
  <c r="A53" i="13"/>
  <c r="H52" i="13"/>
  <c r="G52" i="13"/>
  <c r="F52" i="13"/>
  <c r="E52" i="13"/>
  <c r="D52" i="13"/>
  <c r="C52" i="13"/>
  <c r="B52" i="13"/>
  <c r="A52" i="13"/>
  <c r="H51" i="13"/>
  <c r="G51" i="13"/>
  <c r="F51" i="13"/>
  <c r="E51" i="13"/>
  <c r="D51" i="13"/>
  <c r="C51" i="13"/>
  <c r="B51" i="13"/>
  <c r="A51" i="13"/>
  <c r="H50" i="13"/>
  <c r="G50" i="13"/>
  <c r="F50" i="13"/>
  <c r="E50" i="13"/>
  <c r="D50" i="13"/>
  <c r="C50" i="13"/>
  <c r="B50" i="13"/>
  <c r="A50" i="13"/>
  <c r="H49" i="13"/>
  <c r="G49" i="13"/>
  <c r="F49" i="13"/>
  <c r="E49" i="13"/>
  <c r="D49" i="13"/>
  <c r="C49" i="13"/>
  <c r="B49" i="13"/>
  <c r="A49" i="13"/>
  <c r="H48" i="13"/>
  <c r="G48" i="13"/>
  <c r="F48" i="13"/>
  <c r="E48" i="13"/>
  <c r="D48" i="13"/>
  <c r="C48" i="13"/>
  <c r="B48" i="13"/>
  <c r="A48" i="13"/>
  <c r="H47" i="13"/>
  <c r="G47" i="13"/>
  <c r="F47" i="13"/>
  <c r="E47" i="13"/>
  <c r="D47" i="13"/>
  <c r="C47" i="13"/>
  <c r="B47" i="13"/>
  <c r="A47" i="13"/>
  <c r="H46" i="13"/>
  <c r="G46" i="13"/>
  <c r="F46" i="13"/>
  <c r="E46" i="13"/>
  <c r="D46" i="13"/>
  <c r="C46" i="13"/>
  <c r="B46" i="13"/>
  <c r="A46" i="13"/>
  <c r="H45" i="13"/>
  <c r="G45" i="13"/>
  <c r="F45" i="13"/>
  <c r="E45" i="13"/>
  <c r="D45" i="13"/>
  <c r="C45" i="13"/>
  <c r="B45" i="13"/>
  <c r="A45" i="13"/>
  <c r="H44" i="13"/>
  <c r="G44" i="13"/>
  <c r="F44" i="13"/>
  <c r="E44" i="13"/>
  <c r="D44" i="13"/>
  <c r="C44" i="13"/>
  <c r="B44" i="13"/>
  <c r="A44" i="13"/>
  <c r="H43" i="13"/>
  <c r="G43" i="13"/>
  <c r="F43" i="13"/>
  <c r="E43" i="13"/>
  <c r="D43" i="13"/>
  <c r="C43" i="13"/>
  <c r="B43" i="13"/>
  <c r="A43" i="13"/>
  <c r="H42" i="13"/>
  <c r="G42" i="13"/>
  <c r="F42" i="13"/>
  <c r="E42" i="13"/>
  <c r="D42" i="13"/>
  <c r="C42" i="13"/>
  <c r="B42" i="13"/>
  <c r="A42" i="13"/>
  <c r="H41" i="13"/>
  <c r="G41" i="13"/>
  <c r="F41" i="13"/>
  <c r="E41" i="13"/>
  <c r="D41" i="13"/>
  <c r="C41" i="13"/>
  <c r="B41" i="13"/>
  <c r="A41" i="13"/>
  <c r="H40" i="13"/>
  <c r="G40" i="13"/>
  <c r="F40" i="13"/>
  <c r="E40" i="13"/>
  <c r="D40" i="13"/>
  <c r="C40" i="13"/>
  <c r="B40" i="13"/>
  <c r="A40" i="13"/>
  <c r="H39" i="13"/>
  <c r="G39" i="13"/>
  <c r="F39" i="13"/>
  <c r="E39" i="13"/>
  <c r="D39" i="13"/>
  <c r="C39" i="13"/>
  <c r="B39" i="13"/>
  <c r="A39" i="13"/>
  <c r="H38" i="13"/>
  <c r="G38" i="13"/>
  <c r="F38" i="13"/>
  <c r="E38" i="13"/>
  <c r="D38" i="13"/>
  <c r="C38" i="13"/>
  <c r="B38" i="13"/>
  <c r="A38" i="13"/>
  <c r="H37" i="13"/>
  <c r="G37" i="13"/>
  <c r="F37" i="13"/>
  <c r="E37" i="13"/>
  <c r="D37" i="13"/>
  <c r="C37" i="13"/>
  <c r="B37" i="13"/>
  <c r="A37" i="13"/>
  <c r="H36" i="13"/>
  <c r="G36" i="13"/>
  <c r="F36" i="13"/>
  <c r="E36" i="13"/>
  <c r="D36" i="13"/>
  <c r="C36" i="13"/>
  <c r="B36" i="13"/>
  <c r="A36" i="13"/>
  <c r="H35" i="13"/>
  <c r="G35" i="13"/>
  <c r="F35" i="13"/>
  <c r="E35" i="13"/>
  <c r="D35" i="13"/>
  <c r="C35" i="13"/>
  <c r="B35" i="13"/>
  <c r="A35" i="13"/>
  <c r="H34" i="13"/>
  <c r="G34" i="13"/>
  <c r="F34" i="13"/>
  <c r="E34" i="13"/>
  <c r="D34" i="13"/>
  <c r="C34" i="13"/>
  <c r="B34" i="13"/>
  <c r="A34" i="13"/>
  <c r="H33" i="13"/>
  <c r="G33" i="13"/>
  <c r="F33" i="13"/>
  <c r="E33" i="13"/>
  <c r="D33" i="13"/>
  <c r="C33" i="13"/>
  <c r="B33" i="13"/>
  <c r="A33" i="13"/>
  <c r="H32" i="13"/>
  <c r="G32" i="13"/>
  <c r="F32" i="13"/>
  <c r="E32" i="13"/>
  <c r="D32" i="13"/>
  <c r="C32" i="13"/>
  <c r="B32" i="13"/>
  <c r="A32" i="13"/>
  <c r="H31" i="13"/>
  <c r="G31" i="13"/>
  <c r="F31" i="13"/>
  <c r="E31" i="13"/>
  <c r="D31" i="13"/>
  <c r="C31" i="13"/>
  <c r="B31" i="13"/>
  <c r="A31" i="13"/>
  <c r="H30" i="13"/>
  <c r="G30" i="13"/>
  <c r="F30" i="13"/>
  <c r="E30" i="13"/>
  <c r="D30" i="13"/>
  <c r="C30" i="13"/>
  <c r="B30" i="13"/>
  <c r="A30" i="13"/>
  <c r="H29" i="13"/>
  <c r="G29" i="13"/>
  <c r="F29" i="13"/>
  <c r="E29" i="13"/>
  <c r="D29" i="13"/>
  <c r="C29" i="13"/>
  <c r="B29" i="13"/>
  <c r="A29" i="13"/>
  <c r="H28" i="13"/>
  <c r="G28" i="13"/>
  <c r="F28" i="13"/>
  <c r="E28" i="13"/>
  <c r="D28" i="13"/>
  <c r="C28" i="13"/>
  <c r="B28" i="13"/>
  <c r="A28" i="13"/>
  <c r="H27" i="13"/>
  <c r="G27" i="13"/>
  <c r="F27" i="13"/>
  <c r="E27" i="13"/>
  <c r="D27" i="13"/>
  <c r="C27" i="13"/>
  <c r="B27" i="13"/>
  <c r="A27" i="13"/>
  <c r="H26" i="13"/>
  <c r="G26" i="13"/>
  <c r="F26" i="13"/>
  <c r="E26" i="13"/>
  <c r="D26" i="13"/>
  <c r="C26" i="13"/>
  <c r="B26" i="13"/>
  <c r="A26" i="13"/>
  <c r="H25" i="13"/>
  <c r="G25" i="13"/>
  <c r="F25" i="13"/>
  <c r="E25" i="13"/>
  <c r="D25" i="13"/>
  <c r="C25" i="13"/>
  <c r="B25" i="13"/>
  <c r="A25" i="13"/>
  <c r="H24" i="13"/>
  <c r="G24" i="13"/>
  <c r="F24" i="13"/>
  <c r="E24" i="13"/>
  <c r="D24" i="13"/>
  <c r="C24" i="13"/>
  <c r="B24" i="13"/>
  <c r="A24" i="13"/>
  <c r="H23" i="13"/>
  <c r="G23" i="13"/>
  <c r="F23" i="13"/>
  <c r="E23" i="13"/>
  <c r="D23" i="13"/>
  <c r="C23" i="13"/>
  <c r="B23" i="13"/>
  <c r="A23" i="13"/>
  <c r="H22" i="13"/>
  <c r="G22" i="13"/>
  <c r="F22" i="13"/>
  <c r="E22" i="13"/>
  <c r="D22" i="13"/>
  <c r="C22" i="13"/>
  <c r="B22" i="13"/>
  <c r="A22" i="13"/>
  <c r="H21" i="13"/>
  <c r="G21" i="13"/>
  <c r="F21" i="13"/>
  <c r="E21" i="13"/>
  <c r="D21" i="13"/>
  <c r="C21" i="13"/>
  <c r="B21" i="13"/>
  <c r="A21" i="13"/>
  <c r="H20" i="13"/>
  <c r="G20" i="13"/>
  <c r="F20" i="13"/>
  <c r="E20" i="13"/>
  <c r="D20" i="13"/>
  <c r="C20" i="13"/>
  <c r="B20" i="13"/>
  <c r="A20" i="13"/>
  <c r="H19" i="13"/>
  <c r="G19" i="13"/>
  <c r="F19" i="13"/>
  <c r="E19" i="13"/>
  <c r="D19" i="13"/>
  <c r="C19" i="13"/>
  <c r="B19" i="13"/>
  <c r="A19" i="13"/>
  <c r="H18" i="13"/>
  <c r="G18" i="13"/>
  <c r="F18" i="13"/>
  <c r="E18" i="13"/>
  <c r="D18" i="13"/>
  <c r="C18" i="13"/>
  <c r="B18" i="13"/>
  <c r="A18" i="13"/>
  <c r="H17" i="13"/>
  <c r="G17" i="13"/>
  <c r="F17" i="13"/>
  <c r="E17" i="13"/>
  <c r="D17" i="13"/>
  <c r="C17" i="13"/>
  <c r="B17" i="13"/>
  <c r="A17" i="13"/>
  <c r="H16" i="13"/>
  <c r="G16" i="13"/>
  <c r="F16" i="13"/>
  <c r="E16" i="13"/>
  <c r="D16" i="13"/>
  <c r="C16" i="13"/>
  <c r="B16" i="13"/>
  <c r="A16" i="13"/>
  <c r="H15" i="13"/>
  <c r="G15" i="13"/>
  <c r="F15" i="13"/>
  <c r="E15" i="13"/>
  <c r="D15" i="13"/>
  <c r="C15" i="13"/>
  <c r="B15" i="13"/>
  <c r="A15" i="13"/>
  <c r="H14" i="13"/>
  <c r="G14" i="13"/>
  <c r="F14" i="13"/>
  <c r="E14" i="13"/>
  <c r="D14" i="13"/>
  <c r="C14" i="13"/>
  <c r="B14" i="13"/>
  <c r="A14" i="13"/>
  <c r="H13" i="13"/>
  <c r="G13" i="13"/>
  <c r="F13" i="13"/>
  <c r="E13" i="13"/>
  <c r="D13" i="13"/>
  <c r="C13" i="13"/>
  <c r="B13" i="13"/>
  <c r="A13" i="13"/>
  <c r="H12" i="13"/>
  <c r="G12" i="13"/>
  <c r="F12" i="13"/>
  <c r="E12" i="13"/>
  <c r="D12" i="13"/>
  <c r="C12" i="13"/>
  <c r="B12" i="13"/>
  <c r="A12" i="13"/>
  <c r="H11" i="13"/>
  <c r="G11" i="13"/>
  <c r="F11" i="13"/>
  <c r="E11" i="13"/>
  <c r="D11" i="13"/>
  <c r="C11" i="13"/>
  <c r="B11" i="13"/>
  <c r="A11" i="13"/>
  <c r="H10" i="13"/>
  <c r="G10" i="13"/>
  <c r="F10" i="13"/>
  <c r="E10" i="13"/>
  <c r="D10" i="13"/>
  <c r="C10" i="13"/>
  <c r="B10" i="13"/>
  <c r="A10" i="13"/>
  <c r="H9" i="13"/>
  <c r="G9" i="13"/>
  <c r="F9" i="13"/>
  <c r="E9" i="13"/>
  <c r="D9" i="13"/>
  <c r="C9" i="13"/>
  <c r="B9" i="13"/>
  <c r="A9" i="13"/>
  <c r="H8" i="13"/>
  <c r="G8" i="13"/>
  <c r="F8" i="13"/>
  <c r="E8" i="13"/>
  <c r="D8" i="13"/>
  <c r="C8" i="13"/>
  <c r="B8" i="13"/>
  <c r="A8" i="13"/>
  <c r="H7" i="13"/>
  <c r="G7" i="13"/>
  <c r="F7" i="13"/>
  <c r="E7" i="13"/>
  <c r="D7" i="13"/>
  <c r="C7" i="13"/>
  <c r="B7" i="13"/>
  <c r="A7" i="13"/>
  <c r="H6" i="13"/>
  <c r="G6" i="13"/>
  <c r="F6" i="13"/>
  <c r="E6" i="13"/>
  <c r="D6" i="13"/>
  <c r="C6" i="13"/>
  <c r="B6" i="13"/>
  <c r="A6" i="13"/>
  <c r="H5" i="13"/>
  <c r="G5" i="13"/>
  <c r="F5" i="13"/>
  <c r="E5" i="13"/>
  <c r="D5" i="13"/>
  <c r="C5" i="13"/>
  <c r="B5" i="13"/>
  <c r="A5" i="13"/>
  <c r="H4" i="13"/>
  <c r="G4" i="13"/>
  <c r="F4" i="13"/>
  <c r="E4" i="13"/>
  <c r="D4" i="13"/>
  <c r="C4" i="13"/>
  <c r="B4" i="13"/>
  <c r="A4" i="13"/>
  <c r="H3" i="13"/>
  <c r="G3" i="13"/>
  <c r="F3" i="13"/>
  <c r="E3" i="13"/>
  <c r="D3" i="13"/>
  <c r="C3" i="13"/>
  <c r="B3" i="13"/>
  <c r="A3" i="13"/>
  <c r="H2" i="13"/>
  <c r="G2" i="13"/>
  <c r="F2" i="13"/>
  <c r="E2" i="13"/>
  <c r="D2" i="13"/>
  <c r="C2" i="13"/>
  <c r="B2" i="13"/>
  <c r="A2" i="13"/>
  <c r="H1" i="13"/>
  <c r="G1" i="13"/>
  <c r="F1" i="13"/>
  <c r="E1" i="13"/>
  <c r="D1" i="13"/>
  <c r="C1" i="13"/>
  <c r="B1" i="13"/>
  <c r="A1" i="13"/>
  <c r="G290" i="12"/>
  <c r="F290" i="12"/>
  <c r="E290" i="12"/>
  <c r="D290" i="12"/>
  <c r="C290" i="12"/>
  <c r="B290" i="12"/>
  <c r="A290" i="12"/>
  <c r="G289" i="12"/>
  <c r="F289" i="12"/>
  <c r="E289" i="12"/>
  <c r="D289" i="12"/>
  <c r="C289" i="12"/>
  <c r="B289" i="12"/>
  <c r="A289" i="12"/>
  <c r="G288" i="12"/>
  <c r="F288" i="12"/>
  <c r="E288" i="12"/>
  <c r="D288" i="12"/>
  <c r="C288" i="12"/>
  <c r="B288" i="12"/>
  <c r="A288" i="12"/>
  <c r="G287" i="12"/>
  <c r="F287" i="12"/>
  <c r="E287" i="12"/>
  <c r="D287" i="12"/>
  <c r="C287" i="12"/>
  <c r="B287" i="12"/>
  <c r="A287" i="12"/>
  <c r="G286" i="12"/>
  <c r="F286" i="12"/>
  <c r="E286" i="12"/>
  <c r="D286" i="12"/>
  <c r="C286" i="12"/>
  <c r="B286" i="12"/>
  <c r="A286" i="12"/>
  <c r="G285" i="12"/>
  <c r="F285" i="12"/>
  <c r="E285" i="12"/>
  <c r="D285" i="12"/>
  <c r="C285" i="12"/>
  <c r="B285" i="12"/>
  <c r="A285" i="12"/>
  <c r="G284" i="12"/>
  <c r="F284" i="12"/>
  <c r="E284" i="12"/>
  <c r="D284" i="12"/>
  <c r="C284" i="12"/>
  <c r="B284" i="12"/>
  <c r="A284" i="12"/>
  <c r="G283" i="12"/>
  <c r="F283" i="12"/>
  <c r="E283" i="12"/>
  <c r="D283" i="12"/>
  <c r="C283" i="12"/>
  <c r="B283" i="12"/>
  <c r="A283" i="12"/>
  <c r="G282" i="12"/>
  <c r="F282" i="12"/>
  <c r="E282" i="12"/>
  <c r="D282" i="12"/>
  <c r="C282" i="12"/>
  <c r="B282" i="12"/>
  <c r="A282" i="12"/>
  <c r="G281" i="12"/>
  <c r="F281" i="12"/>
  <c r="E281" i="12"/>
  <c r="D281" i="12"/>
  <c r="C281" i="12"/>
  <c r="B281" i="12"/>
  <c r="A281" i="12"/>
  <c r="G280" i="12"/>
  <c r="F280" i="12"/>
  <c r="E280" i="12"/>
  <c r="D280" i="12"/>
  <c r="C280" i="12"/>
  <c r="B280" i="12"/>
  <c r="A280" i="12"/>
  <c r="G279" i="12"/>
  <c r="F279" i="12"/>
  <c r="E279" i="12"/>
  <c r="D279" i="12"/>
  <c r="C279" i="12"/>
  <c r="B279" i="12"/>
  <c r="A279" i="12"/>
  <c r="G278" i="12"/>
  <c r="F278" i="12"/>
  <c r="E278" i="12"/>
  <c r="D278" i="12"/>
  <c r="C278" i="12"/>
  <c r="B278" i="12"/>
  <c r="A278" i="12"/>
  <c r="G277" i="12"/>
  <c r="F277" i="12"/>
  <c r="E277" i="12"/>
  <c r="D277" i="12"/>
  <c r="C277" i="12"/>
  <c r="B277" i="12"/>
  <c r="A277" i="12"/>
  <c r="G276" i="12"/>
  <c r="F276" i="12"/>
  <c r="E276" i="12"/>
  <c r="D276" i="12"/>
  <c r="C276" i="12"/>
  <c r="B276" i="12"/>
  <c r="A276" i="12"/>
  <c r="G275" i="12"/>
  <c r="F275" i="12"/>
  <c r="E275" i="12"/>
  <c r="D275" i="12"/>
  <c r="C275" i="12"/>
  <c r="B275" i="12"/>
  <c r="A275" i="12"/>
  <c r="G274" i="12"/>
  <c r="F274" i="12"/>
  <c r="E274" i="12"/>
  <c r="D274" i="12"/>
  <c r="C274" i="12"/>
  <c r="B274" i="12"/>
  <c r="A274" i="12"/>
  <c r="G273" i="12"/>
  <c r="F273" i="12"/>
  <c r="E273" i="12"/>
  <c r="D273" i="12"/>
  <c r="C273" i="12"/>
  <c r="B273" i="12"/>
  <c r="A273" i="12"/>
  <c r="G272" i="12"/>
  <c r="F272" i="12"/>
  <c r="E272" i="12"/>
  <c r="D272" i="12"/>
  <c r="C272" i="12"/>
  <c r="B272" i="12"/>
  <c r="A272" i="12"/>
  <c r="G271" i="12"/>
  <c r="F271" i="12"/>
  <c r="E271" i="12"/>
  <c r="D271" i="12"/>
  <c r="C271" i="12"/>
  <c r="B271" i="12"/>
  <c r="A271" i="12"/>
  <c r="G270" i="12"/>
  <c r="F270" i="12"/>
  <c r="E270" i="12"/>
  <c r="D270" i="12"/>
  <c r="C270" i="12"/>
  <c r="B270" i="12"/>
  <c r="A270" i="12"/>
  <c r="G269" i="12"/>
  <c r="F269" i="12"/>
  <c r="E269" i="12"/>
  <c r="D269" i="12"/>
  <c r="C269" i="12"/>
  <c r="B269" i="12"/>
  <c r="A269" i="12"/>
  <c r="G268" i="12"/>
  <c r="F268" i="12"/>
  <c r="E268" i="12"/>
  <c r="D268" i="12"/>
  <c r="C268" i="12"/>
  <c r="B268" i="12"/>
  <c r="A268" i="12"/>
  <c r="G267" i="12"/>
  <c r="F267" i="12"/>
  <c r="E267" i="12"/>
  <c r="D267" i="12"/>
  <c r="C267" i="12"/>
  <c r="B267" i="12"/>
  <c r="A267" i="12"/>
  <c r="G266" i="12"/>
  <c r="F266" i="12"/>
  <c r="E266" i="12"/>
  <c r="D266" i="12"/>
  <c r="C266" i="12"/>
  <c r="B266" i="12"/>
  <c r="A266" i="12"/>
  <c r="G265" i="12"/>
  <c r="F265" i="12"/>
  <c r="E265" i="12"/>
  <c r="D265" i="12"/>
  <c r="C265" i="12"/>
  <c r="B265" i="12"/>
  <c r="A265" i="12"/>
  <c r="G264" i="12"/>
  <c r="F264" i="12"/>
  <c r="E264" i="12"/>
  <c r="D264" i="12"/>
  <c r="C264" i="12"/>
  <c r="B264" i="12"/>
  <c r="A264" i="12"/>
  <c r="G263" i="12"/>
  <c r="F263" i="12"/>
  <c r="E263" i="12"/>
  <c r="D263" i="12"/>
  <c r="C263" i="12"/>
  <c r="B263" i="12"/>
  <c r="A263" i="12"/>
  <c r="G262" i="12"/>
  <c r="F262" i="12"/>
  <c r="E262" i="12"/>
  <c r="D262" i="12"/>
  <c r="C262" i="12"/>
  <c r="B262" i="12"/>
  <c r="A262" i="12"/>
  <c r="G261" i="12"/>
  <c r="F261" i="12"/>
  <c r="E261" i="12"/>
  <c r="D261" i="12"/>
  <c r="C261" i="12"/>
  <c r="B261" i="12"/>
  <c r="A261" i="12"/>
  <c r="G260" i="12"/>
  <c r="F260" i="12"/>
  <c r="E260" i="12"/>
  <c r="D260" i="12"/>
  <c r="C260" i="12"/>
  <c r="B260" i="12"/>
  <c r="A260" i="12"/>
  <c r="G259" i="12"/>
  <c r="F259" i="12"/>
  <c r="E259" i="12"/>
  <c r="D259" i="12"/>
  <c r="C259" i="12"/>
  <c r="B259" i="12"/>
  <c r="A259" i="12"/>
  <c r="G258" i="12"/>
  <c r="F258" i="12"/>
  <c r="E258" i="12"/>
  <c r="D258" i="12"/>
  <c r="C258" i="12"/>
  <c r="B258" i="12"/>
  <c r="A258" i="12"/>
  <c r="G257" i="12"/>
  <c r="F257" i="12"/>
  <c r="E257" i="12"/>
  <c r="D257" i="12"/>
  <c r="C257" i="12"/>
  <c r="B257" i="12"/>
  <c r="A257" i="12"/>
  <c r="G256" i="12"/>
  <c r="F256" i="12"/>
  <c r="E256" i="12"/>
  <c r="D256" i="12"/>
  <c r="C256" i="12"/>
  <c r="B256" i="12"/>
  <c r="A256" i="12"/>
  <c r="G255" i="12"/>
  <c r="F255" i="12"/>
  <c r="E255" i="12"/>
  <c r="D255" i="12"/>
  <c r="C255" i="12"/>
  <c r="B255" i="12"/>
  <c r="A255" i="12"/>
  <c r="G254" i="12"/>
  <c r="F254" i="12"/>
  <c r="E254" i="12"/>
  <c r="D254" i="12"/>
  <c r="C254" i="12"/>
  <c r="B254" i="12"/>
  <c r="A254" i="12"/>
  <c r="G253" i="12"/>
  <c r="F253" i="12"/>
  <c r="E253" i="12"/>
  <c r="D253" i="12"/>
  <c r="C253" i="12"/>
  <c r="B253" i="12"/>
  <c r="A253" i="12"/>
  <c r="G252" i="12"/>
  <c r="F252" i="12"/>
  <c r="E252" i="12"/>
  <c r="D252" i="12"/>
  <c r="C252" i="12"/>
  <c r="B252" i="12"/>
  <c r="A252" i="12"/>
  <c r="G251" i="12"/>
  <c r="F251" i="12"/>
  <c r="E251" i="12"/>
  <c r="D251" i="12"/>
  <c r="C251" i="12"/>
  <c r="B251" i="12"/>
  <c r="A251" i="12"/>
  <c r="G250" i="12"/>
  <c r="F250" i="12"/>
  <c r="E250" i="12"/>
  <c r="D250" i="12"/>
  <c r="C250" i="12"/>
  <c r="B250" i="12"/>
  <c r="A250" i="12"/>
  <c r="G249" i="12"/>
  <c r="F249" i="12"/>
  <c r="E249" i="12"/>
  <c r="D249" i="12"/>
  <c r="C249" i="12"/>
  <c r="B249" i="12"/>
  <c r="A249" i="12"/>
  <c r="G248" i="12"/>
  <c r="F248" i="12"/>
  <c r="E248" i="12"/>
  <c r="D248" i="12"/>
  <c r="C248" i="12"/>
  <c r="B248" i="12"/>
  <c r="A248" i="12"/>
  <c r="G247" i="12"/>
  <c r="F247" i="12"/>
  <c r="E247" i="12"/>
  <c r="D247" i="12"/>
  <c r="C247" i="12"/>
  <c r="B247" i="12"/>
  <c r="A247" i="12"/>
  <c r="G246" i="12"/>
  <c r="F246" i="12"/>
  <c r="E246" i="12"/>
  <c r="D246" i="12"/>
  <c r="C246" i="12"/>
  <c r="B246" i="12"/>
  <c r="A246" i="12"/>
  <c r="G245" i="12"/>
  <c r="F245" i="12"/>
  <c r="E245" i="12"/>
  <c r="D245" i="12"/>
  <c r="C245" i="12"/>
  <c r="B245" i="12"/>
  <c r="A245" i="12"/>
  <c r="G244" i="12"/>
  <c r="F244" i="12"/>
  <c r="E244" i="12"/>
  <c r="D244" i="12"/>
  <c r="C244" i="12"/>
  <c r="B244" i="12"/>
  <c r="A244" i="12"/>
  <c r="G243" i="12"/>
  <c r="F243" i="12"/>
  <c r="E243" i="12"/>
  <c r="D243" i="12"/>
  <c r="C243" i="12"/>
  <c r="B243" i="12"/>
  <c r="A243" i="12"/>
  <c r="G242" i="12"/>
  <c r="F242" i="12"/>
  <c r="E242" i="12"/>
  <c r="D242" i="12"/>
  <c r="C242" i="12"/>
  <c r="B242" i="12"/>
  <c r="A242" i="12"/>
  <c r="G241" i="12"/>
  <c r="F241" i="12"/>
  <c r="E241" i="12"/>
  <c r="D241" i="12"/>
  <c r="C241" i="12"/>
  <c r="B241" i="12"/>
  <c r="A241" i="12"/>
  <c r="G240" i="12"/>
  <c r="F240" i="12"/>
  <c r="E240" i="12"/>
  <c r="D240" i="12"/>
  <c r="C240" i="12"/>
  <c r="B240" i="12"/>
  <c r="A240" i="12"/>
  <c r="G239" i="12"/>
  <c r="F239" i="12"/>
  <c r="E239" i="12"/>
  <c r="D239" i="12"/>
  <c r="C239" i="12"/>
  <c r="B239" i="12"/>
  <c r="A239" i="12"/>
  <c r="G238" i="12"/>
  <c r="F238" i="12"/>
  <c r="E238" i="12"/>
  <c r="D238" i="12"/>
  <c r="C238" i="12"/>
  <c r="B238" i="12"/>
  <c r="A238" i="12"/>
  <c r="G237" i="12"/>
  <c r="F237" i="12"/>
  <c r="E237" i="12"/>
  <c r="D237" i="12"/>
  <c r="C237" i="12"/>
  <c r="B237" i="12"/>
  <c r="A237" i="12"/>
  <c r="G236" i="12"/>
  <c r="F236" i="12"/>
  <c r="E236" i="12"/>
  <c r="D236" i="12"/>
  <c r="C236" i="12"/>
  <c r="B236" i="12"/>
  <c r="A236" i="12"/>
  <c r="G235" i="12"/>
  <c r="F235" i="12"/>
  <c r="E235" i="12"/>
  <c r="D235" i="12"/>
  <c r="C235" i="12"/>
  <c r="B235" i="12"/>
  <c r="A235" i="12"/>
  <c r="G234" i="12"/>
  <c r="F234" i="12"/>
  <c r="E234" i="12"/>
  <c r="D234" i="12"/>
  <c r="C234" i="12"/>
  <c r="B234" i="12"/>
  <c r="A234" i="12"/>
  <c r="G233" i="12"/>
  <c r="F233" i="12"/>
  <c r="E233" i="12"/>
  <c r="D233" i="12"/>
  <c r="C233" i="12"/>
  <c r="B233" i="12"/>
  <c r="A233" i="12"/>
  <c r="G232" i="12"/>
  <c r="F232" i="12"/>
  <c r="E232" i="12"/>
  <c r="D232" i="12"/>
  <c r="C232" i="12"/>
  <c r="B232" i="12"/>
  <c r="A232" i="12"/>
  <c r="G231" i="12"/>
  <c r="F231" i="12"/>
  <c r="E231" i="12"/>
  <c r="D231" i="12"/>
  <c r="C231" i="12"/>
  <c r="B231" i="12"/>
  <c r="A231" i="12"/>
  <c r="G230" i="12"/>
  <c r="F230" i="12"/>
  <c r="E230" i="12"/>
  <c r="D230" i="12"/>
  <c r="C230" i="12"/>
  <c r="B230" i="12"/>
  <c r="A230" i="12"/>
  <c r="G229" i="12"/>
  <c r="F229" i="12"/>
  <c r="E229" i="12"/>
  <c r="D229" i="12"/>
  <c r="C229" i="12"/>
  <c r="B229" i="12"/>
  <c r="A229" i="12"/>
  <c r="G228" i="12"/>
  <c r="F228" i="12"/>
  <c r="E228" i="12"/>
  <c r="D228" i="12"/>
  <c r="C228" i="12"/>
  <c r="B228" i="12"/>
  <c r="A228" i="12"/>
  <c r="G227" i="12"/>
  <c r="F227" i="12"/>
  <c r="E227" i="12"/>
  <c r="D227" i="12"/>
  <c r="C227" i="12"/>
  <c r="B227" i="12"/>
  <c r="A227" i="12"/>
  <c r="G226" i="12"/>
  <c r="F226" i="12"/>
  <c r="E226" i="12"/>
  <c r="D226" i="12"/>
  <c r="C226" i="12"/>
  <c r="B226" i="12"/>
  <c r="A226" i="12"/>
  <c r="G225" i="12"/>
  <c r="F225" i="12"/>
  <c r="E225" i="12"/>
  <c r="D225" i="12"/>
  <c r="C225" i="12"/>
  <c r="B225" i="12"/>
  <c r="A225" i="12"/>
  <c r="G224" i="12"/>
  <c r="F224" i="12"/>
  <c r="E224" i="12"/>
  <c r="D224" i="12"/>
  <c r="C224" i="12"/>
  <c r="B224" i="12"/>
  <c r="A224" i="12"/>
  <c r="G223" i="12"/>
  <c r="F223" i="12"/>
  <c r="E223" i="12"/>
  <c r="D223" i="12"/>
  <c r="C223" i="12"/>
  <c r="B223" i="12"/>
  <c r="A223" i="12"/>
  <c r="G222" i="12"/>
  <c r="F222" i="12"/>
  <c r="E222" i="12"/>
  <c r="D222" i="12"/>
  <c r="C222" i="12"/>
  <c r="B222" i="12"/>
  <c r="A222" i="12"/>
  <c r="G221" i="12"/>
  <c r="F221" i="12"/>
  <c r="E221" i="12"/>
  <c r="D221" i="12"/>
  <c r="C221" i="12"/>
  <c r="B221" i="12"/>
  <c r="A221" i="12"/>
  <c r="G220" i="12"/>
  <c r="F220" i="12"/>
  <c r="E220" i="12"/>
  <c r="D220" i="12"/>
  <c r="C220" i="12"/>
  <c r="B220" i="12"/>
  <c r="A220" i="12"/>
  <c r="G219" i="12"/>
  <c r="F219" i="12"/>
  <c r="E219" i="12"/>
  <c r="D219" i="12"/>
  <c r="C219" i="12"/>
  <c r="B219" i="12"/>
  <c r="A219" i="12"/>
  <c r="G218" i="12"/>
  <c r="F218" i="12"/>
  <c r="E218" i="12"/>
  <c r="D218" i="12"/>
  <c r="C218" i="12"/>
  <c r="B218" i="12"/>
  <c r="A218" i="12"/>
  <c r="G217" i="12"/>
  <c r="F217" i="12"/>
  <c r="E217" i="12"/>
  <c r="D217" i="12"/>
  <c r="C217" i="12"/>
  <c r="B217" i="12"/>
  <c r="A217" i="12"/>
  <c r="G216" i="12"/>
  <c r="F216" i="12"/>
  <c r="E216" i="12"/>
  <c r="D216" i="12"/>
  <c r="C216" i="12"/>
  <c r="B216" i="12"/>
  <c r="A216" i="12"/>
  <c r="G215" i="12"/>
  <c r="F215" i="12"/>
  <c r="E215" i="12"/>
  <c r="D215" i="12"/>
  <c r="C215" i="12"/>
  <c r="B215" i="12"/>
  <c r="A215" i="12"/>
  <c r="G214" i="12"/>
  <c r="F214" i="12"/>
  <c r="E214" i="12"/>
  <c r="D214" i="12"/>
  <c r="C214" i="12"/>
  <c r="B214" i="12"/>
  <c r="A214" i="12"/>
  <c r="G213" i="12"/>
  <c r="F213" i="12"/>
  <c r="E213" i="12"/>
  <c r="D213" i="12"/>
  <c r="C213" i="12"/>
  <c r="B213" i="12"/>
  <c r="A213" i="12"/>
  <c r="G212" i="12"/>
  <c r="F212" i="12"/>
  <c r="E212" i="12"/>
  <c r="D212" i="12"/>
  <c r="C212" i="12"/>
  <c r="B212" i="12"/>
  <c r="A212" i="12"/>
  <c r="G211" i="12"/>
  <c r="F211" i="12"/>
  <c r="E211" i="12"/>
  <c r="D211" i="12"/>
  <c r="C211" i="12"/>
  <c r="B211" i="12"/>
  <c r="A211" i="12"/>
  <c r="G210" i="12"/>
  <c r="F210" i="12"/>
  <c r="E210" i="12"/>
  <c r="D210" i="12"/>
  <c r="C210" i="12"/>
  <c r="B210" i="12"/>
  <c r="A210" i="12"/>
  <c r="G209" i="12"/>
  <c r="F209" i="12"/>
  <c r="E209" i="12"/>
  <c r="D209" i="12"/>
  <c r="C209" i="12"/>
  <c r="B209" i="12"/>
  <c r="A209" i="12"/>
  <c r="G208" i="12"/>
  <c r="F208" i="12"/>
  <c r="E208" i="12"/>
  <c r="D208" i="12"/>
  <c r="C208" i="12"/>
  <c r="B208" i="12"/>
  <c r="A208" i="12"/>
  <c r="G207" i="12"/>
  <c r="F207" i="12"/>
  <c r="E207" i="12"/>
  <c r="D207" i="12"/>
  <c r="C207" i="12"/>
  <c r="B207" i="12"/>
  <c r="A207" i="12"/>
  <c r="G206" i="12"/>
  <c r="F206" i="12"/>
  <c r="E206" i="12"/>
  <c r="D206" i="12"/>
  <c r="C206" i="12"/>
  <c r="B206" i="12"/>
  <c r="A206" i="12"/>
  <c r="G205" i="12"/>
  <c r="F205" i="12"/>
  <c r="E205" i="12"/>
  <c r="D205" i="12"/>
  <c r="C205" i="12"/>
  <c r="B205" i="12"/>
  <c r="A205" i="12"/>
  <c r="G204" i="12"/>
  <c r="F204" i="12"/>
  <c r="E204" i="12"/>
  <c r="D204" i="12"/>
  <c r="C204" i="12"/>
  <c r="B204" i="12"/>
  <c r="A204" i="12"/>
  <c r="G203" i="12"/>
  <c r="F203" i="12"/>
  <c r="E203" i="12"/>
  <c r="D203" i="12"/>
  <c r="C203" i="12"/>
  <c r="B203" i="12"/>
  <c r="A203" i="12"/>
  <c r="G202" i="12"/>
  <c r="F202" i="12"/>
  <c r="E202" i="12"/>
  <c r="D202" i="12"/>
  <c r="C202" i="12"/>
  <c r="B202" i="12"/>
  <c r="A202" i="12"/>
  <c r="G201" i="12"/>
  <c r="F201" i="12"/>
  <c r="E201" i="12"/>
  <c r="D201" i="12"/>
  <c r="C201" i="12"/>
  <c r="B201" i="12"/>
  <c r="A201" i="12"/>
  <c r="G200" i="12"/>
  <c r="F200" i="12"/>
  <c r="E200" i="12"/>
  <c r="D200" i="12"/>
  <c r="C200" i="12"/>
  <c r="B200" i="12"/>
  <c r="A200" i="12"/>
  <c r="G199" i="12"/>
  <c r="F199" i="12"/>
  <c r="E199" i="12"/>
  <c r="D199" i="12"/>
  <c r="C199" i="12"/>
  <c r="B199" i="12"/>
  <c r="A199" i="12"/>
  <c r="G198" i="12"/>
  <c r="F198" i="12"/>
  <c r="E198" i="12"/>
  <c r="D198" i="12"/>
  <c r="C198" i="12"/>
  <c r="B198" i="12"/>
  <c r="A198" i="12"/>
  <c r="G197" i="12"/>
  <c r="F197" i="12"/>
  <c r="E197" i="12"/>
  <c r="D197" i="12"/>
  <c r="C197" i="12"/>
  <c r="B197" i="12"/>
  <c r="A197" i="12"/>
  <c r="G196" i="12"/>
  <c r="F196" i="12"/>
  <c r="E196" i="12"/>
  <c r="D196" i="12"/>
  <c r="C196" i="12"/>
  <c r="B196" i="12"/>
  <c r="A196" i="12"/>
  <c r="G195" i="12"/>
  <c r="F195" i="12"/>
  <c r="E195" i="12"/>
  <c r="D195" i="12"/>
  <c r="C195" i="12"/>
  <c r="B195" i="12"/>
  <c r="A195" i="12"/>
  <c r="G194" i="12"/>
  <c r="F194" i="12"/>
  <c r="E194" i="12"/>
  <c r="D194" i="12"/>
  <c r="C194" i="12"/>
  <c r="B194" i="12"/>
  <c r="A194" i="12"/>
  <c r="G193" i="12"/>
  <c r="F193" i="12"/>
  <c r="E193" i="12"/>
  <c r="D193" i="12"/>
  <c r="C193" i="12"/>
  <c r="B193" i="12"/>
  <c r="A193" i="12"/>
  <c r="G192" i="12"/>
  <c r="F192" i="12"/>
  <c r="E192" i="12"/>
  <c r="D192" i="12"/>
  <c r="C192" i="12"/>
  <c r="B192" i="12"/>
  <c r="A192" i="12"/>
  <c r="G191" i="12"/>
  <c r="F191" i="12"/>
  <c r="E191" i="12"/>
  <c r="D191" i="12"/>
  <c r="C191" i="12"/>
  <c r="B191" i="12"/>
  <c r="A191" i="12"/>
  <c r="G190" i="12"/>
  <c r="F190" i="12"/>
  <c r="E190" i="12"/>
  <c r="D190" i="12"/>
  <c r="C190" i="12"/>
  <c r="B190" i="12"/>
  <c r="A190" i="12"/>
  <c r="G189" i="12"/>
  <c r="F189" i="12"/>
  <c r="E189" i="12"/>
  <c r="D189" i="12"/>
  <c r="C189" i="12"/>
  <c r="B189" i="12"/>
  <c r="A189" i="12"/>
  <c r="G188" i="12"/>
  <c r="F188" i="12"/>
  <c r="E188" i="12"/>
  <c r="D188" i="12"/>
  <c r="C188" i="12"/>
  <c r="B188" i="12"/>
  <c r="A188" i="12"/>
  <c r="G187" i="12"/>
  <c r="F187" i="12"/>
  <c r="E187" i="12"/>
  <c r="D187" i="12"/>
  <c r="C187" i="12"/>
  <c r="B187" i="12"/>
  <c r="A187" i="12"/>
  <c r="G186" i="12"/>
  <c r="F186" i="12"/>
  <c r="E186" i="12"/>
  <c r="D186" i="12"/>
  <c r="C186" i="12"/>
  <c r="B186" i="12"/>
  <c r="A186" i="12"/>
  <c r="G185" i="12"/>
  <c r="F185" i="12"/>
  <c r="E185" i="12"/>
  <c r="D185" i="12"/>
  <c r="C185" i="12"/>
  <c r="B185" i="12"/>
  <c r="A185" i="12"/>
  <c r="G184" i="12"/>
  <c r="F184" i="12"/>
  <c r="E184" i="12"/>
  <c r="D184" i="12"/>
  <c r="C184" i="12"/>
  <c r="B184" i="12"/>
  <c r="A184" i="12"/>
  <c r="G183" i="12"/>
  <c r="F183" i="12"/>
  <c r="E183" i="12"/>
  <c r="D183" i="12"/>
  <c r="C183" i="12"/>
  <c r="B183" i="12"/>
  <c r="A183" i="12"/>
  <c r="G182" i="12"/>
  <c r="F182" i="12"/>
  <c r="E182" i="12"/>
  <c r="D182" i="12"/>
  <c r="C182" i="12"/>
  <c r="B182" i="12"/>
  <c r="A182" i="12"/>
  <c r="G181" i="12"/>
  <c r="F181" i="12"/>
  <c r="E181" i="12"/>
  <c r="D181" i="12"/>
  <c r="C181" i="12"/>
  <c r="B181" i="12"/>
  <c r="A181" i="12"/>
  <c r="G180" i="12"/>
  <c r="F180" i="12"/>
  <c r="E180" i="12"/>
  <c r="D180" i="12"/>
  <c r="C180" i="12"/>
  <c r="B180" i="12"/>
  <c r="A180" i="12"/>
  <c r="G179" i="12"/>
  <c r="F179" i="12"/>
  <c r="E179" i="12"/>
  <c r="D179" i="12"/>
  <c r="C179" i="12"/>
  <c r="B179" i="12"/>
  <c r="A179" i="12"/>
  <c r="G178" i="12"/>
  <c r="F178" i="12"/>
  <c r="E178" i="12"/>
  <c r="D178" i="12"/>
  <c r="C178" i="12"/>
  <c r="B178" i="12"/>
  <c r="A178" i="12"/>
  <c r="G177" i="12"/>
  <c r="F177" i="12"/>
  <c r="E177" i="12"/>
  <c r="D177" i="12"/>
  <c r="C177" i="12"/>
  <c r="B177" i="12"/>
  <c r="A177" i="12"/>
  <c r="G176" i="12"/>
  <c r="F176" i="12"/>
  <c r="E176" i="12"/>
  <c r="D176" i="12"/>
  <c r="C176" i="12"/>
  <c r="B176" i="12"/>
  <c r="A176" i="12"/>
  <c r="G175" i="12"/>
  <c r="F175" i="12"/>
  <c r="E175" i="12"/>
  <c r="D175" i="12"/>
  <c r="C175" i="12"/>
  <c r="B175" i="12"/>
  <c r="A175" i="12"/>
  <c r="G174" i="12"/>
  <c r="F174" i="12"/>
  <c r="E174" i="12"/>
  <c r="D174" i="12"/>
  <c r="C174" i="12"/>
  <c r="B174" i="12"/>
  <c r="A174" i="12"/>
  <c r="G173" i="12"/>
  <c r="F173" i="12"/>
  <c r="E173" i="12"/>
  <c r="D173" i="12"/>
  <c r="C173" i="12"/>
  <c r="B173" i="12"/>
  <c r="A173" i="12"/>
  <c r="G172" i="12"/>
  <c r="F172" i="12"/>
  <c r="E172" i="12"/>
  <c r="D172" i="12"/>
  <c r="C172" i="12"/>
  <c r="B172" i="12"/>
  <c r="A172" i="12"/>
  <c r="G171" i="12"/>
  <c r="F171" i="12"/>
  <c r="E171" i="12"/>
  <c r="D171" i="12"/>
  <c r="C171" i="12"/>
  <c r="B171" i="12"/>
  <c r="A171" i="12"/>
  <c r="G170" i="12"/>
  <c r="F170" i="12"/>
  <c r="E170" i="12"/>
  <c r="D170" i="12"/>
  <c r="C170" i="12"/>
  <c r="B170" i="12"/>
  <c r="A170" i="12"/>
  <c r="G169" i="12"/>
  <c r="F169" i="12"/>
  <c r="E169" i="12"/>
  <c r="D169" i="12"/>
  <c r="C169" i="12"/>
  <c r="B169" i="12"/>
  <c r="A169" i="12"/>
  <c r="G168" i="12"/>
  <c r="F168" i="12"/>
  <c r="E168" i="12"/>
  <c r="D168" i="12"/>
  <c r="C168" i="12"/>
  <c r="B168" i="12"/>
  <c r="A168" i="12"/>
  <c r="G167" i="12"/>
  <c r="F167" i="12"/>
  <c r="E167" i="12"/>
  <c r="D167" i="12"/>
  <c r="C167" i="12"/>
  <c r="B167" i="12"/>
  <c r="A167" i="12"/>
  <c r="G166" i="12"/>
  <c r="F166" i="12"/>
  <c r="E166" i="12"/>
  <c r="D166" i="12"/>
  <c r="C166" i="12"/>
  <c r="B166" i="12"/>
  <c r="A166" i="12"/>
  <c r="G165" i="12"/>
  <c r="F165" i="12"/>
  <c r="E165" i="12"/>
  <c r="D165" i="12"/>
  <c r="C165" i="12"/>
  <c r="B165" i="12"/>
  <c r="A165" i="12"/>
  <c r="G164" i="12"/>
  <c r="F164" i="12"/>
  <c r="E164" i="12"/>
  <c r="D164" i="12"/>
  <c r="C164" i="12"/>
  <c r="B164" i="12"/>
  <c r="A164" i="12"/>
  <c r="G163" i="12"/>
  <c r="F163" i="12"/>
  <c r="E163" i="12"/>
  <c r="D163" i="12"/>
  <c r="C163" i="12"/>
  <c r="B163" i="12"/>
  <c r="A163" i="12"/>
  <c r="G162" i="12"/>
  <c r="F162" i="12"/>
  <c r="E162" i="12"/>
  <c r="D162" i="12"/>
  <c r="C162" i="12"/>
  <c r="B162" i="12"/>
  <c r="A162" i="12"/>
  <c r="G161" i="12"/>
  <c r="F161" i="12"/>
  <c r="E161" i="12"/>
  <c r="D161" i="12"/>
  <c r="C161" i="12"/>
  <c r="B161" i="12"/>
  <c r="A161" i="12"/>
  <c r="G160" i="12"/>
  <c r="F160" i="12"/>
  <c r="E160" i="12"/>
  <c r="D160" i="12"/>
  <c r="C160" i="12"/>
  <c r="B160" i="12"/>
  <c r="A160" i="12"/>
  <c r="G159" i="12"/>
  <c r="F159" i="12"/>
  <c r="E159" i="12"/>
  <c r="D159" i="12"/>
  <c r="C159" i="12"/>
  <c r="B159" i="12"/>
  <c r="A159" i="12"/>
  <c r="G158" i="12"/>
  <c r="F158" i="12"/>
  <c r="E158" i="12"/>
  <c r="D158" i="12"/>
  <c r="C158" i="12"/>
  <c r="B158" i="12"/>
  <c r="A158" i="12"/>
  <c r="G157" i="12"/>
  <c r="F157" i="12"/>
  <c r="E157" i="12"/>
  <c r="D157" i="12"/>
  <c r="C157" i="12"/>
  <c r="B157" i="12"/>
  <c r="A157" i="12"/>
  <c r="G156" i="12"/>
  <c r="F156" i="12"/>
  <c r="E156" i="12"/>
  <c r="D156" i="12"/>
  <c r="C156" i="12"/>
  <c r="B156" i="12"/>
  <c r="A156" i="12"/>
  <c r="G155" i="12"/>
  <c r="F155" i="12"/>
  <c r="E155" i="12"/>
  <c r="D155" i="12"/>
  <c r="C155" i="12"/>
  <c r="B155" i="12"/>
  <c r="A155" i="12"/>
  <c r="G154" i="12"/>
  <c r="F154" i="12"/>
  <c r="E154" i="12"/>
  <c r="D154" i="12"/>
  <c r="C154" i="12"/>
  <c r="B154" i="12"/>
  <c r="A154" i="12"/>
  <c r="G153" i="12"/>
  <c r="F153" i="12"/>
  <c r="E153" i="12"/>
  <c r="D153" i="12"/>
  <c r="C153" i="12"/>
  <c r="B153" i="12"/>
  <c r="A153" i="12"/>
  <c r="G152" i="12"/>
  <c r="F152" i="12"/>
  <c r="E152" i="12"/>
  <c r="D152" i="12"/>
  <c r="C152" i="12"/>
  <c r="B152" i="12"/>
  <c r="A152" i="12"/>
  <c r="G151" i="12"/>
  <c r="F151" i="12"/>
  <c r="E151" i="12"/>
  <c r="D151" i="12"/>
  <c r="C151" i="12"/>
  <c r="B151" i="12"/>
  <c r="A151" i="12"/>
  <c r="G150" i="12"/>
  <c r="F150" i="12"/>
  <c r="E150" i="12"/>
  <c r="D150" i="12"/>
  <c r="C150" i="12"/>
  <c r="B150" i="12"/>
  <c r="A150" i="12"/>
  <c r="G149" i="12"/>
  <c r="F149" i="12"/>
  <c r="E149" i="12"/>
  <c r="D149" i="12"/>
  <c r="C149" i="12"/>
  <c r="B149" i="12"/>
  <c r="A149" i="12"/>
  <c r="G148" i="12"/>
  <c r="F148" i="12"/>
  <c r="E148" i="12"/>
  <c r="D148" i="12"/>
  <c r="C148" i="12"/>
  <c r="B148" i="12"/>
  <c r="A148" i="12"/>
  <c r="G147" i="12"/>
  <c r="F147" i="12"/>
  <c r="E147" i="12"/>
  <c r="D147" i="12"/>
  <c r="C147" i="12"/>
  <c r="B147" i="12"/>
  <c r="A147" i="12"/>
  <c r="G146" i="12"/>
  <c r="F146" i="12"/>
  <c r="E146" i="12"/>
  <c r="D146" i="12"/>
  <c r="C146" i="12"/>
  <c r="B146" i="12"/>
  <c r="A146" i="12"/>
  <c r="G145" i="12"/>
  <c r="F145" i="12"/>
  <c r="E145" i="12"/>
  <c r="D145" i="12"/>
  <c r="C145" i="12"/>
  <c r="B145" i="12"/>
  <c r="A145" i="12"/>
  <c r="G144" i="12"/>
  <c r="F144" i="12"/>
  <c r="E144" i="12"/>
  <c r="D144" i="12"/>
  <c r="C144" i="12"/>
  <c r="B144" i="12"/>
  <c r="A144" i="12"/>
  <c r="G143" i="12"/>
  <c r="F143" i="12"/>
  <c r="E143" i="12"/>
  <c r="D143" i="12"/>
  <c r="C143" i="12"/>
  <c r="B143" i="12"/>
  <c r="A143" i="12"/>
  <c r="G142" i="12"/>
  <c r="F142" i="12"/>
  <c r="E142" i="12"/>
  <c r="D142" i="12"/>
  <c r="C142" i="12"/>
  <c r="B142" i="12"/>
  <c r="A142" i="12"/>
  <c r="G141" i="12"/>
  <c r="F141" i="12"/>
  <c r="E141" i="12"/>
  <c r="D141" i="12"/>
  <c r="C141" i="12"/>
  <c r="B141" i="12"/>
  <c r="A141" i="12"/>
  <c r="G140" i="12"/>
  <c r="F140" i="12"/>
  <c r="E140" i="12"/>
  <c r="D140" i="12"/>
  <c r="C140" i="12"/>
  <c r="B140" i="12"/>
  <c r="A140" i="12"/>
  <c r="G139" i="12"/>
  <c r="F139" i="12"/>
  <c r="E139" i="12"/>
  <c r="D139" i="12"/>
  <c r="C139" i="12"/>
  <c r="B139" i="12"/>
  <c r="A139" i="12"/>
  <c r="G138" i="12"/>
  <c r="F138" i="12"/>
  <c r="E138" i="12"/>
  <c r="D138" i="12"/>
  <c r="C138" i="12"/>
  <c r="B138" i="12"/>
  <c r="A138" i="12"/>
  <c r="G137" i="12"/>
  <c r="F137" i="12"/>
  <c r="E137" i="12"/>
  <c r="D137" i="12"/>
  <c r="C137" i="12"/>
  <c r="B137" i="12"/>
  <c r="A137" i="12"/>
  <c r="G136" i="12"/>
  <c r="F136" i="12"/>
  <c r="E136" i="12"/>
  <c r="D136" i="12"/>
  <c r="C136" i="12"/>
  <c r="B136" i="12"/>
  <c r="A136" i="12"/>
  <c r="G135" i="12"/>
  <c r="F135" i="12"/>
  <c r="E135" i="12"/>
  <c r="D135" i="12"/>
  <c r="C135" i="12"/>
  <c r="B135" i="12"/>
  <c r="A135" i="12"/>
  <c r="G134" i="12"/>
  <c r="F134" i="12"/>
  <c r="E134" i="12"/>
  <c r="D134" i="12"/>
  <c r="C134" i="12"/>
  <c r="B134" i="12"/>
  <c r="A134" i="12"/>
  <c r="G133" i="12"/>
  <c r="F133" i="12"/>
  <c r="E133" i="12"/>
  <c r="D133" i="12"/>
  <c r="C133" i="12"/>
  <c r="B133" i="12"/>
  <c r="A133" i="12"/>
  <c r="G132" i="12"/>
  <c r="F132" i="12"/>
  <c r="E132" i="12"/>
  <c r="D132" i="12"/>
  <c r="C132" i="12"/>
  <c r="B132" i="12"/>
  <c r="A132" i="12"/>
  <c r="G131" i="12"/>
  <c r="F131" i="12"/>
  <c r="E131" i="12"/>
  <c r="D131" i="12"/>
  <c r="C131" i="12"/>
  <c r="B131" i="12"/>
  <c r="A131" i="12"/>
  <c r="G130" i="12"/>
  <c r="F130" i="12"/>
  <c r="E130" i="12"/>
  <c r="D130" i="12"/>
  <c r="C130" i="12"/>
  <c r="B130" i="12"/>
  <c r="A130" i="12"/>
  <c r="G129" i="12"/>
  <c r="F129" i="12"/>
  <c r="E129" i="12"/>
  <c r="D129" i="12"/>
  <c r="C129" i="12"/>
  <c r="B129" i="12"/>
  <c r="A129" i="12"/>
  <c r="G128" i="12"/>
  <c r="F128" i="12"/>
  <c r="E128" i="12"/>
  <c r="D128" i="12"/>
  <c r="C128" i="12"/>
  <c r="B128" i="12"/>
  <c r="A128" i="12"/>
  <c r="G127" i="12"/>
  <c r="F127" i="12"/>
  <c r="E127" i="12"/>
  <c r="D127" i="12"/>
  <c r="C127" i="12"/>
  <c r="B127" i="12"/>
  <c r="A127" i="12"/>
  <c r="G126" i="12"/>
  <c r="F126" i="12"/>
  <c r="E126" i="12"/>
  <c r="D126" i="12"/>
  <c r="C126" i="12"/>
  <c r="B126" i="12"/>
  <c r="A126" i="12"/>
  <c r="G125" i="12"/>
  <c r="F125" i="12"/>
  <c r="E125" i="12"/>
  <c r="D125" i="12"/>
  <c r="C125" i="12"/>
  <c r="B125" i="12"/>
  <c r="A125" i="12"/>
  <c r="G124" i="12"/>
  <c r="F124" i="12"/>
  <c r="E124" i="12"/>
  <c r="D124" i="12"/>
  <c r="C124" i="12"/>
  <c r="B124" i="12"/>
  <c r="A124" i="12"/>
  <c r="G123" i="12"/>
  <c r="F123" i="12"/>
  <c r="E123" i="12"/>
  <c r="D123" i="12"/>
  <c r="C123" i="12"/>
  <c r="B123" i="12"/>
  <c r="A123" i="12"/>
  <c r="G122" i="12"/>
  <c r="F122" i="12"/>
  <c r="E122" i="12"/>
  <c r="D122" i="12"/>
  <c r="C122" i="12"/>
  <c r="B122" i="12"/>
  <c r="A122" i="12"/>
  <c r="G121" i="12"/>
  <c r="F121" i="12"/>
  <c r="E121" i="12"/>
  <c r="D121" i="12"/>
  <c r="C121" i="12"/>
  <c r="B121" i="12"/>
  <c r="A121" i="12"/>
  <c r="G120" i="12"/>
  <c r="F120" i="12"/>
  <c r="E120" i="12"/>
  <c r="D120" i="12"/>
  <c r="C120" i="12"/>
  <c r="B120" i="12"/>
  <c r="A120" i="12"/>
  <c r="G119" i="12"/>
  <c r="F119" i="12"/>
  <c r="E119" i="12"/>
  <c r="D119" i="12"/>
  <c r="C119" i="12"/>
  <c r="B119" i="12"/>
  <c r="A119" i="12"/>
  <c r="G118" i="12"/>
  <c r="F118" i="12"/>
  <c r="E118" i="12"/>
  <c r="D118" i="12"/>
  <c r="C118" i="12"/>
  <c r="B118" i="12"/>
  <c r="A118" i="12"/>
  <c r="G117" i="12"/>
  <c r="F117" i="12"/>
  <c r="E117" i="12"/>
  <c r="D117" i="12"/>
  <c r="C117" i="12"/>
  <c r="B117" i="12"/>
  <c r="A117" i="12"/>
  <c r="G116" i="12"/>
  <c r="F116" i="12"/>
  <c r="E116" i="12"/>
  <c r="D116" i="12"/>
  <c r="C116" i="12"/>
  <c r="B116" i="12"/>
  <c r="A116" i="12"/>
  <c r="G115" i="12"/>
  <c r="F115" i="12"/>
  <c r="E115" i="12"/>
  <c r="D115" i="12"/>
  <c r="C115" i="12"/>
  <c r="B115" i="12"/>
  <c r="A115" i="12"/>
  <c r="G114" i="12"/>
  <c r="F114" i="12"/>
  <c r="E114" i="12"/>
  <c r="D114" i="12"/>
  <c r="C114" i="12"/>
  <c r="B114" i="12"/>
  <c r="A114" i="12"/>
  <c r="G113" i="12"/>
  <c r="F113" i="12"/>
  <c r="E113" i="12"/>
  <c r="D113" i="12"/>
  <c r="C113" i="12"/>
  <c r="B113" i="12"/>
  <c r="A113" i="12"/>
  <c r="G112" i="12"/>
  <c r="F112" i="12"/>
  <c r="E112" i="12"/>
  <c r="D112" i="12"/>
  <c r="C112" i="12"/>
  <c r="B112" i="12"/>
  <c r="A112" i="12"/>
  <c r="G111" i="12"/>
  <c r="F111" i="12"/>
  <c r="E111" i="12"/>
  <c r="D111" i="12"/>
  <c r="C111" i="12"/>
  <c r="B111" i="12"/>
  <c r="A111" i="12"/>
  <c r="G110" i="12"/>
  <c r="F110" i="12"/>
  <c r="E110" i="12"/>
  <c r="D110" i="12"/>
  <c r="C110" i="12"/>
  <c r="B110" i="12"/>
  <c r="A110" i="12"/>
  <c r="G109" i="12"/>
  <c r="F109" i="12"/>
  <c r="E109" i="12"/>
  <c r="D109" i="12"/>
  <c r="C109" i="12"/>
  <c r="B109" i="12"/>
  <c r="A109" i="12"/>
  <c r="G108" i="12"/>
  <c r="F108" i="12"/>
  <c r="E108" i="12"/>
  <c r="D108" i="12"/>
  <c r="C108" i="12"/>
  <c r="B108" i="12"/>
  <c r="A108" i="12"/>
  <c r="G107" i="12"/>
  <c r="F107" i="12"/>
  <c r="E107" i="12"/>
  <c r="D107" i="12"/>
  <c r="C107" i="12"/>
  <c r="B107" i="12"/>
  <c r="A107" i="12"/>
  <c r="G106" i="12"/>
  <c r="F106" i="12"/>
  <c r="E106" i="12"/>
  <c r="D106" i="12"/>
  <c r="C106" i="12"/>
  <c r="B106" i="12"/>
  <c r="A106" i="12"/>
  <c r="G105" i="12"/>
  <c r="F105" i="12"/>
  <c r="E105" i="12"/>
  <c r="D105" i="12"/>
  <c r="C105" i="12"/>
  <c r="B105" i="12"/>
  <c r="A105" i="12"/>
  <c r="G104" i="12"/>
  <c r="F104" i="12"/>
  <c r="E104" i="12"/>
  <c r="D104" i="12"/>
  <c r="C104" i="12"/>
  <c r="B104" i="12"/>
  <c r="A104" i="12"/>
  <c r="G103" i="12"/>
  <c r="F103" i="12"/>
  <c r="E103" i="12"/>
  <c r="D103" i="12"/>
  <c r="C103" i="12"/>
  <c r="B103" i="12"/>
  <c r="A103" i="12"/>
  <c r="G102" i="12"/>
  <c r="F102" i="12"/>
  <c r="E102" i="12"/>
  <c r="D102" i="12"/>
  <c r="C102" i="12"/>
  <c r="B102" i="12"/>
  <c r="A102" i="12"/>
  <c r="G101" i="12"/>
  <c r="F101" i="12"/>
  <c r="E101" i="12"/>
  <c r="D101" i="12"/>
  <c r="C101" i="12"/>
  <c r="B101" i="12"/>
  <c r="A101" i="12"/>
  <c r="G100" i="12"/>
  <c r="F100" i="12"/>
  <c r="E100" i="12"/>
  <c r="D100" i="12"/>
  <c r="C100" i="12"/>
  <c r="B100" i="12"/>
  <c r="A100" i="12"/>
  <c r="G99" i="12"/>
  <c r="F99" i="12"/>
  <c r="E99" i="12"/>
  <c r="D99" i="12"/>
  <c r="C99" i="12"/>
  <c r="B99" i="12"/>
  <c r="A99" i="12"/>
  <c r="G98" i="12"/>
  <c r="F98" i="12"/>
  <c r="E98" i="12"/>
  <c r="D98" i="12"/>
  <c r="C98" i="12"/>
  <c r="B98" i="12"/>
  <c r="A98" i="12"/>
  <c r="G97" i="12"/>
  <c r="F97" i="12"/>
  <c r="E97" i="12"/>
  <c r="D97" i="12"/>
  <c r="C97" i="12"/>
  <c r="B97" i="12"/>
  <c r="A97" i="12"/>
  <c r="G96" i="12"/>
  <c r="F96" i="12"/>
  <c r="E96" i="12"/>
  <c r="D96" i="12"/>
  <c r="C96" i="12"/>
  <c r="B96" i="12"/>
  <c r="A96" i="12"/>
  <c r="G95" i="12"/>
  <c r="F95" i="12"/>
  <c r="E95" i="12"/>
  <c r="D95" i="12"/>
  <c r="C95" i="12"/>
  <c r="B95" i="12"/>
  <c r="A95" i="12"/>
  <c r="G94" i="12"/>
  <c r="F94" i="12"/>
  <c r="E94" i="12"/>
  <c r="D94" i="12"/>
  <c r="C94" i="12"/>
  <c r="B94" i="12"/>
  <c r="A94" i="12"/>
  <c r="G93" i="12"/>
  <c r="F93" i="12"/>
  <c r="E93" i="12"/>
  <c r="D93" i="12"/>
  <c r="C93" i="12"/>
  <c r="B93" i="12"/>
  <c r="A93" i="12"/>
  <c r="G92" i="12"/>
  <c r="F92" i="12"/>
  <c r="E92" i="12"/>
  <c r="D92" i="12"/>
  <c r="C92" i="12"/>
  <c r="B92" i="12"/>
  <c r="A92" i="12"/>
  <c r="G91" i="12"/>
  <c r="F91" i="12"/>
  <c r="E91" i="12"/>
  <c r="D91" i="12"/>
  <c r="C91" i="12"/>
  <c r="B91" i="12"/>
  <c r="A91" i="12"/>
  <c r="G90" i="12"/>
  <c r="F90" i="12"/>
  <c r="E90" i="12"/>
  <c r="D90" i="12"/>
  <c r="C90" i="12"/>
  <c r="B90" i="12"/>
  <c r="A90" i="12"/>
  <c r="G89" i="12"/>
  <c r="F89" i="12"/>
  <c r="E89" i="12"/>
  <c r="D89" i="12"/>
  <c r="C89" i="12"/>
  <c r="B89" i="12"/>
  <c r="A89" i="12"/>
  <c r="G88" i="12"/>
  <c r="F88" i="12"/>
  <c r="E88" i="12"/>
  <c r="D88" i="12"/>
  <c r="C88" i="12"/>
  <c r="B88" i="12"/>
  <c r="A88" i="12"/>
  <c r="G87" i="12"/>
  <c r="F87" i="12"/>
  <c r="E87" i="12"/>
  <c r="D87" i="12"/>
  <c r="C87" i="12"/>
  <c r="B87" i="12"/>
  <c r="A87" i="12"/>
  <c r="G86" i="12"/>
  <c r="F86" i="12"/>
  <c r="E86" i="12"/>
  <c r="D86" i="12"/>
  <c r="C86" i="12"/>
  <c r="B86" i="12"/>
  <c r="A86" i="12"/>
  <c r="G85" i="12"/>
  <c r="F85" i="12"/>
  <c r="E85" i="12"/>
  <c r="D85" i="12"/>
  <c r="C85" i="12"/>
  <c r="B85" i="12"/>
  <c r="A85" i="12"/>
  <c r="G84" i="12"/>
  <c r="F84" i="12"/>
  <c r="E84" i="12"/>
  <c r="D84" i="12"/>
  <c r="C84" i="12"/>
  <c r="B84" i="12"/>
  <c r="A84" i="12"/>
  <c r="G83" i="12"/>
  <c r="F83" i="12"/>
  <c r="E83" i="12"/>
  <c r="D83" i="12"/>
  <c r="C83" i="12"/>
  <c r="B83" i="12"/>
  <c r="A83" i="12"/>
  <c r="G82" i="12"/>
  <c r="F82" i="12"/>
  <c r="E82" i="12"/>
  <c r="D82" i="12"/>
  <c r="C82" i="12"/>
  <c r="B82" i="12"/>
  <c r="A82" i="12"/>
  <c r="G81" i="12"/>
  <c r="F81" i="12"/>
  <c r="E81" i="12"/>
  <c r="D81" i="12"/>
  <c r="C81" i="12"/>
  <c r="B81" i="12"/>
  <c r="A81" i="12"/>
  <c r="G80" i="12"/>
  <c r="F80" i="12"/>
  <c r="E80" i="12"/>
  <c r="D80" i="12"/>
  <c r="C80" i="12"/>
  <c r="B80" i="12"/>
  <c r="A80" i="12"/>
  <c r="G79" i="12"/>
  <c r="F79" i="12"/>
  <c r="E79" i="12"/>
  <c r="D79" i="12"/>
  <c r="C79" i="12"/>
  <c r="B79" i="12"/>
  <c r="A79" i="12"/>
  <c r="G78" i="12"/>
  <c r="F78" i="12"/>
  <c r="E78" i="12"/>
  <c r="D78" i="12"/>
  <c r="C78" i="12"/>
  <c r="B78" i="12"/>
  <c r="A78" i="12"/>
  <c r="G77" i="12"/>
  <c r="F77" i="12"/>
  <c r="E77" i="12"/>
  <c r="D77" i="12"/>
  <c r="C77" i="12"/>
  <c r="B77" i="12"/>
  <c r="A77" i="12"/>
  <c r="G76" i="12"/>
  <c r="F76" i="12"/>
  <c r="E76" i="12"/>
  <c r="D76" i="12"/>
  <c r="C76" i="12"/>
  <c r="B76" i="12"/>
  <c r="A76" i="12"/>
  <c r="G75" i="12"/>
  <c r="F75" i="12"/>
  <c r="E75" i="12"/>
  <c r="D75" i="12"/>
  <c r="C75" i="12"/>
  <c r="B75" i="12"/>
  <c r="A75" i="12"/>
  <c r="G74" i="12"/>
  <c r="F74" i="12"/>
  <c r="E74" i="12"/>
  <c r="D74" i="12"/>
  <c r="C74" i="12"/>
  <c r="B74" i="12"/>
  <c r="A74" i="12"/>
  <c r="G73" i="12"/>
  <c r="F73" i="12"/>
  <c r="E73" i="12"/>
  <c r="D73" i="12"/>
  <c r="C73" i="12"/>
  <c r="B73" i="12"/>
  <c r="A73" i="12"/>
  <c r="G72" i="12"/>
  <c r="F72" i="12"/>
  <c r="E72" i="12"/>
  <c r="D72" i="12"/>
  <c r="C72" i="12"/>
  <c r="B72" i="12"/>
  <c r="A72" i="12"/>
  <c r="G71" i="12"/>
  <c r="F71" i="12"/>
  <c r="E71" i="12"/>
  <c r="D71" i="12"/>
  <c r="C71" i="12"/>
  <c r="B71" i="12"/>
  <c r="A71" i="12"/>
  <c r="G70" i="12"/>
  <c r="F70" i="12"/>
  <c r="E70" i="12"/>
  <c r="D70" i="12"/>
  <c r="C70" i="12"/>
  <c r="B70" i="12"/>
  <c r="A70" i="12"/>
  <c r="G69" i="12"/>
  <c r="F69" i="12"/>
  <c r="E69" i="12"/>
  <c r="D69" i="12"/>
  <c r="C69" i="12"/>
  <c r="B69" i="12"/>
  <c r="A69" i="12"/>
  <c r="G68" i="12"/>
  <c r="F68" i="12"/>
  <c r="E68" i="12"/>
  <c r="D68" i="12"/>
  <c r="C68" i="12"/>
  <c r="B68" i="12"/>
  <c r="A68" i="12"/>
  <c r="G67" i="12"/>
  <c r="F67" i="12"/>
  <c r="E67" i="12"/>
  <c r="D67" i="12"/>
  <c r="C67" i="12"/>
  <c r="B67" i="12"/>
  <c r="A67" i="12"/>
  <c r="G66" i="12"/>
  <c r="F66" i="12"/>
  <c r="E66" i="12"/>
  <c r="D66" i="12"/>
  <c r="C66" i="12"/>
  <c r="B66" i="12"/>
  <c r="A66" i="12"/>
  <c r="G65" i="12"/>
  <c r="F65" i="12"/>
  <c r="E65" i="12"/>
  <c r="D65" i="12"/>
  <c r="C65" i="12"/>
  <c r="B65" i="12"/>
  <c r="A65" i="12"/>
  <c r="G64" i="12"/>
  <c r="F64" i="12"/>
  <c r="E64" i="12"/>
  <c r="D64" i="12"/>
  <c r="C64" i="12"/>
  <c r="B64" i="12"/>
  <c r="A64" i="12"/>
  <c r="G63" i="12"/>
  <c r="F63" i="12"/>
  <c r="E63" i="12"/>
  <c r="D63" i="12"/>
  <c r="C63" i="12"/>
  <c r="B63" i="12"/>
  <c r="A63" i="12"/>
  <c r="G62" i="12"/>
  <c r="F62" i="12"/>
  <c r="E62" i="12"/>
  <c r="D62" i="12"/>
  <c r="C62" i="12"/>
  <c r="B62" i="12"/>
  <c r="A62" i="12"/>
  <c r="G61" i="12"/>
  <c r="F61" i="12"/>
  <c r="E61" i="12"/>
  <c r="D61" i="12"/>
  <c r="C61" i="12"/>
  <c r="B61" i="12"/>
  <c r="A61" i="12"/>
  <c r="G60" i="12"/>
  <c r="F60" i="12"/>
  <c r="E60" i="12"/>
  <c r="D60" i="12"/>
  <c r="C60" i="12"/>
  <c r="B60" i="12"/>
  <c r="A60" i="12"/>
  <c r="G59" i="12"/>
  <c r="F59" i="12"/>
  <c r="E59" i="12"/>
  <c r="D59" i="12"/>
  <c r="C59" i="12"/>
  <c r="B59" i="12"/>
  <c r="A59" i="12"/>
  <c r="G58" i="12"/>
  <c r="F58" i="12"/>
  <c r="E58" i="12"/>
  <c r="D58" i="12"/>
  <c r="C58" i="12"/>
  <c r="B58" i="12"/>
  <c r="A58" i="12"/>
  <c r="G57" i="12"/>
  <c r="F57" i="12"/>
  <c r="E57" i="12"/>
  <c r="D57" i="12"/>
  <c r="C57" i="12"/>
  <c r="B57" i="12"/>
  <c r="A57" i="12"/>
  <c r="G56" i="12"/>
  <c r="F56" i="12"/>
  <c r="E56" i="12"/>
  <c r="D56" i="12"/>
  <c r="C56" i="12"/>
  <c r="B56" i="12"/>
  <c r="A56" i="12"/>
  <c r="G55" i="12"/>
  <c r="F55" i="12"/>
  <c r="E55" i="12"/>
  <c r="D55" i="12"/>
  <c r="C55" i="12"/>
  <c r="B55" i="12"/>
  <c r="A55" i="12"/>
  <c r="G54" i="12"/>
  <c r="F54" i="12"/>
  <c r="E54" i="12"/>
  <c r="D54" i="12"/>
  <c r="C54" i="12"/>
  <c r="B54" i="12"/>
  <c r="A54" i="12"/>
  <c r="G53" i="12"/>
  <c r="F53" i="12"/>
  <c r="E53" i="12"/>
  <c r="D53" i="12"/>
  <c r="C53" i="12"/>
  <c r="B53" i="12"/>
  <c r="A53" i="12"/>
  <c r="G52" i="12"/>
  <c r="F52" i="12"/>
  <c r="E52" i="12"/>
  <c r="D52" i="12"/>
  <c r="C52" i="12"/>
  <c r="B52" i="12"/>
  <c r="A52" i="12"/>
  <c r="G51" i="12"/>
  <c r="F51" i="12"/>
  <c r="E51" i="12"/>
  <c r="D51" i="12"/>
  <c r="C51" i="12"/>
  <c r="B51" i="12"/>
  <c r="A51" i="12"/>
  <c r="G50" i="12"/>
  <c r="F50" i="12"/>
  <c r="E50" i="12"/>
  <c r="D50" i="12"/>
  <c r="C50" i="12"/>
  <c r="B50" i="12"/>
  <c r="A50" i="12"/>
  <c r="G49" i="12"/>
  <c r="F49" i="12"/>
  <c r="E49" i="12"/>
  <c r="D49" i="12"/>
  <c r="C49" i="12"/>
  <c r="B49" i="12"/>
  <c r="A49" i="12"/>
  <c r="G48" i="12"/>
  <c r="F48" i="12"/>
  <c r="E48" i="12"/>
  <c r="D48" i="12"/>
  <c r="C48" i="12"/>
  <c r="B48" i="12"/>
  <c r="A48" i="12"/>
  <c r="G47" i="12"/>
  <c r="F47" i="12"/>
  <c r="E47" i="12"/>
  <c r="D47" i="12"/>
  <c r="C47" i="12"/>
  <c r="B47" i="12"/>
  <c r="A47" i="12"/>
  <c r="G46" i="12"/>
  <c r="F46" i="12"/>
  <c r="E46" i="12"/>
  <c r="D46" i="12"/>
  <c r="C46" i="12"/>
  <c r="B46" i="12"/>
  <c r="A46" i="12"/>
  <c r="G45" i="12"/>
  <c r="F45" i="12"/>
  <c r="E45" i="12"/>
  <c r="D45" i="12"/>
  <c r="C45" i="12"/>
  <c r="B45" i="12"/>
  <c r="A45" i="12"/>
  <c r="G44" i="12"/>
  <c r="F44" i="12"/>
  <c r="E44" i="12"/>
  <c r="D44" i="12"/>
  <c r="C44" i="12"/>
  <c r="B44" i="12"/>
  <c r="A44" i="12"/>
  <c r="G43" i="12"/>
  <c r="F43" i="12"/>
  <c r="E43" i="12"/>
  <c r="D43" i="12"/>
  <c r="C43" i="12"/>
  <c r="B43" i="12"/>
  <c r="A43" i="12"/>
  <c r="G42" i="12"/>
  <c r="F42" i="12"/>
  <c r="E42" i="12"/>
  <c r="D42" i="12"/>
  <c r="C42" i="12"/>
  <c r="B42" i="12"/>
  <c r="A42" i="12"/>
  <c r="G41" i="12"/>
  <c r="F41" i="12"/>
  <c r="E41" i="12"/>
  <c r="D41" i="12"/>
  <c r="C41" i="12"/>
  <c r="B41" i="12"/>
  <c r="A41" i="12"/>
  <c r="G40" i="12"/>
  <c r="F40" i="12"/>
  <c r="E40" i="12"/>
  <c r="D40" i="12"/>
  <c r="C40" i="12"/>
  <c r="B40" i="12"/>
  <c r="A40" i="12"/>
  <c r="G39" i="12"/>
  <c r="F39" i="12"/>
  <c r="E39" i="12"/>
  <c r="D39" i="12"/>
  <c r="C39" i="12"/>
  <c r="B39" i="12"/>
  <c r="A39" i="12"/>
  <c r="G38" i="12"/>
  <c r="F38" i="12"/>
  <c r="E38" i="12"/>
  <c r="D38" i="12"/>
  <c r="C38" i="12"/>
  <c r="B38" i="12"/>
  <c r="A38" i="12"/>
  <c r="G37" i="12"/>
  <c r="F37" i="12"/>
  <c r="E37" i="12"/>
  <c r="D37" i="12"/>
  <c r="C37" i="12"/>
  <c r="B37" i="12"/>
  <c r="A37" i="12"/>
  <c r="G36" i="12"/>
  <c r="F36" i="12"/>
  <c r="E36" i="12"/>
  <c r="D36" i="12"/>
  <c r="C36" i="12"/>
  <c r="B36" i="12"/>
  <c r="A36" i="12"/>
  <c r="G35" i="12"/>
  <c r="F35" i="12"/>
  <c r="E35" i="12"/>
  <c r="D35" i="12"/>
  <c r="C35" i="12"/>
  <c r="B35" i="12"/>
  <c r="A35" i="12"/>
  <c r="G34" i="12"/>
  <c r="F34" i="12"/>
  <c r="E34" i="12"/>
  <c r="D34" i="12"/>
  <c r="C34" i="12"/>
  <c r="B34" i="12"/>
  <c r="A34" i="12"/>
  <c r="G33" i="12"/>
  <c r="F33" i="12"/>
  <c r="E33" i="12"/>
  <c r="D33" i="12"/>
  <c r="C33" i="12"/>
  <c r="B33" i="12"/>
  <c r="A33" i="12"/>
  <c r="G32" i="12"/>
  <c r="F32" i="12"/>
  <c r="E32" i="12"/>
  <c r="D32" i="12"/>
  <c r="C32" i="12"/>
  <c r="B32" i="12"/>
  <c r="A32" i="12"/>
  <c r="G31" i="12"/>
  <c r="F31" i="12"/>
  <c r="E31" i="12"/>
  <c r="D31" i="12"/>
  <c r="C31" i="12"/>
  <c r="B31" i="12"/>
  <c r="A31" i="12"/>
  <c r="G30" i="12"/>
  <c r="F30" i="12"/>
  <c r="E30" i="12"/>
  <c r="D30" i="12"/>
  <c r="C30" i="12"/>
  <c r="B30" i="12"/>
  <c r="A30" i="12"/>
  <c r="G29" i="12"/>
  <c r="F29" i="12"/>
  <c r="E29" i="12"/>
  <c r="D29" i="12"/>
  <c r="C29" i="12"/>
  <c r="B29" i="12"/>
  <c r="A29" i="12"/>
  <c r="G28" i="12"/>
  <c r="F28" i="12"/>
  <c r="E28" i="12"/>
  <c r="D28" i="12"/>
  <c r="C28" i="12"/>
  <c r="B28" i="12"/>
  <c r="A28" i="12"/>
  <c r="G27" i="12"/>
  <c r="F27" i="12"/>
  <c r="E27" i="12"/>
  <c r="D27" i="12"/>
  <c r="C27" i="12"/>
  <c r="B27" i="12"/>
  <c r="A27" i="12"/>
  <c r="G26" i="12"/>
  <c r="F26" i="12"/>
  <c r="E26" i="12"/>
  <c r="D26" i="12"/>
  <c r="C26" i="12"/>
  <c r="B26" i="12"/>
  <c r="A26" i="12"/>
  <c r="G25" i="12"/>
  <c r="F25" i="12"/>
  <c r="E25" i="12"/>
  <c r="D25" i="12"/>
  <c r="C25" i="12"/>
  <c r="B25" i="12"/>
  <c r="A25" i="12"/>
  <c r="G24" i="12"/>
  <c r="F24" i="12"/>
  <c r="E24" i="12"/>
  <c r="D24" i="12"/>
  <c r="C24" i="12"/>
  <c r="B24" i="12"/>
  <c r="A24" i="12"/>
  <c r="G23" i="12"/>
  <c r="F23" i="12"/>
  <c r="E23" i="12"/>
  <c r="D23" i="12"/>
  <c r="C23" i="12"/>
  <c r="B23" i="12"/>
  <c r="A23" i="12"/>
  <c r="G22" i="12"/>
  <c r="F22" i="12"/>
  <c r="E22" i="12"/>
  <c r="D22" i="12"/>
  <c r="C22" i="12"/>
  <c r="B22" i="12"/>
  <c r="A22" i="12"/>
  <c r="G21" i="12"/>
  <c r="F21" i="12"/>
  <c r="E21" i="12"/>
  <c r="D21" i="12"/>
  <c r="C21" i="12"/>
  <c r="B21" i="12"/>
  <c r="A21" i="12"/>
  <c r="G20" i="12"/>
  <c r="F20" i="12"/>
  <c r="E20" i="12"/>
  <c r="D20" i="12"/>
  <c r="C20" i="12"/>
  <c r="B20" i="12"/>
  <c r="A20" i="12"/>
  <c r="G19" i="12"/>
  <c r="F19" i="12"/>
  <c r="E19" i="12"/>
  <c r="D19" i="12"/>
  <c r="C19" i="12"/>
  <c r="B19" i="12"/>
  <c r="A19" i="12"/>
  <c r="G18" i="12"/>
  <c r="F18" i="12"/>
  <c r="E18" i="12"/>
  <c r="D18" i="12"/>
  <c r="C18" i="12"/>
  <c r="B18" i="12"/>
  <c r="A18" i="12"/>
  <c r="G17" i="12"/>
  <c r="F17" i="12"/>
  <c r="E17" i="12"/>
  <c r="D17" i="12"/>
  <c r="C17" i="12"/>
  <c r="B17" i="12"/>
  <c r="A17" i="12"/>
  <c r="G16" i="12"/>
  <c r="F16" i="12"/>
  <c r="E16" i="12"/>
  <c r="D16" i="12"/>
  <c r="C16" i="12"/>
  <c r="B16" i="12"/>
  <c r="A16" i="12"/>
  <c r="G15" i="12"/>
  <c r="F15" i="12"/>
  <c r="E15" i="12"/>
  <c r="D15" i="12"/>
  <c r="C15" i="12"/>
  <c r="B15" i="12"/>
  <c r="A15" i="12"/>
  <c r="G14" i="12"/>
  <c r="F14" i="12"/>
  <c r="E14" i="12"/>
  <c r="D14" i="12"/>
  <c r="C14" i="12"/>
  <c r="B14" i="12"/>
  <c r="A14" i="12"/>
  <c r="G13" i="12"/>
  <c r="F13" i="12"/>
  <c r="E13" i="12"/>
  <c r="D13" i="12"/>
  <c r="C13" i="12"/>
  <c r="B13" i="12"/>
  <c r="A13" i="12"/>
  <c r="G12" i="12"/>
  <c r="F12" i="12"/>
  <c r="E12" i="12"/>
  <c r="D12" i="12"/>
  <c r="C12" i="12"/>
  <c r="B12" i="12"/>
  <c r="A12" i="12"/>
  <c r="G11" i="12"/>
  <c r="F11" i="12"/>
  <c r="E11" i="12"/>
  <c r="D11" i="12"/>
  <c r="C11" i="12"/>
  <c r="B11" i="12"/>
  <c r="A11" i="12"/>
  <c r="G10" i="12"/>
  <c r="F10" i="12"/>
  <c r="E10" i="12"/>
  <c r="D10" i="12"/>
  <c r="C10" i="12"/>
  <c r="B10" i="12"/>
  <c r="A10" i="12"/>
  <c r="G9" i="12"/>
  <c r="F9" i="12"/>
  <c r="E9" i="12"/>
  <c r="D9" i="12"/>
  <c r="C9" i="12"/>
  <c r="B9" i="12"/>
  <c r="A9" i="12"/>
  <c r="G8" i="12"/>
  <c r="F8" i="12"/>
  <c r="E8" i="12"/>
  <c r="D8" i="12"/>
  <c r="C8" i="12"/>
  <c r="B8" i="12"/>
  <c r="A8" i="12"/>
  <c r="G7" i="12"/>
  <c r="F7" i="12"/>
  <c r="E7" i="12"/>
  <c r="D7" i="12"/>
  <c r="C7" i="12"/>
  <c r="B7" i="12"/>
  <c r="A7" i="12"/>
  <c r="G6" i="12"/>
  <c r="F6" i="12"/>
  <c r="E6" i="12"/>
  <c r="D6" i="12"/>
  <c r="C6" i="12"/>
  <c r="B6" i="12"/>
  <c r="A6" i="12"/>
  <c r="G5" i="12"/>
  <c r="F5" i="12"/>
  <c r="E5" i="12"/>
  <c r="D5" i="12"/>
  <c r="C5" i="12"/>
  <c r="B5" i="12"/>
  <c r="A5" i="12"/>
  <c r="G4" i="12"/>
  <c r="F4" i="12"/>
  <c r="E4" i="12"/>
  <c r="D4" i="12"/>
  <c r="C4" i="12"/>
  <c r="B4" i="12"/>
  <c r="A4" i="12"/>
  <c r="G3" i="12"/>
  <c r="F3" i="12"/>
  <c r="E3" i="12"/>
  <c r="D3" i="12"/>
  <c r="C3" i="12"/>
  <c r="B3" i="12"/>
  <c r="A3" i="12"/>
  <c r="G2" i="12"/>
  <c r="F2" i="12"/>
  <c r="E2" i="12"/>
  <c r="D2" i="12"/>
  <c r="C2" i="12"/>
  <c r="B2" i="12"/>
  <c r="A2" i="12"/>
  <c r="G1" i="12"/>
  <c r="F1" i="12"/>
  <c r="E1" i="12"/>
  <c r="D1" i="12"/>
  <c r="C1" i="12"/>
  <c r="B1" i="12"/>
  <c r="A1" i="12"/>
  <c r="C1" i="11"/>
  <c r="B1" i="11"/>
  <c r="A1" i="11"/>
  <c r="H277" i="10"/>
  <c r="G277" i="10"/>
  <c r="F277" i="10"/>
  <c r="E277" i="10"/>
  <c r="D277" i="10"/>
  <c r="C277" i="10"/>
  <c r="B277" i="10"/>
  <c r="A277" i="10"/>
  <c r="H276" i="10"/>
  <c r="G276" i="10"/>
  <c r="F276" i="10"/>
  <c r="E276" i="10"/>
  <c r="D276" i="10"/>
  <c r="C276" i="10"/>
  <c r="B276" i="10"/>
  <c r="A276" i="10"/>
  <c r="H275" i="10"/>
  <c r="G275" i="10"/>
  <c r="F275" i="10"/>
  <c r="E275" i="10"/>
  <c r="D275" i="10"/>
  <c r="C275" i="10"/>
  <c r="B275" i="10"/>
  <c r="A275" i="10"/>
  <c r="H274" i="10"/>
  <c r="G274" i="10"/>
  <c r="F274" i="10"/>
  <c r="E274" i="10"/>
  <c r="D274" i="10"/>
  <c r="C274" i="10"/>
  <c r="B274" i="10"/>
  <c r="A274" i="10"/>
  <c r="H273" i="10"/>
  <c r="G273" i="10"/>
  <c r="F273" i="10"/>
  <c r="E273" i="10"/>
  <c r="D273" i="10"/>
  <c r="C273" i="10"/>
  <c r="B273" i="10"/>
  <c r="A273" i="10"/>
  <c r="H272" i="10"/>
  <c r="G272" i="10"/>
  <c r="F272" i="10"/>
  <c r="E272" i="10"/>
  <c r="D272" i="10"/>
  <c r="C272" i="10"/>
  <c r="B272" i="10"/>
  <c r="A272" i="10"/>
  <c r="H271" i="10"/>
  <c r="G271" i="10"/>
  <c r="F271" i="10"/>
  <c r="E271" i="10"/>
  <c r="D271" i="10"/>
  <c r="C271" i="10"/>
  <c r="B271" i="10"/>
  <c r="A271" i="10"/>
  <c r="H270" i="10"/>
  <c r="G270" i="10"/>
  <c r="F270" i="10"/>
  <c r="E270" i="10"/>
  <c r="D270" i="10"/>
  <c r="C270" i="10"/>
  <c r="B270" i="10"/>
  <c r="A270" i="10"/>
  <c r="H269" i="10"/>
  <c r="G269" i="10"/>
  <c r="F269" i="10"/>
  <c r="E269" i="10"/>
  <c r="D269" i="10"/>
  <c r="C269" i="10"/>
  <c r="B269" i="10"/>
  <c r="A269" i="10"/>
  <c r="H268" i="10"/>
  <c r="G268" i="10"/>
  <c r="F268" i="10"/>
  <c r="E268" i="10"/>
  <c r="D268" i="10"/>
  <c r="C268" i="10"/>
  <c r="B268" i="10"/>
  <c r="A268" i="10"/>
  <c r="H267" i="10"/>
  <c r="G267" i="10"/>
  <c r="F267" i="10"/>
  <c r="E267" i="10"/>
  <c r="D267" i="10"/>
  <c r="C267" i="10"/>
  <c r="B267" i="10"/>
  <c r="A267" i="10"/>
  <c r="H266" i="10"/>
  <c r="G266" i="10"/>
  <c r="F266" i="10"/>
  <c r="E266" i="10"/>
  <c r="D266" i="10"/>
  <c r="C266" i="10"/>
  <c r="B266" i="10"/>
  <c r="A266" i="10"/>
  <c r="H265" i="10"/>
  <c r="G265" i="10"/>
  <c r="F265" i="10"/>
  <c r="E265" i="10"/>
  <c r="D265" i="10"/>
  <c r="C265" i="10"/>
  <c r="B265" i="10"/>
  <c r="A265" i="10"/>
  <c r="H264" i="10"/>
  <c r="G264" i="10"/>
  <c r="F264" i="10"/>
  <c r="E264" i="10"/>
  <c r="D264" i="10"/>
  <c r="C264" i="10"/>
  <c r="B264" i="10"/>
  <c r="A264" i="10"/>
  <c r="H263" i="10"/>
  <c r="G263" i="10"/>
  <c r="F263" i="10"/>
  <c r="E263" i="10"/>
  <c r="D263" i="10"/>
  <c r="C263" i="10"/>
  <c r="B263" i="10"/>
  <c r="A263" i="10"/>
  <c r="H262" i="10"/>
  <c r="G262" i="10"/>
  <c r="F262" i="10"/>
  <c r="E262" i="10"/>
  <c r="D262" i="10"/>
  <c r="C262" i="10"/>
  <c r="B262" i="10"/>
  <c r="A262" i="10"/>
  <c r="H261" i="10"/>
  <c r="G261" i="10"/>
  <c r="F261" i="10"/>
  <c r="E261" i="10"/>
  <c r="D261" i="10"/>
  <c r="C261" i="10"/>
  <c r="B261" i="10"/>
  <c r="A261" i="10"/>
  <c r="H260" i="10"/>
  <c r="G260" i="10"/>
  <c r="F260" i="10"/>
  <c r="E260" i="10"/>
  <c r="D260" i="10"/>
  <c r="C260" i="10"/>
  <c r="B260" i="10"/>
  <c r="A260" i="10"/>
  <c r="H259" i="10"/>
  <c r="G259" i="10"/>
  <c r="F259" i="10"/>
  <c r="E259" i="10"/>
  <c r="D259" i="10"/>
  <c r="C259" i="10"/>
  <c r="B259" i="10"/>
  <c r="A259" i="10"/>
  <c r="H258" i="10"/>
  <c r="G258" i="10"/>
  <c r="F258" i="10"/>
  <c r="E258" i="10"/>
  <c r="D258" i="10"/>
  <c r="C258" i="10"/>
  <c r="B258" i="10"/>
  <c r="A258" i="10"/>
  <c r="H257" i="10"/>
  <c r="G257" i="10"/>
  <c r="F257" i="10"/>
  <c r="E257" i="10"/>
  <c r="D257" i="10"/>
  <c r="C257" i="10"/>
  <c r="B257" i="10"/>
  <c r="A257" i="10"/>
  <c r="H256" i="10"/>
  <c r="G256" i="10"/>
  <c r="F256" i="10"/>
  <c r="E256" i="10"/>
  <c r="D256" i="10"/>
  <c r="C256" i="10"/>
  <c r="B256" i="10"/>
  <c r="A256" i="10"/>
  <c r="H255" i="10"/>
  <c r="G255" i="10"/>
  <c r="F255" i="10"/>
  <c r="E255" i="10"/>
  <c r="D255" i="10"/>
  <c r="C255" i="10"/>
  <c r="B255" i="10"/>
  <c r="A255" i="10"/>
  <c r="H254" i="10"/>
  <c r="G254" i="10"/>
  <c r="F254" i="10"/>
  <c r="E254" i="10"/>
  <c r="D254" i="10"/>
  <c r="C254" i="10"/>
  <c r="B254" i="10"/>
  <c r="A254" i="10"/>
  <c r="H253" i="10"/>
  <c r="G253" i="10"/>
  <c r="F253" i="10"/>
  <c r="E253" i="10"/>
  <c r="D253" i="10"/>
  <c r="C253" i="10"/>
  <c r="B253" i="10"/>
  <c r="A253" i="10"/>
  <c r="H252" i="10"/>
  <c r="G252" i="10"/>
  <c r="F252" i="10"/>
  <c r="E252" i="10"/>
  <c r="D252" i="10"/>
  <c r="C252" i="10"/>
  <c r="B252" i="10"/>
  <c r="A252" i="10"/>
  <c r="H251" i="10"/>
  <c r="G251" i="10"/>
  <c r="F251" i="10"/>
  <c r="E251" i="10"/>
  <c r="D251" i="10"/>
  <c r="C251" i="10"/>
  <c r="B251" i="10"/>
  <c r="A251" i="10"/>
  <c r="H250" i="10"/>
  <c r="G250" i="10"/>
  <c r="F250" i="10"/>
  <c r="E250" i="10"/>
  <c r="D250" i="10"/>
  <c r="C250" i="10"/>
  <c r="B250" i="10"/>
  <c r="A250" i="10"/>
  <c r="H249" i="10"/>
  <c r="G249" i="10"/>
  <c r="F249" i="10"/>
  <c r="E249" i="10"/>
  <c r="D249" i="10"/>
  <c r="C249" i="10"/>
  <c r="B249" i="10"/>
  <c r="A249" i="10"/>
  <c r="H248" i="10"/>
  <c r="G248" i="10"/>
  <c r="F248" i="10"/>
  <c r="E248" i="10"/>
  <c r="D248" i="10"/>
  <c r="C248" i="10"/>
  <c r="B248" i="10"/>
  <c r="A248" i="10"/>
  <c r="H247" i="10"/>
  <c r="G247" i="10"/>
  <c r="F247" i="10"/>
  <c r="E247" i="10"/>
  <c r="D247" i="10"/>
  <c r="C247" i="10"/>
  <c r="B247" i="10"/>
  <c r="A247" i="10"/>
  <c r="H246" i="10"/>
  <c r="G246" i="10"/>
  <c r="F246" i="10"/>
  <c r="E246" i="10"/>
  <c r="D246" i="10"/>
  <c r="C246" i="10"/>
  <c r="B246" i="10"/>
  <c r="A246" i="10"/>
  <c r="H245" i="10"/>
  <c r="G245" i="10"/>
  <c r="F245" i="10"/>
  <c r="E245" i="10"/>
  <c r="D245" i="10"/>
  <c r="C245" i="10"/>
  <c r="B245" i="10"/>
  <c r="A245" i="10"/>
  <c r="H244" i="10"/>
  <c r="G244" i="10"/>
  <c r="F244" i="10"/>
  <c r="E244" i="10"/>
  <c r="D244" i="10"/>
  <c r="C244" i="10"/>
  <c r="B244" i="10"/>
  <c r="A244" i="10"/>
  <c r="H243" i="10"/>
  <c r="G243" i="10"/>
  <c r="F243" i="10"/>
  <c r="E243" i="10"/>
  <c r="D243" i="10"/>
  <c r="C243" i="10"/>
  <c r="B243" i="10"/>
  <c r="A243" i="10"/>
  <c r="H242" i="10"/>
  <c r="G242" i="10"/>
  <c r="F242" i="10"/>
  <c r="E242" i="10"/>
  <c r="D242" i="10"/>
  <c r="C242" i="10"/>
  <c r="B242" i="10"/>
  <c r="A242" i="10"/>
  <c r="H241" i="10"/>
  <c r="G241" i="10"/>
  <c r="F241" i="10"/>
  <c r="E241" i="10"/>
  <c r="D241" i="10"/>
  <c r="C241" i="10"/>
  <c r="B241" i="10"/>
  <c r="A241" i="10"/>
  <c r="H240" i="10"/>
  <c r="G240" i="10"/>
  <c r="F240" i="10"/>
  <c r="E240" i="10"/>
  <c r="D240" i="10"/>
  <c r="C240" i="10"/>
  <c r="B240" i="10"/>
  <c r="A240" i="10"/>
  <c r="H239" i="10"/>
  <c r="G239" i="10"/>
  <c r="F239" i="10"/>
  <c r="E239" i="10"/>
  <c r="D239" i="10"/>
  <c r="C239" i="10"/>
  <c r="B239" i="10"/>
  <c r="A239" i="10"/>
  <c r="H238" i="10"/>
  <c r="G238" i="10"/>
  <c r="F238" i="10"/>
  <c r="E238" i="10"/>
  <c r="D238" i="10"/>
  <c r="C238" i="10"/>
  <c r="B238" i="10"/>
  <c r="A238" i="10"/>
  <c r="H237" i="10"/>
  <c r="G237" i="10"/>
  <c r="F237" i="10"/>
  <c r="E237" i="10"/>
  <c r="D237" i="10"/>
  <c r="C237" i="10"/>
  <c r="B237" i="10"/>
  <c r="A237" i="10"/>
  <c r="H236" i="10"/>
  <c r="G236" i="10"/>
  <c r="F236" i="10"/>
  <c r="E236" i="10"/>
  <c r="D236" i="10"/>
  <c r="C236" i="10"/>
  <c r="B236" i="10"/>
  <c r="A236" i="10"/>
  <c r="H235" i="10"/>
  <c r="G235" i="10"/>
  <c r="F235" i="10"/>
  <c r="E235" i="10"/>
  <c r="D235" i="10"/>
  <c r="C235" i="10"/>
  <c r="B235" i="10"/>
  <c r="A235" i="10"/>
  <c r="H234" i="10"/>
  <c r="G234" i="10"/>
  <c r="F234" i="10"/>
  <c r="E234" i="10"/>
  <c r="D234" i="10"/>
  <c r="C234" i="10"/>
  <c r="B234" i="10"/>
  <c r="A234" i="10"/>
  <c r="H233" i="10"/>
  <c r="G233" i="10"/>
  <c r="F233" i="10"/>
  <c r="E233" i="10"/>
  <c r="D233" i="10"/>
  <c r="C233" i="10"/>
  <c r="B233" i="10"/>
  <c r="A233" i="10"/>
  <c r="H232" i="10"/>
  <c r="G232" i="10"/>
  <c r="F232" i="10"/>
  <c r="E232" i="10"/>
  <c r="D232" i="10"/>
  <c r="C232" i="10"/>
  <c r="B232" i="10"/>
  <c r="A232" i="10"/>
  <c r="H231" i="10"/>
  <c r="G231" i="10"/>
  <c r="F231" i="10"/>
  <c r="E231" i="10"/>
  <c r="D231" i="10"/>
  <c r="C231" i="10"/>
  <c r="B231" i="10"/>
  <c r="A231" i="10"/>
  <c r="H230" i="10"/>
  <c r="G230" i="10"/>
  <c r="F230" i="10"/>
  <c r="E230" i="10"/>
  <c r="D230" i="10"/>
  <c r="C230" i="10"/>
  <c r="B230" i="10"/>
  <c r="A230" i="10"/>
  <c r="H229" i="10"/>
  <c r="G229" i="10"/>
  <c r="F229" i="10"/>
  <c r="E229" i="10"/>
  <c r="D229" i="10"/>
  <c r="C229" i="10"/>
  <c r="B229" i="10"/>
  <c r="A229" i="10"/>
  <c r="H228" i="10"/>
  <c r="G228" i="10"/>
  <c r="F228" i="10"/>
  <c r="E228" i="10"/>
  <c r="D228" i="10"/>
  <c r="C228" i="10"/>
  <c r="B228" i="10"/>
  <c r="A228" i="10"/>
  <c r="H227" i="10"/>
  <c r="G227" i="10"/>
  <c r="F227" i="10"/>
  <c r="E227" i="10"/>
  <c r="D227" i="10"/>
  <c r="C227" i="10"/>
  <c r="B227" i="10"/>
  <c r="A227" i="10"/>
  <c r="H226" i="10"/>
  <c r="G226" i="10"/>
  <c r="F226" i="10"/>
  <c r="E226" i="10"/>
  <c r="D226" i="10"/>
  <c r="C226" i="10"/>
  <c r="B226" i="10"/>
  <c r="A226" i="10"/>
  <c r="H225" i="10"/>
  <c r="G225" i="10"/>
  <c r="F225" i="10"/>
  <c r="E225" i="10"/>
  <c r="D225" i="10"/>
  <c r="C225" i="10"/>
  <c r="B225" i="10"/>
  <c r="A225" i="10"/>
  <c r="H224" i="10"/>
  <c r="G224" i="10"/>
  <c r="F224" i="10"/>
  <c r="E224" i="10"/>
  <c r="D224" i="10"/>
  <c r="C224" i="10"/>
  <c r="B224" i="10"/>
  <c r="A224" i="10"/>
  <c r="H223" i="10"/>
  <c r="G223" i="10"/>
  <c r="F223" i="10"/>
  <c r="E223" i="10"/>
  <c r="D223" i="10"/>
  <c r="C223" i="10"/>
  <c r="B223" i="10"/>
  <c r="A223" i="10"/>
  <c r="H222" i="10"/>
  <c r="G222" i="10"/>
  <c r="F222" i="10"/>
  <c r="E222" i="10"/>
  <c r="D222" i="10"/>
  <c r="C222" i="10"/>
  <c r="B222" i="10"/>
  <c r="A222" i="10"/>
  <c r="H221" i="10"/>
  <c r="G221" i="10"/>
  <c r="F221" i="10"/>
  <c r="E221" i="10"/>
  <c r="D221" i="10"/>
  <c r="C221" i="10"/>
  <c r="B221" i="10"/>
  <c r="A221" i="10"/>
  <c r="H220" i="10"/>
  <c r="G220" i="10"/>
  <c r="F220" i="10"/>
  <c r="E220" i="10"/>
  <c r="D220" i="10"/>
  <c r="C220" i="10"/>
  <c r="B220" i="10"/>
  <c r="A220" i="10"/>
  <c r="H219" i="10"/>
  <c r="G219" i="10"/>
  <c r="F219" i="10"/>
  <c r="E219" i="10"/>
  <c r="D219" i="10"/>
  <c r="C219" i="10"/>
  <c r="B219" i="10"/>
  <c r="A219" i="10"/>
  <c r="H218" i="10"/>
  <c r="G218" i="10"/>
  <c r="F218" i="10"/>
  <c r="E218" i="10"/>
  <c r="D218" i="10"/>
  <c r="C218" i="10"/>
  <c r="B218" i="10"/>
  <c r="A218" i="10"/>
  <c r="H217" i="10"/>
  <c r="G217" i="10"/>
  <c r="F217" i="10"/>
  <c r="E217" i="10"/>
  <c r="D217" i="10"/>
  <c r="C217" i="10"/>
  <c r="B217" i="10"/>
  <c r="A217" i="10"/>
  <c r="H216" i="10"/>
  <c r="G216" i="10"/>
  <c r="F216" i="10"/>
  <c r="E216" i="10"/>
  <c r="D216" i="10"/>
  <c r="C216" i="10"/>
  <c r="B216" i="10"/>
  <c r="A216" i="10"/>
  <c r="H215" i="10"/>
  <c r="G215" i="10"/>
  <c r="F215" i="10"/>
  <c r="E215" i="10"/>
  <c r="D215" i="10"/>
  <c r="C215" i="10"/>
  <c r="B215" i="10"/>
  <c r="A215" i="10"/>
  <c r="H214" i="10"/>
  <c r="G214" i="10"/>
  <c r="F214" i="10"/>
  <c r="E214" i="10"/>
  <c r="D214" i="10"/>
  <c r="C214" i="10"/>
  <c r="B214" i="10"/>
  <c r="A214" i="10"/>
  <c r="H213" i="10"/>
  <c r="G213" i="10"/>
  <c r="F213" i="10"/>
  <c r="E213" i="10"/>
  <c r="D213" i="10"/>
  <c r="C213" i="10"/>
  <c r="B213" i="10"/>
  <c r="A213" i="10"/>
  <c r="H212" i="10"/>
  <c r="G212" i="10"/>
  <c r="F212" i="10"/>
  <c r="E212" i="10"/>
  <c r="D212" i="10"/>
  <c r="C212" i="10"/>
  <c r="B212" i="10"/>
  <c r="A212" i="10"/>
  <c r="H211" i="10"/>
  <c r="G211" i="10"/>
  <c r="F211" i="10"/>
  <c r="E211" i="10"/>
  <c r="D211" i="10"/>
  <c r="C211" i="10"/>
  <c r="B211" i="10"/>
  <c r="A211" i="10"/>
  <c r="H210" i="10"/>
  <c r="G210" i="10"/>
  <c r="F210" i="10"/>
  <c r="E210" i="10"/>
  <c r="D210" i="10"/>
  <c r="C210" i="10"/>
  <c r="B210" i="10"/>
  <c r="A210" i="10"/>
  <c r="H209" i="10"/>
  <c r="G209" i="10"/>
  <c r="F209" i="10"/>
  <c r="E209" i="10"/>
  <c r="D209" i="10"/>
  <c r="C209" i="10"/>
  <c r="B209" i="10"/>
  <c r="A209" i="10"/>
  <c r="H208" i="10"/>
  <c r="G208" i="10"/>
  <c r="F208" i="10"/>
  <c r="E208" i="10"/>
  <c r="D208" i="10"/>
  <c r="C208" i="10"/>
  <c r="B208" i="10"/>
  <c r="A208" i="10"/>
  <c r="H207" i="10"/>
  <c r="G207" i="10"/>
  <c r="F207" i="10"/>
  <c r="E207" i="10"/>
  <c r="D207" i="10"/>
  <c r="C207" i="10"/>
  <c r="B207" i="10"/>
  <c r="A207" i="10"/>
  <c r="H206" i="10"/>
  <c r="G206" i="10"/>
  <c r="F206" i="10"/>
  <c r="E206" i="10"/>
  <c r="D206" i="10"/>
  <c r="C206" i="10"/>
  <c r="B206" i="10"/>
  <c r="A206" i="10"/>
  <c r="H205" i="10"/>
  <c r="G205" i="10"/>
  <c r="F205" i="10"/>
  <c r="E205" i="10"/>
  <c r="D205" i="10"/>
  <c r="C205" i="10"/>
  <c r="B205" i="10"/>
  <c r="A205" i="10"/>
  <c r="H204" i="10"/>
  <c r="G204" i="10"/>
  <c r="F204" i="10"/>
  <c r="E204" i="10"/>
  <c r="D204" i="10"/>
  <c r="C204" i="10"/>
  <c r="B204" i="10"/>
  <c r="A204" i="10"/>
  <c r="H203" i="10"/>
  <c r="G203" i="10"/>
  <c r="F203" i="10"/>
  <c r="E203" i="10"/>
  <c r="D203" i="10"/>
  <c r="C203" i="10"/>
  <c r="B203" i="10"/>
  <c r="A203" i="10"/>
  <c r="H202" i="10"/>
  <c r="G202" i="10"/>
  <c r="F202" i="10"/>
  <c r="E202" i="10"/>
  <c r="D202" i="10"/>
  <c r="C202" i="10"/>
  <c r="B202" i="10"/>
  <c r="A202" i="10"/>
  <c r="H201" i="10"/>
  <c r="G201" i="10"/>
  <c r="F201" i="10"/>
  <c r="E201" i="10"/>
  <c r="D201" i="10"/>
  <c r="C201" i="10"/>
  <c r="B201" i="10"/>
  <c r="A201" i="10"/>
  <c r="H200" i="10"/>
  <c r="G200" i="10"/>
  <c r="F200" i="10"/>
  <c r="E200" i="10"/>
  <c r="D200" i="10"/>
  <c r="C200" i="10"/>
  <c r="B200" i="10"/>
  <c r="A200" i="10"/>
  <c r="H199" i="10"/>
  <c r="G199" i="10"/>
  <c r="F199" i="10"/>
  <c r="E199" i="10"/>
  <c r="D199" i="10"/>
  <c r="C199" i="10"/>
  <c r="B199" i="10"/>
  <c r="A199" i="10"/>
  <c r="H198" i="10"/>
  <c r="G198" i="10"/>
  <c r="F198" i="10"/>
  <c r="E198" i="10"/>
  <c r="D198" i="10"/>
  <c r="C198" i="10"/>
  <c r="B198" i="10"/>
  <c r="A198" i="10"/>
  <c r="H197" i="10"/>
  <c r="G197" i="10"/>
  <c r="F197" i="10"/>
  <c r="E197" i="10"/>
  <c r="D197" i="10"/>
  <c r="C197" i="10"/>
  <c r="B197" i="10"/>
  <c r="A197" i="10"/>
  <c r="H196" i="10"/>
  <c r="G196" i="10"/>
  <c r="F196" i="10"/>
  <c r="E196" i="10"/>
  <c r="D196" i="10"/>
  <c r="C196" i="10"/>
  <c r="B196" i="10"/>
  <c r="A196" i="10"/>
  <c r="H195" i="10"/>
  <c r="G195" i="10"/>
  <c r="F195" i="10"/>
  <c r="E195" i="10"/>
  <c r="D195" i="10"/>
  <c r="C195" i="10"/>
  <c r="B195" i="10"/>
  <c r="A195" i="10"/>
  <c r="H194" i="10"/>
  <c r="G194" i="10"/>
  <c r="F194" i="10"/>
  <c r="E194" i="10"/>
  <c r="D194" i="10"/>
  <c r="C194" i="10"/>
  <c r="B194" i="10"/>
  <c r="A194" i="10"/>
  <c r="H193" i="10"/>
  <c r="G193" i="10"/>
  <c r="F193" i="10"/>
  <c r="E193" i="10"/>
  <c r="D193" i="10"/>
  <c r="C193" i="10"/>
  <c r="B193" i="10"/>
  <c r="A193" i="10"/>
  <c r="H192" i="10"/>
  <c r="G192" i="10"/>
  <c r="F192" i="10"/>
  <c r="E192" i="10"/>
  <c r="D192" i="10"/>
  <c r="C192" i="10"/>
  <c r="B192" i="10"/>
  <c r="A192" i="10"/>
  <c r="H191" i="10"/>
  <c r="G191" i="10"/>
  <c r="F191" i="10"/>
  <c r="E191" i="10"/>
  <c r="D191" i="10"/>
  <c r="C191" i="10"/>
  <c r="B191" i="10"/>
  <c r="A191" i="10"/>
  <c r="H190" i="10"/>
  <c r="G190" i="10"/>
  <c r="F190" i="10"/>
  <c r="E190" i="10"/>
  <c r="D190" i="10"/>
  <c r="C190" i="10"/>
  <c r="B190" i="10"/>
  <c r="A190" i="10"/>
  <c r="H189" i="10"/>
  <c r="G189" i="10"/>
  <c r="F189" i="10"/>
  <c r="E189" i="10"/>
  <c r="D189" i="10"/>
  <c r="C189" i="10"/>
  <c r="B189" i="10"/>
  <c r="A189" i="10"/>
  <c r="H188" i="10"/>
  <c r="G188" i="10"/>
  <c r="F188" i="10"/>
  <c r="E188" i="10"/>
  <c r="D188" i="10"/>
  <c r="C188" i="10"/>
  <c r="B188" i="10"/>
  <c r="A188" i="10"/>
  <c r="H187" i="10"/>
  <c r="G187" i="10"/>
  <c r="F187" i="10"/>
  <c r="E187" i="10"/>
  <c r="D187" i="10"/>
  <c r="C187" i="10"/>
  <c r="B187" i="10"/>
  <c r="A187" i="10"/>
  <c r="H186" i="10"/>
  <c r="G186" i="10"/>
  <c r="F186" i="10"/>
  <c r="E186" i="10"/>
  <c r="D186" i="10"/>
  <c r="C186" i="10"/>
  <c r="B186" i="10"/>
  <c r="A186" i="10"/>
  <c r="H185" i="10"/>
  <c r="G185" i="10"/>
  <c r="F185" i="10"/>
  <c r="E185" i="10"/>
  <c r="D185" i="10"/>
  <c r="C185" i="10"/>
  <c r="B185" i="10"/>
  <c r="A185" i="10"/>
  <c r="H184" i="10"/>
  <c r="G184" i="10"/>
  <c r="F184" i="10"/>
  <c r="E184" i="10"/>
  <c r="D184" i="10"/>
  <c r="C184" i="10"/>
  <c r="B184" i="10"/>
  <c r="A184" i="10"/>
  <c r="H183" i="10"/>
  <c r="G183" i="10"/>
  <c r="F183" i="10"/>
  <c r="E183" i="10"/>
  <c r="D183" i="10"/>
  <c r="C183" i="10"/>
  <c r="B183" i="10"/>
  <c r="A183" i="10"/>
  <c r="H182" i="10"/>
  <c r="G182" i="10"/>
  <c r="F182" i="10"/>
  <c r="E182" i="10"/>
  <c r="D182" i="10"/>
  <c r="C182" i="10"/>
  <c r="B182" i="10"/>
  <c r="A182" i="10"/>
  <c r="H181" i="10"/>
  <c r="G181" i="10"/>
  <c r="F181" i="10"/>
  <c r="E181" i="10"/>
  <c r="D181" i="10"/>
  <c r="C181" i="10"/>
  <c r="B181" i="10"/>
  <c r="A181" i="10"/>
  <c r="H180" i="10"/>
  <c r="G180" i="10"/>
  <c r="F180" i="10"/>
  <c r="E180" i="10"/>
  <c r="D180" i="10"/>
  <c r="C180" i="10"/>
  <c r="B180" i="10"/>
  <c r="A180" i="10"/>
  <c r="H179" i="10"/>
  <c r="G179" i="10"/>
  <c r="F179" i="10"/>
  <c r="E179" i="10"/>
  <c r="D179" i="10"/>
  <c r="C179" i="10"/>
  <c r="B179" i="10"/>
  <c r="A179" i="10"/>
  <c r="H178" i="10"/>
  <c r="G178" i="10"/>
  <c r="F178" i="10"/>
  <c r="E178" i="10"/>
  <c r="D178" i="10"/>
  <c r="C178" i="10"/>
  <c r="B178" i="10"/>
  <c r="A178" i="10"/>
  <c r="H177" i="10"/>
  <c r="G177" i="10"/>
  <c r="F177" i="10"/>
  <c r="E177" i="10"/>
  <c r="D177" i="10"/>
  <c r="C177" i="10"/>
  <c r="B177" i="10"/>
  <c r="A177" i="10"/>
  <c r="H176" i="10"/>
  <c r="G176" i="10"/>
  <c r="F176" i="10"/>
  <c r="E176" i="10"/>
  <c r="D176" i="10"/>
  <c r="C176" i="10"/>
  <c r="B176" i="10"/>
  <c r="A176" i="10"/>
  <c r="H175" i="10"/>
  <c r="G175" i="10"/>
  <c r="F175" i="10"/>
  <c r="E175" i="10"/>
  <c r="D175" i="10"/>
  <c r="C175" i="10"/>
  <c r="B175" i="10"/>
  <c r="A175" i="10"/>
  <c r="H174" i="10"/>
  <c r="G174" i="10"/>
  <c r="F174" i="10"/>
  <c r="E174" i="10"/>
  <c r="D174" i="10"/>
  <c r="C174" i="10"/>
  <c r="B174" i="10"/>
  <c r="A174" i="10"/>
  <c r="H173" i="10"/>
  <c r="G173" i="10"/>
  <c r="F173" i="10"/>
  <c r="E173" i="10"/>
  <c r="D173" i="10"/>
  <c r="C173" i="10"/>
  <c r="B173" i="10"/>
  <c r="A173" i="10"/>
  <c r="H172" i="10"/>
  <c r="G172" i="10"/>
  <c r="F172" i="10"/>
  <c r="E172" i="10"/>
  <c r="D172" i="10"/>
  <c r="C172" i="10"/>
  <c r="B172" i="10"/>
  <c r="A172" i="10"/>
  <c r="H171" i="10"/>
  <c r="G171" i="10"/>
  <c r="F171" i="10"/>
  <c r="E171" i="10"/>
  <c r="D171" i="10"/>
  <c r="C171" i="10"/>
  <c r="B171" i="10"/>
  <c r="A171" i="10"/>
  <c r="H170" i="10"/>
  <c r="G170" i="10"/>
  <c r="F170" i="10"/>
  <c r="E170" i="10"/>
  <c r="D170" i="10"/>
  <c r="C170" i="10"/>
  <c r="B170" i="10"/>
  <c r="A170" i="10"/>
  <c r="H169" i="10"/>
  <c r="G169" i="10"/>
  <c r="F169" i="10"/>
  <c r="E169" i="10"/>
  <c r="D169" i="10"/>
  <c r="C169" i="10"/>
  <c r="B169" i="10"/>
  <c r="A169" i="10"/>
  <c r="H168" i="10"/>
  <c r="G168" i="10"/>
  <c r="F168" i="10"/>
  <c r="E168" i="10"/>
  <c r="D168" i="10"/>
  <c r="C168" i="10"/>
  <c r="B168" i="10"/>
  <c r="A168" i="10"/>
  <c r="H167" i="10"/>
  <c r="G167" i="10"/>
  <c r="F167" i="10"/>
  <c r="E167" i="10"/>
  <c r="D167" i="10"/>
  <c r="C167" i="10"/>
  <c r="B167" i="10"/>
  <c r="A167" i="10"/>
  <c r="H166" i="10"/>
  <c r="G166" i="10"/>
  <c r="F166" i="10"/>
  <c r="E166" i="10"/>
  <c r="D166" i="10"/>
  <c r="C166" i="10"/>
  <c r="B166" i="10"/>
  <c r="A166" i="10"/>
  <c r="H165" i="10"/>
  <c r="G165" i="10"/>
  <c r="F165" i="10"/>
  <c r="E165" i="10"/>
  <c r="D165" i="10"/>
  <c r="C165" i="10"/>
  <c r="B165" i="10"/>
  <c r="A165" i="10"/>
  <c r="H164" i="10"/>
  <c r="G164" i="10"/>
  <c r="F164" i="10"/>
  <c r="E164" i="10"/>
  <c r="D164" i="10"/>
  <c r="C164" i="10"/>
  <c r="B164" i="10"/>
  <c r="A164" i="10"/>
  <c r="H163" i="10"/>
  <c r="G163" i="10"/>
  <c r="F163" i="10"/>
  <c r="E163" i="10"/>
  <c r="D163" i="10"/>
  <c r="C163" i="10"/>
  <c r="B163" i="10"/>
  <c r="A163" i="10"/>
  <c r="H162" i="10"/>
  <c r="G162" i="10"/>
  <c r="F162" i="10"/>
  <c r="E162" i="10"/>
  <c r="D162" i="10"/>
  <c r="C162" i="10"/>
  <c r="B162" i="10"/>
  <c r="A162" i="10"/>
  <c r="H161" i="10"/>
  <c r="G161" i="10"/>
  <c r="F161" i="10"/>
  <c r="E161" i="10"/>
  <c r="D161" i="10"/>
  <c r="C161" i="10"/>
  <c r="B161" i="10"/>
  <c r="A161" i="10"/>
  <c r="H160" i="10"/>
  <c r="G160" i="10"/>
  <c r="F160" i="10"/>
  <c r="E160" i="10"/>
  <c r="D160" i="10"/>
  <c r="C160" i="10"/>
  <c r="B160" i="10"/>
  <c r="A160" i="10"/>
  <c r="H159" i="10"/>
  <c r="G159" i="10"/>
  <c r="F159" i="10"/>
  <c r="E159" i="10"/>
  <c r="D159" i="10"/>
  <c r="C159" i="10"/>
  <c r="B159" i="10"/>
  <c r="A159" i="10"/>
  <c r="H158" i="10"/>
  <c r="G158" i="10"/>
  <c r="F158" i="10"/>
  <c r="E158" i="10"/>
  <c r="D158" i="10"/>
  <c r="C158" i="10"/>
  <c r="B158" i="10"/>
  <c r="A158" i="10"/>
  <c r="H157" i="10"/>
  <c r="G157" i="10"/>
  <c r="F157" i="10"/>
  <c r="E157" i="10"/>
  <c r="D157" i="10"/>
  <c r="C157" i="10"/>
  <c r="B157" i="10"/>
  <c r="A157" i="10"/>
  <c r="H156" i="10"/>
  <c r="G156" i="10"/>
  <c r="F156" i="10"/>
  <c r="E156" i="10"/>
  <c r="D156" i="10"/>
  <c r="C156" i="10"/>
  <c r="B156" i="10"/>
  <c r="A156" i="10"/>
  <c r="H155" i="10"/>
  <c r="G155" i="10"/>
  <c r="F155" i="10"/>
  <c r="E155" i="10"/>
  <c r="D155" i="10"/>
  <c r="C155" i="10"/>
  <c r="B155" i="10"/>
  <c r="A155" i="10"/>
  <c r="H154" i="10"/>
  <c r="G154" i="10"/>
  <c r="F154" i="10"/>
  <c r="E154" i="10"/>
  <c r="D154" i="10"/>
  <c r="C154" i="10"/>
  <c r="B154" i="10"/>
  <c r="A154" i="10"/>
  <c r="H153" i="10"/>
  <c r="G153" i="10"/>
  <c r="F153" i="10"/>
  <c r="E153" i="10"/>
  <c r="D153" i="10"/>
  <c r="C153" i="10"/>
  <c r="B153" i="10"/>
  <c r="A153" i="10"/>
  <c r="H152" i="10"/>
  <c r="G152" i="10"/>
  <c r="F152" i="10"/>
  <c r="E152" i="10"/>
  <c r="D152" i="10"/>
  <c r="C152" i="10"/>
  <c r="B152" i="10"/>
  <c r="A152" i="10"/>
  <c r="H151" i="10"/>
  <c r="G151" i="10"/>
  <c r="F151" i="10"/>
  <c r="E151" i="10"/>
  <c r="D151" i="10"/>
  <c r="C151" i="10"/>
  <c r="B151" i="10"/>
  <c r="A151" i="10"/>
  <c r="H150" i="10"/>
  <c r="G150" i="10"/>
  <c r="F150" i="10"/>
  <c r="E150" i="10"/>
  <c r="D150" i="10"/>
  <c r="C150" i="10"/>
  <c r="B150" i="10"/>
  <c r="A150" i="10"/>
  <c r="H149" i="10"/>
  <c r="G149" i="10"/>
  <c r="F149" i="10"/>
  <c r="E149" i="10"/>
  <c r="D149" i="10"/>
  <c r="C149" i="10"/>
  <c r="B149" i="10"/>
  <c r="A149" i="10"/>
  <c r="H148" i="10"/>
  <c r="G148" i="10"/>
  <c r="F148" i="10"/>
  <c r="E148" i="10"/>
  <c r="D148" i="10"/>
  <c r="C148" i="10"/>
  <c r="B148" i="10"/>
  <c r="A148" i="10"/>
  <c r="H147" i="10"/>
  <c r="G147" i="10"/>
  <c r="F147" i="10"/>
  <c r="E147" i="10"/>
  <c r="D147" i="10"/>
  <c r="C147" i="10"/>
  <c r="B147" i="10"/>
  <c r="A147" i="10"/>
  <c r="H146" i="10"/>
  <c r="G146" i="10"/>
  <c r="F146" i="10"/>
  <c r="E146" i="10"/>
  <c r="D146" i="10"/>
  <c r="C146" i="10"/>
  <c r="B146" i="10"/>
  <c r="A146" i="10"/>
  <c r="H145" i="10"/>
  <c r="G145" i="10"/>
  <c r="F145" i="10"/>
  <c r="E145" i="10"/>
  <c r="D145" i="10"/>
  <c r="C145" i="10"/>
  <c r="B145" i="10"/>
  <c r="A145" i="10"/>
  <c r="H144" i="10"/>
  <c r="G144" i="10"/>
  <c r="F144" i="10"/>
  <c r="E144" i="10"/>
  <c r="D144" i="10"/>
  <c r="C144" i="10"/>
  <c r="B144" i="10"/>
  <c r="A144" i="10"/>
  <c r="H143" i="10"/>
  <c r="G143" i="10"/>
  <c r="F143" i="10"/>
  <c r="E143" i="10"/>
  <c r="D143" i="10"/>
  <c r="C143" i="10"/>
  <c r="B143" i="10"/>
  <c r="A143" i="10"/>
  <c r="H142" i="10"/>
  <c r="G142" i="10"/>
  <c r="F142" i="10"/>
  <c r="E142" i="10"/>
  <c r="D142" i="10"/>
  <c r="C142" i="10"/>
  <c r="B142" i="10"/>
  <c r="A142" i="10"/>
  <c r="H141" i="10"/>
  <c r="G141" i="10"/>
  <c r="F141" i="10"/>
  <c r="E141" i="10"/>
  <c r="D141" i="10"/>
  <c r="C141" i="10"/>
  <c r="B141" i="10"/>
  <c r="A141" i="10"/>
  <c r="H140" i="10"/>
  <c r="G140" i="10"/>
  <c r="F140" i="10"/>
  <c r="E140" i="10"/>
  <c r="D140" i="10"/>
  <c r="C140" i="10"/>
  <c r="B140" i="10"/>
  <c r="A140" i="10"/>
  <c r="H139" i="10"/>
  <c r="G139" i="10"/>
  <c r="F139" i="10"/>
  <c r="E139" i="10"/>
  <c r="D139" i="10"/>
  <c r="C139" i="10"/>
  <c r="B139" i="10"/>
  <c r="A139" i="10"/>
  <c r="H138" i="10"/>
  <c r="G138" i="10"/>
  <c r="F138" i="10"/>
  <c r="E138" i="10"/>
  <c r="D138" i="10"/>
  <c r="C138" i="10"/>
  <c r="B138" i="10"/>
  <c r="A138" i="10"/>
  <c r="H137" i="10"/>
  <c r="G137" i="10"/>
  <c r="F137" i="10"/>
  <c r="E137" i="10"/>
  <c r="D137" i="10"/>
  <c r="C137" i="10"/>
  <c r="B137" i="10"/>
  <c r="A137" i="10"/>
  <c r="H136" i="10"/>
  <c r="G136" i="10"/>
  <c r="F136" i="10"/>
  <c r="E136" i="10"/>
  <c r="D136" i="10"/>
  <c r="C136" i="10"/>
  <c r="B136" i="10"/>
  <c r="A136" i="10"/>
  <c r="H135" i="10"/>
  <c r="G135" i="10"/>
  <c r="F135" i="10"/>
  <c r="E135" i="10"/>
  <c r="D135" i="10"/>
  <c r="C135" i="10"/>
  <c r="B135" i="10"/>
  <c r="A135" i="10"/>
  <c r="H134" i="10"/>
  <c r="G134" i="10"/>
  <c r="F134" i="10"/>
  <c r="E134" i="10"/>
  <c r="D134" i="10"/>
  <c r="C134" i="10"/>
  <c r="B134" i="10"/>
  <c r="A134" i="10"/>
  <c r="H133" i="10"/>
  <c r="G133" i="10"/>
  <c r="F133" i="10"/>
  <c r="E133" i="10"/>
  <c r="D133" i="10"/>
  <c r="C133" i="10"/>
  <c r="B133" i="10"/>
  <c r="A133" i="10"/>
  <c r="H132" i="10"/>
  <c r="G132" i="10"/>
  <c r="F132" i="10"/>
  <c r="E132" i="10"/>
  <c r="D132" i="10"/>
  <c r="C132" i="10"/>
  <c r="B132" i="10"/>
  <c r="A132" i="10"/>
  <c r="H131" i="10"/>
  <c r="G131" i="10"/>
  <c r="F131" i="10"/>
  <c r="E131" i="10"/>
  <c r="D131" i="10"/>
  <c r="C131" i="10"/>
  <c r="B131" i="10"/>
  <c r="A131" i="10"/>
  <c r="H130" i="10"/>
  <c r="G130" i="10"/>
  <c r="F130" i="10"/>
  <c r="E130" i="10"/>
  <c r="D130" i="10"/>
  <c r="C130" i="10"/>
  <c r="B130" i="10"/>
  <c r="A130" i="10"/>
  <c r="H129" i="10"/>
  <c r="G129" i="10"/>
  <c r="F129" i="10"/>
  <c r="E129" i="10"/>
  <c r="D129" i="10"/>
  <c r="C129" i="10"/>
  <c r="B129" i="10"/>
  <c r="A129" i="10"/>
  <c r="H128" i="10"/>
  <c r="G128" i="10"/>
  <c r="F128" i="10"/>
  <c r="E128" i="10"/>
  <c r="D128" i="10"/>
  <c r="C128" i="10"/>
  <c r="B128" i="10"/>
  <c r="A128" i="10"/>
  <c r="H127" i="10"/>
  <c r="G127" i="10"/>
  <c r="F127" i="10"/>
  <c r="E127" i="10"/>
  <c r="D127" i="10"/>
  <c r="C127" i="10"/>
  <c r="B127" i="10"/>
  <c r="A127" i="10"/>
  <c r="H126" i="10"/>
  <c r="G126" i="10"/>
  <c r="F126" i="10"/>
  <c r="E126" i="10"/>
  <c r="D126" i="10"/>
  <c r="C126" i="10"/>
  <c r="B126" i="10"/>
  <c r="A126" i="10"/>
  <c r="H125" i="10"/>
  <c r="G125" i="10"/>
  <c r="F125" i="10"/>
  <c r="E125" i="10"/>
  <c r="D125" i="10"/>
  <c r="C125" i="10"/>
  <c r="B125" i="10"/>
  <c r="A125" i="10"/>
  <c r="H124" i="10"/>
  <c r="G124" i="10"/>
  <c r="F124" i="10"/>
  <c r="E124" i="10"/>
  <c r="D124" i="10"/>
  <c r="C124" i="10"/>
  <c r="B124" i="10"/>
  <c r="A124" i="10"/>
  <c r="H123" i="10"/>
  <c r="G123" i="10"/>
  <c r="F123" i="10"/>
  <c r="E123" i="10"/>
  <c r="D123" i="10"/>
  <c r="C123" i="10"/>
  <c r="B123" i="10"/>
  <c r="A123" i="10"/>
  <c r="H122" i="10"/>
  <c r="G122" i="10"/>
  <c r="F122" i="10"/>
  <c r="E122" i="10"/>
  <c r="D122" i="10"/>
  <c r="C122" i="10"/>
  <c r="B122" i="10"/>
  <c r="A122" i="10"/>
  <c r="H121" i="10"/>
  <c r="G121" i="10"/>
  <c r="F121" i="10"/>
  <c r="E121" i="10"/>
  <c r="D121" i="10"/>
  <c r="C121" i="10"/>
  <c r="B121" i="10"/>
  <c r="A121" i="10"/>
  <c r="H120" i="10"/>
  <c r="G120" i="10"/>
  <c r="F120" i="10"/>
  <c r="E120" i="10"/>
  <c r="D120" i="10"/>
  <c r="C120" i="10"/>
  <c r="B120" i="10"/>
  <c r="A120" i="10"/>
  <c r="H119" i="10"/>
  <c r="G119" i="10"/>
  <c r="F119" i="10"/>
  <c r="E119" i="10"/>
  <c r="D119" i="10"/>
  <c r="C119" i="10"/>
  <c r="B119" i="10"/>
  <c r="A119" i="10"/>
  <c r="H118" i="10"/>
  <c r="G118" i="10"/>
  <c r="F118" i="10"/>
  <c r="E118" i="10"/>
  <c r="D118" i="10"/>
  <c r="C118" i="10"/>
  <c r="B118" i="10"/>
  <c r="A118" i="10"/>
  <c r="H117" i="10"/>
  <c r="G117" i="10"/>
  <c r="F117" i="10"/>
  <c r="E117" i="10"/>
  <c r="D117" i="10"/>
  <c r="C117" i="10"/>
  <c r="B117" i="10"/>
  <c r="A117" i="10"/>
  <c r="H116" i="10"/>
  <c r="G116" i="10"/>
  <c r="F116" i="10"/>
  <c r="E116" i="10"/>
  <c r="D116" i="10"/>
  <c r="C116" i="10"/>
  <c r="B116" i="10"/>
  <c r="A116" i="10"/>
  <c r="H115" i="10"/>
  <c r="G115" i="10"/>
  <c r="F115" i="10"/>
  <c r="E115" i="10"/>
  <c r="D115" i="10"/>
  <c r="C115" i="10"/>
  <c r="B115" i="10"/>
  <c r="A115" i="10"/>
  <c r="H114" i="10"/>
  <c r="G114" i="10"/>
  <c r="F114" i="10"/>
  <c r="E114" i="10"/>
  <c r="D114" i="10"/>
  <c r="C114" i="10"/>
  <c r="B114" i="10"/>
  <c r="A114" i="10"/>
  <c r="H113" i="10"/>
  <c r="G113" i="10"/>
  <c r="F113" i="10"/>
  <c r="E113" i="10"/>
  <c r="D113" i="10"/>
  <c r="C113" i="10"/>
  <c r="B113" i="10"/>
  <c r="A113" i="10"/>
  <c r="H112" i="10"/>
  <c r="G112" i="10"/>
  <c r="F112" i="10"/>
  <c r="E112" i="10"/>
  <c r="D112" i="10"/>
  <c r="C112" i="10"/>
  <c r="B112" i="10"/>
  <c r="A112" i="10"/>
  <c r="H111" i="10"/>
  <c r="G111" i="10"/>
  <c r="F111" i="10"/>
  <c r="E111" i="10"/>
  <c r="D111" i="10"/>
  <c r="C111" i="10"/>
  <c r="B111" i="10"/>
  <c r="A111" i="10"/>
  <c r="H110" i="10"/>
  <c r="G110" i="10"/>
  <c r="F110" i="10"/>
  <c r="E110" i="10"/>
  <c r="D110" i="10"/>
  <c r="C110" i="10"/>
  <c r="B110" i="10"/>
  <c r="A110" i="10"/>
  <c r="H109" i="10"/>
  <c r="G109" i="10"/>
  <c r="F109" i="10"/>
  <c r="E109" i="10"/>
  <c r="D109" i="10"/>
  <c r="C109" i="10"/>
  <c r="B109" i="10"/>
  <c r="A109" i="10"/>
  <c r="H108" i="10"/>
  <c r="G108" i="10"/>
  <c r="F108" i="10"/>
  <c r="E108" i="10"/>
  <c r="D108" i="10"/>
  <c r="C108" i="10"/>
  <c r="B108" i="10"/>
  <c r="A108" i="10"/>
  <c r="H107" i="10"/>
  <c r="G107" i="10"/>
  <c r="F107" i="10"/>
  <c r="E107" i="10"/>
  <c r="D107" i="10"/>
  <c r="C107" i="10"/>
  <c r="B107" i="10"/>
  <c r="A107" i="10"/>
  <c r="H106" i="10"/>
  <c r="G106" i="10"/>
  <c r="F106" i="10"/>
  <c r="E106" i="10"/>
  <c r="D106" i="10"/>
  <c r="C106" i="10"/>
  <c r="B106" i="10"/>
  <c r="A106" i="10"/>
  <c r="H105" i="10"/>
  <c r="G105" i="10"/>
  <c r="F105" i="10"/>
  <c r="E105" i="10"/>
  <c r="D105" i="10"/>
  <c r="C105" i="10"/>
  <c r="B105" i="10"/>
  <c r="A105" i="10"/>
  <c r="H104" i="10"/>
  <c r="G104" i="10"/>
  <c r="F104" i="10"/>
  <c r="E104" i="10"/>
  <c r="D104" i="10"/>
  <c r="C104" i="10"/>
  <c r="B104" i="10"/>
  <c r="A104" i="10"/>
  <c r="H103" i="10"/>
  <c r="G103" i="10"/>
  <c r="F103" i="10"/>
  <c r="E103" i="10"/>
  <c r="D103" i="10"/>
  <c r="C103" i="10"/>
  <c r="B103" i="10"/>
  <c r="A103" i="10"/>
  <c r="H102" i="10"/>
  <c r="G102" i="10"/>
  <c r="F102" i="10"/>
  <c r="E102" i="10"/>
  <c r="D102" i="10"/>
  <c r="C102" i="10"/>
  <c r="B102" i="10"/>
  <c r="A102" i="10"/>
  <c r="H101" i="10"/>
  <c r="G101" i="10"/>
  <c r="F101" i="10"/>
  <c r="E101" i="10"/>
  <c r="D101" i="10"/>
  <c r="C101" i="10"/>
  <c r="B101" i="10"/>
  <c r="A101" i="10"/>
  <c r="H100" i="10"/>
  <c r="G100" i="10"/>
  <c r="F100" i="10"/>
  <c r="E100" i="10"/>
  <c r="D100" i="10"/>
  <c r="C100" i="10"/>
  <c r="B100" i="10"/>
  <c r="A100" i="10"/>
  <c r="H99" i="10"/>
  <c r="G99" i="10"/>
  <c r="F99" i="10"/>
  <c r="E99" i="10"/>
  <c r="D99" i="10"/>
  <c r="C99" i="10"/>
  <c r="B99" i="10"/>
  <c r="A99" i="10"/>
  <c r="H98" i="10"/>
  <c r="G98" i="10"/>
  <c r="F98" i="10"/>
  <c r="E98" i="10"/>
  <c r="D98" i="10"/>
  <c r="C98" i="10"/>
  <c r="B98" i="10"/>
  <c r="A98" i="10"/>
  <c r="H97" i="10"/>
  <c r="G97" i="10"/>
  <c r="F97" i="10"/>
  <c r="E97" i="10"/>
  <c r="D97" i="10"/>
  <c r="C97" i="10"/>
  <c r="B97" i="10"/>
  <c r="A97" i="10"/>
  <c r="H96" i="10"/>
  <c r="G96" i="10"/>
  <c r="F96" i="10"/>
  <c r="E96" i="10"/>
  <c r="D96" i="10"/>
  <c r="C96" i="10"/>
  <c r="B96" i="10"/>
  <c r="A96" i="10"/>
  <c r="H95" i="10"/>
  <c r="G95" i="10"/>
  <c r="F95" i="10"/>
  <c r="E95" i="10"/>
  <c r="D95" i="10"/>
  <c r="C95" i="10"/>
  <c r="B95" i="10"/>
  <c r="A95" i="10"/>
  <c r="H94" i="10"/>
  <c r="G94" i="10"/>
  <c r="F94" i="10"/>
  <c r="E94" i="10"/>
  <c r="D94" i="10"/>
  <c r="C94" i="10"/>
  <c r="B94" i="10"/>
  <c r="A94" i="10"/>
  <c r="H93" i="10"/>
  <c r="G93" i="10"/>
  <c r="F93" i="10"/>
  <c r="E93" i="10"/>
  <c r="D93" i="10"/>
  <c r="C93" i="10"/>
  <c r="B93" i="10"/>
  <c r="A93" i="10"/>
  <c r="H92" i="10"/>
  <c r="G92" i="10"/>
  <c r="F92" i="10"/>
  <c r="E92" i="10"/>
  <c r="D92" i="10"/>
  <c r="C92" i="10"/>
  <c r="B92" i="10"/>
  <c r="A92" i="10"/>
  <c r="H91" i="10"/>
  <c r="G91" i="10"/>
  <c r="F91" i="10"/>
  <c r="E91" i="10"/>
  <c r="D91" i="10"/>
  <c r="C91" i="10"/>
  <c r="B91" i="10"/>
  <c r="A91" i="10"/>
  <c r="H90" i="10"/>
  <c r="G90" i="10"/>
  <c r="F90" i="10"/>
  <c r="E90" i="10"/>
  <c r="D90" i="10"/>
  <c r="C90" i="10"/>
  <c r="B90" i="10"/>
  <c r="A90" i="10"/>
  <c r="H89" i="10"/>
  <c r="G89" i="10"/>
  <c r="F89" i="10"/>
  <c r="E89" i="10"/>
  <c r="D89" i="10"/>
  <c r="C89" i="10"/>
  <c r="B89" i="10"/>
  <c r="A89" i="10"/>
  <c r="H88" i="10"/>
  <c r="G88" i="10"/>
  <c r="F88" i="10"/>
  <c r="E88" i="10"/>
  <c r="D88" i="10"/>
  <c r="C88" i="10"/>
  <c r="B88" i="10"/>
  <c r="A88" i="10"/>
  <c r="H87" i="10"/>
  <c r="G87" i="10"/>
  <c r="F87" i="10"/>
  <c r="E87" i="10"/>
  <c r="D87" i="10"/>
  <c r="C87" i="10"/>
  <c r="B87" i="10"/>
  <c r="A87" i="10"/>
  <c r="H86" i="10"/>
  <c r="G86" i="10"/>
  <c r="F86" i="10"/>
  <c r="E86" i="10"/>
  <c r="D86" i="10"/>
  <c r="C86" i="10"/>
  <c r="B86" i="10"/>
  <c r="A86" i="10"/>
  <c r="H85" i="10"/>
  <c r="G85" i="10"/>
  <c r="F85" i="10"/>
  <c r="E85" i="10"/>
  <c r="D85" i="10"/>
  <c r="C85" i="10"/>
  <c r="B85" i="10"/>
  <c r="A85" i="10"/>
  <c r="H84" i="10"/>
  <c r="G84" i="10"/>
  <c r="F84" i="10"/>
  <c r="E84" i="10"/>
  <c r="D84" i="10"/>
  <c r="C84" i="10"/>
  <c r="B84" i="10"/>
  <c r="A84" i="10"/>
  <c r="H83" i="10"/>
  <c r="G83" i="10"/>
  <c r="F83" i="10"/>
  <c r="E83" i="10"/>
  <c r="D83" i="10"/>
  <c r="C83" i="10"/>
  <c r="B83" i="10"/>
  <c r="A83" i="10"/>
  <c r="H82" i="10"/>
  <c r="G82" i="10"/>
  <c r="F82" i="10"/>
  <c r="E82" i="10"/>
  <c r="D82" i="10"/>
  <c r="C82" i="10"/>
  <c r="B82" i="10"/>
  <c r="A82" i="10"/>
  <c r="H81" i="10"/>
  <c r="G81" i="10"/>
  <c r="F81" i="10"/>
  <c r="E81" i="10"/>
  <c r="D81" i="10"/>
  <c r="C81" i="10"/>
  <c r="B81" i="10"/>
  <c r="A81" i="10"/>
  <c r="H80" i="10"/>
  <c r="G80" i="10"/>
  <c r="F80" i="10"/>
  <c r="E80" i="10"/>
  <c r="D80" i="10"/>
  <c r="C80" i="10"/>
  <c r="B80" i="10"/>
  <c r="A80" i="10"/>
  <c r="H79" i="10"/>
  <c r="G79" i="10"/>
  <c r="F79" i="10"/>
  <c r="E79" i="10"/>
  <c r="D79" i="10"/>
  <c r="C79" i="10"/>
  <c r="B79" i="10"/>
  <c r="A79" i="10"/>
  <c r="H78" i="10"/>
  <c r="G78" i="10"/>
  <c r="F78" i="10"/>
  <c r="E78" i="10"/>
  <c r="D78" i="10"/>
  <c r="C78" i="10"/>
  <c r="B78" i="10"/>
  <c r="A78" i="10"/>
  <c r="H77" i="10"/>
  <c r="G77" i="10"/>
  <c r="F77" i="10"/>
  <c r="E77" i="10"/>
  <c r="D77" i="10"/>
  <c r="C77" i="10"/>
  <c r="B77" i="10"/>
  <c r="A77" i="10"/>
  <c r="H76" i="10"/>
  <c r="G76" i="10"/>
  <c r="F76" i="10"/>
  <c r="E76" i="10"/>
  <c r="D76" i="10"/>
  <c r="C76" i="10"/>
  <c r="B76" i="10"/>
  <c r="A76" i="10"/>
  <c r="H75" i="10"/>
  <c r="G75" i="10"/>
  <c r="F75" i="10"/>
  <c r="E75" i="10"/>
  <c r="D75" i="10"/>
  <c r="C75" i="10"/>
  <c r="B75" i="10"/>
  <c r="A75" i="10"/>
  <c r="H74" i="10"/>
  <c r="G74" i="10"/>
  <c r="F74" i="10"/>
  <c r="E74" i="10"/>
  <c r="D74" i="10"/>
  <c r="C74" i="10"/>
  <c r="B74" i="10"/>
  <c r="A74" i="10"/>
  <c r="H73" i="10"/>
  <c r="G73" i="10"/>
  <c r="F73" i="10"/>
  <c r="E73" i="10"/>
  <c r="D73" i="10"/>
  <c r="C73" i="10"/>
  <c r="B73" i="10"/>
  <c r="A73" i="10"/>
  <c r="H72" i="10"/>
  <c r="G72" i="10"/>
  <c r="F72" i="10"/>
  <c r="E72" i="10"/>
  <c r="D72" i="10"/>
  <c r="C72" i="10"/>
  <c r="B72" i="10"/>
  <c r="A72" i="10"/>
  <c r="H71" i="10"/>
  <c r="G71" i="10"/>
  <c r="F71" i="10"/>
  <c r="E71" i="10"/>
  <c r="D71" i="10"/>
  <c r="C71" i="10"/>
  <c r="B71" i="10"/>
  <c r="A71" i="10"/>
  <c r="H70" i="10"/>
  <c r="G70" i="10"/>
  <c r="F70" i="10"/>
  <c r="E70" i="10"/>
  <c r="D70" i="10"/>
  <c r="C70" i="10"/>
  <c r="B70" i="10"/>
  <c r="A70" i="10"/>
  <c r="H69" i="10"/>
  <c r="G69" i="10"/>
  <c r="F69" i="10"/>
  <c r="E69" i="10"/>
  <c r="D69" i="10"/>
  <c r="C69" i="10"/>
  <c r="B69" i="10"/>
  <c r="A69" i="10"/>
  <c r="H68" i="10"/>
  <c r="G68" i="10"/>
  <c r="F68" i="10"/>
  <c r="E68" i="10"/>
  <c r="D68" i="10"/>
  <c r="C68" i="10"/>
  <c r="B68" i="10"/>
  <c r="A68" i="10"/>
  <c r="H67" i="10"/>
  <c r="G67" i="10"/>
  <c r="F67" i="10"/>
  <c r="E67" i="10"/>
  <c r="D67" i="10"/>
  <c r="C67" i="10"/>
  <c r="B67" i="10"/>
  <c r="A67" i="10"/>
  <c r="H66" i="10"/>
  <c r="G66" i="10"/>
  <c r="F66" i="10"/>
  <c r="E66" i="10"/>
  <c r="D66" i="10"/>
  <c r="C66" i="10"/>
  <c r="B66" i="10"/>
  <c r="A66" i="10"/>
  <c r="H65" i="10"/>
  <c r="G65" i="10"/>
  <c r="F65" i="10"/>
  <c r="E65" i="10"/>
  <c r="D65" i="10"/>
  <c r="C65" i="10"/>
  <c r="B65" i="10"/>
  <c r="A65" i="10"/>
  <c r="H64" i="10"/>
  <c r="G64" i="10"/>
  <c r="F64" i="10"/>
  <c r="E64" i="10"/>
  <c r="D64" i="10"/>
  <c r="C64" i="10"/>
  <c r="B64" i="10"/>
  <c r="A64" i="10"/>
  <c r="H63" i="10"/>
  <c r="G63" i="10"/>
  <c r="F63" i="10"/>
  <c r="E63" i="10"/>
  <c r="D63" i="10"/>
  <c r="C63" i="10"/>
  <c r="B63" i="10"/>
  <c r="A63" i="10"/>
  <c r="H62" i="10"/>
  <c r="G62" i="10"/>
  <c r="F62" i="10"/>
  <c r="E62" i="10"/>
  <c r="D62" i="10"/>
  <c r="C62" i="10"/>
  <c r="B62" i="10"/>
  <c r="A62" i="10"/>
  <c r="H61" i="10"/>
  <c r="G61" i="10"/>
  <c r="F61" i="10"/>
  <c r="E61" i="10"/>
  <c r="D61" i="10"/>
  <c r="C61" i="10"/>
  <c r="B61" i="10"/>
  <c r="A61" i="10"/>
  <c r="H60" i="10"/>
  <c r="G60" i="10"/>
  <c r="F60" i="10"/>
  <c r="E60" i="10"/>
  <c r="D60" i="10"/>
  <c r="C60" i="10"/>
  <c r="B60" i="10"/>
  <c r="A60" i="10"/>
  <c r="H59" i="10"/>
  <c r="G59" i="10"/>
  <c r="F59" i="10"/>
  <c r="E59" i="10"/>
  <c r="D59" i="10"/>
  <c r="C59" i="10"/>
  <c r="B59" i="10"/>
  <c r="A59" i="10"/>
  <c r="H58" i="10"/>
  <c r="G58" i="10"/>
  <c r="F58" i="10"/>
  <c r="E58" i="10"/>
  <c r="D58" i="10"/>
  <c r="C58" i="10"/>
  <c r="B58" i="10"/>
  <c r="A58" i="10"/>
  <c r="H57" i="10"/>
  <c r="G57" i="10"/>
  <c r="F57" i="10"/>
  <c r="E57" i="10"/>
  <c r="D57" i="10"/>
  <c r="C57" i="10"/>
  <c r="B57" i="10"/>
  <c r="A57" i="10"/>
  <c r="H56" i="10"/>
  <c r="G56" i="10"/>
  <c r="F56" i="10"/>
  <c r="E56" i="10"/>
  <c r="D56" i="10"/>
  <c r="C56" i="10"/>
  <c r="B56" i="10"/>
  <c r="A56" i="10"/>
  <c r="H55" i="10"/>
  <c r="G55" i="10"/>
  <c r="F55" i="10"/>
  <c r="E55" i="10"/>
  <c r="D55" i="10"/>
  <c r="C55" i="10"/>
  <c r="B55" i="10"/>
  <c r="A55" i="10"/>
  <c r="H54" i="10"/>
  <c r="G54" i="10"/>
  <c r="F54" i="10"/>
  <c r="E54" i="10"/>
  <c r="D54" i="10"/>
  <c r="C54" i="10"/>
  <c r="B54" i="10"/>
  <c r="A54" i="10"/>
  <c r="H53" i="10"/>
  <c r="G53" i="10"/>
  <c r="F53" i="10"/>
  <c r="E53" i="10"/>
  <c r="D53" i="10"/>
  <c r="C53" i="10"/>
  <c r="B53" i="10"/>
  <c r="A53" i="10"/>
  <c r="H52" i="10"/>
  <c r="G52" i="10"/>
  <c r="F52" i="10"/>
  <c r="E52" i="10"/>
  <c r="D52" i="10"/>
  <c r="C52" i="10"/>
  <c r="B52" i="10"/>
  <c r="A52" i="10"/>
  <c r="H51" i="10"/>
  <c r="G51" i="10"/>
  <c r="F51" i="10"/>
  <c r="E51" i="10"/>
  <c r="D51" i="10"/>
  <c r="C51" i="10"/>
  <c r="B51" i="10"/>
  <c r="A51" i="10"/>
  <c r="H50" i="10"/>
  <c r="G50" i="10"/>
  <c r="F50" i="10"/>
  <c r="E50" i="10"/>
  <c r="D50" i="10"/>
  <c r="C50" i="10"/>
  <c r="B50" i="10"/>
  <c r="A50" i="10"/>
  <c r="H49" i="10"/>
  <c r="G49" i="10"/>
  <c r="F49" i="10"/>
  <c r="E49" i="10"/>
  <c r="D49" i="10"/>
  <c r="C49" i="10"/>
  <c r="B49" i="10"/>
  <c r="A49" i="10"/>
  <c r="H48" i="10"/>
  <c r="G48" i="10"/>
  <c r="F48" i="10"/>
  <c r="E48" i="10"/>
  <c r="D48" i="10"/>
  <c r="C48" i="10"/>
  <c r="B48" i="10"/>
  <c r="A48" i="10"/>
  <c r="H47" i="10"/>
  <c r="G47" i="10"/>
  <c r="F47" i="10"/>
  <c r="E47" i="10"/>
  <c r="D47" i="10"/>
  <c r="C47" i="10"/>
  <c r="B47" i="10"/>
  <c r="A47" i="10"/>
  <c r="H46" i="10"/>
  <c r="G46" i="10"/>
  <c r="F46" i="10"/>
  <c r="E46" i="10"/>
  <c r="D46" i="10"/>
  <c r="C46" i="10"/>
  <c r="B46" i="10"/>
  <c r="A46" i="10"/>
  <c r="H45" i="10"/>
  <c r="G45" i="10"/>
  <c r="F45" i="10"/>
  <c r="E45" i="10"/>
  <c r="D45" i="10"/>
  <c r="C45" i="10"/>
  <c r="B45" i="10"/>
  <c r="A45" i="10"/>
  <c r="H44" i="10"/>
  <c r="G44" i="10"/>
  <c r="F44" i="10"/>
  <c r="E44" i="10"/>
  <c r="D44" i="10"/>
  <c r="C44" i="10"/>
  <c r="B44" i="10"/>
  <c r="A44" i="10"/>
  <c r="H43" i="10"/>
  <c r="G43" i="10"/>
  <c r="F43" i="10"/>
  <c r="E43" i="10"/>
  <c r="D43" i="10"/>
  <c r="C43" i="10"/>
  <c r="B43" i="10"/>
  <c r="A43" i="10"/>
  <c r="H42" i="10"/>
  <c r="G42" i="10"/>
  <c r="F42" i="10"/>
  <c r="E42" i="10"/>
  <c r="D42" i="10"/>
  <c r="C42" i="10"/>
  <c r="B42" i="10"/>
  <c r="A42" i="10"/>
  <c r="H41" i="10"/>
  <c r="G41" i="10"/>
  <c r="F41" i="10"/>
  <c r="E41" i="10"/>
  <c r="D41" i="10"/>
  <c r="C41" i="10"/>
  <c r="B41" i="10"/>
  <c r="A41" i="10"/>
  <c r="H40" i="10"/>
  <c r="G40" i="10"/>
  <c r="F40" i="10"/>
  <c r="E40" i="10"/>
  <c r="D40" i="10"/>
  <c r="C40" i="10"/>
  <c r="B40" i="10"/>
  <c r="A40" i="10"/>
  <c r="H39" i="10"/>
  <c r="G39" i="10"/>
  <c r="F39" i="10"/>
  <c r="E39" i="10"/>
  <c r="D39" i="10"/>
  <c r="C39" i="10"/>
  <c r="B39" i="10"/>
  <c r="A39" i="10"/>
  <c r="H38" i="10"/>
  <c r="G38" i="10"/>
  <c r="F38" i="10"/>
  <c r="E38" i="10"/>
  <c r="D38" i="10"/>
  <c r="C38" i="10"/>
  <c r="B38" i="10"/>
  <c r="A38" i="10"/>
  <c r="H37" i="10"/>
  <c r="G37" i="10"/>
  <c r="F37" i="10"/>
  <c r="E37" i="10"/>
  <c r="D37" i="10"/>
  <c r="C37" i="10"/>
  <c r="B37" i="10"/>
  <c r="A37" i="10"/>
  <c r="H36" i="10"/>
  <c r="G36" i="10"/>
  <c r="F36" i="10"/>
  <c r="E36" i="10"/>
  <c r="D36" i="10"/>
  <c r="C36" i="10"/>
  <c r="B36" i="10"/>
  <c r="A36" i="10"/>
  <c r="H35" i="10"/>
  <c r="G35" i="10"/>
  <c r="F35" i="10"/>
  <c r="E35" i="10"/>
  <c r="D35" i="10"/>
  <c r="C35" i="10"/>
  <c r="B35" i="10"/>
  <c r="A35" i="10"/>
  <c r="H34" i="10"/>
  <c r="G34" i="10"/>
  <c r="F34" i="10"/>
  <c r="E34" i="10"/>
  <c r="D34" i="10"/>
  <c r="C34" i="10"/>
  <c r="B34" i="10"/>
  <c r="A34" i="10"/>
  <c r="H33" i="10"/>
  <c r="G33" i="10"/>
  <c r="F33" i="10"/>
  <c r="E33" i="10"/>
  <c r="D33" i="10"/>
  <c r="C33" i="10"/>
  <c r="B33" i="10"/>
  <c r="A33" i="10"/>
  <c r="H32" i="10"/>
  <c r="G32" i="10"/>
  <c r="F32" i="10"/>
  <c r="E32" i="10"/>
  <c r="D32" i="10"/>
  <c r="C32" i="10"/>
  <c r="B32" i="10"/>
  <c r="A32" i="10"/>
  <c r="H31" i="10"/>
  <c r="G31" i="10"/>
  <c r="F31" i="10"/>
  <c r="E31" i="10"/>
  <c r="D31" i="10"/>
  <c r="C31" i="10"/>
  <c r="B31" i="10"/>
  <c r="A31" i="10"/>
  <c r="H30" i="10"/>
  <c r="G30" i="10"/>
  <c r="F30" i="10"/>
  <c r="E30" i="10"/>
  <c r="D30" i="10"/>
  <c r="C30" i="10"/>
  <c r="B30" i="10"/>
  <c r="A30" i="10"/>
  <c r="H29" i="10"/>
  <c r="G29" i="10"/>
  <c r="F29" i="10"/>
  <c r="E29" i="10"/>
  <c r="D29" i="10"/>
  <c r="C29" i="10"/>
  <c r="B29" i="10"/>
  <c r="A29" i="10"/>
  <c r="H28" i="10"/>
  <c r="G28" i="10"/>
  <c r="F28" i="10"/>
  <c r="E28" i="10"/>
  <c r="D28" i="10"/>
  <c r="C28" i="10"/>
  <c r="B28" i="10"/>
  <c r="A28" i="10"/>
  <c r="H27" i="10"/>
  <c r="G27" i="10"/>
  <c r="F27" i="10"/>
  <c r="E27" i="10"/>
  <c r="D27" i="10"/>
  <c r="C27" i="10"/>
  <c r="B27" i="10"/>
  <c r="A27" i="10"/>
  <c r="H26" i="10"/>
  <c r="G26" i="10"/>
  <c r="F26" i="10"/>
  <c r="E26" i="10"/>
  <c r="D26" i="10"/>
  <c r="C26" i="10"/>
  <c r="B26" i="10"/>
  <c r="A26" i="10"/>
  <c r="H25" i="10"/>
  <c r="G25" i="10"/>
  <c r="F25" i="10"/>
  <c r="E25" i="10"/>
  <c r="D25" i="10"/>
  <c r="C25" i="10"/>
  <c r="B25" i="10"/>
  <c r="A25" i="10"/>
  <c r="H24" i="10"/>
  <c r="G24" i="10"/>
  <c r="F24" i="10"/>
  <c r="E24" i="10"/>
  <c r="D24" i="10"/>
  <c r="C24" i="10"/>
  <c r="B24" i="10"/>
  <c r="A24" i="10"/>
  <c r="H23" i="10"/>
  <c r="G23" i="10"/>
  <c r="F23" i="10"/>
  <c r="E23" i="10"/>
  <c r="D23" i="10"/>
  <c r="C23" i="10"/>
  <c r="B23" i="10"/>
  <c r="A23" i="10"/>
  <c r="H22" i="10"/>
  <c r="G22" i="10"/>
  <c r="F22" i="10"/>
  <c r="E22" i="10"/>
  <c r="D22" i="10"/>
  <c r="C22" i="10"/>
  <c r="B22" i="10"/>
  <c r="A22" i="10"/>
  <c r="H21" i="10"/>
  <c r="G21" i="10"/>
  <c r="F21" i="10"/>
  <c r="E21" i="10"/>
  <c r="D21" i="10"/>
  <c r="C21" i="10"/>
  <c r="B21" i="10"/>
  <c r="A21" i="10"/>
  <c r="H20" i="10"/>
  <c r="G20" i="10"/>
  <c r="F20" i="10"/>
  <c r="E20" i="10"/>
  <c r="D20" i="10"/>
  <c r="C20" i="10"/>
  <c r="B20" i="10"/>
  <c r="A20" i="10"/>
  <c r="H19" i="10"/>
  <c r="G19" i="10"/>
  <c r="F19" i="10"/>
  <c r="E19" i="10"/>
  <c r="D19" i="10"/>
  <c r="C19" i="10"/>
  <c r="B19" i="10"/>
  <c r="A19" i="10"/>
  <c r="H18" i="10"/>
  <c r="G18" i="10"/>
  <c r="F18" i="10"/>
  <c r="E18" i="10"/>
  <c r="D18" i="10"/>
  <c r="C18" i="10"/>
  <c r="B18" i="10"/>
  <c r="A18" i="10"/>
  <c r="H17" i="10"/>
  <c r="G17" i="10"/>
  <c r="F17" i="10"/>
  <c r="E17" i="10"/>
  <c r="D17" i="10"/>
  <c r="C17" i="10"/>
  <c r="B17" i="10"/>
  <c r="A17" i="10"/>
  <c r="H16" i="10"/>
  <c r="G16" i="10"/>
  <c r="F16" i="10"/>
  <c r="E16" i="10"/>
  <c r="D16" i="10"/>
  <c r="C16" i="10"/>
  <c r="B16" i="10"/>
  <c r="A16" i="10"/>
  <c r="H15" i="10"/>
  <c r="G15" i="10"/>
  <c r="F15" i="10"/>
  <c r="E15" i="10"/>
  <c r="D15" i="10"/>
  <c r="C15" i="10"/>
  <c r="B15" i="10"/>
  <c r="A15" i="10"/>
  <c r="H14" i="10"/>
  <c r="G14" i="10"/>
  <c r="F14" i="10"/>
  <c r="E14" i="10"/>
  <c r="D14" i="10"/>
  <c r="C14" i="10"/>
  <c r="B14" i="10"/>
  <c r="A14" i="10"/>
  <c r="H13" i="10"/>
  <c r="G13" i="10"/>
  <c r="F13" i="10"/>
  <c r="E13" i="10"/>
  <c r="D13" i="10"/>
  <c r="C13" i="10"/>
  <c r="B13" i="10"/>
  <c r="A13" i="10"/>
  <c r="H12" i="10"/>
  <c r="G12" i="10"/>
  <c r="F12" i="10"/>
  <c r="E12" i="10"/>
  <c r="D12" i="10"/>
  <c r="C12" i="10"/>
  <c r="B12" i="10"/>
  <c r="A12" i="10"/>
  <c r="H11" i="10"/>
  <c r="G11" i="10"/>
  <c r="F11" i="10"/>
  <c r="E11" i="10"/>
  <c r="D11" i="10"/>
  <c r="C11" i="10"/>
  <c r="B11" i="10"/>
  <c r="A11" i="10"/>
  <c r="H10" i="10"/>
  <c r="G10" i="10"/>
  <c r="F10" i="10"/>
  <c r="E10" i="10"/>
  <c r="D10" i="10"/>
  <c r="C10" i="10"/>
  <c r="B10" i="10"/>
  <c r="A10" i="10"/>
  <c r="H9" i="10"/>
  <c r="G9" i="10"/>
  <c r="F9" i="10"/>
  <c r="E9" i="10"/>
  <c r="D9" i="10"/>
  <c r="C9" i="10"/>
  <c r="B9" i="10"/>
  <c r="A9" i="10"/>
  <c r="H8" i="10"/>
  <c r="G8" i="10"/>
  <c r="F8" i="10"/>
  <c r="E8" i="10"/>
  <c r="D8" i="10"/>
  <c r="C8" i="10"/>
  <c r="B8" i="10"/>
  <c r="A8" i="10"/>
  <c r="H7" i="10"/>
  <c r="G7" i="10"/>
  <c r="F7" i="10"/>
  <c r="E7" i="10"/>
  <c r="D7" i="10"/>
  <c r="C7" i="10"/>
  <c r="B7" i="10"/>
  <c r="A7" i="10"/>
  <c r="H6" i="10"/>
  <c r="G6" i="10"/>
  <c r="F6" i="10"/>
  <c r="E6" i="10"/>
  <c r="D6" i="10"/>
  <c r="C6" i="10"/>
  <c r="B6" i="10"/>
  <c r="A6" i="10"/>
  <c r="H5" i="10"/>
  <c r="G5" i="10"/>
  <c r="F5" i="10"/>
  <c r="E5" i="10"/>
  <c r="D5" i="10"/>
  <c r="C5" i="10"/>
  <c r="B5" i="10"/>
  <c r="A5" i="10"/>
  <c r="H4" i="10"/>
  <c r="G4" i="10"/>
  <c r="F4" i="10"/>
  <c r="E4" i="10"/>
  <c r="D4" i="10"/>
  <c r="C4" i="10"/>
  <c r="B4" i="10"/>
  <c r="A4" i="10"/>
  <c r="H3" i="10"/>
  <c r="G3" i="10"/>
  <c r="F3" i="10"/>
  <c r="E3" i="10"/>
  <c r="D3" i="10"/>
  <c r="C3" i="10"/>
  <c r="B3" i="10"/>
  <c r="A3" i="10"/>
  <c r="H2" i="10"/>
  <c r="G2" i="10"/>
  <c r="F2" i="10"/>
  <c r="E2" i="10"/>
  <c r="D2" i="10"/>
  <c r="C2" i="10"/>
  <c r="B2" i="10"/>
  <c r="A2" i="10"/>
  <c r="H1" i="10"/>
  <c r="G1" i="10"/>
  <c r="F1" i="10"/>
  <c r="E1" i="10"/>
  <c r="D1" i="10"/>
  <c r="C1" i="10"/>
  <c r="B1" i="10"/>
  <c r="A1" i="10"/>
  <c r="H290" i="9"/>
  <c r="G290" i="9"/>
  <c r="F290" i="9"/>
  <c r="E290" i="9"/>
  <c r="D290" i="9"/>
  <c r="C290" i="9"/>
  <c r="B290" i="9"/>
  <c r="A290" i="9"/>
  <c r="H289" i="9"/>
  <c r="G289" i="9"/>
  <c r="F289" i="9"/>
  <c r="E289" i="9"/>
  <c r="D289" i="9"/>
  <c r="C289" i="9"/>
  <c r="B289" i="9"/>
  <c r="A289" i="9"/>
  <c r="H288" i="9"/>
  <c r="G288" i="9"/>
  <c r="F288" i="9"/>
  <c r="E288" i="9"/>
  <c r="D288" i="9"/>
  <c r="C288" i="9"/>
  <c r="B288" i="9"/>
  <c r="A288" i="9"/>
  <c r="H287" i="9"/>
  <c r="G287" i="9"/>
  <c r="F287" i="9"/>
  <c r="E287" i="9"/>
  <c r="D287" i="9"/>
  <c r="C287" i="9"/>
  <c r="B287" i="9"/>
  <c r="A287" i="9"/>
  <c r="H286" i="9"/>
  <c r="G286" i="9"/>
  <c r="F286" i="9"/>
  <c r="E286" i="9"/>
  <c r="D286" i="9"/>
  <c r="C286" i="9"/>
  <c r="B286" i="9"/>
  <c r="A286" i="9"/>
  <c r="H285" i="9"/>
  <c r="G285" i="9"/>
  <c r="F285" i="9"/>
  <c r="E285" i="9"/>
  <c r="D285" i="9"/>
  <c r="C285" i="9"/>
  <c r="B285" i="9"/>
  <c r="A285" i="9"/>
  <c r="H284" i="9"/>
  <c r="G284" i="9"/>
  <c r="F284" i="9"/>
  <c r="E284" i="9"/>
  <c r="D284" i="9"/>
  <c r="C284" i="9"/>
  <c r="B284" i="9"/>
  <c r="A284" i="9"/>
  <c r="H283" i="9"/>
  <c r="G283" i="9"/>
  <c r="F283" i="9"/>
  <c r="E283" i="9"/>
  <c r="D283" i="9"/>
  <c r="C283" i="9"/>
  <c r="B283" i="9"/>
  <c r="A283" i="9"/>
  <c r="H282" i="9"/>
  <c r="G282" i="9"/>
  <c r="F282" i="9"/>
  <c r="E282" i="9"/>
  <c r="D282" i="9"/>
  <c r="C282" i="9"/>
  <c r="B282" i="9"/>
  <c r="A282" i="9"/>
  <c r="H281" i="9"/>
  <c r="G281" i="9"/>
  <c r="F281" i="9"/>
  <c r="E281" i="9"/>
  <c r="D281" i="9"/>
  <c r="C281" i="9"/>
  <c r="B281" i="9"/>
  <c r="A281" i="9"/>
  <c r="H280" i="9"/>
  <c r="G280" i="9"/>
  <c r="F280" i="9"/>
  <c r="E280" i="9"/>
  <c r="D280" i="9"/>
  <c r="C280" i="9"/>
  <c r="B280" i="9"/>
  <c r="A280" i="9"/>
  <c r="H279" i="9"/>
  <c r="G279" i="9"/>
  <c r="F279" i="9"/>
  <c r="E279" i="9"/>
  <c r="D279" i="9"/>
  <c r="C279" i="9"/>
  <c r="B279" i="9"/>
  <c r="A279" i="9"/>
  <c r="H278" i="9"/>
  <c r="G278" i="9"/>
  <c r="F278" i="9"/>
  <c r="E278" i="9"/>
  <c r="D278" i="9"/>
  <c r="C278" i="9"/>
  <c r="B278" i="9"/>
  <c r="A278" i="9"/>
  <c r="H277" i="9"/>
  <c r="G277" i="9"/>
  <c r="F277" i="9"/>
  <c r="E277" i="9"/>
  <c r="D277" i="9"/>
  <c r="C277" i="9"/>
  <c r="B277" i="9"/>
  <c r="A277" i="9"/>
  <c r="H276" i="9"/>
  <c r="G276" i="9"/>
  <c r="F276" i="9"/>
  <c r="E276" i="9"/>
  <c r="D276" i="9"/>
  <c r="C276" i="9"/>
  <c r="B276" i="9"/>
  <c r="A276" i="9"/>
  <c r="H275" i="9"/>
  <c r="G275" i="9"/>
  <c r="F275" i="9"/>
  <c r="E275" i="9"/>
  <c r="D275" i="9"/>
  <c r="C275" i="9"/>
  <c r="B275" i="9"/>
  <c r="A275" i="9"/>
  <c r="H274" i="9"/>
  <c r="G274" i="9"/>
  <c r="F274" i="9"/>
  <c r="E274" i="9"/>
  <c r="D274" i="9"/>
  <c r="C274" i="9"/>
  <c r="B274" i="9"/>
  <c r="A274" i="9"/>
  <c r="H273" i="9"/>
  <c r="G273" i="9"/>
  <c r="F273" i="9"/>
  <c r="E273" i="9"/>
  <c r="D273" i="9"/>
  <c r="C273" i="9"/>
  <c r="B273" i="9"/>
  <c r="A273" i="9"/>
  <c r="H272" i="9"/>
  <c r="G272" i="9"/>
  <c r="F272" i="9"/>
  <c r="E272" i="9"/>
  <c r="D272" i="9"/>
  <c r="C272" i="9"/>
  <c r="B272" i="9"/>
  <c r="A272" i="9"/>
  <c r="H271" i="9"/>
  <c r="G271" i="9"/>
  <c r="F271" i="9"/>
  <c r="E271" i="9"/>
  <c r="D271" i="9"/>
  <c r="C271" i="9"/>
  <c r="B271" i="9"/>
  <c r="A271" i="9"/>
  <c r="H270" i="9"/>
  <c r="G270" i="9"/>
  <c r="F270" i="9"/>
  <c r="E270" i="9"/>
  <c r="D270" i="9"/>
  <c r="C270" i="9"/>
  <c r="B270" i="9"/>
  <c r="A270" i="9"/>
  <c r="H269" i="9"/>
  <c r="G269" i="9"/>
  <c r="F269" i="9"/>
  <c r="E269" i="9"/>
  <c r="D269" i="9"/>
  <c r="C269" i="9"/>
  <c r="B269" i="9"/>
  <c r="A269" i="9"/>
  <c r="H268" i="9"/>
  <c r="G268" i="9"/>
  <c r="F268" i="9"/>
  <c r="E268" i="9"/>
  <c r="D268" i="9"/>
  <c r="C268" i="9"/>
  <c r="B268" i="9"/>
  <c r="A268" i="9"/>
  <c r="H267" i="9"/>
  <c r="G267" i="9"/>
  <c r="F267" i="9"/>
  <c r="E267" i="9"/>
  <c r="D267" i="9"/>
  <c r="C267" i="9"/>
  <c r="B267" i="9"/>
  <c r="A267" i="9"/>
  <c r="H266" i="9"/>
  <c r="G266" i="9"/>
  <c r="F266" i="9"/>
  <c r="E266" i="9"/>
  <c r="D266" i="9"/>
  <c r="C266" i="9"/>
  <c r="B266" i="9"/>
  <c r="A266" i="9"/>
  <c r="H265" i="9"/>
  <c r="G265" i="9"/>
  <c r="F265" i="9"/>
  <c r="E265" i="9"/>
  <c r="D265" i="9"/>
  <c r="C265" i="9"/>
  <c r="B265" i="9"/>
  <c r="A265" i="9"/>
  <c r="H264" i="9"/>
  <c r="G264" i="9"/>
  <c r="F264" i="9"/>
  <c r="E264" i="9"/>
  <c r="D264" i="9"/>
  <c r="C264" i="9"/>
  <c r="B264" i="9"/>
  <c r="A264" i="9"/>
  <c r="H263" i="9"/>
  <c r="G263" i="9"/>
  <c r="F263" i="9"/>
  <c r="E263" i="9"/>
  <c r="D263" i="9"/>
  <c r="C263" i="9"/>
  <c r="B263" i="9"/>
  <c r="A263" i="9"/>
  <c r="H262" i="9"/>
  <c r="G262" i="9"/>
  <c r="F262" i="9"/>
  <c r="E262" i="9"/>
  <c r="D262" i="9"/>
  <c r="C262" i="9"/>
  <c r="B262" i="9"/>
  <c r="A262" i="9"/>
  <c r="H261" i="9"/>
  <c r="G261" i="9"/>
  <c r="F261" i="9"/>
  <c r="E261" i="9"/>
  <c r="D261" i="9"/>
  <c r="C261" i="9"/>
  <c r="B261" i="9"/>
  <c r="A261" i="9"/>
  <c r="H260" i="9"/>
  <c r="G260" i="9"/>
  <c r="F260" i="9"/>
  <c r="E260" i="9"/>
  <c r="D260" i="9"/>
  <c r="C260" i="9"/>
  <c r="B260" i="9"/>
  <c r="A260" i="9"/>
  <c r="H259" i="9"/>
  <c r="G259" i="9"/>
  <c r="F259" i="9"/>
  <c r="E259" i="9"/>
  <c r="D259" i="9"/>
  <c r="C259" i="9"/>
  <c r="B259" i="9"/>
  <c r="A259" i="9"/>
  <c r="H258" i="9"/>
  <c r="G258" i="9"/>
  <c r="F258" i="9"/>
  <c r="E258" i="9"/>
  <c r="D258" i="9"/>
  <c r="C258" i="9"/>
  <c r="B258" i="9"/>
  <c r="A258" i="9"/>
  <c r="H257" i="9"/>
  <c r="G257" i="9"/>
  <c r="F257" i="9"/>
  <c r="E257" i="9"/>
  <c r="D257" i="9"/>
  <c r="C257" i="9"/>
  <c r="B257" i="9"/>
  <c r="A257" i="9"/>
  <c r="H256" i="9"/>
  <c r="G256" i="9"/>
  <c r="F256" i="9"/>
  <c r="E256" i="9"/>
  <c r="D256" i="9"/>
  <c r="C256" i="9"/>
  <c r="B256" i="9"/>
  <c r="A256" i="9"/>
  <c r="H255" i="9"/>
  <c r="G255" i="9"/>
  <c r="F255" i="9"/>
  <c r="E255" i="9"/>
  <c r="D255" i="9"/>
  <c r="C255" i="9"/>
  <c r="B255" i="9"/>
  <c r="A255" i="9"/>
  <c r="H254" i="9"/>
  <c r="G254" i="9"/>
  <c r="F254" i="9"/>
  <c r="E254" i="9"/>
  <c r="D254" i="9"/>
  <c r="C254" i="9"/>
  <c r="B254" i="9"/>
  <c r="A254" i="9"/>
  <c r="H253" i="9"/>
  <c r="G253" i="9"/>
  <c r="F253" i="9"/>
  <c r="E253" i="9"/>
  <c r="D253" i="9"/>
  <c r="C253" i="9"/>
  <c r="B253" i="9"/>
  <c r="A253" i="9"/>
  <c r="H252" i="9"/>
  <c r="G252" i="9"/>
  <c r="F252" i="9"/>
  <c r="E252" i="9"/>
  <c r="D252" i="9"/>
  <c r="C252" i="9"/>
  <c r="B252" i="9"/>
  <c r="A252" i="9"/>
  <c r="H251" i="9"/>
  <c r="G251" i="9"/>
  <c r="F251" i="9"/>
  <c r="E251" i="9"/>
  <c r="D251" i="9"/>
  <c r="C251" i="9"/>
  <c r="B251" i="9"/>
  <c r="A251" i="9"/>
  <c r="H250" i="9"/>
  <c r="G250" i="9"/>
  <c r="F250" i="9"/>
  <c r="E250" i="9"/>
  <c r="D250" i="9"/>
  <c r="C250" i="9"/>
  <c r="B250" i="9"/>
  <c r="A250" i="9"/>
  <c r="H249" i="9"/>
  <c r="G249" i="9"/>
  <c r="F249" i="9"/>
  <c r="E249" i="9"/>
  <c r="D249" i="9"/>
  <c r="C249" i="9"/>
  <c r="B249" i="9"/>
  <c r="A249" i="9"/>
  <c r="H248" i="9"/>
  <c r="G248" i="9"/>
  <c r="F248" i="9"/>
  <c r="E248" i="9"/>
  <c r="D248" i="9"/>
  <c r="C248" i="9"/>
  <c r="B248" i="9"/>
  <c r="A248" i="9"/>
  <c r="H247" i="9"/>
  <c r="G247" i="9"/>
  <c r="F247" i="9"/>
  <c r="E247" i="9"/>
  <c r="D247" i="9"/>
  <c r="C247" i="9"/>
  <c r="B247" i="9"/>
  <c r="A247" i="9"/>
  <c r="H246" i="9"/>
  <c r="G246" i="9"/>
  <c r="F246" i="9"/>
  <c r="E246" i="9"/>
  <c r="D246" i="9"/>
  <c r="C246" i="9"/>
  <c r="B246" i="9"/>
  <c r="A246" i="9"/>
  <c r="H245" i="9"/>
  <c r="G245" i="9"/>
  <c r="F245" i="9"/>
  <c r="E245" i="9"/>
  <c r="D245" i="9"/>
  <c r="C245" i="9"/>
  <c r="B245" i="9"/>
  <c r="A245" i="9"/>
  <c r="H244" i="9"/>
  <c r="G244" i="9"/>
  <c r="F244" i="9"/>
  <c r="E244" i="9"/>
  <c r="D244" i="9"/>
  <c r="C244" i="9"/>
  <c r="B244" i="9"/>
  <c r="A244" i="9"/>
  <c r="H243" i="9"/>
  <c r="G243" i="9"/>
  <c r="F243" i="9"/>
  <c r="E243" i="9"/>
  <c r="D243" i="9"/>
  <c r="C243" i="9"/>
  <c r="B243" i="9"/>
  <c r="A243" i="9"/>
  <c r="H242" i="9"/>
  <c r="G242" i="9"/>
  <c r="F242" i="9"/>
  <c r="E242" i="9"/>
  <c r="D242" i="9"/>
  <c r="C242" i="9"/>
  <c r="B242" i="9"/>
  <c r="A242" i="9"/>
  <c r="H241" i="9"/>
  <c r="G241" i="9"/>
  <c r="F241" i="9"/>
  <c r="E241" i="9"/>
  <c r="D241" i="9"/>
  <c r="C241" i="9"/>
  <c r="B241" i="9"/>
  <c r="A241" i="9"/>
  <c r="H240" i="9"/>
  <c r="G240" i="9"/>
  <c r="F240" i="9"/>
  <c r="E240" i="9"/>
  <c r="D240" i="9"/>
  <c r="C240" i="9"/>
  <c r="B240" i="9"/>
  <c r="A240" i="9"/>
  <c r="H239" i="9"/>
  <c r="G239" i="9"/>
  <c r="F239" i="9"/>
  <c r="E239" i="9"/>
  <c r="D239" i="9"/>
  <c r="C239" i="9"/>
  <c r="B239" i="9"/>
  <c r="A239" i="9"/>
  <c r="H238" i="9"/>
  <c r="G238" i="9"/>
  <c r="F238" i="9"/>
  <c r="E238" i="9"/>
  <c r="D238" i="9"/>
  <c r="C238" i="9"/>
  <c r="B238" i="9"/>
  <c r="A238" i="9"/>
  <c r="H237" i="9"/>
  <c r="G237" i="9"/>
  <c r="F237" i="9"/>
  <c r="E237" i="9"/>
  <c r="D237" i="9"/>
  <c r="C237" i="9"/>
  <c r="B237" i="9"/>
  <c r="A237" i="9"/>
  <c r="H236" i="9"/>
  <c r="G236" i="9"/>
  <c r="F236" i="9"/>
  <c r="E236" i="9"/>
  <c r="D236" i="9"/>
  <c r="C236" i="9"/>
  <c r="B236" i="9"/>
  <c r="A236" i="9"/>
  <c r="H235" i="9"/>
  <c r="G235" i="9"/>
  <c r="F235" i="9"/>
  <c r="E235" i="9"/>
  <c r="D235" i="9"/>
  <c r="C235" i="9"/>
  <c r="B235" i="9"/>
  <c r="A235" i="9"/>
  <c r="H234" i="9"/>
  <c r="G234" i="9"/>
  <c r="F234" i="9"/>
  <c r="E234" i="9"/>
  <c r="D234" i="9"/>
  <c r="C234" i="9"/>
  <c r="B234" i="9"/>
  <c r="A234" i="9"/>
  <c r="H233" i="9"/>
  <c r="G233" i="9"/>
  <c r="F233" i="9"/>
  <c r="E233" i="9"/>
  <c r="D233" i="9"/>
  <c r="C233" i="9"/>
  <c r="B233" i="9"/>
  <c r="A233" i="9"/>
  <c r="H232" i="9"/>
  <c r="G232" i="9"/>
  <c r="F232" i="9"/>
  <c r="E232" i="9"/>
  <c r="D232" i="9"/>
  <c r="C232" i="9"/>
  <c r="B232" i="9"/>
  <c r="A232" i="9"/>
  <c r="H231" i="9"/>
  <c r="G231" i="9"/>
  <c r="F231" i="9"/>
  <c r="E231" i="9"/>
  <c r="D231" i="9"/>
  <c r="C231" i="9"/>
  <c r="B231" i="9"/>
  <c r="A231" i="9"/>
  <c r="H230" i="9"/>
  <c r="G230" i="9"/>
  <c r="F230" i="9"/>
  <c r="E230" i="9"/>
  <c r="D230" i="9"/>
  <c r="C230" i="9"/>
  <c r="B230" i="9"/>
  <c r="A230" i="9"/>
  <c r="H229" i="9"/>
  <c r="G229" i="9"/>
  <c r="F229" i="9"/>
  <c r="E229" i="9"/>
  <c r="D229" i="9"/>
  <c r="C229" i="9"/>
  <c r="B229" i="9"/>
  <c r="A229" i="9"/>
  <c r="H228" i="9"/>
  <c r="G228" i="9"/>
  <c r="F228" i="9"/>
  <c r="E228" i="9"/>
  <c r="D228" i="9"/>
  <c r="C228" i="9"/>
  <c r="B228" i="9"/>
  <c r="A228" i="9"/>
  <c r="H227" i="9"/>
  <c r="G227" i="9"/>
  <c r="F227" i="9"/>
  <c r="E227" i="9"/>
  <c r="D227" i="9"/>
  <c r="C227" i="9"/>
  <c r="B227" i="9"/>
  <c r="A227" i="9"/>
  <c r="H226" i="9"/>
  <c r="G226" i="9"/>
  <c r="F226" i="9"/>
  <c r="E226" i="9"/>
  <c r="D226" i="9"/>
  <c r="C226" i="9"/>
  <c r="B226" i="9"/>
  <c r="A226" i="9"/>
  <c r="H225" i="9"/>
  <c r="G225" i="9"/>
  <c r="F225" i="9"/>
  <c r="E225" i="9"/>
  <c r="D225" i="9"/>
  <c r="C225" i="9"/>
  <c r="B225" i="9"/>
  <c r="A225" i="9"/>
  <c r="H224" i="9"/>
  <c r="G224" i="9"/>
  <c r="F224" i="9"/>
  <c r="E224" i="9"/>
  <c r="D224" i="9"/>
  <c r="C224" i="9"/>
  <c r="B224" i="9"/>
  <c r="A224" i="9"/>
  <c r="H223" i="9"/>
  <c r="G223" i="9"/>
  <c r="F223" i="9"/>
  <c r="E223" i="9"/>
  <c r="D223" i="9"/>
  <c r="C223" i="9"/>
  <c r="B223" i="9"/>
  <c r="A223" i="9"/>
  <c r="H222" i="9"/>
  <c r="G222" i="9"/>
  <c r="F222" i="9"/>
  <c r="E222" i="9"/>
  <c r="D222" i="9"/>
  <c r="C222" i="9"/>
  <c r="B222" i="9"/>
  <c r="A222" i="9"/>
  <c r="H221" i="9"/>
  <c r="G221" i="9"/>
  <c r="F221" i="9"/>
  <c r="E221" i="9"/>
  <c r="D221" i="9"/>
  <c r="C221" i="9"/>
  <c r="B221" i="9"/>
  <c r="A221" i="9"/>
  <c r="H220" i="9"/>
  <c r="G220" i="9"/>
  <c r="F220" i="9"/>
  <c r="E220" i="9"/>
  <c r="D220" i="9"/>
  <c r="C220" i="9"/>
  <c r="B220" i="9"/>
  <c r="A220" i="9"/>
  <c r="H219" i="9"/>
  <c r="G219" i="9"/>
  <c r="F219" i="9"/>
  <c r="E219" i="9"/>
  <c r="D219" i="9"/>
  <c r="C219" i="9"/>
  <c r="B219" i="9"/>
  <c r="A219" i="9"/>
  <c r="H218" i="9"/>
  <c r="G218" i="9"/>
  <c r="F218" i="9"/>
  <c r="E218" i="9"/>
  <c r="D218" i="9"/>
  <c r="C218" i="9"/>
  <c r="B218" i="9"/>
  <c r="A218" i="9"/>
  <c r="H217" i="9"/>
  <c r="G217" i="9"/>
  <c r="F217" i="9"/>
  <c r="E217" i="9"/>
  <c r="D217" i="9"/>
  <c r="C217" i="9"/>
  <c r="B217" i="9"/>
  <c r="A217" i="9"/>
  <c r="H216" i="9"/>
  <c r="G216" i="9"/>
  <c r="F216" i="9"/>
  <c r="E216" i="9"/>
  <c r="D216" i="9"/>
  <c r="C216" i="9"/>
  <c r="B216" i="9"/>
  <c r="A216" i="9"/>
  <c r="H215" i="9"/>
  <c r="G215" i="9"/>
  <c r="F215" i="9"/>
  <c r="E215" i="9"/>
  <c r="D215" i="9"/>
  <c r="C215" i="9"/>
  <c r="B215" i="9"/>
  <c r="A215" i="9"/>
  <c r="H214" i="9"/>
  <c r="G214" i="9"/>
  <c r="F214" i="9"/>
  <c r="E214" i="9"/>
  <c r="D214" i="9"/>
  <c r="C214" i="9"/>
  <c r="B214" i="9"/>
  <c r="A214" i="9"/>
  <c r="H213" i="9"/>
  <c r="G213" i="9"/>
  <c r="F213" i="9"/>
  <c r="E213" i="9"/>
  <c r="D213" i="9"/>
  <c r="C213" i="9"/>
  <c r="B213" i="9"/>
  <c r="A213" i="9"/>
  <c r="H212" i="9"/>
  <c r="G212" i="9"/>
  <c r="F212" i="9"/>
  <c r="E212" i="9"/>
  <c r="D212" i="9"/>
  <c r="C212" i="9"/>
  <c r="B212" i="9"/>
  <c r="A212" i="9"/>
  <c r="H211" i="9"/>
  <c r="G211" i="9"/>
  <c r="F211" i="9"/>
  <c r="E211" i="9"/>
  <c r="D211" i="9"/>
  <c r="C211" i="9"/>
  <c r="B211" i="9"/>
  <c r="A211" i="9"/>
  <c r="H210" i="9"/>
  <c r="G210" i="9"/>
  <c r="F210" i="9"/>
  <c r="E210" i="9"/>
  <c r="D210" i="9"/>
  <c r="C210" i="9"/>
  <c r="B210" i="9"/>
  <c r="A210" i="9"/>
  <c r="H209" i="9"/>
  <c r="G209" i="9"/>
  <c r="F209" i="9"/>
  <c r="E209" i="9"/>
  <c r="D209" i="9"/>
  <c r="C209" i="9"/>
  <c r="B209" i="9"/>
  <c r="A209" i="9"/>
  <c r="H208" i="9"/>
  <c r="G208" i="9"/>
  <c r="F208" i="9"/>
  <c r="E208" i="9"/>
  <c r="D208" i="9"/>
  <c r="C208" i="9"/>
  <c r="B208" i="9"/>
  <c r="A208" i="9"/>
  <c r="H207" i="9"/>
  <c r="G207" i="9"/>
  <c r="F207" i="9"/>
  <c r="E207" i="9"/>
  <c r="D207" i="9"/>
  <c r="C207" i="9"/>
  <c r="B207" i="9"/>
  <c r="A207" i="9"/>
  <c r="H206" i="9"/>
  <c r="G206" i="9"/>
  <c r="F206" i="9"/>
  <c r="E206" i="9"/>
  <c r="D206" i="9"/>
  <c r="C206" i="9"/>
  <c r="B206" i="9"/>
  <c r="A206" i="9"/>
  <c r="H205" i="9"/>
  <c r="G205" i="9"/>
  <c r="F205" i="9"/>
  <c r="E205" i="9"/>
  <c r="D205" i="9"/>
  <c r="C205" i="9"/>
  <c r="B205" i="9"/>
  <c r="A205" i="9"/>
  <c r="H204" i="9"/>
  <c r="G204" i="9"/>
  <c r="F204" i="9"/>
  <c r="E204" i="9"/>
  <c r="D204" i="9"/>
  <c r="C204" i="9"/>
  <c r="B204" i="9"/>
  <c r="A204" i="9"/>
  <c r="H203" i="9"/>
  <c r="G203" i="9"/>
  <c r="F203" i="9"/>
  <c r="E203" i="9"/>
  <c r="D203" i="9"/>
  <c r="C203" i="9"/>
  <c r="B203" i="9"/>
  <c r="A203" i="9"/>
  <c r="H202" i="9"/>
  <c r="G202" i="9"/>
  <c r="F202" i="9"/>
  <c r="E202" i="9"/>
  <c r="D202" i="9"/>
  <c r="C202" i="9"/>
  <c r="B202" i="9"/>
  <c r="A202" i="9"/>
  <c r="H201" i="9"/>
  <c r="G201" i="9"/>
  <c r="F201" i="9"/>
  <c r="E201" i="9"/>
  <c r="D201" i="9"/>
  <c r="C201" i="9"/>
  <c r="B201" i="9"/>
  <c r="A201" i="9"/>
  <c r="H200" i="9"/>
  <c r="G200" i="9"/>
  <c r="F200" i="9"/>
  <c r="E200" i="9"/>
  <c r="D200" i="9"/>
  <c r="C200" i="9"/>
  <c r="B200" i="9"/>
  <c r="A200" i="9"/>
  <c r="H199" i="9"/>
  <c r="G199" i="9"/>
  <c r="F199" i="9"/>
  <c r="E199" i="9"/>
  <c r="D199" i="9"/>
  <c r="C199" i="9"/>
  <c r="B199" i="9"/>
  <c r="A199" i="9"/>
  <c r="H198" i="9"/>
  <c r="G198" i="9"/>
  <c r="F198" i="9"/>
  <c r="E198" i="9"/>
  <c r="D198" i="9"/>
  <c r="C198" i="9"/>
  <c r="B198" i="9"/>
  <c r="A198" i="9"/>
  <c r="H197" i="9"/>
  <c r="G197" i="9"/>
  <c r="F197" i="9"/>
  <c r="E197" i="9"/>
  <c r="D197" i="9"/>
  <c r="C197" i="9"/>
  <c r="B197" i="9"/>
  <c r="A197" i="9"/>
  <c r="H196" i="9"/>
  <c r="G196" i="9"/>
  <c r="F196" i="9"/>
  <c r="E196" i="9"/>
  <c r="D196" i="9"/>
  <c r="C196" i="9"/>
  <c r="B196" i="9"/>
  <c r="A196" i="9"/>
  <c r="H195" i="9"/>
  <c r="G195" i="9"/>
  <c r="F195" i="9"/>
  <c r="E195" i="9"/>
  <c r="D195" i="9"/>
  <c r="C195" i="9"/>
  <c r="B195" i="9"/>
  <c r="A195" i="9"/>
  <c r="H194" i="9"/>
  <c r="G194" i="9"/>
  <c r="F194" i="9"/>
  <c r="E194" i="9"/>
  <c r="D194" i="9"/>
  <c r="C194" i="9"/>
  <c r="B194" i="9"/>
  <c r="A194" i="9"/>
  <c r="H193" i="9"/>
  <c r="G193" i="9"/>
  <c r="F193" i="9"/>
  <c r="E193" i="9"/>
  <c r="D193" i="9"/>
  <c r="C193" i="9"/>
  <c r="B193" i="9"/>
  <c r="A193" i="9"/>
  <c r="H192" i="9"/>
  <c r="G192" i="9"/>
  <c r="F192" i="9"/>
  <c r="E192" i="9"/>
  <c r="D192" i="9"/>
  <c r="C192" i="9"/>
  <c r="B192" i="9"/>
  <c r="A192" i="9"/>
  <c r="H191" i="9"/>
  <c r="G191" i="9"/>
  <c r="F191" i="9"/>
  <c r="E191" i="9"/>
  <c r="D191" i="9"/>
  <c r="C191" i="9"/>
  <c r="B191" i="9"/>
  <c r="A191" i="9"/>
  <c r="H190" i="9"/>
  <c r="G190" i="9"/>
  <c r="F190" i="9"/>
  <c r="E190" i="9"/>
  <c r="D190" i="9"/>
  <c r="C190" i="9"/>
  <c r="B190" i="9"/>
  <c r="A190" i="9"/>
  <c r="H189" i="9"/>
  <c r="G189" i="9"/>
  <c r="F189" i="9"/>
  <c r="E189" i="9"/>
  <c r="D189" i="9"/>
  <c r="C189" i="9"/>
  <c r="B189" i="9"/>
  <c r="A189" i="9"/>
  <c r="H188" i="9"/>
  <c r="G188" i="9"/>
  <c r="F188" i="9"/>
  <c r="E188" i="9"/>
  <c r="D188" i="9"/>
  <c r="C188" i="9"/>
  <c r="B188" i="9"/>
  <c r="A188" i="9"/>
  <c r="H187" i="9"/>
  <c r="G187" i="9"/>
  <c r="F187" i="9"/>
  <c r="E187" i="9"/>
  <c r="D187" i="9"/>
  <c r="C187" i="9"/>
  <c r="B187" i="9"/>
  <c r="A187" i="9"/>
  <c r="H186" i="9"/>
  <c r="G186" i="9"/>
  <c r="F186" i="9"/>
  <c r="E186" i="9"/>
  <c r="D186" i="9"/>
  <c r="C186" i="9"/>
  <c r="B186" i="9"/>
  <c r="A186" i="9"/>
  <c r="H185" i="9"/>
  <c r="G185" i="9"/>
  <c r="F185" i="9"/>
  <c r="E185" i="9"/>
  <c r="D185" i="9"/>
  <c r="C185" i="9"/>
  <c r="B185" i="9"/>
  <c r="A185" i="9"/>
  <c r="H184" i="9"/>
  <c r="G184" i="9"/>
  <c r="F184" i="9"/>
  <c r="E184" i="9"/>
  <c r="D184" i="9"/>
  <c r="C184" i="9"/>
  <c r="B184" i="9"/>
  <c r="A184" i="9"/>
  <c r="H183" i="9"/>
  <c r="G183" i="9"/>
  <c r="F183" i="9"/>
  <c r="E183" i="9"/>
  <c r="D183" i="9"/>
  <c r="C183" i="9"/>
  <c r="B183" i="9"/>
  <c r="A183" i="9"/>
  <c r="H182" i="9"/>
  <c r="G182" i="9"/>
  <c r="F182" i="9"/>
  <c r="E182" i="9"/>
  <c r="D182" i="9"/>
  <c r="C182" i="9"/>
  <c r="B182" i="9"/>
  <c r="A182" i="9"/>
  <c r="H181" i="9"/>
  <c r="G181" i="9"/>
  <c r="F181" i="9"/>
  <c r="E181" i="9"/>
  <c r="D181" i="9"/>
  <c r="C181" i="9"/>
  <c r="B181" i="9"/>
  <c r="A181" i="9"/>
  <c r="H180" i="9"/>
  <c r="G180" i="9"/>
  <c r="F180" i="9"/>
  <c r="E180" i="9"/>
  <c r="D180" i="9"/>
  <c r="C180" i="9"/>
  <c r="B180" i="9"/>
  <c r="A180" i="9"/>
  <c r="H179" i="9"/>
  <c r="G179" i="9"/>
  <c r="F179" i="9"/>
  <c r="E179" i="9"/>
  <c r="D179" i="9"/>
  <c r="C179" i="9"/>
  <c r="B179" i="9"/>
  <c r="A179" i="9"/>
  <c r="H178" i="9"/>
  <c r="G178" i="9"/>
  <c r="F178" i="9"/>
  <c r="E178" i="9"/>
  <c r="D178" i="9"/>
  <c r="C178" i="9"/>
  <c r="B178" i="9"/>
  <c r="A178" i="9"/>
  <c r="H177" i="9"/>
  <c r="G177" i="9"/>
  <c r="F177" i="9"/>
  <c r="E177" i="9"/>
  <c r="D177" i="9"/>
  <c r="C177" i="9"/>
  <c r="B177" i="9"/>
  <c r="A177" i="9"/>
  <c r="H176" i="9"/>
  <c r="G176" i="9"/>
  <c r="F176" i="9"/>
  <c r="E176" i="9"/>
  <c r="D176" i="9"/>
  <c r="C176" i="9"/>
  <c r="B176" i="9"/>
  <c r="A176" i="9"/>
  <c r="H175" i="9"/>
  <c r="G175" i="9"/>
  <c r="F175" i="9"/>
  <c r="E175" i="9"/>
  <c r="D175" i="9"/>
  <c r="C175" i="9"/>
  <c r="B175" i="9"/>
  <c r="A175" i="9"/>
  <c r="H174" i="9"/>
  <c r="G174" i="9"/>
  <c r="F174" i="9"/>
  <c r="E174" i="9"/>
  <c r="D174" i="9"/>
  <c r="C174" i="9"/>
  <c r="B174" i="9"/>
  <c r="A174" i="9"/>
  <c r="H173" i="9"/>
  <c r="G173" i="9"/>
  <c r="F173" i="9"/>
  <c r="E173" i="9"/>
  <c r="D173" i="9"/>
  <c r="C173" i="9"/>
  <c r="B173" i="9"/>
  <c r="A173" i="9"/>
  <c r="H172" i="9"/>
  <c r="G172" i="9"/>
  <c r="F172" i="9"/>
  <c r="E172" i="9"/>
  <c r="D172" i="9"/>
  <c r="C172" i="9"/>
  <c r="B172" i="9"/>
  <c r="A172" i="9"/>
  <c r="H171" i="9"/>
  <c r="G171" i="9"/>
  <c r="F171" i="9"/>
  <c r="E171" i="9"/>
  <c r="D171" i="9"/>
  <c r="C171" i="9"/>
  <c r="B171" i="9"/>
  <c r="A171" i="9"/>
  <c r="H170" i="9"/>
  <c r="G170" i="9"/>
  <c r="F170" i="9"/>
  <c r="E170" i="9"/>
  <c r="D170" i="9"/>
  <c r="C170" i="9"/>
  <c r="B170" i="9"/>
  <c r="A170" i="9"/>
  <c r="H169" i="9"/>
  <c r="G169" i="9"/>
  <c r="F169" i="9"/>
  <c r="E169" i="9"/>
  <c r="D169" i="9"/>
  <c r="C169" i="9"/>
  <c r="B169" i="9"/>
  <c r="A169" i="9"/>
  <c r="H168" i="9"/>
  <c r="G168" i="9"/>
  <c r="F168" i="9"/>
  <c r="E168" i="9"/>
  <c r="D168" i="9"/>
  <c r="C168" i="9"/>
  <c r="B168" i="9"/>
  <c r="A168" i="9"/>
  <c r="H167" i="9"/>
  <c r="G167" i="9"/>
  <c r="F167" i="9"/>
  <c r="E167" i="9"/>
  <c r="D167" i="9"/>
  <c r="C167" i="9"/>
  <c r="B167" i="9"/>
  <c r="A167" i="9"/>
  <c r="H166" i="9"/>
  <c r="G166" i="9"/>
  <c r="F166" i="9"/>
  <c r="E166" i="9"/>
  <c r="D166" i="9"/>
  <c r="C166" i="9"/>
  <c r="B166" i="9"/>
  <c r="A166" i="9"/>
  <c r="H165" i="9"/>
  <c r="G165" i="9"/>
  <c r="F165" i="9"/>
  <c r="E165" i="9"/>
  <c r="D165" i="9"/>
  <c r="C165" i="9"/>
  <c r="B165" i="9"/>
  <c r="A165" i="9"/>
  <c r="H164" i="9"/>
  <c r="G164" i="9"/>
  <c r="F164" i="9"/>
  <c r="E164" i="9"/>
  <c r="D164" i="9"/>
  <c r="C164" i="9"/>
  <c r="B164" i="9"/>
  <c r="A164" i="9"/>
  <c r="H163" i="9"/>
  <c r="G163" i="9"/>
  <c r="F163" i="9"/>
  <c r="E163" i="9"/>
  <c r="D163" i="9"/>
  <c r="C163" i="9"/>
  <c r="B163" i="9"/>
  <c r="A163" i="9"/>
  <c r="H162" i="9"/>
  <c r="G162" i="9"/>
  <c r="F162" i="9"/>
  <c r="E162" i="9"/>
  <c r="D162" i="9"/>
  <c r="C162" i="9"/>
  <c r="B162" i="9"/>
  <c r="A162" i="9"/>
  <c r="H161" i="9"/>
  <c r="G161" i="9"/>
  <c r="F161" i="9"/>
  <c r="E161" i="9"/>
  <c r="D161" i="9"/>
  <c r="C161" i="9"/>
  <c r="B161" i="9"/>
  <c r="A161" i="9"/>
  <c r="H160" i="9"/>
  <c r="G160" i="9"/>
  <c r="F160" i="9"/>
  <c r="E160" i="9"/>
  <c r="D160" i="9"/>
  <c r="C160" i="9"/>
  <c r="B160" i="9"/>
  <c r="A160" i="9"/>
  <c r="H159" i="9"/>
  <c r="G159" i="9"/>
  <c r="F159" i="9"/>
  <c r="E159" i="9"/>
  <c r="D159" i="9"/>
  <c r="C159" i="9"/>
  <c r="B159" i="9"/>
  <c r="A159" i="9"/>
  <c r="H158" i="9"/>
  <c r="G158" i="9"/>
  <c r="F158" i="9"/>
  <c r="E158" i="9"/>
  <c r="D158" i="9"/>
  <c r="C158" i="9"/>
  <c r="B158" i="9"/>
  <c r="A158" i="9"/>
  <c r="H157" i="9"/>
  <c r="G157" i="9"/>
  <c r="F157" i="9"/>
  <c r="E157" i="9"/>
  <c r="D157" i="9"/>
  <c r="C157" i="9"/>
  <c r="B157" i="9"/>
  <c r="A157" i="9"/>
  <c r="H156" i="9"/>
  <c r="G156" i="9"/>
  <c r="F156" i="9"/>
  <c r="E156" i="9"/>
  <c r="D156" i="9"/>
  <c r="C156" i="9"/>
  <c r="B156" i="9"/>
  <c r="A156" i="9"/>
  <c r="H155" i="9"/>
  <c r="G155" i="9"/>
  <c r="F155" i="9"/>
  <c r="E155" i="9"/>
  <c r="D155" i="9"/>
  <c r="C155" i="9"/>
  <c r="B155" i="9"/>
  <c r="A155" i="9"/>
  <c r="H154" i="9"/>
  <c r="G154" i="9"/>
  <c r="F154" i="9"/>
  <c r="E154" i="9"/>
  <c r="D154" i="9"/>
  <c r="C154" i="9"/>
  <c r="B154" i="9"/>
  <c r="A154" i="9"/>
  <c r="H153" i="9"/>
  <c r="G153" i="9"/>
  <c r="F153" i="9"/>
  <c r="E153" i="9"/>
  <c r="D153" i="9"/>
  <c r="C153" i="9"/>
  <c r="B153" i="9"/>
  <c r="A153" i="9"/>
  <c r="H152" i="9"/>
  <c r="G152" i="9"/>
  <c r="F152" i="9"/>
  <c r="E152" i="9"/>
  <c r="D152" i="9"/>
  <c r="C152" i="9"/>
  <c r="B152" i="9"/>
  <c r="A152" i="9"/>
  <c r="H151" i="9"/>
  <c r="G151" i="9"/>
  <c r="F151" i="9"/>
  <c r="E151" i="9"/>
  <c r="D151" i="9"/>
  <c r="C151" i="9"/>
  <c r="B151" i="9"/>
  <c r="A151" i="9"/>
  <c r="H150" i="9"/>
  <c r="G150" i="9"/>
  <c r="F150" i="9"/>
  <c r="E150" i="9"/>
  <c r="D150" i="9"/>
  <c r="C150" i="9"/>
  <c r="B150" i="9"/>
  <c r="A150" i="9"/>
  <c r="H149" i="9"/>
  <c r="G149" i="9"/>
  <c r="F149" i="9"/>
  <c r="E149" i="9"/>
  <c r="D149" i="9"/>
  <c r="C149" i="9"/>
  <c r="B149" i="9"/>
  <c r="A149" i="9"/>
  <c r="H148" i="9"/>
  <c r="G148" i="9"/>
  <c r="F148" i="9"/>
  <c r="E148" i="9"/>
  <c r="D148" i="9"/>
  <c r="C148" i="9"/>
  <c r="B148" i="9"/>
  <c r="A148" i="9"/>
  <c r="H147" i="9"/>
  <c r="G147" i="9"/>
  <c r="F147" i="9"/>
  <c r="E147" i="9"/>
  <c r="D147" i="9"/>
  <c r="C147" i="9"/>
  <c r="B147" i="9"/>
  <c r="A147" i="9"/>
  <c r="H146" i="9"/>
  <c r="G146" i="9"/>
  <c r="F146" i="9"/>
  <c r="E146" i="9"/>
  <c r="D146" i="9"/>
  <c r="C146" i="9"/>
  <c r="B146" i="9"/>
  <c r="A146" i="9"/>
  <c r="H145" i="9"/>
  <c r="G145" i="9"/>
  <c r="F145" i="9"/>
  <c r="E145" i="9"/>
  <c r="D145" i="9"/>
  <c r="C145" i="9"/>
  <c r="B145" i="9"/>
  <c r="A145" i="9"/>
  <c r="H144" i="9"/>
  <c r="G144" i="9"/>
  <c r="F144" i="9"/>
  <c r="E144" i="9"/>
  <c r="D144" i="9"/>
  <c r="C144" i="9"/>
  <c r="B144" i="9"/>
  <c r="A144" i="9"/>
  <c r="H143" i="9"/>
  <c r="G143" i="9"/>
  <c r="F143" i="9"/>
  <c r="E143" i="9"/>
  <c r="D143" i="9"/>
  <c r="C143" i="9"/>
  <c r="B143" i="9"/>
  <c r="A143" i="9"/>
  <c r="H142" i="9"/>
  <c r="G142" i="9"/>
  <c r="F142" i="9"/>
  <c r="E142" i="9"/>
  <c r="D142" i="9"/>
  <c r="C142" i="9"/>
  <c r="B142" i="9"/>
  <c r="A142" i="9"/>
  <c r="H141" i="9"/>
  <c r="G141" i="9"/>
  <c r="F141" i="9"/>
  <c r="E141" i="9"/>
  <c r="D141" i="9"/>
  <c r="C141" i="9"/>
  <c r="B141" i="9"/>
  <c r="A141" i="9"/>
  <c r="H140" i="9"/>
  <c r="G140" i="9"/>
  <c r="F140" i="9"/>
  <c r="E140" i="9"/>
  <c r="D140" i="9"/>
  <c r="C140" i="9"/>
  <c r="B140" i="9"/>
  <c r="A140" i="9"/>
  <c r="H139" i="9"/>
  <c r="G139" i="9"/>
  <c r="F139" i="9"/>
  <c r="E139" i="9"/>
  <c r="D139" i="9"/>
  <c r="C139" i="9"/>
  <c r="B139" i="9"/>
  <c r="A139" i="9"/>
  <c r="H138" i="9"/>
  <c r="G138" i="9"/>
  <c r="F138" i="9"/>
  <c r="E138" i="9"/>
  <c r="D138" i="9"/>
  <c r="C138" i="9"/>
  <c r="B138" i="9"/>
  <c r="A138" i="9"/>
  <c r="H137" i="9"/>
  <c r="G137" i="9"/>
  <c r="F137" i="9"/>
  <c r="E137" i="9"/>
  <c r="D137" i="9"/>
  <c r="C137" i="9"/>
  <c r="B137" i="9"/>
  <c r="A137" i="9"/>
  <c r="H136" i="9"/>
  <c r="G136" i="9"/>
  <c r="F136" i="9"/>
  <c r="E136" i="9"/>
  <c r="D136" i="9"/>
  <c r="C136" i="9"/>
  <c r="B136" i="9"/>
  <c r="A136" i="9"/>
  <c r="H135" i="9"/>
  <c r="G135" i="9"/>
  <c r="F135" i="9"/>
  <c r="E135" i="9"/>
  <c r="D135" i="9"/>
  <c r="C135" i="9"/>
  <c r="B135" i="9"/>
  <c r="A135" i="9"/>
  <c r="H134" i="9"/>
  <c r="G134" i="9"/>
  <c r="F134" i="9"/>
  <c r="E134" i="9"/>
  <c r="D134" i="9"/>
  <c r="C134" i="9"/>
  <c r="B134" i="9"/>
  <c r="A134" i="9"/>
  <c r="H133" i="9"/>
  <c r="G133" i="9"/>
  <c r="F133" i="9"/>
  <c r="E133" i="9"/>
  <c r="D133" i="9"/>
  <c r="C133" i="9"/>
  <c r="B133" i="9"/>
  <c r="A133" i="9"/>
  <c r="H132" i="9"/>
  <c r="G132" i="9"/>
  <c r="F132" i="9"/>
  <c r="E132" i="9"/>
  <c r="D132" i="9"/>
  <c r="C132" i="9"/>
  <c r="B132" i="9"/>
  <c r="A132" i="9"/>
  <c r="H131" i="9"/>
  <c r="G131" i="9"/>
  <c r="F131" i="9"/>
  <c r="E131" i="9"/>
  <c r="D131" i="9"/>
  <c r="C131" i="9"/>
  <c r="B131" i="9"/>
  <c r="A131" i="9"/>
  <c r="H130" i="9"/>
  <c r="G130" i="9"/>
  <c r="F130" i="9"/>
  <c r="E130" i="9"/>
  <c r="D130" i="9"/>
  <c r="C130" i="9"/>
  <c r="B130" i="9"/>
  <c r="A130" i="9"/>
  <c r="H129" i="9"/>
  <c r="G129" i="9"/>
  <c r="F129" i="9"/>
  <c r="E129" i="9"/>
  <c r="D129" i="9"/>
  <c r="C129" i="9"/>
  <c r="B129" i="9"/>
  <c r="A129" i="9"/>
  <c r="H128" i="9"/>
  <c r="G128" i="9"/>
  <c r="F128" i="9"/>
  <c r="E128" i="9"/>
  <c r="D128" i="9"/>
  <c r="C128" i="9"/>
  <c r="B128" i="9"/>
  <c r="A128" i="9"/>
  <c r="H127" i="9"/>
  <c r="G127" i="9"/>
  <c r="F127" i="9"/>
  <c r="E127" i="9"/>
  <c r="D127" i="9"/>
  <c r="C127" i="9"/>
  <c r="B127" i="9"/>
  <c r="A127" i="9"/>
  <c r="H126" i="9"/>
  <c r="G126" i="9"/>
  <c r="F126" i="9"/>
  <c r="E126" i="9"/>
  <c r="D126" i="9"/>
  <c r="C126" i="9"/>
  <c r="B126" i="9"/>
  <c r="A126" i="9"/>
  <c r="H125" i="9"/>
  <c r="G125" i="9"/>
  <c r="F125" i="9"/>
  <c r="E125" i="9"/>
  <c r="D125" i="9"/>
  <c r="C125" i="9"/>
  <c r="B125" i="9"/>
  <c r="A125" i="9"/>
  <c r="H124" i="9"/>
  <c r="G124" i="9"/>
  <c r="F124" i="9"/>
  <c r="E124" i="9"/>
  <c r="D124" i="9"/>
  <c r="C124" i="9"/>
  <c r="B124" i="9"/>
  <c r="A124" i="9"/>
  <c r="H123" i="9"/>
  <c r="G123" i="9"/>
  <c r="F123" i="9"/>
  <c r="E123" i="9"/>
  <c r="D123" i="9"/>
  <c r="C123" i="9"/>
  <c r="B123" i="9"/>
  <c r="A123" i="9"/>
  <c r="H122" i="9"/>
  <c r="G122" i="9"/>
  <c r="F122" i="9"/>
  <c r="E122" i="9"/>
  <c r="D122" i="9"/>
  <c r="C122" i="9"/>
  <c r="B122" i="9"/>
  <c r="A122" i="9"/>
  <c r="H121" i="9"/>
  <c r="G121" i="9"/>
  <c r="F121" i="9"/>
  <c r="E121" i="9"/>
  <c r="D121" i="9"/>
  <c r="C121" i="9"/>
  <c r="B121" i="9"/>
  <c r="A121" i="9"/>
  <c r="H120" i="9"/>
  <c r="G120" i="9"/>
  <c r="F120" i="9"/>
  <c r="E120" i="9"/>
  <c r="D120" i="9"/>
  <c r="C120" i="9"/>
  <c r="B120" i="9"/>
  <c r="A120" i="9"/>
  <c r="H119" i="9"/>
  <c r="G119" i="9"/>
  <c r="F119" i="9"/>
  <c r="E119" i="9"/>
  <c r="D119" i="9"/>
  <c r="C119" i="9"/>
  <c r="B119" i="9"/>
  <c r="A119" i="9"/>
  <c r="H118" i="9"/>
  <c r="G118" i="9"/>
  <c r="F118" i="9"/>
  <c r="E118" i="9"/>
  <c r="D118" i="9"/>
  <c r="C118" i="9"/>
  <c r="B118" i="9"/>
  <c r="A118" i="9"/>
  <c r="H117" i="9"/>
  <c r="G117" i="9"/>
  <c r="F117" i="9"/>
  <c r="E117" i="9"/>
  <c r="D117" i="9"/>
  <c r="C117" i="9"/>
  <c r="B117" i="9"/>
  <c r="A117" i="9"/>
  <c r="H116" i="9"/>
  <c r="G116" i="9"/>
  <c r="F116" i="9"/>
  <c r="E116" i="9"/>
  <c r="D116" i="9"/>
  <c r="C116" i="9"/>
  <c r="B116" i="9"/>
  <c r="A116" i="9"/>
  <c r="H115" i="9"/>
  <c r="G115" i="9"/>
  <c r="F115" i="9"/>
  <c r="E115" i="9"/>
  <c r="D115" i="9"/>
  <c r="C115" i="9"/>
  <c r="B115" i="9"/>
  <c r="A115" i="9"/>
  <c r="H114" i="9"/>
  <c r="G114" i="9"/>
  <c r="F114" i="9"/>
  <c r="E114" i="9"/>
  <c r="D114" i="9"/>
  <c r="C114" i="9"/>
  <c r="B114" i="9"/>
  <c r="A114" i="9"/>
  <c r="H113" i="9"/>
  <c r="G113" i="9"/>
  <c r="F113" i="9"/>
  <c r="E113" i="9"/>
  <c r="D113" i="9"/>
  <c r="C113" i="9"/>
  <c r="B113" i="9"/>
  <c r="A113" i="9"/>
  <c r="H112" i="9"/>
  <c r="G112" i="9"/>
  <c r="F112" i="9"/>
  <c r="E112" i="9"/>
  <c r="D112" i="9"/>
  <c r="C112" i="9"/>
  <c r="B112" i="9"/>
  <c r="A112" i="9"/>
  <c r="H111" i="9"/>
  <c r="G111" i="9"/>
  <c r="F111" i="9"/>
  <c r="E111" i="9"/>
  <c r="D111" i="9"/>
  <c r="C111" i="9"/>
  <c r="B111" i="9"/>
  <c r="A111" i="9"/>
  <c r="H110" i="9"/>
  <c r="G110" i="9"/>
  <c r="F110" i="9"/>
  <c r="E110" i="9"/>
  <c r="D110" i="9"/>
  <c r="C110" i="9"/>
  <c r="B110" i="9"/>
  <c r="A110" i="9"/>
  <c r="H109" i="9"/>
  <c r="G109" i="9"/>
  <c r="F109" i="9"/>
  <c r="E109" i="9"/>
  <c r="D109" i="9"/>
  <c r="C109" i="9"/>
  <c r="B109" i="9"/>
  <c r="A109" i="9"/>
  <c r="H108" i="9"/>
  <c r="G108" i="9"/>
  <c r="F108" i="9"/>
  <c r="E108" i="9"/>
  <c r="D108" i="9"/>
  <c r="C108" i="9"/>
  <c r="B108" i="9"/>
  <c r="A108" i="9"/>
  <c r="H107" i="9"/>
  <c r="G107" i="9"/>
  <c r="F107" i="9"/>
  <c r="E107" i="9"/>
  <c r="D107" i="9"/>
  <c r="C107" i="9"/>
  <c r="B107" i="9"/>
  <c r="A107" i="9"/>
  <c r="H106" i="9"/>
  <c r="G106" i="9"/>
  <c r="F106" i="9"/>
  <c r="E106" i="9"/>
  <c r="D106" i="9"/>
  <c r="C106" i="9"/>
  <c r="B106" i="9"/>
  <c r="A106" i="9"/>
  <c r="H105" i="9"/>
  <c r="G105" i="9"/>
  <c r="F105" i="9"/>
  <c r="E105" i="9"/>
  <c r="D105" i="9"/>
  <c r="C105" i="9"/>
  <c r="B105" i="9"/>
  <c r="A105" i="9"/>
  <c r="H104" i="9"/>
  <c r="G104" i="9"/>
  <c r="F104" i="9"/>
  <c r="E104" i="9"/>
  <c r="D104" i="9"/>
  <c r="C104" i="9"/>
  <c r="B104" i="9"/>
  <c r="A104" i="9"/>
  <c r="H103" i="9"/>
  <c r="G103" i="9"/>
  <c r="F103" i="9"/>
  <c r="E103" i="9"/>
  <c r="D103" i="9"/>
  <c r="C103" i="9"/>
  <c r="B103" i="9"/>
  <c r="A103" i="9"/>
  <c r="H102" i="9"/>
  <c r="G102" i="9"/>
  <c r="F102" i="9"/>
  <c r="E102" i="9"/>
  <c r="D102" i="9"/>
  <c r="C102" i="9"/>
  <c r="B102" i="9"/>
  <c r="A102" i="9"/>
  <c r="H101" i="9"/>
  <c r="G101" i="9"/>
  <c r="F101" i="9"/>
  <c r="E101" i="9"/>
  <c r="D101" i="9"/>
  <c r="C101" i="9"/>
  <c r="B101" i="9"/>
  <c r="A101" i="9"/>
  <c r="H100" i="9"/>
  <c r="G100" i="9"/>
  <c r="F100" i="9"/>
  <c r="E100" i="9"/>
  <c r="D100" i="9"/>
  <c r="C100" i="9"/>
  <c r="B100" i="9"/>
  <c r="A100" i="9"/>
  <c r="H99" i="9"/>
  <c r="G99" i="9"/>
  <c r="F99" i="9"/>
  <c r="E99" i="9"/>
  <c r="D99" i="9"/>
  <c r="C99" i="9"/>
  <c r="B99" i="9"/>
  <c r="A99" i="9"/>
  <c r="H98" i="9"/>
  <c r="G98" i="9"/>
  <c r="F98" i="9"/>
  <c r="E98" i="9"/>
  <c r="D98" i="9"/>
  <c r="C98" i="9"/>
  <c r="B98" i="9"/>
  <c r="A98" i="9"/>
  <c r="H97" i="9"/>
  <c r="G97" i="9"/>
  <c r="F97" i="9"/>
  <c r="E97" i="9"/>
  <c r="D97" i="9"/>
  <c r="C97" i="9"/>
  <c r="B97" i="9"/>
  <c r="A97" i="9"/>
  <c r="H96" i="9"/>
  <c r="G96" i="9"/>
  <c r="F96" i="9"/>
  <c r="E96" i="9"/>
  <c r="D96" i="9"/>
  <c r="C96" i="9"/>
  <c r="B96" i="9"/>
  <c r="A96" i="9"/>
  <c r="H95" i="9"/>
  <c r="G95" i="9"/>
  <c r="F95" i="9"/>
  <c r="E95" i="9"/>
  <c r="D95" i="9"/>
  <c r="C95" i="9"/>
  <c r="B95" i="9"/>
  <c r="A95" i="9"/>
  <c r="H94" i="9"/>
  <c r="G94" i="9"/>
  <c r="F94" i="9"/>
  <c r="E94" i="9"/>
  <c r="D94" i="9"/>
  <c r="C94" i="9"/>
  <c r="B94" i="9"/>
  <c r="A94" i="9"/>
  <c r="H93" i="9"/>
  <c r="G93" i="9"/>
  <c r="F93" i="9"/>
  <c r="E93" i="9"/>
  <c r="D93" i="9"/>
  <c r="C93" i="9"/>
  <c r="B93" i="9"/>
  <c r="A93" i="9"/>
  <c r="H92" i="9"/>
  <c r="G92" i="9"/>
  <c r="F92" i="9"/>
  <c r="E92" i="9"/>
  <c r="D92" i="9"/>
  <c r="C92" i="9"/>
  <c r="B92" i="9"/>
  <c r="A92" i="9"/>
  <c r="H91" i="9"/>
  <c r="G91" i="9"/>
  <c r="F91" i="9"/>
  <c r="E91" i="9"/>
  <c r="D91" i="9"/>
  <c r="C91" i="9"/>
  <c r="B91" i="9"/>
  <c r="A91" i="9"/>
  <c r="H90" i="9"/>
  <c r="G90" i="9"/>
  <c r="F90" i="9"/>
  <c r="E90" i="9"/>
  <c r="D90" i="9"/>
  <c r="C90" i="9"/>
  <c r="B90" i="9"/>
  <c r="A90" i="9"/>
  <c r="H89" i="9"/>
  <c r="G89" i="9"/>
  <c r="F89" i="9"/>
  <c r="E89" i="9"/>
  <c r="D89" i="9"/>
  <c r="C89" i="9"/>
  <c r="B89" i="9"/>
  <c r="A89" i="9"/>
  <c r="H88" i="9"/>
  <c r="G88" i="9"/>
  <c r="F88" i="9"/>
  <c r="E88" i="9"/>
  <c r="D88" i="9"/>
  <c r="C88" i="9"/>
  <c r="B88" i="9"/>
  <c r="A88" i="9"/>
  <c r="H87" i="9"/>
  <c r="G87" i="9"/>
  <c r="F87" i="9"/>
  <c r="E87" i="9"/>
  <c r="D87" i="9"/>
  <c r="C87" i="9"/>
  <c r="B87" i="9"/>
  <c r="A87" i="9"/>
  <c r="H86" i="9"/>
  <c r="G86" i="9"/>
  <c r="F86" i="9"/>
  <c r="E86" i="9"/>
  <c r="D86" i="9"/>
  <c r="C86" i="9"/>
  <c r="B86" i="9"/>
  <c r="A86" i="9"/>
  <c r="H85" i="9"/>
  <c r="G85" i="9"/>
  <c r="F85" i="9"/>
  <c r="E85" i="9"/>
  <c r="D85" i="9"/>
  <c r="C85" i="9"/>
  <c r="B85" i="9"/>
  <c r="A85" i="9"/>
  <c r="H84" i="9"/>
  <c r="G84" i="9"/>
  <c r="F84" i="9"/>
  <c r="E84" i="9"/>
  <c r="D84" i="9"/>
  <c r="C84" i="9"/>
  <c r="B84" i="9"/>
  <c r="A84" i="9"/>
  <c r="H83" i="9"/>
  <c r="G83" i="9"/>
  <c r="F83" i="9"/>
  <c r="E83" i="9"/>
  <c r="D83" i="9"/>
  <c r="C83" i="9"/>
  <c r="B83" i="9"/>
  <c r="A83" i="9"/>
  <c r="H82" i="9"/>
  <c r="G82" i="9"/>
  <c r="F82" i="9"/>
  <c r="E82" i="9"/>
  <c r="D82" i="9"/>
  <c r="C82" i="9"/>
  <c r="B82" i="9"/>
  <c r="A82" i="9"/>
  <c r="H81" i="9"/>
  <c r="G81" i="9"/>
  <c r="F81" i="9"/>
  <c r="E81" i="9"/>
  <c r="D81" i="9"/>
  <c r="C81" i="9"/>
  <c r="B81" i="9"/>
  <c r="A81" i="9"/>
  <c r="H80" i="9"/>
  <c r="G80" i="9"/>
  <c r="F80" i="9"/>
  <c r="E80" i="9"/>
  <c r="D80" i="9"/>
  <c r="C80" i="9"/>
  <c r="B80" i="9"/>
  <c r="A80" i="9"/>
  <c r="H79" i="9"/>
  <c r="G79" i="9"/>
  <c r="F79" i="9"/>
  <c r="E79" i="9"/>
  <c r="D79" i="9"/>
  <c r="C79" i="9"/>
  <c r="B79" i="9"/>
  <c r="A79" i="9"/>
  <c r="H78" i="9"/>
  <c r="G78" i="9"/>
  <c r="F78" i="9"/>
  <c r="E78" i="9"/>
  <c r="D78" i="9"/>
  <c r="C78" i="9"/>
  <c r="B78" i="9"/>
  <c r="A78" i="9"/>
  <c r="H77" i="9"/>
  <c r="G77" i="9"/>
  <c r="F77" i="9"/>
  <c r="E77" i="9"/>
  <c r="D77" i="9"/>
  <c r="C77" i="9"/>
  <c r="B77" i="9"/>
  <c r="A77" i="9"/>
  <c r="H76" i="9"/>
  <c r="G76" i="9"/>
  <c r="F76" i="9"/>
  <c r="E76" i="9"/>
  <c r="D76" i="9"/>
  <c r="C76" i="9"/>
  <c r="B76" i="9"/>
  <c r="A76" i="9"/>
  <c r="H75" i="9"/>
  <c r="G75" i="9"/>
  <c r="F75" i="9"/>
  <c r="E75" i="9"/>
  <c r="D75" i="9"/>
  <c r="C75" i="9"/>
  <c r="B75" i="9"/>
  <c r="A75" i="9"/>
  <c r="H74" i="9"/>
  <c r="G74" i="9"/>
  <c r="F74" i="9"/>
  <c r="E74" i="9"/>
  <c r="D74" i="9"/>
  <c r="C74" i="9"/>
  <c r="B74" i="9"/>
  <c r="A74" i="9"/>
  <c r="H73" i="9"/>
  <c r="G73" i="9"/>
  <c r="F73" i="9"/>
  <c r="E73" i="9"/>
  <c r="D73" i="9"/>
  <c r="C73" i="9"/>
  <c r="B73" i="9"/>
  <c r="A73" i="9"/>
  <c r="H72" i="9"/>
  <c r="G72" i="9"/>
  <c r="F72" i="9"/>
  <c r="E72" i="9"/>
  <c r="D72" i="9"/>
  <c r="C72" i="9"/>
  <c r="B72" i="9"/>
  <c r="A72" i="9"/>
  <c r="H71" i="9"/>
  <c r="G71" i="9"/>
  <c r="F71" i="9"/>
  <c r="E71" i="9"/>
  <c r="D71" i="9"/>
  <c r="C71" i="9"/>
  <c r="B71" i="9"/>
  <c r="A71" i="9"/>
  <c r="H70" i="9"/>
  <c r="G70" i="9"/>
  <c r="F70" i="9"/>
  <c r="E70" i="9"/>
  <c r="D70" i="9"/>
  <c r="C70" i="9"/>
  <c r="B70" i="9"/>
  <c r="A70" i="9"/>
  <c r="H69" i="9"/>
  <c r="G69" i="9"/>
  <c r="F69" i="9"/>
  <c r="E69" i="9"/>
  <c r="D69" i="9"/>
  <c r="C69" i="9"/>
  <c r="B69" i="9"/>
  <c r="A69" i="9"/>
  <c r="H68" i="9"/>
  <c r="G68" i="9"/>
  <c r="F68" i="9"/>
  <c r="E68" i="9"/>
  <c r="D68" i="9"/>
  <c r="C68" i="9"/>
  <c r="B68" i="9"/>
  <c r="A68" i="9"/>
  <c r="H67" i="9"/>
  <c r="G67" i="9"/>
  <c r="F67" i="9"/>
  <c r="E67" i="9"/>
  <c r="D67" i="9"/>
  <c r="C67" i="9"/>
  <c r="B67" i="9"/>
  <c r="A67" i="9"/>
  <c r="H66" i="9"/>
  <c r="G66" i="9"/>
  <c r="F66" i="9"/>
  <c r="E66" i="9"/>
  <c r="D66" i="9"/>
  <c r="C66" i="9"/>
  <c r="B66" i="9"/>
  <c r="A66" i="9"/>
  <c r="H65" i="9"/>
  <c r="G65" i="9"/>
  <c r="F65" i="9"/>
  <c r="E65" i="9"/>
  <c r="D65" i="9"/>
  <c r="C65" i="9"/>
  <c r="B65" i="9"/>
  <c r="A65" i="9"/>
  <c r="H64" i="9"/>
  <c r="G64" i="9"/>
  <c r="F64" i="9"/>
  <c r="E64" i="9"/>
  <c r="D64" i="9"/>
  <c r="C64" i="9"/>
  <c r="B64" i="9"/>
  <c r="A64" i="9"/>
  <c r="H63" i="9"/>
  <c r="G63" i="9"/>
  <c r="F63" i="9"/>
  <c r="E63" i="9"/>
  <c r="D63" i="9"/>
  <c r="C63" i="9"/>
  <c r="B63" i="9"/>
  <c r="A63" i="9"/>
  <c r="H62" i="9"/>
  <c r="G62" i="9"/>
  <c r="F62" i="9"/>
  <c r="E62" i="9"/>
  <c r="D62" i="9"/>
  <c r="C62" i="9"/>
  <c r="B62" i="9"/>
  <c r="A62" i="9"/>
  <c r="H61" i="9"/>
  <c r="G61" i="9"/>
  <c r="F61" i="9"/>
  <c r="E61" i="9"/>
  <c r="D61" i="9"/>
  <c r="C61" i="9"/>
  <c r="B61" i="9"/>
  <c r="A61" i="9"/>
  <c r="H60" i="9"/>
  <c r="G60" i="9"/>
  <c r="F60" i="9"/>
  <c r="E60" i="9"/>
  <c r="D60" i="9"/>
  <c r="C60" i="9"/>
  <c r="B60" i="9"/>
  <c r="A60" i="9"/>
  <c r="H59" i="9"/>
  <c r="G59" i="9"/>
  <c r="F59" i="9"/>
  <c r="E59" i="9"/>
  <c r="D59" i="9"/>
  <c r="C59" i="9"/>
  <c r="B59" i="9"/>
  <c r="A59" i="9"/>
  <c r="H58" i="9"/>
  <c r="G58" i="9"/>
  <c r="F58" i="9"/>
  <c r="E58" i="9"/>
  <c r="D58" i="9"/>
  <c r="C58" i="9"/>
  <c r="B58" i="9"/>
  <c r="A58" i="9"/>
  <c r="H57" i="9"/>
  <c r="G57" i="9"/>
  <c r="F57" i="9"/>
  <c r="E57" i="9"/>
  <c r="D57" i="9"/>
  <c r="C57" i="9"/>
  <c r="B57" i="9"/>
  <c r="A57" i="9"/>
  <c r="H56" i="9"/>
  <c r="G56" i="9"/>
  <c r="F56" i="9"/>
  <c r="E56" i="9"/>
  <c r="D56" i="9"/>
  <c r="C56" i="9"/>
  <c r="B56" i="9"/>
  <c r="A56" i="9"/>
  <c r="H55" i="9"/>
  <c r="G55" i="9"/>
  <c r="F55" i="9"/>
  <c r="E55" i="9"/>
  <c r="D55" i="9"/>
  <c r="C55" i="9"/>
  <c r="B55" i="9"/>
  <c r="A55" i="9"/>
  <c r="H54" i="9"/>
  <c r="G54" i="9"/>
  <c r="F54" i="9"/>
  <c r="E54" i="9"/>
  <c r="D54" i="9"/>
  <c r="C54" i="9"/>
  <c r="B54" i="9"/>
  <c r="A54" i="9"/>
  <c r="H53" i="9"/>
  <c r="G53" i="9"/>
  <c r="F53" i="9"/>
  <c r="E53" i="9"/>
  <c r="D53" i="9"/>
  <c r="C53" i="9"/>
  <c r="B53" i="9"/>
  <c r="A53" i="9"/>
  <c r="H52" i="9"/>
  <c r="G52" i="9"/>
  <c r="F52" i="9"/>
  <c r="E52" i="9"/>
  <c r="D52" i="9"/>
  <c r="C52" i="9"/>
  <c r="B52" i="9"/>
  <c r="A52" i="9"/>
  <c r="H51" i="9"/>
  <c r="G51" i="9"/>
  <c r="F51" i="9"/>
  <c r="E51" i="9"/>
  <c r="D51" i="9"/>
  <c r="C51" i="9"/>
  <c r="B51" i="9"/>
  <c r="A51" i="9"/>
  <c r="H50" i="9"/>
  <c r="G50" i="9"/>
  <c r="F50" i="9"/>
  <c r="E50" i="9"/>
  <c r="D50" i="9"/>
  <c r="C50" i="9"/>
  <c r="B50" i="9"/>
  <c r="A50" i="9"/>
  <c r="H49" i="9"/>
  <c r="G49" i="9"/>
  <c r="F49" i="9"/>
  <c r="E49" i="9"/>
  <c r="D49" i="9"/>
  <c r="C49" i="9"/>
  <c r="B49" i="9"/>
  <c r="A49" i="9"/>
  <c r="H48" i="9"/>
  <c r="G48" i="9"/>
  <c r="F48" i="9"/>
  <c r="E48" i="9"/>
  <c r="D48" i="9"/>
  <c r="C48" i="9"/>
  <c r="B48" i="9"/>
  <c r="A48" i="9"/>
  <c r="H47" i="9"/>
  <c r="G47" i="9"/>
  <c r="F47" i="9"/>
  <c r="E47" i="9"/>
  <c r="D47" i="9"/>
  <c r="C47" i="9"/>
  <c r="B47" i="9"/>
  <c r="A47" i="9"/>
  <c r="H46" i="9"/>
  <c r="G46" i="9"/>
  <c r="F46" i="9"/>
  <c r="E46" i="9"/>
  <c r="D46" i="9"/>
  <c r="C46" i="9"/>
  <c r="B46" i="9"/>
  <c r="A46" i="9"/>
  <c r="H45" i="9"/>
  <c r="G45" i="9"/>
  <c r="F45" i="9"/>
  <c r="E45" i="9"/>
  <c r="D45" i="9"/>
  <c r="C45" i="9"/>
  <c r="B45" i="9"/>
  <c r="A45" i="9"/>
  <c r="H44" i="9"/>
  <c r="G44" i="9"/>
  <c r="F44" i="9"/>
  <c r="E44" i="9"/>
  <c r="D44" i="9"/>
  <c r="C44" i="9"/>
  <c r="B44" i="9"/>
  <c r="A44" i="9"/>
  <c r="H43" i="9"/>
  <c r="G43" i="9"/>
  <c r="F43" i="9"/>
  <c r="E43" i="9"/>
  <c r="D43" i="9"/>
  <c r="C43" i="9"/>
  <c r="B43" i="9"/>
  <c r="A43" i="9"/>
  <c r="H42" i="9"/>
  <c r="G42" i="9"/>
  <c r="F42" i="9"/>
  <c r="E42" i="9"/>
  <c r="D42" i="9"/>
  <c r="C42" i="9"/>
  <c r="B42" i="9"/>
  <c r="A42" i="9"/>
  <c r="H41" i="9"/>
  <c r="G41" i="9"/>
  <c r="F41" i="9"/>
  <c r="E41" i="9"/>
  <c r="D41" i="9"/>
  <c r="C41" i="9"/>
  <c r="B41" i="9"/>
  <c r="A41" i="9"/>
  <c r="H40" i="9"/>
  <c r="G40" i="9"/>
  <c r="F40" i="9"/>
  <c r="E40" i="9"/>
  <c r="D40" i="9"/>
  <c r="C40" i="9"/>
  <c r="B40" i="9"/>
  <c r="A40" i="9"/>
  <c r="H39" i="9"/>
  <c r="G39" i="9"/>
  <c r="F39" i="9"/>
  <c r="E39" i="9"/>
  <c r="D39" i="9"/>
  <c r="C39" i="9"/>
  <c r="B39" i="9"/>
  <c r="A39" i="9"/>
  <c r="H38" i="9"/>
  <c r="G38" i="9"/>
  <c r="F38" i="9"/>
  <c r="E38" i="9"/>
  <c r="D38" i="9"/>
  <c r="C38" i="9"/>
  <c r="B38" i="9"/>
  <c r="A38" i="9"/>
  <c r="H37" i="9"/>
  <c r="G37" i="9"/>
  <c r="F37" i="9"/>
  <c r="E37" i="9"/>
  <c r="D37" i="9"/>
  <c r="C37" i="9"/>
  <c r="B37" i="9"/>
  <c r="A37" i="9"/>
  <c r="H36" i="9"/>
  <c r="G36" i="9"/>
  <c r="F36" i="9"/>
  <c r="E36" i="9"/>
  <c r="D36" i="9"/>
  <c r="C36" i="9"/>
  <c r="B36" i="9"/>
  <c r="A36" i="9"/>
  <c r="H35" i="9"/>
  <c r="G35" i="9"/>
  <c r="F35" i="9"/>
  <c r="E35" i="9"/>
  <c r="D35" i="9"/>
  <c r="C35" i="9"/>
  <c r="B35" i="9"/>
  <c r="A35" i="9"/>
  <c r="H34" i="9"/>
  <c r="G34" i="9"/>
  <c r="F34" i="9"/>
  <c r="E34" i="9"/>
  <c r="D34" i="9"/>
  <c r="C34" i="9"/>
  <c r="B34" i="9"/>
  <c r="A34" i="9"/>
  <c r="H33" i="9"/>
  <c r="G33" i="9"/>
  <c r="F33" i="9"/>
  <c r="E33" i="9"/>
  <c r="D33" i="9"/>
  <c r="C33" i="9"/>
  <c r="B33" i="9"/>
  <c r="A33" i="9"/>
  <c r="H32" i="9"/>
  <c r="G32" i="9"/>
  <c r="F32" i="9"/>
  <c r="E32" i="9"/>
  <c r="D32" i="9"/>
  <c r="C32" i="9"/>
  <c r="B32" i="9"/>
  <c r="A32" i="9"/>
  <c r="H31" i="9"/>
  <c r="G31" i="9"/>
  <c r="F31" i="9"/>
  <c r="E31" i="9"/>
  <c r="D31" i="9"/>
  <c r="C31" i="9"/>
  <c r="B31" i="9"/>
  <c r="A31" i="9"/>
  <c r="H30" i="9"/>
  <c r="G30" i="9"/>
  <c r="F30" i="9"/>
  <c r="E30" i="9"/>
  <c r="D30" i="9"/>
  <c r="C30" i="9"/>
  <c r="B30" i="9"/>
  <c r="A30" i="9"/>
  <c r="H29" i="9"/>
  <c r="G29" i="9"/>
  <c r="F29" i="9"/>
  <c r="E29" i="9"/>
  <c r="D29" i="9"/>
  <c r="C29" i="9"/>
  <c r="B29" i="9"/>
  <c r="A29" i="9"/>
  <c r="H28" i="9"/>
  <c r="G28" i="9"/>
  <c r="F28" i="9"/>
  <c r="E28" i="9"/>
  <c r="D28" i="9"/>
  <c r="C28" i="9"/>
  <c r="B28" i="9"/>
  <c r="A28" i="9"/>
  <c r="H27" i="9"/>
  <c r="G27" i="9"/>
  <c r="F27" i="9"/>
  <c r="E27" i="9"/>
  <c r="D27" i="9"/>
  <c r="C27" i="9"/>
  <c r="B27" i="9"/>
  <c r="A27" i="9"/>
  <c r="H26" i="9"/>
  <c r="G26" i="9"/>
  <c r="F26" i="9"/>
  <c r="E26" i="9"/>
  <c r="D26" i="9"/>
  <c r="C26" i="9"/>
  <c r="B26" i="9"/>
  <c r="A26" i="9"/>
  <c r="H25" i="9"/>
  <c r="G25" i="9"/>
  <c r="F25" i="9"/>
  <c r="E25" i="9"/>
  <c r="D25" i="9"/>
  <c r="C25" i="9"/>
  <c r="B25" i="9"/>
  <c r="A25" i="9"/>
  <c r="H24" i="9"/>
  <c r="G24" i="9"/>
  <c r="F24" i="9"/>
  <c r="E24" i="9"/>
  <c r="D24" i="9"/>
  <c r="C24" i="9"/>
  <c r="B24" i="9"/>
  <c r="A24" i="9"/>
  <c r="H23" i="9"/>
  <c r="G23" i="9"/>
  <c r="F23" i="9"/>
  <c r="E23" i="9"/>
  <c r="D23" i="9"/>
  <c r="C23" i="9"/>
  <c r="B23" i="9"/>
  <c r="A23" i="9"/>
  <c r="H22" i="9"/>
  <c r="G22" i="9"/>
  <c r="F22" i="9"/>
  <c r="E22" i="9"/>
  <c r="D22" i="9"/>
  <c r="C22" i="9"/>
  <c r="B22" i="9"/>
  <c r="A22" i="9"/>
  <c r="H21" i="9"/>
  <c r="G21" i="9"/>
  <c r="F21" i="9"/>
  <c r="E21" i="9"/>
  <c r="D21" i="9"/>
  <c r="C21" i="9"/>
  <c r="B21" i="9"/>
  <c r="A21" i="9"/>
  <c r="H20" i="9"/>
  <c r="G20" i="9"/>
  <c r="F20" i="9"/>
  <c r="E20" i="9"/>
  <c r="D20" i="9"/>
  <c r="C20" i="9"/>
  <c r="B20" i="9"/>
  <c r="A20" i="9"/>
  <c r="H19" i="9"/>
  <c r="G19" i="9"/>
  <c r="F19" i="9"/>
  <c r="E19" i="9"/>
  <c r="D19" i="9"/>
  <c r="C19" i="9"/>
  <c r="B19" i="9"/>
  <c r="A19" i="9"/>
  <c r="H18" i="9"/>
  <c r="G18" i="9"/>
  <c r="F18" i="9"/>
  <c r="E18" i="9"/>
  <c r="D18" i="9"/>
  <c r="C18" i="9"/>
  <c r="B18" i="9"/>
  <c r="A18" i="9"/>
  <c r="H17" i="9"/>
  <c r="G17" i="9"/>
  <c r="F17" i="9"/>
  <c r="E17" i="9"/>
  <c r="D17" i="9"/>
  <c r="C17" i="9"/>
  <c r="B17" i="9"/>
  <c r="A17" i="9"/>
  <c r="H16" i="9"/>
  <c r="G16" i="9"/>
  <c r="F16" i="9"/>
  <c r="E16" i="9"/>
  <c r="D16" i="9"/>
  <c r="C16" i="9"/>
  <c r="B16" i="9"/>
  <c r="A16" i="9"/>
  <c r="H15" i="9"/>
  <c r="G15" i="9"/>
  <c r="F15" i="9"/>
  <c r="E15" i="9"/>
  <c r="D15" i="9"/>
  <c r="C15" i="9"/>
  <c r="B15" i="9"/>
  <c r="A15" i="9"/>
  <c r="H14" i="9"/>
  <c r="G14" i="9"/>
  <c r="F14" i="9"/>
  <c r="E14" i="9"/>
  <c r="D14" i="9"/>
  <c r="C14" i="9"/>
  <c r="B14" i="9"/>
  <c r="A14" i="9"/>
  <c r="H13" i="9"/>
  <c r="G13" i="9"/>
  <c r="F13" i="9"/>
  <c r="E13" i="9"/>
  <c r="D13" i="9"/>
  <c r="C13" i="9"/>
  <c r="B13" i="9"/>
  <c r="A13" i="9"/>
  <c r="H12" i="9"/>
  <c r="G12" i="9"/>
  <c r="F12" i="9"/>
  <c r="E12" i="9"/>
  <c r="D12" i="9"/>
  <c r="C12" i="9"/>
  <c r="B12" i="9"/>
  <c r="A12" i="9"/>
  <c r="H11" i="9"/>
  <c r="G11" i="9"/>
  <c r="F11" i="9"/>
  <c r="E11" i="9"/>
  <c r="D11" i="9"/>
  <c r="C11" i="9"/>
  <c r="B11" i="9"/>
  <c r="A11" i="9"/>
  <c r="H10" i="9"/>
  <c r="G10" i="9"/>
  <c r="F10" i="9"/>
  <c r="E10" i="9"/>
  <c r="D10" i="9"/>
  <c r="C10" i="9"/>
  <c r="B10" i="9"/>
  <c r="A10" i="9"/>
  <c r="H9" i="9"/>
  <c r="G9" i="9"/>
  <c r="F9" i="9"/>
  <c r="E9" i="9"/>
  <c r="D9" i="9"/>
  <c r="C9" i="9"/>
  <c r="B9" i="9"/>
  <c r="A9" i="9"/>
  <c r="H8" i="9"/>
  <c r="G8" i="9"/>
  <c r="F8" i="9"/>
  <c r="E8" i="9"/>
  <c r="D8" i="9"/>
  <c r="C8" i="9"/>
  <c r="B8" i="9"/>
  <c r="A8" i="9"/>
  <c r="H7" i="9"/>
  <c r="G7" i="9"/>
  <c r="F7" i="9"/>
  <c r="E7" i="9"/>
  <c r="D7" i="9"/>
  <c r="C7" i="9"/>
  <c r="B7" i="9"/>
  <c r="A7" i="9"/>
  <c r="H6" i="9"/>
  <c r="G6" i="9"/>
  <c r="F6" i="9"/>
  <c r="E6" i="9"/>
  <c r="D6" i="9"/>
  <c r="C6" i="9"/>
  <c r="B6" i="9"/>
  <c r="A6" i="9"/>
  <c r="H5" i="9"/>
  <c r="G5" i="9"/>
  <c r="F5" i="9"/>
  <c r="E5" i="9"/>
  <c r="D5" i="9"/>
  <c r="C5" i="9"/>
  <c r="B5" i="9"/>
  <c r="A5" i="9"/>
  <c r="H4" i="9"/>
  <c r="G4" i="9"/>
  <c r="F4" i="9"/>
  <c r="E4" i="9"/>
  <c r="D4" i="9"/>
  <c r="C4" i="9"/>
  <c r="B4" i="9"/>
  <c r="A4" i="9"/>
  <c r="H3" i="9"/>
  <c r="G3" i="9"/>
  <c r="F3" i="9"/>
  <c r="E3" i="9"/>
  <c r="D3" i="9"/>
  <c r="C3" i="9"/>
  <c r="B3" i="9"/>
  <c r="A3" i="9"/>
  <c r="H2" i="9"/>
  <c r="G2" i="9"/>
  <c r="F2" i="9"/>
  <c r="E2" i="9"/>
  <c r="D2" i="9"/>
  <c r="C2" i="9"/>
  <c r="B2" i="9"/>
  <c r="A2" i="9"/>
  <c r="H1" i="9"/>
  <c r="G1" i="9"/>
  <c r="F1" i="9"/>
  <c r="E1" i="9"/>
  <c r="D1" i="9"/>
  <c r="C1" i="9"/>
  <c r="B1" i="9"/>
  <c r="A1" i="9"/>
  <c r="I277" i="8"/>
  <c r="H277" i="8"/>
  <c r="G277" i="8"/>
  <c r="F277" i="8"/>
  <c r="E277" i="8"/>
  <c r="D277" i="8"/>
  <c r="C277" i="8"/>
  <c r="B277" i="8"/>
  <c r="A277" i="8"/>
  <c r="I276" i="8"/>
  <c r="H276" i="8"/>
  <c r="G276" i="8"/>
  <c r="F276" i="8"/>
  <c r="E276" i="8"/>
  <c r="D276" i="8"/>
  <c r="C276" i="8"/>
  <c r="B276" i="8"/>
  <c r="A276" i="8"/>
  <c r="I275" i="8"/>
  <c r="H275" i="8"/>
  <c r="G275" i="8"/>
  <c r="F275" i="8"/>
  <c r="E275" i="8"/>
  <c r="D275" i="8"/>
  <c r="C275" i="8"/>
  <c r="B275" i="8"/>
  <c r="A275" i="8"/>
  <c r="I274" i="8"/>
  <c r="H274" i="8"/>
  <c r="G274" i="8"/>
  <c r="F274" i="8"/>
  <c r="E274" i="8"/>
  <c r="D274" i="8"/>
  <c r="C274" i="8"/>
  <c r="B274" i="8"/>
  <c r="A274" i="8"/>
  <c r="I273" i="8"/>
  <c r="H273" i="8"/>
  <c r="G273" i="8"/>
  <c r="F273" i="8"/>
  <c r="E273" i="8"/>
  <c r="D273" i="8"/>
  <c r="C273" i="8"/>
  <c r="B273" i="8"/>
  <c r="A273" i="8"/>
  <c r="I272" i="8"/>
  <c r="H272" i="8"/>
  <c r="G272" i="8"/>
  <c r="F272" i="8"/>
  <c r="E272" i="8"/>
  <c r="D272" i="8"/>
  <c r="C272" i="8"/>
  <c r="B272" i="8"/>
  <c r="A272" i="8"/>
  <c r="I271" i="8"/>
  <c r="H271" i="8"/>
  <c r="G271" i="8"/>
  <c r="F271" i="8"/>
  <c r="E271" i="8"/>
  <c r="D271" i="8"/>
  <c r="C271" i="8"/>
  <c r="B271" i="8"/>
  <c r="A271" i="8"/>
  <c r="I270" i="8"/>
  <c r="H270" i="8"/>
  <c r="G270" i="8"/>
  <c r="F270" i="8"/>
  <c r="E270" i="8"/>
  <c r="D270" i="8"/>
  <c r="C270" i="8"/>
  <c r="B270" i="8"/>
  <c r="A270" i="8"/>
  <c r="I269" i="8"/>
  <c r="H269" i="8"/>
  <c r="G269" i="8"/>
  <c r="F269" i="8"/>
  <c r="E269" i="8"/>
  <c r="D269" i="8"/>
  <c r="C269" i="8"/>
  <c r="B269" i="8"/>
  <c r="A269" i="8"/>
  <c r="I268" i="8"/>
  <c r="H268" i="8"/>
  <c r="G268" i="8"/>
  <c r="F268" i="8"/>
  <c r="E268" i="8"/>
  <c r="D268" i="8"/>
  <c r="C268" i="8"/>
  <c r="B268" i="8"/>
  <c r="A268" i="8"/>
  <c r="I267" i="8"/>
  <c r="H267" i="8"/>
  <c r="G267" i="8"/>
  <c r="F267" i="8"/>
  <c r="E267" i="8"/>
  <c r="D267" i="8"/>
  <c r="C267" i="8"/>
  <c r="B267" i="8"/>
  <c r="A267" i="8"/>
  <c r="I266" i="8"/>
  <c r="H266" i="8"/>
  <c r="G266" i="8"/>
  <c r="F266" i="8"/>
  <c r="E266" i="8"/>
  <c r="D266" i="8"/>
  <c r="C266" i="8"/>
  <c r="B266" i="8"/>
  <c r="A266" i="8"/>
  <c r="I265" i="8"/>
  <c r="H265" i="8"/>
  <c r="G265" i="8"/>
  <c r="F265" i="8"/>
  <c r="E265" i="8"/>
  <c r="D265" i="8"/>
  <c r="C265" i="8"/>
  <c r="B265" i="8"/>
  <c r="A265" i="8"/>
  <c r="I264" i="8"/>
  <c r="H264" i="8"/>
  <c r="G264" i="8"/>
  <c r="F264" i="8"/>
  <c r="E264" i="8"/>
  <c r="D264" i="8"/>
  <c r="C264" i="8"/>
  <c r="B264" i="8"/>
  <c r="A264" i="8"/>
  <c r="I263" i="8"/>
  <c r="H263" i="8"/>
  <c r="G263" i="8"/>
  <c r="F263" i="8"/>
  <c r="E263" i="8"/>
  <c r="D263" i="8"/>
  <c r="C263" i="8"/>
  <c r="B263" i="8"/>
  <c r="A263" i="8"/>
  <c r="I262" i="8"/>
  <c r="H262" i="8"/>
  <c r="G262" i="8"/>
  <c r="F262" i="8"/>
  <c r="E262" i="8"/>
  <c r="D262" i="8"/>
  <c r="C262" i="8"/>
  <c r="B262" i="8"/>
  <c r="A262" i="8"/>
  <c r="I261" i="8"/>
  <c r="H261" i="8"/>
  <c r="G261" i="8"/>
  <c r="F261" i="8"/>
  <c r="E261" i="8"/>
  <c r="D261" i="8"/>
  <c r="C261" i="8"/>
  <c r="B261" i="8"/>
  <c r="A261" i="8"/>
  <c r="I260" i="8"/>
  <c r="H260" i="8"/>
  <c r="G260" i="8"/>
  <c r="F260" i="8"/>
  <c r="E260" i="8"/>
  <c r="D260" i="8"/>
  <c r="C260" i="8"/>
  <c r="B260" i="8"/>
  <c r="A260" i="8"/>
  <c r="I259" i="8"/>
  <c r="H259" i="8"/>
  <c r="G259" i="8"/>
  <c r="F259" i="8"/>
  <c r="E259" i="8"/>
  <c r="D259" i="8"/>
  <c r="C259" i="8"/>
  <c r="B259" i="8"/>
  <c r="A259" i="8"/>
  <c r="I258" i="8"/>
  <c r="H258" i="8"/>
  <c r="G258" i="8"/>
  <c r="F258" i="8"/>
  <c r="E258" i="8"/>
  <c r="D258" i="8"/>
  <c r="C258" i="8"/>
  <c r="B258" i="8"/>
  <c r="A258" i="8"/>
  <c r="I257" i="8"/>
  <c r="H257" i="8"/>
  <c r="G257" i="8"/>
  <c r="F257" i="8"/>
  <c r="E257" i="8"/>
  <c r="D257" i="8"/>
  <c r="C257" i="8"/>
  <c r="B257" i="8"/>
  <c r="A257" i="8"/>
  <c r="I256" i="8"/>
  <c r="H256" i="8"/>
  <c r="G256" i="8"/>
  <c r="F256" i="8"/>
  <c r="E256" i="8"/>
  <c r="D256" i="8"/>
  <c r="C256" i="8"/>
  <c r="B256" i="8"/>
  <c r="A256" i="8"/>
  <c r="I255" i="8"/>
  <c r="H255" i="8"/>
  <c r="G255" i="8"/>
  <c r="F255" i="8"/>
  <c r="E255" i="8"/>
  <c r="D255" i="8"/>
  <c r="C255" i="8"/>
  <c r="B255" i="8"/>
  <c r="A255" i="8"/>
  <c r="I254" i="8"/>
  <c r="H254" i="8"/>
  <c r="G254" i="8"/>
  <c r="F254" i="8"/>
  <c r="E254" i="8"/>
  <c r="D254" i="8"/>
  <c r="C254" i="8"/>
  <c r="B254" i="8"/>
  <c r="A254" i="8"/>
  <c r="I253" i="8"/>
  <c r="H253" i="8"/>
  <c r="G253" i="8"/>
  <c r="F253" i="8"/>
  <c r="E253" i="8"/>
  <c r="D253" i="8"/>
  <c r="C253" i="8"/>
  <c r="B253" i="8"/>
  <c r="A253" i="8"/>
  <c r="I252" i="8"/>
  <c r="H252" i="8"/>
  <c r="G252" i="8"/>
  <c r="F252" i="8"/>
  <c r="E252" i="8"/>
  <c r="D252" i="8"/>
  <c r="C252" i="8"/>
  <c r="B252" i="8"/>
  <c r="A252" i="8"/>
  <c r="I251" i="8"/>
  <c r="H251" i="8"/>
  <c r="G251" i="8"/>
  <c r="F251" i="8"/>
  <c r="E251" i="8"/>
  <c r="D251" i="8"/>
  <c r="C251" i="8"/>
  <c r="B251" i="8"/>
  <c r="A251" i="8"/>
  <c r="I250" i="8"/>
  <c r="H250" i="8"/>
  <c r="G250" i="8"/>
  <c r="F250" i="8"/>
  <c r="E250" i="8"/>
  <c r="D250" i="8"/>
  <c r="C250" i="8"/>
  <c r="B250" i="8"/>
  <c r="A250" i="8"/>
  <c r="I249" i="8"/>
  <c r="H249" i="8"/>
  <c r="G249" i="8"/>
  <c r="F249" i="8"/>
  <c r="E249" i="8"/>
  <c r="D249" i="8"/>
  <c r="C249" i="8"/>
  <c r="B249" i="8"/>
  <c r="A249" i="8"/>
  <c r="I248" i="8"/>
  <c r="H248" i="8"/>
  <c r="G248" i="8"/>
  <c r="F248" i="8"/>
  <c r="E248" i="8"/>
  <c r="D248" i="8"/>
  <c r="C248" i="8"/>
  <c r="B248" i="8"/>
  <c r="A248" i="8"/>
  <c r="I247" i="8"/>
  <c r="H247" i="8"/>
  <c r="G247" i="8"/>
  <c r="F247" i="8"/>
  <c r="E247" i="8"/>
  <c r="D247" i="8"/>
  <c r="C247" i="8"/>
  <c r="B247" i="8"/>
  <c r="A247" i="8"/>
  <c r="I246" i="8"/>
  <c r="H246" i="8"/>
  <c r="G246" i="8"/>
  <c r="F246" i="8"/>
  <c r="E246" i="8"/>
  <c r="D246" i="8"/>
  <c r="C246" i="8"/>
  <c r="B246" i="8"/>
  <c r="A246" i="8"/>
  <c r="I245" i="8"/>
  <c r="H245" i="8"/>
  <c r="G245" i="8"/>
  <c r="F245" i="8"/>
  <c r="E245" i="8"/>
  <c r="D245" i="8"/>
  <c r="C245" i="8"/>
  <c r="B245" i="8"/>
  <c r="A245" i="8"/>
  <c r="I244" i="8"/>
  <c r="H244" i="8"/>
  <c r="G244" i="8"/>
  <c r="F244" i="8"/>
  <c r="E244" i="8"/>
  <c r="D244" i="8"/>
  <c r="C244" i="8"/>
  <c r="B244" i="8"/>
  <c r="A244" i="8"/>
  <c r="I243" i="8"/>
  <c r="H243" i="8"/>
  <c r="G243" i="8"/>
  <c r="F243" i="8"/>
  <c r="E243" i="8"/>
  <c r="D243" i="8"/>
  <c r="C243" i="8"/>
  <c r="B243" i="8"/>
  <c r="A243" i="8"/>
  <c r="I242" i="8"/>
  <c r="H242" i="8"/>
  <c r="G242" i="8"/>
  <c r="F242" i="8"/>
  <c r="E242" i="8"/>
  <c r="D242" i="8"/>
  <c r="C242" i="8"/>
  <c r="B242" i="8"/>
  <c r="A242" i="8"/>
  <c r="I241" i="8"/>
  <c r="H241" i="8"/>
  <c r="G241" i="8"/>
  <c r="F241" i="8"/>
  <c r="E241" i="8"/>
  <c r="D241" i="8"/>
  <c r="C241" i="8"/>
  <c r="B241" i="8"/>
  <c r="A241" i="8"/>
  <c r="I240" i="8"/>
  <c r="H240" i="8"/>
  <c r="G240" i="8"/>
  <c r="F240" i="8"/>
  <c r="E240" i="8"/>
  <c r="D240" i="8"/>
  <c r="C240" i="8"/>
  <c r="B240" i="8"/>
  <c r="A240" i="8"/>
  <c r="I239" i="8"/>
  <c r="H239" i="8"/>
  <c r="G239" i="8"/>
  <c r="F239" i="8"/>
  <c r="E239" i="8"/>
  <c r="D239" i="8"/>
  <c r="C239" i="8"/>
  <c r="B239" i="8"/>
  <c r="A239" i="8"/>
  <c r="I238" i="8"/>
  <c r="H238" i="8"/>
  <c r="G238" i="8"/>
  <c r="F238" i="8"/>
  <c r="E238" i="8"/>
  <c r="D238" i="8"/>
  <c r="C238" i="8"/>
  <c r="B238" i="8"/>
  <c r="A238" i="8"/>
  <c r="I237" i="8"/>
  <c r="H237" i="8"/>
  <c r="G237" i="8"/>
  <c r="F237" i="8"/>
  <c r="E237" i="8"/>
  <c r="D237" i="8"/>
  <c r="C237" i="8"/>
  <c r="B237" i="8"/>
  <c r="A237" i="8"/>
  <c r="I236" i="8"/>
  <c r="H236" i="8"/>
  <c r="G236" i="8"/>
  <c r="F236" i="8"/>
  <c r="E236" i="8"/>
  <c r="D236" i="8"/>
  <c r="C236" i="8"/>
  <c r="B236" i="8"/>
  <c r="A236" i="8"/>
  <c r="I235" i="8"/>
  <c r="H235" i="8"/>
  <c r="G235" i="8"/>
  <c r="F235" i="8"/>
  <c r="E235" i="8"/>
  <c r="D235" i="8"/>
  <c r="C235" i="8"/>
  <c r="B235" i="8"/>
  <c r="A235" i="8"/>
  <c r="I234" i="8"/>
  <c r="H234" i="8"/>
  <c r="G234" i="8"/>
  <c r="F234" i="8"/>
  <c r="E234" i="8"/>
  <c r="D234" i="8"/>
  <c r="C234" i="8"/>
  <c r="B234" i="8"/>
  <c r="A234" i="8"/>
  <c r="I233" i="8"/>
  <c r="H233" i="8"/>
  <c r="G233" i="8"/>
  <c r="F233" i="8"/>
  <c r="E233" i="8"/>
  <c r="D233" i="8"/>
  <c r="C233" i="8"/>
  <c r="B233" i="8"/>
  <c r="A233" i="8"/>
  <c r="I232" i="8"/>
  <c r="H232" i="8"/>
  <c r="G232" i="8"/>
  <c r="F232" i="8"/>
  <c r="E232" i="8"/>
  <c r="D232" i="8"/>
  <c r="C232" i="8"/>
  <c r="B232" i="8"/>
  <c r="A232" i="8"/>
  <c r="I231" i="8"/>
  <c r="H231" i="8"/>
  <c r="G231" i="8"/>
  <c r="F231" i="8"/>
  <c r="E231" i="8"/>
  <c r="D231" i="8"/>
  <c r="C231" i="8"/>
  <c r="B231" i="8"/>
  <c r="A231" i="8"/>
  <c r="I230" i="8"/>
  <c r="H230" i="8"/>
  <c r="G230" i="8"/>
  <c r="F230" i="8"/>
  <c r="E230" i="8"/>
  <c r="D230" i="8"/>
  <c r="C230" i="8"/>
  <c r="B230" i="8"/>
  <c r="A230" i="8"/>
  <c r="I229" i="8"/>
  <c r="H229" i="8"/>
  <c r="G229" i="8"/>
  <c r="F229" i="8"/>
  <c r="E229" i="8"/>
  <c r="D229" i="8"/>
  <c r="C229" i="8"/>
  <c r="B229" i="8"/>
  <c r="A229" i="8"/>
  <c r="I228" i="8"/>
  <c r="H228" i="8"/>
  <c r="G228" i="8"/>
  <c r="F228" i="8"/>
  <c r="E228" i="8"/>
  <c r="D228" i="8"/>
  <c r="C228" i="8"/>
  <c r="B228" i="8"/>
  <c r="A228" i="8"/>
  <c r="I227" i="8"/>
  <c r="H227" i="8"/>
  <c r="G227" i="8"/>
  <c r="F227" i="8"/>
  <c r="E227" i="8"/>
  <c r="D227" i="8"/>
  <c r="C227" i="8"/>
  <c r="B227" i="8"/>
  <c r="A227" i="8"/>
  <c r="I226" i="8"/>
  <c r="H226" i="8"/>
  <c r="G226" i="8"/>
  <c r="F226" i="8"/>
  <c r="E226" i="8"/>
  <c r="D226" i="8"/>
  <c r="C226" i="8"/>
  <c r="B226" i="8"/>
  <c r="A226" i="8"/>
  <c r="I225" i="8"/>
  <c r="H225" i="8"/>
  <c r="G225" i="8"/>
  <c r="F225" i="8"/>
  <c r="E225" i="8"/>
  <c r="D225" i="8"/>
  <c r="C225" i="8"/>
  <c r="B225" i="8"/>
  <c r="A225" i="8"/>
  <c r="I224" i="8"/>
  <c r="H224" i="8"/>
  <c r="G224" i="8"/>
  <c r="F224" i="8"/>
  <c r="E224" i="8"/>
  <c r="D224" i="8"/>
  <c r="C224" i="8"/>
  <c r="B224" i="8"/>
  <c r="A224" i="8"/>
  <c r="I223" i="8"/>
  <c r="H223" i="8"/>
  <c r="G223" i="8"/>
  <c r="F223" i="8"/>
  <c r="E223" i="8"/>
  <c r="D223" i="8"/>
  <c r="C223" i="8"/>
  <c r="B223" i="8"/>
  <c r="A223" i="8"/>
  <c r="I222" i="8"/>
  <c r="H222" i="8"/>
  <c r="G222" i="8"/>
  <c r="F222" i="8"/>
  <c r="E222" i="8"/>
  <c r="D222" i="8"/>
  <c r="C222" i="8"/>
  <c r="B222" i="8"/>
  <c r="A222" i="8"/>
  <c r="I221" i="8"/>
  <c r="H221" i="8"/>
  <c r="G221" i="8"/>
  <c r="F221" i="8"/>
  <c r="E221" i="8"/>
  <c r="D221" i="8"/>
  <c r="C221" i="8"/>
  <c r="B221" i="8"/>
  <c r="A221" i="8"/>
  <c r="I220" i="8"/>
  <c r="H220" i="8"/>
  <c r="G220" i="8"/>
  <c r="F220" i="8"/>
  <c r="E220" i="8"/>
  <c r="D220" i="8"/>
  <c r="C220" i="8"/>
  <c r="B220" i="8"/>
  <c r="A220" i="8"/>
  <c r="I219" i="8"/>
  <c r="H219" i="8"/>
  <c r="G219" i="8"/>
  <c r="F219" i="8"/>
  <c r="E219" i="8"/>
  <c r="D219" i="8"/>
  <c r="C219" i="8"/>
  <c r="B219" i="8"/>
  <c r="A219" i="8"/>
  <c r="I218" i="8"/>
  <c r="H218" i="8"/>
  <c r="G218" i="8"/>
  <c r="F218" i="8"/>
  <c r="E218" i="8"/>
  <c r="D218" i="8"/>
  <c r="C218" i="8"/>
  <c r="B218" i="8"/>
  <c r="A218" i="8"/>
  <c r="I217" i="8"/>
  <c r="H217" i="8"/>
  <c r="G217" i="8"/>
  <c r="F217" i="8"/>
  <c r="E217" i="8"/>
  <c r="D217" i="8"/>
  <c r="C217" i="8"/>
  <c r="B217" i="8"/>
  <c r="A217" i="8"/>
  <c r="I216" i="8"/>
  <c r="H216" i="8"/>
  <c r="G216" i="8"/>
  <c r="F216" i="8"/>
  <c r="E216" i="8"/>
  <c r="D216" i="8"/>
  <c r="C216" i="8"/>
  <c r="B216" i="8"/>
  <c r="A216" i="8"/>
  <c r="I215" i="8"/>
  <c r="H215" i="8"/>
  <c r="G215" i="8"/>
  <c r="F215" i="8"/>
  <c r="E215" i="8"/>
  <c r="D215" i="8"/>
  <c r="C215" i="8"/>
  <c r="B215" i="8"/>
  <c r="A215" i="8"/>
  <c r="I214" i="8"/>
  <c r="H214" i="8"/>
  <c r="G214" i="8"/>
  <c r="F214" i="8"/>
  <c r="E214" i="8"/>
  <c r="D214" i="8"/>
  <c r="C214" i="8"/>
  <c r="B214" i="8"/>
  <c r="A214" i="8"/>
  <c r="I213" i="8"/>
  <c r="H213" i="8"/>
  <c r="G213" i="8"/>
  <c r="F213" i="8"/>
  <c r="E213" i="8"/>
  <c r="D213" i="8"/>
  <c r="C213" i="8"/>
  <c r="B213" i="8"/>
  <c r="A213" i="8"/>
  <c r="I212" i="8"/>
  <c r="H212" i="8"/>
  <c r="G212" i="8"/>
  <c r="F212" i="8"/>
  <c r="E212" i="8"/>
  <c r="D212" i="8"/>
  <c r="C212" i="8"/>
  <c r="B212" i="8"/>
  <c r="A212" i="8"/>
  <c r="I211" i="8"/>
  <c r="H211" i="8"/>
  <c r="G211" i="8"/>
  <c r="F211" i="8"/>
  <c r="E211" i="8"/>
  <c r="D211" i="8"/>
  <c r="C211" i="8"/>
  <c r="B211" i="8"/>
  <c r="A211" i="8"/>
  <c r="I210" i="8"/>
  <c r="H210" i="8"/>
  <c r="G210" i="8"/>
  <c r="F210" i="8"/>
  <c r="E210" i="8"/>
  <c r="D210" i="8"/>
  <c r="C210" i="8"/>
  <c r="B210" i="8"/>
  <c r="A210" i="8"/>
  <c r="I209" i="8"/>
  <c r="H209" i="8"/>
  <c r="G209" i="8"/>
  <c r="F209" i="8"/>
  <c r="E209" i="8"/>
  <c r="D209" i="8"/>
  <c r="C209" i="8"/>
  <c r="B209" i="8"/>
  <c r="A209" i="8"/>
  <c r="I208" i="8"/>
  <c r="H208" i="8"/>
  <c r="G208" i="8"/>
  <c r="F208" i="8"/>
  <c r="E208" i="8"/>
  <c r="D208" i="8"/>
  <c r="C208" i="8"/>
  <c r="B208" i="8"/>
  <c r="A208" i="8"/>
  <c r="I207" i="8"/>
  <c r="H207" i="8"/>
  <c r="G207" i="8"/>
  <c r="F207" i="8"/>
  <c r="E207" i="8"/>
  <c r="D207" i="8"/>
  <c r="C207" i="8"/>
  <c r="B207" i="8"/>
  <c r="A207" i="8"/>
  <c r="I206" i="8"/>
  <c r="H206" i="8"/>
  <c r="G206" i="8"/>
  <c r="F206" i="8"/>
  <c r="E206" i="8"/>
  <c r="D206" i="8"/>
  <c r="C206" i="8"/>
  <c r="B206" i="8"/>
  <c r="A206" i="8"/>
  <c r="I205" i="8"/>
  <c r="H205" i="8"/>
  <c r="G205" i="8"/>
  <c r="F205" i="8"/>
  <c r="E205" i="8"/>
  <c r="D205" i="8"/>
  <c r="C205" i="8"/>
  <c r="B205" i="8"/>
  <c r="A205" i="8"/>
  <c r="I204" i="8"/>
  <c r="H204" i="8"/>
  <c r="G204" i="8"/>
  <c r="F204" i="8"/>
  <c r="E204" i="8"/>
  <c r="D204" i="8"/>
  <c r="C204" i="8"/>
  <c r="B204" i="8"/>
  <c r="A204" i="8"/>
  <c r="I203" i="8"/>
  <c r="H203" i="8"/>
  <c r="G203" i="8"/>
  <c r="F203" i="8"/>
  <c r="E203" i="8"/>
  <c r="D203" i="8"/>
  <c r="C203" i="8"/>
  <c r="B203" i="8"/>
  <c r="A203" i="8"/>
  <c r="I202" i="8"/>
  <c r="H202" i="8"/>
  <c r="G202" i="8"/>
  <c r="F202" i="8"/>
  <c r="E202" i="8"/>
  <c r="D202" i="8"/>
  <c r="C202" i="8"/>
  <c r="B202" i="8"/>
  <c r="A202" i="8"/>
  <c r="I201" i="8"/>
  <c r="H201" i="8"/>
  <c r="G201" i="8"/>
  <c r="F201" i="8"/>
  <c r="E201" i="8"/>
  <c r="D201" i="8"/>
  <c r="C201" i="8"/>
  <c r="B201" i="8"/>
  <c r="A201" i="8"/>
  <c r="I200" i="8"/>
  <c r="H200" i="8"/>
  <c r="G200" i="8"/>
  <c r="F200" i="8"/>
  <c r="E200" i="8"/>
  <c r="D200" i="8"/>
  <c r="C200" i="8"/>
  <c r="B200" i="8"/>
  <c r="A200" i="8"/>
  <c r="I199" i="8"/>
  <c r="H199" i="8"/>
  <c r="G199" i="8"/>
  <c r="F199" i="8"/>
  <c r="E199" i="8"/>
  <c r="D199" i="8"/>
  <c r="C199" i="8"/>
  <c r="B199" i="8"/>
  <c r="A199" i="8"/>
  <c r="I198" i="8"/>
  <c r="H198" i="8"/>
  <c r="G198" i="8"/>
  <c r="F198" i="8"/>
  <c r="E198" i="8"/>
  <c r="D198" i="8"/>
  <c r="C198" i="8"/>
  <c r="B198" i="8"/>
  <c r="A198" i="8"/>
  <c r="I197" i="8"/>
  <c r="H197" i="8"/>
  <c r="G197" i="8"/>
  <c r="F197" i="8"/>
  <c r="E197" i="8"/>
  <c r="D197" i="8"/>
  <c r="C197" i="8"/>
  <c r="B197" i="8"/>
  <c r="A197" i="8"/>
  <c r="I196" i="8"/>
  <c r="H196" i="8"/>
  <c r="G196" i="8"/>
  <c r="F196" i="8"/>
  <c r="E196" i="8"/>
  <c r="D196" i="8"/>
  <c r="C196" i="8"/>
  <c r="B196" i="8"/>
  <c r="A196" i="8"/>
  <c r="I195" i="8"/>
  <c r="H195" i="8"/>
  <c r="G195" i="8"/>
  <c r="F195" i="8"/>
  <c r="E195" i="8"/>
  <c r="D195" i="8"/>
  <c r="C195" i="8"/>
  <c r="B195" i="8"/>
  <c r="A195" i="8"/>
  <c r="I194" i="8"/>
  <c r="H194" i="8"/>
  <c r="G194" i="8"/>
  <c r="F194" i="8"/>
  <c r="E194" i="8"/>
  <c r="D194" i="8"/>
  <c r="C194" i="8"/>
  <c r="B194" i="8"/>
  <c r="A194" i="8"/>
  <c r="I193" i="8"/>
  <c r="H193" i="8"/>
  <c r="G193" i="8"/>
  <c r="F193" i="8"/>
  <c r="E193" i="8"/>
  <c r="D193" i="8"/>
  <c r="C193" i="8"/>
  <c r="B193" i="8"/>
  <c r="A193" i="8"/>
  <c r="I192" i="8"/>
  <c r="H192" i="8"/>
  <c r="G192" i="8"/>
  <c r="F192" i="8"/>
  <c r="E192" i="8"/>
  <c r="D192" i="8"/>
  <c r="C192" i="8"/>
  <c r="B192" i="8"/>
  <c r="A192" i="8"/>
  <c r="I191" i="8"/>
  <c r="H191" i="8"/>
  <c r="G191" i="8"/>
  <c r="F191" i="8"/>
  <c r="E191" i="8"/>
  <c r="D191" i="8"/>
  <c r="C191" i="8"/>
  <c r="B191" i="8"/>
  <c r="A191" i="8"/>
  <c r="I190" i="8"/>
  <c r="H190" i="8"/>
  <c r="G190" i="8"/>
  <c r="F190" i="8"/>
  <c r="E190" i="8"/>
  <c r="D190" i="8"/>
  <c r="C190" i="8"/>
  <c r="B190" i="8"/>
  <c r="A190" i="8"/>
  <c r="I189" i="8"/>
  <c r="H189" i="8"/>
  <c r="G189" i="8"/>
  <c r="F189" i="8"/>
  <c r="E189" i="8"/>
  <c r="D189" i="8"/>
  <c r="C189" i="8"/>
  <c r="B189" i="8"/>
  <c r="A189" i="8"/>
  <c r="I188" i="8"/>
  <c r="H188" i="8"/>
  <c r="G188" i="8"/>
  <c r="F188" i="8"/>
  <c r="E188" i="8"/>
  <c r="D188" i="8"/>
  <c r="C188" i="8"/>
  <c r="B188" i="8"/>
  <c r="A188" i="8"/>
  <c r="I187" i="8"/>
  <c r="H187" i="8"/>
  <c r="G187" i="8"/>
  <c r="F187" i="8"/>
  <c r="E187" i="8"/>
  <c r="D187" i="8"/>
  <c r="C187" i="8"/>
  <c r="B187" i="8"/>
  <c r="A187" i="8"/>
  <c r="I186" i="8"/>
  <c r="H186" i="8"/>
  <c r="G186" i="8"/>
  <c r="F186" i="8"/>
  <c r="E186" i="8"/>
  <c r="D186" i="8"/>
  <c r="C186" i="8"/>
  <c r="B186" i="8"/>
  <c r="A186" i="8"/>
  <c r="I185" i="8"/>
  <c r="H185" i="8"/>
  <c r="G185" i="8"/>
  <c r="F185" i="8"/>
  <c r="E185" i="8"/>
  <c r="D185" i="8"/>
  <c r="C185" i="8"/>
  <c r="B185" i="8"/>
  <c r="A185" i="8"/>
  <c r="I184" i="8"/>
  <c r="H184" i="8"/>
  <c r="G184" i="8"/>
  <c r="F184" i="8"/>
  <c r="E184" i="8"/>
  <c r="D184" i="8"/>
  <c r="C184" i="8"/>
  <c r="B184" i="8"/>
  <c r="A184" i="8"/>
  <c r="I183" i="8"/>
  <c r="H183" i="8"/>
  <c r="G183" i="8"/>
  <c r="F183" i="8"/>
  <c r="E183" i="8"/>
  <c r="D183" i="8"/>
  <c r="C183" i="8"/>
  <c r="B183" i="8"/>
  <c r="A183" i="8"/>
  <c r="I182" i="8"/>
  <c r="H182" i="8"/>
  <c r="G182" i="8"/>
  <c r="F182" i="8"/>
  <c r="E182" i="8"/>
  <c r="D182" i="8"/>
  <c r="C182" i="8"/>
  <c r="B182" i="8"/>
  <c r="A182" i="8"/>
  <c r="I181" i="8"/>
  <c r="H181" i="8"/>
  <c r="G181" i="8"/>
  <c r="F181" i="8"/>
  <c r="E181" i="8"/>
  <c r="D181" i="8"/>
  <c r="C181" i="8"/>
  <c r="B181" i="8"/>
  <c r="A181" i="8"/>
  <c r="I180" i="8"/>
  <c r="H180" i="8"/>
  <c r="G180" i="8"/>
  <c r="F180" i="8"/>
  <c r="E180" i="8"/>
  <c r="D180" i="8"/>
  <c r="C180" i="8"/>
  <c r="B180" i="8"/>
  <c r="A180" i="8"/>
  <c r="I179" i="8"/>
  <c r="H179" i="8"/>
  <c r="G179" i="8"/>
  <c r="F179" i="8"/>
  <c r="E179" i="8"/>
  <c r="D179" i="8"/>
  <c r="C179" i="8"/>
  <c r="B179" i="8"/>
  <c r="A179" i="8"/>
  <c r="I178" i="8"/>
  <c r="H178" i="8"/>
  <c r="G178" i="8"/>
  <c r="F178" i="8"/>
  <c r="E178" i="8"/>
  <c r="D178" i="8"/>
  <c r="C178" i="8"/>
  <c r="B178" i="8"/>
  <c r="A178" i="8"/>
  <c r="I177" i="8"/>
  <c r="H177" i="8"/>
  <c r="G177" i="8"/>
  <c r="F177" i="8"/>
  <c r="E177" i="8"/>
  <c r="D177" i="8"/>
  <c r="C177" i="8"/>
  <c r="B177" i="8"/>
  <c r="A177" i="8"/>
  <c r="I176" i="8"/>
  <c r="H176" i="8"/>
  <c r="G176" i="8"/>
  <c r="F176" i="8"/>
  <c r="E176" i="8"/>
  <c r="D176" i="8"/>
  <c r="C176" i="8"/>
  <c r="B176" i="8"/>
  <c r="A176" i="8"/>
  <c r="I175" i="8"/>
  <c r="H175" i="8"/>
  <c r="G175" i="8"/>
  <c r="F175" i="8"/>
  <c r="E175" i="8"/>
  <c r="D175" i="8"/>
  <c r="C175" i="8"/>
  <c r="B175" i="8"/>
  <c r="A175" i="8"/>
  <c r="I174" i="8"/>
  <c r="H174" i="8"/>
  <c r="G174" i="8"/>
  <c r="F174" i="8"/>
  <c r="E174" i="8"/>
  <c r="D174" i="8"/>
  <c r="C174" i="8"/>
  <c r="B174" i="8"/>
  <c r="A174" i="8"/>
  <c r="I173" i="8"/>
  <c r="H173" i="8"/>
  <c r="G173" i="8"/>
  <c r="F173" i="8"/>
  <c r="E173" i="8"/>
  <c r="D173" i="8"/>
  <c r="C173" i="8"/>
  <c r="B173" i="8"/>
  <c r="A173" i="8"/>
  <c r="I172" i="8"/>
  <c r="H172" i="8"/>
  <c r="G172" i="8"/>
  <c r="F172" i="8"/>
  <c r="E172" i="8"/>
  <c r="D172" i="8"/>
  <c r="C172" i="8"/>
  <c r="B172" i="8"/>
  <c r="A172" i="8"/>
  <c r="I171" i="8"/>
  <c r="H171" i="8"/>
  <c r="G171" i="8"/>
  <c r="F171" i="8"/>
  <c r="E171" i="8"/>
  <c r="D171" i="8"/>
  <c r="C171" i="8"/>
  <c r="B171" i="8"/>
  <c r="A171" i="8"/>
  <c r="I170" i="8"/>
  <c r="H170" i="8"/>
  <c r="G170" i="8"/>
  <c r="F170" i="8"/>
  <c r="E170" i="8"/>
  <c r="D170" i="8"/>
  <c r="C170" i="8"/>
  <c r="B170" i="8"/>
  <c r="A170" i="8"/>
  <c r="I169" i="8"/>
  <c r="H169" i="8"/>
  <c r="G169" i="8"/>
  <c r="F169" i="8"/>
  <c r="E169" i="8"/>
  <c r="D169" i="8"/>
  <c r="C169" i="8"/>
  <c r="B169" i="8"/>
  <c r="A169" i="8"/>
  <c r="I168" i="8"/>
  <c r="H168" i="8"/>
  <c r="G168" i="8"/>
  <c r="F168" i="8"/>
  <c r="E168" i="8"/>
  <c r="D168" i="8"/>
  <c r="C168" i="8"/>
  <c r="B168" i="8"/>
  <c r="A168" i="8"/>
  <c r="I167" i="8"/>
  <c r="H167" i="8"/>
  <c r="G167" i="8"/>
  <c r="F167" i="8"/>
  <c r="E167" i="8"/>
  <c r="D167" i="8"/>
  <c r="C167" i="8"/>
  <c r="B167" i="8"/>
  <c r="A167" i="8"/>
  <c r="I166" i="8"/>
  <c r="H166" i="8"/>
  <c r="G166" i="8"/>
  <c r="F166" i="8"/>
  <c r="E166" i="8"/>
  <c r="D166" i="8"/>
  <c r="C166" i="8"/>
  <c r="B166" i="8"/>
  <c r="A166" i="8"/>
  <c r="I165" i="8"/>
  <c r="H165" i="8"/>
  <c r="G165" i="8"/>
  <c r="F165" i="8"/>
  <c r="E165" i="8"/>
  <c r="D165" i="8"/>
  <c r="C165" i="8"/>
  <c r="B165" i="8"/>
  <c r="A165" i="8"/>
  <c r="I164" i="8"/>
  <c r="H164" i="8"/>
  <c r="G164" i="8"/>
  <c r="F164" i="8"/>
  <c r="E164" i="8"/>
  <c r="D164" i="8"/>
  <c r="C164" i="8"/>
  <c r="B164" i="8"/>
  <c r="A164" i="8"/>
  <c r="I163" i="8"/>
  <c r="H163" i="8"/>
  <c r="G163" i="8"/>
  <c r="F163" i="8"/>
  <c r="E163" i="8"/>
  <c r="D163" i="8"/>
  <c r="C163" i="8"/>
  <c r="B163" i="8"/>
  <c r="A163" i="8"/>
  <c r="I162" i="8"/>
  <c r="H162" i="8"/>
  <c r="G162" i="8"/>
  <c r="F162" i="8"/>
  <c r="E162" i="8"/>
  <c r="D162" i="8"/>
  <c r="C162" i="8"/>
  <c r="B162" i="8"/>
  <c r="A162" i="8"/>
  <c r="I161" i="8"/>
  <c r="H161" i="8"/>
  <c r="G161" i="8"/>
  <c r="F161" i="8"/>
  <c r="E161" i="8"/>
  <c r="D161" i="8"/>
  <c r="C161" i="8"/>
  <c r="B161" i="8"/>
  <c r="A161" i="8"/>
  <c r="I160" i="8"/>
  <c r="H160" i="8"/>
  <c r="G160" i="8"/>
  <c r="F160" i="8"/>
  <c r="E160" i="8"/>
  <c r="D160" i="8"/>
  <c r="C160" i="8"/>
  <c r="B160" i="8"/>
  <c r="A160" i="8"/>
  <c r="I159" i="8"/>
  <c r="H159" i="8"/>
  <c r="G159" i="8"/>
  <c r="F159" i="8"/>
  <c r="E159" i="8"/>
  <c r="D159" i="8"/>
  <c r="C159" i="8"/>
  <c r="B159" i="8"/>
  <c r="A159" i="8"/>
  <c r="I158" i="8"/>
  <c r="H158" i="8"/>
  <c r="G158" i="8"/>
  <c r="F158" i="8"/>
  <c r="E158" i="8"/>
  <c r="D158" i="8"/>
  <c r="C158" i="8"/>
  <c r="B158" i="8"/>
  <c r="A158" i="8"/>
  <c r="I157" i="8"/>
  <c r="H157" i="8"/>
  <c r="G157" i="8"/>
  <c r="F157" i="8"/>
  <c r="E157" i="8"/>
  <c r="D157" i="8"/>
  <c r="C157" i="8"/>
  <c r="B157" i="8"/>
  <c r="A157" i="8"/>
  <c r="I156" i="8"/>
  <c r="H156" i="8"/>
  <c r="G156" i="8"/>
  <c r="F156" i="8"/>
  <c r="E156" i="8"/>
  <c r="D156" i="8"/>
  <c r="C156" i="8"/>
  <c r="B156" i="8"/>
  <c r="A156" i="8"/>
  <c r="I155" i="8"/>
  <c r="H155" i="8"/>
  <c r="G155" i="8"/>
  <c r="F155" i="8"/>
  <c r="E155" i="8"/>
  <c r="D155" i="8"/>
  <c r="C155" i="8"/>
  <c r="B155" i="8"/>
  <c r="A155" i="8"/>
  <c r="I154" i="8"/>
  <c r="H154" i="8"/>
  <c r="G154" i="8"/>
  <c r="F154" i="8"/>
  <c r="E154" i="8"/>
  <c r="D154" i="8"/>
  <c r="C154" i="8"/>
  <c r="B154" i="8"/>
  <c r="A154" i="8"/>
  <c r="I153" i="8"/>
  <c r="H153" i="8"/>
  <c r="G153" i="8"/>
  <c r="F153" i="8"/>
  <c r="E153" i="8"/>
  <c r="D153" i="8"/>
  <c r="C153" i="8"/>
  <c r="B153" i="8"/>
  <c r="A153" i="8"/>
  <c r="I152" i="8"/>
  <c r="H152" i="8"/>
  <c r="G152" i="8"/>
  <c r="F152" i="8"/>
  <c r="E152" i="8"/>
  <c r="D152" i="8"/>
  <c r="C152" i="8"/>
  <c r="B152" i="8"/>
  <c r="A152" i="8"/>
  <c r="I151" i="8"/>
  <c r="H151" i="8"/>
  <c r="G151" i="8"/>
  <c r="F151" i="8"/>
  <c r="E151" i="8"/>
  <c r="D151" i="8"/>
  <c r="C151" i="8"/>
  <c r="B151" i="8"/>
  <c r="A151" i="8"/>
  <c r="I150" i="8"/>
  <c r="H150" i="8"/>
  <c r="G150" i="8"/>
  <c r="F150" i="8"/>
  <c r="E150" i="8"/>
  <c r="D150" i="8"/>
  <c r="C150" i="8"/>
  <c r="B150" i="8"/>
  <c r="A150" i="8"/>
  <c r="I149" i="8"/>
  <c r="H149" i="8"/>
  <c r="G149" i="8"/>
  <c r="F149" i="8"/>
  <c r="E149" i="8"/>
  <c r="D149" i="8"/>
  <c r="C149" i="8"/>
  <c r="B149" i="8"/>
  <c r="A149" i="8"/>
  <c r="I148" i="8"/>
  <c r="H148" i="8"/>
  <c r="G148" i="8"/>
  <c r="F148" i="8"/>
  <c r="E148" i="8"/>
  <c r="D148" i="8"/>
  <c r="C148" i="8"/>
  <c r="B148" i="8"/>
  <c r="A148" i="8"/>
  <c r="I147" i="8"/>
  <c r="H147" i="8"/>
  <c r="G147" i="8"/>
  <c r="F147" i="8"/>
  <c r="E147" i="8"/>
  <c r="D147" i="8"/>
  <c r="C147" i="8"/>
  <c r="B147" i="8"/>
  <c r="A147" i="8"/>
  <c r="I146" i="8"/>
  <c r="H146" i="8"/>
  <c r="G146" i="8"/>
  <c r="F146" i="8"/>
  <c r="E146" i="8"/>
  <c r="D146" i="8"/>
  <c r="C146" i="8"/>
  <c r="B146" i="8"/>
  <c r="A146" i="8"/>
  <c r="I145" i="8"/>
  <c r="H145" i="8"/>
  <c r="G145" i="8"/>
  <c r="F145" i="8"/>
  <c r="E145" i="8"/>
  <c r="D145" i="8"/>
  <c r="C145" i="8"/>
  <c r="B145" i="8"/>
  <c r="A145" i="8"/>
  <c r="I144" i="8"/>
  <c r="H144" i="8"/>
  <c r="G144" i="8"/>
  <c r="F144" i="8"/>
  <c r="E144" i="8"/>
  <c r="D144" i="8"/>
  <c r="C144" i="8"/>
  <c r="B144" i="8"/>
  <c r="A144" i="8"/>
  <c r="I143" i="8"/>
  <c r="H143" i="8"/>
  <c r="G143" i="8"/>
  <c r="F143" i="8"/>
  <c r="E143" i="8"/>
  <c r="D143" i="8"/>
  <c r="C143" i="8"/>
  <c r="B143" i="8"/>
  <c r="A143" i="8"/>
  <c r="I142" i="8"/>
  <c r="H142" i="8"/>
  <c r="G142" i="8"/>
  <c r="F142" i="8"/>
  <c r="E142" i="8"/>
  <c r="D142" i="8"/>
  <c r="C142" i="8"/>
  <c r="B142" i="8"/>
  <c r="A142" i="8"/>
  <c r="I141" i="8"/>
  <c r="H141" i="8"/>
  <c r="G141" i="8"/>
  <c r="F141" i="8"/>
  <c r="E141" i="8"/>
  <c r="D141" i="8"/>
  <c r="C141" i="8"/>
  <c r="B141" i="8"/>
  <c r="A141" i="8"/>
  <c r="I140" i="8"/>
  <c r="H140" i="8"/>
  <c r="G140" i="8"/>
  <c r="F140" i="8"/>
  <c r="E140" i="8"/>
  <c r="D140" i="8"/>
  <c r="C140" i="8"/>
  <c r="B140" i="8"/>
  <c r="A140" i="8"/>
  <c r="I139" i="8"/>
  <c r="H139" i="8"/>
  <c r="G139" i="8"/>
  <c r="F139" i="8"/>
  <c r="E139" i="8"/>
  <c r="D139" i="8"/>
  <c r="C139" i="8"/>
  <c r="B139" i="8"/>
  <c r="A139" i="8"/>
  <c r="I138" i="8"/>
  <c r="H138" i="8"/>
  <c r="G138" i="8"/>
  <c r="F138" i="8"/>
  <c r="E138" i="8"/>
  <c r="D138" i="8"/>
  <c r="C138" i="8"/>
  <c r="B138" i="8"/>
  <c r="A138" i="8"/>
  <c r="I137" i="8"/>
  <c r="H137" i="8"/>
  <c r="G137" i="8"/>
  <c r="F137" i="8"/>
  <c r="E137" i="8"/>
  <c r="D137" i="8"/>
  <c r="C137" i="8"/>
  <c r="B137" i="8"/>
  <c r="A137" i="8"/>
  <c r="I136" i="8"/>
  <c r="H136" i="8"/>
  <c r="G136" i="8"/>
  <c r="F136" i="8"/>
  <c r="E136" i="8"/>
  <c r="D136" i="8"/>
  <c r="C136" i="8"/>
  <c r="B136" i="8"/>
  <c r="A136" i="8"/>
  <c r="I135" i="8"/>
  <c r="H135" i="8"/>
  <c r="G135" i="8"/>
  <c r="F135" i="8"/>
  <c r="E135" i="8"/>
  <c r="D135" i="8"/>
  <c r="C135" i="8"/>
  <c r="B135" i="8"/>
  <c r="A135" i="8"/>
  <c r="I134" i="8"/>
  <c r="H134" i="8"/>
  <c r="G134" i="8"/>
  <c r="F134" i="8"/>
  <c r="E134" i="8"/>
  <c r="D134" i="8"/>
  <c r="C134" i="8"/>
  <c r="B134" i="8"/>
  <c r="A134" i="8"/>
  <c r="I133" i="8"/>
  <c r="H133" i="8"/>
  <c r="G133" i="8"/>
  <c r="F133" i="8"/>
  <c r="E133" i="8"/>
  <c r="D133" i="8"/>
  <c r="C133" i="8"/>
  <c r="B133" i="8"/>
  <c r="A133" i="8"/>
  <c r="I132" i="8"/>
  <c r="H132" i="8"/>
  <c r="G132" i="8"/>
  <c r="F132" i="8"/>
  <c r="E132" i="8"/>
  <c r="D132" i="8"/>
  <c r="C132" i="8"/>
  <c r="B132" i="8"/>
  <c r="A132" i="8"/>
  <c r="I131" i="8"/>
  <c r="H131" i="8"/>
  <c r="G131" i="8"/>
  <c r="F131" i="8"/>
  <c r="E131" i="8"/>
  <c r="D131" i="8"/>
  <c r="C131" i="8"/>
  <c r="B131" i="8"/>
  <c r="A131" i="8"/>
  <c r="I130" i="8"/>
  <c r="H130" i="8"/>
  <c r="G130" i="8"/>
  <c r="F130" i="8"/>
  <c r="E130" i="8"/>
  <c r="D130" i="8"/>
  <c r="C130" i="8"/>
  <c r="B130" i="8"/>
  <c r="A130" i="8"/>
  <c r="I129" i="8"/>
  <c r="H129" i="8"/>
  <c r="G129" i="8"/>
  <c r="F129" i="8"/>
  <c r="E129" i="8"/>
  <c r="D129" i="8"/>
  <c r="C129" i="8"/>
  <c r="B129" i="8"/>
  <c r="A129" i="8"/>
  <c r="I128" i="8"/>
  <c r="H128" i="8"/>
  <c r="G128" i="8"/>
  <c r="F128" i="8"/>
  <c r="E128" i="8"/>
  <c r="D128" i="8"/>
  <c r="C128" i="8"/>
  <c r="B128" i="8"/>
  <c r="A128" i="8"/>
  <c r="I127" i="8"/>
  <c r="H127" i="8"/>
  <c r="G127" i="8"/>
  <c r="F127" i="8"/>
  <c r="E127" i="8"/>
  <c r="D127" i="8"/>
  <c r="C127" i="8"/>
  <c r="B127" i="8"/>
  <c r="A127" i="8"/>
  <c r="I126" i="8"/>
  <c r="H126" i="8"/>
  <c r="G126" i="8"/>
  <c r="F126" i="8"/>
  <c r="E126" i="8"/>
  <c r="D126" i="8"/>
  <c r="C126" i="8"/>
  <c r="B126" i="8"/>
  <c r="A126" i="8"/>
  <c r="I125" i="8"/>
  <c r="H125" i="8"/>
  <c r="G125" i="8"/>
  <c r="F125" i="8"/>
  <c r="E125" i="8"/>
  <c r="D125" i="8"/>
  <c r="C125" i="8"/>
  <c r="B125" i="8"/>
  <c r="A125" i="8"/>
  <c r="I124" i="8"/>
  <c r="H124" i="8"/>
  <c r="G124" i="8"/>
  <c r="F124" i="8"/>
  <c r="E124" i="8"/>
  <c r="D124" i="8"/>
  <c r="C124" i="8"/>
  <c r="B124" i="8"/>
  <c r="A124" i="8"/>
  <c r="I123" i="8"/>
  <c r="H123" i="8"/>
  <c r="G123" i="8"/>
  <c r="F123" i="8"/>
  <c r="E123" i="8"/>
  <c r="D123" i="8"/>
  <c r="C123" i="8"/>
  <c r="B123" i="8"/>
  <c r="A123" i="8"/>
  <c r="I122" i="8"/>
  <c r="H122" i="8"/>
  <c r="G122" i="8"/>
  <c r="F122" i="8"/>
  <c r="E122" i="8"/>
  <c r="D122" i="8"/>
  <c r="C122" i="8"/>
  <c r="B122" i="8"/>
  <c r="A122" i="8"/>
  <c r="I121" i="8"/>
  <c r="H121" i="8"/>
  <c r="G121" i="8"/>
  <c r="F121" i="8"/>
  <c r="E121" i="8"/>
  <c r="D121" i="8"/>
  <c r="C121" i="8"/>
  <c r="B121" i="8"/>
  <c r="A121" i="8"/>
  <c r="I120" i="8"/>
  <c r="H120" i="8"/>
  <c r="G120" i="8"/>
  <c r="F120" i="8"/>
  <c r="E120" i="8"/>
  <c r="D120" i="8"/>
  <c r="C120" i="8"/>
  <c r="B120" i="8"/>
  <c r="A120" i="8"/>
  <c r="I119" i="8"/>
  <c r="H119" i="8"/>
  <c r="G119" i="8"/>
  <c r="F119" i="8"/>
  <c r="E119" i="8"/>
  <c r="D119" i="8"/>
  <c r="C119" i="8"/>
  <c r="B119" i="8"/>
  <c r="A119" i="8"/>
  <c r="I118" i="8"/>
  <c r="H118" i="8"/>
  <c r="G118" i="8"/>
  <c r="F118" i="8"/>
  <c r="E118" i="8"/>
  <c r="D118" i="8"/>
  <c r="C118" i="8"/>
  <c r="B118" i="8"/>
  <c r="A118" i="8"/>
  <c r="I117" i="8"/>
  <c r="H117" i="8"/>
  <c r="G117" i="8"/>
  <c r="F117" i="8"/>
  <c r="E117" i="8"/>
  <c r="D117" i="8"/>
  <c r="C117" i="8"/>
  <c r="B117" i="8"/>
  <c r="A117" i="8"/>
  <c r="I116" i="8"/>
  <c r="H116" i="8"/>
  <c r="G116" i="8"/>
  <c r="F116" i="8"/>
  <c r="E116" i="8"/>
  <c r="D116" i="8"/>
  <c r="C116" i="8"/>
  <c r="B116" i="8"/>
  <c r="A116" i="8"/>
  <c r="I115" i="8"/>
  <c r="H115" i="8"/>
  <c r="G115" i="8"/>
  <c r="F115" i="8"/>
  <c r="E115" i="8"/>
  <c r="D115" i="8"/>
  <c r="C115" i="8"/>
  <c r="B115" i="8"/>
  <c r="A115" i="8"/>
  <c r="I114" i="8"/>
  <c r="H114" i="8"/>
  <c r="G114" i="8"/>
  <c r="F114" i="8"/>
  <c r="E114" i="8"/>
  <c r="D114" i="8"/>
  <c r="C114" i="8"/>
  <c r="B114" i="8"/>
  <c r="A114" i="8"/>
  <c r="I113" i="8"/>
  <c r="H113" i="8"/>
  <c r="G113" i="8"/>
  <c r="F113" i="8"/>
  <c r="E113" i="8"/>
  <c r="D113" i="8"/>
  <c r="C113" i="8"/>
  <c r="B113" i="8"/>
  <c r="A113" i="8"/>
  <c r="I112" i="8"/>
  <c r="H112" i="8"/>
  <c r="G112" i="8"/>
  <c r="F112" i="8"/>
  <c r="E112" i="8"/>
  <c r="D112" i="8"/>
  <c r="C112" i="8"/>
  <c r="B112" i="8"/>
  <c r="A112" i="8"/>
  <c r="I111" i="8"/>
  <c r="H111" i="8"/>
  <c r="G111" i="8"/>
  <c r="F111" i="8"/>
  <c r="E111" i="8"/>
  <c r="D111" i="8"/>
  <c r="C111" i="8"/>
  <c r="B111" i="8"/>
  <c r="A111" i="8"/>
  <c r="I110" i="8"/>
  <c r="H110" i="8"/>
  <c r="G110" i="8"/>
  <c r="F110" i="8"/>
  <c r="E110" i="8"/>
  <c r="D110" i="8"/>
  <c r="C110" i="8"/>
  <c r="B110" i="8"/>
  <c r="A110" i="8"/>
  <c r="I109" i="8"/>
  <c r="H109" i="8"/>
  <c r="G109" i="8"/>
  <c r="F109" i="8"/>
  <c r="E109" i="8"/>
  <c r="D109" i="8"/>
  <c r="C109" i="8"/>
  <c r="B109" i="8"/>
  <c r="A109" i="8"/>
  <c r="I108" i="8"/>
  <c r="H108" i="8"/>
  <c r="G108" i="8"/>
  <c r="F108" i="8"/>
  <c r="E108" i="8"/>
  <c r="D108" i="8"/>
  <c r="C108" i="8"/>
  <c r="B108" i="8"/>
  <c r="A108" i="8"/>
  <c r="I107" i="8"/>
  <c r="H107" i="8"/>
  <c r="G107" i="8"/>
  <c r="F107" i="8"/>
  <c r="E107" i="8"/>
  <c r="D107" i="8"/>
  <c r="C107" i="8"/>
  <c r="B107" i="8"/>
  <c r="A107" i="8"/>
  <c r="I106" i="8"/>
  <c r="H106" i="8"/>
  <c r="G106" i="8"/>
  <c r="F106" i="8"/>
  <c r="E106" i="8"/>
  <c r="D106" i="8"/>
  <c r="C106" i="8"/>
  <c r="B106" i="8"/>
  <c r="A106" i="8"/>
  <c r="I105" i="8"/>
  <c r="H105" i="8"/>
  <c r="G105" i="8"/>
  <c r="F105" i="8"/>
  <c r="E105" i="8"/>
  <c r="D105" i="8"/>
  <c r="C105" i="8"/>
  <c r="B105" i="8"/>
  <c r="A105" i="8"/>
  <c r="I104" i="8"/>
  <c r="H104" i="8"/>
  <c r="G104" i="8"/>
  <c r="F104" i="8"/>
  <c r="E104" i="8"/>
  <c r="D104" i="8"/>
  <c r="C104" i="8"/>
  <c r="B104" i="8"/>
  <c r="A104" i="8"/>
  <c r="I103" i="8"/>
  <c r="H103" i="8"/>
  <c r="G103" i="8"/>
  <c r="F103" i="8"/>
  <c r="E103" i="8"/>
  <c r="D103" i="8"/>
  <c r="C103" i="8"/>
  <c r="B103" i="8"/>
  <c r="A103" i="8"/>
  <c r="I102" i="8"/>
  <c r="H102" i="8"/>
  <c r="G102" i="8"/>
  <c r="F102" i="8"/>
  <c r="E102" i="8"/>
  <c r="D102" i="8"/>
  <c r="C102" i="8"/>
  <c r="B102" i="8"/>
  <c r="A102" i="8"/>
  <c r="I101" i="8"/>
  <c r="H101" i="8"/>
  <c r="G101" i="8"/>
  <c r="F101" i="8"/>
  <c r="E101" i="8"/>
  <c r="D101" i="8"/>
  <c r="C101" i="8"/>
  <c r="B101" i="8"/>
  <c r="A101" i="8"/>
  <c r="I100" i="8"/>
  <c r="H100" i="8"/>
  <c r="G100" i="8"/>
  <c r="F100" i="8"/>
  <c r="E100" i="8"/>
  <c r="D100" i="8"/>
  <c r="C100" i="8"/>
  <c r="B100" i="8"/>
  <c r="A100" i="8"/>
  <c r="I99" i="8"/>
  <c r="H99" i="8"/>
  <c r="G99" i="8"/>
  <c r="F99" i="8"/>
  <c r="E99" i="8"/>
  <c r="D99" i="8"/>
  <c r="C99" i="8"/>
  <c r="B99" i="8"/>
  <c r="A99" i="8"/>
  <c r="I98" i="8"/>
  <c r="H98" i="8"/>
  <c r="G98" i="8"/>
  <c r="F98" i="8"/>
  <c r="E98" i="8"/>
  <c r="D98" i="8"/>
  <c r="C98" i="8"/>
  <c r="B98" i="8"/>
  <c r="A98" i="8"/>
  <c r="I97" i="8"/>
  <c r="H97" i="8"/>
  <c r="G97" i="8"/>
  <c r="F97" i="8"/>
  <c r="E97" i="8"/>
  <c r="D97" i="8"/>
  <c r="C97" i="8"/>
  <c r="B97" i="8"/>
  <c r="A97" i="8"/>
  <c r="I96" i="8"/>
  <c r="H96" i="8"/>
  <c r="G96" i="8"/>
  <c r="F96" i="8"/>
  <c r="E96" i="8"/>
  <c r="D96" i="8"/>
  <c r="C96" i="8"/>
  <c r="B96" i="8"/>
  <c r="A96" i="8"/>
  <c r="I95" i="8"/>
  <c r="H95" i="8"/>
  <c r="G95" i="8"/>
  <c r="F95" i="8"/>
  <c r="E95" i="8"/>
  <c r="D95" i="8"/>
  <c r="C95" i="8"/>
  <c r="B95" i="8"/>
  <c r="A95" i="8"/>
  <c r="I94" i="8"/>
  <c r="H94" i="8"/>
  <c r="G94" i="8"/>
  <c r="F94" i="8"/>
  <c r="E94" i="8"/>
  <c r="D94" i="8"/>
  <c r="C94" i="8"/>
  <c r="B94" i="8"/>
  <c r="A94" i="8"/>
  <c r="I93" i="8"/>
  <c r="H93" i="8"/>
  <c r="G93" i="8"/>
  <c r="F93" i="8"/>
  <c r="E93" i="8"/>
  <c r="D93" i="8"/>
  <c r="C93" i="8"/>
  <c r="B93" i="8"/>
  <c r="A93" i="8"/>
  <c r="I92" i="8"/>
  <c r="H92" i="8"/>
  <c r="G92" i="8"/>
  <c r="F92" i="8"/>
  <c r="E92" i="8"/>
  <c r="D92" i="8"/>
  <c r="C92" i="8"/>
  <c r="B92" i="8"/>
  <c r="A92" i="8"/>
  <c r="I91" i="8"/>
  <c r="H91" i="8"/>
  <c r="G91" i="8"/>
  <c r="F91" i="8"/>
  <c r="E91" i="8"/>
  <c r="D91" i="8"/>
  <c r="C91" i="8"/>
  <c r="B91" i="8"/>
  <c r="A91" i="8"/>
  <c r="I90" i="8"/>
  <c r="H90" i="8"/>
  <c r="G90" i="8"/>
  <c r="F90" i="8"/>
  <c r="E90" i="8"/>
  <c r="D90" i="8"/>
  <c r="C90" i="8"/>
  <c r="B90" i="8"/>
  <c r="A90" i="8"/>
  <c r="I89" i="8"/>
  <c r="H89" i="8"/>
  <c r="G89" i="8"/>
  <c r="F89" i="8"/>
  <c r="E89" i="8"/>
  <c r="D89" i="8"/>
  <c r="C89" i="8"/>
  <c r="B89" i="8"/>
  <c r="A89" i="8"/>
  <c r="I88" i="8"/>
  <c r="H88" i="8"/>
  <c r="G88" i="8"/>
  <c r="F88" i="8"/>
  <c r="E88" i="8"/>
  <c r="D88" i="8"/>
  <c r="C88" i="8"/>
  <c r="B88" i="8"/>
  <c r="A88" i="8"/>
  <c r="I87" i="8"/>
  <c r="H87" i="8"/>
  <c r="G87" i="8"/>
  <c r="F87" i="8"/>
  <c r="E87" i="8"/>
  <c r="D87" i="8"/>
  <c r="C87" i="8"/>
  <c r="B87" i="8"/>
  <c r="A87" i="8"/>
  <c r="I86" i="8"/>
  <c r="H86" i="8"/>
  <c r="G86" i="8"/>
  <c r="F86" i="8"/>
  <c r="E86" i="8"/>
  <c r="D86" i="8"/>
  <c r="C86" i="8"/>
  <c r="B86" i="8"/>
  <c r="A86" i="8"/>
  <c r="I85" i="8"/>
  <c r="H85" i="8"/>
  <c r="G85" i="8"/>
  <c r="F85" i="8"/>
  <c r="E85" i="8"/>
  <c r="D85" i="8"/>
  <c r="C85" i="8"/>
  <c r="B85" i="8"/>
  <c r="A85" i="8"/>
  <c r="I84" i="8"/>
  <c r="H84" i="8"/>
  <c r="G84" i="8"/>
  <c r="F84" i="8"/>
  <c r="E84" i="8"/>
  <c r="D84" i="8"/>
  <c r="C84" i="8"/>
  <c r="B84" i="8"/>
  <c r="A84" i="8"/>
  <c r="I83" i="8"/>
  <c r="H83" i="8"/>
  <c r="G83" i="8"/>
  <c r="F83" i="8"/>
  <c r="E83" i="8"/>
  <c r="D83" i="8"/>
  <c r="C83" i="8"/>
  <c r="B83" i="8"/>
  <c r="A83" i="8"/>
  <c r="I82" i="8"/>
  <c r="H82" i="8"/>
  <c r="G82" i="8"/>
  <c r="F82" i="8"/>
  <c r="E82" i="8"/>
  <c r="D82" i="8"/>
  <c r="C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I70" i="8"/>
  <c r="H70" i="8"/>
  <c r="G70" i="8"/>
  <c r="F70" i="8"/>
  <c r="E70" i="8"/>
  <c r="D70" i="8"/>
  <c r="C70" i="8"/>
  <c r="B70" i="8"/>
  <c r="A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I42" i="8"/>
  <c r="H42" i="8"/>
  <c r="G42" i="8"/>
  <c r="F42" i="8"/>
  <c r="E42" i="8"/>
  <c r="D42" i="8"/>
  <c r="C42" i="8"/>
  <c r="B42" i="8"/>
  <c r="A42" i="8"/>
  <c r="I41" i="8"/>
  <c r="H41" i="8"/>
  <c r="G41" i="8"/>
  <c r="F41" i="8"/>
  <c r="E41" i="8"/>
  <c r="D41" i="8"/>
  <c r="C41" i="8"/>
  <c r="B41" i="8"/>
  <c r="A41" i="8"/>
  <c r="I40" i="8"/>
  <c r="H40" i="8"/>
  <c r="G40" i="8"/>
  <c r="F40" i="8"/>
  <c r="E40" i="8"/>
  <c r="D40" i="8"/>
  <c r="C40" i="8"/>
  <c r="B40" i="8"/>
  <c r="A40" i="8"/>
  <c r="I39" i="8"/>
  <c r="H39" i="8"/>
  <c r="G39" i="8"/>
  <c r="F39" i="8"/>
  <c r="E39" i="8"/>
  <c r="D39" i="8"/>
  <c r="C39" i="8"/>
  <c r="B39" i="8"/>
  <c r="A39" i="8"/>
  <c r="I38" i="8"/>
  <c r="H38" i="8"/>
  <c r="G38" i="8"/>
  <c r="F38" i="8"/>
  <c r="E38" i="8"/>
  <c r="D38" i="8"/>
  <c r="C38" i="8"/>
  <c r="B38" i="8"/>
  <c r="A38" i="8"/>
  <c r="I37" i="8"/>
  <c r="H37" i="8"/>
  <c r="G37" i="8"/>
  <c r="F37" i="8"/>
  <c r="E37" i="8"/>
  <c r="D37" i="8"/>
  <c r="C37" i="8"/>
  <c r="B37" i="8"/>
  <c r="A37" i="8"/>
  <c r="I36" i="8"/>
  <c r="H36" i="8"/>
  <c r="G36" i="8"/>
  <c r="F36" i="8"/>
  <c r="E36" i="8"/>
  <c r="D36" i="8"/>
  <c r="C36" i="8"/>
  <c r="B36" i="8"/>
  <c r="A36" i="8"/>
  <c r="I35" i="8"/>
  <c r="H35" i="8"/>
  <c r="G35" i="8"/>
  <c r="F35" i="8"/>
  <c r="E35" i="8"/>
  <c r="D35" i="8"/>
  <c r="C35" i="8"/>
  <c r="B35" i="8"/>
  <c r="A35" i="8"/>
  <c r="I34" i="8"/>
  <c r="H34" i="8"/>
  <c r="G34" i="8"/>
  <c r="F34" i="8"/>
  <c r="E34" i="8"/>
  <c r="D34" i="8"/>
  <c r="C34" i="8"/>
  <c r="B34" i="8"/>
  <c r="A34" i="8"/>
  <c r="I33" i="8"/>
  <c r="H33" i="8"/>
  <c r="G33" i="8"/>
  <c r="F33" i="8"/>
  <c r="E33" i="8"/>
  <c r="D33" i="8"/>
  <c r="C33" i="8"/>
  <c r="B33" i="8"/>
  <c r="A33" i="8"/>
  <c r="I32" i="8"/>
  <c r="H32" i="8"/>
  <c r="G32" i="8"/>
  <c r="F32" i="8"/>
  <c r="E32" i="8"/>
  <c r="D32" i="8"/>
  <c r="C32" i="8"/>
  <c r="B32" i="8"/>
  <c r="A32" i="8"/>
  <c r="I31" i="8"/>
  <c r="H31" i="8"/>
  <c r="G31" i="8"/>
  <c r="F31" i="8"/>
  <c r="E31" i="8"/>
  <c r="D31" i="8"/>
  <c r="C31" i="8"/>
  <c r="B31" i="8"/>
  <c r="A31" i="8"/>
  <c r="I30" i="8"/>
  <c r="H30" i="8"/>
  <c r="G30" i="8"/>
  <c r="F30" i="8"/>
  <c r="E30" i="8"/>
  <c r="D30" i="8"/>
  <c r="C30" i="8"/>
  <c r="B30" i="8"/>
  <c r="A30" i="8"/>
  <c r="I29" i="8"/>
  <c r="H29" i="8"/>
  <c r="G29" i="8"/>
  <c r="F29" i="8"/>
  <c r="E29" i="8"/>
  <c r="D29" i="8"/>
  <c r="C29" i="8"/>
  <c r="B29" i="8"/>
  <c r="A29" i="8"/>
  <c r="I28" i="8"/>
  <c r="H28" i="8"/>
  <c r="G28" i="8"/>
  <c r="F28" i="8"/>
  <c r="E28" i="8"/>
  <c r="D28" i="8"/>
  <c r="C28" i="8"/>
  <c r="B28" i="8"/>
  <c r="A28" i="8"/>
  <c r="I27" i="8"/>
  <c r="H27" i="8"/>
  <c r="G27" i="8"/>
  <c r="F27" i="8"/>
  <c r="E27" i="8"/>
  <c r="D27" i="8"/>
  <c r="C27" i="8"/>
  <c r="B27" i="8"/>
  <c r="A27" i="8"/>
  <c r="I26" i="8"/>
  <c r="H26" i="8"/>
  <c r="G26" i="8"/>
  <c r="F26" i="8"/>
  <c r="E26" i="8"/>
  <c r="D26" i="8"/>
  <c r="C26" i="8"/>
  <c r="B26" i="8"/>
  <c r="A26" i="8"/>
  <c r="I25" i="8"/>
  <c r="H25" i="8"/>
  <c r="G25" i="8"/>
  <c r="F25" i="8"/>
  <c r="E25" i="8"/>
  <c r="D25" i="8"/>
  <c r="C25" i="8"/>
  <c r="B25" i="8"/>
  <c r="A25" i="8"/>
  <c r="I24" i="8"/>
  <c r="H24" i="8"/>
  <c r="G24" i="8"/>
  <c r="F24" i="8"/>
  <c r="E24" i="8"/>
  <c r="D24" i="8"/>
  <c r="C24" i="8"/>
  <c r="B24" i="8"/>
  <c r="A24" i="8"/>
  <c r="I23" i="8"/>
  <c r="H23" i="8"/>
  <c r="G23" i="8"/>
  <c r="F23" i="8"/>
  <c r="E23" i="8"/>
  <c r="D23" i="8"/>
  <c r="C23" i="8"/>
  <c r="B23" i="8"/>
  <c r="A23" i="8"/>
  <c r="I22" i="8"/>
  <c r="H22" i="8"/>
  <c r="G22" i="8"/>
  <c r="F22" i="8"/>
  <c r="E22" i="8"/>
  <c r="D22" i="8"/>
  <c r="C22" i="8"/>
  <c r="B22" i="8"/>
  <c r="A22" i="8"/>
  <c r="I21" i="8"/>
  <c r="H21" i="8"/>
  <c r="G21" i="8"/>
  <c r="F21" i="8"/>
  <c r="E21" i="8"/>
  <c r="D21" i="8"/>
  <c r="C21" i="8"/>
  <c r="B21" i="8"/>
  <c r="A21" i="8"/>
  <c r="I20" i="8"/>
  <c r="H20" i="8"/>
  <c r="G20" i="8"/>
  <c r="F20" i="8"/>
  <c r="E20" i="8"/>
  <c r="D20" i="8"/>
  <c r="C20" i="8"/>
  <c r="B20" i="8"/>
  <c r="A20" i="8"/>
  <c r="I19" i="8"/>
  <c r="H19" i="8"/>
  <c r="G19" i="8"/>
  <c r="F19" i="8"/>
  <c r="E19" i="8"/>
  <c r="D19" i="8"/>
  <c r="C19" i="8"/>
  <c r="B19" i="8"/>
  <c r="A19" i="8"/>
  <c r="I18" i="8"/>
  <c r="H18" i="8"/>
  <c r="G18" i="8"/>
  <c r="F18" i="8"/>
  <c r="E18" i="8"/>
  <c r="D18" i="8"/>
  <c r="C18" i="8"/>
  <c r="B18" i="8"/>
  <c r="A18" i="8"/>
  <c r="I17" i="8"/>
  <c r="H17" i="8"/>
  <c r="G17" i="8"/>
  <c r="F17" i="8"/>
  <c r="E17" i="8"/>
  <c r="D17" i="8"/>
  <c r="C17" i="8"/>
  <c r="B17" i="8"/>
  <c r="A17" i="8"/>
  <c r="I16" i="8"/>
  <c r="H16" i="8"/>
  <c r="G16" i="8"/>
  <c r="F16" i="8"/>
  <c r="E16" i="8"/>
  <c r="D16" i="8"/>
  <c r="C16" i="8"/>
  <c r="B16" i="8"/>
  <c r="A16" i="8"/>
  <c r="I15" i="8"/>
  <c r="H15" i="8"/>
  <c r="G15" i="8"/>
  <c r="F15" i="8"/>
  <c r="E15" i="8"/>
  <c r="D15" i="8"/>
  <c r="C15" i="8"/>
  <c r="B15" i="8"/>
  <c r="A15" i="8"/>
  <c r="I14" i="8"/>
  <c r="H14" i="8"/>
  <c r="G14" i="8"/>
  <c r="F14" i="8"/>
  <c r="E14" i="8"/>
  <c r="D14" i="8"/>
  <c r="C14" i="8"/>
  <c r="B14" i="8"/>
  <c r="A14" i="8"/>
  <c r="I13" i="8"/>
  <c r="H13" i="8"/>
  <c r="G13" i="8"/>
  <c r="F13" i="8"/>
  <c r="E13" i="8"/>
  <c r="D13" i="8"/>
  <c r="C13" i="8"/>
  <c r="B13" i="8"/>
  <c r="A13" i="8"/>
  <c r="I12" i="8"/>
  <c r="H12" i="8"/>
  <c r="G12" i="8"/>
  <c r="F12" i="8"/>
  <c r="E12" i="8"/>
  <c r="D12" i="8"/>
  <c r="C12" i="8"/>
  <c r="B12" i="8"/>
  <c r="A12" i="8"/>
  <c r="I11" i="8"/>
  <c r="H11" i="8"/>
  <c r="G11" i="8"/>
  <c r="F11" i="8"/>
  <c r="E11" i="8"/>
  <c r="D11" i="8"/>
  <c r="C11" i="8"/>
  <c r="B11" i="8"/>
  <c r="A11" i="8"/>
  <c r="I10" i="8"/>
  <c r="H10" i="8"/>
  <c r="G10" i="8"/>
  <c r="F10" i="8"/>
  <c r="E10" i="8"/>
  <c r="D10" i="8"/>
  <c r="C10" i="8"/>
  <c r="B10" i="8"/>
  <c r="A10" i="8"/>
  <c r="I9" i="8"/>
  <c r="H9" i="8"/>
  <c r="G9" i="8"/>
  <c r="F9" i="8"/>
  <c r="E9" i="8"/>
  <c r="D9" i="8"/>
  <c r="C9" i="8"/>
  <c r="B9" i="8"/>
  <c r="A9" i="8"/>
  <c r="I8" i="8"/>
  <c r="H8" i="8"/>
  <c r="G8" i="8"/>
  <c r="F8" i="8"/>
  <c r="E8" i="8"/>
  <c r="D8" i="8"/>
  <c r="C8" i="8"/>
  <c r="B8" i="8"/>
  <c r="A8" i="8"/>
  <c r="I7" i="8"/>
  <c r="H7" i="8"/>
  <c r="G7" i="8"/>
  <c r="F7" i="8"/>
  <c r="E7" i="8"/>
  <c r="D7" i="8"/>
  <c r="C7" i="8"/>
  <c r="B7" i="8"/>
  <c r="A7" i="8"/>
  <c r="I6" i="8"/>
  <c r="H6" i="8"/>
  <c r="G6" i="8"/>
  <c r="F6" i="8"/>
  <c r="E6" i="8"/>
  <c r="D6" i="8"/>
  <c r="C6" i="8"/>
  <c r="B6" i="8"/>
  <c r="A6" i="8"/>
  <c r="I5" i="8"/>
  <c r="H5" i="8"/>
  <c r="G5" i="8"/>
  <c r="F5" i="8"/>
  <c r="E5" i="8"/>
  <c r="D5" i="8"/>
  <c r="C5" i="8"/>
  <c r="B5" i="8"/>
  <c r="A5" i="8"/>
  <c r="I4" i="8"/>
  <c r="H4" i="8"/>
  <c r="G4" i="8"/>
  <c r="F4" i="8"/>
  <c r="E4" i="8"/>
  <c r="D4" i="8"/>
  <c r="C4" i="8"/>
  <c r="B4" i="8"/>
  <c r="A4" i="8"/>
  <c r="I3" i="8"/>
  <c r="H3" i="8"/>
  <c r="G3" i="8"/>
  <c r="F3" i="8"/>
  <c r="E3" i="8"/>
  <c r="D3" i="8"/>
  <c r="C3" i="8"/>
  <c r="B3" i="8"/>
  <c r="A3" i="8"/>
  <c r="I2" i="8"/>
  <c r="H2" i="8"/>
  <c r="G2" i="8"/>
  <c r="F2" i="8"/>
  <c r="E2" i="8"/>
  <c r="D2" i="8"/>
  <c r="C2" i="8"/>
  <c r="B2" i="8"/>
  <c r="A2" i="8"/>
  <c r="I1" i="8"/>
  <c r="H1" i="8"/>
  <c r="G1" i="8"/>
  <c r="F1" i="8"/>
  <c r="E1" i="8"/>
  <c r="D1" i="8"/>
  <c r="C1" i="8"/>
  <c r="B1" i="8"/>
  <c r="A1" i="8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G140" i="7"/>
  <c r="F140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C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G114" i="7"/>
  <c r="F114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G102" i="7"/>
  <c r="F102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E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G88" i="7"/>
  <c r="F88" i="7"/>
  <c r="E88" i="7"/>
  <c r="D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E80" i="7"/>
  <c r="D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G31" i="7"/>
  <c r="F31" i="7"/>
  <c r="E31" i="7"/>
  <c r="D31" i="7"/>
  <c r="C31" i="7"/>
  <c r="B31" i="7"/>
  <c r="A31" i="7"/>
  <c r="G30" i="7"/>
  <c r="F30" i="7"/>
  <c r="E30" i="7"/>
  <c r="D30" i="7"/>
  <c r="C30" i="7"/>
  <c r="B30" i="7"/>
  <c r="A30" i="7"/>
  <c r="G29" i="7"/>
  <c r="F29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G2" i="7"/>
  <c r="F2" i="7"/>
  <c r="E2" i="7"/>
  <c r="D2" i="7"/>
  <c r="C2" i="7"/>
  <c r="B2" i="7"/>
  <c r="A2" i="7"/>
  <c r="G1" i="7"/>
  <c r="F1" i="7"/>
  <c r="E1" i="7"/>
  <c r="D1" i="7"/>
  <c r="C1" i="7"/>
  <c r="B1" i="7"/>
  <c r="A1" i="7"/>
  <c r="H277" i="6"/>
  <c r="G277" i="6"/>
  <c r="F277" i="6"/>
  <c r="E277" i="6"/>
  <c r="D277" i="6"/>
  <c r="C277" i="6"/>
  <c r="B277" i="6"/>
  <c r="A277" i="6"/>
  <c r="H276" i="6"/>
  <c r="G276" i="6"/>
  <c r="F276" i="6"/>
  <c r="E276" i="6"/>
  <c r="D276" i="6"/>
  <c r="C276" i="6"/>
  <c r="B276" i="6"/>
  <c r="A276" i="6"/>
  <c r="H275" i="6"/>
  <c r="G275" i="6"/>
  <c r="F275" i="6"/>
  <c r="E275" i="6"/>
  <c r="D275" i="6"/>
  <c r="C275" i="6"/>
  <c r="B275" i="6"/>
  <c r="A275" i="6"/>
  <c r="H274" i="6"/>
  <c r="G274" i="6"/>
  <c r="F274" i="6"/>
  <c r="E274" i="6"/>
  <c r="D274" i="6"/>
  <c r="C274" i="6"/>
  <c r="B274" i="6"/>
  <c r="A274" i="6"/>
  <c r="H273" i="6"/>
  <c r="G273" i="6"/>
  <c r="F273" i="6"/>
  <c r="E273" i="6"/>
  <c r="D273" i="6"/>
  <c r="C273" i="6"/>
  <c r="B273" i="6"/>
  <c r="A273" i="6"/>
  <c r="H272" i="6"/>
  <c r="G272" i="6"/>
  <c r="F272" i="6"/>
  <c r="E272" i="6"/>
  <c r="D272" i="6"/>
  <c r="C272" i="6"/>
  <c r="B272" i="6"/>
  <c r="A272" i="6"/>
  <c r="H271" i="6"/>
  <c r="G271" i="6"/>
  <c r="F271" i="6"/>
  <c r="E271" i="6"/>
  <c r="D271" i="6"/>
  <c r="C271" i="6"/>
  <c r="B271" i="6"/>
  <c r="A271" i="6"/>
  <c r="H270" i="6"/>
  <c r="G270" i="6"/>
  <c r="F270" i="6"/>
  <c r="E270" i="6"/>
  <c r="D270" i="6"/>
  <c r="C270" i="6"/>
  <c r="B270" i="6"/>
  <c r="A270" i="6"/>
  <c r="H269" i="6"/>
  <c r="G269" i="6"/>
  <c r="F269" i="6"/>
  <c r="E269" i="6"/>
  <c r="D269" i="6"/>
  <c r="C269" i="6"/>
  <c r="B269" i="6"/>
  <c r="A269" i="6"/>
  <c r="H268" i="6"/>
  <c r="G268" i="6"/>
  <c r="F268" i="6"/>
  <c r="E268" i="6"/>
  <c r="D268" i="6"/>
  <c r="C268" i="6"/>
  <c r="B268" i="6"/>
  <c r="A268" i="6"/>
  <c r="H267" i="6"/>
  <c r="G267" i="6"/>
  <c r="F267" i="6"/>
  <c r="E267" i="6"/>
  <c r="D267" i="6"/>
  <c r="C267" i="6"/>
  <c r="B267" i="6"/>
  <c r="A267" i="6"/>
  <c r="H266" i="6"/>
  <c r="G266" i="6"/>
  <c r="F266" i="6"/>
  <c r="E266" i="6"/>
  <c r="D266" i="6"/>
  <c r="C266" i="6"/>
  <c r="B266" i="6"/>
  <c r="A266" i="6"/>
  <c r="H265" i="6"/>
  <c r="G265" i="6"/>
  <c r="F265" i="6"/>
  <c r="E265" i="6"/>
  <c r="D265" i="6"/>
  <c r="C265" i="6"/>
  <c r="B265" i="6"/>
  <c r="A265" i="6"/>
  <c r="H264" i="6"/>
  <c r="G264" i="6"/>
  <c r="F264" i="6"/>
  <c r="E264" i="6"/>
  <c r="D264" i="6"/>
  <c r="C264" i="6"/>
  <c r="B264" i="6"/>
  <c r="A264" i="6"/>
  <c r="H263" i="6"/>
  <c r="G263" i="6"/>
  <c r="F263" i="6"/>
  <c r="E263" i="6"/>
  <c r="D263" i="6"/>
  <c r="C263" i="6"/>
  <c r="B263" i="6"/>
  <c r="A263" i="6"/>
  <c r="H262" i="6"/>
  <c r="G262" i="6"/>
  <c r="F262" i="6"/>
  <c r="E262" i="6"/>
  <c r="D262" i="6"/>
  <c r="C262" i="6"/>
  <c r="B262" i="6"/>
  <c r="A262" i="6"/>
  <c r="H261" i="6"/>
  <c r="G261" i="6"/>
  <c r="F261" i="6"/>
  <c r="E261" i="6"/>
  <c r="D261" i="6"/>
  <c r="C261" i="6"/>
  <c r="B261" i="6"/>
  <c r="A261" i="6"/>
  <c r="H260" i="6"/>
  <c r="G260" i="6"/>
  <c r="F260" i="6"/>
  <c r="E260" i="6"/>
  <c r="D260" i="6"/>
  <c r="C260" i="6"/>
  <c r="B260" i="6"/>
  <c r="A260" i="6"/>
  <c r="H259" i="6"/>
  <c r="G259" i="6"/>
  <c r="F259" i="6"/>
  <c r="E259" i="6"/>
  <c r="D259" i="6"/>
  <c r="C259" i="6"/>
  <c r="B259" i="6"/>
  <c r="A259" i="6"/>
  <c r="H258" i="6"/>
  <c r="G258" i="6"/>
  <c r="F258" i="6"/>
  <c r="E258" i="6"/>
  <c r="D258" i="6"/>
  <c r="C258" i="6"/>
  <c r="B258" i="6"/>
  <c r="A258" i="6"/>
  <c r="H257" i="6"/>
  <c r="G257" i="6"/>
  <c r="F257" i="6"/>
  <c r="E257" i="6"/>
  <c r="D257" i="6"/>
  <c r="C257" i="6"/>
  <c r="B257" i="6"/>
  <c r="A257" i="6"/>
  <c r="H256" i="6"/>
  <c r="G256" i="6"/>
  <c r="F256" i="6"/>
  <c r="E256" i="6"/>
  <c r="D256" i="6"/>
  <c r="C256" i="6"/>
  <c r="B256" i="6"/>
  <c r="A256" i="6"/>
  <c r="H255" i="6"/>
  <c r="G255" i="6"/>
  <c r="F255" i="6"/>
  <c r="E255" i="6"/>
  <c r="D255" i="6"/>
  <c r="C255" i="6"/>
  <c r="B255" i="6"/>
  <c r="A255" i="6"/>
  <c r="H254" i="6"/>
  <c r="G254" i="6"/>
  <c r="F254" i="6"/>
  <c r="E254" i="6"/>
  <c r="D254" i="6"/>
  <c r="C254" i="6"/>
  <c r="B254" i="6"/>
  <c r="A254" i="6"/>
  <c r="H253" i="6"/>
  <c r="G253" i="6"/>
  <c r="F253" i="6"/>
  <c r="E253" i="6"/>
  <c r="D253" i="6"/>
  <c r="C253" i="6"/>
  <c r="B253" i="6"/>
  <c r="A253" i="6"/>
  <c r="H252" i="6"/>
  <c r="G252" i="6"/>
  <c r="F252" i="6"/>
  <c r="E252" i="6"/>
  <c r="D252" i="6"/>
  <c r="C252" i="6"/>
  <c r="B252" i="6"/>
  <c r="A252" i="6"/>
  <c r="H251" i="6"/>
  <c r="G251" i="6"/>
  <c r="F251" i="6"/>
  <c r="E251" i="6"/>
  <c r="D251" i="6"/>
  <c r="C251" i="6"/>
  <c r="B251" i="6"/>
  <c r="A251" i="6"/>
  <c r="H250" i="6"/>
  <c r="G250" i="6"/>
  <c r="F250" i="6"/>
  <c r="E250" i="6"/>
  <c r="D250" i="6"/>
  <c r="C250" i="6"/>
  <c r="B250" i="6"/>
  <c r="A250" i="6"/>
  <c r="H249" i="6"/>
  <c r="G249" i="6"/>
  <c r="F249" i="6"/>
  <c r="E249" i="6"/>
  <c r="D249" i="6"/>
  <c r="C249" i="6"/>
  <c r="B249" i="6"/>
  <c r="A249" i="6"/>
  <c r="H248" i="6"/>
  <c r="G248" i="6"/>
  <c r="F248" i="6"/>
  <c r="E248" i="6"/>
  <c r="D248" i="6"/>
  <c r="C248" i="6"/>
  <c r="B248" i="6"/>
  <c r="A248" i="6"/>
  <c r="H247" i="6"/>
  <c r="G247" i="6"/>
  <c r="F247" i="6"/>
  <c r="E247" i="6"/>
  <c r="D247" i="6"/>
  <c r="C247" i="6"/>
  <c r="B247" i="6"/>
  <c r="A247" i="6"/>
  <c r="H246" i="6"/>
  <c r="G246" i="6"/>
  <c r="F246" i="6"/>
  <c r="E246" i="6"/>
  <c r="D246" i="6"/>
  <c r="C246" i="6"/>
  <c r="B246" i="6"/>
  <c r="A246" i="6"/>
  <c r="H245" i="6"/>
  <c r="G245" i="6"/>
  <c r="F245" i="6"/>
  <c r="E245" i="6"/>
  <c r="D245" i="6"/>
  <c r="C245" i="6"/>
  <c r="B245" i="6"/>
  <c r="A245" i="6"/>
  <c r="H244" i="6"/>
  <c r="G244" i="6"/>
  <c r="F244" i="6"/>
  <c r="E244" i="6"/>
  <c r="D244" i="6"/>
  <c r="C244" i="6"/>
  <c r="B244" i="6"/>
  <c r="A244" i="6"/>
  <c r="H243" i="6"/>
  <c r="G243" i="6"/>
  <c r="F243" i="6"/>
  <c r="E243" i="6"/>
  <c r="D243" i="6"/>
  <c r="C243" i="6"/>
  <c r="B243" i="6"/>
  <c r="A243" i="6"/>
  <c r="H242" i="6"/>
  <c r="G242" i="6"/>
  <c r="F242" i="6"/>
  <c r="E242" i="6"/>
  <c r="D242" i="6"/>
  <c r="C242" i="6"/>
  <c r="B242" i="6"/>
  <c r="A242" i="6"/>
  <c r="H241" i="6"/>
  <c r="G241" i="6"/>
  <c r="F241" i="6"/>
  <c r="E241" i="6"/>
  <c r="D241" i="6"/>
  <c r="C241" i="6"/>
  <c r="B241" i="6"/>
  <c r="A241" i="6"/>
  <c r="H240" i="6"/>
  <c r="G240" i="6"/>
  <c r="F240" i="6"/>
  <c r="E240" i="6"/>
  <c r="D240" i="6"/>
  <c r="C240" i="6"/>
  <c r="B240" i="6"/>
  <c r="A240" i="6"/>
  <c r="H239" i="6"/>
  <c r="G239" i="6"/>
  <c r="F239" i="6"/>
  <c r="E239" i="6"/>
  <c r="D239" i="6"/>
  <c r="C239" i="6"/>
  <c r="B239" i="6"/>
  <c r="A239" i="6"/>
  <c r="H238" i="6"/>
  <c r="G238" i="6"/>
  <c r="F238" i="6"/>
  <c r="E238" i="6"/>
  <c r="D238" i="6"/>
  <c r="C238" i="6"/>
  <c r="B238" i="6"/>
  <c r="A238" i="6"/>
  <c r="H237" i="6"/>
  <c r="G237" i="6"/>
  <c r="F237" i="6"/>
  <c r="E237" i="6"/>
  <c r="D237" i="6"/>
  <c r="C237" i="6"/>
  <c r="B237" i="6"/>
  <c r="A237" i="6"/>
  <c r="H236" i="6"/>
  <c r="G236" i="6"/>
  <c r="F236" i="6"/>
  <c r="E236" i="6"/>
  <c r="D236" i="6"/>
  <c r="C236" i="6"/>
  <c r="B236" i="6"/>
  <c r="A236" i="6"/>
  <c r="H235" i="6"/>
  <c r="G235" i="6"/>
  <c r="F235" i="6"/>
  <c r="E235" i="6"/>
  <c r="D235" i="6"/>
  <c r="C235" i="6"/>
  <c r="B235" i="6"/>
  <c r="A235" i="6"/>
  <c r="H234" i="6"/>
  <c r="G234" i="6"/>
  <c r="F234" i="6"/>
  <c r="E234" i="6"/>
  <c r="D234" i="6"/>
  <c r="C234" i="6"/>
  <c r="B234" i="6"/>
  <c r="A234" i="6"/>
  <c r="H233" i="6"/>
  <c r="G233" i="6"/>
  <c r="F233" i="6"/>
  <c r="E233" i="6"/>
  <c r="D233" i="6"/>
  <c r="C233" i="6"/>
  <c r="B233" i="6"/>
  <c r="A233" i="6"/>
  <c r="H232" i="6"/>
  <c r="G232" i="6"/>
  <c r="F232" i="6"/>
  <c r="E232" i="6"/>
  <c r="D232" i="6"/>
  <c r="C232" i="6"/>
  <c r="B232" i="6"/>
  <c r="A232" i="6"/>
  <c r="H231" i="6"/>
  <c r="G231" i="6"/>
  <c r="F231" i="6"/>
  <c r="E231" i="6"/>
  <c r="D231" i="6"/>
  <c r="C231" i="6"/>
  <c r="B231" i="6"/>
  <c r="A231" i="6"/>
  <c r="H230" i="6"/>
  <c r="G230" i="6"/>
  <c r="F230" i="6"/>
  <c r="E230" i="6"/>
  <c r="D230" i="6"/>
  <c r="C230" i="6"/>
  <c r="B230" i="6"/>
  <c r="A230" i="6"/>
  <c r="H229" i="6"/>
  <c r="G229" i="6"/>
  <c r="F229" i="6"/>
  <c r="E229" i="6"/>
  <c r="D229" i="6"/>
  <c r="C229" i="6"/>
  <c r="B229" i="6"/>
  <c r="A229" i="6"/>
  <c r="H228" i="6"/>
  <c r="G228" i="6"/>
  <c r="F228" i="6"/>
  <c r="E228" i="6"/>
  <c r="D228" i="6"/>
  <c r="C228" i="6"/>
  <c r="B228" i="6"/>
  <c r="A228" i="6"/>
  <c r="H227" i="6"/>
  <c r="G227" i="6"/>
  <c r="F227" i="6"/>
  <c r="E227" i="6"/>
  <c r="D227" i="6"/>
  <c r="C227" i="6"/>
  <c r="B227" i="6"/>
  <c r="A227" i="6"/>
  <c r="H226" i="6"/>
  <c r="G226" i="6"/>
  <c r="F226" i="6"/>
  <c r="E226" i="6"/>
  <c r="D226" i="6"/>
  <c r="C226" i="6"/>
  <c r="B226" i="6"/>
  <c r="A226" i="6"/>
  <c r="H225" i="6"/>
  <c r="G225" i="6"/>
  <c r="F225" i="6"/>
  <c r="E225" i="6"/>
  <c r="D225" i="6"/>
  <c r="C225" i="6"/>
  <c r="B225" i="6"/>
  <c r="A225" i="6"/>
  <c r="H224" i="6"/>
  <c r="G224" i="6"/>
  <c r="F224" i="6"/>
  <c r="E224" i="6"/>
  <c r="D224" i="6"/>
  <c r="C224" i="6"/>
  <c r="B224" i="6"/>
  <c r="A224" i="6"/>
  <c r="H223" i="6"/>
  <c r="G223" i="6"/>
  <c r="F223" i="6"/>
  <c r="E223" i="6"/>
  <c r="D223" i="6"/>
  <c r="C223" i="6"/>
  <c r="B223" i="6"/>
  <c r="A223" i="6"/>
  <c r="H222" i="6"/>
  <c r="G222" i="6"/>
  <c r="F222" i="6"/>
  <c r="E222" i="6"/>
  <c r="D222" i="6"/>
  <c r="C222" i="6"/>
  <c r="B222" i="6"/>
  <c r="A222" i="6"/>
  <c r="H221" i="6"/>
  <c r="G221" i="6"/>
  <c r="F221" i="6"/>
  <c r="E221" i="6"/>
  <c r="D221" i="6"/>
  <c r="C221" i="6"/>
  <c r="B221" i="6"/>
  <c r="A221" i="6"/>
  <c r="H220" i="6"/>
  <c r="G220" i="6"/>
  <c r="F220" i="6"/>
  <c r="E220" i="6"/>
  <c r="D220" i="6"/>
  <c r="C220" i="6"/>
  <c r="B220" i="6"/>
  <c r="A220" i="6"/>
  <c r="H219" i="6"/>
  <c r="G219" i="6"/>
  <c r="F219" i="6"/>
  <c r="E219" i="6"/>
  <c r="D219" i="6"/>
  <c r="C219" i="6"/>
  <c r="B219" i="6"/>
  <c r="A219" i="6"/>
  <c r="H218" i="6"/>
  <c r="G218" i="6"/>
  <c r="F218" i="6"/>
  <c r="E218" i="6"/>
  <c r="D218" i="6"/>
  <c r="C218" i="6"/>
  <c r="B218" i="6"/>
  <c r="A218" i="6"/>
  <c r="H217" i="6"/>
  <c r="G217" i="6"/>
  <c r="F217" i="6"/>
  <c r="E217" i="6"/>
  <c r="D217" i="6"/>
  <c r="C217" i="6"/>
  <c r="B217" i="6"/>
  <c r="A217" i="6"/>
  <c r="H216" i="6"/>
  <c r="G216" i="6"/>
  <c r="F216" i="6"/>
  <c r="E216" i="6"/>
  <c r="D216" i="6"/>
  <c r="C216" i="6"/>
  <c r="B216" i="6"/>
  <c r="A216" i="6"/>
  <c r="H215" i="6"/>
  <c r="G215" i="6"/>
  <c r="F215" i="6"/>
  <c r="E215" i="6"/>
  <c r="D215" i="6"/>
  <c r="C215" i="6"/>
  <c r="B215" i="6"/>
  <c r="A215" i="6"/>
  <c r="H214" i="6"/>
  <c r="G214" i="6"/>
  <c r="F214" i="6"/>
  <c r="E214" i="6"/>
  <c r="D214" i="6"/>
  <c r="C214" i="6"/>
  <c r="B214" i="6"/>
  <c r="A214" i="6"/>
  <c r="H213" i="6"/>
  <c r="G213" i="6"/>
  <c r="F213" i="6"/>
  <c r="E213" i="6"/>
  <c r="D213" i="6"/>
  <c r="C213" i="6"/>
  <c r="B213" i="6"/>
  <c r="A213" i="6"/>
  <c r="H212" i="6"/>
  <c r="G212" i="6"/>
  <c r="F212" i="6"/>
  <c r="E212" i="6"/>
  <c r="D212" i="6"/>
  <c r="C212" i="6"/>
  <c r="B212" i="6"/>
  <c r="A212" i="6"/>
  <c r="H211" i="6"/>
  <c r="G211" i="6"/>
  <c r="F211" i="6"/>
  <c r="E211" i="6"/>
  <c r="D211" i="6"/>
  <c r="C211" i="6"/>
  <c r="B211" i="6"/>
  <c r="A211" i="6"/>
  <c r="H210" i="6"/>
  <c r="G210" i="6"/>
  <c r="F210" i="6"/>
  <c r="E210" i="6"/>
  <c r="D210" i="6"/>
  <c r="C210" i="6"/>
  <c r="B210" i="6"/>
  <c r="A210" i="6"/>
  <c r="H209" i="6"/>
  <c r="G209" i="6"/>
  <c r="F209" i="6"/>
  <c r="E209" i="6"/>
  <c r="D209" i="6"/>
  <c r="C209" i="6"/>
  <c r="B209" i="6"/>
  <c r="A209" i="6"/>
  <c r="H208" i="6"/>
  <c r="G208" i="6"/>
  <c r="F208" i="6"/>
  <c r="E208" i="6"/>
  <c r="D208" i="6"/>
  <c r="C208" i="6"/>
  <c r="B208" i="6"/>
  <c r="A208" i="6"/>
  <c r="H207" i="6"/>
  <c r="G207" i="6"/>
  <c r="F207" i="6"/>
  <c r="E207" i="6"/>
  <c r="D207" i="6"/>
  <c r="C207" i="6"/>
  <c r="B207" i="6"/>
  <c r="A207" i="6"/>
  <c r="H206" i="6"/>
  <c r="G206" i="6"/>
  <c r="F206" i="6"/>
  <c r="E206" i="6"/>
  <c r="D206" i="6"/>
  <c r="C206" i="6"/>
  <c r="B206" i="6"/>
  <c r="A206" i="6"/>
  <c r="H205" i="6"/>
  <c r="G205" i="6"/>
  <c r="F205" i="6"/>
  <c r="E205" i="6"/>
  <c r="D205" i="6"/>
  <c r="C205" i="6"/>
  <c r="B205" i="6"/>
  <c r="A205" i="6"/>
  <c r="H204" i="6"/>
  <c r="G204" i="6"/>
  <c r="F204" i="6"/>
  <c r="E204" i="6"/>
  <c r="D204" i="6"/>
  <c r="C204" i="6"/>
  <c r="B204" i="6"/>
  <c r="A204" i="6"/>
  <c r="H203" i="6"/>
  <c r="G203" i="6"/>
  <c r="F203" i="6"/>
  <c r="E203" i="6"/>
  <c r="D203" i="6"/>
  <c r="C203" i="6"/>
  <c r="B203" i="6"/>
  <c r="A203" i="6"/>
  <c r="H202" i="6"/>
  <c r="G202" i="6"/>
  <c r="F202" i="6"/>
  <c r="E202" i="6"/>
  <c r="D202" i="6"/>
  <c r="C202" i="6"/>
  <c r="B202" i="6"/>
  <c r="A202" i="6"/>
  <c r="H201" i="6"/>
  <c r="G201" i="6"/>
  <c r="F201" i="6"/>
  <c r="E201" i="6"/>
  <c r="D201" i="6"/>
  <c r="C201" i="6"/>
  <c r="B201" i="6"/>
  <c r="A201" i="6"/>
  <c r="H200" i="6"/>
  <c r="G200" i="6"/>
  <c r="F200" i="6"/>
  <c r="E200" i="6"/>
  <c r="D200" i="6"/>
  <c r="C200" i="6"/>
  <c r="B200" i="6"/>
  <c r="A200" i="6"/>
  <c r="H199" i="6"/>
  <c r="G199" i="6"/>
  <c r="F199" i="6"/>
  <c r="E199" i="6"/>
  <c r="D199" i="6"/>
  <c r="C199" i="6"/>
  <c r="B199" i="6"/>
  <c r="A199" i="6"/>
  <c r="H198" i="6"/>
  <c r="G198" i="6"/>
  <c r="F198" i="6"/>
  <c r="E198" i="6"/>
  <c r="D198" i="6"/>
  <c r="C198" i="6"/>
  <c r="B198" i="6"/>
  <c r="A198" i="6"/>
  <c r="H197" i="6"/>
  <c r="G197" i="6"/>
  <c r="F197" i="6"/>
  <c r="E197" i="6"/>
  <c r="D197" i="6"/>
  <c r="C197" i="6"/>
  <c r="B197" i="6"/>
  <c r="A197" i="6"/>
  <c r="H196" i="6"/>
  <c r="G196" i="6"/>
  <c r="F196" i="6"/>
  <c r="E196" i="6"/>
  <c r="D196" i="6"/>
  <c r="C196" i="6"/>
  <c r="B196" i="6"/>
  <c r="A196" i="6"/>
  <c r="H195" i="6"/>
  <c r="G195" i="6"/>
  <c r="F195" i="6"/>
  <c r="E195" i="6"/>
  <c r="D195" i="6"/>
  <c r="C195" i="6"/>
  <c r="B195" i="6"/>
  <c r="A195" i="6"/>
  <c r="H194" i="6"/>
  <c r="G194" i="6"/>
  <c r="F194" i="6"/>
  <c r="E194" i="6"/>
  <c r="D194" i="6"/>
  <c r="C194" i="6"/>
  <c r="B194" i="6"/>
  <c r="A194" i="6"/>
  <c r="H193" i="6"/>
  <c r="G193" i="6"/>
  <c r="F193" i="6"/>
  <c r="E193" i="6"/>
  <c r="D193" i="6"/>
  <c r="C193" i="6"/>
  <c r="B193" i="6"/>
  <c r="A193" i="6"/>
  <c r="H192" i="6"/>
  <c r="G192" i="6"/>
  <c r="F192" i="6"/>
  <c r="E192" i="6"/>
  <c r="D192" i="6"/>
  <c r="C192" i="6"/>
  <c r="B192" i="6"/>
  <c r="A192" i="6"/>
  <c r="H191" i="6"/>
  <c r="G191" i="6"/>
  <c r="F191" i="6"/>
  <c r="E191" i="6"/>
  <c r="D191" i="6"/>
  <c r="C191" i="6"/>
  <c r="B191" i="6"/>
  <c r="A191" i="6"/>
  <c r="H190" i="6"/>
  <c r="G190" i="6"/>
  <c r="F190" i="6"/>
  <c r="E190" i="6"/>
  <c r="D190" i="6"/>
  <c r="C190" i="6"/>
  <c r="B190" i="6"/>
  <c r="A190" i="6"/>
  <c r="H189" i="6"/>
  <c r="G189" i="6"/>
  <c r="F189" i="6"/>
  <c r="E189" i="6"/>
  <c r="D189" i="6"/>
  <c r="C189" i="6"/>
  <c r="B189" i="6"/>
  <c r="A189" i="6"/>
  <c r="H188" i="6"/>
  <c r="G188" i="6"/>
  <c r="F188" i="6"/>
  <c r="E188" i="6"/>
  <c r="D188" i="6"/>
  <c r="C188" i="6"/>
  <c r="B188" i="6"/>
  <c r="A188" i="6"/>
  <c r="H187" i="6"/>
  <c r="G187" i="6"/>
  <c r="F187" i="6"/>
  <c r="E187" i="6"/>
  <c r="D187" i="6"/>
  <c r="C187" i="6"/>
  <c r="B187" i="6"/>
  <c r="A187" i="6"/>
  <c r="H186" i="6"/>
  <c r="G186" i="6"/>
  <c r="F186" i="6"/>
  <c r="E186" i="6"/>
  <c r="D186" i="6"/>
  <c r="C186" i="6"/>
  <c r="B186" i="6"/>
  <c r="A186" i="6"/>
  <c r="H185" i="6"/>
  <c r="G185" i="6"/>
  <c r="F185" i="6"/>
  <c r="E185" i="6"/>
  <c r="D185" i="6"/>
  <c r="C185" i="6"/>
  <c r="B185" i="6"/>
  <c r="A185" i="6"/>
  <c r="H184" i="6"/>
  <c r="G184" i="6"/>
  <c r="F184" i="6"/>
  <c r="E184" i="6"/>
  <c r="D184" i="6"/>
  <c r="C184" i="6"/>
  <c r="B184" i="6"/>
  <c r="A184" i="6"/>
  <c r="H183" i="6"/>
  <c r="G183" i="6"/>
  <c r="F183" i="6"/>
  <c r="E183" i="6"/>
  <c r="D183" i="6"/>
  <c r="C183" i="6"/>
  <c r="B183" i="6"/>
  <c r="A183" i="6"/>
  <c r="H182" i="6"/>
  <c r="G182" i="6"/>
  <c r="F182" i="6"/>
  <c r="E182" i="6"/>
  <c r="D182" i="6"/>
  <c r="C182" i="6"/>
  <c r="B182" i="6"/>
  <c r="A182" i="6"/>
  <c r="H181" i="6"/>
  <c r="G181" i="6"/>
  <c r="F181" i="6"/>
  <c r="E181" i="6"/>
  <c r="D181" i="6"/>
  <c r="C181" i="6"/>
  <c r="B181" i="6"/>
  <c r="A181" i="6"/>
  <c r="H180" i="6"/>
  <c r="G180" i="6"/>
  <c r="F180" i="6"/>
  <c r="E180" i="6"/>
  <c r="D180" i="6"/>
  <c r="C180" i="6"/>
  <c r="B180" i="6"/>
  <c r="A180" i="6"/>
  <c r="H179" i="6"/>
  <c r="G179" i="6"/>
  <c r="F179" i="6"/>
  <c r="E179" i="6"/>
  <c r="D179" i="6"/>
  <c r="C179" i="6"/>
  <c r="B179" i="6"/>
  <c r="A179" i="6"/>
  <c r="H178" i="6"/>
  <c r="G178" i="6"/>
  <c r="F178" i="6"/>
  <c r="E178" i="6"/>
  <c r="D178" i="6"/>
  <c r="C178" i="6"/>
  <c r="B178" i="6"/>
  <c r="A178" i="6"/>
  <c r="H177" i="6"/>
  <c r="G177" i="6"/>
  <c r="F177" i="6"/>
  <c r="E177" i="6"/>
  <c r="D177" i="6"/>
  <c r="C177" i="6"/>
  <c r="B177" i="6"/>
  <c r="A177" i="6"/>
  <c r="H176" i="6"/>
  <c r="G176" i="6"/>
  <c r="F176" i="6"/>
  <c r="E176" i="6"/>
  <c r="D176" i="6"/>
  <c r="C176" i="6"/>
  <c r="B176" i="6"/>
  <c r="A176" i="6"/>
  <c r="H175" i="6"/>
  <c r="G175" i="6"/>
  <c r="F175" i="6"/>
  <c r="E175" i="6"/>
  <c r="D175" i="6"/>
  <c r="C175" i="6"/>
  <c r="B175" i="6"/>
  <c r="A175" i="6"/>
  <c r="H174" i="6"/>
  <c r="G174" i="6"/>
  <c r="F174" i="6"/>
  <c r="E174" i="6"/>
  <c r="D174" i="6"/>
  <c r="C174" i="6"/>
  <c r="B174" i="6"/>
  <c r="A174" i="6"/>
  <c r="H173" i="6"/>
  <c r="G173" i="6"/>
  <c r="F173" i="6"/>
  <c r="E173" i="6"/>
  <c r="D173" i="6"/>
  <c r="C173" i="6"/>
  <c r="B173" i="6"/>
  <c r="A173" i="6"/>
  <c r="H172" i="6"/>
  <c r="G172" i="6"/>
  <c r="F172" i="6"/>
  <c r="E172" i="6"/>
  <c r="D172" i="6"/>
  <c r="C172" i="6"/>
  <c r="B172" i="6"/>
  <c r="A172" i="6"/>
  <c r="H171" i="6"/>
  <c r="G171" i="6"/>
  <c r="F171" i="6"/>
  <c r="E171" i="6"/>
  <c r="D171" i="6"/>
  <c r="C171" i="6"/>
  <c r="B171" i="6"/>
  <c r="A171" i="6"/>
  <c r="H170" i="6"/>
  <c r="G170" i="6"/>
  <c r="F170" i="6"/>
  <c r="E170" i="6"/>
  <c r="D170" i="6"/>
  <c r="C170" i="6"/>
  <c r="B170" i="6"/>
  <c r="A170" i="6"/>
  <c r="H169" i="6"/>
  <c r="G169" i="6"/>
  <c r="F169" i="6"/>
  <c r="E169" i="6"/>
  <c r="D169" i="6"/>
  <c r="C169" i="6"/>
  <c r="B169" i="6"/>
  <c r="A169" i="6"/>
  <c r="H168" i="6"/>
  <c r="G168" i="6"/>
  <c r="F168" i="6"/>
  <c r="E168" i="6"/>
  <c r="D168" i="6"/>
  <c r="C168" i="6"/>
  <c r="B168" i="6"/>
  <c r="A168" i="6"/>
  <c r="H167" i="6"/>
  <c r="G167" i="6"/>
  <c r="F167" i="6"/>
  <c r="E167" i="6"/>
  <c r="D167" i="6"/>
  <c r="C167" i="6"/>
  <c r="B167" i="6"/>
  <c r="A167" i="6"/>
  <c r="H166" i="6"/>
  <c r="G166" i="6"/>
  <c r="F166" i="6"/>
  <c r="E166" i="6"/>
  <c r="D166" i="6"/>
  <c r="C166" i="6"/>
  <c r="B166" i="6"/>
  <c r="A166" i="6"/>
  <c r="H165" i="6"/>
  <c r="G165" i="6"/>
  <c r="F165" i="6"/>
  <c r="E165" i="6"/>
  <c r="D165" i="6"/>
  <c r="C165" i="6"/>
  <c r="B165" i="6"/>
  <c r="A165" i="6"/>
  <c r="H164" i="6"/>
  <c r="G164" i="6"/>
  <c r="F164" i="6"/>
  <c r="E164" i="6"/>
  <c r="D164" i="6"/>
  <c r="C164" i="6"/>
  <c r="B164" i="6"/>
  <c r="A164" i="6"/>
  <c r="H163" i="6"/>
  <c r="G163" i="6"/>
  <c r="F163" i="6"/>
  <c r="E163" i="6"/>
  <c r="D163" i="6"/>
  <c r="C163" i="6"/>
  <c r="B163" i="6"/>
  <c r="A163" i="6"/>
  <c r="H162" i="6"/>
  <c r="G162" i="6"/>
  <c r="F162" i="6"/>
  <c r="E162" i="6"/>
  <c r="D162" i="6"/>
  <c r="C162" i="6"/>
  <c r="B162" i="6"/>
  <c r="A162" i="6"/>
  <c r="H161" i="6"/>
  <c r="G161" i="6"/>
  <c r="F161" i="6"/>
  <c r="E161" i="6"/>
  <c r="D161" i="6"/>
  <c r="C161" i="6"/>
  <c r="B161" i="6"/>
  <c r="A161" i="6"/>
  <c r="H160" i="6"/>
  <c r="G160" i="6"/>
  <c r="F160" i="6"/>
  <c r="E160" i="6"/>
  <c r="D160" i="6"/>
  <c r="C160" i="6"/>
  <c r="B160" i="6"/>
  <c r="A160" i="6"/>
  <c r="H159" i="6"/>
  <c r="G159" i="6"/>
  <c r="F159" i="6"/>
  <c r="E159" i="6"/>
  <c r="D159" i="6"/>
  <c r="C159" i="6"/>
  <c r="B159" i="6"/>
  <c r="A159" i="6"/>
  <c r="H158" i="6"/>
  <c r="G158" i="6"/>
  <c r="F158" i="6"/>
  <c r="E158" i="6"/>
  <c r="D158" i="6"/>
  <c r="C158" i="6"/>
  <c r="B158" i="6"/>
  <c r="A158" i="6"/>
  <c r="H157" i="6"/>
  <c r="G157" i="6"/>
  <c r="F157" i="6"/>
  <c r="E157" i="6"/>
  <c r="D157" i="6"/>
  <c r="C157" i="6"/>
  <c r="B157" i="6"/>
  <c r="A157" i="6"/>
  <c r="H156" i="6"/>
  <c r="G156" i="6"/>
  <c r="F156" i="6"/>
  <c r="E156" i="6"/>
  <c r="D156" i="6"/>
  <c r="C156" i="6"/>
  <c r="B156" i="6"/>
  <c r="A156" i="6"/>
  <c r="H155" i="6"/>
  <c r="G155" i="6"/>
  <c r="F155" i="6"/>
  <c r="E155" i="6"/>
  <c r="D155" i="6"/>
  <c r="C155" i="6"/>
  <c r="B155" i="6"/>
  <c r="A155" i="6"/>
  <c r="H154" i="6"/>
  <c r="G154" i="6"/>
  <c r="F154" i="6"/>
  <c r="E154" i="6"/>
  <c r="D154" i="6"/>
  <c r="C154" i="6"/>
  <c r="B154" i="6"/>
  <c r="A154" i="6"/>
  <c r="H153" i="6"/>
  <c r="G153" i="6"/>
  <c r="F153" i="6"/>
  <c r="E153" i="6"/>
  <c r="D153" i="6"/>
  <c r="C153" i="6"/>
  <c r="B153" i="6"/>
  <c r="A153" i="6"/>
  <c r="H152" i="6"/>
  <c r="G152" i="6"/>
  <c r="F152" i="6"/>
  <c r="E152" i="6"/>
  <c r="D152" i="6"/>
  <c r="C152" i="6"/>
  <c r="B152" i="6"/>
  <c r="A152" i="6"/>
  <c r="H151" i="6"/>
  <c r="G151" i="6"/>
  <c r="F151" i="6"/>
  <c r="E151" i="6"/>
  <c r="D151" i="6"/>
  <c r="C151" i="6"/>
  <c r="B151" i="6"/>
  <c r="A151" i="6"/>
  <c r="H150" i="6"/>
  <c r="G150" i="6"/>
  <c r="F150" i="6"/>
  <c r="E150" i="6"/>
  <c r="D150" i="6"/>
  <c r="C150" i="6"/>
  <c r="B150" i="6"/>
  <c r="A150" i="6"/>
  <c r="H149" i="6"/>
  <c r="G149" i="6"/>
  <c r="F149" i="6"/>
  <c r="E149" i="6"/>
  <c r="D149" i="6"/>
  <c r="C149" i="6"/>
  <c r="B149" i="6"/>
  <c r="A149" i="6"/>
  <c r="H148" i="6"/>
  <c r="G148" i="6"/>
  <c r="F148" i="6"/>
  <c r="E148" i="6"/>
  <c r="D148" i="6"/>
  <c r="C148" i="6"/>
  <c r="B148" i="6"/>
  <c r="A148" i="6"/>
  <c r="H147" i="6"/>
  <c r="G147" i="6"/>
  <c r="F147" i="6"/>
  <c r="E147" i="6"/>
  <c r="D147" i="6"/>
  <c r="C147" i="6"/>
  <c r="B147" i="6"/>
  <c r="A147" i="6"/>
  <c r="H146" i="6"/>
  <c r="G146" i="6"/>
  <c r="F146" i="6"/>
  <c r="E146" i="6"/>
  <c r="D146" i="6"/>
  <c r="C146" i="6"/>
  <c r="B146" i="6"/>
  <c r="A146" i="6"/>
  <c r="H145" i="6"/>
  <c r="G145" i="6"/>
  <c r="F145" i="6"/>
  <c r="E145" i="6"/>
  <c r="D145" i="6"/>
  <c r="C145" i="6"/>
  <c r="B145" i="6"/>
  <c r="A145" i="6"/>
  <c r="H144" i="6"/>
  <c r="G144" i="6"/>
  <c r="F144" i="6"/>
  <c r="E144" i="6"/>
  <c r="D144" i="6"/>
  <c r="C144" i="6"/>
  <c r="B144" i="6"/>
  <c r="A144" i="6"/>
  <c r="H143" i="6"/>
  <c r="G143" i="6"/>
  <c r="F143" i="6"/>
  <c r="E143" i="6"/>
  <c r="D143" i="6"/>
  <c r="C143" i="6"/>
  <c r="B143" i="6"/>
  <c r="A143" i="6"/>
  <c r="H142" i="6"/>
  <c r="G142" i="6"/>
  <c r="F142" i="6"/>
  <c r="E142" i="6"/>
  <c r="D142" i="6"/>
  <c r="C142" i="6"/>
  <c r="B142" i="6"/>
  <c r="A142" i="6"/>
  <c r="H141" i="6"/>
  <c r="G141" i="6"/>
  <c r="F141" i="6"/>
  <c r="E141" i="6"/>
  <c r="D141" i="6"/>
  <c r="C141" i="6"/>
  <c r="B141" i="6"/>
  <c r="A141" i="6"/>
  <c r="H140" i="6"/>
  <c r="G140" i="6"/>
  <c r="F140" i="6"/>
  <c r="E140" i="6"/>
  <c r="D140" i="6"/>
  <c r="C140" i="6"/>
  <c r="B140" i="6"/>
  <c r="A140" i="6"/>
  <c r="H139" i="6"/>
  <c r="G139" i="6"/>
  <c r="F139" i="6"/>
  <c r="E139" i="6"/>
  <c r="D139" i="6"/>
  <c r="C139" i="6"/>
  <c r="B139" i="6"/>
  <c r="A139" i="6"/>
  <c r="H138" i="6"/>
  <c r="G138" i="6"/>
  <c r="F138" i="6"/>
  <c r="E138" i="6"/>
  <c r="D138" i="6"/>
  <c r="C138" i="6"/>
  <c r="B138" i="6"/>
  <c r="A138" i="6"/>
  <c r="H137" i="6"/>
  <c r="G137" i="6"/>
  <c r="F137" i="6"/>
  <c r="E137" i="6"/>
  <c r="D137" i="6"/>
  <c r="C137" i="6"/>
  <c r="B137" i="6"/>
  <c r="A137" i="6"/>
  <c r="H136" i="6"/>
  <c r="G136" i="6"/>
  <c r="F136" i="6"/>
  <c r="E136" i="6"/>
  <c r="D136" i="6"/>
  <c r="C136" i="6"/>
  <c r="B136" i="6"/>
  <c r="A136" i="6"/>
  <c r="H135" i="6"/>
  <c r="G135" i="6"/>
  <c r="F135" i="6"/>
  <c r="E135" i="6"/>
  <c r="D135" i="6"/>
  <c r="C135" i="6"/>
  <c r="B135" i="6"/>
  <c r="A135" i="6"/>
  <c r="H134" i="6"/>
  <c r="G134" i="6"/>
  <c r="F134" i="6"/>
  <c r="E134" i="6"/>
  <c r="D134" i="6"/>
  <c r="C134" i="6"/>
  <c r="B134" i="6"/>
  <c r="A134" i="6"/>
  <c r="H133" i="6"/>
  <c r="G133" i="6"/>
  <c r="F133" i="6"/>
  <c r="E133" i="6"/>
  <c r="D133" i="6"/>
  <c r="C133" i="6"/>
  <c r="B133" i="6"/>
  <c r="A133" i="6"/>
  <c r="H132" i="6"/>
  <c r="G132" i="6"/>
  <c r="F132" i="6"/>
  <c r="E132" i="6"/>
  <c r="D132" i="6"/>
  <c r="C132" i="6"/>
  <c r="B132" i="6"/>
  <c r="A132" i="6"/>
  <c r="H131" i="6"/>
  <c r="G131" i="6"/>
  <c r="F131" i="6"/>
  <c r="E131" i="6"/>
  <c r="D131" i="6"/>
  <c r="C131" i="6"/>
  <c r="B131" i="6"/>
  <c r="A131" i="6"/>
  <c r="H130" i="6"/>
  <c r="G130" i="6"/>
  <c r="F130" i="6"/>
  <c r="E130" i="6"/>
  <c r="D130" i="6"/>
  <c r="C130" i="6"/>
  <c r="B130" i="6"/>
  <c r="A130" i="6"/>
  <c r="H129" i="6"/>
  <c r="G129" i="6"/>
  <c r="F129" i="6"/>
  <c r="E129" i="6"/>
  <c r="D129" i="6"/>
  <c r="C129" i="6"/>
  <c r="B129" i="6"/>
  <c r="A129" i="6"/>
  <c r="H128" i="6"/>
  <c r="G128" i="6"/>
  <c r="F128" i="6"/>
  <c r="E128" i="6"/>
  <c r="D128" i="6"/>
  <c r="C128" i="6"/>
  <c r="B128" i="6"/>
  <c r="A128" i="6"/>
  <c r="H127" i="6"/>
  <c r="G127" i="6"/>
  <c r="F127" i="6"/>
  <c r="E127" i="6"/>
  <c r="D127" i="6"/>
  <c r="C127" i="6"/>
  <c r="B127" i="6"/>
  <c r="A127" i="6"/>
  <c r="H126" i="6"/>
  <c r="G126" i="6"/>
  <c r="F126" i="6"/>
  <c r="E126" i="6"/>
  <c r="D126" i="6"/>
  <c r="C126" i="6"/>
  <c r="B126" i="6"/>
  <c r="A126" i="6"/>
  <c r="H125" i="6"/>
  <c r="G125" i="6"/>
  <c r="F125" i="6"/>
  <c r="E125" i="6"/>
  <c r="D125" i="6"/>
  <c r="C125" i="6"/>
  <c r="B125" i="6"/>
  <c r="A125" i="6"/>
  <c r="H124" i="6"/>
  <c r="G124" i="6"/>
  <c r="F124" i="6"/>
  <c r="E124" i="6"/>
  <c r="D124" i="6"/>
  <c r="C124" i="6"/>
  <c r="B124" i="6"/>
  <c r="A124" i="6"/>
  <c r="H123" i="6"/>
  <c r="G123" i="6"/>
  <c r="F123" i="6"/>
  <c r="E123" i="6"/>
  <c r="D123" i="6"/>
  <c r="C123" i="6"/>
  <c r="B123" i="6"/>
  <c r="A123" i="6"/>
  <c r="H122" i="6"/>
  <c r="G122" i="6"/>
  <c r="F122" i="6"/>
  <c r="E122" i="6"/>
  <c r="D122" i="6"/>
  <c r="C122" i="6"/>
  <c r="B122" i="6"/>
  <c r="A122" i="6"/>
  <c r="H121" i="6"/>
  <c r="G121" i="6"/>
  <c r="F121" i="6"/>
  <c r="E121" i="6"/>
  <c r="D121" i="6"/>
  <c r="C121" i="6"/>
  <c r="B121" i="6"/>
  <c r="A121" i="6"/>
  <c r="H120" i="6"/>
  <c r="G120" i="6"/>
  <c r="F120" i="6"/>
  <c r="E120" i="6"/>
  <c r="D120" i="6"/>
  <c r="C120" i="6"/>
  <c r="B120" i="6"/>
  <c r="A120" i="6"/>
  <c r="H119" i="6"/>
  <c r="G119" i="6"/>
  <c r="F119" i="6"/>
  <c r="E119" i="6"/>
  <c r="D119" i="6"/>
  <c r="C119" i="6"/>
  <c r="B119" i="6"/>
  <c r="A119" i="6"/>
  <c r="H118" i="6"/>
  <c r="G118" i="6"/>
  <c r="F118" i="6"/>
  <c r="E118" i="6"/>
  <c r="D118" i="6"/>
  <c r="C118" i="6"/>
  <c r="B118" i="6"/>
  <c r="A118" i="6"/>
  <c r="H117" i="6"/>
  <c r="G117" i="6"/>
  <c r="F117" i="6"/>
  <c r="E117" i="6"/>
  <c r="D117" i="6"/>
  <c r="C117" i="6"/>
  <c r="B117" i="6"/>
  <c r="A117" i="6"/>
  <c r="H116" i="6"/>
  <c r="G116" i="6"/>
  <c r="F116" i="6"/>
  <c r="E116" i="6"/>
  <c r="D116" i="6"/>
  <c r="C116" i="6"/>
  <c r="B116" i="6"/>
  <c r="A116" i="6"/>
  <c r="H115" i="6"/>
  <c r="G115" i="6"/>
  <c r="F115" i="6"/>
  <c r="E115" i="6"/>
  <c r="D115" i="6"/>
  <c r="C115" i="6"/>
  <c r="B115" i="6"/>
  <c r="A115" i="6"/>
  <c r="H114" i="6"/>
  <c r="G114" i="6"/>
  <c r="F114" i="6"/>
  <c r="E114" i="6"/>
  <c r="D114" i="6"/>
  <c r="C114" i="6"/>
  <c r="B114" i="6"/>
  <c r="A114" i="6"/>
  <c r="H113" i="6"/>
  <c r="G113" i="6"/>
  <c r="F113" i="6"/>
  <c r="E113" i="6"/>
  <c r="D113" i="6"/>
  <c r="C113" i="6"/>
  <c r="B113" i="6"/>
  <c r="A113" i="6"/>
  <c r="H112" i="6"/>
  <c r="G112" i="6"/>
  <c r="F112" i="6"/>
  <c r="E112" i="6"/>
  <c r="D112" i="6"/>
  <c r="C112" i="6"/>
  <c r="B112" i="6"/>
  <c r="A112" i="6"/>
  <c r="H111" i="6"/>
  <c r="G111" i="6"/>
  <c r="F111" i="6"/>
  <c r="E111" i="6"/>
  <c r="D111" i="6"/>
  <c r="C111" i="6"/>
  <c r="B111" i="6"/>
  <c r="A111" i="6"/>
  <c r="H110" i="6"/>
  <c r="G110" i="6"/>
  <c r="F110" i="6"/>
  <c r="E110" i="6"/>
  <c r="D110" i="6"/>
  <c r="C110" i="6"/>
  <c r="B110" i="6"/>
  <c r="A110" i="6"/>
  <c r="H109" i="6"/>
  <c r="G109" i="6"/>
  <c r="F109" i="6"/>
  <c r="E109" i="6"/>
  <c r="D109" i="6"/>
  <c r="C109" i="6"/>
  <c r="B109" i="6"/>
  <c r="A109" i="6"/>
  <c r="H108" i="6"/>
  <c r="G108" i="6"/>
  <c r="F108" i="6"/>
  <c r="E108" i="6"/>
  <c r="D108" i="6"/>
  <c r="C108" i="6"/>
  <c r="B108" i="6"/>
  <c r="A108" i="6"/>
  <c r="H107" i="6"/>
  <c r="G107" i="6"/>
  <c r="F107" i="6"/>
  <c r="E107" i="6"/>
  <c r="D107" i="6"/>
  <c r="C107" i="6"/>
  <c r="B107" i="6"/>
  <c r="A107" i="6"/>
  <c r="H106" i="6"/>
  <c r="G106" i="6"/>
  <c r="F106" i="6"/>
  <c r="E106" i="6"/>
  <c r="D106" i="6"/>
  <c r="C106" i="6"/>
  <c r="B106" i="6"/>
  <c r="A106" i="6"/>
  <c r="H105" i="6"/>
  <c r="G105" i="6"/>
  <c r="F105" i="6"/>
  <c r="E105" i="6"/>
  <c r="D105" i="6"/>
  <c r="C105" i="6"/>
  <c r="B105" i="6"/>
  <c r="A105" i="6"/>
  <c r="H104" i="6"/>
  <c r="G104" i="6"/>
  <c r="F104" i="6"/>
  <c r="E104" i="6"/>
  <c r="D104" i="6"/>
  <c r="C104" i="6"/>
  <c r="B104" i="6"/>
  <c r="A104" i="6"/>
  <c r="H103" i="6"/>
  <c r="G103" i="6"/>
  <c r="F103" i="6"/>
  <c r="E103" i="6"/>
  <c r="D103" i="6"/>
  <c r="C103" i="6"/>
  <c r="B103" i="6"/>
  <c r="A103" i="6"/>
  <c r="H102" i="6"/>
  <c r="G102" i="6"/>
  <c r="F102" i="6"/>
  <c r="E102" i="6"/>
  <c r="D102" i="6"/>
  <c r="C102" i="6"/>
  <c r="B102" i="6"/>
  <c r="A102" i="6"/>
  <c r="H101" i="6"/>
  <c r="G101" i="6"/>
  <c r="F101" i="6"/>
  <c r="E101" i="6"/>
  <c r="D101" i="6"/>
  <c r="C101" i="6"/>
  <c r="B101" i="6"/>
  <c r="A101" i="6"/>
  <c r="H100" i="6"/>
  <c r="G100" i="6"/>
  <c r="F100" i="6"/>
  <c r="E100" i="6"/>
  <c r="D100" i="6"/>
  <c r="C100" i="6"/>
  <c r="B100" i="6"/>
  <c r="A100" i="6"/>
  <c r="H99" i="6"/>
  <c r="G99" i="6"/>
  <c r="F99" i="6"/>
  <c r="E99" i="6"/>
  <c r="D99" i="6"/>
  <c r="C99" i="6"/>
  <c r="B99" i="6"/>
  <c r="A99" i="6"/>
  <c r="H98" i="6"/>
  <c r="G98" i="6"/>
  <c r="F98" i="6"/>
  <c r="E98" i="6"/>
  <c r="D98" i="6"/>
  <c r="C98" i="6"/>
  <c r="B98" i="6"/>
  <c r="A98" i="6"/>
  <c r="H97" i="6"/>
  <c r="G97" i="6"/>
  <c r="F97" i="6"/>
  <c r="E97" i="6"/>
  <c r="D97" i="6"/>
  <c r="C97" i="6"/>
  <c r="B97" i="6"/>
  <c r="A97" i="6"/>
  <c r="H96" i="6"/>
  <c r="G96" i="6"/>
  <c r="F96" i="6"/>
  <c r="E96" i="6"/>
  <c r="D96" i="6"/>
  <c r="C96" i="6"/>
  <c r="B96" i="6"/>
  <c r="A96" i="6"/>
  <c r="H95" i="6"/>
  <c r="G95" i="6"/>
  <c r="F95" i="6"/>
  <c r="E95" i="6"/>
  <c r="D95" i="6"/>
  <c r="C95" i="6"/>
  <c r="B95" i="6"/>
  <c r="A95" i="6"/>
  <c r="H94" i="6"/>
  <c r="G94" i="6"/>
  <c r="F94" i="6"/>
  <c r="E94" i="6"/>
  <c r="D94" i="6"/>
  <c r="C94" i="6"/>
  <c r="B94" i="6"/>
  <c r="A94" i="6"/>
  <c r="H93" i="6"/>
  <c r="G93" i="6"/>
  <c r="F93" i="6"/>
  <c r="E93" i="6"/>
  <c r="D93" i="6"/>
  <c r="C93" i="6"/>
  <c r="B93" i="6"/>
  <c r="A93" i="6"/>
  <c r="H92" i="6"/>
  <c r="G92" i="6"/>
  <c r="F92" i="6"/>
  <c r="E92" i="6"/>
  <c r="D92" i="6"/>
  <c r="C92" i="6"/>
  <c r="B92" i="6"/>
  <c r="A92" i="6"/>
  <c r="H91" i="6"/>
  <c r="G91" i="6"/>
  <c r="F91" i="6"/>
  <c r="E91" i="6"/>
  <c r="D91" i="6"/>
  <c r="C91" i="6"/>
  <c r="B91" i="6"/>
  <c r="A91" i="6"/>
  <c r="H90" i="6"/>
  <c r="G90" i="6"/>
  <c r="F90" i="6"/>
  <c r="E90" i="6"/>
  <c r="D90" i="6"/>
  <c r="C90" i="6"/>
  <c r="B90" i="6"/>
  <c r="A90" i="6"/>
  <c r="H89" i="6"/>
  <c r="G89" i="6"/>
  <c r="F89" i="6"/>
  <c r="E89" i="6"/>
  <c r="D89" i="6"/>
  <c r="C89" i="6"/>
  <c r="B89" i="6"/>
  <c r="A89" i="6"/>
  <c r="H88" i="6"/>
  <c r="G88" i="6"/>
  <c r="F88" i="6"/>
  <c r="E88" i="6"/>
  <c r="D88" i="6"/>
  <c r="C88" i="6"/>
  <c r="B88" i="6"/>
  <c r="A88" i="6"/>
  <c r="H87" i="6"/>
  <c r="G87" i="6"/>
  <c r="F87" i="6"/>
  <c r="E87" i="6"/>
  <c r="D87" i="6"/>
  <c r="C87" i="6"/>
  <c r="B87" i="6"/>
  <c r="A87" i="6"/>
  <c r="H86" i="6"/>
  <c r="G86" i="6"/>
  <c r="F86" i="6"/>
  <c r="E86" i="6"/>
  <c r="D86" i="6"/>
  <c r="C86" i="6"/>
  <c r="B86" i="6"/>
  <c r="A86" i="6"/>
  <c r="H85" i="6"/>
  <c r="G85" i="6"/>
  <c r="F85" i="6"/>
  <c r="E85" i="6"/>
  <c r="D85" i="6"/>
  <c r="C85" i="6"/>
  <c r="B85" i="6"/>
  <c r="A85" i="6"/>
  <c r="H84" i="6"/>
  <c r="G84" i="6"/>
  <c r="F84" i="6"/>
  <c r="E84" i="6"/>
  <c r="D84" i="6"/>
  <c r="C84" i="6"/>
  <c r="B84" i="6"/>
  <c r="A84" i="6"/>
  <c r="H83" i="6"/>
  <c r="G83" i="6"/>
  <c r="F83" i="6"/>
  <c r="E83" i="6"/>
  <c r="D83" i="6"/>
  <c r="C83" i="6"/>
  <c r="B83" i="6"/>
  <c r="A83" i="6"/>
  <c r="H82" i="6"/>
  <c r="G82" i="6"/>
  <c r="F82" i="6"/>
  <c r="E82" i="6"/>
  <c r="D82" i="6"/>
  <c r="C82" i="6"/>
  <c r="B82" i="6"/>
  <c r="A82" i="6"/>
  <c r="H81" i="6"/>
  <c r="G81" i="6"/>
  <c r="F81" i="6"/>
  <c r="E81" i="6"/>
  <c r="D81" i="6"/>
  <c r="C81" i="6"/>
  <c r="B81" i="6"/>
  <c r="A81" i="6"/>
  <c r="H80" i="6"/>
  <c r="G80" i="6"/>
  <c r="F80" i="6"/>
  <c r="E80" i="6"/>
  <c r="D80" i="6"/>
  <c r="C80" i="6"/>
  <c r="B80" i="6"/>
  <c r="A80" i="6"/>
  <c r="H79" i="6"/>
  <c r="G79" i="6"/>
  <c r="F79" i="6"/>
  <c r="E79" i="6"/>
  <c r="D79" i="6"/>
  <c r="C79" i="6"/>
  <c r="B79" i="6"/>
  <c r="A79" i="6"/>
  <c r="H78" i="6"/>
  <c r="G78" i="6"/>
  <c r="F78" i="6"/>
  <c r="E78" i="6"/>
  <c r="D78" i="6"/>
  <c r="C78" i="6"/>
  <c r="B78" i="6"/>
  <c r="A78" i="6"/>
  <c r="H77" i="6"/>
  <c r="G77" i="6"/>
  <c r="F77" i="6"/>
  <c r="E77" i="6"/>
  <c r="D77" i="6"/>
  <c r="C77" i="6"/>
  <c r="B77" i="6"/>
  <c r="A77" i="6"/>
  <c r="H76" i="6"/>
  <c r="G76" i="6"/>
  <c r="F76" i="6"/>
  <c r="E76" i="6"/>
  <c r="D76" i="6"/>
  <c r="C76" i="6"/>
  <c r="B76" i="6"/>
  <c r="A76" i="6"/>
  <c r="H75" i="6"/>
  <c r="G75" i="6"/>
  <c r="F75" i="6"/>
  <c r="E75" i="6"/>
  <c r="D75" i="6"/>
  <c r="C75" i="6"/>
  <c r="B75" i="6"/>
  <c r="A75" i="6"/>
  <c r="H74" i="6"/>
  <c r="G74" i="6"/>
  <c r="F74" i="6"/>
  <c r="E74" i="6"/>
  <c r="D74" i="6"/>
  <c r="C74" i="6"/>
  <c r="B74" i="6"/>
  <c r="A74" i="6"/>
  <c r="H73" i="6"/>
  <c r="G73" i="6"/>
  <c r="F73" i="6"/>
  <c r="E73" i="6"/>
  <c r="D73" i="6"/>
  <c r="C73" i="6"/>
  <c r="B73" i="6"/>
  <c r="A73" i="6"/>
  <c r="H72" i="6"/>
  <c r="G72" i="6"/>
  <c r="F72" i="6"/>
  <c r="E72" i="6"/>
  <c r="D72" i="6"/>
  <c r="C72" i="6"/>
  <c r="B72" i="6"/>
  <c r="A72" i="6"/>
  <c r="H71" i="6"/>
  <c r="G71" i="6"/>
  <c r="F71" i="6"/>
  <c r="E71" i="6"/>
  <c r="D71" i="6"/>
  <c r="C71" i="6"/>
  <c r="B71" i="6"/>
  <c r="A71" i="6"/>
  <c r="H70" i="6"/>
  <c r="G70" i="6"/>
  <c r="F70" i="6"/>
  <c r="E70" i="6"/>
  <c r="D70" i="6"/>
  <c r="C70" i="6"/>
  <c r="B70" i="6"/>
  <c r="A70" i="6"/>
  <c r="H69" i="6"/>
  <c r="G69" i="6"/>
  <c r="F69" i="6"/>
  <c r="E69" i="6"/>
  <c r="D69" i="6"/>
  <c r="C69" i="6"/>
  <c r="B69" i="6"/>
  <c r="A69" i="6"/>
  <c r="H68" i="6"/>
  <c r="G68" i="6"/>
  <c r="F68" i="6"/>
  <c r="E68" i="6"/>
  <c r="D68" i="6"/>
  <c r="C68" i="6"/>
  <c r="B68" i="6"/>
  <c r="A68" i="6"/>
  <c r="H67" i="6"/>
  <c r="G67" i="6"/>
  <c r="F67" i="6"/>
  <c r="E67" i="6"/>
  <c r="D67" i="6"/>
  <c r="C67" i="6"/>
  <c r="B67" i="6"/>
  <c r="A67" i="6"/>
  <c r="H66" i="6"/>
  <c r="G66" i="6"/>
  <c r="F66" i="6"/>
  <c r="E66" i="6"/>
  <c r="D66" i="6"/>
  <c r="C66" i="6"/>
  <c r="B66" i="6"/>
  <c r="A66" i="6"/>
  <c r="H65" i="6"/>
  <c r="G65" i="6"/>
  <c r="F65" i="6"/>
  <c r="E65" i="6"/>
  <c r="D65" i="6"/>
  <c r="C65" i="6"/>
  <c r="B65" i="6"/>
  <c r="A65" i="6"/>
  <c r="H64" i="6"/>
  <c r="G64" i="6"/>
  <c r="F64" i="6"/>
  <c r="E64" i="6"/>
  <c r="D64" i="6"/>
  <c r="C64" i="6"/>
  <c r="B64" i="6"/>
  <c r="A64" i="6"/>
  <c r="H63" i="6"/>
  <c r="G63" i="6"/>
  <c r="F63" i="6"/>
  <c r="E63" i="6"/>
  <c r="D63" i="6"/>
  <c r="C63" i="6"/>
  <c r="B63" i="6"/>
  <c r="A63" i="6"/>
  <c r="H62" i="6"/>
  <c r="G62" i="6"/>
  <c r="F62" i="6"/>
  <c r="E62" i="6"/>
  <c r="D62" i="6"/>
  <c r="C62" i="6"/>
  <c r="B62" i="6"/>
  <c r="A62" i="6"/>
  <c r="H61" i="6"/>
  <c r="G61" i="6"/>
  <c r="F61" i="6"/>
  <c r="E61" i="6"/>
  <c r="D61" i="6"/>
  <c r="C61" i="6"/>
  <c r="B61" i="6"/>
  <c r="A61" i="6"/>
  <c r="H60" i="6"/>
  <c r="G60" i="6"/>
  <c r="F60" i="6"/>
  <c r="E60" i="6"/>
  <c r="D60" i="6"/>
  <c r="C60" i="6"/>
  <c r="B60" i="6"/>
  <c r="A60" i="6"/>
  <c r="H59" i="6"/>
  <c r="G59" i="6"/>
  <c r="F59" i="6"/>
  <c r="E59" i="6"/>
  <c r="D59" i="6"/>
  <c r="C59" i="6"/>
  <c r="B59" i="6"/>
  <c r="A59" i="6"/>
  <c r="H58" i="6"/>
  <c r="G58" i="6"/>
  <c r="F58" i="6"/>
  <c r="E58" i="6"/>
  <c r="D58" i="6"/>
  <c r="C58" i="6"/>
  <c r="B58" i="6"/>
  <c r="A58" i="6"/>
  <c r="H57" i="6"/>
  <c r="G57" i="6"/>
  <c r="F57" i="6"/>
  <c r="E57" i="6"/>
  <c r="D57" i="6"/>
  <c r="C57" i="6"/>
  <c r="B57" i="6"/>
  <c r="A57" i="6"/>
  <c r="H56" i="6"/>
  <c r="G56" i="6"/>
  <c r="F56" i="6"/>
  <c r="E56" i="6"/>
  <c r="D56" i="6"/>
  <c r="C56" i="6"/>
  <c r="B56" i="6"/>
  <c r="A56" i="6"/>
  <c r="H55" i="6"/>
  <c r="G55" i="6"/>
  <c r="F55" i="6"/>
  <c r="E55" i="6"/>
  <c r="D55" i="6"/>
  <c r="C55" i="6"/>
  <c r="B55" i="6"/>
  <c r="A55" i="6"/>
  <c r="H54" i="6"/>
  <c r="G54" i="6"/>
  <c r="F54" i="6"/>
  <c r="E54" i="6"/>
  <c r="D54" i="6"/>
  <c r="C54" i="6"/>
  <c r="B54" i="6"/>
  <c r="A54" i="6"/>
  <c r="H53" i="6"/>
  <c r="G53" i="6"/>
  <c r="F53" i="6"/>
  <c r="E53" i="6"/>
  <c r="D53" i="6"/>
  <c r="C53" i="6"/>
  <c r="B53" i="6"/>
  <c r="A53" i="6"/>
  <c r="H52" i="6"/>
  <c r="G52" i="6"/>
  <c r="F52" i="6"/>
  <c r="E52" i="6"/>
  <c r="D52" i="6"/>
  <c r="C52" i="6"/>
  <c r="B52" i="6"/>
  <c r="A52" i="6"/>
  <c r="H51" i="6"/>
  <c r="G51" i="6"/>
  <c r="F51" i="6"/>
  <c r="E51" i="6"/>
  <c r="D51" i="6"/>
  <c r="C51" i="6"/>
  <c r="B51" i="6"/>
  <c r="A51" i="6"/>
  <c r="H50" i="6"/>
  <c r="G50" i="6"/>
  <c r="F50" i="6"/>
  <c r="E50" i="6"/>
  <c r="D50" i="6"/>
  <c r="C50" i="6"/>
  <c r="B50" i="6"/>
  <c r="A50" i="6"/>
  <c r="H49" i="6"/>
  <c r="G49" i="6"/>
  <c r="F49" i="6"/>
  <c r="E49" i="6"/>
  <c r="D49" i="6"/>
  <c r="C49" i="6"/>
  <c r="B49" i="6"/>
  <c r="A49" i="6"/>
  <c r="H48" i="6"/>
  <c r="G48" i="6"/>
  <c r="F48" i="6"/>
  <c r="E48" i="6"/>
  <c r="D48" i="6"/>
  <c r="C48" i="6"/>
  <c r="B48" i="6"/>
  <c r="A48" i="6"/>
  <c r="H47" i="6"/>
  <c r="G47" i="6"/>
  <c r="F47" i="6"/>
  <c r="E47" i="6"/>
  <c r="D47" i="6"/>
  <c r="C47" i="6"/>
  <c r="B47" i="6"/>
  <c r="A47" i="6"/>
  <c r="H46" i="6"/>
  <c r="G46" i="6"/>
  <c r="F46" i="6"/>
  <c r="E46" i="6"/>
  <c r="D46" i="6"/>
  <c r="C46" i="6"/>
  <c r="B46" i="6"/>
  <c r="A46" i="6"/>
  <c r="H45" i="6"/>
  <c r="G45" i="6"/>
  <c r="F45" i="6"/>
  <c r="E45" i="6"/>
  <c r="D45" i="6"/>
  <c r="C45" i="6"/>
  <c r="B45" i="6"/>
  <c r="A45" i="6"/>
  <c r="H44" i="6"/>
  <c r="G44" i="6"/>
  <c r="F44" i="6"/>
  <c r="E44" i="6"/>
  <c r="D44" i="6"/>
  <c r="C44" i="6"/>
  <c r="B44" i="6"/>
  <c r="A44" i="6"/>
  <c r="H43" i="6"/>
  <c r="G43" i="6"/>
  <c r="F43" i="6"/>
  <c r="E43" i="6"/>
  <c r="D43" i="6"/>
  <c r="C43" i="6"/>
  <c r="B43" i="6"/>
  <c r="A43" i="6"/>
  <c r="H42" i="6"/>
  <c r="G42" i="6"/>
  <c r="F42" i="6"/>
  <c r="E42" i="6"/>
  <c r="D42" i="6"/>
  <c r="C42" i="6"/>
  <c r="B42" i="6"/>
  <c r="A42" i="6"/>
  <c r="H41" i="6"/>
  <c r="G41" i="6"/>
  <c r="F41" i="6"/>
  <c r="E41" i="6"/>
  <c r="D41" i="6"/>
  <c r="C41" i="6"/>
  <c r="B41" i="6"/>
  <c r="A41" i="6"/>
  <c r="H40" i="6"/>
  <c r="G40" i="6"/>
  <c r="F40" i="6"/>
  <c r="E40" i="6"/>
  <c r="D40" i="6"/>
  <c r="C40" i="6"/>
  <c r="B40" i="6"/>
  <c r="A40" i="6"/>
  <c r="H39" i="6"/>
  <c r="G39" i="6"/>
  <c r="F39" i="6"/>
  <c r="E39" i="6"/>
  <c r="D39" i="6"/>
  <c r="C39" i="6"/>
  <c r="B39" i="6"/>
  <c r="A39" i="6"/>
  <c r="H38" i="6"/>
  <c r="G38" i="6"/>
  <c r="F38" i="6"/>
  <c r="E38" i="6"/>
  <c r="D38" i="6"/>
  <c r="C38" i="6"/>
  <c r="B38" i="6"/>
  <c r="A38" i="6"/>
  <c r="H37" i="6"/>
  <c r="G37" i="6"/>
  <c r="F37" i="6"/>
  <c r="E37" i="6"/>
  <c r="D37" i="6"/>
  <c r="C37" i="6"/>
  <c r="B37" i="6"/>
  <c r="A37" i="6"/>
  <c r="H36" i="6"/>
  <c r="G36" i="6"/>
  <c r="F36" i="6"/>
  <c r="E36" i="6"/>
  <c r="D36" i="6"/>
  <c r="C36" i="6"/>
  <c r="B36" i="6"/>
  <c r="A36" i="6"/>
  <c r="H35" i="6"/>
  <c r="G35" i="6"/>
  <c r="F35" i="6"/>
  <c r="E35" i="6"/>
  <c r="D35" i="6"/>
  <c r="C35" i="6"/>
  <c r="B35" i="6"/>
  <c r="A35" i="6"/>
  <c r="H34" i="6"/>
  <c r="G34" i="6"/>
  <c r="F34" i="6"/>
  <c r="E34" i="6"/>
  <c r="D34" i="6"/>
  <c r="C34" i="6"/>
  <c r="B34" i="6"/>
  <c r="A34" i="6"/>
  <c r="H33" i="6"/>
  <c r="G33" i="6"/>
  <c r="F33" i="6"/>
  <c r="E33" i="6"/>
  <c r="D33" i="6"/>
  <c r="C33" i="6"/>
  <c r="B33" i="6"/>
  <c r="A33" i="6"/>
  <c r="H32" i="6"/>
  <c r="G32" i="6"/>
  <c r="F32" i="6"/>
  <c r="E32" i="6"/>
  <c r="D32" i="6"/>
  <c r="C32" i="6"/>
  <c r="B32" i="6"/>
  <c r="A32" i="6"/>
  <c r="H31" i="6"/>
  <c r="G31" i="6"/>
  <c r="F31" i="6"/>
  <c r="E31" i="6"/>
  <c r="D31" i="6"/>
  <c r="C31" i="6"/>
  <c r="B31" i="6"/>
  <c r="A31" i="6"/>
  <c r="H30" i="6"/>
  <c r="G30" i="6"/>
  <c r="F30" i="6"/>
  <c r="E30" i="6"/>
  <c r="D30" i="6"/>
  <c r="C30" i="6"/>
  <c r="B30" i="6"/>
  <c r="A30" i="6"/>
  <c r="H29" i="6"/>
  <c r="G29" i="6"/>
  <c r="F29" i="6"/>
  <c r="E29" i="6"/>
  <c r="D29" i="6"/>
  <c r="C29" i="6"/>
  <c r="B29" i="6"/>
  <c r="A29" i="6"/>
  <c r="H28" i="6"/>
  <c r="G28" i="6"/>
  <c r="F28" i="6"/>
  <c r="E28" i="6"/>
  <c r="D28" i="6"/>
  <c r="C28" i="6"/>
  <c r="B28" i="6"/>
  <c r="A28" i="6"/>
  <c r="H27" i="6"/>
  <c r="G27" i="6"/>
  <c r="F27" i="6"/>
  <c r="E27" i="6"/>
  <c r="D27" i="6"/>
  <c r="C27" i="6"/>
  <c r="B27" i="6"/>
  <c r="A27" i="6"/>
  <c r="H26" i="6"/>
  <c r="G26" i="6"/>
  <c r="F26" i="6"/>
  <c r="E26" i="6"/>
  <c r="D26" i="6"/>
  <c r="C26" i="6"/>
  <c r="B26" i="6"/>
  <c r="A26" i="6"/>
  <c r="H25" i="6"/>
  <c r="G25" i="6"/>
  <c r="F25" i="6"/>
  <c r="E25" i="6"/>
  <c r="D25" i="6"/>
  <c r="C25" i="6"/>
  <c r="B25" i="6"/>
  <c r="A25" i="6"/>
  <c r="H24" i="6"/>
  <c r="G24" i="6"/>
  <c r="F24" i="6"/>
  <c r="E24" i="6"/>
  <c r="D24" i="6"/>
  <c r="C24" i="6"/>
  <c r="B24" i="6"/>
  <c r="A24" i="6"/>
  <c r="H23" i="6"/>
  <c r="G23" i="6"/>
  <c r="F23" i="6"/>
  <c r="E23" i="6"/>
  <c r="D23" i="6"/>
  <c r="C23" i="6"/>
  <c r="B23" i="6"/>
  <c r="A23" i="6"/>
  <c r="H22" i="6"/>
  <c r="G22" i="6"/>
  <c r="F22" i="6"/>
  <c r="E22" i="6"/>
  <c r="D22" i="6"/>
  <c r="C22" i="6"/>
  <c r="B22" i="6"/>
  <c r="A22" i="6"/>
  <c r="H21" i="6"/>
  <c r="G21" i="6"/>
  <c r="F21" i="6"/>
  <c r="E21" i="6"/>
  <c r="D21" i="6"/>
  <c r="C21" i="6"/>
  <c r="B21" i="6"/>
  <c r="A21" i="6"/>
  <c r="H20" i="6"/>
  <c r="G20" i="6"/>
  <c r="F20" i="6"/>
  <c r="E20" i="6"/>
  <c r="D20" i="6"/>
  <c r="C20" i="6"/>
  <c r="B20" i="6"/>
  <c r="A20" i="6"/>
  <c r="H19" i="6"/>
  <c r="G19" i="6"/>
  <c r="F19" i="6"/>
  <c r="E19" i="6"/>
  <c r="D19" i="6"/>
  <c r="C19" i="6"/>
  <c r="B19" i="6"/>
  <c r="A19" i="6"/>
  <c r="H18" i="6"/>
  <c r="G18" i="6"/>
  <c r="F18" i="6"/>
  <c r="E18" i="6"/>
  <c r="D18" i="6"/>
  <c r="C18" i="6"/>
  <c r="B18" i="6"/>
  <c r="A18" i="6"/>
  <c r="H17" i="6"/>
  <c r="G17" i="6"/>
  <c r="F17" i="6"/>
  <c r="E17" i="6"/>
  <c r="D17" i="6"/>
  <c r="C17" i="6"/>
  <c r="B17" i="6"/>
  <c r="A17" i="6"/>
  <c r="H16" i="6"/>
  <c r="G16" i="6"/>
  <c r="F16" i="6"/>
  <c r="E16" i="6"/>
  <c r="D16" i="6"/>
  <c r="C16" i="6"/>
  <c r="B16" i="6"/>
  <c r="A16" i="6"/>
  <c r="H15" i="6"/>
  <c r="G15" i="6"/>
  <c r="F15" i="6"/>
  <c r="E15" i="6"/>
  <c r="D15" i="6"/>
  <c r="C15" i="6"/>
  <c r="B15" i="6"/>
  <c r="A15" i="6"/>
  <c r="H14" i="6"/>
  <c r="G14" i="6"/>
  <c r="F14" i="6"/>
  <c r="E14" i="6"/>
  <c r="D14" i="6"/>
  <c r="C14" i="6"/>
  <c r="B14" i="6"/>
  <c r="A14" i="6"/>
  <c r="H13" i="6"/>
  <c r="G13" i="6"/>
  <c r="F13" i="6"/>
  <c r="E13" i="6"/>
  <c r="D13" i="6"/>
  <c r="C13" i="6"/>
  <c r="B13" i="6"/>
  <c r="A13" i="6"/>
  <c r="H12" i="6"/>
  <c r="G12" i="6"/>
  <c r="F12" i="6"/>
  <c r="E12" i="6"/>
  <c r="D12" i="6"/>
  <c r="C12" i="6"/>
  <c r="B12" i="6"/>
  <c r="A12" i="6"/>
  <c r="H11" i="6"/>
  <c r="G11" i="6"/>
  <c r="F11" i="6"/>
  <c r="E11" i="6"/>
  <c r="D11" i="6"/>
  <c r="C11" i="6"/>
  <c r="B11" i="6"/>
  <c r="A11" i="6"/>
  <c r="H10" i="6"/>
  <c r="G10" i="6"/>
  <c r="F10" i="6"/>
  <c r="E10" i="6"/>
  <c r="D10" i="6"/>
  <c r="C10" i="6"/>
  <c r="B10" i="6"/>
  <c r="A10" i="6"/>
  <c r="H9" i="6"/>
  <c r="G9" i="6"/>
  <c r="F9" i="6"/>
  <c r="E9" i="6"/>
  <c r="D9" i="6"/>
  <c r="C9" i="6"/>
  <c r="B9" i="6"/>
  <c r="A9" i="6"/>
  <c r="H8" i="6"/>
  <c r="G8" i="6"/>
  <c r="F8" i="6"/>
  <c r="E8" i="6"/>
  <c r="D8" i="6"/>
  <c r="C8" i="6"/>
  <c r="B8" i="6"/>
  <c r="A8" i="6"/>
  <c r="H7" i="6"/>
  <c r="G7" i="6"/>
  <c r="F7" i="6"/>
  <c r="E7" i="6"/>
  <c r="D7" i="6"/>
  <c r="C7" i="6"/>
  <c r="B7" i="6"/>
  <c r="A7" i="6"/>
  <c r="H6" i="6"/>
  <c r="G6" i="6"/>
  <c r="F6" i="6"/>
  <c r="E6" i="6"/>
  <c r="D6" i="6"/>
  <c r="C6" i="6"/>
  <c r="B6" i="6"/>
  <c r="A6" i="6"/>
  <c r="H5" i="6"/>
  <c r="G5" i="6"/>
  <c r="F5" i="6"/>
  <c r="E5" i="6"/>
  <c r="D5" i="6"/>
  <c r="C5" i="6"/>
  <c r="B5" i="6"/>
  <c r="A5" i="6"/>
  <c r="H4" i="6"/>
  <c r="G4" i="6"/>
  <c r="F4" i="6"/>
  <c r="E4" i="6"/>
  <c r="D4" i="6"/>
  <c r="C4" i="6"/>
  <c r="B4" i="6"/>
  <c r="A4" i="6"/>
  <c r="H3" i="6"/>
  <c r="G3" i="6"/>
  <c r="F3" i="6"/>
  <c r="E3" i="6"/>
  <c r="D3" i="6"/>
  <c r="C3" i="6"/>
  <c r="B3" i="6"/>
  <c r="A3" i="6"/>
  <c r="H2" i="6"/>
  <c r="G2" i="6"/>
  <c r="F2" i="6"/>
  <c r="E2" i="6"/>
  <c r="D2" i="6"/>
  <c r="C2" i="6"/>
  <c r="B2" i="6"/>
  <c r="A2" i="6"/>
  <c r="H1" i="6"/>
  <c r="G1" i="6"/>
  <c r="F1" i="6"/>
  <c r="E1" i="6"/>
  <c r="D1" i="6"/>
  <c r="C1" i="6"/>
  <c r="B1" i="6"/>
  <c r="A1" i="6"/>
  <c r="G290" i="5"/>
  <c r="F290" i="5"/>
  <c r="E290" i="5"/>
  <c r="D290" i="5"/>
  <c r="C290" i="5"/>
  <c r="B290" i="5"/>
  <c r="A290" i="5"/>
  <c r="G289" i="5"/>
  <c r="F289" i="5"/>
  <c r="E289" i="5"/>
  <c r="D289" i="5"/>
  <c r="C289" i="5"/>
  <c r="B289" i="5"/>
  <c r="A289" i="5"/>
  <c r="G288" i="5"/>
  <c r="F288" i="5"/>
  <c r="E288" i="5"/>
  <c r="D288" i="5"/>
  <c r="C288" i="5"/>
  <c r="B288" i="5"/>
  <c r="A288" i="5"/>
  <c r="G287" i="5"/>
  <c r="F287" i="5"/>
  <c r="E287" i="5"/>
  <c r="D287" i="5"/>
  <c r="C287" i="5"/>
  <c r="B287" i="5"/>
  <c r="A287" i="5"/>
  <c r="G286" i="5"/>
  <c r="F286" i="5"/>
  <c r="E286" i="5"/>
  <c r="D286" i="5"/>
  <c r="C286" i="5"/>
  <c r="B286" i="5"/>
  <c r="A286" i="5"/>
  <c r="G285" i="5"/>
  <c r="F285" i="5"/>
  <c r="E285" i="5"/>
  <c r="D285" i="5"/>
  <c r="C285" i="5"/>
  <c r="B285" i="5"/>
  <c r="A285" i="5"/>
  <c r="G284" i="5"/>
  <c r="F284" i="5"/>
  <c r="E284" i="5"/>
  <c r="D284" i="5"/>
  <c r="C284" i="5"/>
  <c r="B284" i="5"/>
  <c r="A284" i="5"/>
  <c r="G283" i="5"/>
  <c r="F283" i="5"/>
  <c r="E283" i="5"/>
  <c r="D283" i="5"/>
  <c r="C283" i="5"/>
  <c r="B283" i="5"/>
  <c r="A283" i="5"/>
  <c r="G282" i="5"/>
  <c r="F282" i="5"/>
  <c r="E282" i="5"/>
  <c r="D282" i="5"/>
  <c r="C282" i="5"/>
  <c r="B282" i="5"/>
  <c r="A282" i="5"/>
  <c r="G281" i="5"/>
  <c r="F281" i="5"/>
  <c r="E281" i="5"/>
  <c r="D281" i="5"/>
  <c r="C281" i="5"/>
  <c r="B281" i="5"/>
  <c r="A281" i="5"/>
  <c r="G280" i="5"/>
  <c r="F280" i="5"/>
  <c r="E280" i="5"/>
  <c r="D280" i="5"/>
  <c r="C280" i="5"/>
  <c r="B280" i="5"/>
  <c r="A280" i="5"/>
  <c r="G279" i="5"/>
  <c r="F279" i="5"/>
  <c r="E279" i="5"/>
  <c r="D279" i="5"/>
  <c r="C279" i="5"/>
  <c r="B279" i="5"/>
  <c r="A279" i="5"/>
  <c r="G278" i="5"/>
  <c r="F278" i="5"/>
  <c r="E278" i="5"/>
  <c r="D278" i="5"/>
  <c r="C278" i="5"/>
  <c r="B278" i="5"/>
  <c r="A278" i="5"/>
  <c r="G277" i="5"/>
  <c r="F277" i="5"/>
  <c r="E277" i="5"/>
  <c r="D277" i="5"/>
  <c r="C277" i="5"/>
  <c r="B277" i="5"/>
  <c r="A277" i="5"/>
  <c r="G276" i="5"/>
  <c r="F276" i="5"/>
  <c r="E276" i="5"/>
  <c r="D276" i="5"/>
  <c r="C276" i="5"/>
  <c r="B276" i="5"/>
  <c r="A276" i="5"/>
  <c r="G275" i="5"/>
  <c r="F275" i="5"/>
  <c r="E275" i="5"/>
  <c r="D275" i="5"/>
  <c r="C275" i="5"/>
  <c r="B275" i="5"/>
  <c r="A275" i="5"/>
  <c r="G274" i="5"/>
  <c r="F274" i="5"/>
  <c r="E274" i="5"/>
  <c r="D274" i="5"/>
  <c r="C274" i="5"/>
  <c r="B274" i="5"/>
  <c r="A274" i="5"/>
  <c r="G273" i="5"/>
  <c r="F273" i="5"/>
  <c r="E273" i="5"/>
  <c r="D273" i="5"/>
  <c r="C273" i="5"/>
  <c r="B273" i="5"/>
  <c r="A273" i="5"/>
  <c r="G272" i="5"/>
  <c r="F272" i="5"/>
  <c r="E272" i="5"/>
  <c r="D272" i="5"/>
  <c r="C272" i="5"/>
  <c r="B272" i="5"/>
  <c r="A272" i="5"/>
  <c r="G271" i="5"/>
  <c r="F271" i="5"/>
  <c r="E271" i="5"/>
  <c r="D271" i="5"/>
  <c r="C271" i="5"/>
  <c r="B271" i="5"/>
  <c r="A271" i="5"/>
  <c r="G270" i="5"/>
  <c r="F270" i="5"/>
  <c r="E270" i="5"/>
  <c r="D270" i="5"/>
  <c r="C270" i="5"/>
  <c r="B270" i="5"/>
  <c r="A270" i="5"/>
  <c r="G269" i="5"/>
  <c r="F269" i="5"/>
  <c r="E269" i="5"/>
  <c r="D269" i="5"/>
  <c r="C269" i="5"/>
  <c r="B269" i="5"/>
  <c r="A269" i="5"/>
  <c r="G268" i="5"/>
  <c r="F268" i="5"/>
  <c r="E268" i="5"/>
  <c r="D268" i="5"/>
  <c r="C268" i="5"/>
  <c r="B268" i="5"/>
  <c r="A268" i="5"/>
  <c r="G267" i="5"/>
  <c r="F267" i="5"/>
  <c r="E267" i="5"/>
  <c r="D267" i="5"/>
  <c r="C267" i="5"/>
  <c r="B267" i="5"/>
  <c r="A267" i="5"/>
  <c r="G266" i="5"/>
  <c r="F266" i="5"/>
  <c r="E266" i="5"/>
  <c r="D266" i="5"/>
  <c r="C266" i="5"/>
  <c r="B266" i="5"/>
  <c r="A266" i="5"/>
  <c r="G265" i="5"/>
  <c r="F265" i="5"/>
  <c r="E265" i="5"/>
  <c r="D265" i="5"/>
  <c r="C265" i="5"/>
  <c r="B265" i="5"/>
  <c r="A265" i="5"/>
  <c r="G264" i="5"/>
  <c r="F264" i="5"/>
  <c r="E264" i="5"/>
  <c r="D264" i="5"/>
  <c r="C264" i="5"/>
  <c r="B264" i="5"/>
  <c r="A264" i="5"/>
  <c r="G263" i="5"/>
  <c r="F263" i="5"/>
  <c r="E263" i="5"/>
  <c r="D263" i="5"/>
  <c r="C263" i="5"/>
  <c r="B263" i="5"/>
  <c r="A263" i="5"/>
  <c r="G262" i="5"/>
  <c r="F262" i="5"/>
  <c r="E262" i="5"/>
  <c r="D262" i="5"/>
  <c r="C262" i="5"/>
  <c r="B262" i="5"/>
  <c r="A262" i="5"/>
  <c r="G261" i="5"/>
  <c r="F261" i="5"/>
  <c r="E261" i="5"/>
  <c r="D261" i="5"/>
  <c r="C261" i="5"/>
  <c r="B261" i="5"/>
  <c r="A261" i="5"/>
  <c r="G260" i="5"/>
  <c r="F260" i="5"/>
  <c r="E260" i="5"/>
  <c r="D260" i="5"/>
  <c r="C260" i="5"/>
  <c r="B260" i="5"/>
  <c r="A260" i="5"/>
  <c r="G259" i="5"/>
  <c r="F259" i="5"/>
  <c r="E259" i="5"/>
  <c r="D259" i="5"/>
  <c r="C259" i="5"/>
  <c r="B259" i="5"/>
  <c r="A259" i="5"/>
  <c r="G258" i="5"/>
  <c r="F258" i="5"/>
  <c r="E258" i="5"/>
  <c r="D258" i="5"/>
  <c r="C258" i="5"/>
  <c r="B258" i="5"/>
  <c r="A258" i="5"/>
  <c r="G257" i="5"/>
  <c r="F257" i="5"/>
  <c r="E257" i="5"/>
  <c r="D257" i="5"/>
  <c r="C257" i="5"/>
  <c r="B257" i="5"/>
  <c r="A257" i="5"/>
  <c r="G256" i="5"/>
  <c r="F256" i="5"/>
  <c r="E256" i="5"/>
  <c r="D256" i="5"/>
  <c r="C256" i="5"/>
  <c r="B256" i="5"/>
  <c r="A256" i="5"/>
  <c r="G255" i="5"/>
  <c r="F255" i="5"/>
  <c r="E255" i="5"/>
  <c r="D255" i="5"/>
  <c r="C255" i="5"/>
  <c r="B255" i="5"/>
  <c r="A255" i="5"/>
  <c r="G254" i="5"/>
  <c r="F254" i="5"/>
  <c r="E254" i="5"/>
  <c r="D254" i="5"/>
  <c r="C254" i="5"/>
  <c r="B254" i="5"/>
  <c r="A254" i="5"/>
  <c r="G253" i="5"/>
  <c r="F253" i="5"/>
  <c r="E253" i="5"/>
  <c r="D253" i="5"/>
  <c r="C253" i="5"/>
  <c r="B253" i="5"/>
  <c r="A253" i="5"/>
  <c r="G252" i="5"/>
  <c r="F252" i="5"/>
  <c r="E252" i="5"/>
  <c r="D252" i="5"/>
  <c r="C252" i="5"/>
  <c r="B252" i="5"/>
  <c r="A252" i="5"/>
  <c r="G251" i="5"/>
  <c r="F251" i="5"/>
  <c r="E251" i="5"/>
  <c r="D251" i="5"/>
  <c r="C251" i="5"/>
  <c r="B251" i="5"/>
  <c r="A251" i="5"/>
  <c r="G250" i="5"/>
  <c r="F250" i="5"/>
  <c r="E250" i="5"/>
  <c r="D250" i="5"/>
  <c r="C250" i="5"/>
  <c r="B250" i="5"/>
  <c r="A250" i="5"/>
  <c r="G249" i="5"/>
  <c r="F249" i="5"/>
  <c r="E249" i="5"/>
  <c r="D249" i="5"/>
  <c r="C249" i="5"/>
  <c r="B249" i="5"/>
  <c r="A249" i="5"/>
  <c r="G248" i="5"/>
  <c r="F248" i="5"/>
  <c r="E248" i="5"/>
  <c r="D248" i="5"/>
  <c r="C248" i="5"/>
  <c r="B248" i="5"/>
  <c r="A248" i="5"/>
  <c r="G247" i="5"/>
  <c r="F247" i="5"/>
  <c r="E247" i="5"/>
  <c r="D247" i="5"/>
  <c r="C247" i="5"/>
  <c r="B247" i="5"/>
  <c r="A247" i="5"/>
  <c r="G246" i="5"/>
  <c r="F246" i="5"/>
  <c r="E246" i="5"/>
  <c r="D246" i="5"/>
  <c r="C246" i="5"/>
  <c r="B246" i="5"/>
  <c r="A246" i="5"/>
  <c r="G245" i="5"/>
  <c r="F245" i="5"/>
  <c r="E245" i="5"/>
  <c r="D245" i="5"/>
  <c r="C245" i="5"/>
  <c r="B245" i="5"/>
  <c r="A245" i="5"/>
  <c r="G244" i="5"/>
  <c r="F244" i="5"/>
  <c r="E244" i="5"/>
  <c r="D244" i="5"/>
  <c r="C244" i="5"/>
  <c r="B244" i="5"/>
  <c r="A244" i="5"/>
  <c r="G243" i="5"/>
  <c r="F243" i="5"/>
  <c r="E243" i="5"/>
  <c r="D243" i="5"/>
  <c r="C243" i="5"/>
  <c r="B243" i="5"/>
  <c r="A243" i="5"/>
  <c r="G242" i="5"/>
  <c r="F242" i="5"/>
  <c r="E242" i="5"/>
  <c r="D242" i="5"/>
  <c r="C242" i="5"/>
  <c r="B242" i="5"/>
  <c r="A242" i="5"/>
  <c r="G241" i="5"/>
  <c r="F241" i="5"/>
  <c r="E241" i="5"/>
  <c r="D241" i="5"/>
  <c r="C241" i="5"/>
  <c r="B241" i="5"/>
  <c r="A241" i="5"/>
  <c r="G240" i="5"/>
  <c r="F240" i="5"/>
  <c r="E240" i="5"/>
  <c r="D240" i="5"/>
  <c r="C240" i="5"/>
  <c r="B240" i="5"/>
  <c r="A240" i="5"/>
  <c r="G239" i="5"/>
  <c r="F239" i="5"/>
  <c r="E239" i="5"/>
  <c r="D239" i="5"/>
  <c r="C239" i="5"/>
  <c r="B239" i="5"/>
  <c r="A239" i="5"/>
  <c r="G238" i="5"/>
  <c r="F238" i="5"/>
  <c r="E238" i="5"/>
  <c r="D238" i="5"/>
  <c r="C238" i="5"/>
  <c r="B238" i="5"/>
  <c r="A238" i="5"/>
  <c r="G237" i="5"/>
  <c r="F237" i="5"/>
  <c r="E237" i="5"/>
  <c r="D237" i="5"/>
  <c r="C237" i="5"/>
  <c r="B237" i="5"/>
  <c r="A237" i="5"/>
  <c r="G236" i="5"/>
  <c r="F236" i="5"/>
  <c r="E236" i="5"/>
  <c r="D236" i="5"/>
  <c r="C236" i="5"/>
  <c r="B236" i="5"/>
  <c r="A236" i="5"/>
  <c r="G235" i="5"/>
  <c r="F235" i="5"/>
  <c r="E235" i="5"/>
  <c r="D235" i="5"/>
  <c r="C235" i="5"/>
  <c r="B235" i="5"/>
  <c r="A235" i="5"/>
  <c r="G234" i="5"/>
  <c r="F234" i="5"/>
  <c r="E234" i="5"/>
  <c r="D234" i="5"/>
  <c r="C234" i="5"/>
  <c r="B234" i="5"/>
  <c r="A234" i="5"/>
  <c r="G233" i="5"/>
  <c r="F233" i="5"/>
  <c r="E233" i="5"/>
  <c r="D233" i="5"/>
  <c r="C233" i="5"/>
  <c r="B233" i="5"/>
  <c r="A233" i="5"/>
  <c r="G232" i="5"/>
  <c r="F232" i="5"/>
  <c r="E232" i="5"/>
  <c r="D232" i="5"/>
  <c r="C232" i="5"/>
  <c r="B232" i="5"/>
  <c r="A232" i="5"/>
  <c r="G231" i="5"/>
  <c r="F231" i="5"/>
  <c r="E231" i="5"/>
  <c r="D231" i="5"/>
  <c r="C231" i="5"/>
  <c r="B231" i="5"/>
  <c r="A231" i="5"/>
  <c r="G230" i="5"/>
  <c r="F230" i="5"/>
  <c r="E230" i="5"/>
  <c r="D230" i="5"/>
  <c r="C230" i="5"/>
  <c r="B230" i="5"/>
  <c r="A230" i="5"/>
  <c r="G229" i="5"/>
  <c r="F229" i="5"/>
  <c r="E229" i="5"/>
  <c r="D229" i="5"/>
  <c r="C229" i="5"/>
  <c r="B229" i="5"/>
  <c r="A229" i="5"/>
  <c r="G228" i="5"/>
  <c r="F228" i="5"/>
  <c r="E228" i="5"/>
  <c r="D228" i="5"/>
  <c r="C228" i="5"/>
  <c r="B228" i="5"/>
  <c r="A228" i="5"/>
  <c r="G227" i="5"/>
  <c r="F227" i="5"/>
  <c r="E227" i="5"/>
  <c r="D227" i="5"/>
  <c r="C227" i="5"/>
  <c r="B227" i="5"/>
  <c r="A227" i="5"/>
  <c r="G226" i="5"/>
  <c r="F226" i="5"/>
  <c r="E226" i="5"/>
  <c r="D226" i="5"/>
  <c r="C226" i="5"/>
  <c r="B226" i="5"/>
  <c r="A226" i="5"/>
  <c r="G225" i="5"/>
  <c r="F225" i="5"/>
  <c r="E225" i="5"/>
  <c r="D225" i="5"/>
  <c r="C225" i="5"/>
  <c r="B225" i="5"/>
  <c r="A225" i="5"/>
  <c r="G224" i="5"/>
  <c r="F224" i="5"/>
  <c r="E224" i="5"/>
  <c r="D224" i="5"/>
  <c r="C224" i="5"/>
  <c r="B224" i="5"/>
  <c r="A224" i="5"/>
  <c r="G223" i="5"/>
  <c r="F223" i="5"/>
  <c r="E223" i="5"/>
  <c r="D223" i="5"/>
  <c r="C223" i="5"/>
  <c r="B223" i="5"/>
  <c r="A223" i="5"/>
  <c r="G222" i="5"/>
  <c r="F222" i="5"/>
  <c r="E222" i="5"/>
  <c r="D222" i="5"/>
  <c r="C222" i="5"/>
  <c r="B222" i="5"/>
  <c r="A222" i="5"/>
  <c r="G221" i="5"/>
  <c r="F221" i="5"/>
  <c r="E221" i="5"/>
  <c r="D221" i="5"/>
  <c r="C221" i="5"/>
  <c r="B221" i="5"/>
  <c r="A221" i="5"/>
  <c r="G220" i="5"/>
  <c r="F220" i="5"/>
  <c r="E220" i="5"/>
  <c r="D220" i="5"/>
  <c r="C220" i="5"/>
  <c r="B220" i="5"/>
  <c r="A220" i="5"/>
  <c r="G219" i="5"/>
  <c r="F219" i="5"/>
  <c r="E219" i="5"/>
  <c r="D219" i="5"/>
  <c r="C219" i="5"/>
  <c r="B219" i="5"/>
  <c r="A219" i="5"/>
  <c r="G218" i="5"/>
  <c r="F218" i="5"/>
  <c r="E218" i="5"/>
  <c r="D218" i="5"/>
  <c r="C218" i="5"/>
  <c r="B218" i="5"/>
  <c r="A218" i="5"/>
  <c r="G217" i="5"/>
  <c r="F217" i="5"/>
  <c r="E217" i="5"/>
  <c r="D217" i="5"/>
  <c r="C217" i="5"/>
  <c r="B217" i="5"/>
  <c r="A217" i="5"/>
  <c r="G216" i="5"/>
  <c r="F216" i="5"/>
  <c r="E216" i="5"/>
  <c r="D216" i="5"/>
  <c r="C216" i="5"/>
  <c r="B216" i="5"/>
  <c r="A216" i="5"/>
  <c r="G215" i="5"/>
  <c r="F215" i="5"/>
  <c r="E215" i="5"/>
  <c r="D215" i="5"/>
  <c r="C215" i="5"/>
  <c r="B215" i="5"/>
  <c r="A215" i="5"/>
  <c r="G214" i="5"/>
  <c r="F214" i="5"/>
  <c r="E214" i="5"/>
  <c r="D214" i="5"/>
  <c r="C214" i="5"/>
  <c r="B214" i="5"/>
  <c r="A214" i="5"/>
  <c r="G213" i="5"/>
  <c r="F213" i="5"/>
  <c r="E213" i="5"/>
  <c r="D213" i="5"/>
  <c r="C213" i="5"/>
  <c r="B213" i="5"/>
  <c r="A213" i="5"/>
  <c r="G212" i="5"/>
  <c r="F212" i="5"/>
  <c r="E212" i="5"/>
  <c r="D212" i="5"/>
  <c r="C212" i="5"/>
  <c r="B212" i="5"/>
  <c r="A212" i="5"/>
  <c r="G211" i="5"/>
  <c r="F211" i="5"/>
  <c r="E211" i="5"/>
  <c r="D211" i="5"/>
  <c r="C211" i="5"/>
  <c r="B211" i="5"/>
  <c r="A211" i="5"/>
  <c r="G210" i="5"/>
  <c r="F210" i="5"/>
  <c r="E210" i="5"/>
  <c r="D210" i="5"/>
  <c r="C210" i="5"/>
  <c r="B210" i="5"/>
  <c r="A210" i="5"/>
  <c r="G209" i="5"/>
  <c r="F209" i="5"/>
  <c r="E209" i="5"/>
  <c r="D209" i="5"/>
  <c r="C209" i="5"/>
  <c r="B209" i="5"/>
  <c r="A209" i="5"/>
  <c r="G208" i="5"/>
  <c r="F208" i="5"/>
  <c r="E208" i="5"/>
  <c r="D208" i="5"/>
  <c r="C208" i="5"/>
  <c r="B208" i="5"/>
  <c r="A208" i="5"/>
  <c r="G207" i="5"/>
  <c r="F207" i="5"/>
  <c r="E207" i="5"/>
  <c r="D207" i="5"/>
  <c r="C207" i="5"/>
  <c r="B207" i="5"/>
  <c r="A207" i="5"/>
  <c r="G206" i="5"/>
  <c r="F206" i="5"/>
  <c r="E206" i="5"/>
  <c r="D206" i="5"/>
  <c r="C206" i="5"/>
  <c r="B206" i="5"/>
  <c r="A206" i="5"/>
  <c r="G205" i="5"/>
  <c r="F205" i="5"/>
  <c r="E205" i="5"/>
  <c r="D205" i="5"/>
  <c r="C205" i="5"/>
  <c r="B205" i="5"/>
  <c r="A205" i="5"/>
  <c r="G204" i="5"/>
  <c r="F204" i="5"/>
  <c r="E204" i="5"/>
  <c r="D204" i="5"/>
  <c r="C204" i="5"/>
  <c r="B204" i="5"/>
  <c r="A204" i="5"/>
  <c r="G203" i="5"/>
  <c r="F203" i="5"/>
  <c r="E203" i="5"/>
  <c r="D203" i="5"/>
  <c r="C203" i="5"/>
  <c r="B203" i="5"/>
  <c r="A203" i="5"/>
  <c r="G202" i="5"/>
  <c r="F202" i="5"/>
  <c r="E202" i="5"/>
  <c r="D202" i="5"/>
  <c r="C202" i="5"/>
  <c r="B202" i="5"/>
  <c r="A202" i="5"/>
  <c r="G201" i="5"/>
  <c r="F201" i="5"/>
  <c r="E201" i="5"/>
  <c r="D201" i="5"/>
  <c r="C201" i="5"/>
  <c r="B201" i="5"/>
  <c r="A201" i="5"/>
  <c r="G200" i="5"/>
  <c r="F200" i="5"/>
  <c r="E200" i="5"/>
  <c r="D200" i="5"/>
  <c r="C200" i="5"/>
  <c r="B200" i="5"/>
  <c r="A200" i="5"/>
  <c r="G199" i="5"/>
  <c r="F199" i="5"/>
  <c r="E199" i="5"/>
  <c r="D199" i="5"/>
  <c r="C199" i="5"/>
  <c r="B199" i="5"/>
  <c r="A199" i="5"/>
  <c r="G198" i="5"/>
  <c r="F198" i="5"/>
  <c r="E198" i="5"/>
  <c r="D198" i="5"/>
  <c r="C198" i="5"/>
  <c r="B198" i="5"/>
  <c r="A198" i="5"/>
  <c r="G197" i="5"/>
  <c r="F197" i="5"/>
  <c r="E197" i="5"/>
  <c r="D197" i="5"/>
  <c r="C197" i="5"/>
  <c r="B197" i="5"/>
  <c r="A197" i="5"/>
  <c r="G196" i="5"/>
  <c r="F196" i="5"/>
  <c r="E196" i="5"/>
  <c r="D196" i="5"/>
  <c r="C196" i="5"/>
  <c r="B196" i="5"/>
  <c r="A196" i="5"/>
  <c r="G195" i="5"/>
  <c r="F195" i="5"/>
  <c r="E195" i="5"/>
  <c r="D195" i="5"/>
  <c r="C195" i="5"/>
  <c r="B195" i="5"/>
  <c r="A195" i="5"/>
  <c r="G194" i="5"/>
  <c r="F194" i="5"/>
  <c r="E194" i="5"/>
  <c r="D194" i="5"/>
  <c r="C194" i="5"/>
  <c r="B194" i="5"/>
  <c r="A194" i="5"/>
  <c r="G193" i="5"/>
  <c r="F193" i="5"/>
  <c r="E193" i="5"/>
  <c r="D193" i="5"/>
  <c r="C193" i="5"/>
  <c r="B193" i="5"/>
  <c r="A193" i="5"/>
  <c r="G192" i="5"/>
  <c r="F192" i="5"/>
  <c r="E192" i="5"/>
  <c r="D192" i="5"/>
  <c r="C192" i="5"/>
  <c r="B192" i="5"/>
  <c r="A192" i="5"/>
  <c r="G191" i="5"/>
  <c r="F191" i="5"/>
  <c r="E191" i="5"/>
  <c r="D191" i="5"/>
  <c r="C191" i="5"/>
  <c r="B191" i="5"/>
  <c r="A191" i="5"/>
  <c r="G190" i="5"/>
  <c r="F190" i="5"/>
  <c r="E190" i="5"/>
  <c r="D190" i="5"/>
  <c r="C190" i="5"/>
  <c r="B190" i="5"/>
  <c r="A190" i="5"/>
  <c r="G189" i="5"/>
  <c r="F189" i="5"/>
  <c r="E189" i="5"/>
  <c r="D189" i="5"/>
  <c r="C189" i="5"/>
  <c r="B189" i="5"/>
  <c r="A189" i="5"/>
  <c r="G188" i="5"/>
  <c r="F188" i="5"/>
  <c r="E188" i="5"/>
  <c r="D188" i="5"/>
  <c r="C188" i="5"/>
  <c r="B188" i="5"/>
  <c r="A188" i="5"/>
  <c r="G187" i="5"/>
  <c r="F187" i="5"/>
  <c r="E187" i="5"/>
  <c r="D187" i="5"/>
  <c r="C187" i="5"/>
  <c r="B187" i="5"/>
  <c r="A187" i="5"/>
  <c r="G186" i="5"/>
  <c r="F186" i="5"/>
  <c r="E186" i="5"/>
  <c r="D186" i="5"/>
  <c r="C186" i="5"/>
  <c r="B186" i="5"/>
  <c r="A186" i="5"/>
  <c r="G185" i="5"/>
  <c r="F185" i="5"/>
  <c r="E185" i="5"/>
  <c r="D185" i="5"/>
  <c r="C185" i="5"/>
  <c r="B185" i="5"/>
  <c r="A185" i="5"/>
  <c r="G184" i="5"/>
  <c r="F184" i="5"/>
  <c r="E184" i="5"/>
  <c r="D184" i="5"/>
  <c r="C184" i="5"/>
  <c r="B184" i="5"/>
  <c r="A184" i="5"/>
  <c r="G183" i="5"/>
  <c r="F183" i="5"/>
  <c r="E183" i="5"/>
  <c r="D183" i="5"/>
  <c r="C183" i="5"/>
  <c r="B183" i="5"/>
  <c r="A183" i="5"/>
  <c r="G182" i="5"/>
  <c r="F182" i="5"/>
  <c r="E182" i="5"/>
  <c r="D182" i="5"/>
  <c r="C182" i="5"/>
  <c r="B182" i="5"/>
  <c r="A182" i="5"/>
  <c r="G181" i="5"/>
  <c r="F181" i="5"/>
  <c r="E181" i="5"/>
  <c r="D181" i="5"/>
  <c r="C181" i="5"/>
  <c r="B181" i="5"/>
  <c r="A181" i="5"/>
  <c r="G180" i="5"/>
  <c r="F180" i="5"/>
  <c r="E180" i="5"/>
  <c r="D180" i="5"/>
  <c r="C180" i="5"/>
  <c r="B180" i="5"/>
  <c r="A180" i="5"/>
  <c r="G179" i="5"/>
  <c r="F179" i="5"/>
  <c r="E179" i="5"/>
  <c r="D179" i="5"/>
  <c r="C179" i="5"/>
  <c r="B179" i="5"/>
  <c r="A179" i="5"/>
  <c r="G178" i="5"/>
  <c r="F178" i="5"/>
  <c r="E178" i="5"/>
  <c r="D178" i="5"/>
  <c r="C178" i="5"/>
  <c r="B178" i="5"/>
  <c r="A178" i="5"/>
  <c r="G177" i="5"/>
  <c r="F177" i="5"/>
  <c r="E177" i="5"/>
  <c r="D177" i="5"/>
  <c r="C177" i="5"/>
  <c r="B177" i="5"/>
  <c r="A177" i="5"/>
  <c r="G176" i="5"/>
  <c r="F176" i="5"/>
  <c r="E176" i="5"/>
  <c r="D176" i="5"/>
  <c r="C176" i="5"/>
  <c r="B176" i="5"/>
  <c r="A176" i="5"/>
  <c r="G175" i="5"/>
  <c r="F175" i="5"/>
  <c r="E175" i="5"/>
  <c r="D175" i="5"/>
  <c r="C175" i="5"/>
  <c r="B175" i="5"/>
  <c r="A175" i="5"/>
  <c r="G174" i="5"/>
  <c r="F174" i="5"/>
  <c r="E174" i="5"/>
  <c r="D174" i="5"/>
  <c r="C174" i="5"/>
  <c r="B174" i="5"/>
  <c r="A174" i="5"/>
  <c r="G173" i="5"/>
  <c r="F173" i="5"/>
  <c r="E173" i="5"/>
  <c r="D173" i="5"/>
  <c r="C173" i="5"/>
  <c r="B173" i="5"/>
  <c r="A173" i="5"/>
  <c r="G172" i="5"/>
  <c r="F172" i="5"/>
  <c r="E172" i="5"/>
  <c r="D172" i="5"/>
  <c r="C172" i="5"/>
  <c r="B172" i="5"/>
  <c r="A172" i="5"/>
  <c r="G171" i="5"/>
  <c r="F171" i="5"/>
  <c r="E171" i="5"/>
  <c r="D171" i="5"/>
  <c r="C171" i="5"/>
  <c r="B171" i="5"/>
  <c r="A171" i="5"/>
  <c r="G170" i="5"/>
  <c r="F170" i="5"/>
  <c r="E170" i="5"/>
  <c r="D170" i="5"/>
  <c r="C170" i="5"/>
  <c r="B170" i="5"/>
  <c r="A170" i="5"/>
  <c r="G169" i="5"/>
  <c r="F169" i="5"/>
  <c r="E169" i="5"/>
  <c r="D169" i="5"/>
  <c r="C169" i="5"/>
  <c r="B169" i="5"/>
  <c r="A169" i="5"/>
  <c r="G168" i="5"/>
  <c r="F168" i="5"/>
  <c r="E168" i="5"/>
  <c r="D168" i="5"/>
  <c r="C168" i="5"/>
  <c r="B168" i="5"/>
  <c r="A168" i="5"/>
  <c r="G167" i="5"/>
  <c r="F167" i="5"/>
  <c r="E167" i="5"/>
  <c r="D167" i="5"/>
  <c r="C167" i="5"/>
  <c r="B167" i="5"/>
  <c r="A167" i="5"/>
  <c r="G166" i="5"/>
  <c r="F166" i="5"/>
  <c r="E166" i="5"/>
  <c r="D166" i="5"/>
  <c r="C166" i="5"/>
  <c r="B166" i="5"/>
  <c r="A166" i="5"/>
  <c r="G165" i="5"/>
  <c r="F165" i="5"/>
  <c r="E165" i="5"/>
  <c r="D165" i="5"/>
  <c r="C165" i="5"/>
  <c r="B165" i="5"/>
  <c r="A165" i="5"/>
  <c r="G164" i="5"/>
  <c r="F164" i="5"/>
  <c r="E164" i="5"/>
  <c r="D164" i="5"/>
  <c r="C164" i="5"/>
  <c r="B164" i="5"/>
  <c r="A164" i="5"/>
  <c r="G163" i="5"/>
  <c r="F163" i="5"/>
  <c r="E163" i="5"/>
  <c r="D163" i="5"/>
  <c r="C163" i="5"/>
  <c r="B163" i="5"/>
  <c r="A163" i="5"/>
  <c r="G162" i="5"/>
  <c r="F162" i="5"/>
  <c r="E162" i="5"/>
  <c r="D162" i="5"/>
  <c r="C162" i="5"/>
  <c r="B162" i="5"/>
  <c r="A162" i="5"/>
  <c r="G161" i="5"/>
  <c r="F161" i="5"/>
  <c r="E161" i="5"/>
  <c r="D161" i="5"/>
  <c r="C161" i="5"/>
  <c r="B161" i="5"/>
  <c r="A161" i="5"/>
  <c r="G160" i="5"/>
  <c r="F160" i="5"/>
  <c r="E160" i="5"/>
  <c r="D160" i="5"/>
  <c r="C160" i="5"/>
  <c r="B160" i="5"/>
  <c r="A160" i="5"/>
  <c r="G159" i="5"/>
  <c r="F159" i="5"/>
  <c r="E159" i="5"/>
  <c r="D159" i="5"/>
  <c r="C159" i="5"/>
  <c r="B159" i="5"/>
  <c r="A159" i="5"/>
  <c r="G158" i="5"/>
  <c r="F158" i="5"/>
  <c r="E158" i="5"/>
  <c r="D158" i="5"/>
  <c r="C158" i="5"/>
  <c r="B158" i="5"/>
  <c r="A158" i="5"/>
  <c r="G157" i="5"/>
  <c r="F157" i="5"/>
  <c r="E157" i="5"/>
  <c r="D157" i="5"/>
  <c r="C157" i="5"/>
  <c r="B157" i="5"/>
  <c r="A157" i="5"/>
  <c r="G156" i="5"/>
  <c r="F156" i="5"/>
  <c r="E156" i="5"/>
  <c r="D156" i="5"/>
  <c r="C156" i="5"/>
  <c r="B156" i="5"/>
  <c r="A156" i="5"/>
  <c r="G155" i="5"/>
  <c r="F155" i="5"/>
  <c r="E155" i="5"/>
  <c r="D155" i="5"/>
  <c r="C155" i="5"/>
  <c r="B155" i="5"/>
  <c r="A155" i="5"/>
  <c r="G154" i="5"/>
  <c r="F154" i="5"/>
  <c r="E154" i="5"/>
  <c r="D154" i="5"/>
  <c r="C154" i="5"/>
  <c r="B154" i="5"/>
  <c r="A154" i="5"/>
  <c r="G153" i="5"/>
  <c r="F153" i="5"/>
  <c r="E153" i="5"/>
  <c r="D153" i="5"/>
  <c r="C153" i="5"/>
  <c r="B153" i="5"/>
  <c r="A153" i="5"/>
  <c r="G152" i="5"/>
  <c r="F152" i="5"/>
  <c r="E152" i="5"/>
  <c r="D152" i="5"/>
  <c r="C152" i="5"/>
  <c r="B152" i="5"/>
  <c r="A152" i="5"/>
  <c r="G151" i="5"/>
  <c r="F151" i="5"/>
  <c r="E151" i="5"/>
  <c r="D151" i="5"/>
  <c r="C151" i="5"/>
  <c r="B151" i="5"/>
  <c r="A151" i="5"/>
  <c r="G150" i="5"/>
  <c r="F150" i="5"/>
  <c r="E150" i="5"/>
  <c r="D150" i="5"/>
  <c r="C150" i="5"/>
  <c r="B150" i="5"/>
  <c r="A150" i="5"/>
  <c r="G149" i="5"/>
  <c r="F149" i="5"/>
  <c r="E149" i="5"/>
  <c r="D149" i="5"/>
  <c r="C149" i="5"/>
  <c r="B149" i="5"/>
  <c r="A149" i="5"/>
  <c r="G148" i="5"/>
  <c r="F148" i="5"/>
  <c r="E148" i="5"/>
  <c r="D148" i="5"/>
  <c r="C148" i="5"/>
  <c r="B148" i="5"/>
  <c r="A148" i="5"/>
  <c r="G147" i="5"/>
  <c r="F147" i="5"/>
  <c r="E147" i="5"/>
  <c r="D147" i="5"/>
  <c r="C147" i="5"/>
  <c r="B147" i="5"/>
  <c r="A147" i="5"/>
  <c r="G146" i="5"/>
  <c r="F146" i="5"/>
  <c r="E146" i="5"/>
  <c r="D146" i="5"/>
  <c r="C146" i="5"/>
  <c r="B146" i="5"/>
  <c r="A146" i="5"/>
  <c r="G145" i="5"/>
  <c r="F145" i="5"/>
  <c r="E145" i="5"/>
  <c r="D145" i="5"/>
  <c r="C145" i="5"/>
  <c r="B145" i="5"/>
  <c r="A145" i="5"/>
  <c r="G144" i="5"/>
  <c r="F144" i="5"/>
  <c r="E144" i="5"/>
  <c r="D144" i="5"/>
  <c r="C144" i="5"/>
  <c r="B144" i="5"/>
  <c r="A144" i="5"/>
  <c r="G143" i="5"/>
  <c r="F143" i="5"/>
  <c r="E143" i="5"/>
  <c r="D143" i="5"/>
  <c r="C143" i="5"/>
  <c r="B143" i="5"/>
  <c r="A143" i="5"/>
  <c r="G142" i="5"/>
  <c r="F142" i="5"/>
  <c r="E142" i="5"/>
  <c r="D142" i="5"/>
  <c r="C142" i="5"/>
  <c r="B142" i="5"/>
  <c r="A142" i="5"/>
  <c r="G141" i="5"/>
  <c r="F141" i="5"/>
  <c r="E141" i="5"/>
  <c r="D141" i="5"/>
  <c r="C141" i="5"/>
  <c r="B141" i="5"/>
  <c r="A141" i="5"/>
  <c r="G140" i="5"/>
  <c r="F140" i="5"/>
  <c r="E140" i="5"/>
  <c r="D140" i="5"/>
  <c r="C140" i="5"/>
  <c r="B140" i="5"/>
  <c r="A140" i="5"/>
  <c r="G139" i="5"/>
  <c r="F139" i="5"/>
  <c r="E139" i="5"/>
  <c r="D139" i="5"/>
  <c r="C139" i="5"/>
  <c r="B139" i="5"/>
  <c r="A139" i="5"/>
  <c r="G138" i="5"/>
  <c r="F138" i="5"/>
  <c r="E138" i="5"/>
  <c r="D138" i="5"/>
  <c r="C138" i="5"/>
  <c r="B138" i="5"/>
  <c r="A138" i="5"/>
  <c r="G137" i="5"/>
  <c r="F137" i="5"/>
  <c r="E137" i="5"/>
  <c r="D137" i="5"/>
  <c r="C137" i="5"/>
  <c r="B137" i="5"/>
  <c r="A137" i="5"/>
  <c r="G136" i="5"/>
  <c r="F136" i="5"/>
  <c r="E136" i="5"/>
  <c r="D136" i="5"/>
  <c r="C136" i="5"/>
  <c r="B136" i="5"/>
  <c r="A136" i="5"/>
  <c r="G135" i="5"/>
  <c r="F135" i="5"/>
  <c r="E135" i="5"/>
  <c r="D135" i="5"/>
  <c r="C135" i="5"/>
  <c r="B135" i="5"/>
  <c r="A135" i="5"/>
  <c r="G134" i="5"/>
  <c r="F134" i="5"/>
  <c r="E134" i="5"/>
  <c r="D134" i="5"/>
  <c r="C134" i="5"/>
  <c r="B134" i="5"/>
  <c r="A134" i="5"/>
  <c r="G133" i="5"/>
  <c r="F133" i="5"/>
  <c r="E133" i="5"/>
  <c r="D133" i="5"/>
  <c r="C133" i="5"/>
  <c r="B133" i="5"/>
  <c r="A133" i="5"/>
  <c r="G132" i="5"/>
  <c r="F132" i="5"/>
  <c r="E132" i="5"/>
  <c r="D132" i="5"/>
  <c r="C132" i="5"/>
  <c r="B132" i="5"/>
  <c r="A132" i="5"/>
  <c r="G131" i="5"/>
  <c r="F131" i="5"/>
  <c r="E131" i="5"/>
  <c r="D131" i="5"/>
  <c r="C131" i="5"/>
  <c r="B131" i="5"/>
  <c r="A131" i="5"/>
  <c r="G130" i="5"/>
  <c r="F130" i="5"/>
  <c r="E130" i="5"/>
  <c r="D130" i="5"/>
  <c r="C130" i="5"/>
  <c r="B130" i="5"/>
  <c r="A130" i="5"/>
  <c r="G129" i="5"/>
  <c r="F129" i="5"/>
  <c r="E129" i="5"/>
  <c r="D129" i="5"/>
  <c r="C129" i="5"/>
  <c r="B129" i="5"/>
  <c r="A129" i="5"/>
  <c r="G128" i="5"/>
  <c r="F128" i="5"/>
  <c r="E128" i="5"/>
  <c r="D128" i="5"/>
  <c r="C128" i="5"/>
  <c r="B128" i="5"/>
  <c r="A128" i="5"/>
  <c r="G127" i="5"/>
  <c r="F127" i="5"/>
  <c r="E127" i="5"/>
  <c r="D127" i="5"/>
  <c r="C127" i="5"/>
  <c r="B127" i="5"/>
  <c r="A127" i="5"/>
  <c r="G126" i="5"/>
  <c r="F126" i="5"/>
  <c r="E126" i="5"/>
  <c r="D126" i="5"/>
  <c r="C126" i="5"/>
  <c r="B126" i="5"/>
  <c r="A126" i="5"/>
  <c r="G125" i="5"/>
  <c r="F125" i="5"/>
  <c r="E125" i="5"/>
  <c r="D125" i="5"/>
  <c r="C125" i="5"/>
  <c r="B125" i="5"/>
  <c r="A125" i="5"/>
  <c r="G124" i="5"/>
  <c r="F124" i="5"/>
  <c r="E124" i="5"/>
  <c r="D124" i="5"/>
  <c r="C124" i="5"/>
  <c r="B124" i="5"/>
  <c r="A124" i="5"/>
  <c r="G123" i="5"/>
  <c r="F123" i="5"/>
  <c r="E123" i="5"/>
  <c r="D123" i="5"/>
  <c r="C123" i="5"/>
  <c r="B123" i="5"/>
  <c r="A123" i="5"/>
  <c r="G122" i="5"/>
  <c r="F122" i="5"/>
  <c r="E122" i="5"/>
  <c r="D122" i="5"/>
  <c r="C122" i="5"/>
  <c r="B122" i="5"/>
  <c r="A122" i="5"/>
  <c r="G121" i="5"/>
  <c r="F121" i="5"/>
  <c r="E121" i="5"/>
  <c r="D121" i="5"/>
  <c r="C121" i="5"/>
  <c r="B121" i="5"/>
  <c r="A121" i="5"/>
  <c r="G120" i="5"/>
  <c r="F120" i="5"/>
  <c r="E120" i="5"/>
  <c r="D120" i="5"/>
  <c r="C120" i="5"/>
  <c r="B120" i="5"/>
  <c r="A120" i="5"/>
  <c r="G119" i="5"/>
  <c r="F119" i="5"/>
  <c r="E119" i="5"/>
  <c r="D119" i="5"/>
  <c r="C119" i="5"/>
  <c r="B119" i="5"/>
  <c r="A119" i="5"/>
  <c r="G118" i="5"/>
  <c r="F118" i="5"/>
  <c r="E118" i="5"/>
  <c r="D118" i="5"/>
  <c r="C118" i="5"/>
  <c r="B118" i="5"/>
  <c r="A118" i="5"/>
  <c r="G117" i="5"/>
  <c r="F117" i="5"/>
  <c r="E117" i="5"/>
  <c r="D117" i="5"/>
  <c r="C117" i="5"/>
  <c r="B117" i="5"/>
  <c r="A117" i="5"/>
  <c r="G116" i="5"/>
  <c r="F116" i="5"/>
  <c r="E116" i="5"/>
  <c r="D116" i="5"/>
  <c r="C116" i="5"/>
  <c r="B116" i="5"/>
  <c r="A116" i="5"/>
  <c r="G115" i="5"/>
  <c r="F115" i="5"/>
  <c r="E115" i="5"/>
  <c r="D115" i="5"/>
  <c r="C115" i="5"/>
  <c r="B115" i="5"/>
  <c r="A115" i="5"/>
  <c r="G114" i="5"/>
  <c r="F114" i="5"/>
  <c r="E114" i="5"/>
  <c r="D114" i="5"/>
  <c r="C114" i="5"/>
  <c r="B114" i="5"/>
  <c r="A114" i="5"/>
  <c r="G113" i="5"/>
  <c r="F113" i="5"/>
  <c r="E113" i="5"/>
  <c r="D113" i="5"/>
  <c r="C113" i="5"/>
  <c r="B113" i="5"/>
  <c r="A113" i="5"/>
  <c r="G112" i="5"/>
  <c r="F112" i="5"/>
  <c r="E112" i="5"/>
  <c r="D112" i="5"/>
  <c r="C112" i="5"/>
  <c r="B112" i="5"/>
  <c r="A112" i="5"/>
  <c r="G111" i="5"/>
  <c r="F111" i="5"/>
  <c r="E111" i="5"/>
  <c r="D111" i="5"/>
  <c r="C111" i="5"/>
  <c r="B111" i="5"/>
  <c r="A111" i="5"/>
  <c r="G110" i="5"/>
  <c r="F110" i="5"/>
  <c r="E110" i="5"/>
  <c r="D110" i="5"/>
  <c r="C110" i="5"/>
  <c r="B110" i="5"/>
  <c r="A110" i="5"/>
  <c r="G109" i="5"/>
  <c r="F109" i="5"/>
  <c r="E109" i="5"/>
  <c r="D109" i="5"/>
  <c r="C109" i="5"/>
  <c r="B109" i="5"/>
  <c r="A109" i="5"/>
  <c r="G108" i="5"/>
  <c r="F108" i="5"/>
  <c r="E108" i="5"/>
  <c r="D108" i="5"/>
  <c r="C108" i="5"/>
  <c r="B108" i="5"/>
  <c r="A108" i="5"/>
  <c r="G107" i="5"/>
  <c r="F107" i="5"/>
  <c r="E107" i="5"/>
  <c r="D107" i="5"/>
  <c r="C107" i="5"/>
  <c r="B107" i="5"/>
  <c r="A107" i="5"/>
  <c r="G106" i="5"/>
  <c r="F106" i="5"/>
  <c r="E106" i="5"/>
  <c r="D106" i="5"/>
  <c r="C106" i="5"/>
  <c r="B106" i="5"/>
  <c r="A106" i="5"/>
  <c r="G105" i="5"/>
  <c r="F105" i="5"/>
  <c r="E105" i="5"/>
  <c r="D105" i="5"/>
  <c r="C105" i="5"/>
  <c r="B105" i="5"/>
  <c r="A105" i="5"/>
  <c r="G104" i="5"/>
  <c r="F104" i="5"/>
  <c r="E104" i="5"/>
  <c r="D104" i="5"/>
  <c r="C104" i="5"/>
  <c r="B104" i="5"/>
  <c r="A104" i="5"/>
  <c r="G103" i="5"/>
  <c r="F103" i="5"/>
  <c r="E103" i="5"/>
  <c r="D103" i="5"/>
  <c r="C103" i="5"/>
  <c r="B103" i="5"/>
  <c r="A103" i="5"/>
  <c r="G102" i="5"/>
  <c r="F102" i="5"/>
  <c r="E102" i="5"/>
  <c r="D102" i="5"/>
  <c r="C102" i="5"/>
  <c r="B102" i="5"/>
  <c r="A102" i="5"/>
  <c r="G101" i="5"/>
  <c r="F101" i="5"/>
  <c r="E101" i="5"/>
  <c r="D101" i="5"/>
  <c r="C101" i="5"/>
  <c r="B101" i="5"/>
  <c r="A101" i="5"/>
  <c r="G100" i="5"/>
  <c r="F100" i="5"/>
  <c r="E100" i="5"/>
  <c r="D100" i="5"/>
  <c r="C100" i="5"/>
  <c r="B100" i="5"/>
  <c r="A100" i="5"/>
  <c r="G99" i="5"/>
  <c r="F99" i="5"/>
  <c r="E99" i="5"/>
  <c r="D99" i="5"/>
  <c r="C99" i="5"/>
  <c r="B99" i="5"/>
  <c r="A99" i="5"/>
  <c r="G98" i="5"/>
  <c r="F98" i="5"/>
  <c r="E98" i="5"/>
  <c r="D98" i="5"/>
  <c r="C98" i="5"/>
  <c r="B98" i="5"/>
  <c r="A98" i="5"/>
  <c r="G97" i="5"/>
  <c r="F97" i="5"/>
  <c r="E97" i="5"/>
  <c r="D97" i="5"/>
  <c r="C97" i="5"/>
  <c r="B97" i="5"/>
  <c r="A97" i="5"/>
  <c r="G96" i="5"/>
  <c r="F96" i="5"/>
  <c r="E96" i="5"/>
  <c r="D96" i="5"/>
  <c r="C96" i="5"/>
  <c r="B96" i="5"/>
  <c r="A96" i="5"/>
  <c r="G95" i="5"/>
  <c r="F95" i="5"/>
  <c r="E95" i="5"/>
  <c r="D95" i="5"/>
  <c r="C95" i="5"/>
  <c r="B95" i="5"/>
  <c r="A95" i="5"/>
  <c r="G94" i="5"/>
  <c r="F94" i="5"/>
  <c r="E94" i="5"/>
  <c r="D94" i="5"/>
  <c r="C94" i="5"/>
  <c r="B94" i="5"/>
  <c r="A94" i="5"/>
  <c r="G93" i="5"/>
  <c r="F93" i="5"/>
  <c r="E93" i="5"/>
  <c r="D93" i="5"/>
  <c r="C93" i="5"/>
  <c r="B93" i="5"/>
  <c r="A93" i="5"/>
  <c r="G92" i="5"/>
  <c r="F92" i="5"/>
  <c r="E92" i="5"/>
  <c r="D92" i="5"/>
  <c r="C92" i="5"/>
  <c r="B92" i="5"/>
  <c r="A92" i="5"/>
  <c r="G91" i="5"/>
  <c r="F91" i="5"/>
  <c r="E91" i="5"/>
  <c r="D91" i="5"/>
  <c r="C91" i="5"/>
  <c r="B91" i="5"/>
  <c r="A91" i="5"/>
  <c r="G90" i="5"/>
  <c r="F90" i="5"/>
  <c r="E90" i="5"/>
  <c r="D90" i="5"/>
  <c r="C90" i="5"/>
  <c r="B90" i="5"/>
  <c r="A90" i="5"/>
  <c r="G89" i="5"/>
  <c r="F89" i="5"/>
  <c r="E89" i="5"/>
  <c r="D89" i="5"/>
  <c r="C89" i="5"/>
  <c r="B89" i="5"/>
  <c r="A89" i="5"/>
  <c r="G88" i="5"/>
  <c r="F88" i="5"/>
  <c r="E88" i="5"/>
  <c r="D88" i="5"/>
  <c r="C88" i="5"/>
  <c r="B88" i="5"/>
  <c r="A88" i="5"/>
  <c r="G87" i="5"/>
  <c r="F87" i="5"/>
  <c r="E87" i="5"/>
  <c r="D87" i="5"/>
  <c r="C87" i="5"/>
  <c r="B87" i="5"/>
  <c r="A87" i="5"/>
  <c r="G86" i="5"/>
  <c r="F86" i="5"/>
  <c r="E86" i="5"/>
  <c r="D86" i="5"/>
  <c r="C86" i="5"/>
  <c r="B86" i="5"/>
  <c r="A86" i="5"/>
  <c r="G85" i="5"/>
  <c r="F85" i="5"/>
  <c r="E85" i="5"/>
  <c r="D85" i="5"/>
  <c r="C85" i="5"/>
  <c r="B85" i="5"/>
  <c r="A85" i="5"/>
  <c r="G84" i="5"/>
  <c r="F84" i="5"/>
  <c r="E84" i="5"/>
  <c r="D84" i="5"/>
  <c r="C84" i="5"/>
  <c r="B84" i="5"/>
  <c r="A84" i="5"/>
  <c r="G83" i="5"/>
  <c r="F83" i="5"/>
  <c r="E83" i="5"/>
  <c r="D83" i="5"/>
  <c r="C83" i="5"/>
  <c r="B83" i="5"/>
  <c r="A83" i="5"/>
  <c r="G82" i="5"/>
  <c r="F82" i="5"/>
  <c r="E82" i="5"/>
  <c r="D82" i="5"/>
  <c r="C82" i="5"/>
  <c r="B82" i="5"/>
  <c r="A82" i="5"/>
  <c r="G81" i="5"/>
  <c r="F81" i="5"/>
  <c r="E81" i="5"/>
  <c r="D81" i="5"/>
  <c r="C81" i="5"/>
  <c r="B81" i="5"/>
  <c r="A81" i="5"/>
  <c r="G80" i="5"/>
  <c r="F80" i="5"/>
  <c r="E80" i="5"/>
  <c r="D80" i="5"/>
  <c r="C80" i="5"/>
  <c r="B80" i="5"/>
  <c r="A80" i="5"/>
  <c r="G79" i="5"/>
  <c r="F79" i="5"/>
  <c r="E79" i="5"/>
  <c r="D79" i="5"/>
  <c r="C79" i="5"/>
  <c r="B79" i="5"/>
  <c r="A79" i="5"/>
  <c r="G78" i="5"/>
  <c r="F78" i="5"/>
  <c r="E78" i="5"/>
  <c r="D78" i="5"/>
  <c r="C78" i="5"/>
  <c r="B78" i="5"/>
  <c r="A78" i="5"/>
  <c r="G77" i="5"/>
  <c r="F77" i="5"/>
  <c r="E77" i="5"/>
  <c r="D77" i="5"/>
  <c r="C77" i="5"/>
  <c r="B77" i="5"/>
  <c r="A77" i="5"/>
  <c r="G76" i="5"/>
  <c r="F76" i="5"/>
  <c r="E76" i="5"/>
  <c r="D76" i="5"/>
  <c r="C76" i="5"/>
  <c r="B76" i="5"/>
  <c r="A76" i="5"/>
  <c r="G75" i="5"/>
  <c r="F75" i="5"/>
  <c r="E75" i="5"/>
  <c r="D75" i="5"/>
  <c r="C75" i="5"/>
  <c r="B75" i="5"/>
  <c r="A75" i="5"/>
  <c r="G74" i="5"/>
  <c r="F74" i="5"/>
  <c r="E74" i="5"/>
  <c r="D74" i="5"/>
  <c r="C74" i="5"/>
  <c r="B74" i="5"/>
  <c r="A74" i="5"/>
  <c r="G73" i="5"/>
  <c r="F73" i="5"/>
  <c r="E73" i="5"/>
  <c r="D73" i="5"/>
  <c r="C73" i="5"/>
  <c r="B73" i="5"/>
  <c r="A73" i="5"/>
  <c r="G72" i="5"/>
  <c r="F72" i="5"/>
  <c r="E72" i="5"/>
  <c r="D72" i="5"/>
  <c r="C72" i="5"/>
  <c r="B72" i="5"/>
  <c r="A72" i="5"/>
  <c r="G71" i="5"/>
  <c r="F71" i="5"/>
  <c r="E71" i="5"/>
  <c r="D71" i="5"/>
  <c r="C71" i="5"/>
  <c r="B71" i="5"/>
  <c r="A71" i="5"/>
  <c r="G70" i="5"/>
  <c r="F70" i="5"/>
  <c r="E70" i="5"/>
  <c r="D70" i="5"/>
  <c r="C70" i="5"/>
  <c r="B70" i="5"/>
  <c r="A70" i="5"/>
  <c r="G69" i="5"/>
  <c r="F69" i="5"/>
  <c r="E69" i="5"/>
  <c r="D69" i="5"/>
  <c r="C69" i="5"/>
  <c r="B69" i="5"/>
  <c r="A69" i="5"/>
  <c r="G68" i="5"/>
  <c r="F68" i="5"/>
  <c r="E68" i="5"/>
  <c r="D68" i="5"/>
  <c r="C68" i="5"/>
  <c r="B68" i="5"/>
  <c r="A68" i="5"/>
  <c r="G67" i="5"/>
  <c r="F67" i="5"/>
  <c r="E67" i="5"/>
  <c r="D67" i="5"/>
  <c r="C67" i="5"/>
  <c r="B67" i="5"/>
  <c r="A67" i="5"/>
  <c r="G66" i="5"/>
  <c r="F66" i="5"/>
  <c r="E66" i="5"/>
  <c r="D66" i="5"/>
  <c r="C66" i="5"/>
  <c r="B66" i="5"/>
  <c r="A66" i="5"/>
  <c r="G65" i="5"/>
  <c r="F65" i="5"/>
  <c r="E65" i="5"/>
  <c r="D65" i="5"/>
  <c r="C65" i="5"/>
  <c r="B65" i="5"/>
  <c r="A65" i="5"/>
  <c r="G64" i="5"/>
  <c r="F64" i="5"/>
  <c r="E64" i="5"/>
  <c r="D64" i="5"/>
  <c r="C64" i="5"/>
  <c r="B64" i="5"/>
  <c r="A64" i="5"/>
  <c r="G63" i="5"/>
  <c r="F63" i="5"/>
  <c r="E63" i="5"/>
  <c r="D63" i="5"/>
  <c r="C63" i="5"/>
  <c r="B63" i="5"/>
  <c r="A63" i="5"/>
  <c r="G62" i="5"/>
  <c r="F62" i="5"/>
  <c r="E62" i="5"/>
  <c r="D62" i="5"/>
  <c r="C62" i="5"/>
  <c r="B62" i="5"/>
  <c r="A62" i="5"/>
  <c r="G61" i="5"/>
  <c r="F61" i="5"/>
  <c r="E61" i="5"/>
  <c r="D61" i="5"/>
  <c r="C61" i="5"/>
  <c r="B61" i="5"/>
  <c r="A61" i="5"/>
  <c r="G60" i="5"/>
  <c r="F60" i="5"/>
  <c r="E60" i="5"/>
  <c r="D60" i="5"/>
  <c r="C60" i="5"/>
  <c r="B60" i="5"/>
  <c r="A60" i="5"/>
  <c r="G59" i="5"/>
  <c r="F59" i="5"/>
  <c r="E59" i="5"/>
  <c r="D59" i="5"/>
  <c r="C59" i="5"/>
  <c r="B59" i="5"/>
  <c r="A59" i="5"/>
  <c r="G58" i="5"/>
  <c r="F58" i="5"/>
  <c r="E58" i="5"/>
  <c r="D58" i="5"/>
  <c r="C58" i="5"/>
  <c r="B58" i="5"/>
  <c r="A58" i="5"/>
  <c r="G57" i="5"/>
  <c r="F57" i="5"/>
  <c r="E57" i="5"/>
  <c r="D57" i="5"/>
  <c r="C57" i="5"/>
  <c r="B57" i="5"/>
  <c r="A57" i="5"/>
  <c r="G56" i="5"/>
  <c r="F56" i="5"/>
  <c r="E56" i="5"/>
  <c r="D56" i="5"/>
  <c r="C56" i="5"/>
  <c r="B56" i="5"/>
  <c r="A56" i="5"/>
  <c r="G55" i="5"/>
  <c r="F55" i="5"/>
  <c r="E55" i="5"/>
  <c r="D55" i="5"/>
  <c r="C55" i="5"/>
  <c r="B55" i="5"/>
  <c r="A55" i="5"/>
  <c r="G54" i="5"/>
  <c r="F54" i="5"/>
  <c r="E54" i="5"/>
  <c r="D54" i="5"/>
  <c r="C54" i="5"/>
  <c r="B54" i="5"/>
  <c r="A54" i="5"/>
  <c r="G53" i="5"/>
  <c r="F53" i="5"/>
  <c r="E53" i="5"/>
  <c r="D53" i="5"/>
  <c r="C53" i="5"/>
  <c r="B53" i="5"/>
  <c r="A53" i="5"/>
  <c r="G52" i="5"/>
  <c r="F52" i="5"/>
  <c r="E52" i="5"/>
  <c r="D52" i="5"/>
  <c r="C52" i="5"/>
  <c r="B52" i="5"/>
  <c r="A52" i="5"/>
  <c r="G51" i="5"/>
  <c r="F51" i="5"/>
  <c r="E51" i="5"/>
  <c r="D51" i="5"/>
  <c r="C51" i="5"/>
  <c r="B51" i="5"/>
  <c r="A51" i="5"/>
  <c r="G50" i="5"/>
  <c r="F50" i="5"/>
  <c r="E50" i="5"/>
  <c r="D50" i="5"/>
  <c r="C50" i="5"/>
  <c r="B50" i="5"/>
  <c r="A50" i="5"/>
  <c r="G49" i="5"/>
  <c r="F49" i="5"/>
  <c r="E49" i="5"/>
  <c r="D49" i="5"/>
  <c r="C49" i="5"/>
  <c r="B49" i="5"/>
  <c r="A49" i="5"/>
  <c r="G48" i="5"/>
  <c r="F48" i="5"/>
  <c r="E48" i="5"/>
  <c r="D48" i="5"/>
  <c r="C48" i="5"/>
  <c r="B48" i="5"/>
  <c r="A48" i="5"/>
  <c r="G47" i="5"/>
  <c r="F47" i="5"/>
  <c r="E47" i="5"/>
  <c r="D47" i="5"/>
  <c r="C47" i="5"/>
  <c r="B47" i="5"/>
  <c r="A47" i="5"/>
  <c r="G46" i="5"/>
  <c r="F46" i="5"/>
  <c r="E46" i="5"/>
  <c r="D46" i="5"/>
  <c r="C46" i="5"/>
  <c r="B46" i="5"/>
  <c r="A46" i="5"/>
  <c r="G45" i="5"/>
  <c r="F45" i="5"/>
  <c r="E45" i="5"/>
  <c r="D45" i="5"/>
  <c r="C45" i="5"/>
  <c r="B45" i="5"/>
  <c r="A45" i="5"/>
  <c r="G44" i="5"/>
  <c r="F44" i="5"/>
  <c r="E44" i="5"/>
  <c r="D44" i="5"/>
  <c r="C44" i="5"/>
  <c r="B44" i="5"/>
  <c r="A44" i="5"/>
  <c r="G43" i="5"/>
  <c r="F43" i="5"/>
  <c r="E43" i="5"/>
  <c r="D43" i="5"/>
  <c r="C43" i="5"/>
  <c r="B43" i="5"/>
  <c r="A43" i="5"/>
  <c r="G42" i="5"/>
  <c r="F42" i="5"/>
  <c r="E42" i="5"/>
  <c r="D42" i="5"/>
  <c r="C42" i="5"/>
  <c r="B42" i="5"/>
  <c r="A42" i="5"/>
  <c r="G41" i="5"/>
  <c r="F41" i="5"/>
  <c r="E41" i="5"/>
  <c r="D41" i="5"/>
  <c r="C41" i="5"/>
  <c r="B41" i="5"/>
  <c r="A41" i="5"/>
  <c r="G40" i="5"/>
  <c r="F40" i="5"/>
  <c r="E40" i="5"/>
  <c r="D40" i="5"/>
  <c r="C40" i="5"/>
  <c r="B40" i="5"/>
  <c r="A40" i="5"/>
  <c r="G39" i="5"/>
  <c r="F39" i="5"/>
  <c r="E39" i="5"/>
  <c r="D39" i="5"/>
  <c r="C39" i="5"/>
  <c r="B39" i="5"/>
  <c r="A39" i="5"/>
  <c r="G38" i="5"/>
  <c r="F38" i="5"/>
  <c r="E38" i="5"/>
  <c r="D38" i="5"/>
  <c r="C38" i="5"/>
  <c r="B38" i="5"/>
  <c r="A38" i="5"/>
  <c r="G37" i="5"/>
  <c r="F37" i="5"/>
  <c r="E37" i="5"/>
  <c r="D37" i="5"/>
  <c r="C37" i="5"/>
  <c r="B37" i="5"/>
  <c r="A37" i="5"/>
  <c r="G36" i="5"/>
  <c r="F36" i="5"/>
  <c r="E36" i="5"/>
  <c r="D36" i="5"/>
  <c r="C36" i="5"/>
  <c r="B36" i="5"/>
  <c r="A36" i="5"/>
  <c r="G35" i="5"/>
  <c r="F35" i="5"/>
  <c r="E35" i="5"/>
  <c r="D35" i="5"/>
  <c r="C35" i="5"/>
  <c r="B35" i="5"/>
  <c r="A35" i="5"/>
  <c r="G34" i="5"/>
  <c r="F34" i="5"/>
  <c r="E34" i="5"/>
  <c r="D34" i="5"/>
  <c r="C34" i="5"/>
  <c r="B34" i="5"/>
  <c r="A34" i="5"/>
  <c r="G33" i="5"/>
  <c r="F33" i="5"/>
  <c r="E33" i="5"/>
  <c r="D33" i="5"/>
  <c r="C33" i="5"/>
  <c r="B33" i="5"/>
  <c r="A33" i="5"/>
  <c r="G32" i="5"/>
  <c r="F32" i="5"/>
  <c r="E32" i="5"/>
  <c r="D32" i="5"/>
  <c r="C32" i="5"/>
  <c r="B32" i="5"/>
  <c r="A32" i="5"/>
  <c r="G31" i="5"/>
  <c r="F31" i="5"/>
  <c r="E31" i="5"/>
  <c r="D31" i="5"/>
  <c r="C31" i="5"/>
  <c r="B31" i="5"/>
  <c r="A31" i="5"/>
  <c r="G30" i="5"/>
  <c r="F30" i="5"/>
  <c r="E30" i="5"/>
  <c r="D30" i="5"/>
  <c r="C30" i="5"/>
  <c r="B30" i="5"/>
  <c r="A30" i="5"/>
  <c r="G29" i="5"/>
  <c r="F29" i="5"/>
  <c r="E29" i="5"/>
  <c r="D29" i="5"/>
  <c r="C29" i="5"/>
  <c r="B29" i="5"/>
  <c r="A29" i="5"/>
  <c r="G28" i="5"/>
  <c r="F28" i="5"/>
  <c r="E28" i="5"/>
  <c r="D28" i="5"/>
  <c r="C28" i="5"/>
  <c r="B28" i="5"/>
  <c r="A28" i="5"/>
  <c r="G27" i="5"/>
  <c r="F27" i="5"/>
  <c r="E27" i="5"/>
  <c r="D27" i="5"/>
  <c r="C27" i="5"/>
  <c r="B27" i="5"/>
  <c r="A27" i="5"/>
  <c r="G26" i="5"/>
  <c r="F26" i="5"/>
  <c r="E26" i="5"/>
  <c r="D26" i="5"/>
  <c r="C26" i="5"/>
  <c r="B26" i="5"/>
  <c r="A26" i="5"/>
  <c r="G25" i="5"/>
  <c r="F25" i="5"/>
  <c r="E25" i="5"/>
  <c r="D25" i="5"/>
  <c r="C25" i="5"/>
  <c r="B25" i="5"/>
  <c r="A25" i="5"/>
  <c r="G24" i="5"/>
  <c r="F24" i="5"/>
  <c r="E24" i="5"/>
  <c r="D24" i="5"/>
  <c r="C24" i="5"/>
  <c r="B24" i="5"/>
  <c r="A24" i="5"/>
  <c r="G23" i="5"/>
  <c r="F23" i="5"/>
  <c r="E23" i="5"/>
  <c r="D23" i="5"/>
  <c r="C23" i="5"/>
  <c r="B23" i="5"/>
  <c r="A23" i="5"/>
  <c r="G22" i="5"/>
  <c r="F22" i="5"/>
  <c r="E22" i="5"/>
  <c r="D22" i="5"/>
  <c r="C22" i="5"/>
  <c r="B22" i="5"/>
  <c r="A22" i="5"/>
  <c r="G21" i="5"/>
  <c r="F21" i="5"/>
  <c r="E21" i="5"/>
  <c r="D21" i="5"/>
  <c r="C21" i="5"/>
  <c r="B21" i="5"/>
  <c r="A21" i="5"/>
  <c r="G20" i="5"/>
  <c r="F20" i="5"/>
  <c r="E20" i="5"/>
  <c r="D20" i="5"/>
  <c r="C20" i="5"/>
  <c r="B20" i="5"/>
  <c r="A20" i="5"/>
  <c r="G19" i="5"/>
  <c r="F19" i="5"/>
  <c r="E19" i="5"/>
  <c r="D19" i="5"/>
  <c r="C19" i="5"/>
  <c r="B19" i="5"/>
  <c r="A19" i="5"/>
  <c r="G18" i="5"/>
  <c r="F18" i="5"/>
  <c r="E18" i="5"/>
  <c r="D18" i="5"/>
  <c r="C18" i="5"/>
  <c r="B18" i="5"/>
  <c r="A18" i="5"/>
  <c r="G17" i="5"/>
  <c r="F17" i="5"/>
  <c r="E17" i="5"/>
  <c r="D17" i="5"/>
  <c r="C17" i="5"/>
  <c r="B17" i="5"/>
  <c r="A17" i="5"/>
  <c r="G16" i="5"/>
  <c r="F16" i="5"/>
  <c r="E16" i="5"/>
  <c r="D16" i="5"/>
  <c r="C16" i="5"/>
  <c r="B16" i="5"/>
  <c r="A16" i="5"/>
  <c r="G15" i="5"/>
  <c r="F15" i="5"/>
  <c r="E15" i="5"/>
  <c r="D15" i="5"/>
  <c r="C15" i="5"/>
  <c r="B15" i="5"/>
  <c r="A15" i="5"/>
  <c r="G14" i="5"/>
  <c r="F14" i="5"/>
  <c r="E14" i="5"/>
  <c r="D14" i="5"/>
  <c r="C14" i="5"/>
  <c r="B14" i="5"/>
  <c r="A14" i="5"/>
  <c r="G13" i="5"/>
  <c r="F13" i="5"/>
  <c r="E13" i="5"/>
  <c r="D13" i="5"/>
  <c r="C13" i="5"/>
  <c r="B13" i="5"/>
  <c r="A13" i="5"/>
  <c r="G12" i="5"/>
  <c r="F12" i="5"/>
  <c r="E12" i="5"/>
  <c r="D12" i="5"/>
  <c r="C12" i="5"/>
  <c r="B12" i="5"/>
  <c r="A12" i="5"/>
  <c r="G11" i="5"/>
  <c r="F11" i="5"/>
  <c r="E11" i="5"/>
  <c r="D11" i="5"/>
  <c r="C11" i="5"/>
  <c r="B11" i="5"/>
  <c r="A11" i="5"/>
  <c r="G10" i="5"/>
  <c r="F10" i="5"/>
  <c r="E10" i="5"/>
  <c r="D10" i="5"/>
  <c r="C10" i="5"/>
  <c r="B10" i="5"/>
  <c r="A10" i="5"/>
  <c r="G9" i="5"/>
  <c r="F9" i="5"/>
  <c r="E9" i="5"/>
  <c r="D9" i="5"/>
  <c r="C9" i="5"/>
  <c r="B9" i="5"/>
  <c r="A9" i="5"/>
  <c r="G8" i="5"/>
  <c r="F8" i="5"/>
  <c r="E8" i="5"/>
  <c r="D8" i="5"/>
  <c r="C8" i="5"/>
  <c r="B8" i="5"/>
  <c r="A8" i="5"/>
  <c r="G7" i="5"/>
  <c r="F7" i="5"/>
  <c r="E7" i="5"/>
  <c r="D7" i="5"/>
  <c r="C7" i="5"/>
  <c r="B7" i="5"/>
  <c r="A7" i="5"/>
  <c r="G6" i="5"/>
  <c r="F6" i="5"/>
  <c r="E6" i="5"/>
  <c r="D6" i="5"/>
  <c r="C6" i="5"/>
  <c r="B6" i="5"/>
  <c r="A6" i="5"/>
  <c r="G5" i="5"/>
  <c r="F5" i="5"/>
  <c r="E5" i="5"/>
  <c r="D5" i="5"/>
  <c r="C5" i="5"/>
  <c r="B5" i="5"/>
  <c r="A5" i="5"/>
  <c r="G4" i="5"/>
  <c r="F4" i="5"/>
  <c r="E4" i="5"/>
  <c r="D4" i="5"/>
  <c r="C4" i="5"/>
  <c r="B4" i="5"/>
  <c r="A4" i="5"/>
  <c r="G3" i="5"/>
  <c r="F3" i="5"/>
  <c r="E3" i="5"/>
  <c r="D3" i="5"/>
  <c r="C3" i="5"/>
  <c r="B3" i="5"/>
  <c r="A3" i="5"/>
  <c r="G2" i="5"/>
  <c r="F2" i="5"/>
  <c r="E2" i="5"/>
  <c r="D2" i="5"/>
  <c r="C2" i="5"/>
  <c r="B2" i="5"/>
  <c r="A2" i="5"/>
  <c r="G1" i="5"/>
  <c r="F1" i="5"/>
  <c r="E1" i="5"/>
  <c r="D1" i="5"/>
  <c r="C1" i="5"/>
  <c r="B1" i="5"/>
  <c r="A1" i="5"/>
  <c r="G277" i="4"/>
  <c r="F277" i="4"/>
  <c r="E277" i="4"/>
  <c r="D277" i="4"/>
  <c r="C277" i="4"/>
  <c r="B277" i="4"/>
  <c r="A277" i="4"/>
  <c r="G276" i="4"/>
  <c r="F276" i="4"/>
  <c r="E276" i="4"/>
  <c r="D276" i="4"/>
  <c r="C276" i="4"/>
  <c r="B276" i="4"/>
  <c r="A276" i="4"/>
  <c r="G275" i="4"/>
  <c r="F275" i="4"/>
  <c r="E275" i="4"/>
  <c r="D275" i="4"/>
  <c r="C275" i="4"/>
  <c r="B275" i="4"/>
  <c r="A275" i="4"/>
  <c r="G274" i="4"/>
  <c r="F274" i="4"/>
  <c r="E274" i="4"/>
  <c r="D274" i="4"/>
  <c r="C274" i="4"/>
  <c r="B274" i="4"/>
  <c r="A274" i="4"/>
  <c r="G273" i="4"/>
  <c r="F273" i="4"/>
  <c r="E273" i="4"/>
  <c r="D273" i="4"/>
  <c r="C273" i="4"/>
  <c r="B273" i="4"/>
  <c r="A273" i="4"/>
  <c r="G272" i="4"/>
  <c r="F272" i="4"/>
  <c r="E272" i="4"/>
  <c r="D272" i="4"/>
  <c r="C272" i="4"/>
  <c r="B272" i="4"/>
  <c r="A272" i="4"/>
  <c r="G271" i="4"/>
  <c r="F271" i="4"/>
  <c r="E271" i="4"/>
  <c r="D271" i="4"/>
  <c r="C271" i="4"/>
  <c r="B271" i="4"/>
  <c r="A271" i="4"/>
  <c r="G270" i="4"/>
  <c r="F270" i="4"/>
  <c r="E270" i="4"/>
  <c r="D270" i="4"/>
  <c r="C270" i="4"/>
  <c r="B270" i="4"/>
  <c r="A270" i="4"/>
  <c r="G269" i="4"/>
  <c r="F269" i="4"/>
  <c r="E269" i="4"/>
  <c r="D269" i="4"/>
  <c r="C269" i="4"/>
  <c r="B269" i="4"/>
  <c r="A269" i="4"/>
  <c r="G268" i="4"/>
  <c r="F268" i="4"/>
  <c r="E268" i="4"/>
  <c r="D268" i="4"/>
  <c r="C268" i="4"/>
  <c r="B268" i="4"/>
  <c r="A268" i="4"/>
  <c r="G267" i="4"/>
  <c r="F267" i="4"/>
  <c r="E267" i="4"/>
  <c r="D267" i="4"/>
  <c r="C267" i="4"/>
  <c r="B267" i="4"/>
  <c r="A267" i="4"/>
  <c r="G266" i="4"/>
  <c r="F266" i="4"/>
  <c r="E266" i="4"/>
  <c r="D266" i="4"/>
  <c r="C266" i="4"/>
  <c r="B266" i="4"/>
  <c r="A266" i="4"/>
  <c r="G265" i="4"/>
  <c r="F265" i="4"/>
  <c r="E265" i="4"/>
  <c r="D265" i="4"/>
  <c r="C265" i="4"/>
  <c r="B265" i="4"/>
  <c r="A265" i="4"/>
  <c r="G264" i="4"/>
  <c r="F264" i="4"/>
  <c r="E264" i="4"/>
  <c r="D264" i="4"/>
  <c r="C264" i="4"/>
  <c r="B264" i="4"/>
  <c r="A264" i="4"/>
  <c r="G263" i="4"/>
  <c r="F263" i="4"/>
  <c r="E263" i="4"/>
  <c r="D263" i="4"/>
  <c r="C263" i="4"/>
  <c r="B263" i="4"/>
  <c r="A263" i="4"/>
  <c r="G262" i="4"/>
  <c r="F262" i="4"/>
  <c r="E262" i="4"/>
  <c r="D262" i="4"/>
  <c r="C262" i="4"/>
  <c r="B262" i="4"/>
  <c r="A262" i="4"/>
  <c r="G261" i="4"/>
  <c r="F261" i="4"/>
  <c r="E261" i="4"/>
  <c r="D261" i="4"/>
  <c r="C261" i="4"/>
  <c r="B261" i="4"/>
  <c r="A261" i="4"/>
  <c r="G260" i="4"/>
  <c r="F260" i="4"/>
  <c r="E260" i="4"/>
  <c r="D260" i="4"/>
  <c r="C260" i="4"/>
  <c r="B260" i="4"/>
  <c r="A260" i="4"/>
  <c r="G259" i="4"/>
  <c r="F259" i="4"/>
  <c r="E259" i="4"/>
  <c r="D259" i="4"/>
  <c r="C259" i="4"/>
  <c r="B259" i="4"/>
  <c r="A259" i="4"/>
  <c r="G258" i="4"/>
  <c r="F258" i="4"/>
  <c r="E258" i="4"/>
  <c r="D258" i="4"/>
  <c r="C258" i="4"/>
  <c r="B258" i="4"/>
  <c r="A258" i="4"/>
  <c r="G257" i="4"/>
  <c r="F257" i="4"/>
  <c r="E257" i="4"/>
  <c r="D257" i="4"/>
  <c r="C257" i="4"/>
  <c r="B257" i="4"/>
  <c r="A257" i="4"/>
  <c r="G256" i="4"/>
  <c r="F256" i="4"/>
  <c r="E256" i="4"/>
  <c r="D256" i="4"/>
  <c r="C256" i="4"/>
  <c r="B256" i="4"/>
  <c r="A256" i="4"/>
  <c r="G255" i="4"/>
  <c r="F255" i="4"/>
  <c r="E255" i="4"/>
  <c r="D255" i="4"/>
  <c r="C255" i="4"/>
  <c r="B255" i="4"/>
  <c r="A255" i="4"/>
  <c r="G254" i="4"/>
  <c r="F254" i="4"/>
  <c r="E254" i="4"/>
  <c r="D254" i="4"/>
  <c r="C254" i="4"/>
  <c r="B254" i="4"/>
  <c r="A254" i="4"/>
  <c r="G253" i="4"/>
  <c r="F253" i="4"/>
  <c r="E253" i="4"/>
  <c r="D253" i="4"/>
  <c r="C253" i="4"/>
  <c r="B253" i="4"/>
  <c r="A253" i="4"/>
  <c r="G252" i="4"/>
  <c r="F252" i="4"/>
  <c r="E252" i="4"/>
  <c r="D252" i="4"/>
  <c r="C252" i="4"/>
  <c r="B252" i="4"/>
  <c r="A252" i="4"/>
  <c r="G251" i="4"/>
  <c r="F251" i="4"/>
  <c r="E251" i="4"/>
  <c r="D251" i="4"/>
  <c r="C251" i="4"/>
  <c r="B251" i="4"/>
  <c r="A251" i="4"/>
  <c r="G250" i="4"/>
  <c r="F250" i="4"/>
  <c r="E250" i="4"/>
  <c r="D250" i="4"/>
  <c r="C250" i="4"/>
  <c r="B250" i="4"/>
  <c r="A250" i="4"/>
  <c r="G249" i="4"/>
  <c r="F249" i="4"/>
  <c r="E249" i="4"/>
  <c r="D249" i="4"/>
  <c r="C249" i="4"/>
  <c r="B249" i="4"/>
  <c r="A249" i="4"/>
  <c r="G248" i="4"/>
  <c r="F248" i="4"/>
  <c r="E248" i="4"/>
  <c r="D248" i="4"/>
  <c r="C248" i="4"/>
  <c r="B248" i="4"/>
  <c r="A248" i="4"/>
  <c r="G247" i="4"/>
  <c r="F247" i="4"/>
  <c r="E247" i="4"/>
  <c r="D247" i="4"/>
  <c r="C247" i="4"/>
  <c r="B247" i="4"/>
  <c r="A247" i="4"/>
  <c r="G246" i="4"/>
  <c r="F246" i="4"/>
  <c r="E246" i="4"/>
  <c r="D246" i="4"/>
  <c r="C246" i="4"/>
  <c r="B246" i="4"/>
  <c r="A246" i="4"/>
  <c r="G245" i="4"/>
  <c r="F245" i="4"/>
  <c r="E245" i="4"/>
  <c r="D245" i="4"/>
  <c r="C245" i="4"/>
  <c r="B245" i="4"/>
  <c r="A245" i="4"/>
  <c r="G244" i="4"/>
  <c r="F244" i="4"/>
  <c r="E244" i="4"/>
  <c r="D244" i="4"/>
  <c r="C244" i="4"/>
  <c r="B244" i="4"/>
  <c r="A244" i="4"/>
  <c r="G243" i="4"/>
  <c r="F243" i="4"/>
  <c r="E243" i="4"/>
  <c r="D243" i="4"/>
  <c r="C243" i="4"/>
  <c r="B243" i="4"/>
  <c r="A243" i="4"/>
  <c r="G242" i="4"/>
  <c r="F242" i="4"/>
  <c r="E242" i="4"/>
  <c r="D242" i="4"/>
  <c r="C242" i="4"/>
  <c r="B242" i="4"/>
  <c r="A242" i="4"/>
  <c r="G241" i="4"/>
  <c r="F241" i="4"/>
  <c r="E241" i="4"/>
  <c r="D241" i="4"/>
  <c r="C241" i="4"/>
  <c r="B241" i="4"/>
  <c r="A241" i="4"/>
  <c r="G240" i="4"/>
  <c r="F240" i="4"/>
  <c r="E240" i="4"/>
  <c r="D240" i="4"/>
  <c r="C240" i="4"/>
  <c r="B240" i="4"/>
  <c r="A240" i="4"/>
  <c r="G239" i="4"/>
  <c r="F239" i="4"/>
  <c r="E239" i="4"/>
  <c r="D239" i="4"/>
  <c r="C239" i="4"/>
  <c r="B239" i="4"/>
  <c r="A239" i="4"/>
  <c r="G238" i="4"/>
  <c r="F238" i="4"/>
  <c r="E238" i="4"/>
  <c r="D238" i="4"/>
  <c r="C238" i="4"/>
  <c r="B238" i="4"/>
  <c r="A238" i="4"/>
  <c r="G237" i="4"/>
  <c r="F237" i="4"/>
  <c r="E237" i="4"/>
  <c r="D237" i="4"/>
  <c r="C237" i="4"/>
  <c r="B237" i="4"/>
  <c r="A237" i="4"/>
  <c r="G236" i="4"/>
  <c r="F236" i="4"/>
  <c r="E236" i="4"/>
  <c r="D236" i="4"/>
  <c r="C236" i="4"/>
  <c r="B236" i="4"/>
  <c r="A236" i="4"/>
  <c r="G235" i="4"/>
  <c r="F235" i="4"/>
  <c r="E235" i="4"/>
  <c r="D235" i="4"/>
  <c r="C235" i="4"/>
  <c r="B235" i="4"/>
  <c r="A235" i="4"/>
  <c r="G234" i="4"/>
  <c r="F234" i="4"/>
  <c r="E234" i="4"/>
  <c r="D234" i="4"/>
  <c r="C234" i="4"/>
  <c r="B234" i="4"/>
  <c r="A234" i="4"/>
  <c r="G233" i="4"/>
  <c r="F233" i="4"/>
  <c r="E233" i="4"/>
  <c r="D233" i="4"/>
  <c r="C233" i="4"/>
  <c r="B233" i="4"/>
  <c r="A233" i="4"/>
  <c r="G232" i="4"/>
  <c r="F232" i="4"/>
  <c r="E232" i="4"/>
  <c r="D232" i="4"/>
  <c r="C232" i="4"/>
  <c r="B232" i="4"/>
  <c r="A232" i="4"/>
  <c r="G231" i="4"/>
  <c r="F231" i="4"/>
  <c r="E231" i="4"/>
  <c r="D231" i="4"/>
  <c r="C231" i="4"/>
  <c r="B231" i="4"/>
  <c r="A231" i="4"/>
  <c r="G230" i="4"/>
  <c r="F230" i="4"/>
  <c r="E230" i="4"/>
  <c r="D230" i="4"/>
  <c r="C230" i="4"/>
  <c r="B230" i="4"/>
  <c r="A230" i="4"/>
  <c r="G229" i="4"/>
  <c r="F229" i="4"/>
  <c r="E229" i="4"/>
  <c r="D229" i="4"/>
  <c r="C229" i="4"/>
  <c r="B229" i="4"/>
  <c r="A229" i="4"/>
  <c r="G228" i="4"/>
  <c r="F228" i="4"/>
  <c r="E228" i="4"/>
  <c r="D228" i="4"/>
  <c r="C228" i="4"/>
  <c r="B228" i="4"/>
  <c r="A228" i="4"/>
  <c r="G227" i="4"/>
  <c r="F227" i="4"/>
  <c r="E227" i="4"/>
  <c r="D227" i="4"/>
  <c r="C227" i="4"/>
  <c r="B227" i="4"/>
  <c r="A227" i="4"/>
  <c r="G226" i="4"/>
  <c r="F226" i="4"/>
  <c r="E226" i="4"/>
  <c r="D226" i="4"/>
  <c r="C226" i="4"/>
  <c r="B226" i="4"/>
  <c r="A226" i="4"/>
  <c r="G225" i="4"/>
  <c r="F225" i="4"/>
  <c r="E225" i="4"/>
  <c r="D225" i="4"/>
  <c r="C225" i="4"/>
  <c r="B225" i="4"/>
  <c r="A225" i="4"/>
  <c r="G224" i="4"/>
  <c r="F224" i="4"/>
  <c r="E224" i="4"/>
  <c r="D224" i="4"/>
  <c r="C224" i="4"/>
  <c r="B224" i="4"/>
  <c r="A224" i="4"/>
  <c r="G223" i="4"/>
  <c r="F223" i="4"/>
  <c r="E223" i="4"/>
  <c r="D223" i="4"/>
  <c r="C223" i="4"/>
  <c r="B223" i="4"/>
  <c r="A223" i="4"/>
  <c r="G222" i="4"/>
  <c r="F222" i="4"/>
  <c r="E222" i="4"/>
  <c r="D222" i="4"/>
  <c r="C222" i="4"/>
  <c r="B222" i="4"/>
  <c r="A222" i="4"/>
  <c r="G221" i="4"/>
  <c r="F221" i="4"/>
  <c r="E221" i="4"/>
  <c r="D221" i="4"/>
  <c r="C221" i="4"/>
  <c r="B221" i="4"/>
  <c r="A221" i="4"/>
  <c r="G220" i="4"/>
  <c r="F220" i="4"/>
  <c r="E220" i="4"/>
  <c r="D220" i="4"/>
  <c r="C220" i="4"/>
  <c r="B220" i="4"/>
  <c r="A220" i="4"/>
  <c r="G219" i="4"/>
  <c r="F219" i="4"/>
  <c r="E219" i="4"/>
  <c r="D219" i="4"/>
  <c r="C219" i="4"/>
  <c r="B219" i="4"/>
  <c r="A219" i="4"/>
  <c r="G218" i="4"/>
  <c r="F218" i="4"/>
  <c r="E218" i="4"/>
  <c r="D218" i="4"/>
  <c r="C218" i="4"/>
  <c r="B218" i="4"/>
  <c r="A218" i="4"/>
  <c r="G217" i="4"/>
  <c r="F217" i="4"/>
  <c r="E217" i="4"/>
  <c r="D217" i="4"/>
  <c r="C217" i="4"/>
  <c r="B217" i="4"/>
  <c r="A217" i="4"/>
  <c r="G216" i="4"/>
  <c r="F216" i="4"/>
  <c r="E216" i="4"/>
  <c r="D216" i="4"/>
  <c r="C216" i="4"/>
  <c r="B216" i="4"/>
  <c r="A216" i="4"/>
  <c r="G215" i="4"/>
  <c r="F215" i="4"/>
  <c r="E215" i="4"/>
  <c r="D215" i="4"/>
  <c r="C215" i="4"/>
  <c r="B215" i="4"/>
  <c r="A215" i="4"/>
  <c r="G214" i="4"/>
  <c r="F214" i="4"/>
  <c r="E214" i="4"/>
  <c r="D214" i="4"/>
  <c r="C214" i="4"/>
  <c r="B214" i="4"/>
  <c r="A214" i="4"/>
  <c r="G213" i="4"/>
  <c r="F213" i="4"/>
  <c r="E213" i="4"/>
  <c r="D213" i="4"/>
  <c r="C213" i="4"/>
  <c r="B213" i="4"/>
  <c r="A213" i="4"/>
  <c r="G212" i="4"/>
  <c r="F212" i="4"/>
  <c r="E212" i="4"/>
  <c r="D212" i="4"/>
  <c r="C212" i="4"/>
  <c r="B212" i="4"/>
  <c r="A212" i="4"/>
  <c r="G211" i="4"/>
  <c r="F211" i="4"/>
  <c r="E211" i="4"/>
  <c r="D211" i="4"/>
  <c r="C211" i="4"/>
  <c r="B211" i="4"/>
  <c r="A211" i="4"/>
  <c r="G210" i="4"/>
  <c r="F210" i="4"/>
  <c r="E210" i="4"/>
  <c r="D210" i="4"/>
  <c r="C210" i="4"/>
  <c r="B210" i="4"/>
  <c r="A210" i="4"/>
  <c r="G209" i="4"/>
  <c r="F209" i="4"/>
  <c r="E209" i="4"/>
  <c r="D209" i="4"/>
  <c r="C209" i="4"/>
  <c r="B209" i="4"/>
  <c r="A209" i="4"/>
  <c r="G208" i="4"/>
  <c r="F208" i="4"/>
  <c r="E208" i="4"/>
  <c r="D208" i="4"/>
  <c r="C208" i="4"/>
  <c r="B208" i="4"/>
  <c r="A208" i="4"/>
  <c r="G207" i="4"/>
  <c r="F207" i="4"/>
  <c r="E207" i="4"/>
  <c r="D207" i="4"/>
  <c r="C207" i="4"/>
  <c r="B207" i="4"/>
  <c r="A207" i="4"/>
  <c r="G206" i="4"/>
  <c r="F206" i="4"/>
  <c r="E206" i="4"/>
  <c r="D206" i="4"/>
  <c r="C206" i="4"/>
  <c r="B206" i="4"/>
  <c r="A206" i="4"/>
  <c r="G205" i="4"/>
  <c r="F205" i="4"/>
  <c r="E205" i="4"/>
  <c r="D205" i="4"/>
  <c r="C205" i="4"/>
  <c r="B205" i="4"/>
  <c r="A205" i="4"/>
  <c r="G204" i="4"/>
  <c r="F204" i="4"/>
  <c r="E204" i="4"/>
  <c r="D204" i="4"/>
  <c r="C204" i="4"/>
  <c r="B204" i="4"/>
  <c r="A204" i="4"/>
  <c r="G203" i="4"/>
  <c r="F203" i="4"/>
  <c r="E203" i="4"/>
  <c r="D203" i="4"/>
  <c r="C203" i="4"/>
  <c r="B203" i="4"/>
  <c r="A203" i="4"/>
  <c r="G202" i="4"/>
  <c r="F202" i="4"/>
  <c r="E202" i="4"/>
  <c r="D202" i="4"/>
  <c r="C202" i="4"/>
  <c r="B202" i="4"/>
  <c r="A202" i="4"/>
  <c r="G201" i="4"/>
  <c r="F201" i="4"/>
  <c r="E201" i="4"/>
  <c r="D201" i="4"/>
  <c r="C201" i="4"/>
  <c r="B201" i="4"/>
  <c r="A201" i="4"/>
  <c r="G200" i="4"/>
  <c r="F200" i="4"/>
  <c r="E200" i="4"/>
  <c r="D200" i="4"/>
  <c r="C200" i="4"/>
  <c r="B200" i="4"/>
  <c r="A200" i="4"/>
  <c r="G199" i="4"/>
  <c r="F199" i="4"/>
  <c r="E199" i="4"/>
  <c r="D199" i="4"/>
  <c r="C199" i="4"/>
  <c r="B199" i="4"/>
  <c r="A199" i="4"/>
  <c r="G198" i="4"/>
  <c r="F198" i="4"/>
  <c r="E198" i="4"/>
  <c r="D198" i="4"/>
  <c r="C198" i="4"/>
  <c r="B198" i="4"/>
  <c r="A198" i="4"/>
  <c r="G197" i="4"/>
  <c r="F197" i="4"/>
  <c r="E197" i="4"/>
  <c r="D197" i="4"/>
  <c r="C197" i="4"/>
  <c r="B197" i="4"/>
  <c r="A197" i="4"/>
  <c r="G196" i="4"/>
  <c r="F196" i="4"/>
  <c r="E196" i="4"/>
  <c r="D196" i="4"/>
  <c r="C196" i="4"/>
  <c r="B196" i="4"/>
  <c r="A196" i="4"/>
  <c r="G195" i="4"/>
  <c r="F195" i="4"/>
  <c r="E195" i="4"/>
  <c r="D195" i="4"/>
  <c r="C195" i="4"/>
  <c r="B195" i="4"/>
  <c r="A195" i="4"/>
  <c r="G194" i="4"/>
  <c r="F194" i="4"/>
  <c r="E194" i="4"/>
  <c r="D194" i="4"/>
  <c r="C194" i="4"/>
  <c r="B194" i="4"/>
  <c r="A194" i="4"/>
  <c r="G193" i="4"/>
  <c r="F193" i="4"/>
  <c r="E193" i="4"/>
  <c r="D193" i="4"/>
  <c r="C193" i="4"/>
  <c r="B193" i="4"/>
  <c r="A193" i="4"/>
  <c r="G192" i="4"/>
  <c r="F192" i="4"/>
  <c r="E192" i="4"/>
  <c r="D192" i="4"/>
  <c r="C192" i="4"/>
  <c r="B192" i="4"/>
  <c r="A192" i="4"/>
  <c r="G191" i="4"/>
  <c r="F191" i="4"/>
  <c r="E191" i="4"/>
  <c r="D191" i="4"/>
  <c r="C191" i="4"/>
  <c r="B191" i="4"/>
  <c r="A191" i="4"/>
  <c r="G190" i="4"/>
  <c r="F190" i="4"/>
  <c r="E190" i="4"/>
  <c r="D190" i="4"/>
  <c r="C190" i="4"/>
  <c r="B190" i="4"/>
  <c r="A190" i="4"/>
  <c r="G189" i="4"/>
  <c r="F189" i="4"/>
  <c r="E189" i="4"/>
  <c r="D189" i="4"/>
  <c r="C189" i="4"/>
  <c r="B189" i="4"/>
  <c r="A189" i="4"/>
  <c r="G188" i="4"/>
  <c r="F188" i="4"/>
  <c r="E188" i="4"/>
  <c r="D188" i="4"/>
  <c r="C188" i="4"/>
  <c r="B188" i="4"/>
  <c r="A188" i="4"/>
  <c r="G187" i="4"/>
  <c r="F187" i="4"/>
  <c r="E187" i="4"/>
  <c r="D187" i="4"/>
  <c r="C187" i="4"/>
  <c r="B187" i="4"/>
  <c r="A187" i="4"/>
  <c r="G186" i="4"/>
  <c r="F186" i="4"/>
  <c r="E186" i="4"/>
  <c r="D186" i="4"/>
  <c r="C186" i="4"/>
  <c r="B186" i="4"/>
  <c r="A186" i="4"/>
  <c r="G185" i="4"/>
  <c r="F185" i="4"/>
  <c r="E185" i="4"/>
  <c r="D185" i="4"/>
  <c r="C185" i="4"/>
  <c r="B185" i="4"/>
  <c r="A185" i="4"/>
  <c r="G184" i="4"/>
  <c r="F184" i="4"/>
  <c r="E184" i="4"/>
  <c r="D184" i="4"/>
  <c r="C184" i="4"/>
  <c r="B184" i="4"/>
  <c r="A184" i="4"/>
  <c r="G183" i="4"/>
  <c r="F183" i="4"/>
  <c r="E183" i="4"/>
  <c r="D183" i="4"/>
  <c r="C183" i="4"/>
  <c r="B183" i="4"/>
  <c r="A183" i="4"/>
  <c r="G182" i="4"/>
  <c r="F182" i="4"/>
  <c r="E182" i="4"/>
  <c r="D182" i="4"/>
  <c r="C182" i="4"/>
  <c r="B182" i="4"/>
  <c r="A182" i="4"/>
  <c r="G181" i="4"/>
  <c r="F181" i="4"/>
  <c r="E181" i="4"/>
  <c r="D181" i="4"/>
  <c r="C181" i="4"/>
  <c r="B181" i="4"/>
  <c r="A181" i="4"/>
  <c r="G180" i="4"/>
  <c r="F180" i="4"/>
  <c r="E180" i="4"/>
  <c r="D180" i="4"/>
  <c r="C180" i="4"/>
  <c r="B180" i="4"/>
  <c r="A180" i="4"/>
  <c r="G179" i="4"/>
  <c r="F179" i="4"/>
  <c r="E179" i="4"/>
  <c r="D179" i="4"/>
  <c r="C179" i="4"/>
  <c r="B179" i="4"/>
  <c r="A179" i="4"/>
  <c r="G178" i="4"/>
  <c r="F178" i="4"/>
  <c r="E178" i="4"/>
  <c r="D178" i="4"/>
  <c r="C178" i="4"/>
  <c r="B178" i="4"/>
  <c r="A178" i="4"/>
  <c r="G177" i="4"/>
  <c r="F177" i="4"/>
  <c r="E177" i="4"/>
  <c r="D177" i="4"/>
  <c r="C177" i="4"/>
  <c r="B177" i="4"/>
  <c r="A177" i="4"/>
  <c r="G176" i="4"/>
  <c r="F176" i="4"/>
  <c r="E176" i="4"/>
  <c r="D176" i="4"/>
  <c r="C176" i="4"/>
  <c r="B176" i="4"/>
  <c r="A176" i="4"/>
  <c r="G175" i="4"/>
  <c r="F175" i="4"/>
  <c r="E175" i="4"/>
  <c r="D175" i="4"/>
  <c r="C175" i="4"/>
  <c r="B175" i="4"/>
  <c r="A175" i="4"/>
  <c r="G174" i="4"/>
  <c r="F174" i="4"/>
  <c r="E174" i="4"/>
  <c r="D174" i="4"/>
  <c r="C174" i="4"/>
  <c r="B174" i="4"/>
  <c r="A174" i="4"/>
  <c r="G173" i="4"/>
  <c r="F173" i="4"/>
  <c r="E173" i="4"/>
  <c r="D173" i="4"/>
  <c r="C173" i="4"/>
  <c r="B173" i="4"/>
  <c r="A173" i="4"/>
  <c r="G172" i="4"/>
  <c r="F172" i="4"/>
  <c r="E172" i="4"/>
  <c r="D172" i="4"/>
  <c r="C172" i="4"/>
  <c r="B172" i="4"/>
  <c r="A172" i="4"/>
  <c r="G171" i="4"/>
  <c r="F171" i="4"/>
  <c r="E171" i="4"/>
  <c r="D171" i="4"/>
  <c r="C171" i="4"/>
  <c r="B171" i="4"/>
  <c r="A171" i="4"/>
  <c r="G170" i="4"/>
  <c r="F170" i="4"/>
  <c r="E170" i="4"/>
  <c r="D170" i="4"/>
  <c r="C170" i="4"/>
  <c r="B170" i="4"/>
  <c r="A170" i="4"/>
  <c r="G169" i="4"/>
  <c r="F169" i="4"/>
  <c r="E169" i="4"/>
  <c r="D169" i="4"/>
  <c r="C169" i="4"/>
  <c r="B169" i="4"/>
  <c r="A169" i="4"/>
  <c r="G168" i="4"/>
  <c r="F168" i="4"/>
  <c r="E168" i="4"/>
  <c r="D168" i="4"/>
  <c r="C168" i="4"/>
  <c r="B168" i="4"/>
  <c r="A168" i="4"/>
  <c r="G167" i="4"/>
  <c r="F167" i="4"/>
  <c r="E167" i="4"/>
  <c r="D167" i="4"/>
  <c r="C167" i="4"/>
  <c r="B167" i="4"/>
  <c r="A167" i="4"/>
  <c r="G166" i="4"/>
  <c r="F166" i="4"/>
  <c r="E166" i="4"/>
  <c r="D166" i="4"/>
  <c r="C166" i="4"/>
  <c r="B166" i="4"/>
  <c r="A166" i="4"/>
  <c r="G165" i="4"/>
  <c r="F165" i="4"/>
  <c r="E165" i="4"/>
  <c r="D165" i="4"/>
  <c r="C165" i="4"/>
  <c r="B165" i="4"/>
  <c r="A165" i="4"/>
  <c r="G164" i="4"/>
  <c r="F164" i="4"/>
  <c r="E164" i="4"/>
  <c r="D164" i="4"/>
  <c r="C164" i="4"/>
  <c r="B164" i="4"/>
  <c r="A164" i="4"/>
  <c r="G163" i="4"/>
  <c r="F163" i="4"/>
  <c r="E163" i="4"/>
  <c r="D163" i="4"/>
  <c r="C163" i="4"/>
  <c r="B163" i="4"/>
  <c r="A163" i="4"/>
  <c r="G162" i="4"/>
  <c r="F162" i="4"/>
  <c r="E162" i="4"/>
  <c r="D162" i="4"/>
  <c r="C162" i="4"/>
  <c r="B162" i="4"/>
  <c r="A162" i="4"/>
  <c r="G161" i="4"/>
  <c r="F161" i="4"/>
  <c r="E161" i="4"/>
  <c r="D161" i="4"/>
  <c r="C161" i="4"/>
  <c r="B161" i="4"/>
  <c r="A161" i="4"/>
  <c r="G160" i="4"/>
  <c r="F160" i="4"/>
  <c r="E160" i="4"/>
  <c r="D160" i="4"/>
  <c r="C160" i="4"/>
  <c r="B160" i="4"/>
  <c r="A160" i="4"/>
  <c r="G159" i="4"/>
  <c r="F159" i="4"/>
  <c r="E159" i="4"/>
  <c r="D159" i="4"/>
  <c r="C159" i="4"/>
  <c r="B159" i="4"/>
  <c r="A159" i="4"/>
  <c r="G158" i="4"/>
  <c r="F158" i="4"/>
  <c r="E158" i="4"/>
  <c r="D158" i="4"/>
  <c r="C158" i="4"/>
  <c r="B158" i="4"/>
  <c r="A158" i="4"/>
  <c r="G157" i="4"/>
  <c r="F157" i="4"/>
  <c r="E157" i="4"/>
  <c r="D157" i="4"/>
  <c r="C157" i="4"/>
  <c r="B157" i="4"/>
  <c r="A157" i="4"/>
  <c r="G156" i="4"/>
  <c r="F156" i="4"/>
  <c r="E156" i="4"/>
  <c r="D156" i="4"/>
  <c r="C156" i="4"/>
  <c r="B156" i="4"/>
  <c r="A156" i="4"/>
  <c r="G155" i="4"/>
  <c r="F155" i="4"/>
  <c r="E155" i="4"/>
  <c r="D155" i="4"/>
  <c r="C155" i="4"/>
  <c r="B155" i="4"/>
  <c r="A155" i="4"/>
  <c r="G154" i="4"/>
  <c r="F154" i="4"/>
  <c r="E154" i="4"/>
  <c r="D154" i="4"/>
  <c r="C154" i="4"/>
  <c r="B154" i="4"/>
  <c r="A154" i="4"/>
  <c r="G153" i="4"/>
  <c r="F153" i="4"/>
  <c r="E153" i="4"/>
  <c r="D153" i="4"/>
  <c r="C153" i="4"/>
  <c r="B153" i="4"/>
  <c r="A153" i="4"/>
  <c r="G152" i="4"/>
  <c r="F152" i="4"/>
  <c r="E152" i="4"/>
  <c r="D152" i="4"/>
  <c r="C152" i="4"/>
  <c r="B152" i="4"/>
  <c r="A152" i="4"/>
  <c r="G151" i="4"/>
  <c r="F151" i="4"/>
  <c r="E151" i="4"/>
  <c r="D151" i="4"/>
  <c r="C151" i="4"/>
  <c r="B151" i="4"/>
  <c r="A151" i="4"/>
  <c r="G150" i="4"/>
  <c r="F150" i="4"/>
  <c r="E150" i="4"/>
  <c r="D150" i="4"/>
  <c r="C150" i="4"/>
  <c r="B150" i="4"/>
  <c r="A150" i="4"/>
  <c r="G149" i="4"/>
  <c r="F149" i="4"/>
  <c r="E149" i="4"/>
  <c r="D149" i="4"/>
  <c r="C149" i="4"/>
  <c r="B149" i="4"/>
  <c r="A149" i="4"/>
  <c r="G148" i="4"/>
  <c r="F148" i="4"/>
  <c r="E148" i="4"/>
  <c r="D148" i="4"/>
  <c r="C148" i="4"/>
  <c r="B148" i="4"/>
  <c r="A148" i="4"/>
  <c r="G147" i="4"/>
  <c r="F147" i="4"/>
  <c r="E147" i="4"/>
  <c r="D147" i="4"/>
  <c r="C147" i="4"/>
  <c r="B147" i="4"/>
  <c r="A147" i="4"/>
  <c r="G146" i="4"/>
  <c r="F146" i="4"/>
  <c r="E146" i="4"/>
  <c r="D146" i="4"/>
  <c r="C146" i="4"/>
  <c r="B146" i="4"/>
  <c r="A146" i="4"/>
  <c r="G145" i="4"/>
  <c r="F145" i="4"/>
  <c r="E145" i="4"/>
  <c r="D145" i="4"/>
  <c r="C145" i="4"/>
  <c r="B145" i="4"/>
  <c r="A145" i="4"/>
  <c r="G144" i="4"/>
  <c r="F144" i="4"/>
  <c r="E144" i="4"/>
  <c r="D144" i="4"/>
  <c r="C144" i="4"/>
  <c r="B144" i="4"/>
  <c r="A144" i="4"/>
  <c r="G143" i="4"/>
  <c r="F143" i="4"/>
  <c r="E143" i="4"/>
  <c r="D143" i="4"/>
  <c r="C143" i="4"/>
  <c r="B143" i="4"/>
  <c r="A143" i="4"/>
  <c r="G142" i="4"/>
  <c r="F142" i="4"/>
  <c r="E142" i="4"/>
  <c r="D142" i="4"/>
  <c r="C142" i="4"/>
  <c r="B142" i="4"/>
  <c r="A142" i="4"/>
  <c r="G141" i="4"/>
  <c r="F141" i="4"/>
  <c r="E141" i="4"/>
  <c r="D141" i="4"/>
  <c r="C141" i="4"/>
  <c r="B141" i="4"/>
  <c r="A141" i="4"/>
  <c r="G140" i="4"/>
  <c r="F140" i="4"/>
  <c r="E140" i="4"/>
  <c r="D140" i="4"/>
  <c r="C140" i="4"/>
  <c r="B140" i="4"/>
  <c r="A140" i="4"/>
  <c r="G139" i="4"/>
  <c r="F139" i="4"/>
  <c r="E139" i="4"/>
  <c r="D139" i="4"/>
  <c r="C139" i="4"/>
  <c r="B139" i="4"/>
  <c r="A139" i="4"/>
  <c r="G138" i="4"/>
  <c r="F138" i="4"/>
  <c r="E138" i="4"/>
  <c r="D138" i="4"/>
  <c r="C138" i="4"/>
  <c r="B138" i="4"/>
  <c r="A138" i="4"/>
  <c r="G137" i="4"/>
  <c r="F137" i="4"/>
  <c r="E137" i="4"/>
  <c r="D137" i="4"/>
  <c r="C137" i="4"/>
  <c r="B137" i="4"/>
  <c r="A137" i="4"/>
  <c r="G136" i="4"/>
  <c r="F136" i="4"/>
  <c r="E136" i="4"/>
  <c r="D136" i="4"/>
  <c r="C136" i="4"/>
  <c r="B136" i="4"/>
  <c r="A136" i="4"/>
  <c r="G135" i="4"/>
  <c r="F135" i="4"/>
  <c r="E135" i="4"/>
  <c r="D135" i="4"/>
  <c r="C135" i="4"/>
  <c r="B135" i="4"/>
  <c r="A135" i="4"/>
  <c r="G134" i="4"/>
  <c r="F134" i="4"/>
  <c r="E134" i="4"/>
  <c r="D134" i="4"/>
  <c r="C134" i="4"/>
  <c r="B134" i="4"/>
  <c r="A134" i="4"/>
  <c r="G133" i="4"/>
  <c r="F133" i="4"/>
  <c r="E133" i="4"/>
  <c r="D133" i="4"/>
  <c r="C133" i="4"/>
  <c r="B133" i="4"/>
  <c r="A133" i="4"/>
  <c r="G132" i="4"/>
  <c r="F132" i="4"/>
  <c r="E132" i="4"/>
  <c r="D132" i="4"/>
  <c r="C132" i="4"/>
  <c r="B132" i="4"/>
  <c r="A132" i="4"/>
  <c r="G131" i="4"/>
  <c r="F131" i="4"/>
  <c r="E131" i="4"/>
  <c r="D131" i="4"/>
  <c r="C131" i="4"/>
  <c r="B131" i="4"/>
  <c r="A131" i="4"/>
  <c r="G130" i="4"/>
  <c r="F130" i="4"/>
  <c r="E130" i="4"/>
  <c r="D130" i="4"/>
  <c r="C130" i="4"/>
  <c r="B130" i="4"/>
  <c r="A130" i="4"/>
  <c r="G129" i="4"/>
  <c r="F129" i="4"/>
  <c r="E129" i="4"/>
  <c r="D129" i="4"/>
  <c r="C129" i="4"/>
  <c r="B129" i="4"/>
  <c r="A129" i="4"/>
  <c r="G128" i="4"/>
  <c r="F128" i="4"/>
  <c r="E128" i="4"/>
  <c r="D128" i="4"/>
  <c r="C128" i="4"/>
  <c r="B128" i="4"/>
  <c r="A128" i="4"/>
  <c r="G127" i="4"/>
  <c r="F127" i="4"/>
  <c r="E127" i="4"/>
  <c r="D127" i="4"/>
  <c r="C127" i="4"/>
  <c r="B127" i="4"/>
  <c r="A127" i="4"/>
  <c r="G126" i="4"/>
  <c r="F126" i="4"/>
  <c r="E126" i="4"/>
  <c r="D126" i="4"/>
  <c r="C126" i="4"/>
  <c r="B126" i="4"/>
  <c r="A126" i="4"/>
  <c r="G125" i="4"/>
  <c r="F125" i="4"/>
  <c r="E125" i="4"/>
  <c r="D125" i="4"/>
  <c r="C125" i="4"/>
  <c r="B125" i="4"/>
  <c r="A125" i="4"/>
  <c r="G124" i="4"/>
  <c r="F124" i="4"/>
  <c r="E124" i="4"/>
  <c r="D124" i="4"/>
  <c r="C124" i="4"/>
  <c r="B124" i="4"/>
  <c r="A124" i="4"/>
  <c r="G123" i="4"/>
  <c r="F123" i="4"/>
  <c r="E123" i="4"/>
  <c r="D123" i="4"/>
  <c r="C123" i="4"/>
  <c r="B123" i="4"/>
  <c r="A123" i="4"/>
  <c r="G122" i="4"/>
  <c r="F122" i="4"/>
  <c r="E122" i="4"/>
  <c r="D122" i="4"/>
  <c r="C122" i="4"/>
  <c r="B122" i="4"/>
  <c r="A122" i="4"/>
  <c r="G121" i="4"/>
  <c r="F121" i="4"/>
  <c r="E121" i="4"/>
  <c r="D121" i="4"/>
  <c r="C121" i="4"/>
  <c r="B121" i="4"/>
  <c r="A121" i="4"/>
  <c r="G120" i="4"/>
  <c r="F120" i="4"/>
  <c r="E120" i="4"/>
  <c r="D120" i="4"/>
  <c r="C120" i="4"/>
  <c r="B120" i="4"/>
  <c r="A120" i="4"/>
  <c r="G119" i="4"/>
  <c r="F119" i="4"/>
  <c r="E119" i="4"/>
  <c r="D119" i="4"/>
  <c r="C119" i="4"/>
  <c r="B119" i="4"/>
  <c r="A119" i="4"/>
  <c r="G118" i="4"/>
  <c r="F118" i="4"/>
  <c r="E118" i="4"/>
  <c r="D118" i="4"/>
  <c r="C118" i="4"/>
  <c r="B118" i="4"/>
  <c r="A118" i="4"/>
  <c r="G117" i="4"/>
  <c r="F117" i="4"/>
  <c r="E117" i="4"/>
  <c r="D117" i="4"/>
  <c r="C117" i="4"/>
  <c r="B117" i="4"/>
  <c r="A117" i="4"/>
  <c r="G116" i="4"/>
  <c r="F116" i="4"/>
  <c r="E116" i="4"/>
  <c r="D116" i="4"/>
  <c r="C116" i="4"/>
  <c r="B116" i="4"/>
  <c r="A116" i="4"/>
  <c r="G115" i="4"/>
  <c r="F115" i="4"/>
  <c r="E115" i="4"/>
  <c r="D115" i="4"/>
  <c r="C115" i="4"/>
  <c r="B115" i="4"/>
  <c r="A115" i="4"/>
  <c r="G114" i="4"/>
  <c r="F114" i="4"/>
  <c r="E114" i="4"/>
  <c r="D114" i="4"/>
  <c r="C114" i="4"/>
  <c r="B114" i="4"/>
  <c r="A114" i="4"/>
  <c r="G113" i="4"/>
  <c r="F113" i="4"/>
  <c r="E113" i="4"/>
  <c r="D113" i="4"/>
  <c r="C113" i="4"/>
  <c r="B113" i="4"/>
  <c r="A113" i="4"/>
  <c r="G112" i="4"/>
  <c r="F112" i="4"/>
  <c r="E112" i="4"/>
  <c r="D112" i="4"/>
  <c r="C112" i="4"/>
  <c r="B112" i="4"/>
  <c r="A112" i="4"/>
  <c r="G111" i="4"/>
  <c r="F111" i="4"/>
  <c r="E111" i="4"/>
  <c r="D111" i="4"/>
  <c r="C111" i="4"/>
  <c r="B111" i="4"/>
  <c r="A111" i="4"/>
  <c r="G110" i="4"/>
  <c r="F110" i="4"/>
  <c r="E110" i="4"/>
  <c r="D110" i="4"/>
  <c r="C110" i="4"/>
  <c r="B110" i="4"/>
  <c r="A110" i="4"/>
  <c r="G109" i="4"/>
  <c r="F109" i="4"/>
  <c r="E109" i="4"/>
  <c r="D109" i="4"/>
  <c r="C109" i="4"/>
  <c r="B109" i="4"/>
  <c r="A109" i="4"/>
  <c r="G108" i="4"/>
  <c r="F108" i="4"/>
  <c r="E108" i="4"/>
  <c r="D108" i="4"/>
  <c r="C108" i="4"/>
  <c r="B108" i="4"/>
  <c r="A108" i="4"/>
  <c r="G107" i="4"/>
  <c r="F107" i="4"/>
  <c r="E107" i="4"/>
  <c r="D107" i="4"/>
  <c r="C107" i="4"/>
  <c r="B107" i="4"/>
  <c r="A107" i="4"/>
  <c r="G106" i="4"/>
  <c r="F106" i="4"/>
  <c r="E106" i="4"/>
  <c r="D106" i="4"/>
  <c r="C106" i="4"/>
  <c r="B106" i="4"/>
  <c r="A106" i="4"/>
  <c r="G105" i="4"/>
  <c r="F105" i="4"/>
  <c r="E105" i="4"/>
  <c r="D105" i="4"/>
  <c r="C105" i="4"/>
  <c r="B105" i="4"/>
  <c r="A105" i="4"/>
  <c r="G104" i="4"/>
  <c r="F104" i="4"/>
  <c r="E104" i="4"/>
  <c r="D104" i="4"/>
  <c r="C104" i="4"/>
  <c r="B104" i="4"/>
  <c r="A104" i="4"/>
  <c r="G103" i="4"/>
  <c r="F103" i="4"/>
  <c r="E103" i="4"/>
  <c r="D103" i="4"/>
  <c r="C103" i="4"/>
  <c r="B103" i="4"/>
  <c r="A103" i="4"/>
  <c r="G102" i="4"/>
  <c r="F102" i="4"/>
  <c r="E102" i="4"/>
  <c r="D102" i="4"/>
  <c r="C102" i="4"/>
  <c r="B102" i="4"/>
  <c r="A102" i="4"/>
  <c r="G101" i="4"/>
  <c r="F101" i="4"/>
  <c r="E101" i="4"/>
  <c r="D101" i="4"/>
  <c r="C101" i="4"/>
  <c r="B101" i="4"/>
  <c r="A101" i="4"/>
  <c r="G100" i="4"/>
  <c r="F100" i="4"/>
  <c r="E100" i="4"/>
  <c r="D100" i="4"/>
  <c r="C100" i="4"/>
  <c r="B100" i="4"/>
  <c r="A100" i="4"/>
  <c r="G99" i="4"/>
  <c r="F99" i="4"/>
  <c r="E99" i="4"/>
  <c r="D99" i="4"/>
  <c r="C99" i="4"/>
  <c r="B99" i="4"/>
  <c r="A99" i="4"/>
  <c r="G98" i="4"/>
  <c r="F98" i="4"/>
  <c r="E98" i="4"/>
  <c r="D98" i="4"/>
  <c r="C98" i="4"/>
  <c r="B98" i="4"/>
  <c r="A98" i="4"/>
  <c r="G97" i="4"/>
  <c r="F97" i="4"/>
  <c r="E97" i="4"/>
  <c r="D97" i="4"/>
  <c r="C97" i="4"/>
  <c r="B97" i="4"/>
  <c r="A97" i="4"/>
  <c r="G96" i="4"/>
  <c r="F96" i="4"/>
  <c r="E96" i="4"/>
  <c r="D96" i="4"/>
  <c r="C96" i="4"/>
  <c r="B96" i="4"/>
  <c r="A96" i="4"/>
  <c r="G95" i="4"/>
  <c r="F95" i="4"/>
  <c r="E95" i="4"/>
  <c r="D95" i="4"/>
  <c r="C95" i="4"/>
  <c r="B95" i="4"/>
  <c r="A95" i="4"/>
  <c r="G94" i="4"/>
  <c r="F94" i="4"/>
  <c r="E94" i="4"/>
  <c r="D94" i="4"/>
  <c r="C94" i="4"/>
  <c r="B94" i="4"/>
  <c r="A94" i="4"/>
  <c r="G93" i="4"/>
  <c r="F93" i="4"/>
  <c r="E93" i="4"/>
  <c r="D93" i="4"/>
  <c r="C93" i="4"/>
  <c r="B93" i="4"/>
  <c r="A93" i="4"/>
  <c r="G92" i="4"/>
  <c r="F92" i="4"/>
  <c r="E92" i="4"/>
  <c r="D92" i="4"/>
  <c r="C92" i="4"/>
  <c r="B92" i="4"/>
  <c r="A92" i="4"/>
  <c r="G91" i="4"/>
  <c r="F91" i="4"/>
  <c r="E91" i="4"/>
  <c r="D91" i="4"/>
  <c r="C91" i="4"/>
  <c r="B91" i="4"/>
  <c r="A91" i="4"/>
  <c r="G90" i="4"/>
  <c r="F90" i="4"/>
  <c r="E90" i="4"/>
  <c r="D90" i="4"/>
  <c r="C90" i="4"/>
  <c r="B90" i="4"/>
  <c r="A90" i="4"/>
  <c r="G89" i="4"/>
  <c r="F89" i="4"/>
  <c r="E89" i="4"/>
  <c r="D89" i="4"/>
  <c r="C89" i="4"/>
  <c r="B89" i="4"/>
  <c r="A89" i="4"/>
  <c r="G88" i="4"/>
  <c r="F88" i="4"/>
  <c r="E88" i="4"/>
  <c r="D88" i="4"/>
  <c r="C88" i="4"/>
  <c r="B88" i="4"/>
  <c r="A88" i="4"/>
  <c r="G87" i="4"/>
  <c r="F87" i="4"/>
  <c r="E87" i="4"/>
  <c r="D87" i="4"/>
  <c r="C87" i="4"/>
  <c r="B87" i="4"/>
  <c r="A87" i="4"/>
  <c r="G86" i="4"/>
  <c r="F86" i="4"/>
  <c r="E86" i="4"/>
  <c r="D86" i="4"/>
  <c r="C86" i="4"/>
  <c r="B86" i="4"/>
  <c r="A86" i="4"/>
  <c r="G85" i="4"/>
  <c r="F85" i="4"/>
  <c r="E85" i="4"/>
  <c r="D85" i="4"/>
  <c r="C85" i="4"/>
  <c r="B85" i="4"/>
  <c r="A85" i="4"/>
  <c r="G84" i="4"/>
  <c r="F84" i="4"/>
  <c r="E84" i="4"/>
  <c r="D84" i="4"/>
  <c r="C84" i="4"/>
  <c r="B84" i="4"/>
  <c r="A84" i="4"/>
  <c r="G83" i="4"/>
  <c r="F83" i="4"/>
  <c r="E83" i="4"/>
  <c r="D83" i="4"/>
  <c r="C83" i="4"/>
  <c r="B83" i="4"/>
  <c r="A83" i="4"/>
  <c r="G82" i="4"/>
  <c r="F82" i="4"/>
  <c r="E82" i="4"/>
  <c r="D82" i="4"/>
  <c r="C82" i="4"/>
  <c r="B82" i="4"/>
  <c r="A82" i="4"/>
  <c r="G81" i="4"/>
  <c r="F81" i="4"/>
  <c r="E81" i="4"/>
  <c r="D81" i="4"/>
  <c r="C81" i="4"/>
  <c r="B81" i="4"/>
  <c r="A81" i="4"/>
  <c r="G80" i="4"/>
  <c r="F80" i="4"/>
  <c r="E80" i="4"/>
  <c r="D80" i="4"/>
  <c r="C80" i="4"/>
  <c r="B80" i="4"/>
  <c r="A80" i="4"/>
  <c r="G79" i="4"/>
  <c r="F79" i="4"/>
  <c r="E79" i="4"/>
  <c r="D79" i="4"/>
  <c r="C79" i="4"/>
  <c r="B79" i="4"/>
  <c r="A79" i="4"/>
  <c r="G78" i="4"/>
  <c r="F78" i="4"/>
  <c r="E78" i="4"/>
  <c r="D78" i="4"/>
  <c r="C78" i="4"/>
  <c r="B78" i="4"/>
  <c r="A78" i="4"/>
  <c r="G77" i="4"/>
  <c r="F77" i="4"/>
  <c r="E77" i="4"/>
  <c r="D77" i="4"/>
  <c r="C77" i="4"/>
  <c r="B77" i="4"/>
  <c r="A77" i="4"/>
  <c r="G76" i="4"/>
  <c r="F76" i="4"/>
  <c r="E76" i="4"/>
  <c r="D76" i="4"/>
  <c r="C76" i="4"/>
  <c r="B76" i="4"/>
  <c r="A76" i="4"/>
  <c r="G75" i="4"/>
  <c r="F75" i="4"/>
  <c r="E75" i="4"/>
  <c r="D75" i="4"/>
  <c r="C75" i="4"/>
  <c r="B75" i="4"/>
  <c r="A75" i="4"/>
  <c r="G74" i="4"/>
  <c r="F74" i="4"/>
  <c r="E74" i="4"/>
  <c r="D74" i="4"/>
  <c r="C74" i="4"/>
  <c r="B74" i="4"/>
  <c r="A74" i="4"/>
  <c r="G73" i="4"/>
  <c r="F73" i="4"/>
  <c r="E73" i="4"/>
  <c r="D73" i="4"/>
  <c r="C73" i="4"/>
  <c r="B73" i="4"/>
  <c r="A73" i="4"/>
  <c r="G72" i="4"/>
  <c r="F72" i="4"/>
  <c r="E72" i="4"/>
  <c r="D72" i="4"/>
  <c r="C72" i="4"/>
  <c r="B72" i="4"/>
  <c r="A72" i="4"/>
  <c r="G71" i="4"/>
  <c r="F71" i="4"/>
  <c r="E71" i="4"/>
  <c r="D71" i="4"/>
  <c r="C71" i="4"/>
  <c r="B71" i="4"/>
  <c r="A71" i="4"/>
  <c r="G70" i="4"/>
  <c r="F70" i="4"/>
  <c r="E70" i="4"/>
  <c r="D70" i="4"/>
  <c r="C70" i="4"/>
  <c r="B70" i="4"/>
  <c r="A70" i="4"/>
  <c r="G69" i="4"/>
  <c r="F69" i="4"/>
  <c r="E69" i="4"/>
  <c r="D69" i="4"/>
  <c r="C69" i="4"/>
  <c r="B69" i="4"/>
  <c r="A69" i="4"/>
  <c r="G68" i="4"/>
  <c r="F68" i="4"/>
  <c r="E68" i="4"/>
  <c r="D68" i="4"/>
  <c r="C68" i="4"/>
  <c r="B68" i="4"/>
  <c r="A68" i="4"/>
  <c r="G67" i="4"/>
  <c r="F67" i="4"/>
  <c r="E67" i="4"/>
  <c r="D67" i="4"/>
  <c r="C67" i="4"/>
  <c r="B67" i="4"/>
  <c r="A67" i="4"/>
  <c r="G66" i="4"/>
  <c r="F66" i="4"/>
  <c r="E66" i="4"/>
  <c r="D66" i="4"/>
  <c r="C66" i="4"/>
  <c r="B66" i="4"/>
  <c r="A66" i="4"/>
  <c r="G65" i="4"/>
  <c r="F65" i="4"/>
  <c r="E65" i="4"/>
  <c r="D65" i="4"/>
  <c r="C65" i="4"/>
  <c r="B65" i="4"/>
  <c r="A65" i="4"/>
  <c r="G64" i="4"/>
  <c r="F64" i="4"/>
  <c r="E64" i="4"/>
  <c r="D64" i="4"/>
  <c r="C64" i="4"/>
  <c r="B64" i="4"/>
  <c r="A64" i="4"/>
  <c r="G63" i="4"/>
  <c r="F63" i="4"/>
  <c r="E63" i="4"/>
  <c r="D63" i="4"/>
  <c r="C63" i="4"/>
  <c r="B63" i="4"/>
  <c r="A63" i="4"/>
  <c r="G62" i="4"/>
  <c r="F62" i="4"/>
  <c r="E62" i="4"/>
  <c r="D62" i="4"/>
  <c r="C62" i="4"/>
  <c r="B62" i="4"/>
  <c r="A62" i="4"/>
  <c r="G61" i="4"/>
  <c r="F61" i="4"/>
  <c r="E61" i="4"/>
  <c r="D61" i="4"/>
  <c r="C61" i="4"/>
  <c r="B61" i="4"/>
  <c r="A61" i="4"/>
  <c r="G60" i="4"/>
  <c r="F60" i="4"/>
  <c r="E60" i="4"/>
  <c r="D60" i="4"/>
  <c r="C60" i="4"/>
  <c r="B60" i="4"/>
  <c r="A60" i="4"/>
  <c r="G59" i="4"/>
  <c r="F59" i="4"/>
  <c r="E59" i="4"/>
  <c r="D59" i="4"/>
  <c r="C59" i="4"/>
  <c r="B59" i="4"/>
  <c r="A59" i="4"/>
  <c r="G58" i="4"/>
  <c r="F58" i="4"/>
  <c r="E58" i="4"/>
  <c r="D58" i="4"/>
  <c r="C58" i="4"/>
  <c r="B58" i="4"/>
  <c r="A58" i="4"/>
  <c r="G57" i="4"/>
  <c r="F57" i="4"/>
  <c r="E57" i="4"/>
  <c r="D57" i="4"/>
  <c r="C57" i="4"/>
  <c r="B57" i="4"/>
  <c r="A57" i="4"/>
  <c r="G56" i="4"/>
  <c r="F56" i="4"/>
  <c r="E56" i="4"/>
  <c r="D56" i="4"/>
  <c r="C56" i="4"/>
  <c r="B56" i="4"/>
  <c r="A56" i="4"/>
  <c r="G55" i="4"/>
  <c r="F55" i="4"/>
  <c r="E55" i="4"/>
  <c r="D55" i="4"/>
  <c r="C55" i="4"/>
  <c r="B55" i="4"/>
  <c r="A55" i="4"/>
  <c r="G54" i="4"/>
  <c r="F54" i="4"/>
  <c r="E54" i="4"/>
  <c r="D54" i="4"/>
  <c r="C54" i="4"/>
  <c r="B54" i="4"/>
  <c r="A54" i="4"/>
  <c r="G53" i="4"/>
  <c r="F53" i="4"/>
  <c r="E53" i="4"/>
  <c r="D53" i="4"/>
  <c r="C53" i="4"/>
  <c r="B53" i="4"/>
  <c r="A53" i="4"/>
  <c r="G52" i="4"/>
  <c r="F52" i="4"/>
  <c r="E52" i="4"/>
  <c r="D52" i="4"/>
  <c r="C52" i="4"/>
  <c r="B52" i="4"/>
  <c r="A52" i="4"/>
  <c r="G51" i="4"/>
  <c r="F51" i="4"/>
  <c r="E51" i="4"/>
  <c r="D51" i="4"/>
  <c r="C51" i="4"/>
  <c r="B51" i="4"/>
  <c r="A51" i="4"/>
  <c r="G50" i="4"/>
  <c r="F50" i="4"/>
  <c r="E50" i="4"/>
  <c r="D50" i="4"/>
  <c r="C50" i="4"/>
  <c r="B50" i="4"/>
  <c r="A50" i="4"/>
  <c r="G49" i="4"/>
  <c r="F49" i="4"/>
  <c r="E49" i="4"/>
  <c r="D49" i="4"/>
  <c r="C49" i="4"/>
  <c r="B49" i="4"/>
  <c r="A49" i="4"/>
  <c r="G48" i="4"/>
  <c r="F48" i="4"/>
  <c r="E48" i="4"/>
  <c r="D48" i="4"/>
  <c r="C48" i="4"/>
  <c r="B48" i="4"/>
  <c r="A48" i="4"/>
  <c r="G47" i="4"/>
  <c r="F47" i="4"/>
  <c r="E47" i="4"/>
  <c r="D47" i="4"/>
  <c r="C47" i="4"/>
  <c r="B47" i="4"/>
  <c r="A47" i="4"/>
  <c r="G46" i="4"/>
  <c r="F46" i="4"/>
  <c r="E46" i="4"/>
  <c r="D46" i="4"/>
  <c r="C46" i="4"/>
  <c r="B46" i="4"/>
  <c r="A46" i="4"/>
  <c r="G45" i="4"/>
  <c r="F45" i="4"/>
  <c r="E45" i="4"/>
  <c r="D45" i="4"/>
  <c r="C45" i="4"/>
  <c r="B45" i="4"/>
  <c r="A45" i="4"/>
  <c r="G44" i="4"/>
  <c r="F44" i="4"/>
  <c r="E44" i="4"/>
  <c r="D44" i="4"/>
  <c r="C44" i="4"/>
  <c r="B44" i="4"/>
  <c r="A44" i="4"/>
  <c r="G43" i="4"/>
  <c r="F43" i="4"/>
  <c r="E43" i="4"/>
  <c r="D43" i="4"/>
  <c r="C43" i="4"/>
  <c r="B43" i="4"/>
  <c r="A43" i="4"/>
  <c r="G42" i="4"/>
  <c r="F42" i="4"/>
  <c r="E42" i="4"/>
  <c r="D42" i="4"/>
  <c r="C42" i="4"/>
  <c r="B42" i="4"/>
  <c r="A42" i="4"/>
  <c r="G41" i="4"/>
  <c r="F41" i="4"/>
  <c r="E41" i="4"/>
  <c r="D41" i="4"/>
  <c r="C41" i="4"/>
  <c r="B41" i="4"/>
  <c r="A41" i="4"/>
  <c r="G40" i="4"/>
  <c r="F40" i="4"/>
  <c r="E40" i="4"/>
  <c r="D40" i="4"/>
  <c r="C40" i="4"/>
  <c r="B40" i="4"/>
  <c r="A40" i="4"/>
  <c r="G39" i="4"/>
  <c r="F39" i="4"/>
  <c r="E39" i="4"/>
  <c r="D39" i="4"/>
  <c r="C39" i="4"/>
  <c r="B39" i="4"/>
  <c r="A39" i="4"/>
  <c r="G38" i="4"/>
  <c r="F38" i="4"/>
  <c r="E38" i="4"/>
  <c r="D38" i="4"/>
  <c r="C38" i="4"/>
  <c r="B38" i="4"/>
  <c r="A38" i="4"/>
  <c r="G37" i="4"/>
  <c r="F37" i="4"/>
  <c r="E37" i="4"/>
  <c r="D37" i="4"/>
  <c r="C37" i="4"/>
  <c r="B37" i="4"/>
  <c r="A37" i="4"/>
  <c r="G36" i="4"/>
  <c r="F36" i="4"/>
  <c r="E36" i="4"/>
  <c r="D36" i="4"/>
  <c r="C36" i="4"/>
  <c r="B36" i="4"/>
  <c r="A36" i="4"/>
  <c r="G35" i="4"/>
  <c r="F35" i="4"/>
  <c r="E35" i="4"/>
  <c r="D35" i="4"/>
  <c r="C35" i="4"/>
  <c r="B35" i="4"/>
  <c r="A35" i="4"/>
  <c r="G34" i="4"/>
  <c r="F34" i="4"/>
  <c r="E34" i="4"/>
  <c r="D34" i="4"/>
  <c r="C34" i="4"/>
  <c r="B34" i="4"/>
  <c r="A34" i="4"/>
  <c r="G33" i="4"/>
  <c r="F33" i="4"/>
  <c r="E33" i="4"/>
  <c r="D33" i="4"/>
  <c r="C33" i="4"/>
  <c r="B33" i="4"/>
  <c r="A33" i="4"/>
  <c r="G32" i="4"/>
  <c r="F32" i="4"/>
  <c r="E32" i="4"/>
  <c r="D32" i="4"/>
  <c r="C32" i="4"/>
  <c r="B32" i="4"/>
  <c r="A32" i="4"/>
  <c r="G31" i="4"/>
  <c r="F31" i="4"/>
  <c r="E31" i="4"/>
  <c r="D31" i="4"/>
  <c r="C31" i="4"/>
  <c r="B31" i="4"/>
  <c r="A31" i="4"/>
  <c r="G30" i="4"/>
  <c r="F30" i="4"/>
  <c r="E30" i="4"/>
  <c r="D30" i="4"/>
  <c r="C30" i="4"/>
  <c r="B30" i="4"/>
  <c r="A30" i="4"/>
  <c r="G29" i="4"/>
  <c r="F29" i="4"/>
  <c r="E29" i="4"/>
  <c r="D29" i="4"/>
  <c r="C29" i="4"/>
  <c r="B29" i="4"/>
  <c r="A29" i="4"/>
  <c r="G28" i="4"/>
  <c r="F28" i="4"/>
  <c r="E28" i="4"/>
  <c r="D28" i="4"/>
  <c r="C28" i="4"/>
  <c r="B28" i="4"/>
  <c r="A28" i="4"/>
  <c r="G27" i="4"/>
  <c r="F27" i="4"/>
  <c r="E27" i="4"/>
  <c r="D27" i="4"/>
  <c r="C27" i="4"/>
  <c r="B27" i="4"/>
  <c r="A27" i="4"/>
  <c r="G26" i="4"/>
  <c r="F26" i="4"/>
  <c r="E26" i="4"/>
  <c r="D26" i="4"/>
  <c r="C26" i="4"/>
  <c r="B26" i="4"/>
  <c r="A26" i="4"/>
  <c r="G25" i="4"/>
  <c r="F25" i="4"/>
  <c r="E25" i="4"/>
  <c r="D25" i="4"/>
  <c r="C25" i="4"/>
  <c r="B25" i="4"/>
  <c r="A25" i="4"/>
  <c r="G24" i="4"/>
  <c r="F24" i="4"/>
  <c r="E24" i="4"/>
  <c r="D24" i="4"/>
  <c r="C24" i="4"/>
  <c r="B24" i="4"/>
  <c r="A24" i="4"/>
  <c r="G23" i="4"/>
  <c r="F23" i="4"/>
  <c r="E23" i="4"/>
  <c r="D23" i="4"/>
  <c r="C23" i="4"/>
  <c r="B23" i="4"/>
  <c r="A23" i="4"/>
  <c r="G22" i="4"/>
  <c r="F22" i="4"/>
  <c r="E22" i="4"/>
  <c r="D22" i="4"/>
  <c r="C22" i="4"/>
  <c r="B22" i="4"/>
  <c r="A22" i="4"/>
  <c r="G21" i="4"/>
  <c r="F21" i="4"/>
  <c r="E21" i="4"/>
  <c r="D21" i="4"/>
  <c r="C21" i="4"/>
  <c r="B21" i="4"/>
  <c r="A21" i="4"/>
  <c r="G20" i="4"/>
  <c r="F20" i="4"/>
  <c r="E20" i="4"/>
  <c r="D20" i="4"/>
  <c r="C20" i="4"/>
  <c r="B20" i="4"/>
  <c r="A20" i="4"/>
  <c r="G19" i="4"/>
  <c r="F19" i="4"/>
  <c r="E19" i="4"/>
  <c r="D19" i="4"/>
  <c r="C19" i="4"/>
  <c r="B19" i="4"/>
  <c r="A19" i="4"/>
  <c r="G18" i="4"/>
  <c r="F18" i="4"/>
  <c r="E18" i="4"/>
  <c r="D18" i="4"/>
  <c r="C18" i="4"/>
  <c r="B18" i="4"/>
  <c r="A18" i="4"/>
  <c r="G17" i="4"/>
  <c r="F17" i="4"/>
  <c r="E17" i="4"/>
  <c r="D17" i="4"/>
  <c r="C17" i="4"/>
  <c r="B17" i="4"/>
  <c r="A17" i="4"/>
  <c r="G16" i="4"/>
  <c r="F16" i="4"/>
  <c r="E16" i="4"/>
  <c r="D16" i="4"/>
  <c r="C16" i="4"/>
  <c r="B16" i="4"/>
  <c r="A16" i="4"/>
  <c r="G15" i="4"/>
  <c r="F15" i="4"/>
  <c r="E15" i="4"/>
  <c r="D15" i="4"/>
  <c r="C15" i="4"/>
  <c r="B15" i="4"/>
  <c r="A15" i="4"/>
  <c r="G14" i="4"/>
  <c r="F14" i="4"/>
  <c r="E14" i="4"/>
  <c r="D14" i="4"/>
  <c r="C14" i="4"/>
  <c r="B14" i="4"/>
  <c r="A14" i="4"/>
  <c r="G13" i="4"/>
  <c r="F13" i="4"/>
  <c r="E13" i="4"/>
  <c r="D13" i="4"/>
  <c r="C13" i="4"/>
  <c r="B13" i="4"/>
  <c r="A13" i="4"/>
  <c r="G12" i="4"/>
  <c r="F12" i="4"/>
  <c r="E12" i="4"/>
  <c r="D12" i="4"/>
  <c r="C12" i="4"/>
  <c r="B12" i="4"/>
  <c r="A12" i="4"/>
  <c r="G11" i="4"/>
  <c r="F11" i="4"/>
  <c r="E11" i="4"/>
  <c r="D11" i="4"/>
  <c r="C11" i="4"/>
  <c r="B11" i="4"/>
  <c r="A11" i="4"/>
  <c r="G10" i="4"/>
  <c r="F10" i="4"/>
  <c r="E10" i="4"/>
  <c r="D10" i="4"/>
  <c r="C10" i="4"/>
  <c r="B10" i="4"/>
  <c r="A10" i="4"/>
  <c r="G9" i="4"/>
  <c r="F9" i="4"/>
  <c r="E9" i="4"/>
  <c r="D9" i="4"/>
  <c r="C9" i="4"/>
  <c r="B9" i="4"/>
  <c r="A9" i="4"/>
  <c r="G8" i="4"/>
  <c r="F8" i="4"/>
  <c r="E8" i="4"/>
  <c r="D8" i="4"/>
  <c r="C8" i="4"/>
  <c r="B8" i="4"/>
  <c r="A8" i="4"/>
  <c r="G7" i="4"/>
  <c r="F7" i="4"/>
  <c r="E7" i="4"/>
  <c r="D7" i="4"/>
  <c r="C7" i="4"/>
  <c r="B7" i="4"/>
  <c r="A7" i="4"/>
  <c r="G6" i="4"/>
  <c r="F6" i="4"/>
  <c r="E6" i="4"/>
  <c r="D6" i="4"/>
  <c r="C6" i="4"/>
  <c r="B6" i="4"/>
  <c r="A6" i="4"/>
  <c r="G5" i="4"/>
  <c r="F5" i="4"/>
  <c r="E5" i="4"/>
  <c r="D5" i="4"/>
  <c r="C5" i="4"/>
  <c r="B5" i="4"/>
  <c r="A5" i="4"/>
  <c r="G4" i="4"/>
  <c r="F4" i="4"/>
  <c r="E4" i="4"/>
  <c r="D4" i="4"/>
  <c r="C4" i="4"/>
  <c r="B4" i="4"/>
  <c r="A4" i="4"/>
  <c r="G3" i="4"/>
  <c r="F3" i="4"/>
  <c r="E3" i="4"/>
  <c r="D3" i="4"/>
  <c r="C3" i="4"/>
  <c r="B3" i="4"/>
  <c r="A3" i="4"/>
  <c r="G2" i="4"/>
  <c r="F2" i="4"/>
  <c r="E2" i="4"/>
  <c r="D2" i="4"/>
  <c r="C2" i="4"/>
  <c r="B2" i="4"/>
  <c r="A2" i="4"/>
  <c r="G1" i="4"/>
  <c r="F1" i="4"/>
  <c r="E1" i="4"/>
  <c r="D1" i="4"/>
  <c r="C1" i="4"/>
  <c r="B1" i="4"/>
  <c r="A1" i="4"/>
  <c r="G277" i="3"/>
  <c r="F277" i="3"/>
  <c r="E277" i="3"/>
  <c r="D277" i="3"/>
  <c r="C277" i="3"/>
  <c r="B277" i="3"/>
  <c r="A277" i="3"/>
  <c r="G276" i="3"/>
  <c r="F276" i="3"/>
  <c r="E276" i="3"/>
  <c r="D276" i="3"/>
  <c r="C276" i="3"/>
  <c r="B276" i="3"/>
  <c r="A276" i="3"/>
  <c r="G275" i="3"/>
  <c r="F275" i="3"/>
  <c r="E275" i="3"/>
  <c r="D275" i="3"/>
  <c r="C275" i="3"/>
  <c r="B275" i="3"/>
  <c r="A275" i="3"/>
  <c r="G274" i="3"/>
  <c r="F274" i="3"/>
  <c r="E274" i="3"/>
  <c r="D274" i="3"/>
  <c r="C274" i="3"/>
  <c r="B274" i="3"/>
  <c r="A274" i="3"/>
  <c r="G273" i="3"/>
  <c r="F273" i="3"/>
  <c r="E273" i="3"/>
  <c r="D273" i="3"/>
  <c r="C273" i="3"/>
  <c r="B273" i="3"/>
  <c r="A273" i="3"/>
  <c r="G272" i="3"/>
  <c r="F272" i="3"/>
  <c r="E272" i="3"/>
  <c r="D272" i="3"/>
  <c r="C272" i="3"/>
  <c r="B272" i="3"/>
  <c r="A272" i="3"/>
  <c r="G271" i="3"/>
  <c r="F271" i="3"/>
  <c r="E271" i="3"/>
  <c r="D271" i="3"/>
  <c r="C271" i="3"/>
  <c r="B271" i="3"/>
  <c r="A271" i="3"/>
  <c r="G270" i="3"/>
  <c r="F270" i="3"/>
  <c r="E270" i="3"/>
  <c r="D270" i="3"/>
  <c r="C270" i="3"/>
  <c r="B270" i="3"/>
  <c r="A270" i="3"/>
  <c r="G269" i="3"/>
  <c r="F269" i="3"/>
  <c r="E269" i="3"/>
  <c r="D269" i="3"/>
  <c r="C269" i="3"/>
  <c r="B269" i="3"/>
  <c r="A269" i="3"/>
  <c r="G268" i="3"/>
  <c r="F268" i="3"/>
  <c r="E268" i="3"/>
  <c r="D268" i="3"/>
  <c r="C268" i="3"/>
  <c r="B268" i="3"/>
  <c r="A268" i="3"/>
  <c r="G267" i="3"/>
  <c r="F267" i="3"/>
  <c r="E267" i="3"/>
  <c r="D267" i="3"/>
  <c r="C267" i="3"/>
  <c r="B267" i="3"/>
  <c r="A267" i="3"/>
  <c r="G266" i="3"/>
  <c r="F266" i="3"/>
  <c r="E266" i="3"/>
  <c r="D266" i="3"/>
  <c r="C266" i="3"/>
  <c r="B266" i="3"/>
  <c r="A266" i="3"/>
  <c r="G265" i="3"/>
  <c r="F265" i="3"/>
  <c r="E265" i="3"/>
  <c r="D265" i="3"/>
  <c r="C265" i="3"/>
  <c r="B265" i="3"/>
  <c r="A265" i="3"/>
  <c r="G264" i="3"/>
  <c r="F264" i="3"/>
  <c r="E264" i="3"/>
  <c r="D264" i="3"/>
  <c r="C264" i="3"/>
  <c r="B264" i="3"/>
  <c r="A264" i="3"/>
  <c r="G263" i="3"/>
  <c r="F263" i="3"/>
  <c r="E263" i="3"/>
  <c r="D263" i="3"/>
  <c r="C263" i="3"/>
  <c r="B263" i="3"/>
  <c r="A263" i="3"/>
  <c r="G262" i="3"/>
  <c r="F262" i="3"/>
  <c r="E262" i="3"/>
  <c r="D262" i="3"/>
  <c r="C262" i="3"/>
  <c r="B262" i="3"/>
  <c r="A262" i="3"/>
  <c r="G261" i="3"/>
  <c r="F261" i="3"/>
  <c r="E261" i="3"/>
  <c r="D261" i="3"/>
  <c r="C261" i="3"/>
  <c r="B261" i="3"/>
  <c r="A261" i="3"/>
  <c r="G260" i="3"/>
  <c r="F260" i="3"/>
  <c r="E260" i="3"/>
  <c r="D260" i="3"/>
  <c r="C260" i="3"/>
  <c r="B260" i="3"/>
  <c r="A260" i="3"/>
  <c r="G259" i="3"/>
  <c r="F259" i="3"/>
  <c r="E259" i="3"/>
  <c r="D259" i="3"/>
  <c r="C259" i="3"/>
  <c r="B259" i="3"/>
  <c r="A259" i="3"/>
  <c r="G258" i="3"/>
  <c r="F258" i="3"/>
  <c r="E258" i="3"/>
  <c r="D258" i="3"/>
  <c r="C258" i="3"/>
  <c r="B258" i="3"/>
  <c r="A258" i="3"/>
  <c r="G257" i="3"/>
  <c r="F257" i="3"/>
  <c r="E257" i="3"/>
  <c r="D257" i="3"/>
  <c r="C257" i="3"/>
  <c r="B257" i="3"/>
  <c r="A257" i="3"/>
  <c r="G256" i="3"/>
  <c r="F256" i="3"/>
  <c r="E256" i="3"/>
  <c r="D256" i="3"/>
  <c r="C256" i="3"/>
  <c r="B256" i="3"/>
  <c r="A256" i="3"/>
  <c r="G255" i="3"/>
  <c r="F255" i="3"/>
  <c r="E255" i="3"/>
  <c r="D255" i="3"/>
  <c r="C255" i="3"/>
  <c r="B255" i="3"/>
  <c r="A255" i="3"/>
  <c r="G254" i="3"/>
  <c r="F254" i="3"/>
  <c r="E254" i="3"/>
  <c r="D254" i="3"/>
  <c r="C254" i="3"/>
  <c r="B254" i="3"/>
  <c r="A254" i="3"/>
  <c r="G253" i="3"/>
  <c r="F253" i="3"/>
  <c r="E253" i="3"/>
  <c r="D253" i="3"/>
  <c r="C253" i="3"/>
  <c r="B253" i="3"/>
  <c r="A253" i="3"/>
  <c r="G252" i="3"/>
  <c r="F252" i="3"/>
  <c r="E252" i="3"/>
  <c r="D252" i="3"/>
  <c r="C252" i="3"/>
  <c r="B252" i="3"/>
  <c r="A252" i="3"/>
  <c r="G251" i="3"/>
  <c r="F251" i="3"/>
  <c r="E251" i="3"/>
  <c r="D251" i="3"/>
  <c r="C251" i="3"/>
  <c r="B251" i="3"/>
  <c r="A251" i="3"/>
  <c r="G250" i="3"/>
  <c r="F250" i="3"/>
  <c r="E250" i="3"/>
  <c r="D250" i="3"/>
  <c r="C250" i="3"/>
  <c r="B250" i="3"/>
  <c r="A250" i="3"/>
  <c r="G249" i="3"/>
  <c r="F249" i="3"/>
  <c r="E249" i="3"/>
  <c r="D249" i="3"/>
  <c r="C249" i="3"/>
  <c r="B249" i="3"/>
  <c r="A249" i="3"/>
  <c r="G248" i="3"/>
  <c r="F248" i="3"/>
  <c r="E248" i="3"/>
  <c r="D248" i="3"/>
  <c r="C248" i="3"/>
  <c r="B248" i="3"/>
  <c r="A248" i="3"/>
  <c r="G247" i="3"/>
  <c r="F247" i="3"/>
  <c r="E247" i="3"/>
  <c r="D247" i="3"/>
  <c r="C247" i="3"/>
  <c r="B247" i="3"/>
  <c r="A247" i="3"/>
  <c r="G246" i="3"/>
  <c r="F246" i="3"/>
  <c r="E246" i="3"/>
  <c r="D246" i="3"/>
  <c r="C246" i="3"/>
  <c r="B246" i="3"/>
  <c r="A246" i="3"/>
  <c r="G245" i="3"/>
  <c r="F245" i="3"/>
  <c r="E245" i="3"/>
  <c r="D245" i="3"/>
  <c r="C245" i="3"/>
  <c r="B245" i="3"/>
  <c r="A245" i="3"/>
  <c r="G244" i="3"/>
  <c r="F244" i="3"/>
  <c r="E244" i="3"/>
  <c r="D244" i="3"/>
  <c r="C244" i="3"/>
  <c r="B244" i="3"/>
  <c r="A244" i="3"/>
  <c r="G243" i="3"/>
  <c r="F243" i="3"/>
  <c r="E243" i="3"/>
  <c r="D243" i="3"/>
  <c r="C243" i="3"/>
  <c r="B243" i="3"/>
  <c r="A243" i="3"/>
  <c r="G242" i="3"/>
  <c r="F242" i="3"/>
  <c r="E242" i="3"/>
  <c r="D242" i="3"/>
  <c r="C242" i="3"/>
  <c r="B242" i="3"/>
  <c r="A242" i="3"/>
  <c r="G241" i="3"/>
  <c r="F241" i="3"/>
  <c r="E241" i="3"/>
  <c r="D241" i="3"/>
  <c r="C241" i="3"/>
  <c r="B241" i="3"/>
  <c r="A241" i="3"/>
  <c r="G240" i="3"/>
  <c r="F240" i="3"/>
  <c r="E240" i="3"/>
  <c r="D240" i="3"/>
  <c r="C240" i="3"/>
  <c r="B240" i="3"/>
  <c r="A240" i="3"/>
  <c r="G239" i="3"/>
  <c r="F239" i="3"/>
  <c r="E239" i="3"/>
  <c r="D239" i="3"/>
  <c r="C239" i="3"/>
  <c r="B239" i="3"/>
  <c r="A239" i="3"/>
  <c r="G238" i="3"/>
  <c r="F238" i="3"/>
  <c r="E238" i="3"/>
  <c r="D238" i="3"/>
  <c r="C238" i="3"/>
  <c r="B238" i="3"/>
  <c r="A238" i="3"/>
  <c r="G237" i="3"/>
  <c r="F237" i="3"/>
  <c r="E237" i="3"/>
  <c r="D237" i="3"/>
  <c r="C237" i="3"/>
  <c r="B237" i="3"/>
  <c r="A237" i="3"/>
  <c r="G236" i="3"/>
  <c r="F236" i="3"/>
  <c r="E236" i="3"/>
  <c r="D236" i="3"/>
  <c r="C236" i="3"/>
  <c r="B236" i="3"/>
  <c r="A236" i="3"/>
  <c r="G235" i="3"/>
  <c r="F235" i="3"/>
  <c r="E235" i="3"/>
  <c r="D235" i="3"/>
  <c r="C235" i="3"/>
  <c r="B235" i="3"/>
  <c r="A235" i="3"/>
  <c r="G234" i="3"/>
  <c r="F234" i="3"/>
  <c r="E234" i="3"/>
  <c r="D234" i="3"/>
  <c r="C234" i="3"/>
  <c r="B234" i="3"/>
  <c r="A234" i="3"/>
  <c r="G233" i="3"/>
  <c r="F233" i="3"/>
  <c r="E233" i="3"/>
  <c r="D233" i="3"/>
  <c r="C233" i="3"/>
  <c r="B233" i="3"/>
  <c r="A233" i="3"/>
  <c r="G232" i="3"/>
  <c r="F232" i="3"/>
  <c r="E232" i="3"/>
  <c r="D232" i="3"/>
  <c r="C232" i="3"/>
  <c r="B232" i="3"/>
  <c r="A232" i="3"/>
  <c r="G231" i="3"/>
  <c r="F231" i="3"/>
  <c r="E231" i="3"/>
  <c r="D231" i="3"/>
  <c r="C231" i="3"/>
  <c r="B231" i="3"/>
  <c r="A231" i="3"/>
  <c r="G230" i="3"/>
  <c r="F230" i="3"/>
  <c r="E230" i="3"/>
  <c r="D230" i="3"/>
  <c r="C230" i="3"/>
  <c r="B230" i="3"/>
  <c r="A230" i="3"/>
  <c r="G229" i="3"/>
  <c r="F229" i="3"/>
  <c r="E229" i="3"/>
  <c r="D229" i="3"/>
  <c r="C229" i="3"/>
  <c r="B229" i="3"/>
  <c r="A229" i="3"/>
  <c r="G228" i="3"/>
  <c r="F228" i="3"/>
  <c r="E228" i="3"/>
  <c r="D228" i="3"/>
  <c r="C228" i="3"/>
  <c r="B228" i="3"/>
  <c r="A228" i="3"/>
  <c r="G227" i="3"/>
  <c r="F227" i="3"/>
  <c r="E227" i="3"/>
  <c r="D227" i="3"/>
  <c r="C227" i="3"/>
  <c r="B227" i="3"/>
  <c r="A227" i="3"/>
  <c r="G226" i="3"/>
  <c r="F226" i="3"/>
  <c r="E226" i="3"/>
  <c r="D226" i="3"/>
  <c r="C226" i="3"/>
  <c r="B226" i="3"/>
  <c r="A226" i="3"/>
  <c r="G225" i="3"/>
  <c r="F225" i="3"/>
  <c r="E225" i="3"/>
  <c r="D225" i="3"/>
  <c r="C225" i="3"/>
  <c r="B225" i="3"/>
  <c r="A225" i="3"/>
  <c r="G224" i="3"/>
  <c r="F224" i="3"/>
  <c r="E224" i="3"/>
  <c r="D224" i="3"/>
  <c r="C224" i="3"/>
  <c r="B224" i="3"/>
  <c r="A224" i="3"/>
  <c r="G223" i="3"/>
  <c r="F223" i="3"/>
  <c r="E223" i="3"/>
  <c r="D223" i="3"/>
  <c r="C223" i="3"/>
  <c r="B223" i="3"/>
  <c r="A223" i="3"/>
  <c r="G222" i="3"/>
  <c r="F222" i="3"/>
  <c r="E222" i="3"/>
  <c r="D222" i="3"/>
  <c r="C222" i="3"/>
  <c r="B222" i="3"/>
  <c r="A222" i="3"/>
  <c r="G221" i="3"/>
  <c r="F221" i="3"/>
  <c r="E221" i="3"/>
  <c r="D221" i="3"/>
  <c r="C221" i="3"/>
  <c r="B221" i="3"/>
  <c r="A221" i="3"/>
  <c r="G220" i="3"/>
  <c r="F220" i="3"/>
  <c r="E220" i="3"/>
  <c r="D220" i="3"/>
  <c r="C220" i="3"/>
  <c r="B220" i="3"/>
  <c r="A220" i="3"/>
  <c r="G219" i="3"/>
  <c r="F219" i="3"/>
  <c r="E219" i="3"/>
  <c r="D219" i="3"/>
  <c r="C219" i="3"/>
  <c r="B219" i="3"/>
  <c r="A219" i="3"/>
  <c r="G218" i="3"/>
  <c r="F218" i="3"/>
  <c r="E218" i="3"/>
  <c r="D218" i="3"/>
  <c r="C218" i="3"/>
  <c r="B218" i="3"/>
  <c r="A218" i="3"/>
  <c r="G217" i="3"/>
  <c r="F217" i="3"/>
  <c r="E217" i="3"/>
  <c r="D217" i="3"/>
  <c r="C217" i="3"/>
  <c r="B217" i="3"/>
  <c r="A217" i="3"/>
  <c r="G216" i="3"/>
  <c r="F216" i="3"/>
  <c r="E216" i="3"/>
  <c r="D216" i="3"/>
  <c r="C216" i="3"/>
  <c r="B216" i="3"/>
  <c r="A216" i="3"/>
  <c r="G215" i="3"/>
  <c r="F215" i="3"/>
  <c r="E215" i="3"/>
  <c r="D215" i="3"/>
  <c r="C215" i="3"/>
  <c r="B215" i="3"/>
  <c r="A215" i="3"/>
  <c r="G214" i="3"/>
  <c r="F214" i="3"/>
  <c r="E214" i="3"/>
  <c r="D214" i="3"/>
  <c r="C214" i="3"/>
  <c r="B214" i="3"/>
  <c r="A214" i="3"/>
  <c r="G213" i="3"/>
  <c r="F213" i="3"/>
  <c r="E213" i="3"/>
  <c r="D213" i="3"/>
  <c r="C213" i="3"/>
  <c r="B213" i="3"/>
  <c r="A213" i="3"/>
  <c r="G212" i="3"/>
  <c r="F212" i="3"/>
  <c r="E212" i="3"/>
  <c r="D212" i="3"/>
  <c r="C212" i="3"/>
  <c r="B212" i="3"/>
  <c r="A212" i="3"/>
  <c r="G211" i="3"/>
  <c r="F211" i="3"/>
  <c r="E211" i="3"/>
  <c r="D211" i="3"/>
  <c r="C211" i="3"/>
  <c r="B211" i="3"/>
  <c r="A211" i="3"/>
  <c r="G210" i="3"/>
  <c r="F210" i="3"/>
  <c r="E210" i="3"/>
  <c r="D210" i="3"/>
  <c r="C210" i="3"/>
  <c r="B210" i="3"/>
  <c r="A210" i="3"/>
  <c r="G209" i="3"/>
  <c r="F209" i="3"/>
  <c r="E209" i="3"/>
  <c r="D209" i="3"/>
  <c r="C209" i="3"/>
  <c r="B209" i="3"/>
  <c r="A209" i="3"/>
  <c r="G208" i="3"/>
  <c r="F208" i="3"/>
  <c r="E208" i="3"/>
  <c r="D208" i="3"/>
  <c r="C208" i="3"/>
  <c r="B208" i="3"/>
  <c r="A208" i="3"/>
  <c r="G207" i="3"/>
  <c r="F207" i="3"/>
  <c r="E207" i="3"/>
  <c r="D207" i="3"/>
  <c r="C207" i="3"/>
  <c r="B207" i="3"/>
  <c r="A207" i="3"/>
  <c r="G206" i="3"/>
  <c r="F206" i="3"/>
  <c r="E206" i="3"/>
  <c r="D206" i="3"/>
  <c r="C206" i="3"/>
  <c r="B206" i="3"/>
  <c r="A206" i="3"/>
  <c r="G205" i="3"/>
  <c r="F205" i="3"/>
  <c r="E205" i="3"/>
  <c r="D205" i="3"/>
  <c r="C205" i="3"/>
  <c r="B205" i="3"/>
  <c r="A205" i="3"/>
  <c r="G204" i="3"/>
  <c r="F204" i="3"/>
  <c r="E204" i="3"/>
  <c r="D204" i="3"/>
  <c r="C204" i="3"/>
  <c r="B204" i="3"/>
  <c r="A204" i="3"/>
  <c r="G203" i="3"/>
  <c r="F203" i="3"/>
  <c r="E203" i="3"/>
  <c r="D203" i="3"/>
  <c r="C203" i="3"/>
  <c r="B203" i="3"/>
  <c r="A203" i="3"/>
  <c r="G202" i="3"/>
  <c r="F202" i="3"/>
  <c r="E202" i="3"/>
  <c r="D202" i="3"/>
  <c r="C202" i="3"/>
  <c r="B202" i="3"/>
  <c r="A202" i="3"/>
  <c r="G201" i="3"/>
  <c r="F201" i="3"/>
  <c r="E201" i="3"/>
  <c r="D201" i="3"/>
  <c r="C201" i="3"/>
  <c r="B201" i="3"/>
  <c r="A201" i="3"/>
  <c r="G200" i="3"/>
  <c r="F200" i="3"/>
  <c r="E200" i="3"/>
  <c r="D200" i="3"/>
  <c r="C200" i="3"/>
  <c r="B200" i="3"/>
  <c r="A200" i="3"/>
  <c r="G199" i="3"/>
  <c r="F199" i="3"/>
  <c r="E199" i="3"/>
  <c r="D199" i="3"/>
  <c r="C199" i="3"/>
  <c r="B199" i="3"/>
  <c r="A199" i="3"/>
  <c r="G198" i="3"/>
  <c r="F198" i="3"/>
  <c r="E198" i="3"/>
  <c r="D198" i="3"/>
  <c r="C198" i="3"/>
  <c r="B198" i="3"/>
  <c r="A198" i="3"/>
  <c r="G197" i="3"/>
  <c r="F197" i="3"/>
  <c r="E197" i="3"/>
  <c r="D197" i="3"/>
  <c r="C197" i="3"/>
  <c r="B197" i="3"/>
  <c r="A197" i="3"/>
  <c r="G196" i="3"/>
  <c r="F196" i="3"/>
  <c r="E196" i="3"/>
  <c r="D196" i="3"/>
  <c r="C196" i="3"/>
  <c r="B196" i="3"/>
  <c r="A196" i="3"/>
  <c r="G195" i="3"/>
  <c r="F195" i="3"/>
  <c r="E195" i="3"/>
  <c r="D195" i="3"/>
  <c r="C195" i="3"/>
  <c r="B195" i="3"/>
  <c r="A195" i="3"/>
  <c r="G194" i="3"/>
  <c r="F194" i="3"/>
  <c r="E194" i="3"/>
  <c r="D194" i="3"/>
  <c r="C194" i="3"/>
  <c r="B194" i="3"/>
  <c r="A194" i="3"/>
  <c r="G193" i="3"/>
  <c r="F193" i="3"/>
  <c r="E193" i="3"/>
  <c r="D193" i="3"/>
  <c r="C193" i="3"/>
  <c r="B193" i="3"/>
  <c r="A193" i="3"/>
  <c r="G192" i="3"/>
  <c r="F192" i="3"/>
  <c r="E192" i="3"/>
  <c r="D192" i="3"/>
  <c r="C192" i="3"/>
  <c r="B192" i="3"/>
  <c r="A192" i="3"/>
  <c r="G191" i="3"/>
  <c r="F191" i="3"/>
  <c r="E191" i="3"/>
  <c r="D191" i="3"/>
  <c r="C191" i="3"/>
  <c r="B191" i="3"/>
  <c r="A191" i="3"/>
  <c r="G190" i="3"/>
  <c r="F190" i="3"/>
  <c r="E190" i="3"/>
  <c r="D190" i="3"/>
  <c r="C190" i="3"/>
  <c r="B190" i="3"/>
  <c r="A190" i="3"/>
  <c r="G189" i="3"/>
  <c r="F189" i="3"/>
  <c r="E189" i="3"/>
  <c r="D189" i="3"/>
  <c r="C189" i="3"/>
  <c r="B189" i="3"/>
  <c r="A189" i="3"/>
  <c r="G188" i="3"/>
  <c r="F188" i="3"/>
  <c r="E188" i="3"/>
  <c r="D188" i="3"/>
  <c r="C188" i="3"/>
  <c r="B188" i="3"/>
  <c r="A188" i="3"/>
  <c r="G187" i="3"/>
  <c r="F187" i="3"/>
  <c r="E187" i="3"/>
  <c r="D187" i="3"/>
  <c r="C187" i="3"/>
  <c r="B187" i="3"/>
  <c r="A187" i="3"/>
  <c r="G186" i="3"/>
  <c r="F186" i="3"/>
  <c r="E186" i="3"/>
  <c r="D186" i="3"/>
  <c r="C186" i="3"/>
  <c r="B186" i="3"/>
  <c r="A186" i="3"/>
  <c r="G185" i="3"/>
  <c r="F185" i="3"/>
  <c r="E185" i="3"/>
  <c r="D185" i="3"/>
  <c r="C185" i="3"/>
  <c r="B185" i="3"/>
  <c r="A185" i="3"/>
  <c r="G184" i="3"/>
  <c r="F184" i="3"/>
  <c r="E184" i="3"/>
  <c r="D184" i="3"/>
  <c r="C184" i="3"/>
  <c r="B184" i="3"/>
  <c r="A184" i="3"/>
  <c r="G183" i="3"/>
  <c r="F183" i="3"/>
  <c r="E183" i="3"/>
  <c r="D183" i="3"/>
  <c r="C183" i="3"/>
  <c r="B183" i="3"/>
  <c r="A183" i="3"/>
  <c r="G182" i="3"/>
  <c r="F182" i="3"/>
  <c r="E182" i="3"/>
  <c r="D182" i="3"/>
  <c r="C182" i="3"/>
  <c r="B182" i="3"/>
  <c r="A182" i="3"/>
  <c r="G181" i="3"/>
  <c r="F181" i="3"/>
  <c r="E181" i="3"/>
  <c r="D181" i="3"/>
  <c r="C181" i="3"/>
  <c r="B181" i="3"/>
  <c r="A181" i="3"/>
  <c r="G180" i="3"/>
  <c r="F180" i="3"/>
  <c r="E180" i="3"/>
  <c r="D180" i="3"/>
  <c r="C180" i="3"/>
  <c r="B180" i="3"/>
  <c r="A180" i="3"/>
  <c r="G179" i="3"/>
  <c r="F179" i="3"/>
  <c r="E179" i="3"/>
  <c r="D179" i="3"/>
  <c r="C179" i="3"/>
  <c r="B179" i="3"/>
  <c r="A179" i="3"/>
  <c r="G178" i="3"/>
  <c r="F178" i="3"/>
  <c r="E178" i="3"/>
  <c r="D178" i="3"/>
  <c r="C178" i="3"/>
  <c r="B178" i="3"/>
  <c r="A178" i="3"/>
  <c r="G177" i="3"/>
  <c r="F177" i="3"/>
  <c r="E177" i="3"/>
  <c r="D177" i="3"/>
  <c r="C177" i="3"/>
  <c r="B177" i="3"/>
  <c r="A177" i="3"/>
  <c r="G176" i="3"/>
  <c r="F176" i="3"/>
  <c r="E176" i="3"/>
  <c r="D176" i="3"/>
  <c r="C176" i="3"/>
  <c r="B176" i="3"/>
  <c r="A176" i="3"/>
  <c r="G175" i="3"/>
  <c r="F175" i="3"/>
  <c r="E175" i="3"/>
  <c r="D175" i="3"/>
  <c r="C175" i="3"/>
  <c r="B175" i="3"/>
  <c r="A175" i="3"/>
  <c r="G174" i="3"/>
  <c r="F174" i="3"/>
  <c r="E174" i="3"/>
  <c r="D174" i="3"/>
  <c r="C174" i="3"/>
  <c r="B174" i="3"/>
  <c r="A174" i="3"/>
  <c r="G173" i="3"/>
  <c r="F173" i="3"/>
  <c r="E173" i="3"/>
  <c r="D173" i="3"/>
  <c r="C173" i="3"/>
  <c r="B173" i="3"/>
  <c r="A173" i="3"/>
  <c r="G172" i="3"/>
  <c r="F172" i="3"/>
  <c r="E172" i="3"/>
  <c r="D172" i="3"/>
  <c r="C172" i="3"/>
  <c r="B172" i="3"/>
  <c r="A172" i="3"/>
  <c r="G171" i="3"/>
  <c r="F171" i="3"/>
  <c r="E171" i="3"/>
  <c r="D171" i="3"/>
  <c r="C171" i="3"/>
  <c r="B171" i="3"/>
  <c r="A171" i="3"/>
  <c r="G170" i="3"/>
  <c r="F170" i="3"/>
  <c r="E170" i="3"/>
  <c r="D170" i="3"/>
  <c r="C170" i="3"/>
  <c r="B170" i="3"/>
  <c r="A170" i="3"/>
  <c r="G169" i="3"/>
  <c r="F169" i="3"/>
  <c r="E169" i="3"/>
  <c r="D169" i="3"/>
  <c r="C169" i="3"/>
  <c r="B169" i="3"/>
  <c r="A169" i="3"/>
  <c r="G168" i="3"/>
  <c r="F168" i="3"/>
  <c r="E168" i="3"/>
  <c r="D168" i="3"/>
  <c r="C168" i="3"/>
  <c r="B168" i="3"/>
  <c r="A168" i="3"/>
  <c r="G167" i="3"/>
  <c r="F167" i="3"/>
  <c r="E167" i="3"/>
  <c r="D167" i="3"/>
  <c r="C167" i="3"/>
  <c r="B167" i="3"/>
  <c r="A167" i="3"/>
  <c r="G166" i="3"/>
  <c r="F166" i="3"/>
  <c r="E166" i="3"/>
  <c r="D166" i="3"/>
  <c r="C166" i="3"/>
  <c r="B166" i="3"/>
  <c r="A166" i="3"/>
  <c r="G165" i="3"/>
  <c r="F165" i="3"/>
  <c r="E165" i="3"/>
  <c r="D165" i="3"/>
  <c r="C165" i="3"/>
  <c r="B165" i="3"/>
  <c r="A165" i="3"/>
  <c r="G164" i="3"/>
  <c r="F164" i="3"/>
  <c r="E164" i="3"/>
  <c r="D164" i="3"/>
  <c r="C164" i="3"/>
  <c r="B164" i="3"/>
  <c r="A164" i="3"/>
  <c r="G163" i="3"/>
  <c r="F163" i="3"/>
  <c r="E163" i="3"/>
  <c r="D163" i="3"/>
  <c r="C163" i="3"/>
  <c r="B163" i="3"/>
  <c r="A163" i="3"/>
  <c r="G162" i="3"/>
  <c r="F162" i="3"/>
  <c r="E162" i="3"/>
  <c r="D162" i="3"/>
  <c r="C162" i="3"/>
  <c r="B162" i="3"/>
  <c r="A162" i="3"/>
  <c r="G161" i="3"/>
  <c r="F161" i="3"/>
  <c r="E161" i="3"/>
  <c r="D161" i="3"/>
  <c r="C161" i="3"/>
  <c r="B161" i="3"/>
  <c r="A161" i="3"/>
  <c r="G160" i="3"/>
  <c r="F160" i="3"/>
  <c r="E160" i="3"/>
  <c r="D160" i="3"/>
  <c r="C160" i="3"/>
  <c r="B160" i="3"/>
  <c r="A160" i="3"/>
  <c r="G159" i="3"/>
  <c r="F159" i="3"/>
  <c r="E159" i="3"/>
  <c r="D159" i="3"/>
  <c r="C159" i="3"/>
  <c r="B159" i="3"/>
  <c r="A159" i="3"/>
  <c r="G158" i="3"/>
  <c r="F158" i="3"/>
  <c r="E158" i="3"/>
  <c r="D158" i="3"/>
  <c r="C158" i="3"/>
  <c r="B158" i="3"/>
  <c r="A158" i="3"/>
  <c r="G157" i="3"/>
  <c r="F157" i="3"/>
  <c r="E157" i="3"/>
  <c r="D157" i="3"/>
  <c r="C157" i="3"/>
  <c r="B157" i="3"/>
  <c r="A157" i="3"/>
  <c r="G156" i="3"/>
  <c r="F156" i="3"/>
  <c r="E156" i="3"/>
  <c r="D156" i="3"/>
  <c r="C156" i="3"/>
  <c r="B156" i="3"/>
  <c r="A156" i="3"/>
  <c r="G155" i="3"/>
  <c r="F155" i="3"/>
  <c r="E155" i="3"/>
  <c r="D155" i="3"/>
  <c r="C155" i="3"/>
  <c r="B155" i="3"/>
  <c r="A155" i="3"/>
  <c r="G154" i="3"/>
  <c r="F154" i="3"/>
  <c r="E154" i="3"/>
  <c r="D154" i="3"/>
  <c r="C154" i="3"/>
  <c r="B154" i="3"/>
  <c r="A154" i="3"/>
  <c r="G153" i="3"/>
  <c r="F153" i="3"/>
  <c r="E153" i="3"/>
  <c r="D153" i="3"/>
  <c r="C153" i="3"/>
  <c r="B153" i="3"/>
  <c r="A153" i="3"/>
  <c r="G152" i="3"/>
  <c r="F152" i="3"/>
  <c r="E152" i="3"/>
  <c r="D152" i="3"/>
  <c r="C152" i="3"/>
  <c r="B152" i="3"/>
  <c r="A152" i="3"/>
  <c r="G151" i="3"/>
  <c r="F151" i="3"/>
  <c r="E151" i="3"/>
  <c r="D151" i="3"/>
  <c r="C151" i="3"/>
  <c r="B151" i="3"/>
  <c r="A151" i="3"/>
  <c r="G150" i="3"/>
  <c r="F150" i="3"/>
  <c r="E150" i="3"/>
  <c r="D150" i="3"/>
  <c r="C150" i="3"/>
  <c r="B150" i="3"/>
  <c r="A150" i="3"/>
  <c r="G149" i="3"/>
  <c r="F149" i="3"/>
  <c r="E149" i="3"/>
  <c r="D149" i="3"/>
  <c r="C149" i="3"/>
  <c r="B149" i="3"/>
  <c r="A149" i="3"/>
  <c r="G148" i="3"/>
  <c r="F148" i="3"/>
  <c r="E148" i="3"/>
  <c r="D148" i="3"/>
  <c r="C148" i="3"/>
  <c r="B148" i="3"/>
  <c r="A148" i="3"/>
  <c r="G147" i="3"/>
  <c r="F147" i="3"/>
  <c r="E147" i="3"/>
  <c r="D147" i="3"/>
  <c r="C147" i="3"/>
  <c r="B147" i="3"/>
  <c r="A147" i="3"/>
  <c r="G146" i="3"/>
  <c r="F146" i="3"/>
  <c r="E146" i="3"/>
  <c r="D146" i="3"/>
  <c r="C146" i="3"/>
  <c r="B146" i="3"/>
  <c r="A146" i="3"/>
  <c r="G145" i="3"/>
  <c r="F145" i="3"/>
  <c r="E145" i="3"/>
  <c r="D145" i="3"/>
  <c r="C145" i="3"/>
  <c r="B145" i="3"/>
  <c r="A145" i="3"/>
  <c r="G144" i="3"/>
  <c r="F144" i="3"/>
  <c r="E144" i="3"/>
  <c r="D144" i="3"/>
  <c r="C144" i="3"/>
  <c r="B144" i="3"/>
  <c r="A144" i="3"/>
  <c r="G143" i="3"/>
  <c r="F143" i="3"/>
  <c r="E143" i="3"/>
  <c r="D143" i="3"/>
  <c r="C143" i="3"/>
  <c r="B143" i="3"/>
  <c r="A143" i="3"/>
  <c r="G142" i="3"/>
  <c r="F142" i="3"/>
  <c r="E142" i="3"/>
  <c r="D142" i="3"/>
  <c r="C142" i="3"/>
  <c r="B142" i="3"/>
  <c r="A142" i="3"/>
  <c r="G141" i="3"/>
  <c r="F141" i="3"/>
  <c r="E141" i="3"/>
  <c r="D141" i="3"/>
  <c r="C141" i="3"/>
  <c r="B141" i="3"/>
  <c r="A141" i="3"/>
  <c r="G140" i="3"/>
  <c r="F140" i="3"/>
  <c r="E140" i="3"/>
  <c r="D140" i="3"/>
  <c r="C140" i="3"/>
  <c r="B140" i="3"/>
  <c r="A140" i="3"/>
  <c r="G139" i="3"/>
  <c r="F139" i="3"/>
  <c r="E139" i="3"/>
  <c r="D139" i="3"/>
  <c r="C139" i="3"/>
  <c r="B139" i="3"/>
  <c r="A139" i="3"/>
  <c r="G138" i="3"/>
  <c r="F138" i="3"/>
  <c r="E138" i="3"/>
  <c r="D138" i="3"/>
  <c r="C138" i="3"/>
  <c r="B138" i="3"/>
  <c r="A138" i="3"/>
  <c r="G137" i="3"/>
  <c r="F137" i="3"/>
  <c r="E137" i="3"/>
  <c r="D137" i="3"/>
  <c r="C137" i="3"/>
  <c r="B137" i="3"/>
  <c r="A137" i="3"/>
  <c r="G136" i="3"/>
  <c r="F136" i="3"/>
  <c r="E136" i="3"/>
  <c r="D136" i="3"/>
  <c r="C136" i="3"/>
  <c r="B136" i="3"/>
  <c r="A136" i="3"/>
  <c r="G135" i="3"/>
  <c r="F135" i="3"/>
  <c r="E135" i="3"/>
  <c r="D135" i="3"/>
  <c r="C135" i="3"/>
  <c r="B135" i="3"/>
  <c r="A135" i="3"/>
  <c r="G134" i="3"/>
  <c r="F134" i="3"/>
  <c r="E134" i="3"/>
  <c r="D134" i="3"/>
  <c r="C134" i="3"/>
  <c r="B134" i="3"/>
  <c r="A134" i="3"/>
  <c r="G133" i="3"/>
  <c r="F133" i="3"/>
  <c r="E133" i="3"/>
  <c r="D133" i="3"/>
  <c r="C133" i="3"/>
  <c r="B133" i="3"/>
  <c r="A133" i="3"/>
  <c r="G132" i="3"/>
  <c r="F132" i="3"/>
  <c r="E132" i="3"/>
  <c r="D132" i="3"/>
  <c r="C132" i="3"/>
  <c r="B132" i="3"/>
  <c r="A132" i="3"/>
  <c r="G131" i="3"/>
  <c r="F131" i="3"/>
  <c r="E131" i="3"/>
  <c r="D131" i="3"/>
  <c r="C131" i="3"/>
  <c r="B131" i="3"/>
  <c r="A131" i="3"/>
  <c r="G130" i="3"/>
  <c r="F130" i="3"/>
  <c r="E130" i="3"/>
  <c r="D130" i="3"/>
  <c r="C130" i="3"/>
  <c r="B130" i="3"/>
  <c r="A130" i="3"/>
  <c r="G129" i="3"/>
  <c r="F129" i="3"/>
  <c r="E129" i="3"/>
  <c r="D129" i="3"/>
  <c r="C129" i="3"/>
  <c r="B129" i="3"/>
  <c r="A129" i="3"/>
  <c r="G128" i="3"/>
  <c r="F128" i="3"/>
  <c r="E128" i="3"/>
  <c r="D128" i="3"/>
  <c r="C128" i="3"/>
  <c r="B128" i="3"/>
  <c r="A128" i="3"/>
  <c r="G127" i="3"/>
  <c r="F127" i="3"/>
  <c r="E127" i="3"/>
  <c r="D127" i="3"/>
  <c r="C127" i="3"/>
  <c r="B127" i="3"/>
  <c r="A127" i="3"/>
  <c r="G126" i="3"/>
  <c r="F126" i="3"/>
  <c r="E126" i="3"/>
  <c r="D126" i="3"/>
  <c r="C126" i="3"/>
  <c r="B126" i="3"/>
  <c r="A126" i="3"/>
  <c r="G125" i="3"/>
  <c r="F125" i="3"/>
  <c r="E125" i="3"/>
  <c r="D125" i="3"/>
  <c r="C125" i="3"/>
  <c r="B125" i="3"/>
  <c r="A125" i="3"/>
  <c r="G124" i="3"/>
  <c r="F124" i="3"/>
  <c r="E124" i="3"/>
  <c r="D124" i="3"/>
  <c r="C124" i="3"/>
  <c r="B124" i="3"/>
  <c r="A124" i="3"/>
  <c r="G123" i="3"/>
  <c r="F123" i="3"/>
  <c r="E123" i="3"/>
  <c r="D123" i="3"/>
  <c r="C123" i="3"/>
  <c r="B123" i="3"/>
  <c r="A123" i="3"/>
  <c r="G122" i="3"/>
  <c r="F122" i="3"/>
  <c r="E122" i="3"/>
  <c r="D122" i="3"/>
  <c r="C122" i="3"/>
  <c r="B122" i="3"/>
  <c r="A122" i="3"/>
  <c r="G121" i="3"/>
  <c r="F121" i="3"/>
  <c r="E121" i="3"/>
  <c r="D121" i="3"/>
  <c r="C121" i="3"/>
  <c r="B121" i="3"/>
  <c r="A121" i="3"/>
  <c r="G120" i="3"/>
  <c r="F120" i="3"/>
  <c r="E120" i="3"/>
  <c r="D120" i="3"/>
  <c r="C120" i="3"/>
  <c r="B120" i="3"/>
  <c r="A120" i="3"/>
  <c r="G119" i="3"/>
  <c r="F119" i="3"/>
  <c r="E119" i="3"/>
  <c r="D119" i="3"/>
  <c r="C119" i="3"/>
  <c r="B119" i="3"/>
  <c r="A119" i="3"/>
  <c r="G118" i="3"/>
  <c r="F118" i="3"/>
  <c r="E118" i="3"/>
  <c r="D118" i="3"/>
  <c r="C118" i="3"/>
  <c r="B118" i="3"/>
  <c r="A118" i="3"/>
  <c r="G117" i="3"/>
  <c r="F117" i="3"/>
  <c r="E117" i="3"/>
  <c r="D117" i="3"/>
  <c r="C117" i="3"/>
  <c r="B117" i="3"/>
  <c r="A117" i="3"/>
  <c r="G116" i="3"/>
  <c r="F116" i="3"/>
  <c r="E116" i="3"/>
  <c r="D116" i="3"/>
  <c r="C116" i="3"/>
  <c r="B116" i="3"/>
  <c r="A116" i="3"/>
  <c r="G115" i="3"/>
  <c r="F115" i="3"/>
  <c r="E115" i="3"/>
  <c r="D115" i="3"/>
  <c r="C115" i="3"/>
  <c r="B115" i="3"/>
  <c r="A115" i="3"/>
  <c r="G114" i="3"/>
  <c r="F114" i="3"/>
  <c r="E114" i="3"/>
  <c r="D114" i="3"/>
  <c r="C114" i="3"/>
  <c r="B114" i="3"/>
  <c r="A114" i="3"/>
  <c r="G113" i="3"/>
  <c r="F113" i="3"/>
  <c r="E113" i="3"/>
  <c r="D113" i="3"/>
  <c r="C113" i="3"/>
  <c r="B113" i="3"/>
  <c r="A113" i="3"/>
  <c r="G112" i="3"/>
  <c r="F112" i="3"/>
  <c r="E112" i="3"/>
  <c r="D112" i="3"/>
  <c r="C112" i="3"/>
  <c r="B112" i="3"/>
  <c r="A112" i="3"/>
  <c r="G111" i="3"/>
  <c r="F111" i="3"/>
  <c r="E111" i="3"/>
  <c r="D111" i="3"/>
  <c r="C111" i="3"/>
  <c r="B111" i="3"/>
  <c r="A111" i="3"/>
  <c r="G110" i="3"/>
  <c r="F110" i="3"/>
  <c r="E110" i="3"/>
  <c r="D110" i="3"/>
  <c r="C110" i="3"/>
  <c r="B110" i="3"/>
  <c r="A110" i="3"/>
  <c r="G109" i="3"/>
  <c r="F109" i="3"/>
  <c r="E109" i="3"/>
  <c r="D109" i="3"/>
  <c r="C109" i="3"/>
  <c r="B109" i="3"/>
  <c r="A109" i="3"/>
  <c r="G108" i="3"/>
  <c r="F108" i="3"/>
  <c r="E108" i="3"/>
  <c r="D108" i="3"/>
  <c r="C108" i="3"/>
  <c r="B108" i="3"/>
  <c r="A108" i="3"/>
  <c r="G107" i="3"/>
  <c r="F107" i="3"/>
  <c r="E107" i="3"/>
  <c r="D107" i="3"/>
  <c r="C107" i="3"/>
  <c r="B107" i="3"/>
  <c r="A107" i="3"/>
  <c r="G106" i="3"/>
  <c r="F106" i="3"/>
  <c r="E106" i="3"/>
  <c r="D106" i="3"/>
  <c r="C106" i="3"/>
  <c r="B106" i="3"/>
  <c r="A106" i="3"/>
  <c r="G105" i="3"/>
  <c r="F105" i="3"/>
  <c r="E105" i="3"/>
  <c r="D105" i="3"/>
  <c r="C105" i="3"/>
  <c r="B105" i="3"/>
  <c r="A105" i="3"/>
  <c r="G104" i="3"/>
  <c r="F104" i="3"/>
  <c r="E104" i="3"/>
  <c r="D104" i="3"/>
  <c r="C104" i="3"/>
  <c r="B104" i="3"/>
  <c r="A104" i="3"/>
  <c r="G103" i="3"/>
  <c r="F103" i="3"/>
  <c r="E103" i="3"/>
  <c r="D103" i="3"/>
  <c r="C103" i="3"/>
  <c r="B103" i="3"/>
  <c r="A103" i="3"/>
  <c r="G102" i="3"/>
  <c r="F102" i="3"/>
  <c r="E102" i="3"/>
  <c r="D102" i="3"/>
  <c r="C102" i="3"/>
  <c r="B102" i="3"/>
  <c r="A102" i="3"/>
  <c r="G101" i="3"/>
  <c r="F101" i="3"/>
  <c r="E101" i="3"/>
  <c r="D101" i="3"/>
  <c r="C101" i="3"/>
  <c r="B101" i="3"/>
  <c r="A101" i="3"/>
  <c r="G100" i="3"/>
  <c r="F100" i="3"/>
  <c r="E100" i="3"/>
  <c r="D100" i="3"/>
  <c r="C100" i="3"/>
  <c r="B100" i="3"/>
  <c r="A100" i="3"/>
  <c r="G99" i="3"/>
  <c r="F99" i="3"/>
  <c r="E99" i="3"/>
  <c r="D99" i="3"/>
  <c r="C99" i="3"/>
  <c r="B99" i="3"/>
  <c r="A99" i="3"/>
  <c r="G98" i="3"/>
  <c r="F98" i="3"/>
  <c r="E98" i="3"/>
  <c r="D98" i="3"/>
  <c r="C98" i="3"/>
  <c r="B98" i="3"/>
  <c r="A98" i="3"/>
  <c r="G97" i="3"/>
  <c r="F97" i="3"/>
  <c r="E97" i="3"/>
  <c r="D97" i="3"/>
  <c r="C97" i="3"/>
  <c r="B97" i="3"/>
  <c r="A97" i="3"/>
  <c r="G96" i="3"/>
  <c r="F96" i="3"/>
  <c r="E96" i="3"/>
  <c r="D96" i="3"/>
  <c r="C96" i="3"/>
  <c r="B96" i="3"/>
  <c r="A96" i="3"/>
  <c r="G95" i="3"/>
  <c r="F95" i="3"/>
  <c r="E95" i="3"/>
  <c r="D95" i="3"/>
  <c r="C95" i="3"/>
  <c r="B95" i="3"/>
  <c r="A95" i="3"/>
  <c r="G94" i="3"/>
  <c r="F94" i="3"/>
  <c r="E94" i="3"/>
  <c r="D94" i="3"/>
  <c r="C94" i="3"/>
  <c r="B94" i="3"/>
  <c r="A94" i="3"/>
  <c r="G93" i="3"/>
  <c r="F93" i="3"/>
  <c r="E93" i="3"/>
  <c r="D93" i="3"/>
  <c r="C93" i="3"/>
  <c r="B93" i="3"/>
  <c r="A93" i="3"/>
  <c r="G92" i="3"/>
  <c r="F92" i="3"/>
  <c r="E92" i="3"/>
  <c r="D92" i="3"/>
  <c r="C92" i="3"/>
  <c r="B92" i="3"/>
  <c r="A92" i="3"/>
  <c r="G91" i="3"/>
  <c r="F91" i="3"/>
  <c r="E91" i="3"/>
  <c r="D91" i="3"/>
  <c r="C91" i="3"/>
  <c r="B91" i="3"/>
  <c r="A91" i="3"/>
  <c r="G90" i="3"/>
  <c r="F90" i="3"/>
  <c r="E90" i="3"/>
  <c r="D90" i="3"/>
  <c r="C90" i="3"/>
  <c r="B90" i="3"/>
  <c r="A90" i="3"/>
  <c r="G89" i="3"/>
  <c r="F89" i="3"/>
  <c r="E89" i="3"/>
  <c r="D89" i="3"/>
  <c r="C89" i="3"/>
  <c r="B89" i="3"/>
  <c r="A89" i="3"/>
  <c r="G88" i="3"/>
  <c r="F88" i="3"/>
  <c r="E88" i="3"/>
  <c r="D88" i="3"/>
  <c r="C88" i="3"/>
  <c r="B88" i="3"/>
  <c r="A88" i="3"/>
  <c r="G87" i="3"/>
  <c r="F87" i="3"/>
  <c r="E87" i="3"/>
  <c r="D87" i="3"/>
  <c r="C87" i="3"/>
  <c r="B87" i="3"/>
  <c r="A87" i="3"/>
  <c r="G86" i="3"/>
  <c r="F86" i="3"/>
  <c r="E86" i="3"/>
  <c r="D86" i="3"/>
  <c r="C86" i="3"/>
  <c r="B86" i="3"/>
  <c r="A86" i="3"/>
  <c r="G85" i="3"/>
  <c r="F85" i="3"/>
  <c r="E85" i="3"/>
  <c r="D85" i="3"/>
  <c r="C85" i="3"/>
  <c r="B85" i="3"/>
  <c r="A85" i="3"/>
  <c r="G84" i="3"/>
  <c r="F84" i="3"/>
  <c r="E84" i="3"/>
  <c r="D84" i="3"/>
  <c r="C84" i="3"/>
  <c r="B84" i="3"/>
  <c r="A84" i="3"/>
  <c r="G83" i="3"/>
  <c r="F83" i="3"/>
  <c r="E83" i="3"/>
  <c r="D83" i="3"/>
  <c r="C83" i="3"/>
  <c r="B83" i="3"/>
  <c r="A83" i="3"/>
  <c r="G82" i="3"/>
  <c r="F82" i="3"/>
  <c r="E82" i="3"/>
  <c r="D82" i="3"/>
  <c r="C82" i="3"/>
  <c r="B82" i="3"/>
  <c r="A82" i="3"/>
  <c r="G81" i="3"/>
  <c r="F81" i="3"/>
  <c r="E81" i="3"/>
  <c r="D81" i="3"/>
  <c r="C81" i="3"/>
  <c r="B81" i="3"/>
  <c r="A81" i="3"/>
  <c r="G80" i="3"/>
  <c r="F80" i="3"/>
  <c r="E80" i="3"/>
  <c r="D80" i="3"/>
  <c r="C80" i="3"/>
  <c r="B80" i="3"/>
  <c r="A80" i="3"/>
  <c r="G79" i="3"/>
  <c r="F79" i="3"/>
  <c r="E79" i="3"/>
  <c r="D79" i="3"/>
  <c r="C79" i="3"/>
  <c r="B79" i="3"/>
  <c r="A79" i="3"/>
  <c r="G78" i="3"/>
  <c r="F78" i="3"/>
  <c r="E78" i="3"/>
  <c r="D78" i="3"/>
  <c r="C78" i="3"/>
  <c r="B78" i="3"/>
  <c r="A78" i="3"/>
  <c r="G77" i="3"/>
  <c r="F77" i="3"/>
  <c r="E77" i="3"/>
  <c r="D77" i="3"/>
  <c r="C77" i="3"/>
  <c r="B77" i="3"/>
  <c r="A77" i="3"/>
  <c r="G76" i="3"/>
  <c r="F76" i="3"/>
  <c r="E76" i="3"/>
  <c r="D76" i="3"/>
  <c r="C76" i="3"/>
  <c r="B76" i="3"/>
  <c r="A76" i="3"/>
  <c r="G75" i="3"/>
  <c r="F75" i="3"/>
  <c r="E75" i="3"/>
  <c r="D75" i="3"/>
  <c r="C75" i="3"/>
  <c r="B75" i="3"/>
  <c r="A75" i="3"/>
  <c r="G74" i="3"/>
  <c r="F74" i="3"/>
  <c r="E74" i="3"/>
  <c r="D74" i="3"/>
  <c r="C74" i="3"/>
  <c r="B74" i="3"/>
  <c r="A74" i="3"/>
  <c r="G73" i="3"/>
  <c r="F73" i="3"/>
  <c r="E73" i="3"/>
  <c r="D73" i="3"/>
  <c r="C73" i="3"/>
  <c r="B73" i="3"/>
  <c r="A73" i="3"/>
  <c r="G72" i="3"/>
  <c r="F72" i="3"/>
  <c r="E72" i="3"/>
  <c r="D72" i="3"/>
  <c r="C72" i="3"/>
  <c r="B72" i="3"/>
  <c r="A72" i="3"/>
  <c r="G71" i="3"/>
  <c r="F71" i="3"/>
  <c r="E71" i="3"/>
  <c r="D71" i="3"/>
  <c r="C71" i="3"/>
  <c r="B71" i="3"/>
  <c r="A71" i="3"/>
  <c r="G70" i="3"/>
  <c r="F70" i="3"/>
  <c r="E70" i="3"/>
  <c r="D70" i="3"/>
  <c r="C70" i="3"/>
  <c r="B70" i="3"/>
  <c r="A70" i="3"/>
  <c r="G69" i="3"/>
  <c r="F69" i="3"/>
  <c r="E69" i="3"/>
  <c r="D69" i="3"/>
  <c r="C69" i="3"/>
  <c r="B69" i="3"/>
  <c r="A69" i="3"/>
  <c r="G68" i="3"/>
  <c r="F68" i="3"/>
  <c r="E68" i="3"/>
  <c r="D68" i="3"/>
  <c r="C68" i="3"/>
  <c r="B68" i="3"/>
  <c r="A68" i="3"/>
  <c r="G67" i="3"/>
  <c r="F67" i="3"/>
  <c r="E67" i="3"/>
  <c r="D67" i="3"/>
  <c r="C67" i="3"/>
  <c r="B67" i="3"/>
  <c r="A67" i="3"/>
  <c r="G66" i="3"/>
  <c r="F66" i="3"/>
  <c r="E66" i="3"/>
  <c r="D66" i="3"/>
  <c r="C66" i="3"/>
  <c r="B66" i="3"/>
  <c r="A66" i="3"/>
  <c r="G65" i="3"/>
  <c r="F65" i="3"/>
  <c r="E65" i="3"/>
  <c r="D65" i="3"/>
  <c r="C65" i="3"/>
  <c r="B65" i="3"/>
  <c r="A65" i="3"/>
  <c r="G64" i="3"/>
  <c r="F64" i="3"/>
  <c r="E64" i="3"/>
  <c r="D64" i="3"/>
  <c r="C64" i="3"/>
  <c r="B64" i="3"/>
  <c r="A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A62" i="3"/>
  <c r="G61" i="3"/>
  <c r="F61" i="3"/>
  <c r="E61" i="3"/>
  <c r="D61" i="3"/>
  <c r="C61" i="3"/>
  <c r="B61" i="3"/>
  <c r="A61" i="3"/>
  <c r="G60" i="3"/>
  <c r="F60" i="3"/>
  <c r="E60" i="3"/>
  <c r="D60" i="3"/>
  <c r="C60" i="3"/>
  <c r="B60" i="3"/>
  <c r="A60" i="3"/>
  <c r="G59" i="3"/>
  <c r="F59" i="3"/>
  <c r="E59" i="3"/>
  <c r="D59" i="3"/>
  <c r="C59" i="3"/>
  <c r="B59" i="3"/>
  <c r="A59" i="3"/>
  <c r="G58" i="3"/>
  <c r="F58" i="3"/>
  <c r="E58" i="3"/>
  <c r="D58" i="3"/>
  <c r="C58" i="3"/>
  <c r="B58" i="3"/>
  <c r="A58" i="3"/>
  <c r="G57" i="3"/>
  <c r="F57" i="3"/>
  <c r="E57" i="3"/>
  <c r="D57" i="3"/>
  <c r="C57" i="3"/>
  <c r="B57" i="3"/>
  <c r="A57" i="3"/>
  <c r="G56" i="3"/>
  <c r="F56" i="3"/>
  <c r="E56" i="3"/>
  <c r="D56" i="3"/>
  <c r="C56" i="3"/>
  <c r="B56" i="3"/>
  <c r="A56" i="3"/>
  <c r="G55" i="3"/>
  <c r="F55" i="3"/>
  <c r="E55" i="3"/>
  <c r="D55" i="3"/>
  <c r="C55" i="3"/>
  <c r="B55" i="3"/>
  <c r="A55" i="3"/>
  <c r="G54" i="3"/>
  <c r="F54" i="3"/>
  <c r="E54" i="3"/>
  <c r="D54" i="3"/>
  <c r="C54" i="3"/>
  <c r="B54" i="3"/>
  <c r="A54" i="3"/>
  <c r="G53" i="3"/>
  <c r="F53" i="3"/>
  <c r="E53" i="3"/>
  <c r="D53" i="3"/>
  <c r="C53" i="3"/>
  <c r="B53" i="3"/>
  <c r="A53" i="3"/>
  <c r="G52" i="3"/>
  <c r="F52" i="3"/>
  <c r="E52" i="3"/>
  <c r="D52" i="3"/>
  <c r="C52" i="3"/>
  <c r="B52" i="3"/>
  <c r="A52" i="3"/>
  <c r="G51" i="3"/>
  <c r="F51" i="3"/>
  <c r="E51" i="3"/>
  <c r="D51" i="3"/>
  <c r="C51" i="3"/>
  <c r="B51" i="3"/>
  <c r="A51" i="3"/>
  <c r="G50" i="3"/>
  <c r="F50" i="3"/>
  <c r="E50" i="3"/>
  <c r="D50" i="3"/>
  <c r="C50" i="3"/>
  <c r="B50" i="3"/>
  <c r="A50" i="3"/>
  <c r="G49" i="3"/>
  <c r="F49" i="3"/>
  <c r="E49" i="3"/>
  <c r="D49" i="3"/>
  <c r="C49" i="3"/>
  <c r="B49" i="3"/>
  <c r="A49" i="3"/>
  <c r="G48" i="3"/>
  <c r="F48" i="3"/>
  <c r="E48" i="3"/>
  <c r="D48" i="3"/>
  <c r="C48" i="3"/>
  <c r="B48" i="3"/>
  <c r="A48" i="3"/>
  <c r="G47" i="3"/>
  <c r="F47" i="3"/>
  <c r="E47" i="3"/>
  <c r="D47" i="3"/>
  <c r="C47" i="3"/>
  <c r="B47" i="3"/>
  <c r="A47" i="3"/>
  <c r="G46" i="3"/>
  <c r="F46" i="3"/>
  <c r="E46" i="3"/>
  <c r="D46" i="3"/>
  <c r="C46" i="3"/>
  <c r="B46" i="3"/>
  <c r="A46" i="3"/>
  <c r="G45" i="3"/>
  <c r="F45" i="3"/>
  <c r="E45" i="3"/>
  <c r="D45" i="3"/>
  <c r="C45" i="3"/>
  <c r="B45" i="3"/>
  <c r="A45" i="3"/>
  <c r="G44" i="3"/>
  <c r="F44" i="3"/>
  <c r="E44" i="3"/>
  <c r="D44" i="3"/>
  <c r="C44" i="3"/>
  <c r="B44" i="3"/>
  <c r="A44" i="3"/>
  <c r="G43" i="3"/>
  <c r="F43" i="3"/>
  <c r="E43" i="3"/>
  <c r="D43" i="3"/>
  <c r="C43" i="3"/>
  <c r="B43" i="3"/>
  <c r="A43" i="3"/>
  <c r="G42" i="3"/>
  <c r="F42" i="3"/>
  <c r="E42" i="3"/>
  <c r="D42" i="3"/>
  <c r="C42" i="3"/>
  <c r="B42" i="3"/>
  <c r="A42" i="3"/>
  <c r="G41" i="3"/>
  <c r="F41" i="3"/>
  <c r="E41" i="3"/>
  <c r="D41" i="3"/>
  <c r="C41" i="3"/>
  <c r="B41" i="3"/>
  <c r="A41" i="3"/>
  <c r="G40" i="3"/>
  <c r="F40" i="3"/>
  <c r="E40" i="3"/>
  <c r="D40" i="3"/>
  <c r="C40" i="3"/>
  <c r="B40" i="3"/>
  <c r="A40" i="3"/>
  <c r="G39" i="3"/>
  <c r="F39" i="3"/>
  <c r="E39" i="3"/>
  <c r="D39" i="3"/>
  <c r="C39" i="3"/>
  <c r="B39" i="3"/>
  <c r="A39" i="3"/>
  <c r="G38" i="3"/>
  <c r="F38" i="3"/>
  <c r="E38" i="3"/>
  <c r="D38" i="3"/>
  <c r="C38" i="3"/>
  <c r="B38" i="3"/>
  <c r="A38" i="3"/>
  <c r="G37" i="3"/>
  <c r="F37" i="3"/>
  <c r="E37" i="3"/>
  <c r="D37" i="3"/>
  <c r="C37" i="3"/>
  <c r="B37" i="3"/>
  <c r="A37" i="3"/>
  <c r="G36" i="3"/>
  <c r="F36" i="3"/>
  <c r="E36" i="3"/>
  <c r="D36" i="3"/>
  <c r="C36" i="3"/>
  <c r="B36" i="3"/>
  <c r="A36" i="3"/>
  <c r="G35" i="3"/>
  <c r="F35" i="3"/>
  <c r="E35" i="3"/>
  <c r="D35" i="3"/>
  <c r="C35" i="3"/>
  <c r="B35" i="3"/>
  <c r="A35" i="3"/>
  <c r="G34" i="3"/>
  <c r="F34" i="3"/>
  <c r="E34" i="3"/>
  <c r="D34" i="3"/>
  <c r="C34" i="3"/>
  <c r="B34" i="3"/>
  <c r="A34" i="3"/>
  <c r="G33" i="3"/>
  <c r="F33" i="3"/>
  <c r="E33" i="3"/>
  <c r="D33" i="3"/>
  <c r="C33" i="3"/>
  <c r="B33" i="3"/>
  <c r="A33" i="3"/>
  <c r="G32" i="3"/>
  <c r="F32" i="3"/>
  <c r="E32" i="3"/>
  <c r="D32" i="3"/>
  <c r="C32" i="3"/>
  <c r="B32" i="3"/>
  <c r="A32" i="3"/>
  <c r="G31" i="3"/>
  <c r="F31" i="3"/>
  <c r="E31" i="3"/>
  <c r="D31" i="3"/>
  <c r="C31" i="3"/>
  <c r="B31" i="3"/>
  <c r="A31" i="3"/>
  <c r="G30" i="3"/>
  <c r="F30" i="3"/>
  <c r="E30" i="3"/>
  <c r="D30" i="3"/>
  <c r="C30" i="3"/>
  <c r="B30" i="3"/>
  <c r="A30" i="3"/>
  <c r="G29" i="3"/>
  <c r="F29" i="3"/>
  <c r="E29" i="3"/>
  <c r="D29" i="3"/>
  <c r="C29" i="3"/>
  <c r="B29" i="3"/>
  <c r="A29" i="3"/>
  <c r="G28" i="3"/>
  <c r="F28" i="3"/>
  <c r="E28" i="3"/>
  <c r="D28" i="3"/>
  <c r="C28" i="3"/>
  <c r="B28" i="3"/>
  <c r="A28" i="3"/>
  <c r="G27" i="3"/>
  <c r="F27" i="3"/>
  <c r="E27" i="3"/>
  <c r="D27" i="3"/>
  <c r="C27" i="3"/>
  <c r="B27" i="3"/>
  <c r="A27" i="3"/>
  <c r="G26" i="3"/>
  <c r="F26" i="3"/>
  <c r="E26" i="3"/>
  <c r="D26" i="3"/>
  <c r="C26" i="3"/>
  <c r="B26" i="3"/>
  <c r="A26" i="3"/>
  <c r="G25" i="3"/>
  <c r="F25" i="3"/>
  <c r="E25" i="3"/>
  <c r="D25" i="3"/>
  <c r="C25" i="3"/>
  <c r="B25" i="3"/>
  <c r="A25" i="3"/>
  <c r="G24" i="3"/>
  <c r="F24" i="3"/>
  <c r="E24" i="3"/>
  <c r="D24" i="3"/>
  <c r="C24" i="3"/>
  <c r="B24" i="3"/>
  <c r="A24" i="3"/>
  <c r="G23" i="3"/>
  <c r="F23" i="3"/>
  <c r="E23" i="3"/>
  <c r="D23" i="3"/>
  <c r="C23" i="3"/>
  <c r="B23" i="3"/>
  <c r="A23" i="3"/>
  <c r="G22" i="3"/>
  <c r="F22" i="3"/>
  <c r="E22" i="3"/>
  <c r="D22" i="3"/>
  <c r="C22" i="3"/>
  <c r="B22" i="3"/>
  <c r="A22" i="3"/>
  <c r="G21" i="3"/>
  <c r="F21" i="3"/>
  <c r="E21" i="3"/>
  <c r="D21" i="3"/>
  <c r="C21" i="3"/>
  <c r="B21" i="3"/>
  <c r="A21" i="3"/>
  <c r="G20" i="3"/>
  <c r="F20" i="3"/>
  <c r="E20" i="3"/>
  <c r="D20" i="3"/>
  <c r="C20" i="3"/>
  <c r="B20" i="3"/>
  <c r="A20" i="3"/>
  <c r="G19" i="3"/>
  <c r="F19" i="3"/>
  <c r="E19" i="3"/>
  <c r="D19" i="3"/>
  <c r="C19" i="3"/>
  <c r="B19" i="3"/>
  <c r="A19" i="3"/>
  <c r="G18" i="3"/>
  <c r="F18" i="3"/>
  <c r="E18" i="3"/>
  <c r="D18" i="3"/>
  <c r="C18" i="3"/>
  <c r="B18" i="3"/>
  <c r="A18" i="3"/>
  <c r="G17" i="3"/>
  <c r="F17" i="3"/>
  <c r="E17" i="3"/>
  <c r="D17" i="3"/>
  <c r="C17" i="3"/>
  <c r="B17" i="3"/>
  <c r="A17" i="3"/>
  <c r="G16" i="3"/>
  <c r="F16" i="3"/>
  <c r="E16" i="3"/>
  <c r="D16" i="3"/>
  <c r="C16" i="3"/>
  <c r="B16" i="3"/>
  <c r="A16" i="3"/>
  <c r="G15" i="3"/>
  <c r="F15" i="3"/>
  <c r="E15" i="3"/>
  <c r="D15" i="3"/>
  <c r="C15" i="3"/>
  <c r="B15" i="3"/>
  <c r="A15" i="3"/>
  <c r="G14" i="3"/>
  <c r="F14" i="3"/>
  <c r="E14" i="3"/>
  <c r="D14" i="3"/>
  <c r="C14" i="3"/>
  <c r="B14" i="3"/>
  <c r="A14" i="3"/>
  <c r="G13" i="3"/>
  <c r="F13" i="3"/>
  <c r="E13" i="3"/>
  <c r="D13" i="3"/>
  <c r="C13" i="3"/>
  <c r="B13" i="3"/>
  <c r="A13" i="3"/>
  <c r="G12" i="3"/>
  <c r="F12" i="3"/>
  <c r="E12" i="3"/>
  <c r="D12" i="3"/>
  <c r="C12" i="3"/>
  <c r="B12" i="3"/>
  <c r="A12" i="3"/>
  <c r="G11" i="3"/>
  <c r="F11" i="3"/>
  <c r="E11" i="3"/>
  <c r="D11" i="3"/>
  <c r="C11" i="3"/>
  <c r="B11" i="3"/>
  <c r="A11" i="3"/>
  <c r="G10" i="3"/>
  <c r="F10" i="3"/>
  <c r="E10" i="3"/>
  <c r="D10" i="3"/>
  <c r="C10" i="3"/>
  <c r="B10" i="3"/>
  <c r="A10" i="3"/>
  <c r="G9" i="3"/>
  <c r="F9" i="3"/>
  <c r="E9" i="3"/>
  <c r="D9" i="3"/>
  <c r="C9" i="3"/>
  <c r="B9" i="3"/>
  <c r="A9" i="3"/>
  <c r="G8" i="3"/>
  <c r="F8" i="3"/>
  <c r="E8" i="3"/>
  <c r="D8" i="3"/>
  <c r="C8" i="3"/>
  <c r="B8" i="3"/>
  <c r="A8" i="3"/>
  <c r="G7" i="3"/>
  <c r="F7" i="3"/>
  <c r="E7" i="3"/>
  <c r="D7" i="3"/>
  <c r="C7" i="3"/>
  <c r="B7" i="3"/>
  <c r="A7" i="3"/>
  <c r="G6" i="3"/>
  <c r="F6" i="3"/>
  <c r="E6" i="3"/>
  <c r="D6" i="3"/>
  <c r="C6" i="3"/>
  <c r="B6" i="3"/>
  <c r="A6" i="3"/>
  <c r="G5" i="3"/>
  <c r="F5" i="3"/>
  <c r="E5" i="3"/>
  <c r="D5" i="3"/>
  <c r="C5" i="3"/>
  <c r="B5" i="3"/>
  <c r="A5" i="3"/>
  <c r="G4" i="3"/>
  <c r="F4" i="3"/>
  <c r="E4" i="3"/>
  <c r="D4" i="3"/>
  <c r="C4" i="3"/>
  <c r="B4" i="3"/>
  <c r="A4" i="3"/>
  <c r="G3" i="3"/>
  <c r="F3" i="3"/>
  <c r="E3" i="3"/>
  <c r="D3" i="3"/>
  <c r="C3" i="3"/>
  <c r="B3" i="3"/>
  <c r="A3" i="3"/>
  <c r="G2" i="3"/>
  <c r="F2" i="3"/>
  <c r="E2" i="3"/>
  <c r="D2" i="3"/>
  <c r="C2" i="3"/>
  <c r="B2" i="3"/>
  <c r="A2" i="3"/>
  <c r="G1" i="3"/>
  <c r="F1" i="3"/>
  <c r="E1" i="3"/>
  <c r="D1" i="3"/>
  <c r="C1" i="3"/>
  <c r="B1" i="3"/>
  <c r="A1" i="3"/>
  <c r="G290" i="2"/>
  <c r="F290" i="2"/>
  <c r="E290" i="2"/>
  <c r="D290" i="2"/>
  <c r="C290" i="2"/>
  <c r="B290" i="2"/>
  <c r="A290" i="2"/>
  <c r="G289" i="2"/>
  <c r="F289" i="2"/>
  <c r="E289" i="2"/>
  <c r="D289" i="2"/>
  <c r="C289" i="2"/>
  <c r="B289" i="2"/>
  <c r="A289" i="2"/>
  <c r="G288" i="2"/>
  <c r="F288" i="2"/>
  <c r="E288" i="2"/>
  <c r="D288" i="2"/>
  <c r="C288" i="2"/>
  <c r="B288" i="2"/>
  <c r="A288" i="2"/>
  <c r="G287" i="2"/>
  <c r="F287" i="2"/>
  <c r="E287" i="2"/>
  <c r="D287" i="2"/>
  <c r="C287" i="2"/>
  <c r="B287" i="2"/>
  <c r="A287" i="2"/>
  <c r="G286" i="2"/>
  <c r="F286" i="2"/>
  <c r="E286" i="2"/>
  <c r="D286" i="2"/>
  <c r="C286" i="2"/>
  <c r="B286" i="2"/>
  <c r="A286" i="2"/>
  <c r="G285" i="2"/>
  <c r="F285" i="2"/>
  <c r="E285" i="2"/>
  <c r="D285" i="2"/>
  <c r="C285" i="2"/>
  <c r="B285" i="2"/>
  <c r="A285" i="2"/>
  <c r="G284" i="2"/>
  <c r="F284" i="2"/>
  <c r="E284" i="2"/>
  <c r="D284" i="2"/>
  <c r="C284" i="2"/>
  <c r="B284" i="2"/>
  <c r="A284" i="2"/>
  <c r="G283" i="2"/>
  <c r="F283" i="2"/>
  <c r="E283" i="2"/>
  <c r="D283" i="2"/>
  <c r="C283" i="2"/>
  <c r="B283" i="2"/>
  <c r="A283" i="2"/>
  <c r="G282" i="2"/>
  <c r="F282" i="2"/>
  <c r="E282" i="2"/>
  <c r="D282" i="2"/>
  <c r="C282" i="2"/>
  <c r="B282" i="2"/>
  <c r="A282" i="2"/>
  <c r="G281" i="2"/>
  <c r="F281" i="2"/>
  <c r="E281" i="2"/>
  <c r="D281" i="2"/>
  <c r="C281" i="2"/>
  <c r="B281" i="2"/>
  <c r="A281" i="2"/>
  <c r="G280" i="2"/>
  <c r="F280" i="2"/>
  <c r="E280" i="2"/>
  <c r="D280" i="2"/>
  <c r="C280" i="2"/>
  <c r="B280" i="2"/>
  <c r="A280" i="2"/>
  <c r="G279" i="2"/>
  <c r="F279" i="2"/>
  <c r="E279" i="2"/>
  <c r="D279" i="2"/>
  <c r="C279" i="2"/>
  <c r="B279" i="2"/>
  <c r="A279" i="2"/>
  <c r="G278" i="2"/>
  <c r="F278" i="2"/>
  <c r="E278" i="2"/>
  <c r="D278" i="2"/>
  <c r="C278" i="2"/>
  <c r="B278" i="2"/>
  <c r="A278" i="2"/>
  <c r="G277" i="2"/>
  <c r="F277" i="2"/>
  <c r="E277" i="2"/>
  <c r="D277" i="2"/>
  <c r="C277" i="2"/>
  <c r="B277" i="2"/>
  <c r="A277" i="2"/>
  <c r="G276" i="2"/>
  <c r="F276" i="2"/>
  <c r="E276" i="2"/>
  <c r="D276" i="2"/>
  <c r="C276" i="2"/>
  <c r="B276" i="2"/>
  <c r="A276" i="2"/>
  <c r="G275" i="2"/>
  <c r="F275" i="2"/>
  <c r="E275" i="2"/>
  <c r="D275" i="2"/>
  <c r="C275" i="2"/>
  <c r="B275" i="2"/>
  <c r="A275" i="2"/>
  <c r="G274" i="2"/>
  <c r="F274" i="2"/>
  <c r="E274" i="2"/>
  <c r="D274" i="2"/>
  <c r="C274" i="2"/>
  <c r="B274" i="2"/>
  <c r="A274" i="2"/>
  <c r="G273" i="2"/>
  <c r="F273" i="2"/>
  <c r="E273" i="2"/>
  <c r="D273" i="2"/>
  <c r="C273" i="2"/>
  <c r="B273" i="2"/>
  <c r="A273" i="2"/>
  <c r="G272" i="2"/>
  <c r="F272" i="2"/>
  <c r="E272" i="2"/>
  <c r="D272" i="2"/>
  <c r="C272" i="2"/>
  <c r="B272" i="2"/>
  <c r="A272" i="2"/>
  <c r="G271" i="2"/>
  <c r="F271" i="2"/>
  <c r="E271" i="2"/>
  <c r="D271" i="2"/>
  <c r="C271" i="2"/>
  <c r="B271" i="2"/>
  <c r="A271" i="2"/>
  <c r="G270" i="2"/>
  <c r="F270" i="2"/>
  <c r="E270" i="2"/>
  <c r="D270" i="2"/>
  <c r="C270" i="2"/>
  <c r="B270" i="2"/>
  <c r="A270" i="2"/>
  <c r="G269" i="2"/>
  <c r="F269" i="2"/>
  <c r="E269" i="2"/>
  <c r="D269" i="2"/>
  <c r="C269" i="2"/>
  <c r="B269" i="2"/>
  <c r="A269" i="2"/>
  <c r="G268" i="2"/>
  <c r="F268" i="2"/>
  <c r="E268" i="2"/>
  <c r="D268" i="2"/>
  <c r="C268" i="2"/>
  <c r="B268" i="2"/>
  <c r="A268" i="2"/>
  <c r="G267" i="2"/>
  <c r="F267" i="2"/>
  <c r="E267" i="2"/>
  <c r="D267" i="2"/>
  <c r="C267" i="2"/>
  <c r="B267" i="2"/>
  <c r="A267" i="2"/>
  <c r="G266" i="2"/>
  <c r="F266" i="2"/>
  <c r="E266" i="2"/>
  <c r="D266" i="2"/>
  <c r="C266" i="2"/>
  <c r="B266" i="2"/>
  <c r="A266" i="2"/>
  <c r="G265" i="2"/>
  <c r="F265" i="2"/>
  <c r="E265" i="2"/>
  <c r="D265" i="2"/>
  <c r="C265" i="2"/>
  <c r="B265" i="2"/>
  <c r="A265" i="2"/>
  <c r="G264" i="2"/>
  <c r="F264" i="2"/>
  <c r="E264" i="2"/>
  <c r="D264" i="2"/>
  <c r="C264" i="2"/>
  <c r="B264" i="2"/>
  <c r="A264" i="2"/>
  <c r="G263" i="2"/>
  <c r="F263" i="2"/>
  <c r="E263" i="2"/>
  <c r="D263" i="2"/>
  <c r="C263" i="2"/>
  <c r="B263" i="2"/>
  <c r="A263" i="2"/>
  <c r="G262" i="2"/>
  <c r="F262" i="2"/>
  <c r="E262" i="2"/>
  <c r="D262" i="2"/>
  <c r="C262" i="2"/>
  <c r="B262" i="2"/>
  <c r="A262" i="2"/>
  <c r="G261" i="2"/>
  <c r="F261" i="2"/>
  <c r="E261" i="2"/>
  <c r="D261" i="2"/>
  <c r="C261" i="2"/>
  <c r="B261" i="2"/>
  <c r="A261" i="2"/>
  <c r="G260" i="2"/>
  <c r="F260" i="2"/>
  <c r="E260" i="2"/>
  <c r="D260" i="2"/>
  <c r="C260" i="2"/>
  <c r="B260" i="2"/>
  <c r="A260" i="2"/>
  <c r="G259" i="2"/>
  <c r="F259" i="2"/>
  <c r="E259" i="2"/>
  <c r="D259" i="2"/>
  <c r="C259" i="2"/>
  <c r="B259" i="2"/>
  <c r="A259" i="2"/>
  <c r="G258" i="2"/>
  <c r="F258" i="2"/>
  <c r="E258" i="2"/>
  <c r="D258" i="2"/>
  <c r="C258" i="2"/>
  <c r="B258" i="2"/>
  <c r="A258" i="2"/>
  <c r="G257" i="2"/>
  <c r="F257" i="2"/>
  <c r="E257" i="2"/>
  <c r="D257" i="2"/>
  <c r="C257" i="2"/>
  <c r="B257" i="2"/>
  <c r="A257" i="2"/>
  <c r="G256" i="2"/>
  <c r="F256" i="2"/>
  <c r="E256" i="2"/>
  <c r="D256" i="2"/>
  <c r="C256" i="2"/>
  <c r="B256" i="2"/>
  <c r="A256" i="2"/>
  <c r="G255" i="2"/>
  <c r="F255" i="2"/>
  <c r="E255" i="2"/>
  <c r="D255" i="2"/>
  <c r="C255" i="2"/>
  <c r="B255" i="2"/>
  <c r="A255" i="2"/>
  <c r="G254" i="2"/>
  <c r="F254" i="2"/>
  <c r="E254" i="2"/>
  <c r="D254" i="2"/>
  <c r="C254" i="2"/>
  <c r="B254" i="2"/>
  <c r="A254" i="2"/>
  <c r="G253" i="2"/>
  <c r="F253" i="2"/>
  <c r="E253" i="2"/>
  <c r="D253" i="2"/>
  <c r="C253" i="2"/>
  <c r="B253" i="2"/>
  <c r="A253" i="2"/>
  <c r="G252" i="2"/>
  <c r="F252" i="2"/>
  <c r="E252" i="2"/>
  <c r="D252" i="2"/>
  <c r="C252" i="2"/>
  <c r="B252" i="2"/>
  <c r="A252" i="2"/>
  <c r="G251" i="2"/>
  <c r="F251" i="2"/>
  <c r="E251" i="2"/>
  <c r="D251" i="2"/>
  <c r="C251" i="2"/>
  <c r="B251" i="2"/>
  <c r="A251" i="2"/>
  <c r="G250" i="2"/>
  <c r="F250" i="2"/>
  <c r="E250" i="2"/>
  <c r="D250" i="2"/>
  <c r="C250" i="2"/>
  <c r="B250" i="2"/>
  <c r="A250" i="2"/>
  <c r="G249" i="2"/>
  <c r="F249" i="2"/>
  <c r="E249" i="2"/>
  <c r="D249" i="2"/>
  <c r="C249" i="2"/>
  <c r="B249" i="2"/>
  <c r="A249" i="2"/>
  <c r="G248" i="2"/>
  <c r="F248" i="2"/>
  <c r="E248" i="2"/>
  <c r="D248" i="2"/>
  <c r="C248" i="2"/>
  <c r="B248" i="2"/>
  <c r="A248" i="2"/>
  <c r="G247" i="2"/>
  <c r="F247" i="2"/>
  <c r="E247" i="2"/>
  <c r="D247" i="2"/>
  <c r="C247" i="2"/>
  <c r="B247" i="2"/>
  <c r="A247" i="2"/>
  <c r="G246" i="2"/>
  <c r="F246" i="2"/>
  <c r="E246" i="2"/>
  <c r="D246" i="2"/>
  <c r="C246" i="2"/>
  <c r="B246" i="2"/>
  <c r="A246" i="2"/>
  <c r="G245" i="2"/>
  <c r="F245" i="2"/>
  <c r="E245" i="2"/>
  <c r="D245" i="2"/>
  <c r="C245" i="2"/>
  <c r="B245" i="2"/>
  <c r="A245" i="2"/>
  <c r="G244" i="2"/>
  <c r="F244" i="2"/>
  <c r="E244" i="2"/>
  <c r="D244" i="2"/>
  <c r="C244" i="2"/>
  <c r="B244" i="2"/>
  <c r="A244" i="2"/>
  <c r="G243" i="2"/>
  <c r="F243" i="2"/>
  <c r="E243" i="2"/>
  <c r="D243" i="2"/>
  <c r="C243" i="2"/>
  <c r="B243" i="2"/>
  <c r="A243" i="2"/>
  <c r="G242" i="2"/>
  <c r="F242" i="2"/>
  <c r="E242" i="2"/>
  <c r="D242" i="2"/>
  <c r="C242" i="2"/>
  <c r="B242" i="2"/>
  <c r="A242" i="2"/>
  <c r="G241" i="2"/>
  <c r="F241" i="2"/>
  <c r="E241" i="2"/>
  <c r="D241" i="2"/>
  <c r="C241" i="2"/>
  <c r="B241" i="2"/>
  <c r="A241" i="2"/>
  <c r="G240" i="2"/>
  <c r="F240" i="2"/>
  <c r="E240" i="2"/>
  <c r="D240" i="2"/>
  <c r="C240" i="2"/>
  <c r="B240" i="2"/>
  <c r="A240" i="2"/>
  <c r="G239" i="2"/>
  <c r="F239" i="2"/>
  <c r="E239" i="2"/>
  <c r="D239" i="2"/>
  <c r="C239" i="2"/>
  <c r="B239" i="2"/>
  <c r="A239" i="2"/>
  <c r="G238" i="2"/>
  <c r="F238" i="2"/>
  <c r="E238" i="2"/>
  <c r="D238" i="2"/>
  <c r="C238" i="2"/>
  <c r="B238" i="2"/>
  <c r="A238" i="2"/>
  <c r="G237" i="2"/>
  <c r="F237" i="2"/>
  <c r="E237" i="2"/>
  <c r="D237" i="2"/>
  <c r="C237" i="2"/>
  <c r="B237" i="2"/>
  <c r="A237" i="2"/>
  <c r="G236" i="2"/>
  <c r="F236" i="2"/>
  <c r="E236" i="2"/>
  <c r="D236" i="2"/>
  <c r="C236" i="2"/>
  <c r="B236" i="2"/>
  <c r="A236" i="2"/>
  <c r="G235" i="2"/>
  <c r="F235" i="2"/>
  <c r="E235" i="2"/>
  <c r="D235" i="2"/>
  <c r="C235" i="2"/>
  <c r="B235" i="2"/>
  <c r="A235" i="2"/>
  <c r="G234" i="2"/>
  <c r="F234" i="2"/>
  <c r="E234" i="2"/>
  <c r="D234" i="2"/>
  <c r="C234" i="2"/>
  <c r="B234" i="2"/>
  <c r="A234" i="2"/>
  <c r="G233" i="2"/>
  <c r="F233" i="2"/>
  <c r="E233" i="2"/>
  <c r="D233" i="2"/>
  <c r="C233" i="2"/>
  <c r="B233" i="2"/>
  <c r="A233" i="2"/>
  <c r="G232" i="2"/>
  <c r="F232" i="2"/>
  <c r="E232" i="2"/>
  <c r="D232" i="2"/>
  <c r="C232" i="2"/>
  <c r="B232" i="2"/>
  <c r="A232" i="2"/>
  <c r="G231" i="2"/>
  <c r="F231" i="2"/>
  <c r="E231" i="2"/>
  <c r="D231" i="2"/>
  <c r="C231" i="2"/>
  <c r="B231" i="2"/>
  <c r="A231" i="2"/>
  <c r="G230" i="2"/>
  <c r="F230" i="2"/>
  <c r="E230" i="2"/>
  <c r="D230" i="2"/>
  <c r="C230" i="2"/>
  <c r="B230" i="2"/>
  <c r="A230" i="2"/>
  <c r="G229" i="2"/>
  <c r="F229" i="2"/>
  <c r="E229" i="2"/>
  <c r="D229" i="2"/>
  <c r="C229" i="2"/>
  <c r="B229" i="2"/>
  <c r="A229" i="2"/>
  <c r="G228" i="2"/>
  <c r="F228" i="2"/>
  <c r="E228" i="2"/>
  <c r="D228" i="2"/>
  <c r="C228" i="2"/>
  <c r="B228" i="2"/>
  <c r="A228" i="2"/>
  <c r="G227" i="2"/>
  <c r="F227" i="2"/>
  <c r="E227" i="2"/>
  <c r="D227" i="2"/>
  <c r="C227" i="2"/>
  <c r="B227" i="2"/>
  <c r="A227" i="2"/>
  <c r="G226" i="2"/>
  <c r="F226" i="2"/>
  <c r="E226" i="2"/>
  <c r="D226" i="2"/>
  <c r="C226" i="2"/>
  <c r="B226" i="2"/>
  <c r="A226" i="2"/>
  <c r="G225" i="2"/>
  <c r="F225" i="2"/>
  <c r="E225" i="2"/>
  <c r="D225" i="2"/>
  <c r="C225" i="2"/>
  <c r="B225" i="2"/>
  <c r="A225" i="2"/>
  <c r="G224" i="2"/>
  <c r="F224" i="2"/>
  <c r="E224" i="2"/>
  <c r="D224" i="2"/>
  <c r="C224" i="2"/>
  <c r="B224" i="2"/>
  <c r="A224" i="2"/>
  <c r="G223" i="2"/>
  <c r="F223" i="2"/>
  <c r="E223" i="2"/>
  <c r="D223" i="2"/>
  <c r="C223" i="2"/>
  <c r="B223" i="2"/>
  <c r="A223" i="2"/>
  <c r="G222" i="2"/>
  <c r="F222" i="2"/>
  <c r="E222" i="2"/>
  <c r="D222" i="2"/>
  <c r="C222" i="2"/>
  <c r="B222" i="2"/>
  <c r="A222" i="2"/>
  <c r="G221" i="2"/>
  <c r="F221" i="2"/>
  <c r="E221" i="2"/>
  <c r="D221" i="2"/>
  <c r="C221" i="2"/>
  <c r="B221" i="2"/>
  <c r="A221" i="2"/>
  <c r="G220" i="2"/>
  <c r="F220" i="2"/>
  <c r="E220" i="2"/>
  <c r="D220" i="2"/>
  <c r="C220" i="2"/>
  <c r="B220" i="2"/>
  <c r="A220" i="2"/>
  <c r="G219" i="2"/>
  <c r="F219" i="2"/>
  <c r="E219" i="2"/>
  <c r="D219" i="2"/>
  <c r="C219" i="2"/>
  <c r="B219" i="2"/>
  <c r="A219" i="2"/>
  <c r="G218" i="2"/>
  <c r="F218" i="2"/>
  <c r="E218" i="2"/>
  <c r="D218" i="2"/>
  <c r="C218" i="2"/>
  <c r="B218" i="2"/>
  <c r="A218" i="2"/>
  <c r="G217" i="2"/>
  <c r="F217" i="2"/>
  <c r="E217" i="2"/>
  <c r="D217" i="2"/>
  <c r="C217" i="2"/>
  <c r="B217" i="2"/>
  <c r="A217" i="2"/>
  <c r="G216" i="2"/>
  <c r="F216" i="2"/>
  <c r="E216" i="2"/>
  <c r="D216" i="2"/>
  <c r="C216" i="2"/>
  <c r="B216" i="2"/>
  <c r="A216" i="2"/>
  <c r="G215" i="2"/>
  <c r="F215" i="2"/>
  <c r="E215" i="2"/>
  <c r="D215" i="2"/>
  <c r="C215" i="2"/>
  <c r="B215" i="2"/>
  <c r="A215" i="2"/>
  <c r="G214" i="2"/>
  <c r="F214" i="2"/>
  <c r="E214" i="2"/>
  <c r="D214" i="2"/>
  <c r="C214" i="2"/>
  <c r="B214" i="2"/>
  <c r="A214" i="2"/>
  <c r="G213" i="2"/>
  <c r="F213" i="2"/>
  <c r="E213" i="2"/>
  <c r="D213" i="2"/>
  <c r="C213" i="2"/>
  <c r="B213" i="2"/>
  <c r="A213" i="2"/>
  <c r="G212" i="2"/>
  <c r="F212" i="2"/>
  <c r="E212" i="2"/>
  <c r="D212" i="2"/>
  <c r="C212" i="2"/>
  <c r="B212" i="2"/>
  <c r="A212" i="2"/>
  <c r="G211" i="2"/>
  <c r="F211" i="2"/>
  <c r="E211" i="2"/>
  <c r="D211" i="2"/>
  <c r="C211" i="2"/>
  <c r="B211" i="2"/>
  <c r="A211" i="2"/>
  <c r="G210" i="2"/>
  <c r="F210" i="2"/>
  <c r="E210" i="2"/>
  <c r="D210" i="2"/>
  <c r="C210" i="2"/>
  <c r="B210" i="2"/>
  <c r="A210" i="2"/>
  <c r="G209" i="2"/>
  <c r="F209" i="2"/>
  <c r="E209" i="2"/>
  <c r="D209" i="2"/>
  <c r="C209" i="2"/>
  <c r="B209" i="2"/>
  <c r="A209" i="2"/>
  <c r="G208" i="2"/>
  <c r="F208" i="2"/>
  <c r="E208" i="2"/>
  <c r="D208" i="2"/>
  <c r="C208" i="2"/>
  <c r="B208" i="2"/>
  <c r="A208" i="2"/>
  <c r="G207" i="2"/>
  <c r="F207" i="2"/>
  <c r="E207" i="2"/>
  <c r="D207" i="2"/>
  <c r="C207" i="2"/>
  <c r="B207" i="2"/>
  <c r="A207" i="2"/>
  <c r="G206" i="2"/>
  <c r="F206" i="2"/>
  <c r="E206" i="2"/>
  <c r="D206" i="2"/>
  <c r="C206" i="2"/>
  <c r="B206" i="2"/>
  <c r="A206" i="2"/>
  <c r="G205" i="2"/>
  <c r="F205" i="2"/>
  <c r="E205" i="2"/>
  <c r="D205" i="2"/>
  <c r="C205" i="2"/>
  <c r="B205" i="2"/>
  <c r="A205" i="2"/>
  <c r="G204" i="2"/>
  <c r="F204" i="2"/>
  <c r="E204" i="2"/>
  <c r="D204" i="2"/>
  <c r="C204" i="2"/>
  <c r="B204" i="2"/>
  <c r="A204" i="2"/>
  <c r="G203" i="2"/>
  <c r="F203" i="2"/>
  <c r="E203" i="2"/>
  <c r="D203" i="2"/>
  <c r="C203" i="2"/>
  <c r="B203" i="2"/>
  <c r="A203" i="2"/>
  <c r="G202" i="2"/>
  <c r="F202" i="2"/>
  <c r="E202" i="2"/>
  <c r="D202" i="2"/>
  <c r="C202" i="2"/>
  <c r="B202" i="2"/>
  <c r="A202" i="2"/>
  <c r="G201" i="2"/>
  <c r="F201" i="2"/>
  <c r="E201" i="2"/>
  <c r="D201" i="2"/>
  <c r="C201" i="2"/>
  <c r="B201" i="2"/>
  <c r="A201" i="2"/>
  <c r="G200" i="2"/>
  <c r="F200" i="2"/>
  <c r="E200" i="2"/>
  <c r="D200" i="2"/>
  <c r="C200" i="2"/>
  <c r="B200" i="2"/>
  <c r="A200" i="2"/>
  <c r="G199" i="2"/>
  <c r="F199" i="2"/>
  <c r="E199" i="2"/>
  <c r="D199" i="2"/>
  <c r="C199" i="2"/>
  <c r="B199" i="2"/>
  <c r="A199" i="2"/>
  <c r="G198" i="2"/>
  <c r="F198" i="2"/>
  <c r="E198" i="2"/>
  <c r="D198" i="2"/>
  <c r="C198" i="2"/>
  <c r="B198" i="2"/>
  <c r="A198" i="2"/>
  <c r="G197" i="2"/>
  <c r="F197" i="2"/>
  <c r="E197" i="2"/>
  <c r="D197" i="2"/>
  <c r="C197" i="2"/>
  <c r="B197" i="2"/>
  <c r="A197" i="2"/>
  <c r="G196" i="2"/>
  <c r="F196" i="2"/>
  <c r="E196" i="2"/>
  <c r="D196" i="2"/>
  <c r="C196" i="2"/>
  <c r="B196" i="2"/>
  <c r="A196" i="2"/>
  <c r="G195" i="2"/>
  <c r="F195" i="2"/>
  <c r="E195" i="2"/>
  <c r="D195" i="2"/>
  <c r="C195" i="2"/>
  <c r="B195" i="2"/>
  <c r="A195" i="2"/>
  <c r="G194" i="2"/>
  <c r="F194" i="2"/>
  <c r="E194" i="2"/>
  <c r="D194" i="2"/>
  <c r="C194" i="2"/>
  <c r="B194" i="2"/>
  <c r="A194" i="2"/>
  <c r="G193" i="2"/>
  <c r="F193" i="2"/>
  <c r="E193" i="2"/>
  <c r="D193" i="2"/>
  <c r="C193" i="2"/>
  <c r="B193" i="2"/>
  <c r="A193" i="2"/>
  <c r="G192" i="2"/>
  <c r="F192" i="2"/>
  <c r="E192" i="2"/>
  <c r="D192" i="2"/>
  <c r="C192" i="2"/>
  <c r="B192" i="2"/>
  <c r="A192" i="2"/>
  <c r="G191" i="2"/>
  <c r="F191" i="2"/>
  <c r="E191" i="2"/>
  <c r="D191" i="2"/>
  <c r="C191" i="2"/>
  <c r="B191" i="2"/>
  <c r="A191" i="2"/>
  <c r="G190" i="2"/>
  <c r="F190" i="2"/>
  <c r="E190" i="2"/>
  <c r="D190" i="2"/>
  <c r="C190" i="2"/>
  <c r="B190" i="2"/>
  <c r="A190" i="2"/>
  <c r="G189" i="2"/>
  <c r="F189" i="2"/>
  <c r="E189" i="2"/>
  <c r="D189" i="2"/>
  <c r="C189" i="2"/>
  <c r="B189" i="2"/>
  <c r="A189" i="2"/>
  <c r="G188" i="2"/>
  <c r="F188" i="2"/>
  <c r="E188" i="2"/>
  <c r="D188" i="2"/>
  <c r="C188" i="2"/>
  <c r="B188" i="2"/>
  <c r="A188" i="2"/>
  <c r="G187" i="2"/>
  <c r="F187" i="2"/>
  <c r="E187" i="2"/>
  <c r="D187" i="2"/>
  <c r="C187" i="2"/>
  <c r="B187" i="2"/>
  <c r="A187" i="2"/>
  <c r="G186" i="2"/>
  <c r="F186" i="2"/>
  <c r="E186" i="2"/>
  <c r="D186" i="2"/>
  <c r="C186" i="2"/>
  <c r="B186" i="2"/>
  <c r="A186" i="2"/>
  <c r="G185" i="2"/>
  <c r="F185" i="2"/>
  <c r="E185" i="2"/>
  <c r="D185" i="2"/>
  <c r="C185" i="2"/>
  <c r="B185" i="2"/>
  <c r="A185" i="2"/>
  <c r="G184" i="2"/>
  <c r="F184" i="2"/>
  <c r="E184" i="2"/>
  <c r="D184" i="2"/>
  <c r="C184" i="2"/>
  <c r="B184" i="2"/>
  <c r="A184" i="2"/>
  <c r="G183" i="2"/>
  <c r="F183" i="2"/>
  <c r="E183" i="2"/>
  <c r="D183" i="2"/>
  <c r="C183" i="2"/>
  <c r="B183" i="2"/>
  <c r="A183" i="2"/>
  <c r="G182" i="2"/>
  <c r="F182" i="2"/>
  <c r="E182" i="2"/>
  <c r="D182" i="2"/>
  <c r="C182" i="2"/>
  <c r="B182" i="2"/>
  <c r="A182" i="2"/>
  <c r="G181" i="2"/>
  <c r="F181" i="2"/>
  <c r="E181" i="2"/>
  <c r="D181" i="2"/>
  <c r="C181" i="2"/>
  <c r="B181" i="2"/>
  <c r="A181" i="2"/>
  <c r="G180" i="2"/>
  <c r="F180" i="2"/>
  <c r="E180" i="2"/>
  <c r="D180" i="2"/>
  <c r="C180" i="2"/>
  <c r="B180" i="2"/>
  <c r="A180" i="2"/>
  <c r="G179" i="2"/>
  <c r="F179" i="2"/>
  <c r="E179" i="2"/>
  <c r="D179" i="2"/>
  <c r="C179" i="2"/>
  <c r="B179" i="2"/>
  <c r="A179" i="2"/>
  <c r="G178" i="2"/>
  <c r="F178" i="2"/>
  <c r="E178" i="2"/>
  <c r="D178" i="2"/>
  <c r="C178" i="2"/>
  <c r="B178" i="2"/>
  <c r="A178" i="2"/>
  <c r="G177" i="2"/>
  <c r="F177" i="2"/>
  <c r="E177" i="2"/>
  <c r="D177" i="2"/>
  <c r="C177" i="2"/>
  <c r="B177" i="2"/>
  <c r="A177" i="2"/>
  <c r="G176" i="2"/>
  <c r="F176" i="2"/>
  <c r="E176" i="2"/>
  <c r="D176" i="2"/>
  <c r="C176" i="2"/>
  <c r="B176" i="2"/>
  <c r="A176" i="2"/>
  <c r="G175" i="2"/>
  <c r="F175" i="2"/>
  <c r="E175" i="2"/>
  <c r="D175" i="2"/>
  <c r="C175" i="2"/>
  <c r="B175" i="2"/>
  <c r="A175" i="2"/>
  <c r="G174" i="2"/>
  <c r="F174" i="2"/>
  <c r="E174" i="2"/>
  <c r="D174" i="2"/>
  <c r="C174" i="2"/>
  <c r="B174" i="2"/>
  <c r="A174" i="2"/>
  <c r="G173" i="2"/>
  <c r="F173" i="2"/>
  <c r="E173" i="2"/>
  <c r="D173" i="2"/>
  <c r="C173" i="2"/>
  <c r="B173" i="2"/>
  <c r="A173" i="2"/>
  <c r="G172" i="2"/>
  <c r="F172" i="2"/>
  <c r="E172" i="2"/>
  <c r="D172" i="2"/>
  <c r="C172" i="2"/>
  <c r="B172" i="2"/>
  <c r="A172" i="2"/>
  <c r="G171" i="2"/>
  <c r="F171" i="2"/>
  <c r="E171" i="2"/>
  <c r="D171" i="2"/>
  <c r="C171" i="2"/>
  <c r="B171" i="2"/>
  <c r="A171" i="2"/>
  <c r="G170" i="2"/>
  <c r="F170" i="2"/>
  <c r="E170" i="2"/>
  <c r="D170" i="2"/>
  <c r="C170" i="2"/>
  <c r="B170" i="2"/>
  <c r="A170" i="2"/>
  <c r="G169" i="2"/>
  <c r="F169" i="2"/>
  <c r="E169" i="2"/>
  <c r="D169" i="2"/>
  <c r="C169" i="2"/>
  <c r="B169" i="2"/>
  <c r="A169" i="2"/>
  <c r="G168" i="2"/>
  <c r="F168" i="2"/>
  <c r="E168" i="2"/>
  <c r="D168" i="2"/>
  <c r="C168" i="2"/>
  <c r="B168" i="2"/>
  <c r="A168" i="2"/>
  <c r="G167" i="2"/>
  <c r="F167" i="2"/>
  <c r="E167" i="2"/>
  <c r="D167" i="2"/>
  <c r="C167" i="2"/>
  <c r="B167" i="2"/>
  <c r="A167" i="2"/>
  <c r="G166" i="2"/>
  <c r="F166" i="2"/>
  <c r="E166" i="2"/>
  <c r="D166" i="2"/>
  <c r="C166" i="2"/>
  <c r="B166" i="2"/>
  <c r="A166" i="2"/>
  <c r="G165" i="2"/>
  <c r="F165" i="2"/>
  <c r="E165" i="2"/>
  <c r="D165" i="2"/>
  <c r="C165" i="2"/>
  <c r="B165" i="2"/>
  <c r="A165" i="2"/>
  <c r="G164" i="2"/>
  <c r="F164" i="2"/>
  <c r="E164" i="2"/>
  <c r="D164" i="2"/>
  <c r="C164" i="2"/>
  <c r="B164" i="2"/>
  <c r="A164" i="2"/>
  <c r="G163" i="2"/>
  <c r="F163" i="2"/>
  <c r="E163" i="2"/>
  <c r="D163" i="2"/>
  <c r="C163" i="2"/>
  <c r="B163" i="2"/>
  <c r="A163" i="2"/>
  <c r="G162" i="2"/>
  <c r="F162" i="2"/>
  <c r="E162" i="2"/>
  <c r="D162" i="2"/>
  <c r="C162" i="2"/>
  <c r="B162" i="2"/>
  <c r="A162" i="2"/>
  <c r="G161" i="2"/>
  <c r="F161" i="2"/>
  <c r="E161" i="2"/>
  <c r="D161" i="2"/>
  <c r="C161" i="2"/>
  <c r="B161" i="2"/>
  <c r="A161" i="2"/>
  <c r="G160" i="2"/>
  <c r="F160" i="2"/>
  <c r="E160" i="2"/>
  <c r="D160" i="2"/>
  <c r="C160" i="2"/>
  <c r="B160" i="2"/>
  <c r="A160" i="2"/>
  <c r="G159" i="2"/>
  <c r="F159" i="2"/>
  <c r="E159" i="2"/>
  <c r="D159" i="2"/>
  <c r="C159" i="2"/>
  <c r="B159" i="2"/>
  <c r="A159" i="2"/>
  <c r="G158" i="2"/>
  <c r="F158" i="2"/>
  <c r="E158" i="2"/>
  <c r="D158" i="2"/>
  <c r="C158" i="2"/>
  <c r="B158" i="2"/>
  <c r="A158" i="2"/>
  <c r="G157" i="2"/>
  <c r="F157" i="2"/>
  <c r="E157" i="2"/>
  <c r="D157" i="2"/>
  <c r="C157" i="2"/>
  <c r="B157" i="2"/>
  <c r="A157" i="2"/>
  <c r="G156" i="2"/>
  <c r="F156" i="2"/>
  <c r="E156" i="2"/>
  <c r="D156" i="2"/>
  <c r="C156" i="2"/>
  <c r="B156" i="2"/>
  <c r="A156" i="2"/>
  <c r="G155" i="2"/>
  <c r="F155" i="2"/>
  <c r="E155" i="2"/>
  <c r="D155" i="2"/>
  <c r="C155" i="2"/>
  <c r="B155" i="2"/>
  <c r="A155" i="2"/>
  <c r="G154" i="2"/>
  <c r="F154" i="2"/>
  <c r="E154" i="2"/>
  <c r="D154" i="2"/>
  <c r="C154" i="2"/>
  <c r="B154" i="2"/>
  <c r="A154" i="2"/>
  <c r="G153" i="2"/>
  <c r="F153" i="2"/>
  <c r="E153" i="2"/>
  <c r="D153" i="2"/>
  <c r="C153" i="2"/>
  <c r="B153" i="2"/>
  <c r="A153" i="2"/>
  <c r="G152" i="2"/>
  <c r="F152" i="2"/>
  <c r="E152" i="2"/>
  <c r="D152" i="2"/>
  <c r="C152" i="2"/>
  <c r="B152" i="2"/>
  <c r="A152" i="2"/>
  <c r="G151" i="2"/>
  <c r="F151" i="2"/>
  <c r="E151" i="2"/>
  <c r="D151" i="2"/>
  <c r="C151" i="2"/>
  <c r="B151" i="2"/>
  <c r="A151" i="2"/>
  <c r="G150" i="2"/>
  <c r="F150" i="2"/>
  <c r="E150" i="2"/>
  <c r="D150" i="2"/>
  <c r="C150" i="2"/>
  <c r="B150" i="2"/>
  <c r="A150" i="2"/>
  <c r="G149" i="2"/>
  <c r="F149" i="2"/>
  <c r="E149" i="2"/>
  <c r="D149" i="2"/>
  <c r="C149" i="2"/>
  <c r="B149" i="2"/>
  <c r="A149" i="2"/>
  <c r="G148" i="2"/>
  <c r="F148" i="2"/>
  <c r="E148" i="2"/>
  <c r="D148" i="2"/>
  <c r="C148" i="2"/>
  <c r="B148" i="2"/>
  <c r="A148" i="2"/>
  <c r="G147" i="2"/>
  <c r="F147" i="2"/>
  <c r="E147" i="2"/>
  <c r="D147" i="2"/>
  <c r="C147" i="2"/>
  <c r="B147" i="2"/>
  <c r="A147" i="2"/>
  <c r="G146" i="2"/>
  <c r="F146" i="2"/>
  <c r="E146" i="2"/>
  <c r="D146" i="2"/>
  <c r="C146" i="2"/>
  <c r="B146" i="2"/>
  <c r="A146" i="2"/>
  <c r="G145" i="2"/>
  <c r="F145" i="2"/>
  <c r="E145" i="2"/>
  <c r="D145" i="2"/>
  <c r="C145" i="2"/>
  <c r="B145" i="2"/>
  <c r="A145" i="2"/>
  <c r="G144" i="2"/>
  <c r="F144" i="2"/>
  <c r="E144" i="2"/>
  <c r="D144" i="2"/>
  <c r="C144" i="2"/>
  <c r="B144" i="2"/>
  <c r="A144" i="2"/>
  <c r="G143" i="2"/>
  <c r="F143" i="2"/>
  <c r="E143" i="2"/>
  <c r="D143" i="2"/>
  <c r="C143" i="2"/>
  <c r="B143" i="2"/>
  <c r="A143" i="2"/>
  <c r="G142" i="2"/>
  <c r="F142" i="2"/>
  <c r="E142" i="2"/>
  <c r="D142" i="2"/>
  <c r="C142" i="2"/>
  <c r="B142" i="2"/>
  <c r="A142" i="2"/>
  <c r="G141" i="2"/>
  <c r="F141" i="2"/>
  <c r="E141" i="2"/>
  <c r="D141" i="2"/>
  <c r="C141" i="2"/>
  <c r="B141" i="2"/>
  <c r="A141" i="2"/>
  <c r="G140" i="2"/>
  <c r="F140" i="2"/>
  <c r="E140" i="2"/>
  <c r="D140" i="2"/>
  <c r="C140" i="2"/>
  <c r="B140" i="2"/>
  <c r="A140" i="2"/>
  <c r="G139" i="2"/>
  <c r="F139" i="2"/>
  <c r="E139" i="2"/>
  <c r="D139" i="2"/>
  <c r="C139" i="2"/>
  <c r="B139" i="2"/>
  <c r="A139" i="2"/>
  <c r="G138" i="2"/>
  <c r="F138" i="2"/>
  <c r="E138" i="2"/>
  <c r="D138" i="2"/>
  <c r="C138" i="2"/>
  <c r="B138" i="2"/>
  <c r="A138" i="2"/>
  <c r="G137" i="2"/>
  <c r="F137" i="2"/>
  <c r="E137" i="2"/>
  <c r="D137" i="2"/>
  <c r="C137" i="2"/>
  <c r="B137" i="2"/>
  <c r="A137" i="2"/>
  <c r="G136" i="2"/>
  <c r="F136" i="2"/>
  <c r="E136" i="2"/>
  <c r="D136" i="2"/>
  <c r="C136" i="2"/>
  <c r="B136" i="2"/>
  <c r="A136" i="2"/>
  <c r="G135" i="2"/>
  <c r="F135" i="2"/>
  <c r="E135" i="2"/>
  <c r="D135" i="2"/>
  <c r="C135" i="2"/>
  <c r="B135" i="2"/>
  <c r="A135" i="2"/>
  <c r="G134" i="2"/>
  <c r="F134" i="2"/>
  <c r="E134" i="2"/>
  <c r="D134" i="2"/>
  <c r="C134" i="2"/>
  <c r="B134" i="2"/>
  <c r="A134" i="2"/>
  <c r="G133" i="2"/>
  <c r="F133" i="2"/>
  <c r="E133" i="2"/>
  <c r="D133" i="2"/>
  <c r="C133" i="2"/>
  <c r="B133" i="2"/>
  <c r="A133" i="2"/>
  <c r="G132" i="2"/>
  <c r="F132" i="2"/>
  <c r="E132" i="2"/>
  <c r="D132" i="2"/>
  <c r="C132" i="2"/>
  <c r="B132" i="2"/>
  <c r="A132" i="2"/>
  <c r="G131" i="2"/>
  <c r="F131" i="2"/>
  <c r="E131" i="2"/>
  <c r="D131" i="2"/>
  <c r="C131" i="2"/>
  <c r="B131" i="2"/>
  <c r="A131" i="2"/>
  <c r="G130" i="2"/>
  <c r="F130" i="2"/>
  <c r="E130" i="2"/>
  <c r="D130" i="2"/>
  <c r="C130" i="2"/>
  <c r="B130" i="2"/>
  <c r="A130" i="2"/>
  <c r="G129" i="2"/>
  <c r="F129" i="2"/>
  <c r="E129" i="2"/>
  <c r="D129" i="2"/>
  <c r="C129" i="2"/>
  <c r="B129" i="2"/>
  <c r="A129" i="2"/>
  <c r="G128" i="2"/>
  <c r="F128" i="2"/>
  <c r="E128" i="2"/>
  <c r="D128" i="2"/>
  <c r="C128" i="2"/>
  <c r="B128" i="2"/>
  <c r="A128" i="2"/>
  <c r="G127" i="2"/>
  <c r="F127" i="2"/>
  <c r="E127" i="2"/>
  <c r="D127" i="2"/>
  <c r="C127" i="2"/>
  <c r="B127" i="2"/>
  <c r="A127" i="2"/>
  <c r="G126" i="2"/>
  <c r="F126" i="2"/>
  <c r="E126" i="2"/>
  <c r="D126" i="2"/>
  <c r="C126" i="2"/>
  <c r="B126" i="2"/>
  <c r="A126" i="2"/>
  <c r="G125" i="2"/>
  <c r="F125" i="2"/>
  <c r="E125" i="2"/>
  <c r="D125" i="2"/>
  <c r="C125" i="2"/>
  <c r="B125" i="2"/>
  <c r="A125" i="2"/>
  <c r="G124" i="2"/>
  <c r="F124" i="2"/>
  <c r="E124" i="2"/>
  <c r="D124" i="2"/>
  <c r="C124" i="2"/>
  <c r="B124" i="2"/>
  <c r="A124" i="2"/>
  <c r="G123" i="2"/>
  <c r="F123" i="2"/>
  <c r="E123" i="2"/>
  <c r="D123" i="2"/>
  <c r="C123" i="2"/>
  <c r="B123" i="2"/>
  <c r="A123" i="2"/>
  <c r="G122" i="2"/>
  <c r="F122" i="2"/>
  <c r="E122" i="2"/>
  <c r="D122" i="2"/>
  <c r="C122" i="2"/>
  <c r="B122" i="2"/>
  <c r="A122" i="2"/>
  <c r="G121" i="2"/>
  <c r="F121" i="2"/>
  <c r="E121" i="2"/>
  <c r="D121" i="2"/>
  <c r="C121" i="2"/>
  <c r="B121" i="2"/>
  <c r="A121" i="2"/>
  <c r="G120" i="2"/>
  <c r="F120" i="2"/>
  <c r="E120" i="2"/>
  <c r="D120" i="2"/>
  <c r="C120" i="2"/>
  <c r="B120" i="2"/>
  <c r="A120" i="2"/>
  <c r="G119" i="2"/>
  <c r="F119" i="2"/>
  <c r="E119" i="2"/>
  <c r="D119" i="2"/>
  <c r="C119" i="2"/>
  <c r="B119" i="2"/>
  <c r="A119" i="2"/>
  <c r="G118" i="2"/>
  <c r="F118" i="2"/>
  <c r="E118" i="2"/>
  <c r="D118" i="2"/>
  <c r="C118" i="2"/>
  <c r="B118" i="2"/>
  <c r="A118" i="2"/>
  <c r="G117" i="2"/>
  <c r="F117" i="2"/>
  <c r="E117" i="2"/>
  <c r="D117" i="2"/>
  <c r="C117" i="2"/>
  <c r="B117" i="2"/>
  <c r="A117" i="2"/>
  <c r="G116" i="2"/>
  <c r="F116" i="2"/>
  <c r="E116" i="2"/>
  <c r="D116" i="2"/>
  <c r="C116" i="2"/>
  <c r="B116" i="2"/>
  <c r="A116" i="2"/>
  <c r="G115" i="2"/>
  <c r="F115" i="2"/>
  <c r="E115" i="2"/>
  <c r="D115" i="2"/>
  <c r="C115" i="2"/>
  <c r="B115" i="2"/>
  <c r="A115" i="2"/>
  <c r="G114" i="2"/>
  <c r="F114" i="2"/>
  <c r="E114" i="2"/>
  <c r="D114" i="2"/>
  <c r="C114" i="2"/>
  <c r="B114" i="2"/>
  <c r="A114" i="2"/>
  <c r="G113" i="2"/>
  <c r="F113" i="2"/>
  <c r="E113" i="2"/>
  <c r="D113" i="2"/>
  <c r="C113" i="2"/>
  <c r="B113" i="2"/>
  <c r="A113" i="2"/>
  <c r="G112" i="2"/>
  <c r="F112" i="2"/>
  <c r="E112" i="2"/>
  <c r="D112" i="2"/>
  <c r="C112" i="2"/>
  <c r="B112" i="2"/>
  <c r="A112" i="2"/>
  <c r="G111" i="2"/>
  <c r="F111" i="2"/>
  <c r="E111" i="2"/>
  <c r="D111" i="2"/>
  <c r="C111" i="2"/>
  <c r="B111" i="2"/>
  <c r="A111" i="2"/>
  <c r="G110" i="2"/>
  <c r="F110" i="2"/>
  <c r="E110" i="2"/>
  <c r="D110" i="2"/>
  <c r="C110" i="2"/>
  <c r="B110" i="2"/>
  <c r="A110" i="2"/>
  <c r="G109" i="2"/>
  <c r="F109" i="2"/>
  <c r="E109" i="2"/>
  <c r="D109" i="2"/>
  <c r="C109" i="2"/>
  <c r="B109" i="2"/>
  <c r="A109" i="2"/>
  <c r="G108" i="2"/>
  <c r="F108" i="2"/>
  <c r="E108" i="2"/>
  <c r="D108" i="2"/>
  <c r="C108" i="2"/>
  <c r="B108" i="2"/>
  <c r="A108" i="2"/>
  <c r="G107" i="2"/>
  <c r="F107" i="2"/>
  <c r="E107" i="2"/>
  <c r="D107" i="2"/>
  <c r="C107" i="2"/>
  <c r="B107" i="2"/>
  <c r="A107" i="2"/>
  <c r="G106" i="2"/>
  <c r="F106" i="2"/>
  <c r="E106" i="2"/>
  <c r="D106" i="2"/>
  <c r="C106" i="2"/>
  <c r="B106" i="2"/>
  <c r="A106" i="2"/>
  <c r="G105" i="2"/>
  <c r="F105" i="2"/>
  <c r="E105" i="2"/>
  <c r="D105" i="2"/>
  <c r="C105" i="2"/>
  <c r="B105" i="2"/>
  <c r="A105" i="2"/>
  <c r="G104" i="2"/>
  <c r="F104" i="2"/>
  <c r="E104" i="2"/>
  <c r="D104" i="2"/>
  <c r="C104" i="2"/>
  <c r="B104" i="2"/>
  <c r="A104" i="2"/>
  <c r="G103" i="2"/>
  <c r="F103" i="2"/>
  <c r="E103" i="2"/>
  <c r="D103" i="2"/>
  <c r="C103" i="2"/>
  <c r="B103" i="2"/>
  <c r="A103" i="2"/>
  <c r="G102" i="2"/>
  <c r="F102" i="2"/>
  <c r="E102" i="2"/>
  <c r="D102" i="2"/>
  <c r="C102" i="2"/>
  <c r="B102" i="2"/>
  <c r="A102" i="2"/>
  <c r="G101" i="2"/>
  <c r="F101" i="2"/>
  <c r="E101" i="2"/>
  <c r="D101" i="2"/>
  <c r="C101" i="2"/>
  <c r="B101" i="2"/>
  <c r="A101" i="2"/>
  <c r="G100" i="2"/>
  <c r="F100" i="2"/>
  <c r="E100" i="2"/>
  <c r="D100" i="2"/>
  <c r="C100" i="2"/>
  <c r="B100" i="2"/>
  <c r="A100" i="2"/>
  <c r="G99" i="2"/>
  <c r="F99" i="2"/>
  <c r="E99" i="2"/>
  <c r="D99" i="2"/>
  <c r="C99" i="2"/>
  <c r="B99" i="2"/>
  <c r="A99" i="2"/>
  <c r="G98" i="2"/>
  <c r="F98" i="2"/>
  <c r="E98" i="2"/>
  <c r="D98" i="2"/>
  <c r="C98" i="2"/>
  <c r="B98" i="2"/>
  <c r="A98" i="2"/>
  <c r="G97" i="2"/>
  <c r="F97" i="2"/>
  <c r="E97" i="2"/>
  <c r="D97" i="2"/>
  <c r="C97" i="2"/>
  <c r="B97" i="2"/>
  <c r="A97" i="2"/>
  <c r="G96" i="2"/>
  <c r="F96" i="2"/>
  <c r="E96" i="2"/>
  <c r="D96" i="2"/>
  <c r="C96" i="2"/>
  <c r="B96" i="2"/>
  <c r="A96" i="2"/>
  <c r="G95" i="2"/>
  <c r="F95" i="2"/>
  <c r="E95" i="2"/>
  <c r="D95" i="2"/>
  <c r="C95" i="2"/>
  <c r="B95" i="2"/>
  <c r="A95" i="2"/>
  <c r="G94" i="2"/>
  <c r="F94" i="2"/>
  <c r="E94" i="2"/>
  <c r="D94" i="2"/>
  <c r="C94" i="2"/>
  <c r="B94" i="2"/>
  <c r="A94" i="2"/>
  <c r="G93" i="2"/>
  <c r="F93" i="2"/>
  <c r="E93" i="2"/>
  <c r="D93" i="2"/>
  <c r="C93" i="2"/>
  <c r="B93" i="2"/>
  <c r="A93" i="2"/>
  <c r="G92" i="2"/>
  <c r="F92" i="2"/>
  <c r="E92" i="2"/>
  <c r="D92" i="2"/>
  <c r="C92" i="2"/>
  <c r="B92" i="2"/>
  <c r="A92" i="2"/>
  <c r="G91" i="2"/>
  <c r="F91" i="2"/>
  <c r="E91" i="2"/>
  <c r="D91" i="2"/>
  <c r="C91" i="2"/>
  <c r="B91" i="2"/>
  <c r="A91" i="2"/>
  <c r="G90" i="2"/>
  <c r="F90" i="2"/>
  <c r="E90" i="2"/>
  <c r="D90" i="2"/>
  <c r="C90" i="2"/>
  <c r="B90" i="2"/>
  <c r="A90" i="2"/>
  <c r="G89" i="2"/>
  <c r="F89" i="2"/>
  <c r="E89" i="2"/>
  <c r="D89" i="2"/>
  <c r="C89" i="2"/>
  <c r="B89" i="2"/>
  <c r="A89" i="2"/>
  <c r="G88" i="2"/>
  <c r="F88" i="2"/>
  <c r="E88" i="2"/>
  <c r="D88" i="2"/>
  <c r="C88" i="2"/>
  <c r="B88" i="2"/>
  <c r="A88" i="2"/>
  <c r="G87" i="2"/>
  <c r="F87" i="2"/>
  <c r="E87" i="2"/>
  <c r="D87" i="2"/>
  <c r="C87" i="2"/>
  <c r="B87" i="2"/>
  <c r="A87" i="2"/>
  <c r="G86" i="2"/>
  <c r="F86" i="2"/>
  <c r="E86" i="2"/>
  <c r="D86" i="2"/>
  <c r="C86" i="2"/>
  <c r="B86" i="2"/>
  <c r="A86" i="2"/>
  <c r="G85" i="2"/>
  <c r="F85" i="2"/>
  <c r="E85" i="2"/>
  <c r="D85" i="2"/>
  <c r="C85" i="2"/>
  <c r="B85" i="2"/>
  <c r="A85" i="2"/>
  <c r="G84" i="2"/>
  <c r="F84" i="2"/>
  <c r="E84" i="2"/>
  <c r="D84" i="2"/>
  <c r="C84" i="2"/>
  <c r="B84" i="2"/>
  <c r="A84" i="2"/>
  <c r="G83" i="2"/>
  <c r="F83" i="2"/>
  <c r="E83" i="2"/>
  <c r="D83" i="2"/>
  <c r="C83" i="2"/>
  <c r="B83" i="2"/>
  <c r="A83" i="2"/>
  <c r="G82" i="2"/>
  <c r="F82" i="2"/>
  <c r="E82" i="2"/>
  <c r="D82" i="2"/>
  <c r="C82" i="2"/>
  <c r="B82" i="2"/>
  <c r="A82" i="2"/>
  <c r="G81" i="2"/>
  <c r="F81" i="2"/>
  <c r="E81" i="2"/>
  <c r="D81" i="2"/>
  <c r="C81" i="2"/>
  <c r="B81" i="2"/>
  <c r="A81" i="2"/>
  <c r="G80" i="2"/>
  <c r="F80" i="2"/>
  <c r="E80" i="2"/>
  <c r="D80" i="2"/>
  <c r="C80" i="2"/>
  <c r="B80" i="2"/>
  <c r="A80" i="2"/>
  <c r="G79" i="2"/>
  <c r="F79" i="2"/>
  <c r="E79" i="2"/>
  <c r="D79" i="2"/>
  <c r="C79" i="2"/>
  <c r="B79" i="2"/>
  <c r="A79" i="2"/>
  <c r="G78" i="2"/>
  <c r="F78" i="2"/>
  <c r="E78" i="2"/>
  <c r="D78" i="2"/>
  <c r="C78" i="2"/>
  <c r="B78" i="2"/>
  <c r="A78" i="2"/>
  <c r="G77" i="2"/>
  <c r="F77" i="2"/>
  <c r="E77" i="2"/>
  <c r="D77" i="2"/>
  <c r="C77" i="2"/>
  <c r="B77" i="2"/>
  <c r="A77" i="2"/>
  <c r="G76" i="2"/>
  <c r="F76" i="2"/>
  <c r="E76" i="2"/>
  <c r="D76" i="2"/>
  <c r="C76" i="2"/>
  <c r="B76" i="2"/>
  <c r="A76" i="2"/>
  <c r="G75" i="2"/>
  <c r="F75" i="2"/>
  <c r="E75" i="2"/>
  <c r="D75" i="2"/>
  <c r="C75" i="2"/>
  <c r="B75" i="2"/>
  <c r="A75" i="2"/>
  <c r="G74" i="2"/>
  <c r="F74" i="2"/>
  <c r="E74" i="2"/>
  <c r="D74" i="2"/>
  <c r="C74" i="2"/>
  <c r="B74" i="2"/>
  <c r="A74" i="2"/>
  <c r="G73" i="2"/>
  <c r="F73" i="2"/>
  <c r="E73" i="2"/>
  <c r="D73" i="2"/>
  <c r="C73" i="2"/>
  <c r="B73" i="2"/>
  <c r="A73" i="2"/>
  <c r="G72" i="2"/>
  <c r="F72" i="2"/>
  <c r="E72" i="2"/>
  <c r="D72" i="2"/>
  <c r="C72" i="2"/>
  <c r="B72" i="2"/>
  <c r="A72" i="2"/>
  <c r="G71" i="2"/>
  <c r="F71" i="2"/>
  <c r="E71" i="2"/>
  <c r="D71" i="2"/>
  <c r="C71" i="2"/>
  <c r="B71" i="2"/>
  <c r="A71" i="2"/>
  <c r="G70" i="2"/>
  <c r="F70" i="2"/>
  <c r="E70" i="2"/>
  <c r="D70" i="2"/>
  <c r="C70" i="2"/>
  <c r="B70" i="2"/>
  <c r="A70" i="2"/>
  <c r="G69" i="2"/>
  <c r="F69" i="2"/>
  <c r="E69" i="2"/>
  <c r="D69" i="2"/>
  <c r="C69" i="2"/>
  <c r="B69" i="2"/>
  <c r="A69" i="2"/>
  <c r="G68" i="2"/>
  <c r="F68" i="2"/>
  <c r="E68" i="2"/>
  <c r="D68" i="2"/>
  <c r="C68" i="2"/>
  <c r="B68" i="2"/>
  <c r="A68" i="2"/>
  <c r="G67" i="2"/>
  <c r="F67" i="2"/>
  <c r="E67" i="2"/>
  <c r="D67" i="2"/>
  <c r="C67" i="2"/>
  <c r="B67" i="2"/>
  <c r="A67" i="2"/>
  <c r="G66" i="2"/>
  <c r="F66" i="2"/>
  <c r="E66" i="2"/>
  <c r="D66" i="2"/>
  <c r="C66" i="2"/>
  <c r="B66" i="2"/>
  <c r="A66" i="2"/>
  <c r="G65" i="2"/>
  <c r="F65" i="2"/>
  <c r="E65" i="2"/>
  <c r="D65" i="2"/>
  <c r="C65" i="2"/>
  <c r="B65" i="2"/>
  <c r="A65" i="2"/>
  <c r="G64" i="2"/>
  <c r="F64" i="2"/>
  <c r="E64" i="2"/>
  <c r="D64" i="2"/>
  <c r="C64" i="2"/>
  <c r="B64" i="2"/>
  <c r="A64" i="2"/>
  <c r="G63" i="2"/>
  <c r="F63" i="2"/>
  <c r="E63" i="2"/>
  <c r="D63" i="2"/>
  <c r="C63" i="2"/>
  <c r="B63" i="2"/>
  <c r="A63" i="2"/>
  <c r="G62" i="2"/>
  <c r="F62" i="2"/>
  <c r="E62" i="2"/>
  <c r="D62" i="2"/>
  <c r="C62" i="2"/>
  <c r="B62" i="2"/>
  <c r="A62" i="2"/>
  <c r="G61" i="2"/>
  <c r="F61" i="2"/>
  <c r="E61" i="2"/>
  <c r="D61" i="2"/>
  <c r="C61" i="2"/>
  <c r="B61" i="2"/>
  <c r="A61" i="2"/>
  <c r="G60" i="2"/>
  <c r="F60" i="2"/>
  <c r="E60" i="2"/>
  <c r="D60" i="2"/>
  <c r="C60" i="2"/>
  <c r="B60" i="2"/>
  <c r="A60" i="2"/>
  <c r="G59" i="2"/>
  <c r="F59" i="2"/>
  <c r="E59" i="2"/>
  <c r="D59" i="2"/>
  <c r="C59" i="2"/>
  <c r="B59" i="2"/>
  <c r="A59" i="2"/>
  <c r="G58" i="2"/>
  <c r="F58" i="2"/>
  <c r="E58" i="2"/>
  <c r="D58" i="2"/>
  <c r="C58" i="2"/>
  <c r="B58" i="2"/>
  <c r="A58" i="2"/>
  <c r="G57" i="2"/>
  <c r="F57" i="2"/>
  <c r="E57" i="2"/>
  <c r="D57" i="2"/>
  <c r="C57" i="2"/>
  <c r="B57" i="2"/>
  <c r="A57" i="2"/>
  <c r="G56" i="2"/>
  <c r="F56" i="2"/>
  <c r="E56" i="2"/>
  <c r="D56" i="2"/>
  <c r="C56" i="2"/>
  <c r="B56" i="2"/>
  <c r="A56" i="2"/>
  <c r="G55" i="2"/>
  <c r="F55" i="2"/>
  <c r="E55" i="2"/>
  <c r="D55" i="2"/>
  <c r="C55" i="2"/>
  <c r="B55" i="2"/>
  <c r="A55" i="2"/>
  <c r="G54" i="2"/>
  <c r="F54" i="2"/>
  <c r="E54" i="2"/>
  <c r="D54" i="2"/>
  <c r="C54" i="2"/>
  <c r="B54" i="2"/>
  <c r="A54" i="2"/>
  <c r="G53" i="2"/>
  <c r="F53" i="2"/>
  <c r="E53" i="2"/>
  <c r="D53" i="2"/>
  <c r="C53" i="2"/>
  <c r="B53" i="2"/>
  <c r="A53" i="2"/>
  <c r="G52" i="2"/>
  <c r="F52" i="2"/>
  <c r="E52" i="2"/>
  <c r="D52" i="2"/>
  <c r="C52" i="2"/>
  <c r="B52" i="2"/>
  <c r="A52" i="2"/>
  <c r="G51" i="2"/>
  <c r="F51" i="2"/>
  <c r="E51" i="2"/>
  <c r="D51" i="2"/>
  <c r="C51" i="2"/>
  <c r="B51" i="2"/>
  <c r="A51" i="2"/>
  <c r="G50" i="2"/>
  <c r="F50" i="2"/>
  <c r="E50" i="2"/>
  <c r="D50" i="2"/>
  <c r="C50" i="2"/>
  <c r="B50" i="2"/>
  <c r="A50" i="2"/>
  <c r="G49" i="2"/>
  <c r="F49" i="2"/>
  <c r="E49" i="2"/>
  <c r="D49" i="2"/>
  <c r="C49" i="2"/>
  <c r="B49" i="2"/>
  <c r="A49" i="2"/>
  <c r="G48" i="2"/>
  <c r="F48" i="2"/>
  <c r="E48" i="2"/>
  <c r="D48" i="2"/>
  <c r="C48" i="2"/>
  <c r="B48" i="2"/>
  <c r="A48" i="2"/>
  <c r="G47" i="2"/>
  <c r="F47" i="2"/>
  <c r="E47" i="2"/>
  <c r="D47" i="2"/>
  <c r="C47" i="2"/>
  <c r="B47" i="2"/>
  <c r="A47" i="2"/>
  <c r="G46" i="2"/>
  <c r="F46" i="2"/>
  <c r="E46" i="2"/>
  <c r="D46" i="2"/>
  <c r="C46" i="2"/>
  <c r="B46" i="2"/>
  <c r="A46" i="2"/>
  <c r="G45" i="2"/>
  <c r="F45" i="2"/>
  <c r="E45" i="2"/>
  <c r="D45" i="2"/>
  <c r="C45" i="2"/>
  <c r="B45" i="2"/>
  <c r="A45" i="2"/>
  <c r="G44" i="2"/>
  <c r="F44" i="2"/>
  <c r="E44" i="2"/>
  <c r="D44" i="2"/>
  <c r="C44" i="2"/>
  <c r="B44" i="2"/>
  <c r="A44" i="2"/>
  <c r="G43" i="2"/>
  <c r="F43" i="2"/>
  <c r="E43" i="2"/>
  <c r="D43" i="2"/>
  <c r="C43" i="2"/>
  <c r="B43" i="2"/>
  <c r="A43" i="2"/>
  <c r="G42" i="2"/>
  <c r="F42" i="2"/>
  <c r="E42" i="2"/>
  <c r="D42" i="2"/>
  <c r="C42" i="2"/>
  <c r="B42" i="2"/>
  <c r="A42" i="2"/>
  <c r="G41" i="2"/>
  <c r="F41" i="2"/>
  <c r="E41" i="2"/>
  <c r="D41" i="2"/>
  <c r="C41" i="2"/>
  <c r="B41" i="2"/>
  <c r="A41" i="2"/>
  <c r="G40" i="2"/>
  <c r="F40" i="2"/>
  <c r="E40" i="2"/>
  <c r="D40" i="2"/>
  <c r="C40" i="2"/>
  <c r="B40" i="2"/>
  <c r="A40" i="2"/>
  <c r="G39" i="2"/>
  <c r="F39" i="2"/>
  <c r="E39" i="2"/>
  <c r="D39" i="2"/>
  <c r="C39" i="2"/>
  <c r="B39" i="2"/>
  <c r="A39" i="2"/>
  <c r="G38" i="2"/>
  <c r="F38" i="2"/>
  <c r="E38" i="2"/>
  <c r="D38" i="2"/>
  <c r="C38" i="2"/>
  <c r="B38" i="2"/>
  <c r="A38" i="2"/>
  <c r="G37" i="2"/>
  <c r="F37" i="2"/>
  <c r="E37" i="2"/>
  <c r="D37" i="2"/>
  <c r="C37" i="2"/>
  <c r="B37" i="2"/>
  <c r="A37" i="2"/>
  <c r="G36" i="2"/>
  <c r="F36" i="2"/>
  <c r="E36" i="2"/>
  <c r="D36" i="2"/>
  <c r="C36" i="2"/>
  <c r="B36" i="2"/>
  <c r="A36" i="2"/>
  <c r="G35" i="2"/>
  <c r="F35" i="2"/>
  <c r="E35" i="2"/>
  <c r="D35" i="2"/>
  <c r="C35" i="2"/>
  <c r="B35" i="2"/>
  <c r="A35" i="2"/>
  <c r="G34" i="2"/>
  <c r="F34" i="2"/>
  <c r="E34" i="2"/>
  <c r="D34" i="2"/>
  <c r="C34" i="2"/>
  <c r="B34" i="2"/>
  <c r="A34" i="2"/>
  <c r="G33" i="2"/>
  <c r="F33" i="2"/>
  <c r="E33" i="2"/>
  <c r="D33" i="2"/>
  <c r="C33" i="2"/>
  <c r="B33" i="2"/>
  <c r="A33" i="2"/>
  <c r="G32" i="2"/>
  <c r="F32" i="2"/>
  <c r="E32" i="2"/>
  <c r="D32" i="2"/>
  <c r="C32" i="2"/>
  <c r="B32" i="2"/>
  <c r="A32" i="2"/>
  <c r="G31" i="2"/>
  <c r="F31" i="2"/>
  <c r="E31" i="2"/>
  <c r="D31" i="2"/>
  <c r="C31" i="2"/>
  <c r="B31" i="2"/>
  <c r="A31" i="2"/>
  <c r="G30" i="2"/>
  <c r="F30" i="2"/>
  <c r="E30" i="2"/>
  <c r="D30" i="2"/>
  <c r="C30" i="2"/>
  <c r="B30" i="2"/>
  <c r="A30" i="2"/>
  <c r="G29" i="2"/>
  <c r="F29" i="2"/>
  <c r="E29" i="2"/>
  <c r="D29" i="2"/>
  <c r="C29" i="2"/>
  <c r="B29" i="2"/>
  <c r="A29" i="2"/>
  <c r="G28" i="2"/>
  <c r="F28" i="2"/>
  <c r="E28" i="2"/>
  <c r="D28" i="2"/>
  <c r="C28" i="2"/>
  <c r="B28" i="2"/>
  <c r="A28" i="2"/>
  <c r="G27" i="2"/>
  <c r="F27" i="2"/>
  <c r="E27" i="2"/>
  <c r="D27" i="2"/>
  <c r="C27" i="2"/>
  <c r="B27" i="2"/>
  <c r="A27" i="2"/>
  <c r="G26" i="2"/>
  <c r="F26" i="2"/>
  <c r="E26" i="2"/>
  <c r="D26" i="2"/>
  <c r="C26" i="2"/>
  <c r="B26" i="2"/>
  <c r="A26" i="2"/>
  <c r="G25" i="2"/>
  <c r="F25" i="2"/>
  <c r="E25" i="2"/>
  <c r="D25" i="2"/>
  <c r="C25" i="2"/>
  <c r="B25" i="2"/>
  <c r="A25" i="2"/>
  <c r="G24" i="2"/>
  <c r="F24" i="2"/>
  <c r="E24" i="2"/>
  <c r="D24" i="2"/>
  <c r="C24" i="2"/>
  <c r="B24" i="2"/>
  <c r="A24" i="2"/>
  <c r="G23" i="2"/>
  <c r="F23" i="2"/>
  <c r="E23" i="2"/>
  <c r="D23" i="2"/>
  <c r="C23" i="2"/>
  <c r="B23" i="2"/>
  <c r="A23" i="2"/>
  <c r="G22" i="2"/>
  <c r="F22" i="2"/>
  <c r="E22" i="2"/>
  <c r="D22" i="2"/>
  <c r="C22" i="2"/>
  <c r="B22" i="2"/>
  <c r="A22" i="2"/>
  <c r="G21" i="2"/>
  <c r="F21" i="2"/>
  <c r="E21" i="2"/>
  <c r="D21" i="2"/>
  <c r="C21" i="2"/>
  <c r="B21" i="2"/>
  <c r="A21" i="2"/>
  <c r="G20" i="2"/>
  <c r="F20" i="2"/>
  <c r="E20" i="2"/>
  <c r="D20" i="2"/>
  <c r="C20" i="2"/>
  <c r="B20" i="2"/>
  <c r="A20" i="2"/>
  <c r="G19" i="2"/>
  <c r="F19" i="2"/>
  <c r="E19" i="2"/>
  <c r="D19" i="2"/>
  <c r="C19" i="2"/>
  <c r="B19" i="2"/>
  <c r="A19" i="2"/>
  <c r="G18" i="2"/>
  <c r="F18" i="2"/>
  <c r="E18" i="2"/>
  <c r="D18" i="2"/>
  <c r="C18" i="2"/>
  <c r="B18" i="2"/>
  <c r="A18" i="2"/>
  <c r="G17" i="2"/>
  <c r="F17" i="2"/>
  <c r="E17" i="2"/>
  <c r="D17" i="2"/>
  <c r="C17" i="2"/>
  <c r="B17" i="2"/>
  <c r="A17" i="2"/>
  <c r="G16" i="2"/>
  <c r="F16" i="2"/>
  <c r="E16" i="2"/>
  <c r="D16" i="2"/>
  <c r="C16" i="2"/>
  <c r="B16" i="2"/>
  <c r="A16" i="2"/>
  <c r="G15" i="2"/>
  <c r="F15" i="2"/>
  <c r="E15" i="2"/>
  <c r="D15" i="2"/>
  <c r="C15" i="2"/>
  <c r="B15" i="2"/>
  <c r="A15" i="2"/>
  <c r="G14" i="2"/>
  <c r="F14" i="2"/>
  <c r="E14" i="2"/>
  <c r="D14" i="2"/>
  <c r="C14" i="2"/>
  <c r="B14" i="2"/>
  <c r="A14" i="2"/>
  <c r="G13" i="2"/>
  <c r="F13" i="2"/>
  <c r="E13" i="2"/>
  <c r="D13" i="2"/>
  <c r="C13" i="2"/>
  <c r="B13" i="2"/>
  <c r="A13" i="2"/>
  <c r="G12" i="2"/>
  <c r="F12" i="2"/>
  <c r="E12" i="2"/>
  <c r="D12" i="2"/>
  <c r="C12" i="2"/>
  <c r="B12" i="2"/>
  <c r="A12" i="2"/>
  <c r="G11" i="2"/>
  <c r="F11" i="2"/>
  <c r="E11" i="2"/>
  <c r="D11" i="2"/>
  <c r="C11" i="2"/>
  <c r="B11" i="2"/>
  <c r="A11" i="2"/>
  <c r="G10" i="2"/>
  <c r="F10" i="2"/>
  <c r="E10" i="2"/>
  <c r="D10" i="2"/>
  <c r="C10" i="2"/>
  <c r="B10" i="2"/>
  <c r="A10" i="2"/>
  <c r="G9" i="2"/>
  <c r="F9" i="2"/>
  <c r="E9" i="2"/>
  <c r="D9" i="2"/>
  <c r="C9" i="2"/>
  <c r="B9" i="2"/>
  <c r="A9" i="2"/>
  <c r="G8" i="2"/>
  <c r="F8" i="2"/>
  <c r="E8" i="2"/>
  <c r="D8" i="2"/>
  <c r="C8" i="2"/>
  <c r="B8" i="2"/>
  <c r="A8" i="2"/>
  <c r="G7" i="2"/>
  <c r="F7" i="2"/>
  <c r="E7" i="2"/>
  <c r="D7" i="2"/>
  <c r="C7" i="2"/>
  <c r="B7" i="2"/>
  <c r="A7" i="2"/>
  <c r="G6" i="2"/>
  <c r="F6" i="2"/>
  <c r="E6" i="2"/>
  <c r="D6" i="2"/>
  <c r="C6" i="2"/>
  <c r="B6" i="2"/>
  <c r="A6" i="2"/>
  <c r="G5" i="2"/>
  <c r="F5" i="2"/>
  <c r="E5" i="2"/>
  <c r="D5" i="2"/>
  <c r="C5" i="2"/>
  <c r="B5" i="2"/>
  <c r="A5" i="2"/>
  <c r="G4" i="2"/>
  <c r="F4" i="2"/>
  <c r="E4" i="2"/>
  <c r="D4" i="2"/>
  <c r="C4" i="2"/>
  <c r="B4" i="2"/>
  <c r="A4" i="2"/>
  <c r="G3" i="2"/>
  <c r="F3" i="2"/>
  <c r="E3" i="2"/>
  <c r="D3" i="2"/>
  <c r="C3" i="2"/>
  <c r="B3" i="2"/>
  <c r="A3" i="2"/>
  <c r="G2" i="2"/>
  <c r="F2" i="2"/>
  <c r="E2" i="2"/>
  <c r="D2" i="2"/>
  <c r="C2" i="2"/>
  <c r="B2" i="2"/>
  <c r="A2" i="2"/>
  <c r="G1" i="2"/>
  <c r="F1" i="2"/>
  <c r="E1" i="2"/>
  <c r="D1" i="2"/>
  <c r="C1" i="2"/>
  <c r="B1" i="2"/>
  <c r="A1" i="2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  <c r="B1" i="1"/>
  <c r="A1" i="1"/>
</calcChain>
</file>

<file path=xl/sharedStrings.xml><?xml version="1.0" encoding="utf-8"?>
<sst xmlns="http://schemas.openxmlformats.org/spreadsheetml/2006/main" count="188" uniqueCount="97">
  <si>
    <t>PLAYER</t>
  </si>
  <si>
    <t>OVERALL</t>
  </si>
  <si>
    <t>ODDS</t>
  </si>
  <si>
    <t>E</t>
  </si>
  <si>
    <t xml:space="preserve">Corey Conners </t>
  </si>
  <si>
    <t xml:space="preserve">Lucas Glover </t>
  </si>
  <si>
    <t xml:space="preserve">Yuxin Lin </t>
  </si>
  <si>
    <t xml:space="preserve">Sandy Lyle </t>
  </si>
  <si>
    <t xml:space="preserve">Cheng Tsung Pan </t>
  </si>
  <si>
    <t xml:space="preserve">Jimmy Walker </t>
  </si>
  <si>
    <t xml:space="preserve">Charles Howell III </t>
  </si>
  <si>
    <t xml:space="preserve">Jazz Janewattananond </t>
  </si>
  <si>
    <t xml:space="preserve">Marc Leishman </t>
  </si>
  <si>
    <t xml:space="preserve">Hideki Matsuyama </t>
  </si>
  <si>
    <t xml:space="preserve">Webb Simpson </t>
  </si>
  <si>
    <t xml:space="preserve">Brandt Snedeker </t>
  </si>
  <si>
    <t xml:space="preserve">Adam Hadwin </t>
  </si>
  <si>
    <t xml:space="preserve">Kevin Kisner </t>
  </si>
  <si>
    <t xml:space="preserve">Andrew Landry </t>
  </si>
  <si>
    <t xml:space="preserve">Lukas Michel </t>
  </si>
  <si>
    <t xml:space="preserve">Larry Mize </t>
  </si>
  <si>
    <t xml:space="preserve">Scottie Scheffler </t>
  </si>
  <si>
    <t xml:space="preserve">Bryson DeChambeau </t>
  </si>
  <si>
    <t xml:space="preserve">Matt Kuchar </t>
  </si>
  <si>
    <t xml:space="preserve">Kevin Na </t>
  </si>
  <si>
    <t xml:space="preserve">Louis Oosthuizen </t>
  </si>
  <si>
    <t xml:space="preserve">Jon Rahm </t>
  </si>
  <si>
    <t xml:space="preserve">Lee Westwood </t>
  </si>
  <si>
    <t xml:space="preserve">Paul Casey </t>
  </si>
  <si>
    <t xml:space="preserve">Tony Finau </t>
  </si>
  <si>
    <t xml:space="preserve">Jason Kokrak </t>
  </si>
  <si>
    <t xml:space="preserve">Patrick Reed </t>
  </si>
  <si>
    <t xml:space="preserve">Xander Schauffele </t>
  </si>
  <si>
    <t xml:space="preserve">Henrik Stenson </t>
  </si>
  <si>
    <t xml:space="preserve">Jason Day </t>
  </si>
  <si>
    <t xml:space="preserve">Abel Gallegos </t>
  </si>
  <si>
    <t xml:space="preserve">Shane Lowry </t>
  </si>
  <si>
    <t xml:space="preserve">Andy Ogletree </t>
  </si>
  <si>
    <t xml:space="preserve">Charl Schwartzel </t>
  </si>
  <si>
    <t xml:space="preserve">Tiger Woods </t>
  </si>
  <si>
    <t xml:space="preserve">Tyler Duncan </t>
  </si>
  <si>
    <t xml:space="preserve">Lanto Griffin </t>
  </si>
  <si>
    <t xml:space="preserve">Ian Poulter </t>
  </si>
  <si>
    <t xml:space="preserve">Vijay Singh </t>
  </si>
  <si>
    <t xml:space="preserve">Jordan Spieth </t>
  </si>
  <si>
    <t xml:space="preserve">Gary Woodland </t>
  </si>
  <si>
    <t xml:space="preserve">Rafa Cabrera Bello </t>
  </si>
  <si>
    <t xml:space="preserve">Si Woo Kim </t>
  </si>
  <si>
    <t xml:space="preserve">Nate Lashley </t>
  </si>
  <si>
    <t xml:space="preserve">Graeme McDowell </t>
  </si>
  <si>
    <t xml:space="preserve">Matt Wallace </t>
  </si>
  <si>
    <t xml:space="preserve">Mike Weir </t>
  </si>
  <si>
    <t xml:space="preserve">Justin Harding </t>
  </si>
  <si>
    <t xml:space="preserve">Shugo Imahira </t>
  </si>
  <si>
    <t xml:space="preserve">Sung Kang </t>
  </si>
  <si>
    <t xml:space="preserve">Nick Taylor </t>
  </si>
  <si>
    <t xml:space="preserve">Erik van Rooyen </t>
  </si>
  <si>
    <t xml:space="preserve">Byeong Hun An </t>
  </si>
  <si>
    <t xml:space="preserve">John Augenstein </t>
  </si>
  <si>
    <t xml:space="preserve">Rickie Fowler </t>
  </si>
  <si>
    <t xml:space="preserve">Sebastián Muñoz </t>
  </si>
  <si>
    <t xml:space="preserve">Chez Reavie </t>
  </si>
  <si>
    <t xml:space="preserve">Danny Willett </t>
  </si>
  <si>
    <t xml:space="preserve">Abraham Ancer </t>
  </si>
  <si>
    <t xml:space="preserve">Tommy Fleetwood </t>
  </si>
  <si>
    <t xml:space="preserve">Phil Mickelson </t>
  </si>
  <si>
    <t xml:space="preserve">Bubba Watson </t>
  </si>
  <si>
    <t xml:space="preserve">Bernd Wiesberger </t>
  </si>
  <si>
    <t xml:space="preserve">Matthew Wolff </t>
  </si>
  <si>
    <t xml:space="preserve">Tyrrell Hatton </t>
  </si>
  <si>
    <t xml:space="preserve">Billy Horschel </t>
  </si>
  <si>
    <t xml:space="preserve">Francesco Molinari </t>
  </si>
  <si>
    <t xml:space="preserve">Collin Morikawa </t>
  </si>
  <si>
    <t xml:space="preserve">Adam Scott </t>
  </si>
  <si>
    <t xml:space="preserve">Cameron Smith </t>
  </si>
  <si>
    <t xml:space="preserve">Christiaan Bezuidenhout </t>
  </si>
  <si>
    <t xml:space="preserve">Matthew Fitzpatrick </t>
  </si>
  <si>
    <t xml:space="preserve">Brooks Koepka </t>
  </si>
  <si>
    <t xml:space="preserve">Bernhard Langer </t>
  </si>
  <si>
    <t xml:space="preserve">J.T. Poston </t>
  </si>
  <si>
    <t xml:space="preserve">Justin Thomas </t>
  </si>
  <si>
    <t xml:space="preserve">Patrick Cantlay </t>
  </si>
  <si>
    <t xml:space="preserve">Fred Couples </t>
  </si>
  <si>
    <t xml:space="preserve">Dylan Frittelli </t>
  </si>
  <si>
    <t xml:space="preserve">Max Homa </t>
  </si>
  <si>
    <t xml:space="preserve">Dustin Johnson </t>
  </si>
  <si>
    <t xml:space="preserve">Rory McIlroy </t>
  </si>
  <si>
    <t xml:space="preserve">Cameron Champ </t>
  </si>
  <si>
    <t xml:space="preserve">Zach Johnson </t>
  </si>
  <si>
    <t xml:space="preserve">José María Olazábal </t>
  </si>
  <si>
    <t xml:space="preserve">Andrew Putnam </t>
  </si>
  <si>
    <t xml:space="preserve">Justin Rose </t>
  </si>
  <si>
    <t xml:space="preserve">James Sugrue </t>
  </si>
  <si>
    <t xml:space="preserve">Sungjae Im </t>
  </si>
  <si>
    <t xml:space="preserve">Victor Perez </t>
  </si>
  <si>
    <t xml:space="preserve">Brendon Todd </t>
  </si>
  <si>
    <t>TEE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</si>
</sst>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>
    <font>
      <sz val="10"/>
      <color rgb="FF000000"/>
      <name val="Arial"/>
    </font>
    <font>
      <sz val="1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3" fontId="1" fillId="0" borderId="0" xfId="0" applyNumberFormat="1" applyFont="1"/>
    <xf numFmtId="4" fontId="1" fillId="0" borderId="0" xfId="0" applyNumberFormat="1" applyFont="1"/>
    <xf numFmtId="0" fontId="2" fillId="2" borderId="0" xfId="0" applyFont="1" applyFill="1" applyAlignment="1"/>
    <xf numFmtId="164" fontId="1" fillId="0" borderId="0" xfId="0" applyNumberFormat="1" applyFont="1"/>
    <xf numFmtId="18" fontId="0" fillId="0" borderId="0" xfId="0" applyNumberFormat="1" applyFont="1" applyAlignment="1"/>
    <xf numFmtId="2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002"/>
  <sheetViews>
    <sheetView topLeftCell="A124" workbookViewId="0"/>
  </sheetViews>
  <sheetFormatPr defaultColWidth="14.42578125" defaultRowHeight="15.75" customHeight="1"/>
  <cols>
    <col min="1" max="1" width="21.5703125" customWidth="1"/>
  </cols>
  <sheetData>
    <row r="1" spans="1:2" ht="15.75" customHeight="1">
      <c r="A1" t="str">
        <f ca="1">IFERROR(__xludf.DUMMYFUNCTION("importhtml(""http://www.espn.com/golf/players"",""table"", 1)"),"A")</f>
        <v>A</v>
      </c>
      <c r="B1" t="str">
        <f ca="1">IFERROR(__xludf.DUMMYFUNCTION("""COMPUTED_VALUE"""),"")</f>
        <v/>
      </c>
    </row>
    <row r="2" spans="1:2" ht="15.75" customHeight="1">
      <c r="A2" t="str">
        <f ca="1">IFERROR(__xludf.DUMMYFUNCTION("""COMPUTED_VALUE"""),"NAME")</f>
        <v>NAME</v>
      </c>
      <c r="B2" t="str">
        <f ca="1">IFERROR(__xludf.DUMMYFUNCTION("""COMPUTED_VALUE"""),"COUNTRY")</f>
        <v>COUNTRY</v>
      </c>
    </row>
    <row r="3" spans="1:2" ht="15.75" customHeight="1">
      <c r="A3" t="str">
        <f ca="1">IFERROR(__xludf.DUMMYFUNCTION("""COMPUTED_VALUE"""),"Abbott, Jamie")</f>
        <v>Abbott, Jamie</v>
      </c>
      <c r="B3" t="str">
        <f ca="1">IFERROR(__xludf.DUMMYFUNCTION("""COMPUTED_VALUE"""),"England")</f>
        <v>England</v>
      </c>
    </row>
    <row r="4" spans="1:2" ht="15.75" customHeight="1">
      <c r="A4" t="str">
        <f ca="1">IFERROR(__xludf.DUMMYFUNCTION("""COMPUTED_VALUE"""),"Abbott, Matt")</f>
        <v>Abbott, Matt</v>
      </c>
      <c r="B4" t="str">
        <f ca="1">IFERROR(__xludf.DUMMYFUNCTION("""COMPUTED_VALUE"""),"")</f>
        <v/>
      </c>
    </row>
    <row r="5" spans="1:2" ht="15.75" customHeight="1">
      <c r="A5" t="str">
        <f ca="1">IFERROR(__xludf.DUMMYFUNCTION("""COMPUTED_VALUE"""),"Abbott, Scott")</f>
        <v>Abbott, Scott</v>
      </c>
      <c r="B5" t="str">
        <f ca="1">IFERROR(__xludf.DUMMYFUNCTION("""COMPUTED_VALUE"""),"United States")</f>
        <v>United States</v>
      </c>
    </row>
    <row r="6" spans="1:2" ht="15.75" customHeight="1">
      <c r="A6" t="str">
        <f ca="1">IFERROR(__xludf.DUMMYFUNCTION("""COMPUTED_VALUE"""),"Abel, Derek")</f>
        <v>Abel, Derek</v>
      </c>
      <c r="B6" t="str">
        <f ca="1">IFERROR(__xludf.DUMMYFUNCTION("""COMPUTED_VALUE"""),"United States")</f>
        <v>United States</v>
      </c>
    </row>
    <row r="7" spans="1:2" ht="15.75" customHeight="1">
      <c r="A7" t="str">
        <f ca="1">IFERROR(__xludf.DUMMYFUNCTION("""COMPUTED_VALUE"""),"Acosta Jr, Joe")</f>
        <v>Acosta Jr, Joe</v>
      </c>
      <c r="B7" t="str">
        <f ca="1">IFERROR(__xludf.DUMMYFUNCTION("""COMPUTED_VALUE"""),"United States")</f>
        <v>United States</v>
      </c>
    </row>
    <row r="8" spans="1:2" ht="15.75" customHeight="1">
      <c r="A8" t="str">
        <f ca="1">IFERROR(__xludf.DUMMYFUNCTION("""COMPUTED_VALUE"""),"Adamonis, Brad")</f>
        <v>Adamonis, Brad</v>
      </c>
      <c r="B8" t="str">
        <f ca="1">IFERROR(__xludf.DUMMYFUNCTION("""COMPUTED_VALUE"""),"United States")</f>
        <v>United States</v>
      </c>
    </row>
    <row r="9" spans="1:2" ht="15.75" customHeight="1">
      <c r="A9" t="str">
        <f ca="1">IFERROR(__xludf.DUMMYFUNCTION("""COMPUTED_VALUE"""),"Adams III, Frank")</f>
        <v>Adams III, Frank</v>
      </c>
      <c r="B9" t="str">
        <f ca="1">IFERROR(__xludf.DUMMYFUNCTION("""COMPUTED_VALUE"""),"United States")</f>
        <v>United States</v>
      </c>
    </row>
    <row r="10" spans="1:2" ht="15.75" customHeight="1">
      <c r="A10" t="str">
        <f ca="1">IFERROR(__xludf.DUMMYFUNCTION("""COMPUTED_VALUE"""),"Adee, Jon")</f>
        <v>Adee, Jon</v>
      </c>
      <c r="B10" t="str">
        <f ca="1">IFERROR(__xludf.DUMMYFUNCTION("""COMPUTED_VALUE"""),"")</f>
        <v/>
      </c>
    </row>
    <row r="11" spans="1:2" ht="15.75" customHeight="1">
      <c r="A11" t="str">
        <f ca="1">IFERROR(__xludf.DUMMYFUNCTION("""COMPUTED_VALUE"""),"Adrian, Alfredo")</f>
        <v>Adrian, Alfredo</v>
      </c>
      <c r="B11" t="str">
        <f ca="1">IFERROR(__xludf.DUMMYFUNCTION("""COMPUTED_VALUE"""),"Venezuela")</f>
        <v>Venezuela</v>
      </c>
    </row>
    <row r="12" spans="1:2" ht="15.75" customHeight="1">
      <c r="A12" t="str">
        <f ca="1">IFERROR(__xludf.DUMMYFUNCTION("""COMPUTED_VALUE"""),"Agee, Brian")</f>
        <v>Agee, Brian</v>
      </c>
      <c r="B12" t="str">
        <f ca="1">IFERROR(__xludf.DUMMYFUNCTION("""COMPUTED_VALUE"""),"United States")</f>
        <v>United States</v>
      </c>
    </row>
    <row r="13" spans="1:2" ht="15.75" customHeight="1">
      <c r="A13" t="str">
        <f ca="1">IFERROR(__xludf.DUMMYFUNCTION("""COMPUTED_VALUE"""),"Aguilar, Felipe")</f>
        <v>Aguilar, Felipe</v>
      </c>
      <c r="B13" t="str">
        <f ca="1">IFERROR(__xludf.DUMMYFUNCTION("""COMPUTED_VALUE"""),"Chile")</f>
        <v>Chile</v>
      </c>
    </row>
    <row r="14" spans="1:2" ht="15.75" customHeight="1">
      <c r="A14" t="str">
        <f ca="1">IFERROR(__xludf.DUMMYFUNCTION("""COMPUTED_VALUE"""),"Aguilar, Tony")</f>
        <v>Aguilar, Tony</v>
      </c>
      <c r="B14" t="str">
        <f ca="1">IFERROR(__xludf.DUMMYFUNCTION("""COMPUTED_VALUE"""),"")</f>
        <v/>
      </c>
    </row>
    <row r="15" spans="1:2" ht="15.75" customHeight="1">
      <c r="A15" t="str">
        <f ca="1">IFERROR(__xludf.DUMMYFUNCTION("""COMPUTED_VALUE"""),"Ahlers, Jaco")</f>
        <v>Ahlers, Jaco</v>
      </c>
      <c r="B15" t="str">
        <f ca="1">IFERROR(__xludf.DUMMYFUNCTION("""COMPUTED_VALUE"""),"South Africa")</f>
        <v>South Africa</v>
      </c>
    </row>
    <row r="16" spans="1:2" ht="15.75" customHeight="1">
      <c r="A16" t="str">
        <f ca="1">IFERROR(__xludf.DUMMYFUNCTION("""COMPUTED_VALUE"""),"Ahokas, Antti")</f>
        <v>Ahokas, Antti</v>
      </c>
      <c r="B16" t="str">
        <f ca="1">IFERROR(__xludf.DUMMYFUNCTION("""COMPUTED_VALUE"""),"Finland")</f>
        <v>Finland</v>
      </c>
    </row>
    <row r="17" spans="1:2" ht="15.75" customHeight="1">
      <c r="A17" t="str">
        <f ca="1">IFERROR(__xludf.DUMMYFUNCTION("""COMPUTED_VALUE"""),"Ainley, Richard")</f>
        <v>Ainley, Richard</v>
      </c>
      <c r="B17" t="str">
        <f ca="1">IFERROR(__xludf.DUMMYFUNCTION("""COMPUTED_VALUE"""),"United States")</f>
        <v>United States</v>
      </c>
    </row>
    <row r="18" spans="1:2" ht="15.75" customHeight="1">
      <c r="A18" t="str">
        <f ca="1">IFERROR(__xludf.DUMMYFUNCTION("""COMPUTED_VALUE"""),"Ajubita, Neal")</f>
        <v>Ajubita, Neal</v>
      </c>
      <c r="B18" t="str">
        <f ca="1">IFERROR(__xludf.DUMMYFUNCTION("""COMPUTED_VALUE"""),"United States")</f>
        <v>United States</v>
      </c>
    </row>
    <row r="19" spans="1:2" ht="15.75" customHeight="1">
      <c r="A19" t="str">
        <f ca="1">IFERROR(__xludf.DUMMYFUNCTION("""COMPUTED_VALUE"""),"Akiyoshi, Shota")</f>
        <v>Akiyoshi, Shota</v>
      </c>
      <c r="B19" t="str">
        <f ca="1">IFERROR(__xludf.DUMMYFUNCTION("""COMPUTED_VALUE"""),"Japan")</f>
        <v>Japan</v>
      </c>
    </row>
    <row r="20" spans="1:2" ht="15.75" customHeight="1">
      <c r="A20" t="str">
        <f ca="1">IFERROR(__xludf.DUMMYFUNCTION("""COMPUTED_VALUE"""),"Albertson, Anders")</f>
        <v>Albertson, Anders</v>
      </c>
      <c r="B20" t="str">
        <f ca="1">IFERROR(__xludf.DUMMYFUNCTION("""COMPUTED_VALUE"""),"United States")</f>
        <v>United States</v>
      </c>
    </row>
    <row r="21" spans="1:2" ht="15.75" customHeight="1">
      <c r="A21" t="str">
        <f ca="1">IFERROR(__xludf.DUMMYFUNCTION("""COMPUTED_VALUE"""),"Albertson, Bob")</f>
        <v>Albertson, Bob</v>
      </c>
      <c r="B21" t="str">
        <f ca="1">IFERROR(__xludf.DUMMYFUNCTION("""COMPUTED_VALUE"""),"")</f>
        <v/>
      </c>
    </row>
    <row r="22" spans="1:2" ht="15.75" customHeight="1">
      <c r="A22" t="str">
        <f ca="1">IFERROR(__xludf.DUMMYFUNCTION("""COMPUTED_VALUE"""),"Alexander, Buddy")</f>
        <v>Alexander, Buddy</v>
      </c>
      <c r="B22" t="str">
        <f ca="1">IFERROR(__xludf.DUMMYFUNCTION("""COMPUTED_VALUE"""),"")</f>
        <v/>
      </c>
    </row>
    <row r="23" spans="1:2" ht="15.75" customHeight="1">
      <c r="A23" t="str">
        <f ca="1">IFERROR(__xludf.DUMMYFUNCTION("""COMPUTED_VALUE"""),"Alexander, Carl")</f>
        <v>Alexander, Carl</v>
      </c>
      <c r="B23" t="str">
        <f ca="1">IFERROR(__xludf.DUMMYFUNCTION("""COMPUTED_VALUE"""),"")</f>
        <v/>
      </c>
    </row>
    <row r="24" spans="1:2" ht="15.75" customHeight="1">
      <c r="A24" t="str">
        <f ca="1">IFERROR(__xludf.DUMMYFUNCTION("""COMPUTED_VALUE"""),"Alexander, Tyson")</f>
        <v>Alexander, Tyson</v>
      </c>
      <c r="B24" t="str">
        <f ca="1">IFERROR(__xludf.DUMMYFUNCTION("""COMPUTED_VALUE"""),"United States")</f>
        <v>United States</v>
      </c>
    </row>
    <row r="25" spans="1:2" ht="15.75" customHeight="1">
      <c r="A25" t="str">
        <f ca="1">IFERROR(__xludf.DUMMYFUNCTION("""COMPUTED_VALUE"""),"Allan, Jr., Donald")</f>
        <v>Allan, Jr., Donald</v>
      </c>
      <c r="B25" t="str">
        <f ca="1">IFERROR(__xludf.DUMMYFUNCTION("""COMPUTED_VALUE"""),"")</f>
        <v/>
      </c>
    </row>
    <row r="26" spans="1:2" ht="15.75" customHeight="1">
      <c r="A26" t="str">
        <f ca="1">IFERROR(__xludf.DUMMYFUNCTION("""COMPUTED_VALUE"""),"Allan, Michael")</f>
        <v>Allan, Michael</v>
      </c>
      <c r="B26" t="str">
        <f ca="1">IFERROR(__xludf.DUMMYFUNCTION("""COMPUTED_VALUE"""),"")</f>
        <v/>
      </c>
    </row>
    <row r="27" spans="1:2" ht="15.75" customHeight="1">
      <c r="A27" t="str">
        <f ca="1">IFERROR(__xludf.DUMMYFUNCTION("""COMPUTED_VALUE"""),"Allan, Steve")</f>
        <v>Allan, Steve</v>
      </c>
      <c r="B27" t="str">
        <f ca="1">IFERROR(__xludf.DUMMYFUNCTION("""COMPUTED_VALUE"""),"Australia")</f>
        <v>Australia</v>
      </c>
    </row>
    <row r="28" spans="1:2" ht="15.75" customHeight="1">
      <c r="A28" t="str">
        <f ca="1">IFERROR(__xludf.DUMMYFUNCTION("""COMPUTED_VALUE"""),"Allen, Jason")</f>
        <v>Allen, Jason</v>
      </c>
      <c r="B28" t="str">
        <f ca="1">IFERROR(__xludf.DUMMYFUNCTION("""COMPUTED_VALUE"""),"United States")</f>
        <v>United States</v>
      </c>
    </row>
    <row r="29" spans="1:2" ht="15.75" customHeight="1">
      <c r="A29" t="str">
        <f ca="1">IFERROR(__xludf.DUMMYFUNCTION("""COMPUTED_VALUE"""),"Allenby, James")</f>
        <v>Allenby, James</v>
      </c>
      <c r="B29" t="str">
        <f ca="1">IFERROR(__xludf.DUMMYFUNCTION("""COMPUTED_VALUE"""),"Canada")</f>
        <v>Canada</v>
      </c>
    </row>
    <row r="30" spans="1:2" ht="15.75" customHeight="1">
      <c r="A30" t="str">
        <f ca="1">IFERROR(__xludf.DUMMYFUNCTION("""COMPUTED_VALUE"""),"Allenby, Robert")</f>
        <v>Allenby, Robert</v>
      </c>
      <c r="B30" t="str">
        <f ca="1">IFERROR(__xludf.DUMMYFUNCTION("""COMPUTED_VALUE"""),"Australia")</f>
        <v>Australia</v>
      </c>
    </row>
    <row r="31" spans="1:2" ht="12.75">
      <c r="A31" t="str">
        <f ca="1">IFERROR(__xludf.DUMMYFUNCTION("""COMPUTED_VALUE"""),"Alveiro, Max")</f>
        <v>Alveiro, Max</v>
      </c>
      <c r="B31" t="str">
        <f ca="1">IFERROR(__xludf.DUMMYFUNCTION("""COMPUTED_VALUE"""),"Puerto Rico")</f>
        <v>Puerto Rico</v>
      </c>
    </row>
    <row r="32" spans="1:2" ht="12.75">
      <c r="A32" t="str">
        <f ca="1">IFERROR(__xludf.DUMMYFUNCTION("""COMPUTED_VALUE"""),"Alverio, Max")</f>
        <v>Alverio, Max</v>
      </c>
      <c r="B32" t="str">
        <f ca="1">IFERROR(__xludf.DUMMYFUNCTION("""COMPUTED_VALUE"""),"Puerto Rico")</f>
        <v>Puerto Rico</v>
      </c>
    </row>
    <row r="33" spans="1:2" ht="12.75">
      <c r="A33" t="str">
        <f ca="1">IFERROR(__xludf.DUMMYFUNCTION("""COMPUTED_VALUE"""),"Amershadian, Jeff")</f>
        <v>Amershadian, Jeff</v>
      </c>
      <c r="B33" t="str">
        <f ca="1">IFERROR(__xludf.DUMMYFUNCTION("""COMPUTED_VALUE"""),"")</f>
        <v/>
      </c>
    </row>
    <row r="34" spans="1:2" ht="12.75">
      <c r="A34" t="str">
        <f ca="1">IFERROR(__xludf.DUMMYFUNCTION("""COMPUTED_VALUE"""),"Amundsen, William")</f>
        <v>Amundsen, William</v>
      </c>
      <c r="B34" t="str">
        <f ca="1">IFERROR(__xludf.DUMMYFUNCTION("""COMPUTED_VALUE"""),"United States")</f>
        <v>United States</v>
      </c>
    </row>
    <row r="35" spans="1:2" ht="12.75">
      <c r="A35" t="str">
        <f ca="1">IFERROR(__xludf.DUMMYFUNCTION("""COMPUTED_VALUE"""),"An, Byeong-Hun")</f>
        <v>An, Byeong-Hun</v>
      </c>
      <c r="B35" t="str">
        <f ca="1">IFERROR(__xludf.DUMMYFUNCTION("""COMPUTED_VALUE"""),"South Korea")</f>
        <v>South Korea</v>
      </c>
    </row>
    <row r="36" spans="1:2" ht="12.75">
      <c r="A36" t="str">
        <f ca="1">IFERROR(__xludf.DUMMYFUNCTION("""COMPUTED_VALUE"""),"An, Jae")</f>
        <v>An, Jae</v>
      </c>
      <c r="B36" t="str">
        <f ca="1">IFERROR(__xludf.DUMMYFUNCTION("""COMPUTED_VALUE"""),"United States")</f>
        <v>United States</v>
      </c>
    </row>
    <row r="37" spans="1:2" ht="12.75">
      <c r="A37" t="str">
        <f ca="1">IFERROR(__xludf.DUMMYFUNCTION("""COMPUTED_VALUE"""),"Anania, Brian")</f>
        <v>Anania, Brian</v>
      </c>
      <c r="B37" t="str">
        <f ca="1">IFERROR(__xludf.DUMMYFUNCTION("""COMPUTED_VALUE"""),"United States")</f>
        <v>United States</v>
      </c>
    </row>
    <row r="38" spans="1:2" ht="12.75">
      <c r="A38" t="str">
        <f ca="1">IFERROR(__xludf.DUMMYFUNCTION("""COMPUTED_VALUE"""),"Ancer, Abraham")</f>
        <v>Ancer, Abraham</v>
      </c>
      <c r="B38" t="str">
        <f ca="1">IFERROR(__xludf.DUMMYFUNCTION("""COMPUTED_VALUE"""),"Mexico")</f>
        <v>Mexico</v>
      </c>
    </row>
    <row r="39" spans="1:2" ht="12.75">
      <c r="A39" t="str">
        <f ca="1">IFERROR(__xludf.DUMMYFUNCTION("""COMPUTED_VALUE"""),"Andersen, Mason")</f>
        <v>Andersen, Mason</v>
      </c>
      <c r="B39" t="str">
        <f ca="1">IFERROR(__xludf.DUMMYFUNCTION("""COMPUTED_VALUE"""),"United States")</f>
        <v>United States</v>
      </c>
    </row>
    <row r="40" spans="1:2" ht="12.75">
      <c r="A40" t="str">
        <f ca="1">IFERROR(__xludf.DUMMYFUNCTION("""COMPUTED_VALUE"""),"Anderson, Bill")</f>
        <v>Anderson, Bill</v>
      </c>
      <c r="B40" t="str">
        <f ca="1">IFERROR(__xludf.DUMMYFUNCTION("""COMPUTED_VALUE"""),"United States")</f>
        <v>United States</v>
      </c>
    </row>
    <row r="41" spans="1:2" ht="12.75">
      <c r="A41" t="str">
        <f ca="1">IFERROR(__xludf.DUMMYFUNCTION("""COMPUTED_VALUE"""),"Anderson, Keith")</f>
        <v>Anderson, Keith</v>
      </c>
      <c r="B41" t="str">
        <f ca="1">IFERROR(__xludf.DUMMYFUNCTION("""COMPUTED_VALUE"""),"")</f>
        <v/>
      </c>
    </row>
    <row r="42" spans="1:2" ht="12.75">
      <c r="A42" t="str">
        <f ca="1">IFERROR(__xludf.DUMMYFUNCTION("""COMPUTED_VALUE"""),"Anderson, Mark D.")</f>
        <v>Anderson, Mark D.</v>
      </c>
      <c r="B42" t="str">
        <f ca="1">IFERROR(__xludf.DUMMYFUNCTION("""COMPUTED_VALUE"""),"United States")</f>
        <v>United States</v>
      </c>
    </row>
    <row r="43" spans="1:2" ht="12.75">
      <c r="A43" t="str">
        <f ca="1">IFERROR(__xludf.DUMMYFUNCTION("""COMPUTED_VALUE"""),"Anderson, Mark T.")</f>
        <v>Anderson, Mark T.</v>
      </c>
      <c r="B43" t="str">
        <f ca="1">IFERROR(__xludf.DUMMYFUNCTION("""COMPUTED_VALUE"""),"United States")</f>
        <v>United States</v>
      </c>
    </row>
    <row r="44" spans="1:2" ht="12.75">
      <c r="A44" t="str">
        <f ca="1">IFERROR(__xludf.DUMMYFUNCTION("""COMPUTED_VALUE"""),"Anderson, Matthew")</f>
        <v>Anderson, Matthew</v>
      </c>
      <c r="B44" t="str">
        <f ca="1">IFERROR(__xludf.DUMMYFUNCTION("""COMPUTED_VALUE"""),"Canada")</f>
        <v>Canada</v>
      </c>
    </row>
    <row r="45" spans="1:2" ht="12.75">
      <c r="A45" t="str">
        <f ca="1">IFERROR(__xludf.DUMMYFUNCTION("""COMPUTED_VALUE"""),"Anguiano, Mark")</f>
        <v>Anguiano, Mark</v>
      </c>
      <c r="B45" t="str">
        <f ca="1">IFERROR(__xludf.DUMMYFUNCTION("""COMPUTED_VALUE"""),"United States")</f>
        <v>United States</v>
      </c>
    </row>
    <row r="46" spans="1:2" ht="12.75">
      <c r="A46" t="str">
        <f ca="1">IFERROR(__xludf.DUMMYFUNCTION("""COMPUTED_VALUE"""),"Aphibarnrat, Kiradech")</f>
        <v>Aphibarnrat, Kiradech</v>
      </c>
      <c r="B46" t="str">
        <f ca="1">IFERROR(__xludf.DUMMYFUNCTION("""COMPUTED_VALUE"""),"Thailand")</f>
        <v>Thailand</v>
      </c>
    </row>
    <row r="47" spans="1:2" ht="12.75">
      <c r="A47" t="str">
        <f ca="1">IFERROR(__xludf.DUMMYFUNCTION("""COMPUTED_VALUE"""),"Appleby, Stuart")</f>
        <v>Appleby, Stuart</v>
      </c>
      <c r="B47" t="str">
        <f ca="1">IFERROR(__xludf.DUMMYFUNCTION("""COMPUTED_VALUE"""),"Australia")</f>
        <v>Australia</v>
      </c>
    </row>
    <row r="48" spans="1:2" ht="12.75">
      <c r="A48" t="str">
        <f ca="1">IFERROR(__xludf.DUMMYFUNCTION("""COMPUTED_VALUE"""),"Arendell, Connor")</f>
        <v>Arendell, Connor</v>
      </c>
      <c r="B48" t="str">
        <f ca="1">IFERROR(__xludf.DUMMYFUNCTION("""COMPUTED_VALUE"""),"United States")</f>
        <v>United States</v>
      </c>
    </row>
    <row r="49" spans="1:2" ht="12.75">
      <c r="A49" t="str">
        <f ca="1">IFERROR(__xludf.DUMMYFUNCTION("""COMPUTED_VALUE"""),"Armour, Ryan")</f>
        <v>Armour, Ryan</v>
      </c>
      <c r="B49" t="str">
        <f ca="1">IFERROR(__xludf.DUMMYFUNCTION("""COMPUTED_VALUE"""),"United States")</f>
        <v>United States</v>
      </c>
    </row>
    <row r="50" spans="1:2" ht="12.75">
      <c r="A50" t="str">
        <f ca="1">IFERROR(__xludf.DUMMYFUNCTION("""COMPUTED_VALUE"""),"Armstrong, Dawson")</f>
        <v>Armstrong, Dawson</v>
      </c>
      <c r="B50" t="str">
        <f ca="1">IFERROR(__xludf.DUMMYFUNCTION("""COMPUTED_VALUE"""),"United States")</f>
        <v>United States</v>
      </c>
    </row>
    <row r="51" spans="1:2" ht="12.75">
      <c r="A51" t="str">
        <f ca="1">IFERROR(__xludf.DUMMYFUNCTION("""COMPUTED_VALUE"""),"Arnaus, Adri")</f>
        <v>Arnaus, Adri</v>
      </c>
      <c r="B51" t="str">
        <f ca="1">IFERROR(__xludf.DUMMYFUNCTION("""COMPUTED_VALUE"""),"Spain")</f>
        <v>Spain</v>
      </c>
    </row>
    <row r="52" spans="1:2" ht="12.75">
      <c r="A52" t="str">
        <f ca="1">IFERROR(__xludf.DUMMYFUNCTION("""COMPUTED_VALUE"""),"Asaji, Yosuke")</f>
        <v>Asaji, Yosuke</v>
      </c>
      <c r="B52" t="str">
        <f ca="1">IFERROR(__xludf.DUMMYFUNCTION("""COMPUTED_VALUE"""),"Japan")</f>
        <v>Japan</v>
      </c>
    </row>
    <row r="53" spans="1:2" ht="12.75">
      <c r="A53" t="str">
        <f ca="1">IFERROR(__xludf.DUMMYFUNCTION("""COMPUTED_VALUE"""),"Atkins, Matt")</f>
        <v>Atkins, Matt</v>
      </c>
      <c r="B53" t="str">
        <f ca="1">IFERROR(__xludf.DUMMYFUNCTION("""COMPUTED_VALUE"""),"United States")</f>
        <v>United States</v>
      </c>
    </row>
    <row r="54" spans="1:2" ht="12.75">
      <c r="A54" t="str">
        <f ca="1">IFERROR(__xludf.DUMMYFUNCTION("""COMPUTED_VALUE"""),"Atwal, Arjun")</f>
        <v>Atwal, Arjun</v>
      </c>
      <c r="B54" t="str">
        <f ca="1">IFERROR(__xludf.DUMMYFUNCTION("""COMPUTED_VALUE"""),"India")</f>
        <v>India</v>
      </c>
    </row>
    <row r="55" spans="1:2" ht="12.75">
      <c r="A55" t="str">
        <f ca="1">IFERROR(__xludf.DUMMYFUNCTION("""COMPUTED_VALUE"""),"Augenstein, John")</f>
        <v>Augenstein, John</v>
      </c>
      <c r="B55" t="str">
        <f ca="1">IFERROR(__xludf.DUMMYFUNCTION("""COMPUTED_VALUE"""),"United States")</f>
        <v>United States</v>
      </c>
    </row>
    <row r="56" spans="1:2" ht="12.75">
      <c r="A56" t="str">
        <f ca="1">IFERROR(__xludf.DUMMYFUNCTION("""COMPUTED_VALUE"""),"Augustus IV, Daniel")</f>
        <v>Augustus IV, Daniel</v>
      </c>
      <c r="B56" t="str">
        <f ca="1">IFERROR(__xludf.DUMMYFUNCTION("""COMPUTED_VALUE"""),"Bermuda")</f>
        <v>Bermuda</v>
      </c>
    </row>
    <row r="57" spans="1:2" ht="12.75">
      <c r="A57" t="str">
        <f ca="1">IFERROR(__xludf.DUMMYFUNCTION("""COMPUTED_VALUE"""),"Auterson, Mike")</f>
        <v>Auterson, Mike</v>
      </c>
      <c r="B57" t="str">
        <f ca="1">IFERROR(__xludf.DUMMYFUNCTION("""COMPUTED_VALUE"""),"United States")</f>
        <v>United States</v>
      </c>
    </row>
    <row r="58" spans="1:2" ht="12.75">
      <c r="A58" t="str">
        <f ca="1">IFERROR(__xludf.DUMMYFUNCTION("""COMPUTED_VALUE"""),"Axley, Eric")</f>
        <v>Axley, Eric</v>
      </c>
      <c r="B58" t="str">
        <f ca="1">IFERROR(__xludf.DUMMYFUNCTION("""COMPUTED_VALUE"""),"United States")</f>
        <v>United States</v>
      </c>
    </row>
    <row r="59" spans="1:2" ht="12.75">
      <c r="A59" t="str">
        <f ca="1">IFERROR(__xludf.DUMMYFUNCTION("""COMPUTED_VALUE"""),"B")</f>
        <v>B</v>
      </c>
      <c r="B59" t="str">
        <f ca="1">IFERROR(__xludf.DUMMYFUNCTION("""COMPUTED_VALUE"""),"")</f>
        <v/>
      </c>
    </row>
    <row r="60" spans="1:2" ht="12.75">
      <c r="A60" t="str">
        <f ca="1">IFERROR(__xludf.DUMMYFUNCTION("""COMPUTED_VALUE"""),"NAME")</f>
        <v>NAME</v>
      </c>
      <c r="B60" t="str">
        <f ca="1">IFERROR(__xludf.DUMMYFUNCTION("""COMPUTED_VALUE"""),"COUNTRY")</f>
        <v>COUNTRY</v>
      </c>
    </row>
    <row r="61" spans="1:2" ht="12.75">
      <c r="A61" t="str">
        <f ca="1">IFERROR(__xludf.DUMMYFUNCTION("""COMPUTED_VALUE"""),"Babcock, Christopher")</f>
        <v>Babcock, Christopher</v>
      </c>
      <c r="B61" t="str">
        <f ca="1">IFERROR(__xludf.DUMMYFUNCTION("""COMPUTED_VALUE"""),"United States")</f>
        <v>United States</v>
      </c>
    </row>
    <row r="62" spans="1:2" ht="12.75">
      <c r="A62" t="str">
        <f ca="1">IFERROR(__xludf.DUMMYFUNCTION("""COMPUTED_VALUE"""),"Baddeley, Aaron")</f>
        <v>Baddeley, Aaron</v>
      </c>
      <c r="B62" t="str">
        <f ca="1">IFERROR(__xludf.DUMMYFUNCTION("""COMPUTED_VALUE"""),"Australia")</f>
        <v>Australia</v>
      </c>
    </row>
    <row r="63" spans="1:2" ht="12.75">
      <c r="A63" t="str">
        <f ca="1">IFERROR(__xludf.DUMMYFUNCTION("""COMPUTED_VALUE"""),"Bae, Sang-Moon")</f>
        <v>Bae, Sang-Moon</v>
      </c>
      <c r="B63" t="str">
        <f ca="1">IFERROR(__xludf.DUMMYFUNCTION("""COMPUTED_VALUE"""),"South Korea")</f>
        <v>South Korea</v>
      </c>
    </row>
    <row r="64" spans="1:2" ht="12.75">
      <c r="A64" t="str">
        <f ca="1">IFERROR(__xludf.DUMMYFUNCTION("""COMPUTED_VALUE"""),"Bae, Yongjun")</f>
        <v>Bae, Yongjun</v>
      </c>
      <c r="B64" t="str">
        <f ca="1">IFERROR(__xludf.DUMMYFUNCTION("""COMPUTED_VALUE"""),"South Korea")</f>
        <v>South Korea</v>
      </c>
    </row>
    <row r="65" spans="1:2" ht="12.75">
      <c r="A65" t="str">
        <f ca="1">IFERROR(__xludf.DUMMYFUNCTION("""COMPUTED_VALUE"""),"Bai, Bobby")</f>
        <v>Bai, Bobby</v>
      </c>
      <c r="B65" t="str">
        <f ca="1">IFERROR(__xludf.DUMMYFUNCTION("""COMPUTED_VALUE"""),"United States")</f>
        <v>United States</v>
      </c>
    </row>
    <row r="66" spans="1:2" ht="12.75">
      <c r="A66" t="str">
        <f ca="1">IFERROR(__xludf.DUMMYFUNCTION("""COMPUTED_VALUE"""),"Bailey, Braden")</f>
        <v>Bailey, Braden</v>
      </c>
      <c r="B66" t="str">
        <f ca="1">IFERROR(__xludf.DUMMYFUNCTION("""COMPUTED_VALUE"""),"United States")</f>
        <v>United States</v>
      </c>
    </row>
    <row r="67" spans="1:2" ht="12.75">
      <c r="A67" t="str">
        <f ca="1">IFERROR(__xludf.DUMMYFUNCTION("""COMPUTED_VALUE"""),"Baker, Chris")</f>
        <v>Baker, Chris</v>
      </c>
      <c r="B67" t="str">
        <f ca="1">IFERROR(__xludf.DUMMYFUNCTION("""COMPUTED_VALUE"""),"United States")</f>
        <v>United States</v>
      </c>
    </row>
    <row r="68" spans="1:2" ht="12.75">
      <c r="A68" t="str">
        <f ca="1">IFERROR(__xludf.DUMMYFUNCTION("""COMPUTED_VALUE"""),"Baldwin, Mark")</f>
        <v>Baldwin, Mark</v>
      </c>
      <c r="B68" t="str">
        <f ca="1">IFERROR(__xludf.DUMMYFUNCTION("""COMPUTED_VALUE"""),"United States")</f>
        <v>United States</v>
      </c>
    </row>
    <row r="69" spans="1:2" ht="12.75">
      <c r="A69" t="str">
        <f ca="1">IFERROR(__xludf.DUMMYFUNCTION("""COMPUTED_VALUE"""),"Baldwin, Matthew")</f>
        <v>Baldwin, Matthew</v>
      </c>
      <c r="B69" t="str">
        <f ca="1">IFERROR(__xludf.DUMMYFUNCTION("""COMPUTED_VALUE"""),"England")</f>
        <v>England</v>
      </c>
    </row>
    <row r="70" spans="1:2" ht="12.75">
      <c r="A70" t="str">
        <f ca="1">IFERROR(__xludf.DUMMYFUNCTION("""COMPUTED_VALUE"""),"Balin, Danny")</f>
        <v>Balin, Danny</v>
      </c>
      <c r="B70" t="str">
        <f ca="1">IFERROR(__xludf.DUMMYFUNCTION("""COMPUTED_VALUE"""),"United States")</f>
        <v>United States</v>
      </c>
    </row>
    <row r="71" spans="1:2" ht="12.75">
      <c r="A71" t="str">
        <f ca="1">IFERROR(__xludf.DUMMYFUNCTION("""COMPUTED_VALUE"""),"Balkin, Todd")</f>
        <v>Balkin, Todd</v>
      </c>
      <c r="B71" t="str">
        <f ca="1">IFERROR(__xludf.DUMMYFUNCTION("""COMPUTED_VALUE"""),"Australia")</f>
        <v>Australia</v>
      </c>
    </row>
    <row r="72" spans="1:2" ht="12.75">
      <c r="A72" t="str">
        <f ca="1">IFERROR(__xludf.DUMMYFUNCTION("""COMPUTED_VALUE"""),"Ballo, Mike")</f>
        <v>Ballo, Mike</v>
      </c>
      <c r="B72" t="str">
        <f ca="1">IFERROR(__xludf.DUMMYFUNCTION("""COMPUTED_VALUE"""),"United States")</f>
        <v>United States</v>
      </c>
    </row>
    <row r="73" spans="1:2" ht="12.75">
      <c r="A73" t="str">
        <f ca="1">IFERROR(__xludf.DUMMYFUNCTION("""COMPUTED_VALUE"""),"Ban, Shintaro")</f>
        <v>Ban, Shintaro</v>
      </c>
      <c r="B73" t="str">
        <f ca="1">IFERROR(__xludf.DUMMYFUNCTION("""COMPUTED_VALUE"""),"United States")</f>
        <v>United States</v>
      </c>
    </row>
    <row r="74" spans="1:2" ht="12.75">
      <c r="A74" t="str">
        <f ca="1">IFERROR(__xludf.DUMMYFUNCTION("""COMPUTED_VALUE"""),"Barbaree, Philip")</f>
        <v>Barbaree, Philip</v>
      </c>
      <c r="B74" t="str">
        <f ca="1">IFERROR(__xludf.DUMMYFUNCTION("""COMPUTED_VALUE"""),"United States")</f>
        <v>United States</v>
      </c>
    </row>
    <row r="75" spans="1:2" ht="12.75">
      <c r="A75" t="str">
        <f ca="1">IFERROR(__xludf.DUMMYFUNCTION("""COMPUTED_VALUE"""),"Barber, Blayne")</f>
        <v>Barber, Blayne</v>
      </c>
      <c r="B75" t="str">
        <f ca="1">IFERROR(__xludf.DUMMYFUNCTION("""COMPUTED_VALUE"""),"United States")</f>
        <v>United States</v>
      </c>
    </row>
    <row r="76" spans="1:2" ht="12.75">
      <c r="A76" t="str">
        <f ca="1">IFERROR(__xludf.DUMMYFUNCTION("""COMPUTED_VALUE"""),"Barber, Garrett")</f>
        <v>Barber, Garrett</v>
      </c>
      <c r="B76" t="str">
        <f ca="1">IFERROR(__xludf.DUMMYFUNCTION("""COMPUTED_VALUE"""),"United States")</f>
        <v>United States</v>
      </c>
    </row>
    <row r="77" spans="1:2" ht="12.75">
      <c r="A77" t="str">
        <f ca="1">IFERROR(__xludf.DUMMYFUNCTION("""COMPUTED_VALUE"""),"Barjon, Paul")</f>
        <v>Barjon, Paul</v>
      </c>
      <c r="B77" t="str">
        <f ca="1">IFERROR(__xludf.DUMMYFUNCTION("""COMPUTED_VALUE"""),"France")</f>
        <v>France</v>
      </c>
    </row>
    <row r="78" spans="1:2" ht="12.75">
      <c r="A78" t="str">
        <f ca="1">IFERROR(__xludf.DUMMYFUNCTION("""COMPUTED_VALUE"""),"Barlow, Craig")</f>
        <v>Barlow, Craig</v>
      </c>
      <c r="B78" t="str">
        <f ca="1">IFERROR(__xludf.DUMMYFUNCTION("""COMPUTED_VALUE"""),"United States")</f>
        <v>United States</v>
      </c>
    </row>
    <row r="79" spans="1:2" ht="12.75">
      <c r="A79" t="str">
        <f ca="1">IFERROR(__xludf.DUMMYFUNCTION("""COMPUTED_VALUE"""),"Barnes, Erik")</f>
        <v>Barnes, Erik</v>
      </c>
      <c r="B79" t="str">
        <f ca="1">IFERROR(__xludf.DUMMYFUNCTION("""COMPUTED_VALUE"""),"United States")</f>
        <v>United States</v>
      </c>
    </row>
    <row r="80" spans="1:2" ht="12.75">
      <c r="A80" t="str">
        <f ca="1">IFERROR(__xludf.DUMMYFUNCTION("""COMPUTED_VALUE"""),"Barnes, Ricky")</f>
        <v>Barnes, Ricky</v>
      </c>
      <c r="B80" t="str">
        <f ca="1">IFERROR(__xludf.DUMMYFUNCTION("""COMPUTED_VALUE"""),"United States")</f>
        <v>United States</v>
      </c>
    </row>
    <row r="81" spans="1:2" ht="12.75">
      <c r="A81" t="str">
        <f ca="1">IFERROR(__xludf.DUMMYFUNCTION("""COMPUTED_VALUE"""),"Bauchou, Zachary")</f>
        <v>Bauchou, Zachary</v>
      </c>
      <c r="B81" t="str">
        <f ca="1">IFERROR(__xludf.DUMMYFUNCTION("""COMPUTED_VALUE"""),"United States")</f>
        <v>United States</v>
      </c>
    </row>
    <row r="82" spans="1:2" ht="12.75">
      <c r="A82" t="str">
        <f ca="1">IFERROR(__xludf.DUMMYFUNCTION("""COMPUTED_VALUE"""),"Beach, Alex")</f>
        <v>Beach, Alex</v>
      </c>
      <c r="B82" t="str">
        <f ca="1">IFERROR(__xludf.DUMMYFUNCTION("""COMPUTED_VALUE"""),"United States")</f>
        <v>United States</v>
      </c>
    </row>
    <row r="83" spans="1:2" ht="12.75">
      <c r="A83" t="str">
        <f ca="1">IFERROR(__xludf.DUMMYFUNCTION("""COMPUTED_VALUE"""),"Beckman, Cameron")</f>
        <v>Beckman, Cameron</v>
      </c>
      <c r="B83" t="str">
        <f ca="1">IFERROR(__xludf.DUMMYFUNCTION("""COMPUTED_VALUE"""),"United States")</f>
        <v>United States</v>
      </c>
    </row>
    <row r="84" spans="1:2" ht="12.75">
      <c r="A84" t="str">
        <f ca="1">IFERROR(__xludf.DUMMYFUNCTION("""COMPUTED_VALUE"""),"Beem, Rich")</f>
        <v>Beem, Rich</v>
      </c>
      <c r="B84" t="str">
        <f ca="1">IFERROR(__xludf.DUMMYFUNCTION("""COMPUTED_VALUE"""),"United States")</f>
        <v>United States</v>
      </c>
    </row>
    <row r="85" spans="1:2" ht="12.75">
      <c r="A85" t="str">
        <f ca="1">IFERROR(__xludf.DUMMYFUNCTION("""COMPUTED_VALUE"""),"Bekker, Oliver")</f>
        <v>Bekker, Oliver</v>
      </c>
      <c r="B85" t="str">
        <f ca="1">IFERROR(__xludf.DUMMYFUNCTION("""COMPUTED_VALUE"""),"South Africa")</f>
        <v>South Africa</v>
      </c>
    </row>
    <row r="86" spans="1:2" ht="12.75">
      <c r="A86" t="str">
        <f ca="1">IFERROR(__xludf.DUMMYFUNCTION("""COMPUTED_VALUE"""),"Beljan, Charlie")</f>
        <v>Beljan, Charlie</v>
      </c>
      <c r="B86" t="str">
        <f ca="1">IFERROR(__xludf.DUMMYFUNCTION("""COMPUTED_VALUE"""),"United States")</f>
        <v>United States</v>
      </c>
    </row>
    <row r="87" spans="1:2" ht="12.75">
      <c r="A87" t="str">
        <f ca="1">IFERROR(__xludf.DUMMYFUNCTION("""COMPUTED_VALUE"""),"Bell, Ross")</f>
        <v>Bell, Ross</v>
      </c>
      <c r="B87" t="str">
        <f ca="1">IFERROR(__xludf.DUMMYFUNCTION("""COMPUTED_VALUE"""),"United States")</f>
        <v>United States</v>
      </c>
    </row>
    <row r="88" spans="1:2" ht="12.75">
      <c r="A88" t="str">
        <f ca="1">IFERROR(__xludf.DUMMYFUNCTION("""COMPUTED_VALUE"""),"Benitez, Isidro")</f>
        <v>Benitez, Isidro</v>
      </c>
      <c r="B88" t="str">
        <f ca="1">IFERROR(__xludf.DUMMYFUNCTION("""COMPUTED_VALUE"""),"Mexico")</f>
        <v>Mexico</v>
      </c>
    </row>
    <row r="89" spans="1:2" ht="12.75">
      <c r="A89" t="str">
        <f ca="1">IFERROR(__xludf.DUMMYFUNCTION("""COMPUTED_VALUE"""),"Berberian Jr., Rich")</f>
        <v>Berberian Jr., Rich</v>
      </c>
      <c r="B89" t="str">
        <f ca="1">IFERROR(__xludf.DUMMYFUNCTION("""COMPUTED_VALUE"""),"United States")</f>
        <v>United States</v>
      </c>
    </row>
    <row r="90" spans="1:2" ht="12.75">
      <c r="A90" t="str">
        <f ca="1">IFERROR(__xludf.DUMMYFUNCTION("""COMPUTED_VALUE"""),"Berganio Jr, David")</f>
        <v>Berganio Jr, David</v>
      </c>
      <c r="B90" t="str">
        <f ca="1">IFERROR(__xludf.DUMMYFUNCTION("""COMPUTED_VALUE"""),"United States")</f>
        <v>United States</v>
      </c>
    </row>
    <row r="91" spans="1:2" ht="12.75">
      <c r="A91" t="str">
        <f ca="1">IFERROR(__xludf.DUMMYFUNCTION("""COMPUTED_VALUE"""),"Berger, Daniel")</f>
        <v>Berger, Daniel</v>
      </c>
      <c r="B91" t="str">
        <f ca="1">IFERROR(__xludf.DUMMYFUNCTION("""COMPUTED_VALUE"""),"United States")</f>
        <v>United States</v>
      </c>
    </row>
    <row r="92" spans="1:2" ht="12.75">
      <c r="A92" t="str">
        <f ca="1">IFERROR(__xludf.DUMMYFUNCTION("""COMPUTED_VALUE"""),"Bergeron, Jacob")</f>
        <v>Bergeron, Jacob</v>
      </c>
      <c r="B92" t="str">
        <f ca="1">IFERROR(__xludf.DUMMYFUNCTION("""COMPUTED_VALUE"""),"United States")</f>
        <v>United States</v>
      </c>
    </row>
    <row r="93" spans="1:2" ht="12.75">
      <c r="A93" t="str">
        <f ca="1">IFERROR(__xludf.DUMMYFUNCTION("""COMPUTED_VALUE"""),"Bernard, Hugo")</f>
        <v>Bernard, Hugo</v>
      </c>
      <c r="B93" t="str">
        <f ca="1">IFERROR(__xludf.DUMMYFUNCTION("""COMPUTED_VALUE"""),"Canada")</f>
        <v>Canada</v>
      </c>
    </row>
    <row r="94" spans="1:2" ht="12.75">
      <c r="A94" t="str">
        <f ca="1">IFERROR(__xludf.DUMMYFUNCTION("""COMPUTED_VALUE"""),"Bertasio, Nino")</f>
        <v>Bertasio, Nino</v>
      </c>
      <c r="B94" t="str">
        <f ca="1">IFERROR(__xludf.DUMMYFUNCTION("""COMPUTED_VALUE"""),"Italy")</f>
        <v>Italy</v>
      </c>
    </row>
    <row r="95" spans="1:2" ht="12.75">
      <c r="A95" t="str">
        <f ca="1">IFERROR(__xludf.DUMMYFUNCTION("""COMPUTED_VALUE"""),"Bertsch, Justin")</f>
        <v>Bertsch, Justin</v>
      </c>
      <c r="B95" t="str">
        <f ca="1">IFERROR(__xludf.DUMMYFUNCTION("""COMPUTED_VALUE"""),"United States")</f>
        <v>United States</v>
      </c>
    </row>
    <row r="96" spans="1:2" ht="12.75">
      <c r="A96" t="str">
        <f ca="1">IFERROR(__xludf.DUMMYFUNCTION("""COMPUTED_VALUE"""),"Bertsch, Shane")</f>
        <v>Bertsch, Shane</v>
      </c>
      <c r="B96" t="str">
        <f ca="1">IFERROR(__xludf.DUMMYFUNCTION("""COMPUTED_VALUE"""),"United States")</f>
        <v>United States</v>
      </c>
    </row>
    <row r="97" spans="1:2" ht="12.75">
      <c r="A97" t="str">
        <f ca="1">IFERROR(__xludf.DUMMYFUNCTION("""COMPUTED_VALUE"""),"Bezuidenhout, Christiaan")</f>
        <v>Bezuidenhout, Christiaan</v>
      </c>
      <c r="B97" t="str">
        <f ca="1">IFERROR(__xludf.DUMMYFUNCTION("""COMPUTED_VALUE"""),"South Africa")</f>
        <v>South Africa</v>
      </c>
    </row>
    <row r="98" spans="1:2" ht="12.75">
      <c r="A98" t="str">
        <f ca="1">IFERROR(__xludf.DUMMYFUNCTION("""COMPUTED_VALUE"""),"Bhatia, Akshay")</f>
        <v>Bhatia, Akshay</v>
      </c>
      <c r="B98" t="str">
        <f ca="1">IFERROR(__xludf.DUMMYFUNCTION("""COMPUTED_VALUE"""),"United States")</f>
        <v>United States</v>
      </c>
    </row>
    <row r="99" spans="1:2" ht="12.75">
      <c r="A99" t="str">
        <f ca="1">IFERROR(__xludf.DUMMYFUNCTION("""COMPUTED_VALUE"""),"Bhullar, Gaganjeet")</f>
        <v>Bhullar, Gaganjeet</v>
      </c>
      <c r="B99" t="str">
        <f ca="1">IFERROR(__xludf.DUMMYFUNCTION("""COMPUTED_VALUE"""),"India")</f>
        <v>India</v>
      </c>
    </row>
    <row r="100" spans="1:2" ht="12.75">
      <c r="A100" t="str">
        <f ca="1">IFERROR(__xludf.DUMMYFUNCTION("""COMPUTED_VALUE"""),"Bjerregaard, Lucas")</f>
        <v>Bjerregaard, Lucas</v>
      </c>
      <c r="B100" t="str">
        <f ca="1">IFERROR(__xludf.DUMMYFUNCTION("""COMPUTED_VALUE"""),"Denmark")</f>
        <v>Denmark</v>
      </c>
    </row>
    <row r="101" spans="1:2" ht="12.75">
      <c r="A101" t="str">
        <f ca="1">IFERROR(__xludf.DUMMYFUNCTION("""COMPUTED_VALUE"""),"Bjork, Alexander")</f>
        <v>Bjork, Alexander</v>
      </c>
      <c r="B101" t="str">
        <f ca="1">IFERROR(__xludf.DUMMYFUNCTION("""COMPUTED_VALUE"""),"Sweden")</f>
        <v>Sweden</v>
      </c>
    </row>
    <row r="102" spans="1:2" ht="12.75">
      <c r="A102" t="str">
        <f ca="1">IFERROR(__xludf.DUMMYFUNCTION("""COMPUTED_VALUE"""),"Blair, Michael")</f>
        <v>Blair, Michael</v>
      </c>
      <c r="B102" t="str">
        <f ca="1">IFERROR(__xludf.DUMMYFUNCTION("""COMPUTED_VALUE"""),"Canada")</f>
        <v>Canada</v>
      </c>
    </row>
    <row r="103" spans="1:2" ht="12.75">
      <c r="A103" t="str">
        <f ca="1">IFERROR(__xludf.DUMMYFUNCTION("""COMPUTED_VALUE"""),"Blair, Zac")</f>
        <v>Blair, Zac</v>
      </c>
      <c r="B103" t="str">
        <f ca="1">IFERROR(__xludf.DUMMYFUNCTION("""COMPUTED_VALUE"""),"United States")</f>
        <v>United States</v>
      </c>
    </row>
    <row r="104" spans="1:2" ht="12.75">
      <c r="A104" t="str">
        <f ca="1">IFERROR(__xludf.DUMMYFUNCTION("""COMPUTED_VALUE"""),"Bland, Adam")</f>
        <v>Bland, Adam</v>
      </c>
      <c r="B104" t="str">
        <f ca="1">IFERROR(__xludf.DUMMYFUNCTION("""COMPUTED_VALUE"""),"Australia")</f>
        <v>Australia</v>
      </c>
    </row>
    <row r="105" spans="1:2" ht="12.75">
      <c r="A105" t="str">
        <f ca="1">IFERROR(__xludf.DUMMYFUNCTION("""COMPUTED_VALUE"""),"Blanks, Kris")</f>
        <v>Blanks, Kris</v>
      </c>
      <c r="B105" t="str">
        <f ca="1">IFERROR(__xludf.DUMMYFUNCTION("""COMPUTED_VALUE"""),"United States")</f>
        <v>United States</v>
      </c>
    </row>
    <row r="106" spans="1:2" ht="12.75">
      <c r="A106" t="str">
        <f ca="1">IFERROR(__xludf.DUMMYFUNCTION("""COMPUTED_VALUE"""),"Blaum, Ryan")</f>
        <v>Blaum, Ryan</v>
      </c>
      <c r="B106" t="str">
        <f ca="1">IFERROR(__xludf.DUMMYFUNCTION("""COMPUTED_VALUE"""),"United States")</f>
        <v>United States</v>
      </c>
    </row>
    <row r="107" spans="1:2" ht="12.75">
      <c r="A107" t="str">
        <f ca="1">IFERROR(__xludf.DUMMYFUNCTION("""COMPUTED_VALUE"""),"Bling, Devon")</f>
        <v>Bling, Devon</v>
      </c>
      <c r="B107" t="str">
        <f ca="1">IFERROR(__xludf.DUMMYFUNCTION("""COMPUTED_VALUE"""),"United States")</f>
        <v>United States</v>
      </c>
    </row>
    <row r="108" spans="1:2" ht="12.75">
      <c r="A108" t="str">
        <f ca="1">IFERROR(__xludf.DUMMYFUNCTION("""COMPUTED_VALUE"""),"Blixt, Jonas")</f>
        <v>Blixt, Jonas</v>
      </c>
      <c r="B108" t="str">
        <f ca="1">IFERROR(__xludf.DUMMYFUNCTION("""COMPUTED_VALUE"""),"Sweden")</f>
        <v>Sweden</v>
      </c>
    </row>
    <row r="109" spans="1:2" ht="12.75">
      <c r="A109" t="str">
        <f ca="1">IFERROR(__xludf.DUMMYFUNCTION("""COMPUTED_VALUE"""),"Block, Michael")</f>
        <v>Block, Michael</v>
      </c>
      <c r="B109" t="str">
        <f ca="1">IFERROR(__xludf.DUMMYFUNCTION("""COMPUTED_VALUE"""),"United States")</f>
        <v>United States</v>
      </c>
    </row>
    <row r="110" spans="1:2" ht="12.75">
      <c r="A110" t="str">
        <f ca="1">IFERROR(__xludf.DUMMYFUNCTION("""COMPUTED_VALUE"""),"Bohn, Jason")</f>
        <v>Bohn, Jason</v>
      </c>
      <c r="B110" t="str">
        <f ca="1">IFERROR(__xludf.DUMMYFUNCTION("""COMPUTED_VALUE"""),"United States")</f>
        <v>United States</v>
      </c>
    </row>
    <row r="111" spans="1:2" ht="12.75">
      <c r="A111" t="str">
        <f ca="1">IFERROR(__xludf.DUMMYFUNCTION("""COMPUTED_VALUE"""),"Booth, Grant")</f>
        <v>Booth, Grant</v>
      </c>
      <c r="B111" t="str">
        <f ca="1">IFERROR(__xludf.DUMMYFUNCTION("""COMPUTED_VALUE"""),"United States")</f>
        <v>United States</v>
      </c>
    </row>
    <row r="112" spans="1:2" ht="12.75">
      <c r="A112" t="str">
        <f ca="1">IFERROR(__xludf.DUMMYFUNCTION("""COMPUTED_VALUE"""),"Borchert, Matthew")</f>
        <v>Borchert, Matthew</v>
      </c>
      <c r="B112" t="str">
        <f ca="1">IFERROR(__xludf.DUMMYFUNCTION("""COMPUTED_VALUE"""),"United States")</f>
        <v>United States</v>
      </c>
    </row>
    <row r="113" spans="1:2" ht="12.75">
      <c r="A113" t="str">
        <f ca="1">IFERROR(__xludf.DUMMYFUNCTION("""COMPUTED_VALUE"""),"Boros, Guy")</f>
        <v>Boros, Guy</v>
      </c>
      <c r="B113" t="str">
        <f ca="1">IFERROR(__xludf.DUMMYFUNCTION("""COMPUTED_VALUE"""),"United States")</f>
        <v>United States</v>
      </c>
    </row>
    <row r="114" spans="1:2" ht="12.75">
      <c r="A114" t="str">
        <f ca="1">IFERROR(__xludf.DUMMYFUNCTION("""COMPUTED_VALUE"""),"Boros, Joe")</f>
        <v>Boros, Joe</v>
      </c>
      <c r="B114" t="str">
        <f ca="1">IFERROR(__xludf.DUMMYFUNCTION("""COMPUTED_VALUE"""),"United States")</f>
        <v>United States</v>
      </c>
    </row>
    <row r="115" spans="1:2" ht="12.75">
      <c r="A115" t="str">
        <f ca="1">IFERROR(__xludf.DUMMYFUNCTION("""COMPUTED_VALUE"""),"Bowden, Craig")</f>
        <v>Bowden, Craig</v>
      </c>
      <c r="B115" t="str">
        <f ca="1">IFERROR(__xludf.DUMMYFUNCTION("""COMPUTED_VALUE"""),"United States")</f>
        <v>United States</v>
      </c>
    </row>
    <row r="116" spans="1:2" ht="12.75">
      <c r="A116" t="str">
        <f ca="1">IFERROR(__xludf.DUMMYFUNCTION("""COMPUTED_VALUE"""),"Bozzelli, Dominic")</f>
        <v>Bozzelli, Dominic</v>
      </c>
      <c r="B116" t="str">
        <f ca="1">IFERROR(__xludf.DUMMYFUNCTION("""COMPUTED_VALUE"""),"United States")</f>
        <v>United States</v>
      </c>
    </row>
    <row r="117" spans="1:2" ht="12.75">
      <c r="A117" t="str">
        <f ca="1">IFERROR(__xludf.DUMMYFUNCTION("""COMPUTED_VALUE"""),"Bradley, Keegan")</f>
        <v>Bradley, Keegan</v>
      </c>
      <c r="B117" t="str">
        <f ca="1">IFERROR(__xludf.DUMMYFUNCTION("""COMPUTED_VALUE"""),"United States")</f>
        <v>United States</v>
      </c>
    </row>
    <row r="118" spans="1:2" ht="12.75">
      <c r="A118" t="str">
        <f ca="1">IFERROR(__xludf.DUMMYFUNCTION("""COMPUTED_VALUE"""),"Bramlett, Joseph")</f>
        <v>Bramlett, Joseph</v>
      </c>
      <c r="B118" t="str">
        <f ca="1">IFERROR(__xludf.DUMMYFUNCTION("""COMPUTED_VALUE"""),"United States")</f>
        <v>United States</v>
      </c>
    </row>
    <row r="119" spans="1:2" ht="12.75">
      <c r="A119" t="str">
        <f ca="1">IFERROR(__xludf.DUMMYFUNCTION("""COMPUTED_VALUE"""),"Brault, Etienne")</f>
        <v>Brault, Etienne</v>
      </c>
      <c r="B119" t="str">
        <f ca="1">IFERROR(__xludf.DUMMYFUNCTION("""COMPUTED_VALUE"""),"Canada")</f>
        <v>Canada</v>
      </c>
    </row>
    <row r="120" spans="1:2" ht="12.75">
      <c r="A120" t="str">
        <f ca="1">IFERROR(__xludf.DUMMYFUNCTION("""COMPUTED_VALUE"""),"Brehaut, Jeff")</f>
        <v>Brehaut, Jeff</v>
      </c>
      <c r="B120" t="str">
        <f ca="1">IFERROR(__xludf.DUMMYFUNCTION("""COMPUTED_VALUE"""),"United States")</f>
        <v>United States</v>
      </c>
    </row>
    <row r="121" spans="1:2" ht="12.75">
      <c r="A121" t="str">
        <f ca="1">IFERROR(__xludf.DUMMYFUNCTION("""COMPUTED_VALUE"""),"Brehm, Ryan")</f>
        <v>Brehm, Ryan</v>
      </c>
      <c r="B121" t="str">
        <f ca="1">IFERROR(__xludf.DUMMYFUNCTION("""COMPUTED_VALUE"""),"United States")</f>
        <v>United States</v>
      </c>
    </row>
    <row r="122" spans="1:2" ht="12.75">
      <c r="A122" t="str">
        <f ca="1">IFERROR(__xludf.DUMMYFUNCTION("""COMPUTED_VALUE"""),"Bremner, Merrick")</f>
        <v>Bremner, Merrick</v>
      </c>
      <c r="B122" t="str">
        <f ca="1">IFERROR(__xludf.DUMMYFUNCTION("""COMPUTED_VALUE"""),"South Africa")</f>
        <v>South Africa</v>
      </c>
    </row>
    <row r="123" spans="1:2" ht="12.75">
      <c r="A123" t="str">
        <f ca="1">IFERROR(__xludf.DUMMYFUNCTION("""COMPUTED_VALUE"""),"Brijalba, Rufus")</f>
        <v>Brijalba, Rufus</v>
      </c>
      <c r="B123" t="str">
        <f ca="1">IFERROR(__xludf.DUMMYFUNCTION("""COMPUTED_VALUE"""),"United States")</f>
        <v>United States</v>
      </c>
    </row>
    <row r="124" spans="1:2" ht="12.75">
      <c r="A124" t="str">
        <f ca="1">IFERROR(__xludf.DUMMYFUNCTION("""COMPUTED_VALUE"""),"Brischke, Craig")</f>
        <v>Brischke, Craig</v>
      </c>
      <c r="B124" t="str">
        <f ca="1">IFERROR(__xludf.DUMMYFUNCTION("""COMPUTED_VALUE"""),"United States")</f>
        <v>United States</v>
      </c>
    </row>
    <row r="125" spans="1:2" ht="12.75">
      <c r="A125" t="str">
        <f ca="1">IFERROR(__xludf.DUMMYFUNCTION("""COMPUTED_VALUE"""),"Brown, Cullan")</f>
        <v>Brown, Cullan</v>
      </c>
      <c r="B125" t="str">
        <f ca="1">IFERROR(__xludf.DUMMYFUNCTION("""COMPUTED_VALUE"""),"United States")</f>
        <v>United States</v>
      </c>
    </row>
    <row r="126" spans="1:2" ht="12.75">
      <c r="A126" t="str">
        <f ca="1">IFERROR(__xludf.DUMMYFUNCTION("""COMPUTED_VALUE"""),"Brown, Scott")</f>
        <v>Brown, Scott</v>
      </c>
      <c r="B126" t="str">
        <f ca="1">IFERROR(__xludf.DUMMYFUNCTION("""COMPUTED_VALUE"""),"United States")</f>
        <v>United States</v>
      </c>
    </row>
    <row r="127" spans="1:2" ht="12.75">
      <c r="A127" t="str">
        <f ca="1">IFERROR(__xludf.DUMMYFUNCTION("""COMPUTED_VALUE"""),"Browne, Olin")</f>
        <v>Browne, Olin</v>
      </c>
      <c r="B127" t="str">
        <f ca="1">IFERROR(__xludf.DUMMYFUNCTION("""COMPUTED_VALUE"""),"United States")</f>
        <v>United States</v>
      </c>
    </row>
    <row r="128" spans="1:2" ht="12.75">
      <c r="A128" t="str">
        <f ca="1">IFERROR(__xludf.DUMMYFUNCTION("""COMPUTED_VALUE"""),"Bruce, Callum")</f>
        <v>Bruce, Callum</v>
      </c>
      <c r="B128" t="str">
        <f ca="1">IFERROR(__xludf.DUMMYFUNCTION("""COMPUTED_VALUE"""),"Scotland")</f>
        <v>Scotland</v>
      </c>
    </row>
    <row r="129" spans="1:2" ht="12.75">
      <c r="A129" t="str">
        <f ca="1">IFERROR(__xludf.DUMMYFUNCTION("""COMPUTED_VALUE"""),"Bryan, Wesley")</f>
        <v>Bryan, Wesley</v>
      </c>
      <c r="B129" t="str">
        <f ca="1">IFERROR(__xludf.DUMMYFUNCTION("""COMPUTED_VALUE"""),"United States")</f>
        <v>United States</v>
      </c>
    </row>
    <row r="130" spans="1:2" ht="12.75">
      <c r="A130" t="str">
        <f ca="1">IFERROR(__xludf.DUMMYFUNCTION("""COMPUTED_VALUE"""),"Buckley, Hayden")</f>
        <v>Buckley, Hayden</v>
      </c>
      <c r="B130" t="str">
        <f ca="1">IFERROR(__xludf.DUMMYFUNCTION("""COMPUTED_VALUE"""),"United States")</f>
        <v>United States</v>
      </c>
    </row>
    <row r="131" spans="1:2" ht="12.75">
      <c r="A131" t="str">
        <f ca="1">IFERROR(__xludf.DUMMYFUNCTION("""COMPUTED_VALUE"""),"Budd, Russell")</f>
        <v>Budd, Russell</v>
      </c>
      <c r="B131" t="str">
        <f ca="1">IFERROR(__xludf.DUMMYFUNCTION("""COMPUTED_VALUE"""),"Canada")</f>
        <v>Canada</v>
      </c>
    </row>
    <row r="132" spans="1:2" ht="12.75">
      <c r="A132" t="str">
        <f ca="1">IFERROR(__xludf.DUMMYFUNCTION("""COMPUTED_VALUE"""),"Burgoon, Bronson")</f>
        <v>Burgoon, Bronson</v>
      </c>
      <c r="B132" t="str">
        <f ca="1">IFERROR(__xludf.DUMMYFUNCTION("""COMPUTED_VALUE"""),"United States")</f>
        <v>United States</v>
      </c>
    </row>
    <row r="133" spans="1:2" ht="12.75">
      <c r="A133" t="str">
        <f ca="1">IFERROR(__xludf.DUMMYFUNCTION("""COMPUTED_VALUE"""),"Burmester, Dean")</f>
        <v>Burmester, Dean</v>
      </c>
      <c r="B133" t="str">
        <f ca="1">IFERROR(__xludf.DUMMYFUNCTION("""COMPUTED_VALUE"""),"South Africa")</f>
        <v>South Africa</v>
      </c>
    </row>
    <row r="134" spans="1:2" ht="12.75">
      <c r="A134" t="str">
        <f ca="1">IFERROR(__xludf.DUMMYFUNCTION("""COMPUTED_VALUE"""),"Burns, Sam")</f>
        <v>Burns, Sam</v>
      </c>
      <c r="B134" t="str">
        <f ca="1">IFERROR(__xludf.DUMMYFUNCTION("""COMPUTED_VALUE"""),"United States")</f>
        <v>United States</v>
      </c>
    </row>
    <row r="135" spans="1:2" ht="12.75">
      <c r="A135" t="str">
        <f ca="1">IFERROR(__xludf.DUMMYFUNCTION("""COMPUTED_VALUE"""),"Bussières, Marc-Étienne")</f>
        <v>Bussières, Marc-Étienne</v>
      </c>
      <c r="B135" t="str">
        <f ca="1">IFERROR(__xludf.DUMMYFUNCTION("""COMPUTED_VALUE"""),"Canada")</f>
        <v>Canada</v>
      </c>
    </row>
    <row r="136" spans="1:2" ht="12.75">
      <c r="A136" t="str">
        <f ca="1">IFERROR(__xludf.DUMMYFUNCTION("""COMPUTED_VALUE"""),"Byrd, Jonathan")</f>
        <v>Byrd, Jonathan</v>
      </c>
      <c r="B136" t="str">
        <f ca="1">IFERROR(__xludf.DUMMYFUNCTION("""COMPUTED_VALUE"""),"United States")</f>
        <v>United States</v>
      </c>
    </row>
    <row r="137" spans="1:2" ht="12.75">
      <c r="A137" t="str">
        <f ca="1">IFERROR(__xludf.DUMMYFUNCTION("""COMPUTED_VALUE"""),"C")</f>
        <v>C</v>
      </c>
      <c r="B137" t="str">
        <f ca="1">IFERROR(__xludf.DUMMYFUNCTION("""COMPUTED_VALUE"""),"")</f>
        <v/>
      </c>
    </row>
    <row r="138" spans="1:2" ht="12.75">
      <c r="A138" t="str">
        <f ca="1">IFERROR(__xludf.DUMMYFUNCTION("""COMPUTED_VALUE"""),"NAME")</f>
        <v>NAME</v>
      </c>
      <c r="B138" t="str">
        <f ca="1">IFERROR(__xludf.DUMMYFUNCTION("""COMPUTED_VALUE"""),"COUNTRY")</f>
        <v>COUNTRY</v>
      </c>
    </row>
    <row r="139" spans="1:2" ht="12.75">
      <c r="A139" t="str">
        <f ca="1">IFERROR(__xludf.DUMMYFUNCTION("""COMPUTED_VALUE"""),"Cabrera, Angel")</f>
        <v>Cabrera, Angel</v>
      </c>
      <c r="B139" t="str">
        <f ca="1">IFERROR(__xludf.DUMMYFUNCTION("""COMPUTED_VALUE"""),"Argentina")</f>
        <v>Argentina</v>
      </c>
    </row>
    <row r="140" spans="1:2" ht="12.75">
      <c r="A140" t="str">
        <f ca="1">IFERROR(__xludf.DUMMYFUNCTION("""COMPUTED_VALUE"""),"Cabrera Bello, Rafael")</f>
        <v>Cabrera Bello, Rafael</v>
      </c>
      <c r="B140" t="str">
        <f ca="1">IFERROR(__xludf.DUMMYFUNCTION("""COMPUTED_VALUE"""),"Spain")</f>
        <v>Spain</v>
      </c>
    </row>
    <row r="141" spans="1:2" ht="12.75">
      <c r="A141" t="str">
        <f ca="1">IFERROR(__xludf.DUMMYFUNCTION("""COMPUTED_VALUE"""),"Campbell, Chad")</f>
        <v>Campbell, Chad</v>
      </c>
      <c r="B141" t="str">
        <f ca="1">IFERROR(__xludf.DUMMYFUNCTION("""COMPUTED_VALUE"""),"United States")</f>
        <v>United States</v>
      </c>
    </row>
    <row r="142" spans="1:2" ht="12.75">
      <c r="A142" t="str">
        <f ca="1">IFERROR(__xludf.DUMMYFUNCTION("""COMPUTED_VALUE"""),"Campillo, Jorge")</f>
        <v>Campillo, Jorge</v>
      </c>
      <c r="B142" t="str">
        <f ca="1">IFERROR(__xludf.DUMMYFUNCTION("""COMPUTED_VALUE"""),"Spain")</f>
        <v>Spain</v>
      </c>
    </row>
    <row r="143" spans="1:2" ht="12.75">
      <c r="A143" t="str">
        <f ca="1">IFERROR(__xludf.DUMMYFUNCTION("""COMPUTED_VALUE"""),"Campos, Rafael")</f>
        <v>Campos, Rafael</v>
      </c>
      <c r="B143" t="str">
        <f ca="1">IFERROR(__xludf.DUMMYFUNCTION("""COMPUTED_VALUE"""),"Puerto Rico")</f>
        <v>Puerto Rico</v>
      </c>
    </row>
    <row r="144" spans="1:2" ht="12.75">
      <c r="A144" t="str">
        <f ca="1">IFERROR(__xludf.DUMMYFUNCTION("""COMPUTED_VALUE"""),"Cannon, Will")</f>
        <v>Cannon, Will</v>
      </c>
      <c r="B144" t="str">
        <f ca="1">IFERROR(__xludf.DUMMYFUNCTION("""COMPUTED_VALUE"""),"United States")</f>
        <v>United States</v>
      </c>
    </row>
    <row r="145" spans="1:2" ht="12.75">
      <c r="A145" t="str">
        <f ca="1">IFERROR(__xludf.DUMMYFUNCTION("""COMPUTED_VALUE"""),"Canter, Laurie")</f>
        <v>Canter, Laurie</v>
      </c>
      <c r="B145" t="str">
        <f ca="1">IFERROR(__xludf.DUMMYFUNCTION("""COMPUTED_VALUE"""),"England")</f>
        <v>England</v>
      </c>
    </row>
    <row r="146" spans="1:2" ht="12.75">
      <c r="A146" t="str">
        <f ca="1">IFERROR(__xludf.DUMMYFUNCTION("""COMPUTED_VALUE"""),"Cantlay, Patrick")</f>
        <v>Cantlay, Patrick</v>
      </c>
      <c r="B146" t="str">
        <f ca="1">IFERROR(__xludf.DUMMYFUNCTION("""COMPUTED_VALUE"""),"United States")</f>
        <v>United States</v>
      </c>
    </row>
    <row r="147" spans="1:2" ht="12.75">
      <c r="A147" t="str">
        <f ca="1">IFERROR(__xludf.DUMMYFUNCTION("""COMPUTED_VALUE"""),"Cao, Yi")</f>
        <v>Cao, Yi</v>
      </c>
      <c r="B147" t="str">
        <f ca="1">IFERROR(__xludf.DUMMYFUNCTION("""COMPUTED_VALUE"""),"China")</f>
        <v>China</v>
      </c>
    </row>
    <row r="148" spans="1:2" ht="12.75">
      <c r="A148" t="str">
        <f ca="1">IFERROR(__xludf.DUMMYFUNCTION("""COMPUTED_VALUE"""),"Cappelen, Sebastian")</f>
        <v>Cappelen, Sebastian</v>
      </c>
      <c r="B148" t="str">
        <f ca="1">IFERROR(__xludf.DUMMYFUNCTION("""COMPUTED_VALUE"""),"Denmark")</f>
        <v>Denmark</v>
      </c>
    </row>
    <row r="149" spans="1:2" ht="12.75">
      <c r="A149" t="str">
        <f ca="1">IFERROR(__xludf.DUMMYFUNCTION("""COMPUTED_VALUE"""),"Caron, Jason")</f>
        <v>Caron, Jason</v>
      </c>
      <c r="B149" t="str">
        <f ca="1">IFERROR(__xludf.DUMMYFUNCTION("""COMPUTED_VALUE"""),"United States")</f>
        <v>United States</v>
      </c>
    </row>
    <row r="150" spans="1:2" ht="12.75">
      <c r="A150" t="str">
        <f ca="1">IFERROR(__xludf.DUMMYFUNCTION("""COMPUTED_VALUE"""),"Casey, Paul")</f>
        <v>Casey, Paul</v>
      </c>
      <c r="B150" t="str">
        <f ca="1">IFERROR(__xludf.DUMMYFUNCTION("""COMPUTED_VALUE"""),"England")</f>
        <v>England</v>
      </c>
    </row>
    <row r="151" spans="1:2" ht="12.75">
      <c r="A151" t="str">
        <f ca="1">IFERROR(__xludf.DUMMYFUNCTION("""COMPUTED_VALUE"""),"Castillo, Ricky")</f>
        <v>Castillo, Ricky</v>
      </c>
      <c r="B151" t="str">
        <f ca="1">IFERROR(__xludf.DUMMYFUNCTION("""COMPUTED_VALUE"""),"United States")</f>
        <v>United States</v>
      </c>
    </row>
    <row r="152" spans="1:2" ht="12.75">
      <c r="A152" t="str">
        <f ca="1">IFERROR(__xludf.DUMMYFUNCTION("""COMPUTED_VALUE"""),"Castro, Roberto")</f>
        <v>Castro, Roberto</v>
      </c>
      <c r="B152" t="str">
        <f ca="1">IFERROR(__xludf.DUMMYFUNCTION("""COMPUTED_VALUE"""),"United States")</f>
        <v>United States</v>
      </c>
    </row>
    <row r="153" spans="1:2" ht="12.75">
      <c r="A153" t="str">
        <f ca="1">IFERROR(__xludf.DUMMYFUNCTION("""COMPUTED_VALUE"""),"Catlin, John")</f>
        <v>Catlin, John</v>
      </c>
      <c r="B153" t="str">
        <f ca="1">IFERROR(__xludf.DUMMYFUNCTION("""COMPUTED_VALUE"""),"United States")</f>
        <v>United States</v>
      </c>
    </row>
    <row r="154" spans="1:2" ht="12.75">
      <c r="A154" t="str">
        <f ca="1">IFERROR(__xludf.DUMMYFUNCTION("""COMPUTED_VALUE"""),"Cauley, Bud")</f>
        <v>Cauley, Bud</v>
      </c>
      <c r="B154" t="str">
        <f ca="1">IFERROR(__xludf.DUMMYFUNCTION("""COMPUTED_VALUE"""),"United States")</f>
        <v>United States</v>
      </c>
    </row>
    <row r="155" spans="1:2" ht="12.75">
      <c r="A155" t="str">
        <f ca="1">IFERROR(__xludf.DUMMYFUNCTION("""COMPUTED_VALUE"""),"Cejka, Alex")</f>
        <v>Cejka, Alex</v>
      </c>
      <c r="B155" t="str">
        <f ca="1">IFERROR(__xludf.DUMMYFUNCTION("""COMPUTED_VALUE"""),"Germany")</f>
        <v>Germany</v>
      </c>
    </row>
    <row r="156" spans="1:2" ht="12.75">
      <c r="A156" t="str">
        <f ca="1">IFERROR(__xludf.DUMMYFUNCTION("""COMPUTED_VALUE"""),"Chalmers, Greg")</f>
        <v>Chalmers, Greg</v>
      </c>
      <c r="B156" t="str">
        <f ca="1">IFERROR(__xludf.DUMMYFUNCTION("""COMPUTED_VALUE"""),"Australia")</f>
        <v>Australia</v>
      </c>
    </row>
    <row r="157" spans="1:2" ht="12.75">
      <c r="A157" t="str">
        <f ca="1">IFERROR(__xludf.DUMMYFUNCTION("""COMPUTED_VALUE"""),"Champ, Cameron")</f>
        <v>Champ, Cameron</v>
      </c>
      <c r="B157" t="str">
        <f ca="1">IFERROR(__xludf.DUMMYFUNCTION("""COMPUTED_VALUE"""),"United States")</f>
        <v>United States</v>
      </c>
    </row>
    <row r="158" spans="1:2" ht="12.75">
      <c r="A158" t="str">
        <f ca="1">IFERROR(__xludf.DUMMYFUNCTION("""COMPUTED_VALUE"""),"Chang, Yi Keun")</f>
        <v>Chang, Yi Keun</v>
      </c>
      <c r="B158" t="str">
        <f ca="1">IFERROR(__xludf.DUMMYFUNCTION("""COMPUTED_VALUE"""),"South Korea")</f>
        <v>South Korea</v>
      </c>
    </row>
    <row r="159" spans="1:2" ht="12.75">
      <c r="A159" t="str">
        <f ca="1">IFERROR(__xludf.DUMMYFUNCTION("""COMPUTED_VALUE"""),"Chang-woo, Lee")</f>
        <v>Chang-woo, Lee</v>
      </c>
      <c r="B159" t="str">
        <f ca="1">IFERROR(__xludf.DUMMYFUNCTION("""COMPUTED_VALUE"""),"South Korea")</f>
        <v>South Korea</v>
      </c>
    </row>
    <row r="160" spans="1:2" ht="12.75">
      <c r="A160" t="str">
        <f ca="1">IFERROR(__xludf.DUMMYFUNCTION("""COMPUTED_VALUE"""),"Chappell, Kevin")</f>
        <v>Chappell, Kevin</v>
      </c>
      <c r="B160" t="str">
        <f ca="1">IFERROR(__xludf.DUMMYFUNCTION("""COMPUTED_VALUE"""),"United States")</f>
        <v>United States</v>
      </c>
    </row>
    <row r="161" spans="1:2" ht="12.75">
      <c r="A161" t="str">
        <f ca="1">IFERROR(__xludf.DUMMYFUNCTION("""COMPUTED_VALUE"""),"Charoenkul, Gunn")</f>
        <v>Charoenkul, Gunn</v>
      </c>
      <c r="B161" t="str">
        <f ca="1">IFERROR(__xludf.DUMMYFUNCTION("""COMPUTED_VALUE"""),"Thailand")</f>
        <v>Thailand</v>
      </c>
    </row>
    <row r="162" spans="1:2" ht="12.75">
      <c r="A162" t="str">
        <f ca="1">IFERROR(__xludf.DUMMYFUNCTION("""COMPUTED_VALUE"""),"Chin, John")</f>
        <v>Chin, John</v>
      </c>
      <c r="B162" t="str">
        <f ca="1">IFERROR(__xludf.DUMMYFUNCTION("""COMPUTED_VALUE"""),"United States")</f>
        <v>United States</v>
      </c>
    </row>
    <row r="163" spans="1:2" ht="12.75">
      <c r="A163" t="str">
        <f ca="1">IFERROR(__xludf.DUMMYFUNCTION("""COMPUTED_VALUE"""),"Choi, Albin")</f>
        <v>Choi, Albin</v>
      </c>
      <c r="B163" t="str">
        <f ca="1">IFERROR(__xludf.DUMMYFUNCTION("""COMPUTED_VALUE"""),"Canada")</f>
        <v>Canada</v>
      </c>
    </row>
    <row r="164" spans="1:2" ht="12.75">
      <c r="A164" t="str">
        <f ca="1">IFERROR(__xludf.DUMMYFUNCTION("""COMPUTED_VALUE"""),"Choi, Ho Sung")</f>
        <v>Choi, Ho Sung</v>
      </c>
      <c r="B164" t="str">
        <f ca="1">IFERROR(__xludf.DUMMYFUNCTION("""COMPUTED_VALUE"""),"South Korea")</f>
        <v>South Korea</v>
      </c>
    </row>
    <row r="165" spans="1:2" ht="12.75">
      <c r="A165" t="str">
        <f ca="1">IFERROR(__xludf.DUMMYFUNCTION("""COMPUTED_VALUE"""),"Choi, K.J.")</f>
        <v>Choi, K.J.</v>
      </c>
      <c r="B165" t="str">
        <f ca="1">IFERROR(__xludf.DUMMYFUNCTION("""COMPUTED_VALUE"""),"South Korea")</f>
        <v>South Korea</v>
      </c>
    </row>
    <row r="166" spans="1:2" ht="12.75">
      <c r="A166" t="str">
        <f ca="1">IFERROR(__xludf.DUMMYFUNCTION("""COMPUTED_VALUE"""),"Choi, Min-Chel")</f>
        <v>Choi, Min-Chel</v>
      </c>
      <c r="B166" t="str">
        <f ca="1">IFERROR(__xludf.DUMMYFUNCTION("""COMPUTED_VALUE"""),"Korea")</f>
        <v>Korea</v>
      </c>
    </row>
    <row r="167" spans="1:2" ht="12.75">
      <c r="A167" t="str">
        <f ca="1">IFERROR(__xludf.DUMMYFUNCTION("""COMPUTED_VALUE"""),"Choi, Minchel")</f>
        <v>Choi, Minchel</v>
      </c>
      <c r="B167" t="str">
        <f ca="1">IFERROR(__xludf.DUMMYFUNCTION("""COMPUTED_VALUE"""),"South Korea")</f>
        <v>South Korea</v>
      </c>
    </row>
    <row r="168" spans="1:2" ht="12.75">
      <c r="A168" t="str">
        <f ca="1">IFERROR(__xludf.DUMMYFUNCTION("""COMPUTED_VALUE"""),"Chopra, Daniel")</f>
        <v>Chopra, Daniel</v>
      </c>
      <c r="B168" t="str">
        <f ca="1">IFERROR(__xludf.DUMMYFUNCTION("""COMPUTED_VALUE"""),"Sweden")</f>
        <v>Sweden</v>
      </c>
    </row>
    <row r="169" spans="1:2" ht="12.75">
      <c r="A169" t="str">
        <f ca="1">IFERROR(__xludf.DUMMYFUNCTION("""COMPUTED_VALUE"""),"Chung, Henry")</f>
        <v>Chung, Henry</v>
      </c>
      <c r="B169" t="str">
        <f ca="1">IFERROR(__xludf.DUMMYFUNCTION("""COMPUTED_VALUE"""),"United States")</f>
        <v>United States</v>
      </c>
    </row>
    <row r="170" spans="1:2" ht="12.75">
      <c r="A170" t="str">
        <f ca="1">IFERROR(__xludf.DUMMYFUNCTION("""COMPUTED_VALUE"""),"Cink, Stewart")</f>
        <v>Cink, Stewart</v>
      </c>
      <c r="B170" t="str">
        <f ca="1">IFERROR(__xludf.DUMMYFUNCTION("""COMPUTED_VALUE"""),"United States")</f>
        <v>United States</v>
      </c>
    </row>
    <row r="171" spans="1:2" ht="12.75">
      <c r="A171" t="str">
        <f ca="1">IFERROR(__xludf.DUMMYFUNCTION("""COMPUTED_VALUE"""),"Clark, Wyndham")</f>
        <v>Clark, Wyndham</v>
      </c>
      <c r="B171" t="str">
        <f ca="1">IFERROR(__xludf.DUMMYFUNCTION("""COMPUTED_VALUE"""),"United States")</f>
        <v>United States</v>
      </c>
    </row>
    <row r="172" spans="1:2" ht="12.75">
      <c r="A172" t="str">
        <f ca="1">IFERROR(__xludf.DUMMYFUNCTION("""COMPUTED_VALUE"""),"Clarke, Darren")</f>
        <v>Clarke, Darren</v>
      </c>
      <c r="B172" t="str">
        <f ca="1">IFERROR(__xludf.DUMMYFUNCTION("""COMPUTED_VALUE"""),"Northern Ireland")</f>
        <v>Northern Ireland</v>
      </c>
    </row>
    <row r="173" spans="1:2" ht="12.75">
      <c r="A173" t="str">
        <f ca="1">IFERROR(__xludf.DUMMYFUNCTION("""COMPUTED_VALUE"""),"Claxton, Will")</f>
        <v>Claxton, Will</v>
      </c>
      <c r="B173" t="str">
        <f ca="1">IFERROR(__xludf.DUMMYFUNCTION("""COMPUTED_VALUE"""),"United States")</f>
        <v>United States</v>
      </c>
    </row>
    <row r="174" spans="1:2" ht="12.75">
      <c r="A174" t="str">
        <f ca="1">IFERROR(__xludf.DUMMYFUNCTION("""COMPUTED_VALUE"""),"Clearwater, Keith")</f>
        <v>Clearwater, Keith</v>
      </c>
      <c r="B174" t="str">
        <f ca="1">IFERROR(__xludf.DUMMYFUNCTION("""COMPUTED_VALUE"""),"United States")</f>
        <v>United States</v>
      </c>
    </row>
    <row r="175" spans="1:2" ht="12.75">
      <c r="A175" t="str">
        <f ca="1">IFERROR(__xludf.DUMMYFUNCTION("""COMPUTED_VALUE"""),"Cocha, Tomas")</f>
        <v>Cocha, Tomas</v>
      </c>
      <c r="B175" t="str">
        <f ca="1">IFERROR(__xludf.DUMMYFUNCTION("""COMPUTED_VALUE"""),"Argentina")</f>
        <v>Argentina</v>
      </c>
    </row>
    <row r="176" spans="1:2" ht="12.75">
      <c r="A176" t="str">
        <f ca="1">IFERROR(__xludf.DUMMYFUNCTION("""COMPUTED_VALUE"""),"Cochran, Case")</f>
        <v>Cochran, Case</v>
      </c>
      <c r="B176" t="str">
        <f ca="1">IFERROR(__xludf.DUMMYFUNCTION("""COMPUTED_VALUE"""),"United States")</f>
        <v>United States</v>
      </c>
    </row>
    <row r="177" spans="1:2" ht="12.75">
      <c r="A177" t="str">
        <f ca="1">IFERROR(__xludf.DUMMYFUNCTION("""COMPUTED_VALUE"""),"Coetzee, George")</f>
        <v>Coetzee, George</v>
      </c>
      <c r="B177" t="str">
        <f ca="1">IFERROR(__xludf.DUMMYFUNCTION("""COMPUTED_VALUE"""),"South Africa")</f>
        <v>South Africa</v>
      </c>
    </row>
    <row r="178" spans="1:2" ht="12.75">
      <c r="A178" t="str">
        <f ca="1">IFERROR(__xludf.DUMMYFUNCTION("""COMPUTED_VALUE"""),"Coles, Gavin")</f>
        <v>Coles, Gavin</v>
      </c>
      <c r="B178" t="str">
        <f ca="1">IFERROR(__xludf.DUMMYFUNCTION("""COMPUTED_VALUE"""),"Australia")</f>
        <v>Australia</v>
      </c>
    </row>
    <row r="179" spans="1:2" ht="12.75">
      <c r="A179" t="str">
        <f ca="1">IFERROR(__xludf.DUMMYFUNCTION("""COMPUTED_VALUE"""),"Collins, Chad")</f>
        <v>Collins, Chad</v>
      </c>
      <c r="B179" t="str">
        <f ca="1">IFERROR(__xludf.DUMMYFUNCTION("""COMPUTED_VALUE"""),"United States")</f>
        <v>United States</v>
      </c>
    </row>
    <row r="180" spans="1:2" ht="12.75">
      <c r="A180" t="str">
        <f ca="1">IFERROR(__xludf.DUMMYFUNCTION("""COMPUTED_VALUE"""),"Compton, Erik")</f>
        <v>Compton, Erik</v>
      </c>
      <c r="B180" t="str">
        <f ca="1">IFERROR(__xludf.DUMMYFUNCTION("""COMPUTED_VALUE"""),"United States")</f>
        <v>United States</v>
      </c>
    </row>
    <row r="181" spans="1:2" ht="12.75">
      <c r="A181" t="str">
        <f ca="1">IFERROR(__xludf.DUMMYFUNCTION("""COMPUTED_VALUE"""),"Connelly, Austin")</f>
        <v>Connelly, Austin</v>
      </c>
      <c r="B181" t="str">
        <f ca="1">IFERROR(__xludf.DUMMYFUNCTION("""COMPUTED_VALUE"""),"Canada")</f>
        <v>Canada</v>
      </c>
    </row>
    <row r="182" spans="1:2" ht="12.75">
      <c r="A182" t="str">
        <f ca="1">IFERROR(__xludf.DUMMYFUNCTION("""COMPUTED_VALUE"""),"Conners, Corey")</f>
        <v>Conners, Corey</v>
      </c>
      <c r="B182" t="str">
        <f ca="1">IFERROR(__xludf.DUMMYFUNCTION("""COMPUTED_VALUE"""),"Canada")</f>
        <v>Canada</v>
      </c>
    </row>
    <row r="183" spans="1:2" ht="12.75">
      <c r="A183" t="str">
        <f ca="1">IFERROR(__xludf.DUMMYFUNCTION("""COMPUTED_VALUE"""),"Coody, Parker")</f>
        <v>Coody, Parker</v>
      </c>
      <c r="B183" t="str">
        <f ca="1">IFERROR(__xludf.DUMMYFUNCTION("""COMPUTED_VALUE"""),"United States")</f>
        <v>United States</v>
      </c>
    </row>
    <row r="184" spans="1:2" ht="12.75">
      <c r="A184" t="str">
        <f ca="1">IFERROR(__xludf.DUMMYFUNCTION("""COMPUTED_VALUE"""),"Cook, Austin")</f>
        <v>Cook, Austin</v>
      </c>
      <c r="B184" t="str">
        <f ca="1">IFERROR(__xludf.DUMMYFUNCTION("""COMPUTED_VALUE"""),"United States")</f>
        <v>United States</v>
      </c>
    </row>
    <row r="185" spans="1:2" ht="12.75">
      <c r="A185" t="str">
        <f ca="1">IFERROR(__xludf.DUMMYFUNCTION("""COMPUTED_VALUE"""),"Cook, Ben")</f>
        <v>Cook, Ben</v>
      </c>
      <c r="B185" t="str">
        <f ca="1">IFERROR(__xludf.DUMMYFUNCTION("""COMPUTED_VALUE"""),"United States")</f>
        <v>United States</v>
      </c>
    </row>
    <row r="186" spans="1:2" ht="12.75">
      <c r="A186" t="str">
        <f ca="1">IFERROR(__xludf.DUMMYFUNCTION("""COMPUTED_VALUE"""),"Corpening, Franklin")</f>
        <v>Corpening, Franklin</v>
      </c>
      <c r="B186" t="str">
        <f ca="1">IFERROR(__xludf.DUMMYFUNCTION("""COMPUTED_VALUE"""),"United States")</f>
        <v>United States</v>
      </c>
    </row>
    <row r="187" spans="1:2" ht="12.75">
      <c r="A187" t="str">
        <f ca="1">IFERROR(__xludf.DUMMYFUNCTION("""COMPUTED_VALUE"""),"Couch, Chris")</f>
        <v>Couch, Chris</v>
      </c>
      <c r="B187" t="str">
        <f ca="1">IFERROR(__xludf.DUMMYFUNCTION("""COMPUTED_VALUE"""),"United States")</f>
        <v>United States</v>
      </c>
    </row>
    <row r="188" spans="1:2" ht="12.75">
      <c r="A188" t="str">
        <f ca="1">IFERROR(__xludf.DUMMYFUNCTION("""COMPUTED_VALUE"""),"Couples, Fred")</f>
        <v>Couples, Fred</v>
      </c>
      <c r="B188" t="str">
        <f ca="1">IFERROR(__xludf.DUMMYFUNCTION("""COMPUTED_VALUE"""),"United States")</f>
        <v>United States</v>
      </c>
    </row>
    <row r="189" spans="1:2" ht="12.75">
      <c r="A189" t="str">
        <f ca="1">IFERROR(__xludf.DUMMYFUNCTION("""COMPUTED_VALUE"""),"Covello, Vince")</f>
        <v>Covello, Vince</v>
      </c>
      <c r="B189" t="str">
        <f ca="1">IFERROR(__xludf.DUMMYFUNCTION("""COMPUTED_VALUE"""),"United States")</f>
        <v>United States</v>
      </c>
    </row>
    <row r="190" spans="1:2" ht="12.75">
      <c r="A190" t="str">
        <f ca="1">IFERROR(__xludf.DUMMYFUNCTION("""COMPUTED_VALUE"""),"Crane, Ben")</f>
        <v>Crane, Ben</v>
      </c>
      <c r="B190" t="str">
        <f ca="1">IFERROR(__xludf.DUMMYFUNCTION("""COMPUTED_VALUE"""),"United States")</f>
        <v>United States</v>
      </c>
    </row>
    <row r="191" spans="1:2" ht="12.75">
      <c r="A191" t="str">
        <f ca="1">IFERROR(__xludf.DUMMYFUNCTION("""COMPUTED_VALUE"""),"Crisologo, Chris")</f>
        <v>Crisologo, Chris</v>
      </c>
      <c r="B191" t="str">
        <f ca="1">IFERROR(__xludf.DUMMYFUNCTION("""COMPUTED_VALUE"""),"Canada")</f>
        <v>Canada</v>
      </c>
    </row>
    <row r="192" spans="1:2" ht="12.75">
      <c r="A192" t="str">
        <f ca="1">IFERROR(__xludf.DUMMYFUNCTION("""COMPUTED_VALUE"""),"Cunningham, George")</f>
        <v>Cunningham, George</v>
      </c>
      <c r="B192" t="str">
        <f ca="1">IFERROR(__xludf.DUMMYFUNCTION("""COMPUTED_VALUE"""),"United States")</f>
        <v>United States</v>
      </c>
    </row>
    <row r="193" spans="1:2" ht="12.75">
      <c r="A193" t="str">
        <f ca="1">IFERROR(__xludf.DUMMYFUNCTION("""COMPUTED_VALUE"""),"Curran, Jon")</f>
        <v>Curran, Jon</v>
      </c>
      <c r="B193" t="str">
        <f ca="1">IFERROR(__xludf.DUMMYFUNCTION("""COMPUTED_VALUE"""),"United States")</f>
        <v>United States</v>
      </c>
    </row>
    <row r="194" spans="1:2" ht="12.75">
      <c r="A194" t="str">
        <f ca="1">IFERROR(__xludf.DUMMYFUNCTION("""COMPUTED_VALUE"""),"Curtis, Thomas")</f>
        <v>Curtis, Thomas</v>
      </c>
      <c r="B194" t="str">
        <f ca="1">IFERROR(__xludf.DUMMYFUNCTION("""COMPUTED_VALUE"""),"England")</f>
        <v>England</v>
      </c>
    </row>
    <row r="195" spans="1:2" ht="12.75">
      <c r="A195" t="str">
        <f ca="1">IFERROR(__xludf.DUMMYFUNCTION("""COMPUTED_VALUE"""),"D")</f>
        <v>D</v>
      </c>
      <c r="B195" t="str">
        <f ca="1">IFERROR(__xludf.DUMMYFUNCTION("""COMPUTED_VALUE"""),"")</f>
        <v/>
      </c>
    </row>
    <row r="196" spans="1:2" ht="12.75">
      <c r="A196" t="str">
        <f ca="1">IFERROR(__xludf.DUMMYFUNCTION("""COMPUTED_VALUE"""),"NAME")</f>
        <v>NAME</v>
      </c>
      <c r="B196" t="str">
        <f ca="1">IFERROR(__xludf.DUMMYFUNCTION("""COMPUTED_VALUE"""),"COUNTRY")</f>
        <v>COUNTRY</v>
      </c>
    </row>
    <row r="197" spans="1:2" ht="12.75">
      <c r="A197" t="str">
        <f ca="1">IFERROR(__xludf.DUMMYFUNCTION("""COMPUTED_VALUE"""),"D'Amario, Adam")</f>
        <v>D'Amario, Adam</v>
      </c>
      <c r="B197" t="str">
        <f ca="1">IFERROR(__xludf.DUMMYFUNCTION("""COMPUTED_VALUE"""),"United States")</f>
        <v>United States</v>
      </c>
    </row>
    <row r="198" spans="1:2" ht="12.75">
      <c r="A198" t="str">
        <f ca="1">IFERROR(__xludf.DUMMYFUNCTION("""COMPUTED_VALUE"""),"Daffue, MJ")</f>
        <v>Daffue, MJ</v>
      </c>
      <c r="B198" t="str">
        <f ca="1">IFERROR(__xludf.DUMMYFUNCTION("""COMPUTED_VALUE"""),"South Africa")</f>
        <v>South Africa</v>
      </c>
    </row>
    <row r="199" spans="1:2" ht="12.75">
      <c r="A199" t="str">
        <f ca="1">IFERROR(__xludf.DUMMYFUNCTION("""COMPUTED_VALUE"""),"Dahmen, Joel")</f>
        <v>Dahmen, Joel</v>
      </c>
      <c r="B199" t="str">
        <f ca="1">IFERROR(__xludf.DUMMYFUNCTION("""COMPUTED_VALUE"""),"United States")</f>
        <v>United States</v>
      </c>
    </row>
    <row r="200" spans="1:2" ht="12.75">
      <c r="A200" t="str">
        <f ca="1">IFERROR(__xludf.DUMMYFUNCTION("""COMPUTED_VALUE"""),"Dalke, Brad")</f>
        <v>Dalke, Brad</v>
      </c>
      <c r="B200" t="str">
        <f ca="1">IFERROR(__xludf.DUMMYFUNCTION("""COMPUTED_VALUE"""),"United States")</f>
        <v>United States</v>
      </c>
    </row>
    <row r="201" spans="1:2" ht="12.75">
      <c r="A201" t="str">
        <f ca="1">IFERROR(__xludf.DUMMYFUNCTION("""COMPUTED_VALUE"""),"Daly, John")</f>
        <v>Daly, John</v>
      </c>
      <c r="B201" t="str">
        <f ca="1">IFERROR(__xludf.DUMMYFUNCTION("""COMPUTED_VALUE"""),"United States")</f>
        <v>United States</v>
      </c>
    </row>
    <row r="202" spans="1:2" ht="12.75">
      <c r="A202" t="str">
        <f ca="1">IFERROR(__xludf.DUMMYFUNCTION("""COMPUTED_VALUE"""),"Danielson, Charlie")</f>
        <v>Danielson, Charlie</v>
      </c>
      <c r="B202" t="str">
        <f ca="1">IFERROR(__xludf.DUMMYFUNCTION("""COMPUTED_VALUE"""),"United States")</f>
        <v>United States</v>
      </c>
    </row>
    <row r="203" spans="1:2" ht="12.75">
      <c r="A203" t="str">
        <f ca="1">IFERROR(__xludf.DUMMYFUNCTION("""COMPUTED_VALUE"""),"Davidse, Keenan")</f>
        <v>Davidse, Keenan</v>
      </c>
      <c r="B203" t="str">
        <f ca="1">IFERROR(__xludf.DUMMYFUNCTION("""COMPUTED_VALUE"""),"South Africa")</f>
        <v>South Africa</v>
      </c>
    </row>
    <row r="204" spans="1:2" ht="12.75">
      <c r="A204" t="str">
        <f ca="1">IFERROR(__xludf.DUMMYFUNCTION("""COMPUTED_VALUE"""),"Davies, Rhys")</f>
        <v>Davies, Rhys</v>
      </c>
      <c r="B204" t="str">
        <f ca="1">IFERROR(__xludf.DUMMYFUNCTION("""COMPUTED_VALUE"""),"Wales")</f>
        <v>Wales</v>
      </c>
    </row>
    <row r="205" spans="1:2" ht="12.75">
      <c r="A205" t="str">
        <f ca="1">IFERROR(__xludf.DUMMYFUNCTION("""COMPUTED_VALUE"""),"Davis, Brian")</f>
        <v>Davis, Brian</v>
      </c>
      <c r="B205" t="str">
        <f ca="1">IFERROR(__xludf.DUMMYFUNCTION("""COMPUTED_VALUE"""),"England")</f>
        <v>England</v>
      </c>
    </row>
    <row r="206" spans="1:2" ht="12.75">
      <c r="A206" t="str">
        <f ca="1">IFERROR(__xludf.DUMMYFUNCTION("""COMPUTED_VALUE"""),"Davis, Cameron")</f>
        <v>Davis, Cameron</v>
      </c>
      <c r="B206" t="str">
        <f ca="1">IFERROR(__xludf.DUMMYFUNCTION("""COMPUTED_VALUE"""),"Australia")</f>
        <v>Australia</v>
      </c>
    </row>
    <row r="207" spans="1:2" ht="12.75">
      <c r="A207" t="str">
        <f ca="1">IFERROR(__xludf.DUMMYFUNCTION("""COMPUTED_VALUE"""),"Day, Glen")</f>
        <v>Day, Glen</v>
      </c>
      <c r="B207" t="str">
        <f ca="1">IFERROR(__xludf.DUMMYFUNCTION("""COMPUTED_VALUE"""),"United States")</f>
        <v>United States</v>
      </c>
    </row>
    <row r="208" spans="1:2" ht="12.75">
      <c r="A208" t="str">
        <f ca="1">IFERROR(__xludf.DUMMYFUNCTION("""COMPUTED_VALUE"""),"Day, Jason")</f>
        <v>Day, Jason</v>
      </c>
      <c r="B208" t="str">
        <f ca="1">IFERROR(__xludf.DUMMYFUNCTION("""COMPUTED_VALUE"""),"Australia")</f>
        <v>Australia</v>
      </c>
    </row>
    <row r="209" spans="1:2" ht="12.75">
      <c r="A209" t="str">
        <f ca="1">IFERROR(__xludf.DUMMYFUNCTION("""COMPUTED_VALUE"""),"De Borba, Scott")</f>
        <v>De Borba, Scott</v>
      </c>
      <c r="B209" t="str">
        <f ca="1">IFERROR(__xludf.DUMMYFUNCTION("""COMPUTED_VALUE"""),"United States")</f>
        <v>United States</v>
      </c>
    </row>
    <row r="210" spans="1:2" ht="12.75">
      <c r="A210" t="str">
        <f ca="1">IFERROR(__xludf.DUMMYFUNCTION("""COMPUTED_VALUE"""),"de Jonge, Brendon")</f>
        <v>de Jonge, Brendon</v>
      </c>
      <c r="B210" t="str">
        <f ca="1">IFERROR(__xludf.DUMMYFUNCTION("""COMPUTED_VALUE"""),"Zimbabwe")</f>
        <v>Zimbabwe</v>
      </c>
    </row>
    <row r="211" spans="1:2" ht="12.75">
      <c r="A211" t="str">
        <f ca="1">IFERROR(__xludf.DUMMYFUNCTION("""COMPUTED_VALUE"""),"Deacon, JC")</f>
        <v>Deacon, JC</v>
      </c>
      <c r="B211" t="str">
        <f ca="1">IFERROR(__xludf.DUMMYFUNCTION("""COMPUTED_VALUE"""),"United States")</f>
        <v>United States</v>
      </c>
    </row>
    <row r="212" spans="1:2" ht="12.75">
      <c r="A212" t="str">
        <f ca="1">IFERROR(__xludf.DUMMYFUNCTION("""COMPUTED_VALUE"""),"Deane, Stuart")</f>
        <v>Deane, Stuart</v>
      </c>
      <c r="B212" t="str">
        <f ca="1">IFERROR(__xludf.DUMMYFUNCTION("""COMPUTED_VALUE"""),"United States")</f>
        <v>United States</v>
      </c>
    </row>
    <row r="213" spans="1:2" ht="12.75">
      <c r="A213" t="str">
        <f ca="1">IFERROR(__xludf.DUMMYFUNCTION("""COMPUTED_VALUE"""),"DeChambeau, Bryson")</f>
        <v>DeChambeau, Bryson</v>
      </c>
      <c r="B213" t="str">
        <f ca="1">IFERROR(__xludf.DUMMYFUNCTION("""COMPUTED_VALUE"""),"United States")</f>
        <v>United States</v>
      </c>
    </row>
    <row r="214" spans="1:2" ht="12.75">
      <c r="A214" t="str">
        <f ca="1">IFERROR(__xludf.DUMMYFUNCTION("""COMPUTED_VALUE"""),"DeLaet, Graham")</f>
        <v>DeLaet, Graham</v>
      </c>
      <c r="B214" t="str">
        <f ca="1">IFERROR(__xludf.DUMMYFUNCTION("""COMPUTED_VALUE"""),"Canada")</f>
        <v>Canada</v>
      </c>
    </row>
    <row r="215" spans="1:2" ht="12.75">
      <c r="A215" t="str">
        <f ca="1">IFERROR(__xludf.DUMMYFUNCTION("""COMPUTED_VALUE"""),"Delgado, Juan Cayro")</f>
        <v>Delgado, Juan Cayro</v>
      </c>
      <c r="B215" t="str">
        <f ca="1">IFERROR(__xludf.DUMMYFUNCTION("""COMPUTED_VALUE"""),"Dominican Republic")</f>
        <v>Dominican Republic</v>
      </c>
    </row>
    <row r="216" spans="1:2" ht="12.75">
      <c r="A216" t="str">
        <f ca="1">IFERROR(__xludf.DUMMYFUNCTION("""COMPUTED_VALUE"""),"Demarco, Thomas")</f>
        <v>Demarco, Thomas</v>
      </c>
      <c r="B216" t="str">
        <f ca="1">IFERROR(__xludf.DUMMYFUNCTION("""COMPUTED_VALUE"""),"Canada")</f>
        <v>Canada</v>
      </c>
    </row>
    <row r="217" spans="1:2" ht="12.75">
      <c r="A217" t="str">
        <f ca="1">IFERROR(__xludf.DUMMYFUNCTION("""COMPUTED_VALUE"""),"Deraney, Joseph")</f>
        <v>Deraney, Joseph</v>
      </c>
      <c r="B217" t="str">
        <f ca="1">IFERROR(__xludf.DUMMYFUNCTION("""COMPUTED_VALUE"""),"United States")</f>
        <v>United States</v>
      </c>
    </row>
    <row r="218" spans="1:2" ht="12.75">
      <c r="A218" t="str">
        <f ca="1">IFERROR(__xludf.DUMMYFUNCTION("""COMPUTED_VALUE"""),"Detry, Thomas")</f>
        <v>Detry, Thomas</v>
      </c>
      <c r="B218" t="str">
        <f ca="1">IFERROR(__xludf.DUMMYFUNCTION("""COMPUTED_VALUE"""),"Belgium")</f>
        <v>Belgium</v>
      </c>
    </row>
    <row r="219" spans="1:2" ht="12.75">
      <c r="A219" t="str">
        <f ca="1">IFERROR(__xludf.DUMMYFUNCTION("""COMPUTED_VALUE"""),"Diaz, Roberto")</f>
        <v>Diaz, Roberto</v>
      </c>
      <c r="B219" t="str">
        <f ca="1">IFERROR(__xludf.DUMMYFUNCTION("""COMPUTED_VALUE"""),"Mexico")</f>
        <v>Mexico</v>
      </c>
    </row>
    <row r="220" spans="1:2" ht="12.75">
      <c r="A220" t="str">
        <f ca="1">IFERROR(__xludf.DUMMYFUNCTION("""COMPUTED_VALUE"""),"Dietrich, Eric")</f>
        <v>Dietrich, Eric</v>
      </c>
      <c r="B220" t="str">
        <f ca="1">IFERROR(__xludf.DUMMYFUNCTION("""COMPUTED_VALUE"""),"United States")</f>
        <v>United States</v>
      </c>
    </row>
    <row r="221" spans="1:2" ht="12.75">
      <c r="A221" t="str">
        <f ca="1">IFERROR(__xludf.DUMMYFUNCTION("""COMPUTED_VALUE"""),"Dillas, Jarryd")</f>
        <v>Dillas, Jarryd</v>
      </c>
      <c r="B221" t="str">
        <f ca="1">IFERROR(__xludf.DUMMYFUNCTION("""COMPUTED_VALUE"""),"Bermuda")</f>
        <v>Bermuda</v>
      </c>
    </row>
    <row r="222" spans="1:2" ht="12.75">
      <c r="A222" t="str">
        <f ca="1">IFERROR(__xludf.DUMMYFUNCTION("""COMPUTED_VALUE"""),"Dobyns, Matt")</f>
        <v>Dobyns, Matt</v>
      </c>
      <c r="B222" t="str">
        <f ca="1">IFERROR(__xludf.DUMMYFUNCTION("""COMPUTED_VALUE"""),"United States")</f>
        <v>United States</v>
      </c>
    </row>
    <row r="223" spans="1:2" ht="12.75">
      <c r="A223" t="str">
        <f ca="1">IFERROR(__xludf.DUMMYFUNCTION("""COMPUTED_VALUE"""),"Docherty, Alistair")</f>
        <v>Docherty, Alistair</v>
      </c>
      <c r="B223" t="str">
        <f ca="1">IFERROR(__xludf.DUMMYFUNCTION("""COMPUTED_VALUE"""),"United States")</f>
        <v>United States</v>
      </c>
    </row>
    <row r="224" spans="1:2" ht="12.75">
      <c r="A224" t="str">
        <f ca="1">IFERROR(__xludf.DUMMYFUNCTION("""COMPUTED_VALUE"""),"Doeden, Justin")</f>
        <v>Doeden, Justin</v>
      </c>
      <c r="B224" t="str">
        <f ca="1">IFERROR(__xludf.DUMMYFUNCTION("""COMPUTED_VALUE"""),"United States")</f>
        <v>United States</v>
      </c>
    </row>
    <row r="225" spans="1:2" ht="12.75">
      <c r="A225" t="str">
        <f ca="1">IFERROR(__xludf.DUMMYFUNCTION("""COMPUTED_VALUE"""),"Donald, Luke")</f>
        <v>Donald, Luke</v>
      </c>
      <c r="B225" t="str">
        <f ca="1">IFERROR(__xludf.DUMMYFUNCTION("""COMPUTED_VALUE"""),"England")</f>
        <v>England</v>
      </c>
    </row>
    <row r="226" spans="1:2" ht="12.75">
      <c r="A226" t="str">
        <f ca="1">IFERROR(__xludf.DUMMYFUNCTION("""COMPUTED_VALUE"""),"Dou, Zecheng")</f>
        <v>Dou, Zecheng</v>
      </c>
      <c r="B226" t="str">
        <f ca="1">IFERROR(__xludf.DUMMYFUNCTION("""COMPUTED_VALUE"""),"China")</f>
        <v>China</v>
      </c>
    </row>
    <row r="227" spans="1:2" ht="12.75">
      <c r="A227" t="str">
        <f ca="1">IFERROR(__xludf.DUMMYFUNCTION("""COMPUTED_VALUE"""),"Doucett, Bruce")</f>
        <v>Doucett, Bruce</v>
      </c>
      <c r="B227" t="str">
        <f ca="1">IFERROR(__xludf.DUMMYFUNCTION("""COMPUTED_VALUE"""),"United States")</f>
        <v>United States</v>
      </c>
    </row>
    <row r="228" spans="1:2" ht="12.75">
      <c r="A228" t="str">
        <f ca="1">IFERROR(__xludf.DUMMYFUNCTION("""COMPUTED_VALUE"""),"Dougherty, Kevin")</f>
        <v>Dougherty, Kevin</v>
      </c>
      <c r="B228" t="str">
        <f ca="1">IFERROR(__xludf.DUMMYFUNCTION("""COMPUTED_VALUE"""),"United States")</f>
        <v>United States</v>
      </c>
    </row>
    <row r="229" spans="1:2" ht="12.75">
      <c r="A229" t="str">
        <f ca="1">IFERROR(__xludf.DUMMYFUNCTION("""COMPUTED_VALUE"""),"Drewitt, Brett")</f>
        <v>Drewitt, Brett</v>
      </c>
      <c r="B229" t="str">
        <f ca="1">IFERROR(__xludf.DUMMYFUNCTION("""COMPUTED_VALUE"""),"Australia")</f>
        <v>Australia</v>
      </c>
    </row>
    <row r="230" spans="1:2" ht="12.75">
      <c r="A230" t="str">
        <f ca="1">IFERROR(__xludf.DUMMYFUNCTION("""COMPUTED_VALUE"""),"Driscoll, James")</f>
        <v>Driscoll, James</v>
      </c>
      <c r="B230" t="str">
        <f ca="1">IFERROR(__xludf.DUMMYFUNCTION("""COMPUTED_VALUE"""),"United States")</f>
        <v>United States</v>
      </c>
    </row>
    <row r="231" spans="1:2" ht="12.75">
      <c r="A231" t="str">
        <f ca="1">IFERROR(__xludf.DUMMYFUNCTION("""COMPUTED_VALUE"""),"Droemer, Jesse")</f>
        <v>Droemer, Jesse</v>
      </c>
      <c r="B231" t="str">
        <f ca="1">IFERROR(__xludf.DUMMYFUNCTION("""COMPUTED_VALUE"""),"United States")</f>
        <v>United States</v>
      </c>
    </row>
    <row r="232" spans="1:2" ht="12.75">
      <c r="A232" t="str">
        <f ca="1">IFERROR(__xludf.DUMMYFUNCTION("""COMPUTED_VALUE"""),"du Toit, Jared")</f>
        <v>du Toit, Jared</v>
      </c>
      <c r="B232" t="str">
        <f ca="1">IFERROR(__xludf.DUMMYFUNCTION("""COMPUTED_VALUE"""),"Canada")</f>
        <v>Canada</v>
      </c>
    </row>
    <row r="233" spans="1:2" ht="12.75">
      <c r="A233" t="str">
        <f ca="1">IFERROR(__xludf.DUMMYFUNCTION("""COMPUTED_VALUE"""),"Dufner, Jason")</f>
        <v>Dufner, Jason</v>
      </c>
      <c r="B233" t="str">
        <f ca="1">IFERROR(__xludf.DUMMYFUNCTION("""COMPUTED_VALUE"""),"United States")</f>
        <v>United States</v>
      </c>
    </row>
    <row r="234" spans="1:2" ht="12.75">
      <c r="A234" t="str">
        <f ca="1">IFERROR(__xludf.DUMMYFUNCTION("""COMPUTED_VALUE"""),"Dugas, Eric")</f>
        <v>Dugas, Eric</v>
      </c>
      <c r="B234" t="str">
        <f ca="1">IFERROR(__xludf.DUMMYFUNCTION("""COMPUTED_VALUE"""),"United States")</f>
        <v>United States</v>
      </c>
    </row>
    <row r="235" spans="1:2" ht="12.75">
      <c r="A235" t="str">
        <f ca="1">IFERROR(__xludf.DUMMYFUNCTION("""COMPUTED_VALUE"""),"Duke, Ken")</f>
        <v>Duke, Ken</v>
      </c>
      <c r="B235" t="str">
        <f ca="1">IFERROR(__xludf.DUMMYFUNCTION("""COMPUTED_VALUE"""),"United States")</f>
        <v>United States</v>
      </c>
    </row>
    <row r="236" spans="1:2" ht="12.75">
      <c r="A236" t="str">
        <f ca="1">IFERROR(__xludf.DUMMYFUNCTION("""COMPUTED_VALUE"""),"Duncan, Tyler")</f>
        <v>Duncan, Tyler</v>
      </c>
      <c r="B236" t="str">
        <f ca="1">IFERROR(__xludf.DUMMYFUNCTION("""COMPUTED_VALUE"""),"United States")</f>
        <v>United States</v>
      </c>
    </row>
    <row r="237" spans="1:2" ht="12.75">
      <c r="A237" t="str">
        <f ca="1">IFERROR(__xludf.DUMMYFUNCTION("""COMPUTED_VALUE"""),"Dunne, Paul")</f>
        <v>Dunne, Paul</v>
      </c>
      <c r="B237" t="str">
        <f ca="1">IFERROR(__xludf.DUMMYFUNCTION("""COMPUTED_VALUE"""),"Ireland")</f>
        <v>Ireland</v>
      </c>
    </row>
    <row r="238" spans="1:2" ht="12.75">
      <c r="A238" t="str">
        <f ca="1">IFERROR(__xludf.DUMMYFUNCTION("""COMPUTED_VALUE"""),"Duval, David")</f>
        <v>Duval, David</v>
      </c>
      <c r="B238" t="str">
        <f ca="1">IFERROR(__xludf.DUMMYFUNCTION("""COMPUTED_VALUE"""),"United States")</f>
        <v>United States</v>
      </c>
    </row>
    <row r="239" spans="1:2" ht="12.75">
      <c r="A239" t="str">
        <f ca="1">IFERROR(__xludf.DUMMYFUNCTION("""COMPUTED_VALUE"""),"Dwyer, Brian")</f>
        <v>Dwyer, Brian</v>
      </c>
      <c r="B239" t="str">
        <f ca="1">IFERROR(__xludf.DUMMYFUNCTION("""COMPUTED_VALUE"""),"United States")</f>
        <v>United States</v>
      </c>
    </row>
    <row r="240" spans="1:2" ht="12.75">
      <c r="A240" t="str">
        <f ca="1">IFERROR(__xludf.DUMMYFUNCTION("""COMPUTED_VALUE"""),"E")</f>
        <v>E</v>
      </c>
      <c r="B240" t="str">
        <f ca="1">IFERROR(__xludf.DUMMYFUNCTION("""COMPUTED_VALUE"""),"")</f>
        <v/>
      </c>
    </row>
    <row r="241" spans="1:2" ht="12.75">
      <c r="A241" t="str">
        <f ca="1">IFERROR(__xludf.DUMMYFUNCTION("""COMPUTED_VALUE"""),"NAME")</f>
        <v>NAME</v>
      </c>
      <c r="B241" t="str">
        <f ca="1">IFERROR(__xludf.DUMMYFUNCTION("""COMPUTED_VALUE"""),"COUNTRY")</f>
        <v>COUNTRY</v>
      </c>
    </row>
    <row r="242" spans="1:2" ht="12.75">
      <c r="A242" t="str">
        <f ca="1">IFERROR(__xludf.DUMMYFUNCTION("""COMPUTED_VALUE"""),"Easton, Bryce")</f>
        <v>Easton, Bryce</v>
      </c>
      <c r="B242" t="str">
        <f ca="1">IFERROR(__xludf.DUMMYFUNCTION("""COMPUTED_VALUE"""),"South Africa")</f>
        <v>South Africa</v>
      </c>
    </row>
    <row r="243" spans="1:2" ht="12.75">
      <c r="A243" t="str">
        <f ca="1">IFERROR(__xludf.DUMMYFUNCTION("""COMPUTED_VALUE"""),"Eaton, Chandler")</f>
        <v>Eaton, Chandler</v>
      </c>
      <c r="B243" t="str">
        <f ca="1">IFERROR(__xludf.DUMMYFUNCTION("""COMPUTED_VALUE"""),"United States")</f>
        <v>United States</v>
      </c>
    </row>
    <row r="244" spans="1:2" ht="12.75">
      <c r="A244" t="str">
        <f ca="1">IFERROR(__xludf.DUMMYFUNCTION("""COMPUTED_VALUE"""),"Eckroat, Austin")</f>
        <v>Eckroat, Austin</v>
      </c>
      <c r="B244" t="str">
        <f ca="1">IFERROR(__xludf.DUMMYFUNCTION("""COMPUTED_VALUE"""),"United States")</f>
        <v>United States</v>
      </c>
    </row>
    <row r="245" spans="1:2" ht="12.75">
      <c r="A245" t="str">
        <f ca="1">IFERROR(__xludf.DUMMYFUNCTION("""COMPUTED_VALUE"""),"Eggers, Jacob")</f>
        <v>Eggers, Jacob</v>
      </c>
      <c r="B245" t="str">
        <f ca="1">IFERROR(__xludf.DUMMYFUNCTION("""COMPUTED_VALUE"""),"United States")</f>
        <v>United States</v>
      </c>
    </row>
    <row r="246" spans="1:2" ht="12.75">
      <c r="A246" t="str">
        <f ca="1">IFERROR(__xludf.DUMMYFUNCTION("""COMPUTED_VALUE"""),"Els, Ernie")</f>
        <v>Els, Ernie</v>
      </c>
      <c r="B246" t="str">
        <f ca="1">IFERROR(__xludf.DUMMYFUNCTION("""COMPUTED_VALUE"""),"South Africa")</f>
        <v>South Africa</v>
      </c>
    </row>
    <row r="247" spans="1:2" ht="12.75">
      <c r="A247" t="str">
        <f ca="1">IFERROR(__xludf.DUMMYFUNCTION("""COMPUTED_VALUE"""),"English, Harris")</f>
        <v>English, Harris</v>
      </c>
      <c r="B247" t="str">
        <f ca="1">IFERROR(__xludf.DUMMYFUNCTION("""COMPUTED_VALUE"""),"United States")</f>
        <v>United States</v>
      </c>
    </row>
    <row r="248" spans="1:2" ht="12.75">
      <c r="A248" t="str">
        <f ca="1">IFERROR(__xludf.DUMMYFUNCTION("""COMPUTED_VALUE"""),"Enoch, Rhys")</f>
        <v>Enoch, Rhys</v>
      </c>
      <c r="B248" t="str">
        <f ca="1">IFERROR(__xludf.DUMMYFUNCTION("""COMPUTED_VALUE"""),"Wales")</f>
        <v>Wales</v>
      </c>
    </row>
    <row r="249" spans="1:2" ht="12.75">
      <c r="A249" t="str">
        <f ca="1">IFERROR(__xludf.DUMMYFUNCTION("""COMPUTED_VALUE"""),"Eriksson, Philip")</f>
        <v>Eriksson, Philip</v>
      </c>
      <c r="B249" t="str">
        <f ca="1">IFERROR(__xludf.DUMMYFUNCTION("""COMPUTED_VALUE"""),"Sweden")</f>
        <v>Sweden</v>
      </c>
    </row>
    <row r="250" spans="1:2" ht="12.75">
      <c r="A250" t="str">
        <f ca="1">IFERROR(__xludf.DUMMYFUNCTION("""COMPUTED_VALUE"""),"Ernst, Derek")</f>
        <v>Ernst, Derek</v>
      </c>
      <c r="B250" t="str">
        <f ca="1">IFERROR(__xludf.DUMMYFUNCTION("""COMPUTED_VALUE"""),"United States")</f>
        <v>United States</v>
      </c>
    </row>
    <row r="251" spans="1:2" ht="12.75">
      <c r="A251" t="str">
        <f ca="1">IFERROR(__xludf.DUMMYFUNCTION("""COMPUTED_VALUE"""),"Estevez, Jeronimo")</f>
        <v>Estevez, Jeronimo</v>
      </c>
      <c r="B251" t="str">
        <f ca="1">IFERROR(__xludf.DUMMYFUNCTION("""COMPUTED_VALUE"""),"Puerto Rico")</f>
        <v>Puerto Rico</v>
      </c>
    </row>
    <row r="252" spans="1:2" ht="12.75">
      <c r="A252" t="str">
        <f ca="1">IFERROR(__xludf.DUMMYFUNCTION("""COMPUTED_VALUE"""),"Etulain, Julian")</f>
        <v>Etulain, Julian</v>
      </c>
      <c r="B252" t="str">
        <f ca="1">IFERROR(__xludf.DUMMYFUNCTION("""COMPUTED_VALUE"""),"Argentina")</f>
        <v>Argentina</v>
      </c>
    </row>
    <row r="253" spans="1:2" ht="12.75">
      <c r="A253" t="str">
        <f ca="1">IFERROR(__xludf.DUMMYFUNCTION("""COMPUTED_VALUE"""),"Euler, Lukas")</f>
        <v>Euler, Lukas</v>
      </c>
      <c r="B253" t="str">
        <f ca="1">IFERROR(__xludf.DUMMYFUNCTION("""COMPUTED_VALUE"""),"Germany")</f>
        <v>Germany</v>
      </c>
    </row>
    <row r="254" spans="1:2" ht="12.75">
      <c r="A254" t="str">
        <f ca="1">IFERROR(__xludf.DUMMYFUNCTION("""COMPUTED_VALUE"""),"Everett, Broc")</f>
        <v>Everett, Broc</v>
      </c>
      <c r="B254" t="str">
        <f ca="1">IFERROR(__xludf.DUMMYFUNCTION("""COMPUTED_VALUE"""),"United States")</f>
        <v>United States</v>
      </c>
    </row>
    <row r="255" spans="1:2" ht="12.75">
      <c r="A255" t="str">
        <f ca="1">IFERROR(__xludf.DUMMYFUNCTION("""COMPUTED_VALUE"""),"Every, Matt")</f>
        <v>Every, Matt</v>
      </c>
      <c r="B255" t="str">
        <f ca="1">IFERROR(__xludf.DUMMYFUNCTION("""COMPUTED_VALUE"""),"United States")</f>
        <v>United States</v>
      </c>
    </row>
    <row r="256" spans="1:2" ht="12.75">
      <c r="A256" t="str">
        <f ca="1">IFERROR(__xludf.DUMMYFUNCTION("""COMPUTED_VALUE"""),"F")</f>
        <v>F</v>
      </c>
      <c r="B256" t="str">
        <f ca="1">IFERROR(__xludf.DUMMYFUNCTION("""COMPUTED_VALUE"""),"")</f>
        <v/>
      </c>
    </row>
    <row r="257" spans="1:2" ht="12.75">
      <c r="A257" t="str">
        <f ca="1">IFERROR(__xludf.DUMMYFUNCTION("""COMPUTED_VALUE"""),"NAME")</f>
        <v>NAME</v>
      </c>
      <c r="B257" t="str">
        <f ca="1">IFERROR(__xludf.DUMMYFUNCTION("""COMPUTED_VALUE"""),"COUNTRY")</f>
        <v>COUNTRY</v>
      </c>
    </row>
    <row r="258" spans="1:2" ht="12.75">
      <c r="A258" t="str">
        <f ca="1">IFERROR(__xludf.DUMMYFUNCTION("""COMPUTED_VALUE"""),"Fanning, Todd")</f>
        <v>Fanning, Todd</v>
      </c>
      <c r="B258" t="str">
        <f ca="1">IFERROR(__xludf.DUMMYFUNCTION("""COMPUTED_VALUE"""),"Canada")</f>
        <v>Canada</v>
      </c>
    </row>
    <row r="259" spans="1:2" ht="12.75">
      <c r="A259" t="str">
        <f ca="1">IFERROR(__xludf.DUMMYFUNCTION("""COMPUTED_VALUE"""),"Fathauer, Derek")</f>
        <v>Fathauer, Derek</v>
      </c>
      <c r="B259" t="str">
        <f ca="1">IFERROR(__xludf.DUMMYFUNCTION("""COMPUTED_VALUE"""),"United States")</f>
        <v>United States</v>
      </c>
    </row>
    <row r="260" spans="1:2" ht="12.75">
      <c r="A260" t="str">
        <f ca="1">IFERROR(__xludf.DUMMYFUNCTION("""COMPUTED_VALUE"""),"Favela, Armando")</f>
        <v>Favela, Armando</v>
      </c>
      <c r="B260" t="str">
        <f ca="1">IFERROR(__xludf.DUMMYFUNCTION("""COMPUTED_VALUE"""),"Mexico")</f>
        <v>Mexico</v>
      </c>
    </row>
    <row r="261" spans="1:2" ht="12.75">
      <c r="A261" t="str">
        <f ca="1">IFERROR(__xludf.DUMMYFUNCTION("""COMPUTED_VALUE"""),"Fidone, Sam")</f>
        <v>Fidone, Sam</v>
      </c>
      <c r="B261" t="str">
        <f ca="1">IFERROR(__xludf.DUMMYFUNCTION("""COMPUTED_VALUE"""),"United States")</f>
        <v>United States</v>
      </c>
    </row>
    <row r="262" spans="1:2" ht="12.75">
      <c r="A262" t="str">
        <f ca="1">IFERROR(__xludf.DUMMYFUNCTION("""COMPUTED_VALUE"""),"Figueroa, Edward")</f>
        <v>Figueroa, Edward</v>
      </c>
      <c r="B262" t="str">
        <f ca="1">IFERROR(__xludf.DUMMYFUNCTION("""COMPUTED_VALUE"""),"Puerto Rico")</f>
        <v>Puerto Rico</v>
      </c>
    </row>
    <row r="263" spans="1:2" ht="12.75">
      <c r="A263" t="str">
        <f ca="1">IFERROR(__xludf.DUMMYFUNCTION("""COMPUTED_VALUE"""),"Filbert, Andrew")</f>
        <v>Filbert, Andrew</v>
      </c>
      <c r="B263" t="str">
        <f ca="1">IFERROR(__xludf.DUMMYFUNCTION("""COMPUTED_VALUE"""),"United States")</f>
        <v>United States</v>
      </c>
    </row>
    <row r="264" spans="1:2" ht="12.75">
      <c r="A264" t="str">
        <f ca="1">IFERROR(__xludf.DUMMYFUNCTION("""COMPUTED_VALUE"""),"Finau, Tony")</f>
        <v>Finau, Tony</v>
      </c>
      <c r="B264" t="str">
        <f ca="1">IFERROR(__xludf.DUMMYFUNCTION("""COMPUTED_VALUE"""),"United States")</f>
        <v>United States</v>
      </c>
    </row>
    <row r="265" spans="1:2" ht="12.75">
      <c r="A265" t="str">
        <f ca="1">IFERROR(__xludf.DUMMYFUNCTION("""COMPUTED_VALUE"""),"Finch, Richard")</f>
        <v>Finch, Richard</v>
      </c>
      <c r="B265" t="str">
        <f ca="1">IFERROR(__xludf.DUMMYFUNCTION("""COMPUTED_VALUE"""),"England")</f>
        <v>England</v>
      </c>
    </row>
    <row r="266" spans="1:2" ht="12.75">
      <c r="A266" t="str">
        <f ca="1">IFERROR(__xludf.DUMMYFUNCTION("""COMPUTED_VALUE"""),"Fischer, Zack")</f>
        <v>Fischer, Zack</v>
      </c>
      <c r="B266" t="str">
        <f ca="1">IFERROR(__xludf.DUMMYFUNCTION("""COMPUTED_VALUE"""),"United States")</f>
        <v>United States</v>
      </c>
    </row>
    <row r="267" spans="1:2" ht="12.75">
      <c r="A267" t="str">
        <f ca="1">IFERROR(__xludf.DUMMYFUNCTION("""COMPUTED_VALUE"""),"Fishburn, Patrick")</f>
        <v>Fishburn, Patrick</v>
      </c>
      <c r="B267" t="str">
        <f ca="1">IFERROR(__xludf.DUMMYFUNCTION("""COMPUTED_VALUE"""),"United States")</f>
        <v>United States</v>
      </c>
    </row>
    <row r="268" spans="1:2" ht="12.75">
      <c r="A268" t="str">
        <f ca="1">IFERROR(__xludf.DUMMYFUNCTION("""COMPUTED_VALUE"""),"Fisher, Darin")</f>
        <v>Fisher, Darin</v>
      </c>
      <c r="B268" t="str">
        <f ca="1">IFERROR(__xludf.DUMMYFUNCTION("""COMPUTED_VALUE"""),"United States")</f>
        <v>United States</v>
      </c>
    </row>
    <row r="269" spans="1:2" ht="12.75">
      <c r="A269" t="str">
        <f ca="1">IFERROR(__xludf.DUMMYFUNCTION("""COMPUTED_VALUE"""),"Fisher, Ross")</f>
        <v>Fisher, Ross</v>
      </c>
      <c r="B269" t="str">
        <f ca="1">IFERROR(__xludf.DUMMYFUNCTION("""COMPUTED_VALUE"""),"England")</f>
        <v>England</v>
      </c>
    </row>
    <row r="270" spans="1:2" ht="12.75">
      <c r="A270" t="str">
        <f ca="1">IFERROR(__xludf.DUMMYFUNCTION("""COMPUTED_VALUE"""),"Fitzpatrick, Matthew")</f>
        <v>Fitzpatrick, Matthew</v>
      </c>
      <c r="B270" t="str">
        <f ca="1">IFERROR(__xludf.DUMMYFUNCTION("""COMPUTED_VALUE"""),"England")</f>
        <v>England</v>
      </c>
    </row>
    <row r="271" spans="1:2" ht="12.75">
      <c r="A271" t="str">
        <f ca="1">IFERROR(__xludf.DUMMYFUNCTION("""COMPUTED_VALUE"""),"Flanagan, Angus")</f>
        <v>Flanagan, Angus</v>
      </c>
      <c r="B271" t="str">
        <f ca="1">IFERROR(__xludf.DUMMYFUNCTION("""COMPUTED_VALUE"""),"England")</f>
        <v>England</v>
      </c>
    </row>
    <row r="272" spans="1:2" ht="12.75">
      <c r="A272" t="str">
        <f ca="1">IFERROR(__xludf.DUMMYFUNCTION("""COMPUTED_VALUE"""),"Flavin, Patrick")</f>
        <v>Flavin, Patrick</v>
      </c>
      <c r="B272" t="str">
        <f ca="1">IFERROR(__xludf.DUMMYFUNCTION("""COMPUTED_VALUE"""),"United States")</f>
        <v>United States</v>
      </c>
    </row>
    <row r="273" spans="1:2" ht="12.75">
      <c r="A273" t="str">
        <f ca="1">IFERROR(__xludf.DUMMYFUNCTION("""COMPUTED_VALUE"""),"Fleetwood, Tommy")</f>
        <v>Fleetwood, Tommy</v>
      </c>
      <c r="B273" t="str">
        <f ca="1">IFERROR(__xludf.DUMMYFUNCTION("""COMPUTED_VALUE"""),"England")</f>
        <v>England</v>
      </c>
    </row>
    <row r="274" spans="1:2" ht="12.75">
      <c r="A274" t="str">
        <f ca="1">IFERROR(__xludf.DUMMYFUNCTION("""COMPUTED_VALUE"""),"Flesch, Steve")</f>
        <v>Flesch, Steve</v>
      </c>
      <c r="B274" t="str">
        <f ca="1">IFERROR(__xludf.DUMMYFUNCTION("""COMPUTED_VALUE"""),"United States")</f>
        <v>United States</v>
      </c>
    </row>
    <row r="275" spans="1:2" ht="12.75">
      <c r="A275" t="str">
        <f ca="1">IFERROR(__xludf.DUMMYFUNCTION("""COMPUTED_VALUE"""),"Flores, Martin")</f>
        <v>Flores, Martin</v>
      </c>
      <c r="B275" t="str">
        <f ca="1">IFERROR(__xludf.DUMMYFUNCTION("""COMPUTED_VALUE"""),"United States")</f>
        <v>United States</v>
      </c>
    </row>
    <row r="276" spans="1:2" ht="12.75">
      <c r="A276" t="str">
        <f ca="1">IFERROR(__xludf.DUMMYFUNCTION("""COMPUTED_VALUE"""),"Forster, Thomas")</f>
        <v>Forster, Thomas</v>
      </c>
      <c r="B276" t="str">
        <f ca="1">IFERROR(__xludf.DUMMYFUNCTION("""COMPUTED_VALUE"""),"England")</f>
        <v>England</v>
      </c>
    </row>
    <row r="277" spans="1:2" ht="12.75">
      <c r="A277" t="str">
        <f ca="1">IFERROR(__xludf.DUMMYFUNCTION("""COMPUTED_VALUE"""),"Fowler, Rickie")</f>
        <v>Fowler, Rickie</v>
      </c>
      <c r="B277" t="str">
        <f ca="1">IFERROR(__xludf.DUMMYFUNCTION("""COMPUTED_VALUE"""),"United States")</f>
        <v>United States</v>
      </c>
    </row>
    <row r="278" spans="1:2" ht="12.75">
      <c r="A278" t="str">
        <f ca="1">IFERROR(__xludf.DUMMYFUNCTION("""COMPUTED_VALUE"""),"Fox, Ryan")</f>
        <v>Fox, Ryan</v>
      </c>
      <c r="B278" t="str">
        <f ca="1">IFERROR(__xludf.DUMMYFUNCTION("""COMPUTED_VALUE"""),"New Zealand")</f>
        <v>New Zealand</v>
      </c>
    </row>
    <row r="279" spans="1:2" ht="12.75">
      <c r="A279" t="str">
        <f ca="1">IFERROR(__xludf.DUMMYFUNCTION("""COMPUTED_VALUE"""),"Franco, Carlos")</f>
        <v>Franco, Carlos</v>
      </c>
      <c r="B279" t="str">
        <f ca="1">IFERROR(__xludf.DUMMYFUNCTION("""COMPUTED_VALUE"""),"Paraguay")</f>
        <v>Paraguay</v>
      </c>
    </row>
    <row r="280" spans="1:2" ht="12.75">
      <c r="A280" t="str">
        <f ca="1">IFERROR(__xludf.DUMMYFUNCTION("""COMPUTED_VALUE"""),"Franz Jr., Ray")</f>
        <v>Franz Jr., Ray</v>
      </c>
      <c r="B280" t="str">
        <f ca="1">IFERROR(__xludf.DUMMYFUNCTION("""COMPUTED_VALUE"""),"United States")</f>
        <v>United States</v>
      </c>
    </row>
    <row r="281" spans="1:2" ht="12.75">
      <c r="A281" t="str">
        <f ca="1">IFERROR(__xludf.DUMMYFUNCTION("""COMPUTED_VALUE"""),"Fraser, Marcus")</f>
        <v>Fraser, Marcus</v>
      </c>
      <c r="B281" t="str">
        <f ca="1">IFERROR(__xludf.DUMMYFUNCTION("""COMPUTED_VALUE"""),"Australia")</f>
        <v>Australia</v>
      </c>
    </row>
    <row r="282" spans="1:2" ht="12.75">
      <c r="A282" t="str">
        <f ca="1">IFERROR(__xludf.DUMMYFUNCTION("""COMPUTED_VALUE"""),"Fraustro, Oscar")</f>
        <v>Fraustro, Oscar</v>
      </c>
      <c r="B282" t="str">
        <f ca="1">IFERROR(__xludf.DUMMYFUNCTION("""COMPUTED_VALUE"""),"Mexico")</f>
        <v>Mexico</v>
      </c>
    </row>
    <row r="283" spans="1:2" ht="12.75">
      <c r="A283" t="str">
        <f ca="1">IFERROR(__xludf.DUMMYFUNCTION("""COMPUTED_VALUE"""),"Frittelli, Dylan")</f>
        <v>Frittelli, Dylan</v>
      </c>
      <c r="B283" t="str">
        <f ca="1">IFERROR(__xludf.DUMMYFUNCTION("""COMPUTED_VALUE"""),"South Africa")</f>
        <v>South Africa</v>
      </c>
    </row>
    <row r="284" spans="1:2" ht="12.75">
      <c r="A284" t="str">
        <f ca="1">IFERROR(__xludf.DUMMYFUNCTION("""COMPUTED_VALUE"""),"Frost, Charles")</f>
        <v>Frost, Charles</v>
      </c>
      <c r="B284" t="str">
        <f ca="1">IFERROR(__xludf.DUMMYFUNCTION("""COMPUTED_VALUE"""),"United States")</f>
        <v>United States</v>
      </c>
    </row>
    <row r="285" spans="1:2" ht="12.75">
      <c r="A285" t="str">
        <f ca="1">IFERROR(__xludf.DUMMYFUNCTION("""COMPUTED_VALUE"""),"Frost, David")</f>
        <v>Frost, David</v>
      </c>
      <c r="B285" t="str">
        <f ca="1">IFERROR(__xludf.DUMMYFUNCTION("""COMPUTED_VALUE"""),"South Africa")</f>
        <v>South Africa</v>
      </c>
    </row>
    <row r="286" spans="1:2" ht="12.75">
      <c r="A286" t="str">
        <f ca="1">IFERROR(__xludf.DUMMYFUNCTION("""COMPUTED_VALUE"""),"Fujimoto, Yoshinori")</f>
        <v>Fujimoto, Yoshinori</v>
      </c>
      <c r="B286" t="str">
        <f ca="1">IFERROR(__xludf.DUMMYFUNCTION("""COMPUTED_VALUE"""),"Japan")</f>
        <v>Japan</v>
      </c>
    </row>
    <row r="287" spans="1:2" ht="12.75">
      <c r="A287" t="str">
        <f ca="1">IFERROR(__xludf.DUMMYFUNCTION("""COMPUTED_VALUE"""),"Funk, Fred")</f>
        <v>Funk, Fred</v>
      </c>
      <c r="B287" t="str">
        <f ca="1">IFERROR(__xludf.DUMMYFUNCTION("""COMPUTED_VALUE"""),"United States")</f>
        <v>United States</v>
      </c>
    </row>
    <row r="288" spans="1:2" ht="12.75">
      <c r="A288" t="str">
        <f ca="1">IFERROR(__xludf.DUMMYFUNCTION("""COMPUTED_VALUE"""),"Funk, Taylor")</f>
        <v>Funk, Taylor</v>
      </c>
      <c r="B288" t="str">
        <f ca="1">IFERROR(__xludf.DUMMYFUNCTION("""COMPUTED_VALUE"""),"United States")</f>
        <v>United States</v>
      </c>
    </row>
    <row r="289" spans="1:2" ht="12.75">
      <c r="A289" t="str">
        <f ca="1">IFERROR(__xludf.DUMMYFUNCTION("""COMPUTED_VALUE"""),"Furr, Wilson")</f>
        <v>Furr, Wilson</v>
      </c>
      <c r="B289" t="str">
        <f ca="1">IFERROR(__xludf.DUMMYFUNCTION("""COMPUTED_VALUE"""),"United States")</f>
        <v>United States</v>
      </c>
    </row>
    <row r="290" spans="1:2" ht="12.75">
      <c r="A290" t="str">
        <f ca="1">IFERROR(__xludf.DUMMYFUNCTION("""COMPUTED_VALUE"""),"Furyk, Jim")</f>
        <v>Furyk, Jim</v>
      </c>
      <c r="B290" t="str">
        <f ca="1">IFERROR(__xludf.DUMMYFUNCTION("""COMPUTED_VALUE"""),"United States")</f>
        <v>United States</v>
      </c>
    </row>
    <row r="291" spans="1:2" ht="12.75">
      <c r="A291" t="str">
        <f ca="1">IFERROR(__xludf.DUMMYFUNCTION("""COMPUTED_VALUE"""),"G")</f>
        <v>G</v>
      </c>
      <c r="B291" t="str">
        <f ca="1">IFERROR(__xludf.DUMMYFUNCTION("""COMPUTED_VALUE"""),"")</f>
        <v/>
      </c>
    </row>
    <row r="292" spans="1:2" ht="12.75">
      <c r="A292" t="str">
        <f ca="1">IFERROR(__xludf.DUMMYFUNCTION("""COMPUTED_VALUE"""),"NAME")</f>
        <v>NAME</v>
      </c>
      <c r="B292" t="str">
        <f ca="1">IFERROR(__xludf.DUMMYFUNCTION("""COMPUTED_VALUE"""),"COUNTRY")</f>
        <v>COUNTRY</v>
      </c>
    </row>
    <row r="293" spans="1:2" ht="12.75">
      <c r="A293" t="str">
        <f ca="1">IFERROR(__xludf.DUMMYFUNCTION("""COMPUTED_VALUE"""),"Gagne, Luis")</f>
        <v>Gagne, Luis</v>
      </c>
      <c r="B293" t="str">
        <f ca="1">IFERROR(__xludf.DUMMYFUNCTION("""COMPUTED_VALUE"""),"Costa Rica")</f>
        <v>Costa Rica</v>
      </c>
    </row>
    <row r="294" spans="1:2" ht="12.75">
      <c r="A294" t="str">
        <f ca="1">IFERROR(__xludf.DUMMYFUNCTION("""COMPUTED_VALUE"""),"Gainey, Tommy")</f>
        <v>Gainey, Tommy</v>
      </c>
      <c r="B294" t="str">
        <f ca="1">IFERROR(__xludf.DUMMYFUNCTION("""COMPUTED_VALUE"""),"United States")</f>
        <v>United States</v>
      </c>
    </row>
    <row r="295" spans="1:2" ht="12.75">
      <c r="A295" t="str">
        <f ca="1">IFERROR(__xludf.DUMMYFUNCTION("""COMPUTED_VALUE"""),"Gallegos, Abel")</f>
        <v>Gallegos, Abel</v>
      </c>
      <c r="B295" t="str">
        <f ca="1">IFERROR(__xludf.DUMMYFUNCTION("""COMPUTED_VALUE"""),"Argentina")</f>
        <v>Argentina</v>
      </c>
    </row>
    <row r="296" spans="1:2" ht="12.75">
      <c r="A296" t="str">
        <f ca="1">IFERROR(__xludf.DUMMYFUNCTION("""COMPUTED_VALUE"""),"Gamez, Robert")</f>
        <v>Gamez, Robert</v>
      </c>
      <c r="B296" t="str">
        <f ca="1">IFERROR(__xludf.DUMMYFUNCTION("""COMPUTED_VALUE"""),"United States")</f>
        <v>United States</v>
      </c>
    </row>
    <row r="297" spans="1:2" ht="12.75">
      <c r="A297" t="str">
        <f ca="1">IFERROR(__xludf.DUMMYFUNCTION("""COMPUTED_VALUE"""),"Gandon, Jeremy")</f>
        <v>Gandon, Jeremy</v>
      </c>
      <c r="B297" t="str">
        <f ca="1">IFERROR(__xludf.DUMMYFUNCTION("""COMPUTED_VALUE"""),"France")</f>
        <v>France</v>
      </c>
    </row>
    <row r="298" spans="1:2" ht="12.75">
      <c r="A298" t="str">
        <f ca="1">IFERROR(__xludf.DUMMYFUNCTION("""COMPUTED_VALUE"""),"Gangjee, Rahil")</f>
        <v>Gangjee, Rahil</v>
      </c>
      <c r="B298" t="str">
        <f ca="1">IFERROR(__xludf.DUMMYFUNCTION("""COMPUTED_VALUE"""),"India")</f>
        <v>India</v>
      </c>
    </row>
    <row r="299" spans="1:2" ht="12.75">
      <c r="A299" t="str">
        <f ca="1">IFERROR(__xludf.DUMMYFUNCTION("""COMPUTED_VALUE"""),"Garber, Joey")</f>
        <v>Garber, Joey</v>
      </c>
      <c r="B299" t="str">
        <f ca="1">IFERROR(__xludf.DUMMYFUNCTION("""COMPUTED_VALUE"""),"United States")</f>
        <v>United States</v>
      </c>
    </row>
    <row r="300" spans="1:2" ht="12.75">
      <c r="A300" t="str">
        <f ca="1">IFERROR(__xludf.DUMMYFUNCTION("""COMPUTED_VALUE"""),"Garcia, Sergio")</f>
        <v>Garcia, Sergio</v>
      </c>
      <c r="B300" t="str">
        <f ca="1">IFERROR(__xludf.DUMMYFUNCTION("""COMPUTED_VALUE"""),"Spain")</f>
        <v>Spain</v>
      </c>
    </row>
    <row r="301" spans="1:2" ht="12.75">
      <c r="A301" t="str">
        <f ca="1">IFERROR(__xludf.DUMMYFUNCTION("""COMPUTED_VALUE"""),"Garnett, Brice")</f>
        <v>Garnett, Brice</v>
      </c>
      <c r="B301" t="str">
        <f ca="1">IFERROR(__xludf.DUMMYFUNCTION("""COMPUTED_VALUE"""),"United States")</f>
        <v>United States</v>
      </c>
    </row>
    <row r="302" spans="1:2" ht="12.75">
      <c r="A302" t="str">
        <f ca="1">IFERROR(__xludf.DUMMYFUNCTION("""COMPUTED_VALUE"""),"Garrigus, Robert")</f>
        <v>Garrigus, Robert</v>
      </c>
      <c r="B302" t="str">
        <f ca="1">IFERROR(__xludf.DUMMYFUNCTION("""COMPUTED_VALUE"""),"United States")</f>
        <v>United States</v>
      </c>
    </row>
    <row r="303" spans="1:2" ht="12.75">
      <c r="A303" t="str">
        <f ca="1">IFERROR(__xludf.DUMMYFUNCTION("""COMPUTED_VALUE"""),"Gay, Brian")</f>
        <v>Gay, Brian</v>
      </c>
      <c r="B303" t="str">
        <f ca="1">IFERROR(__xludf.DUMMYFUNCTION("""COMPUTED_VALUE"""),"United States")</f>
        <v>United States</v>
      </c>
    </row>
    <row r="304" spans="1:2" ht="12.75">
      <c r="A304" t="str">
        <f ca="1">IFERROR(__xludf.DUMMYFUNCTION("""COMPUTED_VALUE"""),"Gellerman, Michael")</f>
        <v>Gellerman, Michael</v>
      </c>
      <c r="B304" t="str">
        <f ca="1">IFERROR(__xludf.DUMMYFUNCTION("""COMPUTED_VALUE"""),"United States")</f>
        <v>United States</v>
      </c>
    </row>
    <row r="305" spans="1:2" ht="12.75">
      <c r="A305" t="str">
        <f ca="1">IFERROR(__xludf.DUMMYFUNCTION("""COMPUTED_VALUE"""),"Geminiani, Domenico")</f>
        <v>Geminiani, Domenico</v>
      </c>
      <c r="B305" t="str">
        <f ca="1">IFERROR(__xludf.DUMMYFUNCTION("""COMPUTED_VALUE"""),"Italy")</f>
        <v>Italy</v>
      </c>
    </row>
    <row r="306" spans="1:2" ht="12.75">
      <c r="A306" t="str">
        <f ca="1">IFERROR(__xludf.DUMMYFUNCTION("""COMPUTED_VALUE"""),"Ghim, Doug")</f>
        <v>Ghim, Doug</v>
      </c>
      <c r="B306" t="str">
        <f ca="1">IFERROR(__xludf.DUMMYFUNCTION("""COMPUTED_VALUE"""),"United States")</f>
        <v>United States</v>
      </c>
    </row>
    <row r="307" spans="1:2" ht="12.75">
      <c r="A307" t="str">
        <f ca="1">IFERROR(__xludf.DUMMYFUNCTION("""COMPUTED_VALUE"""),"Giacomazzi, Dino")</f>
        <v>Giacomazzi, Dino</v>
      </c>
      <c r="B307" t="str">
        <f ca="1">IFERROR(__xludf.DUMMYFUNCTION("""COMPUTED_VALUE"""),"United States")</f>
        <v>United States</v>
      </c>
    </row>
    <row r="308" spans="1:2" ht="12.75">
      <c r="A308" t="str">
        <f ca="1">IFERROR(__xludf.DUMMYFUNCTION("""COMPUTED_VALUE"""),"Gibb, Judd")</f>
        <v>Gibb, Judd</v>
      </c>
      <c r="B308" t="str">
        <f ca="1">IFERROR(__xludf.DUMMYFUNCTION("""COMPUTED_VALUE"""),"United States")</f>
        <v>United States</v>
      </c>
    </row>
    <row r="309" spans="1:2" ht="12.75">
      <c r="A309" t="str">
        <f ca="1">IFERROR(__xludf.DUMMYFUNCTION("""COMPUTED_VALUE"""),"Gibson, Rhein")</f>
        <v>Gibson, Rhein</v>
      </c>
      <c r="B309" t="str">
        <f ca="1">IFERROR(__xludf.DUMMYFUNCTION("""COMPUTED_VALUE"""),"Australia")</f>
        <v>Australia</v>
      </c>
    </row>
    <row r="310" spans="1:2" ht="12.75">
      <c r="A310" t="str">
        <f ca="1">IFERROR(__xludf.DUMMYFUNCTION("""COMPUTED_VALUE"""),"Gillam, Parker")</f>
        <v>Gillam, Parker</v>
      </c>
      <c r="B310" t="str">
        <f ca="1">IFERROR(__xludf.DUMMYFUNCTION("""COMPUTED_VALUE"""),"United States")</f>
        <v>United States</v>
      </c>
    </row>
    <row r="311" spans="1:2" ht="12.75">
      <c r="A311" t="str">
        <f ca="1">IFERROR(__xludf.DUMMYFUNCTION("""COMPUTED_VALUE"""),"Gillespie, Derek")</f>
        <v>Gillespie, Derek</v>
      </c>
      <c r="B311" t="str">
        <f ca="1">IFERROR(__xludf.DUMMYFUNCTION("""COMPUTED_VALUE"""),"Canada")</f>
        <v>Canada</v>
      </c>
    </row>
    <row r="312" spans="1:2" ht="12.75">
      <c r="A312" t="str">
        <f ca="1">IFERROR(__xludf.DUMMYFUNCTION("""COMPUTED_VALUE"""),"Gligic, Michael")</f>
        <v>Gligic, Michael</v>
      </c>
      <c r="B312" t="str">
        <f ca="1">IFERROR(__xludf.DUMMYFUNCTION("""COMPUTED_VALUE"""),"Canada")</f>
        <v>Canada</v>
      </c>
    </row>
    <row r="313" spans="1:2" ht="12.75">
      <c r="A313" t="str">
        <f ca="1">IFERROR(__xludf.DUMMYFUNCTION("""COMPUTED_VALUE"""),"Glover, Lucas")</f>
        <v>Glover, Lucas</v>
      </c>
      <c r="B313" t="str">
        <f ca="1">IFERROR(__xludf.DUMMYFUNCTION("""COMPUTED_VALUE"""),"United States")</f>
        <v>United States</v>
      </c>
    </row>
    <row r="314" spans="1:2" ht="12.75">
      <c r="A314" t="str">
        <f ca="1">IFERROR(__xludf.DUMMYFUNCTION("""COMPUTED_VALUE"""),"Goggin, Mathew")</f>
        <v>Goggin, Mathew</v>
      </c>
      <c r="B314" t="str">
        <f ca="1">IFERROR(__xludf.DUMMYFUNCTION("""COMPUTED_VALUE"""),"Australia")</f>
        <v>Australia</v>
      </c>
    </row>
    <row r="315" spans="1:2" ht="12.75">
      <c r="A315" t="str">
        <f ca="1">IFERROR(__xludf.DUMMYFUNCTION("""COMPUTED_VALUE"""),"Gomez, Fabian")</f>
        <v>Gomez, Fabian</v>
      </c>
      <c r="B315" t="str">
        <f ca="1">IFERROR(__xludf.DUMMYFUNCTION("""COMPUTED_VALUE"""),"Argentina")</f>
        <v>Argentina</v>
      </c>
    </row>
    <row r="316" spans="1:2" ht="12.75">
      <c r="A316" t="str">
        <f ca="1">IFERROR(__xludf.DUMMYFUNCTION("""COMPUTED_VALUE"""),"Gonzales, Andres")</f>
        <v>Gonzales, Andres</v>
      </c>
      <c r="B316" t="str">
        <f ca="1">IFERROR(__xludf.DUMMYFUNCTION("""COMPUTED_VALUE"""),"United States")</f>
        <v>United States</v>
      </c>
    </row>
    <row r="317" spans="1:2" ht="12.75">
      <c r="A317" t="str">
        <f ca="1">IFERROR(__xludf.DUMMYFUNCTION("""COMPUTED_VALUE"""),"Gooch, Talor")</f>
        <v>Gooch, Talor</v>
      </c>
      <c r="B317" t="str">
        <f ca="1">IFERROR(__xludf.DUMMYFUNCTION("""COMPUTED_VALUE"""),"United States")</f>
        <v>United States</v>
      </c>
    </row>
    <row r="318" spans="1:2" ht="12.75">
      <c r="A318" t="str">
        <f ca="1">IFERROR(__xludf.DUMMYFUNCTION("""COMPUTED_VALUE"""),"Goodwin, Noah")</f>
        <v>Goodwin, Noah</v>
      </c>
      <c r="B318" t="str">
        <f ca="1">IFERROR(__xludf.DUMMYFUNCTION("""COMPUTED_VALUE"""),"United States")</f>
        <v>United States</v>
      </c>
    </row>
    <row r="319" spans="1:2" ht="12.75">
      <c r="A319" t="str">
        <f ca="1">IFERROR(__xludf.DUMMYFUNCTION("""COMPUTED_VALUE"""),"Goosen, Retief")</f>
        <v>Goosen, Retief</v>
      </c>
      <c r="B319" t="str">
        <f ca="1">IFERROR(__xludf.DUMMYFUNCTION("""COMPUTED_VALUE"""),"South Africa")</f>
        <v>South Africa</v>
      </c>
    </row>
    <row r="320" spans="1:2" ht="12.75">
      <c r="A320" t="str">
        <f ca="1">IFERROR(__xludf.DUMMYFUNCTION("""COMPUTED_VALUE"""),"Gordon, Will")</f>
        <v>Gordon, Will</v>
      </c>
      <c r="B320" t="str">
        <f ca="1">IFERROR(__xludf.DUMMYFUNCTION("""COMPUTED_VALUE"""),"United States")</f>
        <v>United States</v>
      </c>
    </row>
    <row r="321" spans="1:2" ht="12.75">
      <c r="A321" t="str">
        <f ca="1">IFERROR(__xludf.DUMMYFUNCTION("""COMPUTED_VALUE"""),"Gore, Jason")</f>
        <v>Gore, Jason</v>
      </c>
      <c r="B321" t="str">
        <f ca="1">IFERROR(__xludf.DUMMYFUNCTION("""COMPUTED_VALUE"""),"United States")</f>
        <v>United States</v>
      </c>
    </row>
    <row r="322" spans="1:2" ht="12.75">
      <c r="A322" t="str">
        <f ca="1">IFERROR(__xludf.DUMMYFUNCTION("""COMPUTED_VALUE"""),"Gove, Jeff")</f>
        <v>Gove, Jeff</v>
      </c>
      <c r="B322" t="str">
        <f ca="1">IFERROR(__xludf.DUMMYFUNCTION("""COMPUTED_VALUE"""),"United States")</f>
        <v>United States</v>
      </c>
    </row>
    <row r="323" spans="1:2" ht="12.75">
      <c r="A323" t="str">
        <f ca="1">IFERROR(__xludf.DUMMYFUNCTION("""COMPUTED_VALUE"""),"Goydos, Paul")</f>
        <v>Goydos, Paul</v>
      </c>
      <c r="B323" t="str">
        <f ca="1">IFERROR(__xludf.DUMMYFUNCTION("""COMPUTED_VALUE"""),"United States")</f>
        <v>United States</v>
      </c>
    </row>
    <row r="324" spans="1:2" ht="12.75">
      <c r="A324" t="str">
        <f ca="1">IFERROR(__xludf.DUMMYFUNCTION("""COMPUTED_VALUE"""),"Graboyes, Luke")</f>
        <v>Graboyes, Luke</v>
      </c>
      <c r="B324" t="str">
        <f ca="1">IFERROR(__xludf.DUMMYFUNCTION("""COMPUTED_VALUE"""),"United States")</f>
        <v>United States</v>
      </c>
    </row>
    <row r="325" spans="1:2" ht="12.75">
      <c r="A325" t="str">
        <f ca="1">IFERROR(__xludf.DUMMYFUNCTION("""COMPUTED_VALUE"""),"Grace, Branden")</f>
        <v>Grace, Branden</v>
      </c>
      <c r="B325" t="str">
        <f ca="1">IFERROR(__xludf.DUMMYFUNCTION("""COMPUTED_VALUE"""),"South Africa")</f>
        <v>South Africa</v>
      </c>
    </row>
    <row r="326" spans="1:2" ht="12.75">
      <c r="A326" t="str">
        <f ca="1">IFERROR(__xludf.DUMMYFUNCTION("""COMPUTED_VALUE"""),"Grant, Brent")</f>
        <v>Grant, Brent</v>
      </c>
      <c r="B326" t="str">
        <f ca="1">IFERROR(__xludf.DUMMYFUNCTION("""COMPUTED_VALUE"""),"United States")</f>
        <v>United States</v>
      </c>
    </row>
    <row r="327" spans="1:2" ht="12.75">
      <c r="A327" t="str">
        <f ca="1">IFERROR(__xludf.DUMMYFUNCTION("""COMPUTED_VALUE"""),"Gribble, Cody")</f>
        <v>Gribble, Cody</v>
      </c>
      <c r="B327" t="str">
        <f ca="1">IFERROR(__xludf.DUMMYFUNCTION("""COMPUTED_VALUE"""),"United States")</f>
        <v>United States</v>
      </c>
    </row>
    <row r="328" spans="1:2" ht="12.75">
      <c r="A328" t="str">
        <f ca="1">IFERROR(__xludf.DUMMYFUNCTION("""COMPUTED_VALUE"""),"Griffin, Ben")</f>
        <v>Griffin, Ben</v>
      </c>
      <c r="B328" t="str">
        <f ca="1">IFERROR(__xludf.DUMMYFUNCTION("""COMPUTED_VALUE"""),"United States")</f>
        <v>United States</v>
      </c>
    </row>
    <row r="329" spans="1:2" ht="12.75">
      <c r="A329" t="str">
        <f ca="1">IFERROR(__xludf.DUMMYFUNCTION("""COMPUTED_VALUE"""),"Griffin, Lanto")</f>
        <v>Griffin, Lanto</v>
      </c>
      <c r="B329" t="str">
        <f ca="1">IFERROR(__xludf.DUMMYFUNCTION("""COMPUTED_VALUE"""),"United States")</f>
        <v>United States</v>
      </c>
    </row>
    <row r="330" spans="1:2" ht="12.75">
      <c r="A330" t="str">
        <f ca="1">IFERROR(__xludf.DUMMYFUNCTION("""COMPUTED_VALUE"""),"Grillo, Emiliano")</f>
        <v>Grillo, Emiliano</v>
      </c>
      <c r="B330" t="str">
        <f ca="1">IFERROR(__xludf.DUMMYFUNCTION("""COMPUTED_VALUE"""),"Argentina")</f>
        <v>Argentina</v>
      </c>
    </row>
    <row r="331" spans="1:2" ht="12.75">
      <c r="A331" t="str">
        <f ca="1">IFERROR(__xludf.DUMMYFUNCTION("""COMPUTED_VALUE"""),"Grimmer, Will")</f>
        <v>Grimmer, Will</v>
      </c>
      <c r="B331" t="str">
        <f ca="1">IFERROR(__xludf.DUMMYFUNCTION("""COMPUTED_VALUE"""),"United States")</f>
        <v>United States</v>
      </c>
    </row>
    <row r="332" spans="1:2" ht="12.75">
      <c r="A332" t="str">
        <f ca="1">IFERROR(__xludf.DUMMYFUNCTION("""COMPUTED_VALUE"""),"Guerra, Juan Jose")</f>
        <v>Guerra, Juan Jose</v>
      </c>
      <c r="B332" t="str">
        <f ca="1">IFERROR(__xludf.DUMMYFUNCTION("""COMPUTED_VALUE"""),"Dominican Republic")</f>
        <v>Dominican Republic</v>
      </c>
    </row>
    <row r="333" spans="1:2" ht="12.75">
      <c r="A333" t="str">
        <f ca="1">IFERROR(__xludf.DUMMYFUNCTION("""COMPUTED_VALUE"""),"Gumberg, Jordan")</f>
        <v>Gumberg, Jordan</v>
      </c>
      <c r="B333" t="str">
        <f ca="1">IFERROR(__xludf.DUMMYFUNCTION("""COMPUTED_VALUE"""),"United States")</f>
        <v>United States</v>
      </c>
    </row>
    <row r="334" spans="1:2" ht="12.75">
      <c r="A334" t="str">
        <f ca="1">IFERROR(__xludf.DUMMYFUNCTION("""COMPUTED_VALUE"""),"Guthrie, Luke")</f>
        <v>Guthrie, Luke</v>
      </c>
      <c r="B334" t="str">
        <f ca="1">IFERROR(__xludf.DUMMYFUNCTION("""COMPUTED_VALUE"""),"United States")</f>
        <v>United States</v>
      </c>
    </row>
    <row r="335" spans="1:2" ht="12.75">
      <c r="A335" t="str">
        <f ca="1">IFERROR(__xludf.DUMMYFUNCTION("""COMPUTED_VALUE"""),"H")</f>
        <v>H</v>
      </c>
      <c r="B335" t="str">
        <f ca="1">IFERROR(__xludf.DUMMYFUNCTION("""COMPUTED_VALUE"""),"")</f>
        <v/>
      </c>
    </row>
    <row r="336" spans="1:2" ht="12.75">
      <c r="A336" t="str">
        <f ca="1">IFERROR(__xludf.DUMMYFUNCTION("""COMPUTED_VALUE"""),"NAME")</f>
        <v>NAME</v>
      </c>
      <c r="B336" t="str">
        <f ca="1">IFERROR(__xludf.DUMMYFUNCTION("""COMPUTED_VALUE"""),"COUNTRY")</f>
        <v>COUNTRY</v>
      </c>
    </row>
    <row r="337" spans="1:2" ht="12.75">
      <c r="A337" t="str">
        <f ca="1">IFERROR(__xludf.DUMMYFUNCTION("""COMPUTED_VALUE"""),"Haas, Bill")</f>
        <v>Haas, Bill</v>
      </c>
      <c r="B337" t="str">
        <f ca="1">IFERROR(__xludf.DUMMYFUNCTION("""COMPUTED_VALUE"""),"United States")</f>
        <v>United States</v>
      </c>
    </row>
    <row r="338" spans="1:2" ht="12.75">
      <c r="A338" t="str">
        <f ca="1">IFERROR(__xludf.DUMMYFUNCTION("""COMPUTED_VALUE"""),"Haastrup, Mark F.")</f>
        <v>Haastrup, Mark F.</v>
      </c>
      <c r="B338" t="str">
        <f ca="1">IFERROR(__xludf.DUMMYFUNCTION("""COMPUTED_VALUE"""),"Denmark")</f>
        <v>Denmark</v>
      </c>
    </row>
    <row r="339" spans="1:2" ht="12.75">
      <c r="A339" t="str">
        <f ca="1">IFERROR(__xludf.DUMMYFUNCTION("""COMPUTED_VALUE"""),"Hadley, Chesson")</f>
        <v>Hadley, Chesson</v>
      </c>
      <c r="B339" t="str">
        <f ca="1">IFERROR(__xludf.DUMMYFUNCTION("""COMPUTED_VALUE"""),"United States")</f>
        <v>United States</v>
      </c>
    </row>
    <row r="340" spans="1:2" ht="12.75">
      <c r="A340" t="str">
        <f ca="1">IFERROR(__xludf.DUMMYFUNCTION("""COMPUTED_VALUE"""),"Hadwin, Adam")</f>
        <v>Hadwin, Adam</v>
      </c>
      <c r="B340" t="str">
        <f ca="1">IFERROR(__xludf.DUMMYFUNCTION("""COMPUTED_VALUE"""),"Canada")</f>
        <v>Canada</v>
      </c>
    </row>
    <row r="341" spans="1:2" ht="12.75">
      <c r="A341" t="str">
        <f ca="1">IFERROR(__xludf.DUMMYFUNCTION("""COMPUTED_VALUE"""),"Hagestad, Stewart")</f>
        <v>Hagestad, Stewart</v>
      </c>
      <c r="B341" t="str">
        <f ca="1">IFERROR(__xludf.DUMMYFUNCTION("""COMPUTED_VALUE"""),"United States")</f>
        <v>United States</v>
      </c>
    </row>
    <row r="342" spans="1:2" ht="12.75">
      <c r="A342" t="str">
        <f ca="1">IFERROR(__xludf.DUMMYFUNCTION("""COMPUTED_VALUE"""),"Hagy, Brandon")</f>
        <v>Hagy, Brandon</v>
      </c>
      <c r="B342" t="str">
        <f ca="1">IFERROR(__xludf.DUMMYFUNCTION("""COMPUTED_VALUE"""),"United States")</f>
        <v>United States</v>
      </c>
    </row>
    <row r="343" spans="1:2" ht="12.75">
      <c r="A343" t="str">
        <f ca="1">IFERROR(__xludf.DUMMYFUNCTION("""COMPUTED_VALUE"""),"Hahn, James")</f>
        <v>Hahn, James</v>
      </c>
      <c r="B343" t="str">
        <f ca="1">IFERROR(__xludf.DUMMYFUNCTION("""COMPUTED_VALUE"""),"United States")</f>
        <v>United States</v>
      </c>
    </row>
    <row r="344" spans="1:2" ht="12.75">
      <c r="A344" t="str">
        <f ca="1">IFERROR(__xludf.DUMMYFUNCTION("""COMPUTED_VALUE"""),"Hall, Harry")</f>
        <v>Hall, Harry</v>
      </c>
      <c r="B344" t="str">
        <f ca="1">IFERROR(__xludf.DUMMYFUNCTION("""COMPUTED_VALUE"""),"England")</f>
        <v>England</v>
      </c>
    </row>
    <row r="345" spans="1:2" ht="12.75">
      <c r="A345" t="str">
        <f ca="1">IFERROR(__xludf.DUMMYFUNCTION("""COMPUTED_VALUE"""),"Hall, Tyler")</f>
        <v>Hall, Tyler</v>
      </c>
      <c r="B345" t="str">
        <f ca="1">IFERROR(__xludf.DUMMYFUNCTION("""COMPUTED_VALUE"""),"United States")</f>
        <v>United States</v>
      </c>
    </row>
    <row r="346" spans="1:2" ht="12.75">
      <c r="A346" t="str">
        <f ca="1">IFERROR(__xludf.DUMMYFUNCTION("""COMPUTED_VALUE"""),"Halvorsen, Andreas")</f>
        <v>Halvorsen, Andreas</v>
      </c>
      <c r="B346" t="str">
        <f ca="1">IFERROR(__xludf.DUMMYFUNCTION("""COMPUTED_VALUE"""),"Norway")</f>
        <v>Norway</v>
      </c>
    </row>
    <row r="347" spans="1:2" ht="12.75">
      <c r="A347" t="str">
        <f ca="1">IFERROR(__xludf.DUMMYFUNCTION("""COMPUTED_VALUE"""),"Ham, Jeongwoo")</f>
        <v>Ham, Jeongwoo</v>
      </c>
      <c r="B347" t="str">
        <f ca="1">IFERROR(__xludf.DUMMYFUNCTION("""COMPUTED_VALUE"""),"South Korea")</f>
        <v>South Korea</v>
      </c>
    </row>
    <row r="348" spans="1:2" ht="12.75">
      <c r="A348" t="str">
        <f ca="1">IFERROR(__xludf.DUMMYFUNCTION("""COMPUTED_VALUE"""),"Hamilton, Blair")</f>
        <v>Hamilton, Blair</v>
      </c>
      <c r="B348" t="str">
        <f ca="1">IFERROR(__xludf.DUMMYFUNCTION("""COMPUTED_VALUE"""),"Canada")</f>
        <v>Canada</v>
      </c>
    </row>
    <row r="349" spans="1:2" ht="12.75">
      <c r="A349" t="str">
        <f ca="1">IFERROR(__xludf.DUMMYFUNCTION("""COMPUTED_VALUE"""),"Hamilton, Todd")</f>
        <v>Hamilton, Todd</v>
      </c>
      <c r="B349" t="str">
        <f ca="1">IFERROR(__xludf.DUMMYFUNCTION("""COMPUTED_VALUE"""),"United States")</f>
        <v>United States</v>
      </c>
    </row>
    <row r="350" spans="1:2" ht="12.75">
      <c r="A350" t="str">
        <f ca="1">IFERROR(__xludf.DUMMYFUNCTION("""COMPUTED_VALUE"""),"Hammer, Cole")</f>
        <v>Hammer, Cole</v>
      </c>
      <c r="B350" t="str">
        <f ca="1">IFERROR(__xludf.DUMMYFUNCTION("""COMPUTED_VALUE"""),"United States")</f>
        <v>United States</v>
      </c>
    </row>
    <row r="351" spans="1:2" ht="12.75">
      <c r="A351" t="str">
        <f ca="1">IFERROR(__xludf.DUMMYFUNCTION("""COMPUTED_VALUE"""),"Hamrick, Hunter")</f>
        <v>Hamrick, Hunter</v>
      </c>
      <c r="B351" t="str">
        <f ca="1">IFERROR(__xludf.DUMMYFUNCTION("""COMPUTED_VALUE"""),"United States")</f>
        <v>United States</v>
      </c>
    </row>
    <row r="352" spans="1:2" ht="12.75">
      <c r="A352" t="str">
        <f ca="1">IFERROR(__xludf.DUMMYFUNCTION("""COMPUTED_VALUE"""),"Han, Seung-su")</f>
        <v>Han, Seung-su</v>
      </c>
      <c r="B352" t="str">
        <f ca="1">IFERROR(__xludf.DUMMYFUNCTION("""COMPUTED_VALUE"""),"South Korea")</f>
        <v>South Korea</v>
      </c>
    </row>
    <row r="353" spans="1:2" ht="12.75">
      <c r="A353" t="str">
        <f ca="1">IFERROR(__xludf.DUMMYFUNCTION("""COMPUTED_VALUE"""),"Hansen, Jaysen")</f>
        <v>Hansen, Jaysen</v>
      </c>
      <c r="B353" t="str">
        <f ca="1">IFERROR(__xludf.DUMMYFUNCTION("""COMPUTED_VALUE"""),"United States")</f>
        <v>United States</v>
      </c>
    </row>
    <row r="354" spans="1:2" ht="12.75">
      <c r="A354" t="str">
        <f ca="1">IFERROR(__xludf.DUMMYFUNCTION("""COMPUTED_VALUE"""),"Harding, Justin")</f>
        <v>Harding, Justin</v>
      </c>
      <c r="B354" t="str">
        <f ca="1">IFERROR(__xludf.DUMMYFUNCTION("""COMPUTED_VALUE"""),"South Africa")</f>
        <v>South Africa</v>
      </c>
    </row>
    <row r="355" spans="1:2" ht="12.75">
      <c r="A355" t="str">
        <f ca="1">IFERROR(__xludf.DUMMYFUNCTION("""COMPUTED_VALUE"""),"Hardy, Nick")</f>
        <v>Hardy, Nick</v>
      </c>
      <c r="B355" t="str">
        <f ca="1">IFERROR(__xludf.DUMMYFUNCTION("""COMPUTED_VALUE"""),"United States")</f>
        <v>United States</v>
      </c>
    </row>
    <row r="356" spans="1:2" ht="12.75">
      <c r="A356" t="str">
        <f ca="1">IFERROR(__xludf.DUMMYFUNCTION("""COMPUTED_VALUE"""),"Harkins, Brandon")</f>
        <v>Harkins, Brandon</v>
      </c>
      <c r="B356" t="str">
        <f ca="1">IFERROR(__xludf.DUMMYFUNCTION("""COMPUTED_VALUE"""),"United States")</f>
        <v>United States</v>
      </c>
    </row>
    <row r="357" spans="1:2" ht="12.75">
      <c r="A357" t="str">
        <f ca="1">IFERROR(__xludf.DUMMYFUNCTION("""COMPUTED_VALUE"""),"Harman, Brian")</f>
        <v>Harman, Brian</v>
      </c>
      <c r="B357" t="str">
        <f ca="1">IFERROR(__xludf.DUMMYFUNCTION("""COMPUTED_VALUE"""),"United States")</f>
        <v>United States</v>
      </c>
    </row>
    <row r="358" spans="1:2" ht="12.75">
      <c r="A358" t="str">
        <f ca="1">IFERROR(__xludf.DUMMYFUNCTION("""COMPUTED_VALUE"""),"Harmon, Matt")</f>
        <v>Harmon, Matt</v>
      </c>
      <c r="B358" t="str">
        <f ca="1">IFERROR(__xludf.DUMMYFUNCTION("""COMPUTED_VALUE"""),"United States")</f>
        <v>United States</v>
      </c>
    </row>
    <row r="359" spans="1:2" ht="12.75">
      <c r="A359" t="str">
        <f ca="1">IFERROR(__xludf.DUMMYFUNCTION("""COMPUTED_VALUE"""),"Harrington, Padraig")</f>
        <v>Harrington, Padraig</v>
      </c>
      <c r="B359" t="str">
        <f ca="1">IFERROR(__xludf.DUMMYFUNCTION("""COMPUTED_VALUE"""),"Ireland")</f>
        <v>Ireland</v>
      </c>
    </row>
    <row r="360" spans="1:2" ht="12.75">
      <c r="A360" t="str">
        <f ca="1">IFERROR(__xludf.DUMMYFUNCTION("""COMPUTED_VALUE"""),"Harrington, Scott")</f>
        <v>Harrington, Scott</v>
      </c>
      <c r="B360" t="str">
        <f ca="1">IFERROR(__xludf.DUMMYFUNCTION("""COMPUTED_VALUE"""),"United States")</f>
        <v>United States</v>
      </c>
    </row>
    <row r="361" spans="1:2" ht="12.75">
      <c r="A361" t="str">
        <f ca="1">IFERROR(__xludf.DUMMYFUNCTION("""COMPUTED_VALUE"""),"Hart, Jeff")</f>
        <v>Hart, Jeff</v>
      </c>
      <c r="B361" t="str">
        <f ca="1">IFERROR(__xludf.DUMMYFUNCTION("""COMPUTED_VALUE"""),"United States")</f>
        <v>United States</v>
      </c>
    </row>
    <row r="362" spans="1:2" ht="12.75">
      <c r="A362" t="str">
        <f ca="1">IFERROR(__xludf.DUMMYFUNCTION("""COMPUTED_VALUE"""),"Hatton, Tyrrell")</f>
        <v>Hatton, Tyrrell</v>
      </c>
      <c r="B362" t="str">
        <f ca="1">IFERROR(__xludf.DUMMYFUNCTION("""COMPUTED_VALUE"""),"England")</f>
        <v>England</v>
      </c>
    </row>
    <row r="363" spans="1:2" ht="12.75">
      <c r="A363" t="str">
        <f ca="1">IFERROR(__xludf.DUMMYFUNCTION("""COMPUTED_VALUE"""),"Hearn, David")</f>
        <v>Hearn, David</v>
      </c>
      <c r="B363" t="str">
        <f ca="1">IFERROR(__xludf.DUMMYFUNCTION("""COMPUTED_VALUE"""),"Canada")</f>
        <v>Canada</v>
      </c>
    </row>
    <row r="364" spans="1:2" ht="12.75">
      <c r="A364" t="str">
        <f ca="1">IFERROR(__xludf.DUMMYFUNCTION("""COMPUTED_VALUE"""),"Hebert, Benjamin")</f>
        <v>Hebert, Benjamin</v>
      </c>
      <c r="B364" t="str">
        <f ca="1">IFERROR(__xludf.DUMMYFUNCTION("""COMPUTED_VALUE"""),"France")</f>
        <v>France</v>
      </c>
    </row>
    <row r="365" spans="1:2" ht="12.75">
      <c r="A365" t="str">
        <f ca="1">IFERROR(__xludf.DUMMYFUNCTION("""COMPUTED_VALUE"""),"Heinen, Nick")</f>
        <v>Heinen, Nick</v>
      </c>
      <c r="B365" t="str">
        <f ca="1">IFERROR(__xludf.DUMMYFUNCTION("""COMPUTED_VALUE"""),"United States")</f>
        <v>United States</v>
      </c>
    </row>
    <row r="366" spans="1:2" ht="12.75">
      <c r="A366" t="str">
        <f ca="1">IFERROR(__xludf.DUMMYFUNCTION("""COMPUTED_VALUE"""),"Hend, Scott")</f>
        <v>Hend, Scott</v>
      </c>
      <c r="B366" t="str">
        <f ca="1">IFERROR(__xludf.DUMMYFUNCTION("""COMPUTED_VALUE"""),"Australia")</f>
        <v>Australia</v>
      </c>
    </row>
    <row r="367" spans="1:2" ht="12.75">
      <c r="A367" t="str">
        <f ca="1">IFERROR(__xludf.DUMMYFUNCTION("""COMPUTED_VALUE"""),"Henley, Russell")</f>
        <v>Henley, Russell</v>
      </c>
      <c r="B367" t="str">
        <f ca="1">IFERROR(__xludf.DUMMYFUNCTION("""COMPUTED_VALUE"""),"United States")</f>
        <v>United States</v>
      </c>
    </row>
    <row r="368" spans="1:2" ht="12.75">
      <c r="A368" t="str">
        <f ca="1">IFERROR(__xludf.DUMMYFUNCTION("""COMPUTED_VALUE"""),"Henry, J.J.")</f>
        <v>Henry, J.J.</v>
      </c>
      <c r="B368" t="str">
        <f ca="1">IFERROR(__xludf.DUMMYFUNCTION("""COMPUTED_VALUE"""),"United States")</f>
        <v>United States</v>
      </c>
    </row>
    <row r="369" spans="1:2" ht="12.75">
      <c r="A369" t="str">
        <f ca="1">IFERROR(__xludf.DUMMYFUNCTION("""COMPUTED_VALUE"""),"Henson, Berry")</f>
        <v>Henson, Berry</v>
      </c>
      <c r="B369" t="str">
        <f ca="1">IFERROR(__xludf.DUMMYFUNCTION("""COMPUTED_VALUE"""),"United States")</f>
        <v>United States</v>
      </c>
    </row>
    <row r="370" spans="1:2" ht="12.75">
      <c r="A370" t="str">
        <f ca="1">IFERROR(__xludf.DUMMYFUNCTION("""COMPUTED_VALUE"""),"Herbert, Lucas")</f>
        <v>Herbert, Lucas</v>
      </c>
      <c r="B370" t="str">
        <f ca="1">IFERROR(__xludf.DUMMYFUNCTION("""COMPUTED_VALUE"""),"Australia")</f>
        <v>Australia</v>
      </c>
    </row>
    <row r="371" spans="1:2" ht="12.75">
      <c r="A371" t="str">
        <f ca="1">IFERROR(__xludf.DUMMYFUNCTION("""COMPUTED_VALUE"""),"Herman, Jim")</f>
        <v>Herman, Jim</v>
      </c>
      <c r="B371" t="str">
        <f ca="1">IFERROR(__xludf.DUMMYFUNCTION("""COMPUTED_VALUE"""),"United States")</f>
        <v>United States</v>
      </c>
    </row>
    <row r="372" spans="1:2" ht="12.75">
      <c r="A372" t="str">
        <f ca="1">IFERROR(__xludf.DUMMYFUNCTION("""COMPUTED_VALUE"""),"Herron, Tim")</f>
        <v>Herron, Tim</v>
      </c>
      <c r="B372" t="str">
        <f ca="1">IFERROR(__xludf.DUMMYFUNCTION("""COMPUTED_VALUE"""),"United States")</f>
        <v>United States</v>
      </c>
    </row>
    <row r="373" spans="1:2" ht="12.75">
      <c r="A373" t="str">
        <f ca="1">IFERROR(__xludf.DUMMYFUNCTION("""COMPUTED_VALUE"""),"Hickok, Kramer")</f>
        <v>Hickok, Kramer</v>
      </c>
      <c r="B373" t="str">
        <f ca="1">IFERROR(__xludf.DUMMYFUNCTION("""COMPUTED_VALUE"""),"United States")</f>
        <v>United States</v>
      </c>
    </row>
    <row r="374" spans="1:2" ht="12.75">
      <c r="A374" t="str">
        <f ca="1">IFERROR(__xludf.DUMMYFUNCTION("""COMPUTED_VALUE"""),"Hicks, Alexander")</f>
        <v>Hicks, Alexander</v>
      </c>
      <c r="B374" t="str">
        <f ca="1">IFERROR(__xludf.DUMMYFUNCTION("""COMPUTED_VALUE"""),"United States")</f>
        <v>United States</v>
      </c>
    </row>
    <row r="375" spans="1:2" ht="12.75">
      <c r="A375" t="str">
        <f ca="1">IFERROR(__xludf.DUMMYFUNCTION("""COMPUTED_VALUE"""),"Higa, Kazuki")</f>
        <v>Higa, Kazuki</v>
      </c>
      <c r="B375" t="str">
        <f ca="1">IFERROR(__xludf.DUMMYFUNCTION("""COMPUTED_VALUE"""),"Japan")</f>
        <v>Japan</v>
      </c>
    </row>
    <row r="376" spans="1:2" ht="12.75">
      <c r="A376" t="str">
        <f ca="1">IFERROR(__xludf.DUMMYFUNCTION("""COMPUTED_VALUE"""),"Higgo, Garrick")</f>
        <v>Higgo, Garrick</v>
      </c>
      <c r="B376" t="str">
        <f ca="1">IFERROR(__xludf.DUMMYFUNCTION("""COMPUTED_VALUE"""),"South Africa")</f>
        <v>South Africa</v>
      </c>
    </row>
    <row r="377" spans="1:2" ht="12.75">
      <c r="A377" t="str">
        <f ca="1">IFERROR(__xludf.DUMMYFUNCTION("""COMPUTED_VALUE"""),"Higgs, Harry")</f>
        <v>Higgs, Harry</v>
      </c>
      <c r="B377" t="str">
        <f ca="1">IFERROR(__xludf.DUMMYFUNCTION("""COMPUTED_VALUE"""),"United States")</f>
        <v>United States</v>
      </c>
    </row>
    <row r="378" spans="1:2" ht="12.75">
      <c r="A378" t="str">
        <f ca="1">IFERROR(__xludf.DUMMYFUNCTION("""COMPUTED_VALUE"""),"Hill, Calum")</f>
        <v>Hill, Calum</v>
      </c>
      <c r="B378" t="str">
        <f ca="1">IFERROR(__xludf.DUMMYFUNCTION("""COMPUTED_VALUE"""),"Scotland")</f>
        <v>Scotland</v>
      </c>
    </row>
    <row r="379" spans="1:2" ht="12.75">
      <c r="A379" t="str">
        <f ca="1">IFERROR(__xludf.DUMMYFUNCTION("""COMPUTED_VALUE"""),"Hill, Phillip")</f>
        <v>Hill, Phillip</v>
      </c>
      <c r="B379" t="str">
        <f ca="1">IFERROR(__xludf.DUMMYFUNCTION("""COMPUTED_VALUE"""),"United States")</f>
        <v>United States</v>
      </c>
    </row>
    <row r="380" spans="1:2" ht="12.75">
      <c r="A380" t="str">
        <f ca="1">IFERROR(__xludf.DUMMYFUNCTION("""COMPUTED_VALUE"""),"Hillier, Daniel")</f>
        <v>Hillier, Daniel</v>
      </c>
      <c r="B380" t="str">
        <f ca="1">IFERROR(__xludf.DUMMYFUNCTION("""COMPUTED_VALUE"""),"New Zealand")</f>
        <v>New Zealand</v>
      </c>
    </row>
    <row r="381" spans="1:2" ht="12.75">
      <c r="A381" t="str">
        <f ca="1">IFERROR(__xludf.DUMMYFUNCTION("""COMPUTED_VALUE"""),"Hoag, Bo")</f>
        <v>Hoag, Bo</v>
      </c>
      <c r="B381" t="str">
        <f ca="1">IFERROR(__xludf.DUMMYFUNCTION("""COMPUTED_VALUE"""),"United States")</f>
        <v>United States</v>
      </c>
    </row>
    <row r="382" spans="1:2" ht="12.75">
      <c r="A382" t="str">
        <f ca="1">IFERROR(__xludf.DUMMYFUNCTION("""COMPUTED_VALUE"""),"Hocknull, Craig")</f>
        <v>Hocknull, Craig</v>
      </c>
      <c r="B382" t="str">
        <f ca="1">IFERROR(__xludf.DUMMYFUNCTION("""COMPUTED_VALUE"""),"Australia")</f>
        <v>Australia</v>
      </c>
    </row>
    <row r="383" spans="1:2" ht="12.75">
      <c r="A383" t="str">
        <f ca="1">IFERROR(__xludf.DUMMYFUNCTION("""COMPUTED_VALUE"""),"Hodges, Lee")</f>
        <v>Hodges, Lee</v>
      </c>
      <c r="B383" t="str">
        <f ca="1">IFERROR(__xludf.DUMMYFUNCTION("""COMPUTED_VALUE"""),"United States")</f>
        <v>United States</v>
      </c>
    </row>
    <row r="384" spans="1:2" ht="12.75">
      <c r="A384" t="str">
        <f ca="1">IFERROR(__xludf.DUMMYFUNCTION("""COMPUTED_VALUE"""),"Hoey, Rico")</f>
        <v>Hoey, Rico</v>
      </c>
      <c r="B384" t="str">
        <f ca="1">IFERROR(__xludf.DUMMYFUNCTION("""COMPUTED_VALUE"""),"United States")</f>
        <v>United States</v>
      </c>
    </row>
    <row r="385" spans="1:2" ht="12.75">
      <c r="A385" t="str">
        <f ca="1">IFERROR(__xludf.DUMMYFUNCTION("""COMPUTED_VALUE"""),"Hoffman, Charley")</f>
        <v>Hoffman, Charley</v>
      </c>
      <c r="B385" t="str">
        <f ca="1">IFERROR(__xludf.DUMMYFUNCTION("""COMPUTED_VALUE"""),"United States")</f>
        <v>United States</v>
      </c>
    </row>
    <row r="386" spans="1:2" ht="12.75">
      <c r="A386" t="str">
        <f ca="1">IFERROR(__xludf.DUMMYFUNCTION("""COMPUTED_VALUE"""),"Hoffmann, Morgan")</f>
        <v>Hoffmann, Morgan</v>
      </c>
      <c r="B386" t="str">
        <f ca="1">IFERROR(__xludf.DUMMYFUNCTION("""COMPUTED_VALUE"""),"United States")</f>
        <v>United States</v>
      </c>
    </row>
    <row r="387" spans="1:2" ht="12.75">
      <c r="A387" t="str">
        <f ca="1">IFERROR(__xludf.DUMMYFUNCTION("""COMPUTED_VALUE"""),"Hogan, Kyle")</f>
        <v>Hogan, Kyle</v>
      </c>
      <c r="B387" t="str">
        <f ca="1">IFERROR(__xludf.DUMMYFUNCTION("""COMPUTED_VALUE"""),"United States")</f>
        <v>United States</v>
      </c>
    </row>
    <row r="388" spans="1:2" ht="12.75">
      <c r="A388" t="str">
        <f ca="1">IFERROR(__xludf.DUMMYFUNCTION("""COMPUTED_VALUE"""),"Hoge, Tom")</f>
        <v>Hoge, Tom</v>
      </c>
      <c r="B388" t="str">
        <f ca="1">IFERROR(__xludf.DUMMYFUNCTION("""COMPUTED_VALUE"""),"United States")</f>
        <v>United States</v>
      </c>
    </row>
    <row r="389" spans="1:2" ht="12.75">
      <c r="A389" t="str">
        <f ca="1">IFERROR(__xludf.DUMMYFUNCTION("""COMPUTED_VALUE"""),"Hogue, Ryan")</f>
        <v>Hogue, Ryan</v>
      </c>
      <c r="B389" t="str">
        <f ca="1">IFERROR(__xludf.DUMMYFUNCTION("""COMPUTED_VALUE"""),"United States")</f>
        <v>United States</v>
      </c>
    </row>
    <row r="390" spans="1:2" ht="12.75">
      <c r="A390" t="str">
        <f ca="1">IFERROR(__xludf.DUMMYFUNCTION("""COMPUTED_VALUE"""),"Hojgaard, Rasmus")</f>
        <v>Hojgaard, Rasmus</v>
      </c>
      <c r="B390" t="str">
        <f ca="1">IFERROR(__xludf.DUMMYFUNCTION("""COMPUTED_VALUE"""),"Denmark")</f>
        <v>Denmark</v>
      </c>
    </row>
    <row r="391" spans="1:2" ht="12.75">
      <c r="A391" t="str">
        <f ca="1">IFERROR(__xludf.DUMMYFUNCTION("""COMPUTED_VALUE"""),"Holmes, J.B.")</f>
        <v>Holmes, J.B.</v>
      </c>
      <c r="B391" t="str">
        <f ca="1">IFERROR(__xludf.DUMMYFUNCTION("""COMPUTED_VALUE"""),"United States")</f>
        <v>United States</v>
      </c>
    </row>
    <row r="392" spans="1:2" ht="12.75">
      <c r="A392" t="str">
        <f ca="1">IFERROR(__xludf.DUMMYFUNCTION("""COMPUTED_VALUE"""),"Homa, Max")</f>
        <v>Homa, Max</v>
      </c>
      <c r="B392" t="str">
        <f ca="1">IFERROR(__xludf.DUMMYFUNCTION("""COMPUTED_VALUE"""),"United States")</f>
        <v>United States</v>
      </c>
    </row>
    <row r="393" spans="1:2" ht="12.75">
      <c r="A393" t="str">
        <f ca="1">IFERROR(__xludf.DUMMYFUNCTION("""COMPUTED_VALUE"""),"Homan, Wes")</f>
        <v>Homan, Wes</v>
      </c>
      <c r="B393" t="str">
        <f ca="1">IFERROR(__xludf.DUMMYFUNCTION("""COMPUTED_VALUE"""),"United States")</f>
        <v>United States</v>
      </c>
    </row>
    <row r="394" spans="1:2" ht="12.75">
      <c r="A394" t="str">
        <f ca="1">IFERROR(__xludf.DUMMYFUNCTION("""COMPUTED_VALUE"""),"Hopper, Michael")</f>
        <v>Hopper, Michael</v>
      </c>
      <c r="B394" t="str">
        <f ca="1">IFERROR(__xludf.DUMMYFUNCTION("""COMPUTED_VALUE"""),"United States")</f>
        <v>United States</v>
      </c>
    </row>
    <row r="395" spans="1:2" ht="12.75">
      <c r="A395" t="str">
        <f ca="1">IFERROR(__xludf.DUMMYFUNCTION("""COMPUTED_VALUE"""),"Horikawa, Mikumu")</f>
        <v>Horikawa, Mikumu</v>
      </c>
      <c r="B395" t="str">
        <f ca="1">IFERROR(__xludf.DUMMYFUNCTION("""COMPUTED_VALUE"""),"Japan")</f>
        <v>Japan</v>
      </c>
    </row>
    <row r="396" spans="1:2" ht="12.75">
      <c r="A396" t="str">
        <f ca="1">IFERROR(__xludf.DUMMYFUNCTION("""COMPUTED_VALUE"""),"Horschel, Billy")</f>
        <v>Horschel, Billy</v>
      </c>
      <c r="B396" t="str">
        <f ca="1">IFERROR(__xludf.DUMMYFUNCTION("""COMPUTED_VALUE"""),"United States")</f>
        <v>United States</v>
      </c>
    </row>
    <row r="397" spans="1:2" ht="12.75">
      <c r="A397" t="str">
        <f ca="1">IFERROR(__xludf.DUMMYFUNCTION("""COMPUTED_VALUE"""),"Horsfield, Sam")</f>
        <v>Horsfield, Sam</v>
      </c>
      <c r="B397" t="str">
        <f ca="1">IFERROR(__xludf.DUMMYFUNCTION("""COMPUTED_VALUE"""),"England")</f>
        <v>England</v>
      </c>
    </row>
    <row r="398" spans="1:2" ht="12.75">
      <c r="A398" t="str">
        <f ca="1">IFERROR(__xludf.DUMMYFUNCTION("""COMPUTED_VALUE"""),"Hoshino, Rikuya")</f>
        <v>Hoshino, Rikuya</v>
      </c>
      <c r="B398" t="str">
        <f ca="1">IFERROR(__xludf.DUMMYFUNCTION("""COMPUTED_VALUE"""),"Japan")</f>
        <v>Japan</v>
      </c>
    </row>
    <row r="399" spans="1:2" ht="12.75">
      <c r="A399" t="str">
        <f ca="1">IFERROR(__xludf.DUMMYFUNCTION("""COMPUTED_VALUE"""),"Hossler, Beau")</f>
        <v>Hossler, Beau</v>
      </c>
      <c r="B399" t="str">
        <f ca="1">IFERROR(__xludf.DUMMYFUNCTION("""COMPUTED_VALUE"""),"United States")</f>
        <v>United States</v>
      </c>
    </row>
    <row r="400" spans="1:2" ht="12.75">
      <c r="A400" t="str">
        <f ca="1">IFERROR(__xludf.DUMMYFUNCTION("""COMPUTED_VALUE"""),"Houtteman, Lee")</f>
        <v>Houtteman, Lee</v>
      </c>
      <c r="B400" t="str">
        <f ca="1">IFERROR(__xludf.DUMMYFUNCTION("""COMPUTED_VALUE"""),"United States")</f>
        <v>United States</v>
      </c>
    </row>
    <row r="401" spans="1:2" ht="12.75">
      <c r="A401" t="str">
        <f ca="1">IFERROR(__xludf.DUMMYFUNCTION("""COMPUTED_VALUE"""),"Hovland, Viktor")</f>
        <v>Hovland, Viktor</v>
      </c>
      <c r="B401" t="str">
        <f ca="1">IFERROR(__xludf.DUMMYFUNCTION("""COMPUTED_VALUE"""),"Norway")</f>
        <v>Norway</v>
      </c>
    </row>
    <row r="402" spans="1:2" ht="12.75">
      <c r="A402" t="str">
        <f ca="1">IFERROR(__xludf.DUMMYFUNCTION("""COMPUTED_VALUE"""),"Howell III, Charles")</f>
        <v>Howell III, Charles</v>
      </c>
      <c r="B402" t="str">
        <f ca="1">IFERROR(__xludf.DUMMYFUNCTION("""COMPUTED_VALUE"""),"United States")</f>
        <v>United States</v>
      </c>
    </row>
    <row r="403" spans="1:2" ht="12.75">
      <c r="A403" t="str">
        <f ca="1">IFERROR(__xludf.DUMMYFUNCTION("""COMPUTED_VALUE"""),"Huang, Franklin")</f>
        <v>Huang, Franklin</v>
      </c>
      <c r="B403" t="str">
        <f ca="1">IFERROR(__xludf.DUMMYFUNCTION("""COMPUTED_VALUE"""),"United States")</f>
        <v>United States</v>
      </c>
    </row>
    <row r="404" spans="1:2" ht="12.75">
      <c r="A404" t="str">
        <f ca="1">IFERROR(__xludf.DUMMYFUNCTION("""COMPUTED_VALUE"""),"Hubbard, Mark")</f>
        <v>Hubbard, Mark</v>
      </c>
      <c r="B404" t="str">
        <f ca="1">IFERROR(__xludf.DUMMYFUNCTION("""COMPUTED_VALUE"""),"United States")</f>
        <v>United States</v>
      </c>
    </row>
    <row r="405" spans="1:2" ht="12.75">
      <c r="A405" t="str">
        <f ca="1">IFERROR(__xludf.DUMMYFUNCTION("""COMPUTED_VALUE"""),"Hughes, Mackenzie")</f>
        <v>Hughes, Mackenzie</v>
      </c>
      <c r="B405" t="str">
        <f ca="1">IFERROR(__xludf.DUMMYFUNCTION("""COMPUTED_VALUE"""),"Canada")</f>
        <v>Canada</v>
      </c>
    </row>
    <row r="406" spans="1:2" ht="12.75">
      <c r="A406" t="str">
        <f ca="1">IFERROR(__xludf.DUMMYFUNCTION("""COMPUTED_VALUE"""),"Huh, John")</f>
        <v>Huh, John</v>
      </c>
      <c r="B406" t="str">
        <f ca="1">IFERROR(__xludf.DUMMYFUNCTION("""COMPUTED_VALUE"""),"United States")</f>
        <v>United States</v>
      </c>
    </row>
    <row r="407" spans="1:2" ht="12.75">
      <c r="A407" t="str">
        <f ca="1">IFERROR(__xludf.DUMMYFUNCTION("""COMPUTED_VALUE"""),"Humphrey, Theo")</f>
        <v>Humphrey, Theo</v>
      </c>
      <c r="B407" t="str">
        <f ca="1">IFERROR(__xludf.DUMMYFUNCTION("""COMPUTED_VALUE"""),"United States")</f>
        <v>United States</v>
      </c>
    </row>
    <row r="408" spans="1:2" ht="12.75">
      <c r="A408" t="str">
        <f ca="1">IFERROR(__xludf.DUMMYFUNCTION("""COMPUTED_VALUE"""),"Hurley III, Billy")</f>
        <v>Hurley III, Billy</v>
      </c>
      <c r="B408" t="str">
        <f ca="1">IFERROR(__xludf.DUMMYFUNCTION("""COMPUTED_VALUE"""),"United States")</f>
        <v>United States</v>
      </c>
    </row>
    <row r="409" spans="1:2" ht="12.75">
      <c r="A409" t="str">
        <f ca="1">IFERROR(__xludf.DUMMYFUNCTION("""COMPUTED_VALUE"""),"Hutchins, Matt")</f>
        <v>Hutchins, Matt</v>
      </c>
      <c r="B409" t="str">
        <f ca="1">IFERROR(__xludf.DUMMYFUNCTION("""COMPUTED_VALUE"""),"United States")</f>
        <v>United States</v>
      </c>
    </row>
    <row r="410" spans="1:2" ht="12.75">
      <c r="A410" t="str">
        <f ca="1">IFERROR(__xludf.DUMMYFUNCTION("""COMPUTED_VALUE"""),"Hwang, Inn-choon")</f>
        <v>Hwang, Inn-choon</v>
      </c>
      <c r="B410" t="str">
        <f ca="1">IFERROR(__xludf.DUMMYFUNCTION("""COMPUTED_VALUE"""),"South Korea")</f>
        <v>South Korea</v>
      </c>
    </row>
    <row r="411" spans="1:2" ht="12.75">
      <c r="A411" t="str">
        <f ca="1">IFERROR(__xludf.DUMMYFUNCTION("""COMPUTED_VALUE"""),"Hwang, Jung-gon")</f>
        <v>Hwang, Jung-gon</v>
      </c>
      <c r="B411" t="str">
        <f ca="1">IFERROR(__xludf.DUMMYFUNCTION("""COMPUTED_VALUE"""),"South Korea")</f>
        <v>South Korea</v>
      </c>
    </row>
    <row r="412" spans="1:2" ht="12.75">
      <c r="A412" t="str">
        <f ca="1">IFERROR(__xludf.DUMMYFUNCTION("""COMPUTED_VALUE"""),"I")</f>
        <v>I</v>
      </c>
      <c r="B412" t="str">
        <f ca="1">IFERROR(__xludf.DUMMYFUNCTION("""COMPUTED_VALUE"""),"")</f>
        <v/>
      </c>
    </row>
    <row r="413" spans="1:2" ht="12.75">
      <c r="A413" t="str">
        <f ca="1">IFERROR(__xludf.DUMMYFUNCTION("""COMPUTED_VALUE"""),"NAME")</f>
        <v>NAME</v>
      </c>
      <c r="B413" t="str">
        <f ca="1">IFERROR(__xludf.DUMMYFUNCTION("""COMPUTED_VALUE"""),"COUNTRY")</f>
        <v>COUNTRY</v>
      </c>
    </row>
    <row r="414" spans="1:2" ht="12.75">
      <c r="A414" t="str">
        <f ca="1">IFERROR(__xludf.DUMMYFUNCTION("""COMPUTED_VALUE"""),"Ichihara, Kodai")</f>
        <v>Ichihara, Kodai</v>
      </c>
      <c r="B414" t="str">
        <f ca="1">IFERROR(__xludf.DUMMYFUNCTION("""COMPUTED_VALUE"""),"Japan")</f>
        <v>Japan</v>
      </c>
    </row>
    <row r="415" spans="1:2" ht="12.75">
      <c r="A415" t="str">
        <f ca="1">IFERROR(__xludf.DUMMYFUNCTION("""COMPUTED_VALUE"""),"Ikeda, Yuta")</f>
        <v>Ikeda, Yuta</v>
      </c>
      <c r="B415" t="str">
        <f ca="1">IFERROR(__xludf.DUMMYFUNCTION("""COMPUTED_VALUE"""),"Japan")</f>
        <v>Japan</v>
      </c>
    </row>
    <row r="416" spans="1:2" ht="12.75">
      <c r="A416" t="str">
        <f ca="1">IFERROR(__xludf.DUMMYFUNCTION("""COMPUTED_VALUE"""),"Ikemura, Tomoyo")</f>
        <v>Ikemura, Tomoyo</v>
      </c>
      <c r="B416" t="str">
        <f ca="1">IFERROR(__xludf.DUMMYFUNCTION("""COMPUTED_VALUE"""),"Japan")</f>
        <v>Japan</v>
      </c>
    </row>
    <row r="417" spans="1:2" ht="12.75">
      <c r="A417" t="str">
        <f ca="1">IFERROR(__xludf.DUMMYFUNCTION("""COMPUTED_VALUE"""),"Im, Sungjae")</f>
        <v>Im, Sungjae</v>
      </c>
      <c r="B417" t="str">
        <f ca="1">IFERROR(__xludf.DUMMYFUNCTION("""COMPUTED_VALUE"""),"South Korea")</f>
        <v>South Korea</v>
      </c>
    </row>
    <row r="418" spans="1:2" ht="12.75">
      <c r="A418" t="str">
        <f ca="1">IFERROR(__xludf.DUMMYFUNCTION("""COMPUTED_VALUE"""),"Imahira, Shugo")</f>
        <v>Imahira, Shugo</v>
      </c>
      <c r="B418" t="str">
        <f ca="1">IFERROR(__xludf.DUMMYFUNCTION("""COMPUTED_VALUE"""),"Japan")</f>
        <v>Japan</v>
      </c>
    </row>
    <row r="419" spans="1:2" ht="12.75">
      <c r="A419" t="str">
        <f ca="1">IFERROR(__xludf.DUMMYFUNCTION("""COMPUTED_VALUE"""),"Immelman, Trevor")</f>
        <v>Immelman, Trevor</v>
      </c>
      <c r="B419" t="str">
        <f ca="1">IFERROR(__xludf.DUMMYFUNCTION("""COMPUTED_VALUE"""),"South Africa")</f>
        <v>South Africa</v>
      </c>
    </row>
    <row r="420" spans="1:2" ht="12.75">
      <c r="A420" t="str">
        <f ca="1">IFERROR(__xludf.DUMMYFUNCTION("""COMPUTED_VALUE"""),"Inamori, Yuki")</f>
        <v>Inamori, Yuki</v>
      </c>
      <c r="B420" t="str">
        <f ca="1">IFERROR(__xludf.DUMMYFUNCTION("""COMPUTED_VALUE"""),"Japan")</f>
        <v>Japan</v>
      </c>
    </row>
    <row r="421" spans="1:2" ht="12.75">
      <c r="A421" t="str">
        <f ca="1">IFERROR(__xludf.DUMMYFUNCTION("""COMPUTED_VALUE"""),"Ishikawa, Ryo")</f>
        <v>Ishikawa, Ryo</v>
      </c>
      <c r="B421" t="str">
        <f ca="1">IFERROR(__xludf.DUMMYFUNCTION("""COMPUTED_VALUE"""),"Japan")</f>
        <v>Japan</v>
      </c>
    </row>
    <row r="422" spans="1:2" ht="12.75">
      <c r="A422" t="str">
        <f ca="1">IFERROR(__xludf.DUMMYFUNCTION("""COMPUTED_VALUE"""),"J")</f>
        <v>J</v>
      </c>
      <c r="B422" t="str">
        <f ca="1">IFERROR(__xludf.DUMMYFUNCTION("""COMPUTED_VALUE"""),"")</f>
        <v/>
      </c>
    </row>
    <row r="423" spans="1:2" ht="12.75">
      <c r="A423" t="str">
        <f ca="1">IFERROR(__xludf.DUMMYFUNCTION("""COMPUTED_VALUE"""),"NAME")</f>
        <v>NAME</v>
      </c>
      <c r="B423" t="str">
        <f ca="1">IFERROR(__xludf.DUMMYFUNCTION("""COMPUTED_VALUE"""),"COUNTRY")</f>
        <v>COUNTRY</v>
      </c>
    </row>
    <row r="424" spans="1:2" ht="12.75">
      <c r="A424" t="str">
        <f ca="1">IFERROR(__xludf.DUMMYFUNCTION("""COMPUTED_VALUE"""),"Jackson, Isaiah")</f>
        <v>Jackson, Isaiah</v>
      </c>
      <c r="B424" t="str">
        <f ca="1">IFERROR(__xludf.DUMMYFUNCTION("""COMPUTED_VALUE"""),"United States")</f>
        <v>United States</v>
      </c>
    </row>
    <row r="425" spans="1:2" ht="12.75">
      <c r="A425" t="str">
        <f ca="1">IFERROR(__xludf.DUMMYFUNCTION("""COMPUTED_VALUE"""),"Jacobson, Freddie")</f>
        <v>Jacobson, Freddie</v>
      </c>
      <c r="B425" t="str">
        <f ca="1">IFERROR(__xludf.DUMMYFUNCTION("""COMPUTED_VALUE"""),"Sweden")</f>
        <v>Sweden</v>
      </c>
    </row>
    <row r="426" spans="1:2" ht="12.75">
      <c r="A426" t="str">
        <f ca="1">IFERROR(__xludf.DUMMYFUNCTION("""COMPUTED_VALUE"""),"Jaeger, Stephan")</f>
        <v>Jaeger, Stephan</v>
      </c>
      <c r="B426" t="str">
        <f ca="1">IFERROR(__xludf.DUMMYFUNCTION("""COMPUTED_VALUE"""),"Germany")</f>
        <v>Germany</v>
      </c>
    </row>
    <row r="427" spans="1:2" ht="12.75">
      <c r="A427" t="str">
        <f ca="1">IFERROR(__xludf.DUMMYFUNCTION("""COMPUTED_VALUE"""),"Janewattananond, Jazz")</f>
        <v>Janewattananond, Jazz</v>
      </c>
      <c r="B427" t="str">
        <f ca="1">IFERROR(__xludf.DUMMYFUNCTION("""COMPUTED_VALUE"""),"Thailand")</f>
        <v>Thailand</v>
      </c>
    </row>
    <row r="428" spans="1:2" ht="12.75">
      <c r="A428" t="str">
        <f ca="1">IFERROR(__xludf.DUMMYFUNCTION("""COMPUTED_VALUE"""),"Janewattananond, Jazz")</f>
        <v>Janewattananond, Jazz</v>
      </c>
      <c r="B428" t="str">
        <f ca="1">IFERROR(__xludf.DUMMYFUNCTION("""COMPUTED_VALUE"""),"Thailand")</f>
        <v>Thailand</v>
      </c>
    </row>
    <row r="429" spans="1:2" ht="12.75">
      <c r="A429" t="str">
        <f ca="1">IFERROR(__xludf.DUMMYFUNCTION("""COMPUTED_VALUE"""),"Jang, Dong-Kyu")</f>
        <v>Jang, Dong-Kyu</v>
      </c>
      <c r="B429" t="str">
        <f ca="1">IFERROR(__xludf.DUMMYFUNCTION("""COMPUTED_VALUE"""),"South Korea")</f>
        <v>South Korea</v>
      </c>
    </row>
    <row r="430" spans="1:2" ht="12.75">
      <c r="A430" t="str">
        <f ca="1">IFERROR(__xludf.DUMMYFUNCTION("""COMPUTED_VALUE"""),"Jertson, Marty")</f>
        <v>Jertson, Marty</v>
      </c>
      <c r="B430" t="str">
        <f ca="1">IFERROR(__xludf.DUMMYFUNCTION("""COMPUTED_VALUE"""),"United States")</f>
        <v>United States</v>
      </c>
    </row>
    <row r="431" spans="1:2" ht="12.75">
      <c r="A431" t="str">
        <f ca="1">IFERROR(__xludf.DUMMYFUNCTION("""COMPUTED_VALUE"""),"Jimenez, Miguel Angel")</f>
        <v>Jimenez, Miguel Angel</v>
      </c>
      <c r="B431" t="str">
        <f ca="1">IFERROR(__xludf.DUMMYFUNCTION("""COMPUTED_VALUE"""),"Spain")</f>
        <v>Spain</v>
      </c>
    </row>
    <row r="432" spans="1:2" ht="12.75">
      <c r="A432" t="str">
        <f ca="1">IFERROR(__xludf.DUMMYFUNCTION("""COMPUTED_VALUE"""),"Johnson, Dustin")</f>
        <v>Johnson, Dustin</v>
      </c>
      <c r="B432" t="str">
        <f ca="1">IFERROR(__xludf.DUMMYFUNCTION("""COMPUTED_VALUE"""),"United States")</f>
        <v>United States</v>
      </c>
    </row>
    <row r="433" spans="1:2" ht="12.75">
      <c r="A433" t="str">
        <f ca="1">IFERROR(__xludf.DUMMYFUNCTION("""COMPUTED_VALUE"""),"Johnson, Zach")</f>
        <v>Johnson, Zach</v>
      </c>
      <c r="B433" t="str">
        <f ca="1">IFERROR(__xludf.DUMMYFUNCTION("""COMPUTED_VALUE"""),"United States")</f>
        <v>United States</v>
      </c>
    </row>
    <row r="434" spans="1:2" ht="12.75">
      <c r="A434" t="str">
        <f ca="1">IFERROR(__xludf.DUMMYFUNCTION("""COMPUTED_VALUE"""),"Johnston, Andrew")</f>
        <v>Johnston, Andrew</v>
      </c>
      <c r="B434" t="str">
        <f ca="1">IFERROR(__xludf.DUMMYFUNCTION("""COMPUTED_VALUE"""),"England")</f>
        <v>England</v>
      </c>
    </row>
    <row r="435" spans="1:2" ht="12.75">
      <c r="A435" t="str">
        <f ca="1">IFERROR(__xludf.DUMMYFUNCTION("""COMPUTED_VALUE"""),"Jones, Brendan")</f>
        <v>Jones, Brendan</v>
      </c>
      <c r="B435" t="str">
        <f ca="1">IFERROR(__xludf.DUMMYFUNCTION("""COMPUTED_VALUE"""),"Australia")</f>
        <v>Australia</v>
      </c>
    </row>
    <row r="436" spans="1:2" ht="12.75">
      <c r="A436" t="str">
        <f ca="1">IFERROR(__xludf.DUMMYFUNCTION("""COMPUTED_VALUE"""),"Jones, Kyle")</f>
        <v>Jones, Kyle</v>
      </c>
      <c r="B436" t="str">
        <f ca="1">IFERROR(__xludf.DUMMYFUNCTION("""COMPUTED_VALUE"""),"United States")</f>
        <v>United States</v>
      </c>
    </row>
    <row r="437" spans="1:2" ht="12.75">
      <c r="A437" t="str">
        <f ca="1">IFERROR(__xludf.DUMMYFUNCTION("""COMPUTED_VALUE"""),"Jones, Matt")</f>
        <v>Jones, Matt</v>
      </c>
      <c r="B437" t="str">
        <f ca="1">IFERROR(__xludf.DUMMYFUNCTION("""COMPUTED_VALUE"""),"Australia")</f>
        <v>Australia</v>
      </c>
    </row>
    <row r="438" spans="1:2" ht="12.75">
      <c r="A438" t="str">
        <f ca="1">IFERROR(__xludf.DUMMYFUNCTION("""COMPUTED_VALUE"""),"Jones, Peter")</f>
        <v>Jones, Peter</v>
      </c>
      <c r="B438" t="str">
        <f ca="1">IFERROR(__xludf.DUMMYFUNCTION("""COMPUTED_VALUE"""),"England")</f>
        <v>England</v>
      </c>
    </row>
    <row r="439" spans="1:2" ht="12.75">
      <c r="A439" t="str">
        <f ca="1">IFERROR(__xludf.DUMMYFUNCTION("""COMPUTED_VALUE"""),"Jones, Steve")</f>
        <v>Jones, Steve</v>
      </c>
      <c r="B439" t="str">
        <f ca="1">IFERROR(__xludf.DUMMYFUNCTION("""COMPUTED_VALUE"""),"United States")</f>
        <v>United States</v>
      </c>
    </row>
    <row r="440" spans="1:2" ht="12.75">
      <c r="A440" t="str">
        <f ca="1">IFERROR(__xludf.DUMMYFUNCTION("""COMPUTED_VALUE"""),"Jude, Davey")</f>
        <v>Jude, Davey</v>
      </c>
      <c r="B440" t="str">
        <f ca="1">IFERROR(__xludf.DUMMYFUNCTION("""COMPUTED_VALUE"""),"United States")</f>
        <v>United States</v>
      </c>
    </row>
    <row r="441" spans="1:2" ht="12.75">
      <c r="A441" t="str">
        <f ca="1">IFERROR(__xludf.DUMMYFUNCTION("""COMPUTED_VALUE"""),"Jung, Peter")</f>
        <v>Jung, Peter</v>
      </c>
      <c r="B441" t="str">
        <f ca="1">IFERROR(__xludf.DUMMYFUNCTION("""COMPUTED_VALUE"""),"United States")</f>
        <v>United States</v>
      </c>
    </row>
    <row r="442" spans="1:2" ht="12.75">
      <c r="A442" t="str">
        <f ca="1">IFERROR(__xludf.DUMMYFUNCTION("""COMPUTED_VALUE"""),"Jung, Richard")</f>
        <v>Jung, Richard</v>
      </c>
      <c r="B442" t="str">
        <f ca="1">IFERROR(__xludf.DUMMYFUNCTION("""COMPUTED_VALUE"""),"Canada")</f>
        <v>Canada</v>
      </c>
    </row>
    <row r="443" spans="1:2" ht="12.75">
      <c r="A443" t="str">
        <f ca="1">IFERROR(__xludf.DUMMYFUNCTION("""COMPUTED_VALUE"""),"Juntavara, Ratchapol")</f>
        <v>Juntavara, Ratchapol</v>
      </c>
      <c r="B443" t="str">
        <f ca="1">IFERROR(__xludf.DUMMYFUNCTION("""COMPUTED_VALUE"""),"Thailand")</f>
        <v>Thailand</v>
      </c>
    </row>
    <row r="444" spans="1:2" ht="12.75">
      <c r="A444" t="str">
        <f ca="1">IFERROR(__xludf.DUMMYFUNCTION("""COMPUTED_VALUE"""),"Justice, Grover")</f>
        <v>Justice, Grover</v>
      </c>
      <c r="B444" t="str">
        <f ca="1">IFERROR(__xludf.DUMMYFUNCTION("""COMPUTED_VALUE"""),"United States")</f>
        <v>United States</v>
      </c>
    </row>
    <row r="445" spans="1:2" ht="12.75">
      <c r="A445" t="str">
        <f ca="1">IFERROR(__xludf.DUMMYFUNCTION("""COMPUTED_VALUE"""),"K")</f>
        <v>K</v>
      </c>
      <c r="B445" t="str">
        <f ca="1">IFERROR(__xludf.DUMMYFUNCTION("""COMPUTED_VALUE"""),"")</f>
        <v/>
      </c>
    </row>
    <row r="446" spans="1:2" ht="12.75">
      <c r="A446" t="str">
        <f ca="1">IFERROR(__xludf.DUMMYFUNCTION("""COMPUTED_VALUE"""),"NAME")</f>
        <v>NAME</v>
      </c>
      <c r="B446" t="str">
        <f ca="1">IFERROR(__xludf.DUMMYFUNCTION("""COMPUTED_VALUE"""),"COUNTRY")</f>
        <v>COUNTRY</v>
      </c>
    </row>
    <row r="447" spans="1:2" ht="12.75">
      <c r="A447" t="str">
        <f ca="1">IFERROR(__xludf.DUMMYFUNCTION("""COMPUTED_VALUE"""),"Kanaya, Takumi")</f>
        <v>Kanaya, Takumi</v>
      </c>
      <c r="B447" t="str">
        <f ca="1">IFERROR(__xludf.DUMMYFUNCTION("""COMPUTED_VALUE"""),"Japan")</f>
        <v>Japan</v>
      </c>
    </row>
    <row r="448" spans="1:2" ht="12.75">
      <c r="A448" t="str">
        <f ca="1">IFERROR(__xludf.DUMMYFUNCTION("""COMPUTED_VALUE"""),"Kang, Alex")</f>
        <v>Kang, Alex</v>
      </c>
      <c r="B448" t="str">
        <f ca="1">IFERROR(__xludf.DUMMYFUNCTION("""COMPUTED_VALUE"""),"United States")</f>
        <v>United States</v>
      </c>
    </row>
    <row r="449" spans="1:2" ht="12.75">
      <c r="A449" t="str">
        <f ca="1">IFERROR(__xludf.DUMMYFUNCTION("""COMPUTED_VALUE"""),"Kang, Sung")</f>
        <v>Kang, Sung</v>
      </c>
      <c r="B449" t="str">
        <f ca="1">IFERROR(__xludf.DUMMYFUNCTION("""COMPUTED_VALUE"""),"South Korea")</f>
        <v>South Korea</v>
      </c>
    </row>
    <row r="450" spans="1:2" ht="12.75">
      <c r="A450" t="str">
        <f ca="1">IFERROR(__xludf.DUMMYFUNCTION("""COMPUTED_VALUE"""),"Kartrude, Michael")</f>
        <v>Kartrude, Michael</v>
      </c>
      <c r="B450" t="str">
        <f ca="1">IFERROR(__xludf.DUMMYFUNCTION("""COMPUTED_VALUE"""),"United States")</f>
        <v>United States</v>
      </c>
    </row>
    <row r="451" spans="1:2" ht="12.75">
      <c r="A451" t="str">
        <f ca="1">IFERROR(__xludf.DUMMYFUNCTION("""COMPUTED_VALUE"""),"Kaufman, Smylie")</f>
        <v>Kaufman, Smylie</v>
      </c>
      <c r="B451" t="str">
        <f ca="1">IFERROR(__xludf.DUMMYFUNCTION("""COMPUTED_VALUE"""),"United States")</f>
        <v>United States</v>
      </c>
    </row>
    <row r="452" spans="1:2" ht="12.75">
      <c r="A452" t="str">
        <f ca="1">IFERROR(__xludf.DUMMYFUNCTION("""COMPUTED_VALUE"""),"Kawamoto, Riki")</f>
        <v>Kawamoto, Riki</v>
      </c>
      <c r="B452" t="str">
        <f ca="1">IFERROR(__xludf.DUMMYFUNCTION("""COMPUTED_VALUE"""),"")</f>
        <v/>
      </c>
    </row>
    <row r="453" spans="1:2" ht="12.75">
      <c r="A453" t="str">
        <f ca="1">IFERROR(__xludf.DUMMYFUNCTION("""COMPUTED_VALUE"""),"Kawamura, Masahiro")</f>
        <v>Kawamura, Masahiro</v>
      </c>
      <c r="B453" t="str">
        <f ca="1">IFERROR(__xludf.DUMMYFUNCTION("""COMPUTED_VALUE"""),"Japan")</f>
        <v>Japan</v>
      </c>
    </row>
    <row r="454" spans="1:2" ht="12.75">
      <c r="A454" t="str">
        <f ca="1">IFERROR(__xludf.DUMMYFUNCTION("""COMPUTED_VALUE"""),"Kaye, Jonathan")</f>
        <v>Kaye, Jonathan</v>
      </c>
      <c r="B454" t="str">
        <f ca="1">IFERROR(__xludf.DUMMYFUNCTION("""COMPUTED_VALUE"""),"United States")</f>
        <v>United States</v>
      </c>
    </row>
    <row r="455" spans="1:2" ht="12.75">
      <c r="A455" t="str">
        <f ca="1">IFERROR(__xludf.DUMMYFUNCTION("""COMPUTED_VALUE"""),"Kaymer, Martin")</f>
        <v>Kaymer, Martin</v>
      </c>
      <c r="B455" t="str">
        <f ca="1">IFERROR(__xludf.DUMMYFUNCTION("""COMPUTED_VALUE"""),"Germany")</f>
        <v>Germany</v>
      </c>
    </row>
    <row r="456" spans="1:2" ht="12.75">
      <c r="A456" t="str">
        <f ca="1">IFERROR(__xludf.DUMMYFUNCTION("""COMPUTED_VALUE"""),"Kelly, Jerry")</f>
        <v>Kelly, Jerry</v>
      </c>
      <c r="B456" t="str">
        <f ca="1">IFERROR(__xludf.DUMMYFUNCTION("""COMPUTED_VALUE"""),"United States")</f>
        <v>United States</v>
      </c>
    </row>
    <row r="457" spans="1:2" ht="12.75">
      <c r="A457" t="str">
        <f ca="1">IFERROR(__xludf.DUMMYFUNCTION("""COMPUTED_VALUE"""),"Kern, Ben")</f>
        <v>Kern, Ben</v>
      </c>
      <c r="B457" t="str">
        <f ca="1">IFERROR(__xludf.DUMMYFUNCTION("""COMPUTED_VALUE"""),"United States")</f>
        <v>United States</v>
      </c>
    </row>
    <row r="458" spans="1:2" ht="12.75">
      <c r="A458" t="str">
        <f ca="1">IFERROR(__xludf.DUMMYFUNCTION("""COMPUTED_VALUE"""),"Kim, Chan")</f>
        <v>Kim, Chan</v>
      </c>
      <c r="B458" t="str">
        <f ca="1">IFERROR(__xludf.DUMMYFUNCTION("""COMPUTED_VALUE"""),"United States")</f>
        <v>United States</v>
      </c>
    </row>
    <row r="459" spans="1:2" ht="12.75">
      <c r="A459" t="str">
        <f ca="1">IFERROR(__xludf.DUMMYFUNCTION("""COMPUTED_VALUE"""),"Kim, Hanbyeol")</f>
        <v>Kim, Hanbyeol</v>
      </c>
      <c r="B459" t="str">
        <f ca="1">IFERROR(__xludf.DUMMYFUNCTION("""COMPUTED_VALUE"""),"South Korea")</f>
        <v>South Korea</v>
      </c>
    </row>
    <row r="460" spans="1:2" ht="12.75">
      <c r="A460" t="str">
        <f ca="1">IFERROR(__xludf.DUMMYFUNCTION("""COMPUTED_VALUE"""),"Kim, Hyung-Sung")</f>
        <v>Kim, Hyung-Sung</v>
      </c>
      <c r="B460" t="str">
        <f ca="1">IFERROR(__xludf.DUMMYFUNCTION("""COMPUTED_VALUE"""),"South Korea")</f>
        <v>South Korea</v>
      </c>
    </row>
    <row r="461" spans="1:2" ht="12.75">
      <c r="A461" t="str">
        <f ca="1">IFERROR(__xludf.DUMMYFUNCTION("""COMPUTED_VALUE"""),"Kim, Joohyung")</f>
        <v>Kim, Joohyung</v>
      </c>
      <c r="B461" t="str">
        <f ca="1">IFERROR(__xludf.DUMMYFUNCTION("""COMPUTED_VALUE"""),"South Korea")</f>
        <v>South Korea</v>
      </c>
    </row>
    <row r="462" spans="1:2" ht="12.75">
      <c r="A462" t="str">
        <f ca="1">IFERROR(__xludf.DUMMYFUNCTION("""COMPUTED_VALUE"""),"Kim, Justin YW")</f>
        <v>Kim, Justin YW</v>
      </c>
      <c r="B462" t="str">
        <f ca="1">IFERROR(__xludf.DUMMYFUNCTION("""COMPUTED_VALUE"""),"Canada")</f>
        <v>Canada</v>
      </c>
    </row>
    <row r="463" spans="1:2" ht="12.75">
      <c r="A463" t="str">
        <f ca="1">IFERROR(__xludf.DUMMYFUNCTION("""COMPUTED_VALUE"""),"Kim, Kyung-tae")</f>
        <v>Kim, Kyung-tae</v>
      </c>
      <c r="B463" t="str">
        <f ca="1">IFERROR(__xludf.DUMMYFUNCTION("""COMPUTED_VALUE"""),"South Korea")</f>
        <v>South Korea</v>
      </c>
    </row>
    <row r="464" spans="1:2" ht="12.75">
      <c r="A464" t="str">
        <f ca="1">IFERROR(__xludf.DUMMYFUNCTION("""COMPUTED_VALUE"""),"Kim, Leun-Kwang")</f>
        <v>Kim, Leun-Kwang</v>
      </c>
      <c r="B464" t="str">
        <f ca="1">IFERROR(__xludf.DUMMYFUNCTION("""COMPUTED_VALUE"""),"Malaysia")</f>
        <v>Malaysia</v>
      </c>
    </row>
    <row r="465" spans="1:2" ht="12.75">
      <c r="A465" t="str">
        <f ca="1">IFERROR(__xludf.DUMMYFUNCTION("""COMPUTED_VALUE"""),"Kim, Michael")</f>
        <v>Kim, Michael</v>
      </c>
      <c r="B465" t="str">
        <f ca="1">IFERROR(__xludf.DUMMYFUNCTION("""COMPUTED_VALUE"""),"United States")</f>
        <v>United States</v>
      </c>
    </row>
    <row r="466" spans="1:2" ht="12.75">
      <c r="A466" t="str">
        <f ca="1">IFERROR(__xludf.DUMMYFUNCTION("""COMPUTED_VALUE"""),"Kim, Seonghyeon")</f>
        <v>Kim, Seonghyeon</v>
      </c>
      <c r="B466" t="str">
        <f ca="1">IFERROR(__xludf.DUMMYFUNCTION("""COMPUTED_VALUE"""),"South Korea")</f>
        <v>South Korea</v>
      </c>
    </row>
    <row r="467" spans="1:2" ht="12.75">
      <c r="A467" t="str">
        <f ca="1">IFERROR(__xludf.DUMMYFUNCTION("""COMPUTED_VALUE"""),"Kim, Seunghyuk")</f>
        <v>Kim, Seunghyuk</v>
      </c>
      <c r="B467" t="str">
        <f ca="1">IFERROR(__xludf.DUMMYFUNCTION("""COMPUTED_VALUE"""),"South Korea")</f>
        <v>South Korea</v>
      </c>
    </row>
    <row r="468" spans="1:2" ht="12.75">
      <c r="A468" t="str">
        <f ca="1">IFERROR(__xludf.DUMMYFUNCTION("""COMPUTED_VALUE"""),"Kim, Si Woo")</f>
        <v>Kim, Si Woo</v>
      </c>
      <c r="B468" t="str">
        <f ca="1">IFERROR(__xludf.DUMMYFUNCTION("""COMPUTED_VALUE"""),"South Korea")</f>
        <v>South Korea</v>
      </c>
    </row>
    <row r="469" spans="1:2" ht="12.75">
      <c r="A469" t="str">
        <f ca="1">IFERROR(__xludf.DUMMYFUNCTION("""COMPUTED_VALUE"""),"Kim, Sihwan")</f>
        <v>Kim, Sihwan</v>
      </c>
      <c r="B469" t="str">
        <f ca="1">IFERROR(__xludf.DUMMYFUNCTION("""COMPUTED_VALUE"""),"United States")</f>
        <v>United States</v>
      </c>
    </row>
    <row r="470" spans="1:2" ht="12.75">
      <c r="A470" t="str">
        <f ca="1">IFERROR(__xludf.DUMMYFUNCTION("""COMPUTED_VALUE"""),"Kim, Tae-hoon")</f>
        <v>Kim, Tae-hoon</v>
      </c>
      <c r="B470" t="str">
        <f ca="1">IFERROR(__xludf.DUMMYFUNCTION("""COMPUTED_VALUE"""),"South Korea")</f>
        <v>South Korea</v>
      </c>
    </row>
    <row r="471" spans="1:2" ht="12.75">
      <c r="A471" t="str">
        <f ca="1">IFERROR(__xludf.DUMMYFUNCTION("""COMPUTED_VALUE"""),"Kim, Whee")</f>
        <v>Kim, Whee</v>
      </c>
      <c r="B471" t="str">
        <f ca="1">IFERROR(__xludf.DUMMYFUNCTION("""COMPUTED_VALUE"""),"South Korea")</f>
        <v>South Korea</v>
      </c>
    </row>
    <row r="472" spans="1:2" ht="12.75">
      <c r="A472" t="str">
        <f ca="1">IFERROR(__xludf.DUMMYFUNCTION("""COMPUTED_VALUE"""),"Kinhult, Marcus")</f>
        <v>Kinhult, Marcus</v>
      </c>
      <c r="B472" t="str">
        <f ca="1">IFERROR(__xludf.DUMMYFUNCTION("""COMPUTED_VALUE"""),"Sweden")</f>
        <v>Sweden</v>
      </c>
    </row>
    <row r="473" spans="1:2" ht="12.75">
      <c r="A473" t="str">
        <f ca="1">IFERROR(__xludf.DUMMYFUNCTION("""COMPUTED_VALUE"""),"Kirk, Chris")</f>
        <v>Kirk, Chris</v>
      </c>
      <c r="B473" t="str">
        <f ca="1">IFERROR(__xludf.DUMMYFUNCTION("""COMPUTED_VALUE"""),"United States")</f>
        <v>United States</v>
      </c>
    </row>
    <row r="474" spans="1:2" ht="12.75">
      <c r="A474" t="str">
        <f ca="1">IFERROR(__xludf.DUMMYFUNCTION("""COMPUTED_VALUE"""),"Kisner, Kevin")</f>
        <v>Kisner, Kevin</v>
      </c>
      <c r="B474" t="str">
        <f ca="1">IFERROR(__xludf.DUMMYFUNCTION("""COMPUTED_VALUE"""),"United States")</f>
        <v>United States</v>
      </c>
    </row>
    <row r="475" spans="1:2" ht="12.75">
      <c r="A475" t="str">
        <f ca="1">IFERROR(__xludf.DUMMYFUNCTION("""COMPUTED_VALUE"""),"Kitayama, Kurt")</f>
        <v>Kitayama, Kurt</v>
      </c>
      <c r="B475" t="str">
        <f ca="1">IFERROR(__xludf.DUMMYFUNCTION("""COMPUTED_VALUE"""),"United States")</f>
        <v>United States</v>
      </c>
    </row>
    <row r="476" spans="1:2" ht="12.75">
      <c r="A476" t="str">
        <f ca="1">IFERROR(__xludf.DUMMYFUNCTION("""COMPUTED_VALUE"""),"Kizzire, Patton")</f>
        <v>Kizzire, Patton</v>
      </c>
      <c r="B476" t="str">
        <f ca="1">IFERROR(__xludf.DUMMYFUNCTION("""COMPUTED_VALUE"""),"United States")</f>
        <v>United States</v>
      </c>
    </row>
    <row r="477" spans="1:2" ht="12.75">
      <c r="A477" t="str">
        <f ca="1">IFERROR(__xludf.DUMMYFUNCTION("""COMPUTED_VALUE"""),"Knapp, Jake")</f>
        <v>Knapp, Jake</v>
      </c>
      <c r="B477" t="str">
        <f ca="1">IFERROR(__xludf.DUMMYFUNCTION("""COMPUTED_VALUE"""),"United States")</f>
        <v>United States</v>
      </c>
    </row>
    <row r="478" spans="1:2" ht="12.75">
      <c r="A478" t="str">
        <f ca="1">IFERROR(__xludf.DUMMYFUNCTION("""COMPUTED_VALUE"""),"Knipes, Curtis")</f>
        <v>Knipes, Curtis</v>
      </c>
      <c r="B478" t="str">
        <f ca="1">IFERROR(__xludf.DUMMYFUNCTION("""COMPUTED_VALUE"""),"England")</f>
        <v>England</v>
      </c>
    </row>
    <row r="479" spans="1:2" ht="12.75">
      <c r="A479" t="str">
        <f ca="1">IFERROR(__xludf.DUMMYFUNCTION("""COMPUTED_VALUE"""),"Knoll, Alex")</f>
        <v>Knoll, Alex</v>
      </c>
      <c r="B479" t="str">
        <f ca="1">IFERROR(__xludf.DUMMYFUNCTION("""COMPUTED_VALUE"""),"United States")</f>
        <v>United States</v>
      </c>
    </row>
    <row r="480" spans="1:2" ht="12.75">
      <c r="A480" t="str">
        <f ca="1">IFERROR(__xludf.DUMMYFUNCTION("""COMPUTED_VALUE"""),"Knost, Colt")</f>
        <v>Knost, Colt</v>
      </c>
      <c r="B480" t="str">
        <f ca="1">IFERROR(__xludf.DUMMYFUNCTION("""COMPUTED_VALUE"""),"United States")</f>
        <v>United States</v>
      </c>
    </row>
    <row r="481" spans="1:2" ht="12.75">
      <c r="A481" t="str">
        <f ca="1">IFERROR(__xludf.DUMMYFUNCTION("""COMPUTED_VALUE"""),"Knous, Jim")</f>
        <v>Knous, Jim</v>
      </c>
      <c r="B481" t="str">
        <f ca="1">IFERROR(__xludf.DUMMYFUNCTION("""COMPUTED_VALUE"""),"United States")</f>
        <v>United States</v>
      </c>
    </row>
    <row r="482" spans="1:2" ht="12.75">
      <c r="A482" t="str">
        <f ca="1">IFERROR(__xludf.DUMMYFUNCTION("""COMPUTED_VALUE"""),"Knox, Russell")</f>
        <v>Knox, Russell</v>
      </c>
      <c r="B482" t="str">
        <f ca="1">IFERROR(__xludf.DUMMYFUNCTION("""COMPUTED_VALUE"""),"Scotland")</f>
        <v>Scotland</v>
      </c>
    </row>
    <row r="483" spans="1:2" ht="12.75">
      <c r="A483" t="str">
        <f ca="1">IFERROR(__xludf.DUMMYFUNCTION("""COMPUTED_VALUE"""),"Kobayashi, Masanori")</f>
        <v>Kobayashi, Masanori</v>
      </c>
      <c r="B483" t="str">
        <f ca="1">IFERROR(__xludf.DUMMYFUNCTION("""COMPUTED_VALUE"""),"Japan")</f>
        <v>Japan</v>
      </c>
    </row>
    <row r="484" spans="1:2" ht="12.75">
      <c r="A484" t="str">
        <f ca="1">IFERROR(__xludf.DUMMYFUNCTION("""COMPUTED_VALUE"""),"Kodai, Tatsuya")</f>
        <v>Kodai, Tatsuya</v>
      </c>
      <c r="B484" t="str">
        <f ca="1">IFERROR(__xludf.DUMMYFUNCTION("""COMPUTED_VALUE"""),"Japan")</f>
        <v>Japan</v>
      </c>
    </row>
    <row r="485" spans="1:2" ht="12.75">
      <c r="A485" t="str">
        <f ca="1">IFERROR(__xludf.DUMMYFUNCTION("""COMPUTED_VALUE"""),"Kodaira, Satoshi")</f>
        <v>Kodaira, Satoshi</v>
      </c>
      <c r="B485" t="str">
        <f ca="1">IFERROR(__xludf.DUMMYFUNCTION("""COMPUTED_VALUE"""),"Japan")</f>
        <v>Japan</v>
      </c>
    </row>
    <row r="486" spans="1:2" ht="12.75">
      <c r="A486" t="str">
        <f ca="1">IFERROR(__xludf.DUMMYFUNCTION("""COMPUTED_VALUE"""),"Koepka, Brooks")</f>
        <v>Koepka, Brooks</v>
      </c>
      <c r="B486" t="str">
        <f ca="1">IFERROR(__xludf.DUMMYFUNCTION("""COMPUTED_VALUE"""),"United States")</f>
        <v>United States</v>
      </c>
    </row>
    <row r="487" spans="1:2" ht="12.75">
      <c r="A487" t="str">
        <f ca="1">IFERROR(__xludf.DUMMYFUNCTION("""COMPUTED_VALUE"""),"Koepka, Chase")</f>
        <v>Koepka, Chase</v>
      </c>
      <c r="B487" t="str">
        <f ca="1">IFERROR(__xludf.DUMMYFUNCTION("""COMPUTED_VALUE"""),"United States")</f>
        <v>United States</v>
      </c>
    </row>
    <row r="488" spans="1:2" ht="12.75">
      <c r="A488" t="str">
        <f ca="1">IFERROR(__xludf.DUMMYFUNCTION("""COMPUTED_VALUE"""),"Kokrak, Jason")</f>
        <v>Kokrak, Jason</v>
      </c>
      <c r="B488" t="str">
        <f ca="1">IFERROR(__xludf.DUMMYFUNCTION("""COMPUTED_VALUE"""),"United States")</f>
        <v>United States</v>
      </c>
    </row>
    <row r="489" spans="1:2" ht="12.75">
      <c r="A489" t="str">
        <f ca="1">IFERROR(__xludf.DUMMYFUNCTION("""COMPUTED_VALUE"""),"Korhonen, Mikko")</f>
        <v>Korhonen, Mikko</v>
      </c>
      <c r="B489" t="str">
        <f ca="1">IFERROR(__xludf.DUMMYFUNCTION("""COMPUTED_VALUE"""),"Finland")</f>
        <v>Finland</v>
      </c>
    </row>
    <row r="490" spans="1:2" ht="12.75">
      <c r="A490" t="str">
        <f ca="1">IFERROR(__xludf.DUMMYFUNCTION("""COMPUTED_VALUE"""),"Kosaihira, Yuwa")</f>
        <v>Kosaihira, Yuwa</v>
      </c>
      <c r="B490" t="str">
        <f ca="1">IFERROR(__xludf.DUMMYFUNCTION("""COMPUTED_VALUE"""),"Japan")</f>
        <v>Japan</v>
      </c>
    </row>
    <row r="491" spans="1:2" ht="12.75">
      <c r="A491" t="str">
        <f ca="1">IFERROR(__xludf.DUMMYFUNCTION("""COMPUTED_VALUE"""),"Kozuma, Jinichiro")</f>
        <v>Kozuma, Jinichiro</v>
      </c>
      <c r="B491" t="str">
        <f ca="1">IFERROR(__xludf.DUMMYFUNCTION("""COMPUTED_VALUE"""),"Japan")</f>
        <v>Japan</v>
      </c>
    </row>
    <row r="492" spans="1:2" ht="12.75">
      <c r="A492" t="str">
        <f ca="1">IFERROR(__xludf.DUMMYFUNCTION("""COMPUTED_VALUE"""),"Kraft, Kelly")</f>
        <v>Kraft, Kelly</v>
      </c>
      <c r="B492" t="str">
        <f ca="1">IFERROR(__xludf.DUMMYFUNCTION("""COMPUTED_VALUE"""),"United States")</f>
        <v>United States</v>
      </c>
    </row>
    <row r="493" spans="1:2" ht="12.75">
      <c r="A493" t="str">
        <f ca="1">IFERROR(__xludf.DUMMYFUNCTION("""COMPUTED_VALUE"""),"Kruger, Jbe'")</f>
        <v>Kruger, Jbe'</v>
      </c>
      <c r="B493" t="str">
        <f ca="1">IFERROR(__xludf.DUMMYFUNCTION("""COMPUTED_VALUE"""),"South Africa")</f>
        <v>South Africa</v>
      </c>
    </row>
    <row r="494" spans="1:2" ht="12.75">
      <c r="A494" t="str">
        <f ca="1">IFERROR(__xludf.DUMMYFUNCTION("""COMPUTED_VALUE"""),"Kuchar, Matt")</f>
        <v>Kuchar, Matt</v>
      </c>
      <c r="B494" t="str">
        <f ca="1">IFERROR(__xludf.DUMMYFUNCTION("""COMPUTED_VALUE"""),"United States")</f>
        <v>United States</v>
      </c>
    </row>
    <row r="495" spans="1:2" ht="12.75">
      <c r="A495" t="str">
        <f ca="1">IFERROR(__xludf.DUMMYFUNCTION("""COMPUTED_VALUE"""),"Kuest, Peter")</f>
        <v>Kuest, Peter</v>
      </c>
      <c r="B495" t="str">
        <f ca="1">IFERROR(__xludf.DUMMYFUNCTION("""COMPUTED_VALUE"""),"United States")</f>
        <v>United States</v>
      </c>
    </row>
    <row r="496" spans="1:2" ht="12.75">
      <c r="A496" t="str">
        <f ca="1">IFERROR(__xludf.DUMMYFUNCTION("""COMPUTED_VALUE"""),"L")</f>
        <v>L</v>
      </c>
      <c r="B496" t="str">
        <f ca="1">IFERROR(__xludf.DUMMYFUNCTION("""COMPUTED_VALUE"""),"")</f>
        <v/>
      </c>
    </row>
    <row r="497" spans="1:2" ht="12.75">
      <c r="A497" t="str">
        <f ca="1">IFERROR(__xludf.DUMMYFUNCTION("""COMPUTED_VALUE"""),"NAME")</f>
        <v>NAME</v>
      </c>
      <c r="B497" t="str">
        <f ca="1">IFERROR(__xludf.DUMMYFUNCTION("""COMPUTED_VALUE"""),"COUNTRY")</f>
        <v>COUNTRY</v>
      </c>
    </row>
    <row r="498" spans="1:2" ht="12.75">
      <c r="A498" t="str">
        <f ca="1">IFERROR(__xludf.DUMMYFUNCTION("""COMPUTED_VALUE"""),"Labritz, Rob")</f>
        <v>Labritz, Rob</v>
      </c>
      <c r="B498" t="str">
        <f ca="1">IFERROR(__xludf.DUMMYFUNCTION("""COMPUTED_VALUE"""),"United States")</f>
        <v>United States</v>
      </c>
    </row>
    <row r="499" spans="1:2" ht="12.75">
      <c r="A499" t="str">
        <f ca="1">IFERROR(__xludf.DUMMYFUNCTION("""COMPUTED_VALUE"""),"Lagodich, Logan")</f>
        <v>Lagodich, Logan</v>
      </c>
      <c r="B499" t="str">
        <f ca="1">IFERROR(__xludf.DUMMYFUNCTION("""COMPUTED_VALUE"""),"United States")</f>
        <v>United States</v>
      </c>
    </row>
    <row r="500" spans="1:2" ht="12.75">
      <c r="A500" t="str">
        <f ca="1">IFERROR(__xludf.DUMMYFUNCTION("""COMPUTED_VALUE"""),"Lahiri, Anirban")</f>
        <v>Lahiri, Anirban</v>
      </c>
      <c r="B500" t="str">
        <f ca="1">IFERROR(__xludf.DUMMYFUNCTION("""COMPUTED_VALUE"""),"India")</f>
        <v>India</v>
      </c>
    </row>
    <row r="501" spans="1:2" ht="12.75">
      <c r="A501" t="str">
        <f ca="1">IFERROR(__xludf.DUMMYFUNCTION("""COMPUTED_VALUE"""),"Laird, Martin")</f>
        <v>Laird, Martin</v>
      </c>
      <c r="B501" t="str">
        <f ca="1">IFERROR(__xludf.DUMMYFUNCTION("""COMPUTED_VALUE"""),"Scotland")</f>
        <v>Scotland</v>
      </c>
    </row>
    <row r="502" spans="1:2" ht="12.75">
      <c r="A502" t="str">
        <f ca="1">IFERROR(__xludf.DUMMYFUNCTION("""COMPUTED_VALUE"""),"Lam, Steven")</f>
        <v>Lam, Steven</v>
      </c>
      <c r="B502" t="str">
        <f ca="1">IFERROR(__xludf.DUMMYFUNCTION("""COMPUTED_VALUE"""),"China")</f>
        <v>China</v>
      </c>
    </row>
    <row r="503" spans="1:2" ht="12.75">
      <c r="A503" t="str">
        <f ca="1">IFERROR(__xludf.DUMMYFUNCTION("""COMPUTED_VALUE"""),"Lamely, Derek")</f>
        <v>Lamely, Derek</v>
      </c>
      <c r="B503" t="str">
        <f ca="1">IFERROR(__xludf.DUMMYFUNCTION("""COMPUTED_VALUE"""),"United States")</f>
        <v>United States</v>
      </c>
    </row>
    <row r="504" spans="1:2" ht="12.75">
      <c r="A504" t="str">
        <f ca="1">IFERROR(__xludf.DUMMYFUNCTION("""COMPUTED_VALUE"""),"Lancaster, Neal")</f>
        <v>Lancaster, Neal</v>
      </c>
      <c r="B504" t="str">
        <f ca="1">IFERROR(__xludf.DUMMYFUNCTION("""COMPUTED_VALUE"""),"United States")</f>
        <v>United States</v>
      </c>
    </row>
    <row r="505" spans="1:2" ht="12.75">
      <c r="A505" t="str">
        <f ca="1">IFERROR(__xludf.DUMMYFUNCTION("""COMPUTED_VALUE"""),"Landry, Andrew")</f>
        <v>Landry, Andrew</v>
      </c>
      <c r="B505" t="str">
        <f ca="1">IFERROR(__xludf.DUMMYFUNCTION("""COMPUTED_VALUE"""),"United States")</f>
        <v>United States</v>
      </c>
    </row>
    <row r="506" spans="1:2" ht="12.75">
      <c r="A506" t="str">
        <f ca="1">IFERROR(__xludf.DUMMYFUNCTION("""COMPUTED_VALUE"""),"Langasque, Romain")</f>
        <v>Langasque, Romain</v>
      </c>
      <c r="B506" t="str">
        <f ca="1">IFERROR(__xludf.DUMMYFUNCTION("""COMPUTED_VALUE"""),"France")</f>
        <v>France</v>
      </c>
    </row>
    <row r="507" spans="1:2" ht="12.75">
      <c r="A507" t="str">
        <f ca="1">IFERROR(__xludf.DUMMYFUNCTION("""COMPUTED_VALUE"""),"Langer, Bernhard")</f>
        <v>Langer, Bernhard</v>
      </c>
      <c r="B507" t="str">
        <f ca="1">IFERROR(__xludf.DUMMYFUNCTION("""COMPUTED_VALUE"""),"Germany")</f>
        <v>Germany</v>
      </c>
    </row>
    <row r="508" spans="1:2" ht="12.75">
      <c r="A508" t="str">
        <f ca="1">IFERROR(__xludf.DUMMYFUNCTION("""COMPUTED_VALUE"""),"Langley, Scott")</f>
        <v>Langley, Scott</v>
      </c>
      <c r="B508" t="str">
        <f ca="1">IFERROR(__xludf.DUMMYFUNCTION("""COMPUTED_VALUE"""),"United States")</f>
        <v>United States</v>
      </c>
    </row>
    <row r="509" spans="1:2" ht="12.75">
      <c r="A509" t="str">
        <f ca="1">IFERROR(__xludf.DUMMYFUNCTION("""COMPUTED_VALUE"""),"Larrazabal, Pablo")</f>
        <v>Larrazabal, Pablo</v>
      </c>
      <c r="B509" t="str">
        <f ca="1">IFERROR(__xludf.DUMMYFUNCTION("""COMPUTED_VALUE"""),"Spain")</f>
        <v>Spain</v>
      </c>
    </row>
    <row r="510" spans="1:2" ht="12.75">
      <c r="A510" t="str">
        <f ca="1">IFERROR(__xludf.DUMMYFUNCTION("""COMPUTED_VALUE"""),"Lascuna, Antonio")</f>
        <v>Lascuna, Antonio</v>
      </c>
      <c r="B510" t="str">
        <f ca="1">IFERROR(__xludf.DUMMYFUNCTION("""COMPUTED_VALUE"""),"Philippines")</f>
        <v>Philippines</v>
      </c>
    </row>
    <row r="511" spans="1:2" ht="12.75">
      <c r="A511" t="str">
        <f ca="1">IFERROR(__xludf.DUMMYFUNCTION("""COMPUTED_VALUE"""),"Lashley, Nate")</f>
        <v>Lashley, Nate</v>
      </c>
      <c r="B511" t="str">
        <f ca="1">IFERROR(__xludf.DUMMYFUNCTION("""COMPUTED_VALUE"""),"United States")</f>
        <v>United States</v>
      </c>
    </row>
    <row r="512" spans="1:2" ht="12.75">
      <c r="A512" t="str">
        <f ca="1">IFERROR(__xludf.DUMMYFUNCTION("""COMPUTED_VALUE"""),"Lauta Ledesma, Nelson")</f>
        <v>Lauta Ledesma, Nelson</v>
      </c>
      <c r="B512" t="str">
        <f ca="1">IFERROR(__xludf.DUMMYFUNCTION("""COMPUTED_VALUE"""),"Argentina")</f>
        <v>Argentina</v>
      </c>
    </row>
    <row r="513" spans="1:2" ht="12.75">
      <c r="A513" t="str">
        <f ca="1">IFERROR(__xludf.DUMMYFUNCTION("""COMPUTED_VALUE"""),"Lawrie, Paul")</f>
        <v>Lawrie, Paul</v>
      </c>
      <c r="B513" t="str">
        <f ca="1">IFERROR(__xludf.DUMMYFUNCTION("""COMPUTED_VALUE"""),"Scotland")</f>
        <v>Scotland</v>
      </c>
    </row>
    <row r="514" spans="1:2" ht="12.75">
      <c r="A514" t="str">
        <f ca="1">IFERROR(__xludf.DUMMYFUNCTION("""COMPUTED_VALUE"""),"Lebioda, Hank")</f>
        <v>Lebioda, Hank</v>
      </c>
      <c r="B514" t="str">
        <f ca="1">IFERROR(__xludf.DUMMYFUNCTION("""COMPUTED_VALUE"""),"United States")</f>
        <v>United States</v>
      </c>
    </row>
    <row r="515" spans="1:2" ht="12.75">
      <c r="A515" t="str">
        <f ca="1">IFERROR(__xludf.DUMMYFUNCTION("""COMPUTED_VALUE"""),"Ledesma, Nelson")</f>
        <v>Ledesma, Nelson</v>
      </c>
      <c r="B515" t="str">
        <f ca="1">IFERROR(__xludf.DUMMYFUNCTION("""COMPUTED_VALUE"""),"")</f>
        <v/>
      </c>
    </row>
    <row r="516" spans="1:2" ht="12.75">
      <c r="A516" t="str">
        <f ca="1">IFERROR(__xludf.DUMMYFUNCTION("""COMPUTED_VALUE"""),"Lee, Danny")</f>
        <v>Lee, Danny</v>
      </c>
      <c r="B516" t="str">
        <f ca="1">IFERROR(__xludf.DUMMYFUNCTION("""COMPUTED_VALUE"""),"New Zealand")</f>
        <v>New Zealand</v>
      </c>
    </row>
    <row r="517" spans="1:2" ht="12.75">
      <c r="A517" t="str">
        <f ca="1">IFERROR(__xludf.DUMMYFUNCTION("""COMPUTED_VALUE"""),"Lee, Donny")</f>
        <v>Lee, Donny</v>
      </c>
      <c r="B517" t="str">
        <f ca="1">IFERROR(__xludf.DUMMYFUNCTION("""COMPUTED_VALUE"""),"United States")</f>
        <v>United States</v>
      </c>
    </row>
    <row r="518" spans="1:2" ht="12.75">
      <c r="A518" t="str">
        <f ca="1">IFERROR(__xludf.DUMMYFUNCTION("""COMPUTED_VALUE"""),"Lee, Hyungjoon")</f>
        <v>Lee, Hyungjoon</v>
      </c>
      <c r="B518" t="str">
        <f ca="1">IFERROR(__xludf.DUMMYFUNCTION("""COMPUTED_VALUE"""),"South Korea")</f>
        <v>South Korea</v>
      </c>
    </row>
    <row r="519" spans="1:2" ht="12.75">
      <c r="A519" t="str">
        <f ca="1">IFERROR(__xludf.DUMMYFUNCTION("""COMPUTED_VALUE"""),"Lee, Jaekyeong")</f>
        <v>Lee, Jaekyeong</v>
      </c>
      <c r="B519" t="str">
        <f ca="1">IFERROR(__xludf.DUMMYFUNCTION("""COMPUTED_VALUE"""),"South Korea")</f>
        <v>South Korea</v>
      </c>
    </row>
    <row r="520" spans="1:2" ht="12.75">
      <c r="A520" t="str">
        <f ca="1">IFERROR(__xludf.DUMMYFUNCTION("""COMPUTED_VALUE"""),"Lee, Junghwan")</f>
        <v>Lee, Junghwan</v>
      </c>
      <c r="B520" t="str">
        <f ca="1">IFERROR(__xludf.DUMMYFUNCTION("""COMPUTED_VALUE"""),"South Korea")</f>
        <v>South Korea</v>
      </c>
    </row>
    <row r="521" spans="1:2" ht="12.75">
      <c r="A521" t="str">
        <f ca="1">IFERROR(__xludf.DUMMYFUNCTION("""COMPUTED_VALUE"""),"Lee, Kyoung-Hoon")</f>
        <v>Lee, Kyoung-Hoon</v>
      </c>
      <c r="B521" t="str">
        <f ca="1">IFERROR(__xludf.DUMMYFUNCTION("""COMPUTED_VALUE"""),"South Korea")</f>
        <v>South Korea</v>
      </c>
    </row>
    <row r="522" spans="1:2" ht="12.75">
      <c r="A522" t="str">
        <f ca="1">IFERROR(__xludf.DUMMYFUNCTION("""COMPUTED_VALUE"""),"Lee, Richard H.")</f>
        <v>Lee, Richard H.</v>
      </c>
      <c r="B522" t="str">
        <f ca="1">IFERROR(__xludf.DUMMYFUNCTION("""COMPUTED_VALUE"""),"United States")</f>
        <v>United States</v>
      </c>
    </row>
    <row r="523" spans="1:2" ht="12.75">
      <c r="A523" t="str">
        <f ca="1">IFERROR(__xludf.DUMMYFUNCTION("""COMPUTED_VALUE"""),"Lee, Richard T.")</f>
        <v>Lee, Richard T.</v>
      </c>
      <c r="B523" t="str">
        <f ca="1">IFERROR(__xludf.DUMMYFUNCTION("""COMPUTED_VALUE"""),"United States")</f>
        <v>United States</v>
      </c>
    </row>
    <row r="524" spans="1:2" ht="12.75">
      <c r="A524" t="str">
        <f ca="1">IFERROR(__xludf.DUMMYFUNCTION("""COMPUTED_VALUE"""),"Lee, Soo-min")</f>
        <v>Lee, Soo-min</v>
      </c>
      <c r="B524" t="str">
        <f ca="1">IFERROR(__xludf.DUMMYFUNCTION("""COMPUTED_VALUE"""),"South Korea")</f>
        <v>South Korea</v>
      </c>
    </row>
    <row r="525" spans="1:2" ht="12.75">
      <c r="A525" t="str">
        <f ca="1">IFERROR(__xludf.DUMMYFUNCTION("""COMPUTED_VALUE"""),"Lee, Tae Hee")</f>
        <v>Lee, Tae Hee</v>
      </c>
      <c r="B525" t="str">
        <f ca="1">IFERROR(__xludf.DUMMYFUNCTION("""COMPUTED_VALUE"""),"South Korea")</f>
        <v>South Korea</v>
      </c>
    </row>
    <row r="526" spans="1:2" ht="12.75">
      <c r="A526" t="str">
        <f ca="1">IFERROR(__xludf.DUMMYFUNCTION("""COMPUTED_VALUE"""),"Lee, Won Joon")</f>
        <v>Lee, Won Joon</v>
      </c>
      <c r="B526" t="str">
        <f ca="1">IFERROR(__xludf.DUMMYFUNCTION("""COMPUTED_VALUE"""),"Australia")</f>
        <v>Australia</v>
      </c>
    </row>
    <row r="527" spans="1:2" ht="12.75">
      <c r="A527" t="str">
        <f ca="1">IFERROR(__xludf.DUMMYFUNCTION("""COMPUTED_VALUE"""),"Lehman, Tom")</f>
        <v>Lehman, Tom</v>
      </c>
      <c r="B527" t="str">
        <f ca="1">IFERROR(__xludf.DUMMYFUNCTION("""COMPUTED_VALUE"""),"United States")</f>
        <v>United States</v>
      </c>
    </row>
    <row r="528" spans="1:2" ht="12.75">
      <c r="A528" t="str">
        <f ca="1">IFERROR(__xludf.DUMMYFUNCTION("""COMPUTED_VALUE"""),"Leishman, Marc")</f>
        <v>Leishman, Marc</v>
      </c>
      <c r="B528" t="str">
        <f ca="1">IFERROR(__xludf.DUMMYFUNCTION("""COMPUTED_VALUE"""),"Australia")</f>
        <v>Australia</v>
      </c>
    </row>
    <row r="529" spans="1:2" ht="12.75">
      <c r="A529" t="str">
        <f ca="1">IFERROR(__xludf.DUMMYFUNCTION("""COMPUTED_VALUE"""),"Leong, Ben")</f>
        <v>Leong, Ben</v>
      </c>
      <c r="B529" t="str">
        <f ca="1">IFERROR(__xludf.DUMMYFUNCTION("""COMPUTED_VALUE"""),"Malaysia")</f>
        <v>Malaysia</v>
      </c>
    </row>
    <row r="530" spans="1:2" ht="12.75">
      <c r="A530" t="str">
        <f ca="1">IFERROR(__xludf.DUMMYFUNCTION("""COMPUTED_VALUE"""),"Leseur, Kenny")</f>
        <v>Leseur, Kenny</v>
      </c>
      <c r="B530" t="str">
        <f ca="1">IFERROR(__xludf.DUMMYFUNCTION("""COMPUTED_VALUE"""),"Bermuda")</f>
        <v>Bermuda</v>
      </c>
    </row>
    <row r="531" spans="1:2" ht="12.75">
      <c r="A531" t="str">
        <f ca="1">IFERROR(__xludf.DUMMYFUNCTION("""COMPUTED_VALUE"""),"Levy, Alexander")</f>
        <v>Levy, Alexander</v>
      </c>
      <c r="B531" t="str">
        <f ca="1">IFERROR(__xludf.DUMMYFUNCTION("""COMPUTED_VALUE"""),"France")</f>
        <v>France</v>
      </c>
    </row>
    <row r="532" spans="1:2" ht="12.75">
      <c r="A532" t="str">
        <f ca="1">IFERROR(__xludf.DUMMYFUNCTION("""COMPUTED_VALUE"""),"Lewis, Tom")</f>
        <v>Lewis, Tom</v>
      </c>
      <c r="B532" t="str">
        <f ca="1">IFERROR(__xludf.DUMMYFUNCTION("""COMPUTED_VALUE"""),"England")</f>
        <v>England</v>
      </c>
    </row>
    <row r="533" spans="1:2" ht="12.75">
      <c r="A533" t="str">
        <f ca="1">IFERROR(__xludf.DUMMYFUNCTION("""COMPUTED_VALUE"""),"Li, Haotong")</f>
        <v>Li, Haotong</v>
      </c>
      <c r="B533" t="str">
        <f ca="1">IFERROR(__xludf.DUMMYFUNCTION("""COMPUTED_VALUE"""),"China")</f>
        <v>China</v>
      </c>
    </row>
    <row r="534" spans="1:2" ht="12.75">
      <c r="A534" t="str">
        <f ca="1">IFERROR(__xludf.DUMMYFUNCTION("""COMPUTED_VALUE"""),"Li, Haotong")</f>
        <v>Li, Haotong</v>
      </c>
      <c r="B534" t="str">
        <f ca="1">IFERROR(__xludf.DUMMYFUNCTION("""COMPUTED_VALUE"""),"China")</f>
        <v>China</v>
      </c>
    </row>
    <row r="535" spans="1:2" ht="12.75">
      <c r="A535" t="str">
        <f ca="1">IFERROR(__xludf.DUMMYFUNCTION("""COMPUTED_VALUE"""),"Liang, WC")</f>
        <v>Liang, WC</v>
      </c>
      <c r="B535" t="str">
        <f ca="1">IFERROR(__xludf.DUMMYFUNCTION("""COMPUTED_VALUE"""),"China")</f>
        <v>China</v>
      </c>
    </row>
    <row r="536" spans="1:2" ht="12.75">
      <c r="A536" t="str">
        <f ca="1">IFERROR(__xludf.DUMMYFUNCTION("""COMPUTED_VALUE"""),"Lickliter II, Frank")</f>
        <v>Lickliter II, Frank</v>
      </c>
      <c r="B536" t="str">
        <f ca="1">IFERROR(__xludf.DUMMYFUNCTION("""COMPUTED_VALUE"""),"United States")</f>
        <v>United States</v>
      </c>
    </row>
    <row r="537" spans="1:2" ht="12.75">
      <c r="A537" t="str">
        <f ca="1">IFERROR(__xludf.DUMMYFUNCTION("""COMPUTED_VALUE"""),"Limbhasut, KK")</f>
        <v>Limbhasut, KK</v>
      </c>
      <c r="B537" t="str">
        <f ca="1">IFERROR(__xludf.DUMMYFUNCTION("""COMPUTED_VALUE"""),"United States")</f>
        <v>United States</v>
      </c>
    </row>
    <row r="538" spans="1:2" ht="12.75">
      <c r="A538" t="str">
        <f ca="1">IFERROR(__xludf.DUMMYFUNCTION("""COMPUTED_VALUE"""),"Lin, Yuxin")</f>
        <v>Lin, Yuxin</v>
      </c>
      <c r="B538" t="str">
        <f ca="1">IFERROR(__xludf.DUMMYFUNCTION("""COMPUTED_VALUE"""),"China")</f>
        <v>China</v>
      </c>
    </row>
    <row r="539" spans="1:2" ht="12.75">
      <c r="A539" t="str">
        <f ca="1">IFERROR(__xludf.DUMMYFUNCTION("""COMPUTED_VALUE"""),"Lin, Yuxin")</f>
        <v>Lin, Yuxin</v>
      </c>
      <c r="B539" t="str">
        <f ca="1">IFERROR(__xludf.DUMMYFUNCTION("""COMPUTED_VALUE"""),"China")</f>
        <v>China</v>
      </c>
    </row>
    <row r="540" spans="1:2" ht="12.75">
      <c r="A540" t="str">
        <f ca="1">IFERROR(__xludf.DUMMYFUNCTION("""COMPUTED_VALUE"""),"Lindheim, Nicholas")</f>
        <v>Lindheim, Nicholas</v>
      </c>
      <c r="B540" t="str">
        <f ca="1">IFERROR(__xludf.DUMMYFUNCTION("""COMPUTED_VALUE"""),"United States")</f>
        <v>United States</v>
      </c>
    </row>
    <row r="541" spans="1:2" ht="12.75">
      <c r="A541" t="str">
        <f ca="1">IFERROR(__xludf.DUMMYFUNCTION("""COMPUTED_VALUE"""),"Lingmerth, David")</f>
        <v>Lingmerth, David</v>
      </c>
      <c r="B541" t="str">
        <f ca="1">IFERROR(__xludf.DUMMYFUNCTION("""COMPUTED_VALUE"""),"Sweden")</f>
        <v>Sweden</v>
      </c>
    </row>
    <row r="542" spans="1:2" ht="12.75">
      <c r="A542" t="str">
        <f ca="1">IFERROR(__xludf.DUMMYFUNCTION("""COMPUTED_VALUE"""),"Lipsky, David")</f>
        <v>Lipsky, David</v>
      </c>
      <c r="B542" t="str">
        <f ca="1">IFERROR(__xludf.DUMMYFUNCTION("""COMPUTED_VALUE"""),"United States")</f>
        <v>United States</v>
      </c>
    </row>
    <row r="543" spans="1:2" ht="12.75">
      <c r="A543" t="str">
        <f ca="1">IFERROR(__xludf.DUMMYFUNCTION("""COMPUTED_VALUE"""),"List, Luke")</f>
        <v>List, Luke</v>
      </c>
      <c r="B543" t="str">
        <f ca="1">IFERROR(__xludf.DUMMYFUNCTION("""COMPUTED_VALUE"""),"United States")</f>
        <v>United States</v>
      </c>
    </row>
    <row r="544" spans="1:2" ht="12.75">
      <c r="A544" t="str">
        <f ca="1">IFERROR(__xludf.DUMMYFUNCTION("""COMPUTED_VALUE"""),"Liu, Yan-wei")</f>
        <v>Liu, Yan-wei</v>
      </c>
      <c r="B544" t="str">
        <f ca="1">IFERROR(__xludf.DUMMYFUNCTION("""COMPUTED_VALUE"""),"China")</f>
        <v>China</v>
      </c>
    </row>
    <row r="545" spans="1:2" ht="12.75">
      <c r="A545" t="str">
        <f ca="1">IFERROR(__xludf.DUMMYFUNCTION("""COMPUTED_VALUE"""),"Locke, Sam")</f>
        <v>Locke, Sam</v>
      </c>
      <c r="B545" t="str">
        <f ca="1">IFERROR(__xludf.DUMMYFUNCTION("""COMPUTED_VALUE"""),"Scotland")</f>
        <v>Scotland</v>
      </c>
    </row>
    <row r="546" spans="1:2" ht="12.75">
      <c r="A546" t="str">
        <f ca="1">IFERROR(__xludf.DUMMYFUNCTION("""COMPUTED_VALUE"""),"Lombard, Zander")</f>
        <v>Lombard, Zander</v>
      </c>
      <c r="B546" t="str">
        <f ca="1">IFERROR(__xludf.DUMMYFUNCTION("""COMPUTED_VALUE"""),"South Africa")</f>
        <v>South Africa</v>
      </c>
    </row>
    <row r="547" spans="1:2" ht="12.75">
      <c r="A547" t="str">
        <f ca="1">IFERROR(__xludf.DUMMYFUNCTION("""COMPUTED_VALUE"""),"Long, Adam")</f>
        <v>Long, Adam</v>
      </c>
      <c r="B547" t="str">
        <f ca="1">IFERROR(__xludf.DUMMYFUNCTION("""COMPUTED_VALUE"""),"United States")</f>
        <v>United States</v>
      </c>
    </row>
    <row r="548" spans="1:2" ht="12.75">
      <c r="A548" t="str">
        <f ca="1">IFERROR(__xludf.DUMMYFUNCTION("""COMPUTED_VALUE"""),"Lopez-Chacarra, Eugenio")</f>
        <v>Lopez-Chacarra, Eugenio</v>
      </c>
      <c r="B548" t="str">
        <f ca="1">IFERROR(__xludf.DUMMYFUNCTION("""COMPUTED_VALUE"""),"Spain")</f>
        <v>Spain</v>
      </c>
    </row>
    <row r="549" spans="1:2" ht="12.75">
      <c r="A549" t="str">
        <f ca="1">IFERROR(__xludf.DUMMYFUNCTION("""COMPUTED_VALUE"""),"Lorenzo-Vera, Mike")</f>
        <v>Lorenzo-Vera, Mike</v>
      </c>
      <c r="B549" t="str">
        <f ca="1">IFERROR(__xludf.DUMMYFUNCTION("""COMPUTED_VALUE"""),"France")</f>
        <v>France</v>
      </c>
    </row>
    <row r="550" spans="1:2" ht="12.75">
      <c r="A550" t="str">
        <f ca="1">IFERROR(__xludf.DUMMYFUNCTION("""COMPUTED_VALUE"""),"Loupe, Andrew")</f>
        <v>Loupe, Andrew</v>
      </c>
      <c r="B550" t="str">
        <f ca="1">IFERROR(__xludf.DUMMYFUNCTION("""COMPUTED_VALUE"""),"United States")</f>
        <v>United States</v>
      </c>
    </row>
    <row r="551" spans="1:2" ht="12.75">
      <c r="A551" t="str">
        <f ca="1">IFERROR(__xludf.DUMMYFUNCTION("""COMPUTED_VALUE"""),"Love, Dru")</f>
        <v>Love, Dru</v>
      </c>
      <c r="B551" t="str">
        <f ca="1">IFERROR(__xludf.DUMMYFUNCTION("""COMPUTED_VALUE"""),"United States")</f>
        <v>United States</v>
      </c>
    </row>
    <row r="552" spans="1:2" ht="12.75">
      <c r="A552" t="str">
        <f ca="1">IFERROR(__xludf.DUMMYFUNCTION("""COMPUTED_VALUE"""),"Love III, Davis")</f>
        <v>Love III, Davis</v>
      </c>
      <c r="B552" t="str">
        <f ca="1">IFERROR(__xludf.DUMMYFUNCTION("""COMPUTED_VALUE"""),"United States")</f>
        <v>United States</v>
      </c>
    </row>
    <row r="553" spans="1:2" ht="12.75">
      <c r="A553" t="str">
        <f ca="1">IFERROR(__xludf.DUMMYFUNCTION("""COMPUTED_VALUE"""),"Lovelady, Tom")</f>
        <v>Lovelady, Tom</v>
      </c>
      <c r="B553" t="str">
        <f ca="1">IFERROR(__xludf.DUMMYFUNCTION("""COMPUTED_VALUE"""),"United States")</f>
        <v>United States</v>
      </c>
    </row>
    <row r="554" spans="1:2" ht="12.75">
      <c r="A554" t="str">
        <f ca="1">IFERROR(__xludf.DUMMYFUNCTION("""COMPUTED_VALUE"""),"Lovemark, Jamie")</f>
        <v>Lovemark, Jamie</v>
      </c>
      <c r="B554" t="str">
        <f ca="1">IFERROR(__xludf.DUMMYFUNCTION("""COMPUTED_VALUE"""),"United States")</f>
        <v>United States</v>
      </c>
    </row>
    <row r="555" spans="1:2" ht="12.75">
      <c r="A555" t="str">
        <f ca="1">IFERROR(__xludf.DUMMYFUNCTION("""COMPUTED_VALUE"""),"Lowry, Shane")</f>
        <v>Lowry, Shane</v>
      </c>
      <c r="B555" t="str">
        <f ca="1">IFERROR(__xludf.DUMMYFUNCTION("""COMPUTED_VALUE"""),"Ireland")</f>
        <v>Ireland</v>
      </c>
    </row>
    <row r="556" spans="1:2" ht="12.75">
      <c r="A556" t="str">
        <f ca="1">IFERROR(__xludf.DUMMYFUNCTION("""COMPUTED_VALUE"""),"Luck, Curtis")</f>
        <v>Luck, Curtis</v>
      </c>
      <c r="B556" t="str">
        <f ca="1">IFERROR(__xludf.DUMMYFUNCTION("""COMPUTED_VALUE"""),"Australia")</f>
        <v>Australia</v>
      </c>
    </row>
    <row r="557" spans="1:2" ht="12.75">
      <c r="A557" t="str">
        <f ca="1">IFERROR(__xludf.DUMMYFUNCTION("""COMPUTED_VALUE"""),"Luiten, Joost")</f>
        <v>Luiten, Joost</v>
      </c>
      <c r="B557" t="str">
        <f ca="1">IFERROR(__xludf.DUMMYFUNCTION("""COMPUTED_VALUE"""),"Netherlands")</f>
        <v>Netherlands</v>
      </c>
    </row>
    <row r="558" spans="1:2" ht="12.75">
      <c r="A558" t="str">
        <f ca="1">IFERROR(__xludf.DUMMYFUNCTION("""COMPUTED_VALUE"""),"Lyle, Sandy")</f>
        <v>Lyle, Sandy</v>
      </c>
      <c r="B558" t="str">
        <f ca="1">IFERROR(__xludf.DUMMYFUNCTION("""COMPUTED_VALUE"""),"Scotland")</f>
        <v>Scotland</v>
      </c>
    </row>
    <row r="559" spans="1:2" ht="12.75">
      <c r="A559" t="str">
        <f ca="1">IFERROR(__xludf.DUMMYFUNCTION("""COMPUTED_VALUE"""),"Lyras, John")</f>
        <v>Lyras, John</v>
      </c>
      <c r="B559" t="str">
        <f ca="1">IFERROR(__xludf.DUMMYFUNCTION("""COMPUTED_VALUE"""),"Australia")</f>
        <v>Australia</v>
      </c>
    </row>
    <row r="560" spans="1:2" ht="12.75">
      <c r="A560" t="str">
        <f ca="1">IFERROR(__xludf.DUMMYFUNCTION("""COMPUTED_VALUE"""),"M")</f>
        <v>M</v>
      </c>
      <c r="B560" t="str">
        <f ca="1">IFERROR(__xludf.DUMMYFUNCTION("""COMPUTED_VALUE"""),"")</f>
        <v/>
      </c>
    </row>
    <row r="561" spans="1:2" ht="12.75">
      <c r="A561" t="str">
        <f ca="1">IFERROR(__xludf.DUMMYFUNCTION("""COMPUTED_VALUE"""),"NAME")</f>
        <v>NAME</v>
      </c>
      <c r="B561" t="str">
        <f ca="1">IFERROR(__xludf.DUMMYFUNCTION("""COMPUTED_VALUE"""),"COUNTRY")</f>
        <v>COUNTRY</v>
      </c>
    </row>
    <row r="562" spans="1:2" ht="12.75">
      <c r="A562" t="str">
        <f ca="1">IFERROR(__xludf.DUMMYFUNCTION("""COMPUTED_VALUE"""),"MacIntyre, Robert")</f>
        <v>MacIntyre, Robert</v>
      </c>
      <c r="B562" t="str">
        <f ca="1">IFERROR(__xludf.DUMMYFUNCTION("""COMPUTED_VALUE"""),"Scotland")</f>
        <v>Scotland</v>
      </c>
    </row>
    <row r="563" spans="1:2" ht="12.75">
      <c r="A563" t="str">
        <f ca="1">IFERROR(__xludf.DUMMYFUNCTION("""COMPUTED_VALUE"""),"MacKenzie, Will")</f>
        <v>MacKenzie, Will</v>
      </c>
      <c r="B563" t="str">
        <f ca="1">IFERROR(__xludf.DUMMYFUNCTION("""COMPUTED_VALUE"""),"United States")</f>
        <v>United States</v>
      </c>
    </row>
    <row r="564" spans="1:2" ht="12.75">
      <c r="A564" t="str">
        <f ca="1">IFERROR(__xludf.DUMMYFUNCTION("""COMPUTED_VALUE"""),"Mackey, Brian")</f>
        <v>Mackey, Brian</v>
      </c>
      <c r="B564" t="str">
        <f ca="1">IFERROR(__xludf.DUMMYFUNCTION("""COMPUTED_VALUE"""),"United States")</f>
        <v>United States</v>
      </c>
    </row>
    <row r="565" spans="1:2" ht="12.75">
      <c r="A565" t="str">
        <f ca="1">IFERROR(__xludf.DUMMYFUNCTION("""COMPUTED_VALUE"""),"Maeng, Dong Seop")</f>
        <v>Maeng, Dong Seop</v>
      </c>
      <c r="B565" t="str">
        <f ca="1">IFERROR(__xludf.DUMMYFUNCTION("""COMPUTED_VALUE"""),"South Korea")</f>
        <v>South Korea</v>
      </c>
    </row>
    <row r="566" spans="1:2" ht="12.75">
      <c r="A566" t="str">
        <f ca="1">IFERROR(__xludf.DUMMYFUNCTION("""COMPUTED_VALUE"""),"Magnus, Haraldur")</f>
        <v>Magnus, Haraldur</v>
      </c>
      <c r="B566" t="str">
        <f ca="1">IFERROR(__xludf.DUMMYFUNCTION("""COMPUTED_VALUE"""),"Iceland")</f>
        <v>Iceland</v>
      </c>
    </row>
    <row r="567" spans="1:2" ht="12.75">
      <c r="A567" t="str">
        <f ca="1">IFERROR(__xludf.DUMMYFUNCTION("""COMPUTED_VALUE"""),"Mahan, Hunter")</f>
        <v>Mahan, Hunter</v>
      </c>
      <c r="B567" t="str">
        <f ca="1">IFERROR(__xludf.DUMMYFUNCTION("""COMPUTED_VALUE"""),"United States")</f>
        <v>United States</v>
      </c>
    </row>
    <row r="568" spans="1:2" ht="12.75">
      <c r="A568" t="str">
        <f ca="1">IFERROR(__xludf.DUMMYFUNCTION("""COMPUTED_VALUE"""),"Malnati, Peter")</f>
        <v>Malnati, Peter</v>
      </c>
      <c r="B568" t="str">
        <f ca="1">IFERROR(__xludf.DUMMYFUNCTION("""COMPUTED_VALUE"""),"United States")</f>
        <v>United States</v>
      </c>
    </row>
    <row r="569" spans="1:2" ht="12.75">
      <c r="A569" t="str">
        <f ca="1">IFERROR(__xludf.DUMMYFUNCTION("""COMPUTED_VALUE"""),"Marino, Steve")</f>
        <v>Marino, Steve</v>
      </c>
      <c r="B569" t="str">
        <f ca="1">IFERROR(__xludf.DUMMYFUNCTION("""COMPUTED_VALUE"""),"United States")</f>
        <v>United States</v>
      </c>
    </row>
    <row r="570" spans="1:2" ht="12.75">
      <c r="A570" t="str">
        <f ca="1">IFERROR(__xludf.DUMMYFUNCTION("""COMPUTED_VALUE"""),"Markham, George")</f>
        <v>Markham, George</v>
      </c>
      <c r="B570" t="str">
        <f ca="1">IFERROR(__xludf.DUMMYFUNCTION("""COMPUTED_VALUE"""),"United States")</f>
        <v>United States</v>
      </c>
    </row>
    <row r="571" spans="1:2" ht="12.75">
      <c r="A571" t="str">
        <f ca="1">IFERROR(__xludf.DUMMYFUNCTION("""COMPUTED_VALUE"""),"Martin, Ben")</f>
        <v>Martin, Ben</v>
      </c>
      <c r="B571" t="str">
        <f ca="1">IFERROR(__xludf.DUMMYFUNCTION("""COMPUTED_VALUE"""),"United States")</f>
        <v>United States</v>
      </c>
    </row>
    <row r="572" spans="1:2" ht="12.75">
      <c r="A572" t="str">
        <f ca="1">IFERROR(__xludf.DUMMYFUNCTION("""COMPUTED_VALUE"""),"Martin, Patrick")</f>
        <v>Martin, Patrick</v>
      </c>
      <c r="B572" t="str">
        <f ca="1">IFERROR(__xludf.DUMMYFUNCTION("""COMPUTED_VALUE"""),"United States")</f>
        <v>United States</v>
      </c>
    </row>
    <row r="573" spans="1:2" ht="12.75">
      <c r="A573" t="str">
        <f ca="1">IFERROR(__xludf.DUMMYFUNCTION("""COMPUTED_VALUE"""),"Matsuyama, Hideki")</f>
        <v>Matsuyama, Hideki</v>
      </c>
      <c r="B573" t="str">
        <f ca="1">IFERROR(__xludf.DUMMYFUNCTION("""COMPUTED_VALUE"""),"Japan")</f>
        <v>Japan</v>
      </c>
    </row>
    <row r="574" spans="1:2" ht="12.75">
      <c r="A574" t="str">
        <f ca="1">IFERROR(__xludf.DUMMYFUNCTION("""COMPUTED_VALUE"""),"Matteson, Troy")</f>
        <v>Matteson, Troy</v>
      </c>
      <c r="B574" t="str">
        <f ca="1">IFERROR(__xludf.DUMMYFUNCTION("""COMPUTED_VALUE"""),"United States")</f>
        <v>United States</v>
      </c>
    </row>
    <row r="575" spans="1:2" ht="12.75">
      <c r="A575" t="str">
        <f ca="1">IFERROR(__xludf.DUMMYFUNCTION("""COMPUTED_VALUE"""),"Matthews, Brandon")</f>
        <v>Matthews, Brandon</v>
      </c>
      <c r="B575" t="str">
        <f ca="1">IFERROR(__xludf.DUMMYFUNCTION("""COMPUTED_VALUE"""),"United States")</f>
        <v>United States</v>
      </c>
    </row>
    <row r="576" spans="1:2" ht="12.75">
      <c r="A576" t="str">
        <f ca="1">IFERROR(__xludf.DUMMYFUNCTION("""COMPUTED_VALUE"""),"Mauchaza, Nyasha")</f>
        <v>Mauchaza, Nyasha</v>
      </c>
      <c r="B576" t="str">
        <f ca="1">IFERROR(__xludf.DUMMYFUNCTION("""COMPUTED_VALUE"""),"Zimbabwe")</f>
        <v>Zimbabwe</v>
      </c>
    </row>
    <row r="577" spans="1:2" ht="12.75">
      <c r="A577" t="str">
        <f ca="1">IFERROR(__xludf.DUMMYFUNCTION("""COMPUTED_VALUE"""),"Mazzoli, Stefano")</f>
        <v>Mazzoli, Stefano</v>
      </c>
      <c r="B577" t="str">
        <f ca="1">IFERROR(__xludf.DUMMYFUNCTION("""COMPUTED_VALUE"""),"Italy")</f>
        <v>Italy</v>
      </c>
    </row>
    <row r="578" spans="1:2" ht="12.75">
      <c r="A578" t="str">
        <f ca="1">IFERROR(__xludf.DUMMYFUNCTION("""COMPUTED_VALUE"""),"McCain, Andrew")</f>
        <v>McCain, Andrew</v>
      </c>
      <c r="B578" t="str">
        <f ca="1">IFERROR(__xludf.DUMMYFUNCTION("""COMPUTED_VALUE"""),"United States")</f>
        <v>United States</v>
      </c>
    </row>
    <row r="579" spans="1:2" ht="12.75">
      <c r="A579" t="str">
        <f ca="1">IFERROR(__xludf.DUMMYFUNCTION("""COMPUTED_VALUE"""),"McCarron, Scott")</f>
        <v>McCarron, Scott</v>
      </c>
      <c r="B579" t="str">
        <f ca="1">IFERROR(__xludf.DUMMYFUNCTION("""COMPUTED_VALUE"""),"United States")</f>
        <v>United States</v>
      </c>
    </row>
    <row r="580" spans="1:2" ht="12.75">
      <c r="A580" t="str">
        <f ca="1">IFERROR(__xludf.DUMMYFUNCTION("""COMPUTED_VALUE"""),"McCarthy, Daniel")</f>
        <v>McCarthy, Daniel</v>
      </c>
      <c r="B580" t="str">
        <f ca="1">IFERROR(__xludf.DUMMYFUNCTION("""COMPUTED_VALUE"""),"United States")</f>
        <v>United States</v>
      </c>
    </row>
    <row r="581" spans="1:2" ht="12.75">
      <c r="A581" t="str">
        <f ca="1">IFERROR(__xludf.DUMMYFUNCTION("""COMPUTED_VALUE"""),"McCarthy, Denny")</f>
        <v>McCarthy, Denny</v>
      </c>
      <c r="B581" t="str">
        <f ca="1">IFERROR(__xludf.DUMMYFUNCTION("""COMPUTED_VALUE"""),"United States")</f>
        <v>United States</v>
      </c>
    </row>
    <row r="582" spans="1:2" ht="12.75">
      <c r="A582" t="str">
        <f ca="1">IFERROR(__xludf.DUMMYFUNCTION("""COMPUTED_VALUE"""),"McCarty, Sean")</f>
        <v>McCarty, Sean</v>
      </c>
      <c r="B582" t="str">
        <f ca="1">IFERROR(__xludf.DUMMYFUNCTION("""COMPUTED_VALUE"""),"United States")</f>
        <v>United States</v>
      </c>
    </row>
    <row r="583" spans="1:2" ht="12.75">
      <c r="A583" t="str">
        <f ca="1">IFERROR(__xludf.DUMMYFUNCTION("""COMPUTED_VALUE"""),"McConnell, Paul")</f>
        <v>McConnell, Paul</v>
      </c>
      <c r="B583" t="str">
        <f ca="1">IFERROR(__xludf.DUMMYFUNCTION("""COMPUTED_VALUE"""),"United States")</f>
        <v>United States</v>
      </c>
    </row>
    <row r="584" spans="1:2" ht="12.75">
      <c r="A584" t="str">
        <f ca="1">IFERROR(__xludf.DUMMYFUNCTION("""COMPUTED_VALUE"""),"McCormick, Ryan")</f>
        <v>McCormick, Ryan</v>
      </c>
      <c r="B584" t="str">
        <f ca="1">IFERROR(__xludf.DUMMYFUNCTION("""COMPUTED_VALUE"""),"United States")</f>
        <v>United States</v>
      </c>
    </row>
    <row r="585" spans="1:2" ht="12.75">
      <c r="A585" t="str">
        <f ca="1">IFERROR(__xludf.DUMMYFUNCTION("""COMPUTED_VALUE"""),"McCracken, Logan")</f>
        <v>McCracken, Logan</v>
      </c>
      <c r="B585" t="str">
        <f ca="1">IFERROR(__xludf.DUMMYFUNCTION("""COMPUTED_VALUE"""),"United States")</f>
        <v>United States</v>
      </c>
    </row>
    <row r="586" spans="1:2" ht="12.75">
      <c r="A586" t="str">
        <f ca="1">IFERROR(__xludf.DUMMYFUNCTION("""COMPUTED_VALUE"""),"McCumber, Tyler")</f>
        <v>McCumber, Tyler</v>
      </c>
      <c r="B586" t="str">
        <f ca="1">IFERROR(__xludf.DUMMYFUNCTION("""COMPUTED_VALUE"""),"United States")</f>
        <v>United States</v>
      </c>
    </row>
    <row r="587" spans="1:2" ht="12.75">
      <c r="A587" t="str">
        <f ca="1">IFERROR(__xludf.DUMMYFUNCTION("""COMPUTED_VALUE"""),"McDaniel, Chip")</f>
        <v>McDaniel, Chip</v>
      </c>
      <c r="B587" t="str">
        <f ca="1">IFERROR(__xludf.DUMMYFUNCTION("""COMPUTED_VALUE"""),"United States")</f>
        <v>United States</v>
      </c>
    </row>
    <row r="588" spans="1:2" ht="12.75">
      <c r="A588" t="str">
        <f ca="1">IFERROR(__xludf.DUMMYFUNCTION("""COMPUTED_VALUE"""),"McDowell, Graeme")</f>
        <v>McDowell, Graeme</v>
      </c>
      <c r="B588" t="str">
        <f ca="1">IFERROR(__xludf.DUMMYFUNCTION("""COMPUTED_VALUE"""),"Northern Ireland")</f>
        <v>Northern Ireland</v>
      </c>
    </row>
    <row r="589" spans="1:2" ht="12.75">
      <c r="A589" t="str">
        <f ca="1">IFERROR(__xludf.DUMMYFUNCTION("""COMPUTED_VALUE"""),"McGirt, William")</f>
        <v>McGirt, William</v>
      </c>
      <c r="B589" t="str">
        <f ca="1">IFERROR(__xludf.DUMMYFUNCTION("""COMPUTED_VALUE"""),"United States")</f>
        <v>United States</v>
      </c>
    </row>
    <row r="590" spans="1:2" ht="12.75">
      <c r="A590" t="str">
        <f ca="1">IFERROR(__xludf.DUMMYFUNCTION("""COMPUTED_VALUE"""),"McGrane, Damien")</f>
        <v>McGrane, Damien</v>
      </c>
      <c r="B590" t="str">
        <f ca="1">IFERROR(__xludf.DUMMYFUNCTION("""COMPUTED_VALUE"""),"Ireland")</f>
        <v>Ireland</v>
      </c>
    </row>
    <row r="591" spans="1:2" ht="12.75">
      <c r="A591" t="str">
        <f ca="1">IFERROR(__xludf.DUMMYFUNCTION("""COMPUTED_VALUE"""),"McIlroy, Rory")</f>
        <v>McIlroy, Rory</v>
      </c>
      <c r="B591" t="str">
        <f ca="1">IFERROR(__xludf.DUMMYFUNCTION("""COMPUTED_VALUE"""),"Northern Ireland")</f>
        <v>Northern Ireland</v>
      </c>
    </row>
    <row r="592" spans="1:2" ht="12.75">
      <c r="A592" t="str">
        <f ca="1">IFERROR(__xludf.DUMMYFUNCTION("""COMPUTED_VALUE"""),"McInerney, A.J.")</f>
        <v>McInerney, A.J.</v>
      </c>
      <c r="B592" t="str">
        <f ca="1">IFERROR(__xludf.DUMMYFUNCTION("""COMPUTED_VALUE"""),"United States")</f>
        <v>United States</v>
      </c>
    </row>
    <row r="593" spans="1:2" ht="12.75">
      <c r="A593" t="str">
        <f ca="1">IFERROR(__xludf.DUMMYFUNCTION("""COMPUTED_VALUE"""),"McLachlin, Parker")</f>
        <v>McLachlin, Parker</v>
      </c>
      <c r="B593" t="str">
        <f ca="1">IFERROR(__xludf.DUMMYFUNCTION("""COMPUTED_VALUE"""),"United States")</f>
        <v>United States</v>
      </c>
    </row>
    <row r="594" spans="1:2" ht="12.75">
      <c r="A594" t="str">
        <f ca="1">IFERROR(__xludf.DUMMYFUNCTION("""COMPUTED_VALUE"""),"McLeod, Jake")</f>
        <v>McLeod, Jake</v>
      </c>
      <c r="B594" t="str">
        <f ca="1">IFERROR(__xludf.DUMMYFUNCTION("""COMPUTED_VALUE"""),"Australia")</f>
        <v>Australia</v>
      </c>
    </row>
    <row r="595" spans="1:2" ht="12.75">
      <c r="A595" t="str">
        <f ca="1">IFERROR(__xludf.DUMMYFUNCTION("""COMPUTED_VALUE"""),"McLoughlin, Eamonn")</f>
        <v>McLoughlin, Eamonn</v>
      </c>
      <c r="B595" t="str">
        <f ca="1">IFERROR(__xludf.DUMMYFUNCTION("""COMPUTED_VALUE"""),"United States")</f>
        <v>United States</v>
      </c>
    </row>
    <row r="596" spans="1:2" ht="12.75">
      <c r="A596" t="str">
        <f ca="1">IFERROR(__xludf.DUMMYFUNCTION("""COMPUTED_VALUE"""),"McLuen, Jay")</f>
        <v>McLuen, Jay</v>
      </c>
      <c r="B596" t="str">
        <f ca="1">IFERROR(__xludf.DUMMYFUNCTION("""COMPUTED_VALUE"""),"United States")</f>
        <v>United States</v>
      </c>
    </row>
    <row r="597" spans="1:2" ht="12.75">
      <c r="A597" t="str">
        <f ca="1">IFERROR(__xludf.DUMMYFUNCTION("""COMPUTED_VALUE"""),"McNealy, Maverick")</f>
        <v>McNealy, Maverick</v>
      </c>
      <c r="B597" t="str">
        <f ca="1">IFERROR(__xludf.DUMMYFUNCTION("""COMPUTED_VALUE"""),"United States")</f>
        <v>United States</v>
      </c>
    </row>
    <row r="598" spans="1:2" ht="12.75">
      <c r="A598" t="str">
        <f ca="1">IFERROR(__xludf.DUMMYFUNCTION("""COMPUTED_VALUE"""),"McNeill, George")</f>
        <v>McNeill, George</v>
      </c>
      <c r="B598" t="str">
        <f ca="1">IFERROR(__xludf.DUMMYFUNCTION("""COMPUTED_VALUE"""),"United States")</f>
        <v>United States</v>
      </c>
    </row>
    <row r="599" spans="1:2" ht="12.75">
      <c r="A599" t="str">
        <f ca="1">IFERROR(__xludf.DUMMYFUNCTION("""COMPUTED_VALUE"""),"McRoy, Spike")</f>
        <v>McRoy, Spike</v>
      </c>
      <c r="B599" t="str">
        <f ca="1">IFERROR(__xludf.DUMMYFUNCTION("""COMPUTED_VALUE"""),"United States")</f>
        <v>United States</v>
      </c>
    </row>
    <row r="600" spans="1:2" ht="12.75">
      <c r="A600" t="str">
        <f ca="1">IFERROR(__xludf.DUMMYFUNCTION("""COMPUTED_VALUE"""),"Meesawat, Prom")</f>
        <v>Meesawat, Prom</v>
      </c>
      <c r="B600" t="str">
        <f ca="1">IFERROR(__xludf.DUMMYFUNCTION("""COMPUTED_VALUE"""),"Thailand")</f>
        <v>Thailand</v>
      </c>
    </row>
    <row r="601" spans="1:2" ht="12.75">
      <c r="A601" t="str">
        <f ca="1">IFERROR(__xludf.DUMMYFUNCTION("""COMPUTED_VALUE"""),"Meloan, Marcus")</f>
        <v>Meloan, Marcus</v>
      </c>
      <c r="B601" t="str">
        <f ca="1">IFERROR(__xludf.DUMMYFUNCTION("""COMPUTED_VALUE"""),"United States")</f>
        <v>United States</v>
      </c>
    </row>
    <row r="602" spans="1:2" ht="12.75">
      <c r="A602" t="str">
        <f ca="1">IFERROR(__xludf.DUMMYFUNCTION("""COMPUTED_VALUE"""),"Merrick, John")</f>
        <v>Merrick, John</v>
      </c>
      <c r="B602" t="str">
        <f ca="1">IFERROR(__xludf.DUMMYFUNCTION("""COMPUTED_VALUE"""),"United States")</f>
        <v>United States</v>
      </c>
    </row>
    <row r="603" spans="1:2" ht="12.75">
      <c r="A603" t="str">
        <f ca="1">IFERROR(__xludf.DUMMYFUNCTION("""COMPUTED_VALUE"""),"Merritt, Troy")</f>
        <v>Merritt, Troy</v>
      </c>
      <c r="B603" t="str">
        <f ca="1">IFERROR(__xludf.DUMMYFUNCTION("""COMPUTED_VALUE"""),"United States")</f>
        <v>United States</v>
      </c>
    </row>
    <row r="604" spans="1:2" ht="12.75">
      <c r="A604" t="str">
        <f ca="1">IFERROR(__xludf.DUMMYFUNCTION("""COMPUTED_VALUE"""),"Meth, Byron")</f>
        <v>Meth, Byron</v>
      </c>
      <c r="B604" t="str">
        <f ca="1">IFERROR(__xludf.DUMMYFUNCTION("""COMPUTED_VALUE"""),"United States")</f>
        <v>United States</v>
      </c>
    </row>
    <row r="605" spans="1:2" ht="12.75">
      <c r="A605" t="str">
        <f ca="1">IFERROR(__xludf.DUMMYFUNCTION("""COMPUTED_VALUE"""),"Meyer, Dylan")</f>
        <v>Meyer, Dylan</v>
      </c>
      <c r="B605" t="str">
        <f ca="1">IFERROR(__xludf.DUMMYFUNCTION("""COMPUTED_VALUE"""),"United States")</f>
        <v>United States</v>
      </c>
    </row>
    <row r="606" spans="1:2" ht="12.75">
      <c r="A606" t="str">
        <f ca="1">IFERROR(__xludf.DUMMYFUNCTION("""COMPUTED_VALUE"""),"Micheel, Shaun")</f>
        <v>Micheel, Shaun</v>
      </c>
      <c r="B606" t="str">
        <f ca="1">IFERROR(__xludf.DUMMYFUNCTION("""COMPUTED_VALUE"""),"United States")</f>
        <v>United States</v>
      </c>
    </row>
    <row r="607" spans="1:2" ht="12.75">
      <c r="A607" t="str">
        <f ca="1">IFERROR(__xludf.DUMMYFUNCTION("""COMPUTED_VALUE"""),"Michel, Lukas")</f>
        <v>Michel, Lukas</v>
      </c>
      <c r="B607" t="str">
        <f ca="1">IFERROR(__xludf.DUMMYFUNCTION("""COMPUTED_VALUE"""),"Australia")</f>
        <v>Australia</v>
      </c>
    </row>
    <row r="608" spans="1:2" ht="12.75">
      <c r="A608" t="str">
        <f ca="1">IFERROR(__xludf.DUMMYFUNCTION("""COMPUTED_VALUE"""),"Mickelson, Phil")</f>
        <v>Mickelson, Phil</v>
      </c>
      <c r="B608" t="str">
        <f ca="1">IFERROR(__xludf.DUMMYFUNCTION("""COMPUTED_VALUE"""),"United States")</f>
        <v>United States</v>
      </c>
    </row>
    <row r="609" spans="1:2" ht="12.75">
      <c r="A609" t="str">
        <f ca="1">IFERROR(__xludf.DUMMYFUNCTION("""COMPUTED_VALUE"""),"Millar, Matthew")</f>
        <v>Millar, Matthew</v>
      </c>
      <c r="B609" t="str">
        <f ca="1">IFERROR(__xludf.DUMMYFUNCTION("""COMPUTED_VALUE"""),"Australia")</f>
        <v>Australia</v>
      </c>
    </row>
    <row r="610" spans="1:2" ht="12.75">
      <c r="A610" t="str">
        <f ca="1">IFERROR(__xludf.DUMMYFUNCTION("""COMPUTED_VALUE"""),"Miller, Brad")</f>
        <v>Miller, Brad</v>
      </c>
      <c r="B610" t="str">
        <f ca="1">IFERROR(__xludf.DUMMYFUNCTION("""COMPUTED_VALUE"""),"United States")</f>
        <v>United States</v>
      </c>
    </row>
    <row r="611" spans="1:2" ht="12.75">
      <c r="A611" t="str">
        <f ca="1">IFERROR(__xludf.DUMMYFUNCTION("""COMPUTED_VALUE"""),"Miller, Cole")</f>
        <v>Miller, Cole</v>
      </c>
      <c r="B611" t="str">
        <f ca="1">IFERROR(__xludf.DUMMYFUNCTION("""COMPUTED_VALUE"""),"United States")</f>
        <v>United States</v>
      </c>
    </row>
    <row r="612" spans="1:2" ht="12.75">
      <c r="A612" t="str">
        <f ca="1">IFERROR(__xludf.DUMMYFUNCTION("""COMPUTED_VALUE"""),"Miller, Michael")</f>
        <v>Miller, Michael</v>
      </c>
      <c r="B612" t="str">
        <f ca="1">IFERROR(__xludf.DUMMYFUNCTION("""COMPUTED_VALUE"""),"United States")</f>
        <v>United States</v>
      </c>
    </row>
    <row r="613" spans="1:2" ht="12.75">
      <c r="A613" t="str">
        <f ca="1">IFERROR(__xludf.DUMMYFUNCTION("""COMPUTED_VALUE"""),"Miller, Mike")</f>
        <v>Miller, Mike</v>
      </c>
      <c r="B613" t="str">
        <f ca="1">IFERROR(__xludf.DUMMYFUNCTION("""COMPUTED_VALUE"""),"United States")</f>
        <v>United States</v>
      </c>
    </row>
    <row r="614" spans="1:2" ht="12.75">
      <c r="A614" t="str">
        <f ca="1">IFERROR(__xludf.DUMMYFUNCTION("""COMPUTED_VALUE"""),"Mitchell, Keith")</f>
        <v>Mitchell, Keith</v>
      </c>
      <c r="B614" t="str">
        <f ca="1">IFERROR(__xludf.DUMMYFUNCTION("""COMPUTED_VALUE"""),"United States")</f>
        <v>United States</v>
      </c>
    </row>
    <row r="615" spans="1:2" ht="12.75">
      <c r="A615" t="str">
        <f ca="1">IFERROR(__xludf.DUMMYFUNCTION("""COMPUTED_VALUE"""),"Mize, Larry")</f>
        <v>Mize, Larry</v>
      </c>
      <c r="B615" t="str">
        <f ca="1">IFERROR(__xludf.DUMMYFUNCTION("""COMPUTED_VALUE"""),"United States")</f>
        <v>United States</v>
      </c>
    </row>
    <row r="616" spans="1:2" ht="12.75">
      <c r="A616" t="str">
        <f ca="1">IFERROR(__xludf.DUMMYFUNCTION("""COMPUTED_VALUE"""),"Molinari, Francesco")</f>
        <v>Molinari, Francesco</v>
      </c>
      <c r="B616" t="str">
        <f ca="1">IFERROR(__xludf.DUMMYFUNCTION("""COMPUTED_VALUE"""),"Italy")</f>
        <v>Italy</v>
      </c>
    </row>
    <row r="617" spans="1:2" ht="12.75">
      <c r="A617" t="str">
        <f ca="1">IFERROR(__xludf.DUMMYFUNCTION("""COMPUTED_VALUE"""),"Monagle, Colin")</f>
        <v>Monagle, Colin</v>
      </c>
      <c r="B617" t="str">
        <f ca="1">IFERROR(__xludf.DUMMYFUNCTION("""COMPUTED_VALUE"""),"United States")</f>
        <v>United States</v>
      </c>
    </row>
    <row r="618" spans="1:2" ht="12.75">
      <c r="A618" t="str">
        <f ca="1">IFERROR(__xludf.DUMMYFUNCTION("""COMPUTED_VALUE"""),"Montenegro, Marcos")</f>
        <v>Montenegro, Marcos</v>
      </c>
      <c r="B618" t="str">
        <f ca="1">IFERROR(__xludf.DUMMYFUNCTION("""COMPUTED_VALUE"""),"Argentina")</f>
        <v>Argentina</v>
      </c>
    </row>
    <row r="619" spans="1:2" ht="12.75">
      <c r="A619" t="str">
        <f ca="1">IFERROR(__xludf.DUMMYFUNCTION("""COMPUTED_VALUE"""),"Montgomery, Taylor")</f>
        <v>Montgomery, Taylor</v>
      </c>
      <c r="B619" t="str">
        <f ca="1">IFERROR(__xludf.DUMMYFUNCTION("""COMPUTED_VALUE"""),"United States")</f>
        <v>United States</v>
      </c>
    </row>
    <row r="620" spans="1:2" ht="12.75">
      <c r="A620" t="str">
        <f ca="1">IFERROR(__xludf.DUMMYFUNCTION("""COMPUTED_VALUE"""),"Moon, Kyongjun")</f>
        <v>Moon, Kyongjun</v>
      </c>
      <c r="B620" t="str">
        <f ca="1">IFERROR(__xludf.DUMMYFUNCTION("""COMPUTED_VALUE"""),"South Korea")</f>
        <v>South Korea</v>
      </c>
    </row>
    <row r="621" spans="1:2" ht="12.75">
      <c r="A621" t="str">
        <f ca="1">IFERROR(__xludf.DUMMYFUNCTION("""COMPUTED_VALUE"""),"Moore, Ryan")</f>
        <v>Moore, Ryan</v>
      </c>
      <c r="B621" t="str">
        <f ca="1">IFERROR(__xludf.DUMMYFUNCTION("""COMPUTED_VALUE"""),"United States")</f>
        <v>United States</v>
      </c>
    </row>
    <row r="622" spans="1:2" ht="12.75">
      <c r="A622" t="str">
        <f ca="1">IFERROR(__xludf.DUMMYFUNCTION("""COMPUTED_VALUE"""),"Morikawa, Collin")</f>
        <v>Morikawa, Collin</v>
      </c>
      <c r="B622" t="str">
        <f ca="1">IFERROR(__xludf.DUMMYFUNCTION("""COMPUTED_VALUE"""),"United States")</f>
        <v>United States</v>
      </c>
    </row>
    <row r="623" spans="1:2" ht="12.75">
      <c r="A623" t="str">
        <f ca="1">IFERROR(__xludf.DUMMYFUNCTION("""COMPUTED_VALUE"""),"Morris, Blake")</f>
        <v>Morris, Blake</v>
      </c>
      <c r="B623" t="str">
        <f ca="1">IFERROR(__xludf.DUMMYFUNCTION("""COMPUTED_VALUE"""),"United States")</f>
        <v>United States</v>
      </c>
    </row>
    <row r="624" spans="1:2" ht="12.75">
      <c r="A624" t="str">
        <f ca="1">IFERROR(__xludf.DUMMYFUNCTION("""COMPUTED_VALUE"""),"Mueller, Jesse")</f>
        <v>Mueller, Jesse</v>
      </c>
      <c r="B624" t="str">
        <f ca="1">IFERROR(__xludf.DUMMYFUNCTION("""COMPUTED_VALUE"""),"United States")</f>
        <v>United States</v>
      </c>
    </row>
    <row r="625" spans="1:2" ht="12.75">
      <c r="A625" t="str">
        <f ca="1">IFERROR(__xludf.DUMMYFUNCTION("""COMPUTED_VALUE"""),"Mulder, Mark")</f>
        <v>Mulder, Mark</v>
      </c>
      <c r="B625" t="str">
        <f ca="1">IFERROR(__xludf.DUMMYFUNCTION("""COMPUTED_VALUE"""),"United States")</f>
        <v>United States</v>
      </c>
    </row>
    <row r="626" spans="1:2" ht="12.75">
      <c r="A626" t="str">
        <f ca="1">IFERROR(__xludf.DUMMYFUNCTION("""COMPUTED_VALUE"""),"Mullinax, Trey")</f>
        <v>Mullinax, Trey</v>
      </c>
      <c r="B626" t="str">
        <f ca="1">IFERROR(__xludf.DUMMYFUNCTION("""COMPUTED_VALUE"""),"United States")</f>
        <v>United States</v>
      </c>
    </row>
    <row r="627" spans="1:2" ht="12.75">
      <c r="A627" t="str">
        <f ca="1">IFERROR(__xludf.DUMMYFUNCTION("""COMPUTED_VALUE"""),"Mun, Doyeob")</f>
        <v>Mun, Doyeob</v>
      </c>
      <c r="B627" t="str">
        <f ca="1">IFERROR(__xludf.DUMMYFUNCTION("""COMPUTED_VALUE"""),"South Korea")</f>
        <v>South Korea</v>
      </c>
    </row>
    <row r="628" spans="1:2" ht="12.75">
      <c r="A628" t="str">
        <f ca="1">IFERROR(__xludf.DUMMYFUNCTION("""COMPUTED_VALUE"""),"Munoz, Sebastian")</f>
        <v>Munoz, Sebastian</v>
      </c>
      <c r="B628" t="str">
        <f ca="1">IFERROR(__xludf.DUMMYFUNCTION("""COMPUTED_VALUE"""),"Colombia")</f>
        <v>Colombia</v>
      </c>
    </row>
    <row r="629" spans="1:2" ht="12.75">
      <c r="A629" t="str">
        <f ca="1">IFERROR(__xludf.DUMMYFUNCTION("""COMPUTED_VALUE"""),"Murray, Grayson")</f>
        <v>Murray, Grayson</v>
      </c>
      <c r="B629" t="str">
        <f ca="1">IFERROR(__xludf.DUMMYFUNCTION("""COMPUTED_VALUE"""),"United States")</f>
        <v>United States</v>
      </c>
    </row>
    <row r="630" spans="1:2" ht="12.75">
      <c r="A630" t="str">
        <f ca="1">IFERROR(__xludf.DUMMYFUNCTION("""COMPUTED_VALUE"""),"Murray, Zach")</f>
        <v>Murray, Zach</v>
      </c>
      <c r="B630" t="str">
        <f ca="1">IFERROR(__xludf.DUMMYFUNCTION("""COMPUTED_VALUE"""),"Australia")</f>
        <v>Australia</v>
      </c>
    </row>
    <row r="631" spans="1:2" ht="12.75">
      <c r="A631" t="str">
        <f ca="1">IFERROR(__xludf.DUMMYFUNCTION("""COMPUTED_VALUE"""),"Musselman, Cooper")</f>
        <v>Musselman, Cooper</v>
      </c>
      <c r="B631" t="str">
        <f ca="1">IFERROR(__xludf.DUMMYFUNCTION("""COMPUTED_VALUE"""),"United States")</f>
        <v>United States</v>
      </c>
    </row>
    <row r="632" spans="1:2" ht="12.75">
      <c r="A632" t="str">
        <f ca="1">IFERROR(__xludf.DUMMYFUNCTION("""COMPUTED_VALUE"""),"Muttitt, David")</f>
        <v>Muttitt, David</v>
      </c>
      <c r="B632" t="str">
        <f ca="1">IFERROR(__xludf.DUMMYFUNCTION("""COMPUTED_VALUE"""),"United States")</f>
        <v>United States</v>
      </c>
    </row>
    <row r="633" spans="1:2" ht="12.75">
      <c r="A633" t="str">
        <f ca="1">IFERROR(__xludf.DUMMYFUNCTION("""COMPUTED_VALUE"""),"N")</f>
        <v>N</v>
      </c>
      <c r="B633" t="str">
        <f ca="1">IFERROR(__xludf.DUMMYFUNCTION("""COMPUTED_VALUE"""),"")</f>
        <v/>
      </c>
    </row>
    <row r="634" spans="1:2" ht="12.75">
      <c r="A634" t="str">
        <f ca="1">IFERROR(__xludf.DUMMYFUNCTION("""COMPUTED_VALUE"""),"NAME")</f>
        <v>NAME</v>
      </c>
      <c r="B634" t="str">
        <f ca="1">IFERROR(__xludf.DUMMYFUNCTION("""COMPUTED_VALUE"""),"COUNTRY")</f>
        <v>COUNTRY</v>
      </c>
    </row>
    <row r="635" spans="1:2" ht="12.75">
      <c r="A635" t="str">
        <f ca="1">IFERROR(__xludf.DUMMYFUNCTION("""COMPUTED_VALUE"""),"Na, Kevin")</f>
        <v>Na, Kevin</v>
      </c>
      <c r="B635" t="str">
        <f ca="1">IFERROR(__xludf.DUMMYFUNCTION("""COMPUTED_VALUE"""),"United States")</f>
        <v>United States</v>
      </c>
    </row>
    <row r="636" spans="1:2" ht="12.75">
      <c r="A636" t="str">
        <f ca="1">IFERROR(__xludf.DUMMYFUNCTION("""COMPUTED_VALUE"""),"Nagy, Matt")</f>
        <v>Nagy, Matt</v>
      </c>
      <c r="B636" t="str">
        <f ca="1">IFERROR(__xludf.DUMMYFUNCTION("""COMPUTED_VALUE"""),"United States")</f>
        <v>United States</v>
      </c>
    </row>
    <row r="637" spans="1:2" ht="12.75">
      <c r="A637" t="str">
        <f ca="1">IFERROR(__xludf.DUMMYFUNCTION("""COMPUTED_VALUE"""),"Nakajima, Toru")</f>
        <v>Nakajima, Toru</v>
      </c>
      <c r="B637" t="str">
        <f ca="1">IFERROR(__xludf.DUMMYFUNCTION("""COMPUTED_VALUE"""),"Japan")</f>
        <v>Japan</v>
      </c>
    </row>
    <row r="638" spans="1:2" ht="12.75">
      <c r="A638" t="str">
        <f ca="1">IFERROR(__xludf.DUMMYFUNCTION("""COMPUTED_VALUE"""),"Naumec, Matt")</f>
        <v>Naumec, Matt</v>
      </c>
      <c r="B638" t="str">
        <f ca="1">IFERROR(__xludf.DUMMYFUNCTION("""COMPUTED_VALUE"""),"United States")</f>
        <v>United States</v>
      </c>
    </row>
    <row r="639" spans="1:2" ht="12.75">
      <c r="A639" t="str">
        <f ca="1">IFERROR(__xludf.DUMMYFUNCTION("""COMPUTED_VALUE"""),"Nesbitt, Drew")</f>
        <v>Nesbitt, Drew</v>
      </c>
      <c r="B639" t="str">
        <f ca="1">IFERROR(__xludf.DUMMYFUNCTION("""COMPUTED_VALUE"""),"Canada")</f>
        <v>Canada</v>
      </c>
    </row>
    <row r="640" spans="1:2" ht="12.75">
      <c r="A640" t="str">
        <f ca="1">IFERROR(__xludf.DUMMYFUNCTION("""COMPUTED_VALUE"""),"NeSmith, Matthew")</f>
        <v>NeSmith, Matthew</v>
      </c>
      <c r="B640" t="str">
        <f ca="1">IFERROR(__xludf.DUMMYFUNCTION("""COMPUTED_VALUE"""),"United States")</f>
        <v>United States</v>
      </c>
    </row>
    <row r="641" spans="1:2" ht="12.75">
      <c r="A641" t="str">
        <f ca="1">IFERROR(__xludf.DUMMYFUNCTION("""COMPUTED_VALUE"""),"Nethunzwi, Musolo")</f>
        <v>Nethunzwi, Musolo</v>
      </c>
      <c r="B641" t="str">
        <f ca="1">IFERROR(__xludf.DUMMYFUNCTION("""COMPUTED_VALUE"""),"South Africa")</f>
        <v>South Africa</v>
      </c>
    </row>
    <row r="642" spans="1:2" ht="12.75">
      <c r="A642" t="str">
        <f ca="1">IFERROR(__xludf.DUMMYFUNCTION("""COMPUTED_VALUE"""),"Nicholas, James")</f>
        <v>Nicholas, James</v>
      </c>
      <c r="B642" t="str">
        <f ca="1">IFERROR(__xludf.DUMMYFUNCTION("""COMPUTED_VALUE"""),"United States")</f>
        <v>United States</v>
      </c>
    </row>
    <row r="643" spans="1:2" ht="12.75">
      <c r="A643" t="str">
        <f ca="1">IFERROR(__xludf.DUMMYFUNCTION("""COMPUTED_VALUE"""),"Nicklaus, Gary")</f>
        <v>Nicklaus, Gary</v>
      </c>
      <c r="B643" t="str">
        <f ca="1">IFERROR(__xludf.DUMMYFUNCTION("""COMPUTED_VALUE"""),"United States")</f>
        <v>United States</v>
      </c>
    </row>
    <row r="644" spans="1:2" ht="12.75">
      <c r="A644" t="str">
        <f ca="1">IFERROR(__xludf.DUMMYFUNCTION("""COMPUTED_VALUE"""),"Nido, Chris")</f>
        <v>Nido, Chris</v>
      </c>
      <c r="B644" t="str">
        <f ca="1">IFERROR(__xludf.DUMMYFUNCTION("""COMPUTED_VALUE"""),"United States")</f>
        <v>United States</v>
      </c>
    </row>
    <row r="645" spans="1:2" ht="12.75">
      <c r="A645" t="str">
        <f ca="1">IFERROR(__xludf.DUMMYFUNCTION("""COMPUTED_VALUE"""),"Niemann, Joaquin")</f>
        <v>Niemann, Joaquin</v>
      </c>
      <c r="B645" t="str">
        <f ca="1">IFERROR(__xludf.DUMMYFUNCTION("""COMPUTED_VALUE"""),"Chile")</f>
        <v>Chile</v>
      </c>
    </row>
    <row r="646" spans="1:2" ht="12.75">
      <c r="A646" t="str">
        <f ca="1">IFERROR(__xludf.DUMMYFUNCTION("""COMPUTED_VALUE"""),"Nienaber, Wilco")</f>
        <v>Nienaber, Wilco</v>
      </c>
      <c r="B646" t="str">
        <f ca="1">IFERROR(__xludf.DUMMYFUNCTION("""COMPUTED_VALUE"""),"South Africa")</f>
        <v>South Africa</v>
      </c>
    </row>
    <row r="647" spans="1:2" ht="12.75">
      <c r="A647" t="str">
        <f ca="1">IFERROR(__xludf.DUMMYFUNCTION("""COMPUTED_VALUE"""),"Nimmer, Bryson")</f>
        <v>Nimmer, Bryson</v>
      </c>
      <c r="B647" t="str">
        <f ca="1">IFERROR(__xludf.DUMMYFUNCTION("""COMPUTED_VALUE"""),"United States")</f>
        <v>United States</v>
      </c>
    </row>
    <row r="648" spans="1:2" ht="12.75">
      <c r="A648" t="str">
        <f ca="1">IFERROR(__xludf.DUMMYFUNCTION("""COMPUTED_VALUE"""),"Nisbet, Daniel")</f>
        <v>Nisbet, Daniel</v>
      </c>
      <c r="B648" t="str">
        <f ca="1">IFERROR(__xludf.DUMMYFUNCTION("""COMPUTED_VALUE"""),"Australia")</f>
        <v>Australia</v>
      </c>
    </row>
    <row r="649" spans="1:2" ht="12.75">
      <c r="A649" t="str">
        <f ca="1">IFERROR(__xludf.DUMMYFUNCTION("""COMPUTED_VALUE"""),"Noh, Seung-yul")</f>
        <v>Noh, Seung-yul</v>
      </c>
      <c r="B649" t="str">
        <f ca="1">IFERROR(__xludf.DUMMYFUNCTION("""COMPUTED_VALUE"""),"South Korea")</f>
        <v>South Korea</v>
      </c>
    </row>
    <row r="650" spans="1:2" ht="12.75">
      <c r="A650" t="str">
        <f ca="1">IFERROR(__xludf.DUMMYFUNCTION("""COMPUTED_VALUE"""),"Noren, Alexander")</f>
        <v>Noren, Alexander</v>
      </c>
      <c r="B650" t="str">
        <f ca="1">IFERROR(__xludf.DUMMYFUNCTION("""COMPUTED_VALUE"""),"Sweden")</f>
        <v>Sweden</v>
      </c>
    </row>
    <row r="651" spans="1:2" ht="12.75">
      <c r="A651" t="str">
        <f ca="1">IFERROR(__xludf.DUMMYFUNCTION("""COMPUTED_VALUE"""),"Norlander, Henrik")</f>
        <v>Norlander, Henrik</v>
      </c>
      <c r="B651" t="str">
        <f ca="1">IFERROR(__xludf.DUMMYFUNCTION("""COMPUTED_VALUE"""),"Sweden")</f>
        <v>Sweden</v>
      </c>
    </row>
    <row r="652" spans="1:2" ht="12.75">
      <c r="A652" t="str">
        <f ca="1">IFERROR(__xludf.DUMMYFUNCTION("""COMPUTED_VALUE"""),"Norman, Brian")</f>
        <v>Norman, Brian</v>
      </c>
      <c r="B652" t="str">
        <f ca="1">IFERROR(__xludf.DUMMYFUNCTION("""COMPUTED_VALUE"""),"United States")</f>
        <v>United States</v>
      </c>
    </row>
    <row r="653" spans="1:2" ht="12.75">
      <c r="A653" t="str">
        <f ca="1">IFERROR(__xludf.DUMMYFUNCTION("""COMPUTED_VALUE"""),"Norris, Jason")</f>
        <v>Norris, Jason</v>
      </c>
      <c r="B653" t="str">
        <f ca="1">IFERROR(__xludf.DUMMYFUNCTION("""COMPUTED_VALUE"""),"Australia")</f>
        <v>Australia</v>
      </c>
    </row>
    <row r="654" spans="1:2" ht="12.75">
      <c r="A654" t="str">
        <f ca="1">IFERROR(__xludf.DUMMYFUNCTION("""COMPUTED_VALUE"""),"Norris, Shaun")</f>
        <v>Norris, Shaun</v>
      </c>
      <c r="B654" t="str">
        <f ca="1">IFERROR(__xludf.DUMMYFUNCTION("""COMPUTED_VALUE"""),"South Africa")</f>
        <v>South Africa</v>
      </c>
    </row>
    <row r="655" spans="1:2" ht="12.75">
      <c r="A655" t="str">
        <f ca="1">IFERROR(__xludf.DUMMYFUNCTION("""COMPUTED_VALUE"""),"Norton, Noah")</f>
        <v>Norton, Noah</v>
      </c>
      <c r="B655" t="str">
        <f ca="1">IFERROR(__xludf.DUMMYFUNCTION("""COMPUTED_VALUE"""),"United States")</f>
        <v>United States</v>
      </c>
    </row>
    <row r="656" spans="1:2" ht="12.75">
      <c r="A656" t="str">
        <f ca="1">IFERROR(__xludf.DUMMYFUNCTION("""COMPUTED_VALUE"""),"Novak, Andrew")</f>
        <v>Novak, Andrew</v>
      </c>
      <c r="B656" t="str">
        <f ca="1">IFERROR(__xludf.DUMMYFUNCTION("""COMPUTED_VALUE"""),"United States")</f>
        <v>United States</v>
      </c>
    </row>
    <row r="657" spans="1:2" ht="12.75">
      <c r="A657" t="str">
        <f ca="1">IFERROR(__xludf.DUMMYFUNCTION("""COMPUTED_VALUE"""),"Nygren, Cole")</f>
        <v>Nygren, Cole</v>
      </c>
      <c r="B657" t="str">
        <f ca="1">IFERROR(__xludf.DUMMYFUNCTION("""COMPUTED_VALUE"""),"United States")</f>
        <v>United States</v>
      </c>
    </row>
    <row r="658" spans="1:2" ht="12.75">
      <c r="A658" t="str">
        <f ca="1">IFERROR(__xludf.DUMMYFUNCTION("""COMPUTED_VALUE"""),"O")</f>
        <v>O</v>
      </c>
      <c r="B658" t="str">
        <f ca="1">IFERROR(__xludf.DUMMYFUNCTION("""COMPUTED_VALUE"""),"")</f>
        <v/>
      </c>
    </row>
    <row r="659" spans="1:2" ht="12.75">
      <c r="A659" t="str">
        <f ca="1">IFERROR(__xludf.DUMMYFUNCTION("""COMPUTED_VALUE"""),"NAME")</f>
        <v>NAME</v>
      </c>
      <c r="B659" t="str">
        <f ca="1">IFERROR(__xludf.DUMMYFUNCTION("""COMPUTED_VALUE"""),"COUNTRY")</f>
        <v>COUNTRY</v>
      </c>
    </row>
    <row r="660" spans="1:2" ht="12.75">
      <c r="A660" t="str">
        <f ca="1">IFERROR(__xludf.DUMMYFUNCTION("""COMPUTED_VALUE"""),"O'Connell, Kevin")</f>
        <v>O'Connell, Kevin</v>
      </c>
      <c r="B660" t="str">
        <f ca="1">IFERROR(__xludf.DUMMYFUNCTION("""COMPUTED_VALUE"""),"United States")</f>
        <v>United States</v>
      </c>
    </row>
    <row r="661" spans="1:2" ht="12.75">
      <c r="A661" t="str">
        <f ca="1">IFERROR(__xludf.DUMMYFUNCTION("""COMPUTED_VALUE"""),"O'Dell, Sam")</f>
        <v>O'Dell, Sam</v>
      </c>
      <c r="B661" t="str">
        <f ca="1">IFERROR(__xludf.DUMMYFUNCTION("""COMPUTED_VALUE"""),"United States")</f>
        <v>United States</v>
      </c>
    </row>
    <row r="662" spans="1:2" ht="12.75">
      <c r="A662" t="str">
        <f ca="1">IFERROR(__xludf.DUMMYFUNCTION("""COMPUTED_VALUE"""),"O'Hair, Sean")</f>
        <v>O'Hair, Sean</v>
      </c>
      <c r="B662" t="str">
        <f ca="1">IFERROR(__xludf.DUMMYFUNCTION("""COMPUTED_VALUE"""),"United States")</f>
        <v>United States</v>
      </c>
    </row>
    <row r="663" spans="1:2" ht="12.75">
      <c r="A663" t="str">
        <f ca="1">IFERROR(__xludf.DUMMYFUNCTION("""COMPUTED_VALUE"""),"O'Leary, John")</f>
        <v>O'Leary, John</v>
      </c>
      <c r="B663" t="str">
        <f ca="1">IFERROR(__xludf.DUMMYFUNCTION("""COMPUTED_VALUE"""),"United States")</f>
        <v>United States</v>
      </c>
    </row>
    <row r="664" spans="1:2" ht="12.75">
      <c r="A664" t="str">
        <f ca="1">IFERROR(__xludf.DUMMYFUNCTION("""COMPUTED_VALUE"""),"O'Neal, Timothy")</f>
        <v>O'Neal, Timothy</v>
      </c>
      <c r="B664" t="str">
        <f ca="1">IFERROR(__xludf.DUMMYFUNCTION("""COMPUTED_VALUE"""),"United States")</f>
        <v>United States</v>
      </c>
    </row>
    <row r="665" spans="1:2" ht="12.75">
      <c r="A665" t="str">
        <f ca="1">IFERROR(__xludf.DUMMYFUNCTION("""COMPUTED_VALUE"""),"O'Riley, Dean")</f>
        <v>O'Riley, Dean</v>
      </c>
      <c r="B665" t="str">
        <f ca="1">IFERROR(__xludf.DUMMYFUNCTION("""COMPUTED_VALUE"""),"South Africa")</f>
        <v>South Africa</v>
      </c>
    </row>
    <row r="666" spans="1:2" ht="12.75">
      <c r="A666" t="str">
        <f ca="1">IFERROR(__xludf.DUMMYFUNCTION("""COMPUTED_VALUE"""),"Oda, John")</f>
        <v>Oda, John</v>
      </c>
      <c r="B666" t="str">
        <f ca="1">IFERROR(__xludf.DUMMYFUNCTION("""COMPUTED_VALUE"""),"United States")</f>
        <v>United States</v>
      </c>
    </row>
    <row r="667" spans="1:2" ht="12.75">
      <c r="A667" t="str">
        <f ca="1">IFERROR(__xludf.DUMMYFUNCTION("""COMPUTED_VALUE"""),"Ogletree, Andy")</f>
        <v>Ogletree, Andy</v>
      </c>
      <c r="B667" t="str">
        <f ca="1">IFERROR(__xludf.DUMMYFUNCTION("""COMPUTED_VALUE"""),"United States")</f>
        <v>United States</v>
      </c>
    </row>
    <row r="668" spans="1:2" ht="12.75">
      <c r="A668" t="str">
        <f ca="1">IFERROR(__xludf.DUMMYFUNCTION("""COMPUTED_VALUE"""),"Oland, Derek")</f>
        <v>Oland, Derek</v>
      </c>
      <c r="B668" t="str">
        <f ca="1">IFERROR(__xludf.DUMMYFUNCTION("""COMPUTED_VALUE"""),"United States")</f>
        <v>United States</v>
      </c>
    </row>
    <row r="669" spans="1:2" ht="12.75">
      <c r="A669" t="str">
        <f ca="1">IFERROR(__xludf.DUMMYFUNCTION("""COMPUTED_VALUE"""),"Olazabal, Jose Maria")</f>
        <v>Olazabal, Jose Maria</v>
      </c>
      <c r="B669" t="str">
        <f ca="1">IFERROR(__xludf.DUMMYFUNCTION("""COMPUTED_VALUE"""),"Spain")</f>
        <v>Spain</v>
      </c>
    </row>
    <row r="670" spans="1:2" ht="12.75">
      <c r="A670" t="str">
        <f ca="1">IFERROR(__xludf.DUMMYFUNCTION("""COMPUTED_VALUE"""),"Olesen, Thorbjorn")</f>
        <v>Olesen, Thorbjorn</v>
      </c>
      <c r="B670" t="str">
        <f ca="1">IFERROR(__xludf.DUMMYFUNCTION("""COMPUTED_VALUE"""),"Denmark")</f>
        <v>Denmark</v>
      </c>
    </row>
    <row r="671" spans="1:2" ht="12.75">
      <c r="A671" t="str">
        <f ca="1">IFERROR(__xludf.DUMMYFUNCTION("""COMPUTED_VALUE"""),"Olivares, Marcel")</f>
        <v>Olivares, Marcel</v>
      </c>
      <c r="B671" t="str">
        <f ca="1">IFERROR(__xludf.DUMMYFUNCTION("""COMPUTED_VALUE"""),"Dominican Republic")</f>
        <v>Dominican Republic</v>
      </c>
    </row>
    <row r="672" spans="1:2" ht="12.75">
      <c r="A672" t="str">
        <f ca="1">IFERROR(__xludf.DUMMYFUNCTION("""COMPUTED_VALUE"""),"Olson, Eddie")</f>
        <v>Olson, Eddie</v>
      </c>
      <c r="B672" t="str">
        <f ca="1">IFERROR(__xludf.DUMMYFUNCTION("""COMPUTED_VALUE"""),"United States")</f>
        <v>United States</v>
      </c>
    </row>
    <row r="673" spans="1:2" ht="12.75">
      <c r="A673" t="str">
        <f ca="1">IFERROR(__xludf.DUMMYFUNCTION("""COMPUTED_VALUE"""),"Oosthuizen, Louis")</f>
        <v>Oosthuizen, Louis</v>
      </c>
      <c r="B673" t="str">
        <f ca="1">IFERROR(__xludf.DUMMYFUNCTION("""COMPUTED_VALUE"""),"South Africa")</f>
        <v>South Africa</v>
      </c>
    </row>
    <row r="674" spans="1:2" ht="12.75">
      <c r="A674" t="str">
        <f ca="1">IFERROR(__xludf.DUMMYFUNCTION("""COMPUTED_VALUE"""),"Oppenheim, Rob")</f>
        <v>Oppenheim, Rob</v>
      </c>
      <c r="B674" t="str">
        <f ca="1">IFERROR(__xludf.DUMMYFUNCTION("""COMPUTED_VALUE"""),"United States")</f>
        <v>United States</v>
      </c>
    </row>
    <row r="675" spans="1:2" ht="12.75">
      <c r="A675" t="str">
        <f ca="1">IFERROR(__xludf.DUMMYFUNCTION("""COMPUTED_VALUE"""),"Ortiz, Alvaro")</f>
        <v>Ortiz, Alvaro</v>
      </c>
      <c r="B675" t="str">
        <f ca="1">IFERROR(__xludf.DUMMYFUNCTION("""COMPUTED_VALUE"""),"Mexico")</f>
        <v>Mexico</v>
      </c>
    </row>
    <row r="676" spans="1:2" ht="12.75">
      <c r="A676" t="str">
        <f ca="1">IFERROR(__xludf.DUMMYFUNCTION("""COMPUTED_VALUE"""),"Ortiz, Carlos")</f>
        <v>Ortiz, Carlos</v>
      </c>
      <c r="B676" t="str">
        <f ca="1">IFERROR(__xludf.DUMMYFUNCTION("""COMPUTED_VALUE"""),"Mexico")</f>
        <v>Mexico</v>
      </c>
    </row>
    <row r="677" spans="1:2" ht="12.75">
      <c r="A677" t="str">
        <f ca="1">IFERROR(__xludf.DUMMYFUNCTION("""COMPUTED_VALUE"""),"Osborn, Garrett")</f>
        <v>Osborn, Garrett</v>
      </c>
      <c r="B677" t="str">
        <f ca="1">IFERROR(__xludf.DUMMYFUNCTION("""COMPUTED_VALUE"""),"United States")</f>
        <v>United States</v>
      </c>
    </row>
    <row r="678" spans="1:2" ht="12.75">
      <c r="A678" t="str">
        <f ca="1">IFERROR(__xludf.DUMMYFUNCTION("""COMPUTED_VALUE"""),"Osborne, Ollie")</f>
        <v>Osborne, Ollie</v>
      </c>
      <c r="B678" t="str">
        <f ca="1">IFERROR(__xludf.DUMMYFUNCTION("""COMPUTED_VALUE"""),"United States")</f>
        <v>United States</v>
      </c>
    </row>
    <row r="679" spans="1:2" ht="12.75">
      <c r="A679" t="str">
        <f ca="1">IFERROR(__xludf.DUMMYFUNCTION("""COMPUTED_VALUE"""),"Oshrine, Matt")</f>
        <v>Oshrine, Matt</v>
      </c>
      <c r="B679" t="str">
        <f ca="1">IFERROR(__xludf.DUMMYFUNCTION("""COMPUTED_VALUE"""),"United States")</f>
        <v>United States</v>
      </c>
    </row>
    <row r="680" spans="1:2" ht="12.75">
      <c r="A680" t="str">
        <f ca="1">IFERROR(__xludf.DUMMYFUNCTION("""COMPUTED_VALUE"""),"Ota, Tyler")</f>
        <v>Ota, Tyler</v>
      </c>
      <c r="B680" t="str">
        <f ca="1">IFERROR(__xludf.DUMMYFUNCTION("""COMPUTED_VALUE"""),"United States")</f>
        <v>United States</v>
      </c>
    </row>
    <row r="681" spans="1:2" ht="12.75">
      <c r="A681" t="str">
        <f ca="1">IFERROR(__xludf.DUMMYFUNCTION("""COMPUTED_VALUE"""),"Otaegui, Adrian")</f>
        <v>Otaegui, Adrian</v>
      </c>
      <c r="B681" t="str">
        <f ca="1">IFERROR(__xludf.DUMMYFUNCTION("""COMPUTED_VALUE"""),"Spain")</f>
        <v>Spain</v>
      </c>
    </row>
    <row r="682" spans="1:2" ht="12.75">
      <c r="A682" t="str">
        <f ca="1">IFERROR(__xludf.DUMMYFUNCTION("""COMPUTED_VALUE"""),"Otsuki, Tomoharu")</f>
        <v>Otsuki, Tomoharu</v>
      </c>
      <c r="B682" t="str">
        <f ca="1">IFERROR(__xludf.DUMMYFUNCTION("""COMPUTED_VALUE"""),"Japan")</f>
        <v>Japan</v>
      </c>
    </row>
    <row r="683" spans="1:2" ht="12.75">
      <c r="A683" t="str">
        <f ca="1">IFERROR(__xludf.DUMMYFUNCTION("""COMPUTED_VALUE"""),"Otte, Preston")</f>
        <v>Otte, Preston</v>
      </c>
      <c r="B683" t="str">
        <f ca="1">IFERROR(__xludf.DUMMYFUNCTION("""COMPUTED_VALUE"""),"United States")</f>
        <v>United States</v>
      </c>
    </row>
    <row r="684" spans="1:2" ht="12.75">
      <c r="A684" t="str">
        <f ca="1">IFERROR(__xludf.DUMMYFUNCTION("""COMPUTED_VALUE"""),"Owen, Jason")</f>
        <v>Owen, Jason</v>
      </c>
      <c r="B684" t="str">
        <f ca="1">IFERROR(__xludf.DUMMYFUNCTION("""COMPUTED_VALUE"""),"United States")</f>
        <v>United States</v>
      </c>
    </row>
    <row r="685" spans="1:2" ht="12.75">
      <c r="A685" t="str">
        <f ca="1">IFERROR(__xludf.DUMMYFUNCTION("""COMPUTED_VALUE"""),"Owen, Kyle")</f>
        <v>Owen, Kyle</v>
      </c>
      <c r="B685" t="str">
        <f ca="1">IFERROR(__xludf.DUMMYFUNCTION("""COMPUTED_VALUE"""),"United States")</f>
        <v>United States</v>
      </c>
    </row>
    <row r="686" spans="1:2" ht="12.75">
      <c r="A686" t="str">
        <f ca="1">IFERROR(__xludf.DUMMYFUNCTION("""COMPUTED_VALUE"""),"P")</f>
        <v>P</v>
      </c>
      <c r="B686" t="str">
        <f ca="1">IFERROR(__xludf.DUMMYFUNCTION("""COMPUTED_VALUE"""),"")</f>
        <v/>
      </c>
    </row>
    <row r="687" spans="1:2" ht="12.75">
      <c r="A687" t="str">
        <f ca="1">IFERROR(__xludf.DUMMYFUNCTION("""COMPUTED_VALUE"""),"NAME")</f>
        <v>NAME</v>
      </c>
      <c r="B687" t="str">
        <f ca="1">IFERROR(__xludf.DUMMYFUNCTION("""COMPUTED_VALUE"""),"COUNTRY")</f>
        <v>COUNTRY</v>
      </c>
    </row>
    <row r="688" spans="1:2" ht="12.75">
      <c r="A688" t="str">
        <f ca="1">IFERROR(__xludf.DUMMYFUNCTION("""COMPUTED_VALUE"""),"Page, Carter")</f>
        <v>Page, Carter</v>
      </c>
      <c r="B688" t="str">
        <f ca="1">IFERROR(__xludf.DUMMYFUNCTION("""COMPUTED_VALUE"""),"United States")</f>
        <v>United States</v>
      </c>
    </row>
    <row r="689" spans="1:2" ht="12.75">
      <c r="A689" t="str">
        <f ca="1">IFERROR(__xludf.DUMMYFUNCTION("""COMPUTED_VALUE"""),"Pak, John")</f>
        <v>Pak, John</v>
      </c>
      <c r="B689" t="str">
        <f ca="1">IFERROR(__xludf.DUMMYFUNCTION("""COMPUTED_VALUE"""),"United States")</f>
        <v>United States</v>
      </c>
    </row>
    <row r="690" spans="1:2" ht="12.75">
      <c r="A690" t="str">
        <f ca="1">IFERROR(__xludf.DUMMYFUNCTION("""COMPUTED_VALUE"""),"Palmer, Ryan")</f>
        <v>Palmer, Ryan</v>
      </c>
      <c r="B690" t="str">
        <f ca="1">IFERROR(__xludf.DUMMYFUNCTION("""COMPUTED_VALUE"""),"United States")</f>
        <v>United States</v>
      </c>
    </row>
    <row r="691" spans="1:2" ht="12.75">
      <c r="A691" t="str">
        <f ca="1">IFERROR(__xludf.DUMMYFUNCTION("""COMPUTED_VALUE"""),"Pampling, Rod")</f>
        <v>Pampling, Rod</v>
      </c>
      <c r="B691" t="str">
        <f ca="1">IFERROR(__xludf.DUMMYFUNCTION("""COMPUTED_VALUE"""),"Australia")</f>
        <v>Australia</v>
      </c>
    </row>
    <row r="692" spans="1:2" ht="12.75">
      <c r="A692" t="str">
        <f ca="1">IFERROR(__xludf.DUMMYFUNCTION("""COMPUTED_VALUE"""),"Pan, C.T.")</f>
        <v>Pan, C.T.</v>
      </c>
      <c r="B692" t="str">
        <f ca="1">IFERROR(__xludf.DUMMYFUNCTION("""COMPUTED_VALUE"""),"Chinese Taipei")</f>
        <v>Chinese Taipei</v>
      </c>
    </row>
    <row r="693" spans="1:2" ht="12.75">
      <c r="A693" t="str">
        <f ca="1">IFERROR(__xludf.DUMMYFUNCTION("""COMPUTED_VALUE"""),"Papadatos, Dimitrios")</f>
        <v>Papadatos, Dimitrios</v>
      </c>
      <c r="B693" t="str">
        <f ca="1">IFERROR(__xludf.DUMMYFUNCTION("""COMPUTED_VALUE"""),"Australia")</f>
        <v>Australia</v>
      </c>
    </row>
    <row r="694" spans="1:2" ht="12.75">
      <c r="A694" t="str">
        <f ca="1">IFERROR(__xludf.DUMMYFUNCTION("""COMPUTED_VALUE"""),"Paratore, Renato")</f>
        <v>Paratore, Renato</v>
      </c>
      <c r="B694" t="str">
        <f ca="1">IFERROR(__xludf.DUMMYFUNCTION("""COMPUTED_VALUE"""),"Italy")</f>
        <v>Italy</v>
      </c>
    </row>
    <row r="695" spans="1:2" ht="12.75">
      <c r="A695" t="str">
        <f ca="1">IFERROR(__xludf.DUMMYFUNCTION("""COMPUTED_VALUE"""),"Park, Joung-whan")</f>
        <v>Park, Joung-whan</v>
      </c>
      <c r="B695" t="str">
        <f ca="1">IFERROR(__xludf.DUMMYFUNCTION("""COMPUTED_VALUE"""),"Korea")</f>
        <v>Korea</v>
      </c>
    </row>
    <row r="696" spans="1:2" ht="12.75">
      <c r="A696" t="str">
        <f ca="1">IFERROR(__xludf.DUMMYFUNCTION("""COMPUTED_VALUE"""),"Park, Sang-hyun")</f>
        <v>Park, Sang-hyun</v>
      </c>
      <c r="B696" t="str">
        <f ca="1">IFERROR(__xludf.DUMMYFUNCTION("""COMPUTED_VALUE"""),"South Korea")</f>
        <v>South Korea</v>
      </c>
    </row>
    <row r="697" spans="1:2" ht="12.75">
      <c r="A697" t="str">
        <f ca="1">IFERROR(__xludf.DUMMYFUNCTION("""COMPUTED_VALUE"""),"Park, Sanghyun")</f>
        <v>Park, Sanghyun</v>
      </c>
      <c r="B697" t="str">
        <f ca="1">IFERROR(__xludf.DUMMYFUNCTION("""COMPUTED_VALUE"""),"South Korea")</f>
        <v>South Korea</v>
      </c>
    </row>
    <row r="698" spans="1:2" ht="12.75">
      <c r="A698" t="str">
        <f ca="1">IFERROR(__xludf.DUMMYFUNCTION("""COMPUTED_VALUE"""),"Parziale, Matt")</f>
        <v>Parziale, Matt</v>
      </c>
      <c r="B698" t="str">
        <f ca="1">IFERROR(__xludf.DUMMYFUNCTION("""COMPUTED_VALUE"""),"United States")</f>
        <v>United States</v>
      </c>
    </row>
    <row r="699" spans="1:2" ht="12.75">
      <c r="A699" t="str">
        <f ca="1">IFERROR(__xludf.DUMMYFUNCTION("""COMPUTED_VALUE"""),"Pastore, David")</f>
        <v>Pastore, David</v>
      </c>
      <c r="B699" t="str">
        <f ca="1">IFERROR(__xludf.DUMMYFUNCTION("""COMPUTED_VALUE"""),"United States")</f>
        <v>United States</v>
      </c>
    </row>
    <row r="700" spans="1:2" ht="12.75">
      <c r="A700" t="str">
        <f ca="1">IFERROR(__xludf.DUMMYFUNCTION("""COMPUTED_VALUE"""),"Pavan, Andrea")</f>
        <v>Pavan, Andrea</v>
      </c>
      <c r="B700" t="str">
        <f ca="1">IFERROR(__xludf.DUMMYFUNCTION("""COMPUTED_VALUE"""),"Italy")</f>
        <v>Italy</v>
      </c>
    </row>
    <row r="701" spans="1:2" ht="12.75">
      <c r="A701" t="str">
        <f ca="1">IFERROR(__xludf.DUMMYFUNCTION("""COMPUTED_VALUE"""),"Pavon, Matthieu")</f>
        <v>Pavon, Matthieu</v>
      </c>
      <c r="B701" t="str">
        <f ca="1">IFERROR(__xludf.DUMMYFUNCTION("""COMPUTED_VALUE"""),"France")</f>
        <v>France</v>
      </c>
    </row>
    <row r="702" spans="1:2" ht="12.75">
      <c r="A702" t="str">
        <f ca="1">IFERROR(__xludf.DUMMYFUNCTION("""COMPUTED_VALUE"""),"Pearman, Dwayne")</f>
        <v>Pearman, Dwayne</v>
      </c>
      <c r="B702" t="str">
        <f ca="1">IFERROR(__xludf.DUMMYFUNCTION("""COMPUTED_VALUE"""),"Bermuda")</f>
        <v>Bermuda</v>
      </c>
    </row>
    <row r="703" spans="1:2" ht="12.75">
      <c r="A703" t="str">
        <f ca="1">IFERROR(__xludf.DUMMYFUNCTION("""COMPUTED_VALUE"""),"Pena, Rhadames")</f>
        <v>Pena, Rhadames</v>
      </c>
      <c r="B703" t="str">
        <f ca="1">IFERROR(__xludf.DUMMYFUNCTION("""COMPUTED_VALUE"""),"Dominican Republic")</f>
        <v>Dominican Republic</v>
      </c>
    </row>
    <row r="704" spans="1:2" ht="12.75">
      <c r="A704" t="str">
        <f ca="1">IFERROR(__xludf.DUMMYFUNCTION("""COMPUTED_VALUE"""),"Pendrith, Taylor")</f>
        <v>Pendrith, Taylor</v>
      </c>
      <c r="B704" t="str">
        <f ca="1">IFERROR(__xludf.DUMMYFUNCTION("""COMPUTED_VALUE"""),"Canada")</f>
        <v>Canada</v>
      </c>
    </row>
    <row r="705" spans="1:2" ht="12.75">
      <c r="A705" t="str">
        <f ca="1">IFERROR(__xludf.DUMMYFUNCTION("""COMPUTED_VALUE"""),"Pepperell, Eddie")</f>
        <v>Pepperell, Eddie</v>
      </c>
      <c r="B705" t="str">
        <f ca="1">IFERROR(__xludf.DUMMYFUNCTION("""COMPUTED_VALUE"""),"England")</f>
        <v>England</v>
      </c>
    </row>
    <row r="706" spans="1:2" ht="12.75">
      <c r="A706" t="str">
        <f ca="1">IFERROR(__xludf.DUMMYFUNCTION("""COMPUTED_VALUE"""),"Percy, Cameron")</f>
        <v>Percy, Cameron</v>
      </c>
      <c r="B706" t="str">
        <f ca="1">IFERROR(__xludf.DUMMYFUNCTION("""COMPUTED_VALUE"""),"Australia")</f>
        <v>Australia</v>
      </c>
    </row>
    <row r="707" spans="1:2" ht="12.75">
      <c r="A707" t="str">
        <f ca="1">IFERROR(__xludf.DUMMYFUNCTION("""COMPUTED_VALUE"""),"Pereira, Mito")</f>
        <v>Pereira, Mito</v>
      </c>
      <c r="B707" t="str">
        <f ca="1">IFERROR(__xludf.DUMMYFUNCTION("""COMPUTED_VALUE"""),"Chile")</f>
        <v>Chile</v>
      </c>
    </row>
    <row r="708" spans="1:2" ht="12.75">
      <c r="A708" t="str">
        <f ca="1">IFERROR(__xludf.DUMMYFUNCTION("""COMPUTED_VALUE"""),"Perez, Pat")</f>
        <v>Perez, Pat</v>
      </c>
      <c r="B708" t="str">
        <f ca="1">IFERROR(__xludf.DUMMYFUNCTION("""COMPUTED_VALUE"""),"United States")</f>
        <v>United States</v>
      </c>
    </row>
    <row r="709" spans="1:2" ht="12.75">
      <c r="A709" t="str">
        <f ca="1">IFERROR(__xludf.DUMMYFUNCTION("""COMPUTED_VALUE"""),"Perez, Victor")</f>
        <v>Perez, Victor</v>
      </c>
      <c r="B709" t="str">
        <f ca="1">IFERROR(__xludf.DUMMYFUNCTION("""COMPUTED_VALUE"""),"France")</f>
        <v>France</v>
      </c>
    </row>
    <row r="710" spans="1:2" ht="12.75">
      <c r="A710" t="str">
        <f ca="1">IFERROR(__xludf.DUMMYFUNCTION("""COMPUTED_VALUE"""),"Perras, Michael")</f>
        <v>Perras, Michael</v>
      </c>
      <c r="B710" t="str">
        <f ca="1">IFERROR(__xludf.DUMMYFUNCTION("""COMPUTED_VALUE"""),"United States")</f>
        <v>United States</v>
      </c>
    </row>
    <row r="711" spans="1:2" ht="12.75">
      <c r="A711" t="str">
        <f ca="1">IFERROR(__xludf.DUMMYFUNCTION("""COMPUTED_VALUE"""),"Perry, Kenny")</f>
        <v>Perry, Kenny</v>
      </c>
      <c r="B711" t="str">
        <f ca="1">IFERROR(__xludf.DUMMYFUNCTION("""COMPUTED_VALUE"""),"United States")</f>
        <v>United States</v>
      </c>
    </row>
    <row r="712" spans="1:2" ht="12.75">
      <c r="A712" t="str">
        <f ca="1">IFERROR(__xludf.DUMMYFUNCTION("""COMPUTED_VALUE"""),"Perry, Rod")</f>
        <v>Perry, Rod</v>
      </c>
      <c r="B712" t="str">
        <f ca="1">IFERROR(__xludf.DUMMYFUNCTION("""COMPUTED_VALUE"""),"United States")</f>
        <v>United States</v>
      </c>
    </row>
    <row r="713" spans="1:2" ht="12.75">
      <c r="A713" t="str">
        <f ca="1">IFERROR(__xludf.DUMMYFUNCTION("""COMPUTED_VALUE"""),"Peterson, Paul")</f>
        <v>Peterson, Paul</v>
      </c>
      <c r="B713" t="str">
        <f ca="1">IFERROR(__xludf.DUMMYFUNCTION("""COMPUTED_VALUE"""),"United States")</f>
        <v>United States</v>
      </c>
    </row>
    <row r="714" spans="1:2" ht="12.75">
      <c r="A714" t="str">
        <f ca="1">IFERROR(__xludf.DUMMYFUNCTION("""COMPUTED_VALUE"""),"Pettersson, Carl")</f>
        <v>Pettersson, Carl</v>
      </c>
      <c r="B714" t="str">
        <f ca="1">IFERROR(__xludf.DUMMYFUNCTION("""COMPUTED_VALUE"""),"Sweden")</f>
        <v>Sweden</v>
      </c>
    </row>
    <row r="715" spans="1:2" ht="12.75">
      <c r="A715" t="str">
        <f ca="1">IFERROR(__xludf.DUMMYFUNCTION("""COMPUTED_VALUE"""),"Phillips, Chandler")</f>
        <v>Phillips, Chandler</v>
      </c>
      <c r="B715" t="str">
        <f ca="1">IFERROR(__xludf.DUMMYFUNCTION("""COMPUTED_VALUE"""),"United States")</f>
        <v>United States</v>
      </c>
    </row>
    <row r="716" spans="1:2" ht="12.75">
      <c r="A716" t="str">
        <f ca="1">IFERROR(__xludf.DUMMYFUNCTION("""COMPUTED_VALUE"""),"Phipps, Anthony")</f>
        <v>Phipps, Anthony</v>
      </c>
      <c r="B716" t="str">
        <f ca="1">IFERROR(__xludf.DUMMYFUNCTION("""COMPUTED_VALUE"""),"United States")</f>
        <v>United States</v>
      </c>
    </row>
    <row r="717" spans="1:2" ht="12.75">
      <c r="A717" t="str">
        <f ca="1">IFERROR(__xludf.DUMMYFUNCTION("""COMPUTED_VALUE"""),"Piercy, Scott")</f>
        <v>Piercy, Scott</v>
      </c>
      <c r="B717" t="str">
        <f ca="1">IFERROR(__xludf.DUMMYFUNCTION("""COMPUTED_VALUE"""),"United States")</f>
        <v>United States</v>
      </c>
    </row>
    <row r="718" spans="1:2" ht="12.75">
      <c r="A718" t="str">
        <f ca="1">IFERROR(__xludf.DUMMYFUNCTION("""COMPUTED_VALUE"""),"Pieters, Thomas")</f>
        <v>Pieters, Thomas</v>
      </c>
      <c r="B718" t="str">
        <f ca="1">IFERROR(__xludf.DUMMYFUNCTION("""COMPUTED_VALUE"""),"Belgium")</f>
        <v>Belgium</v>
      </c>
    </row>
    <row r="719" spans="1:2" ht="12.75">
      <c r="A719" t="str">
        <f ca="1">IFERROR(__xludf.DUMMYFUNCTION("""COMPUTED_VALUE"""),"Pigman, Kenny")</f>
        <v>Pigman, Kenny</v>
      </c>
      <c r="B719" t="str">
        <f ca="1">IFERROR(__xludf.DUMMYFUNCTION("""COMPUTED_VALUE"""),"United States")</f>
        <v>United States</v>
      </c>
    </row>
    <row r="720" spans="1:2" ht="12.75">
      <c r="A720" t="str">
        <f ca="1">IFERROR(__xludf.DUMMYFUNCTION("""COMPUTED_VALUE"""),"Piller, Martin")</f>
        <v>Piller, Martin</v>
      </c>
      <c r="B720" t="str">
        <f ca="1">IFERROR(__xludf.DUMMYFUNCTION("""COMPUTED_VALUE"""),"United States")</f>
        <v>United States</v>
      </c>
    </row>
    <row r="721" spans="1:2" ht="12.75">
      <c r="A721" t="str">
        <f ca="1">IFERROR(__xludf.DUMMYFUNCTION("""COMPUTED_VALUE"""),"Points, D.A.")</f>
        <v>Points, D.A.</v>
      </c>
      <c r="B721" t="str">
        <f ca="1">IFERROR(__xludf.DUMMYFUNCTION("""COMPUTED_VALUE"""),"United States")</f>
        <v>United States</v>
      </c>
    </row>
    <row r="722" spans="1:2" ht="12.75">
      <c r="A722" t="str">
        <f ca="1">IFERROR(__xludf.DUMMYFUNCTION("""COMPUTED_VALUE"""),"Poncino, Vinnie")</f>
        <v>Poncino, Vinnie</v>
      </c>
      <c r="B722" t="str">
        <f ca="1">IFERROR(__xludf.DUMMYFUNCTION("""COMPUTED_VALUE"""),"United States")</f>
        <v>United States</v>
      </c>
    </row>
    <row r="723" spans="1:2" ht="12.75">
      <c r="A723" t="str">
        <f ca="1">IFERROR(__xludf.DUMMYFUNCTION("""COMPUTED_VALUE"""),"Pope, Andy")</f>
        <v>Pope, Andy</v>
      </c>
      <c r="B723" t="str">
        <f ca="1">IFERROR(__xludf.DUMMYFUNCTION("""COMPUTED_VALUE"""),"United States")</f>
        <v>United States</v>
      </c>
    </row>
    <row r="724" spans="1:2" ht="12.75">
      <c r="A724" t="str">
        <f ca="1">IFERROR(__xludf.DUMMYFUNCTION("""COMPUTED_VALUE"""),"Porteous, Garrick")</f>
        <v>Porteous, Garrick</v>
      </c>
      <c r="B724" t="str">
        <f ca="1">IFERROR(__xludf.DUMMYFUNCTION("""COMPUTED_VALUE"""),"England")</f>
        <v>England</v>
      </c>
    </row>
    <row r="725" spans="1:2" ht="12.75">
      <c r="A725" t="str">
        <f ca="1">IFERROR(__xludf.DUMMYFUNCTION("""COMPUTED_VALUE"""),"Poston, J.T.")</f>
        <v>Poston, J.T.</v>
      </c>
      <c r="B725" t="str">
        <f ca="1">IFERROR(__xludf.DUMMYFUNCTION("""COMPUTED_VALUE"""),"United States")</f>
        <v>United States</v>
      </c>
    </row>
    <row r="726" spans="1:2" ht="12.75">
      <c r="A726" t="str">
        <f ca="1">IFERROR(__xludf.DUMMYFUNCTION("""COMPUTED_VALUE"""),"Potter Jr., Ted")</f>
        <v>Potter Jr., Ted</v>
      </c>
      <c r="B726" t="str">
        <f ca="1">IFERROR(__xludf.DUMMYFUNCTION("""COMPUTED_VALUE"""),"United States")</f>
        <v>United States</v>
      </c>
    </row>
    <row r="727" spans="1:2" ht="12.75">
      <c r="A727" t="str">
        <f ca="1">IFERROR(__xludf.DUMMYFUNCTION("""COMPUTED_VALUE"""),"Poulter, Ian")</f>
        <v>Poulter, Ian</v>
      </c>
      <c r="B727" t="str">
        <f ca="1">IFERROR(__xludf.DUMMYFUNCTION("""COMPUTED_VALUE"""),"England")</f>
        <v>England</v>
      </c>
    </row>
    <row r="728" spans="1:2" ht="12.75">
      <c r="A728" t="str">
        <f ca="1">IFERROR(__xludf.DUMMYFUNCTION("""COMPUTED_VALUE"""),"Power, Seamus")</f>
        <v>Power, Seamus</v>
      </c>
      <c r="B728" t="str">
        <f ca="1">IFERROR(__xludf.DUMMYFUNCTION("""COMPUTED_VALUE"""),"Ireland")</f>
        <v>Ireland</v>
      </c>
    </row>
    <row r="729" spans="1:2" ht="12.75">
      <c r="A729" t="str">
        <f ca="1">IFERROR(__xludf.DUMMYFUNCTION("""COMPUTED_VALUE"""),"Pratt, Kieran")</f>
        <v>Pratt, Kieran</v>
      </c>
      <c r="B729" t="str">
        <f ca="1">IFERROR(__xludf.DUMMYFUNCTION("""COMPUTED_VALUE"""),"Australia")</f>
        <v>Australia</v>
      </c>
    </row>
    <row r="730" spans="1:2" ht="12.75">
      <c r="A730" t="str">
        <f ca="1">IFERROR(__xludf.DUMMYFUNCTION("""COMPUTED_VALUE"""),"Pride, Dicky")</f>
        <v>Pride, Dicky</v>
      </c>
      <c r="B730" t="str">
        <f ca="1">IFERROR(__xludf.DUMMYFUNCTION("""COMPUTED_VALUE"""),"United States")</f>
        <v>United States</v>
      </c>
    </row>
    <row r="731" spans="1:2" ht="12.75">
      <c r="A731" t="str">
        <f ca="1">IFERROR(__xludf.DUMMYFUNCTION("""COMPUTED_VALUE"""),"Prugh, Alex")</f>
        <v>Prugh, Alex</v>
      </c>
      <c r="B731" t="str">
        <f ca="1">IFERROR(__xludf.DUMMYFUNCTION("""COMPUTED_VALUE"""),"United States")</f>
        <v>United States</v>
      </c>
    </row>
    <row r="732" spans="1:2" ht="12.75">
      <c r="A732" t="str">
        <f ca="1">IFERROR(__xludf.DUMMYFUNCTION("""COMPUTED_VALUE"""),"Pumarol, Willy")</f>
        <v>Pumarol, Willy</v>
      </c>
      <c r="B732" t="str">
        <f ca="1">IFERROR(__xludf.DUMMYFUNCTION("""COMPUTED_VALUE"""),"United States")</f>
        <v>United States</v>
      </c>
    </row>
    <row r="733" spans="1:2" ht="12.75">
      <c r="A733" t="str">
        <f ca="1">IFERROR(__xludf.DUMMYFUNCTION("""COMPUTED_VALUE"""),"Purdy, Ted")</f>
        <v>Purdy, Ted</v>
      </c>
      <c r="B733" t="str">
        <f ca="1">IFERROR(__xludf.DUMMYFUNCTION("""COMPUTED_VALUE"""),"United States")</f>
        <v>United States</v>
      </c>
    </row>
    <row r="734" spans="1:2" ht="12.75">
      <c r="A734" t="str">
        <f ca="1">IFERROR(__xludf.DUMMYFUNCTION("""COMPUTED_VALUE"""),"Purtzer, Tom")</f>
        <v>Purtzer, Tom</v>
      </c>
      <c r="B734" t="str">
        <f ca="1">IFERROR(__xludf.DUMMYFUNCTION("""COMPUTED_VALUE"""),"United States")</f>
        <v>United States</v>
      </c>
    </row>
    <row r="735" spans="1:2" ht="12.75">
      <c r="A735" t="str">
        <f ca="1">IFERROR(__xludf.DUMMYFUNCTION("""COMPUTED_VALUE"""),"Putnam, Andrew")</f>
        <v>Putnam, Andrew</v>
      </c>
      <c r="B735" t="str">
        <f ca="1">IFERROR(__xludf.DUMMYFUNCTION("""COMPUTED_VALUE"""),"United States")</f>
        <v>United States</v>
      </c>
    </row>
    <row r="736" spans="1:2" ht="12.75">
      <c r="A736" t="str">
        <f ca="1">IFERROR(__xludf.DUMMYFUNCTION("""COMPUTED_VALUE"""),"Q")</f>
        <v>Q</v>
      </c>
      <c r="B736" t="str">
        <f ca="1">IFERROR(__xludf.DUMMYFUNCTION("""COMPUTED_VALUE"""),"")</f>
        <v/>
      </c>
    </row>
    <row r="737" spans="1:2" ht="12.75">
      <c r="A737" t="str">
        <f ca="1">IFERROR(__xludf.DUMMYFUNCTION("""COMPUTED_VALUE"""),"NAME")</f>
        <v>NAME</v>
      </c>
      <c r="B737" t="str">
        <f ca="1">IFERROR(__xludf.DUMMYFUNCTION("""COMPUTED_VALUE"""),"COUNTRY")</f>
        <v>COUNTRY</v>
      </c>
    </row>
    <row r="738" spans="1:2" ht="12.75">
      <c r="A738" t="str">
        <f ca="1">IFERROR(__xludf.DUMMYFUNCTION("""COMPUTED_VALUE"""),"Quigley, Brett")</f>
        <v>Quigley, Brett</v>
      </c>
      <c r="B738" t="str">
        <f ca="1">IFERROR(__xludf.DUMMYFUNCTION("""COMPUTED_VALUE"""),"United States")</f>
        <v>United States</v>
      </c>
    </row>
    <row r="739" spans="1:2" ht="12.75">
      <c r="A739" t="str">
        <f ca="1">IFERROR(__xludf.DUMMYFUNCTION("""COMPUTED_VALUE"""),"R")</f>
        <v>R</v>
      </c>
      <c r="B739" t="str">
        <f ca="1">IFERROR(__xludf.DUMMYFUNCTION("""COMPUTED_VALUE"""),"")</f>
        <v/>
      </c>
    </row>
    <row r="740" spans="1:2" ht="12.75">
      <c r="A740" t="str">
        <f ca="1">IFERROR(__xludf.DUMMYFUNCTION("""COMPUTED_VALUE"""),"NAME")</f>
        <v>NAME</v>
      </c>
      <c r="B740" t="str">
        <f ca="1">IFERROR(__xludf.DUMMYFUNCTION("""COMPUTED_VALUE"""),"COUNTRY")</f>
        <v>COUNTRY</v>
      </c>
    </row>
    <row r="741" spans="1:2" ht="12.75">
      <c r="A741" t="str">
        <f ca="1">IFERROR(__xludf.DUMMYFUNCTION("""COMPUTED_VALUE"""),"Raber, Tyler")</f>
        <v>Raber, Tyler</v>
      </c>
      <c r="B741" t="str">
        <f ca="1">IFERROR(__xludf.DUMMYFUNCTION("""COMPUTED_VALUE"""),"United States")</f>
        <v>United States</v>
      </c>
    </row>
    <row r="742" spans="1:2" ht="12.75">
      <c r="A742" t="str">
        <f ca="1">IFERROR(__xludf.DUMMYFUNCTION("""COMPUTED_VALUE"""),"Rahm, Jon")</f>
        <v>Rahm, Jon</v>
      </c>
      <c r="B742" t="str">
        <f ca="1">IFERROR(__xludf.DUMMYFUNCTION("""COMPUTED_VALUE"""),"Spain")</f>
        <v>Spain</v>
      </c>
    </row>
    <row r="743" spans="1:2" ht="12.75">
      <c r="A743" t="str">
        <f ca="1">IFERROR(__xludf.DUMMYFUNCTION("""COMPUTED_VALUE"""),"Rai, Aaron")</f>
        <v>Rai, Aaron</v>
      </c>
      <c r="B743" t="str">
        <f ca="1">IFERROR(__xludf.DUMMYFUNCTION("""COMPUTED_VALUE"""),"England")</f>
        <v>England</v>
      </c>
    </row>
    <row r="744" spans="1:2" ht="12.75">
      <c r="A744" t="str">
        <f ca="1">IFERROR(__xludf.DUMMYFUNCTION("""COMPUTED_VALUE"""),"Ralston, Spencer")</f>
        <v>Ralston, Spencer</v>
      </c>
      <c r="B744" t="str">
        <f ca="1">IFERROR(__xludf.DUMMYFUNCTION("""COMPUTED_VALUE"""),"United States")</f>
        <v>United States</v>
      </c>
    </row>
    <row r="745" spans="1:2" ht="12.75">
      <c r="A745" t="str">
        <f ca="1">IFERROR(__xludf.DUMMYFUNCTION("""COMPUTED_VALUE"""),"Ramey, Chad")</f>
        <v>Ramey, Chad</v>
      </c>
      <c r="B745" t="str">
        <f ca="1">IFERROR(__xludf.DUMMYFUNCTION("""COMPUTED_VALUE"""),"United States")</f>
        <v>United States</v>
      </c>
    </row>
    <row r="746" spans="1:2" ht="12.75">
      <c r="A746" t="str">
        <f ca="1">IFERROR(__xludf.DUMMYFUNCTION("""COMPUTED_VALUE"""),"Ramey, Kyle")</f>
        <v>Ramey, Kyle</v>
      </c>
      <c r="B746" t="str">
        <f ca="1">IFERROR(__xludf.DUMMYFUNCTION("""COMPUTED_VALUE"""),"United States")</f>
        <v>United States</v>
      </c>
    </row>
    <row r="747" spans="1:2" ht="12.75">
      <c r="A747" t="str">
        <f ca="1">IFERROR(__xludf.DUMMYFUNCTION("""COMPUTED_VALUE"""),"Randolph, Jonathan")</f>
        <v>Randolph, Jonathan</v>
      </c>
      <c r="B747" t="str">
        <f ca="1">IFERROR(__xludf.DUMMYFUNCTION("""COMPUTED_VALUE"""),"United States")</f>
        <v>United States</v>
      </c>
    </row>
    <row r="748" spans="1:2" ht="12.75">
      <c r="A748" t="str">
        <f ca="1">IFERROR(__xludf.DUMMYFUNCTION("""COMPUTED_VALUE"""),"Rank, Garrett")</f>
        <v>Rank, Garrett</v>
      </c>
      <c r="B748" t="str">
        <f ca="1">IFERROR(__xludf.DUMMYFUNCTION("""COMPUTED_VALUE"""),"Canada")</f>
        <v>Canada</v>
      </c>
    </row>
    <row r="749" spans="1:2" ht="12.75">
      <c r="A749" t="str">
        <f ca="1">IFERROR(__xludf.DUMMYFUNCTION("""COMPUTED_VALUE"""),"Rasmussen, Rhett")</f>
        <v>Rasmussen, Rhett</v>
      </c>
      <c r="B749" t="str">
        <f ca="1">IFERROR(__xludf.DUMMYFUNCTION("""COMPUTED_VALUE"""),"United States")</f>
        <v>United States</v>
      </c>
    </row>
    <row r="750" spans="1:2" ht="12.75">
      <c r="A750" t="str">
        <f ca="1">IFERROR(__xludf.DUMMYFUNCTION("""COMPUTED_VALUE"""),"Raza, Sulman")</f>
        <v>Raza, Sulman</v>
      </c>
      <c r="B750" t="str">
        <f ca="1">IFERROR(__xludf.DUMMYFUNCTION("""COMPUTED_VALUE"""),"United States")</f>
        <v>United States</v>
      </c>
    </row>
    <row r="751" spans="1:2" ht="12.75">
      <c r="A751" t="str">
        <f ca="1">IFERROR(__xludf.DUMMYFUNCTION("""COMPUTED_VALUE"""),"Reavie, Chez")</f>
        <v>Reavie, Chez</v>
      </c>
      <c r="B751" t="str">
        <f ca="1">IFERROR(__xludf.DUMMYFUNCTION("""COMPUTED_VALUE"""),"United States")</f>
        <v>United States</v>
      </c>
    </row>
    <row r="752" spans="1:2" ht="12.75">
      <c r="A752" t="str">
        <f ca="1">IFERROR(__xludf.DUMMYFUNCTION("""COMPUTED_VALUE"""),"Rebula, Jovan")</f>
        <v>Rebula, Jovan</v>
      </c>
      <c r="B752" t="str">
        <f ca="1">IFERROR(__xludf.DUMMYFUNCTION("""COMPUTED_VALUE"""),"South Africa")</f>
        <v>South Africa</v>
      </c>
    </row>
    <row r="753" spans="1:2" ht="12.75">
      <c r="A753" t="str">
        <f ca="1">IFERROR(__xludf.DUMMYFUNCTION("""COMPUTED_VALUE"""),"Redman, Doc")</f>
        <v>Redman, Doc</v>
      </c>
      <c r="B753" t="str">
        <f ca="1">IFERROR(__xludf.DUMMYFUNCTION("""COMPUTED_VALUE"""),"United States")</f>
        <v>United States</v>
      </c>
    </row>
    <row r="754" spans="1:2" ht="12.75">
      <c r="A754" t="str">
        <f ca="1">IFERROR(__xludf.DUMMYFUNCTION("""COMPUTED_VALUE"""),"Redman, Jake")</f>
        <v>Redman, Jake</v>
      </c>
      <c r="B754" t="str">
        <f ca="1">IFERROR(__xludf.DUMMYFUNCTION("""COMPUTED_VALUE"""),"South Africa")</f>
        <v>South Africa</v>
      </c>
    </row>
    <row r="755" spans="1:2" ht="12.75">
      <c r="A755" t="str">
        <f ca="1">IFERROR(__xludf.DUMMYFUNCTION("""COMPUTED_VALUE"""),"Reed, Patrick")</f>
        <v>Reed, Patrick</v>
      </c>
      <c r="B755" t="str">
        <f ca="1">IFERROR(__xludf.DUMMYFUNCTION("""COMPUTED_VALUE"""),"United States")</f>
        <v>United States</v>
      </c>
    </row>
    <row r="756" spans="1:2" ht="12.75">
      <c r="A756" t="str">
        <f ca="1">IFERROR(__xludf.DUMMYFUNCTION("""COMPUTED_VALUE"""),"Reeves, Seth")</f>
        <v>Reeves, Seth</v>
      </c>
      <c r="B756" t="str">
        <f ca="1">IFERROR(__xludf.DUMMYFUNCTION("""COMPUTED_VALUE"""),"United States")</f>
        <v>United States</v>
      </c>
    </row>
    <row r="757" spans="1:2" ht="12.75">
      <c r="A757" t="str">
        <f ca="1">IFERROR(__xludf.DUMMYFUNCTION("""COMPUTED_VALUE"""),"Reifers, Kyle")</f>
        <v>Reifers, Kyle</v>
      </c>
      <c r="B757" t="str">
        <f ca="1">IFERROR(__xludf.DUMMYFUNCTION("""COMPUTED_VALUE"""),"United States")</f>
        <v>United States</v>
      </c>
    </row>
    <row r="758" spans="1:2" ht="12.75">
      <c r="A758" t="str">
        <f ca="1">IFERROR(__xludf.DUMMYFUNCTION("""COMPUTED_VALUE"""),"Reiter, Charles")</f>
        <v>Reiter, Charles</v>
      </c>
      <c r="B758" t="str">
        <f ca="1">IFERROR(__xludf.DUMMYFUNCTION("""COMPUTED_VALUE"""),"United States")</f>
        <v>United States</v>
      </c>
    </row>
    <row r="759" spans="1:2" ht="12.75">
      <c r="A759" t="str">
        <f ca="1">IFERROR(__xludf.DUMMYFUNCTION("""COMPUTED_VALUE"""),"Renner, Jim")</f>
        <v>Renner, Jim</v>
      </c>
      <c r="B759" t="str">
        <f ca="1">IFERROR(__xludf.DUMMYFUNCTION("""COMPUTED_VALUE"""),"United States")</f>
        <v>United States</v>
      </c>
    </row>
    <row r="760" spans="1:2" ht="12.75">
      <c r="A760" t="str">
        <f ca="1">IFERROR(__xludf.DUMMYFUNCTION("""COMPUTED_VALUE"""),"Richardson, Hunter")</f>
        <v>Richardson, Hunter</v>
      </c>
      <c r="B760" t="str">
        <f ca="1">IFERROR(__xludf.DUMMYFUNCTION("""COMPUTED_VALUE"""),"United States")</f>
        <v>United States</v>
      </c>
    </row>
    <row r="761" spans="1:2" ht="12.75">
      <c r="A761" t="str">
        <f ca="1">IFERROR(__xludf.DUMMYFUNCTION("""COMPUTED_VALUE"""),"Riley, Davis")</f>
        <v>Riley, Davis</v>
      </c>
      <c r="B761" t="str">
        <f ca="1">IFERROR(__xludf.DUMMYFUNCTION("""COMPUTED_VALUE"""),"United States")</f>
        <v>United States</v>
      </c>
    </row>
    <row r="762" spans="1:2" ht="12.75">
      <c r="A762" t="str">
        <f ca="1">IFERROR(__xludf.DUMMYFUNCTION("""COMPUTED_VALUE"""),"Riley, George")</f>
        <v>Riley, George</v>
      </c>
      <c r="B762" t="str">
        <f ca="1">IFERROR(__xludf.DUMMYFUNCTION("""COMPUTED_VALUE"""),"Dominican Republic")</f>
        <v>Dominican Republic</v>
      </c>
    </row>
    <row r="763" spans="1:2" ht="12.75">
      <c r="A763" t="str">
        <f ca="1">IFERROR(__xludf.DUMMYFUNCTION("""COMPUTED_VALUE"""),"Ritchie, J.C.")</f>
        <v>Ritchie, J.C.</v>
      </c>
      <c r="B763" t="str">
        <f ca="1">IFERROR(__xludf.DUMMYFUNCTION("""COMPUTED_VALUE"""),"South Africa")</f>
        <v>South Africa</v>
      </c>
    </row>
    <row r="764" spans="1:2" ht="12.75">
      <c r="A764" t="str">
        <f ca="1">IFERROR(__xludf.DUMMYFUNCTION("""COMPUTED_VALUE"""),"Roach, Wes")</f>
        <v>Roach, Wes</v>
      </c>
      <c r="B764" t="str">
        <f ca="1">IFERROR(__xludf.DUMMYFUNCTION("""COMPUTED_VALUE"""),"United States")</f>
        <v>United States</v>
      </c>
    </row>
    <row r="765" spans="1:2" ht="12.75">
      <c r="A765" t="str">
        <f ca="1">IFERROR(__xludf.DUMMYFUNCTION("""COMPUTED_VALUE"""),"Rock, Robert")</f>
        <v>Rock, Robert</v>
      </c>
      <c r="B765" t="str">
        <f ca="1">IFERROR(__xludf.DUMMYFUNCTION("""COMPUTED_VALUE"""),"England")</f>
        <v>England</v>
      </c>
    </row>
    <row r="766" spans="1:2" ht="12.75">
      <c r="A766" t="str">
        <f ca="1">IFERROR(__xludf.DUMMYFUNCTION("""COMPUTED_VALUE"""),"Rodgers, Patrick")</f>
        <v>Rodgers, Patrick</v>
      </c>
      <c r="B766" t="str">
        <f ca="1">IFERROR(__xludf.DUMMYFUNCTION("""COMPUTED_VALUE"""),"United States")</f>
        <v>United States</v>
      </c>
    </row>
    <row r="767" spans="1:2" ht="12.75">
      <c r="A767" t="str">
        <f ca="1">IFERROR(__xludf.DUMMYFUNCTION("""COMPUTED_VALUE"""),"Rodriguez, Jose de Jesus")</f>
        <v>Rodriguez, Jose de Jesus</v>
      </c>
      <c r="B767" t="str">
        <f ca="1">IFERROR(__xludf.DUMMYFUNCTION("""COMPUTED_VALUE"""),"Mexico")</f>
        <v>Mexico</v>
      </c>
    </row>
    <row r="768" spans="1:2" ht="12.75">
      <c r="A768" t="str">
        <f ca="1">IFERROR(__xludf.DUMMYFUNCTION("""COMPUTED_VALUE"""),"Rollins, John")</f>
        <v>Rollins, John</v>
      </c>
      <c r="B768" t="str">
        <f ca="1">IFERROR(__xludf.DUMMYFUNCTION("""COMPUTED_VALUE"""),"United States")</f>
        <v>United States</v>
      </c>
    </row>
    <row r="769" spans="1:2" ht="12.75">
      <c r="A769" t="str">
        <f ca="1">IFERROR(__xludf.DUMMYFUNCTION("""COMPUTED_VALUE"""),"Romero, Andres")</f>
        <v>Romero, Andres</v>
      </c>
      <c r="B769" t="str">
        <f ca="1">IFERROR(__xludf.DUMMYFUNCTION("""COMPUTED_VALUE"""),"Argentina")</f>
        <v>Argentina</v>
      </c>
    </row>
    <row r="770" spans="1:2" ht="12.75">
      <c r="A770" t="str">
        <f ca="1">IFERROR(__xludf.DUMMYFUNCTION("""COMPUTED_VALUE"""),"Romo, Tony")</f>
        <v>Romo, Tony</v>
      </c>
      <c r="B770" t="str">
        <f ca="1">IFERROR(__xludf.DUMMYFUNCTION("""COMPUTED_VALUE"""),"United States")</f>
        <v>United States</v>
      </c>
    </row>
    <row r="771" spans="1:2" ht="12.75">
      <c r="A771" t="str">
        <f ca="1">IFERROR(__xludf.DUMMYFUNCTION("""COMPUTED_VALUE"""),"Rose, Justin")</f>
        <v>Rose, Justin</v>
      </c>
      <c r="B771" t="str">
        <f ca="1">IFERROR(__xludf.DUMMYFUNCTION("""COMPUTED_VALUE"""),"England")</f>
        <v>England</v>
      </c>
    </row>
    <row r="772" spans="1:2" ht="12.75">
      <c r="A772" t="str">
        <f ca="1">IFERROR(__xludf.DUMMYFUNCTION("""COMPUTED_VALUE"""),"Roth, J.R.")</f>
        <v>Roth, J.R.</v>
      </c>
      <c r="B772" t="str">
        <f ca="1">IFERROR(__xludf.DUMMYFUNCTION("""COMPUTED_VALUE"""),"United States")</f>
        <v>United States</v>
      </c>
    </row>
    <row r="773" spans="1:2" ht="12.75">
      <c r="A773" t="str">
        <f ca="1">IFERROR(__xludf.DUMMYFUNCTION("""COMPUTED_VALUE"""),"Rousaud, Eduard")</f>
        <v>Rousaud, Eduard</v>
      </c>
      <c r="B773" t="str">
        <f ca="1">IFERROR(__xludf.DUMMYFUNCTION("""COMPUTED_VALUE"""),"Spain")</f>
        <v>Spain</v>
      </c>
    </row>
    <row r="774" spans="1:2" ht="12.75">
      <c r="A774" t="str">
        <f ca="1">IFERROR(__xludf.DUMMYFUNCTION("""COMPUTED_VALUE"""),"Ruffels, Ryan")</f>
        <v>Ruffels, Ryan</v>
      </c>
      <c r="B774" t="str">
        <f ca="1">IFERROR(__xludf.DUMMYFUNCTION("""COMPUTED_VALUE"""),"Australia")</f>
        <v>Australia</v>
      </c>
    </row>
    <row r="775" spans="1:2" ht="12.75">
      <c r="A775" t="str">
        <f ca="1">IFERROR(__xludf.DUMMYFUNCTION("""COMPUTED_VALUE"""),"Rumford, Brett")</f>
        <v>Rumford, Brett</v>
      </c>
      <c r="B775" t="str">
        <f ca="1">IFERROR(__xludf.DUMMYFUNCTION("""COMPUTED_VALUE"""),"Australia")</f>
        <v>Australia</v>
      </c>
    </row>
    <row r="776" spans="1:2" ht="12.75">
      <c r="A776" t="str">
        <f ca="1">IFERROR(__xludf.DUMMYFUNCTION("""COMPUTED_VALUE"""),"Russell, Casey")</f>
        <v>Russell, Casey</v>
      </c>
      <c r="B776" t="str">
        <f ca="1">IFERROR(__xludf.DUMMYFUNCTION("""COMPUTED_VALUE"""),"United States")</f>
        <v>United States</v>
      </c>
    </row>
    <row r="777" spans="1:2" ht="12.75">
      <c r="A777" t="str">
        <f ca="1">IFERROR(__xludf.DUMMYFUNCTION("""COMPUTED_VALUE"""),"Ryder, Sam")</f>
        <v>Ryder, Sam</v>
      </c>
      <c r="B777" t="str">
        <f ca="1">IFERROR(__xludf.DUMMYFUNCTION("""COMPUTED_VALUE"""),"United States")</f>
        <v>United States</v>
      </c>
    </row>
    <row r="778" spans="1:2" ht="12.75">
      <c r="A778" t="str">
        <f ca="1">IFERROR(__xludf.DUMMYFUNCTION("""COMPUTED_VALUE"""),"Ryu, Hyun-woo")</f>
        <v>Ryu, Hyun-woo</v>
      </c>
      <c r="B778" t="str">
        <f ca="1">IFERROR(__xludf.DUMMYFUNCTION("""COMPUTED_VALUE"""),"South Korea")</f>
        <v>South Korea</v>
      </c>
    </row>
    <row r="779" spans="1:2" ht="12.75">
      <c r="A779" t="str">
        <f ca="1">IFERROR(__xludf.DUMMYFUNCTION("""COMPUTED_VALUE"""),"S")</f>
        <v>S</v>
      </c>
      <c r="B779" t="str">
        <f ca="1">IFERROR(__xludf.DUMMYFUNCTION("""COMPUTED_VALUE"""),"")</f>
        <v/>
      </c>
    </row>
    <row r="780" spans="1:2" ht="12.75">
      <c r="A780" t="str">
        <f ca="1">IFERROR(__xludf.DUMMYFUNCTION("""COMPUTED_VALUE"""),"NAME")</f>
        <v>NAME</v>
      </c>
      <c r="B780" t="str">
        <f ca="1">IFERROR(__xludf.DUMMYFUNCTION("""COMPUTED_VALUE"""),"COUNTRY")</f>
        <v>COUNTRY</v>
      </c>
    </row>
    <row r="781" spans="1:2" ht="12.75">
      <c r="A781" t="str">
        <f ca="1">IFERROR(__xludf.DUMMYFUNCTION("""COMPUTED_VALUE"""),"Saavedra, Sebastian")</f>
        <v>Saavedra, Sebastian</v>
      </c>
      <c r="B781" t="str">
        <f ca="1">IFERROR(__xludf.DUMMYFUNCTION("""COMPUTED_VALUE"""),"Argentina")</f>
        <v>Argentina</v>
      </c>
    </row>
    <row r="782" spans="1:2" ht="12.75">
      <c r="A782" t="str">
        <f ca="1">IFERROR(__xludf.DUMMYFUNCTION("""COMPUTED_VALUE"""),"Sabbatini, Rory")</f>
        <v>Sabbatini, Rory</v>
      </c>
      <c r="B782" t="str">
        <f ca="1">IFERROR(__xludf.DUMMYFUNCTION("""COMPUTED_VALUE"""),"Slovakia")</f>
        <v>Slovakia</v>
      </c>
    </row>
    <row r="783" spans="1:2" ht="12.75">
      <c r="A783" t="str">
        <f ca="1">IFERROR(__xludf.DUMMYFUNCTION("""COMPUTED_VALUE"""),"Sadlowski, Jamie")</f>
        <v>Sadlowski, Jamie</v>
      </c>
      <c r="B783" t="str">
        <f ca="1">IFERROR(__xludf.DUMMYFUNCTION("""COMPUTED_VALUE"""),"Canada")</f>
        <v>Canada</v>
      </c>
    </row>
    <row r="784" spans="1:2" ht="12.75">
      <c r="A784" t="str">
        <f ca="1">IFERROR(__xludf.DUMMYFUNCTION("""COMPUTED_VALUE"""),"Saksansin, Poom")</f>
        <v>Saksansin, Poom</v>
      </c>
      <c r="B784" t="str">
        <f ca="1">IFERROR(__xludf.DUMMYFUNCTION("""COMPUTED_VALUE"""),"Thailand")</f>
        <v>Thailand</v>
      </c>
    </row>
    <row r="785" spans="1:2" ht="12.75">
      <c r="A785" t="str">
        <f ca="1">IFERROR(__xludf.DUMMYFUNCTION("""COMPUTED_VALUE"""),"Salinda, Isaiah")</f>
        <v>Salinda, Isaiah</v>
      </c>
      <c r="B785" t="str">
        <f ca="1">IFERROR(__xludf.DUMMYFUNCTION("""COMPUTED_VALUE"""),"United States")</f>
        <v>United States</v>
      </c>
    </row>
    <row r="786" spans="1:2" ht="12.75">
      <c r="A786" t="str">
        <f ca="1">IFERROR(__xludf.DUMMYFUNCTION("""COMPUTED_VALUE"""),"Sanders, Kyle")</f>
        <v>Sanders, Kyle</v>
      </c>
      <c r="B786" t="str">
        <f ca="1">IFERROR(__xludf.DUMMYFUNCTION("""COMPUTED_VALUE"""),"United States")</f>
        <v>United States</v>
      </c>
    </row>
    <row r="787" spans="1:2" ht="12.75">
      <c r="A787" t="str">
        <f ca="1">IFERROR(__xludf.DUMMYFUNCTION("""COMPUTED_VALUE"""),"Santos, Julio")</f>
        <v>Santos, Julio</v>
      </c>
      <c r="B787" t="str">
        <f ca="1">IFERROR(__xludf.DUMMYFUNCTION("""COMPUTED_VALUE"""),"Dominican Republic")</f>
        <v>Dominican Republic</v>
      </c>
    </row>
    <row r="788" spans="1:2" ht="12.75">
      <c r="A788" t="str">
        <f ca="1">IFERROR(__xludf.DUMMYFUNCTION("""COMPUTED_VALUE"""),"Sato, Daichi")</f>
        <v>Sato, Daichi</v>
      </c>
      <c r="B788" t="str">
        <f ca="1">IFERROR(__xludf.DUMMYFUNCTION("""COMPUTED_VALUE"""),"Japan")</f>
        <v>Japan</v>
      </c>
    </row>
    <row r="789" spans="1:2" ht="12.75">
      <c r="A789" t="str">
        <f ca="1">IFERROR(__xludf.DUMMYFUNCTION("""COMPUTED_VALUE"""),"Saunders, Sam")</f>
        <v>Saunders, Sam</v>
      </c>
      <c r="B789" t="str">
        <f ca="1">IFERROR(__xludf.DUMMYFUNCTION("""COMPUTED_VALUE"""),"United States")</f>
        <v>United States</v>
      </c>
    </row>
    <row r="790" spans="1:2" ht="12.75">
      <c r="A790" t="str">
        <f ca="1">IFERROR(__xludf.DUMMYFUNCTION("""COMPUTED_VALUE"""),"Savoie, Joey")</f>
        <v>Savoie, Joey</v>
      </c>
      <c r="B790" t="str">
        <f ca="1">IFERROR(__xludf.DUMMYFUNCTION("""COMPUTED_VALUE"""),"United States")</f>
        <v>United States</v>
      </c>
    </row>
    <row r="791" spans="1:2" ht="12.75">
      <c r="A791" t="str">
        <f ca="1">IFERROR(__xludf.DUMMYFUNCTION("""COMPUTED_VALUE"""),"Sawada, Jared")</f>
        <v>Sawada, Jared</v>
      </c>
      <c r="B791" t="str">
        <f ca="1">IFERROR(__xludf.DUMMYFUNCTION("""COMPUTED_VALUE"""),"United States")</f>
        <v>United States</v>
      </c>
    </row>
    <row r="792" spans="1:2" ht="12.75">
      <c r="A792" t="str">
        <f ca="1">IFERROR(__xludf.DUMMYFUNCTION("""COMPUTED_VALUE"""),"Schaake, Carson")</f>
        <v>Schaake, Carson</v>
      </c>
      <c r="B792" t="str">
        <f ca="1">IFERROR(__xludf.DUMMYFUNCTION("""COMPUTED_VALUE"""),"United States")</f>
        <v>United States</v>
      </c>
    </row>
    <row r="793" spans="1:2" ht="12.75">
      <c r="A793" t="str">
        <f ca="1">IFERROR(__xludf.DUMMYFUNCTION("""COMPUTED_VALUE"""),"Schauffele, Xander")</f>
        <v>Schauffele, Xander</v>
      </c>
      <c r="B793" t="str">
        <f ca="1">IFERROR(__xludf.DUMMYFUNCTION("""COMPUTED_VALUE"""),"United States")</f>
        <v>United States</v>
      </c>
    </row>
    <row r="794" spans="1:2" ht="12.75">
      <c r="A794" t="str">
        <f ca="1">IFERROR(__xludf.DUMMYFUNCTION("""COMPUTED_VALUE"""),"Scheffler, Scottie")</f>
        <v>Scheffler, Scottie</v>
      </c>
      <c r="B794" t="str">
        <f ca="1">IFERROR(__xludf.DUMMYFUNCTION("""COMPUTED_VALUE"""),"United States")</f>
        <v>United States</v>
      </c>
    </row>
    <row r="795" spans="1:2" ht="12.75">
      <c r="A795" t="str">
        <f ca="1">IFERROR(__xludf.DUMMYFUNCTION("""COMPUTED_VALUE"""),"Schenk, Adam")</f>
        <v>Schenk, Adam</v>
      </c>
      <c r="B795" t="str">
        <f ca="1">IFERROR(__xludf.DUMMYFUNCTION("""COMPUTED_VALUE"""),"United States")</f>
        <v>United States</v>
      </c>
    </row>
    <row r="796" spans="1:2" ht="12.75">
      <c r="A796" t="str">
        <f ca="1">IFERROR(__xludf.DUMMYFUNCTION("""COMPUTED_VALUE"""),"Schietekat, Neil")</f>
        <v>Schietekat, Neil</v>
      </c>
      <c r="B796" t="str">
        <f ca="1">IFERROR(__xludf.DUMMYFUNCTION("""COMPUTED_VALUE"""),"South Africa")</f>
        <v>South Africa</v>
      </c>
    </row>
    <row r="797" spans="1:2" ht="12.75">
      <c r="A797" t="str">
        <f ca="1">IFERROR(__xludf.DUMMYFUNCTION("""COMPUTED_VALUE"""),"Schmid, Jeffrey")</f>
        <v>Schmid, Jeffrey</v>
      </c>
      <c r="B797" t="str">
        <f ca="1">IFERROR(__xludf.DUMMYFUNCTION("""COMPUTED_VALUE"""),"United States")</f>
        <v>United States</v>
      </c>
    </row>
    <row r="798" spans="1:2" ht="12.75">
      <c r="A798" t="str">
        <f ca="1">IFERROR(__xludf.DUMMYFUNCTION("""COMPUTED_VALUE"""),"Schmid, Matthias")</f>
        <v>Schmid, Matthias</v>
      </c>
      <c r="B798" t="str">
        <f ca="1">IFERROR(__xludf.DUMMYFUNCTION("""COMPUTED_VALUE"""),"Germany")</f>
        <v>Germany</v>
      </c>
    </row>
    <row r="799" spans="1:2" ht="12.75">
      <c r="A799" t="str">
        <f ca="1">IFERROR(__xludf.DUMMYFUNCTION("""COMPUTED_VALUE"""),"Schmitt, Phil")</f>
        <v>Schmitt, Phil</v>
      </c>
      <c r="B799" t="str">
        <f ca="1">IFERROR(__xludf.DUMMYFUNCTION("""COMPUTED_VALUE"""),"United States")</f>
        <v>United States</v>
      </c>
    </row>
    <row r="800" spans="1:2" ht="12.75">
      <c r="A800" t="str">
        <f ca="1">IFERROR(__xludf.DUMMYFUNCTION("""COMPUTED_VALUE"""),"Schmuhl, Jason")</f>
        <v>Schmuhl, Jason</v>
      </c>
      <c r="B800" t="str">
        <f ca="1">IFERROR(__xludf.DUMMYFUNCTION("""COMPUTED_VALUE"""),"United States")</f>
        <v>United States</v>
      </c>
    </row>
    <row r="801" spans="1:2" ht="12.75">
      <c r="A801" t="str">
        <f ca="1">IFERROR(__xludf.DUMMYFUNCTION("""COMPUTED_VALUE"""),"Schneider, Cory")</f>
        <v>Schneider, Cory</v>
      </c>
      <c r="B801" t="str">
        <f ca="1">IFERROR(__xludf.DUMMYFUNCTION("""COMPUTED_VALUE"""),"United States")</f>
        <v>United States</v>
      </c>
    </row>
    <row r="802" spans="1:2" ht="12.75">
      <c r="A802" t="str">
        <f ca="1">IFERROR(__xludf.DUMMYFUNCTION("""COMPUTED_VALUE"""),"Schnell, Brady")</f>
        <v>Schnell, Brady</v>
      </c>
      <c r="B802" t="str">
        <f ca="1">IFERROR(__xludf.DUMMYFUNCTION("""COMPUTED_VALUE"""),"United States")</f>
        <v>United States</v>
      </c>
    </row>
    <row r="803" spans="1:2" ht="12.75">
      <c r="A803" t="str">
        <f ca="1">IFERROR(__xludf.DUMMYFUNCTION("""COMPUTED_VALUE"""),"Schniederjans, Luke")</f>
        <v>Schniederjans, Luke</v>
      </c>
      <c r="B803" t="str">
        <f ca="1">IFERROR(__xludf.DUMMYFUNCTION("""COMPUTED_VALUE"""),"United States")</f>
        <v>United States</v>
      </c>
    </row>
    <row r="804" spans="1:2" ht="12.75">
      <c r="A804" t="str">
        <f ca="1">IFERROR(__xludf.DUMMYFUNCTION("""COMPUTED_VALUE"""),"Schniederjans, Ollie")</f>
        <v>Schniederjans, Ollie</v>
      </c>
      <c r="B804" t="str">
        <f ca="1">IFERROR(__xludf.DUMMYFUNCTION("""COMPUTED_VALUE"""),"United States")</f>
        <v>United States</v>
      </c>
    </row>
    <row r="805" spans="1:2" ht="12.75">
      <c r="A805" t="str">
        <f ca="1">IFERROR(__xludf.DUMMYFUNCTION("""COMPUTED_VALUE"""),"Schwab, Matthias")</f>
        <v>Schwab, Matthias</v>
      </c>
      <c r="B805" t="str">
        <f ca="1">IFERROR(__xludf.DUMMYFUNCTION("""COMPUTED_VALUE"""),"Austria")</f>
        <v>Austria</v>
      </c>
    </row>
    <row r="806" spans="1:2" ht="12.75">
      <c r="A806" t="str">
        <f ca="1">IFERROR(__xludf.DUMMYFUNCTION("""COMPUTED_VALUE"""),"Schwartzel, Charl")</f>
        <v>Schwartzel, Charl</v>
      </c>
      <c r="B806" t="str">
        <f ca="1">IFERROR(__xludf.DUMMYFUNCTION("""COMPUTED_VALUE"""),"South Africa")</f>
        <v>South Africa</v>
      </c>
    </row>
    <row r="807" spans="1:2" ht="12.75">
      <c r="A807" t="str">
        <f ca="1">IFERROR(__xludf.DUMMYFUNCTION("""COMPUTED_VALUE"""),"Scott, Adam")</f>
        <v>Scott, Adam</v>
      </c>
      <c r="B807" t="str">
        <f ca="1">IFERROR(__xludf.DUMMYFUNCTION("""COMPUTED_VALUE"""),"Australia")</f>
        <v>Australia</v>
      </c>
    </row>
    <row r="808" spans="1:2" ht="12.75">
      <c r="A808" t="str">
        <f ca="1">IFERROR(__xludf.DUMMYFUNCTION("""COMPUTED_VALUE"""),"Scott, Sandy")</f>
        <v>Scott, Sandy</v>
      </c>
      <c r="B808" t="str">
        <f ca="1">IFERROR(__xludf.DUMMYFUNCTION("""COMPUTED_VALUE"""),"Scotland")</f>
        <v>Scotland</v>
      </c>
    </row>
    <row r="809" spans="1:2" ht="12.75">
      <c r="A809" t="str">
        <f ca="1">IFERROR(__xludf.DUMMYFUNCTION("""COMPUTED_VALUE"""),"Scott, Steve")</f>
        <v>Scott, Steve</v>
      </c>
      <c r="B809" t="str">
        <f ca="1">IFERROR(__xludf.DUMMYFUNCTION("""COMPUTED_VALUE"""),"United States")</f>
        <v>United States</v>
      </c>
    </row>
    <row r="810" spans="1:2" ht="12.75">
      <c r="A810" t="str">
        <f ca="1">IFERROR(__xludf.DUMMYFUNCTION("""COMPUTED_VALUE"""),"Scrivener, Jason")</f>
        <v>Scrivener, Jason</v>
      </c>
      <c r="B810" t="str">
        <f ca="1">IFERROR(__xludf.DUMMYFUNCTION("""COMPUTED_VALUE"""),"Australia")</f>
        <v>Australia</v>
      </c>
    </row>
    <row r="811" spans="1:2" ht="12.75">
      <c r="A811" t="str">
        <f ca="1">IFERROR(__xludf.DUMMYFUNCTION("""COMPUTED_VALUE"""),"Seiffert, Chase")</f>
        <v>Seiffert, Chase</v>
      </c>
      <c r="B811" t="str">
        <f ca="1">IFERROR(__xludf.DUMMYFUNCTION("""COMPUTED_VALUE"""),"United States")</f>
        <v>United States</v>
      </c>
    </row>
    <row r="812" spans="1:2" ht="12.75">
      <c r="A812" t="str">
        <f ca="1">IFERROR(__xludf.DUMMYFUNCTION("""COMPUTED_VALUE"""),"Sekito, Naoki")</f>
        <v>Sekito, Naoki</v>
      </c>
      <c r="B812" t="str">
        <f ca="1">IFERROR(__xludf.DUMMYFUNCTION("""COMPUTED_VALUE"""),"Japan")</f>
        <v>Japan</v>
      </c>
    </row>
    <row r="813" spans="1:2" ht="12.75">
      <c r="A813" t="str">
        <f ca="1">IFERROR(__xludf.DUMMYFUNCTION("""COMPUTED_VALUE"""),"Senden, John")</f>
        <v>Senden, John</v>
      </c>
      <c r="B813" t="str">
        <f ca="1">IFERROR(__xludf.DUMMYFUNCTION("""COMPUTED_VALUE"""),"Australia")</f>
        <v>Australia</v>
      </c>
    </row>
    <row r="814" spans="1:2" ht="12.75">
      <c r="A814" t="str">
        <f ca="1">IFERROR(__xludf.DUMMYFUNCTION("""COMPUTED_VALUE"""),"Senior, Jack")</f>
        <v>Senior, Jack</v>
      </c>
      <c r="B814" t="str">
        <f ca="1">IFERROR(__xludf.DUMMYFUNCTION("""COMPUTED_VALUE"""),"England")</f>
        <v>England</v>
      </c>
    </row>
    <row r="815" spans="1:2" ht="12.75">
      <c r="A815" t="str">
        <f ca="1">IFERROR(__xludf.DUMMYFUNCTION("""COMPUTED_VALUE"""),"Serna Jr., Efren")</f>
        <v>Serna Jr., Efren</v>
      </c>
      <c r="B815" t="str">
        <f ca="1">IFERROR(__xludf.DUMMYFUNCTION("""COMPUTED_VALUE"""),"Mexico")</f>
        <v>Mexico</v>
      </c>
    </row>
    <row r="816" spans="1:2" ht="12.75">
      <c r="A816" t="str">
        <f ca="1">IFERROR(__xludf.DUMMYFUNCTION("""COMPUTED_VALUE"""),"Sharma, Shubhankar")</f>
        <v>Sharma, Shubhankar</v>
      </c>
      <c r="B816" t="str">
        <f ca="1">IFERROR(__xludf.DUMMYFUNCTION("""COMPUTED_VALUE"""),"India")</f>
        <v>India</v>
      </c>
    </row>
    <row r="817" spans="1:2" ht="12.75">
      <c r="A817" t="str">
        <f ca="1">IFERROR(__xludf.DUMMYFUNCTION("""COMPUTED_VALUE"""),"Shelton, Robby")</f>
        <v>Shelton, Robby</v>
      </c>
      <c r="B817" t="str">
        <f ca="1">IFERROR(__xludf.DUMMYFUNCTION("""COMPUTED_VALUE"""),"United States")</f>
        <v>United States</v>
      </c>
    </row>
    <row r="818" spans="1:2" ht="12.75">
      <c r="A818" t="str">
        <f ca="1">IFERROR(__xludf.DUMMYFUNCTION("""COMPUTED_VALUE"""),"Shieh, Hayden")</f>
        <v>Shieh, Hayden</v>
      </c>
      <c r="B818" t="str">
        <f ca="1">IFERROR(__xludf.DUMMYFUNCTION("""COMPUTED_VALUE"""),"United States")</f>
        <v>United States</v>
      </c>
    </row>
    <row r="819" spans="1:2" ht="12.75">
      <c r="A819" t="str">
        <f ca="1">IFERROR(__xludf.DUMMYFUNCTION("""COMPUTED_VALUE"""),"Shindler, Conrad")</f>
        <v>Shindler, Conrad</v>
      </c>
      <c r="B819" t="str">
        <f ca="1">IFERROR(__xludf.DUMMYFUNCTION("""COMPUTED_VALUE"""),"United States")</f>
        <v>United States</v>
      </c>
    </row>
    <row r="820" spans="1:2" ht="12.75">
      <c r="A820" t="str">
        <f ca="1">IFERROR(__xludf.DUMMYFUNCTION("""COMPUTED_VALUE"""),"Shinkwin, Callum")</f>
        <v>Shinkwin, Callum</v>
      </c>
      <c r="B820" t="str">
        <f ca="1">IFERROR(__xludf.DUMMYFUNCTION("""COMPUTED_VALUE"""),"England")</f>
        <v>England</v>
      </c>
    </row>
    <row r="821" spans="1:2" ht="12.75">
      <c r="A821" t="str">
        <f ca="1">IFERROR(__xludf.DUMMYFUNCTION("""COMPUTED_VALUE"""),"Short, Matthew")</f>
        <v>Short, Matthew</v>
      </c>
      <c r="B821" t="str">
        <f ca="1">IFERROR(__xludf.DUMMYFUNCTION("""COMPUTED_VALUE"""),"United States")</f>
        <v>United States</v>
      </c>
    </row>
    <row r="822" spans="1:2" ht="12.75">
      <c r="A822" t="str">
        <f ca="1">IFERROR(__xludf.DUMMYFUNCTION("""COMPUTED_VALUE"""),"Shuman, Jake")</f>
        <v>Shuman, Jake</v>
      </c>
      <c r="B822" t="str">
        <f ca="1">IFERROR(__xludf.DUMMYFUNCTION("""COMPUTED_VALUE"""),"United States")</f>
        <v>United States</v>
      </c>
    </row>
    <row r="823" spans="1:2" ht="12.75">
      <c r="A823" t="str">
        <f ca="1">IFERROR(__xludf.DUMMYFUNCTION("""COMPUTED_VALUE"""),"Sigg, Greyson")</f>
        <v>Sigg, Greyson</v>
      </c>
      <c r="B823" t="str">
        <f ca="1">IFERROR(__xludf.DUMMYFUNCTION("""COMPUTED_VALUE"""),"United States")</f>
        <v>United States</v>
      </c>
    </row>
    <row r="824" spans="1:2" ht="12.75">
      <c r="A824" t="str">
        <f ca="1">IFERROR(__xludf.DUMMYFUNCTION("""COMPUTED_VALUE"""),"Silfa, Hiram")</f>
        <v>Silfa, Hiram</v>
      </c>
      <c r="B824" t="str">
        <f ca="1">IFERROR(__xludf.DUMMYFUNCTION("""COMPUTED_VALUE"""),"Dominican Republic")</f>
        <v>Dominican Republic</v>
      </c>
    </row>
    <row r="825" spans="1:2" ht="12.75">
      <c r="A825" t="str">
        <f ca="1">IFERROR(__xludf.DUMMYFUNCTION("""COMPUTED_VALUE"""),"Silverman, Benjamin")</f>
        <v>Silverman, Benjamin</v>
      </c>
      <c r="B825" t="str">
        <f ca="1">IFERROR(__xludf.DUMMYFUNCTION("""COMPUTED_VALUE"""),"Canada")</f>
        <v>Canada</v>
      </c>
    </row>
    <row r="826" spans="1:2" ht="12.75">
      <c r="A826" t="str">
        <f ca="1">IFERROR(__xludf.DUMMYFUNCTION("""COMPUTED_VALUE"""),"Simpson, Webb")</f>
        <v>Simpson, Webb</v>
      </c>
      <c r="B826" t="str">
        <f ca="1">IFERROR(__xludf.DUMMYFUNCTION("""COMPUTED_VALUE"""),"United States")</f>
        <v>United States</v>
      </c>
    </row>
    <row r="827" spans="1:2" ht="12.75">
      <c r="A827" t="str">
        <f ca="1">IFERROR(__xludf.DUMMYFUNCTION("""COMPUTED_VALUE"""),"Sims, Michael")</f>
        <v>Sims, Michael</v>
      </c>
      <c r="B827" t="str">
        <f ca="1">IFERROR(__xludf.DUMMYFUNCTION("""COMPUTED_VALUE"""),"Bermuda")</f>
        <v>Bermuda</v>
      </c>
    </row>
    <row r="828" spans="1:2" ht="12.75">
      <c r="A828" t="str">
        <f ca="1">IFERROR(__xludf.DUMMYFUNCTION("""COMPUTED_VALUE"""),"Singh, Vijay")</f>
        <v>Singh, Vijay</v>
      </c>
      <c r="B828" t="str">
        <f ca="1">IFERROR(__xludf.DUMMYFUNCTION("""COMPUTED_VALUE"""),"Fiji")</f>
        <v>Fiji</v>
      </c>
    </row>
    <row r="829" spans="1:2" ht="12.75">
      <c r="A829" t="str">
        <f ca="1">IFERROR(__xludf.DUMMYFUNCTION("""COMPUTED_VALUE"""),"Slattery, Lee")</f>
        <v>Slattery, Lee</v>
      </c>
      <c r="B829" t="str">
        <f ca="1">IFERROR(__xludf.DUMMYFUNCTION("""COMPUTED_VALUE"""),"England")</f>
        <v>England</v>
      </c>
    </row>
    <row r="830" spans="1:2" ht="12.75">
      <c r="A830" t="str">
        <f ca="1">IFERROR(__xludf.DUMMYFUNCTION("""COMPUTED_VALUE"""),"Sloan, Roger")</f>
        <v>Sloan, Roger</v>
      </c>
      <c r="B830" t="str">
        <f ca="1">IFERROR(__xludf.DUMMYFUNCTION("""COMPUTED_VALUE"""),"Canada")</f>
        <v>Canada</v>
      </c>
    </row>
    <row r="831" spans="1:2" ht="12.75">
      <c r="A831" t="str">
        <f ca="1">IFERROR(__xludf.DUMMYFUNCTION("""COMPUTED_VALUE"""),"Slocum, Heath")</f>
        <v>Slocum, Heath</v>
      </c>
      <c r="B831" t="str">
        <f ca="1">IFERROR(__xludf.DUMMYFUNCTION("""COMPUTED_VALUE"""),"United States")</f>
        <v>United States</v>
      </c>
    </row>
    <row r="832" spans="1:2" ht="12.75">
      <c r="A832" t="str">
        <f ca="1">IFERROR(__xludf.DUMMYFUNCTION("""COMPUTED_VALUE"""),"Smalley, Alex")</f>
        <v>Smalley, Alex</v>
      </c>
      <c r="B832" t="str">
        <f ca="1">IFERROR(__xludf.DUMMYFUNCTION("""COMPUTED_VALUE"""),"United States")</f>
        <v>United States</v>
      </c>
    </row>
    <row r="833" spans="1:2" ht="12.75">
      <c r="A833" t="str">
        <f ca="1">IFERROR(__xludf.DUMMYFUNCTION("""COMPUTED_VALUE"""),"Smith, Cameron")</f>
        <v>Smith, Cameron</v>
      </c>
      <c r="B833" t="str">
        <f ca="1">IFERROR(__xludf.DUMMYFUNCTION("""COMPUTED_VALUE"""),"Australia")</f>
        <v>Australia</v>
      </c>
    </row>
    <row r="834" spans="1:2" ht="12.75">
      <c r="A834" t="str">
        <f ca="1">IFERROR(__xludf.DUMMYFUNCTION("""COMPUTED_VALUE"""),"Smith, Chris")</f>
        <v>Smith, Chris</v>
      </c>
      <c r="B834" t="str">
        <f ca="1">IFERROR(__xludf.DUMMYFUNCTION("""COMPUTED_VALUE"""),"United States")</f>
        <v>United States</v>
      </c>
    </row>
    <row r="835" spans="1:2" ht="12.75">
      <c r="A835" t="str">
        <f ca="1">IFERROR(__xludf.DUMMYFUNCTION("""COMPUTED_VALUE"""),"Smith, Stuart")</f>
        <v>Smith, Stuart</v>
      </c>
      <c r="B835" t="str">
        <f ca="1">IFERROR(__xludf.DUMMYFUNCTION("""COMPUTED_VALUE"""),"United States")</f>
        <v>United States</v>
      </c>
    </row>
    <row r="836" spans="1:2" ht="12.75">
      <c r="A836" t="str">
        <f ca="1">IFERROR(__xludf.DUMMYFUNCTION("""COMPUTED_VALUE"""),"Smock, Brian")</f>
        <v>Smock, Brian</v>
      </c>
      <c r="B836" t="str">
        <f ca="1">IFERROR(__xludf.DUMMYFUNCTION("""COMPUTED_VALUE"""),"United States")</f>
        <v>United States</v>
      </c>
    </row>
    <row r="837" spans="1:2" ht="12.75">
      <c r="A837" t="str">
        <f ca="1">IFERROR(__xludf.DUMMYFUNCTION("""COMPUTED_VALUE"""),"Snedeker, Brandt")</f>
        <v>Snedeker, Brandt</v>
      </c>
      <c r="B837" t="str">
        <f ca="1">IFERROR(__xludf.DUMMYFUNCTION("""COMPUTED_VALUE"""),"United States")</f>
        <v>United States</v>
      </c>
    </row>
    <row r="838" spans="1:2" ht="12.75">
      <c r="A838" t="str">
        <f ca="1">IFERROR(__xludf.DUMMYFUNCTION("""COMPUTED_VALUE"""),"Solomon, David")</f>
        <v>Solomon, David</v>
      </c>
      <c r="B838" t="str">
        <f ca="1">IFERROR(__xludf.DUMMYFUNCTION("""COMPUTED_VALUE"""),"United States")</f>
        <v>United States</v>
      </c>
    </row>
    <row r="839" spans="1:2" ht="12.75">
      <c r="A839" t="str">
        <f ca="1">IFERROR(__xludf.DUMMYFUNCTION("""COMPUTED_VALUE"""),"Song, Young-han")</f>
        <v>Song, Young-han</v>
      </c>
      <c r="B839" t="str">
        <f ca="1">IFERROR(__xludf.DUMMYFUNCTION("""COMPUTED_VALUE"""),"South Korea")</f>
        <v>South Korea</v>
      </c>
    </row>
    <row r="840" spans="1:2" ht="12.75">
      <c r="A840" t="str">
        <f ca="1">IFERROR(__xludf.DUMMYFUNCTION("""COMPUTED_VALUE"""),"Sonnier, Greg")</f>
        <v>Sonnier, Greg</v>
      </c>
      <c r="B840" t="str">
        <f ca="1">IFERROR(__xludf.DUMMYFUNCTION("""COMPUTED_VALUE"""),"United States")</f>
        <v>United States</v>
      </c>
    </row>
    <row r="841" spans="1:2" ht="12.75">
      <c r="A841" t="str">
        <f ca="1">IFERROR(__xludf.DUMMYFUNCTION("""COMPUTED_VALUE"""),"Sordet, Clement")</f>
        <v>Sordet, Clement</v>
      </c>
      <c r="B841" t="str">
        <f ca="1">IFERROR(__xludf.DUMMYFUNCTION("""COMPUTED_VALUE"""),"France")</f>
        <v>France</v>
      </c>
    </row>
    <row r="842" spans="1:2" ht="12.75">
      <c r="A842" t="str">
        <f ca="1">IFERROR(__xludf.DUMMYFUNCTION("""COMPUTED_VALUE"""),"Spaun, J.J.")</f>
        <v>Spaun, J.J.</v>
      </c>
      <c r="B842" t="str">
        <f ca="1">IFERROR(__xludf.DUMMYFUNCTION("""COMPUTED_VALUE"""),"United States")</f>
        <v>United States</v>
      </c>
    </row>
    <row r="843" spans="1:2" ht="12.75">
      <c r="A843" t="str">
        <f ca="1">IFERROR(__xludf.DUMMYFUNCTION("""COMPUTED_VALUE"""),"Spieth, Jordan")</f>
        <v>Spieth, Jordan</v>
      </c>
      <c r="B843" t="str">
        <f ca="1">IFERROR(__xludf.DUMMYFUNCTION("""COMPUTED_VALUE"""),"United States")</f>
        <v>United States</v>
      </c>
    </row>
    <row r="844" spans="1:2" ht="12.75">
      <c r="A844" t="str">
        <f ca="1">IFERROR(__xludf.DUMMYFUNCTION("""COMPUTED_VALUE"""),"Springer, Hayden")</f>
        <v>Springer, Hayden</v>
      </c>
      <c r="B844" t="str">
        <f ca="1">IFERROR(__xludf.DUMMYFUNCTION("""COMPUTED_VALUE"""),"United States")</f>
        <v>United States</v>
      </c>
    </row>
    <row r="845" spans="1:2" ht="12.75">
      <c r="A845" t="str">
        <f ca="1">IFERROR(__xludf.DUMMYFUNCTION("""COMPUTED_VALUE"""),"Stadler, Kevin")</f>
        <v>Stadler, Kevin</v>
      </c>
      <c r="B845" t="str">
        <f ca="1">IFERROR(__xludf.DUMMYFUNCTION("""COMPUTED_VALUE"""),"United States")</f>
        <v>United States</v>
      </c>
    </row>
    <row r="846" spans="1:2" ht="12.75">
      <c r="A846" t="str">
        <f ca="1">IFERROR(__xludf.DUMMYFUNCTION("""COMPUTED_VALUE"""),"Stallings, Scott")</f>
        <v>Stallings, Scott</v>
      </c>
      <c r="B846" t="str">
        <f ca="1">IFERROR(__xludf.DUMMYFUNCTION("""COMPUTED_VALUE"""),"United States")</f>
        <v>United States</v>
      </c>
    </row>
    <row r="847" spans="1:2" ht="12.75">
      <c r="A847" t="str">
        <f ca="1">IFERROR(__xludf.DUMMYFUNCTION("""COMPUTED_VALUE"""),"Stallings Jr., Stephen")</f>
        <v>Stallings Jr., Stephen</v>
      </c>
      <c r="B847" t="str">
        <f ca="1">IFERROR(__xludf.DUMMYFUNCTION("""COMPUTED_VALUE"""),"United States")</f>
        <v>United States</v>
      </c>
    </row>
    <row r="848" spans="1:2" ht="12.75">
      <c r="A848" t="str">
        <f ca="1">IFERROR(__xludf.DUMMYFUNCTION("""COMPUTED_VALUE"""),"Stalter, Joel")</f>
        <v>Stalter, Joel</v>
      </c>
      <c r="B848" t="str">
        <f ca="1">IFERROR(__xludf.DUMMYFUNCTION("""COMPUTED_VALUE"""),"France")</f>
        <v>France</v>
      </c>
    </row>
    <row r="849" spans="1:2" ht="12.75">
      <c r="A849" t="str">
        <f ca="1">IFERROR(__xludf.DUMMYFUNCTION("""COMPUTED_VALUE"""),"Stamey, Nathan")</f>
        <v>Stamey, Nathan</v>
      </c>
      <c r="B849" t="str">
        <f ca="1">IFERROR(__xludf.DUMMYFUNCTION("""COMPUTED_VALUE"""),"United States")</f>
        <v>United States</v>
      </c>
    </row>
    <row r="850" spans="1:2" ht="12.75">
      <c r="A850" t="str">
        <f ca="1">IFERROR(__xludf.DUMMYFUNCTION("""COMPUTED_VALUE"""),"Stanger, Jimmy")</f>
        <v>Stanger, Jimmy</v>
      </c>
      <c r="B850" t="str">
        <f ca="1">IFERROR(__xludf.DUMMYFUNCTION("""COMPUTED_VALUE"""),"United States")</f>
        <v>United States</v>
      </c>
    </row>
    <row r="851" spans="1:2" ht="12.75">
      <c r="A851" t="str">
        <f ca="1">IFERROR(__xludf.DUMMYFUNCTION("""COMPUTED_VALUE"""),"Stankowski, Paul")</f>
        <v>Stankowski, Paul</v>
      </c>
      <c r="B851" t="str">
        <f ca="1">IFERROR(__xludf.DUMMYFUNCTION("""COMPUTED_VALUE"""),"United States")</f>
        <v>United States</v>
      </c>
    </row>
    <row r="852" spans="1:2" ht="12.75">
      <c r="A852" t="str">
        <f ca="1">IFERROR(__xludf.DUMMYFUNCTION("""COMPUTED_VALUE"""),"Stanley, Kyle")</f>
        <v>Stanley, Kyle</v>
      </c>
      <c r="B852" t="str">
        <f ca="1">IFERROR(__xludf.DUMMYFUNCTION("""COMPUTED_VALUE"""),"United States")</f>
        <v>United States</v>
      </c>
    </row>
    <row r="853" spans="1:2" ht="12.75">
      <c r="A853" t="str">
        <f ca="1">IFERROR(__xludf.DUMMYFUNCTION("""COMPUTED_VALUE"""),"Steele, Brendan")</f>
        <v>Steele, Brendan</v>
      </c>
      <c r="B853" t="str">
        <f ca="1">IFERROR(__xludf.DUMMYFUNCTION("""COMPUTED_VALUE"""),"United States")</f>
        <v>United States</v>
      </c>
    </row>
    <row r="854" spans="1:2" ht="12.75">
      <c r="A854" t="str">
        <f ca="1">IFERROR(__xludf.DUMMYFUNCTION("""COMPUTED_VALUE"""),"Stefani, Shawn")</f>
        <v>Stefani, Shawn</v>
      </c>
      <c r="B854" t="str">
        <f ca="1">IFERROR(__xludf.DUMMYFUNCTION("""COMPUTED_VALUE"""),"United States")</f>
        <v>United States</v>
      </c>
    </row>
    <row r="855" spans="1:2" ht="12.75">
      <c r="A855" t="str">
        <f ca="1">IFERROR(__xludf.DUMMYFUNCTION("""COMPUTED_VALUE"""),"Stenson, Henrik")</f>
        <v>Stenson, Henrik</v>
      </c>
      <c r="B855" t="str">
        <f ca="1">IFERROR(__xludf.DUMMYFUNCTION("""COMPUTED_VALUE"""),"Sweden")</f>
        <v>Sweden</v>
      </c>
    </row>
    <row r="856" spans="1:2" ht="12.75">
      <c r="A856" t="str">
        <f ca="1">IFERROR(__xludf.DUMMYFUNCTION("""COMPUTED_VALUE"""),"Sterne, Richard")</f>
        <v>Sterne, Richard</v>
      </c>
      <c r="B856" t="str">
        <f ca="1">IFERROR(__xludf.DUMMYFUNCTION("""COMPUTED_VALUE"""),"South Africa")</f>
        <v>South Africa</v>
      </c>
    </row>
    <row r="857" spans="1:2" ht="12.75">
      <c r="A857" t="str">
        <f ca="1">IFERROR(__xludf.DUMMYFUNCTION("""COMPUTED_VALUE"""),"Stewart, Hunter")</f>
        <v>Stewart, Hunter</v>
      </c>
      <c r="B857" t="str">
        <f ca="1">IFERROR(__xludf.DUMMYFUNCTION("""COMPUTED_VALUE"""),"United States")</f>
        <v>United States</v>
      </c>
    </row>
    <row r="858" spans="1:2" ht="12.75">
      <c r="A858" t="str">
        <f ca="1">IFERROR(__xludf.DUMMYFUNCTION("""COMPUTED_VALUE"""),"Stockton Jr., Dave")</f>
        <v>Stockton Jr., Dave</v>
      </c>
      <c r="B858" t="str">
        <f ca="1">IFERROR(__xludf.DUMMYFUNCTION("""COMPUTED_VALUE"""),"United States")</f>
        <v>United States</v>
      </c>
    </row>
    <row r="859" spans="1:2" ht="12.75">
      <c r="A859" t="str">
        <f ca="1">IFERROR(__xludf.DUMMYFUNCTION("""COMPUTED_VALUE"""),"Stone, Brandon")</f>
        <v>Stone, Brandon</v>
      </c>
      <c r="B859" t="str">
        <f ca="1">IFERROR(__xludf.DUMMYFUNCTION("""COMPUTED_VALUE"""),"South Africa")</f>
        <v>South Africa</v>
      </c>
    </row>
    <row r="860" spans="1:2" ht="12.75">
      <c r="A860" t="str">
        <f ca="1">IFERROR(__xludf.DUMMYFUNCTION("""COMPUTED_VALUE"""),"Strafaci, Ty")</f>
        <v>Strafaci, Ty</v>
      </c>
      <c r="B860" t="str">
        <f ca="1">IFERROR(__xludf.DUMMYFUNCTION("""COMPUTED_VALUE"""),"United States")</f>
        <v>United States</v>
      </c>
    </row>
    <row r="861" spans="1:2" ht="12.75">
      <c r="A861" t="str">
        <f ca="1">IFERROR(__xludf.DUMMYFUNCTION("""COMPUTED_VALUE"""),"Straka, Sepp")</f>
        <v>Straka, Sepp</v>
      </c>
      <c r="B861" t="str">
        <f ca="1">IFERROR(__xludf.DUMMYFUNCTION("""COMPUTED_VALUE"""),"Austria")</f>
        <v>Austria</v>
      </c>
    </row>
    <row r="862" spans="1:2" ht="12.75">
      <c r="A862" t="str">
        <f ca="1">IFERROR(__xludf.DUMMYFUNCTION("""COMPUTED_VALUE"""),"Streb, Robert")</f>
        <v>Streb, Robert</v>
      </c>
      <c r="B862" t="str">
        <f ca="1">IFERROR(__xludf.DUMMYFUNCTION("""COMPUTED_VALUE"""),"United States")</f>
        <v>United States</v>
      </c>
    </row>
    <row r="863" spans="1:2" ht="12.75">
      <c r="A863" t="str">
        <f ca="1">IFERROR(__xludf.DUMMYFUNCTION("""COMPUTED_VALUE"""),"Streelman, Kevin")</f>
        <v>Streelman, Kevin</v>
      </c>
      <c r="B863" t="str">
        <f ca="1">IFERROR(__xludf.DUMMYFUNCTION("""COMPUTED_VALUE"""),"United States")</f>
        <v>United States</v>
      </c>
    </row>
    <row r="864" spans="1:2" ht="12.75">
      <c r="A864" t="str">
        <f ca="1">IFERROR(__xludf.DUMMYFUNCTION("""COMPUTED_VALUE"""),"Stricker, Steve")</f>
        <v>Stricker, Steve</v>
      </c>
      <c r="B864" t="str">
        <f ca="1">IFERROR(__xludf.DUMMYFUNCTION("""COMPUTED_VALUE"""),"United States")</f>
        <v>United States</v>
      </c>
    </row>
    <row r="865" spans="1:2" ht="12.75">
      <c r="A865" t="str">
        <f ca="1">IFERROR(__xludf.DUMMYFUNCTION("""COMPUTED_VALUE"""),"Strohmeyer, Scott")</f>
        <v>Strohmeyer, Scott</v>
      </c>
      <c r="B865" t="str">
        <f ca="1">IFERROR(__xludf.DUMMYFUNCTION("""COMPUTED_VALUE"""),"United States")</f>
        <v>United States</v>
      </c>
    </row>
    <row r="866" spans="1:2" ht="12.75">
      <c r="A866" t="str">
        <f ca="1">IFERROR(__xludf.DUMMYFUNCTION("""COMPUTED_VALUE"""),"Stroud, Chris")</f>
        <v>Stroud, Chris</v>
      </c>
      <c r="B866" t="str">
        <f ca="1">IFERROR(__xludf.DUMMYFUNCTION("""COMPUTED_VALUE"""),"United States")</f>
        <v>United States</v>
      </c>
    </row>
    <row r="867" spans="1:2" ht="12.75">
      <c r="A867" t="str">
        <f ca="1">IFERROR(__xludf.DUMMYFUNCTION("""COMPUTED_VALUE"""),"Strydom, Tristen")</f>
        <v>Strydom, Tristen</v>
      </c>
      <c r="B867" t="str">
        <f ca="1">IFERROR(__xludf.DUMMYFUNCTION("""COMPUTED_VALUE"""),"South Africa")</f>
        <v>South Africa</v>
      </c>
    </row>
    <row r="868" spans="1:2" ht="12.75">
      <c r="A868" t="str">
        <f ca="1">IFERROR(__xludf.DUMMYFUNCTION("""COMPUTED_VALUE"""),"Stuard, Brian")</f>
        <v>Stuard, Brian</v>
      </c>
      <c r="B868" t="str">
        <f ca="1">IFERROR(__xludf.DUMMYFUNCTION("""COMPUTED_VALUE"""),"United States")</f>
        <v>United States</v>
      </c>
    </row>
    <row r="869" spans="1:2" ht="12.75">
      <c r="A869" t="str">
        <f ca="1">IFERROR(__xludf.DUMMYFUNCTION("""COMPUTED_VALUE"""),"Sucher, Zack")</f>
        <v>Sucher, Zack</v>
      </c>
      <c r="B869" t="str">
        <f ca="1">IFERROR(__xludf.DUMMYFUNCTION("""COMPUTED_VALUE"""),"United States")</f>
        <v>United States</v>
      </c>
    </row>
    <row r="870" spans="1:2" ht="12.75">
      <c r="A870" t="str">
        <f ca="1">IFERROR(__xludf.DUMMYFUNCTION("""COMPUTED_VALUE"""),"Sugrue, James")</f>
        <v>Sugrue, James</v>
      </c>
      <c r="B870" t="str">
        <f ca="1">IFERROR(__xludf.DUMMYFUNCTION("""COMPUTED_VALUE"""),"Ireland")</f>
        <v>Ireland</v>
      </c>
    </row>
    <row r="871" spans="1:2" ht="12.75">
      <c r="A871" t="str">
        <f ca="1">IFERROR(__xludf.DUMMYFUNCTION("""COMPUTED_VALUE"""),"Suh, Justin")</f>
        <v>Suh, Justin</v>
      </c>
      <c r="B871" t="str">
        <f ca="1">IFERROR(__xludf.DUMMYFUNCTION("""COMPUTED_VALUE"""),"United States")</f>
        <v>United States</v>
      </c>
    </row>
    <row r="872" spans="1:2" ht="12.75">
      <c r="A872" t="str">
        <f ca="1">IFERROR(__xludf.DUMMYFUNCTION("""COMPUTED_VALUE"""),"Sullivan, Andy")</f>
        <v>Sullivan, Andy</v>
      </c>
      <c r="B872" t="str">
        <f ca="1">IFERROR(__xludf.DUMMYFUNCTION("""COMPUTED_VALUE"""),"England")</f>
        <v>England</v>
      </c>
    </row>
    <row r="873" spans="1:2" ht="12.75">
      <c r="A873" t="str">
        <f ca="1">IFERROR(__xludf.DUMMYFUNCTION("""COMPUTED_VALUE"""),"Sullivan, Ryan")</f>
        <v>Sullivan, Ryan</v>
      </c>
      <c r="B873" t="str">
        <f ca="1">IFERROR(__xludf.DUMMYFUNCTION("""COMPUTED_VALUE"""),"United States")</f>
        <v>United States</v>
      </c>
    </row>
    <row r="874" spans="1:2" ht="12.75">
      <c r="A874" t="str">
        <f ca="1">IFERROR(__xludf.DUMMYFUNCTION("""COMPUTED_VALUE"""),"Summerhays, Daniel")</f>
        <v>Summerhays, Daniel</v>
      </c>
      <c r="B874" t="str">
        <f ca="1">IFERROR(__xludf.DUMMYFUNCTION("""COMPUTED_VALUE"""),"United States")</f>
        <v>United States</v>
      </c>
    </row>
    <row r="875" spans="1:2" ht="12.75">
      <c r="A875" t="str">
        <f ca="1">IFERROR(__xludf.DUMMYFUNCTION("""COMPUTED_VALUE"""),"Summerhays, Preston")</f>
        <v>Summerhays, Preston</v>
      </c>
      <c r="B875" t="str">
        <f ca="1">IFERROR(__xludf.DUMMYFUNCTION("""COMPUTED_VALUE"""),"United States")</f>
        <v>United States</v>
      </c>
    </row>
    <row r="876" spans="1:2" ht="12.75">
      <c r="A876" t="str">
        <f ca="1">IFERROR(__xludf.DUMMYFUNCTION("""COMPUTED_VALUE"""),"Suri, Julian")</f>
        <v>Suri, Julian</v>
      </c>
      <c r="B876" t="str">
        <f ca="1">IFERROR(__xludf.DUMMYFUNCTION("""COMPUTED_VALUE"""),"United States")</f>
        <v>United States</v>
      </c>
    </row>
    <row r="877" spans="1:2" ht="12.75">
      <c r="A877" t="str">
        <f ca="1">IFERROR(__xludf.DUMMYFUNCTION("""COMPUTED_VALUE"""),"Sutton, Mitchell")</f>
        <v>Sutton, Mitchell</v>
      </c>
      <c r="B877" t="str">
        <f ca="1">IFERROR(__xludf.DUMMYFUNCTION("""COMPUTED_VALUE"""),"Canada")</f>
        <v>Canada</v>
      </c>
    </row>
    <row r="878" spans="1:2" ht="12.75">
      <c r="A878" t="str">
        <f ca="1">IFERROR(__xludf.DUMMYFUNCTION("""COMPUTED_VALUE"""),"Svensson, Adam")</f>
        <v>Svensson, Adam</v>
      </c>
      <c r="B878" t="str">
        <f ca="1">IFERROR(__xludf.DUMMYFUNCTION("""COMPUTED_VALUE"""),"Canada")</f>
        <v>Canada</v>
      </c>
    </row>
    <row r="879" spans="1:2" ht="12.75">
      <c r="A879" t="str">
        <f ca="1">IFERROR(__xludf.DUMMYFUNCTION("""COMPUTED_VALUE"""),"Swafford, Hudson")</f>
        <v>Swafford, Hudson</v>
      </c>
      <c r="B879" t="str">
        <f ca="1">IFERROR(__xludf.DUMMYFUNCTION("""COMPUTED_VALUE"""),"United States")</f>
        <v>United States</v>
      </c>
    </row>
    <row r="880" spans="1:2" ht="12.75">
      <c r="A880" t="str">
        <f ca="1">IFERROR(__xludf.DUMMYFUNCTION("""COMPUTED_VALUE"""),"Syme, Connor")</f>
        <v>Syme, Connor</v>
      </c>
      <c r="B880" t="str">
        <f ca="1">IFERROR(__xludf.DUMMYFUNCTION("""COMPUTED_VALUE"""),"Scotland")</f>
        <v>Scotland</v>
      </c>
    </row>
    <row r="881" spans="1:2" ht="12.75">
      <c r="A881" t="str">
        <f ca="1">IFERROR(__xludf.DUMMYFUNCTION("""COMPUTED_VALUE"""),"T")</f>
        <v>T</v>
      </c>
      <c r="B881" t="str">
        <f ca="1">IFERROR(__xludf.DUMMYFUNCTION("""COMPUTED_VALUE"""),"")</f>
        <v/>
      </c>
    </row>
    <row r="882" spans="1:2" ht="12.75">
      <c r="A882" t="str">
        <f ca="1">IFERROR(__xludf.DUMMYFUNCTION("""COMPUTED_VALUE"""),"NAME")</f>
        <v>NAME</v>
      </c>
      <c r="B882" t="str">
        <f ca="1">IFERROR(__xludf.DUMMYFUNCTION("""COMPUTED_VALUE"""),"COUNTRY")</f>
        <v>COUNTRY</v>
      </c>
    </row>
    <row r="883" spans="1:2" ht="12.75">
      <c r="A883" t="str">
        <f ca="1">IFERROR(__xludf.DUMMYFUNCTION("""COMPUTED_VALUE"""),"Takeuchi, Ren")</f>
        <v>Takeuchi, Ren</v>
      </c>
      <c r="B883" t="str">
        <f ca="1">IFERROR(__xludf.DUMMYFUNCTION("""COMPUTED_VALUE"""),"Japan")</f>
        <v>Japan</v>
      </c>
    </row>
    <row r="884" spans="1:2" ht="12.75">
      <c r="A884" t="str">
        <f ca="1">IFERROR(__xludf.DUMMYFUNCTION("""COMPUTED_VALUE"""),"Tallman, Chris")</f>
        <v>Tallman, Chris</v>
      </c>
      <c r="B884" t="str">
        <f ca="1">IFERROR(__xludf.DUMMYFUNCTION("""COMPUTED_VALUE"""),"United States")</f>
        <v>United States</v>
      </c>
    </row>
    <row r="885" spans="1:2" ht="12.75">
      <c r="A885" t="str">
        <f ca="1">IFERROR(__xludf.DUMMYFUNCTION("""COMPUTED_VALUE"""),"Tanigawa, Ken")</f>
        <v>Tanigawa, Ken</v>
      </c>
      <c r="B885" t="str">
        <f ca="1">IFERROR(__xludf.DUMMYFUNCTION("""COMPUTED_VALUE"""),"United States")</f>
        <v>United States</v>
      </c>
    </row>
    <row r="886" spans="1:2" ht="12.75">
      <c r="A886" t="str">
        <f ca="1">IFERROR(__xludf.DUMMYFUNCTION("""COMPUTED_VALUE"""),"Tarren, Callum")</f>
        <v>Tarren, Callum</v>
      </c>
      <c r="B886" t="str">
        <f ca="1">IFERROR(__xludf.DUMMYFUNCTION("""COMPUTED_VALUE"""),"England")</f>
        <v>England</v>
      </c>
    </row>
    <row r="887" spans="1:2" ht="12.75">
      <c r="A887" t="str">
        <f ca="1">IFERROR(__xludf.DUMMYFUNCTION("""COMPUTED_VALUE"""),"Taylor, Ben")</f>
        <v>Taylor, Ben</v>
      </c>
      <c r="B887" t="str">
        <f ca="1">IFERROR(__xludf.DUMMYFUNCTION("""COMPUTED_VALUE"""),"England")</f>
        <v>England</v>
      </c>
    </row>
    <row r="888" spans="1:2" ht="12.75">
      <c r="A888" t="str">
        <f ca="1">IFERROR(__xludf.DUMMYFUNCTION("""COMPUTED_VALUE"""),"Taylor, Blake")</f>
        <v>Taylor, Blake</v>
      </c>
      <c r="B888" t="str">
        <f ca="1">IFERROR(__xludf.DUMMYFUNCTION("""COMPUTED_VALUE"""),"United States")</f>
        <v>United States</v>
      </c>
    </row>
    <row r="889" spans="1:2" ht="12.75">
      <c r="A889" t="str">
        <f ca="1">IFERROR(__xludf.DUMMYFUNCTION("""COMPUTED_VALUE"""),"Taylor, Nick")</f>
        <v>Taylor, Nick</v>
      </c>
      <c r="B889" t="str">
        <f ca="1">IFERROR(__xludf.DUMMYFUNCTION("""COMPUTED_VALUE"""),"Canada")</f>
        <v>Canada</v>
      </c>
    </row>
    <row r="890" spans="1:2" ht="12.75">
      <c r="A890" t="str">
        <f ca="1">IFERROR(__xludf.DUMMYFUNCTION("""COMPUTED_VALUE"""),"Taylor, Vaughn")</f>
        <v>Taylor, Vaughn</v>
      </c>
      <c r="B890" t="str">
        <f ca="1">IFERROR(__xludf.DUMMYFUNCTION("""COMPUTED_VALUE"""),"United States")</f>
        <v>United States</v>
      </c>
    </row>
    <row r="891" spans="1:2" ht="12.75">
      <c r="A891" t="str">
        <f ca="1">IFERROR(__xludf.DUMMYFUNCTION("""COMPUTED_VALUE"""),"Teater, Josh")</f>
        <v>Teater, Josh</v>
      </c>
      <c r="B891" t="str">
        <f ca="1">IFERROR(__xludf.DUMMYFUNCTION("""COMPUTED_VALUE"""),"United States")</f>
        <v>United States</v>
      </c>
    </row>
    <row r="892" spans="1:2" ht="12.75">
      <c r="A892" t="str">
        <f ca="1">IFERROR(__xludf.DUMMYFUNCTION("""COMPUTED_VALUE"""),"Thatcher, Roland")</f>
        <v>Thatcher, Roland</v>
      </c>
      <c r="B892" t="str">
        <f ca="1">IFERROR(__xludf.DUMMYFUNCTION("""COMPUTED_VALUE"""),"United States")</f>
        <v>United States</v>
      </c>
    </row>
    <row r="893" spans="1:2" ht="12.75">
      <c r="A893" t="str">
        <f ca="1">IFERROR(__xludf.DUMMYFUNCTION("""COMPUTED_VALUE"""),"Theegala, Sahith")</f>
        <v>Theegala, Sahith</v>
      </c>
      <c r="B893" t="str">
        <f ca="1">IFERROR(__xludf.DUMMYFUNCTION("""COMPUTED_VALUE"""),"United States")</f>
        <v>United States</v>
      </c>
    </row>
    <row r="894" spans="1:2" ht="12.75">
      <c r="A894" t="str">
        <f ca="1">IFERROR(__xludf.DUMMYFUNCTION("""COMPUTED_VALUE"""),"Thomas, Justin")</f>
        <v>Thomas, Justin</v>
      </c>
      <c r="B894" t="str">
        <f ca="1">IFERROR(__xludf.DUMMYFUNCTION("""COMPUTED_VALUE"""),"United States")</f>
        <v>United States</v>
      </c>
    </row>
    <row r="895" spans="1:2" ht="12.75">
      <c r="A895" t="str">
        <f ca="1">IFERROR(__xludf.DUMMYFUNCTION("""COMPUTED_VALUE"""),"Thompson, Chris")</f>
        <v>Thompson, Chris</v>
      </c>
      <c r="B895" t="str">
        <f ca="1">IFERROR(__xludf.DUMMYFUNCTION("""COMPUTED_VALUE"""),"United States")</f>
        <v>United States</v>
      </c>
    </row>
    <row r="896" spans="1:2" ht="12.75">
      <c r="A896" t="str">
        <f ca="1">IFERROR(__xludf.DUMMYFUNCTION("""COMPUTED_VALUE"""),"Thompson, Davis")</f>
        <v>Thompson, Davis</v>
      </c>
      <c r="B896" t="str">
        <f ca="1">IFERROR(__xludf.DUMMYFUNCTION("""COMPUTED_VALUE"""),"United States")</f>
        <v>United States</v>
      </c>
    </row>
    <row r="897" spans="1:2" ht="12.75">
      <c r="A897" t="str">
        <f ca="1">IFERROR(__xludf.DUMMYFUNCTION("""COMPUTED_VALUE"""),"Thompson, Michael")</f>
        <v>Thompson, Michael</v>
      </c>
      <c r="B897" t="str">
        <f ca="1">IFERROR(__xludf.DUMMYFUNCTION("""COMPUTED_VALUE"""),"United States")</f>
        <v>United States</v>
      </c>
    </row>
    <row r="898" spans="1:2" ht="12.75">
      <c r="A898" t="str">
        <f ca="1">IFERROR(__xludf.DUMMYFUNCTION("""COMPUTED_VALUE"""),"Thorbjornsen, Michael")</f>
        <v>Thorbjornsen, Michael</v>
      </c>
      <c r="B898" t="str">
        <f ca="1">IFERROR(__xludf.DUMMYFUNCTION("""COMPUTED_VALUE"""),"United States")</f>
        <v>United States</v>
      </c>
    </row>
    <row r="899" spans="1:2" ht="12.75">
      <c r="A899" t="str">
        <f ca="1">IFERROR(__xludf.DUMMYFUNCTION("""COMPUTED_VALUE"""),"Thornberry, Braden")</f>
        <v>Thornberry, Braden</v>
      </c>
      <c r="B899" t="str">
        <f ca="1">IFERROR(__xludf.DUMMYFUNCTION("""COMPUTED_VALUE"""),"United States")</f>
        <v>United States</v>
      </c>
    </row>
    <row r="900" spans="1:2" ht="12.75">
      <c r="A900" t="str">
        <f ca="1">IFERROR(__xludf.DUMMYFUNCTION("""COMPUTED_VALUE"""),"Thurloway, Thomas")</f>
        <v>Thurloway, Thomas</v>
      </c>
      <c r="B900" t="str">
        <f ca="1">IFERROR(__xludf.DUMMYFUNCTION("""COMPUTED_VALUE"""),"England")</f>
        <v>England</v>
      </c>
    </row>
    <row r="901" spans="1:2" ht="12.75">
      <c r="A901" t="str">
        <f ca="1">IFERROR(__xludf.DUMMYFUNCTION("""COMPUTED_VALUE"""),"Tibbits, Spencer")</f>
        <v>Tibbits, Spencer</v>
      </c>
      <c r="B901" t="str">
        <f ca="1">IFERROR(__xludf.DUMMYFUNCTION("""COMPUTED_VALUE"""),"United States")</f>
        <v>United States</v>
      </c>
    </row>
    <row r="902" spans="1:2" ht="12.75">
      <c r="A902" t="str">
        <f ca="1">IFERROR(__xludf.DUMMYFUNCTION("""COMPUTED_VALUE"""),"Todd, Brendon")</f>
        <v>Todd, Brendon</v>
      </c>
      <c r="B902" t="str">
        <f ca="1">IFERROR(__xludf.DUMMYFUNCTION("""COMPUTED_VALUE"""),"United States")</f>
        <v>United States</v>
      </c>
    </row>
    <row r="903" spans="1:2" ht="12.75">
      <c r="A903" t="str">
        <f ca="1">IFERROR(__xludf.DUMMYFUNCTION("""COMPUTED_VALUE"""),"Tokimatsu, Ryuko")</f>
        <v>Tokimatsu, Ryuko</v>
      </c>
      <c r="B903" t="str">
        <f ca="1">IFERROR(__xludf.DUMMYFUNCTION("""COMPUTED_VALUE"""),"Japan")</f>
        <v>Japan</v>
      </c>
    </row>
    <row r="904" spans="1:2" ht="12.75">
      <c r="A904" t="str">
        <f ca="1">IFERROR(__xludf.DUMMYFUNCTION("""COMPUTED_VALUE"""),"Toms, David")</f>
        <v>Toms, David</v>
      </c>
      <c r="B904" t="str">
        <f ca="1">IFERROR(__xludf.DUMMYFUNCTION("""COMPUTED_VALUE"""),"United States")</f>
        <v>United States</v>
      </c>
    </row>
    <row r="905" spans="1:2" ht="12.75">
      <c r="A905" t="str">
        <f ca="1">IFERROR(__xludf.DUMMYFUNCTION("""COMPUTED_VALUE"""),"Trahan, D.J.")</f>
        <v>Trahan, D.J.</v>
      </c>
      <c r="B905" t="str">
        <f ca="1">IFERROR(__xludf.DUMMYFUNCTION("""COMPUTED_VALUE"""),"United States")</f>
        <v>United States</v>
      </c>
    </row>
    <row r="906" spans="1:2" ht="12.75">
      <c r="A906" t="str">
        <f ca="1">IFERROR(__xludf.DUMMYFUNCTION("""COMPUTED_VALUE"""),"Trainer, Martin")</f>
        <v>Trainer, Martin</v>
      </c>
      <c r="B906" t="str">
        <f ca="1">IFERROR(__xludf.DUMMYFUNCTION("""COMPUTED_VALUE"""),"United States")</f>
        <v>United States</v>
      </c>
    </row>
    <row r="907" spans="1:2" ht="12.75">
      <c r="A907" t="str">
        <f ca="1">IFERROR(__xludf.DUMMYFUNCTION("""COMPUTED_VALUE"""),"Trent, Jack")</f>
        <v>Trent, Jack</v>
      </c>
      <c r="B907" t="str">
        <f ca="1">IFERROR(__xludf.DUMMYFUNCTION("""COMPUTED_VALUE"""),"Australia")</f>
        <v>Australia</v>
      </c>
    </row>
    <row r="908" spans="1:2" ht="12.75">
      <c r="A908" t="str">
        <f ca="1">IFERROR(__xludf.DUMMYFUNCTION("""COMPUTED_VALUE"""),"Tringale, Cameron")</f>
        <v>Tringale, Cameron</v>
      </c>
      <c r="B908" t="str">
        <f ca="1">IFERROR(__xludf.DUMMYFUNCTION("""COMPUTED_VALUE"""),"United States")</f>
        <v>United States</v>
      </c>
    </row>
    <row r="909" spans="1:2" ht="12.75">
      <c r="A909" t="str">
        <f ca="1">IFERROR(__xludf.DUMMYFUNCTION("""COMPUTED_VALUE"""),"Trosper, Donnie")</f>
        <v>Trosper, Donnie</v>
      </c>
      <c r="B909" t="str">
        <f ca="1">IFERROR(__xludf.DUMMYFUNCTION("""COMPUTED_VALUE"""),"United States")</f>
        <v>United States</v>
      </c>
    </row>
    <row r="910" spans="1:2" ht="12.75">
      <c r="A910" t="str">
        <f ca="1">IFERROR(__xludf.DUMMYFUNCTION("""COMPUTED_VALUE"""),"Truslow, Austen")</f>
        <v>Truslow, Austen</v>
      </c>
      <c r="B910" t="str">
        <f ca="1">IFERROR(__xludf.DUMMYFUNCTION("""COMPUTED_VALUE"""),"United States")</f>
        <v>United States</v>
      </c>
    </row>
    <row r="911" spans="1:2" ht="12.75">
      <c r="A911" t="str">
        <f ca="1">IFERROR(__xludf.DUMMYFUNCTION("""COMPUTED_VALUE"""),"Turner, Ashton")</f>
        <v>Turner, Ashton</v>
      </c>
      <c r="B911" t="str">
        <f ca="1">IFERROR(__xludf.DUMMYFUNCTION("""COMPUTED_VALUE"""),"England")</f>
        <v>England</v>
      </c>
    </row>
    <row r="912" spans="1:2" ht="12.75">
      <c r="A912" t="str">
        <f ca="1">IFERROR(__xludf.DUMMYFUNCTION("""COMPUTED_VALUE"""),"Turnesa, Marc")</f>
        <v>Turnesa, Marc</v>
      </c>
      <c r="B912" t="str">
        <f ca="1">IFERROR(__xludf.DUMMYFUNCTION("""COMPUTED_VALUE"""),"United States")</f>
        <v>United States</v>
      </c>
    </row>
    <row r="913" spans="1:2" ht="12.75">
      <c r="A913" t="str">
        <f ca="1">IFERROR(__xludf.DUMMYFUNCTION("""COMPUTED_VALUE"""),"Tway, Kevin")</f>
        <v>Tway, Kevin</v>
      </c>
      <c r="B913" t="str">
        <f ca="1">IFERROR(__xludf.DUMMYFUNCTION("""COMPUTED_VALUE"""),"United States")</f>
        <v>United States</v>
      </c>
    </row>
    <row r="914" spans="1:2" ht="12.75">
      <c r="A914" t="str">
        <f ca="1">IFERROR(__xludf.DUMMYFUNCTION("""COMPUTED_VALUE"""),"U")</f>
        <v>U</v>
      </c>
      <c r="B914" t="str">
        <f ca="1">IFERROR(__xludf.DUMMYFUNCTION("""COMPUTED_VALUE"""),"")</f>
        <v/>
      </c>
    </row>
    <row r="915" spans="1:2" ht="12.75">
      <c r="A915" t="str">
        <f ca="1">IFERROR(__xludf.DUMMYFUNCTION("""COMPUTED_VALUE"""),"NAME")</f>
        <v>NAME</v>
      </c>
      <c r="B915" t="str">
        <f ca="1">IFERROR(__xludf.DUMMYFUNCTION("""COMPUTED_VALUE"""),"COUNTRY")</f>
        <v>COUNTRY</v>
      </c>
    </row>
    <row r="916" spans="1:2" ht="12.75">
      <c r="A916" t="str">
        <f ca="1">IFERROR(__xludf.DUMMYFUNCTION("""COMPUTED_VALUE"""),"Uihlein, Peter")</f>
        <v>Uihlein, Peter</v>
      </c>
      <c r="B916" t="str">
        <f ca="1">IFERROR(__xludf.DUMMYFUNCTION("""COMPUTED_VALUE"""),"United States")</f>
        <v>United States</v>
      </c>
    </row>
    <row r="917" spans="1:2" ht="12.75">
      <c r="A917" t="str">
        <f ca="1">IFERROR(__xludf.DUMMYFUNCTION("""COMPUTED_VALUE"""),"Uresti, Omar")</f>
        <v>Uresti, Omar</v>
      </c>
      <c r="B917" t="str">
        <f ca="1">IFERROR(__xludf.DUMMYFUNCTION("""COMPUTED_VALUE"""),"United States")</f>
        <v>United States</v>
      </c>
    </row>
    <row r="918" spans="1:2" ht="12.75">
      <c r="A918" t="str">
        <f ca="1">IFERROR(__xludf.DUMMYFUNCTION("""COMPUTED_VALUE"""),"V")</f>
        <v>V</v>
      </c>
      <c r="B918" t="str">
        <f ca="1">IFERROR(__xludf.DUMMYFUNCTION("""COMPUTED_VALUE"""),"")</f>
        <v/>
      </c>
    </row>
    <row r="919" spans="1:2" ht="12.75">
      <c r="A919" t="str">
        <f ca="1">IFERROR(__xludf.DUMMYFUNCTION("""COMPUTED_VALUE"""),"NAME")</f>
        <v>NAME</v>
      </c>
      <c r="B919" t="str">
        <f ca="1">IFERROR(__xludf.DUMMYFUNCTION("""COMPUTED_VALUE"""),"COUNTRY")</f>
        <v>COUNTRY</v>
      </c>
    </row>
    <row r="920" spans="1:2" ht="12.75">
      <c r="A920" t="str">
        <f ca="1">IFERROR(__xludf.DUMMYFUNCTION("""COMPUTED_VALUE"""),"Vaisanen, Linus")</f>
        <v>Vaisanen, Linus</v>
      </c>
      <c r="B920" t="str">
        <f ca="1">IFERROR(__xludf.DUMMYFUNCTION("""COMPUTED_VALUE"""),"")</f>
        <v/>
      </c>
    </row>
    <row r="921" spans="1:2" ht="12.75">
      <c r="A921" t="str">
        <f ca="1">IFERROR(__xludf.DUMMYFUNCTION("""COMPUTED_VALUE"""),"Valimaki, Sami")</f>
        <v>Valimaki, Sami</v>
      </c>
      <c r="B921" t="str">
        <f ca="1">IFERROR(__xludf.DUMMYFUNCTION("""COMPUTED_VALUE"""),"Finland")</f>
        <v>Finland</v>
      </c>
    </row>
    <row r="922" spans="1:2" ht="12.75">
      <c r="A922" t="str">
        <f ca="1">IFERROR(__xludf.DUMMYFUNCTION("""COMPUTED_VALUE"""),"Van Aswegen, Tyrone")</f>
        <v>Van Aswegen, Tyrone</v>
      </c>
      <c r="B922" t="str">
        <f ca="1">IFERROR(__xludf.DUMMYFUNCTION("""COMPUTED_VALUE"""),"South Africa")</f>
        <v>South Africa</v>
      </c>
    </row>
    <row r="923" spans="1:2" ht="12.75">
      <c r="A923" t="str">
        <f ca="1">IFERROR(__xludf.DUMMYFUNCTION("""COMPUTED_VALUE"""),"van der Walt, Dawie")</f>
        <v>van der Walt, Dawie</v>
      </c>
      <c r="B923" t="str">
        <f ca="1">IFERROR(__xludf.DUMMYFUNCTION("""COMPUTED_VALUE"""),"United States")</f>
        <v>United States</v>
      </c>
    </row>
    <row r="924" spans="1:2" ht="12.75">
      <c r="A924" t="str">
        <f ca="1">IFERROR(__xludf.DUMMYFUNCTION("""COMPUTED_VALUE"""),"van der Walt, Tjaart")</f>
        <v>van der Walt, Tjaart</v>
      </c>
      <c r="B924" t="str">
        <f ca="1">IFERROR(__xludf.DUMMYFUNCTION("""COMPUTED_VALUE"""),"South Africa")</f>
        <v>South Africa</v>
      </c>
    </row>
    <row r="925" spans="1:2" ht="12.75">
      <c r="A925" t="str">
        <f ca="1">IFERROR(__xludf.DUMMYFUNCTION("""COMPUTED_VALUE"""),"Van Pelt, Bo")</f>
        <v>Van Pelt, Bo</v>
      </c>
      <c r="B925" t="str">
        <f ca="1">IFERROR(__xludf.DUMMYFUNCTION("""COMPUTED_VALUE"""),"United States")</f>
        <v>United States</v>
      </c>
    </row>
    <row r="926" spans="1:2" ht="12.75">
      <c r="A926" t="str">
        <f ca="1">IFERROR(__xludf.DUMMYFUNCTION("""COMPUTED_VALUE"""),"van Rooyen, Erik")</f>
        <v>van Rooyen, Erik</v>
      </c>
      <c r="B926" t="str">
        <f ca="1">IFERROR(__xludf.DUMMYFUNCTION("""COMPUTED_VALUE"""),"South Africa")</f>
        <v>South Africa</v>
      </c>
    </row>
    <row r="927" spans="1:2" ht="12.75">
      <c r="A927" t="str">
        <f ca="1">IFERROR(__xludf.DUMMYFUNCTION("""COMPUTED_VALUE"""),"Varner III, Harold")</f>
        <v>Varner III, Harold</v>
      </c>
      <c r="B927" t="str">
        <f ca="1">IFERROR(__xludf.DUMMYFUNCTION("""COMPUTED_VALUE"""),"United States")</f>
        <v>United States</v>
      </c>
    </row>
    <row r="928" spans="1:2" ht="12.75">
      <c r="A928" t="str">
        <f ca="1">IFERROR(__xludf.DUMMYFUNCTION("""COMPUTED_VALUE"""),"Vazquez, Sebastian")</f>
        <v>Vazquez, Sebastian</v>
      </c>
      <c r="B928" t="str">
        <f ca="1">IFERROR(__xludf.DUMMYFUNCTION("""COMPUTED_VALUE"""),"Mexico")</f>
        <v>Mexico</v>
      </c>
    </row>
    <row r="929" spans="1:2" ht="12.75">
      <c r="A929" t="str">
        <f ca="1">IFERROR(__xludf.DUMMYFUNCTION("""COMPUTED_VALUE"""),"Vegas, Jhonattan")</f>
        <v>Vegas, Jhonattan</v>
      </c>
      <c r="B929" t="str">
        <f ca="1">IFERROR(__xludf.DUMMYFUNCTION("""COMPUTED_VALUE"""),"Venezuela")</f>
        <v>Venezuela</v>
      </c>
    </row>
    <row r="930" spans="1:2" ht="12.75">
      <c r="A930" t="str">
        <f ca="1">IFERROR(__xludf.DUMMYFUNCTION("""COMPUTED_VALUE"""),"Ventura, Kristoffer")</f>
        <v>Ventura, Kristoffer</v>
      </c>
      <c r="B930" t="str">
        <f ca="1">IFERROR(__xludf.DUMMYFUNCTION("""COMPUTED_VALUE"""),"Norway")</f>
        <v>Norway</v>
      </c>
    </row>
    <row r="931" spans="1:2" ht="12.75">
      <c r="A931" t="str">
        <f ca="1">IFERROR(__xludf.DUMMYFUNCTION("""COMPUTED_VALUE"""),"Vermeer, Ryan")</f>
        <v>Vermeer, Ryan</v>
      </c>
      <c r="B931" t="str">
        <f ca="1">IFERROR(__xludf.DUMMYFUNCTION("""COMPUTED_VALUE"""),"United States")</f>
        <v>United States</v>
      </c>
    </row>
    <row r="932" spans="1:2" ht="12.75">
      <c r="A932" t="str">
        <f ca="1">IFERROR(__xludf.DUMMYFUNCTION("""COMPUTED_VALUE"""),"Villegas, Camilo")</f>
        <v>Villegas, Camilo</v>
      </c>
      <c r="B932" t="str">
        <f ca="1">IFERROR(__xludf.DUMMYFUNCTION("""COMPUTED_VALUE"""),"Colombia")</f>
        <v>Colombia</v>
      </c>
    </row>
    <row r="933" spans="1:2" ht="12.75">
      <c r="A933" t="str">
        <f ca="1">IFERROR(__xludf.DUMMYFUNCTION("""COMPUTED_VALUE"""),"Vincent, Scott")</f>
        <v>Vincent, Scott</v>
      </c>
      <c r="B933" t="str">
        <f ca="1">IFERROR(__xludf.DUMMYFUNCTION("""COMPUTED_VALUE"""),"Zimbabwe")</f>
        <v>Zimbabwe</v>
      </c>
    </row>
    <row r="934" spans="1:2" ht="12.75">
      <c r="A934" t="str">
        <f ca="1">IFERROR(__xludf.DUMMYFUNCTION("""COMPUTED_VALUE"""),"W")</f>
        <v>W</v>
      </c>
      <c r="B934" t="str">
        <f ca="1">IFERROR(__xludf.DUMMYFUNCTION("""COMPUTED_VALUE"""),"")</f>
        <v/>
      </c>
    </row>
    <row r="935" spans="1:2" ht="12.75">
      <c r="A935" t="str">
        <f ca="1">IFERROR(__xludf.DUMMYFUNCTION("""COMPUTED_VALUE"""),"NAME")</f>
        <v>NAME</v>
      </c>
      <c r="B935" t="str">
        <f ca="1">IFERROR(__xludf.DUMMYFUNCTION("""COMPUTED_VALUE"""),"COUNTRY")</f>
        <v>COUNTRY</v>
      </c>
    </row>
    <row r="936" spans="1:2" ht="12.75">
      <c r="A936" t="str">
        <f ca="1">IFERROR(__xludf.DUMMYFUNCTION("""COMPUTED_VALUE"""),"Wadkins, Tucker")</f>
        <v>Wadkins, Tucker</v>
      </c>
      <c r="B936" t="str">
        <f ca="1">IFERROR(__xludf.DUMMYFUNCTION("""COMPUTED_VALUE"""),"United States")</f>
        <v>United States</v>
      </c>
    </row>
    <row r="937" spans="1:2" ht="12.75">
      <c r="A937" t="str">
        <f ca="1">IFERROR(__xludf.DUMMYFUNCTION("""COMPUTED_VALUE"""),"Wagner, Johnson")</f>
        <v>Wagner, Johnson</v>
      </c>
      <c r="B937" t="str">
        <f ca="1">IFERROR(__xludf.DUMMYFUNCTION("""COMPUTED_VALUE"""),"United States")</f>
        <v>United States</v>
      </c>
    </row>
    <row r="938" spans="1:2" ht="12.75">
      <c r="A938" t="str">
        <f ca="1">IFERROR(__xludf.DUMMYFUNCTION("""COMPUTED_VALUE"""),"Walker, Danny")</f>
        <v>Walker, Danny</v>
      </c>
      <c r="B938" t="str">
        <f ca="1">IFERROR(__xludf.DUMMYFUNCTION("""COMPUTED_VALUE"""),"United States")</f>
        <v>United States</v>
      </c>
    </row>
    <row r="939" spans="1:2" ht="12.75">
      <c r="A939" t="str">
        <f ca="1">IFERROR(__xludf.DUMMYFUNCTION("""COMPUTED_VALUE"""),"Walker, Jimmy")</f>
        <v>Walker, Jimmy</v>
      </c>
      <c r="B939" t="str">
        <f ca="1">IFERROR(__xludf.DUMMYFUNCTION("""COMPUTED_VALUE"""),"United States")</f>
        <v>United States</v>
      </c>
    </row>
    <row r="940" spans="1:2" ht="12.75">
      <c r="A940" t="str">
        <f ca="1">IFERROR(__xludf.DUMMYFUNCTION("""COMPUTED_VALUE"""),"Walker, Sam")</f>
        <v>Walker, Sam</v>
      </c>
      <c r="B940" t="str">
        <f ca="1">IFERROR(__xludf.DUMMYFUNCTION("""COMPUTED_VALUE"""),"England")</f>
        <v>England</v>
      </c>
    </row>
    <row r="941" spans="1:2" ht="12.75">
      <c r="A941" t="str">
        <f ca="1">IFERROR(__xludf.DUMMYFUNCTION("""COMPUTED_VALUE"""),"Wall, Anthony")</f>
        <v>Wall, Anthony</v>
      </c>
      <c r="B941" t="str">
        <f ca="1">IFERROR(__xludf.DUMMYFUNCTION("""COMPUTED_VALUE"""),"England")</f>
        <v>England</v>
      </c>
    </row>
    <row r="942" spans="1:2" ht="12.75">
      <c r="A942" t="str">
        <f ca="1">IFERROR(__xludf.DUMMYFUNCTION("""COMPUTED_VALUE"""),"Wallace, Matt")</f>
        <v>Wallace, Matt</v>
      </c>
      <c r="B942" t="str">
        <f ca="1">IFERROR(__xludf.DUMMYFUNCTION("""COMPUTED_VALUE"""),"England")</f>
        <v>England</v>
      </c>
    </row>
    <row r="943" spans="1:2" ht="12.75">
      <c r="A943" t="str">
        <f ca="1">IFERROR(__xludf.DUMMYFUNCTION("""COMPUTED_VALUE"""),"Walters, Justin")</f>
        <v>Walters, Justin</v>
      </c>
      <c r="B943" t="str">
        <f ca="1">IFERROR(__xludf.DUMMYFUNCTION("""COMPUTED_VALUE"""),"South Africa")</f>
        <v>South Africa</v>
      </c>
    </row>
    <row r="944" spans="1:2" ht="12.75">
      <c r="A944" t="str">
        <f ca="1">IFERROR(__xludf.DUMMYFUNCTION("""COMPUTED_VALUE"""),"Wang, Jeunghun")</f>
        <v>Wang, Jeunghun</v>
      </c>
      <c r="B944" t="str">
        <f ca="1">IFERROR(__xludf.DUMMYFUNCTION("""COMPUTED_VALUE"""),"South Korea")</f>
        <v>South Korea</v>
      </c>
    </row>
    <row r="945" spans="1:2" ht="12.75">
      <c r="A945" t="str">
        <f ca="1">IFERROR(__xludf.DUMMYFUNCTION("""COMPUTED_VALUE"""),"Waring, Paul")</f>
        <v>Waring, Paul</v>
      </c>
      <c r="B945" t="str">
        <f ca="1">IFERROR(__xludf.DUMMYFUNCTION("""COMPUTED_VALUE"""),"England")</f>
        <v>England</v>
      </c>
    </row>
    <row r="946" spans="1:2" ht="12.75">
      <c r="A946" t="str">
        <f ca="1">IFERROR(__xludf.DUMMYFUNCTION("""COMPUTED_VALUE"""),"Watanabe Jr, Steve")</f>
        <v>Watanabe Jr, Steve</v>
      </c>
      <c r="B946" t="str">
        <f ca="1">IFERROR(__xludf.DUMMYFUNCTION("""COMPUTED_VALUE"""),"United States")</f>
        <v>United States</v>
      </c>
    </row>
    <row r="947" spans="1:2" ht="12.75">
      <c r="A947" t="str">
        <f ca="1">IFERROR(__xludf.DUMMYFUNCTION("""COMPUTED_VALUE"""),"Watney, Nick")</f>
        <v>Watney, Nick</v>
      </c>
      <c r="B947" t="str">
        <f ca="1">IFERROR(__xludf.DUMMYFUNCTION("""COMPUTED_VALUE"""),"United States")</f>
        <v>United States</v>
      </c>
    </row>
    <row r="948" spans="1:2" ht="12.75">
      <c r="A948" t="str">
        <f ca="1">IFERROR(__xludf.DUMMYFUNCTION("""COMPUTED_VALUE"""),"Watson, Bubba")</f>
        <v>Watson, Bubba</v>
      </c>
      <c r="B948" t="str">
        <f ca="1">IFERROR(__xludf.DUMMYFUNCTION("""COMPUTED_VALUE"""),"United States")</f>
        <v>United States</v>
      </c>
    </row>
    <row r="949" spans="1:2" ht="12.75">
      <c r="A949" t="str">
        <f ca="1">IFERROR(__xludf.DUMMYFUNCTION("""COMPUTED_VALUE"""),"Weekley, Boo")</f>
        <v>Weekley, Boo</v>
      </c>
      <c r="B949" t="str">
        <f ca="1">IFERROR(__xludf.DUMMYFUNCTION("""COMPUTED_VALUE"""),"United States")</f>
        <v>United States</v>
      </c>
    </row>
    <row r="950" spans="1:2" ht="12.75">
      <c r="A950" t="str">
        <f ca="1">IFERROR(__xludf.DUMMYFUNCTION("""COMPUTED_VALUE"""),"Weinhart, Tim")</f>
        <v>Weinhart, Tim</v>
      </c>
      <c r="B950" t="str">
        <f ca="1">IFERROR(__xludf.DUMMYFUNCTION("""COMPUTED_VALUE"""),"United States")</f>
        <v>United States</v>
      </c>
    </row>
    <row r="951" spans="1:2" ht="12.75">
      <c r="A951" t="str">
        <f ca="1">IFERROR(__xludf.DUMMYFUNCTION("""COMPUTED_VALUE"""),"Weir, Mike")</f>
        <v>Weir, Mike</v>
      </c>
      <c r="B951" t="str">
        <f ca="1">IFERROR(__xludf.DUMMYFUNCTION("""COMPUTED_VALUE"""),"Canada")</f>
        <v>Canada</v>
      </c>
    </row>
    <row r="952" spans="1:2" ht="12.75">
      <c r="A952" t="str">
        <f ca="1">IFERROR(__xludf.DUMMYFUNCTION("""COMPUTED_VALUE"""),"Wen-Chong, Liang")</f>
        <v>Wen-Chong, Liang</v>
      </c>
      <c r="B952" t="str">
        <f ca="1">IFERROR(__xludf.DUMMYFUNCTION("""COMPUTED_VALUE"""),"China")</f>
        <v>China</v>
      </c>
    </row>
    <row r="953" spans="1:2" ht="12.75">
      <c r="A953" t="str">
        <f ca="1">IFERROR(__xludf.DUMMYFUNCTION("""COMPUTED_VALUE"""),"Wenzler, Ryan")</f>
        <v>Wenzler, Ryan</v>
      </c>
      <c r="B953" t="str">
        <f ca="1">IFERROR(__xludf.DUMMYFUNCTION("""COMPUTED_VALUE"""),"United States")</f>
        <v>United States</v>
      </c>
    </row>
    <row r="954" spans="1:2" ht="12.75">
      <c r="A954" t="str">
        <f ca="1">IFERROR(__xludf.DUMMYFUNCTION("""COMPUTED_VALUE"""),"Werenski, Richy")</f>
        <v>Werenski, Richy</v>
      </c>
      <c r="B954" t="str">
        <f ca="1">IFERROR(__xludf.DUMMYFUNCTION("""COMPUTED_VALUE"""),"United States")</f>
        <v>United States</v>
      </c>
    </row>
    <row r="955" spans="1:2" ht="12.75">
      <c r="A955" t="str">
        <f ca="1">IFERROR(__xludf.DUMMYFUNCTION("""COMPUTED_VALUE"""),"Westmoreland, Kyle")</f>
        <v>Westmoreland, Kyle</v>
      </c>
      <c r="B955" t="str">
        <f ca="1">IFERROR(__xludf.DUMMYFUNCTION("""COMPUTED_VALUE"""),"United States")</f>
        <v>United States</v>
      </c>
    </row>
    <row r="956" spans="1:2" ht="12.75">
      <c r="A956" t="str">
        <f ca="1">IFERROR(__xludf.DUMMYFUNCTION("""COMPUTED_VALUE"""),"Westwood, Lee")</f>
        <v>Westwood, Lee</v>
      </c>
      <c r="B956" t="str">
        <f ca="1">IFERROR(__xludf.DUMMYFUNCTION("""COMPUTED_VALUE"""),"England")</f>
        <v>England</v>
      </c>
    </row>
    <row r="957" spans="1:2" ht="12.75">
      <c r="A957" t="str">
        <f ca="1">IFERROR(__xludf.DUMMYFUNCTION("""COMPUTED_VALUE"""),"Wetterich, Brett")</f>
        <v>Wetterich, Brett</v>
      </c>
      <c r="B957" t="str">
        <f ca="1">IFERROR(__xludf.DUMMYFUNCTION("""COMPUTED_VALUE"""),"United States")</f>
        <v>United States</v>
      </c>
    </row>
    <row r="958" spans="1:2" ht="12.75">
      <c r="A958" t="str">
        <f ca="1">IFERROR(__xludf.DUMMYFUNCTION("""COMPUTED_VALUE"""),"Wetterich, Daniel")</f>
        <v>Wetterich, Daniel</v>
      </c>
      <c r="B958" t="str">
        <f ca="1">IFERROR(__xludf.DUMMYFUNCTION("""COMPUTED_VALUE"""),"United States")</f>
        <v>United States</v>
      </c>
    </row>
    <row r="959" spans="1:2" ht="12.75">
      <c r="A959" t="str">
        <f ca="1">IFERROR(__xludf.DUMMYFUNCTION("""COMPUTED_VALUE"""),"Whalen, Josh")</f>
        <v>Whalen, Josh</v>
      </c>
      <c r="B959" t="str">
        <f ca="1">IFERROR(__xludf.DUMMYFUNCTION("""COMPUTED_VALUE"""),"Canada")</f>
        <v>Canada</v>
      </c>
    </row>
    <row r="960" spans="1:2" ht="12.75">
      <c r="A960" t="str">
        <f ca="1">IFERROR(__xludf.DUMMYFUNCTION("""COMPUTED_VALUE"""),"Whaley, Vincent")</f>
        <v>Whaley, Vincent</v>
      </c>
      <c r="B960" t="str">
        <f ca="1">IFERROR(__xludf.DUMMYFUNCTION("""COMPUTED_VALUE"""),"United States")</f>
        <v>United States</v>
      </c>
    </row>
    <row r="961" spans="1:2" ht="12.75">
      <c r="A961" t="str">
        <f ca="1">IFERROR(__xludf.DUMMYFUNCTION("""COMPUTED_VALUE"""),"Wi, Charlie")</f>
        <v>Wi, Charlie</v>
      </c>
      <c r="B961" t="str">
        <f ca="1">IFERROR(__xludf.DUMMYFUNCTION("""COMPUTED_VALUE"""),"South Korea")</f>
        <v>South Korea</v>
      </c>
    </row>
    <row r="962" spans="1:2" ht="12.75">
      <c r="A962" t="str">
        <f ca="1">IFERROR(__xludf.DUMMYFUNCTION("""COMPUTED_VALUE"""),"Wiesberger, Bernd")</f>
        <v>Wiesberger, Bernd</v>
      </c>
      <c r="B962" t="str">
        <f ca="1">IFERROR(__xludf.DUMMYFUNCTION("""COMPUTED_VALUE"""),"Austria")</f>
        <v>Austria</v>
      </c>
    </row>
    <row r="963" spans="1:2" ht="12.75">
      <c r="A963" t="str">
        <f ca="1">IFERROR(__xludf.DUMMYFUNCTION("""COMPUTED_VALUE"""),"Wilkinson, Tim")</f>
        <v>Wilkinson, Tim</v>
      </c>
      <c r="B963" t="str">
        <f ca="1">IFERROR(__xludf.DUMMYFUNCTION("""COMPUTED_VALUE"""),"New Zealand")</f>
        <v>New Zealand</v>
      </c>
    </row>
    <row r="964" spans="1:2" ht="12.75">
      <c r="A964" t="str">
        <f ca="1">IFERROR(__xludf.DUMMYFUNCTION("""COMPUTED_VALUE"""),"Willett, Danny")</f>
        <v>Willett, Danny</v>
      </c>
      <c r="B964" t="str">
        <f ca="1">IFERROR(__xludf.DUMMYFUNCTION("""COMPUTED_VALUE"""),"England")</f>
        <v>England</v>
      </c>
    </row>
    <row r="965" spans="1:2" ht="12.75">
      <c r="A965" t="str">
        <f ca="1">IFERROR(__xludf.DUMMYFUNCTION("""COMPUTED_VALUE"""),"Willey, Andrew")</f>
        <v>Willey, Andrew</v>
      </c>
      <c r="B965" t="str">
        <f ca="1">IFERROR(__xludf.DUMMYFUNCTION("""COMPUTED_VALUE"""),"England")</f>
        <v>England</v>
      </c>
    </row>
    <row r="966" spans="1:2" ht="12.75">
      <c r="A966" t="str">
        <f ca="1">IFERROR(__xludf.DUMMYFUNCTION("""COMPUTED_VALUE"""),"Williams, Mason")</f>
        <v>Williams, Mason</v>
      </c>
      <c r="B966" t="str">
        <f ca="1">IFERROR(__xludf.DUMMYFUNCTION("""COMPUTED_VALUE"""),"United States")</f>
        <v>United States</v>
      </c>
    </row>
    <row r="967" spans="1:2" ht="12.75">
      <c r="A967" t="str">
        <f ca="1">IFERROR(__xludf.DUMMYFUNCTION("""COMPUTED_VALUE"""),"Willman, Ben")</f>
        <v>Willman, Ben</v>
      </c>
      <c r="B967" t="str">
        <f ca="1">IFERROR(__xludf.DUMMYFUNCTION("""COMPUTED_VALUE"""),"England")</f>
        <v>England</v>
      </c>
    </row>
    <row r="968" spans="1:2" ht="12.75">
      <c r="A968" t="str">
        <f ca="1">IFERROR(__xludf.DUMMYFUNCTION("""COMPUTED_VALUE"""),"Wilson, Andrew")</f>
        <v>Wilson, Andrew</v>
      </c>
      <c r="B968" t="str">
        <f ca="1">IFERROR(__xludf.DUMMYFUNCTION("""COMPUTED_VALUE"""),"England")</f>
        <v>England</v>
      </c>
    </row>
    <row r="969" spans="1:2" ht="12.75">
      <c r="A969" t="str">
        <f ca="1">IFERROR(__xludf.DUMMYFUNCTION("""COMPUTED_VALUE"""),"Wilson, Chris")</f>
        <v>Wilson, Chris</v>
      </c>
      <c r="B969" t="str">
        <f ca="1">IFERROR(__xludf.DUMMYFUNCTION("""COMPUTED_VALUE"""),"United States")</f>
        <v>United States</v>
      </c>
    </row>
    <row r="970" spans="1:2" ht="12.75">
      <c r="A970" t="str">
        <f ca="1">IFERROR(__xludf.DUMMYFUNCTION("""COMPUTED_VALUE"""),"Wilson, Mark")</f>
        <v>Wilson, Mark</v>
      </c>
      <c r="B970" t="str">
        <f ca="1">IFERROR(__xludf.DUMMYFUNCTION("""COMPUTED_VALUE"""),"United States")</f>
        <v>United States</v>
      </c>
    </row>
    <row r="971" spans="1:2" ht="12.75">
      <c r="A971" t="str">
        <f ca="1">IFERROR(__xludf.DUMMYFUNCTION("""COMPUTED_VALUE"""),"Wilson, Matt")</f>
        <v>Wilson, Matt</v>
      </c>
      <c r="B971" t="str">
        <f ca="1">IFERROR(__xludf.DUMMYFUNCTION("""COMPUTED_VALUE"""),"United States")</f>
        <v>United States</v>
      </c>
    </row>
    <row r="972" spans="1:2" ht="12.75">
      <c r="A972" t="str">
        <f ca="1">IFERROR(__xludf.DUMMYFUNCTION("""COMPUTED_VALUE"""),"Wilson, Oliver")</f>
        <v>Wilson, Oliver</v>
      </c>
      <c r="B972" t="str">
        <f ca="1">IFERROR(__xludf.DUMMYFUNCTION("""COMPUTED_VALUE"""),"England")</f>
        <v>England</v>
      </c>
    </row>
    <row r="973" spans="1:2" ht="12.75">
      <c r="A973" t="str">
        <f ca="1">IFERROR(__xludf.DUMMYFUNCTION("""COMPUTED_VALUE"""),"Wise, Aaron")</f>
        <v>Wise, Aaron</v>
      </c>
      <c r="B973" t="str">
        <f ca="1">IFERROR(__xludf.DUMMYFUNCTION("""COMPUTED_VALUE"""),"United States")</f>
        <v>United States</v>
      </c>
    </row>
    <row r="974" spans="1:2" ht="12.75">
      <c r="A974" t="str">
        <f ca="1">IFERROR(__xludf.DUMMYFUNCTION("""COMPUTED_VALUE"""),"Wiseman, Timothy")</f>
        <v>Wiseman, Timothy</v>
      </c>
      <c r="B974" t="str">
        <f ca="1">IFERROR(__xludf.DUMMYFUNCTION("""COMPUTED_VALUE"""),"United States")</f>
        <v>United States</v>
      </c>
    </row>
    <row r="975" spans="1:2" ht="12.75">
      <c r="A975" t="str">
        <f ca="1">IFERROR(__xludf.DUMMYFUNCTION("""COMPUTED_VALUE"""),"Wolff, Matthew")</f>
        <v>Wolff, Matthew</v>
      </c>
      <c r="B975" t="str">
        <f ca="1">IFERROR(__xludf.DUMMYFUNCTION("""COMPUTED_VALUE"""),"United States")</f>
        <v>United States</v>
      </c>
    </row>
    <row r="976" spans="1:2" ht="12.75">
      <c r="A976" t="str">
        <f ca="1">IFERROR(__xludf.DUMMYFUNCTION("""COMPUTED_VALUE"""),"Wood, Chris")</f>
        <v>Wood, Chris</v>
      </c>
      <c r="B976" t="str">
        <f ca="1">IFERROR(__xludf.DUMMYFUNCTION("""COMPUTED_VALUE"""),"England")</f>
        <v>England</v>
      </c>
    </row>
    <row r="977" spans="1:2" ht="12.75">
      <c r="A977" t="str">
        <f ca="1">IFERROR(__xludf.DUMMYFUNCTION("""COMPUTED_VALUE"""),"Wood, JJ")</f>
        <v>Wood, JJ</v>
      </c>
      <c r="B977" t="str">
        <f ca="1">IFERROR(__xludf.DUMMYFUNCTION("""COMPUTED_VALUE"""),"United States")</f>
        <v>United States</v>
      </c>
    </row>
    <row r="978" spans="1:2" ht="12.75">
      <c r="A978" t="str">
        <f ca="1">IFERROR(__xludf.DUMMYFUNCTION("""COMPUTED_VALUE"""),"Woodland, Gary")</f>
        <v>Woodland, Gary</v>
      </c>
      <c r="B978" t="str">
        <f ca="1">IFERROR(__xludf.DUMMYFUNCTION("""COMPUTED_VALUE"""),"United States")</f>
        <v>United States</v>
      </c>
    </row>
    <row r="979" spans="1:2" ht="12.75">
      <c r="A979" t="str">
        <f ca="1">IFERROR(__xludf.DUMMYFUNCTION("""COMPUTED_VALUE"""),"Woods, Tiger")</f>
        <v>Woods, Tiger</v>
      </c>
      <c r="B979" t="str">
        <f ca="1">IFERROR(__xludf.DUMMYFUNCTION("""COMPUTED_VALUE"""),"United States")</f>
        <v>United States</v>
      </c>
    </row>
    <row r="980" spans="1:2" ht="12.75">
      <c r="A980" t="str">
        <f ca="1">IFERROR(__xludf.DUMMYFUNCTION("""COMPUTED_VALUE"""),"Woosnam, Ian")</f>
        <v>Woosnam, Ian</v>
      </c>
      <c r="B980" t="str">
        <f ca="1">IFERROR(__xludf.DUMMYFUNCTION("""COMPUTED_VALUE"""),"Wales")</f>
        <v>Wales</v>
      </c>
    </row>
    <row r="981" spans="1:2" ht="12.75">
      <c r="A981" t="str">
        <f ca="1">IFERROR(__xludf.DUMMYFUNCTION("""COMPUTED_VALUE"""),"Wright, Chase")</f>
        <v>Wright, Chase</v>
      </c>
      <c r="B981" t="str">
        <f ca="1">IFERROR(__xludf.DUMMYFUNCTION("""COMPUTED_VALUE"""),"United States")</f>
        <v>United States</v>
      </c>
    </row>
    <row r="982" spans="1:2" ht="12.75">
      <c r="A982" t="str">
        <f ca="1">IFERROR(__xludf.DUMMYFUNCTION("""COMPUTED_VALUE"""),"Wu, A-Shun")</f>
        <v>Wu, A-Shun</v>
      </c>
      <c r="B982" t="str">
        <f ca="1">IFERROR(__xludf.DUMMYFUNCTION("""COMPUTED_VALUE"""),"China")</f>
        <v>China</v>
      </c>
    </row>
    <row r="983" spans="1:2" ht="12.75">
      <c r="A983" t="str">
        <f ca="1">IFERROR(__xludf.DUMMYFUNCTION("""COMPUTED_VALUE"""),"Wu, Brandon")</f>
        <v>Wu, Brandon</v>
      </c>
      <c r="B983" t="str">
        <f ca="1">IFERROR(__xludf.DUMMYFUNCTION("""COMPUTED_VALUE"""),"United States")</f>
        <v>United States</v>
      </c>
    </row>
    <row r="984" spans="1:2" ht="12.75">
      <c r="A984" t="str">
        <f ca="1">IFERROR(__xludf.DUMMYFUNCTION("""COMPUTED_VALUE"""),"Wu, Dylan")</f>
        <v>Wu, Dylan</v>
      </c>
      <c r="B984" t="str">
        <f ca="1">IFERROR(__xludf.DUMMYFUNCTION("""COMPUTED_VALUE"""),"United States")</f>
        <v>United States</v>
      </c>
    </row>
    <row r="985" spans="1:2" ht="12.75">
      <c r="A985" t="str">
        <f ca="1">IFERROR(__xludf.DUMMYFUNCTION("""COMPUTED_VALUE"""),"X")</f>
        <v>X</v>
      </c>
      <c r="B985" t="str">
        <f ca="1">IFERROR(__xludf.DUMMYFUNCTION("""COMPUTED_VALUE"""),"")</f>
        <v/>
      </c>
    </row>
    <row r="986" spans="1:2" ht="12.75">
      <c r="A986" t="str">
        <f ca="1">IFERROR(__xludf.DUMMYFUNCTION("""COMPUTED_VALUE"""),"NAME")</f>
        <v>NAME</v>
      </c>
      <c r="B986" t="str">
        <f ca="1">IFERROR(__xludf.DUMMYFUNCTION("""COMPUTED_VALUE"""),"COUNTRY")</f>
        <v>COUNTRY</v>
      </c>
    </row>
    <row r="987" spans="1:2" ht="12.75">
      <c r="A987" t="str">
        <f ca="1">IFERROR(__xludf.DUMMYFUNCTION("""COMPUTED_VALUE"""),"Xiao, Bowen")</f>
        <v>Xiao, Bowen</v>
      </c>
      <c r="B987" t="str">
        <f ca="1">IFERROR(__xludf.DUMMYFUNCTION("""COMPUTED_VALUE"""),"China")</f>
        <v>China</v>
      </c>
    </row>
    <row r="988" spans="1:2" ht="12.75">
      <c r="A988" t="str">
        <f ca="1">IFERROR(__xludf.DUMMYFUNCTION("""COMPUTED_VALUE"""),"Xiong, Norman")</f>
        <v>Xiong, Norman</v>
      </c>
      <c r="B988" t="str">
        <f ca="1">IFERROR(__xludf.DUMMYFUNCTION("""COMPUTED_VALUE"""),"United States")</f>
        <v>United States</v>
      </c>
    </row>
    <row r="989" spans="1:2" ht="12.75">
      <c r="A989" t="str">
        <f ca="1">IFERROR(__xludf.DUMMYFUNCTION("""COMPUTED_VALUE"""),"Y")</f>
        <v>Y</v>
      </c>
      <c r="B989" t="str">
        <f ca="1">IFERROR(__xludf.DUMMYFUNCTION("""COMPUTED_VALUE"""),"")</f>
        <v/>
      </c>
    </row>
    <row r="990" spans="1:2" ht="12.75">
      <c r="A990" t="str">
        <f ca="1">IFERROR(__xludf.DUMMYFUNCTION("""COMPUTED_VALUE"""),"NAME")</f>
        <v>NAME</v>
      </c>
      <c r="B990" t="str">
        <f ca="1">IFERROR(__xludf.DUMMYFUNCTION("""COMPUTED_VALUE"""),"COUNTRY")</f>
        <v>COUNTRY</v>
      </c>
    </row>
    <row r="991" spans="1:2" ht="12.75">
      <c r="A991" t="str">
        <f ca="1">IFERROR(__xludf.DUMMYFUNCTION("""COMPUTED_VALUE"""),"Yang, Gunn")</f>
        <v>Yang, Gunn</v>
      </c>
      <c r="B991" t="str">
        <f ca="1">IFERROR(__xludf.DUMMYFUNCTION("""COMPUTED_VALUE"""),"South Korea")</f>
        <v>South Korea</v>
      </c>
    </row>
    <row r="992" spans="1:2" ht="12.75">
      <c r="A992" t="str">
        <f ca="1">IFERROR(__xludf.DUMMYFUNCTION("""COMPUTED_VALUE"""),"Yang, Y.E.")</f>
        <v>Yang, Y.E.</v>
      </c>
      <c r="B992" t="str">
        <f ca="1">IFERROR(__xludf.DUMMYFUNCTION("""COMPUTED_VALUE"""),"South Korea")</f>
        <v>South Korea</v>
      </c>
    </row>
    <row r="993" spans="1:2" ht="12.75">
      <c r="A993" t="str">
        <f ca="1">IFERROR(__xludf.DUMMYFUNCTION("""COMPUTED_VALUE"""),"Yip, Ryan")</f>
        <v>Yip, Ryan</v>
      </c>
      <c r="B993" t="str">
        <f ca="1">IFERROR(__xludf.DUMMYFUNCTION("""COMPUTED_VALUE"""),"Canada")</f>
        <v>Canada</v>
      </c>
    </row>
    <row r="994" spans="1:2" ht="12.75">
      <c r="A994" t="str">
        <f ca="1">IFERROR(__xludf.DUMMYFUNCTION("""COMPUTED_VALUE"""),"Young, Cameron")</f>
        <v>Young, Cameron</v>
      </c>
      <c r="B994" t="str">
        <f ca="1">IFERROR(__xludf.DUMMYFUNCTION("""COMPUTED_VALUE"""),"United States")</f>
        <v>United States</v>
      </c>
    </row>
    <row r="995" spans="1:2" ht="12.75">
      <c r="A995" t="str">
        <f ca="1">IFERROR(__xludf.DUMMYFUNCTION("""COMPUTED_VALUE"""),"Yu, Chun An")</f>
        <v>Yu, Chun An</v>
      </c>
      <c r="B995" t="str">
        <f ca="1">IFERROR(__xludf.DUMMYFUNCTION("""COMPUTED_VALUE"""),"Chinese Taipei")</f>
        <v>Chinese Taipei</v>
      </c>
    </row>
    <row r="996" spans="1:2" ht="12.75">
      <c r="A996" t="str">
        <f ca="1">IFERROR(__xludf.DUMMYFUNCTION("""COMPUTED_VALUE"""),"Yu, Sean")</f>
        <v>Yu, Sean</v>
      </c>
      <c r="B996" t="str">
        <f ca="1">IFERROR(__xludf.DUMMYFUNCTION("""COMPUTED_VALUE"""),"Chinese Taipei")</f>
        <v>Chinese Taipei</v>
      </c>
    </row>
    <row r="997" spans="1:2" ht="12.75">
      <c r="A997" t="str">
        <f ca="1">IFERROR(__xludf.DUMMYFUNCTION("""COMPUTED_VALUE"""),"Yuan, Carl")</f>
        <v>Yuan, Carl</v>
      </c>
      <c r="B997" t="str">
        <f ca="1">IFERROR(__xludf.DUMMYFUNCTION("""COMPUTED_VALUE"""),"China")</f>
        <v>China</v>
      </c>
    </row>
    <row r="998" spans="1:2" ht="12.75">
      <c r="A998" t="str">
        <f ca="1">IFERROR(__xludf.DUMMYFUNCTION("""COMPUTED_VALUE"""),"Z")</f>
        <v>Z</v>
      </c>
      <c r="B998" t="str">
        <f ca="1">IFERROR(__xludf.DUMMYFUNCTION("""COMPUTED_VALUE"""),"")</f>
        <v/>
      </c>
    </row>
    <row r="999" spans="1:2" ht="12.75">
      <c r="A999" t="str">
        <f ca="1">IFERROR(__xludf.DUMMYFUNCTION("""COMPUTED_VALUE"""),"NAME")</f>
        <v>NAME</v>
      </c>
      <c r="B999" t="str">
        <f ca="1">IFERROR(__xludf.DUMMYFUNCTION("""COMPUTED_VALUE"""),"COUNTRY")</f>
        <v>COUNTRY</v>
      </c>
    </row>
    <row r="1000" spans="1:2" ht="12.75">
      <c r="A1000" t="str">
        <f ca="1">IFERROR(__xludf.DUMMYFUNCTION("""COMPUTED_VALUE"""),"Zaback, Zach")</f>
        <v>Zaback, Zach</v>
      </c>
      <c r="B1000" t="str">
        <f ca="1">IFERROR(__xludf.DUMMYFUNCTION("""COMPUTED_VALUE"""),"United States")</f>
        <v>United States</v>
      </c>
    </row>
    <row r="1001" spans="1:2" ht="12.75">
      <c r="A1001" t="str">
        <f ca="1">IFERROR(__xludf.DUMMYFUNCTION("""COMPUTED_VALUE"""),"Zhang, Andy")</f>
        <v>Zhang, Andy</v>
      </c>
      <c r="B1001" t="str">
        <f ca="1">IFERROR(__xludf.DUMMYFUNCTION("""COMPUTED_VALUE"""),"China")</f>
        <v>China</v>
      </c>
    </row>
    <row r="1002" spans="1:2" ht="12.75">
      <c r="A1002" t="str">
        <f ca="1">IFERROR(__xludf.DUMMYFUNCTION("""COMPUTED_VALUE"""),"Zhang, Xinjun")</f>
        <v>Zhang, Xinjun</v>
      </c>
      <c r="B1002" t="str">
        <f ca="1">IFERROR(__xludf.DUMMYFUNCTION("""COMPUTED_VALUE"""),"China")</f>
        <v>China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BEE2-0BAC-4256-BE95-A030B6998493}">
  <dimension ref="A1:D93"/>
  <sheetViews>
    <sheetView tabSelected="1" workbookViewId="0">
      <selection activeCell="H14" sqref="H14"/>
    </sheetView>
  </sheetViews>
  <sheetFormatPr defaultRowHeight="12.75"/>
  <cols>
    <col min="1" max="1" width="20.5703125" customWidth="1"/>
  </cols>
  <sheetData>
    <row r="1" spans="1:4">
      <c r="A1" t="s">
        <v>0</v>
      </c>
      <c r="B1" t="s">
        <v>1</v>
      </c>
      <c r="C1" t="s">
        <v>96</v>
      </c>
      <c r="D1" t="s">
        <v>2</v>
      </c>
    </row>
    <row r="2" spans="1:4">
      <c r="A2" t="s">
        <v>4</v>
      </c>
      <c r="B2" t="s">
        <v>3</v>
      </c>
      <c r="C2" s="5">
        <v>0.29166666666666669</v>
      </c>
      <c r="D2" s="6">
        <v>200</v>
      </c>
    </row>
    <row r="3" spans="1:4">
      <c r="A3" t="s">
        <v>5</v>
      </c>
      <c r="B3" t="s">
        <v>3</v>
      </c>
      <c r="C3" s="5">
        <v>0.29166666666666669</v>
      </c>
      <c r="D3" s="6">
        <v>500</v>
      </c>
    </row>
    <row r="4" spans="1:4">
      <c r="A4" t="s">
        <v>6</v>
      </c>
      <c r="B4" t="s">
        <v>3</v>
      </c>
      <c r="C4" s="5">
        <v>0.29166666666666669</v>
      </c>
      <c r="D4" s="6">
        <v>500</v>
      </c>
    </row>
    <row r="5" spans="1:4">
      <c r="A5" t="s">
        <v>7</v>
      </c>
      <c r="B5" t="s">
        <v>3</v>
      </c>
      <c r="C5" s="5">
        <v>0.29166666666666669</v>
      </c>
      <c r="D5" s="6">
        <v>500</v>
      </c>
    </row>
    <row r="6" spans="1:4">
      <c r="A6" t="s">
        <v>8</v>
      </c>
      <c r="B6" t="s">
        <v>3</v>
      </c>
      <c r="C6" s="5">
        <v>0.29166666666666669</v>
      </c>
      <c r="D6" s="6">
        <v>500</v>
      </c>
    </row>
    <row r="7" spans="1:4">
      <c r="A7" t="s">
        <v>9</v>
      </c>
      <c r="B7" t="s">
        <v>3</v>
      </c>
      <c r="C7" s="5">
        <v>0.29166666666666669</v>
      </c>
      <c r="D7" s="6">
        <v>500</v>
      </c>
    </row>
    <row r="8" spans="1:4">
      <c r="A8" t="s">
        <v>10</v>
      </c>
      <c r="B8" t="s">
        <v>3</v>
      </c>
      <c r="C8" s="5">
        <v>0.29930555555555555</v>
      </c>
      <c r="D8" s="6">
        <v>400</v>
      </c>
    </row>
    <row r="9" spans="1:4">
      <c r="A9" t="s">
        <v>11</v>
      </c>
      <c r="B9" t="s">
        <v>3</v>
      </c>
      <c r="C9" s="5">
        <v>0.29930555555555555</v>
      </c>
      <c r="D9" s="6">
        <v>500</v>
      </c>
    </row>
    <row r="10" spans="1:4">
      <c r="A10" t="s">
        <v>12</v>
      </c>
      <c r="B10" t="s">
        <v>3</v>
      </c>
      <c r="C10" s="5">
        <v>0.29930555555555555</v>
      </c>
      <c r="D10" s="6">
        <v>200</v>
      </c>
    </row>
    <row r="11" spans="1:4">
      <c r="A11" t="s">
        <v>13</v>
      </c>
      <c r="B11" t="s">
        <v>3</v>
      </c>
      <c r="C11" s="5">
        <v>0.29930555555555555</v>
      </c>
      <c r="D11" s="6">
        <v>28</v>
      </c>
    </row>
    <row r="12" spans="1:4">
      <c r="A12" t="s">
        <v>14</v>
      </c>
      <c r="B12" t="s">
        <v>3</v>
      </c>
      <c r="C12" s="5">
        <v>0.29930555555555555</v>
      </c>
      <c r="D12" s="6">
        <v>40</v>
      </c>
    </row>
    <row r="13" spans="1:4">
      <c r="A13" t="s">
        <v>15</v>
      </c>
      <c r="B13" t="s">
        <v>3</v>
      </c>
      <c r="C13" s="5">
        <v>0.29930555555555555</v>
      </c>
      <c r="D13" s="6">
        <v>200</v>
      </c>
    </row>
    <row r="14" spans="1:4">
      <c r="A14" t="s">
        <v>16</v>
      </c>
      <c r="B14" t="s">
        <v>3</v>
      </c>
      <c r="C14" s="5">
        <v>0.30694444444444441</v>
      </c>
      <c r="D14" s="6">
        <v>300</v>
      </c>
    </row>
    <row r="15" spans="1:4">
      <c r="A15" t="s">
        <v>17</v>
      </c>
      <c r="B15" t="s">
        <v>3</v>
      </c>
      <c r="C15" s="5">
        <v>0.30694444444444441</v>
      </c>
      <c r="D15" s="6">
        <v>150</v>
      </c>
    </row>
    <row r="16" spans="1:4">
      <c r="A16" t="s">
        <v>18</v>
      </c>
      <c r="B16" t="s">
        <v>3</v>
      </c>
      <c r="C16" s="5">
        <v>0.30694444444444441</v>
      </c>
      <c r="D16" s="6">
        <v>500</v>
      </c>
    </row>
    <row r="17" spans="1:4">
      <c r="A17" t="s">
        <v>19</v>
      </c>
      <c r="B17" t="s">
        <v>3</v>
      </c>
      <c r="C17" s="5">
        <v>0.30694444444444441</v>
      </c>
      <c r="D17" s="6">
        <v>500</v>
      </c>
    </row>
    <row r="18" spans="1:4">
      <c r="A18" t="s">
        <v>20</v>
      </c>
      <c r="B18" t="s">
        <v>3</v>
      </c>
      <c r="C18" s="5">
        <v>0.30694444444444441</v>
      </c>
      <c r="D18" s="6">
        <v>500</v>
      </c>
    </row>
    <row r="19" spans="1:4">
      <c r="A19" t="s">
        <v>21</v>
      </c>
      <c r="B19" t="s">
        <v>3</v>
      </c>
      <c r="C19" s="5">
        <v>0.30694444444444441</v>
      </c>
      <c r="D19" s="6">
        <v>60</v>
      </c>
    </row>
    <row r="20" spans="1:4">
      <c r="A20" t="s">
        <v>22</v>
      </c>
      <c r="B20" t="s">
        <v>3</v>
      </c>
      <c r="C20" s="5">
        <v>0.31458333333333333</v>
      </c>
      <c r="D20" s="6">
        <v>7</v>
      </c>
    </row>
    <row r="21" spans="1:4">
      <c r="A21" t="s">
        <v>23</v>
      </c>
      <c r="B21" t="s">
        <v>3</v>
      </c>
      <c r="C21" s="5">
        <v>0.31458333333333333</v>
      </c>
      <c r="D21" s="6">
        <v>150</v>
      </c>
    </row>
    <row r="22" spans="1:4">
      <c r="A22" t="s">
        <v>24</v>
      </c>
      <c r="B22" t="s">
        <v>3</v>
      </c>
      <c r="C22" s="5">
        <v>0.31458333333333333</v>
      </c>
      <c r="D22" s="6">
        <v>250</v>
      </c>
    </row>
    <row r="23" spans="1:4">
      <c r="A23" t="s">
        <v>25</v>
      </c>
      <c r="B23" t="s">
        <v>3</v>
      </c>
      <c r="C23" s="5">
        <v>0.31458333333333333</v>
      </c>
      <c r="D23" s="6">
        <v>60</v>
      </c>
    </row>
    <row r="24" spans="1:4">
      <c r="A24" t="s">
        <v>26</v>
      </c>
      <c r="B24" t="s">
        <v>3</v>
      </c>
      <c r="C24" s="5">
        <v>0.31458333333333333</v>
      </c>
      <c r="D24" s="6">
        <v>9</v>
      </c>
    </row>
    <row r="25" spans="1:4">
      <c r="A25" t="s">
        <v>27</v>
      </c>
      <c r="B25" t="s">
        <v>3</v>
      </c>
      <c r="C25" s="5">
        <v>0.31458333333333333</v>
      </c>
      <c r="D25" s="6">
        <v>100</v>
      </c>
    </row>
    <row r="26" spans="1:4">
      <c r="A26" t="s">
        <v>28</v>
      </c>
      <c r="B26" t="s">
        <v>3</v>
      </c>
      <c r="C26" s="5">
        <v>0.32222222222222224</v>
      </c>
      <c r="D26" s="6">
        <v>80</v>
      </c>
    </row>
    <row r="27" spans="1:4">
      <c r="A27" t="s">
        <v>29</v>
      </c>
      <c r="B27" t="s">
        <v>3</v>
      </c>
      <c r="C27" s="5">
        <v>0.32222222222222224</v>
      </c>
      <c r="D27" s="6">
        <v>33</v>
      </c>
    </row>
    <row r="28" spans="1:4">
      <c r="A28" t="s">
        <v>30</v>
      </c>
      <c r="B28" t="s">
        <v>3</v>
      </c>
      <c r="C28" s="5">
        <v>0.32222222222222224</v>
      </c>
      <c r="D28" s="6">
        <v>90</v>
      </c>
    </row>
    <row r="29" spans="1:4">
      <c r="A29" t="s">
        <v>31</v>
      </c>
      <c r="B29" t="s">
        <v>3</v>
      </c>
      <c r="C29" s="5">
        <v>0.32222222222222224</v>
      </c>
      <c r="D29" s="6">
        <v>30</v>
      </c>
    </row>
    <row r="30" spans="1:4">
      <c r="A30" t="s">
        <v>32</v>
      </c>
      <c r="B30" t="s">
        <v>3</v>
      </c>
      <c r="C30" s="5">
        <v>0.32222222222222224</v>
      </c>
      <c r="D30" s="6">
        <v>14</v>
      </c>
    </row>
    <row r="31" spans="1:4">
      <c r="A31" t="s">
        <v>33</v>
      </c>
      <c r="B31" t="s">
        <v>3</v>
      </c>
      <c r="C31" s="5">
        <v>0.32222222222222224</v>
      </c>
      <c r="D31" s="6">
        <v>200</v>
      </c>
    </row>
    <row r="32" spans="1:4">
      <c r="A32" t="s">
        <v>34</v>
      </c>
      <c r="B32" t="s">
        <v>3</v>
      </c>
      <c r="C32" s="5">
        <v>0.3298611111111111</v>
      </c>
      <c r="D32" s="6">
        <v>40</v>
      </c>
    </row>
    <row r="33" spans="1:4">
      <c r="A33" t="s">
        <v>35</v>
      </c>
      <c r="B33" t="s">
        <v>3</v>
      </c>
      <c r="C33" s="5">
        <v>0.3298611111111111</v>
      </c>
      <c r="D33" s="6">
        <v>500</v>
      </c>
    </row>
    <row r="34" spans="1:4">
      <c r="A34" t="s">
        <v>36</v>
      </c>
      <c r="B34" t="s">
        <v>3</v>
      </c>
      <c r="C34" s="5">
        <v>0.3298611111111111</v>
      </c>
      <c r="D34" s="6">
        <v>80</v>
      </c>
    </row>
    <row r="35" spans="1:4">
      <c r="A35" t="s">
        <v>37</v>
      </c>
      <c r="B35" t="s">
        <v>3</v>
      </c>
      <c r="C35" s="5">
        <v>0.3298611111111111</v>
      </c>
      <c r="D35" s="6">
        <v>500</v>
      </c>
    </row>
    <row r="36" spans="1:4">
      <c r="A36" t="s">
        <v>38</v>
      </c>
      <c r="B36" t="s">
        <v>3</v>
      </c>
      <c r="C36" s="5">
        <v>0.3298611111111111</v>
      </c>
      <c r="D36" s="6">
        <v>250</v>
      </c>
    </row>
    <row r="37" spans="1:4">
      <c r="A37" t="s">
        <v>39</v>
      </c>
      <c r="B37" t="s">
        <v>3</v>
      </c>
      <c r="C37" s="5">
        <v>0.3298611111111111</v>
      </c>
      <c r="D37" s="6">
        <v>50</v>
      </c>
    </row>
    <row r="38" spans="1:4">
      <c r="A38" t="s">
        <v>40</v>
      </c>
      <c r="B38" t="s">
        <v>3</v>
      </c>
      <c r="C38" s="5">
        <v>0.33749999999999997</v>
      </c>
      <c r="D38" s="6">
        <v>500</v>
      </c>
    </row>
    <row r="39" spans="1:4">
      <c r="A39" t="s">
        <v>41</v>
      </c>
      <c r="B39" t="s">
        <v>3</v>
      </c>
      <c r="C39" s="5">
        <v>0.33749999999999997</v>
      </c>
      <c r="D39" s="6">
        <v>250</v>
      </c>
    </row>
    <row r="40" spans="1:4">
      <c r="A40" t="s">
        <v>42</v>
      </c>
      <c r="B40" t="s">
        <v>3</v>
      </c>
      <c r="C40" s="5">
        <v>0.33749999999999997</v>
      </c>
      <c r="D40" s="6">
        <v>150</v>
      </c>
    </row>
    <row r="41" spans="1:4">
      <c r="A41" t="s">
        <v>43</v>
      </c>
      <c r="B41" t="s">
        <v>3</v>
      </c>
      <c r="C41" s="5">
        <v>0.33749999999999997</v>
      </c>
      <c r="D41" s="6">
        <v>500</v>
      </c>
    </row>
    <row r="42" spans="1:4">
      <c r="A42" t="s">
        <v>44</v>
      </c>
      <c r="B42" t="s">
        <v>3</v>
      </c>
      <c r="C42" s="5">
        <v>0.33749999999999997</v>
      </c>
      <c r="D42" s="6">
        <v>80</v>
      </c>
    </row>
    <row r="43" spans="1:4">
      <c r="A43" t="s">
        <v>45</v>
      </c>
      <c r="B43" t="s">
        <v>3</v>
      </c>
      <c r="C43" s="5">
        <v>0.33749999999999997</v>
      </c>
      <c r="D43" s="6">
        <v>125</v>
      </c>
    </row>
    <row r="44" spans="1:4">
      <c r="A44" t="s">
        <v>46</v>
      </c>
      <c r="B44" t="s">
        <v>3</v>
      </c>
      <c r="C44" s="5">
        <v>0.34513888888888888</v>
      </c>
      <c r="D44" s="6">
        <v>350</v>
      </c>
    </row>
    <row r="45" spans="1:4">
      <c r="A45" t="s">
        <v>47</v>
      </c>
      <c r="B45" t="s">
        <v>3</v>
      </c>
      <c r="C45" s="5">
        <v>0.34513888888888888</v>
      </c>
      <c r="D45" s="6">
        <v>150</v>
      </c>
    </row>
    <row r="46" spans="1:4">
      <c r="A46" t="s">
        <v>48</v>
      </c>
      <c r="B46" t="s">
        <v>3</v>
      </c>
      <c r="C46" s="5">
        <v>0.34513888888888888</v>
      </c>
      <c r="D46" s="6">
        <v>500</v>
      </c>
    </row>
    <row r="47" spans="1:4">
      <c r="A47" t="s">
        <v>49</v>
      </c>
      <c r="B47" t="s">
        <v>3</v>
      </c>
      <c r="C47" s="5">
        <v>0.34513888888888888</v>
      </c>
      <c r="D47" s="6">
        <v>500</v>
      </c>
    </row>
    <row r="48" spans="1:4">
      <c r="A48" t="s">
        <v>50</v>
      </c>
      <c r="B48" t="s">
        <v>3</v>
      </c>
      <c r="C48" s="5">
        <v>0.34513888888888888</v>
      </c>
      <c r="D48" s="6">
        <v>200</v>
      </c>
    </row>
    <row r="49" spans="1:4">
      <c r="A49" t="s">
        <v>51</v>
      </c>
      <c r="B49" t="s">
        <v>3</v>
      </c>
      <c r="C49" s="5">
        <v>0.34513888888888888</v>
      </c>
      <c r="D49" s="6">
        <v>500</v>
      </c>
    </row>
    <row r="50" spans="1:4">
      <c r="A50" t="s">
        <v>52</v>
      </c>
      <c r="B50" t="s">
        <v>3</v>
      </c>
      <c r="C50" s="5">
        <v>0.46180555555555558</v>
      </c>
      <c r="D50" s="6">
        <v>500</v>
      </c>
    </row>
    <row r="51" spans="1:4">
      <c r="A51" t="s">
        <v>53</v>
      </c>
      <c r="B51" t="s">
        <v>3</v>
      </c>
      <c r="C51" s="5">
        <v>0.46180555555555558</v>
      </c>
      <c r="D51" s="6">
        <v>500</v>
      </c>
    </row>
    <row r="52" spans="1:4">
      <c r="A52" t="s">
        <v>54</v>
      </c>
      <c r="B52" t="s">
        <v>3</v>
      </c>
      <c r="C52" s="5">
        <v>0.46180555555555558</v>
      </c>
      <c r="D52" s="6">
        <v>500</v>
      </c>
    </row>
    <row r="53" spans="1:4">
      <c r="A53" t="s">
        <v>55</v>
      </c>
      <c r="B53" t="s">
        <v>3</v>
      </c>
      <c r="C53" s="5">
        <v>0.46180555555555558</v>
      </c>
      <c r="D53" s="6">
        <v>500</v>
      </c>
    </row>
    <row r="54" spans="1:4">
      <c r="A54" t="s">
        <v>56</v>
      </c>
      <c r="B54" t="s">
        <v>3</v>
      </c>
      <c r="C54" s="5">
        <v>0.46180555555555558</v>
      </c>
      <c r="D54" s="6">
        <v>200</v>
      </c>
    </row>
    <row r="55" spans="1:4">
      <c r="A55" t="s">
        <v>57</v>
      </c>
      <c r="B55" t="s">
        <v>3</v>
      </c>
      <c r="C55" s="5">
        <v>0.4694444444444445</v>
      </c>
      <c r="D55" s="6">
        <v>300</v>
      </c>
    </row>
    <row r="56" spans="1:4">
      <c r="A56" t="s">
        <v>58</v>
      </c>
      <c r="B56" t="s">
        <v>3</v>
      </c>
      <c r="C56" s="5">
        <v>0.4694444444444445</v>
      </c>
      <c r="D56" s="6">
        <v>500</v>
      </c>
    </row>
    <row r="57" spans="1:4">
      <c r="A57" t="s">
        <v>59</v>
      </c>
      <c r="B57" t="s">
        <v>3</v>
      </c>
      <c r="C57" s="5">
        <v>0.4694444444444445</v>
      </c>
      <c r="D57" s="6">
        <v>70</v>
      </c>
    </row>
    <row r="58" spans="1:4">
      <c r="A58" t="s">
        <v>60</v>
      </c>
      <c r="B58" t="s">
        <v>3</v>
      </c>
      <c r="C58" s="5">
        <v>0.4694444444444445</v>
      </c>
      <c r="D58" s="6">
        <v>200</v>
      </c>
    </row>
    <row r="59" spans="1:4">
      <c r="A59" t="s">
        <v>61</v>
      </c>
      <c r="B59" t="s">
        <v>3</v>
      </c>
      <c r="C59" s="5">
        <v>0.4694444444444445</v>
      </c>
      <c r="D59" s="6">
        <v>400</v>
      </c>
    </row>
    <row r="60" spans="1:4">
      <c r="A60" t="s">
        <v>62</v>
      </c>
      <c r="B60" t="s">
        <v>3</v>
      </c>
      <c r="C60" s="5">
        <v>0.4694444444444445</v>
      </c>
      <c r="D60" s="6">
        <v>250</v>
      </c>
    </row>
    <row r="61" spans="1:4">
      <c r="A61" t="s">
        <v>63</v>
      </c>
      <c r="B61" t="s">
        <v>3</v>
      </c>
      <c r="C61" s="5">
        <v>0.4770833333333333</v>
      </c>
      <c r="D61" s="6">
        <v>125</v>
      </c>
    </row>
    <row r="62" spans="1:4">
      <c r="A62" t="s">
        <v>64</v>
      </c>
      <c r="B62" t="s">
        <v>3</v>
      </c>
      <c r="C62" s="5">
        <v>0.4770833333333333</v>
      </c>
      <c r="D62" s="6">
        <v>50</v>
      </c>
    </row>
    <row r="63" spans="1:4">
      <c r="A63" t="s">
        <v>65</v>
      </c>
      <c r="B63" t="s">
        <v>3</v>
      </c>
      <c r="C63" s="5">
        <v>0.4770833333333333</v>
      </c>
      <c r="D63" s="6">
        <v>100</v>
      </c>
    </row>
    <row r="64" spans="1:4">
      <c r="A64" t="s">
        <v>66</v>
      </c>
      <c r="B64" t="s">
        <v>3</v>
      </c>
      <c r="C64" s="5">
        <v>0.4770833333333333</v>
      </c>
      <c r="D64" s="6">
        <v>30</v>
      </c>
    </row>
    <row r="65" spans="1:4">
      <c r="A65" t="s">
        <v>67</v>
      </c>
      <c r="B65" t="s">
        <v>3</v>
      </c>
      <c r="C65" s="5">
        <v>0.4770833333333333</v>
      </c>
      <c r="D65" s="6">
        <v>250</v>
      </c>
    </row>
    <row r="66" spans="1:4">
      <c r="A66" t="s">
        <v>68</v>
      </c>
      <c r="B66" t="s">
        <v>3</v>
      </c>
      <c r="C66" s="5">
        <v>0.4770833333333333</v>
      </c>
      <c r="D66" s="6">
        <v>40</v>
      </c>
    </row>
    <row r="67" spans="1:4">
      <c r="A67" t="s">
        <v>69</v>
      </c>
      <c r="B67" t="s">
        <v>3</v>
      </c>
      <c r="C67" s="5">
        <v>0.48472222222222222</v>
      </c>
      <c r="D67" s="6">
        <v>30</v>
      </c>
    </row>
    <row r="68" spans="1:4">
      <c r="A68" t="s">
        <v>70</v>
      </c>
      <c r="B68" t="s">
        <v>3</v>
      </c>
      <c r="C68" s="5">
        <v>0.48472222222222222</v>
      </c>
      <c r="D68" s="6">
        <v>200</v>
      </c>
    </row>
    <row r="69" spans="1:4">
      <c r="A69" t="s">
        <v>71</v>
      </c>
      <c r="B69" t="s">
        <v>3</v>
      </c>
      <c r="C69" s="5">
        <v>0.48472222222222222</v>
      </c>
      <c r="D69" s="6">
        <v>125</v>
      </c>
    </row>
    <row r="70" spans="1:4">
      <c r="A70" t="s">
        <v>72</v>
      </c>
      <c r="B70" t="s">
        <v>3</v>
      </c>
      <c r="C70" s="5">
        <v>0.48472222222222222</v>
      </c>
      <c r="D70" s="6">
        <v>30</v>
      </c>
    </row>
    <row r="71" spans="1:4">
      <c r="A71" t="s">
        <v>73</v>
      </c>
      <c r="B71" t="s">
        <v>3</v>
      </c>
      <c r="C71" s="5">
        <v>0.48472222222222222</v>
      </c>
      <c r="D71" s="6">
        <v>50</v>
      </c>
    </row>
    <row r="72" spans="1:4">
      <c r="A72" t="s">
        <v>74</v>
      </c>
      <c r="B72" t="s">
        <v>3</v>
      </c>
      <c r="C72" s="5">
        <v>0.48472222222222222</v>
      </c>
      <c r="D72" s="6">
        <v>90</v>
      </c>
    </row>
    <row r="73" spans="1:4">
      <c r="A73" t="s">
        <v>75</v>
      </c>
      <c r="B73" t="s">
        <v>3</v>
      </c>
      <c r="C73" s="5">
        <v>0.49236111111111108</v>
      </c>
      <c r="D73" s="6">
        <v>350</v>
      </c>
    </row>
    <row r="74" spans="1:4">
      <c r="A74" t="s">
        <v>76</v>
      </c>
      <c r="B74" t="s">
        <v>3</v>
      </c>
      <c r="C74" s="5">
        <v>0.49236111111111108</v>
      </c>
      <c r="D74" s="6">
        <v>70</v>
      </c>
    </row>
    <row r="75" spans="1:4">
      <c r="A75" t="s">
        <v>77</v>
      </c>
      <c r="B75" t="s">
        <v>3</v>
      </c>
      <c r="C75" s="5">
        <v>0.49236111111111108</v>
      </c>
      <c r="D75" s="6">
        <v>16</v>
      </c>
    </row>
    <row r="76" spans="1:4">
      <c r="A76" t="s">
        <v>78</v>
      </c>
      <c r="B76" t="s">
        <v>3</v>
      </c>
      <c r="C76" s="5">
        <v>0.49236111111111108</v>
      </c>
      <c r="D76" s="6">
        <v>500</v>
      </c>
    </row>
    <row r="77" spans="1:4">
      <c r="A77" t="s">
        <v>79</v>
      </c>
      <c r="B77" t="s">
        <v>3</v>
      </c>
      <c r="C77" s="5">
        <v>0.49236111111111108</v>
      </c>
      <c r="D77" s="6">
        <v>350</v>
      </c>
    </row>
    <row r="78" spans="1:4">
      <c r="A78" t="s">
        <v>80</v>
      </c>
      <c r="B78" t="s">
        <v>3</v>
      </c>
      <c r="C78" s="5">
        <v>0.49236111111111108</v>
      </c>
      <c r="D78" s="6">
        <v>11</v>
      </c>
    </row>
    <row r="79" spans="1:4">
      <c r="A79" t="s">
        <v>81</v>
      </c>
      <c r="B79" t="s">
        <v>3</v>
      </c>
      <c r="C79" s="5">
        <v>0.5</v>
      </c>
      <c r="D79" s="6">
        <v>25</v>
      </c>
    </row>
    <row r="80" spans="1:4">
      <c r="A80" t="s">
        <v>82</v>
      </c>
      <c r="B80" t="s">
        <v>3</v>
      </c>
      <c r="C80" s="5">
        <v>0.5</v>
      </c>
      <c r="D80" s="6">
        <v>500</v>
      </c>
    </row>
    <row r="81" spans="1:4">
      <c r="A81" t="s">
        <v>83</v>
      </c>
      <c r="B81" t="s">
        <v>3</v>
      </c>
      <c r="C81" s="5">
        <v>0.5</v>
      </c>
      <c r="D81" s="6">
        <v>300</v>
      </c>
    </row>
    <row r="82" spans="1:4">
      <c r="A82" t="s">
        <v>84</v>
      </c>
      <c r="B82" t="s">
        <v>3</v>
      </c>
      <c r="C82" s="5">
        <v>0.5</v>
      </c>
      <c r="D82" s="6">
        <v>500</v>
      </c>
    </row>
    <row r="83" spans="1:4">
      <c r="A83" t="s">
        <v>85</v>
      </c>
      <c r="B83" t="s">
        <v>3</v>
      </c>
      <c r="C83" s="5">
        <v>0.5</v>
      </c>
      <c r="D83" s="6">
        <v>8</v>
      </c>
    </row>
    <row r="84" spans="1:4">
      <c r="A84" t="s">
        <v>86</v>
      </c>
      <c r="B84" t="s">
        <v>3</v>
      </c>
      <c r="C84" s="5">
        <v>0.5</v>
      </c>
      <c r="D84" s="6">
        <v>12</v>
      </c>
    </row>
    <row r="85" spans="1:4">
      <c r="A85" t="s">
        <v>87</v>
      </c>
      <c r="B85" t="s">
        <v>3</v>
      </c>
      <c r="C85" s="5">
        <v>0.50763888888888886</v>
      </c>
      <c r="D85" s="6">
        <v>80</v>
      </c>
    </row>
    <row r="86" spans="1:4">
      <c r="A86" t="s">
        <v>88</v>
      </c>
      <c r="B86" t="s">
        <v>3</v>
      </c>
      <c r="C86" s="5">
        <v>0.50763888888888886</v>
      </c>
      <c r="D86" s="6">
        <v>200</v>
      </c>
    </row>
    <row r="87" spans="1:4">
      <c r="A87" t="s">
        <v>89</v>
      </c>
      <c r="B87" t="s">
        <v>3</v>
      </c>
      <c r="C87" s="5">
        <v>0.50763888888888886</v>
      </c>
      <c r="D87" s="6">
        <v>500</v>
      </c>
    </row>
    <row r="88" spans="1:4">
      <c r="A88" t="s">
        <v>90</v>
      </c>
      <c r="B88" t="s">
        <v>3</v>
      </c>
      <c r="C88" s="5">
        <v>0.50763888888888886</v>
      </c>
      <c r="D88" s="6">
        <v>500</v>
      </c>
    </row>
    <row r="89" spans="1:4">
      <c r="A89" t="s">
        <v>91</v>
      </c>
      <c r="B89" t="s">
        <v>3</v>
      </c>
      <c r="C89" s="5">
        <v>0.50763888888888886</v>
      </c>
      <c r="D89" s="6">
        <v>66</v>
      </c>
    </row>
    <row r="90" spans="1:4">
      <c r="A90" t="s">
        <v>92</v>
      </c>
      <c r="B90" t="s">
        <v>3</v>
      </c>
      <c r="C90" s="5">
        <v>0.50763888888888886</v>
      </c>
      <c r="D90" s="6">
        <v>500</v>
      </c>
    </row>
    <row r="91" spans="1:4">
      <c r="A91" t="s">
        <v>93</v>
      </c>
      <c r="B91" t="s">
        <v>3</v>
      </c>
      <c r="C91" s="5">
        <v>0.51527777777777783</v>
      </c>
      <c r="D91" s="6">
        <v>90</v>
      </c>
    </row>
    <row r="92" spans="1:4">
      <c r="A92" t="s">
        <v>94</v>
      </c>
      <c r="B92" t="s">
        <v>3</v>
      </c>
      <c r="C92" s="5">
        <v>0.51527777777777783</v>
      </c>
      <c r="D92" s="6">
        <v>350</v>
      </c>
    </row>
    <row r="93" spans="1:4">
      <c r="A93" t="s">
        <v>95</v>
      </c>
      <c r="B93" t="s">
        <v>3</v>
      </c>
      <c r="C93" s="5">
        <v>0.51527777777777783</v>
      </c>
      <c r="D93" s="6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IFERROR(__xludf.DUMMYFUNCTION("importhtml(""https://www.pgatour.com/stats/stat.101.html"",""table"",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IFERROR(__xludf.DUMMYFUNCTION("""COMPUTED_VALUE"""),"AVG.")</f>
        <v>AVG.</v>
      </c>
      <c r="F1" t="str">
        <f ca="1">IFERROR(__xludf.DUMMYFUNCTION("""COMPUTED_VALUE"""),"TOTAL DISTANCE")</f>
        <v>TOTAL DISTANCE</v>
      </c>
      <c r="G1" t="str">
        <f ca="1">IFERROR(__xludf.DUMMYFUNCTION("""COMPUTED_VALUE"""),"TOTAL DRIVES")</f>
        <v>TOTAL DRIVES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IFERROR(__xludf.DUMMYFUNCTION("""COMPUTED_VALUE"""),344.4)</f>
        <v>344.4</v>
      </c>
      <c r="F2" s="1">
        <f ca="1">IFERROR(__xludf.DUMMYFUNCTION("""COMPUTED_VALUE"""),5511)</f>
        <v>5511</v>
      </c>
      <c r="G2">
        <f ca="1">IFERROR(__xludf.DUMMYFUNCTION("""COMPUTED_VALUE"""),16)</f>
        <v>16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IFERROR(__xludf.DUMMYFUNCTION("""COMPUTED_VALUE"""),3)</f>
        <v>3</v>
      </c>
      <c r="C3" t="str">
        <f ca="1">IFERROR(__xludf.DUMMYFUNCTION("""COMPUTED_VALUE"""),"Taylor Pendrith")</f>
        <v>Taylor Pendrith</v>
      </c>
      <c r="D3">
        <f ca="1">IFERROR(__xludf.DUMMYFUNCTION("""COMPUTED_VALUE"""),4)</f>
        <v>4</v>
      </c>
      <c r="E3">
        <f ca="1">IFERROR(__xludf.DUMMYFUNCTION("""COMPUTED_VALUE"""),331.9)</f>
        <v>331.9</v>
      </c>
      <c r="F3" s="1">
        <f ca="1">IFERROR(__xludf.DUMMYFUNCTION("""COMPUTED_VALUE"""),2655)</f>
        <v>2655</v>
      </c>
      <c r="G3">
        <f ca="1">IFERROR(__xludf.DUMMYFUNCTION("""COMPUTED_VALUE"""),8)</f>
        <v>8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IFERROR(__xludf.DUMMYFUNCTION("""COMPUTED_VALUE"""),"Dustin Johnson")</f>
        <v>Dustin Johnson</v>
      </c>
      <c r="D4">
        <f ca="1">IFERROR(__xludf.DUMMYFUNCTION("""COMPUTED_VALUE"""),8)</f>
        <v>8</v>
      </c>
      <c r="E4">
        <f ca="1">IFERROR(__xludf.DUMMYFUNCTION("""COMPUTED_VALUE"""),328.8)</f>
        <v>328.8</v>
      </c>
      <c r="F4" s="1">
        <f ca="1">IFERROR(__xludf.DUMMYFUNCTION("""COMPUTED_VALUE"""),5261)</f>
        <v>5261</v>
      </c>
      <c r="G4">
        <f ca="1">IFERROR(__xludf.DUMMYFUNCTION("""COMPUTED_VALUE"""),16)</f>
        <v>16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IFERROR(__xludf.DUMMYFUNCTION("""COMPUTED_VALUE"""),"Cameron Champ")</f>
        <v>Cameron Champ</v>
      </c>
      <c r="D5">
        <f ca="1">IFERROR(__xludf.DUMMYFUNCTION("""COMPUTED_VALUE"""),12)</f>
        <v>12</v>
      </c>
      <c r="E5">
        <f ca="1">IFERROR(__xludf.DUMMYFUNCTION("""COMPUTED_VALUE"""),326)</f>
        <v>326</v>
      </c>
      <c r="F5" s="1">
        <f ca="1">IFERROR(__xludf.DUMMYFUNCTION("""COMPUTED_VALUE"""),7825)</f>
        <v>7825</v>
      </c>
      <c r="G5">
        <f ca="1">IFERROR(__xludf.DUMMYFUNCTION("""COMPUTED_VALUE"""),24)</f>
        <v>24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IFERROR(__xludf.DUMMYFUNCTION("""COMPUTED_VALUE"""),"Rory McIlroy")</f>
        <v>Rory McIlroy</v>
      </c>
      <c r="D6">
        <f ca="1">IFERROR(__xludf.DUMMYFUNCTION("""COMPUTED_VALUE"""),12)</f>
        <v>12</v>
      </c>
      <c r="E6">
        <f ca="1">IFERROR(__xludf.DUMMYFUNCTION("""COMPUTED_VALUE"""),325.3)</f>
        <v>325.3</v>
      </c>
      <c r="F6" s="1">
        <f ca="1">IFERROR(__xludf.DUMMYFUNCTION("""COMPUTED_VALUE"""),7806)</f>
        <v>7806</v>
      </c>
      <c r="G6">
        <f ca="1">IFERROR(__xludf.DUMMYFUNCTION("""COMPUTED_VALUE"""),24)</f>
        <v>24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IFERROR(__xludf.DUMMYFUNCTION("""COMPUTED_VALUE"""),"Joaquin Niemann")</f>
        <v>Joaquin Niemann</v>
      </c>
      <c r="D7">
        <f ca="1">IFERROR(__xludf.DUMMYFUNCTION("""COMPUTED_VALUE"""),16)</f>
        <v>16</v>
      </c>
      <c r="E7">
        <f ca="1">IFERROR(__xludf.DUMMYFUNCTION("""COMPUTED_VALUE"""),323)</f>
        <v>323</v>
      </c>
      <c r="F7" s="1">
        <f ca="1">IFERROR(__xludf.DUMMYFUNCTION("""COMPUTED_VALUE"""),10335)</f>
        <v>10335</v>
      </c>
      <c r="G7">
        <f ca="1">IFERROR(__xludf.DUMMYFUNCTION("""COMPUTED_VALUE"""),32)</f>
        <v>32</v>
      </c>
    </row>
    <row r="8" spans="1:7" ht="15.75" customHeight="1">
      <c r="A8" t="str">
        <f ca="1">IFERROR(__xludf.DUMMYFUNCTION("""COMPUTED_VALUE"""),"T7")</f>
        <v>T7</v>
      </c>
      <c r="B8">
        <f ca="1">IFERROR(__xludf.DUMMYFUNCTION("""COMPUTED_VALUE"""),7)</f>
        <v>7</v>
      </c>
      <c r="C8" t="str">
        <f ca="1">IFERROR(__xludf.DUMMYFUNCTION("""COMPUTED_VALUE"""),"Wyndham Clark")</f>
        <v>Wyndham Clark</v>
      </c>
      <c r="D8">
        <f ca="1">IFERROR(__xludf.DUMMYFUNCTION("""COMPUTED_VALUE"""),16)</f>
        <v>16</v>
      </c>
      <c r="E8">
        <f ca="1">IFERROR(__xludf.DUMMYFUNCTION("""COMPUTED_VALUE"""),321)</f>
        <v>321</v>
      </c>
      <c r="F8" s="1">
        <f ca="1">IFERROR(__xludf.DUMMYFUNCTION("""COMPUTED_VALUE"""),10273)</f>
        <v>10273</v>
      </c>
      <c r="G8">
        <f ca="1">IFERROR(__xludf.DUMMYFUNCTION("""COMPUTED_VALUE"""),32)</f>
        <v>32</v>
      </c>
    </row>
    <row r="9" spans="1:7" ht="15.75" customHeight="1">
      <c r="A9" t="str">
        <f ca="1">IFERROR(__xludf.DUMMYFUNCTION("""COMPUTED_VALUE"""),"T7")</f>
        <v>T7</v>
      </c>
      <c r="B9">
        <f ca="1">IFERROR(__xludf.DUMMYFUNCTION("""COMPUTED_VALUE"""),16)</f>
        <v>16</v>
      </c>
      <c r="C9" t="str">
        <f ca="1">IFERROR(__xludf.DUMMYFUNCTION("""COMPUTED_VALUE"""),"Adam Scott")</f>
        <v>Adam Scott</v>
      </c>
      <c r="D9">
        <f ca="1">IFERROR(__xludf.DUMMYFUNCTION("""COMPUTED_VALUE"""),8)</f>
        <v>8</v>
      </c>
      <c r="E9">
        <f ca="1">IFERROR(__xludf.DUMMYFUNCTION("""COMPUTED_VALUE"""),321)</f>
        <v>321</v>
      </c>
      <c r="F9" s="1">
        <f ca="1">IFERROR(__xludf.DUMMYFUNCTION("""COMPUTED_VALUE"""),5136)</f>
        <v>5136</v>
      </c>
      <c r="G9">
        <f ca="1">IFERROR(__xludf.DUMMYFUNCTION("""COMPUTED_VALUE"""),16)</f>
        <v>16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IFERROR(__xludf.DUMMYFUNCTION("""COMPUTED_VALUE"""),"")</f>
        <v/>
      </c>
      <c r="C10" t="str">
        <f ca="1">IFERROR(__xludf.DUMMYFUNCTION("""COMPUTED_VALUE"""),"Erik Barnes")</f>
        <v>Erik Barnes</v>
      </c>
      <c r="D10">
        <f ca="1">IFERROR(__xludf.DUMMYFUNCTION("""COMPUTED_VALUE"""),4)</f>
        <v>4</v>
      </c>
      <c r="E10">
        <f ca="1">IFERROR(__xludf.DUMMYFUNCTION("""COMPUTED_VALUE"""),319.6)</f>
        <v>319.60000000000002</v>
      </c>
      <c r="F10" s="1">
        <f ca="1">IFERROR(__xludf.DUMMYFUNCTION("""COMPUTED_VALUE"""),2557)</f>
        <v>2557</v>
      </c>
      <c r="G10">
        <f ca="1">IFERROR(__xludf.DUMMYFUNCTION("""COMPUTED_VALUE"""),8)</f>
        <v>8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IFERROR(__xludf.DUMMYFUNCTION("""COMPUTED_VALUE"""),8)</f>
        <v>8</v>
      </c>
      <c r="C11" t="str">
        <f ca="1">IFERROR(__xludf.DUMMYFUNCTION("""COMPUTED_VALUE"""),"Thomas Pieters")</f>
        <v>Thomas Pieters</v>
      </c>
      <c r="D11">
        <f ca="1">IFERROR(__xludf.DUMMYFUNCTION("""COMPUTED_VALUE"""),4)</f>
        <v>4</v>
      </c>
      <c r="E11">
        <f ca="1">IFERROR(__xludf.DUMMYFUNCTION("""COMPUTED_VALUE"""),319.4)</f>
        <v>319.39999999999998</v>
      </c>
      <c r="F11" s="1">
        <f ca="1">IFERROR(__xludf.DUMMYFUNCTION("""COMPUTED_VALUE"""),2555)</f>
        <v>2555</v>
      </c>
      <c r="G11">
        <f ca="1">IFERROR(__xludf.DUMMYFUNCTION("""COMPUTED_VALUE"""),8)</f>
        <v>8</v>
      </c>
    </row>
    <row r="12" spans="1:7" ht="15.75" customHeight="1">
      <c r="A12" t="str">
        <f ca="1">IFERROR(__xludf.DUMMYFUNCTION("""COMPUTED_VALUE"""),"T11")</f>
        <v>T11</v>
      </c>
      <c r="B12" t="str">
        <f ca="1">IFERROR(__xludf.DUMMYFUNCTION("""COMPUTED_VALUE"""),"T9")</f>
        <v>T9</v>
      </c>
      <c r="C12" t="str">
        <f ca="1">IFERROR(__xludf.DUMMYFUNCTION("""COMPUTED_VALUE"""),"Renato Paratore")</f>
        <v>Renato Paratore</v>
      </c>
      <c r="D12">
        <f ca="1">IFERROR(__xludf.DUMMYFUNCTION("""COMPUTED_VALUE"""),4)</f>
        <v>4</v>
      </c>
      <c r="E12">
        <f ca="1">IFERROR(__xludf.DUMMYFUNCTION("""COMPUTED_VALUE"""),318.5)</f>
        <v>318.5</v>
      </c>
      <c r="F12" s="1">
        <f ca="1">IFERROR(__xludf.DUMMYFUNCTION("""COMPUTED_VALUE"""),2548)</f>
        <v>2548</v>
      </c>
      <c r="G12">
        <f ca="1">IFERROR(__xludf.DUMMYFUNCTION("""COMPUTED_VALUE"""),8)</f>
        <v>8</v>
      </c>
    </row>
    <row r="13" spans="1:7" ht="15.75" customHeight="1">
      <c r="A13" t="str">
        <f ca="1">IFERROR(__xludf.DUMMYFUNCTION("""COMPUTED_VALUE"""),"T11")</f>
        <v>T11</v>
      </c>
      <c r="B13" t="str">
        <f ca="1">IFERROR(__xludf.DUMMYFUNCTION("""COMPUTED_VALUE"""),"T9")</f>
        <v>T9</v>
      </c>
      <c r="C13" t="str">
        <f ca="1">IFERROR(__xludf.DUMMYFUNCTION("""COMPUTED_VALUE"""),"Lucas Herbert")</f>
        <v>Lucas Herbert</v>
      </c>
      <c r="D13">
        <f ca="1">IFERROR(__xludf.DUMMYFUNCTION("""COMPUTED_VALUE"""),4)</f>
        <v>4</v>
      </c>
      <c r="E13">
        <f ca="1">IFERROR(__xludf.DUMMYFUNCTION("""COMPUTED_VALUE"""),318.5)</f>
        <v>318.5</v>
      </c>
      <c r="F13" s="1">
        <f ca="1">IFERROR(__xludf.DUMMYFUNCTION("""COMPUTED_VALUE"""),2548)</f>
        <v>2548</v>
      </c>
      <c r="G13">
        <f ca="1">IFERROR(__xludf.DUMMYFUNCTION("""COMPUTED_VALUE"""),8)</f>
        <v>8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IFERROR(__xludf.DUMMYFUNCTION("""COMPUTED_VALUE"""),"T9")</f>
        <v>T9</v>
      </c>
      <c r="C14" t="str">
        <f ca="1">IFERROR(__xludf.DUMMYFUNCTION("""COMPUTED_VALUE"""),"Sam Burns")</f>
        <v>Sam Burns</v>
      </c>
      <c r="D14">
        <f ca="1">IFERROR(__xludf.DUMMYFUNCTION("""COMPUTED_VALUE"""),18)</f>
        <v>18</v>
      </c>
      <c r="E14">
        <f ca="1">IFERROR(__xludf.DUMMYFUNCTION("""COMPUTED_VALUE"""),317.5)</f>
        <v>317.5</v>
      </c>
      <c r="F14" s="1">
        <f ca="1">IFERROR(__xludf.DUMMYFUNCTION("""COMPUTED_VALUE"""),11430)</f>
        <v>11430</v>
      </c>
      <c r="G14">
        <f ca="1">IFERROR(__xludf.DUMMYFUNCTION("""COMPUTED_VALUE"""),36)</f>
        <v>36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IFERROR(__xludf.DUMMYFUNCTION("""COMPUTED_VALUE"""),12)</f>
        <v>12</v>
      </c>
      <c r="C15" t="str">
        <f ca="1">IFERROR(__xludf.DUMMYFUNCTION("""COMPUTED_VALUE"""),"Davis Riley")</f>
        <v>Davis Riley</v>
      </c>
      <c r="D15">
        <f ca="1">IFERROR(__xludf.DUMMYFUNCTION("""COMPUTED_VALUE"""),4)</f>
        <v>4</v>
      </c>
      <c r="E15">
        <f ca="1">IFERROR(__xludf.DUMMYFUNCTION("""COMPUTED_VALUE"""),316.3)</f>
        <v>316.3</v>
      </c>
      <c r="F15" s="1">
        <f ca="1">IFERROR(__xludf.DUMMYFUNCTION("""COMPUTED_VALUE"""),2530)</f>
        <v>2530</v>
      </c>
      <c r="G15">
        <f ca="1">IFERROR(__xludf.DUMMYFUNCTION("""COMPUTED_VALUE"""),8)</f>
        <v>8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IFERROR(__xludf.DUMMYFUNCTION("""COMPUTED_VALUE"""),13)</f>
        <v>13</v>
      </c>
      <c r="C16" t="str">
        <f ca="1">IFERROR(__xludf.DUMMYFUNCTION("""COMPUTED_VALUE"""),"Luke List")</f>
        <v>Luke List</v>
      </c>
      <c r="D16">
        <f ca="1">IFERROR(__xludf.DUMMYFUNCTION("""COMPUTED_VALUE"""),18)</f>
        <v>18</v>
      </c>
      <c r="E16">
        <f ca="1">IFERROR(__xludf.DUMMYFUNCTION("""COMPUTED_VALUE"""),315.7)</f>
        <v>315.7</v>
      </c>
      <c r="F16" s="1">
        <f ca="1">IFERROR(__xludf.DUMMYFUNCTION("""COMPUTED_VALUE"""),11365)</f>
        <v>11365</v>
      </c>
      <c r="G16">
        <f ca="1">IFERROR(__xludf.DUMMYFUNCTION("""COMPUTED_VALUE"""),36)</f>
        <v>36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IFERROR(__xludf.DUMMYFUNCTION("""COMPUTED_VALUE"""),"T14")</f>
        <v>T14</v>
      </c>
      <c r="C17" t="str">
        <f ca="1">IFERROR(__xludf.DUMMYFUNCTION("""COMPUTED_VALUE"""),"Matt Wallace")</f>
        <v>Matt Wallace</v>
      </c>
      <c r="D17">
        <f ca="1">IFERROR(__xludf.DUMMYFUNCTION("""COMPUTED_VALUE"""),4)</f>
        <v>4</v>
      </c>
      <c r="E17">
        <f ca="1">IFERROR(__xludf.DUMMYFUNCTION("""COMPUTED_VALUE"""),315.6)</f>
        <v>315.60000000000002</v>
      </c>
      <c r="F17" s="1">
        <f ca="1">IFERROR(__xludf.DUMMYFUNCTION("""COMPUTED_VALUE"""),2525)</f>
        <v>2525</v>
      </c>
      <c r="G17">
        <f ca="1">IFERROR(__xludf.DUMMYFUNCTION("""COMPUTED_VALUE"""),8)</f>
        <v>8</v>
      </c>
    </row>
    <row r="18" spans="1:7" ht="15.75" customHeight="1">
      <c r="A18" t="str">
        <f ca="1">IFERROR(__xludf.DUMMYFUNCTION("""COMPUTED_VALUE"""),"T16")</f>
        <v>T16</v>
      </c>
      <c r="B18" t="str">
        <f ca="1">IFERROR(__xludf.DUMMYFUNCTION("""COMPUTED_VALUE"""),"T22")</f>
        <v>T22</v>
      </c>
      <c r="C18" t="str">
        <f ca="1">IFERROR(__xludf.DUMMYFUNCTION("""COMPUTED_VALUE"""),"Will Gordon")</f>
        <v>Will Gordon</v>
      </c>
      <c r="D18">
        <f ca="1">IFERROR(__xludf.DUMMYFUNCTION("""COMPUTED_VALUE"""),20)</f>
        <v>20</v>
      </c>
      <c r="E18">
        <f ca="1">IFERROR(__xludf.DUMMYFUNCTION("""COMPUTED_VALUE"""),315.6)</f>
        <v>315.60000000000002</v>
      </c>
      <c r="F18" s="1">
        <f ca="1">IFERROR(__xludf.DUMMYFUNCTION("""COMPUTED_VALUE"""),12625)</f>
        <v>12625</v>
      </c>
      <c r="G18">
        <f ca="1">IFERROR(__xludf.DUMMYFUNCTION("""COMPUTED_VALUE"""),40)</f>
        <v>40</v>
      </c>
    </row>
    <row r="19" spans="1:7" ht="15.75" customHeight="1">
      <c r="A19" t="str">
        <f ca="1">IFERROR(__xludf.DUMMYFUNCTION("""COMPUTED_VALUE"""),"T18")</f>
        <v>T18</v>
      </c>
      <c r="B19">
        <f ca="1">IFERROR(__xludf.DUMMYFUNCTION("""COMPUTED_VALUE"""),17)</f>
        <v>17</v>
      </c>
      <c r="C19" t="str">
        <f ca="1">IFERROR(__xludf.DUMMYFUNCTION("""COMPUTED_VALUE"""),"Jon Rahm")</f>
        <v>Jon Rahm</v>
      </c>
      <c r="D19">
        <f ca="1">IFERROR(__xludf.DUMMYFUNCTION("""COMPUTED_VALUE"""),12)</f>
        <v>12</v>
      </c>
      <c r="E19">
        <f ca="1">IFERROR(__xludf.DUMMYFUNCTION("""COMPUTED_VALUE"""),315.4)</f>
        <v>315.39999999999998</v>
      </c>
      <c r="F19" s="1">
        <f ca="1">IFERROR(__xludf.DUMMYFUNCTION("""COMPUTED_VALUE"""),7570)</f>
        <v>7570</v>
      </c>
      <c r="G19">
        <f ca="1">IFERROR(__xludf.DUMMYFUNCTION("""COMPUTED_VALUE"""),24)</f>
        <v>24</v>
      </c>
    </row>
    <row r="20" spans="1:7" ht="15.75" customHeight="1">
      <c r="A20" t="str">
        <f ca="1">IFERROR(__xludf.DUMMYFUNCTION("""COMPUTED_VALUE"""),"T18")</f>
        <v>T18</v>
      </c>
      <c r="B20" t="str">
        <f ca="1">IFERROR(__xludf.DUMMYFUNCTION("""COMPUTED_VALUE"""),"T14")</f>
        <v>T14</v>
      </c>
      <c r="C20" t="str">
        <f ca="1">IFERROR(__xludf.DUMMYFUNCTION("""COMPUTED_VALUE"""),"Tony Finau")</f>
        <v>Tony Finau</v>
      </c>
      <c r="D20">
        <f ca="1">IFERROR(__xludf.DUMMYFUNCTION("""COMPUTED_VALUE"""),12)</f>
        <v>12</v>
      </c>
      <c r="E20">
        <f ca="1">IFERROR(__xludf.DUMMYFUNCTION("""COMPUTED_VALUE"""),315.4)</f>
        <v>315.39999999999998</v>
      </c>
      <c r="F20" s="1">
        <f ca="1">IFERROR(__xludf.DUMMYFUNCTION("""COMPUTED_VALUE"""),7570)</f>
        <v>7570</v>
      </c>
      <c r="G20">
        <f ca="1">IFERROR(__xludf.DUMMYFUNCTION("""COMPUTED_VALUE"""),24)</f>
        <v>24</v>
      </c>
    </row>
    <row r="21" spans="1:7" ht="15.75" customHeight="1">
      <c r="A21" t="str">
        <f ca="1">IFERROR(__xludf.DUMMYFUNCTION("""COMPUTED_VALUE"""),"T20")</f>
        <v>T20</v>
      </c>
      <c r="B21">
        <f ca="1">IFERROR(__xludf.DUMMYFUNCTION("""COMPUTED_VALUE"""),20)</f>
        <v>20</v>
      </c>
      <c r="C21" t="str">
        <f ca="1">IFERROR(__xludf.DUMMYFUNCTION("""COMPUTED_VALUE"""),"Sergio Garcia")</f>
        <v>Sergio Garcia</v>
      </c>
      <c r="D21">
        <f ca="1">IFERROR(__xludf.DUMMYFUNCTION("""COMPUTED_VALUE"""),18)</f>
        <v>18</v>
      </c>
      <c r="E21">
        <f ca="1">IFERROR(__xludf.DUMMYFUNCTION("""COMPUTED_VALUE"""),314.4)</f>
        <v>314.39999999999998</v>
      </c>
      <c r="F21" s="1">
        <f ca="1">IFERROR(__xludf.DUMMYFUNCTION("""COMPUTED_VALUE"""),11317)</f>
        <v>11317</v>
      </c>
      <c r="G21">
        <f ca="1">IFERROR(__xludf.DUMMYFUNCTION("""COMPUTED_VALUE"""),36)</f>
        <v>36</v>
      </c>
    </row>
    <row r="22" spans="1:7" ht="15.75" customHeight="1">
      <c r="A22" t="str">
        <f ca="1">IFERROR(__xludf.DUMMYFUNCTION("""COMPUTED_VALUE"""),"T20")</f>
        <v>T20</v>
      </c>
      <c r="B22" t="str">
        <f ca="1">IFERROR(__xludf.DUMMYFUNCTION("""COMPUTED_VALUE"""),"T18")</f>
        <v>T18</v>
      </c>
      <c r="C22" t="str">
        <f ca="1">IFERROR(__xludf.DUMMYFUNCTION("""COMPUTED_VALUE"""),"Will Zalatoris")</f>
        <v>Will Zalatoris</v>
      </c>
      <c r="D22">
        <f ca="1">IFERROR(__xludf.DUMMYFUNCTION("""COMPUTED_VALUE"""),18)</f>
        <v>18</v>
      </c>
      <c r="E22">
        <f ca="1">IFERROR(__xludf.DUMMYFUNCTION("""COMPUTED_VALUE"""),314.4)</f>
        <v>314.39999999999998</v>
      </c>
      <c r="F22" s="1">
        <f ca="1">IFERROR(__xludf.DUMMYFUNCTION("""COMPUTED_VALUE"""),11320)</f>
        <v>11320</v>
      </c>
      <c r="G22">
        <f ca="1">IFERROR(__xludf.DUMMYFUNCTION("""COMPUTED_VALUE"""),36)</f>
        <v>36</v>
      </c>
    </row>
    <row r="23" spans="1:7" ht="15.75" customHeight="1">
      <c r="A23" t="str">
        <f ca="1">IFERROR(__xludf.DUMMYFUNCTION("""COMPUTED_VALUE"""),"T20")</f>
        <v>T20</v>
      </c>
      <c r="B23" t="str">
        <f ca="1">IFERROR(__xludf.DUMMYFUNCTION("""COMPUTED_VALUE"""),"T18")</f>
        <v>T18</v>
      </c>
      <c r="C23" t="str">
        <f ca="1">IFERROR(__xludf.DUMMYFUNCTION("""COMPUTED_VALUE"""),"Matthew Wolff")</f>
        <v>Matthew Wolff</v>
      </c>
      <c r="D23">
        <f ca="1">IFERROR(__xludf.DUMMYFUNCTION("""COMPUTED_VALUE"""),16)</f>
        <v>16</v>
      </c>
      <c r="E23">
        <f ca="1">IFERROR(__xludf.DUMMYFUNCTION("""COMPUTED_VALUE"""),314.4)</f>
        <v>314.39999999999998</v>
      </c>
      <c r="F23" s="1">
        <f ca="1">IFERROR(__xludf.DUMMYFUNCTION("""COMPUTED_VALUE"""),10062)</f>
        <v>10062</v>
      </c>
      <c r="G23">
        <f ca="1">IFERROR(__xludf.DUMMYFUNCTION("""COMPUTED_VALUE"""),32)</f>
        <v>32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IFERROR(__xludf.DUMMYFUNCTION("""COMPUTED_VALUE"""),21)</f>
        <v>21</v>
      </c>
      <c r="C24" t="str">
        <f ca="1">IFERROR(__xludf.DUMMYFUNCTION("""COMPUTED_VALUE"""),"Cameron Davis")</f>
        <v>Cameron Davis</v>
      </c>
      <c r="D24">
        <f ca="1">IFERROR(__xludf.DUMMYFUNCTION("""COMPUTED_VALUE"""),16)</f>
        <v>16</v>
      </c>
      <c r="E24">
        <f ca="1">IFERROR(__xludf.DUMMYFUNCTION("""COMPUTED_VALUE"""),313.9)</f>
        <v>313.89999999999998</v>
      </c>
      <c r="F24" s="1">
        <f ca="1">IFERROR(__xludf.DUMMYFUNCTION("""COMPUTED_VALUE"""),10046)</f>
        <v>10046</v>
      </c>
      <c r="G24">
        <f ca="1">IFERROR(__xludf.DUMMYFUNCTION("""COMPUTED_VALUE"""),32)</f>
        <v>32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IFERROR(__xludf.DUMMYFUNCTION("""COMPUTED_VALUE"""),24)</f>
        <v>24</v>
      </c>
      <c r="C25" t="str">
        <f ca="1">IFERROR(__xludf.DUMMYFUNCTION("""COMPUTED_VALUE"""),"Jaekyeong Lee")</f>
        <v>Jaekyeong Lee</v>
      </c>
      <c r="D25">
        <f ca="1">IFERROR(__xludf.DUMMYFUNCTION("""COMPUTED_VALUE"""),4)</f>
        <v>4</v>
      </c>
      <c r="E25">
        <f ca="1">IFERROR(__xludf.DUMMYFUNCTION("""COMPUTED_VALUE"""),313.8)</f>
        <v>313.8</v>
      </c>
      <c r="F25" s="1">
        <f ca="1">IFERROR(__xludf.DUMMYFUNCTION("""COMPUTED_VALUE"""),2510)</f>
        <v>2510</v>
      </c>
      <c r="G25">
        <f ca="1">IFERROR(__xludf.DUMMYFUNCTION("""COMPUTED_VALUE"""),8)</f>
        <v>8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IFERROR(__xludf.DUMMYFUNCTION("""COMPUTED_VALUE"""),25)</f>
        <v>25</v>
      </c>
      <c r="C26" t="str">
        <f ca="1">IFERROR(__xludf.DUMMYFUNCTION("""COMPUTED_VALUE"""),"Ryan Palmer")</f>
        <v>Ryan Palmer</v>
      </c>
      <c r="D26">
        <f ca="1">IFERROR(__xludf.DUMMYFUNCTION("""COMPUTED_VALUE"""),14)</f>
        <v>14</v>
      </c>
      <c r="E26">
        <f ca="1">IFERROR(__xludf.DUMMYFUNCTION("""COMPUTED_VALUE"""),313.6)</f>
        <v>313.60000000000002</v>
      </c>
      <c r="F26" s="1">
        <f ca="1">IFERROR(__xludf.DUMMYFUNCTION("""COMPUTED_VALUE"""),8780)</f>
        <v>8780</v>
      </c>
      <c r="G26">
        <f ca="1">IFERROR(__xludf.DUMMYFUNCTION("""COMPUTED_VALUE"""),28)</f>
        <v>28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IFERROR(__xludf.DUMMYFUNCTION("""COMPUTED_VALUE"""),31)</f>
        <v>31</v>
      </c>
      <c r="C27" t="str">
        <f ca="1">IFERROR(__xludf.DUMMYFUNCTION("""COMPUTED_VALUE"""),"Dylan Frittelli")</f>
        <v>Dylan Frittelli</v>
      </c>
      <c r="D27">
        <f ca="1">IFERROR(__xludf.DUMMYFUNCTION("""COMPUTED_VALUE"""),16)</f>
        <v>16</v>
      </c>
      <c r="E27">
        <f ca="1">IFERROR(__xludf.DUMMYFUNCTION("""COMPUTED_VALUE"""),313.3)</f>
        <v>313.3</v>
      </c>
      <c r="F27" s="1">
        <f ca="1">IFERROR(__xludf.DUMMYFUNCTION("""COMPUTED_VALUE"""),10025)</f>
        <v>10025</v>
      </c>
      <c r="G27">
        <f ca="1">IFERROR(__xludf.DUMMYFUNCTION("""COMPUTED_VALUE"""),32)</f>
        <v>32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IFERROR(__xludf.DUMMYFUNCTION("""COMPUTED_VALUE"""),26)</f>
        <v>26</v>
      </c>
      <c r="C28" t="str">
        <f ca="1">IFERROR(__xludf.DUMMYFUNCTION("""COMPUTED_VALUE"""),"Robert MacIntyre")</f>
        <v>Robert MacIntyre</v>
      </c>
      <c r="D28">
        <f ca="1">IFERROR(__xludf.DUMMYFUNCTION("""COMPUTED_VALUE"""),4)</f>
        <v>4</v>
      </c>
      <c r="E28">
        <f ca="1">IFERROR(__xludf.DUMMYFUNCTION("""COMPUTED_VALUE"""),313.1)</f>
        <v>313.10000000000002</v>
      </c>
      <c r="F28" s="1">
        <f ca="1">IFERROR(__xludf.DUMMYFUNCTION("""COMPUTED_VALUE"""),2505)</f>
        <v>2505</v>
      </c>
      <c r="G28">
        <f ca="1">IFERROR(__xludf.DUMMYFUNCTION("""COMPUTED_VALUE"""),8)</f>
        <v>8</v>
      </c>
    </row>
    <row r="29" spans="1:7" ht="15.75" customHeight="1">
      <c r="A29">
        <f ca="1">IFERROR(__xludf.DUMMYFUNCTION("""COMPUTED_VALUE"""),28)</f>
        <v>28</v>
      </c>
      <c r="B29" t="str">
        <f ca="1">IFERROR(__xludf.DUMMYFUNCTION("""COMPUTED_VALUE"""),"T22")</f>
        <v>T22</v>
      </c>
      <c r="C29" t="str">
        <f ca="1">IFERROR(__xludf.DUMMYFUNCTION("""COMPUTED_VALUE"""),"Kristoffer Ventura")</f>
        <v>Kristoffer Ventura</v>
      </c>
      <c r="D29">
        <f ca="1">IFERROR(__xludf.DUMMYFUNCTION("""COMPUTED_VALUE"""),20)</f>
        <v>20</v>
      </c>
      <c r="E29">
        <f ca="1">IFERROR(__xludf.DUMMYFUNCTION("""COMPUTED_VALUE"""),313)</f>
        <v>313</v>
      </c>
      <c r="F29" s="1">
        <f ca="1">IFERROR(__xludf.DUMMYFUNCTION("""COMPUTED_VALUE"""),12519)</f>
        <v>12519</v>
      </c>
      <c r="G29">
        <f ca="1">IFERROR(__xludf.DUMMYFUNCTION("""COMPUTED_VALUE"""),40)</f>
        <v>40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IFERROR(__xludf.DUMMYFUNCTION("""COMPUTED_VALUE"""),27)</f>
        <v>27</v>
      </c>
      <c r="C30" t="str">
        <f ca="1">IFERROR(__xludf.DUMMYFUNCTION("""COMPUTED_VALUE"""),"Ryan Brehm")</f>
        <v>Ryan Brehm</v>
      </c>
      <c r="D30">
        <f ca="1">IFERROR(__xludf.DUMMYFUNCTION("""COMPUTED_VALUE"""),10)</f>
        <v>10</v>
      </c>
      <c r="E30">
        <f ca="1">IFERROR(__xludf.DUMMYFUNCTION("""COMPUTED_VALUE"""),312.7)</f>
        <v>312.7</v>
      </c>
      <c r="F30" s="1">
        <f ca="1">IFERROR(__xludf.DUMMYFUNCTION("""COMPUTED_VALUE"""),6253)</f>
        <v>6253</v>
      </c>
      <c r="G30">
        <f ca="1">IFERROR(__xludf.DUMMYFUNCTION("""COMPUTED_VALUE"""),20)</f>
        <v>20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IFERROR(__xludf.DUMMYFUNCTION("""COMPUTED_VALUE"""),29)</f>
        <v>29</v>
      </c>
      <c r="C31" t="str">
        <f ca="1">IFERROR(__xludf.DUMMYFUNCTION("""COMPUTED_VALUE"""),"Bubba Watson")</f>
        <v>Bubba Watson</v>
      </c>
      <c r="D31">
        <f ca="1">IFERROR(__xludf.DUMMYFUNCTION("""COMPUTED_VALUE"""),12)</f>
        <v>12</v>
      </c>
      <c r="E31">
        <f ca="1">IFERROR(__xludf.DUMMYFUNCTION("""COMPUTED_VALUE"""),311.5)</f>
        <v>311.5</v>
      </c>
      <c r="F31" s="1">
        <f ca="1">IFERROR(__xludf.DUMMYFUNCTION("""COMPUTED_VALUE"""),7475)</f>
        <v>7475</v>
      </c>
      <c r="G31">
        <f ca="1">IFERROR(__xludf.DUMMYFUNCTION("""COMPUTED_VALUE"""),24)</f>
        <v>24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IFERROR(__xludf.DUMMYFUNCTION("""COMPUTED_VALUE"""),28)</f>
        <v>28</v>
      </c>
      <c r="C32" t="str">
        <f ca="1">IFERROR(__xludf.DUMMYFUNCTION("""COMPUTED_VALUE"""),"Isaiah Salinda")</f>
        <v>Isaiah Salinda</v>
      </c>
      <c r="D32">
        <f ca="1">IFERROR(__xludf.DUMMYFUNCTION("""COMPUTED_VALUE"""),8)</f>
        <v>8</v>
      </c>
      <c r="E32">
        <f ca="1">IFERROR(__xludf.DUMMYFUNCTION("""COMPUTED_VALUE"""),311.3)</f>
        <v>311.3</v>
      </c>
      <c r="F32" s="1">
        <f ca="1">IFERROR(__xludf.DUMMYFUNCTION("""COMPUTED_VALUE"""),4980)</f>
        <v>4980</v>
      </c>
      <c r="G32">
        <f ca="1">IFERROR(__xludf.DUMMYFUNCTION("""COMPUTED_VALUE"""),16)</f>
        <v>16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IFERROR(__xludf.DUMMYFUNCTION("""COMPUTED_VALUE"""),30)</f>
        <v>30</v>
      </c>
      <c r="C33" t="str">
        <f ca="1">IFERROR(__xludf.DUMMYFUNCTION("""COMPUTED_VALUE"""),"Tyler McCumber")</f>
        <v>Tyler McCumber</v>
      </c>
      <c r="D33">
        <f ca="1">IFERROR(__xludf.DUMMYFUNCTION("""COMPUTED_VALUE"""),14)</f>
        <v>14</v>
      </c>
      <c r="E33">
        <f ca="1">IFERROR(__xludf.DUMMYFUNCTION("""COMPUTED_VALUE"""),311)</f>
        <v>311</v>
      </c>
      <c r="F33" s="1">
        <f ca="1">IFERROR(__xludf.DUMMYFUNCTION("""COMPUTED_VALUE"""),8709)</f>
        <v>8709</v>
      </c>
      <c r="G33">
        <f ca="1">IFERROR(__xludf.DUMMYFUNCTION("""COMPUTED_VALUE"""),28)</f>
        <v>28</v>
      </c>
    </row>
    <row r="34" spans="1:7" ht="12.75">
      <c r="A34">
        <f ca="1">IFERROR(__xludf.DUMMYFUNCTION("""COMPUTED_VALUE"""),33)</f>
        <v>33</v>
      </c>
      <c r="B34" t="str">
        <f ca="1">IFERROR(__xludf.DUMMYFUNCTION("""COMPUTED_VALUE"""),"T47")</f>
        <v>T47</v>
      </c>
      <c r="C34" t="str">
        <f ca="1">IFERROR(__xludf.DUMMYFUNCTION("""COMPUTED_VALUE"""),"Brooks Koepka")</f>
        <v>Brooks Koepka</v>
      </c>
      <c r="D34">
        <f ca="1">IFERROR(__xludf.DUMMYFUNCTION("""COMPUTED_VALUE"""),8)</f>
        <v>8</v>
      </c>
      <c r="E34">
        <f ca="1">IFERROR(__xludf.DUMMYFUNCTION("""COMPUTED_VALUE"""),310.9)</f>
        <v>310.89999999999998</v>
      </c>
      <c r="F34" s="1">
        <f ca="1">IFERROR(__xludf.DUMMYFUNCTION("""COMPUTED_VALUE"""),4974)</f>
        <v>4974</v>
      </c>
      <c r="G34">
        <f ca="1">IFERROR(__xludf.DUMMYFUNCTION("""COMPUTED_VALUE"""),16)</f>
        <v>16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IFERROR(__xludf.DUMMYFUNCTION("""COMPUTED_VALUE"""),32)</f>
        <v>32</v>
      </c>
      <c r="C35" t="str">
        <f ca="1">IFERROR(__xludf.DUMMYFUNCTION("""COMPUTED_VALUE"""),"Jason Kokrak")</f>
        <v>Jason Kokrak</v>
      </c>
      <c r="D35">
        <f ca="1">IFERROR(__xludf.DUMMYFUNCTION("""COMPUTED_VALUE"""),14)</f>
        <v>14</v>
      </c>
      <c r="E35">
        <f ca="1">IFERROR(__xludf.DUMMYFUNCTION("""COMPUTED_VALUE"""),309.7)</f>
        <v>309.7</v>
      </c>
      <c r="F35" s="1">
        <f ca="1">IFERROR(__xludf.DUMMYFUNCTION("""COMPUTED_VALUE"""),8672)</f>
        <v>8672</v>
      </c>
      <c r="G35">
        <f ca="1">IFERROR(__xludf.DUMMYFUNCTION("""COMPUTED_VALUE"""),28)</f>
        <v>28</v>
      </c>
    </row>
    <row r="36" spans="1:7" ht="12.75">
      <c r="A36">
        <f ca="1">IFERROR(__xludf.DUMMYFUNCTION("""COMPUTED_VALUE"""),35)</f>
        <v>35</v>
      </c>
      <c r="B36" t="str">
        <f ca="1">IFERROR(__xludf.DUMMYFUNCTION("""COMPUTED_VALUE"""),"T37")</f>
        <v>T37</v>
      </c>
      <c r="C36" t="str">
        <f ca="1">IFERROR(__xludf.DUMMYFUNCTION("""COMPUTED_VALUE"""),"Stewart Cink")</f>
        <v>Stewart Cink</v>
      </c>
      <c r="D36">
        <f ca="1">IFERROR(__xludf.DUMMYFUNCTION("""COMPUTED_VALUE"""),18)</f>
        <v>18</v>
      </c>
      <c r="E36">
        <f ca="1">IFERROR(__xludf.DUMMYFUNCTION("""COMPUTED_VALUE"""),309.6)</f>
        <v>309.60000000000002</v>
      </c>
      <c r="F36" s="1">
        <f ca="1">IFERROR(__xludf.DUMMYFUNCTION("""COMPUTED_VALUE"""),11145)</f>
        <v>11145</v>
      </c>
      <c r="G36">
        <f ca="1">IFERROR(__xludf.DUMMYFUNCTION("""COMPUTED_VALUE"""),36)</f>
        <v>36</v>
      </c>
    </row>
    <row r="37" spans="1:7" ht="12.75">
      <c r="A37" t="str">
        <f ca="1">IFERROR(__xludf.DUMMYFUNCTION("""COMPUTED_VALUE"""),"T36")</f>
        <v>T36</v>
      </c>
      <c r="B37" t="str">
        <f ca="1">IFERROR(__xludf.DUMMYFUNCTION("""COMPUTED_VALUE"""),"T41")</f>
        <v>T41</v>
      </c>
      <c r="C37" t="str">
        <f ca="1">IFERROR(__xludf.DUMMYFUNCTION("""COMPUTED_VALUE"""),"Patton Kizzire")</f>
        <v>Patton Kizzire</v>
      </c>
      <c r="D37">
        <f ca="1">IFERROR(__xludf.DUMMYFUNCTION("""COMPUTED_VALUE"""),18)</f>
        <v>18</v>
      </c>
      <c r="E37">
        <f ca="1">IFERROR(__xludf.DUMMYFUNCTION("""COMPUTED_VALUE"""),309.2)</f>
        <v>309.2</v>
      </c>
      <c r="F37" s="1">
        <f ca="1">IFERROR(__xludf.DUMMYFUNCTION("""COMPUTED_VALUE"""),11131)</f>
        <v>11131</v>
      </c>
      <c r="G37">
        <f ca="1">IFERROR(__xludf.DUMMYFUNCTION("""COMPUTED_VALUE"""),36)</f>
        <v>36</v>
      </c>
    </row>
    <row r="38" spans="1:7" ht="12.75">
      <c r="A38" t="str">
        <f ca="1">IFERROR(__xludf.DUMMYFUNCTION("""COMPUTED_VALUE"""),"T36")</f>
        <v>T36</v>
      </c>
      <c r="B38">
        <f ca="1">IFERROR(__xludf.DUMMYFUNCTION("""COMPUTED_VALUE"""),34)</f>
        <v>34</v>
      </c>
      <c r="C38" t="str">
        <f ca="1">IFERROR(__xludf.DUMMYFUNCTION("""COMPUTED_VALUE"""),"Brandon Hagy")</f>
        <v>Brandon Hagy</v>
      </c>
      <c r="D38">
        <f ca="1">IFERROR(__xludf.DUMMYFUNCTION("""COMPUTED_VALUE"""),10)</f>
        <v>10</v>
      </c>
      <c r="E38">
        <f ca="1">IFERROR(__xludf.DUMMYFUNCTION("""COMPUTED_VALUE"""),309.2)</f>
        <v>309.2</v>
      </c>
      <c r="F38" s="1">
        <f ca="1">IFERROR(__xludf.DUMMYFUNCTION("""COMPUTED_VALUE"""),6183)</f>
        <v>6183</v>
      </c>
      <c r="G38">
        <f ca="1">IFERROR(__xludf.DUMMYFUNCTION("""COMPUTED_VALUE"""),20)</f>
        <v>20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IFERROR(__xludf.DUMMYFUNCTION("""COMPUTED_VALUE"""),33)</f>
        <v>33</v>
      </c>
      <c r="C39" t="str">
        <f ca="1">IFERROR(__xludf.DUMMYFUNCTION("""COMPUTED_VALUE"""),"Scottie Scheffler")</f>
        <v>Scottie Scheffler</v>
      </c>
      <c r="D39">
        <f ca="1">IFERROR(__xludf.DUMMYFUNCTION("""COMPUTED_VALUE"""),18)</f>
        <v>18</v>
      </c>
      <c r="E39">
        <f ca="1">IFERROR(__xludf.DUMMYFUNCTION("""COMPUTED_VALUE"""),309.1)</f>
        <v>309.10000000000002</v>
      </c>
      <c r="F39" s="1">
        <f ca="1">IFERROR(__xludf.DUMMYFUNCTION("""COMPUTED_VALUE"""),11127)</f>
        <v>11127</v>
      </c>
      <c r="G39">
        <f ca="1">IFERROR(__xludf.DUMMYFUNCTION("""COMPUTED_VALUE"""),36)</f>
        <v>36</v>
      </c>
    </row>
    <row r="40" spans="1:7" ht="12.75">
      <c r="A40" t="str">
        <f ca="1">IFERROR(__xludf.DUMMYFUNCTION("""COMPUTED_VALUE"""),"T39")</f>
        <v>T39</v>
      </c>
      <c r="B40">
        <f ca="1">IFERROR(__xludf.DUMMYFUNCTION("""COMPUTED_VALUE"""),43)</f>
        <v>43</v>
      </c>
      <c r="C40" t="str">
        <f ca="1">IFERROR(__xludf.DUMMYFUNCTION("""COMPUTED_VALUE"""),"Shane Lowry")</f>
        <v>Shane Lowry</v>
      </c>
      <c r="D40">
        <f ca="1">IFERROR(__xludf.DUMMYFUNCTION("""COMPUTED_VALUE"""),14)</f>
        <v>14</v>
      </c>
      <c r="E40">
        <f ca="1">IFERROR(__xludf.DUMMYFUNCTION("""COMPUTED_VALUE"""),309)</f>
        <v>309</v>
      </c>
      <c r="F40" s="1">
        <f ca="1">IFERROR(__xludf.DUMMYFUNCTION("""COMPUTED_VALUE"""),8651)</f>
        <v>8651</v>
      </c>
      <c r="G40">
        <f ca="1">IFERROR(__xludf.DUMMYFUNCTION("""COMPUTED_VALUE"""),28)</f>
        <v>28</v>
      </c>
    </row>
    <row r="41" spans="1:7" ht="12.75">
      <c r="A41" t="str">
        <f ca="1">IFERROR(__xludf.DUMMYFUNCTION("""COMPUTED_VALUE"""),"T39")</f>
        <v>T39</v>
      </c>
      <c r="B41" t="str">
        <f ca="1">IFERROR(__xludf.DUMMYFUNCTION("""COMPUTED_VALUE"""),"T37")</f>
        <v>T37</v>
      </c>
      <c r="C41" t="str">
        <f ca="1">IFERROR(__xludf.DUMMYFUNCTION("""COMPUTED_VALUE"""),"Charley Hoffman")</f>
        <v>Charley Hoffman</v>
      </c>
      <c r="D41">
        <f ca="1">IFERROR(__xludf.DUMMYFUNCTION("""COMPUTED_VALUE"""),20)</f>
        <v>20</v>
      </c>
      <c r="E41">
        <f ca="1">IFERROR(__xludf.DUMMYFUNCTION("""COMPUTED_VALUE"""),309)</f>
        <v>309</v>
      </c>
      <c r="F41" s="1">
        <f ca="1">IFERROR(__xludf.DUMMYFUNCTION("""COMPUTED_VALUE"""),12361)</f>
        <v>12361</v>
      </c>
      <c r="G41">
        <f ca="1">IFERROR(__xludf.DUMMYFUNCTION("""COMPUTED_VALUE"""),40)</f>
        <v>40</v>
      </c>
    </row>
    <row r="42" spans="1:7" ht="12.75">
      <c r="A42" t="str">
        <f ca="1">IFERROR(__xludf.DUMMYFUNCTION("""COMPUTED_VALUE"""),"T39")</f>
        <v>T39</v>
      </c>
      <c r="B42">
        <f ca="1">IFERROR(__xludf.DUMMYFUNCTION("""COMPUTED_VALUE"""),36)</f>
        <v>36</v>
      </c>
      <c r="C42" t="str">
        <f ca="1">IFERROR(__xludf.DUMMYFUNCTION("""COMPUTED_VALUE"""),"John Pak")</f>
        <v>John Pak</v>
      </c>
      <c r="D42">
        <f ca="1">IFERROR(__xludf.DUMMYFUNCTION("""COMPUTED_VALUE"""),4)</f>
        <v>4</v>
      </c>
      <c r="E42">
        <f ca="1">IFERROR(__xludf.DUMMYFUNCTION("""COMPUTED_VALUE"""),309)</f>
        <v>309</v>
      </c>
      <c r="F42" s="1">
        <f ca="1">IFERROR(__xludf.DUMMYFUNCTION("""COMPUTED_VALUE"""),2472)</f>
        <v>2472</v>
      </c>
      <c r="G42">
        <f ca="1">IFERROR(__xludf.DUMMYFUNCTION("""COMPUTED_VALUE"""),8)</f>
        <v>8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IFERROR(__xludf.DUMMYFUNCTION("""COMPUTED_VALUE"""),35)</f>
        <v>35</v>
      </c>
      <c r="C43" t="str">
        <f ca="1">IFERROR(__xludf.DUMMYFUNCTION("""COMPUTED_VALUE"""),"Max Homa")</f>
        <v>Max Homa</v>
      </c>
      <c r="D43">
        <f ca="1">IFERROR(__xludf.DUMMYFUNCTION("""COMPUTED_VALUE"""),12)</f>
        <v>12</v>
      </c>
      <c r="E43">
        <f ca="1">IFERROR(__xludf.DUMMYFUNCTION("""COMPUTED_VALUE"""),308.9)</f>
        <v>308.89999999999998</v>
      </c>
      <c r="F43" s="1">
        <f ca="1">IFERROR(__xludf.DUMMYFUNCTION("""COMPUTED_VALUE"""),7413)</f>
        <v>7413</v>
      </c>
      <c r="G43">
        <f ca="1">IFERROR(__xludf.DUMMYFUNCTION("""COMPUTED_VALUE"""),24)</f>
        <v>24</v>
      </c>
    </row>
    <row r="44" spans="1:7" ht="12.75">
      <c r="A44">
        <f ca="1">IFERROR(__xludf.DUMMYFUNCTION("""COMPUTED_VALUE"""),43)</f>
        <v>43</v>
      </c>
      <c r="B44" t="str">
        <f ca="1">IFERROR(__xludf.DUMMYFUNCTION("""COMPUTED_VALUE"""),"T37")</f>
        <v>T37</v>
      </c>
      <c r="C44" t="str">
        <f ca="1">IFERROR(__xludf.DUMMYFUNCTION("""COMPUTED_VALUE"""),"Paul Casey")</f>
        <v>Paul Casey</v>
      </c>
      <c r="D44">
        <f ca="1">IFERROR(__xludf.DUMMYFUNCTION("""COMPUTED_VALUE"""),14)</f>
        <v>14</v>
      </c>
      <c r="E44">
        <f ca="1">IFERROR(__xludf.DUMMYFUNCTION("""COMPUTED_VALUE"""),308.8)</f>
        <v>308.8</v>
      </c>
      <c r="F44" s="1">
        <f ca="1">IFERROR(__xludf.DUMMYFUNCTION("""COMPUTED_VALUE"""),8646)</f>
        <v>8646</v>
      </c>
      <c r="G44">
        <f ca="1">IFERROR(__xludf.DUMMYFUNCTION("""COMPUTED_VALUE"""),28)</f>
        <v>28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IFERROR(__xludf.DUMMYFUNCTION("""COMPUTED_VALUE"""),40)</f>
        <v>40</v>
      </c>
      <c r="C45" t="str">
        <f ca="1">IFERROR(__xludf.DUMMYFUNCTION("""COMPUTED_VALUE"""),"MJ Daffue")</f>
        <v>MJ Daffue</v>
      </c>
      <c r="D45">
        <f ca="1">IFERROR(__xludf.DUMMYFUNCTION("""COMPUTED_VALUE"""),10)</f>
        <v>10</v>
      </c>
      <c r="E45">
        <f ca="1">IFERROR(__xludf.DUMMYFUNCTION("""COMPUTED_VALUE"""),308.6)</f>
        <v>308.60000000000002</v>
      </c>
      <c r="F45" s="1">
        <f ca="1">IFERROR(__xludf.DUMMYFUNCTION("""COMPUTED_VALUE"""),6172)</f>
        <v>6172</v>
      </c>
      <c r="G45">
        <f ca="1">IFERROR(__xludf.DUMMYFUNCTION("""COMPUTED_VALUE"""),20)</f>
        <v>20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IFERROR(__xludf.DUMMYFUNCTION("""COMPUTED_VALUE"""),44)</f>
        <v>44</v>
      </c>
      <c r="C46" t="str">
        <f ca="1">IFERROR(__xludf.DUMMYFUNCTION("""COMPUTED_VALUE"""),"Joseph Bramlett")</f>
        <v>Joseph Bramlett</v>
      </c>
      <c r="D46">
        <f ca="1">IFERROR(__xludf.DUMMYFUNCTION("""COMPUTED_VALUE"""),18)</f>
        <v>18</v>
      </c>
      <c r="E46">
        <f ca="1">IFERROR(__xludf.DUMMYFUNCTION("""COMPUTED_VALUE"""),307.9)</f>
        <v>307.89999999999998</v>
      </c>
      <c r="F46" s="1">
        <f ca="1">IFERROR(__xludf.DUMMYFUNCTION("""COMPUTED_VALUE"""),11083)</f>
        <v>11083</v>
      </c>
      <c r="G46">
        <f ca="1">IFERROR(__xludf.DUMMYFUNCTION("""COMPUTED_VALUE"""),36)</f>
        <v>36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IFERROR(__xludf.DUMMYFUNCTION("""COMPUTED_VALUE"""),45)</f>
        <v>45</v>
      </c>
      <c r="C47" t="str">
        <f ca="1">IFERROR(__xludf.DUMMYFUNCTION("""COMPUTED_VALUE"""),"Kurt Kitayama")</f>
        <v>Kurt Kitayama</v>
      </c>
      <c r="D47">
        <f ca="1">IFERROR(__xludf.DUMMYFUNCTION("""COMPUTED_VALUE"""),4)</f>
        <v>4</v>
      </c>
      <c r="E47">
        <f ca="1">IFERROR(__xludf.DUMMYFUNCTION("""COMPUTED_VALUE"""),307.8)</f>
        <v>307.8</v>
      </c>
      <c r="F47" s="1">
        <f ca="1">IFERROR(__xludf.DUMMYFUNCTION("""COMPUTED_VALUE"""),2462)</f>
        <v>2462</v>
      </c>
      <c r="G47">
        <f ca="1">IFERROR(__xludf.DUMMYFUNCTION("""COMPUTED_VALUE"""),8)</f>
        <v>8</v>
      </c>
    </row>
    <row r="48" spans="1:7" ht="12.75">
      <c r="A48">
        <f ca="1">IFERROR(__xludf.DUMMYFUNCTION("""COMPUTED_VALUE"""),47)</f>
        <v>47</v>
      </c>
      <c r="B48" t="str">
        <f ca="1">IFERROR(__xludf.DUMMYFUNCTION("""COMPUTED_VALUE"""),"T47")</f>
        <v>T47</v>
      </c>
      <c r="C48" t="str">
        <f ca="1">IFERROR(__xludf.DUMMYFUNCTION("""COMPUTED_VALUE"""),"Patrick Rodgers")</f>
        <v>Patrick Rodgers</v>
      </c>
      <c r="D48">
        <f ca="1">IFERROR(__xludf.DUMMYFUNCTION("""COMPUTED_VALUE"""),18)</f>
        <v>18</v>
      </c>
      <c r="E48">
        <f ca="1">IFERROR(__xludf.DUMMYFUNCTION("""COMPUTED_VALUE"""),307.6)</f>
        <v>307.60000000000002</v>
      </c>
      <c r="F48" s="1">
        <f ca="1">IFERROR(__xludf.DUMMYFUNCTION("""COMPUTED_VALUE"""),11072)</f>
        <v>11072</v>
      </c>
      <c r="G48">
        <f ca="1">IFERROR(__xludf.DUMMYFUNCTION("""COMPUTED_VALUE"""),36)</f>
        <v>36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IFERROR(__xludf.DUMMYFUNCTION("""COMPUTED_VALUE"""),49)</f>
        <v>49</v>
      </c>
      <c r="C49" t="str">
        <f ca="1">IFERROR(__xludf.DUMMYFUNCTION("""COMPUTED_VALUE"""),"George Markham")</f>
        <v>George Markham</v>
      </c>
      <c r="D49">
        <f ca="1">IFERROR(__xludf.DUMMYFUNCTION("""COMPUTED_VALUE"""),4)</f>
        <v>4</v>
      </c>
      <c r="E49">
        <f ca="1">IFERROR(__xludf.DUMMYFUNCTION("""COMPUTED_VALUE"""),307.5)</f>
        <v>307.5</v>
      </c>
      <c r="F49" s="1">
        <f ca="1">IFERROR(__xludf.DUMMYFUNCTION("""COMPUTED_VALUE"""),2460)</f>
        <v>2460</v>
      </c>
      <c r="G49">
        <f ca="1">IFERROR(__xludf.DUMMYFUNCTION("""COMPUTED_VALUE"""),8)</f>
        <v>8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IFERROR(__xludf.DUMMYFUNCTION("""COMPUTED_VALUE"""),"T41")</f>
        <v>T41</v>
      </c>
      <c r="C50" t="str">
        <f ca="1">IFERROR(__xludf.DUMMYFUNCTION("""COMPUTED_VALUE"""),"Jhonattan Vegas")</f>
        <v>Jhonattan Vegas</v>
      </c>
      <c r="D50">
        <f ca="1">IFERROR(__xludf.DUMMYFUNCTION("""COMPUTED_VALUE"""),16)</f>
        <v>16</v>
      </c>
      <c r="E50">
        <f ca="1">IFERROR(__xludf.DUMMYFUNCTION("""COMPUTED_VALUE"""),307.4)</f>
        <v>307.39999999999998</v>
      </c>
      <c r="F50" s="1">
        <f ca="1">IFERROR(__xludf.DUMMYFUNCTION("""COMPUTED_VALUE"""),9838)</f>
        <v>9838</v>
      </c>
      <c r="G50">
        <f ca="1">IFERROR(__xludf.DUMMYFUNCTION("""COMPUTED_VALUE"""),32)</f>
        <v>32</v>
      </c>
    </row>
    <row r="51" spans="1:7" ht="12.75">
      <c r="A51" t="str">
        <f ca="1">IFERROR(__xludf.DUMMYFUNCTION("""COMPUTED_VALUE"""),"T50")</f>
        <v>T50</v>
      </c>
      <c r="B51" t="str">
        <f ca="1">IFERROR(__xludf.DUMMYFUNCTION("""COMPUTED_VALUE"""),"T50")</f>
        <v>T50</v>
      </c>
      <c r="C51" t="str">
        <f ca="1">IFERROR(__xludf.DUMMYFUNCTION("""COMPUTED_VALUE"""),"Rickie Fowler")</f>
        <v>Rickie Fowler</v>
      </c>
      <c r="D51">
        <f ca="1">IFERROR(__xludf.DUMMYFUNCTION("""COMPUTED_VALUE"""),14)</f>
        <v>14</v>
      </c>
      <c r="E51">
        <f ca="1">IFERROR(__xludf.DUMMYFUNCTION("""COMPUTED_VALUE"""),307.3)</f>
        <v>307.3</v>
      </c>
      <c r="F51" s="1">
        <f ca="1">IFERROR(__xludf.DUMMYFUNCTION("""COMPUTED_VALUE"""),8604)</f>
        <v>8604</v>
      </c>
      <c r="G51">
        <f ca="1">IFERROR(__xludf.DUMMYFUNCTION("""COMPUTED_VALUE"""),28)</f>
        <v>28</v>
      </c>
    </row>
    <row r="52" spans="1:7" ht="12.75">
      <c r="A52" t="str">
        <f ca="1">IFERROR(__xludf.DUMMYFUNCTION("""COMPUTED_VALUE"""),"T50")</f>
        <v>T50</v>
      </c>
      <c r="B52">
        <f ca="1">IFERROR(__xludf.DUMMYFUNCTION("""COMPUTED_VALUE"""),46)</f>
        <v>46</v>
      </c>
      <c r="C52" t="str">
        <f ca="1">IFERROR(__xludf.DUMMYFUNCTION("""COMPUTED_VALUE"""),"Hudson Swafford")</f>
        <v>Hudson Swafford</v>
      </c>
      <c r="D52">
        <f ca="1">IFERROR(__xludf.DUMMYFUNCTION("""COMPUTED_VALUE"""),18)</f>
        <v>18</v>
      </c>
      <c r="E52">
        <f ca="1">IFERROR(__xludf.DUMMYFUNCTION("""COMPUTED_VALUE"""),307.3)</f>
        <v>307.3</v>
      </c>
      <c r="F52" s="1">
        <f ca="1">IFERROR(__xludf.DUMMYFUNCTION("""COMPUTED_VALUE"""),11063)</f>
        <v>11063</v>
      </c>
      <c r="G52">
        <f ca="1">IFERROR(__xludf.DUMMYFUNCTION("""COMPUTED_VALUE"""),36)</f>
        <v>36</v>
      </c>
    </row>
    <row r="53" spans="1:7" ht="12.75">
      <c r="A53" t="str">
        <f ca="1">IFERROR(__xludf.DUMMYFUNCTION("""COMPUTED_VALUE"""),"T50")</f>
        <v>T50</v>
      </c>
      <c r="B53" t="str">
        <f ca="1">IFERROR(__xludf.DUMMYFUNCTION("""COMPUTED_VALUE"""),"T50")</f>
        <v>T50</v>
      </c>
      <c r="C53" t="str">
        <f ca="1">IFERROR(__xludf.DUMMYFUNCTION("""COMPUTED_VALUE"""),"Jeongwoo Ham")</f>
        <v>Jeongwoo Ham</v>
      </c>
      <c r="D53">
        <f ca="1">IFERROR(__xludf.DUMMYFUNCTION("""COMPUTED_VALUE"""),4)</f>
        <v>4</v>
      </c>
      <c r="E53">
        <f ca="1">IFERROR(__xludf.DUMMYFUNCTION("""COMPUTED_VALUE"""),307.3)</f>
        <v>307.3</v>
      </c>
      <c r="F53" s="1">
        <f ca="1">IFERROR(__xludf.DUMMYFUNCTION("""COMPUTED_VALUE"""),2458)</f>
        <v>2458</v>
      </c>
      <c r="G53">
        <f ca="1">IFERROR(__xludf.DUMMYFUNCTION("""COMPUTED_VALUE"""),8)</f>
        <v>8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IFERROR(__xludf.DUMMYFUNCTION("""COMPUTED_VALUE"""),75)</f>
        <v>75</v>
      </c>
      <c r="C54" t="str">
        <f ca="1">IFERROR(__xludf.DUMMYFUNCTION("""COMPUTED_VALUE"""),"Scott Harrington")</f>
        <v>Scott Harrington</v>
      </c>
      <c r="D54">
        <f ca="1">IFERROR(__xludf.DUMMYFUNCTION("""COMPUTED_VALUE"""),18)</f>
        <v>18</v>
      </c>
      <c r="E54">
        <f ca="1">IFERROR(__xludf.DUMMYFUNCTION("""COMPUTED_VALUE"""),307.2)</f>
        <v>307.2</v>
      </c>
      <c r="F54" s="1">
        <f ca="1">IFERROR(__xludf.DUMMYFUNCTION("""COMPUTED_VALUE"""),11060)</f>
        <v>11060</v>
      </c>
      <c r="G54">
        <f ca="1">IFERROR(__xludf.DUMMYFUNCTION("""COMPUTED_VALUE"""),36)</f>
        <v>36</v>
      </c>
    </row>
    <row r="55" spans="1:7" ht="12.75">
      <c r="A55" t="str">
        <f ca="1">IFERROR(__xludf.DUMMYFUNCTION("""COMPUTED_VALUE"""),"T54")</f>
        <v>T54</v>
      </c>
      <c r="B55">
        <f ca="1">IFERROR(__xludf.DUMMYFUNCTION("""COMPUTED_VALUE"""),55)</f>
        <v>55</v>
      </c>
      <c r="C55" t="str">
        <f ca="1">IFERROR(__xludf.DUMMYFUNCTION("""COMPUTED_VALUE"""),"Seonghyeon Kim")</f>
        <v>Seonghyeon Kim</v>
      </c>
      <c r="D55">
        <f ca="1">IFERROR(__xludf.DUMMYFUNCTION("""COMPUTED_VALUE"""),4)</f>
        <v>4</v>
      </c>
      <c r="E55">
        <f ca="1">IFERROR(__xludf.DUMMYFUNCTION("""COMPUTED_VALUE"""),307)</f>
        <v>307</v>
      </c>
      <c r="F55" s="1">
        <f ca="1">IFERROR(__xludf.DUMMYFUNCTION("""COMPUTED_VALUE"""),2456)</f>
        <v>2456</v>
      </c>
      <c r="G55">
        <f ca="1">IFERROR(__xludf.DUMMYFUNCTION("""COMPUTED_VALUE"""),8)</f>
        <v>8</v>
      </c>
    </row>
    <row r="56" spans="1:7" ht="12.75">
      <c r="A56" t="str">
        <f ca="1">IFERROR(__xludf.DUMMYFUNCTION("""COMPUTED_VALUE"""),"T54")</f>
        <v>T54</v>
      </c>
      <c r="B56" t="str">
        <f ca="1">IFERROR(__xludf.DUMMYFUNCTION("""COMPUTED_VALUE"""),"T56")</f>
        <v>T56</v>
      </c>
      <c r="C56" t="str">
        <f ca="1">IFERROR(__xludf.DUMMYFUNCTION("""COMPUTED_VALUE"""),"Grayson Murray")</f>
        <v>Grayson Murray</v>
      </c>
      <c r="D56">
        <f ca="1">IFERROR(__xludf.DUMMYFUNCTION("""COMPUTED_VALUE"""),10)</f>
        <v>10</v>
      </c>
      <c r="E56">
        <f ca="1">IFERROR(__xludf.DUMMYFUNCTION("""COMPUTED_VALUE"""),307)</f>
        <v>307</v>
      </c>
      <c r="F56" s="1">
        <f ca="1">IFERROR(__xludf.DUMMYFUNCTION("""COMPUTED_VALUE"""),6140)</f>
        <v>6140</v>
      </c>
      <c r="G56">
        <f ca="1">IFERROR(__xludf.DUMMYFUNCTION("""COMPUTED_VALUE"""),20)</f>
        <v>20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IFERROR(__xludf.DUMMYFUNCTION("""COMPUTED_VALUE"""),"T50")</f>
        <v>T50</v>
      </c>
      <c r="C57" t="str">
        <f ca="1">IFERROR(__xludf.DUMMYFUNCTION("""COMPUTED_VALUE"""),"Matt Jones")</f>
        <v>Matt Jones</v>
      </c>
      <c r="D57">
        <f ca="1">IFERROR(__xludf.DUMMYFUNCTION("""COMPUTED_VALUE"""),20)</f>
        <v>20</v>
      </c>
      <c r="E57">
        <f ca="1">IFERROR(__xludf.DUMMYFUNCTION("""COMPUTED_VALUE"""),306.8)</f>
        <v>306.8</v>
      </c>
      <c r="F57" s="1">
        <f ca="1">IFERROR(__xludf.DUMMYFUNCTION("""COMPUTED_VALUE"""),12270)</f>
        <v>12270</v>
      </c>
      <c r="G57">
        <f ca="1">IFERROR(__xludf.DUMMYFUNCTION("""COMPUTED_VALUE"""),40)</f>
        <v>40</v>
      </c>
    </row>
    <row r="58" spans="1:7" ht="12.75">
      <c r="A58" t="str">
        <f ca="1">IFERROR(__xludf.DUMMYFUNCTION("""COMPUTED_VALUE"""),"T56")</f>
        <v>T56</v>
      </c>
      <c r="B58">
        <f ca="1">IFERROR(__xludf.DUMMYFUNCTION("""COMPUTED_VALUE"""),67)</f>
        <v>67</v>
      </c>
      <c r="C58" t="str">
        <f ca="1">IFERROR(__xludf.DUMMYFUNCTION("""COMPUTED_VALUE"""),"Phil Mickelson")</f>
        <v>Phil Mickelson</v>
      </c>
      <c r="D58">
        <f ca="1">IFERROR(__xludf.DUMMYFUNCTION("""COMPUTED_VALUE"""),12)</f>
        <v>12</v>
      </c>
      <c r="E58">
        <f ca="1">IFERROR(__xludf.DUMMYFUNCTION("""COMPUTED_VALUE"""),306.8)</f>
        <v>306.8</v>
      </c>
      <c r="F58" s="1">
        <f ca="1">IFERROR(__xludf.DUMMYFUNCTION("""COMPUTED_VALUE"""),7363)</f>
        <v>7363</v>
      </c>
      <c r="G58">
        <f ca="1">IFERROR(__xludf.DUMMYFUNCTION("""COMPUTED_VALUE"""),24)</f>
        <v>24</v>
      </c>
    </row>
    <row r="59" spans="1:7" ht="12.75">
      <c r="A59">
        <f ca="1">IFERROR(__xludf.DUMMYFUNCTION("""COMPUTED_VALUE"""),58)</f>
        <v>58</v>
      </c>
      <c r="B59" t="str">
        <f ca="1">IFERROR(__xludf.DUMMYFUNCTION("""COMPUTED_VALUE"""),"T65")</f>
        <v>T65</v>
      </c>
      <c r="C59" t="str">
        <f ca="1">IFERROR(__xludf.DUMMYFUNCTION("""COMPUTED_VALUE"""),"J.T. Poston")</f>
        <v>J.T. Poston</v>
      </c>
      <c r="D59">
        <f ca="1">IFERROR(__xludf.DUMMYFUNCTION("""COMPUTED_VALUE"""),18)</f>
        <v>18</v>
      </c>
      <c r="E59">
        <f ca="1">IFERROR(__xludf.DUMMYFUNCTION("""COMPUTED_VALUE"""),306.7)</f>
        <v>306.7</v>
      </c>
      <c r="F59" s="1">
        <f ca="1">IFERROR(__xludf.DUMMYFUNCTION("""COMPUTED_VALUE"""),11040)</f>
        <v>11040</v>
      </c>
      <c r="G59">
        <f ca="1">IFERROR(__xludf.DUMMYFUNCTION("""COMPUTED_VALUE"""),36)</f>
        <v>36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IFERROR(__xludf.DUMMYFUNCTION("""COMPUTED_VALUE"""),80)</f>
        <v>80</v>
      </c>
      <c r="C60" t="str">
        <f ca="1">IFERROR(__xludf.DUMMYFUNCTION("""COMPUTED_VALUE"""),"Jason Day")</f>
        <v>Jason Day</v>
      </c>
      <c r="D60">
        <f ca="1">IFERROR(__xludf.DUMMYFUNCTION("""COMPUTED_VALUE"""),17)</f>
        <v>17</v>
      </c>
      <c r="E60">
        <f ca="1">IFERROR(__xludf.DUMMYFUNCTION("""COMPUTED_VALUE"""),306.6)</f>
        <v>306.60000000000002</v>
      </c>
      <c r="F60" s="1">
        <f ca="1">IFERROR(__xludf.DUMMYFUNCTION("""COMPUTED_VALUE"""),10426)</f>
        <v>10426</v>
      </c>
      <c r="G60">
        <f ca="1">IFERROR(__xludf.DUMMYFUNCTION("""COMPUTED_VALUE"""),34)</f>
        <v>34</v>
      </c>
    </row>
    <row r="61" spans="1:7" ht="12.75">
      <c r="A61" t="str">
        <f ca="1">IFERROR(__xludf.DUMMYFUNCTION("""COMPUTED_VALUE"""),"T60")</f>
        <v>T60</v>
      </c>
      <c r="B61">
        <f ca="1">IFERROR(__xludf.DUMMYFUNCTION("""COMPUTED_VALUE"""),53)</f>
        <v>53</v>
      </c>
      <c r="C61" t="str">
        <f ca="1">IFERROR(__xludf.DUMMYFUNCTION("""COMPUTED_VALUE"""),"Danny Lee")</f>
        <v>Danny Lee</v>
      </c>
      <c r="D61">
        <f ca="1">IFERROR(__xludf.DUMMYFUNCTION("""COMPUTED_VALUE"""),15)</f>
        <v>15</v>
      </c>
      <c r="E61">
        <f ca="1">IFERROR(__xludf.DUMMYFUNCTION("""COMPUTED_VALUE"""),306.5)</f>
        <v>306.5</v>
      </c>
      <c r="F61" s="1">
        <f ca="1">IFERROR(__xludf.DUMMYFUNCTION("""COMPUTED_VALUE"""),9196)</f>
        <v>9196</v>
      </c>
      <c r="G61">
        <f ca="1">IFERROR(__xludf.DUMMYFUNCTION("""COMPUTED_VALUE"""),30)</f>
        <v>30</v>
      </c>
    </row>
    <row r="62" spans="1:7" ht="12.75">
      <c r="A62" t="str">
        <f ca="1">IFERROR(__xludf.DUMMYFUNCTION("""COMPUTED_VALUE"""),"T60")</f>
        <v>T60</v>
      </c>
      <c r="B62">
        <f ca="1">IFERROR(__xludf.DUMMYFUNCTION("""COMPUTED_VALUE"""),58)</f>
        <v>58</v>
      </c>
      <c r="C62" t="str">
        <f ca="1">IFERROR(__xludf.DUMMYFUNCTION("""COMPUTED_VALUE"""),"Louis Oosthuizen")</f>
        <v>Louis Oosthuizen</v>
      </c>
      <c r="D62">
        <f ca="1">IFERROR(__xludf.DUMMYFUNCTION("""COMPUTED_VALUE"""),12)</f>
        <v>12</v>
      </c>
      <c r="E62">
        <f ca="1">IFERROR(__xludf.DUMMYFUNCTION("""COMPUTED_VALUE"""),306.5)</f>
        <v>306.5</v>
      </c>
      <c r="F62" s="1">
        <f ca="1">IFERROR(__xludf.DUMMYFUNCTION("""COMPUTED_VALUE"""),7356)</f>
        <v>7356</v>
      </c>
      <c r="G62">
        <f ca="1">IFERROR(__xludf.DUMMYFUNCTION("""COMPUTED_VALUE"""),24)</f>
        <v>24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IFERROR(__xludf.DUMMYFUNCTION("""COMPUTED_VALUE"""),59)</f>
        <v>59</v>
      </c>
      <c r="C63" t="str">
        <f ca="1">IFERROR(__xludf.DUMMYFUNCTION("""COMPUTED_VALUE"""),"Harris English")</f>
        <v>Harris English</v>
      </c>
      <c r="D63">
        <f ca="1">IFERROR(__xludf.DUMMYFUNCTION("""COMPUTED_VALUE"""),14)</f>
        <v>14</v>
      </c>
      <c r="E63">
        <f ca="1">IFERROR(__xludf.DUMMYFUNCTION("""COMPUTED_VALUE"""),306.1)</f>
        <v>306.10000000000002</v>
      </c>
      <c r="F63" s="1">
        <f ca="1">IFERROR(__xludf.DUMMYFUNCTION("""COMPUTED_VALUE"""),8570)</f>
        <v>8570</v>
      </c>
      <c r="G63">
        <f ca="1">IFERROR(__xludf.DUMMYFUNCTION("""COMPUTED_VALUE"""),28)</f>
        <v>28</v>
      </c>
    </row>
    <row r="64" spans="1:7" ht="12.75">
      <c r="A64" t="str">
        <f ca="1">IFERROR(__xludf.DUMMYFUNCTION("""COMPUTED_VALUE"""),"T63")</f>
        <v>T63</v>
      </c>
      <c r="B64">
        <f ca="1">IFERROR(__xludf.DUMMYFUNCTION("""COMPUTED_VALUE"""),84)</f>
        <v>84</v>
      </c>
      <c r="C64" t="str">
        <f ca="1">IFERROR(__xludf.DUMMYFUNCTION("""COMPUTED_VALUE"""),"Viktor Hovland")</f>
        <v>Viktor Hovland</v>
      </c>
      <c r="D64">
        <f ca="1">IFERROR(__xludf.DUMMYFUNCTION("""COMPUTED_VALUE"""),16)</f>
        <v>16</v>
      </c>
      <c r="E64">
        <f ca="1">IFERROR(__xludf.DUMMYFUNCTION("""COMPUTED_VALUE"""),306)</f>
        <v>306</v>
      </c>
      <c r="F64" s="1">
        <f ca="1">IFERROR(__xludf.DUMMYFUNCTION("""COMPUTED_VALUE"""),9792)</f>
        <v>9792</v>
      </c>
      <c r="G64">
        <f ca="1">IFERROR(__xludf.DUMMYFUNCTION("""COMPUTED_VALUE"""),32)</f>
        <v>32</v>
      </c>
    </row>
    <row r="65" spans="1:7" ht="12.75">
      <c r="A65" t="str">
        <f ca="1">IFERROR(__xludf.DUMMYFUNCTION("""COMPUTED_VALUE"""),"T63")</f>
        <v>T63</v>
      </c>
      <c r="B65" t="str">
        <f ca="1">IFERROR(__xludf.DUMMYFUNCTION("""COMPUTED_VALUE"""),"T72")</f>
        <v>T72</v>
      </c>
      <c r="C65" t="str">
        <f ca="1">IFERROR(__xludf.DUMMYFUNCTION("""COMPUTED_VALUE"""),"Kevin Tway")</f>
        <v>Kevin Tway</v>
      </c>
      <c r="D65">
        <f ca="1">IFERROR(__xludf.DUMMYFUNCTION("""COMPUTED_VALUE"""),16)</f>
        <v>16</v>
      </c>
      <c r="E65">
        <f ca="1">IFERROR(__xludf.DUMMYFUNCTION("""COMPUTED_VALUE"""),306)</f>
        <v>306</v>
      </c>
      <c r="F65" s="1">
        <f ca="1">IFERROR(__xludf.DUMMYFUNCTION("""COMPUTED_VALUE"""),9793)</f>
        <v>9793</v>
      </c>
      <c r="G65">
        <f ca="1">IFERROR(__xludf.DUMMYFUNCTION("""COMPUTED_VALUE"""),32)</f>
        <v>32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IFERROR(__xludf.DUMMYFUNCTION("""COMPUTED_VALUE"""),"T65")</f>
        <v>T65</v>
      </c>
      <c r="C66" t="str">
        <f ca="1">IFERROR(__xludf.DUMMYFUNCTION("""COMPUTED_VALUE"""),"Cameron Tringale")</f>
        <v>Cameron Tringale</v>
      </c>
      <c r="D66">
        <f ca="1">IFERROR(__xludf.DUMMYFUNCTION("""COMPUTED_VALUE"""),16)</f>
        <v>16</v>
      </c>
      <c r="E66">
        <f ca="1">IFERROR(__xludf.DUMMYFUNCTION("""COMPUTED_VALUE"""),305.9)</f>
        <v>305.89999999999998</v>
      </c>
      <c r="F66" s="1">
        <f ca="1">IFERROR(__xludf.DUMMYFUNCTION("""COMPUTED_VALUE"""),9789)</f>
        <v>9789</v>
      </c>
      <c r="G66">
        <f ca="1">IFERROR(__xludf.DUMMYFUNCTION("""COMPUTED_VALUE"""),32)</f>
        <v>32</v>
      </c>
    </row>
    <row r="67" spans="1:7" ht="12.75">
      <c r="A67" t="str">
        <f ca="1">IFERROR(__xludf.DUMMYFUNCTION("""COMPUTED_VALUE"""),"T66")</f>
        <v>T66</v>
      </c>
      <c r="B67" t="str">
        <f ca="1">IFERROR(__xludf.DUMMYFUNCTION("""COMPUTED_VALUE"""),"T61")</f>
        <v>T61</v>
      </c>
      <c r="C67" t="str">
        <f ca="1">IFERROR(__xludf.DUMMYFUNCTION("""COMPUTED_VALUE"""),"Rasmus Hojgaard")</f>
        <v>Rasmus Hojgaard</v>
      </c>
      <c r="D67">
        <f ca="1">IFERROR(__xludf.DUMMYFUNCTION("""COMPUTED_VALUE"""),6)</f>
        <v>6</v>
      </c>
      <c r="E67">
        <f ca="1">IFERROR(__xludf.DUMMYFUNCTION("""COMPUTED_VALUE"""),305.8)</f>
        <v>305.8</v>
      </c>
      <c r="F67" s="1">
        <f ca="1">IFERROR(__xludf.DUMMYFUNCTION("""COMPUTED_VALUE"""),3670)</f>
        <v>3670</v>
      </c>
      <c r="G67">
        <f ca="1">IFERROR(__xludf.DUMMYFUNCTION("""COMPUTED_VALUE"""),12)</f>
        <v>12</v>
      </c>
    </row>
    <row r="68" spans="1:7" ht="12.75">
      <c r="A68" t="str">
        <f ca="1">IFERROR(__xludf.DUMMYFUNCTION("""COMPUTED_VALUE"""),"T66")</f>
        <v>T66</v>
      </c>
      <c r="B68" t="str">
        <f ca="1">IFERROR(__xludf.DUMMYFUNCTION("""COMPUTED_VALUE"""),"T61")</f>
        <v>T61</v>
      </c>
      <c r="C68" t="str">
        <f ca="1">IFERROR(__xludf.DUMMYFUNCTION("""COMPUTED_VALUE"""),"Ben Taylor")</f>
        <v>Ben Taylor</v>
      </c>
      <c r="D68">
        <f ca="1">IFERROR(__xludf.DUMMYFUNCTION("""COMPUTED_VALUE"""),10)</f>
        <v>10</v>
      </c>
      <c r="E68">
        <f ca="1">IFERROR(__xludf.DUMMYFUNCTION("""COMPUTED_VALUE"""),305.8)</f>
        <v>305.8</v>
      </c>
      <c r="F68" s="1">
        <f ca="1">IFERROR(__xludf.DUMMYFUNCTION("""COMPUTED_VALUE"""),6115)</f>
        <v>6115</v>
      </c>
      <c r="G68">
        <f ca="1">IFERROR(__xludf.DUMMYFUNCTION("""COMPUTED_VALUE"""),20)</f>
        <v>20</v>
      </c>
    </row>
    <row r="69" spans="1:7" ht="12.75">
      <c r="A69" t="str">
        <f ca="1">IFERROR(__xludf.DUMMYFUNCTION("""COMPUTED_VALUE"""),"T66")</f>
        <v>T66</v>
      </c>
      <c r="B69" t="str">
        <f ca="1">IFERROR(__xludf.DUMMYFUNCTION("""COMPUTED_VALUE"""),"T61")</f>
        <v>T61</v>
      </c>
      <c r="C69" t="str">
        <f ca="1">IFERROR(__xludf.DUMMYFUNCTION("""COMPUTED_VALUE"""),"Michael Gligic")</f>
        <v>Michael Gligic</v>
      </c>
      <c r="D69">
        <f ca="1">IFERROR(__xludf.DUMMYFUNCTION("""COMPUTED_VALUE"""),18)</f>
        <v>18</v>
      </c>
      <c r="E69">
        <f ca="1">IFERROR(__xludf.DUMMYFUNCTION("""COMPUTED_VALUE"""),305.8)</f>
        <v>305.8</v>
      </c>
      <c r="F69" s="1">
        <f ca="1">IFERROR(__xludf.DUMMYFUNCTION("""COMPUTED_VALUE"""),11009)</f>
        <v>11009</v>
      </c>
      <c r="G69">
        <f ca="1">IFERROR(__xludf.DUMMYFUNCTION("""COMPUTED_VALUE"""),36)</f>
        <v>36</v>
      </c>
    </row>
    <row r="70" spans="1:7" ht="12.75">
      <c r="A70" t="str">
        <f ca="1">IFERROR(__xludf.DUMMYFUNCTION("""COMPUTED_VALUE"""),"T66")</f>
        <v>T66</v>
      </c>
      <c r="B70" t="str">
        <f ca="1">IFERROR(__xludf.DUMMYFUNCTION("""COMPUTED_VALUE"""),"T61")</f>
        <v>T61</v>
      </c>
      <c r="C70" t="str">
        <f ca="1">IFERROR(__xludf.DUMMYFUNCTION("""COMPUTED_VALUE"""),"J.B. Holmes")</f>
        <v>J.B. Holmes</v>
      </c>
      <c r="D70">
        <f ca="1">IFERROR(__xludf.DUMMYFUNCTION("""COMPUTED_VALUE"""),10)</f>
        <v>10</v>
      </c>
      <c r="E70">
        <f ca="1">IFERROR(__xludf.DUMMYFUNCTION("""COMPUTED_VALUE"""),305.8)</f>
        <v>305.8</v>
      </c>
      <c r="F70" s="1">
        <f ca="1">IFERROR(__xludf.DUMMYFUNCTION("""COMPUTED_VALUE"""),6115)</f>
        <v>6115</v>
      </c>
      <c r="G70">
        <f ca="1">IFERROR(__xludf.DUMMYFUNCTION("""COMPUTED_VALUE"""),20)</f>
        <v>20</v>
      </c>
    </row>
    <row r="71" spans="1:7" ht="12.75">
      <c r="A71">
        <f ca="1">IFERROR(__xludf.DUMMYFUNCTION("""COMPUTED_VALUE"""),70)</f>
        <v>70</v>
      </c>
      <c r="B71" t="str">
        <f ca="1">IFERROR(__xludf.DUMMYFUNCTION("""COMPUTED_VALUE"""),"T81")</f>
        <v>T81</v>
      </c>
      <c r="C71" t="str">
        <f ca="1">IFERROR(__xludf.DUMMYFUNCTION("""COMPUTED_VALUE"""),"Harold Varner III")</f>
        <v>Harold Varner III</v>
      </c>
      <c r="D71">
        <f ca="1">IFERROR(__xludf.DUMMYFUNCTION("""COMPUTED_VALUE"""),14)</f>
        <v>14</v>
      </c>
      <c r="E71">
        <f ca="1">IFERROR(__xludf.DUMMYFUNCTION("""COMPUTED_VALUE"""),305.7)</f>
        <v>305.7</v>
      </c>
      <c r="F71" s="1">
        <f ca="1">IFERROR(__xludf.DUMMYFUNCTION("""COMPUTED_VALUE"""),8559)</f>
        <v>8559</v>
      </c>
      <c r="G71">
        <f ca="1">IFERROR(__xludf.DUMMYFUNCTION("""COMPUTED_VALUE"""),28)</f>
        <v>28</v>
      </c>
    </row>
    <row r="72" spans="1:7" ht="12.75">
      <c r="A72">
        <f ca="1">IFERROR(__xludf.DUMMYFUNCTION("""COMPUTED_VALUE"""),71)</f>
        <v>71</v>
      </c>
      <c r="B72" t="str">
        <f ca="1">IFERROR(__xludf.DUMMYFUNCTION("""COMPUTED_VALUE"""),"T87")</f>
        <v>T87</v>
      </c>
      <c r="C72" t="str">
        <f ca="1">IFERROR(__xludf.DUMMYFUNCTION("""COMPUTED_VALUE"""),"Jamie Lovemark")</f>
        <v>Jamie Lovemark</v>
      </c>
      <c r="D72">
        <f ca="1">IFERROR(__xludf.DUMMYFUNCTION("""COMPUTED_VALUE"""),18)</f>
        <v>18</v>
      </c>
      <c r="E72">
        <f ca="1">IFERROR(__xludf.DUMMYFUNCTION("""COMPUTED_VALUE"""),305.6)</f>
        <v>305.60000000000002</v>
      </c>
      <c r="F72" s="1">
        <f ca="1">IFERROR(__xludf.DUMMYFUNCTION("""COMPUTED_VALUE"""),11000)</f>
        <v>11000</v>
      </c>
      <c r="G72">
        <f ca="1">IFERROR(__xludf.DUMMYFUNCTION("""COMPUTED_VALUE"""),36)</f>
        <v>36</v>
      </c>
    </row>
    <row r="73" spans="1:7" ht="12.75">
      <c r="A73">
        <f ca="1">IFERROR(__xludf.DUMMYFUNCTION("""COMPUTED_VALUE"""),72)</f>
        <v>72</v>
      </c>
      <c r="B73" t="str">
        <f ca="1">IFERROR(__xludf.DUMMYFUNCTION("""COMPUTED_VALUE"""),"T56")</f>
        <v>T56</v>
      </c>
      <c r="C73" t="str">
        <f ca="1">IFERROR(__xludf.DUMMYFUNCTION("""COMPUTED_VALUE"""),"Lee Westwood")</f>
        <v>Lee Westwood</v>
      </c>
      <c r="D73">
        <f ca="1">IFERROR(__xludf.DUMMYFUNCTION("""COMPUTED_VALUE"""),6)</f>
        <v>6</v>
      </c>
      <c r="E73">
        <f ca="1">IFERROR(__xludf.DUMMYFUNCTION("""COMPUTED_VALUE"""),305.4)</f>
        <v>305.39999999999998</v>
      </c>
      <c r="F73" s="1">
        <f ca="1">IFERROR(__xludf.DUMMYFUNCTION("""COMPUTED_VALUE"""),3665)</f>
        <v>3665</v>
      </c>
      <c r="G73">
        <f ca="1">IFERROR(__xludf.DUMMYFUNCTION("""COMPUTED_VALUE"""),12)</f>
        <v>12</v>
      </c>
    </row>
    <row r="74" spans="1:7" ht="12.75">
      <c r="A74" t="str">
        <f ca="1">IFERROR(__xludf.DUMMYFUNCTION("""COMPUTED_VALUE"""),"T73")</f>
        <v>T73</v>
      </c>
      <c r="B74" t="str">
        <f ca="1">IFERROR(__xludf.DUMMYFUNCTION("""COMPUTED_VALUE"""),"T68")</f>
        <v>T68</v>
      </c>
      <c r="C74" t="str">
        <f ca="1">IFERROR(__xludf.DUMMYFUNCTION("""COMPUTED_VALUE"""),"Jimmy Walker")</f>
        <v>Jimmy Walker</v>
      </c>
      <c r="D74">
        <f ca="1">IFERROR(__xludf.DUMMYFUNCTION("""COMPUTED_VALUE"""),10)</f>
        <v>10</v>
      </c>
      <c r="E74">
        <f ca="1">IFERROR(__xludf.DUMMYFUNCTION("""COMPUTED_VALUE"""),305)</f>
        <v>305</v>
      </c>
      <c r="F74" s="1">
        <f ca="1">IFERROR(__xludf.DUMMYFUNCTION("""COMPUTED_VALUE"""),6100)</f>
        <v>6100</v>
      </c>
      <c r="G74">
        <f ca="1">IFERROR(__xludf.DUMMYFUNCTION("""COMPUTED_VALUE"""),20)</f>
        <v>20</v>
      </c>
    </row>
    <row r="75" spans="1:7" ht="12.75">
      <c r="A75" t="str">
        <f ca="1">IFERROR(__xludf.DUMMYFUNCTION("""COMPUTED_VALUE"""),"T73")</f>
        <v>T73</v>
      </c>
      <c r="B75">
        <f ca="1">IFERROR(__xludf.DUMMYFUNCTION("""COMPUTED_VALUE"""),71)</f>
        <v>71</v>
      </c>
      <c r="C75" t="str">
        <f ca="1">IFERROR(__xludf.DUMMYFUNCTION("""COMPUTED_VALUE"""),"Stephan Jaeger")</f>
        <v>Stephan Jaeger</v>
      </c>
      <c r="D75">
        <f ca="1">IFERROR(__xludf.DUMMYFUNCTION("""COMPUTED_VALUE"""),4)</f>
        <v>4</v>
      </c>
      <c r="E75">
        <f ca="1">IFERROR(__xludf.DUMMYFUNCTION("""COMPUTED_VALUE"""),305)</f>
        <v>305</v>
      </c>
      <c r="F75" s="1">
        <f ca="1">IFERROR(__xludf.DUMMYFUNCTION("""COMPUTED_VALUE"""),2440)</f>
        <v>2440</v>
      </c>
      <c r="G75">
        <f ca="1">IFERROR(__xludf.DUMMYFUNCTION("""COMPUTED_VALUE"""),8)</f>
        <v>8</v>
      </c>
    </row>
    <row r="76" spans="1:7" ht="12.75">
      <c r="A76" t="str">
        <f ca="1">IFERROR(__xludf.DUMMYFUNCTION("""COMPUTED_VALUE"""),"T75")</f>
        <v>T75</v>
      </c>
      <c r="B76">
        <f ca="1">IFERROR(__xludf.DUMMYFUNCTION("""COMPUTED_VALUE"""),60)</f>
        <v>60</v>
      </c>
      <c r="C76" t="str">
        <f ca="1">IFERROR(__xludf.DUMMYFUNCTION("""COMPUTED_VALUE"""),"Beau Hossler")</f>
        <v>Beau Hossler</v>
      </c>
      <c r="D76">
        <f ca="1">IFERROR(__xludf.DUMMYFUNCTION("""COMPUTED_VALUE"""),22)</f>
        <v>22</v>
      </c>
      <c r="E76">
        <f ca="1">IFERROR(__xludf.DUMMYFUNCTION("""COMPUTED_VALUE"""),304.9)</f>
        <v>304.89999999999998</v>
      </c>
      <c r="F76" s="1">
        <f ca="1">IFERROR(__xludf.DUMMYFUNCTION("""COMPUTED_VALUE"""),13416)</f>
        <v>13416</v>
      </c>
      <c r="G76">
        <f ca="1">IFERROR(__xludf.DUMMYFUNCTION("""COMPUTED_VALUE"""),44)</f>
        <v>44</v>
      </c>
    </row>
    <row r="77" spans="1:7" ht="12.75">
      <c r="A77" t="str">
        <f ca="1">IFERROR(__xludf.DUMMYFUNCTION("""COMPUTED_VALUE"""),"T75")</f>
        <v>T75</v>
      </c>
      <c r="B77" t="str">
        <f ca="1">IFERROR(__xludf.DUMMYFUNCTION("""COMPUTED_VALUE"""),"T72")</f>
        <v>T72</v>
      </c>
      <c r="C77" t="str">
        <f ca="1">IFERROR(__xludf.DUMMYFUNCTION("""COMPUTED_VALUE"""),"Xander Schauffele")</f>
        <v>Xander Schauffele</v>
      </c>
      <c r="D77">
        <f ca="1">IFERROR(__xludf.DUMMYFUNCTION("""COMPUTED_VALUE"""),12)</f>
        <v>12</v>
      </c>
      <c r="E77">
        <f ca="1">IFERROR(__xludf.DUMMYFUNCTION("""COMPUTED_VALUE"""),304.9)</f>
        <v>304.89999999999998</v>
      </c>
      <c r="F77" s="1">
        <f ca="1">IFERROR(__xludf.DUMMYFUNCTION("""COMPUTED_VALUE"""),7317)</f>
        <v>7317</v>
      </c>
      <c r="G77">
        <f ca="1">IFERROR(__xludf.DUMMYFUNCTION("""COMPUTED_VALUE"""),24)</f>
        <v>24</v>
      </c>
    </row>
    <row r="78" spans="1:7" ht="12.75">
      <c r="A78" t="str">
        <f ca="1">IFERROR(__xludf.DUMMYFUNCTION("""COMPUTED_VALUE"""),"T75")</f>
        <v>T75</v>
      </c>
      <c r="B78" t="str">
        <f ca="1">IFERROR(__xludf.DUMMYFUNCTION("""COMPUTED_VALUE"""),"T94")</f>
        <v>T94</v>
      </c>
      <c r="C78" t="str">
        <f ca="1">IFERROR(__xludf.DUMMYFUNCTION("""COMPUTED_VALUE"""),"Maverick McNealy")</f>
        <v>Maverick McNealy</v>
      </c>
      <c r="D78">
        <f ca="1">IFERROR(__xludf.DUMMYFUNCTION("""COMPUTED_VALUE"""),16)</f>
        <v>16</v>
      </c>
      <c r="E78">
        <f ca="1">IFERROR(__xludf.DUMMYFUNCTION("""COMPUTED_VALUE"""),304.9)</f>
        <v>304.89999999999998</v>
      </c>
      <c r="F78" s="1">
        <f ca="1">IFERROR(__xludf.DUMMYFUNCTION("""COMPUTED_VALUE"""),9757)</f>
        <v>9757</v>
      </c>
      <c r="G78">
        <f ca="1">IFERROR(__xludf.DUMMYFUNCTION("""COMPUTED_VALUE"""),32)</f>
        <v>32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IFERROR(__xludf.DUMMYFUNCTION("""COMPUTED_VALUE"""),"T87")</f>
        <v>T87</v>
      </c>
      <c r="C79" t="str">
        <f ca="1">IFERROR(__xludf.DUMMYFUNCTION("""COMPUTED_VALUE"""),"Ollie Schniederjans")</f>
        <v>Ollie Schniederjans</v>
      </c>
      <c r="D79">
        <f ca="1">IFERROR(__xludf.DUMMYFUNCTION("""COMPUTED_VALUE"""),6)</f>
        <v>6</v>
      </c>
      <c r="E79">
        <f ca="1">IFERROR(__xludf.DUMMYFUNCTION("""COMPUTED_VALUE"""),304.8)</f>
        <v>304.8</v>
      </c>
      <c r="F79" s="1">
        <f ca="1">IFERROR(__xludf.DUMMYFUNCTION("""COMPUTED_VALUE"""),3657)</f>
        <v>3657</v>
      </c>
      <c r="G79">
        <f ca="1">IFERROR(__xludf.DUMMYFUNCTION("""COMPUTED_VALUE"""),12)</f>
        <v>12</v>
      </c>
    </row>
    <row r="80" spans="1:7" ht="12.75">
      <c r="A80" t="str">
        <f ca="1">IFERROR(__xludf.DUMMYFUNCTION("""COMPUTED_VALUE"""),"T78")</f>
        <v>T78</v>
      </c>
      <c r="B80">
        <f ca="1">IFERROR(__xludf.DUMMYFUNCTION("""COMPUTED_VALUE"""),74)</f>
        <v>74</v>
      </c>
      <c r="C80" t="str">
        <f ca="1">IFERROR(__xludf.DUMMYFUNCTION("""COMPUTED_VALUE"""),"Willy Pumarol")</f>
        <v>Willy Pumarol</v>
      </c>
      <c r="D80">
        <f ca="1">IFERROR(__xludf.DUMMYFUNCTION("""COMPUTED_VALUE"""),4)</f>
        <v>4</v>
      </c>
      <c r="E80">
        <f ca="1">IFERROR(__xludf.DUMMYFUNCTION("""COMPUTED_VALUE"""),304.8)</f>
        <v>304.8</v>
      </c>
      <c r="F80" s="1">
        <f ca="1">IFERROR(__xludf.DUMMYFUNCTION("""COMPUTED_VALUE"""),2438)</f>
        <v>2438</v>
      </c>
      <c r="G80">
        <f ca="1">IFERROR(__xludf.DUMMYFUNCTION("""COMPUTED_VALUE"""),8)</f>
        <v>8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IFERROR(__xludf.DUMMYFUNCTION("""COMPUTED_VALUE"""),"T68")</f>
        <v>T68</v>
      </c>
      <c r="C81" t="str">
        <f ca="1">IFERROR(__xludf.DUMMYFUNCTION("""COMPUTED_VALUE"""),"Sungjae Im")</f>
        <v>Sungjae Im</v>
      </c>
      <c r="D81">
        <f ca="1">IFERROR(__xludf.DUMMYFUNCTION("""COMPUTED_VALUE"""),24)</f>
        <v>24</v>
      </c>
      <c r="E81">
        <f ca="1">IFERROR(__xludf.DUMMYFUNCTION("""COMPUTED_VALUE"""),304.6)</f>
        <v>304.60000000000002</v>
      </c>
      <c r="F81" s="1">
        <f ca="1">IFERROR(__xludf.DUMMYFUNCTION("""COMPUTED_VALUE"""),14622)</f>
        <v>14622</v>
      </c>
      <c r="G81">
        <f ca="1">IFERROR(__xludf.DUMMYFUNCTION("""COMPUTED_VALUE"""),48)</f>
        <v>48</v>
      </c>
    </row>
    <row r="82" spans="1:7" ht="12.75">
      <c r="A82" t="str">
        <f ca="1">IFERROR(__xludf.DUMMYFUNCTION("""COMPUTED_VALUE"""),"T81")</f>
        <v>T81</v>
      </c>
      <c r="B82">
        <f ca="1">IFERROR(__xludf.DUMMYFUNCTION("""COMPUTED_VALUE"""),70)</f>
        <v>70</v>
      </c>
      <c r="C82" t="str">
        <f ca="1">IFERROR(__xludf.DUMMYFUNCTION("""COMPUTED_VALUE"""),"Sepp Straka")</f>
        <v>Sepp Straka</v>
      </c>
      <c r="D82">
        <f ca="1">IFERROR(__xludf.DUMMYFUNCTION("""COMPUTED_VALUE"""),22)</f>
        <v>22</v>
      </c>
      <c r="E82">
        <f ca="1">IFERROR(__xludf.DUMMYFUNCTION("""COMPUTED_VALUE"""),304.5)</f>
        <v>304.5</v>
      </c>
      <c r="F82" s="1">
        <f ca="1">IFERROR(__xludf.DUMMYFUNCTION("""COMPUTED_VALUE"""),13396)</f>
        <v>13396</v>
      </c>
      <c r="G82">
        <f ca="1">IFERROR(__xludf.DUMMYFUNCTION("""COMPUTED_VALUE"""),44)</f>
        <v>44</v>
      </c>
    </row>
    <row r="83" spans="1:7" ht="12.75">
      <c r="A83" t="str">
        <f ca="1">IFERROR(__xludf.DUMMYFUNCTION("""COMPUTED_VALUE"""),"T81")</f>
        <v>T81</v>
      </c>
      <c r="B83" t="str">
        <f ca="1">IFERROR(__xludf.DUMMYFUNCTION("""COMPUTED_VALUE"""),"T97")</f>
        <v>T97</v>
      </c>
      <c r="C83" t="str">
        <f ca="1">IFERROR(__xludf.DUMMYFUNCTION("""COMPUTED_VALUE"""),"Aaron Wise")</f>
        <v>Aaron Wise</v>
      </c>
      <c r="D83">
        <f ca="1">IFERROR(__xludf.DUMMYFUNCTION("""COMPUTED_VALUE"""),16)</f>
        <v>16</v>
      </c>
      <c r="E83">
        <f ca="1">IFERROR(__xludf.DUMMYFUNCTION("""COMPUTED_VALUE"""),304.5)</f>
        <v>304.5</v>
      </c>
      <c r="F83" s="1">
        <f ca="1">IFERROR(__xludf.DUMMYFUNCTION("""COMPUTED_VALUE"""),9743)</f>
        <v>9743</v>
      </c>
      <c r="G83">
        <f ca="1">IFERROR(__xludf.DUMMYFUNCTION("""COMPUTED_VALUE"""),32)</f>
        <v>32</v>
      </c>
    </row>
    <row r="84" spans="1:7" ht="12.75">
      <c r="A84" t="str">
        <f ca="1">IFERROR(__xludf.DUMMYFUNCTION("""COMPUTED_VALUE"""),"T83")</f>
        <v>T83</v>
      </c>
      <c r="B84">
        <f ca="1">IFERROR(__xludf.DUMMYFUNCTION("""COMPUTED_VALUE"""),54)</f>
        <v>54</v>
      </c>
      <c r="C84" t="str">
        <f ca="1">IFERROR(__xludf.DUMMYFUNCTION("""COMPUTED_VALUE"""),"Erik van Rooyen")</f>
        <v>Erik van Rooyen</v>
      </c>
      <c r="D84">
        <f ca="1">IFERROR(__xludf.DUMMYFUNCTION("""COMPUTED_VALUE"""),10)</f>
        <v>10</v>
      </c>
      <c r="E84">
        <f ca="1">IFERROR(__xludf.DUMMYFUNCTION("""COMPUTED_VALUE"""),304.4)</f>
        <v>304.39999999999998</v>
      </c>
      <c r="F84" s="1">
        <f ca="1">IFERROR(__xludf.DUMMYFUNCTION("""COMPUTED_VALUE"""),6087)</f>
        <v>6087</v>
      </c>
      <c r="G84">
        <f ca="1">IFERROR(__xludf.DUMMYFUNCTION("""COMPUTED_VALUE"""),20)</f>
        <v>20</v>
      </c>
    </row>
    <row r="85" spans="1:7" ht="12.75">
      <c r="A85" t="str">
        <f ca="1">IFERROR(__xludf.DUMMYFUNCTION("""COMPUTED_VALUE"""),"T83")</f>
        <v>T83</v>
      </c>
      <c r="B85">
        <f ca="1">IFERROR(__xludf.DUMMYFUNCTION("""COMPUTED_VALUE"""),114)</f>
        <v>114</v>
      </c>
      <c r="C85" t="str">
        <f ca="1">IFERROR(__xludf.DUMMYFUNCTION("""COMPUTED_VALUE"""),"Martin Trainer")</f>
        <v>Martin Trainer</v>
      </c>
      <c r="D85">
        <f ca="1">IFERROR(__xludf.DUMMYFUNCTION("""COMPUTED_VALUE"""),10)</f>
        <v>10</v>
      </c>
      <c r="E85">
        <f ca="1">IFERROR(__xludf.DUMMYFUNCTION("""COMPUTED_VALUE"""),304.4)</f>
        <v>304.39999999999998</v>
      </c>
      <c r="F85" s="1">
        <f ca="1">IFERROR(__xludf.DUMMYFUNCTION("""COMPUTED_VALUE"""),6087)</f>
        <v>6087</v>
      </c>
      <c r="G85">
        <f ca="1">IFERROR(__xludf.DUMMYFUNCTION("""COMPUTED_VALUE"""),20)</f>
        <v>20</v>
      </c>
    </row>
    <row r="86" spans="1:7" ht="12.75">
      <c r="A86" t="str">
        <f ca="1">IFERROR(__xludf.DUMMYFUNCTION("""COMPUTED_VALUE"""),"T83")</f>
        <v>T83</v>
      </c>
      <c r="B86" t="str">
        <f ca="1">IFERROR(__xludf.DUMMYFUNCTION("""COMPUTED_VALUE"""),"T76")</f>
        <v>T76</v>
      </c>
      <c r="C86" t="str">
        <f ca="1">IFERROR(__xludf.DUMMYFUNCTION("""COMPUTED_VALUE"""),"Stephen Stallings Jr.")</f>
        <v>Stephen Stallings Jr.</v>
      </c>
      <c r="D86">
        <f ca="1">IFERROR(__xludf.DUMMYFUNCTION("""COMPUTED_VALUE"""),4)</f>
        <v>4</v>
      </c>
      <c r="E86">
        <f ca="1">IFERROR(__xludf.DUMMYFUNCTION("""COMPUTED_VALUE"""),304.4)</f>
        <v>304.39999999999998</v>
      </c>
      <c r="F86" s="1">
        <f ca="1">IFERROR(__xludf.DUMMYFUNCTION("""COMPUTED_VALUE"""),2435)</f>
        <v>2435</v>
      </c>
      <c r="G86">
        <f ca="1">IFERROR(__xludf.DUMMYFUNCTION("""COMPUTED_VALUE"""),8)</f>
        <v>8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IFERROR(__xludf.DUMMYFUNCTION("""COMPUTED_VALUE"""),78)</f>
        <v>78</v>
      </c>
      <c r="C87" t="str">
        <f ca="1">IFERROR(__xludf.DUMMYFUNCTION("""COMPUTED_VALUE"""),"Chan Kim")</f>
        <v>Chan Kim</v>
      </c>
      <c r="D87">
        <f ca="1">IFERROR(__xludf.DUMMYFUNCTION("""COMPUTED_VALUE"""),6)</f>
        <v>6</v>
      </c>
      <c r="E87">
        <f ca="1">IFERROR(__xludf.DUMMYFUNCTION("""COMPUTED_VALUE"""),304.1)</f>
        <v>304.10000000000002</v>
      </c>
      <c r="F87" s="1">
        <f ca="1">IFERROR(__xludf.DUMMYFUNCTION("""COMPUTED_VALUE"""),3649)</f>
        <v>3649</v>
      </c>
      <c r="G87">
        <f ca="1">IFERROR(__xludf.DUMMYFUNCTION("""COMPUTED_VALUE"""),12)</f>
        <v>12</v>
      </c>
    </row>
    <row r="88" spans="1:7" ht="12.75">
      <c r="A88" t="str">
        <f ca="1">IFERROR(__xludf.DUMMYFUNCTION("""COMPUTED_VALUE"""),"T87")</f>
        <v>T87</v>
      </c>
      <c r="B88" t="str">
        <f ca="1">IFERROR(__xludf.DUMMYFUNCTION("""COMPUTED_VALUE"""),"T81")</f>
        <v>T81</v>
      </c>
      <c r="C88" t="str">
        <f ca="1">IFERROR(__xludf.DUMMYFUNCTION("""COMPUTED_VALUE"""),"Charles Howell III")</f>
        <v>Charles Howell III</v>
      </c>
      <c r="D88">
        <f ca="1">IFERROR(__xludf.DUMMYFUNCTION("""COMPUTED_VALUE"""),10)</f>
        <v>10</v>
      </c>
      <c r="E88">
        <f ca="1">IFERROR(__xludf.DUMMYFUNCTION("""COMPUTED_VALUE"""),303.7)</f>
        <v>303.7</v>
      </c>
      <c r="F88" s="1">
        <f ca="1">IFERROR(__xludf.DUMMYFUNCTION("""COMPUTED_VALUE"""),6074)</f>
        <v>6074</v>
      </c>
      <c r="G88">
        <f ca="1">IFERROR(__xludf.DUMMYFUNCTION("""COMPUTED_VALUE"""),20)</f>
        <v>20</v>
      </c>
    </row>
    <row r="89" spans="1:7" ht="12.75">
      <c r="A89" t="str">
        <f ca="1">IFERROR(__xludf.DUMMYFUNCTION("""COMPUTED_VALUE"""),"T87")</f>
        <v>T87</v>
      </c>
      <c r="B89" t="str">
        <f ca="1">IFERROR(__xludf.DUMMYFUNCTION("""COMPUTED_VALUE"""),"T81")</f>
        <v>T81</v>
      </c>
      <c r="C89" t="str">
        <f ca="1">IFERROR(__xludf.DUMMYFUNCTION("""COMPUTED_VALUE"""),"Justin Rose")</f>
        <v>Justin Rose</v>
      </c>
      <c r="D89">
        <f ca="1">IFERROR(__xludf.DUMMYFUNCTION("""COMPUTED_VALUE"""),10)</f>
        <v>10</v>
      </c>
      <c r="E89">
        <f ca="1">IFERROR(__xludf.DUMMYFUNCTION("""COMPUTED_VALUE"""),303.7)</f>
        <v>303.7</v>
      </c>
      <c r="F89" s="1">
        <f ca="1">IFERROR(__xludf.DUMMYFUNCTION("""COMPUTED_VALUE"""),6074)</f>
        <v>6074</v>
      </c>
      <c r="G89">
        <f ca="1">IFERROR(__xludf.DUMMYFUNCTION("""COMPUTED_VALUE"""),20)</f>
        <v>20</v>
      </c>
    </row>
    <row r="90" spans="1:7" ht="12.75">
      <c r="A90">
        <f ca="1">IFERROR(__xludf.DUMMYFUNCTION("""COMPUTED_VALUE"""),89)</f>
        <v>89</v>
      </c>
      <c r="B90" t="str">
        <f ca="1">IFERROR(__xludf.DUMMYFUNCTION("""COMPUTED_VALUE"""),"T85")</f>
        <v>T85</v>
      </c>
      <c r="C90" t="str">
        <f ca="1">IFERROR(__xludf.DUMMYFUNCTION("""COMPUTED_VALUE"""),"Andy Zhang")</f>
        <v>Andy Zhang</v>
      </c>
      <c r="D90">
        <f ca="1">IFERROR(__xludf.DUMMYFUNCTION("""COMPUTED_VALUE"""),4)</f>
        <v>4</v>
      </c>
      <c r="E90">
        <f ca="1">IFERROR(__xludf.DUMMYFUNCTION("""COMPUTED_VALUE"""),303.5)</f>
        <v>303.5</v>
      </c>
      <c r="F90" s="1">
        <f ca="1">IFERROR(__xludf.DUMMYFUNCTION("""COMPUTED_VALUE"""),2428)</f>
        <v>2428</v>
      </c>
      <c r="G90">
        <f ca="1">IFERROR(__xludf.DUMMYFUNCTION("""COMPUTED_VALUE"""),8)</f>
        <v>8</v>
      </c>
    </row>
    <row r="91" spans="1:7" ht="12.75">
      <c r="A91">
        <f ca="1">IFERROR(__xludf.DUMMYFUNCTION("""COMPUTED_VALUE"""),90)</f>
        <v>90</v>
      </c>
      <c r="B91" t="str">
        <f ca="1">IFERROR(__xludf.DUMMYFUNCTION("""COMPUTED_VALUE"""),"T87")</f>
        <v>T87</v>
      </c>
      <c r="C91" t="str">
        <f ca="1">IFERROR(__xludf.DUMMYFUNCTION("""COMPUTED_VALUE"""),"Romain Langasque")</f>
        <v>Romain Langasque</v>
      </c>
      <c r="D91">
        <f ca="1">IFERROR(__xludf.DUMMYFUNCTION("""COMPUTED_VALUE"""),4)</f>
        <v>4</v>
      </c>
      <c r="E91">
        <f ca="1">IFERROR(__xludf.DUMMYFUNCTION("""COMPUTED_VALUE"""),303.4)</f>
        <v>303.39999999999998</v>
      </c>
      <c r="F91" s="1">
        <f ca="1">IFERROR(__xludf.DUMMYFUNCTION("""COMPUTED_VALUE"""),2427)</f>
        <v>2427</v>
      </c>
      <c r="G91">
        <f ca="1">IFERROR(__xludf.DUMMYFUNCTION("""COMPUTED_VALUE"""),8)</f>
        <v>8</v>
      </c>
    </row>
    <row r="92" spans="1:7" ht="12.75">
      <c r="A92">
        <f ca="1">IFERROR(__xludf.DUMMYFUNCTION("""COMPUTED_VALUE"""),91)</f>
        <v>91</v>
      </c>
      <c r="B92" t="str">
        <f ca="1">IFERROR(__xludf.DUMMYFUNCTION("""COMPUTED_VALUE"""),"T85")</f>
        <v>T85</v>
      </c>
      <c r="C92" t="str">
        <f ca="1">IFERROR(__xludf.DUMMYFUNCTION("""COMPUTED_VALUE"""),"Keith Mitchell")</f>
        <v>Keith Mitchell</v>
      </c>
      <c r="D92">
        <f ca="1">IFERROR(__xludf.DUMMYFUNCTION("""COMPUTED_VALUE"""),14)</f>
        <v>14</v>
      </c>
      <c r="E92">
        <f ca="1">IFERROR(__xludf.DUMMYFUNCTION("""COMPUTED_VALUE"""),303.3)</f>
        <v>303.3</v>
      </c>
      <c r="F92" s="1">
        <f ca="1">IFERROR(__xludf.DUMMYFUNCTION("""COMPUTED_VALUE"""),8491)</f>
        <v>8491</v>
      </c>
      <c r="G92">
        <f ca="1">IFERROR(__xludf.DUMMYFUNCTION("""COMPUTED_VALUE"""),28)</f>
        <v>28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IFERROR(__xludf.DUMMYFUNCTION("""COMPUTED_VALUE"""),91)</f>
        <v>91</v>
      </c>
      <c r="C93" t="str">
        <f ca="1">IFERROR(__xludf.DUMMYFUNCTION("""COMPUTED_VALUE"""),"Patrick Cantlay")</f>
        <v>Patrick Cantlay</v>
      </c>
      <c r="D93">
        <f ca="1">IFERROR(__xludf.DUMMYFUNCTION("""COMPUTED_VALUE"""),16)</f>
        <v>16</v>
      </c>
      <c r="E93">
        <f ca="1">IFERROR(__xludf.DUMMYFUNCTION("""COMPUTED_VALUE"""),303.1)</f>
        <v>303.10000000000002</v>
      </c>
      <c r="F93" s="1">
        <f ca="1">IFERROR(__xludf.DUMMYFUNCTION("""COMPUTED_VALUE"""),9698)</f>
        <v>9698</v>
      </c>
      <c r="G93">
        <f ca="1">IFERROR(__xludf.DUMMYFUNCTION("""COMPUTED_VALUE"""),32)</f>
        <v>32</v>
      </c>
    </row>
    <row r="94" spans="1:7" ht="12.75">
      <c r="A94" t="str">
        <f ca="1">IFERROR(__xludf.DUMMYFUNCTION("""COMPUTED_VALUE"""),"T93")</f>
        <v>T93</v>
      </c>
      <c r="B94">
        <f ca="1">IFERROR(__xludf.DUMMYFUNCTION("""COMPUTED_VALUE"""),99)</f>
        <v>99</v>
      </c>
      <c r="C94" t="str">
        <f ca="1">IFERROR(__xludf.DUMMYFUNCTION("""COMPUTED_VALUE"""),"Lanto Griffin")</f>
        <v>Lanto Griffin</v>
      </c>
      <c r="D94">
        <f ca="1">IFERROR(__xludf.DUMMYFUNCTION("""COMPUTED_VALUE"""),18)</f>
        <v>18</v>
      </c>
      <c r="E94">
        <f ca="1">IFERROR(__xludf.DUMMYFUNCTION("""COMPUTED_VALUE"""),302.8)</f>
        <v>302.8</v>
      </c>
      <c r="F94" s="1">
        <f ca="1">IFERROR(__xludf.DUMMYFUNCTION("""COMPUTED_VALUE"""),10901)</f>
        <v>10901</v>
      </c>
      <c r="G94">
        <f ca="1">IFERROR(__xludf.DUMMYFUNCTION("""COMPUTED_VALUE"""),36)</f>
        <v>36</v>
      </c>
    </row>
    <row r="95" spans="1:7" ht="12.75">
      <c r="A95" t="str">
        <f ca="1">IFERROR(__xludf.DUMMYFUNCTION("""COMPUTED_VALUE"""),"T93")</f>
        <v>T93</v>
      </c>
      <c r="B95">
        <f ca="1">IFERROR(__xludf.DUMMYFUNCTION("""COMPUTED_VALUE"""),79)</f>
        <v>79</v>
      </c>
      <c r="C95" t="str">
        <f ca="1">IFERROR(__xludf.DUMMYFUNCTION("""COMPUTED_VALUE"""),"Charl Schwartzel")</f>
        <v>Charl Schwartzel</v>
      </c>
      <c r="D95">
        <f ca="1">IFERROR(__xludf.DUMMYFUNCTION("""COMPUTED_VALUE"""),12)</f>
        <v>12</v>
      </c>
      <c r="E95">
        <f ca="1">IFERROR(__xludf.DUMMYFUNCTION("""COMPUTED_VALUE"""),302.8)</f>
        <v>302.8</v>
      </c>
      <c r="F95" s="1">
        <f ca="1">IFERROR(__xludf.DUMMYFUNCTION("""COMPUTED_VALUE"""),7268)</f>
        <v>7268</v>
      </c>
      <c r="G95">
        <f ca="1">IFERROR(__xludf.DUMMYFUNCTION("""COMPUTED_VALUE"""),24)</f>
        <v>24</v>
      </c>
    </row>
    <row r="96" spans="1:7" ht="12.75">
      <c r="A96">
        <f ca="1">IFERROR(__xludf.DUMMYFUNCTION("""COMPUTED_VALUE"""),95)</f>
        <v>95</v>
      </c>
      <c r="B96" t="str">
        <f ca="1">IFERROR(__xludf.DUMMYFUNCTION("""COMPUTED_VALUE"""),"T94")</f>
        <v>T94</v>
      </c>
      <c r="C96" t="str">
        <f ca="1">IFERROR(__xludf.DUMMYFUNCTION("""COMPUTED_VALUE"""),"Tom Lewis")</f>
        <v>Tom Lewis</v>
      </c>
      <c r="D96">
        <f ca="1">IFERROR(__xludf.DUMMYFUNCTION("""COMPUTED_VALUE"""),12)</f>
        <v>12</v>
      </c>
      <c r="E96">
        <f ca="1">IFERROR(__xludf.DUMMYFUNCTION("""COMPUTED_VALUE"""),302.6)</f>
        <v>302.60000000000002</v>
      </c>
      <c r="F96" s="1">
        <f ca="1">IFERROR(__xludf.DUMMYFUNCTION("""COMPUTED_VALUE"""),7262)</f>
        <v>7262</v>
      </c>
      <c r="G96">
        <f ca="1">IFERROR(__xludf.DUMMYFUNCTION("""COMPUTED_VALUE"""),24)</f>
        <v>24</v>
      </c>
    </row>
    <row r="97" spans="1:7" ht="12.75">
      <c r="A97" t="str">
        <f ca="1">IFERROR(__xludf.DUMMYFUNCTION("""COMPUTED_VALUE"""),"T96")</f>
        <v>T96</v>
      </c>
      <c r="B97">
        <f ca="1">IFERROR(__xludf.DUMMYFUNCTION("""COMPUTED_VALUE"""),92)</f>
        <v>92</v>
      </c>
      <c r="C97" t="str">
        <f ca="1">IFERROR(__xludf.DUMMYFUNCTION("""COMPUTED_VALUE"""),"Keegan Bradley")</f>
        <v>Keegan Bradley</v>
      </c>
      <c r="D97">
        <f ca="1">IFERROR(__xludf.DUMMYFUNCTION("""COMPUTED_VALUE"""),16)</f>
        <v>16</v>
      </c>
      <c r="E97">
        <f ca="1">IFERROR(__xludf.DUMMYFUNCTION("""COMPUTED_VALUE"""),302.5)</f>
        <v>302.5</v>
      </c>
      <c r="F97" s="1">
        <f ca="1">IFERROR(__xludf.DUMMYFUNCTION("""COMPUTED_VALUE"""),9679)</f>
        <v>9679</v>
      </c>
      <c r="G97">
        <f ca="1">IFERROR(__xludf.DUMMYFUNCTION("""COMPUTED_VALUE"""),32)</f>
        <v>32</v>
      </c>
    </row>
    <row r="98" spans="1:7" ht="12.75">
      <c r="A98" t="str">
        <f ca="1">IFERROR(__xludf.DUMMYFUNCTION("""COMPUTED_VALUE"""),"T96")</f>
        <v>T96</v>
      </c>
      <c r="B98" t="str">
        <f ca="1">IFERROR(__xludf.DUMMYFUNCTION("""COMPUTED_VALUE"""),"T111")</f>
        <v>T111</v>
      </c>
      <c r="C98" t="str">
        <f ca="1">IFERROR(__xludf.DUMMYFUNCTION("""COMPUTED_VALUE"""),"Graham DeLaet")</f>
        <v>Graham DeLaet</v>
      </c>
      <c r="D98">
        <f ca="1">IFERROR(__xludf.DUMMYFUNCTION("""COMPUTED_VALUE"""),9)</f>
        <v>9</v>
      </c>
      <c r="E98">
        <f ca="1">IFERROR(__xludf.DUMMYFUNCTION("""COMPUTED_VALUE"""),302.5)</f>
        <v>302.5</v>
      </c>
      <c r="F98" s="1">
        <f ca="1">IFERROR(__xludf.DUMMYFUNCTION("""COMPUTED_VALUE"""),5445)</f>
        <v>5445</v>
      </c>
      <c r="G98">
        <f ca="1">IFERROR(__xludf.DUMMYFUNCTION("""COMPUTED_VALUE"""),18)</f>
        <v>18</v>
      </c>
    </row>
    <row r="99" spans="1:7" ht="12.75">
      <c r="A99" t="str">
        <f ca="1">IFERROR(__xludf.DUMMYFUNCTION("""COMPUTED_VALUE"""),"T96")</f>
        <v>T96</v>
      </c>
      <c r="B99">
        <f ca="1">IFERROR(__xludf.DUMMYFUNCTION("""COMPUTED_VALUE"""),93)</f>
        <v>93</v>
      </c>
      <c r="C99" t="str">
        <f ca="1">IFERROR(__xludf.DUMMYFUNCTION("""COMPUTED_VALUE"""),"Tommy Fleetwood")</f>
        <v>Tommy Fleetwood</v>
      </c>
      <c r="D99">
        <f ca="1">IFERROR(__xludf.DUMMYFUNCTION("""COMPUTED_VALUE"""),10)</f>
        <v>10</v>
      </c>
      <c r="E99">
        <f ca="1">IFERROR(__xludf.DUMMYFUNCTION("""COMPUTED_VALUE"""),302.5)</f>
        <v>302.5</v>
      </c>
      <c r="F99" s="1">
        <f ca="1">IFERROR(__xludf.DUMMYFUNCTION("""COMPUTED_VALUE"""),6049)</f>
        <v>6049</v>
      </c>
      <c r="G99">
        <f ca="1">IFERROR(__xludf.DUMMYFUNCTION("""COMPUTED_VALUE"""),20)</f>
        <v>20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IFERROR(__xludf.DUMMYFUNCTION("""COMPUTED_VALUE"""),"T100")</f>
        <v>T100</v>
      </c>
      <c r="C100" t="str">
        <f ca="1">IFERROR(__xludf.DUMMYFUNCTION("""COMPUTED_VALUE"""),"Si Woo Kim")</f>
        <v>Si Woo Kim</v>
      </c>
      <c r="D100">
        <f ca="1">IFERROR(__xludf.DUMMYFUNCTION("""COMPUTED_VALUE"""),20)</f>
        <v>20</v>
      </c>
      <c r="E100">
        <f ca="1">IFERROR(__xludf.DUMMYFUNCTION("""COMPUTED_VALUE"""),302.4)</f>
        <v>302.39999999999998</v>
      </c>
      <c r="F100" s="1">
        <f ca="1">IFERROR(__xludf.DUMMYFUNCTION("""COMPUTED_VALUE"""),12095)</f>
        <v>12095</v>
      </c>
      <c r="G100">
        <f ca="1">IFERROR(__xludf.DUMMYFUNCTION("""COMPUTED_VALUE"""),40)</f>
        <v>40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IFERROR(__xludf.DUMMYFUNCTION("""COMPUTED_VALUE"""),"T111")</f>
        <v>T111</v>
      </c>
      <c r="C101" t="str">
        <f ca="1">IFERROR(__xludf.DUMMYFUNCTION("""COMPUTED_VALUE"""),"Robby Shelton")</f>
        <v>Robby Shelton</v>
      </c>
      <c r="D101">
        <f ca="1">IFERROR(__xludf.DUMMYFUNCTION("""COMPUTED_VALUE"""),14)</f>
        <v>14</v>
      </c>
      <c r="E101">
        <f ca="1">IFERROR(__xludf.DUMMYFUNCTION("""COMPUTED_VALUE"""),302.3)</f>
        <v>302.3</v>
      </c>
      <c r="F101" s="1">
        <f ca="1">IFERROR(__xludf.DUMMYFUNCTION("""COMPUTED_VALUE"""),8465)</f>
        <v>8465</v>
      </c>
      <c r="G101">
        <f ca="1">IFERROR(__xludf.DUMMYFUNCTION("""COMPUTED_VALUE"""),28)</f>
        <v>28</v>
      </c>
    </row>
    <row r="102" spans="1:7" ht="12.75">
      <c r="A102">
        <f ca="1">IFERROR(__xludf.DUMMYFUNCTION("""COMPUTED_VALUE"""),101)</f>
        <v>101</v>
      </c>
      <c r="B102" t="str">
        <f ca="1">IFERROR(__xludf.DUMMYFUNCTION("""COMPUTED_VALUE"""),"T111")</f>
        <v>T111</v>
      </c>
      <c r="C102" t="str">
        <f ca="1">IFERROR(__xludf.DUMMYFUNCTION("""COMPUTED_VALUE"""),"Talor Gooch")</f>
        <v>Talor Gooch</v>
      </c>
      <c r="D102">
        <f ca="1">IFERROR(__xludf.DUMMYFUNCTION("""COMPUTED_VALUE"""),20)</f>
        <v>20</v>
      </c>
      <c r="E102">
        <f ca="1">IFERROR(__xludf.DUMMYFUNCTION("""COMPUTED_VALUE"""),302.1)</f>
        <v>302.10000000000002</v>
      </c>
      <c r="F102" s="1">
        <f ca="1">IFERROR(__xludf.DUMMYFUNCTION("""COMPUTED_VALUE"""),12084)</f>
        <v>12084</v>
      </c>
      <c r="G102">
        <f ca="1">IFERROR(__xludf.DUMMYFUNCTION("""COMPUTED_VALUE"""),40)</f>
        <v>40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IFERROR(__xludf.DUMMYFUNCTION("""COMPUTED_VALUE"""),"T97")</f>
        <v>T97</v>
      </c>
      <c r="C103" t="str">
        <f ca="1">IFERROR(__xludf.DUMMYFUNCTION("""COMPUTED_VALUE"""),"Brendan Steele")</f>
        <v>Brendan Steele</v>
      </c>
      <c r="D103">
        <f ca="1">IFERROR(__xludf.DUMMYFUNCTION("""COMPUTED_VALUE"""),14)</f>
        <v>14</v>
      </c>
      <c r="E103">
        <f ca="1">IFERROR(__xludf.DUMMYFUNCTION("""COMPUTED_VALUE"""),302)</f>
        <v>302</v>
      </c>
      <c r="F103" s="1">
        <f ca="1">IFERROR(__xludf.DUMMYFUNCTION("""COMPUTED_VALUE"""),8457)</f>
        <v>8457</v>
      </c>
      <c r="G103">
        <f ca="1">IFERROR(__xludf.DUMMYFUNCTION("""COMPUTED_VALUE"""),28)</f>
        <v>28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IFERROR(__xludf.DUMMYFUNCTION("""COMPUTED_VALUE"""),"T100")</f>
        <v>T100</v>
      </c>
      <c r="C104" t="str">
        <f ca="1">IFERROR(__xludf.DUMMYFUNCTION("""COMPUTED_VALUE"""),"Christiaan Bezuidenhout")</f>
        <v>Christiaan Bezuidenhout</v>
      </c>
      <c r="D104">
        <f ca="1">IFERROR(__xludf.DUMMYFUNCTION("""COMPUTED_VALUE"""),4)</f>
        <v>4</v>
      </c>
      <c r="E104">
        <f ca="1">IFERROR(__xludf.DUMMYFUNCTION("""COMPUTED_VALUE"""),301.8)</f>
        <v>301.8</v>
      </c>
      <c r="F104" s="1">
        <f ca="1">IFERROR(__xludf.DUMMYFUNCTION("""COMPUTED_VALUE"""),2414)</f>
        <v>2414</v>
      </c>
      <c r="G104">
        <f ca="1">IFERROR(__xludf.DUMMYFUNCTION("""COMPUTED_VALUE"""),8)</f>
        <v>8</v>
      </c>
    </row>
    <row r="105" spans="1:7" ht="12.75">
      <c r="A105" t="str">
        <f ca="1">IFERROR(__xludf.DUMMYFUNCTION("""COMPUTED_VALUE"""),"T103")</f>
        <v>T103</v>
      </c>
      <c r="B105" t="str">
        <f ca="1">IFERROR(__xludf.DUMMYFUNCTION("""COMPUTED_VALUE"""),"T100")</f>
        <v>T100</v>
      </c>
      <c r="C105" t="str">
        <f ca="1">IFERROR(__xludf.DUMMYFUNCTION("""COMPUTED_VALUE"""),"Thomas Detry")</f>
        <v>Thomas Detry</v>
      </c>
      <c r="D105">
        <f ca="1">IFERROR(__xludf.DUMMYFUNCTION("""COMPUTED_VALUE"""),8)</f>
        <v>8</v>
      </c>
      <c r="E105">
        <f ca="1">IFERROR(__xludf.DUMMYFUNCTION("""COMPUTED_VALUE"""),301.8)</f>
        <v>301.8</v>
      </c>
      <c r="F105" s="1">
        <f ca="1">IFERROR(__xludf.DUMMYFUNCTION("""COMPUTED_VALUE"""),4829)</f>
        <v>4829</v>
      </c>
      <c r="G105">
        <f ca="1">IFERROR(__xludf.DUMMYFUNCTION("""COMPUTED_VALUE"""),16)</f>
        <v>16</v>
      </c>
    </row>
    <row r="106" spans="1:7" ht="12.75">
      <c r="A106" t="str">
        <f ca="1">IFERROR(__xludf.DUMMYFUNCTION("""COMPUTED_VALUE"""),"T103")</f>
        <v>T103</v>
      </c>
      <c r="B106" t="str">
        <f ca="1">IFERROR(__xludf.DUMMYFUNCTION("""COMPUTED_VALUE"""),"T122")</f>
        <v>T122</v>
      </c>
      <c r="C106" t="str">
        <f ca="1">IFERROR(__xludf.DUMMYFUNCTION("""COMPUTED_VALUE"""),"Carlos Ortiz")</f>
        <v>Carlos Ortiz</v>
      </c>
      <c r="D106">
        <f ca="1">IFERROR(__xludf.DUMMYFUNCTION("""COMPUTED_VALUE"""),20)</f>
        <v>20</v>
      </c>
      <c r="E106">
        <f ca="1">IFERROR(__xludf.DUMMYFUNCTION("""COMPUTED_VALUE"""),301.8)</f>
        <v>301.8</v>
      </c>
      <c r="F106" s="1">
        <f ca="1">IFERROR(__xludf.DUMMYFUNCTION("""COMPUTED_VALUE"""),12071)</f>
        <v>12071</v>
      </c>
      <c r="G106">
        <f ca="1">IFERROR(__xludf.DUMMYFUNCTION("""COMPUTED_VALUE"""),40)</f>
        <v>40</v>
      </c>
    </row>
    <row r="107" spans="1:7" ht="12.75">
      <c r="A107" t="str">
        <f ca="1">IFERROR(__xludf.DUMMYFUNCTION("""COMPUTED_VALUE"""),"T106")</f>
        <v>T106</v>
      </c>
      <c r="B107">
        <f ca="1">IFERROR(__xludf.DUMMYFUNCTION("""COMPUTED_VALUE"""),103)</f>
        <v>103</v>
      </c>
      <c r="C107" t="str">
        <f ca="1">IFERROR(__xludf.DUMMYFUNCTION("""COMPUTED_VALUE"""),"Bud Cauley")</f>
        <v>Bud Cauley</v>
      </c>
      <c r="D107">
        <f ca="1">IFERROR(__xludf.DUMMYFUNCTION("""COMPUTED_VALUE"""),4)</f>
        <v>4</v>
      </c>
      <c r="E107">
        <f ca="1">IFERROR(__xludf.DUMMYFUNCTION("""COMPUTED_VALUE"""),301.6)</f>
        <v>301.60000000000002</v>
      </c>
      <c r="F107" s="1">
        <f ca="1">IFERROR(__xludf.DUMMYFUNCTION("""COMPUTED_VALUE"""),2413)</f>
        <v>2413</v>
      </c>
      <c r="G107">
        <f ca="1">IFERROR(__xludf.DUMMYFUNCTION("""COMPUTED_VALUE"""),8)</f>
        <v>8</v>
      </c>
    </row>
    <row r="108" spans="1:7" ht="12.75">
      <c r="A108" t="str">
        <f ca="1">IFERROR(__xludf.DUMMYFUNCTION("""COMPUTED_VALUE"""),"T106")</f>
        <v>T106</v>
      </c>
      <c r="B108">
        <f ca="1">IFERROR(__xludf.DUMMYFUNCTION("""COMPUTED_VALUE"""),104)</f>
        <v>104</v>
      </c>
      <c r="C108" t="str">
        <f ca="1">IFERROR(__xludf.DUMMYFUNCTION("""COMPUTED_VALUE"""),"Hideki Matsuyama")</f>
        <v>Hideki Matsuyama</v>
      </c>
      <c r="D108">
        <f ca="1">IFERROR(__xludf.DUMMYFUNCTION("""COMPUTED_VALUE"""),18)</f>
        <v>18</v>
      </c>
      <c r="E108">
        <f ca="1">IFERROR(__xludf.DUMMYFUNCTION("""COMPUTED_VALUE"""),301.6)</f>
        <v>301.60000000000002</v>
      </c>
      <c r="F108" s="1">
        <f ca="1">IFERROR(__xludf.DUMMYFUNCTION("""COMPUTED_VALUE"""),10857)</f>
        <v>10857</v>
      </c>
      <c r="G108">
        <f ca="1">IFERROR(__xludf.DUMMYFUNCTION("""COMPUTED_VALUE"""),36)</f>
        <v>36</v>
      </c>
    </row>
    <row r="109" spans="1:7" ht="12.75">
      <c r="A109" t="str">
        <f ca="1">IFERROR(__xludf.DUMMYFUNCTION("""COMPUTED_VALUE"""),"T108")</f>
        <v>T108</v>
      </c>
      <c r="B109">
        <f ca="1">IFERROR(__xludf.DUMMYFUNCTION("""COMPUTED_VALUE"""),105)</f>
        <v>105</v>
      </c>
      <c r="C109" t="str">
        <f ca="1">IFERROR(__xludf.DUMMYFUNCTION("""COMPUTED_VALUE"""),"Justin Thomas")</f>
        <v>Justin Thomas</v>
      </c>
      <c r="D109">
        <f ca="1">IFERROR(__xludf.DUMMYFUNCTION("""COMPUTED_VALUE"""),12)</f>
        <v>12</v>
      </c>
      <c r="E109">
        <f ca="1">IFERROR(__xludf.DUMMYFUNCTION("""COMPUTED_VALUE"""),301.3)</f>
        <v>301.3</v>
      </c>
      <c r="F109" s="1">
        <f ca="1">IFERROR(__xludf.DUMMYFUNCTION("""COMPUTED_VALUE"""),7231)</f>
        <v>7231</v>
      </c>
      <c r="G109">
        <f ca="1">IFERROR(__xludf.DUMMYFUNCTION("""COMPUTED_VALUE"""),24)</f>
        <v>24</v>
      </c>
    </row>
    <row r="110" spans="1:7" ht="12.75">
      <c r="A110" t="str">
        <f ca="1">IFERROR(__xludf.DUMMYFUNCTION("""COMPUTED_VALUE"""),"T108")</f>
        <v>T108</v>
      </c>
      <c r="B110" t="str">
        <f ca="1">IFERROR(__xludf.DUMMYFUNCTION("""COMPUTED_VALUE"""),"T76")</f>
        <v>T76</v>
      </c>
      <c r="C110" t="str">
        <f ca="1">IFERROR(__xludf.DUMMYFUNCTION("""COMPUTED_VALUE"""),"John Huh")</f>
        <v>John Huh</v>
      </c>
      <c r="D110">
        <f ca="1">IFERROR(__xludf.DUMMYFUNCTION("""COMPUTED_VALUE"""),8)</f>
        <v>8</v>
      </c>
      <c r="E110">
        <f ca="1">IFERROR(__xludf.DUMMYFUNCTION("""COMPUTED_VALUE"""),301.3)</f>
        <v>301.3</v>
      </c>
      <c r="F110" s="1">
        <f ca="1">IFERROR(__xludf.DUMMYFUNCTION("""COMPUTED_VALUE"""),4820)</f>
        <v>4820</v>
      </c>
      <c r="G110">
        <f ca="1">IFERROR(__xludf.DUMMYFUNCTION("""COMPUTED_VALUE"""),16)</f>
        <v>16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IFERROR(__xludf.DUMMYFUNCTION("""COMPUTED_VALUE"""),"T107")</f>
        <v>T107</v>
      </c>
      <c r="C111" t="str">
        <f ca="1">IFERROR(__xludf.DUMMYFUNCTION("""COMPUTED_VALUE"""),"Adam Schenk")</f>
        <v>Adam Schenk</v>
      </c>
      <c r="D111">
        <f ca="1">IFERROR(__xludf.DUMMYFUNCTION("""COMPUTED_VALUE"""),22)</f>
        <v>22</v>
      </c>
      <c r="E111">
        <f ca="1">IFERROR(__xludf.DUMMYFUNCTION("""COMPUTED_VALUE"""),301.1)</f>
        <v>301.10000000000002</v>
      </c>
      <c r="F111" s="1">
        <f ca="1">IFERROR(__xludf.DUMMYFUNCTION("""COMPUTED_VALUE"""),13248)</f>
        <v>13248</v>
      </c>
      <c r="G111">
        <f ca="1">IFERROR(__xludf.DUMMYFUNCTION("""COMPUTED_VALUE"""),44)</f>
        <v>44</v>
      </c>
    </row>
    <row r="112" spans="1:7" ht="12.75">
      <c r="A112">
        <f ca="1">IFERROR(__xludf.DUMMYFUNCTION("""COMPUTED_VALUE"""),111)</f>
        <v>111</v>
      </c>
      <c r="B112">
        <f ca="1">IFERROR(__xludf.DUMMYFUNCTION("""COMPUTED_VALUE"""),106)</f>
        <v>106</v>
      </c>
      <c r="C112" t="str">
        <f ca="1">IFERROR(__xludf.DUMMYFUNCTION("""COMPUTED_VALUE"""),"Harry Higgs")</f>
        <v>Harry Higgs</v>
      </c>
      <c r="D112">
        <f ca="1">IFERROR(__xludf.DUMMYFUNCTION("""COMPUTED_VALUE"""),14)</f>
        <v>14</v>
      </c>
      <c r="E112">
        <f ca="1">IFERROR(__xludf.DUMMYFUNCTION("""COMPUTED_VALUE"""),300.9)</f>
        <v>300.89999999999998</v>
      </c>
      <c r="F112" s="1">
        <f ca="1">IFERROR(__xludf.DUMMYFUNCTION("""COMPUTED_VALUE"""),8424)</f>
        <v>8424</v>
      </c>
      <c r="G112">
        <f ca="1">IFERROR(__xludf.DUMMYFUNCTION("""COMPUTED_VALUE"""),28)</f>
        <v>28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IFERROR(__xludf.DUMMYFUNCTION("""COMPUTED_VALUE"""),"T107")</f>
        <v>T107</v>
      </c>
      <c r="C113" t="str">
        <f ca="1">IFERROR(__xludf.DUMMYFUNCTION("""COMPUTED_VALUE"""),"Hanbyeol Kim")</f>
        <v>Hanbyeol Kim</v>
      </c>
      <c r="D113">
        <f ca="1">IFERROR(__xludf.DUMMYFUNCTION("""COMPUTED_VALUE"""),4)</f>
        <v>4</v>
      </c>
      <c r="E113">
        <f ca="1">IFERROR(__xludf.DUMMYFUNCTION("""COMPUTED_VALUE"""),300.8)</f>
        <v>300.8</v>
      </c>
      <c r="F113" s="1">
        <f ca="1">IFERROR(__xludf.DUMMYFUNCTION("""COMPUTED_VALUE"""),2406)</f>
        <v>2406</v>
      </c>
      <c r="G113">
        <f ca="1">IFERROR(__xludf.DUMMYFUNCTION("""COMPUTED_VALUE"""),8)</f>
        <v>8</v>
      </c>
    </row>
    <row r="114" spans="1:7" ht="12.75">
      <c r="A114" t="str">
        <f ca="1">IFERROR(__xludf.DUMMYFUNCTION("""COMPUTED_VALUE"""),"T112")</f>
        <v>T112</v>
      </c>
      <c r="B114" t="str">
        <f ca="1">IFERROR(__xludf.DUMMYFUNCTION("""COMPUTED_VALUE"""),"T107")</f>
        <v>T107</v>
      </c>
      <c r="C114" t="str">
        <f ca="1">IFERROR(__xludf.DUMMYFUNCTION("""COMPUTED_VALUE"""),"Nick Watney")</f>
        <v>Nick Watney</v>
      </c>
      <c r="D114">
        <f ca="1">IFERROR(__xludf.DUMMYFUNCTION("""COMPUTED_VALUE"""),10)</f>
        <v>10</v>
      </c>
      <c r="E114">
        <f ca="1">IFERROR(__xludf.DUMMYFUNCTION("""COMPUTED_VALUE"""),300.8)</f>
        <v>300.8</v>
      </c>
      <c r="F114" s="1">
        <f ca="1">IFERROR(__xludf.DUMMYFUNCTION("""COMPUTED_VALUE"""),6016)</f>
        <v>6016</v>
      </c>
      <c r="G114">
        <f ca="1">IFERROR(__xludf.DUMMYFUNCTION("""COMPUTED_VALUE"""),20)</f>
        <v>20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IFERROR(__xludf.DUMMYFUNCTION("""COMPUTED_VALUE"""),110)</f>
        <v>110</v>
      </c>
      <c r="C115" t="str">
        <f ca="1">IFERROR(__xludf.DUMMYFUNCTION("""COMPUTED_VALUE"""),"Joel Dahmen")</f>
        <v>Joel Dahmen</v>
      </c>
      <c r="D115">
        <f ca="1">IFERROR(__xludf.DUMMYFUNCTION("""COMPUTED_VALUE"""),18)</f>
        <v>18</v>
      </c>
      <c r="E115">
        <f ca="1">IFERROR(__xludf.DUMMYFUNCTION("""COMPUTED_VALUE"""),300.7)</f>
        <v>300.7</v>
      </c>
      <c r="F115" s="1">
        <f ca="1">IFERROR(__xludf.DUMMYFUNCTION("""COMPUTED_VALUE"""),10826)</f>
        <v>10826</v>
      </c>
      <c r="G115">
        <f ca="1">IFERROR(__xludf.DUMMYFUNCTION("""COMPUTED_VALUE"""),36)</f>
        <v>36</v>
      </c>
    </row>
    <row r="116" spans="1:7" ht="12.75">
      <c r="A116" t="str">
        <f ca="1">IFERROR(__xludf.DUMMYFUNCTION("""COMPUTED_VALUE"""),"T115")</f>
        <v>T115</v>
      </c>
      <c r="B116">
        <f ca="1">IFERROR(__xludf.DUMMYFUNCTION("""COMPUTED_VALUE"""),134)</f>
        <v>134</v>
      </c>
      <c r="C116" t="str">
        <f ca="1">IFERROR(__xludf.DUMMYFUNCTION("""COMPUTED_VALUE"""),"Corey Conners")</f>
        <v>Corey Conners</v>
      </c>
      <c r="D116">
        <f ca="1">IFERROR(__xludf.DUMMYFUNCTION("""COMPUTED_VALUE"""),20)</f>
        <v>20</v>
      </c>
      <c r="E116">
        <f ca="1">IFERROR(__xludf.DUMMYFUNCTION("""COMPUTED_VALUE"""),300.6)</f>
        <v>300.60000000000002</v>
      </c>
      <c r="F116" s="1">
        <f ca="1">IFERROR(__xludf.DUMMYFUNCTION("""COMPUTED_VALUE"""),12023)</f>
        <v>12023</v>
      </c>
      <c r="G116">
        <f ca="1">IFERROR(__xludf.DUMMYFUNCTION("""COMPUTED_VALUE"""),40)</f>
        <v>40</v>
      </c>
    </row>
    <row r="117" spans="1:7" ht="12.75">
      <c r="A117" t="str">
        <f ca="1">IFERROR(__xludf.DUMMYFUNCTION("""COMPUTED_VALUE"""),"T115")</f>
        <v>T115</v>
      </c>
      <c r="B117">
        <f ca="1">IFERROR(__xludf.DUMMYFUNCTION("""COMPUTED_VALUE"""),96)</f>
        <v>96</v>
      </c>
      <c r="C117" t="str">
        <f ca="1">IFERROR(__xludf.DUMMYFUNCTION("""COMPUTED_VALUE"""),"Bronson Burgoon")</f>
        <v>Bronson Burgoon</v>
      </c>
      <c r="D117">
        <f ca="1">IFERROR(__xludf.DUMMYFUNCTION("""COMPUTED_VALUE"""),10)</f>
        <v>10</v>
      </c>
      <c r="E117">
        <f ca="1">IFERROR(__xludf.DUMMYFUNCTION("""COMPUTED_VALUE"""),300.6)</f>
        <v>300.60000000000002</v>
      </c>
      <c r="F117" s="1">
        <f ca="1">IFERROR(__xludf.DUMMYFUNCTION("""COMPUTED_VALUE"""),6012)</f>
        <v>6012</v>
      </c>
      <c r="G117">
        <f ca="1">IFERROR(__xludf.DUMMYFUNCTION("""COMPUTED_VALUE"""),20)</f>
        <v>20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IFERROR(__xludf.DUMMYFUNCTION("""COMPUTED_VALUE"""),205)</f>
        <v>205</v>
      </c>
      <c r="C118" t="str">
        <f ca="1">IFERROR(__xludf.DUMMYFUNCTION("""COMPUTED_VALUE"""),"Padraig Harrington")</f>
        <v>Padraig Harrington</v>
      </c>
      <c r="D118">
        <f ca="1">IFERROR(__xludf.DUMMYFUNCTION("""COMPUTED_VALUE"""),8)</f>
        <v>8</v>
      </c>
      <c r="E118">
        <f ca="1">IFERROR(__xludf.DUMMYFUNCTION("""COMPUTED_VALUE"""),300.4)</f>
        <v>300.39999999999998</v>
      </c>
      <c r="F118" s="1">
        <f ca="1">IFERROR(__xludf.DUMMYFUNCTION("""COMPUTED_VALUE"""),4806)</f>
        <v>4806</v>
      </c>
      <c r="G118">
        <f ca="1">IFERROR(__xludf.DUMMYFUNCTION("""COMPUTED_VALUE"""),16)</f>
        <v>16</v>
      </c>
    </row>
    <row r="119" spans="1:7" ht="12.75">
      <c r="A119">
        <f ca="1">IFERROR(__xludf.DUMMYFUNCTION("""COMPUTED_VALUE"""),118)</f>
        <v>118</v>
      </c>
      <c r="B119" t="str">
        <f ca="1">IFERROR(__xludf.DUMMYFUNCTION("""COMPUTED_VALUE"""),"T117")</f>
        <v>T117</v>
      </c>
      <c r="C119" t="str">
        <f ca="1">IFERROR(__xludf.DUMMYFUNCTION("""COMPUTED_VALUE"""),"Lucas Glover")</f>
        <v>Lucas Glover</v>
      </c>
      <c r="D119">
        <f ca="1">IFERROR(__xludf.DUMMYFUNCTION("""COMPUTED_VALUE"""),12)</f>
        <v>12</v>
      </c>
      <c r="E119">
        <f ca="1">IFERROR(__xludf.DUMMYFUNCTION("""COMPUTED_VALUE"""),300.3)</f>
        <v>300.3</v>
      </c>
      <c r="F119" s="1">
        <f ca="1">IFERROR(__xludf.DUMMYFUNCTION("""COMPUTED_VALUE"""),7208)</f>
        <v>7208</v>
      </c>
      <c r="G119">
        <f ca="1">IFERROR(__xludf.DUMMYFUNCTION("""COMPUTED_VALUE"""),24)</f>
        <v>24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IFERROR(__xludf.DUMMYFUNCTION("""COMPUTED_VALUE"""),"T115")</f>
        <v>T115</v>
      </c>
      <c r="C120" t="str">
        <f ca="1">IFERROR(__xludf.DUMMYFUNCTION("""COMPUTED_VALUE"""),"Doug Ghim")</f>
        <v>Doug Ghim</v>
      </c>
      <c r="D120">
        <f ca="1">IFERROR(__xludf.DUMMYFUNCTION("""COMPUTED_VALUE"""),14)</f>
        <v>14</v>
      </c>
      <c r="E120">
        <f ca="1">IFERROR(__xludf.DUMMYFUNCTION("""COMPUTED_VALUE"""),300.1)</f>
        <v>300.10000000000002</v>
      </c>
      <c r="F120" s="1">
        <f ca="1">IFERROR(__xludf.DUMMYFUNCTION("""COMPUTED_VALUE"""),8403)</f>
        <v>8403</v>
      </c>
      <c r="G120">
        <f ca="1">IFERROR(__xludf.DUMMYFUNCTION("""COMPUTED_VALUE"""),28)</f>
        <v>28</v>
      </c>
    </row>
    <row r="121" spans="1:7" ht="12.75">
      <c r="A121" t="str">
        <f ca="1">IFERROR(__xludf.DUMMYFUNCTION("""COMPUTED_VALUE"""),"T120")</f>
        <v>T120</v>
      </c>
      <c r="B121" t="str">
        <f ca="1">IFERROR(__xludf.DUMMYFUNCTION("""COMPUTED_VALUE"""),"")</f>
        <v/>
      </c>
      <c r="C121" t="str">
        <f ca="1">IFERROR(__xludf.DUMMYFUNCTION("""COMPUTED_VALUE"""),"Francesco Molinari")</f>
        <v>Francesco Molinari</v>
      </c>
      <c r="D121">
        <f ca="1">IFERROR(__xludf.DUMMYFUNCTION("""COMPUTED_VALUE"""),6)</f>
        <v>6</v>
      </c>
      <c r="E121">
        <f ca="1">IFERROR(__xludf.DUMMYFUNCTION("""COMPUTED_VALUE"""),300)</f>
        <v>300</v>
      </c>
      <c r="F121" s="1">
        <f ca="1">IFERROR(__xludf.DUMMYFUNCTION("""COMPUTED_VALUE"""),3600)</f>
        <v>3600</v>
      </c>
      <c r="G121">
        <f ca="1">IFERROR(__xludf.DUMMYFUNCTION("""COMPUTED_VALUE"""),12)</f>
        <v>12</v>
      </c>
    </row>
    <row r="122" spans="1:7" ht="12.75">
      <c r="A122" t="str">
        <f ca="1">IFERROR(__xludf.DUMMYFUNCTION("""COMPUTED_VALUE"""),"T120")</f>
        <v>T120</v>
      </c>
      <c r="B122" t="str">
        <f ca="1">IFERROR(__xludf.DUMMYFUNCTION("""COMPUTED_VALUE"""),"T117")</f>
        <v>T117</v>
      </c>
      <c r="C122" t="str">
        <f ca="1">IFERROR(__xludf.DUMMYFUNCTION("""COMPUTED_VALUE"""),"Martin Laird")</f>
        <v>Martin Laird</v>
      </c>
      <c r="D122">
        <f ca="1">IFERROR(__xludf.DUMMYFUNCTION("""COMPUTED_VALUE"""),16)</f>
        <v>16</v>
      </c>
      <c r="E122">
        <f ca="1">IFERROR(__xludf.DUMMYFUNCTION("""COMPUTED_VALUE"""),300)</f>
        <v>300</v>
      </c>
      <c r="F122" s="1">
        <f ca="1">IFERROR(__xludf.DUMMYFUNCTION("""COMPUTED_VALUE"""),9601)</f>
        <v>9601</v>
      </c>
      <c r="G122">
        <f ca="1">IFERROR(__xludf.DUMMYFUNCTION("""COMPUTED_VALUE"""),32)</f>
        <v>32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IFERROR(__xludf.DUMMYFUNCTION("""COMPUTED_VALUE"""),90)</f>
        <v>90</v>
      </c>
      <c r="C123" t="str">
        <f ca="1">IFERROR(__xludf.DUMMYFUNCTION("""COMPUTED_VALUE"""),"Austin Cook")</f>
        <v>Austin Cook</v>
      </c>
      <c r="D123">
        <f ca="1">IFERROR(__xludf.DUMMYFUNCTION("""COMPUTED_VALUE"""),14)</f>
        <v>14</v>
      </c>
      <c r="E123">
        <f ca="1">IFERROR(__xludf.DUMMYFUNCTION("""COMPUTED_VALUE"""),299.8)</f>
        <v>299.8</v>
      </c>
      <c r="F123" s="1">
        <f ca="1">IFERROR(__xludf.DUMMYFUNCTION("""COMPUTED_VALUE"""),8394)</f>
        <v>8394</v>
      </c>
      <c r="G123">
        <f ca="1">IFERROR(__xludf.DUMMYFUNCTION("""COMPUTED_VALUE"""),28)</f>
        <v>28</v>
      </c>
    </row>
    <row r="124" spans="1:7" ht="12.75">
      <c r="A124" t="str">
        <f ca="1">IFERROR(__xludf.DUMMYFUNCTION("""COMPUTED_VALUE"""),"T123")</f>
        <v>T123</v>
      </c>
      <c r="B124" t="str">
        <f ca="1">IFERROR(__xludf.DUMMYFUNCTION("""COMPUTED_VALUE"""),"T120")</f>
        <v>T120</v>
      </c>
      <c r="C124" t="str">
        <f ca="1">IFERROR(__xludf.DUMMYFUNCTION("""COMPUTED_VALUE"""),"Rory Sabbatini")</f>
        <v>Rory Sabbatini</v>
      </c>
      <c r="D124">
        <f ca="1">IFERROR(__xludf.DUMMYFUNCTION("""COMPUTED_VALUE"""),13)</f>
        <v>13</v>
      </c>
      <c r="E124">
        <f ca="1">IFERROR(__xludf.DUMMYFUNCTION("""COMPUTED_VALUE"""),299.4)</f>
        <v>299.39999999999998</v>
      </c>
      <c r="F124" s="1">
        <f ca="1">IFERROR(__xludf.DUMMYFUNCTION("""COMPUTED_VALUE"""),7784)</f>
        <v>7784</v>
      </c>
      <c r="G124">
        <f ca="1">IFERROR(__xludf.DUMMYFUNCTION("""COMPUTED_VALUE"""),26)</f>
        <v>26</v>
      </c>
    </row>
    <row r="125" spans="1:7" ht="12.75">
      <c r="A125" t="str">
        <f ca="1">IFERROR(__xludf.DUMMYFUNCTION("""COMPUTED_VALUE"""),"T123")</f>
        <v>T123</v>
      </c>
      <c r="B125">
        <f ca="1">IFERROR(__xludf.DUMMYFUNCTION("""COMPUTED_VALUE"""),119)</f>
        <v>119</v>
      </c>
      <c r="C125" t="str">
        <f ca="1">IFERROR(__xludf.DUMMYFUNCTION("""COMPUTED_VALUE"""),"Akshay Bhatia")</f>
        <v>Akshay Bhatia</v>
      </c>
      <c r="D125">
        <f ca="1">IFERROR(__xludf.DUMMYFUNCTION("""COMPUTED_VALUE"""),6)</f>
        <v>6</v>
      </c>
      <c r="E125">
        <f ca="1">IFERROR(__xludf.DUMMYFUNCTION("""COMPUTED_VALUE"""),299.4)</f>
        <v>299.39999999999998</v>
      </c>
      <c r="F125" s="1">
        <f ca="1">IFERROR(__xludf.DUMMYFUNCTION("""COMPUTED_VALUE"""),3593)</f>
        <v>3593</v>
      </c>
      <c r="G125">
        <f ca="1">IFERROR(__xludf.DUMMYFUNCTION("""COMPUTED_VALUE"""),12)</f>
        <v>12</v>
      </c>
    </row>
    <row r="126" spans="1:7" ht="12.75">
      <c r="A126" t="str">
        <f ca="1">IFERROR(__xludf.DUMMYFUNCTION("""COMPUTED_VALUE"""),"T125")</f>
        <v>T125</v>
      </c>
      <c r="B126" t="str">
        <f ca="1">IFERROR(__xludf.DUMMYFUNCTION("""COMPUTED_VALUE"""),"T137")</f>
        <v>T137</v>
      </c>
      <c r="C126" t="str">
        <f ca="1">IFERROR(__xludf.DUMMYFUNCTION("""COMPUTED_VALUE"""),"Hunter Mahan")</f>
        <v>Hunter Mahan</v>
      </c>
      <c r="D126">
        <f ca="1">IFERROR(__xludf.DUMMYFUNCTION("""COMPUTED_VALUE"""),14)</f>
        <v>14</v>
      </c>
      <c r="E126">
        <f ca="1">IFERROR(__xludf.DUMMYFUNCTION("""COMPUTED_VALUE"""),299.3)</f>
        <v>299.3</v>
      </c>
      <c r="F126" s="1">
        <f ca="1">IFERROR(__xludf.DUMMYFUNCTION("""COMPUTED_VALUE"""),8381)</f>
        <v>8381</v>
      </c>
      <c r="G126">
        <f ca="1">IFERROR(__xludf.DUMMYFUNCTION("""COMPUTED_VALUE"""),28)</f>
        <v>28</v>
      </c>
    </row>
    <row r="127" spans="1:7" ht="12.75">
      <c r="A127" t="str">
        <f ca="1">IFERROR(__xludf.DUMMYFUNCTION("""COMPUTED_VALUE"""),"T125")</f>
        <v>T125</v>
      </c>
      <c r="B127" t="str">
        <f ca="1">IFERROR(__xludf.DUMMYFUNCTION("""COMPUTED_VALUE"""),"T128")</f>
        <v>T128</v>
      </c>
      <c r="C127" t="str">
        <f ca="1">IFERROR(__xludf.DUMMYFUNCTION("""COMPUTED_VALUE"""),"Kevin Chappell")</f>
        <v>Kevin Chappell</v>
      </c>
      <c r="D127">
        <f ca="1">IFERROR(__xludf.DUMMYFUNCTION("""COMPUTED_VALUE"""),16)</f>
        <v>16</v>
      </c>
      <c r="E127">
        <f ca="1">IFERROR(__xludf.DUMMYFUNCTION("""COMPUTED_VALUE"""),299.3)</f>
        <v>299.3</v>
      </c>
      <c r="F127" s="1">
        <f ca="1">IFERROR(__xludf.DUMMYFUNCTION("""COMPUTED_VALUE"""),9578)</f>
        <v>9578</v>
      </c>
      <c r="G127">
        <f ca="1">IFERROR(__xludf.DUMMYFUNCTION("""COMPUTED_VALUE"""),32)</f>
        <v>32</v>
      </c>
    </row>
    <row r="128" spans="1:7" ht="12.75">
      <c r="A128" t="str">
        <f ca="1">IFERROR(__xludf.DUMMYFUNCTION("""COMPUTED_VALUE"""),"T125")</f>
        <v>T125</v>
      </c>
      <c r="B128" t="str">
        <f ca="1">IFERROR(__xludf.DUMMYFUNCTION("""COMPUTED_VALUE"""),"T120")</f>
        <v>T120</v>
      </c>
      <c r="C128" t="str">
        <f ca="1">IFERROR(__xludf.DUMMYFUNCTION("""COMPUTED_VALUE"""),"Byeong Hun An")</f>
        <v>Byeong Hun An</v>
      </c>
      <c r="D128">
        <f ca="1">IFERROR(__xludf.DUMMYFUNCTION("""COMPUTED_VALUE"""),14)</f>
        <v>14</v>
      </c>
      <c r="E128">
        <f ca="1">IFERROR(__xludf.DUMMYFUNCTION("""COMPUTED_VALUE"""),299.3)</f>
        <v>299.3</v>
      </c>
      <c r="F128" s="1">
        <f ca="1">IFERROR(__xludf.DUMMYFUNCTION("""COMPUTED_VALUE"""),8381)</f>
        <v>8381</v>
      </c>
      <c r="G128">
        <f ca="1">IFERROR(__xludf.DUMMYFUNCTION("""COMPUTED_VALUE"""),28)</f>
        <v>28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IFERROR(__xludf.DUMMYFUNCTION("""COMPUTED_VALUE"""),"T124")</f>
        <v>T124</v>
      </c>
      <c r="C129" t="str">
        <f ca="1">IFERROR(__xludf.DUMMYFUNCTION("""COMPUTED_VALUE"""),"Justin Suh")</f>
        <v>Justin Suh</v>
      </c>
      <c r="D129">
        <f ca="1">IFERROR(__xludf.DUMMYFUNCTION("""COMPUTED_VALUE"""),10)</f>
        <v>10</v>
      </c>
      <c r="E129">
        <f ca="1">IFERROR(__xludf.DUMMYFUNCTION("""COMPUTED_VALUE"""),299.1)</f>
        <v>299.10000000000002</v>
      </c>
      <c r="F129" s="1">
        <f ca="1">IFERROR(__xludf.DUMMYFUNCTION("""COMPUTED_VALUE"""),5981)</f>
        <v>5981</v>
      </c>
      <c r="G129">
        <f ca="1">IFERROR(__xludf.DUMMYFUNCTION("""COMPUTED_VALUE"""),20)</f>
        <v>20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IFERROR(__xludf.DUMMYFUNCTION("""COMPUTED_VALUE"""),"T124")</f>
        <v>T124</v>
      </c>
      <c r="C130" t="str">
        <f ca="1">IFERROR(__xludf.DUMMYFUNCTION("""COMPUTED_VALUE"""),"Gary Woodland")</f>
        <v>Gary Woodland</v>
      </c>
      <c r="D130">
        <f ca="1">IFERROR(__xludf.DUMMYFUNCTION("""COMPUTED_VALUE"""),6)</f>
        <v>6</v>
      </c>
      <c r="E130">
        <f ca="1">IFERROR(__xludf.DUMMYFUNCTION("""COMPUTED_VALUE"""),299.1)</f>
        <v>299.10000000000002</v>
      </c>
      <c r="F130" s="1">
        <f ca="1">IFERROR(__xludf.DUMMYFUNCTION("""COMPUTED_VALUE"""),3589)</f>
        <v>3589</v>
      </c>
      <c r="G130">
        <f ca="1">IFERROR(__xludf.DUMMYFUNCTION("""COMPUTED_VALUE"""),12)</f>
        <v>12</v>
      </c>
    </row>
    <row r="131" spans="1:7" ht="12.75">
      <c r="A131">
        <f ca="1">IFERROR(__xludf.DUMMYFUNCTION("""COMPUTED_VALUE"""),130)</f>
        <v>130</v>
      </c>
      <c r="B131" t="str">
        <f ca="1">IFERROR(__xludf.DUMMYFUNCTION("""COMPUTED_VALUE"""),"T143")</f>
        <v>T143</v>
      </c>
      <c r="C131" t="str">
        <f ca="1">IFERROR(__xludf.DUMMYFUNCTION("""COMPUTED_VALUE"""),"Scott Brown")</f>
        <v>Scott Brown</v>
      </c>
      <c r="D131">
        <f ca="1">IFERROR(__xludf.DUMMYFUNCTION("""COMPUTED_VALUE"""),14)</f>
        <v>14</v>
      </c>
      <c r="E131">
        <f ca="1">IFERROR(__xludf.DUMMYFUNCTION("""COMPUTED_VALUE"""),298.9)</f>
        <v>298.89999999999998</v>
      </c>
      <c r="F131" s="1">
        <f ca="1">IFERROR(__xludf.DUMMYFUNCTION("""COMPUTED_VALUE"""),8368)</f>
        <v>8368</v>
      </c>
      <c r="G131">
        <f ca="1">IFERROR(__xludf.DUMMYFUNCTION("""COMPUTED_VALUE"""),28)</f>
        <v>28</v>
      </c>
    </row>
    <row r="132" spans="1:7" ht="12.75">
      <c r="A132" t="str">
        <f ca="1">IFERROR(__xludf.DUMMYFUNCTION("""COMPUTED_VALUE"""),"T131")</f>
        <v>T131</v>
      </c>
      <c r="B132" t="str">
        <f ca="1">IFERROR(__xludf.DUMMYFUNCTION("""COMPUTED_VALUE"""),"T124")</f>
        <v>T124</v>
      </c>
      <c r="C132" t="str">
        <f ca="1">IFERROR(__xludf.DUMMYFUNCTION("""COMPUTED_VALUE"""),"Emiliano Grillo")</f>
        <v>Emiliano Grillo</v>
      </c>
      <c r="D132">
        <f ca="1">IFERROR(__xludf.DUMMYFUNCTION("""COMPUTED_VALUE"""),22)</f>
        <v>22</v>
      </c>
      <c r="E132">
        <f ca="1">IFERROR(__xludf.DUMMYFUNCTION("""COMPUTED_VALUE"""),298.8)</f>
        <v>298.8</v>
      </c>
      <c r="F132" s="1">
        <f ca="1">IFERROR(__xludf.DUMMYFUNCTION("""COMPUTED_VALUE"""),13149)</f>
        <v>13149</v>
      </c>
      <c r="G132">
        <f ca="1">IFERROR(__xludf.DUMMYFUNCTION("""COMPUTED_VALUE"""),44)</f>
        <v>44</v>
      </c>
    </row>
    <row r="133" spans="1:7" ht="12.75">
      <c r="A133" t="str">
        <f ca="1">IFERROR(__xludf.DUMMYFUNCTION("""COMPUTED_VALUE"""),"T131")</f>
        <v>T131</v>
      </c>
      <c r="B133">
        <f ca="1">IFERROR(__xludf.DUMMYFUNCTION("""COMPUTED_VALUE"""),131)</f>
        <v>131</v>
      </c>
      <c r="C133" t="str">
        <f ca="1">IFERROR(__xludf.DUMMYFUNCTION("""COMPUTED_VALUE"""),"Matthew NeSmith")</f>
        <v>Matthew NeSmith</v>
      </c>
      <c r="D133">
        <f ca="1">IFERROR(__xludf.DUMMYFUNCTION("""COMPUTED_VALUE"""),16)</f>
        <v>16</v>
      </c>
      <c r="E133">
        <f ca="1">IFERROR(__xludf.DUMMYFUNCTION("""COMPUTED_VALUE"""),298.8)</f>
        <v>298.8</v>
      </c>
      <c r="F133" s="1">
        <f ca="1">IFERROR(__xludf.DUMMYFUNCTION("""COMPUTED_VALUE"""),9563)</f>
        <v>9563</v>
      </c>
      <c r="G133">
        <f ca="1">IFERROR(__xludf.DUMMYFUNCTION("""COMPUTED_VALUE"""),32)</f>
        <v>32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IFERROR(__xludf.DUMMYFUNCTION("""COMPUTED_VALUE"""),127)</f>
        <v>127</v>
      </c>
      <c r="C134" t="str">
        <f ca="1">IFERROR(__xludf.DUMMYFUNCTION("""COMPUTED_VALUE"""),"Sebastián Muñoz")</f>
        <v>Sebastián Muñoz</v>
      </c>
      <c r="D134">
        <f ca="1">IFERROR(__xludf.DUMMYFUNCTION("""COMPUTED_VALUE"""),20)</f>
        <v>20</v>
      </c>
      <c r="E134">
        <f ca="1">IFERROR(__xludf.DUMMYFUNCTION("""COMPUTED_VALUE"""),298.7)</f>
        <v>298.7</v>
      </c>
      <c r="F134" s="1">
        <f ca="1">IFERROR(__xludf.DUMMYFUNCTION("""COMPUTED_VALUE"""),11947)</f>
        <v>11947</v>
      </c>
      <c r="G134">
        <f ca="1">IFERROR(__xludf.DUMMYFUNCTION("""COMPUTED_VALUE"""),40)</f>
        <v>40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IFERROR(__xludf.DUMMYFUNCTION("""COMPUTED_VALUE"""),"T128")</f>
        <v>T128</v>
      </c>
      <c r="C135" t="str">
        <f ca="1">IFERROR(__xludf.DUMMYFUNCTION("""COMPUTED_VALUE"""),"Chesson Hadley")</f>
        <v>Chesson Hadley</v>
      </c>
      <c r="D135">
        <f ca="1">IFERROR(__xludf.DUMMYFUNCTION("""COMPUTED_VALUE"""),16)</f>
        <v>16</v>
      </c>
      <c r="E135">
        <f ca="1">IFERROR(__xludf.DUMMYFUNCTION("""COMPUTED_VALUE"""),298.6)</f>
        <v>298.60000000000002</v>
      </c>
      <c r="F135" s="1">
        <f ca="1">IFERROR(__xludf.DUMMYFUNCTION("""COMPUTED_VALUE"""),9555)</f>
        <v>9555</v>
      </c>
      <c r="G135">
        <f ca="1">IFERROR(__xludf.DUMMYFUNCTION("""COMPUTED_VALUE"""),32)</f>
        <v>32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IFERROR(__xludf.DUMMYFUNCTION("""COMPUTED_VALUE"""),"T128")</f>
        <v>T128</v>
      </c>
      <c r="C136" t="str">
        <f ca="1">IFERROR(__xludf.DUMMYFUNCTION("""COMPUTED_VALUE"""),"Webb Simpson")</f>
        <v>Webb Simpson</v>
      </c>
      <c r="D136">
        <f ca="1">IFERROR(__xludf.DUMMYFUNCTION("""COMPUTED_VALUE"""),12)</f>
        <v>12</v>
      </c>
      <c r="E136">
        <f ca="1">IFERROR(__xludf.DUMMYFUNCTION("""COMPUTED_VALUE"""),298.6)</f>
        <v>298.60000000000002</v>
      </c>
      <c r="F136" s="1">
        <f ca="1">IFERROR(__xludf.DUMMYFUNCTION("""COMPUTED_VALUE"""),7166)</f>
        <v>7166</v>
      </c>
      <c r="G136">
        <f ca="1">IFERROR(__xludf.DUMMYFUNCTION("""COMPUTED_VALUE"""),24)</f>
        <v>24</v>
      </c>
    </row>
    <row r="137" spans="1:7" ht="12.75">
      <c r="A137">
        <f ca="1">IFERROR(__xludf.DUMMYFUNCTION("""COMPUTED_VALUE"""),136)</f>
        <v>136</v>
      </c>
      <c r="B137" t="str">
        <f ca="1">IFERROR(__xludf.DUMMYFUNCTION("""COMPUTED_VALUE"""),"T140")</f>
        <v>T140</v>
      </c>
      <c r="C137" t="str">
        <f ca="1">IFERROR(__xludf.DUMMYFUNCTION("""COMPUTED_VALUE"""),"James Hahn")</f>
        <v>James Hahn</v>
      </c>
      <c r="D137">
        <f ca="1">IFERROR(__xludf.DUMMYFUNCTION("""COMPUTED_VALUE"""),16)</f>
        <v>16</v>
      </c>
      <c r="E137">
        <f ca="1">IFERROR(__xludf.DUMMYFUNCTION("""COMPUTED_VALUE"""),298.5)</f>
        <v>298.5</v>
      </c>
      <c r="F137" s="1">
        <f ca="1">IFERROR(__xludf.DUMMYFUNCTION("""COMPUTED_VALUE"""),9551)</f>
        <v>9551</v>
      </c>
      <c r="G137">
        <f ca="1">IFERROR(__xludf.DUMMYFUNCTION("""COMPUTED_VALUE"""),32)</f>
        <v>32</v>
      </c>
    </row>
    <row r="138" spans="1:7" ht="12.75">
      <c r="A138">
        <f ca="1">IFERROR(__xludf.DUMMYFUNCTION("""COMPUTED_VALUE"""),137)</f>
        <v>137</v>
      </c>
      <c r="B138" t="str">
        <f ca="1">IFERROR(__xludf.DUMMYFUNCTION("""COMPUTED_VALUE"""),"T132")</f>
        <v>T132</v>
      </c>
      <c r="C138" t="str">
        <f ca="1">IFERROR(__xludf.DUMMYFUNCTION("""COMPUTED_VALUE"""),"Henrik Norlander")</f>
        <v>Henrik Norlander</v>
      </c>
      <c r="D138">
        <f ca="1">IFERROR(__xludf.DUMMYFUNCTION("""COMPUTED_VALUE"""),16)</f>
        <v>16</v>
      </c>
      <c r="E138">
        <f ca="1">IFERROR(__xludf.DUMMYFUNCTION("""COMPUTED_VALUE"""),298.4)</f>
        <v>298.39999999999998</v>
      </c>
      <c r="F138" s="1">
        <f ca="1">IFERROR(__xludf.DUMMYFUNCTION("""COMPUTED_VALUE"""),9548)</f>
        <v>9548</v>
      </c>
      <c r="G138">
        <f ca="1">IFERROR(__xludf.DUMMYFUNCTION("""COMPUTED_VALUE"""),32)</f>
        <v>32</v>
      </c>
    </row>
    <row r="139" spans="1:7" ht="12.75">
      <c r="A139">
        <f ca="1">IFERROR(__xludf.DUMMYFUNCTION("""COMPUTED_VALUE"""),138)</f>
        <v>138</v>
      </c>
      <c r="B139" t="str">
        <f ca="1">IFERROR(__xludf.DUMMYFUNCTION("""COMPUTED_VALUE"""),"T122")</f>
        <v>T122</v>
      </c>
      <c r="C139" t="str">
        <f ca="1">IFERROR(__xludf.DUMMYFUNCTION("""COMPUTED_VALUE"""),"Scott Stallings")</f>
        <v>Scott Stallings</v>
      </c>
      <c r="D139">
        <f ca="1">IFERROR(__xludf.DUMMYFUNCTION("""COMPUTED_VALUE"""),14)</f>
        <v>14</v>
      </c>
      <c r="E139">
        <f ca="1">IFERROR(__xludf.DUMMYFUNCTION("""COMPUTED_VALUE"""),298.3)</f>
        <v>298.3</v>
      </c>
      <c r="F139" s="1">
        <f ca="1">IFERROR(__xludf.DUMMYFUNCTION("""COMPUTED_VALUE"""),8352)</f>
        <v>8352</v>
      </c>
      <c r="G139">
        <f ca="1">IFERROR(__xludf.DUMMYFUNCTION("""COMPUTED_VALUE"""),28)</f>
        <v>28</v>
      </c>
    </row>
    <row r="140" spans="1:7" ht="12.75">
      <c r="A140">
        <f ca="1">IFERROR(__xludf.DUMMYFUNCTION("""COMPUTED_VALUE"""),139)</f>
        <v>139</v>
      </c>
      <c r="B140" t="str">
        <f ca="1">IFERROR(__xludf.DUMMYFUNCTION("""COMPUTED_VALUE"""),"T150")</f>
        <v>T150</v>
      </c>
      <c r="C140" t="str">
        <f ca="1">IFERROR(__xludf.DUMMYFUNCTION("""COMPUTED_VALUE"""),"Tyrrell Hatton")</f>
        <v>Tyrrell Hatton</v>
      </c>
      <c r="D140">
        <f ca="1">IFERROR(__xludf.DUMMYFUNCTION("""COMPUTED_VALUE"""),14)</f>
        <v>14</v>
      </c>
      <c r="E140">
        <f ca="1">IFERROR(__xludf.DUMMYFUNCTION("""COMPUTED_VALUE"""),298.1)</f>
        <v>298.10000000000002</v>
      </c>
      <c r="F140" s="1">
        <f ca="1">IFERROR(__xludf.DUMMYFUNCTION("""COMPUTED_VALUE"""),8346)</f>
        <v>8346</v>
      </c>
      <c r="G140">
        <f ca="1">IFERROR(__xludf.DUMMYFUNCTION("""COMPUTED_VALUE"""),28)</f>
        <v>28</v>
      </c>
    </row>
    <row r="141" spans="1:7" ht="12.75">
      <c r="A141" t="str">
        <f ca="1">IFERROR(__xludf.DUMMYFUNCTION("""COMPUTED_VALUE"""),"T140")</f>
        <v>T140</v>
      </c>
      <c r="B141">
        <f ca="1">IFERROR(__xludf.DUMMYFUNCTION("""COMPUTED_VALUE"""),135)</f>
        <v>135</v>
      </c>
      <c r="C141" t="str">
        <f ca="1">IFERROR(__xludf.DUMMYFUNCTION("""COMPUTED_VALUE"""),"Kyoung-Hoon Lee")</f>
        <v>Kyoung-Hoon Lee</v>
      </c>
      <c r="D141">
        <f ca="1">IFERROR(__xludf.DUMMYFUNCTION("""COMPUTED_VALUE"""),20)</f>
        <v>20</v>
      </c>
      <c r="E141">
        <f ca="1">IFERROR(__xludf.DUMMYFUNCTION("""COMPUTED_VALUE"""),298)</f>
        <v>298</v>
      </c>
      <c r="F141" s="1">
        <f ca="1">IFERROR(__xludf.DUMMYFUNCTION("""COMPUTED_VALUE"""),11921)</f>
        <v>11921</v>
      </c>
      <c r="G141">
        <f ca="1">IFERROR(__xludf.DUMMYFUNCTION("""COMPUTED_VALUE"""),40)</f>
        <v>40</v>
      </c>
    </row>
    <row r="142" spans="1:7" ht="12.75">
      <c r="A142" t="str">
        <f ca="1">IFERROR(__xludf.DUMMYFUNCTION("""COMPUTED_VALUE"""),"T140")</f>
        <v>T140</v>
      </c>
      <c r="B142" t="str">
        <f ca="1">IFERROR(__xludf.DUMMYFUNCTION("""COMPUTED_VALUE"""),"")</f>
        <v/>
      </c>
      <c r="C142" t="str">
        <f ca="1">IFERROR(__xludf.DUMMYFUNCTION("""COMPUTED_VALUE"""),"Dawie van der Walt")</f>
        <v>Dawie van der Walt</v>
      </c>
      <c r="D142">
        <f ca="1">IFERROR(__xludf.DUMMYFUNCTION("""COMPUTED_VALUE"""),4)</f>
        <v>4</v>
      </c>
      <c r="E142">
        <f ca="1">IFERROR(__xludf.DUMMYFUNCTION("""COMPUTED_VALUE"""),298)</f>
        <v>298</v>
      </c>
      <c r="F142" s="1">
        <f ca="1">IFERROR(__xludf.DUMMYFUNCTION("""COMPUTED_VALUE"""),2384)</f>
        <v>2384</v>
      </c>
      <c r="G142">
        <f ca="1">IFERROR(__xludf.DUMMYFUNCTION("""COMPUTED_VALUE"""),8)</f>
        <v>8</v>
      </c>
    </row>
    <row r="143" spans="1:7" ht="12.75">
      <c r="A143">
        <f ca="1">IFERROR(__xludf.DUMMYFUNCTION("""COMPUTED_VALUE"""),142)</f>
        <v>142</v>
      </c>
      <c r="B143" t="str">
        <f ca="1">IFERROR(__xludf.DUMMYFUNCTION("""COMPUTED_VALUE"""),"T132")</f>
        <v>T132</v>
      </c>
      <c r="C143" t="str">
        <f ca="1">IFERROR(__xludf.DUMMYFUNCTION("""COMPUTED_VALUE"""),"Kevin Na")</f>
        <v>Kevin Na</v>
      </c>
      <c r="D143">
        <f ca="1">IFERROR(__xludf.DUMMYFUNCTION("""COMPUTED_VALUE"""),14)</f>
        <v>14</v>
      </c>
      <c r="E143">
        <f ca="1">IFERROR(__xludf.DUMMYFUNCTION("""COMPUTED_VALUE"""),297.7)</f>
        <v>297.7</v>
      </c>
      <c r="F143" s="1">
        <f ca="1">IFERROR(__xludf.DUMMYFUNCTION("""COMPUTED_VALUE"""),8335)</f>
        <v>8335</v>
      </c>
      <c r="G143">
        <f ca="1">IFERROR(__xludf.DUMMYFUNCTION("""COMPUTED_VALUE"""),28)</f>
        <v>28</v>
      </c>
    </row>
    <row r="144" spans="1:7" ht="12.75">
      <c r="A144" t="str">
        <f ca="1">IFERROR(__xludf.DUMMYFUNCTION("""COMPUTED_VALUE"""),"T143")</f>
        <v>T143</v>
      </c>
      <c r="B144">
        <f ca="1">IFERROR(__xludf.DUMMYFUNCTION("""COMPUTED_VALUE"""),136)</f>
        <v>136</v>
      </c>
      <c r="C144" t="str">
        <f ca="1">IFERROR(__xludf.DUMMYFUNCTION("""COMPUTED_VALUE"""),"Collin Morikawa")</f>
        <v>Collin Morikawa</v>
      </c>
      <c r="D144">
        <f ca="1">IFERROR(__xludf.DUMMYFUNCTION("""COMPUTED_VALUE"""),12)</f>
        <v>12</v>
      </c>
      <c r="E144">
        <f ca="1">IFERROR(__xludf.DUMMYFUNCTION("""COMPUTED_VALUE"""),297.4)</f>
        <v>297.39999999999998</v>
      </c>
      <c r="F144" s="1">
        <f ca="1">IFERROR(__xludf.DUMMYFUNCTION("""COMPUTED_VALUE"""),7137)</f>
        <v>7137</v>
      </c>
      <c r="G144">
        <f ca="1">IFERROR(__xludf.DUMMYFUNCTION("""COMPUTED_VALUE"""),24)</f>
        <v>24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IFERROR(__xludf.DUMMYFUNCTION("""COMPUTED_VALUE"""),"T150")</f>
        <v>T150</v>
      </c>
      <c r="C145" t="str">
        <f ca="1">IFERROR(__xludf.DUMMYFUNCTION("""COMPUTED_VALUE"""),"Doc Redman")</f>
        <v>Doc Redman</v>
      </c>
      <c r="D145">
        <f ca="1">IFERROR(__xludf.DUMMYFUNCTION("""COMPUTED_VALUE"""),18)</f>
        <v>18</v>
      </c>
      <c r="E145">
        <f ca="1">IFERROR(__xludf.DUMMYFUNCTION("""COMPUTED_VALUE"""),297.4)</f>
        <v>297.39999999999998</v>
      </c>
      <c r="F145" s="1">
        <f ca="1">IFERROR(__xludf.DUMMYFUNCTION("""COMPUTED_VALUE"""),10706)</f>
        <v>10706</v>
      </c>
      <c r="G145">
        <f ca="1">IFERROR(__xludf.DUMMYFUNCTION("""COMPUTED_VALUE"""),36)</f>
        <v>36</v>
      </c>
    </row>
    <row r="146" spans="1:7" ht="12.75">
      <c r="A146" t="str">
        <f ca="1">IFERROR(__xludf.DUMMYFUNCTION("""COMPUTED_VALUE"""),"T145")</f>
        <v>T145</v>
      </c>
      <c r="B146" t="str">
        <f ca="1">IFERROR(__xludf.DUMMYFUNCTION("""COMPUTED_VALUE"""),"T137")</f>
        <v>T137</v>
      </c>
      <c r="C146" t="str">
        <f ca="1">IFERROR(__xludf.DUMMYFUNCTION("""COMPUTED_VALUE"""),"Daniel Berger")</f>
        <v>Daniel Berger</v>
      </c>
      <c r="D146">
        <f ca="1">IFERROR(__xludf.DUMMYFUNCTION("""COMPUTED_VALUE"""),12)</f>
        <v>12</v>
      </c>
      <c r="E146">
        <f ca="1">IFERROR(__xludf.DUMMYFUNCTION("""COMPUTED_VALUE"""),297.3)</f>
        <v>297.3</v>
      </c>
      <c r="F146" s="1">
        <f ca="1">IFERROR(__xludf.DUMMYFUNCTION("""COMPUTED_VALUE"""),7134)</f>
        <v>7134</v>
      </c>
      <c r="G146">
        <f ca="1">IFERROR(__xludf.DUMMYFUNCTION("""COMPUTED_VALUE"""),24)</f>
        <v>24</v>
      </c>
    </row>
    <row r="147" spans="1:7" ht="12.75">
      <c r="A147" t="str">
        <f ca="1">IFERROR(__xludf.DUMMYFUNCTION("""COMPUTED_VALUE"""),"T145")</f>
        <v>T145</v>
      </c>
      <c r="B147" t="str">
        <f ca="1">IFERROR(__xludf.DUMMYFUNCTION("""COMPUTED_VALUE"""),"T153")</f>
        <v>T153</v>
      </c>
      <c r="C147" t="str">
        <f ca="1">IFERROR(__xludf.DUMMYFUNCTION("""COMPUTED_VALUE"""),"Andrew Landry")</f>
        <v>Andrew Landry</v>
      </c>
      <c r="D147">
        <f ca="1">IFERROR(__xludf.DUMMYFUNCTION("""COMPUTED_VALUE"""),14)</f>
        <v>14</v>
      </c>
      <c r="E147">
        <f ca="1">IFERROR(__xludf.DUMMYFUNCTION("""COMPUTED_VALUE"""),297.3)</f>
        <v>297.3</v>
      </c>
      <c r="F147" s="1">
        <f ca="1">IFERROR(__xludf.DUMMYFUNCTION("""COMPUTED_VALUE"""),8323)</f>
        <v>8323</v>
      </c>
      <c r="G147">
        <f ca="1">IFERROR(__xludf.DUMMYFUNCTION("""COMPUTED_VALUE"""),28)</f>
        <v>28</v>
      </c>
    </row>
    <row r="148" spans="1:7" ht="12.75">
      <c r="A148" t="str">
        <f ca="1">IFERROR(__xludf.DUMMYFUNCTION("""COMPUTED_VALUE"""),"T145")</f>
        <v>T145</v>
      </c>
      <c r="B148" t="str">
        <f ca="1">IFERROR(__xludf.DUMMYFUNCTION("""COMPUTED_VALUE"""),"T137")</f>
        <v>T137</v>
      </c>
      <c r="C148" t="str">
        <f ca="1">IFERROR(__xludf.DUMMYFUNCTION("""COMPUTED_VALUE"""),"Cameron Smith")</f>
        <v>Cameron Smith</v>
      </c>
      <c r="D148">
        <f ca="1">IFERROR(__xludf.DUMMYFUNCTION("""COMPUTED_VALUE"""),16)</f>
        <v>16</v>
      </c>
      <c r="E148">
        <f ca="1">IFERROR(__xludf.DUMMYFUNCTION("""COMPUTED_VALUE"""),297.3)</f>
        <v>297.3</v>
      </c>
      <c r="F148" s="1">
        <f ca="1">IFERROR(__xludf.DUMMYFUNCTION("""COMPUTED_VALUE"""),9513)</f>
        <v>9513</v>
      </c>
      <c r="G148">
        <f ca="1">IFERROR(__xludf.DUMMYFUNCTION("""COMPUTED_VALUE"""),32)</f>
        <v>32</v>
      </c>
    </row>
    <row r="149" spans="1:7" ht="12.75">
      <c r="A149">
        <f ca="1">IFERROR(__xludf.DUMMYFUNCTION("""COMPUTED_VALUE"""),148)</f>
        <v>148</v>
      </c>
      <c r="B149" t="str">
        <f ca="1">IFERROR(__xludf.DUMMYFUNCTION("""COMPUTED_VALUE"""),"T140")</f>
        <v>T140</v>
      </c>
      <c r="C149" t="str">
        <f ca="1">IFERROR(__xludf.DUMMYFUNCTION("""COMPUTED_VALUE"""),"Adam Hadwin")</f>
        <v>Adam Hadwin</v>
      </c>
      <c r="D149">
        <f ca="1">IFERROR(__xludf.DUMMYFUNCTION("""COMPUTED_VALUE"""),16)</f>
        <v>16</v>
      </c>
      <c r="E149">
        <f ca="1">IFERROR(__xludf.DUMMYFUNCTION("""COMPUTED_VALUE"""),297.2)</f>
        <v>297.2</v>
      </c>
      <c r="F149" s="1">
        <f ca="1">IFERROR(__xludf.DUMMYFUNCTION("""COMPUTED_VALUE"""),9510)</f>
        <v>9510</v>
      </c>
      <c r="G149">
        <f ca="1">IFERROR(__xludf.DUMMYFUNCTION("""COMPUTED_VALUE"""),32)</f>
        <v>32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IFERROR(__xludf.DUMMYFUNCTION("""COMPUTED_VALUE"""),142)</f>
        <v>142</v>
      </c>
      <c r="C150" t="str">
        <f ca="1">IFERROR(__xludf.DUMMYFUNCTION("""COMPUTED_VALUE"""),"Anirban Lahiri")</f>
        <v>Anirban Lahiri</v>
      </c>
      <c r="D150">
        <f ca="1">IFERROR(__xludf.DUMMYFUNCTION("""COMPUTED_VALUE"""),16)</f>
        <v>16</v>
      </c>
      <c r="E150">
        <f ca="1">IFERROR(__xludf.DUMMYFUNCTION("""COMPUTED_VALUE"""),297.1)</f>
        <v>297.10000000000002</v>
      </c>
      <c r="F150" s="1">
        <f ca="1">IFERROR(__xludf.DUMMYFUNCTION("""COMPUTED_VALUE"""),9507)</f>
        <v>9507</v>
      </c>
      <c r="G150">
        <f ca="1">IFERROR(__xludf.DUMMYFUNCTION("""COMPUTED_VALUE"""),32)</f>
        <v>32</v>
      </c>
    </row>
    <row r="151" spans="1:7" ht="12.75">
      <c r="A151">
        <f ca="1">IFERROR(__xludf.DUMMYFUNCTION("""COMPUTED_VALUE"""),150)</f>
        <v>150</v>
      </c>
      <c r="B151" t="str">
        <f ca="1">IFERROR(__xludf.DUMMYFUNCTION("""COMPUTED_VALUE"""),"T143")</f>
        <v>T143</v>
      </c>
      <c r="C151" t="str">
        <f ca="1">IFERROR(__xludf.DUMMYFUNCTION("""COMPUTED_VALUE"""),"Brian Harman")</f>
        <v>Brian Harman</v>
      </c>
      <c r="D151">
        <f ca="1">IFERROR(__xludf.DUMMYFUNCTION("""COMPUTED_VALUE"""),24)</f>
        <v>24</v>
      </c>
      <c r="E151">
        <f ca="1">IFERROR(__xludf.DUMMYFUNCTION("""COMPUTED_VALUE"""),297)</f>
        <v>297</v>
      </c>
      <c r="F151" s="1">
        <f ca="1">IFERROR(__xludf.DUMMYFUNCTION("""COMPUTED_VALUE"""),14258)</f>
        <v>14258</v>
      </c>
      <c r="G151">
        <f ca="1">IFERROR(__xludf.DUMMYFUNCTION("""COMPUTED_VALUE"""),48)</f>
        <v>48</v>
      </c>
    </row>
    <row r="152" spans="1:7" ht="12.75">
      <c r="A152">
        <f ca="1">IFERROR(__xludf.DUMMYFUNCTION("""COMPUTED_VALUE"""),151)</f>
        <v>151</v>
      </c>
      <c r="B152" t="str">
        <f ca="1">IFERROR(__xludf.DUMMYFUNCTION("""COMPUTED_VALUE"""),"T143")</f>
        <v>T143</v>
      </c>
      <c r="C152" t="str">
        <f ca="1">IFERROR(__xludf.DUMMYFUNCTION("""COMPUTED_VALUE"""),"Abraham Ancer")</f>
        <v>Abraham Ancer</v>
      </c>
      <c r="D152">
        <f ca="1">IFERROR(__xludf.DUMMYFUNCTION("""COMPUTED_VALUE"""),16)</f>
        <v>16</v>
      </c>
      <c r="E152">
        <f ca="1">IFERROR(__xludf.DUMMYFUNCTION("""COMPUTED_VALUE"""),296.9)</f>
        <v>296.89999999999998</v>
      </c>
      <c r="F152" s="1">
        <f ca="1">IFERROR(__xludf.DUMMYFUNCTION("""COMPUTED_VALUE"""),9502)</f>
        <v>9502</v>
      </c>
      <c r="G152">
        <f ca="1">IFERROR(__xludf.DUMMYFUNCTION("""COMPUTED_VALUE"""),32)</f>
        <v>32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IFERROR(__xludf.DUMMYFUNCTION("""COMPUTED_VALUE"""),"T146")</f>
        <v>T146</v>
      </c>
      <c r="C153" t="str">
        <f ca="1">IFERROR(__xludf.DUMMYFUNCTION("""COMPUTED_VALUE"""),"Sahith Theegala")</f>
        <v>Sahith Theegala</v>
      </c>
      <c r="D153">
        <f ca="1">IFERROR(__xludf.DUMMYFUNCTION("""COMPUTED_VALUE"""),6)</f>
        <v>6</v>
      </c>
      <c r="E153">
        <f ca="1">IFERROR(__xludf.DUMMYFUNCTION("""COMPUTED_VALUE"""),296.8)</f>
        <v>296.8</v>
      </c>
      <c r="F153" s="1">
        <f ca="1">IFERROR(__xludf.DUMMYFUNCTION("""COMPUTED_VALUE"""),3562)</f>
        <v>3562</v>
      </c>
      <c r="G153">
        <f ca="1">IFERROR(__xludf.DUMMYFUNCTION("""COMPUTED_VALUE"""),12)</f>
        <v>12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IFERROR(__xludf.DUMMYFUNCTION("""COMPUTED_VALUE"""),"T157")</f>
        <v>T157</v>
      </c>
      <c r="C154" t="str">
        <f ca="1">IFERROR(__xludf.DUMMYFUNCTION("""COMPUTED_VALUE"""),"Jordan Spieth")</f>
        <v>Jordan Spieth</v>
      </c>
      <c r="D154">
        <f ca="1">IFERROR(__xludf.DUMMYFUNCTION("""COMPUTED_VALUE"""),14)</f>
        <v>14</v>
      </c>
      <c r="E154">
        <f ca="1">IFERROR(__xludf.DUMMYFUNCTION("""COMPUTED_VALUE"""),296.8)</f>
        <v>296.8</v>
      </c>
      <c r="F154" s="1">
        <f ca="1">IFERROR(__xludf.DUMMYFUNCTION("""COMPUTED_VALUE"""),8310)</f>
        <v>8310</v>
      </c>
      <c r="G154">
        <f ca="1">IFERROR(__xludf.DUMMYFUNCTION("""COMPUTED_VALUE"""),28)</f>
        <v>28</v>
      </c>
    </row>
    <row r="155" spans="1:7" ht="12.75">
      <c r="A155" t="str">
        <f ca="1">IFERROR(__xludf.DUMMYFUNCTION("""COMPUTED_VALUE"""),"T152")</f>
        <v>T152</v>
      </c>
      <c r="B155" t="str">
        <f ca="1">IFERROR(__xludf.DUMMYFUNCTION("""COMPUTED_VALUE"""),"T146")</f>
        <v>T146</v>
      </c>
      <c r="C155" t="str">
        <f ca="1">IFERROR(__xludf.DUMMYFUNCTION("""COMPUTED_VALUE"""),"Billy Horschel")</f>
        <v>Billy Horschel</v>
      </c>
      <c r="D155">
        <f ca="1">IFERROR(__xludf.DUMMYFUNCTION("""COMPUTED_VALUE"""),12)</f>
        <v>12</v>
      </c>
      <c r="E155">
        <f ca="1">IFERROR(__xludf.DUMMYFUNCTION("""COMPUTED_VALUE"""),296.8)</f>
        <v>296.8</v>
      </c>
      <c r="F155" s="1">
        <f ca="1">IFERROR(__xludf.DUMMYFUNCTION("""COMPUTED_VALUE"""),7122)</f>
        <v>7122</v>
      </c>
      <c r="G155">
        <f ca="1">IFERROR(__xludf.DUMMYFUNCTION("""COMPUTED_VALUE"""),24)</f>
        <v>24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IFERROR(__xludf.DUMMYFUNCTION("""COMPUTED_VALUE"""),176)</f>
        <v>176</v>
      </c>
      <c r="C156" t="str">
        <f ca="1">IFERROR(__xludf.DUMMYFUNCTION("""COMPUTED_VALUE"""),"Sean O'Hair")</f>
        <v>Sean O'Hair</v>
      </c>
      <c r="D156">
        <f ca="1">IFERROR(__xludf.DUMMYFUNCTION("""COMPUTED_VALUE"""),14)</f>
        <v>14</v>
      </c>
      <c r="E156">
        <f ca="1">IFERROR(__xludf.DUMMYFUNCTION("""COMPUTED_VALUE"""),296.6)</f>
        <v>296.60000000000002</v>
      </c>
      <c r="F156" s="1">
        <f ca="1">IFERROR(__xludf.DUMMYFUNCTION("""COMPUTED_VALUE"""),8305)</f>
        <v>8305</v>
      </c>
      <c r="G156">
        <f ca="1">IFERROR(__xludf.DUMMYFUNCTION("""COMPUTED_VALUE"""),28)</f>
        <v>28</v>
      </c>
    </row>
    <row r="157" spans="1:7" ht="12.75">
      <c r="A157" t="str">
        <f ca="1">IFERROR(__xludf.DUMMYFUNCTION("""COMPUTED_VALUE"""),"T156")</f>
        <v>T156</v>
      </c>
      <c r="B157">
        <f ca="1">IFERROR(__xludf.DUMMYFUNCTION("""COMPUTED_VALUE"""),156)</f>
        <v>156</v>
      </c>
      <c r="C157" t="str">
        <f ca="1">IFERROR(__xludf.DUMMYFUNCTION("""COMPUTED_VALUE"""),"Zach Johnson")</f>
        <v>Zach Johnson</v>
      </c>
      <c r="D157">
        <f ca="1">IFERROR(__xludf.DUMMYFUNCTION("""COMPUTED_VALUE"""),16)</f>
        <v>16</v>
      </c>
      <c r="E157">
        <f ca="1">IFERROR(__xludf.DUMMYFUNCTION("""COMPUTED_VALUE"""),296.5)</f>
        <v>296.5</v>
      </c>
      <c r="F157" s="1">
        <f ca="1">IFERROR(__xludf.DUMMYFUNCTION("""COMPUTED_VALUE"""),9488)</f>
        <v>9488</v>
      </c>
      <c r="G157">
        <f ca="1">IFERROR(__xludf.DUMMYFUNCTION("""COMPUTED_VALUE"""),32)</f>
        <v>32</v>
      </c>
    </row>
    <row r="158" spans="1:7" ht="12.75">
      <c r="A158" t="str">
        <f ca="1">IFERROR(__xludf.DUMMYFUNCTION("""COMPUTED_VALUE"""),"T156")</f>
        <v>T156</v>
      </c>
      <c r="B158">
        <f ca="1">IFERROR(__xludf.DUMMYFUNCTION("""COMPUTED_VALUE"""),155)</f>
        <v>155</v>
      </c>
      <c r="C158" t="str">
        <f ca="1">IFERROR(__xludf.DUMMYFUNCTION("""COMPUTED_VALUE"""),"Alex Noren")</f>
        <v>Alex Noren</v>
      </c>
      <c r="D158">
        <f ca="1">IFERROR(__xludf.DUMMYFUNCTION("""COMPUTED_VALUE"""),14)</f>
        <v>14</v>
      </c>
      <c r="E158">
        <f ca="1">IFERROR(__xludf.DUMMYFUNCTION("""COMPUTED_VALUE"""),296.5)</f>
        <v>296.5</v>
      </c>
      <c r="F158" s="1">
        <f ca="1">IFERROR(__xludf.DUMMYFUNCTION("""COMPUTED_VALUE"""),8303)</f>
        <v>8303</v>
      </c>
      <c r="G158">
        <f ca="1">IFERROR(__xludf.DUMMYFUNCTION("""COMPUTED_VALUE"""),28)</f>
        <v>28</v>
      </c>
    </row>
    <row r="159" spans="1:7" ht="12.75">
      <c r="A159" t="str">
        <f ca="1">IFERROR(__xludf.DUMMYFUNCTION("""COMPUTED_VALUE"""),"T156")</f>
        <v>T156</v>
      </c>
      <c r="B159">
        <f ca="1">IFERROR(__xludf.DUMMYFUNCTION("""COMPUTED_VALUE"""),148)</f>
        <v>148</v>
      </c>
      <c r="C159" t="str">
        <f ca="1">IFERROR(__xludf.DUMMYFUNCTION("""COMPUTED_VALUE"""),"Bernd Wiesberger")</f>
        <v>Bernd Wiesberger</v>
      </c>
      <c r="D159">
        <f ca="1">IFERROR(__xludf.DUMMYFUNCTION("""COMPUTED_VALUE"""),4)</f>
        <v>4</v>
      </c>
      <c r="E159">
        <f ca="1">IFERROR(__xludf.DUMMYFUNCTION("""COMPUTED_VALUE"""),296.5)</f>
        <v>296.5</v>
      </c>
      <c r="F159" s="1">
        <f ca="1">IFERROR(__xludf.DUMMYFUNCTION("""COMPUTED_VALUE"""),2372)</f>
        <v>2372</v>
      </c>
      <c r="G159">
        <f ca="1">IFERROR(__xludf.DUMMYFUNCTION("""COMPUTED_VALUE"""),8)</f>
        <v>8</v>
      </c>
    </row>
    <row r="160" spans="1:7" ht="12.75">
      <c r="A160" t="str">
        <f ca="1">IFERROR(__xludf.DUMMYFUNCTION("""COMPUTED_VALUE"""),"T159")</f>
        <v>T159</v>
      </c>
      <c r="B160" t="str">
        <f ca="1">IFERROR(__xludf.DUMMYFUNCTION("""COMPUTED_VALUE"""),"T153")</f>
        <v>T153</v>
      </c>
      <c r="C160" t="str">
        <f ca="1">IFERROR(__xludf.DUMMYFUNCTION("""COMPUTED_VALUE"""),"Sung Kang")</f>
        <v>Sung Kang</v>
      </c>
      <c r="D160">
        <f ca="1">IFERROR(__xludf.DUMMYFUNCTION("""COMPUTED_VALUE"""),14)</f>
        <v>14</v>
      </c>
      <c r="E160">
        <f ca="1">IFERROR(__xludf.DUMMYFUNCTION("""COMPUTED_VALUE"""),296.4)</f>
        <v>296.39999999999998</v>
      </c>
      <c r="F160" s="1">
        <f ca="1">IFERROR(__xludf.DUMMYFUNCTION("""COMPUTED_VALUE"""),8299)</f>
        <v>8299</v>
      </c>
      <c r="G160">
        <f ca="1">IFERROR(__xludf.DUMMYFUNCTION("""COMPUTED_VALUE"""),28)</f>
        <v>28</v>
      </c>
    </row>
    <row r="161" spans="1:7" ht="12.75">
      <c r="A161" t="str">
        <f ca="1">IFERROR(__xludf.DUMMYFUNCTION("""COMPUTED_VALUE"""),"T159")</f>
        <v>T159</v>
      </c>
      <c r="B161">
        <f ca="1">IFERROR(__xludf.DUMMYFUNCTION("""COMPUTED_VALUE"""),149)</f>
        <v>149</v>
      </c>
      <c r="C161" t="str">
        <f ca="1">IFERROR(__xludf.DUMMYFUNCTION("""COMPUTED_VALUE"""),"Alex Smalley")</f>
        <v>Alex Smalley</v>
      </c>
      <c r="D161">
        <f ca="1">IFERROR(__xludf.DUMMYFUNCTION("""COMPUTED_VALUE"""),4)</f>
        <v>4</v>
      </c>
      <c r="E161">
        <f ca="1">IFERROR(__xludf.DUMMYFUNCTION("""COMPUTED_VALUE"""),296.4)</f>
        <v>296.39999999999998</v>
      </c>
      <c r="F161" s="1">
        <f ca="1">IFERROR(__xludf.DUMMYFUNCTION("""COMPUTED_VALUE"""),2371)</f>
        <v>2371</v>
      </c>
      <c r="G161">
        <f ca="1">IFERROR(__xludf.DUMMYFUNCTION("""COMPUTED_VALUE"""),8)</f>
        <v>8</v>
      </c>
    </row>
    <row r="162" spans="1:7" ht="12.75">
      <c r="A162">
        <f ca="1">IFERROR(__xludf.DUMMYFUNCTION("""COMPUTED_VALUE"""),161)</f>
        <v>161</v>
      </c>
      <c r="B162" t="str">
        <f ca="1">IFERROR(__xludf.DUMMYFUNCTION("""COMPUTED_VALUE"""),"T150")</f>
        <v>T150</v>
      </c>
      <c r="C162" t="str">
        <f ca="1">IFERROR(__xludf.DUMMYFUNCTION("""COMPUTED_VALUE"""),"Xinjun Zhang")</f>
        <v>Xinjun Zhang</v>
      </c>
      <c r="D162">
        <f ca="1">IFERROR(__xludf.DUMMYFUNCTION("""COMPUTED_VALUE"""),14)</f>
        <v>14</v>
      </c>
      <c r="E162">
        <f ca="1">IFERROR(__xludf.DUMMYFUNCTION("""COMPUTED_VALUE"""),296.3)</f>
        <v>296.3</v>
      </c>
      <c r="F162" s="1">
        <f ca="1">IFERROR(__xludf.DUMMYFUNCTION("""COMPUTED_VALUE"""),8297)</f>
        <v>8297</v>
      </c>
      <c r="G162">
        <f ca="1">IFERROR(__xludf.DUMMYFUNCTION("""COMPUTED_VALUE"""),28)</f>
        <v>28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IFERROR(__xludf.DUMMYFUNCTION("""COMPUTED_VALUE"""),172)</f>
        <v>172</v>
      </c>
      <c r="C163" t="str">
        <f ca="1">IFERROR(__xludf.DUMMYFUNCTION("""COMPUTED_VALUE"""),"Denny McCarthy")</f>
        <v>Denny McCarthy</v>
      </c>
      <c r="D163">
        <f ca="1">IFERROR(__xludf.DUMMYFUNCTION("""COMPUTED_VALUE"""),22)</f>
        <v>22</v>
      </c>
      <c r="E163">
        <f ca="1">IFERROR(__xludf.DUMMYFUNCTION("""COMPUTED_VALUE"""),295.8)</f>
        <v>295.8</v>
      </c>
      <c r="F163" s="1">
        <f ca="1">IFERROR(__xludf.DUMMYFUNCTION("""COMPUTED_VALUE"""),13017)</f>
        <v>13017</v>
      </c>
      <c r="G163">
        <f ca="1">IFERROR(__xludf.DUMMYFUNCTION("""COMPUTED_VALUE"""),44)</f>
        <v>44</v>
      </c>
    </row>
    <row r="164" spans="1:7" ht="12.75">
      <c r="A164">
        <f ca="1">IFERROR(__xludf.DUMMYFUNCTION("""COMPUTED_VALUE"""),163)</f>
        <v>163</v>
      </c>
      <c r="B164" t="str">
        <f ca="1">IFERROR(__xludf.DUMMYFUNCTION("""COMPUTED_VALUE"""),"T162")</f>
        <v>T162</v>
      </c>
      <c r="C164" t="str">
        <f ca="1">IFERROR(__xludf.DUMMYFUNCTION("""COMPUTED_VALUE"""),"Bo Hoag")</f>
        <v>Bo Hoag</v>
      </c>
      <c r="D164">
        <f ca="1">IFERROR(__xludf.DUMMYFUNCTION("""COMPUTED_VALUE"""),14)</f>
        <v>14</v>
      </c>
      <c r="E164">
        <f ca="1">IFERROR(__xludf.DUMMYFUNCTION("""COMPUTED_VALUE"""),295.5)</f>
        <v>295.5</v>
      </c>
      <c r="F164" s="1">
        <f ca="1">IFERROR(__xludf.DUMMYFUNCTION("""COMPUTED_VALUE"""),8274)</f>
        <v>8274</v>
      </c>
      <c r="G164">
        <f ca="1">IFERROR(__xludf.DUMMYFUNCTION("""COMPUTED_VALUE"""),28)</f>
        <v>28</v>
      </c>
    </row>
    <row r="165" spans="1:7" ht="12.75">
      <c r="A165">
        <f ca="1">IFERROR(__xludf.DUMMYFUNCTION("""COMPUTED_VALUE"""),164)</f>
        <v>164</v>
      </c>
      <c r="B165" t="str">
        <f ca="1">IFERROR(__xludf.DUMMYFUNCTION("""COMPUTED_VALUE"""),"T157")</f>
        <v>T157</v>
      </c>
      <c r="C165" t="str">
        <f ca="1">IFERROR(__xludf.DUMMYFUNCTION("""COMPUTED_VALUE"""),"Zack Sucher")</f>
        <v>Zack Sucher</v>
      </c>
      <c r="D165">
        <f ca="1">IFERROR(__xludf.DUMMYFUNCTION("""COMPUTED_VALUE"""),6)</f>
        <v>6</v>
      </c>
      <c r="E165">
        <f ca="1">IFERROR(__xludf.DUMMYFUNCTION("""COMPUTED_VALUE"""),295.4)</f>
        <v>295.39999999999998</v>
      </c>
      <c r="F165" s="1">
        <f ca="1">IFERROR(__xludf.DUMMYFUNCTION("""COMPUTED_VALUE"""),3545)</f>
        <v>3545</v>
      </c>
      <c r="G165">
        <f ca="1">IFERROR(__xludf.DUMMYFUNCTION("""COMPUTED_VALUE"""),12)</f>
        <v>12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IFERROR(__xludf.DUMMYFUNCTION("""COMPUTED_VALUE"""),159)</f>
        <v>159</v>
      </c>
      <c r="C166" t="str">
        <f ca="1">IFERROR(__xludf.DUMMYFUNCTION("""COMPUTED_VALUE"""),"Tiger Woods")</f>
        <v>Tiger Woods</v>
      </c>
      <c r="D166">
        <f ca="1">IFERROR(__xludf.DUMMYFUNCTION("""COMPUTED_VALUE"""),6)</f>
        <v>6</v>
      </c>
      <c r="E166">
        <f ca="1">IFERROR(__xludf.DUMMYFUNCTION("""COMPUTED_VALUE"""),295.3)</f>
        <v>295.3</v>
      </c>
      <c r="F166" s="1">
        <f ca="1">IFERROR(__xludf.DUMMYFUNCTION("""COMPUTED_VALUE"""),3544)</f>
        <v>3544</v>
      </c>
      <c r="G166">
        <f ca="1">IFERROR(__xludf.DUMMYFUNCTION("""COMPUTED_VALUE"""),12)</f>
        <v>12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IFERROR(__xludf.DUMMYFUNCTION("""COMPUTED_VALUE"""),"T160")</f>
        <v>T160</v>
      </c>
      <c r="C167" t="str">
        <f ca="1">IFERROR(__xludf.DUMMYFUNCTION("""COMPUTED_VALUE"""),"Nick Taylor")</f>
        <v>Nick Taylor</v>
      </c>
      <c r="D167">
        <f ca="1">IFERROR(__xludf.DUMMYFUNCTION("""COMPUTED_VALUE"""),12)</f>
        <v>12</v>
      </c>
      <c r="E167">
        <f ca="1">IFERROR(__xludf.DUMMYFUNCTION("""COMPUTED_VALUE"""),295.2)</f>
        <v>295.2</v>
      </c>
      <c r="F167" s="1">
        <f ca="1">IFERROR(__xludf.DUMMYFUNCTION("""COMPUTED_VALUE"""),7085)</f>
        <v>7085</v>
      </c>
      <c r="G167">
        <f ca="1">IFERROR(__xludf.DUMMYFUNCTION("""COMPUTED_VALUE"""),24)</f>
        <v>24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IFERROR(__xludf.DUMMYFUNCTION("""COMPUTED_VALUE"""),"T160")</f>
        <v>T160</v>
      </c>
      <c r="C168" t="str">
        <f ca="1">IFERROR(__xludf.DUMMYFUNCTION("""COMPUTED_VALUE"""),"Bill Haas")</f>
        <v>Bill Haas</v>
      </c>
      <c r="D168">
        <f ca="1">IFERROR(__xludf.DUMMYFUNCTION("""COMPUTED_VALUE"""),10)</f>
        <v>10</v>
      </c>
      <c r="E168">
        <f ca="1">IFERROR(__xludf.DUMMYFUNCTION("""COMPUTED_VALUE"""),295.2)</f>
        <v>295.2</v>
      </c>
      <c r="F168" s="1">
        <f ca="1">IFERROR(__xludf.DUMMYFUNCTION("""COMPUTED_VALUE"""),5904)</f>
        <v>5904</v>
      </c>
      <c r="G168">
        <f ca="1">IFERROR(__xludf.DUMMYFUNCTION("""COMPUTED_VALUE"""),20)</f>
        <v>20</v>
      </c>
    </row>
    <row r="169" spans="1:7" ht="12.75">
      <c r="A169" t="str">
        <f ca="1">IFERROR(__xludf.DUMMYFUNCTION("""COMPUTED_VALUE"""),"T166")</f>
        <v>T166</v>
      </c>
      <c r="B169">
        <f ca="1">IFERROR(__xludf.DUMMYFUNCTION("""COMPUTED_VALUE"""),165)</f>
        <v>165</v>
      </c>
      <c r="C169" t="str">
        <f ca="1">IFERROR(__xludf.DUMMYFUNCTION("""COMPUTED_VALUE"""),"Sam Ryder")</f>
        <v>Sam Ryder</v>
      </c>
      <c r="D169">
        <f ca="1">IFERROR(__xludf.DUMMYFUNCTION("""COMPUTED_VALUE"""),12)</f>
        <v>12</v>
      </c>
      <c r="E169">
        <f ca="1">IFERROR(__xludf.DUMMYFUNCTION("""COMPUTED_VALUE"""),295.2)</f>
        <v>295.2</v>
      </c>
      <c r="F169" s="1">
        <f ca="1">IFERROR(__xludf.DUMMYFUNCTION("""COMPUTED_VALUE"""),7084)</f>
        <v>7084</v>
      </c>
      <c r="G169">
        <f ca="1">IFERROR(__xludf.DUMMYFUNCTION("""COMPUTED_VALUE"""),24)</f>
        <v>24</v>
      </c>
    </row>
    <row r="170" spans="1:7" ht="12.75">
      <c r="A170" t="str">
        <f ca="1">IFERROR(__xludf.DUMMYFUNCTION("""COMPUTED_VALUE"""),"T166")</f>
        <v>T166</v>
      </c>
      <c r="B170">
        <f ca="1">IFERROR(__xludf.DUMMYFUNCTION("""COMPUTED_VALUE"""),171)</f>
        <v>171</v>
      </c>
      <c r="C170" t="str">
        <f ca="1">IFERROR(__xludf.DUMMYFUNCTION("""COMPUTED_VALUE"""),"Adam Long")</f>
        <v>Adam Long</v>
      </c>
      <c r="D170">
        <f ca="1">IFERROR(__xludf.DUMMYFUNCTION("""COMPUTED_VALUE"""),22)</f>
        <v>22</v>
      </c>
      <c r="E170">
        <f ca="1">IFERROR(__xludf.DUMMYFUNCTION("""COMPUTED_VALUE"""),295.2)</f>
        <v>295.2</v>
      </c>
      <c r="F170" s="1">
        <f ca="1">IFERROR(__xludf.DUMMYFUNCTION("""COMPUTED_VALUE"""),12987)</f>
        <v>12987</v>
      </c>
      <c r="G170">
        <f ca="1">IFERROR(__xludf.DUMMYFUNCTION("""COMPUTED_VALUE"""),44)</f>
        <v>44</v>
      </c>
    </row>
    <row r="171" spans="1:7" ht="12.75">
      <c r="A171">
        <f ca="1">IFERROR(__xludf.DUMMYFUNCTION("""COMPUTED_VALUE"""),170)</f>
        <v>170</v>
      </c>
      <c r="B171" t="str">
        <f ca="1">IFERROR(__xludf.DUMMYFUNCTION("""COMPUTED_VALUE"""),"T162")</f>
        <v>T162</v>
      </c>
      <c r="C171" t="str">
        <f ca="1">IFERROR(__xludf.DUMMYFUNCTION("""COMPUTED_VALUE"""),"Sebastian Cappelen")</f>
        <v>Sebastian Cappelen</v>
      </c>
      <c r="D171">
        <f ca="1">IFERROR(__xludf.DUMMYFUNCTION("""COMPUTED_VALUE"""),8)</f>
        <v>8</v>
      </c>
      <c r="E171">
        <f ca="1">IFERROR(__xludf.DUMMYFUNCTION("""COMPUTED_VALUE"""),295.1)</f>
        <v>295.10000000000002</v>
      </c>
      <c r="F171" s="1">
        <f ca="1">IFERROR(__xludf.DUMMYFUNCTION("""COMPUTED_VALUE"""),4722)</f>
        <v>4722</v>
      </c>
      <c r="G171">
        <f ca="1">IFERROR(__xludf.DUMMYFUNCTION("""COMPUTED_VALUE"""),16)</f>
        <v>16</v>
      </c>
    </row>
    <row r="172" spans="1:7" ht="12.75">
      <c r="A172">
        <f ca="1">IFERROR(__xludf.DUMMYFUNCTION("""COMPUTED_VALUE"""),171)</f>
        <v>171</v>
      </c>
      <c r="B172">
        <f ca="1">IFERROR(__xludf.DUMMYFUNCTION("""COMPUTED_VALUE"""),164)</f>
        <v>164</v>
      </c>
      <c r="C172" t="str">
        <f ca="1">IFERROR(__xludf.DUMMYFUNCTION("""COMPUTED_VALUE"""),"Nelson Ledesma")</f>
        <v>Nelson Ledesma</v>
      </c>
      <c r="D172">
        <f ca="1">IFERROR(__xludf.DUMMYFUNCTION("""COMPUTED_VALUE"""),8)</f>
        <v>8</v>
      </c>
      <c r="E172">
        <f ca="1">IFERROR(__xludf.DUMMYFUNCTION("""COMPUTED_VALUE"""),294.9)</f>
        <v>294.89999999999998</v>
      </c>
      <c r="F172" s="1">
        <f ca="1">IFERROR(__xludf.DUMMYFUNCTION("""COMPUTED_VALUE"""),4718)</f>
        <v>4718</v>
      </c>
      <c r="G172">
        <f ca="1">IFERROR(__xludf.DUMMYFUNCTION("""COMPUTED_VALUE"""),16)</f>
        <v>16</v>
      </c>
    </row>
    <row r="173" spans="1:7" ht="12.75">
      <c r="A173">
        <f ca="1">IFERROR(__xludf.DUMMYFUNCTION("""COMPUTED_VALUE"""),172)</f>
        <v>172</v>
      </c>
      <c r="B173" t="str">
        <f ca="1">IFERROR(__xludf.DUMMYFUNCTION("""COMPUTED_VALUE"""),"T166")</f>
        <v>T166</v>
      </c>
      <c r="C173" t="str">
        <f ca="1">IFERROR(__xludf.DUMMYFUNCTION("""COMPUTED_VALUE"""),"Richy Werenski")</f>
        <v>Richy Werenski</v>
      </c>
      <c r="D173">
        <f ca="1">IFERROR(__xludf.DUMMYFUNCTION("""COMPUTED_VALUE"""),16)</f>
        <v>16</v>
      </c>
      <c r="E173">
        <f ca="1">IFERROR(__xludf.DUMMYFUNCTION("""COMPUTED_VALUE"""),294.7)</f>
        <v>294.7</v>
      </c>
      <c r="F173" s="1">
        <f ca="1">IFERROR(__xludf.DUMMYFUNCTION("""COMPUTED_VALUE"""),9429)</f>
        <v>9429</v>
      </c>
      <c r="G173">
        <f ca="1">IFERROR(__xludf.DUMMYFUNCTION("""COMPUTED_VALUE"""),32)</f>
        <v>32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IFERROR(__xludf.DUMMYFUNCTION("""COMPUTED_VALUE"""),"T168")</f>
        <v>T168</v>
      </c>
      <c r="C174" t="str">
        <f ca="1">IFERROR(__xludf.DUMMYFUNCTION("""COMPUTED_VALUE"""),"Matthias Schwab")</f>
        <v>Matthias Schwab</v>
      </c>
      <c r="D174">
        <f ca="1">IFERROR(__xludf.DUMMYFUNCTION("""COMPUTED_VALUE"""),8)</f>
        <v>8</v>
      </c>
      <c r="E174">
        <f ca="1">IFERROR(__xludf.DUMMYFUNCTION("""COMPUTED_VALUE"""),294.6)</f>
        <v>294.60000000000002</v>
      </c>
      <c r="F174" s="1">
        <f ca="1">IFERROR(__xludf.DUMMYFUNCTION("""COMPUTED_VALUE"""),4713)</f>
        <v>4713</v>
      </c>
      <c r="G174">
        <f ca="1">IFERROR(__xludf.DUMMYFUNCTION("""COMPUTED_VALUE"""),16)</f>
        <v>16</v>
      </c>
    </row>
    <row r="175" spans="1:7" ht="12.75">
      <c r="A175" t="str">
        <f ca="1">IFERROR(__xludf.DUMMYFUNCTION("""COMPUTED_VALUE"""),"T173")</f>
        <v>T173</v>
      </c>
      <c r="B175">
        <f ca="1">IFERROR(__xludf.DUMMYFUNCTION("""COMPUTED_VALUE"""),174)</f>
        <v>174</v>
      </c>
      <c r="C175" t="str">
        <f ca="1">IFERROR(__xludf.DUMMYFUNCTION("""COMPUTED_VALUE"""),"Camilo Villegas")</f>
        <v>Camilo Villegas</v>
      </c>
      <c r="D175">
        <f ca="1">IFERROR(__xludf.DUMMYFUNCTION("""COMPUTED_VALUE"""),14)</f>
        <v>14</v>
      </c>
      <c r="E175">
        <f ca="1">IFERROR(__xludf.DUMMYFUNCTION("""COMPUTED_VALUE"""),294.6)</f>
        <v>294.60000000000002</v>
      </c>
      <c r="F175" s="1">
        <f ca="1">IFERROR(__xludf.DUMMYFUNCTION("""COMPUTED_VALUE"""),8250)</f>
        <v>8250</v>
      </c>
      <c r="G175">
        <f ca="1">IFERROR(__xludf.DUMMYFUNCTION("""COMPUTED_VALUE"""),28)</f>
        <v>28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IFERROR(__xludf.DUMMYFUNCTION("""COMPUTED_VALUE"""),"T183")</f>
        <v>T183</v>
      </c>
      <c r="C176" t="str">
        <f ca="1">IFERROR(__xludf.DUMMYFUNCTION("""COMPUTED_VALUE"""),"Kevin Streelman")</f>
        <v>Kevin Streelman</v>
      </c>
      <c r="D176">
        <f ca="1">IFERROR(__xludf.DUMMYFUNCTION("""COMPUTED_VALUE"""),18)</f>
        <v>18</v>
      </c>
      <c r="E176">
        <f ca="1">IFERROR(__xludf.DUMMYFUNCTION("""COMPUTED_VALUE"""),294.3)</f>
        <v>294.3</v>
      </c>
      <c r="F176" s="1">
        <f ca="1">IFERROR(__xludf.DUMMYFUNCTION("""COMPUTED_VALUE"""),10596)</f>
        <v>10596</v>
      </c>
      <c r="G176">
        <f ca="1">IFERROR(__xludf.DUMMYFUNCTION("""COMPUTED_VALUE"""),36)</f>
        <v>36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IFERROR(__xludf.DUMMYFUNCTION("""COMPUTED_VALUE"""),173)</f>
        <v>173</v>
      </c>
      <c r="C177" t="str">
        <f ca="1">IFERROR(__xludf.DUMMYFUNCTION("""COMPUTED_VALUE"""),"Seamus Power")</f>
        <v>Seamus Power</v>
      </c>
      <c r="D177">
        <f ca="1">IFERROR(__xludf.DUMMYFUNCTION("""COMPUTED_VALUE"""),8)</f>
        <v>8</v>
      </c>
      <c r="E177">
        <f ca="1">IFERROR(__xludf.DUMMYFUNCTION("""COMPUTED_VALUE"""),293.9)</f>
        <v>293.89999999999998</v>
      </c>
      <c r="F177" s="1">
        <f ca="1">IFERROR(__xludf.DUMMYFUNCTION("""COMPUTED_VALUE"""),4702)</f>
        <v>4702</v>
      </c>
      <c r="G177">
        <f ca="1">IFERROR(__xludf.DUMMYFUNCTION("""COMPUTED_VALUE"""),16)</f>
        <v>16</v>
      </c>
    </row>
    <row r="178" spans="1:7" ht="12.75">
      <c r="A178" t="str">
        <f ca="1">IFERROR(__xludf.DUMMYFUNCTION("""COMPUTED_VALUE"""),"T177")</f>
        <v>T177</v>
      </c>
      <c r="B178" t="str">
        <f ca="1">IFERROR(__xludf.DUMMYFUNCTION("""COMPUTED_VALUE"""),"T183")</f>
        <v>T183</v>
      </c>
      <c r="C178" t="str">
        <f ca="1">IFERROR(__xludf.DUMMYFUNCTION("""COMPUTED_VALUE"""),"Michael Thompson")</f>
        <v>Michael Thompson</v>
      </c>
      <c r="D178">
        <f ca="1">IFERROR(__xludf.DUMMYFUNCTION("""COMPUTED_VALUE"""),16)</f>
        <v>16</v>
      </c>
      <c r="E178">
        <f ca="1">IFERROR(__xludf.DUMMYFUNCTION("""COMPUTED_VALUE"""),293.6)</f>
        <v>293.60000000000002</v>
      </c>
      <c r="F178" s="1">
        <f ca="1">IFERROR(__xludf.DUMMYFUNCTION("""COMPUTED_VALUE"""),9394)</f>
        <v>9394</v>
      </c>
      <c r="G178">
        <f ca="1">IFERROR(__xludf.DUMMYFUNCTION("""COMPUTED_VALUE"""),32)</f>
        <v>32</v>
      </c>
    </row>
    <row r="179" spans="1:7" ht="12.75">
      <c r="A179" t="str">
        <f ca="1">IFERROR(__xludf.DUMMYFUNCTION("""COMPUTED_VALUE"""),"T177")</f>
        <v>T177</v>
      </c>
      <c r="B179">
        <f ca="1">IFERROR(__xludf.DUMMYFUNCTION("""COMPUTED_VALUE"""),175)</f>
        <v>175</v>
      </c>
      <c r="C179" t="str">
        <f ca="1">IFERROR(__xludf.DUMMYFUNCTION("""COMPUTED_VALUE"""),"Peter Malnati")</f>
        <v>Peter Malnati</v>
      </c>
      <c r="D179">
        <f ca="1">IFERROR(__xludf.DUMMYFUNCTION("""COMPUTED_VALUE"""),18)</f>
        <v>18</v>
      </c>
      <c r="E179">
        <f ca="1">IFERROR(__xludf.DUMMYFUNCTION("""COMPUTED_VALUE"""),293.6)</f>
        <v>293.60000000000002</v>
      </c>
      <c r="F179" s="1">
        <f ca="1">IFERROR(__xludf.DUMMYFUNCTION("""COMPUTED_VALUE"""),10568)</f>
        <v>10568</v>
      </c>
      <c r="G179">
        <f ca="1">IFERROR(__xludf.DUMMYFUNCTION("""COMPUTED_VALUE"""),36)</f>
        <v>36</v>
      </c>
    </row>
    <row r="180" spans="1:7" ht="12.75">
      <c r="A180" t="str">
        <f ca="1">IFERROR(__xludf.DUMMYFUNCTION("""COMPUTED_VALUE"""),"T179")</f>
        <v>T179</v>
      </c>
      <c r="B180">
        <f ca="1">IFERROR(__xludf.DUMMYFUNCTION("""COMPUTED_VALUE"""),170)</f>
        <v>170</v>
      </c>
      <c r="C180" t="str">
        <f ca="1">IFERROR(__xludf.DUMMYFUNCTION("""COMPUTED_VALUE"""),"Tom Hoge")</f>
        <v>Tom Hoge</v>
      </c>
      <c r="D180">
        <f ca="1">IFERROR(__xludf.DUMMYFUNCTION("""COMPUTED_VALUE"""),22)</f>
        <v>22</v>
      </c>
      <c r="E180">
        <f ca="1">IFERROR(__xludf.DUMMYFUNCTION("""COMPUTED_VALUE"""),293.4)</f>
        <v>293.39999999999998</v>
      </c>
      <c r="F180" s="1">
        <f ca="1">IFERROR(__xludf.DUMMYFUNCTION("""COMPUTED_VALUE"""),12909)</f>
        <v>12909</v>
      </c>
      <c r="G180">
        <f ca="1">IFERROR(__xludf.DUMMYFUNCTION("""COMPUTED_VALUE"""),44)</f>
        <v>44</v>
      </c>
    </row>
    <row r="181" spans="1:7" ht="12.75">
      <c r="A181" t="str">
        <f ca="1">IFERROR(__xludf.DUMMYFUNCTION("""COMPUTED_VALUE"""),"T179")</f>
        <v>T179</v>
      </c>
      <c r="B181">
        <f ca="1">IFERROR(__xludf.DUMMYFUNCTION("""COMPUTED_VALUE"""),203)</f>
        <v>203</v>
      </c>
      <c r="C181" t="str">
        <f ca="1">IFERROR(__xludf.DUMMYFUNCTION("""COMPUTED_VALUE"""),"Michael Kim")</f>
        <v>Michael Kim</v>
      </c>
      <c r="D181">
        <f ca="1">IFERROR(__xludf.DUMMYFUNCTION("""COMPUTED_VALUE"""),12)</f>
        <v>12</v>
      </c>
      <c r="E181">
        <f ca="1">IFERROR(__xludf.DUMMYFUNCTION("""COMPUTED_VALUE"""),293.4)</f>
        <v>293.39999999999998</v>
      </c>
      <c r="F181" s="1">
        <f ca="1">IFERROR(__xludf.DUMMYFUNCTION("""COMPUTED_VALUE"""),7042)</f>
        <v>7042</v>
      </c>
      <c r="G181">
        <f ca="1">IFERROR(__xludf.DUMMYFUNCTION("""COMPUTED_VALUE"""),24)</f>
        <v>24</v>
      </c>
    </row>
    <row r="182" spans="1:7" ht="12.75">
      <c r="A182" t="str">
        <f ca="1">IFERROR(__xludf.DUMMYFUNCTION("""COMPUTED_VALUE"""),"T179")</f>
        <v>T179</v>
      </c>
      <c r="B182" t="str">
        <f ca="1">IFERROR(__xludf.DUMMYFUNCTION("""COMPUTED_VALUE"""),"T115")</f>
        <v>T115</v>
      </c>
      <c r="C182" t="str">
        <f ca="1">IFERROR(__xludf.DUMMYFUNCTION("""COMPUTED_VALUE"""),"Graeme McDowell")</f>
        <v>Graeme McDowell</v>
      </c>
      <c r="D182">
        <f ca="1">IFERROR(__xludf.DUMMYFUNCTION("""COMPUTED_VALUE"""),8)</f>
        <v>8</v>
      </c>
      <c r="E182">
        <f ca="1">IFERROR(__xludf.DUMMYFUNCTION("""COMPUTED_VALUE"""),293.4)</f>
        <v>293.39999999999998</v>
      </c>
      <c r="F182" s="1">
        <f ca="1">IFERROR(__xludf.DUMMYFUNCTION("""COMPUTED_VALUE"""),4694)</f>
        <v>4694</v>
      </c>
      <c r="G182">
        <f ca="1">IFERROR(__xludf.DUMMYFUNCTION("""COMPUTED_VALUE"""),16)</f>
        <v>16</v>
      </c>
    </row>
    <row r="183" spans="1:7" ht="12.75">
      <c r="A183" t="str">
        <f ca="1">IFERROR(__xludf.DUMMYFUNCTION("""COMPUTED_VALUE"""),"T182")</f>
        <v>T182</v>
      </c>
      <c r="B183">
        <f ca="1">IFERROR(__xludf.DUMMYFUNCTION("""COMPUTED_VALUE"""),209)</f>
        <v>209</v>
      </c>
      <c r="C183" t="str">
        <f ca="1">IFERROR(__xludf.DUMMYFUNCTION("""COMPUTED_VALUE"""),"Brandt Snedeker")</f>
        <v>Brandt Snedeker</v>
      </c>
      <c r="D183">
        <f ca="1">IFERROR(__xludf.DUMMYFUNCTION("""COMPUTED_VALUE"""),16)</f>
        <v>16</v>
      </c>
      <c r="E183">
        <f ca="1">IFERROR(__xludf.DUMMYFUNCTION("""COMPUTED_VALUE"""),293.3)</f>
        <v>293.3</v>
      </c>
      <c r="F183" s="1">
        <f ca="1">IFERROR(__xludf.DUMMYFUNCTION("""COMPUTED_VALUE"""),9386)</f>
        <v>9386</v>
      </c>
      <c r="G183">
        <f ca="1">IFERROR(__xludf.DUMMYFUNCTION("""COMPUTED_VALUE"""),32)</f>
        <v>32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IFERROR(__xludf.DUMMYFUNCTION("""COMPUTED_VALUE"""),"")</f>
        <v/>
      </c>
      <c r="C184" t="str">
        <f ca="1">IFERROR(__xludf.DUMMYFUNCTION("""COMPUTED_VALUE"""),"Justin Harding")</f>
        <v>Justin Harding</v>
      </c>
      <c r="D184">
        <f ca="1">IFERROR(__xludf.DUMMYFUNCTION("""COMPUTED_VALUE"""),6)</f>
        <v>6</v>
      </c>
      <c r="E184">
        <f ca="1">IFERROR(__xludf.DUMMYFUNCTION("""COMPUTED_VALUE"""),293.3)</f>
        <v>293.3</v>
      </c>
      <c r="F184" s="1">
        <f ca="1">IFERROR(__xludf.DUMMYFUNCTION("""COMPUTED_VALUE"""),3520)</f>
        <v>3520</v>
      </c>
      <c r="G184">
        <f ca="1">IFERROR(__xludf.DUMMYFUNCTION("""COMPUTED_VALUE"""),12)</f>
        <v>12</v>
      </c>
    </row>
    <row r="185" spans="1:7" ht="12.75">
      <c r="A185" t="str">
        <f ca="1">IFERROR(__xludf.DUMMYFUNCTION("""COMPUTED_VALUE"""),"T182")</f>
        <v>T182</v>
      </c>
      <c r="B185" t="str">
        <f ca="1">IFERROR(__xludf.DUMMYFUNCTION("""COMPUTED_VALUE"""),"T168")</f>
        <v>T168</v>
      </c>
      <c r="C185" t="str">
        <f ca="1">IFERROR(__xludf.DUMMYFUNCTION("""COMPUTED_VALUE"""),"C.T. Pan")</f>
        <v>C.T. Pan</v>
      </c>
      <c r="D185">
        <f ca="1">IFERROR(__xludf.DUMMYFUNCTION("""COMPUTED_VALUE"""),20)</f>
        <v>20</v>
      </c>
      <c r="E185">
        <f ca="1">IFERROR(__xludf.DUMMYFUNCTION("""COMPUTED_VALUE"""),293.3)</f>
        <v>293.3</v>
      </c>
      <c r="F185" s="1">
        <f ca="1">IFERROR(__xludf.DUMMYFUNCTION("""COMPUTED_VALUE"""),11730)</f>
        <v>11730</v>
      </c>
      <c r="G185">
        <f ca="1">IFERROR(__xludf.DUMMYFUNCTION("""COMPUTED_VALUE"""),40)</f>
        <v>40</v>
      </c>
    </row>
    <row r="186" spans="1:7" ht="12.75">
      <c r="A186" t="str">
        <f ca="1">IFERROR(__xludf.DUMMYFUNCTION("""COMPUTED_VALUE"""),"T185")</f>
        <v>T185</v>
      </c>
      <c r="B186" t="str">
        <f ca="1">IFERROR(__xludf.DUMMYFUNCTION("""COMPUTED_VALUE"""),"T183")</f>
        <v>T183</v>
      </c>
      <c r="C186" t="str">
        <f ca="1">IFERROR(__xludf.DUMMYFUNCTION("""COMPUTED_VALUE"""),"Nate Lashley")</f>
        <v>Nate Lashley</v>
      </c>
      <c r="D186">
        <f ca="1">IFERROR(__xludf.DUMMYFUNCTION("""COMPUTED_VALUE"""),16)</f>
        <v>16</v>
      </c>
      <c r="E186">
        <f ca="1">IFERROR(__xludf.DUMMYFUNCTION("""COMPUTED_VALUE"""),293.2)</f>
        <v>293.2</v>
      </c>
      <c r="F186" s="1">
        <f ca="1">IFERROR(__xludf.DUMMYFUNCTION("""COMPUTED_VALUE"""),9383)</f>
        <v>9383</v>
      </c>
      <c r="G186">
        <f ca="1">IFERROR(__xludf.DUMMYFUNCTION("""COMPUTED_VALUE"""),32)</f>
        <v>32</v>
      </c>
    </row>
    <row r="187" spans="1:7" ht="12.75">
      <c r="A187" t="str">
        <f ca="1">IFERROR(__xludf.DUMMYFUNCTION("""COMPUTED_VALUE"""),"T185")</f>
        <v>T185</v>
      </c>
      <c r="B187" t="str">
        <f ca="1">IFERROR(__xludf.DUMMYFUNCTION("""COMPUTED_VALUE"""),"T177")</f>
        <v>T177</v>
      </c>
      <c r="C187" t="str">
        <f ca="1">IFERROR(__xludf.DUMMYFUNCTION("""COMPUTED_VALUE"""),"Hank Lebioda")</f>
        <v>Hank Lebioda</v>
      </c>
      <c r="D187">
        <f ca="1">IFERROR(__xludf.DUMMYFUNCTION("""COMPUTED_VALUE"""),14)</f>
        <v>14</v>
      </c>
      <c r="E187">
        <f ca="1">IFERROR(__xludf.DUMMYFUNCTION("""COMPUTED_VALUE"""),293.2)</f>
        <v>293.2</v>
      </c>
      <c r="F187" s="1">
        <f ca="1">IFERROR(__xludf.DUMMYFUNCTION("""COMPUTED_VALUE"""),8210)</f>
        <v>8210</v>
      </c>
      <c r="G187">
        <f ca="1">IFERROR(__xludf.DUMMYFUNCTION("""COMPUTED_VALUE"""),28)</f>
        <v>28</v>
      </c>
    </row>
    <row r="188" spans="1:7" ht="12.75">
      <c r="A188" t="str">
        <f ca="1">IFERROR(__xludf.DUMMYFUNCTION("""COMPUTED_VALUE"""),"T185")</f>
        <v>T185</v>
      </c>
      <c r="B188" t="str">
        <f ca="1">IFERROR(__xludf.DUMMYFUNCTION("""COMPUTED_VALUE"""),"T177")</f>
        <v>T177</v>
      </c>
      <c r="C188" t="str">
        <f ca="1">IFERROR(__xludf.DUMMYFUNCTION("""COMPUTED_VALUE"""),"Joohyung Kim")</f>
        <v>Joohyung Kim</v>
      </c>
      <c r="D188">
        <f ca="1">IFERROR(__xludf.DUMMYFUNCTION("""COMPUTED_VALUE"""),12)</f>
        <v>12</v>
      </c>
      <c r="E188">
        <f ca="1">IFERROR(__xludf.DUMMYFUNCTION("""COMPUTED_VALUE"""),293.2)</f>
        <v>293.2</v>
      </c>
      <c r="F188" s="1">
        <f ca="1">IFERROR(__xludf.DUMMYFUNCTION("""COMPUTED_VALUE"""),7036)</f>
        <v>7036</v>
      </c>
      <c r="G188">
        <f ca="1">IFERROR(__xludf.DUMMYFUNCTION("""COMPUTED_VALUE"""),24)</f>
        <v>24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IFERROR(__xludf.DUMMYFUNCTION("""COMPUTED_VALUE"""),179)</f>
        <v>179</v>
      </c>
      <c r="C189" t="str">
        <f ca="1">IFERROR(__xludf.DUMMYFUNCTION("""COMPUTED_VALUE"""),"Brian Gay")</f>
        <v>Brian Gay</v>
      </c>
      <c r="D189">
        <f ca="1">IFERROR(__xludf.DUMMYFUNCTION("""COMPUTED_VALUE"""),8)</f>
        <v>8</v>
      </c>
      <c r="E189">
        <f ca="1">IFERROR(__xludf.DUMMYFUNCTION("""COMPUTED_VALUE"""),293.1)</f>
        <v>293.10000000000002</v>
      </c>
      <c r="F189" s="1">
        <f ca="1">IFERROR(__xludf.DUMMYFUNCTION("""COMPUTED_VALUE"""),4690)</f>
        <v>4690</v>
      </c>
      <c r="G189">
        <f ca="1">IFERROR(__xludf.DUMMYFUNCTION("""COMPUTED_VALUE"""),16)</f>
        <v>16</v>
      </c>
    </row>
    <row r="190" spans="1:7" ht="12.75">
      <c r="A190" t="str">
        <f ca="1">IFERROR(__xludf.DUMMYFUNCTION("""COMPUTED_VALUE"""),"T189")</f>
        <v>T189</v>
      </c>
      <c r="B190" t="str">
        <f ca="1">IFERROR(__xludf.DUMMYFUNCTION("""COMPUTED_VALUE"""),"T166")</f>
        <v>T166</v>
      </c>
      <c r="C190" t="str">
        <f ca="1">IFERROR(__xludf.DUMMYFUNCTION("""COMPUTED_VALUE"""),"Troy Merritt")</f>
        <v>Troy Merritt</v>
      </c>
      <c r="D190">
        <f ca="1">IFERROR(__xludf.DUMMYFUNCTION("""COMPUTED_VALUE"""),20)</f>
        <v>20</v>
      </c>
      <c r="E190">
        <f ca="1">IFERROR(__xludf.DUMMYFUNCTION("""COMPUTED_VALUE"""),292.8)</f>
        <v>292.8</v>
      </c>
      <c r="F190" s="1">
        <f ca="1">IFERROR(__xludf.DUMMYFUNCTION("""COMPUTED_VALUE"""),11713)</f>
        <v>11713</v>
      </c>
      <c r="G190">
        <f ca="1">IFERROR(__xludf.DUMMYFUNCTION("""COMPUTED_VALUE"""),40)</f>
        <v>40</v>
      </c>
    </row>
    <row r="191" spans="1:7" ht="12.75">
      <c r="A191" t="str">
        <f ca="1">IFERROR(__xludf.DUMMYFUNCTION("""COMPUTED_VALUE"""),"T189")</f>
        <v>T189</v>
      </c>
      <c r="B191">
        <f ca="1">IFERROR(__xludf.DUMMYFUNCTION("""COMPUTED_VALUE"""),212)</f>
        <v>212</v>
      </c>
      <c r="C191" t="str">
        <f ca="1">IFERROR(__xludf.DUMMYFUNCTION("""COMPUTED_VALUE"""),"Kramer Hickok")</f>
        <v>Kramer Hickok</v>
      </c>
      <c r="D191">
        <f ca="1">IFERROR(__xludf.DUMMYFUNCTION("""COMPUTED_VALUE"""),16)</f>
        <v>16</v>
      </c>
      <c r="E191">
        <f ca="1">IFERROR(__xludf.DUMMYFUNCTION("""COMPUTED_VALUE"""),292.8)</f>
        <v>292.8</v>
      </c>
      <c r="F191" s="1">
        <f ca="1">IFERROR(__xludf.DUMMYFUNCTION("""COMPUTED_VALUE"""),9369)</f>
        <v>9369</v>
      </c>
      <c r="G191">
        <f ca="1">IFERROR(__xludf.DUMMYFUNCTION("""COMPUTED_VALUE"""),32)</f>
        <v>32</v>
      </c>
    </row>
    <row r="192" spans="1:7" ht="12.75">
      <c r="A192" t="str">
        <f ca="1">IFERROR(__xludf.DUMMYFUNCTION("""COMPUTED_VALUE"""),"T189")</f>
        <v>T189</v>
      </c>
      <c r="B192">
        <f ca="1">IFERROR(__xludf.DUMMYFUNCTION("""COMPUTED_VALUE"""),217)</f>
        <v>217</v>
      </c>
      <c r="C192" t="str">
        <f ca="1">IFERROR(__xludf.DUMMYFUNCTION("""COMPUTED_VALUE"""),"Mackenzie Hughes")</f>
        <v>Mackenzie Hughes</v>
      </c>
      <c r="D192">
        <f ca="1">IFERROR(__xludf.DUMMYFUNCTION("""COMPUTED_VALUE"""),18)</f>
        <v>18</v>
      </c>
      <c r="E192">
        <f ca="1">IFERROR(__xludf.DUMMYFUNCTION("""COMPUTED_VALUE"""),292.8)</f>
        <v>292.8</v>
      </c>
      <c r="F192" s="1">
        <f ca="1">IFERROR(__xludf.DUMMYFUNCTION("""COMPUTED_VALUE"""),10540)</f>
        <v>10540</v>
      </c>
      <c r="G192">
        <f ca="1">IFERROR(__xludf.DUMMYFUNCTION("""COMPUTED_VALUE"""),36)</f>
        <v>36</v>
      </c>
    </row>
    <row r="193" spans="1:7" ht="12.75">
      <c r="A193" t="str">
        <f ca="1">IFERROR(__xludf.DUMMYFUNCTION("""COMPUTED_VALUE"""),"T189")</f>
        <v>T189</v>
      </c>
      <c r="B193">
        <f ca="1">IFERROR(__xludf.DUMMYFUNCTION("""COMPUTED_VALUE"""),193)</f>
        <v>193</v>
      </c>
      <c r="C193" t="str">
        <f ca="1">IFERROR(__xludf.DUMMYFUNCTION("""COMPUTED_VALUE"""),"Russell Knox")</f>
        <v>Russell Knox</v>
      </c>
      <c r="D193">
        <f ca="1">IFERROR(__xludf.DUMMYFUNCTION("""COMPUTED_VALUE"""),16)</f>
        <v>16</v>
      </c>
      <c r="E193">
        <f ca="1">IFERROR(__xludf.DUMMYFUNCTION("""COMPUTED_VALUE"""),292.8)</f>
        <v>292.8</v>
      </c>
      <c r="F193" s="1">
        <f ca="1">IFERROR(__xludf.DUMMYFUNCTION("""COMPUTED_VALUE"""),9369)</f>
        <v>9369</v>
      </c>
      <c r="G193">
        <f ca="1">IFERROR(__xludf.DUMMYFUNCTION("""COMPUTED_VALUE"""),32)</f>
        <v>32</v>
      </c>
    </row>
    <row r="194" spans="1:7" ht="12.75">
      <c r="A194" t="str">
        <f ca="1">IFERROR(__xludf.DUMMYFUNCTION("""COMPUTED_VALUE"""),"T193")</f>
        <v>T193</v>
      </c>
      <c r="B194" t="str">
        <f ca="1">IFERROR(__xludf.DUMMYFUNCTION("""COMPUTED_VALUE"""),"T210")</f>
        <v>T210</v>
      </c>
      <c r="C194" t="str">
        <f ca="1">IFERROR(__xludf.DUMMYFUNCTION("""COMPUTED_VALUE"""),"Ted Potter, Jr.")</f>
        <v>Ted Potter, Jr.</v>
      </c>
      <c r="D194">
        <f ca="1">IFERROR(__xludf.DUMMYFUNCTION("""COMPUTED_VALUE"""),8)</f>
        <v>8</v>
      </c>
      <c r="E194">
        <f ca="1">IFERROR(__xludf.DUMMYFUNCTION("""COMPUTED_VALUE"""),292.7)</f>
        <v>292.7</v>
      </c>
      <c r="F194" s="1">
        <f ca="1">IFERROR(__xludf.DUMMYFUNCTION("""COMPUTED_VALUE"""),4683)</f>
        <v>4683</v>
      </c>
      <c r="G194">
        <f ca="1">IFERROR(__xludf.DUMMYFUNCTION("""COMPUTED_VALUE"""),16)</f>
        <v>16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IFERROR(__xludf.DUMMYFUNCTION("""COMPUTED_VALUE"""),"T181")</f>
        <v>T181</v>
      </c>
      <c r="C195" t="str">
        <f ca="1">IFERROR(__xludf.DUMMYFUNCTION("""COMPUTED_VALUE"""),"Jason Dufner")</f>
        <v>Jason Dufner</v>
      </c>
      <c r="D195">
        <f ca="1">IFERROR(__xludf.DUMMYFUNCTION("""COMPUTED_VALUE"""),14)</f>
        <v>14</v>
      </c>
      <c r="E195">
        <f ca="1">IFERROR(__xludf.DUMMYFUNCTION("""COMPUTED_VALUE"""),292.7)</f>
        <v>292.7</v>
      </c>
      <c r="F195" s="1">
        <f ca="1">IFERROR(__xludf.DUMMYFUNCTION("""COMPUTED_VALUE"""),8196)</f>
        <v>8196</v>
      </c>
      <c r="G195">
        <f ca="1">IFERROR(__xludf.DUMMYFUNCTION("""COMPUTED_VALUE"""),28)</f>
        <v>28</v>
      </c>
    </row>
    <row r="196" spans="1:7" ht="12.75">
      <c r="A196">
        <f ca="1">IFERROR(__xludf.DUMMYFUNCTION("""COMPUTED_VALUE"""),195)</f>
        <v>195</v>
      </c>
      <c r="B196" t="str">
        <f ca="1">IFERROR(__xludf.DUMMYFUNCTION("""COMPUTED_VALUE"""),"T198")</f>
        <v>T198</v>
      </c>
      <c r="C196" t="str">
        <f ca="1">IFERROR(__xludf.DUMMYFUNCTION("""COMPUTED_VALUE"""),"Bo Van Pelt")</f>
        <v>Bo Van Pelt</v>
      </c>
      <c r="D196">
        <f ca="1">IFERROR(__xludf.DUMMYFUNCTION("""COMPUTED_VALUE"""),10)</f>
        <v>10</v>
      </c>
      <c r="E196">
        <f ca="1">IFERROR(__xludf.DUMMYFUNCTION("""COMPUTED_VALUE"""),292.6)</f>
        <v>292.60000000000002</v>
      </c>
      <c r="F196" s="1">
        <f ca="1">IFERROR(__xludf.DUMMYFUNCTION("""COMPUTED_VALUE"""),5851)</f>
        <v>5851</v>
      </c>
      <c r="G196">
        <f ca="1">IFERROR(__xludf.DUMMYFUNCTION("""COMPUTED_VALUE"""),20)</f>
        <v>20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IFERROR(__xludf.DUMMYFUNCTION("""COMPUTED_VALUE"""),180)</f>
        <v>180</v>
      </c>
      <c r="C197" t="str">
        <f ca="1">IFERROR(__xludf.DUMMYFUNCTION("""COMPUTED_VALUE"""),"D.J. Trahan")</f>
        <v>D.J. Trahan</v>
      </c>
      <c r="D197">
        <f ca="1">IFERROR(__xludf.DUMMYFUNCTION("""COMPUTED_VALUE"""),16)</f>
        <v>16</v>
      </c>
      <c r="E197">
        <f ca="1">IFERROR(__xludf.DUMMYFUNCTION("""COMPUTED_VALUE"""),292.5)</f>
        <v>292.5</v>
      </c>
      <c r="F197" s="1">
        <f ca="1">IFERROR(__xludf.DUMMYFUNCTION("""COMPUTED_VALUE"""),9359)</f>
        <v>9359</v>
      </c>
      <c r="G197">
        <f ca="1">IFERROR(__xludf.DUMMYFUNCTION("""COMPUTED_VALUE"""),32)</f>
        <v>32</v>
      </c>
    </row>
    <row r="198" spans="1:7" ht="12.75">
      <c r="A198" t="str">
        <f ca="1">IFERROR(__xludf.DUMMYFUNCTION("""COMPUTED_VALUE"""),"T197")</f>
        <v>T197</v>
      </c>
      <c r="B198">
        <f ca="1">IFERROR(__xludf.DUMMYFUNCTION("""COMPUTED_VALUE"""),188)</f>
        <v>188</v>
      </c>
      <c r="C198" t="str">
        <f ca="1">IFERROR(__xludf.DUMMYFUNCTION("""COMPUTED_VALUE"""),"Pat Perez")</f>
        <v>Pat Perez</v>
      </c>
      <c r="D198">
        <f ca="1">IFERROR(__xludf.DUMMYFUNCTION("""COMPUTED_VALUE"""),16)</f>
        <v>16</v>
      </c>
      <c r="E198">
        <f ca="1">IFERROR(__xludf.DUMMYFUNCTION("""COMPUTED_VALUE"""),292.3)</f>
        <v>292.3</v>
      </c>
      <c r="F198" s="1">
        <f ca="1">IFERROR(__xludf.DUMMYFUNCTION("""COMPUTED_VALUE"""),9355)</f>
        <v>9355</v>
      </c>
      <c r="G198">
        <f ca="1">IFERROR(__xludf.DUMMYFUNCTION("""COMPUTED_VALUE"""),32)</f>
        <v>32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IFERROR(__xludf.DUMMYFUNCTION("""COMPUTED_VALUE"""),"T189")</f>
        <v>T189</v>
      </c>
      <c r="C199" t="str">
        <f ca="1">IFERROR(__xludf.DUMMYFUNCTION("""COMPUTED_VALUE"""),"Scott Piercy")</f>
        <v>Scott Piercy</v>
      </c>
      <c r="D199">
        <f ca="1">IFERROR(__xludf.DUMMYFUNCTION("""COMPUTED_VALUE"""),18)</f>
        <v>18</v>
      </c>
      <c r="E199">
        <f ca="1">IFERROR(__xludf.DUMMYFUNCTION("""COMPUTED_VALUE"""),292.3)</f>
        <v>292.3</v>
      </c>
      <c r="F199" s="1">
        <f ca="1">IFERROR(__xludf.DUMMYFUNCTION("""COMPUTED_VALUE"""),10522)</f>
        <v>10522</v>
      </c>
      <c r="G199">
        <f ca="1">IFERROR(__xludf.DUMMYFUNCTION("""COMPUTED_VALUE"""),36)</f>
        <v>36</v>
      </c>
    </row>
    <row r="200" spans="1:7" ht="12.75">
      <c r="A200">
        <f ca="1">IFERROR(__xludf.DUMMYFUNCTION("""COMPUTED_VALUE"""),199)</f>
        <v>199</v>
      </c>
      <c r="B200" t="str">
        <f ca="1">IFERROR(__xludf.DUMMYFUNCTION("""COMPUTED_VALUE"""),"T181")</f>
        <v>T181</v>
      </c>
      <c r="C200" t="str">
        <f ca="1">IFERROR(__xludf.DUMMYFUNCTION("""COMPUTED_VALUE"""),"Robert Garrigus")</f>
        <v>Robert Garrigus</v>
      </c>
      <c r="D200">
        <f ca="1">IFERROR(__xludf.DUMMYFUNCTION("""COMPUTED_VALUE"""),3)</f>
        <v>3</v>
      </c>
      <c r="E200">
        <f ca="1">IFERROR(__xludf.DUMMYFUNCTION("""COMPUTED_VALUE"""),292.2)</f>
        <v>292.2</v>
      </c>
      <c r="F200" s="1">
        <f ca="1">IFERROR(__xludf.DUMMYFUNCTION("""COMPUTED_VALUE"""),1753)</f>
        <v>1753</v>
      </c>
      <c r="G200">
        <f ca="1">IFERROR(__xludf.DUMMYFUNCTION("""COMPUTED_VALUE"""),6)</f>
        <v>6</v>
      </c>
    </row>
    <row r="201" spans="1:7" ht="12.75">
      <c r="A201" t="str">
        <f ca="1">IFERROR(__xludf.DUMMYFUNCTION("""COMPUTED_VALUE"""),"T200")</f>
        <v>T200</v>
      </c>
      <c r="B201" t="str">
        <f ca="1">IFERROR(__xludf.DUMMYFUNCTION("""COMPUTED_VALUE"""),"T183")</f>
        <v>T183</v>
      </c>
      <c r="C201" t="str">
        <f ca="1">IFERROR(__xludf.DUMMYFUNCTION("""COMPUTED_VALUE"""),"Ian Poulter")</f>
        <v>Ian Poulter</v>
      </c>
      <c r="D201">
        <f ca="1">IFERROR(__xludf.DUMMYFUNCTION("""COMPUTED_VALUE"""),6)</f>
        <v>6</v>
      </c>
      <c r="E201">
        <f ca="1">IFERROR(__xludf.DUMMYFUNCTION("""COMPUTED_VALUE"""),292.1)</f>
        <v>292.10000000000002</v>
      </c>
      <c r="F201" s="1">
        <f ca="1">IFERROR(__xludf.DUMMYFUNCTION("""COMPUTED_VALUE"""),3505)</f>
        <v>3505</v>
      </c>
      <c r="G201">
        <f ca="1">IFERROR(__xludf.DUMMYFUNCTION("""COMPUTED_VALUE"""),12)</f>
        <v>12</v>
      </c>
    </row>
    <row r="202" spans="1:7" ht="12.75">
      <c r="A202" t="str">
        <f ca="1">IFERROR(__xludf.DUMMYFUNCTION("""COMPUTED_VALUE"""),"T200")</f>
        <v>T200</v>
      </c>
      <c r="B202" t="str">
        <f ca="1">IFERROR(__xludf.DUMMYFUNCTION("""COMPUTED_VALUE"""),"T183")</f>
        <v>T183</v>
      </c>
      <c r="C202" t="str">
        <f ca="1">IFERROR(__xludf.DUMMYFUNCTION("""COMPUTED_VALUE"""),"Tae Hee Lee")</f>
        <v>Tae Hee Lee</v>
      </c>
      <c r="D202">
        <f ca="1">IFERROR(__xludf.DUMMYFUNCTION("""COMPUTED_VALUE"""),4)</f>
        <v>4</v>
      </c>
      <c r="E202">
        <f ca="1">IFERROR(__xludf.DUMMYFUNCTION("""COMPUTED_VALUE"""),292.1)</f>
        <v>292.10000000000002</v>
      </c>
      <c r="F202" s="1">
        <f ca="1">IFERROR(__xludf.DUMMYFUNCTION("""COMPUTED_VALUE"""),2337)</f>
        <v>2337</v>
      </c>
      <c r="G202">
        <f ca="1">IFERROR(__xludf.DUMMYFUNCTION("""COMPUTED_VALUE"""),8)</f>
        <v>8</v>
      </c>
    </row>
    <row r="203" spans="1:7" ht="12.75">
      <c r="A203">
        <f ca="1">IFERROR(__xludf.DUMMYFUNCTION("""COMPUTED_VALUE"""),202)</f>
        <v>202</v>
      </c>
      <c r="B203" t="str">
        <f ca="1">IFERROR(__xludf.DUMMYFUNCTION("""COMPUTED_VALUE"""),"T189")</f>
        <v>T189</v>
      </c>
      <c r="C203" t="str">
        <f ca="1">IFERROR(__xludf.DUMMYFUNCTION("""COMPUTED_VALUE"""),"Rafa Cabrera Bello")</f>
        <v>Rafa Cabrera Bello</v>
      </c>
      <c r="D203">
        <f ca="1">IFERROR(__xludf.DUMMYFUNCTION("""COMPUTED_VALUE"""),14)</f>
        <v>14</v>
      </c>
      <c r="E203">
        <f ca="1">IFERROR(__xludf.DUMMYFUNCTION("""COMPUTED_VALUE"""),291.6)</f>
        <v>291.60000000000002</v>
      </c>
      <c r="F203" s="1">
        <f ca="1">IFERROR(__xludf.DUMMYFUNCTION("""COMPUTED_VALUE"""),8165)</f>
        <v>8165</v>
      </c>
      <c r="G203">
        <f ca="1">IFERROR(__xludf.DUMMYFUNCTION("""COMPUTED_VALUE"""),28)</f>
        <v>28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IFERROR(__xludf.DUMMYFUNCTION("""COMPUTED_VALUE"""),191)</f>
        <v>191</v>
      </c>
      <c r="C204" t="str">
        <f ca="1">IFERROR(__xludf.DUMMYFUNCTION("""COMPUTED_VALUE"""),"Jim Herman")</f>
        <v>Jim Herman</v>
      </c>
      <c r="D204">
        <f ca="1">IFERROR(__xludf.DUMMYFUNCTION("""COMPUTED_VALUE"""),12)</f>
        <v>12</v>
      </c>
      <c r="E204">
        <f ca="1">IFERROR(__xludf.DUMMYFUNCTION("""COMPUTED_VALUE"""),291.5)</f>
        <v>291.5</v>
      </c>
      <c r="F204" s="1">
        <f ca="1">IFERROR(__xludf.DUMMYFUNCTION("""COMPUTED_VALUE"""),6997)</f>
        <v>6997</v>
      </c>
      <c r="G204">
        <f ca="1">IFERROR(__xludf.DUMMYFUNCTION("""COMPUTED_VALUE"""),24)</f>
        <v>24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IFERROR(__xludf.DUMMYFUNCTION("""COMPUTED_VALUE"""),192)</f>
        <v>192</v>
      </c>
      <c r="C205" t="str">
        <f ca="1">IFERROR(__xludf.DUMMYFUNCTION("""COMPUTED_VALUE"""),"Rhein Gibson")</f>
        <v>Rhein Gibson</v>
      </c>
      <c r="D205">
        <f ca="1">IFERROR(__xludf.DUMMYFUNCTION("""COMPUTED_VALUE"""),10)</f>
        <v>10</v>
      </c>
      <c r="E205">
        <f ca="1">IFERROR(__xludf.DUMMYFUNCTION("""COMPUTED_VALUE"""),291.4)</f>
        <v>291.39999999999998</v>
      </c>
      <c r="F205" s="1">
        <f ca="1">IFERROR(__xludf.DUMMYFUNCTION("""COMPUTED_VALUE"""),5827)</f>
        <v>5827</v>
      </c>
      <c r="G205">
        <f ca="1">IFERROR(__xludf.DUMMYFUNCTION("""COMPUTED_VALUE"""),20)</f>
        <v>20</v>
      </c>
    </row>
    <row r="206" spans="1:7" ht="12.75">
      <c r="A206">
        <f ca="1">IFERROR(__xludf.DUMMYFUNCTION("""COMPUTED_VALUE"""),205)</f>
        <v>205</v>
      </c>
      <c r="B206" t="str">
        <f ca="1">IFERROR(__xludf.DUMMYFUNCTION("""COMPUTED_VALUE"""),"T198")</f>
        <v>T198</v>
      </c>
      <c r="C206" t="str">
        <f ca="1">IFERROR(__xludf.DUMMYFUNCTION("""COMPUTED_VALUE"""),"Danny Willett")</f>
        <v>Danny Willett</v>
      </c>
      <c r="D206">
        <f ca="1">IFERROR(__xludf.DUMMYFUNCTION("""COMPUTED_VALUE"""),7)</f>
        <v>7</v>
      </c>
      <c r="E206">
        <f ca="1">IFERROR(__xludf.DUMMYFUNCTION("""COMPUTED_VALUE"""),291.2)</f>
        <v>291.2</v>
      </c>
      <c r="F206" s="1">
        <f ca="1">IFERROR(__xludf.DUMMYFUNCTION("""COMPUTED_VALUE"""),4077)</f>
        <v>4077</v>
      </c>
      <c r="G206">
        <f ca="1">IFERROR(__xludf.DUMMYFUNCTION("""COMPUTED_VALUE"""),14)</f>
        <v>14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IFERROR(__xludf.DUMMYFUNCTION("""COMPUTED_VALUE"""),194)</f>
        <v>194</v>
      </c>
      <c r="C207" t="str">
        <f ca="1">IFERROR(__xludf.DUMMYFUNCTION("""COMPUTED_VALUE"""),"Kevin Kisner")</f>
        <v>Kevin Kisner</v>
      </c>
      <c r="D207">
        <f ca="1">IFERROR(__xludf.DUMMYFUNCTION("""COMPUTED_VALUE"""),10)</f>
        <v>10</v>
      </c>
      <c r="E207">
        <f ca="1">IFERROR(__xludf.DUMMYFUNCTION("""COMPUTED_VALUE"""),290.9)</f>
        <v>290.89999999999998</v>
      </c>
      <c r="F207" s="1">
        <f ca="1">IFERROR(__xludf.DUMMYFUNCTION("""COMPUTED_VALUE"""),5817)</f>
        <v>5817</v>
      </c>
      <c r="G207">
        <f ca="1">IFERROR(__xludf.DUMMYFUNCTION("""COMPUTED_VALUE"""),20)</f>
        <v>20</v>
      </c>
    </row>
    <row r="208" spans="1:7" ht="12.75">
      <c r="A208" t="str">
        <f ca="1">IFERROR(__xludf.DUMMYFUNCTION("""COMPUTED_VALUE"""),"T207")</f>
        <v>T207</v>
      </c>
      <c r="B208" t="str">
        <f ca="1">IFERROR(__xludf.DUMMYFUNCTION("""COMPUTED_VALUE"""),"T195")</f>
        <v>T195</v>
      </c>
      <c r="C208" t="str">
        <f ca="1">IFERROR(__xludf.DUMMYFUNCTION("""COMPUTED_VALUE"""),"Kiradech Aphibarnrat")</f>
        <v>Kiradech Aphibarnrat</v>
      </c>
      <c r="D208">
        <f ca="1">IFERROR(__xludf.DUMMYFUNCTION("""COMPUTED_VALUE"""),12)</f>
        <v>12</v>
      </c>
      <c r="E208">
        <f ca="1">IFERROR(__xludf.DUMMYFUNCTION("""COMPUTED_VALUE"""),290.6)</f>
        <v>290.60000000000002</v>
      </c>
      <c r="F208" s="1">
        <f ca="1">IFERROR(__xludf.DUMMYFUNCTION("""COMPUTED_VALUE"""),6974)</f>
        <v>6974</v>
      </c>
      <c r="G208">
        <f ca="1">IFERROR(__xludf.DUMMYFUNCTION("""COMPUTED_VALUE"""),24)</f>
        <v>24</v>
      </c>
    </row>
    <row r="209" spans="1:7" ht="12.75">
      <c r="A209" t="str">
        <f ca="1">IFERROR(__xludf.DUMMYFUNCTION("""COMPUTED_VALUE"""),"T207")</f>
        <v>T207</v>
      </c>
      <c r="B209" t="str">
        <f ca="1">IFERROR(__xludf.DUMMYFUNCTION("""COMPUTED_VALUE"""),"T195")</f>
        <v>T195</v>
      </c>
      <c r="C209" t="str">
        <f ca="1">IFERROR(__xludf.DUMMYFUNCTION("""COMPUTED_VALUE"""),"Vincent Whaley")</f>
        <v>Vincent Whaley</v>
      </c>
      <c r="D209">
        <f ca="1">IFERROR(__xludf.DUMMYFUNCTION("""COMPUTED_VALUE"""),14)</f>
        <v>14</v>
      </c>
      <c r="E209">
        <f ca="1">IFERROR(__xludf.DUMMYFUNCTION("""COMPUTED_VALUE"""),290.6)</f>
        <v>290.60000000000002</v>
      </c>
      <c r="F209" s="1">
        <f ca="1">IFERROR(__xludf.DUMMYFUNCTION("""COMPUTED_VALUE"""),8136)</f>
        <v>8136</v>
      </c>
      <c r="G209">
        <f ca="1">IFERROR(__xludf.DUMMYFUNCTION("""COMPUTED_VALUE"""),28)</f>
        <v>28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IFERROR(__xludf.DUMMYFUNCTION("""COMPUTED_VALUE"""),"T198")</f>
        <v>T198</v>
      </c>
      <c r="C210" t="str">
        <f ca="1">IFERROR(__xludf.DUMMYFUNCTION("""COMPUTED_VALUE"""),"Wesley Bryan")</f>
        <v>Wesley Bryan</v>
      </c>
      <c r="D210">
        <f ca="1">IFERROR(__xludf.DUMMYFUNCTION("""COMPUTED_VALUE"""),8)</f>
        <v>8</v>
      </c>
      <c r="E210">
        <f ca="1">IFERROR(__xludf.DUMMYFUNCTION("""COMPUTED_VALUE"""),290.4)</f>
        <v>290.39999999999998</v>
      </c>
      <c r="F210" s="1">
        <f ca="1">IFERROR(__xludf.DUMMYFUNCTION("""COMPUTED_VALUE"""),4646)</f>
        <v>4646</v>
      </c>
      <c r="G210">
        <f ca="1">IFERROR(__xludf.DUMMYFUNCTION("""COMPUTED_VALUE"""),16)</f>
        <v>16</v>
      </c>
    </row>
    <row r="211" spans="1:7" ht="12.75">
      <c r="A211" t="str">
        <f ca="1">IFERROR(__xludf.DUMMYFUNCTION("""COMPUTED_VALUE"""),"T209")</f>
        <v>T209</v>
      </c>
      <c r="B211" t="str">
        <f ca="1">IFERROR(__xludf.DUMMYFUNCTION("""COMPUTED_VALUE"""),"T198")</f>
        <v>T198</v>
      </c>
      <c r="C211" t="str">
        <f ca="1">IFERROR(__xludf.DUMMYFUNCTION("""COMPUTED_VALUE"""),"Roger Sloan")</f>
        <v>Roger Sloan</v>
      </c>
      <c r="D211">
        <f ca="1">IFERROR(__xludf.DUMMYFUNCTION("""COMPUTED_VALUE"""),12)</f>
        <v>12</v>
      </c>
      <c r="E211">
        <f ca="1">IFERROR(__xludf.DUMMYFUNCTION("""COMPUTED_VALUE"""),290.4)</f>
        <v>290.39999999999998</v>
      </c>
      <c r="F211" s="1">
        <f ca="1">IFERROR(__xludf.DUMMYFUNCTION("""COMPUTED_VALUE"""),6970)</f>
        <v>6970</v>
      </c>
      <c r="G211">
        <f ca="1">IFERROR(__xludf.DUMMYFUNCTION("""COMPUTED_VALUE"""),24)</f>
        <v>24</v>
      </c>
    </row>
    <row r="212" spans="1:7" ht="12.75">
      <c r="A212" t="str">
        <f ca="1">IFERROR(__xludf.DUMMYFUNCTION("""COMPUTED_VALUE"""),"T209")</f>
        <v>T209</v>
      </c>
      <c r="B212" t="str">
        <f ca="1">IFERROR(__xludf.DUMMYFUNCTION("""COMPUTED_VALUE"""),"T198")</f>
        <v>T198</v>
      </c>
      <c r="C212" t="str">
        <f ca="1">IFERROR(__xludf.DUMMYFUNCTION("""COMPUTED_VALUE"""),"Tommy Gainey")</f>
        <v>Tommy Gainey</v>
      </c>
      <c r="D212">
        <f ca="1">IFERROR(__xludf.DUMMYFUNCTION("""COMPUTED_VALUE"""),6)</f>
        <v>6</v>
      </c>
      <c r="E212">
        <f ca="1">IFERROR(__xludf.DUMMYFUNCTION("""COMPUTED_VALUE"""),290.4)</f>
        <v>290.39999999999998</v>
      </c>
      <c r="F212" s="1">
        <f ca="1">IFERROR(__xludf.DUMMYFUNCTION("""COMPUTED_VALUE"""),3485)</f>
        <v>3485</v>
      </c>
      <c r="G212">
        <f ca="1">IFERROR(__xludf.DUMMYFUNCTION("""COMPUTED_VALUE"""),12)</f>
        <v>12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IFERROR(__xludf.DUMMYFUNCTION("""COMPUTED_VALUE"""),"T221")</f>
        <v>T221</v>
      </c>
      <c r="C213" t="str">
        <f ca="1">IFERROR(__xludf.DUMMYFUNCTION("""COMPUTED_VALUE"""),"Branden Grace")</f>
        <v>Branden Grace</v>
      </c>
      <c r="D213">
        <f ca="1">IFERROR(__xludf.DUMMYFUNCTION("""COMPUTED_VALUE"""),16)</f>
        <v>16</v>
      </c>
      <c r="E213">
        <f ca="1">IFERROR(__xludf.DUMMYFUNCTION("""COMPUTED_VALUE"""),290)</f>
        <v>290</v>
      </c>
      <c r="F213" s="1">
        <f ca="1">IFERROR(__xludf.DUMMYFUNCTION("""COMPUTED_VALUE"""),9279)</f>
        <v>9279</v>
      </c>
      <c r="G213">
        <f ca="1">IFERROR(__xludf.DUMMYFUNCTION("""COMPUTED_VALUE"""),32)</f>
        <v>32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IFERROR(__xludf.DUMMYFUNCTION("""COMPUTED_VALUE"""),204)</f>
        <v>204</v>
      </c>
      <c r="C214" t="str">
        <f ca="1">IFERROR(__xludf.DUMMYFUNCTION("""COMPUTED_VALUE"""),"Dominic Bozzelli")</f>
        <v>Dominic Bozzelli</v>
      </c>
      <c r="D214">
        <f ca="1">IFERROR(__xludf.DUMMYFUNCTION("""COMPUTED_VALUE"""),8)</f>
        <v>8</v>
      </c>
      <c r="E214">
        <f ca="1">IFERROR(__xludf.DUMMYFUNCTION("""COMPUTED_VALUE"""),289.9)</f>
        <v>289.89999999999998</v>
      </c>
      <c r="F214" s="1">
        <f ca="1">IFERROR(__xludf.DUMMYFUNCTION("""COMPUTED_VALUE"""),4639)</f>
        <v>4639</v>
      </c>
      <c r="G214">
        <f ca="1">IFERROR(__xludf.DUMMYFUNCTION("""COMPUTED_VALUE"""),16)</f>
        <v>16</v>
      </c>
    </row>
    <row r="215" spans="1:7" ht="12.75">
      <c r="A215" t="str">
        <f ca="1">IFERROR(__xludf.DUMMYFUNCTION("""COMPUTED_VALUE"""),"T214")</f>
        <v>T214</v>
      </c>
      <c r="B215" t="str">
        <f ca="1">IFERROR(__xludf.DUMMYFUNCTION("""COMPUTED_VALUE"""),"T221")</f>
        <v>T221</v>
      </c>
      <c r="C215" t="str">
        <f ca="1">IFERROR(__xludf.DUMMYFUNCTION("""COMPUTED_VALUE"""),"Brice Garnett")</f>
        <v>Brice Garnett</v>
      </c>
      <c r="D215">
        <f ca="1">IFERROR(__xludf.DUMMYFUNCTION("""COMPUTED_VALUE"""),22)</f>
        <v>22</v>
      </c>
      <c r="E215">
        <f ca="1">IFERROR(__xludf.DUMMYFUNCTION("""COMPUTED_VALUE"""),289.6)</f>
        <v>289.60000000000002</v>
      </c>
      <c r="F215" s="1">
        <f ca="1">IFERROR(__xludf.DUMMYFUNCTION("""COMPUTED_VALUE"""),12744)</f>
        <v>12744</v>
      </c>
      <c r="G215">
        <f ca="1">IFERROR(__xludf.DUMMYFUNCTION("""COMPUTED_VALUE"""),44)</f>
        <v>44</v>
      </c>
    </row>
    <row r="216" spans="1:7" ht="12.75">
      <c r="A216" t="str">
        <f ca="1">IFERROR(__xludf.DUMMYFUNCTION("""COMPUTED_VALUE"""),"T214")</f>
        <v>T214</v>
      </c>
      <c r="B216" t="str">
        <f ca="1">IFERROR(__xludf.DUMMYFUNCTION("""COMPUTED_VALUE"""),"T206")</f>
        <v>T206</v>
      </c>
      <c r="C216" t="str">
        <f ca="1">IFERROR(__xludf.DUMMYFUNCTION("""COMPUTED_VALUE"""),"Marc Leishman")</f>
        <v>Marc Leishman</v>
      </c>
      <c r="D216">
        <f ca="1">IFERROR(__xludf.DUMMYFUNCTION("""COMPUTED_VALUE"""),10)</f>
        <v>10</v>
      </c>
      <c r="E216">
        <f ca="1">IFERROR(__xludf.DUMMYFUNCTION("""COMPUTED_VALUE"""),289.6)</f>
        <v>289.60000000000002</v>
      </c>
      <c r="F216" s="1">
        <f ca="1">IFERROR(__xludf.DUMMYFUNCTION("""COMPUTED_VALUE"""),5792)</f>
        <v>5792</v>
      </c>
      <c r="G216">
        <f ca="1">IFERROR(__xludf.DUMMYFUNCTION("""COMPUTED_VALUE"""),20)</f>
        <v>20</v>
      </c>
    </row>
    <row r="217" spans="1:7" ht="12.75">
      <c r="A217" t="str">
        <f ca="1">IFERROR(__xludf.DUMMYFUNCTION("""COMPUTED_VALUE"""),"T214")</f>
        <v>T214</v>
      </c>
      <c r="B217" t="str">
        <f ca="1">IFERROR(__xludf.DUMMYFUNCTION("""COMPUTED_VALUE"""),"T206")</f>
        <v>T206</v>
      </c>
      <c r="C217" t="str">
        <f ca="1">IFERROR(__xludf.DUMMYFUNCTION("""COMPUTED_VALUE"""),"Ricky Barnes")</f>
        <v>Ricky Barnes</v>
      </c>
      <c r="D217">
        <f ca="1">IFERROR(__xludf.DUMMYFUNCTION("""COMPUTED_VALUE"""),12)</f>
        <v>12</v>
      </c>
      <c r="E217">
        <f ca="1">IFERROR(__xludf.DUMMYFUNCTION("""COMPUTED_VALUE"""),289.6)</f>
        <v>289.60000000000002</v>
      </c>
      <c r="F217" s="1">
        <f ca="1">IFERROR(__xludf.DUMMYFUNCTION("""COMPUTED_VALUE"""),6950)</f>
        <v>6950</v>
      </c>
      <c r="G217">
        <f ca="1">IFERROR(__xludf.DUMMYFUNCTION("""COMPUTED_VALUE"""),24)</f>
        <v>24</v>
      </c>
    </row>
    <row r="218" spans="1:7" ht="12.75">
      <c r="A218" t="str">
        <f ca="1">IFERROR(__xludf.DUMMYFUNCTION("""COMPUTED_VALUE"""),"T214")</f>
        <v>T214</v>
      </c>
      <c r="B218" t="str">
        <f ca="1">IFERROR(__xludf.DUMMYFUNCTION("""COMPUTED_VALUE"""),"T206")</f>
        <v>T206</v>
      </c>
      <c r="C218" t="str">
        <f ca="1">IFERROR(__xludf.DUMMYFUNCTION("""COMPUTED_VALUE"""),"Luke Schniederjans")</f>
        <v>Luke Schniederjans</v>
      </c>
      <c r="D218">
        <f ca="1">IFERROR(__xludf.DUMMYFUNCTION("""COMPUTED_VALUE"""),4)</f>
        <v>4</v>
      </c>
      <c r="E218">
        <f ca="1">IFERROR(__xludf.DUMMYFUNCTION("""COMPUTED_VALUE"""),289.6)</f>
        <v>289.60000000000002</v>
      </c>
      <c r="F218" s="1">
        <f ca="1">IFERROR(__xludf.DUMMYFUNCTION("""COMPUTED_VALUE"""),2317)</f>
        <v>2317</v>
      </c>
      <c r="G218">
        <f ca="1">IFERROR(__xludf.DUMMYFUNCTION("""COMPUTED_VALUE"""),8)</f>
        <v>8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IFERROR(__xludf.DUMMYFUNCTION("""COMPUTED_VALUE"""),"T210")</f>
        <v>T210</v>
      </c>
      <c r="C219" t="str">
        <f ca="1">IFERROR(__xludf.DUMMYFUNCTION("""COMPUTED_VALUE"""),"Patrick Reed")</f>
        <v>Patrick Reed</v>
      </c>
      <c r="D219">
        <f ca="1">IFERROR(__xludf.DUMMYFUNCTION("""COMPUTED_VALUE"""),8)</f>
        <v>8</v>
      </c>
      <c r="E219">
        <f ca="1">IFERROR(__xludf.DUMMYFUNCTION("""COMPUTED_VALUE"""),289.4)</f>
        <v>289.39999999999998</v>
      </c>
      <c r="F219" s="1">
        <f ca="1">IFERROR(__xludf.DUMMYFUNCTION("""COMPUTED_VALUE"""),4630)</f>
        <v>4630</v>
      </c>
      <c r="G219">
        <f ca="1">IFERROR(__xludf.DUMMYFUNCTION("""COMPUTED_VALUE"""),16)</f>
        <v>16</v>
      </c>
    </row>
    <row r="220" spans="1:7" ht="12.75">
      <c r="A220" t="str">
        <f ca="1">IFERROR(__xludf.DUMMYFUNCTION("""COMPUTED_VALUE"""),"T219")</f>
        <v>T219</v>
      </c>
      <c r="B220">
        <f ca="1">IFERROR(__xludf.DUMMYFUNCTION("""COMPUTED_VALUE"""),197)</f>
        <v>197</v>
      </c>
      <c r="C220" t="str">
        <f ca="1">IFERROR(__xludf.DUMMYFUNCTION("""COMPUTED_VALUE"""),"Russell Henley")</f>
        <v>Russell Henley</v>
      </c>
      <c r="D220">
        <f ca="1">IFERROR(__xludf.DUMMYFUNCTION("""COMPUTED_VALUE"""),16)</f>
        <v>16</v>
      </c>
      <c r="E220">
        <f ca="1">IFERROR(__xludf.DUMMYFUNCTION("""COMPUTED_VALUE"""),289.1)</f>
        <v>289.10000000000002</v>
      </c>
      <c r="F220" s="1">
        <f ca="1">IFERROR(__xludf.DUMMYFUNCTION("""COMPUTED_VALUE"""),9251)</f>
        <v>9251</v>
      </c>
      <c r="G220">
        <f ca="1">IFERROR(__xludf.DUMMYFUNCTION("""COMPUTED_VALUE"""),32)</f>
        <v>32</v>
      </c>
    </row>
    <row r="221" spans="1:7" ht="12.75">
      <c r="A221" t="str">
        <f ca="1">IFERROR(__xludf.DUMMYFUNCTION("""COMPUTED_VALUE"""),"T219")</f>
        <v>T219</v>
      </c>
      <c r="B221" t="str">
        <f ca="1">IFERROR(__xludf.DUMMYFUNCTION("""COMPUTED_VALUE"""),"T213")</f>
        <v>T213</v>
      </c>
      <c r="C221" t="str">
        <f ca="1">IFERROR(__xludf.DUMMYFUNCTION("""COMPUTED_VALUE"""),"Michael Gellerman")</f>
        <v>Michael Gellerman</v>
      </c>
      <c r="D221">
        <f ca="1">IFERROR(__xludf.DUMMYFUNCTION("""COMPUTED_VALUE"""),5)</f>
        <v>5</v>
      </c>
      <c r="E221">
        <f ca="1">IFERROR(__xludf.DUMMYFUNCTION("""COMPUTED_VALUE"""),289.1)</f>
        <v>289.10000000000002</v>
      </c>
      <c r="F221" s="1">
        <f ca="1">IFERROR(__xludf.DUMMYFUNCTION("""COMPUTED_VALUE"""),2891)</f>
        <v>2891</v>
      </c>
      <c r="G221">
        <f ca="1">IFERROR(__xludf.DUMMYFUNCTION("""COMPUTED_VALUE"""),10)</f>
        <v>10</v>
      </c>
    </row>
    <row r="222" spans="1:7" ht="12.75">
      <c r="A222" t="str">
        <f ca="1">IFERROR(__xludf.DUMMYFUNCTION("""COMPUTED_VALUE"""),"T219")</f>
        <v>T219</v>
      </c>
      <c r="B222" t="str">
        <f ca="1">IFERROR(__xludf.DUMMYFUNCTION("""COMPUTED_VALUE"""),"T213")</f>
        <v>T213</v>
      </c>
      <c r="C222" t="str">
        <f ca="1">IFERROR(__xludf.DUMMYFUNCTION("""COMPUTED_VALUE"""),"Shugo Imahira")</f>
        <v>Shugo Imahira</v>
      </c>
      <c r="D222">
        <f ca="1">IFERROR(__xludf.DUMMYFUNCTION("""COMPUTED_VALUE"""),8)</f>
        <v>8</v>
      </c>
      <c r="E222">
        <f ca="1">IFERROR(__xludf.DUMMYFUNCTION("""COMPUTED_VALUE"""),289.1)</f>
        <v>289.10000000000002</v>
      </c>
      <c r="F222" s="1">
        <f ca="1">IFERROR(__xludf.DUMMYFUNCTION("""COMPUTED_VALUE"""),4625)</f>
        <v>4625</v>
      </c>
      <c r="G222">
        <f ca="1">IFERROR(__xludf.DUMMYFUNCTION("""COMPUTED_VALUE"""),16)</f>
        <v>16</v>
      </c>
    </row>
    <row r="223" spans="1:7" ht="12.75">
      <c r="A223" t="str">
        <f ca="1">IFERROR(__xludf.DUMMYFUNCTION("""COMPUTED_VALUE"""),"T222")</f>
        <v>T222</v>
      </c>
      <c r="B223" t="str">
        <f ca="1">IFERROR(__xludf.DUMMYFUNCTION("""COMPUTED_VALUE"""),"T215")</f>
        <v>T215</v>
      </c>
      <c r="C223" t="str">
        <f ca="1">IFERROR(__xludf.DUMMYFUNCTION("""COMPUTED_VALUE"""),"Rikuya Hoshino")</f>
        <v>Rikuya Hoshino</v>
      </c>
      <c r="D223">
        <f ca="1">IFERROR(__xludf.DUMMYFUNCTION("""COMPUTED_VALUE"""),4)</f>
        <v>4</v>
      </c>
      <c r="E223">
        <f ca="1">IFERROR(__xludf.DUMMYFUNCTION("""COMPUTED_VALUE"""),289)</f>
        <v>289</v>
      </c>
      <c r="F223" s="1">
        <f ca="1">IFERROR(__xludf.DUMMYFUNCTION("""COMPUTED_VALUE"""),2312)</f>
        <v>2312</v>
      </c>
      <c r="G223">
        <f ca="1">IFERROR(__xludf.DUMMYFUNCTION("""COMPUTED_VALUE"""),8)</f>
        <v>8</v>
      </c>
    </row>
    <row r="224" spans="1:7" ht="12.75">
      <c r="A224" t="str">
        <f ca="1">IFERROR(__xludf.DUMMYFUNCTION("""COMPUTED_VALUE"""),"T222")</f>
        <v>T222</v>
      </c>
      <c r="B224" t="str">
        <f ca="1">IFERROR(__xludf.DUMMYFUNCTION("""COMPUTED_VALUE"""),"T218")</f>
        <v>T218</v>
      </c>
      <c r="C224" t="str">
        <f ca="1">IFERROR(__xludf.DUMMYFUNCTION("""COMPUTED_VALUE"""),"Andrew Putnam")</f>
        <v>Andrew Putnam</v>
      </c>
      <c r="D224">
        <f ca="1">IFERROR(__xludf.DUMMYFUNCTION("""COMPUTED_VALUE"""),19)</f>
        <v>19</v>
      </c>
      <c r="E224">
        <f ca="1">IFERROR(__xludf.DUMMYFUNCTION("""COMPUTED_VALUE"""),289)</f>
        <v>289</v>
      </c>
      <c r="F224" s="1">
        <f ca="1">IFERROR(__xludf.DUMMYFUNCTION("""COMPUTED_VALUE"""),10983)</f>
        <v>10983</v>
      </c>
      <c r="G224">
        <f ca="1">IFERROR(__xludf.DUMMYFUNCTION("""COMPUTED_VALUE"""),38)</f>
        <v>38</v>
      </c>
    </row>
    <row r="225" spans="1:7" ht="12.75">
      <c r="A225" t="str">
        <f ca="1">IFERROR(__xludf.DUMMYFUNCTION("""COMPUTED_VALUE"""),"T222")</f>
        <v>T222</v>
      </c>
      <c r="B225" t="str">
        <f ca="1">IFERROR(__xludf.DUMMYFUNCTION("""COMPUTED_VALUE"""),"T215")</f>
        <v>T215</v>
      </c>
      <c r="C225" t="str">
        <f ca="1">IFERROR(__xludf.DUMMYFUNCTION("""COMPUTED_VALUE"""),"Robert Streb")</f>
        <v>Robert Streb</v>
      </c>
      <c r="D225">
        <f ca="1">IFERROR(__xludf.DUMMYFUNCTION("""COMPUTED_VALUE"""),12)</f>
        <v>12</v>
      </c>
      <c r="E225">
        <f ca="1">IFERROR(__xludf.DUMMYFUNCTION("""COMPUTED_VALUE"""),289)</f>
        <v>289</v>
      </c>
      <c r="F225" s="1">
        <f ca="1">IFERROR(__xludf.DUMMYFUNCTION("""COMPUTED_VALUE"""),6937)</f>
        <v>6937</v>
      </c>
      <c r="G225">
        <f ca="1">IFERROR(__xludf.DUMMYFUNCTION("""COMPUTED_VALUE"""),24)</f>
        <v>24</v>
      </c>
    </row>
    <row r="226" spans="1:7" ht="12.75">
      <c r="A226">
        <f ca="1">IFERROR(__xludf.DUMMYFUNCTION("""COMPUTED_VALUE"""),225)</f>
        <v>225</v>
      </c>
      <c r="B226" t="str">
        <f ca="1">IFERROR(__xludf.DUMMYFUNCTION("""COMPUTED_VALUE"""),"T224")</f>
        <v>T224</v>
      </c>
      <c r="C226" t="str">
        <f ca="1">IFERROR(__xludf.DUMMYFUNCTION("""COMPUTED_VALUE"""),"Tyler Duncan")</f>
        <v>Tyler Duncan</v>
      </c>
      <c r="D226">
        <f ca="1">IFERROR(__xludf.DUMMYFUNCTION("""COMPUTED_VALUE"""),18)</f>
        <v>18</v>
      </c>
      <c r="E226">
        <f ca="1">IFERROR(__xludf.DUMMYFUNCTION("""COMPUTED_VALUE"""),288.9)</f>
        <v>288.89999999999998</v>
      </c>
      <c r="F226" s="1">
        <f ca="1">IFERROR(__xludf.DUMMYFUNCTION("""COMPUTED_VALUE"""),10402)</f>
        <v>10402</v>
      </c>
      <c r="G226">
        <f ca="1">IFERROR(__xludf.DUMMYFUNCTION("""COMPUTED_VALUE"""),36)</f>
        <v>36</v>
      </c>
    </row>
    <row r="227" spans="1:7" ht="12.75">
      <c r="A227">
        <f ca="1">IFERROR(__xludf.DUMMYFUNCTION("""COMPUTED_VALUE"""),226)</f>
        <v>226</v>
      </c>
      <c r="B227" t="str">
        <f ca="1">IFERROR(__xludf.DUMMYFUNCTION("""COMPUTED_VALUE"""),"T226")</f>
        <v>T226</v>
      </c>
      <c r="C227" t="str">
        <f ca="1">IFERROR(__xludf.DUMMYFUNCTION("""COMPUTED_VALUE"""),"Luke Donald")</f>
        <v>Luke Donald</v>
      </c>
      <c r="D227">
        <f ca="1">IFERROR(__xludf.DUMMYFUNCTION("""COMPUTED_VALUE"""),14)</f>
        <v>14</v>
      </c>
      <c r="E227">
        <f ca="1">IFERROR(__xludf.DUMMYFUNCTION("""COMPUTED_VALUE"""),288.5)</f>
        <v>288.5</v>
      </c>
      <c r="F227" s="1">
        <f ca="1">IFERROR(__xludf.DUMMYFUNCTION("""COMPUTED_VALUE"""),8077)</f>
        <v>8077</v>
      </c>
      <c r="G227">
        <f ca="1">IFERROR(__xludf.DUMMYFUNCTION("""COMPUTED_VALUE"""),28)</f>
        <v>28</v>
      </c>
    </row>
    <row r="228" spans="1:7" ht="12.75">
      <c r="A228">
        <f ca="1">IFERROR(__xludf.DUMMYFUNCTION("""COMPUTED_VALUE"""),227)</f>
        <v>227</v>
      </c>
      <c r="B228" t="str">
        <f ca="1">IFERROR(__xludf.DUMMYFUNCTION("""COMPUTED_VALUE"""),"T218")</f>
        <v>T218</v>
      </c>
      <c r="C228" t="str">
        <f ca="1">IFERROR(__xludf.DUMMYFUNCTION("""COMPUTED_VALUE"""),"Matthew Fitzpatrick")</f>
        <v>Matthew Fitzpatrick</v>
      </c>
      <c r="D228">
        <f ca="1">IFERROR(__xludf.DUMMYFUNCTION("""COMPUTED_VALUE"""),10)</f>
        <v>10</v>
      </c>
      <c r="E228">
        <f ca="1">IFERROR(__xludf.DUMMYFUNCTION("""COMPUTED_VALUE"""),288.3)</f>
        <v>288.3</v>
      </c>
      <c r="F228" s="1">
        <f ca="1">IFERROR(__xludf.DUMMYFUNCTION("""COMPUTED_VALUE"""),5766)</f>
        <v>5766</v>
      </c>
      <c r="G228">
        <f ca="1">IFERROR(__xludf.DUMMYFUNCTION("""COMPUTED_VALUE"""),20)</f>
        <v>20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IFERROR(__xludf.DUMMYFUNCTION("""COMPUTED_VALUE"""),220)</f>
        <v>220</v>
      </c>
      <c r="C229" t="str">
        <f ca="1">IFERROR(__xludf.DUMMYFUNCTION("""COMPUTED_VALUE"""),"Chase Seiffert")</f>
        <v>Chase Seiffert</v>
      </c>
      <c r="D229">
        <f ca="1">IFERROR(__xludf.DUMMYFUNCTION("""COMPUTED_VALUE"""),14)</f>
        <v>14</v>
      </c>
      <c r="E229">
        <f ca="1">IFERROR(__xludf.DUMMYFUNCTION("""COMPUTED_VALUE"""),288.2)</f>
        <v>288.2</v>
      </c>
      <c r="F229" s="1">
        <f ca="1">IFERROR(__xludf.DUMMYFUNCTION("""COMPUTED_VALUE"""),8069)</f>
        <v>8069</v>
      </c>
      <c r="G229">
        <f ca="1">IFERROR(__xludf.DUMMYFUNCTION("""COMPUTED_VALUE"""),28)</f>
        <v>28</v>
      </c>
    </row>
    <row r="230" spans="1:7" ht="12.75">
      <c r="A230">
        <f ca="1">IFERROR(__xludf.DUMMYFUNCTION("""COMPUTED_VALUE"""),229)</f>
        <v>229</v>
      </c>
      <c r="B230" t="str">
        <f ca="1">IFERROR(__xludf.DUMMYFUNCTION("""COMPUTED_VALUE"""),"T221")</f>
        <v>T221</v>
      </c>
      <c r="C230" t="str">
        <f ca="1">IFERROR(__xludf.DUMMYFUNCTION("""COMPUTED_VALUE"""),"Rob Oppenheim")</f>
        <v>Rob Oppenheim</v>
      </c>
      <c r="D230">
        <f ca="1">IFERROR(__xludf.DUMMYFUNCTION("""COMPUTED_VALUE"""),16)</f>
        <v>16</v>
      </c>
      <c r="E230">
        <f ca="1">IFERROR(__xludf.DUMMYFUNCTION("""COMPUTED_VALUE"""),288.1)</f>
        <v>288.10000000000002</v>
      </c>
      <c r="F230" s="1">
        <f ca="1">IFERROR(__xludf.DUMMYFUNCTION("""COMPUTED_VALUE"""),9218)</f>
        <v>9218</v>
      </c>
      <c r="G230">
        <f ca="1">IFERROR(__xludf.DUMMYFUNCTION("""COMPUTED_VALUE"""),32)</f>
        <v>32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IFERROR(__xludf.DUMMYFUNCTION("""COMPUTED_VALUE"""),236)</f>
        <v>236</v>
      </c>
      <c r="C231" t="str">
        <f ca="1">IFERROR(__xludf.DUMMYFUNCTION("""COMPUTED_VALUE"""),"Kelly Kraft")</f>
        <v>Kelly Kraft</v>
      </c>
      <c r="D231">
        <f ca="1">IFERROR(__xludf.DUMMYFUNCTION("""COMPUTED_VALUE"""),14)</f>
        <v>14</v>
      </c>
      <c r="E231">
        <f ca="1">IFERROR(__xludf.DUMMYFUNCTION("""COMPUTED_VALUE"""),288)</f>
        <v>288</v>
      </c>
      <c r="F231" s="1">
        <f ca="1">IFERROR(__xludf.DUMMYFUNCTION("""COMPUTED_VALUE"""),8065)</f>
        <v>8065</v>
      </c>
      <c r="G231">
        <f ca="1">IFERROR(__xludf.DUMMYFUNCTION("""COMPUTED_VALUE"""),28)</f>
        <v>28</v>
      </c>
    </row>
    <row r="232" spans="1:7" ht="12.75">
      <c r="A232">
        <f ca="1">IFERROR(__xludf.DUMMYFUNCTION("""COMPUTED_VALUE"""),231)</f>
        <v>231</v>
      </c>
      <c r="B232" t="str">
        <f ca="1">IFERROR(__xludf.DUMMYFUNCTION("""COMPUTED_VALUE"""),"T224")</f>
        <v>T224</v>
      </c>
      <c r="C232" t="str">
        <f ca="1">IFERROR(__xludf.DUMMYFUNCTION("""COMPUTED_VALUE"""),"Sangmoon Bae")</f>
        <v>Sangmoon Bae</v>
      </c>
      <c r="D232">
        <f ca="1">IFERROR(__xludf.DUMMYFUNCTION("""COMPUTED_VALUE"""),8)</f>
        <v>8</v>
      </c>
      <c r="E232">
        <f ca="1">IFERROR(__xludf.DUMMYFUNCTION("""COMPUTED_VALUE"""),287.9)</f>
        <v>287.89999999999998</v>
      </c>
      <c r="F232" s="1">
        <f ca="1">IFERROR(__xludf.DUMMYFUNCTION("""COMPUTED_VALUE"""),4607)</f>
        <v>4607</v>
      </c>
      <c r="G232">
        <f ca="1">IFERROR(__xludf.DUMMYFUNCTION("""COMPUTED_VALUE"""),16)</f>
        <v>16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IFERROR(__xludf.DUMMYFUNCTION("""COMPUTED_VALUE"""),"T226")</f>
        <v>T226</v>
      </c>
      <c r="C233" t="str">
        <f ca="1">IFERROR(__xludf.DUMMYFUNCTION("""COMPUTED_VALUE"""),"Steve Lewton")</f>
        <v>Steve Lewton</v>
      </c>
      <c r="D233">
        <f ca="1">IFERROR(__xludf.DUMMYFUNCTION("""COMPUTED_VALUE"""),4)</f>
        <v>4</v>
      </c>
      <c r="E233">
        <f ca="1">IFERROR(__xludf.DUMMYFUNCTION("""COMPUTED_VALUE"""),287.8)</f>
        <v>287.8</v>
      </c>
      <c r="F233" s="1">
        <f ca="1">IFERROR(__xludf.DUMMYFUNCTION("""COMPUTED_VALUE"""),2302)</f>
        <v>2302</v>
      </c>
      <c r="G233">
        <f ca="1">IFERROR(__xludf.DUMMYFUNCTION("""COMPUTED_VALUE"""),8)</f>
        <v>8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IFERROR(__xludf.DUMMYFUNCTION("""COMPUTED_VALUE"""),258)</f>
        <v>258</v>
      </c>
      <c r="C234" t="str">
        <f ca="1">IFERROR(__xludf.DUMMYFUNCTION("""COMPUTED_VALUE"""),"Chris Kirk")</f>
        <v>Chris Kirk</v>
      </c>
      <c r="D234">
        <f ca="1">IFERROR(__xludf.DUMMYFUNCTION("""COMPUTED_VALUE"""),10)</f>
        <v>10</v>
      </c>
      <c r="E234">
        <f ca="1">IFERROR(__xludf.DUMMYFUNCTION("""COMPUTED_VALUE"""),287.7)</f>
        <v>287.7</v>
      </c>
      <c r="F234" s="1">
        <f ca="1">IFERROR(__xludf.DUMMYFUNCTION("""COMPUTED_VALUE"""),5753)</f>
        <v>5753</v>
      </c>
      <c r="G234">
        <f ca="1">IFERROR(__xludf.DUMMYFUNCTION("""COMPUTED_VALUE"""),20)</f>
        <v>20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IFERROR(__xludf.DUMMYFUNCTION("""COMPUTED_VALUE"""),228)</f>
        <v>228</v>
      </c>
      <c r="C235" t="str">
        <f ca="1">IFERROR(__xludf.DUMMYFUNCTION("""COMPUTED_VALUE"""),"Matt Every")</f>
        <v>Matt Every</v>
      </c>
      <c r="D235">
        <f ca="1">IFERROR(__xludf.DUMMYFUNCTION("""COMPUTED_VALUE"""),8)</f>
        <v>8</v>
      </c>
      <c r="E235">
        <f ca="1">IFERROR(__xludf.DUMMYFUNCTION("""COMPUTED_VALUE"""),287.6)</f>
        <v>287.60000000000002</v>
      </c>
      <c r="F235" s="1">
        <f ca="1">IFERROR(__xludf.DUMMYFUNCTION("""COMPUTED_VALUE"""),4602)</f>
        <v>4602</v>
      </c>
      <c r="G235">
        <f ca="1">IFERROR(__xludf.DUMMYFUNCTION("""COMPUTED_VALUE"""),16)</f>
        <v>16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IFERROR(__xludf.DUMMYFUNCTION("""COMPUTED_VALUE"""),229)</f>
        <v>229</v>
      </c>
      <c r="C236" t="str">
        <f ca="1">IFERROR(__xludf.DUMMYFUNCTION("""COMPUTED_VALUE"""),"Rafael Campos")</f>
        <v>Rafael Campos</v>
      </c>
      <c r="D236">
        <f ca="1">IFERROR(__xludf.DUMMYFUNCTION("""COMPUTED_VALUE"""),6)</f>
        <v>6</v>
      </c>
      <c r="E236">
        <f ca="1">IFERROR(__xludf.DUMMYFUNCTION("""COMPUTED_VALUE"""),287.5)</f>
        <v>287.5</v>
      </c>
      <c r="F236" s="1">
        <f ca="1">IFERROR(__xludf.DUMMYFUNCTION("""COMPUTED_VALUE"""),3450)</f>
        <v>3450</v>
      </c>
      <c r="G236">
        <f ca="1">IFERROR(__xludf.DUMMYFUNCTION("""COMPUTED_VALUE"""),12)</f>
        <v>12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IFERROR(__xludf.DUMMYFUNCTION("""COMPUTED_VALUE"""),230)</f>
        <v>230</v>
      </c>
      <c r="C237" t="str">
        <f ca="1">IFERROR(__xludf.DUMMYFUNCTION("""COMPUTED_VALUE"""),"Kyle Stanley")</f>
        <v>Kyle Stanley</v>
      </c>
      <c r="D237">
        <f ca="1">IFERROR(__xludf.DUMMYFUNCTION("""COMPUTED_VALUE"""),16)</f>
        <v>16</v>
      </c>
      <c r="E237">
        <f ca="1">IFERROR(__xludf.DUMMYFUNCTION("""COMPUTED_VALUE"""),287.4)</f>
        <v>287.39999999999998</v>
      </c>
      <c r="F237" s="1">
        <f ca="1">IFERROR(__xludf.DUMMYFUNCTION("""COMPUTED_VALUE"""),9196)</f>
        <v>9196</v>
      </c>
      <c r="G237">
        <f ca="1">IFERROR(__xludf.DUMMYFUNCTION("""COMPUTED_VALUE"""),32)</f>
        <v>32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IFERROR(__xludf.DUMMYFUNCTION("""COMPUTED_VALUE"""),231)</f>
        <v>231</v>
      </c>
      <c r="C238" t="str">
        <f ca="1">IFERROR(__xludf.DUMMYFUNCTION("""COMPUTED_VALUE"""),"Chez Reavie")</f>
        <v>Chez Reavie</v>
      </c>
      <c r="D238">
        <f ca="1">IFERROR(__xludf.DUMMYFUNCTION("""COMPUTED_VALUE"""),14)</f>
        <v>14</v>
      </c>
      <c r="E238">
        <f ca="1">IFERROR(__xludf.DUMMYFUNCTION("""COMPUTED_VALUE"""),287.2)</f>
        <v>287.2</v>
      </c>
      <c r="F238" s="1">
        <f ca="1">IFERROR(__xludf.DUMMYFUNCTION("""COMPUTED_VALUE"""),8041)</f>
        <v>8041</v>
      </c>
      <c r="G238">
        <f ca="1">IFERROR(__xludf.DUMMYFUNCTION("""COMPUTED_VALUE"""),28)</f>
        <v>28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IFERROR(__xludf.DUMMYFUNCTION("""COMPUTED_VALUE"""),232)</f>
        <v>232</v>
      </c>
      <c r="C239" t="str">
        <f ca="1">IFERROR(__xludf.DUMMYFUNCTION("""COMPUTED_VALUE"""),"Gunn Charoenkul")</f>
        <v>Gunn Charoenkul</v>
      </c>
      <c r="D239">
        <f ca="1">IFERROR(__xludf.DUMMYFUNCTION("""COMPUTED_VALUE"""),4)</f>
        <v>4</v>
      </c>
      <c r="E239">
        <f ca="1">IFERROR(__xludf.DUMMYFUNCTION("""COMPUTED_VALUE"""),287.1)</f>
        <v>287.10000000000002</v>
      </c>
      <c r="F239" s="1">
        <f ca="1">IFERROR(__xludf.DUMMYFUNCTION("""COMPUTED_VALUE"""),2297)</f>
        <v>2297</v>
      </c>
      <c r="G239">
        <f ca="1">IFERROR(__xludf.DUMMYFUNCTION("""COMPUTED_VALUE"""),8)</f>
        <v>8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IFERROR(__xludf.DUMMYFUNCTION("""COMPUTED_VALUE"""),233)</f>
        <v>233</v>
      </c>
      <c r="C240" t="str">
        <f ca="1">IFERROR(__xludf.DUMMYFUNCTION("""COMPUTED_VALUE"""),"Matt Kuchar")</f>
        <v>Matt Kuchar</v>
      </c>
      <c r="D240">
        <f ca="1">IFERROR(__xludf.DUMMYFUNCTION("""COMPUTED_VALUE"""),14)</f>
        <v>14</v>
      </c>
      <c r="E240">
        <f ca="1">IFERROR(__xludf.DUMMYFUNCTION("""COMPUTED_VALUE"""),286.9)</f>
        <v>286.89999999999998</v>
      </c>
      <c r="F240" s="1">
        <f ca="1">IFERROR(__xludf.DUMMYFUNCTION("""COMPUTED_VALUE"""),8032)</f>
        <v>8032</v>
      </c>
      <c r="G240">
        <f ca="1">IFERROR(__xludf.DUMMYFUNCTION("""COMPUTED_VALUE"""),28)</f>
        <v>28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IFERROR(__xludf.DUMMYFUNCTION("""COMPUTED_VALUE"""),234)</f>
        <v>234</v>
      </c>
      <c r="C241" t="str">
        <f ca="1">IFERROR(__xludf.DUMMYFUNCTION("""COMPUTED_VALUE"""),"Jim Furyk")</f>
        <v>Jim Furyk</v>
      </c>
      <c r="D241">
        <f ca="1">IFERROR(__xludf.DUMMYFUNCTION("""COMPUTED_VALUE"""),4)</f>
        <v>4</v>
      </c>
      <c r="E241">
        <f ca="1">IFERROR(__xludf.DUMMYFUNCTION("""COMPUTED_VALUE"""),286.5)</f>
        <v>286.5</v>
      </c>
      <c r="F241" s="1">
        <f ca="1">IFERROR(__xludf.DUMMYFUNCTION("""COMPUTED_VALUE"""),2292)</f>
        <v>2292</v>
      </c>
      <c r="G241">
        <f ca="1">IFERROR(__xludf.DUMMYFUNCTION("""COMPUTED_VALUE"""),8)</f>
        <v>8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IFERROR(__xludf.DUMMYFUNCTION("""COMPUTED_VALUE"""),235)</f>
        <v>235</v>
      </c>
      <c r="C242" t="str">
        <f ca="1">IFERROR(__xludf.DUMMYFUNCTION("""COMPUTED_VALUE"""),"Cameron Percy")</f>
        <v>Cameron Percy</v>
      </c>
      <c r="D242">
        <f ca="1">IFERROR(__xludf.DUMMYFUNCTION("""COMPUTED_VALUE"""),16)</f>
        <v>16</v>
      </c>
      <c r="E242">
        <f ca="1">IFERROR(__xludf.DUMMYFUNCTION("""COMPUTED_VALUE"""),286.3)</f>
        <v>286.3</v>
      </c>
      <c r="F242" s="1">
        <f ca="1">IFERROR(__xludf.DUMMYFUNCTION("""COMPUTED_VALUE"""),9163)</f>
        <v>9163</v>
      </c>
      <c r="G242">
        <f ca="1">IFERROR(__xludf.DUMMYFUNCTION("""COMPUTED_VALUE"""),32)</f>
        <v>32</v>
      </c>
    </row>
    <row r="243" spans="1:7" ht="12.75">
      <c r="A243">
        <f ca="1">IFERROR(__xludf.DUMMYFUNCTION("""COMPUTED_VALUE"""),242)</f>
        <v>242</v>
      </c>
      <c r="B243" t="str">
        <f ca="1">IFERROR(__xludf.DUMMYFUNCTION("""COMPUTED_VALUE"""),"T244")</f>
        <v>T244</v>
      </c>
      <c r="C243" t="str">
        <f ca="1">IFERROR(__xludf.DUMMYFUNCTION("""COMPUTED_VALUE"""),"Brian Stuard")</f>
        <v>Brian Stuard</v>
      </c>
      <c r="D243">
        <f ca="1">IFERROR(__xludf.DUMMYFUNCTION("""COMPUTED_VALUE"""),18)</f>
        <v>18</v>
      </c>
      <c r="E243">
        <f ca="1">IFERROR(__xludf.DUMMYFUNCTION("""COMPUTED_VALUE"""),286.1)</f>
        <v>286.10000000000002</v>
      </c>
      <c r="F243" s="1">
        <f ca="1">IFERROR(__xludf.DUMMYFUNCTION("""COMPUTED_VALUE"""),10298)</f>
        <v>10298</v>
      </c>
      <c r="G243">
        <f ca="1">IFERROR(__xludf.DUMMYFUNCTION("""COMPUTED_VALUE"""),36)</f>
        <v>36</v>
      </c>
    </row>
    <row r="244" spans="1:7" ht="12.75">
      <c r="A244" t="str">
        <f ca="1">IFERROR(__xludf.DUMMYFUNCTION("""COMPUTED_VALUE"""),"T243")</f>
        <v>T243</v>
      </c>
      <c r="B244" t="str">
        <f ca="1">IFERROR(__xludf.DUMMYFUNCTION("""COMPUTED_VALUE"""),"T237")</f>
        <v>T237</v>
      </c>
      <c r="C244" t="str">
        <f ca="1">IFERROR(__xludf.DUMMYFUNCTION("""COMPUTED_VALUE"""),"William McGirt")</f>
        <v>William McGirt</v>
      </c>
      <c r="D244">
        <f ca="1">IFERROR(__xludf.DUMMYFUNCTION("""COMPUTED_VALUE"""),6)</f>
        <v>6</v>
      </c>
      <c r="E244">
        <f ca="1">IFERROR(__xludf.DUMMYFUNCTION("""COMPUTED_VALUE"""),285.5)</f>
        <v>285.5</v>
      </c>
      <c r="F244" s="1">
        <f ca="1">IFERROR(__xludf.DUMMYFUNCTION("""COMPUTED_VALUE"""),3426)</f>
        <v>3426</v>
      </c>
      <c r="G244">
        <f ca="1">IFERROR(__xludf.DUMMYFUNCTION("""COMPUTED_VALUE"""),12)</f>
        <v>12</v>
      </c>
    </row>
    <row r="245" spans="1:7" ht="12.75">
      <c r="A245" t="str">
        <f ca="1">IFERROR(__xludf.DUMMYFUNCTION("""COMPUTED_VALUE"""),"T243")</f>
        <v>T243</v>
      </c>
      <c r="B245">
        <f ca="1">IFERROR(__xludf.DUMMYFUNCTION("""COMPUTED_VALUE"""),256)</f>
        <v>256</v>
      </c>
      <c r="C245" t="str">
        <f ca="1">IFERROR(__xludf.DUMMYFUNCTION("""COMPUTED_VALUE"""),"Henrik Stenson")</f>
        <v>Henrik Stenson</v>
      </c>
      <c r="D245">
        <f ca="1">IFERROR(__xludf.DUMMYFUNCTION("""COMPUTED_VALUE"""),11)</f>
        <v>11</v>
      </c>
      <c r="E245">
        <f ca="1">IFERROR(__xludf.DUMMYFUNCTION("""COMPUTED_VALUE"""),285.5)</f>
        <v>285.5</v>
      </c>
      <c r="F245" s="1">
        <f ca="1">IFERROR(__xludf.DUMMYFUNCTION("""COMPUTED_VALUE"""),6282)</f>
        <v>6282</v>
      </c>
      <c r="G245">
        <f ca="1">IFERROR(__xludf.DUMMYFUNCTION("""COMPUTED_VALUE"""),22)</f>
        <v>22</v>
      </c>
    </row>
    <row r="246" spans="1:7" ht="12.75">
      <c r="A246" t="str">
        <f ca="1">IFERROR(__xludf.DUMMYFUNCTION("""COMPUTED_VALUE"""),"T243")</f>
        <v>T243</v>
      </c>
      <c r="B246" t="str">
        <f ca="1">IFERROR(__xludf.DUMMYFUNCTION("""COMPUTED_VALUE"""),"T237")</f>
        <v>T237</v>
      </c>
      <c r="C246" t="str">
        <f ca="1">IFERROR(__xludf.DUMMYFUNCTION("""COMPUTED_VALUE"""),"Michael Miller")</f>
        <v>Michael Miller</v>
      </c>
      <c r="D246">
        <f ca="1">IFERROR(__xludf.DUMMYFUNCTION("""COMPUTED_VALUE"""),4)</f>
        <v>4</v>
      </c>
      <c r="E246">
        <f ca="1">IFERROR(__xludf.DUMMYFUNCTION("""COMPUTED_VALUE"""),285.5)</f>
        <v>285.5</v>
      </c>
      <c r="F246" s="1">
        <f ca="1">IFERROR(__xludf.DUMMYFUNCTION("""COMPUTED_VALUE"""),2284)</f>
        <v>2284</v>
      </c>
      <c r="G246">
        <f ca="1">IFERROR(__xludf.DUMMYFUNCTION("""COMPUTED_VALUE"""),8)</f>
        <v>8</v>
      </c>
    </row>
    <row r="247" spans="1:7" ht="12.75">
      <c r="A247" t="str">
        <f ca="1">IFERROR(__xludf.DUMMYFUNCTION("""COMPUTED_VALUE"""),"T246")</f>
        <v>T246</v>
      </c>
      <c r="B247" t="str">
        <f ca="1">IFERROR(__xludf.DUMMYFUNCTION("""COMPUTED_VALUE"""),"T239")</f>
        <v>T239</v>
      </c>
      <c r="C247" t="str">
        <f ca="1">IFERROR(__xludf.DUMMYFUNCTION("""COMPUTED_VALUE"""),"Mark Anderson")</f>
        <v>Mark Anderson</v>
      </c>
      <c r="D247">
        <f ca="1">IFERROR(__xludf.DUMMYFUNCTION("""COMPUTED_VALUE"""),14)</f>
        <v>14</v>
      </c>
      <c r="E247">
        <f ca="1">IFERROR(__xludf.DUMMYFUNCTION("""COMPUTED_VALUE"""),285.4)</f>
        <v>285.39999999999998</v>
      </c>
      <c r="F247" s="1">
        <f ca="1">IFERROR(__xludf.DUMMYFUNCTION("""COMPUTED_VALUE"""),7991)</f>
        <v>7991</v>
      </c>
      <c r="G247">
        <f ca="1">IFERROR(__xludf.DUMMYFUNCTION("""COMPUTED_VALUE"""),28)</f>
        <v>28</v>
      </c>
    </row>
    <row r="248" spans="1:7" ht="12.75">
      <c r="A248" t="str">
        <f ca="1">IFERROR(__xludf.DUMMYFUNCTION("""COMPUTED_VALUE"""),"T246")</f>
        <v>T246</v>
      </c>
      <c r="B248" t="str">
        <f ca="1">IFERROR(__xludf.DUMMYFUNCTION("""COMPUTED_VALUE"""),"T239")</f>
        <v>T239</v>
      </c>
      <c r="C248" t="str">
        <f ca="1">IFERROR(__xludf.DUMMYFUNCTION("""COMPUTED_VALUE"""),"J.J. Spaun")</f>
        <v>J.J. Spaun</v>
      </c>
      <c r="D248">
        <f ca="1">IFERROR(__xludf.DUMMYFUNCTION("""COMPUTED_VALUE"""),10)</f>
        <v>10</v>
      </c>
      <c r="E248">
        <f ca="1">IFERROR(__xludf.DUMMYFUNCTION("""COMPUTED_VALUE"""),285.4)</f>
        <v>285.39999999999998</v>
      </c>
      <c r="F248" s="1">
        <f ca="1">IFERROR(__xludf.DUMMYFUNCTION("""COMPUTED_VALUE"""),5707)</f>
        <v>5707</v>
      </c>
      <c r="G248">
        <f ca="1">IFERROR(__xludf.DUMMYFUNCTION("""COMPUTED_VALUE"""),20)</f>
        <v>20</v>
      </c>
    </row>
    <row r="249" spans="1:7" ht="12.75">
      <c r="A249" t="str">
        <f ca="1">IFERROR(__xludf.DUMMYFUNCTION("""COMPUTED_VALUE"""),"T248")</f>
        <v>T248</v>
      </c>
      <c r="B249" t="str">
        <f ca="1">IFERROR(__xludf.DUMMYFUNCTION("""COMPUTED_VALUE"""),"T241")</f>
        <v>T241</v>
      </c>
      <c r="C249" t="str">
        <f ca="1">IFERROR(__xludf.DUMMYFUNCTION("""COMPUTED_VALUE"""),"Josh Teater")</f>
        <v>Josh Teater</v>
      </c>
      <c r="D249">
        <f ca="1">IFERROR(__xludf.DUMMYFUNCTION("""COMPUTED_VALUE"""),6)</f>
        <v>6</v>
      </c>
      <c r="E249">
        <f ca="1">IFERROR(__xludf.DUMMYFUNCTION("""COMPUTED_VALUE"""),285.1)</f>
        <v>285.10000000000002</v>
      </c>
      <c r="F249" s="1">
        <f ca="1">IFERROR(__xludf.DUMMYFUNCTION("""COMPUTED_VALUE"""),3421)</f>
        <v>3421</v>
      </c>
      <c r="G249">
        <f ca="1">IFERROR(__xludf.DUMMYFUNCTION("""COMPUTED_VALUE"""),12)</f>
        <v>12</v>
      </c>
    </row>
    <row r="250" spans="1:7" ht="12.75">
      <c r="A250" t="str">
        <f ca="1">IFERROR(__xludf.DUMMYFUNCTION("""COMPUTED_VALUE"""),"T248")</f>
        <v>T248</v>
      </c>
      <c r="B250" t="str">
        <f ca="1">IFERROR(__xludf.DUMMYFUNCTION("""COMPUTED_VALUE"""),"T241")</f>
        <v>T241</v>
      </c>
      <c r="C250" t="str">
        <f ca="1">IFERROR(__xludf.DUMMYFUNCTION("""COMPUTED_VALUE"""),"Jay McLuen")</f>
        <v>Jay McLuen</v>
      </c>
      <c r="D250">
        <f ca="1">IFERROR(__xludf.DUMMYFUNCTION("""COMPUTED_VALUE"""),4)</f>
        <v>4</v>
      </c>
      <c r="E250">
        <f ca="1">IFERROR(__xludf.DUMMYFUNCTION("""COMPUTED_VALUE"""),285.1)</f>
        <v>285.10000000000002</v>
      </c>
      <c r="F250" s="1">
        <f ca="1">IFERROR(__xludf.DUMMYFUNCTION("""COMPUTED_VALUE"""),2281)</f>
        <v>2281</v>
      </c>
      <c r="G250">
        <f ca="1">IFERROR(__xludf.DUMMYFUNCTION("""COMPUTED_VALUE"""),8)</f>
        <v>8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IFERROR(__xludf.DUMMYFUNCTION("""COMPUTED_VALUE"""),243)</f>
        <v>243</v>
      </c>
      <c r="C251" t="str">
        <f ca="1">IFERROR(__xludf.DUMMYFUNCTION("""COMPUTED_VALUE"""),"Jazz Janewattananond")</f>
        <v>Jazz Janewattananond</v>
      </c>
      <c r="D251">
        <f ca="1">IFERROR(__xludf.DUMMYFUNCTION("""COMPUTED_VALUE"""),6)</f>
        <v>6</v>
      </c>
      <c r="E251">
        <f ca="1">IFERROR(__xludf.DUMMYFUNCTION("""COMPUTED_VALUE"""),285)</f>
        <v>285</v>
      </c>
      <c r="F251" s="1">
        <f ca="1">IFERROR(__xludf.DUMMYFUNCTION("""COMPUTED_VALUE"""),3420)</f>
        <v>3420</v>
      </c>
      <c r="G251">
        <f ca="1">IFERROR(__xludf.DUMMYFUNCTION("""COMPUTED_VALUE"""),12)</f>
        <v>12</v>
      </c>
    </row>
    <row r="252" spans="1:7" ht="12.75">
      <c r="A252">
        <f ca="1">IFERROR(__xludf.DUMMYFUNCTION("""COMPUTED_VALUE"""),251)</f>
        <v>251</v>
      </c>
      <c r="B252" t="str">
        <f ca="1">IFERROR(__xludf.DUMMYFUNCTION("""COMPUTED_VALUE"""),"T260")</f>
        <v>T260</v>
      </c>
      <c r="C252" t="str">
        <f ca="1">IFERROR(__xludf.DUMMYFUNCTION("""COMPUTED_VALUE"""),"Fabián Gómez")</f>
        <v>Fabián Gómez</v>
      </c>
      <c r="D252">
        <f ca="1">IFERROR(__xludf.DUMMYFUNCTION("""COMPUTED_VALUE"""),16)</f>
        <v>16</v>
      </c>
      <c r="E252">
        <f ca="1">IFERROR(__xludf.DUMMYFUNCTION("""COMPUTED_VALUE"""),284.7)</f>
        <v>284.7</v>
      </c>
      <c r="F252" s="1">
        <f ca="1">IFERROR(__xludf.DUMMYFUNCTION("""COMPUTED_VALUE"""),9111)</f>
        <v>9111</v>
      </c>
      <c r="G252">
        <f ca="1">IFERROR(__xludf.DUMMYFUNCTION("""COMPUTED_VALUE"""),32)</f>
        <v>32</v>
      </c>
    </row>
    <row r="253" spans="1:7" ht="12.75">
      <c r="A253">
        <f ca="1">IFERROR(__xludf.DUMMYFUNCTION("""COMPUTED_VALUE"""),252)</f>
        <v>252</v>
      </c>
      <c r="B253" t="str">
        <f ca="1">IFERROR(__xludf.DUMMYFUNCTION("""COMPUTED_VALUE"""),"T244")</f>
        <v>T244</v>
      </c>
      <c r="C253" t="str">
        <f ca="1">IFERROR(__xludf.DUMMYFUNCTION("""COMPUTED_VALUE"""),"Jonathan Byrd")</f>
        <v>Jonathan Byrd</v>
      </c>
      <c r="D253">
        <f ca="1">IFERROR(__xludf.DUMMYFUNCTION("""COMPUTED_VALUE"""),14)</f>
        <v>14</v>
      </c>
      <c r="E253">
        <f ca="1">IFERROR(__xludf.DUMMYFUNCTION("""COMPUTED_VALUE"""),284.6)</f>
        <v>284.60000000000002</v>
      </c>
      <c r="F253" s="1">
        <f ca="1">IFERROR(__xludf.DUMMYFUNCTION("""COMPUTED_VALUE"""),7969)</f>
        <v>7969</v>
      </c>
      <c r="G253">
        <f ca="1">IFERROR(__xludf.DUMMYFUNCTION("""COMPUTED_VALUE"""),28)</f>
        <v>28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IFERROR(__xludf.DUMMYFUNCTION("""COMPUTED_VALUE"""),246)</f>
        <v>246</v>
      </c>
      <c r="C254" t="str">
        <f ca="1">IFERROR(__xludf.DUMMYFUNCTION("""COMPUTED_VALUE"""),"Eric Dugas")</f>
        <v>Eric Dugas</v>
      </c>
      <c r="D254">
        <f ca="1">IFERROR(__xludf.DUMMYFUNCTION("""COMPUTED_VALUE"""),4)</f>
        <v>4</v>
      </c>
      <c r="E254">
        <f ca="1">IFERROR(__xludf.DUMMYFUNCTION("""COMPUTED_VALUE"""),284.5)</f>
        <v>284.5</v>
      </c>
      <c r="F254" s="1">
        <f ca="1">IFERROR(__xludf.DUMMYFUNCTION("""COMPUTED_VALUE"""),2276)</f>
        <v>2276</v>
      </c>
      <c r="G254">
        <f ca="1">IFERROR(__xludf.DUMMYFUNCTION("""COMPUTED_VALUE"""),8)</f>
        <v>8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IFERROR(__xludf.DUMMYFUNCTION("""COMPUTED_VALUE"""),259)</f>
        <v>259</v>
      </c>
      <c r="C255" t="str">
        <f ca="1">IFERROR(__xludf.DUMMYFUNCTION("""COMPUTED_VALUE"""),"Vaughn Taylor")</f>
        <v>Vaughn Taylor</v>
      </c>
      <c r="D255">
        <f ca="1">IFERROR(__xludf.DUMMYFUNCTION("""COMPUTED_VALUE"""),12)</f>
        <v>12</v>
      </c>
      <c r="E255">
        <f ca="1">IFERROR(__xludf.DUMMYFUNCTION("""COMPUTED_VALUE"""),284.4)</f>
        <v>284.39999999999998</v>
      </c>
      <c r="F255" s="1">
        <f ca="1">IFERROR(__xludf.DUMMYFUNCTION("""COMPUTED_VALUE"""),6826)</f>
        <v>6826</v>
      </c>
      <c r="G255">
        <f ca="1">IFERROR(__xludf.DUMMYFUNCTION("""COMPUTED_VALUE"""),24)</f>
        <v>24</v>
      </c>
    </row>
    <row r="256" spans="1:7" ht="12.75">
      <c r="A256" t="str">
        <f ca="1">IFERROR(__xludf.DUMMYFUNCTION("""COMPUTED_VALUE"""),"T255")</f>
        <v>T255</v>
      </c>
      <c r="B256" t="str">
        <f ca="1">IFERROR(__xludf.DUMMYFUNCTION("""COMPUTED_VALUE"""),"T247")</f>
        <v>T247</v>
      </c>
      <c r="C256" t="str">
        <f ca="1">IFERROR(__xludf.DUMMYFUNCTION("""COMPUTED_VALUE"""),"J.J. Henry")</f>
        <v>J.J. Henry</v>
      </c>
      <c r="D256">
        <f ca="1">IFERROR(__xludf.DUMMYFUNCTION("""COMPUTED_VALUE"""),4)</f>
        <v>4</v>
      </c>
      <c r="E256">
        <f ca="1">IFERROR(__xludf.DUMMYFUNCTION("""COMPUTED_VALUE"""),284.3)</f>
        <v>284.3</v>
      </c>
      <c r="F256" s="1">
        <f ca="1">IFERROR(__xludf.DUMMYFUNCTION("""COMPUTED_VALUE"""),2274)</f>
        <v>2274</v>
      </c>
      <c r="G256">
        <f ca="1">IFERROR(__xludf.DUMMYFUNCTION("""COMPUTED_VALUE"""),8)</f>
        <v>8</v>
      </c>
    </row>
    <row r="257" spans="1:7" ht="12.75">
      <c r="A257" t="str">
        <f ca="1">IFERROR(__xludf.DUMMYFUNCTION("""COMPUTED_VALUE"""),"T255")</f>
        <v>T255</v>
      </c>
      <c r="B257" t="str">
        <f ca="1">IFERROR(__xludf.DUMMYFUNCTION("""COMPUTED_VALUE"""),"T247")</f>
        <v>T247</v>
      </c>
      <c r="C257" t="str">
        <f ca="1">IFERROR(__xludf.DUMMYFUNCTION("""COMPUTED_VALUE"""),"Ben Martin")</f>
        <v>Ben Martin</v>
      </c>
      <c r="D257">
        <f ca="1">IFERROR(__xludf.DUMMYFUNCTION("""COMPUTED_VALUE"""),6)</f>
        <v>6</v>
      </c>
      <c r="E257">
        <f ca="1">IFERROR(__xludf.DUMMYFUNCTION("""COMPUTED_VALUE"""),284.3)</f>
        <v>284.3</v>
      </c>
      <c r="F257" s="1">
        <f ca="1">IFERROR(__xludf.DUMMYFUNCTION("""COMPUTED_VALUE"""),3411)</f>
        <v>3411</v>
      </c>
      <c r="G257">
        <f ca="1">IFERROR(__xludf.DUMMYFUNCTION("""COMPUTED_VALUE"""),12)</f>
        <v>12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IFERROR(__xludf.DUMMYFUNCTION("""COMPUTED_VALUE"""),"")</f>
        <v/>
      </c>
      <c r="C258" t="str">
        <f ca="1">IFERROR(__xludf.DUMMYFUNCTION("""COMPUTED_VALUE"""),"Greg Chalmers")</f>
        <v>Greg Chalmers</v>
      </c>
      <c r="D258">
        <f ca="1">IFERROR(__xludf.DUMMYFUNCTION("""COMPUTED_VALUE"""),6)</f>
        <v>6</v>
      </c>
      <c r="E258">
        <f ca="1">IFERROR(__xludf.DUMMYFUNCTION("""COMPUTED_VALUE"""),284.2)</f>
        <v>284.2</v>
      </c>
      <c r="F258" s="1">
        <f ca="1">IFERROR(__xludf.DUMMYFUNCTION("""COMPUTED_VALUE"""),3410)</f>
        <v>3410</v>
      </c>
      <c r="G258">
        <f ca="1">IFERROR(__xludf.DUMMYFUNCTION("""COMPUTED_VALUE"""),12)</f>
        <v>12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IFERROR(__xludf.DUMMYFUNCTION("""COMPUTED_VALUE"""),249)</f>
        <v>249</v>
      </c>
      <c r="C259" t="str">
        <f ca="1">IFERROR(__xludf.DUMMYFUNCTION("""COMPUTED_VALUE"""),"Shaun Norris")</f>
        <v>Shaun Norris</v>
      </c>
      <c r="D259">
        <f ca="1">IFERROR(__xludf.DUMMYFUNCTION("""COMPUTED_VALUE"""),6)</f>
        <v>6</v>
      </c>
      <c r="E259">
        <f ca="1">IFERROR(__xludf.DUMMYFUNCTION("""COMPUTED_VALUE"""),284.1)</f>
        <v>284.10000000000002</v>
      </c>
      <c r="F259" s="1">
        <f ca="1">IFERROR(__xludf.DUMMYFUNCTION("""COMPUTED_VALUE"""),3409)</f>
        <v>3409</v>
      </c>
      <c r="G259">
        <f ca="1">IFERROR(__xludf.DUMMYFUNCTION("""COMPUTED_VALUE"""),12)</f>
        <v>12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IFERROR(__xludf.DUMMYFUNCTION("""COMPUTED_VALUE"""),250)</f>
        <v>250</v>
      </c>
      <c r="C260" t="str">
        <f ca="1">IFERROR(__xludf.DUMMYFUNCTION("""COMPUTED_VALUE"""),"Johnson Wagner")</f>
        <v>Johnson Wagner</v>
      </c>
      <c r="D260">
        <f ca="1">IFERROR(__xludf.DUMMYFUNCTION("""COMPUTED_VALUE"""),8)</f>
        <v>8</v>
      </c>
      <c r="E260">
        <f ca="1">IFERROR(__xludf.DUMMYFUNCTION("""COMPUTED_VALUE"""),283.9)</f>
        <v>283.89999999999998</v>
      </c>
      <c r="F260" s="1">
        <f ca="1">IFERROR(__xludf.DUMMYFUNCTION("""COMPUTED_VALUE"""),4542)</f>
        <v>4542</v>
      </c>
      <c r="G260">
        <f ca="1">IFERROR(__xludf.DUMMYFUNCTION("""COMPUTED_VALUE"""),16)</f>
        <v>16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IFERROR(__xludf.DUMMYFUNCTION("""COMPUTED_VALUE"""),251)</f>
        <v>251</v>
      </c>
      <c r="C261" t="str">
        <f ca="1">IFERROR(__xludf.DUMMYFUNCTION("""COMPUTED_VALUE"""),"Zac Blair")</f>
        <v>Zac Blair</v>
      </c>
      <c r="D261">
        <f ca="1">IFERROR(__xludf.DUMMYFUNCTION("""COMPUTED_VALUE"""),10)</f>
        <v>10</v>
      </c>
      <c r="E261">
        <f ca="1">IFERROR(__xludf.DUMMYFUNCTION("""COMPUTED_VALUE"""),283.8)</f>
        <v>283.8</v>
      </c>
      <c r="F261" s="1">
        <f ca="1">IFERROR(__xludf.DUMMYFUNCTION("""COMPUTED_VALUE"""),5675)</f>
        <v>5675</v>
      </c>
      <c r="G261">
        <f ca="1">IFERROR(__xludf.DUMMYFUNCTION("""COMPUTED_VALUE"""),20)</f>
        <v>20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IFERROR(__xludf.DUMMYFUNCTION("""COMPUTED_VALUE"""),252)</f>
        <v>252</v>
      </c>
      <c r="C262" t="str">
        <f ca="1">IFERROR(__xludf.DUMMYFUNCTION("""COMPUTED_VALUE"""),"Chris Stroud")</f>
        <v>Chris Stroud</v>
      </c>
      <c r="D262">
        <f ca="1">IFERROR(__xludf.DUMMYFUNCTION("""COMPUTED_VALUE"""),6)</f>
        <v>6</v>
      </c>
      <c r="E262">
        <f ca="1">IFERROR(__xludf.DUMMYFUNCTION("""COMPUTED_VALUE"""),283.3)</f>
        <v>283.3</v>
      </c>
      <c r="F262" s="1">
        <f ca="1">IFERROR(__xludf.DUMMYFUNCTION("""COMPUTED_VALUE"""),3399)</f>
        <v>3399</v>
      </c>
      <c r="G262">
        <f ca="1">IFERROR(__xludf.DUMMYFUNCTION("""COMPUTED_VALUE"""),12)</f>
        <v>12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IFERROR(__xludf.DUMMYFUNCTION("""COMPUTED_VALUE"""),253)</f>
        <v>253</v>
      </c>
      <c r="C263" t="str">
        <f ca="1">IFERROR(__xludf.DUMMYFUNCTION("""COMPUTED_VALUE"""),"George McNeill")</f>
        <v>George McNeill</v>
      </c>
      <c r="D263">
        <f ca="1">IFERROR(__xludf.DUMMYFUNCTION("""COMPUTED_VALUE"""),8)</f>
        <v>8</v>
      </c>
      <c r="E263">
        <f ca="1">IFERROR(__xludf.DUMMYFUNCTION("""COMPUTED_VALUE"""),282.9)</f>
        <v>282.89999999999998</v>
      </c>
      <c r="F263" s="1">
        <f ca="1">IFERROR(__xludf.DUMMYFUNCTION("""COMPUTED_VALUE"""),4527)</f>
        <v>4527</v>
      </c>
      <c r="G263">
        <f ca="1">IFERROR(__xludf.DUMMYFUNCTION("""COMPUTED_VALUE"""),16)</f>
        <v>16</v>
      </c>
    </row>
    <row r="264" spans="1:7" ht="12.75">
      <c r="A264" t="str">
        <f ca="1">IFERROR(__xludf.DUMMYFUNCTION("""COMPUTED_VALUE"""),"T263")</f>
        <v>T263</v>
      </c>
      <c r="B264" t="str">
        <f ca="1">IFERROR(__xludf.DUMMYFUNCTION("""COMPUTED_VALUE"""),"T254")</f>
        <v>T254</v>
      </c>
      <c r="C264" t="str">
        <f ca="1">IFERROR(__xludf.DUMMYFUNCTION("""COMPUTED_VALUE"""),"John Senden")</f>
        <v>John Senden</v>
      </c>
      <c r="D264">
        <f ca="1">IFERROR(__xludf.DUMMYFUNCTION("""COMPUTED_VALUE"""),8)</f>
        <v>8</v>
      </c>
      <c r="E264">
        <f ca="1">IFERROR(__xludf.DUMMYFUNCTION("""COMPUTED_VALUE"""),282.8)</f>
        <v>282.8</v>
      </c>
      <c r="F264" s="1">
        <f ca="1">IFERROR(__xludf.DUMMYFUNCTION("""COMPUTED_VALUE"""),4524)</f>
        <v>4524</v>
      </c>
      <c r="G264">
        <f ca="1">IFERROR(__xludf.DUMMYFUNCTION("""COMPUTED_VALUE"""),16)</f>
        <v>16</v>
      </c>
    </row>
    <row r="265" spans="1:7" ht="12.75">
      <c r="A265" t="str">
        <f ca="1">IFERROR(__xludf.DUMMYFUNCTION("""COMPUTED_VALUE"""),"T263")</f>
        <v>T263</v>
      </c>
      <c r="B265" t="str">
        <f ca="1">IFERROR(__xludf.DUMMYFUNCTION("""COMPUTED_VALUE"""),"T254")</f>
        <v>T254</v>
      </c>
      <c r="C265" t="str">
        <f ca="1">IFERROR(__xludf.DUMMYFUNCTION("""COMPUTED_VALUE"""),"Ryan Blaum")</f>
        <v>Ryan Blaum</v>
      </c>
      <c r="D265">
        <f ca="1">IFERROR(__xludf.DUMMYFUNCTION("""COMPUTED_VALUE"""),8)</f>
        <v>8</v>
      </c>
      <c r="E265">
        <f ca="1">IFERROR(__xludf.DUMMYFUNCTION("""COMPUTED_VALUE"""),282.8)</f>
        <v>282.8</v>
      </c>
      <c r="F265" s="1">
        <f ca="1">IFERROR(__xludf.DUMMYFUNCTION("""COMPUTED_VALUE"""),4525)</f>
        <v>4525</v>
      </c>
      <c r="G265">
        <f ca="1">IFERROR(__xludf.DUMMYFUNCTION("""COMPUTED_VALUE"""),16)</f>
        <v>16</v>
      </c>
    </row>
    <row r="266" spans="1:7" ht="12.75">
      <c r="A266" t="str">
        <f ca="1">IFERROR(__xludf.DUMMYFUNCTION("""COMPUTED_VALUE"""),"T265")</f>
        <v>T265</v>
      </c>
      <c r="B266">
        <f ca="1">IFERROR(__xludf.DUMMYFUNCTION("""COMPUTED_VALUE"""),276)</f>
        <v>276</v>
      </c>
      <c r="C266" t="str">
        <f ca="1">IFERROR(__xludf.DUMMYFUNCTION("""COMPUTED_VALUE"""),"Satoshi Kodaira")</f>
        <v>Satoshi Kodaira</v>
      </c>
      <c r="D266">
        <f ca="1">IFERROR(__xludf.DUMMYFUNCTION("""COMPUTED_VALUE"""),12)</f>
        <v>12</v>
      </c>
      <c r="E266">
        <f ca="1">IFERROR(__xludf.DUMMYFUNCTION("""COMPUTED_VALUE"""),282.5)</f>
        <v>282.5</v>
      </c>
      <c r="F266" s="1">
        <f ca="1">IFERROR(__xludf.DUMMYFUNCTION("""COMPUTED_VALUE"""),6780)</f>
        <v>6780</v>
      </c>
      <c r="G266">
        <f ca="1">IFERROR(__xludf.DUMMYFUNCTION("""COMPUTED_VALUE"""),24)</f>
        <v>24</v>
      </c>
    </row>
    <row r="267" spans="1:7" ht="12.75">
      <c r="A267" t="str">
        <f ca="1">IFERROR(__xludf.DUMMYFUNCTION("""COMPUTED_VALUE"""),"T265")</f>
        <v>T265</v>
      </c>
      <c r="B267">
        <f ca="1">IFERROR(__xludf.DUMMYFUNCTION("""COMPUTED_VALUE"""),257)</f>
        <v>257</v>
      </c>
      <c r="C267" t="str">
        <f ca="1">IFERROR(__xludf.DUMMYFUNCTION("""COMPUTED_VALUE"""),"Brendon Todd")</f>
        <v>Brendon Todd</v>
      </c>
      <c r="D267">
        <f ca="1">IFERROR(__xludf.DUMMYFUNCTION("""COMPUTED_VALUE"""),14)</f>
        <v>14</v>
      </c>
      <c r="E267">
        <f ca="1">IFERROR(__xludf.DUMMYFUNCTION("""COMPUTED_VALUE"""),282.5)</f>
        <v>282.5</v>
      </c>
      <c r="F267" s="1">
        <f ca="1">IFERROR(__xludf.DUMMYFUNCTION("""COMPUTED_VALUE"""),7910)</f>
        <v>7910</v>
      </c>
      <c r="G267">
        <f ca="1">IFERROR(__xludf.DUMMYFUNCTION("""COMPUTED_VALUE"""),28)</f>
        <v>28</v>
      </c>
    </row>
    <row r="268" spans="1:7" ht="12.75">
      <c r="A268">
        <f ca="1">IFERROR(__xludf.DUMMYFUNCTION("""COMPUTED_VALUE"""),267)</f>
        <v>267</v>
      </c>
      <c r="B268" t="str">
        <f ca="1">IFERROR(__xludf.DUMMYFUNCTION("""COMPUTED_VALUE"""),"T266")</f>
        <v>T266</v>
      </c>
      <c r="C268" t="str">
        <f ca="1">IFERROR(__xludf.DUMMYFUNCTION("""COMPUTED_VALUE"""),"Mark Hubbard")</f>
        <v>Mark Hubbard</v>
      </c>
      <c r="D268">
        <f ca="1">IFERROR(__xludf.DUMMYFUNCTION("""COMPUTED_VALUE"""),20)</f>
        <v>20</v>
      </c>
      <c r="E268">
        <f ca="1">IFERROR(__xludf.DUMMYFUNCTION("""COMPUTED_VALUE"""),282)</f>
        <v>282</v>
      </c>
      <c r="F268" s="1">
        <f ca="1">IFERROR(__xludf.DUMMYFUNCTION("""COMPUTED_VALUE"""),11280)</f>
        <v>11280</v>
      </c>
      <c r="G268">
        <f ca="1">IFERROR(__xludf.DUMMYFUNCTION("""COMPUTED_VALUE"""),40)</f>
        <v>40</v>
      </c>
    </row>
    <row r="269" spans="1:7" ht="12.75">
      <c r="A269">
        <f ca="1">IFERROR(__xludf.DUMMYFUNCTION("""COMPUTED_VALUE"""),268)</f>
        <v>268</v>
      </c>
      <c r="B269" t="str">
        <f ca="1">IFERROR(__xludf.DUMMYFUNCTION("""COMPUTED_VALUE"""),"T260")</f>
        <v>T260</v>
      </c>
      <c r="C269" t="str">
        <f ca="1">IFERROR(__xludf.DUMMYFUNCTION("""COMPUTED_VALUE"""),"Wes Roach")</f>
        <v>Wes Roach</v>
      </c>
      <c r="D269">
        <f ca="1">IFERROR(__xludf.DUMMYFUNCTION("""COMPUTED_VALUE"""),6)</f>
        <v>6</v>
      </c>
      <c r="E269">
        <f ca="1">IFERROR(__xludf.DUMMYFUNCTION("""COMPUTED_VALUE"""),281.5)</f>
        <v>281.5</v>
      </c>
      <c r="F269" s="1">
        <f ca="1">IFERROR(__xludf.DUMMYFUNCTION("""COMPUTED_VALUE"""),3378)</f>
        <v>3378</v>
      </c>
      <c r="G269">
        <f ca="1">IFERROR(__xludf.DUMMYFUNCTION("""COMPUTED_VALUE"""),12)</f>
        <v>12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IFERROR(__xludf.DUMMYFUNCTION("""COMPUTED_VALUE"""),"Aaron Baddeley")</f>
        <v>Aaron Baddeley</v>
      </c>
      <c r="D270">
        <f ca="1">IFERROR(__xludf.DUMMYFUNCTION("""COMPUTED_VALUE"""),8)</f>
        <v>8</v>
      </c>
      <c r="E270">
        <f ca="1">IFERROR(__xludf.DUMMYFUNCTION("""COMPUTED_VALUE"""),281.1)</f>
        <v>281.10000000000002</v>
      </c>
      <c r="F270" s="1">
        <f ca="1">IFERROR(__xludf.DUMMYFUNCTION("""COMPUTED_VALUE"""),4498)</f>
        <v>4498</v>
      </c>
      <c r="G270">
        <f ca="1">IFERROR(__xludf.DUMMYFUNCTION("""COMPUTED_VALUE"""),16)</f>
        <v>16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IFERROR(__xludf.DUMMYFUNCTION("""COMPUTED_VALUE"""),"Parker McLachlin")</f>
        <v>Parker McLachlin</v>
      </c>
      <c r="D271">
        <f ca="1">IFERROR(__xludf.DUMMYFUNCTION("""COMPUTED_VALUE"""),4)</f>
        <v>4</v>
      </c>
      <c r="E271">
        <f ca="1">IFERROR(__xludf.DUMMYFUNCTION("""COMPUTED_VALUE"""),279.9)</f>
        <v>279.89999999999998</v>
      </c>
      <c r="F271" s="1">
        <f ca="1">IFERROR(__xludf.DUMMYFUNCTION("""COMPUTED_VALUE"""),2239)</f>
        <v>2239</v>
      </c>
      <c r="G271">
        <f ca="1">IFERROR(__xludf.DUMMYFUNCTION("""COMPUTED_VALUE"""),8)</f>
        <v>8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IFERROR(__xludf.DUMMYFUNCTION("""COMPUTED_VALUE"""),"Arjun Atwal")</f>
        <v>Arjun Atwal</v>
      </c>
      <c r="D272">
        <f ca="1">IFERROR(__xludf.DUMMYFUNCTION("""COMPUTED_VALUE"""),6)</f>
        <v>6</v>
      </c>
      <c r="E272">
        <f ca="1">IFERROR(__xludf.DUMMYFUNCTION("""COMPUTED_VALUE"""),279.7)</f>
        <v>279.7</v>
      </c>
      <c r="F272" s="1">
        <f ca="1">IFERROR(__xludf.DUMMYFUNCTION("""COMPUTED_VALUE"""),3356)</f>
        <v>3356</v>
      </c>
      <c r="G272">
        <f ca="1">IFERROR(__xludf.DUMMYFUNCTION("""COMPUTED_VALUE"""),12)</f>
        <v>12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IFERROR(__xludf.DUMMYFUNCTION("""COMPUTED_VALUE"""),"Roberto Díaz")</f>
        <v>Roberto Díaz</v>
      </c>
      <c r="D273">
        <f ca="1">IFERROR(__xludf.DUMMYFUNCTION("""COMPUTED_VALUE"""),4)</f>
        <v>4</v>
      </c>
      <c r="E273">
        <f ca="1">IFERROR(__xludf.DUMMYFUNCTION("""COMPUTED_VALUE"""),279.6)</f>
        <v>279.60000000000002</v>
      </c>
      <c r="F273" s="1">
        <f ca="1">IFERROR(__xludf.DUMMYFUNCTION("""COMPUTED_VALUE"""),2237)</f>
        <v>2237</v>
      </c>
      <c r="G273">
        <f ca="1">IFERROR(__xludf.DUMMYFUNCTION("""COMPUTED_VALUE"""),8)</f>
        <v>8</v>
      </c>
    </row>
    <row r="274" spans="1:7" ht="12.75">
      <c r="A274" t="str">
        <f ca="1">IFERROR(__xludf.DUMMYFUNCTION("""COMPUTED_VALUE"""),"T273")</f>
        <v>T273</v>
      </c>
      <c r="B274" t="str">
        <f ca="1">IFERROR(__xludf.DUMMYFUNCTION("""COMPUTED_VALUE"""),"T266")</f>
        <v>T266</v>
      </c>
      <c r="C274" t="str">
        <f ca="1">IFERROR(__xludf.DUMMYFUNCTION("""COMPUTED_VALUE"""),"Ryo Ishikawa")</f>
        <v>Ryo Ishikawa</v>
      </c>
      <c r="D274">
        <f ca="1">IFERROR(__xludf.DUMMYFUNCTION("""COMPUTED_VALUE"""),8)</f>
        <v>8</v>
      </c>
      <c r="E274">
        <f ca="1">IFERROR(__xludf.DUMMYFUNCTION("""COMPUTED_VALUE"""),279.3)</f>
        <v>279.3</v>
      </c>
      <c r="F274" s="1">
        <f ca="1">IFERROR(__xludf.DUMMYFUNCTION("""COMPUTED_VALUE"""),4468)</f>
        <v>4468</v>
      </c>
      <c r="G274">
        <f ca="1">IFERROR(__xludf.DUMMYFUNCTION("""COMPUTED_VALUE"""),16)</f>
        <v>16</v>
      </c>
    </row>
    <row r="275" spans="1:7" ht="12.75">
      <c r="A275" t="str">
        <f ca="1">IFERROR(__xludf.DUMMYFUNCTION("""COMPUTED_VALUE"""),"T273")</f>
        <v>T273</v>
      </c>
      <c r="B275" t="str">
        <f ca="1">IFERROR(__xludf.DUMMYFUNCTION("""COMPUTED_VALUE"""),"T266")</f>
        <v>T266</v>
      </c>
      <c r="C275" t="str">
        <f ca="1">IFERROR(__xludf.DUMMYFUNCTION("""COMPUTED_VALUE"""),"Peter Uihlein")</f>
        <v>Peter Uihlein</v>
      </c>
      <c r="D275">
        <f ca="1">IFERROR(__xludf.DUMMYFUNCTION("""COMPUTED_VALUE"""),8)</f>
        <v>8</v>
      </c>
      <c r="E275">
        <f ca="1">IFERROR(__xludf.DUMMYFUNCTION("""COMPUTED_VALUE"""),279.3)</f>
        <v>279.3</v>
      </c>
      <c r="F275" s="1">
        <f ca="1">IFERROR(__xludf.DUMMYFUNCTION("""COMPUTED_VALUE"""),4469)</f>
        <v>4469</v>
      </c>
      <c r="G275">
        <f ca="1">IFERROR(__xludf.DUMMYFUNCTION("""COMPUTED_VALUE"""),16)</f>
        <v>16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IFERROR(__xludf.DUMMYFUNCTION("""COMPUTED_VALUE"""),272)</f>
        <v>272</v>
      </c>
      <c r="C276" t="str">
        <f ca="1">IFERROR(__xludf.DUMMYFUNCTION("""COMPUTED_VALUE"""),"Kevin Stadler")</f>
        <v>Kevin Stadler</v>
      </c>
      <c r="D276">
        <f ca="1">IFERROR(__xludf.DUMMYFUNCTION("""COMPUTED_VALUE"""),8)</f>
        <v>8</v>
      </c>
      <c r="E276">
        <f ca="1">IFERROR(__xludf.DUMMYFUNCTION("""COMPUTED_VALUE"""),278.5)</f>
        <v>278.5</v>
      </c>
      <c r="F276" s="1">
        <f ca="1">IFERROR(__xludf.DUMMYFUNCTION("""COMPUTED_VALUE"""),4456)</f>
        <v>4456</v>
      </c>
      <c r="G276">
        <f ca="1">IFERROR(__xludf.DUMMYFUNCTION("""COMPUTED_VALUE"""),16)</f>
        <v>16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IFERROR(__xludf.DUMMYFUNCTION("""COMPUTED_VALUE"""),270)</f>
        <v>270</v>
      </c>
      <c r="C277" t="str">
        <f ca="1">IFERROR(__xludf.DUMMYFUNCTION("""COMPUTED_VALUE"""),"Naoki Sekito")</f>
        <v>Naoki Sekito</v>
      </c>
      <c r="D277">
        <f ca="1">IFERROR(__xludf.DUMMYFUNCTION("""COMPUTED_VALUE"""),4)</f>
        <v>4</v>
      </c>
      <c r="E277">
        <f ca="1">IFERROR(__xludf.DUMMYFUNCTION("""COMPUTED_VALUE"""),278.4)</f>
        <v>278.39999999999998</v>
      </c>
      <c r="F277" s="1">
        <f ca="1">IFERROR(__xludf.DUMMYFUNCTION("""COMPUTED_VALUE"""),2227)</f>
        <v>2227</v>
      </c>
      <c r="G277">
        <f ca="1">IFERROR(__xludf.DUMMYFUNCTION("""COMPUTED_VALUE"""),8)</f>
        <v>8</v>
      </c>
    </row>
    <row r="278" spans="1:7" ht="12.75">
      <c r="A278">
        <f ca="1">IFERROR(__xludf.DUMMYFUNCTION("""COMPUTED_VALUE"""),277)</f>
        <v>277</v>
      </c>
      <c r="B278">
        <f ca="1">IFERROR(__xludf.DUMMYFUNCTION("""COMPUTED_VALUE"""),269)</f>
        <v>269</v>
      </c>
      <c r="C278" t="str">
        <f ca="1">IFERROR(__xludf.DUMMYFUNCTION("""COMPUTED_VALUE"""),"David Hearn")</f>
        <v>David Hearn</v>
      </c>
      <c r="D278">
        <f ca="1">IFERROR(__xludf.DUMMYFUNCTION("""COMPUTED_VALUE"""),16)</f>
        <v>16</v>
      </c>
      <c r="E278">
        <f ca="1">IFERROR(__xludf.DUMMYFUNCTION("""COMPUTED_VALUE"""),278.3)</f>
        <v>278.3</v>
      </c>
      <c r="F278" s="1">
        <f ca="1">IFERROR(__xludf.DUMMYFUNCTION("""COMPUTED_VALUE"""),8904)</f>
        <v>8904</v>
      </c>
      <c r="G278">
        <f ca="1">IFERROR(__xludf.DUMMYFUNCTION("""COMPUTED_VALUE"""),32)</f>
        <v>32</v>
      </c>
    </row>
    <row r="279" spans="1:7" ht="12.75">
      <c r="A279">
        <f ca="1">IFERROR(__xludf.DUMMYFUNCTION("""COMPUTED_VALUE"""),278)</f>
        <v>278</v>
      </c>
      <c r="B279">
        <f ca="1">IFERROR(__xludf.DUMMYFUNCTION("""COMPUTED_VALUE"""),271)</f>
        <v>271</v>
      </c>
      <c r="C279" t="str">
        <f ca="1">IFERROR(__xludf.DUMMYFUNCTION("""COMPUTED_VALUE"""),"Ryan Armour")</f>
        <v>Ryan Armour</v>
      </c>
      <c r="D279">
        <f ca="1">IFERROR(__xludf.DUMMYFUNCTION("""COMPUTED_VALUE"""),16)</f>
        <v>16</v>
      </c>
      <c r="E279">
        <f ca="1">IFERROR(__xludf.DUMMYFUNCTION("""COMPUTED_VALUE"""),277.8)</f>
        <v>277.8</v>
      </c>
      <c r="F279" s="1">
        <f ca="1">IFERROR(__xludf.DUMMYFUNCTION("""COMPUTED_VALUE"""),8888)</f>
        <v>8888</v>
      </c>
      <c r="G279">
        <f ca="1">IFERROR(__xludf.DUMMYFUNCTION("""COMPUTED_VALUE"""),32)</f>
        <v>32</v>
      </c>
    </row>
    <row r="280" spans="1:7" ht="12.75">
      <c r="A280">
        <f ca="1">IFERROR(__xludf.DUMMYFUNCTION("""COMPUTED_VALUE"""),279)</f>
        <v>279</v>
      </c>
      <c r="B280">
        <f ca="1">IFERROR(__xludf.DUMMYFUNCTION("""COMPUTED_VALUE"""),273)</f>
        <v>273</v>
      </c>
      <c r="C280" t="str">
        <f ca="1">IFERROR(__xludf.DUMMYFUNCTION("""COMPUTED_VALUE"""),"Matthew Borchert")</f>
        <v>Matthew Borchert</v>
      </c>
      <c r="D280">
        <f ca="1">IFERROR(__xludf.DUMMYFUNCTION("""COMPUTED_VALUE"""),4)</f>
        <v>4</v>
      </c>
      <c r="E280">
        <f ca="1">IFERROR(__xludf.DUMMYFUNCTION("""COMPUTED_VALUE"""),277.5)</f>
        <v>277.5</v>
      </c>
      <c r="F280" s="1">
        <f ca="1">IFERROR(__xludf.DUMMYFUNCTION("""COMPUTED_VALUE"""),2220)</f>
        <v>2220</v>
      </c>
      <c r="G280">
        <f ca="1">IFERROR(__xludf.DUMMYFUNCTION("""COMPUTED_VALUE"""),8)</f>
        <v>8</v>
      </c>
    </row>
    <row r="281" spans="1:7" ht="12.75">
      <c r="A281">
        <f ca="1">IFERROR(__xludf.DUMMYFUNCTION("""COMPUTED_VALUE"""),280)</f>
        <v>280</v>
      </c>
      <c r="B281">
        <f ca="1">IFERROR(__xludf.DUMMYFUNCTION("""COMPUTED_VALUE"""),274)</f>
        <v>274</v>
      </c>
      <c r="C281" t="str">
        <f ca="1">IFERROR(__xludf.DUMMYFUNCTION("""COMPUTED_VALUE"""),"Chris Baker")</f>
        <v>Chris Baker</v>
      </c>
      <c r="D281">
        <f ca="1">IFERROR(__xludf.DUMMYFUNCTION("""COMPUTED_VALUE"""),8)</f>
        <v>8</v>
      </c>
      <c r="E281">
        <f ca="1">IFERROR(__xludf.DUMMYFUNCTION("""COMPUTED_VALUE"""),277.4)</f>
        <v>277.39999999999998</v>
      </c>
      <c r="F281" s="1">
        <f ca="1">IFERROR(__xludf.DUMMYFUNCTION("""COMPUTED_VALUE"""),4438)</f>
        <v>4438</v>
      </c>
      <c r="G281">
        <f ca="1">IFERROR(__xludf.DUMMYFUNCTION("""COMPUTED_VALUE"""),16)</f>
        <v>16</v>
      </c>
    </row>
    <row r="282" spans="1:7" ht="12.75">
      <c r="A282">
        <f ca="1">IFERROR(__xludf.DUMMYFUNCTION("""COMPUTED_VALUE"""),281)</f>
        <v>281</v>
      </c>
      <c r="B282">
        <f ca="1">IFERROR(__xludf.DUMMYFUNCTION("""COMPUTED_VALUE"""),275)</f>
        <v>275</v>
      </c>
      <c r="C282" t="str">
        <f ca="1">IFERROR(__xludf.DUMMYFUNCTION("""COMPUTED_VALUE"""),"Takumi Kanaya")</f>
        <v>Takumi Kanaya</v>
      </c>
      <c r="D282">
        <f ca="1">IFERROR(__xludf.DUMMYFUNCTION("""COMPUTED_VALUE"""),6)</f>
        <v>6</v>
      </c>
      <c r="E282">
        <f ca="1">IFERROR(__xludf.DUMMYFUNCTION("""COMPUTED_VALUE"""),276.4)</f>
        <v>276.39999999999998</v>
      </c>
      <c r="F282" s="1">
        <f ca="1">IFERROR(__xludf.DUMMYFUNCTION("""COMPUTED_VALUE"""),3317)</f>
        <v>3317</v>
      </c>
      <c r="G282">
        <f ca="1">IFERROR(__xludf.DUMMYFUNCTION("""COMPUTED_VALUE"""),12)</f>
        <v>12</v>
      </c>
    </row>
    <row r="283" spans="1:7" ht="12.75">
      <c r="A283">
        <f ca="1">IFERROR(__xludf.DUMMYFUNCTION("""COMPUTED_VALUE"""),282)</f>
        <v>282</v>
      </c>
      <c r="B283">
        <f ca="1">IFERROR(__xludf.DUMMYFUNCTION("""COMPUTED_VALUE"""),278)</f>
        <v>278</v>
      </c>
      <c r="C283" t="str">
        <f ca="1">IFERROR(__xludf.DUMMYFUNCTION("""COMPUTED_VALUE"""),"K.J. Choi")</f>
        <v>K.J. Choi</v>
      </c>
      <c r="D283">
        <f ca="1">IFERROR(__xludf.DUMMYFUNCTION("""COMPUTED_VALUE"""),6)</f>
        <v>6</v>
      </c>
      <c r="E283">
        <f ca="1">IFERROR(__xludf.DUMMYFUNCTION("""COMPUTED_VALUE"""),274)</f>
        <v>274</v>
      </c>
      <c r="F283" s="1">
        <f ca="1">IFERROR(__xludf.DUMMYFUNCTION("""COMPUTED_VALUE"""),3288)</f>
        <v>3288</v>
      </c>
      <c r="G283">
        <f ca="1">IFERROR(__xludf.DUMMYFUNCTION("""COMPUTED_VALUE"""),12)</f>
        <v>12</v>
      </c>
    </row>
    <row r="284" spans="1:7" ht="12.75">
      <c r="A284">
        <f ca="1">IFERROR(__xludf.DUMMYFUNCTION("""COMPUTED_VALUE"""),283)</f>
        <v>283</v>
      </c>
      <c r="B284">
        <f ca="1">IFERROR(__xludf.DUMMYFUNCTION("""COMPUTED_VALUE"""),277)</f>
        <v>277</v>
      </c>
      <c r="C284" t="str">
        <f ca="1">IFERROR(__xludf.DUMMYFUNCTION("""COMPUTED_VALUE"""),"D.A. Points")</f>
        <v>D.A. Points</v>
      </c>
      <c r="D284">
        <f ca="1">IFERROR(__xludf.DUMMYFUNCTION("""COMPUTED_VALUE"""),12)</f>
        <v>12</v>
      </c>
      <c r="E284">
        <f ca="1">IFERROR(__xludf.DUMMYFUNCTION("""COMPUTED_VALUE"""),273.7)</f>
        <v>273.7</v>
      </c>
      <c r="F284" s="1">
        <f ca="1">IFERROR(__xludf.DUMMYFUNCTION("""COMPUTED_VALUE"""),6568)</f>
        <v>6568</v>
      </c>
      <c r="G284">
        <f ca="1">IFERROR(__xludf.DUMMYFUNCTION("""COMPUTED_VALUE"""),24)</f>
        <v>24</v>
      </c>
    </row>
    <row r="285" spans="1:7" ht="12.75">
      <c r="A285">
        <f ca="1">IFERROR(__xludf.DUMMYFUNCTION("""COMPUTED_VALUE"""),284)</f>
        <v>284</v>
      </c>
      <c r="B285">
        <f ca="1">IFERROR(__xludf.DUMMYFUNCTION("""COMPUTED_VALUE"""),279)</f>
        <v>279</v>
      </c>
      <c r="C285" t="str">
        <f ca="1">IFERROR(__xludf.DUMMYFUNCTION("""COMPUTED_VALUE"""),"Tim Wilkinson")</f>
        <v>Tim Wilkinson</v>
      </c>
      <c r="D285">
        <f ca="1">IFERROR(__xludf.DUMMYFUNCTION("""COMPUTED_VALUE"""),12)</f>
        <v>12</v>
      </c>
      <c r="E285">
        <f ca="1">IFERROR(__xludf.DUMMYFUNCTION("""COMPUTED_VALUE"""),271.9)</f>
        <v>271.89999999999998</v>
      </c>
      <c r="F285" s="1">
        <f ca="1">IFERROR(__xludf.DUMMYFUNCTION("""COMPUTED_VALUE"""),6526)</f>
        <v>6526</v>
      </c>
      <c r="G285">
        <f ca="1">IFERROR(__xludf.DUMMYFUNCTION("""COMPUTED_VALUE"""),24)</f>
        <v>24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IFERROR(__xludf.DUMMYFUNCTION("""COMPUTED_VALUE"""),280)</f>
        <v>280</v>
      </c>
      <c r="C286" t="str">
        <f ca="1">IFERROR(__xludf.DUMMYFUNCTION("""COMPUTED_VALUE"""),"Alex Cejka")</f>
        <v>Alex Cejka</v>
      </c>
      <c r="D286">
        <f ca="1">IFERROR(__xludf.DUMMYFUNCTION("""COMPUTED_VALUE"""),6)</f>
        <v>6</v>
      </c>
      <c r="E286">
        <f ca="1">IFERROR(__xludf.DUMMYFUNCTION("""COMPUTED_VALUE"""),267.1)</f>
        <v>267.10000000000002</v>
      </c>
      <c r="F286" s="1">
        <f ca="1">IFERROR(__xludf.DUMMYFUNCTION("""COMPUTED_VALUE"""),3205)</f>
        <v>3205</v>
      </c>
      <c r="G286">
        <f ca="1">IFERROR(__xludf.DUMMYFUNCTION("""COMPUTED_VALUE"""),12)</f>
        <v>12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IFERROR(__xludf.DUMMYFUNCTION("""COMPUTED_VALUE"""),281)</f>
        <v>281</v>
      </c>
      <c r="C287" t="str">
        <f ca="1">IFERROR(__xludf.DUMMYFUNCTION("""COMPUTED_VALUE"""),"Brad Kennedy")</f>
        <v>Brad Kennedy</v>
      </c>
      <c r="D287">
        <f ca="1">IFERROR(__xludf.DUMMYFUNCTION("""COMPUTED_VALUE"""),4)</f>
        <v>4</v>
      </c>
      <c r="E287">
        <f ca="1">IFERROR(__xludf.DUMMYFUNCTION("""COMPUTED_VALUE"""),266.4)</f>
        <v>266.39999999999998</v>
      </c>
      <c r="F287" s="1">
        <f ca="1">IFERROR(__xludf.DUMMYFUNCTION("""COMPUTED_VALUE"""),2131)</f>
        <v>2131</v>
      </c>
      <c r="G287">
        <f ca="1">IFERROR(__xludf.DUMMYFUNCTION("""COMPUTED_VALUE"""),8)</f>
        <v>8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IFERROR(__xludf.DUMMYFUNCTION("""COMPUTED_VALUE"""),282)</f>
        <v>282</v>
      </c>
      <c r="C288" t="str">
        <f ca="1">IFERROR(__xludf.DUMMYFUNCTION("""COMPUTED_VALUE"""),"Shawn Stefani")</f>
        <v>Shawn Stefani</v>
      </c>
      <c r="D288">
        <f ca="1">IFERROR(__xludf.DUMMYFUNCTION("""COMPUTED_VALUE"""),5)</f>
        <v>5</v>
      </c>
      <c r="E288">
        <f ca="1">IFERROR(__xludf.DUMMYFUNCTION("""COMPUTED_VALUE"""),265.9)</f>
        <v>265.89999999999998</v>
      </c>
      <c r="F288" s="1">
        <f ca="1">IFERROR(__xludf.DUMMYFUNCTION("""COMPUTED_VALUE"""),2659)</f>
        <v>2659</v>
      </c>
      <c r="G288">
        <f ca="1">IFERROR(__xludf.DUMMYFUNCTION("""COMPUTED_VALUE"""),10)</f>
        <v>10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IFERROR(__xludf.DUMMYFUNCTION("""COMPUTED_VALUE"""),"Mikumu Horikawa")</f>
        <v>Mikumu Horikawa</v>
      </c>
      <c r="D289">
        <f ca="1">IFERROR(__xludf.DUMMYFUNCTION("""COMPUTED_VALUE"""),4)</f>
        <v>4</v>
      </c>
      <c r="E289">
        <f ca="1">IFERROR(__xludf.DUMMYFUNCTION("""COMPUTED_VALUE"""),264.3)</f>
        <v>264.3</v>
      </c>
      <c r="F289" s="1">
        <f ca="1">IFERROR(__xludf.DUMMYFUNCTION("""COMPUTED_VALUE"""),2114)</f>
        <v>2114</v>
      </c>
      <c r="G289">
        <f ca="1">IFERROR(__xludf.DUMMYFUNCTION("""COMPUTED_VALUE"""),8)</f>
        <v>8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IFERROR(__xludf.DUMMYFUNCTION("""COMPUTED_VALUE"""),"Fred Funk")</f>
        <v>Fred Funk</v>
      </c>
      <c r="D290">
        <f ca="1">IFERROR(__xludf.DUMMYFUNCTION("""COMPUTED_VALUE"""),4)</f>
        <v>4</v>
      </c>
      <c r="E290">
        <f ca="1">IFERROR(__xludf.DUMMYFUNCTION("""COMPUTED_VALUE"""),243.4)</f>
        <v>243.4</v>
      </c>
      <c r="F290" s="1">
        <f ca="1">IFERROR(__xludf.DUMMYFUNCTION("""COMPUTED_VALUE"""),1947)</f>
        <v>1947</v>
      </c>
      <c r="G290">
        <f ca="1">IFERROR(__xludf.DUMMYFUNCTION("""COMPUTED_VALUE"""),8)</f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IFERROR(__xludf.DUMMYFUNCTION("importhtml(""http://www.pgatour.com/stats/stat.317.html"",""table"",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IFERROR(__xludf.DUMMYFUNCTION("""COMPUTED_VALUE"""),"ALL DRIVES")</f>
        <v>ALL DRIVES</v>
      </c>
      <c r="F1" t="str">
        <f ca="1">IFERROR(__xludf.DUMMYFUNCTION("""COMPUTED_VALUE"""),"TOTAL DISTANCE")</f>
        <v>TOTAL DISTANCE</v>
      </c>
      <c r="G1" t="str">
        <f ca="1">IFERROR(__xludf.DUMMYFUNCTION("""COMPUTED_VALUE"""),"# OF DRIVES")</f>
        <v># OF DRIVES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IFERROR(__xludf.DUMMYFUNCTION("""COMPUTED_VALUE"""),322.4)</f>
        <v>322.39999999999998</v>
      </c>
      <c r="F2" s="1">
        <f ca="1">IFERROR(__xludf.DUMMYFUNCTION("""COMPUTED_VALUE"""),36114)</f>
        <v>36114</v>
      </c>
      <c r="G2">
        <f ca="1">IFERROR(__xludf.DUMMYFUNCTION("""COMPUTED_VALUE"""),112)</f>
        <v>112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IFERROR(__xludf.DUMMYFUNCTION("""COMPUTED_VALUE"""),"Ryan Brehm")</f>
        <v>Ryan Brehm</v>
      </c>
      <c r="D3">
        <f ca="1">IFERROR(__xludf.DUMMYFUNCTION("""COMPUTED_VALUE"""),10)</f>
        <v>10</v>
      </c>
      <c r="E3">
        <f ca="1">IFERROR(__xludf.DUMMYFUNCTION("""COMPUTED_VALUE"""),315.5)</f>
        <v>315.5</v>
      </c>
      <c r="F3" s="1">
        <f ca="1">IFERROR(__xludf.DUMMYFUNCTION("""COMPUTED_VALUE"""),8833)</f>
        <v>8833</v>
      </c>
      <c r="G3">
        <f ca="1">IFERROR(__xludf.DUMMYFUNCTION("""COMPUTED_VALUE"""),28)</f>
        <v>28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IFERROR(__xludf.DUMMYFUNCTION("""COMPUTED_VALUE"""),"Wyndham Clark")</f>
        <v>Wyndham Clark</v>
      </c>
      <c r="D4">
        <f ca="1">IFERROR(__xludf.DUMMYFUNCTION("""COMPUTED_VALUE"""),16)</f>
        <v>16</v>
      </c>
      <c r="E4">
        <f ca="1">IFERROR(__xludf.DUMMYFUNCTION("""COMPUTED_VALUE"""),308.9)</f>
        <v>308.89999999999998</v>
      </c>
      <c r="F4" s="1">
        <f ca="1">IFERROR(__xludf.DUMMYFUNCTION("""COMPUTED_VALUE"""),51273)</f>
        <v>51273</v>
      </c>
      <c r="G4">
        <f ca="1">IFERROR(__xludf.DUMMYFUNCTION("""COMPUTED_VALUE"""),166)</f>
        <v>166</v>
      </c>
    </row>
    <row r="5" spans="1:7" ht="15.75" customHeight="1">
      <c r="A5">
        <f ca="1">IFERROR(__xludf.DUMMYFUNCTION("""COMPUTED_VALUE"""),4)</f>
        <v>4</v>
      </c>
      <c r="B5" t="str">
        <f ca="1">IFERROR(__xludf.DUMMYFUNCTION("""COMPUTED_VALUE"""),"")</f>
        <v/>
      </c>
      <c r="C5" t="str">
        <f ca="1">IFERROR(__xludf.DUMMYFUNCTION("""COMPUTED_VALUE"""),"Erik Barnes")</f>
        <v>Erik Barnes</v>
      </c>
      <c r="D5">
        <f ca="1">IFERROR(__xludf.DUMMYFUNCTION("""COMPUTED_VALUE"""),4)</f>
        <v>4</v>
      </c>
      <c r="E5">
        <f ca="1">IFERROR(__xludf.DUMMYFUNCTION("""COMPUTED_VALUE"""),308.2)</f>
        <v>308.2</v>
      </c>
      <c r="F5" s="1">
        <f ca="1">IFERROR(__xludf.DUMMYFUNCTION("""COMPUTED_VALUE"""),16028)</f>
        <v>16028</v>
      </c>
      <c r="G5">
        <f ca="1">IFERROR(__xludf.DUMMYFUNCTION("""COMPUTED_VALUE"""),52)</f>
        <v>52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IFERROR(__xludf.DUMMYFUNCTION("""COMPUTED_VALUE"""),9)</f>
        <v>9</v>
      </c>
      <c r="C6" t="str">
        <f ca="1">IFERROR(__xludf.DUMMYFUNCTION("""COMPUTED_VALUE"""),"Sergio Garcia")</f>
        <v>Sergio Garcia</v>
      </c>
      <c r="D6">
        <f ca="1">IFERROR(__xludf.DUMMYFUNCTION("""COMPUTED_VALUE"""),18)</f>
        <v>18</v>
      </c>
      <c r="E6">
        <f ca="1">IFERROR(__xludf.DUMMYFUNCTION("""COMPUTED_VALUE"""),306.9)</f>
        <v>306.89999999999998</v>
      </c>
      <c r="F6" s="1">
        <f ca="1">IFERROR(__xludf.DUMMYFUNCTION("""COMPUTED_VALUE"""),76717)</f>
        <v>76717</v>
      </c>
      <c r="G6">
        <f ca="1">IFERROR(__xludf.DUMMYFUNCTION("""COMPUTED_VALUE"""),250)</f>
        <v>250</v>
      </c>
    </row>
    <row r="7" spans="1:7" ht="15.75" customHeight="1">
      <c r="A7" t="str">
        <f ca="1">IFERROR(__xludf.DUMMYFUNCTION("""COMPUTED_VALUE"""),"T6")</f>
        <v>T6</v>
      </c>
      <c r="B7">
        <f ca="1">IFERROR(__xludf.DUMMYFUNCTION("""COMPUTED_VALUE"""),4)</f>
        <v>4</v>
      </c>
      <c r="C7" t="str">
        <f ca="1">IFERROR(__xludf.DUMMYFUNCTION("""COMPUTED_VALUE"""),"Brooks Koepka")</f>
        <v>Brooks Koepka</v>
      </c>
      <c r="D7">
        <f ca="1">IFERROR(__xludf.DUMMYFUNCTION("""COMPUTED_VALUE"""),8)</f>
        <v>8</v>
      </c>
      <c r="E7">
        <f ca="1">IFERROR(__xludf.DUMMYFUNCTION("""COMPUTED_VALUE"""),306.7)</f>
        <v>306.7</v>
      </c>
      <c r="F7" s="1">
        <f ca="1">IFERROR(__xludf.DUMMYFUNCTION("""COMPUTED_VALUE"""),33127)</f>
        <v>33127</v>
      </c>
      <c r="G7">
        <f ca="1">IFERROR(__xludf.DUMMYFUNCTION("""COMPUTED_VALUE"""),108)</f>
        <v>108</v>
      </c>
    </row>
    <row r="8" spans="1:7" ht="15.75" customHeight="1">
      <c r="A8" t="str">
        <f ca="1">IFERROR(__xludf.DUMMYFUNCTION("""COMPUTED_VALUE"""),"T6")</f>
        <v>T6</v>
      </c>
      <c r="B8">
        <f ca="1">IFERROR(__xludf.DUMMYFUNCTION("""COMPUTED_VALUE"""),5)</f>
        <v>5</v>
      </c>
      <c r="C8" t="str">
        <f ca="1">IFERROR(__xludf.DUMMYFUNCTION("""COMPUTED_VALUE"""),"Taylor Pendrith")</f>
        <v>Taylor Pendrith</v>
      </c>
      <c r="D8">
        <f ca="1">IFERROR(__xludf.DUMMYFUNCTION("""COMPUTED_VALUE"""),4)</f>
        <v>4</v>
      </c>
      <c r="E8">
        <f ca="1">IFERROR(__xludf.DUMMYFUNCTION("""COMPUTED_VALUE"""),306.7)</f>
        <v>306.7</v>
      </c>
      <c r="F8" s="1">
        <f ca="1">IFERROR(__xludf.DUMMYFUNCTION("""COMPUTED_VALUE"""),17174)</f>
        <v>17174</v>
      </c>
      <c r="G8">
        <f ca="1">IFERROR(__xludf.DUMMYFUNCTION("""COMPUTED_VALUE"""),56)</f>
        <v>56</v>
      </c>
    </row>
    <row r="9" spans="1:7" ht="15.75" customHeight="1">
      <c r="A9" t="str">
        <f ca="1">IFERROR(__xludf.DUMMYFUNCTION("""COMPUTED_VALUE"""),"T6")</f>
        <v>T6</v>
      </c>
      <c r="B9">
        <f ca="1">IFERROR(__xludf.DUMMYFUNCTION("""COMPUTED_VALUE"""),7)</f>
        <v>7</v>
      </c>
      <c r="C9" t="str">
        <f ca="1">IFERROR(__xludf.DUMMYFUNCTION("""COMPUTED_VALUE"""),"Sam Burns")</f>
        <v>Sam Burns</v>
      </c>
      <c r="D9">
        <f ca="1">IFERROR(__xludf.DUMMYFUNCTION("""COMPUTED_VALUE"""),18)</f>
        <v>18</v>
      </c>
      <c r="E9">
        <f ca="1">IFERROR(__xludf.DUMMYFUNCTION("""COMPUTED_VALUE"""),306.7)</f>
        <v>306.7</v>
      </c>
      <c r="F9" s="1">
        <f ca="1">IFERROR(__xludf.DUMMYFUNCTION("""COMPUTED_VALUE"""),58878)</f>
        <v>58878</v>
      </c>
      <c r="G9">
        <f ca="1">IFERROR(__xludf.DUMMYFUNCTION("""COMPUTED_VALUE"""),192)</f>
        <v>192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IFERROR(__xludf.DUMMYFUNCTION("""COMPUTED_VALUE"""),6)</f>
        <v>6</v>
      </c>
      <c r="C10" t="str">
        <f ca="1">IFERROR(__xludf.DUMMYFUNCTION("""COMPUTED_VALUE"""),"Justin Suh")</f>
        <v>Justin Suh</v>
      </c>
      <c r="D10">
        <f ca="1">IFERROR(__xludf.DUMMYFUNCTION("""COMPUTED_VALUE"""),10)</f>
        <v>10</v>
      </c>
      <c r="E10">
        <f ca="1">IFERROR(__xludf.DUMMYFUNCTION("""COMPUTED_VALUE"""),306.6)</f>
        <v>306.60000000000002</v>
      </c>
      <c r="F10" s="1">
        <f ca="1">IFERROR(__xludf.DUMMYFUNCTION("""COMPUTED_VALUE"""),17172)</f>
        <v>17172</v>
      </c>
      <c r="G10">
        <f ca="1">IFERROR(__xludf.DUMMYFUNCTION("""COMPUTED_VALUE"""),56)</f>
        <v>56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IFERROR(__xludf.DUMMYFUNCTION("""COMPUTED_VALUE"""),8)</f>
        <v>8</v>
      </c>
      <c r="C11" t="str">
        <f ca="1">IFERROR(__xludf.DUMMYFUNCTION("""COMPUTED_VALUE"""),"Joseph Bramlett")</f>
        <v>Joseph Bramlett</v>
      </c>
      <c r="D11">
        <f ca="1">IFERROR(__xludf.DUMMYFUNCTION("""COMPUTED_VALUE"""),18)</f>
        <v>18</v>
      </c>
      <c r="E11">
        <f ca="1">IFERROR(__xludf.DUMMYFUNCTION("""COMPUTED_VALUE"""),306.3)</f>
        <v>306.3</v>
      </c>
      <c r="F11" s="1">
        <f ca="1">IFERROR(__xludf.DUMMYFUNCTION("""COMPUTED_VALUE"""),42879)</f>
        <v>42879</v>
      </c>
      <c r="G11">
        <f ca="1">IFERROR(__xludf.DUMMYFUNCTION("""COMPUTED_VALUE"""),140)</f>
        <v>140</v>
      </c>
    </row>
    <row r="12" spans="1:7" ht="15.75" customHeight="1">
      <c r="A12" t="str">
        <f ca="1">IFERROR(__xludf.DUMMYFUNCTION("""COMPUTED_VALUE"""),"T11")</f>
        <v>T11</v>
      </c>
      <c r="B12">
        <f ca="1">IFERROR(__xludf.DUMMYFUNCTION("""COMPUTED_VALUE"""),11)</f>
        <v>11</v>
      </c>
      <c r="C12" t="str">
        <f ca="1">IFERROR(__xludf.DUMMYFUNCTION("""COMPUTED_VALUE"""),"Will Zalatoris")</f>
        <v>Will Zalatoris</v>
      </c>
      <c r="D12">
        <f ca="1">IFERROR(__xludf.DUMMYFUNCTION("""COMPUTED_VALUE"""),18)</f>
        <v>18</v>
      </c>
      <c r="E12">
        <f ca="1">IFERROR(__xludf.DUMMYFUNCTION("""COMPUTED_VALUE"""),305.7)</f>
        <v>305.7</v>
      </c>
      <c r="F12" s="1">
        <f ca="1">IFERROR(__xludf.DUMMYFUNCTION("""COMPUTED_VALUE"""),42794)</f>
        <v>42794</v>
      </c>
      <c r="G12">
        <f ca="1">IFERROR(__xludf.DUMMYFUNCTION("""COMPUTED_VALUE"""),140)</f>
        <v>140</v>
      </c>
    </row>
    <row r="13" spans="1:7" ht="15.75" customHeight="1">
      <c r="A13" t="str">
        <f ca="1">IFERROR(__xludf.DUMMYFUNCTION("""COMPUTED_VALUE"""),"T11")</f>
        <v>T11</v>
      </c>
      <c r="B13">
        <f ca="1">IFERROR(__xludf.DUMMYFUNCTION("""COMPUTED_VALUE"""),67)</f>
        <v>67</v>
      </c>
      <c r="C13" t="str">
        <f ca="1">IFERROR(__xludf.DUMMYFUNCTION("""COMPUTED_VALUE"""),"Dustin Johnson")</f>
        <v>Dustin Johnson</v>
      </c>
      <c r="D13">
        <f ca="1">IFERROR(__xludf.DUMMYFUNCTION("""COMPUTED_VALUE"""),8)</f>
        <v>8</v>
      </c>
      <c r="E13">
        <f ca="1">IFERROR(__xludf.DUMMYFUNCTION("""COMPUTED_VALUE"""),305.7)</f>
        <v>305.7</v>
      </c>
      <c r="F13" s="1">
        <f ca="1">IFERROR(__xludf.DUMMYFUNCTION("""COMPUTED_VALUE"""),33021)</f>
        <v>33021</v>
      </c>
      <c r="G13">
        <f ca="1">IFERROR(__xludf.DUMMYFUNCTION("""COMPUTED_VALUE"""),108)</f>
        <v>108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IFERROR(__xludf.DUMMYFUNCTION("""COMPUTED_VALUE"""),10)</f>
        <v>10</v>
      </c>
      <c r="C14" t="str">
        <f ca="1">IFERROR(__xludf.DUMMYFUNCTION("""COMPUTED_VALUE"""),"Keith Mitchell")</f>
        <v>Keith Mitchell</v>
      </c>
      <c r="D14">
        <f ca="1">IFERROR(__xludf.DUMMYFUNCTION("""COMPUTED_VALUE"""),14)</f>
        <v>14</v>
      </c>
      <c r="E14">
        <f ca="1">IFERROR(__xludf.DUMMYFUNCTION("""COMPUTED_VALUE"""),305)</f>
        <v>305</v>
      </c>
      <c r="F14" s="1">
        <f ca="1">IFERROR(__xludf.DUMMYFUNCTION("""COMPUTED_VALUE"""),25010)</f>
        <v>25010</v>
      </c>
      <c r="G14">
        <f ca="1">IFERROR(__xludf.DUMMYFUNCTION("""COMPUTED_VALUE"""),82)</f>
        <v>82</v>
      </c>
    </row>
    <row r="15" spans="1:7" ht="15.75" customHeight="1">
      <c r="A15">
        <f ca="1">IFERROR(__xludf.DUMMYFUNCTION("""COMPUTED_VALUE"""),14)</f>
        <v>14</v>
      </c>
      <c r="B15" t="str">
        <f ca="1">IFERROR(__xludf.DUMMYFUNCTION("""COMPUTED_VALUE"""),"T23")</f>
        <v>T23</v>
      </c>
      <c r="C15" t="str">
        <f ca="1">IFERROR(__xludf.DUMMYFUNCTION("""COMPUTED_VALUE"""),"Will Gordon")</f>
        <v>Will Gordon</v>
      </c>
      <c r="D15">
        <f ca="1">IFERROR(__xludf.DUMMYFUNCTION("""COMPUTED_VALUE"""),20)</f>
        <v>20</v>
      </c>
      <c r="E15">
        <f ca="1">IFERROR(__xludf.DUMMYFUNCTION("""COMPUTED_VALUE"""),304.8)</f>
        <v>304.8</v>
      </c>
      <c r="F15" s="1">
        <f ca="1">IFERROR(__xludf.DUMMYFUNCTION("""COMPUTED_VALUE"""),58523)</f>
        <v>58523</v>
      </c>
      <c r="G15">
        <f ca="1">IFERROR(__xludf.DUMMYFUNCTION("""COMPUTED_VALUE"""),192)</f>
        <v>192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IFERROR(__xludf.DUMMYFUNCTION("""COMPUTED_VALUE"""),14)</f>
        <v>14</v>
      </c>
      <c r="C16" t="str">
        <f ca="1">IFERROR(__xludf.DUMMYFUNCTION("""COMPUTED_VALUE"""),"Cameron Davis")</f>
        <v>Cameron Davis</v>
      </c>
      <c r="D16">
        <f ca="1">IFERROR(__xludf.DUMMYFUNCTION("""COMPUTED_VALUE"""),16)</f>
        <v>16</v>
      </c>
      <c r="E16">
        <f ca="1">IFERROR(__xludf.DUMMYFUNCTION("""COMPUTED_VALUE"""),304.3)</f>
        <v>304.3</v>
      </c>
      <c r="F16" s="1">
        <f ca="1">IFERROR(__xludf.DUMMYFUNCTION("""COMPUTED_VALUE"""),66943)</f>
        <v>66943</v>
      </c>
      <c r="G16">
        <f ca="1">IFERROR(__xludf.DUMMYFUNCTION("""COMPUTED_VALUE"""),220)</f>
        <v>220</v>
      </c>
    </row>
    <row r="17" spans="1:7" ht="15.75" customHeight="1">
      <c r="A17">
        <f ca="1">IFERROR(__xludf.DUMMYFUNCTION("""COMPUTED_VALUE"""),16)</f>
        <v>16</v>
      </c>
      <c r="B17" t="str">
        <f ca="1">IFERROR(__xludf.DUMMYFUNCTION("""COMPUTED_VALUE"""),"")</f>
        <v/>
      </c>
      <c r="C17" t="str">
        <f ca="1">IFERROR(__xludf.DUMMYFUNCTION("""COMPUTED_VALUE"""),"Ollie Schniederjans")</f>
        <v>Ollie Schniederjans</v>
      </c>
      <c r="D17">
        <f ca="1">IFERROR(__xludf.DUMMYFUNCTION("""COMPUTED_VALUE"""),6)</f>
        <v>6</v>
      </c>
      <c r="E17">
        <f ca="1">IFERROR(__xludf.DUMMYFUNCTION("""COMPUTED_VALUE"""),304.2)</f>
        <v>304.2</v>
      </c>
      <c r="F17" s="1">
        <f ca="1">IFERROR(__xludf.DUMMYFUNCTION("""COMPUTED_VALUE"""),7909)</f>
        <v>7909</v>
      </c>
      <c r="G17">
        <f ca="1">IFERROR(__xludf.DUMMYFUNCTION("""COMPUTED_VALUE"""),26)</f>
        <v>26</v>
      </c>
    </row>
    <row r="18" spans="1:7" ht="15.75" customHeight="1">
      <c r="A18" t="str">
        <f ca="1">IFERROR(__xludf.DUMMYFUNCTION("""COMPUTED_VALUE"""),"T17")</f>
        <v>T17</v>
      </c>
      <c r="B18">
        <f ca="1">IFERROR(__xludf.DUMMYFUNCTION("""COMPUTED_VALUE"""),12)</f>
        <v>12</v>
      </c>
      <c r="C18" t="str">
        <f ca="1">IFERROR(__xludf.DUMMYFUNCTION("""COMPUTED_VALUE"""),"Beau Hossler")</f>
        <v>Beau Hossler</v>
      </c>
      <c r="D18">
        <f ca="1">IFERROR(__xludf.DUMMYFUNCTION("""COMPUTED_VALUE"""),22)</f>
        <v>22</v>
      </c>
      <c r="E18">
        <f ca="1">IFERROR(__xludf.DUMMYFUNCTION("""COMPUTED_VALUE"""),304)</f>
        <v>304</v>
      </c>
      <c r="F18" s="1">
        <f ca="1">IFERROR(__xludf.DUMMYFUNCTION("""COMPUTED_VALUE"""),58975)</f>
        <v>58975</v>
      </c>
      <c r="G18">
        <f ca="1">IFERROR(__xludf.DUMMYFUNCTION("""COMPUTED_VALUE"""),194)</f>
        <v>194</v>
      </c>
    </row>
    <row r="19" spans="1:7" ht="15.75" customHeight="1">
      <c r="A19" t="str">
        <f ca="1">IFERROR(__xludf.DUMMYFUNCTION("""COMPUTED_VALUE"""),"T17")</f>
        <v>T17</v>
      </c>
      <c r="B19" t="str">
        <f ca="1">IFERROR(__xludf.DUMMYFUNCTION("""COMPUTED_VALUE"""),"T15")</f>
        <v>T15</v>
      </c>
      <c r="C19" t="str">
        <f ca="1">IFERROR(__xludf.DUMMYFUNCTION("""COMPUTED_VALUE"""),"Dylan Frittelli")</f>
        <v>Dylan Frittelli</v>
      </c>
      <c r="D19">
        <f ca="1">IFERROR(__xludf.DUMMYFUNCTION("""COMPUTED_VALUE"""),16)</f>
        <v>16</v>
      </c>
      <c r="E19">
        <f ca="1">IFERROR(__xludf.DUMMYFUNCTION("""COMPUTED_VALUE"""),304)</f>
        <v>304</v>
      </c>
      <c r="F19" s="1">
        <f ca="1">IFERROR(__xludf.DUMMYFUNCTION("""COMPUTED_VALUE"""),66262)</f>
        <v>66262</v>
      </c>
      <c r="G19">
        <f ca="1">IFERROR(__xludf.DUMMYFUNCTION("""COMPUTED_VALUE"""),218)</f>
        <v>218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IFERROR(__xludf.DUMMYFUNCTION("""COMPUTED_VALUE"""),13)</f>
        <v>13</v>
      </c>
      <c r="C20" t="str">
        <f ca="1">IFERROR(__xludf.DUMMYFUNCTION("""COMPUTED_VALUE"""),"Jaekyeong Lee")</f>
        <v>Jaekyeong Lee</v>
      </c>
      <c r="D20">
        <f ca="1">IFERROR(__xludf.DUMMYFUNCTION("""COMPUTED_VALUE"""),4)</f>
        <v>4</v>
      </c>
      <c r="E20">
        <f ca="1">IFERROR(__xludf.DUMMYFUNCTION("""COMPUTED_VALUE"""),303.9)</f>
        <v>303.89999999999998</v>
      </c>
      <c r="F20" s="1">
        <f ca="1">IFERROR(__xludf.DUMMYFUNCTION("""COMPUTED_VALUE"""),17018)</f>
        <v>17018</v>
      </c>
      <c r="G20">
        <f ca="1">IFERROR(__xludf.DUMMYFUNCTION("""COMPUTED_VALUE"""),56)</f>
        <v>56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IFERROR(__xludf.DUMMYFUNCTION("""COMPUTED_VALUE"""),25)</f>
        <v>25</v>
      </c>
      <c r="C21" t="str">
        <f ca="1">IFERROR(__xludf.DUMMYFUNCTION("""COMPUTED_VALUE"""),"Luke List")</f>
        <v>Luke List</v>
      </c>
      <c r="D21">
        <f ca="1">IFERROR(__xludf.DUMMYFUNCTION("""COMPUTED_VALUE"""),18)</f>
        <v>18</v>
      </c>
      <c r="E21">
        <f ca="1">IFERROR(__xludf.DUMMYFUNCTION("""COMPUTED_VALUE"""),303.5)</f>
        <v>303.5</v>
      </c>
      <c r="F21" s="1">
        <f ca="1">IFERROR(__xludf.DUMMYFUNCTION("""COMPUTED_VALUE"""),41880)</f>
        <v>41880</v>
      </c>
      <c r="G21">
        <f ca="1">IFERROR(__xludf.DUMMYFUNCTION("""COMPUTED_VALUE"""),138)</f>
        <v>138</v>
      </c>
    </row>
    <row r="22" spans="1:7" ht="15.75" customHeight="1">
      <c r="A22" t="str">
        <f ca="1">IFERROR(__xludf.DUMMYFUNCTION("""COMPUTED_VALUE"""),"T21")</f>
        <v>T21</v>
      </c>
      <c r="B22">
        <f ca="1">IFERROR(__xludf.DUMMYFUNCTION("""COMPUTED_VALUE"""),91)</f>
        <v>91</v>
      </c>
      <c r="C22" t="str">
        <f ca="1">IFERROR(__xludf.DUMMYFUNCTION("""COMPUTED_VALUE"""),"Adam Scott")</f>
        <v>Adam Scott</v>
      </c>
      <c r="D22">
        <f ca="1">IFERROR(__xludf.DUMMYFUNCTION("""COMPUTED_VALUE"""),8)</f>
        <v>8</v>
      </c>
      <c r="E22">
        <f ca="1">IFERROR(__xludf.DUMMYFUNCTION("""COMPUTED_VALUE"""),303.3)</f>
        <v>303.3</v>
      </c>
      <c r="F22" s="1">
        <f ca="1">IFERROR(__xludf.DUMMYFUNCTION("""COMPUTED_VALUE"""),32755)</f>
        <v>32755</v>
      </c>
      <c r="G22">
        <f ca="1">IFERROR(__xludf.DUMMYFUNCTION("""COMPUTED_VALUE"""),108)</f>
        <v>108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IFERROR(__xludf.DUMMYFUNCTION("""COMPUTED_VALUE"""),"T15")</f>
        <v>T15</v>
      </c>
      <c r="C23" t="str">
        <f ca="1">IFERROR(__xludf.DUMMYFUNCTION("""COMPUTED_VALUE"""),"Tyler McCumber")</f>
        <v>Tyler McCumber</v>
      </c>
      <c r="D23">
        <f ca="1">IFERROR(__xludf.DUMMYFUNCTION("""COMPUTED_VALUE"""),14)</f>
        <v>14</v>
      </c>
      <c r="E23">
        <f ca="1">IFERROR(__xludf.DUMMYFUNCTION("""COMPUTED_VALUE"""),303.3)</f>
        <v>303.3</v>
      </c>
      <c r="F23" s="1">
        <f ca="1">IFERROR(__xludf.DUMMYFUNCTION("""COMPUTED_VALUE"""),33968)</f>
        <v>33968</v>
      </c>
      <c r="G23">
        <f ca="1">IFERROR(__xludf.DUMMYFUNCTION("""COMPUTED_VALUE"""),112)</f>
        <v>112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IFERROR(__xludf.DUMMYFUNCTION("""COMPUTED_VALUE"""),17)</f>
        <v>17</v>
      </c>
      <c r="C24" t="str">
        <f ca="1">IFERROR(__xludf.DUMMYFUNCTION("""COMPUTED_VALUE"""),"Rory McIlroy")</f>
        <v>Rory McIlroy</v>
      </c>
      <c r="D24">
        <f ca="1">IFERROR(__xludf.DUMMYFUNCTION("""COMPUTED_VALUE"""),12)</f>
        <v>12</v>
      </c>
      <c r="E24">
        <f ca="1">IFERROR(__xludf.DUMMYFUNCTION("""COMPUTED_VALUE"""),303.2)</f>
        <v>303.2</v>
      </c>
      <c r="F24" s="1">
        <f ca="1">IFERROR(__xludf.DUMMYFUNCTION("""COMPUTED_VALUE"""),49724)</f>
        <v>49724</v>
      </c>
      <c r="G24">
        <f ca="1">IFERROR(__xludf.DUMMYFUNCTION("""COMPUTED_VALUE"""),164)</f>
        <v>164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IFERROR(__xludf.DUMMYFUNCTION("""COMPUTED_VALUE"""),"T18")</f>
        <v>T18</v>
      </c>
      <c r="C25" t="str">
        <f ca="1">IFERROR(__xludf.DUMMYFUNCTION("""COMPUTED_VALUE"""),"Brandon Hagy")</f>
        <v>Brandon Hagy</v>
      </c>
      <c r="D25">
        <f ca="1">IFERROR(__xludf.DUMMYFUNCTION("""COMPUTED_VALUE"""),10)</f>
        <v>10</v>
      </c>
      <c r="E25">
        <f ca="1">IFERROR(__xludf.DUMMYFUNCTION("""COMPUTED_VALUE"""),303.1)</f>
        <v>303.10000000000002</v>
      </c>
      <c r="F25" s="1">
        <f ca="1">IFERROR(__xludf.DUMMYFUNCTION("""COMPUTED_VALUE"""),25458)</f>
        <v>25458</v>
      </c>
      <c r="G25">
        <f ca="1">IFERROR(__xludf.DUMMYFUNCTION("""COMPUTED_VALUE"""),84)</f>
        <v>84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IFERROR(__xludf.DUMMYFUNCTION("""COMPUTED_VALUE"""),20)</f>
        <v>20</v>
      </c>
      <c r="C26" t="str">
        <f ca="1">IFERROR(__xludf.DUMMYFUNCTION("""COMPUTED_VALUE"""),"Joaquin Niemann")</f>
        <v>Joaquin Niemann</v>
      </c>
      <c r="D26">
        <f ca="1">IFERROR(__xludf.DUMMYFUNCTION("""COMPUTED_VALUE"""),16)</f>
        <v>16</v>
      </c>
      <c r="E26">
        <f ca="1">IFERROR(__xludf.DUMMYFUNCTION("""COMPUTED_VALUE"""),303)</f>
        <v>303</v>
      </c>
      <c r="F26" s="1">
        <f ca="1">IFERROR(__xludf.DUMMYFUNCTION("""COMPUTED_VALUE"""),66669)</f>
        <v>66669</v>
      </c>
      <c r="G26">
        <f ca="1">IFERROR(__xludf.DUMMYFUNCTION("""COMPUTED_VALUE"""),220)</f>
        <v>220</v>
      </c>
    </row>
    <row r="27" spans="1:7" ht="15.75" customHeight="1">
      <c r="A27" t="str">
        <f ca="1">IFERROR(__xludf.DUMMYFUNCTION("""COMPUTED_VALUE"""),"T26")</f>
        <v>T26</v>
      </c>
      <c r="B27" t="str">
        <f ca="1">IFERROR(__xludf.DUMMYFUNCTION("""COMPUTED_VALUE"""),"T18")</f>
        <v>T18</v>
      </c>
      <c r="C27" t="str">
        <f ca="1">IFERROR(__xludf.DUMMYFUNCTION("""COMPUTED_VALUE"""),"Patrick Rodgers")</f>
        <v>Patrick Rodgers</v>
      </c>
      <c r="D27">
        <f ca="1">IFERROR(__xludf.DUMMYFUNCTION("""COMPUTED_VALUE"""),18)</f>
        <v>18</v>
      </c>
      <c r="E27">
        <f ca="1">IFERROR(__xludf.DUMMYFUNCTION("""COMPUTED_VALUE"""),302.8)</f>
        <v>302.8</v>
      </c>
      <c r="F27" s="1">
        <f ca="1">IFERROR(__xludf.DUMMYFUNCTION("""COMPUTED_VALUE"""),41786)</f>
        <v>41786</v>
      </c>
      <c r="G27">
        <f ca="1">IFERROR(__xludf.DUMMYFUNCTION("""COMPUTED_VALUE"""),138)</f>
        <v>138</v>
      </c>
    </row>
    <row r="28" spans="1:7" ht="15.75" customHeight="1">
      <c r="A28" t="str">
        <f ca="1">IFERROR(__xludf.DUMMYFUNCTION("""COMPUTED_VALUE"""),"T26")</f>
        <v>T26</v>
      </c>
      <c r="B28">
        <f ca="1">IFERROR(__xludf.DUMMYFUNCTION("""COMPUTED_VALUE"""),21)</f>
        <v>21</v>
      </c>
      <c r="C28" t="str">
        <f ca="1">IFERROR(__xludf.DUMMYFUNCTION("""COMPUTED_VALUE"""),"Kurt Kitayama")</f>
        <v>Kurt Kitayama</v>
      </c>
      <c r="D28">
        <f ca="1">IFERROR(__xludf.DUMMYFUNCTION("""COMPUTED_VALUE"""),4)</f>
        <v>4</v>
      </c>
      <c r="E28">
        <f ca="1">IFERROR(__xludf.DUMMYFUNCTION("""COMPUTED_VALUE"""),302.8)</f>
        <v>302.8</v>
      </c>
      <c r="F28" s="1">
        <f ca="1">IFERROR(__xludf.DUMMYFUNCTION("""COMPUTED_VALUE"""),8477)</f>
        <v>8477</v>
      </c>
      <c r="G28">
        <f ca="1">IFERROR(__xludf.DUMMYFUNCTION("""COMPUTED_VALUE"""),28)</f>
        <v>28</v>
      </c>
    </row>
    <row r="29" spans="1:7" ht="15.75" customHeight="1">
      <c r="A29" t="str">
        <f ca="1">IFERROR(__xludf.DUMMYFUNCTION("""COMPUTED_VALUE"""),"T28")</f>
        <v>T28</v>
      </c>
      <c r="B29">
        <f ca="1">IFERROR(__xludf.DUMMYFUNCTION("""COMPUTED_VALUE"""),22)</f>
        <v>22</v>
      </c>
      <c r="C29" t="str">
        <f ca="1">IFERROR(__xludf.DUMMYFUNCTION("""COMPUTED_VALUE"""),"Cameron Champ")</f>
        <v>Cameron Champ</v>
      </c>
      <c r="D29">
        <f ca="1">IFERROR(__xludf.DUMMYFUNCTION("""COMPUTED_VALUE"""),12)</f>
        <v>12</v>
      </c>
      <c r="E29">
        <f ca="1">IFERROR(__xludf.DUMMYFUNCTION("""COMPUTED_VALUE"""),302.4)</f>
        <v>302.39999999999998</v>
      </c>
      <c r="F29" s="1">
        <f ca="1">IFERROR(__xludf.DUMMYFUNCTION("""COMPUTED_VALUE"""),49599)</f>
        <v>49599</v>
      </c>
      <c r="G29">
        <f ca="1">IFERROR(__xludf.DUMMYFUNCTION("""COMPUTED_VALUE"""),164)</f>
        <v>164</v>
      </c>
    </row>
    <row r="30" spans="1:7" ht="15.75" customHeight="1">
      <c r="A30" t="str">
        <f ca="1">IFERROR(__xludf.DUMMYFUNCTION("""COMPUTED_VALUE"""),"T28")</f>
        <v>T28</v>
      </c>
      <c r="B30" t="str">
        <f ca="1">IFERROR(__xludf.DUMMYFUNCTION("""COMPUTED_VALUE"""),"T23")</f>
        <v>T23</v>
      </c>
      <c r="C30" t="str">
        <f ca="1">IFERROR(__xludf.DUMMYFUNCTION("""COMPUTED_VALUE"""),"Charley Hoffman")</f>
        <v>Charley Hoffman</v>
      </c>
      <c r="D30">
        <f ca="1">IFERROR(__xludf.DUMMYFUNCTION("""COMPUTED_VALUE"""),20)</f>
        <v>20</v>
      </c>
      <c r="E30">
        <f ca="1">IFERROR(__xludf.DUMMYFUNCTION("""COMPUTED_VALUE"""),302.4)</f>
        <v>302.39999999999998</v>
      </c>
      <c r="F30" s="1">
        <f ca="1">IFERROR(__xludf.DUMMYFUNCTION("""COMPUTED_VALUE"""),58069)</f>
        <v>58069</v>
      </c>
      <c r="G30">
        <f ca="1">IFERROR(__xludf.DUMMYFUNCTION("""COMPUTED_VALUE"""),192)</f>
        <v>192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IFERROR(__xludf.DUMMYFUNCTION("""COMPUTED_VALUE"""),26)</f>
        <v>26</v>
      </c>
      <c r="C31" t="str">
        <f ca="1">IFERROR(__xludf.DUMMYFUNCTION("""COMPUTED_VALUE"""),"Stewart Cink")</f>
        <v>Stewart Cink</v>
      </c>
      <c r="D31">
        <f ca="1">IFERROR(__xludf.DUMMYFUNCTION("""COMPUTED_VALUE"""),18)</f>
        <v>18</v>
      </c>
      <c r="E31">
        <f ca="1">IFERROR(__xludf.DUMMYFUNCTION("""COMPUTED_VALUE"""),301.9)</f>
        <v>301.89999999999998</v>
      </c>
      <c r="F31" s="1">
        <f ca="1">IFERROR(__xludf.DUMMYFUNCTION("""COMPUTED_VALUE"""),58560)</f>
        <v>58560</v>
      </c>
      <c r="G31">
        <f ca="1">IFERROR(__xludf.DUMMYFUNCTION("""COMPUTED_VALUE"""),194)</f>
        <v>194</v>
      </c>
    </row>
    <row r="32" spans="1:7" ht="12.75">
      <c r="A32">
        <f ca="1">IFERROR(__xludf.DUMMYFUNCTION("""COMPUTED_VALUE"""),31)</f>
        <v>31</v>
      </c>
      <c r="B32" t="str">
        <f ca="1">IFERROR(__xludf.DUMMYFUNCTION("""COMPUTED_VALUE"""),"T28")</f>
        <v>T28</v>
      </c>
      <c r="C32" t="str">
        <f ca="1">IFERROR(__xludf.DUMMYFUNCTION("""COMPUTED_VALUE"""),"Max Homa")</f>
        <v>Max Homa</v>
      </c>
      <c r="D32">
        <f ca="1">IFERROR(__xludf.DUMMYFUNCTION("""COMPUTED_VALUE"""),12)</f>
        <v>12</v>
      </c>
      <c r="E32">
        <f ca="1">IFERROR(__xludf.DUMMYFUNCTION("""COMPUTED_VALUE"""),301.8)</f>
        <v>301.8</v>
      </c>
      <c r="F32" s="1">
        <f ca="1">IFERROR(__xludf.DUMMYFUNCTION("""COMPUTED_VALUE"""),32593)</f>
        <v>32593</v>
      </c>
      <c r="G32">
        <f ca="1">IFERROR(__xludf.DUMMYFUNCTION("""COMPUTED_VALUE"""),108)</f>
        <v>108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IFERROR(__xludf.DUMMYFUNCTION("""COMPUTED_VALUE"""),27)</f>
        <v>27</v>
      </c>
      <c r="C33" t="str">
        <f ca="1">IFERROR(__xludf.DUMMYFUNCTION("""COMPUTED_VALUE"""),"George Markham")</f>
        <v>George Markham</v>
      </c>
      <c r="D33">
        <f ca="1">IFERROR(__xludf.DUMMYFUNCTION("""COMPUTED_VALUE"""),4)</f>
        <v>4</v>
      </c>
      <c r="E33">
        <f ca="1">IFERROR(__xludf.DUMMYFUNCTION("""COMPUTED_VALUE"""),301.1)</f>
        <v>301.10000000000002</v>
      </c>
      <c r="F33" s="1">
        <f ca="1">IFERROR(__xludf.DUMMYFUNCTION("""COMPUTED_VALUE"""),16860)</f>
        <v>16860</v>
      </c>
      <c r="G33">
        <f ca="1">IFERROR(__xludf.DUMMYFUNCTION("""COMPUTED_VALUE"""),56)</f>
        <v>56</v>
      </c>
    </row>
    <row r="34" spans="1:7" ht="12.75">
      <c r="A34" t="str">
        <f ca="1">IFERROR(__xludf.DUMMYFUNCTION("""COMPUTED_VALUE"""),"T33")</f>
        <v>T33</v>
      </c>
      <c r="B34" t="str">
        <f ca="1">IFERROR(__xludf.DUMMYFUNCTION("""COMPUTED_VALUE"""),"T28")</f>
        <v>T28</v>
      </c>
      <c r="C34" t="str">
        <f ca="1">IFERROR(__xludf.DUMMYFUNCTION("""COMPUTED_VALUE"""),"Davis Riley")</f>
        <v>Davis Riley</v>
      </c>
      <c r="D34">
        <f ca="1">IFERROR(__xludf.DUMMYFUNCTION("""COMPUTED_VALUE"""),4)</f>
        <v>4</v>
      </c>
      <c r="E34">
        <f ca="1">IFERROR(__xludf.DUMMYFUNCTION("""COMPUTED_VALUE"""),300.8)</f>
        <v>300.8</v>
      </c>
      <c r="F34" s="1">
        <f ca="1">IFERROR(__xludf.DUMMYFUNCTION("""COMPUTED_VALUE"""),16842)</f>
        <v>16842</v>
      </c>
      <c r="G34">
        <f ca="1">IFERROR(__xludf.DUMMYFUNCTION("""COMPUTED_VALUE"""),56)</f>
        <v>56</v>
      </c>
    </row>
    <row r="35" spans="1:7" ht="12.75">
      <c r="A35" t="str">
        <f ca="1">IFERROR(__xludf.DUMMYFUNCTION("""COMPUTED_VALUE"""),"T33")</f>
        <v>T33</v>
      </c>
      <c r="B35" t="str">
        <f ca="1">IFERROR(__xludf.DUMMYFUNCTION("""COMPUTED_VALUE"""),"")</f>
        <v/>
      </c>
      <c r="C35" t="str">
        <f ca="1">IFERROR(__xludf.DUMMYFUNCTION("""COMPUTED_VALUE"""),"Padraig Harrington")</f>
        <v>Padraig Harrington</v>
      </c>
      <c r="D35">
        <f ca="1">IFERROR(__xludf.DUMMYFUNCTION("""COMPUTED_VALUE"""),8)</f>
        <v>8</v>
      </c>
      <c r="E35">
        <f ca="1">IFERROR(__xludf.DUMMYFUNCTION("""COMPUTED_VALUE"""),300.8)</f>
        <v>300.8</v>
      </c>
      <c r="F35" s="1">
        <f ca="1">IFERROR(__xludf.DUMMYFUNCTION("""COMPUTED_VALUE"""),15639)</f>
        <v>15639</v>
      </c>
      <c r="G35">
        <f ca="1">IFERROR(__xludf.DUMMYFUNCTION("""COMPUTED_VALUE"""),52)</f>
        <v>52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IFERROR(__xludf.DUMMYFUNCTION("""COMPUTED_VALUE"""),30)</f>
        <v>30</v>
      </c>
      <c r="C36" t="str">
        <f ca="1">IFERROR(__xludf.DUMMYFUNCTION("""COMPUTED_VALUE"""),"Thomas Pieters")</f>
        <v>Thomas Pieters</v>
      </c>
      <c r="D36">
        <f ca="1">IFERROR(__xludf.DUMMYFUNCTION("""COMPUTED_VALUE"""),4)</f>
        <v>4</v>
      </c>
      <c r="E36">
        <f ca="1">IFERROR(__xludf.DUMMYFUNCTION("""COMPUTED_VALUE"""),300.2)</f>
        <v>300.2</v>
      </c>
      <c r="F36" s="1">
        <f ca="1">IFERROR(__xludf.DUMMYFUNCTION("""COMPUTED_VALUE"""),16813)</f>
        <v>16813</v>
      </c>
      <c r="G36">
        <f ca="1">IFERROR(__xludf.DUMMYFUNCTION("""COMPUTED_VALUE"""),56)</f>
        <v>56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IFERROR(__xludf.DUMMYFUNCTION("""COMPUTED_VALUE"""),31)</f>
        <v>31</v>
      </c>
      <c r="C37" t="str">
        <f ca="1">IFERROR(__xludf.DUMMYFUNCTION("""COMPUTED_VALUE"""),"MJ Daffue")</f>
        <v>MJ Daffue</v>
      </c>
      <c r="D37">
        <f ca="1">IFERROR(__xludf.DUMMYFUNCTION("""COMPUTED_VALUE"""),10)</f>
        <v>10</v>
      </c>
      <c r="E37">
        <f ca="1">IFERROR(__xludf.DUMMYFUNCTION("""COMPUTED_VALUE"""),300.1)</f>
        <v>300.10000000000002</v>
      </c>
      <c r="F37" s="1">
        <f ca="1">IFERROR(__xludf.DUMMYFUNCTION("""COMPUTED_VALUE"""),42012)</f>
        <v>42012</v>
      </c>
      <c r="G37">
        <f ca="1">IFERROR(__xludf.DUMMYFUNCTION("""COMPUTED_VALUE"""),140)</f>
        <v>140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IFERROR(__xludf.DUMMYFUNCTION("""COMPUTED_VALUE"""),41)</f>
        <v>41</v>
      </c>
      <c r="C38" t="str">
        <f ca="1">IFERROR(__xludf.DUMMYFUNCTION("""COMPUTED_VALUE"""),"Scottie Scheffler")</f>
        <v>Scottie Scheffler</v>
      </c>
      <c r="D38">
        <f ca="1">IFERROR(__xludf.DUMMYFUNCTION("""COMPUTED_VALUE"""),18)</f>
        <v>18</v>
      </c>
      <c r="E38">
        <f ca="1">IFERROR(__xludf.DUMMYFUNCTION("""COMPUTED_VALUE"""),300)</f>
        <v>300</v>
      </c>
      <c r="F38" s="1">
        <f ca="1">IFERROR(__xludf.DUMMYFUNCTION("""COMPUTED_VALUE"""),73200)</f>
        <v>73200</v>
      </c>
      <c r="G38">
        <f ca="1">IFERROR(__xludf.DUMMYFUNCTION("""COMPUTED_VALUE"""),244)</f>
        <v>244</v>
      </c>
    </row>
    <row r="39" spans="1:7" ht="12.75">
      <c r="A39">
        <f ca="1">IFERROR(__xludf.DUMMYFUNCTION("""COMPUTED_VALUE"""),38)</f>
        <v>38</v>
      </c>
      <c r="B39" t="str">
        <f ca="1">IFERROR(__xludf.DUMMYFUNCTION("""COMPUTED_VALUE"""),"T44")</f>
        <v>T44</v>
      </c>
      <c r="C39" t="str">
        <f ca="1">IFERROR(__xludf.DUMMYFUNCTION("""COMPUTED_VALUE"""),"Aaron Wise")</f>
        <v>Aaron Wise</v>
      </c>
      <c r="D39">
        <f ca="1">IFERROR(__xludf.DUMMYFUNCTION("""COMPUTED_VALUE"""),16)</f>
        <v>16</v>
      </c>
      <c r="E39">
        <f ca="1">IFERROR(__xludf.DUMMYFUNCTION("""COMPUTED_VALUE"""),299.9)</f>
        <v>299.89999999999998</v>
      </c>
      <c r="F39" s="1">
        <f ca="1">IFERROR(__xludf.DUMMYFUNCTION("""COMPUTED_VALUE"""),49186)</f>
        <v>49186</v>
      </c>
      <c r="G39">
        <f ca="1">IFERROR(__xludf.DUMMYFUNCTION("""COMPUTED_VALUE"""),164)</f>
        <v>164</v>
      </c>
    </row>
    <row r="40" spans="1:7" ht="12.75">
      <c r="A40" t="str">
        <f ca="1">IFERROR(__xludf.DUMMYFUNCTION("""COMPUTED_VALUE"""),"T39")</f>
        <v>T39</v>
      </c>
      <c r="B40" t="str">
        <f ca="1">IFERROR(__xludf.DUMMYFUNCTION("""COMPUTED_VALUE"""),"T32")</f>
        <v>T32</v>
      </c>
      <c r="C40" t="str">
        <f ca="1">IFERROR(__xludf.DUMMYFUNCTION("""COMPUTED_VALUE"""),"Seonghyeon Kim")</f>
        <v>Seonghyeon Kim</v>
      </c>
      <c r="D40">
        <f ca="1">IFERROR(__xludf.DUMMYFUNCTION("""COMPUTED_VALUE"""),4)</f>
        <v>4</v>
      </c>
      <c r="E40">
        <f ca="1">IFERROR(__xludf.DUMMYFUNCTION("""COMPUTED_VALUE"""),299.8)</f>
        <v>299.8</v>
      </c>
      <c r="F40" s="1">
        <f ca="1">IFERROR(__xludf.DUMMYFUNCTION("""COMPUTED_VALUE"""),16789)</f>
        <v>16789</v>
      </c>
      <c r="G40">
        <f ca="1">IFERROR(__xludf.DUMMYFUNCTION("""COMPUTED_VALUE"""),56)</f>
        <v>56</v>
      </c>
    </row>
    <row r="41" spans="1:7" ht="12.75">
      <c r="A41" t="str">
        <f ca="1">IFERROR(__xludf.DUMMYFUNCTION("""COMPUTED_VALUE"""),"T39")</f>
        <v>T39</v>
      </c>
      <c r="B41" t="str">
        <f ca="1">IFERROR(__xludf.DUMMYFUNCTION("""COMPUTED_VALUE"""),"T32")</f>
        <v>T32</v>
      </c>
      <c r="C41" t="str">
        <f ca="1">IFERROR(__xludf.DUMMYFUNCTION("""COMPUTED_VALUE"""),"Matthew Wolff")</f>
        <v>Matthew Wolff</v>
      </c>
      <c r="D41">
        <f ca="1">IFERROR(__xludf.DUMMYFUNCTION("""COMPUTED_VALUE"""),16)</f>
        <v>16</v>
      </c>
      <c r="E41">
        <f ca="1">IFERROR(__xludf.DUMMYFUNCTION("""COMPUTED_VALUE"""),299.8)</f>
        <v>299.8</v>
      </c>
      <c r="F41" s="1">
        <f ca="1">IFERROR(__xludf.DUMMYFUNCTION("""COMPUTED_VALUE"""),65950)</f>
        <v>65950</v>
      </c>
      <c r="G41">
        <f ca="1">IFERROR(__xludf.DUMMYFUNCTION("""COMPUTED_VALUE"""),220)</f>
        <v>220</v>
      </c>
    </row>
    <row r="42" spans="1:7" ht="12.75">
      <c r="A42" t="str">
        <f ca="1">IFERROR(__xludf.DUMMYFUNCTION("""COMPUTED_VALUE"""),"T41")</f>
        <v>T41</v>
      </c>
      <c r="B42">
        <f ca="1">IFERROR(__xludf.DUMMYFUNCTION("""COMPUTED_VALUE"""),40)</f>
        <v>40</v>
      </c>
      <c r="C42" t="str">
        <f ca="1">IFERROR(__xludf.DUMMYFUNCTION("""COMPUTED_VALUE"""),"Kristoffer Ventura")</f>
        <v>Kristoffer Ventura</v>
      </c>
      <c r="D42">
        <f ca="1">IFERROR(__xludf.DUMMYFUNCTION("""COMPUTED_VALUE"""),20)</f>
        <v>20</v>
      </c>
      <c r="E42">
        <f ca="1">IFERROR(__xludf.DUMMYFUNCTION("""COMPUTED_VALUE"""),299.7)</f>
        <v>299.7</v>
      </c>
      <c r="F42" s="1">
        <f ca="1">IFERROR(__xludf.DUMMYFUNCTION("""COMPUTED_VALUE"""),57551)</f>
        <v>57551</v>
      </c>
      <c r="G42">
        <f ca="1">IFERROR(__xludf.DUMMYFUNCTION("""COMPUTED_VALUE"""),192)</f>
        <v>192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IFERROR(__xludf.DUMMYFUNCTION("""COMPUTED_VALUE"""),"T34")</f>
        <v>T34</v>
      </c>
      <c r="C43" t="str">
        <f ca="1">IFERROR(__xludf.DUMMYFUNCTION("""COMPUTED_VALUE"""),"J.B. Holmes")</f>
        <v>J.B. Holmes</v>
      </c>
      <c r="D43">
        <f ca="1">IFERROR(__xludf.DUMMYFUNCTION("""COMPUTED_VALUE"""),10)</f>
        <v>10</v>
      </c>
      <c r="E43">
        <f ca="1">IFERROR(__xludf.DUMMYFUNCTION("""COMPUTED_VALUE"""),299.7)</f>
        <v>299.7</v>
      </c>
      <c r="F43" s="1">
        <f ca="1">IFERROR(__xludf.DUMMYFUNCTION("""COMPUTED_VALUE"""),41960)</f>
        <v>41960</v>
      </c>
      <c r="G43">
        <f ca="1">IFERROR(__xludf.DUMMYFUNCTION("""COMPUTED_VALUE"""),140)</f>
        <v>140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IFERROR(__xludf.DUMMYFUNCTION("""COMPUTED_VALUE"""),"T47")</f>
        <v>T47</v>
      </c>
      <c r="C44" t="str">
        <f ca="1">IFERROR(__xludf.DUMMYFUNCTION("""COMPUTED_VALUE"""),"Scott Harrington")</f>
        <v>Scott Harrington</v>
      </c>
      <c r="D44">
        <f ca="1">IFERROR(__xludf.DUMMYFUNCTION("""COMPUTED_VALUE"""),18)</f>
        <v>18</v>
      </c>
      <c r="E44">
        <f ca="1">IFERROR(__xludf.DUMMYFUNCTION("""COMPUTED_VALUE"""),299.6)</f>
        <v>299.60000000000002</v>
      </c>
      <c r="F44" s="1">
        <f ca="1">IFERROR(__xludf.DUMMYFUNCTION("""COMPUTED_VALUE"""),49134)</f>
        <v>49134</v>
      </c>
      <c r="G44">
        <f ca="1">IFERROR(__xludf.DUMMYFUNCTION("""COMPUTED_VALUE"""),164)</f>
        <v>164</v>
      </c>
    </row>
    <row r="45" spans="1:7" ht="12.75">
      <c r="A45" t="str">
        <f ca="1">IFERROR(__xludf.DUMMYFUNCTION("""COMPUTED_VALUE"""),"T43")</f>
        <v>T43</v>
      </c>
      <c r="B45">
        <f ca="1">IFERROR(__xludf.DUMMYFUNCTION("""COMPUTED_VALUE"""),37)</f>
        <v>37</v>
      </c>
      <c r="C45" t="str">
        <f ca="1">IFERROR(__xludf.DUMMYFUNCTION("""COMPUTED_VALUE"""),"Sepp Straka")</f>
        <v>Sepp Straka</v>
      </c>
      <c r="D45">
        <f ca="1">IFERROR(__xludf.DUMMYFUNCTION("""COMPUTED_VALUE"""),22)</f>
        <v>22</v>
      </c>
      <c r="E45">
        <f ca="1">IFERROR(__xludf.DUMMYFUNCTION("""COMPUTED_VALUE"""),299.6)</f>
        <v>299.60000000000002</v>
      </c>
      <c r="F45" s="1">
        <f ca="1">IFERROR(__xludf.DUMMYFUNCTION("""COMPUTED_VALUE"""),57521)</f>
        <v>57521</v>
      </c>
      <c r="G45">
        <f ca="1">IFERROR(__xludf.DUMMYFUNCTION("""COMPUTED_VALUE"""),192)</f>
        <v>192</v>
      </c>
    </row>
    <row r="46" spans="1:7" ht="12.75">
      <c r="A46" t="str">
        <f ca="1">IFERROR(__xludf.DUMMYFUNCTION("""COMPUTED_VALUE"""),"T43")</f>
        <v>T43</v>
      </c>
      <c r="B46">
        <f ca="1">IFERROR(__xludf.DUMMYFUNCTION("""COMPUTED_VALUE"""),36)</f>
        <v>36</v>
      </c>
      <c r="C46" t="str">
        <f ca="1">IFERROR(__xludf.DUMMYFUNCTION("""COMPUTED_VALUE"""),"Hanbyeol Kim")</f>
        <v>Hanbyeol Kim</v>
      </c>
      <c r="D46">
        <f ca="1">IFERROR(__xludf.DUMMYFUNCTION("""COMPUTED_VALUE"""),4)</f>
        <v>4</v>
      </c>
      <c r="E46">
        <f ca="1">IFERROR(__xludf.DUMMYFUNCTION("""COMPUTED_VALUE"""),299.6)</f>
        <v>299.60000000000002</v>
      </c>
      <c r="F46" s="1">
        <f ca="1">IFERROR(__xludf.DUMMYFUNCTION("""COMPUTED_VALUE"""),16779)</f>
        <v>16779</v>
      </c>
      <c r="G46">
        <f ca="1">IFERROR(__xludf.DUMMYFUNCTION("""COMPUTED_VALUE"""),56)</f>
        <v>56</v>
      </c>
    </row>
    <row r="47" spans="1:7" ht="12.75">
      <c r="A47">
        <f ca="1">IFERROR(__xludf.DUMMYFUNCTION("""COMPUTED_VALUE"""),46)</f>
        <v>46</v>
      </c>
      <c r="B47" t="str">
        <f ca="1">IFERROR(__xludf.DUMMYFUNCTION("""COMPUTED_VALUE"""),"T75")</f>
        <v>T75</v>
      </c>
      <c r="C47" t="str">
        <f ca="1">IFERROR(__xludf.DUMMYFUNCTION("""COMPUTED_VALUE"""),"Jhonattan Vegas")</f>
        <v>Jhonattan Vegas</v>
      </c>
      <c r="D47">
        <f ca="1">IFERROR(__xludf.DUMMYFUNCTION("""COMPUTED_VALUE"""),16)</f>
        <v>16</v>
      </c>
      <c r="E47">
        <f ca="1">IFERROR(__xludf.DUMMYFUNCTION("""COMPUTED_VALUE"""),299.5)</f>
        <v>299.5</v>
      </c>
      <c r="F47" s="1">
        <f ca="1">IFERROR(__xludf.DUMMYFUNCTION("""COMPUTED_VALUE"""),40736)</f>
        <v>40736</v>
      </c>
      <c r="G47">
        <f ca="1">IFERROR(__xludf.DUMMYFUNCTION("""COMPUTED_VALUE"""),136)</f>
        <v>136</v>
      </c>
    </row>
    <row r="48" spans="1:7" ht="12.75">
      <c r="A48" t="str">
        <f ca="1">IFERROR(__xludf.DUMMYFUNCTION("""COMPUTED_VALUE"""),"T47")</f>
        <v>T47</v>
      </c>
      <c r="B48">
        <f ca="1">IFERROR(__xludf.DUMMYFUNCTION("""COMPUTED_VALUE"""),38)</f>
        <v>38</v>
      </c>
      <c r="C48" t="str">
        <f ca="1">IFERROR(__xludf.DUMMYFUNCTION("""COMPUTED_VALUE"""),"Bubba Watson")</f>
        <v>Bubba Watson</v>
      </c>
      <c r="D48">
        <f ca="1">IFERROR(__xludf.DUMMYFUNCTION("""COMPUTED_VALUE"""),12)</f>
        <v>12</v>
      </c>
      <c r="E48">
        <f ca="1">IFERROR(__xludf.DUMMYFUNCTION("""COMPUTED_VALUE"""),299.3)</f>
        <v>299.3</v>
      </c>
      <c r="F48" s="1">
        <f ca="1">IFERROR(__xludf.DUMMYFUNCTION("""COMPUTED_VALUE"""),49077)</f>
        <v>49077</v>
      </c>
      <c r="G48">
        <f ca="1">IFERROR(__xludf.DUMMYFUNCTION("""COMPUTED_VALUE"""),164)</f>
        <v>164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IFERROR(__xludf.DUMMYFUNCTION("""COMPUTED_VALUE"""),"T34")</f>
        <v>T34</v>
      </c>
      <c r="C49" t="str">
        <f ca="1">IFERROR(__xludf.DUMMYFUNCTION("""COMPUTED_VALUE"""),"Matt Jones")</f>
        <v>Matt Jones</v>
      </c>
      <c r="D49">
        <f ca="1">IFERROR(__xludf.DUMMYFUNCTION("""COMPUTED_VALUE"""),20)</f>
        <v>20</v>
      </c>
      <c r="E49">
        <f ca="1">IFERROR(__xludf.DUMMYFUNCTION("""COMPUTED_VALUE"""),299.3)</f>
        <v>299.3</v>
      </c>
      <c r="F49" s="1">
        <f ca="1">IFERROR(__xludf.DUMMYFUNCTION("""COMPUTED_VALUE"""),49079)</f>
        <v>49079</v>
      </c>
      <c r="G49">
        <f ca="1">IFERROR(__xludf.DUMMYFUNCTION("""COMPUTED_VALUE"""),164)</f>
        <v>164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IFERROR(__xludf.DUMMYFUNCTION("""COMPUTED_VALUE"""),42)</f>
        <v>42</v>
      </c>
      <c r="C50" t="str">
        <f ca="1">IFERROR(__xludf.DUMMYFUNCTION("""COMPUTED_VALUE"""),"Danny Lee")</f>
        <v>Danny Lee</v>
      </c>
      <c r="D50">
        <f ca="1">IFERROR(__xludf.DUMMYFUNCTION("""COMPUTED_VALUE"""),15)</f>
        <v>15</v>
      </c>
      <c r="E50">
        <f ca="1">IFERROR(__xludf.DUMMYFUNCTION("""COMPUTED_VALUE"""),299.1)</f>
        <v>299.10000000000002</v>
      </c>
      <c r="F50" s="1">
        <f ca="1">IFERROR(__xludf.DUMMYFUNCTION("""COMPUTED_VALUE"""),61008)</f>
        <v>61008</v>
      </c>
      <c r="G50">
        <f ca="1">IFERROR(__xludf.DUMMYFUNCTION("""COMPUTED_VALUE"""),204)</f>
        <v>204</v>
      </c>
    </row>
    <row r="51" spans="1:7" ht="12.75">
      <c r="A51" t="str">
        <f ca="1">IFERROR(__xludf.DUMMYFUNCTION("""COMPUTED_VALUE"""),"T50")</f>
        <v>T50</v>
      </c>
      <c r="B51">
        <f ca="1">IFERROR(__xludf.DUMMYFUNCTION("""COMPUTED_VALUE"""),65)</f>
        <v>65</v>
      </c>
      <c r="C51" t="str">
        <f ca="1">IFERROR(__xludf.DUMMYFUNCTION("""COMPUTED_VALUE"""),"Maverick McNealy")</f>
        <v>Maverick McNealy</v>
      </c>
      <c r="D51">
        <f ca="1">IFERROR(__xludf.DUMMYFUNCTION("""COMPUTED_VALUE"""),16)</f>
        <v>16</v>
      </c>
      <c r="E51">
        <f ca="1">IFERROR(__xludf.DUMMYFUNCTION("""COMPUTED_VALUE"""),298.9)</f>
        <v>298.89999999999998</v>
      </c>
      <c r="F51" s="1">
        <f ca="1">IFERROR(__xludf.DUMMYFUNCTION("""COMPUTED_VALUE"""),49013)</f>
        <v>49013</v>
      </c>
      <c r="G51">
        <f ca="1">IFERROR(__xludf.DUMMYFUNCTION("""COMPUTED_VALUE"""),164)</f>
        <v>164</v>
      </c>
    </row>
    <row r="52" spans="1:7" ht="12.75">
      <c r="A52" t="str">
        <f ca="1">IFERROR(__xludf.DUMMYFUNCTION("""COMPUTED_VALUE"""),"T50")</f>
        <v>T50</v>
      </c>
      <c r="B52" t="str">
        <f ca="1">IFERROR(__xludf.DUMMYFUNCTION("""COMPUTED_VALUE"""),"T96")</f>
        <v>T96</v>
      </c>
      <c r="C52" t="str">
        <f ca="1">IFERROR(__xludf.DUMMYFUNCTION("""COMPUTED_VALUE"""),"Isaiah Salinda")</f>
        <v>Isaiah Salinda</v>
      </c>
      <c r="D52">
        <f ca="1">IFERROR(__xludf.DUMMYFUNCTION("""COMPUTED_VALUE"""),8)</f>
        <v>8</v>
      </c>
      <c r="E52">
        <f ca="1">IFERROR(__xludf.DUMMYFUNCTION("""COMPUTED_VALUE"""),298.9)</f>
        <v>298.89999999999998</v>
      </c>
      <c r="F52" s="1">
        <f ca="1">IFERROR(__xludf.DUMMYFUNCTION("""COMPUTED_VALUE"""),32285)</f>
        <v>32285</v>
      </c>
      <c r="G52">
        <f ca="1">IFERROR(__xludf.DUMMYFUNCTION("""COMPUTED_VALUE"""),108)</f>
        <v>108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IFERROR(__xludf.DUMMYFUNCTION("""COMPUTED_VALUE"""),52)</f>
        <v>52</v>
      </c>
      <c r="C53" t="str">
        <f ca="1">IFERROR(__xludf.DUMMYFUNCTION("""COMPUTED_VALUE"""),"Viktor Hovland")</f>
        <v>Viktor Hovland</v>
      </c>
      <c r="D53">
        <f ca="1">IFERROR(__xludf.DUMMYFUNCTION("""COMPUTED_VALUE"""),16)</f>
        <v>16</v>
      </c>
      <c r="E53">
        <f ca="1">IFERROR(__xludf.DUMMYFUNCTION("""COMPUTED_VALUE"""),298.6)</f>
        <v>298.60000000000002</v>
      </c>
      <c r="F53" s="1">
        <f ca="1">IFERROR(__xludf.DUMMYFUNCTION("""COMPUTED_VALUE"""),64504)</f>
        <v>64504</v>
      </c>
      <c r="G53">
        <f ca="1">IFERROR(__xludf.DUMMYFUNCTION("""COMPUTED_VALUE"""),216)</f>
        <v>216</v>
      </c>
    </row>
    <row r="54" spans="1:7" ht="12.75">
      <c r="A54" t="str">
        <f ca="1">IFERROR(__xludf.DUMMYFUNCTION("""COMPUTED_VALUE"""),"T53")</f>
        <v>T53</v>
      </c>
      <c r="B54">
        <f ca="1">IFERROR(__xludf.DUMMYFUNCTION("""COMPUTED_VALUE"""),39)</f>
        <v>39</v>
      </c>
      <c r="C54" t="str">
        <f ca="1">IFERROR(__xludf.DUMMYFUNCTION("""COMPUTED_VALUE"""),"Martin Trainer")</f>
        <v>Martin Trainer</v>
      </c>
      <c r="D54">
        <f ca="1">IFERROR(__xludf.DUMMYFUNCTION("""COMPUTED_VALUE"""),10)</f>
        <v>10</v>
      </c>
      <c r="E54">
        <f ca="1">IFERROR(__xludf.DUMMYFUNCTION("""COMPUTED_VALUE"""),298.5)</f>
        <v>298.5</v>
      </c>
      <c r="F54" s="1">
        <f ca="1">IFERROR(__xludf.DUMMYFUNCTION("""COMPUTED_VALUE"""),32840)</f>
        <v>32840</v>
      </c>
      <c r="G54">
        <f ca="1">IFERROR(__xludf.DUMMYFUNCTION("""COMPUTED_VALUE"""),110)</f>
        <v>110</v>
      </c>
    </row>
    <row r="55" spans="1:7" ht="12.75">
      <c r="A55" t="str">
        <f ca="1">IFERROR(__xludf.DUMMYFUNCTION("""COMPUTED_VALUE"""),"T53")</f>
        <v>T53</v>
      </c>
      <c r="B55" t="str">
        <f ca="1">IFERROR(__xludf.DUMMYFUNCTION("""COMPUTED_VALUE"""),"T44")</f>
        <v>T44</v>
      </c>
      <c r="C55" t="str">
        <f ca="1">IFERROR(__xludf.DUMMYFUNCTION("""COMPUTED_VALUE"""),"Ryan Palmer")</f>
        <v>Ryan Palmer</v>
      </c>
      <c r="D55">
        <f ca="1">IFERROR(__xludf.DUMMYFUNCTION("""COMPUTED_VALUE"""),14)</f>
        <v>14</v>
      </c>
      <c r="E55">
        <f ca="1">IFERROR(__xludf.DUMMYFUNCTION("""COMPUTED_VALUE"""),298.5)</f>
        <v>298.5</v>
      </c>
      <c r="F55" s="1">
        <f ca="1">IFERROR(__xludf.DUMMYFUNCTION("""COMPUTED_VALUE"""),57319)</f>
        <v>57319</v>
      </c>
      <c r="G55">
        <f ca="1">IFERROR(__xludf.DUMMYFUNCTION("""COMPUTED_VALUE"""),192)</f>
        <v>192</v>
      </c>
    </row>
    <row r="56" spans="1:7" ht="12.75">
      <c r="A56">
        <f ca="1">IFERROR(__xludf.DUMMYFUNCTION("""COMPUTED_VALUE"""),55)</f>
        <v>55</v>
      </c>
      <c r="B56" t="str">
        <f ca="1">IFERROR(__xludf.DUMMYFUNCTION("""COMPUTED_VALUE"""),"T71")</f>
        <v>T71</v>
      </c>
      <c r="C56" t="str">
        <f ca="1">IFERROR(__xludf.DUMMYFUNCTION("""COMPUTED_VALUE"""),"Jason Day")</f>
        <v>Jason Day</v>
      </c>
      <c r="D56">
        <f ca="1">IFERROR(__xludf.DUMMYFUNCTION("""COMPUTED_VALUE"""),17)</f>
        <v>17</v>
      </c>
      <c r="E56">
        <f ca="1">IFERROR(__xludf.DUMMYFUNCTION("""COMPUTED_VALUE"""),298.2)</f>
        <v>298.2</v>
      </c>
      <c r="F56" s="1">
        <f ca="1">IFERROR(__xludf.DUMMYFUNCTION("""COMPUTED_VALUE"""),68582)</f>
        <v>68582</v>
      </c>
      <c r="G56">
        <f ca="1">IFERROR(__xludf.DUMMYFUNCTION("""COMPUTED_VALUE"""),230)</f>
        <v>230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IFERROR(__xludf.DUMMYFUNCTION("""COMPUTED_VALUE"""),53)</f>
        <v>53</v>
      </c>
      <c r="C57" t="str">
        <f ca="1">IFERROR(__xludf.DUMMYFUNCTION("""COMPUTED_VALUE"""),"Kevin Tway")</f>
        <v>Kevin Tway</v>
      </c>
      <c r="D57">
        <f ca="1">IFERROR(__xludf.DUMMYFUNCTION("""COMPUTED_VALUE"""),16)</f>
        <v>16</v>
      </c>
      <c r="E57">
        <f ca="1">IFERROR(__xludf.DUMMYFUNCTION("""COMPUTED_VALUE"""),298.1)</f>
        <v>298.10000000000002</v>
      </c>
      <c r="F57" s="1">
        <f ca="1">IFERROR(__xludf.DUMMYFUNCTION("""COMPUTED_VALUE"""),32791)</f>
        <v>32791</v>
      </c>
      <c r="G57">
        <f ca="1">IFERROR(__xludf.DUMMYFUNCTION("""COMPUTED_VALUE"""),110)</f>
        <v>110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IFERROR(__xludf.DUMMYFUNCTION("""COMPUTED_VALUE"""),"T47")</f>
        <v>T47</v>
      </c>
      <c r="C58" t="str">
        <f ca="1">IFERROR(__xludf.DUMMYFUNCTION("""COMPUTED_VALUE"""),"Michael Gligic")</f>
        <v>Michael Gligic</v>
      </c>
      <c r="D58">
        <f ca="1">IFERROR(__xludf.DUMMYFUNCTION("""COMPUTED_VALUE"""),18)</f>
        <v>18</v>
      </c>
      <c r="E58">
        <f ca="1">IFERROR(__xludf.DUMMYFUNCTION("""COMPUTED_VALUE"""),297.9)</f>
        <v>297.89999999999998</v>
      </c>
      <c r="F58" s="1">
        <f ca="1">IFERROR(__xludf.DUMMYFUNCTION("""COMPUTED_VALUE"""),50045)</f>
        <v>50045</v>
      </c>
      <c r="G58">
        <f ca="1">IFERROR(__xludf.DUMMYFUNCTION("""COMPUTED_VALUE"""),168)</f>
        <v>168</v>
      </c>
    </row>
    <row r="59" spans="1:7" ht="12.75">
      <c r="A59" t="str">
        <f ca="1">IFERROR(__xludf.DUMMYFUNCTION("""COMPUTED_VALUE"""),"T58")</f>
        <v>T58</v>
      </c>
      <c r="B59">
        <f ca="1">IFERROR(__xludf.DUMMYFUNCTION("""COMPUTED_VALUE"""),50)</f>
        <v>50</v>
      </c>
      <c r="C59" t="str">
        <f ca="1">IFERROR(__xludf.DUMMYFUNCTION("""COMPUTED_VALUE"""),"Lee Westwood")</f>
        <v>Lee Westwood</v>
      </c>
      <c r="D59">
        <f ca="1">IFERROR(__xludf.DUMMYFUNCTION("""COMPUTED_VALUE"""),6)</f>
        <v>6</v>
      </c>
      <c r="E59">
        <f ca="1">IFERROR(__xludf.DUMMYFUNCTION("""COMPUTED_VALUE"""),297.8)</f>
        <v>297.8</v>
      </c>
      <c r="F59" s="1">
        <f ca="1">IFERROR(__xludf.DUMMYFUNCTION("""COMPUTED_VALUE"""),24424)</f>
        <v>24424</v>
      </c>
      <c r="G59">
        <f ca="1">IFERROR(__xludf.DUMMYFUNCTION("""COMPUTED_VALUE"""),82)</f>
        <v>82</v>
      </c>
    </row>
    <row r="60" spans="1:7" ht="12.75">
      <c r="A60" t="str">
        <f ca="1">IFERROR(__xludf.DUMMYFUNCTION("""COMPUTED_VALUE"""),"T58")</f>
        <v>T58</v>
      </c>
      <c r="B60" t="str">
        <f ca="1">IFERROR(__xludf.DUMMYFUNCTION("""COMPUTED_VALUE"""),"T47")</f>
        <v>T47</v>
      </c>
      <c r="C60" t="str">
        <f ca="1">IFERROR(__xludf.DUMMYFUNCTION("""COMPUTED_VALUE"""),"Robby Shelton")</f>
        <v>Robby Shelton</v>
      </c>
      <c r="D60">
        <f ca="1">IFERROR(__xludf.DUMMYFUNCTION("""COMPUTED_VALUE"""),14)</f>
        <v>14</v>
      </c>
      <c r="E60">
        <f ca="1">IFERROR(__xludf.DUMMYFUNCTION("""COMPUTED_VALUE"""),297.8)</f>
        <v>297.8</v>
      </c>
      <c r="F60" s="1">
        <f ca="1">IFERROR(__xludf.DUMMYFUNCTION("""COMPUTED_VALUE"""),57770)</f>
        <v>57770</v>
      </c>
      <c r="G60">
        <f ca="1">IFERROR(__xludf.DUMMYFUNCTION("""COMPUTED_VALUE"""),194)</f>
        <v>194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IFERROR(__xludf.DUMMYFUNCTION("""COMPUTED_VALUE"""),51)</f>
        <v>51</v>
      </c>
      <c r="C61" t="str">
        <f ca="1">IFERROR(__xludf.DUMMYFUNCTION("""COMPUTED_VALUE"""),"Jon Rahm")</f>
        <v>Jon Rahm</v>
      </c>
      <c r="D61">
        <f ca="1">IFERROR(__xludf.DUMMYFUNCTION("""COMPUTED_VALUE"""),12)</f>
        <v>12</v>
      </c>
      <c r="E61">
        <f ca="1">IFERROR(__xludf.DUMMYFUNCTION("""COMPUTED_VALUE"""),297.7)</f>
        <v>297.7</v>
      </c>
      <c r="F61" s="1">
        <f ca="1">IFERROR(__xludf.DUMMYFUNCTION("""COMPUTED_VALUE"""),48823)</f>
        <v>48823</v>
      </c>
      <c r="G61">
        <f ca="1">IFERROR(__xludf.DUMMYFUNCTION("""COMPUTED_VALUE"""),164)</f>
        <v>164</v>
      </c>
    </row>
    <row r="62" spans="1:7" ht="12.75">
      <c r="A62">
        <f ca="1">IFERROR(__xludf.DUMMYFUNCTION("""COMPUTED_VALUE"""),61)</f>
        <v>61</v>
      </c>
      <c r="B62" t="str">
        <f ca="1">IFERROR(__xludf.DUMMYFUNCTION("""COMPUTED_VALUE"""),"T69")</f>
        <v>T69</v>
      </c>
      <c r="C62" t="str">
        <f ca="1">IFERROR(__xludf.DUMMYFUNCTION("""COMPUTED_VALUE"""),"Graham DeLaet")</f>
        <v>Graham DeLaet</v>
      </c>
      <c r="D62">
        <f ca="1">IFERROR(__xludf.DUMMYFUNCTION("""COMPUTED_VALUE"""),9)</f>
        <v>9</v>
      </c>
      <c r="E62">
        <f ca="1">IFERROR(__xludf.DUMMYFUNCTION("""COMPUTED_VALUE"""),297.4)</f>
        <v>297.39999999999998</v>
      </c>
      <c r="F62" s="1">
        <f ca="1">IFERROR(__xludf.DUMMYFUNCTION("""COMPUTED_VALUE"""),20522)</f>
        <v>20522</v>
      </c>
      <c r="G62">
        <f ca="1">IFERROR(__xludf.DUMMYFUNCTION("""COMPUTED_VALUE"""),69)</f>
        <v>69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IFERROR(__xludf.DUMMYFUNCTION("""COMPUTED_VALUE"""),54)</f>
        <v>54</v>
      </c>
      <c r="C63" t="str">
        <f ca="1">IFERROR(__xludf.DUMMYFUNCTION("""COMPUTED_VALUE"""),"Charles Howell III")</f>
        <v>Charles Howell III</v>
      </c>
      <c r="D63">
        <f ca="1">IFERROR(__xludf.DUMMYFUNCTION("""COMPUTED_VALUE"""),10)</f>
        <v>10</v>
      </c>
      <c r="E63">
        <f ca="1">IFERROR(__xludf.DUMMYFUNCTION("""COMPUTED_VALUE"""),297.3)</f>
        <v>297.3</v>
      </c>
      <c r="F63" s="1">
        <f ca="1">IFERROR(__xludf.DUMMYFUNCTION("""COMPUTED_VALUE"""),33302)</f>
        <v>33302</v>
      </c>
      <c r="G63">
        <f ca="1">IFERROR(__xludf.DUMMYFUNCTION("""COMPUTED_VALUE"""),112)</f>
        <v>112</v>
      </c>
    </row>
    <row r="64" spans="1:7" ht="12.75">
      <c r="A64" t="str">
        <f ca="1">IFERROR(__xludf.DUMMYFUNCTION("""COMPUTED_VALUE"""),"T63")</f>
        <v>T63</v>
      </c>
      <c r="B64">
        <f ca="1">IFERROR(__xludf.DUMMYFUNCTION("""COMPUTED_VALUE"""),60)</f>
        <v>60</v>
      </c>
      <c r="C64" t="str">
        <f ca="1">IFERROR(__xludf.DUMMYFUNCTION("""COMPUTED_VALUE"""),"Jimmy Walker")</f>
        <v>Jimmy Walker</v>
      </c>
      <c r="D64">
        <f ca="1">IFERROR(__xludf.DUMMYFUNCTION("""COMPUTED_VALUE"""),10)</f>
        <v>10</v>
      </c>
      <c r="E64">
        <f ca="1">IFERROR(__xludf.DUMMYFUNCTION("""COMPUTED_VALUE"""),297.2)</f>
        <v>297.2</v>
      </c>
      <c r="F64" s="1">
        <f ca="1">IFERROR(__xludf.DUMMYFUNCTION("""COMPUTED_VALUE"""),41014)</f>
        <v>41014</v>
      </c>
      <c r="G64">
        <f ca="1">IFERROR(__xludf.DUMMYFUNCTION("""COMPUTED_VALUE"""),138)</f>
        <v>138</v>
      </c>
    </row>
    <row r="65" spans="1:7" ht="12.75">
      <c r="A65" t="str">
        <f ca="1">IFERROR(__xludf.DUMMYFUNCTION("""COMPUTED_VALUE"""),"T63")</f>
        <v>T63</v>
      </c>
      <c r="B65">
        <f ca="1">IFERROR(__xludf.DUMMYFUNCTION("""COMPUTED_VALUE"""),46)</f>
        <v>46</v>
      </c>
      <c r="C65" t="str">
        <f ca="1">IFERROR(__xludf.DUMMYFUNCTION("""COMPUTED_VALUE"""),"Jamie Lovemark")</f>
        <v>Jamie Lovemark</v>
      </c>
      <c r="D65">
        <f ca="1">IFERROR(__xludf.DUMMYFUNCTION("""COMPUTED_VALUE"""),18)</f>
        <v>18</v>
      </c>
      <c r="E65">
        <f ca="1">IFERROR(__xludf.DUMMYFUNCTION("""COMPUTED_VALUE"""),297.2)</f>
        <v>297.2</v>
      </c>
      <c r="F65" s="1">
        <f ca="1">IFERROR(__xludf.DUMMYFUNCTION("""COMPUTED_VALUE"""),48745)</f>
        <v>48745</v>
      </c>
      <c r="G65">
        <f ca="1">IFERROR(__xludf.DUMMYFUNCTION("""COMPUTED_VALUE"""),164)</f>
        <v>164</v>
      </c>
    </row>
    <row r="66" spans="1:7" ht="12.75">
      <c r="A66" t="str">
        <f ca="1">IFERROR(__xludf.DUMMYFUNCTION("""COMPUTED_VALUE"""),"T65")</f>
        <v>T65</v>
      </c>
      <c r="B66">
        <f ca="1">IFERROR(__xludf.DUMMYFUNCTION("""COMPUTED_VALUE"""),66)</f>
        <v>66</v>
      </c>
      <c r="C66" t="str">
        <f ca="1">IFERROR(__xludf.DUMMYFUNCTION("""COMPUTED_VALUE"""),"Patton Kizzire")</f>
        <v>Patton Kizzire</v>
      </c>
      <c r="D66">
        <f ca="1">IFERROR(__xludf.DUMMYFUNCTION("""COMPUTED_VALUE"""),18)</f>
        <v>18</v>
      </c>
      <c r="E66">
        <f ca="1">IFERROR(__xludf.DUMMYFUNCTION("""COMPUTED_VALUE"""),297.1)</f>
        <v>297.10000000000002</v>
      </c>
      <c r="F66" s="1">
        <f ca="1">IFERROR(__xludf.DUMMYFUNCTION("""COMPUTED_VALUE"""),57051)</f>
        <v>57051</v>
      </c>
      <c r="G66">
        <f ca="1">IFERROR(__xludf.DUMMYFUNCTION("""COMPUTED_VALUE"""),192)</f>
        <v>192</v>
      </c>
    </row>
    <row r="67" spans="1:7" ht="12.75">
      <c r="A67" t="str">
        <f ca="1">IFERROR(__xludf.DUMMYFUNCTION("""COMPUTED_VALUE"""),"T65")</f>
        <v>T65</v>
      </c>
      <c r="B67" t="str">
        <f ca="1">IFERROR(__xludf.DUMMYFUNCTION("""COMPUTED_VALUE"""),"T63")</f>
        <v>T63</v>
      </c>
      <c r="C67" t="str">
        <f ca="1">IFERROR(__xludf.DUMMYFUNCTION("""COMPUTED_VALUE"""),"Cameron Tringale")</f>
        <v>Cameron Tringale</v>
      </c>
      <c r="D67">
        <f ca="1">IFERROR(__xludf.DUMMYFUNCTION("""COMPUTED_VALUE"""),16)</f>
        <v>16</v>
      </c>
      <c r="E67">
        <f ca="1">IFERROR(__xludf.DUMMYFUNCTION("""COMPUTED_VALUE"""),297.1)</f>
        <v>297.10000000000002</v>
      </c>
      <c r="F67" s="1">
        <f ca="1">IFERROR(__xludf.DUMMYFUNCTION("""COMPUTED_VALUE"""),57047)</f>
        <v>57047</v>
      </c>
      <c r="G67">
        <f ca="1">IFERROR(__xludf.DUMMYFUNCTION("""COMPUTED_VALUE"""),192)</f>
        <v>192</v>
      </c>
    </row>
    <row r="68" spans="1:7" ht="12.75">
      <c r="A68" t="str">
        <f ca="1">IFERROR(__xludf.DUMMYFUNCTION("""COMPUTED_VALUE"""),"T65")</f>
        <v>T65</v>
      </c>
      <c r="B68">
        <f ca="1">IFERROR(__xludf.DUMMYFUNCTION("""COMPUTED_VALUE"""),56)</f>
        <v>56</v>
      </c>
      <c r="C68" t="str">
        <f ca="1">IFERROR(__xludf.DUMMYFUNCTION("""COMPUTED_VALUE"""),"Louis Oosthuizen")</f>
        <v>Louis Oosthuizen</v>
      </c>
      <c r="D68">
        <f ca="1">IFERROR(__xludf.DUMMYFUNCTION("""COMPUTED_VALUE"""),12)</f>
        <v>12</v>
      </c>
      <c r="E68">
        <f ca="1">IFERROR(__xludf.DUMMYFUNCTION("""COMPUTED_VALUE"""),297.1)</f>
        <v>297.10000000000002</v>
      </c>
      <c r="F68" s="1">
        <f ca="1">IFERROR(__xludf.DUMMYFUNCTION("""COMPUTED_VALUE"""),49905)</f>
        <v>49905</v>
      </c>
      <c r="G68">
        <f ca="1">IFERROR(__xludf.DUMMYFUNCTION("""COMPUTED_VALUE"""),168)</f>
        <v>168</v>
      </c>
    </row>
    <row r="69" spans="1:7" ht="12.75">
      <c r="A69" t="str">
        <f ca="1">IFERROR(__xludf.DUMMYFUNCTION("""COMPUTED_VALUE"""),"T65")</f>
        <v>T65</v>
      </c>
      <c r="B69">
        <f ca="1">IFERROR(__xludf.DUMMYFUNCTION("""COMPUTED_VALUE"""),55)</f>
        <v>55</v>
      </c>
      <c r="C69" t="str">
        <f ca="1">IFERROR(__xludf.DUMMYFUNCTION("""COMPUTED_VALUE"""),"Tom Lewis")</f>
        <v>Tom Lewis</v>
      </c>
      <c r="D69">
        <f ca="1">IFERROR(__xludf.DUMMYFUNCTION("""COMPUTED_VALUE"""),12)</f>
        <v>12</v>
      </c>
      <c r="E69">
        <f ca="1">IFERROR(__xludf.DUMMYFUNCTION("""COMPUTED_VALUE"""),297.1)</f>
        <v>297.10000000000002</v>
      </c>
      <c r="F69" s="1">
        <f ca="1">IFERROR(__xludf.DUMMYFUNCTION("""COMPUTED_VALUE"""),40998)</f>
        <v>40998</v>
      </c>
      <c r="G69">
        <f ca="1">IFERROR(__xludf.DUMMYFUNCTION("""COMPUTED_VALUE"""),138)</f>
        <v>138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IFERROR(__xludf.DUMMYFUNCTION("""COMPUTED_VALUE"""),57)</f>
        <v>57</v>
      </c>
      <c r="C70" t="str">
        <f ca="1">IFERROR(__xludf.DUMMYFUNCTION("""COMPUTED_VALUE"""),"Patrick Cantlay")</f>
        <v>Patrick Cantlay</v>
      </c>
      <c r="D70">
        <f ca="1">IFERROR(__xludf.DUMMYFUNCTION("""COMPUTED_VALUE"""),16)</f>
        <v>16</v>
      </c>
      <c r="E70">
        <f ca="1">IFERROR(__xludf.DUMMYFUNCTION("""COMPUTED_VALUE"""),297)</f>
        <v>297</v>
      </c>
      <c r="F70" s="1">
        <f ca="1">IFERROR(__xludf.DUMMYFUNCTION("""COMPUTED_VALUE"""),65349)</f>
        <v>65349</v>
      </c>
      <c r="G70">
        <f ca="1">IFERROR(__xludf.DUMMYFUNCTION("""COMPUTED_VALUE"""),220)</f>
        <v>220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IFERROR(__xludf.DUMMYFUNCTION("""COMPUTED_VALUE"""),58)</f>
        <v>58</v>
      </c>
      <c r="C71" t="str">
        <f ca="1">IFERROR(__xludf.DUMMYFUNCTION("""COMPUTED_VALUE"""),"Robert MacIntyre")</f>
        <v>Robert MacIntyre</v>
      </c>
      <c r="D71">
        <f ca="1">IFERROR(__xludf.DUMMYFUNCTION("""COMPUTED_VALUE"""),4)</f>
        <v>4</v>
      </c>
      <c r="E71">
        <f ca="1">IFERROR(__xludf.DUMMYFUNCTION("""COMPUTED_VALUE"""),296.8)</f>
        <v>296.8</v>
      </c>
      <c r="F71" s="1">
        <f ca="1">IFERROR(__xludf.DUMMYFUNCTION("""COMPUTED_VALUE"""),16621)</f>
        <v>16621</v>
      </c>
      <c r="G71">
        <f ca="1">IFERROR(__xludf.DUMMYFUNCTION("""COMPUTED_VALUE"""),56)</f>
        <v>56</v>
      </c>
    </row>
    <row r="72" spans="1:7" ht="12.75">
      <c r="A72" t="str">
        <f ca="1">IFERROR(__xludf.DUMMYFUNCTION("""COMPUTED_VALUE"""),"T71")</f>
        <v>T71</v>
      </c>
      <c r="B72">
        <f ca="1">IFERROR(__xludf.DUMMYFUNCTION("""COMPUTED_VALUE"""),59)</f>
        <v>59</v>
      </c>
      <c r="C72" t="str">
        <f ca="1">IFERROR(__xludf.DUMMYFUNCTION("""COMPUTED_VALUE"""),"Sungjae Im")</f>
        <v>Sungjae Im</v>
      </c>
      <c r="D72">
        <f ca="1">IFERROR(__xludf.DUMMYFUNCTION("""COMPUTED_VALUE"""),24)</f>
        <v>24</v>
      </c>
      <c r="E72">
        <f ca="1">IFERROR(__xludf.DUMMYFUNCTION("""COMPUTED_VALUE"""),296.5)</f>
        <v>296.5</v>
      </c>
      <c r="F72" s="1">
        <f ca="1">IFERROR(__xludf.DUMMYFUNCTION("""COMPUTED_VALUE"""),97242)</f>
        <v>97242</v>
      </c>
      <c r="G72">
        <f ca="1">IFERROR(__xludf.DUMMYFUNCTION("""COMPUTED_VALUE"""),328)</f>
        <v>328</v>
      </c>
    </row>
    <row r="73" spans="1:7" ht="12.75">
      <c r="A73" t="str">
        <f ca="1">IFERROR(__xludf.DUMMYFUNCTION("""COMPUTED_VALUE"""),"T71")</f>
        <v>T71</v>
      </c>
      <c r="B73">
        <f ca="1">IFERROR(__xludf.DUMMYFUNCTION("""COMPUTED_VALUE"""),43)</f>
        <v>43</v>
      </c>
      <c r="C73" t="str">
        <f ca="1">IFERROR(__xludf.DUMMYFUNCTION("""COMPUTED_VALUE"""),"Bronson Burgoon")</f>
        <v>Bronson Burgoon</v>
      </c>
      <c r="D73">
        <f ca="1">IFERROR(__xludf.DUMMYFUNCTION("""COMPUTED_VALUE"""),10)</f>
        <v>10</v>
      </c>
      <c r="E73">
        <f ca="1">IFERROR(__xludf.DUMMYFUNCTION("""COMPUTED_VALUE"""),296.5)</f>
        <v>296.5</v>
      </c>
      <c r="F73" s="1">
        <f ca="1">IFERROR(__xludf.DUMMYFUNCTION("""COMPUTED_VALUE"""),32618)</f>
        <v>32618</v>
      </c>
      <c r="G73">
        <f ca="1">IFERROR(__xludf.DUMMYFUNCTION("""COMPUTED_VALUE"""),110)</f>
        <v>110</v>
      </c>
    </row>
    <row r="74" spans="1:7" ht="12.75">
      <c r="A74" t="str">
        <f ca="1">IFERROR(__xludf.DUMMYFUNCTION("""COMPUTED_VALUE"""),"T73")</f>
        <v>T73</v>
      </c>
      <c r="B74" t="str">
        <f ca="1">IFERROR(__xludf.DUMMYFUNCTION("""COMPUTED_VALUE"""),"T61")</f>
        <v>T61</v>
      </c>
      <c r="C74" t="str">
        <f ca="1">IFERROR(__xludf.DUMMYFUNCTION("""COMPUTED_VALUE"""),"Peter Malnati")</f>
        <v>Peter Malnati</v>
      </c>
      <c r="D74">
        <f ca="1">IFERROR(__xludf.DUMMYFUNCTION("""COMPUTED_VALUE"""),18)</f>
        <v>18</v>
      </c>
      <c r="E74">
        <f ca="1">IFERROR(__xludf.DUMMYFUNCTION("""COMPUTED_VALUE"""),296.3)</f>
        <v>296.3</v>
      </c>
      <c r="F74" s="1">
        <f ca="1">IFERROR(__xludf.DUMMYFUNCTION("""COMPUTED_VALUE"""),41485)</f>
        <v>41485</v>
      </c>
      <c r="G74">
        <f ca="1">IFERROR(__xludf.DUMMYFUNCTION("""COMPUTED_VALUE"""),140)</f>
        <v>140</v>
      </c>
    </row>
    <row r="75" spans="1:7" ht="12.75">
      <c r="A75" t="str">
        <f ca="1">IFERROR(__xludf.DUMMYFUNCTION("""COMPUTED_VALUE"""),"T73")</f>
        <v>T73</v>
      </c>
      <c r="B75" t="str">
        <f ca="1">IFERROR(__xludf.DUMMYFUNCTION("""COMPUTED_VALUE"""),"T61")</f>
        <v>T61</v>
      </c>
      <c r="C75" t="str">
        <f ca="1">IFERROR(__xludf.DUMMYFUNCTION("""COMPUTED_VALUE"""),"Byeong Hun An")</f>
        <v>Byeong Hun An</v>
      </c>
      <c r="D75">
        <f ca="1">IFERROR(__xludf.DUMMYFUNCTION("""COMPUTED_VALUE"""),14)</f>
        <v>14</v>
      </c>
      <c r="E75">
        <f ca="1">IFERROR(__xludf.DUMMYFUNCTION("""COMPUTED_VALUE"""),296.3)</f>
        <v>296.3</v>
      </c>
      <c r="F75" s="1">
        <f ca="1">IFERROR(__xludf.DUMMYFUNCTION("""COMPUTED_VALUE"""),56886)</f>
        <v>56886</v>
      </c>
      <c r="G75">
        <f ca="1">IFERROR(__xludf.DUMMYFUNCTION("""COMPUTED_VALUE"""),192)</f>
        <v>192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IFERROR(__xludf.DUMMYFUNCTION("""COMPUTED_VALUE"""),"T80")</f>
        <v>T80</v>
      </c>
      <c r="C76" t="str">
        <f ca="1">IFERROR(__xludf.DUMMYFUNCTION("""COMPUTED_VALUE"""),"Carlos Ortiz")</f>
        <v>Carlos Ortiz</v>
      </c>
      <c r="D76">
        <f ca="1">IFERROR(__xludf.DUMMYFUNCTION("""COMPUTED_VALUE"""),20)</f>
        <v>20</v>
      </c>
      <c r="E76">
        <f ca="1">IFERROR(__xludf.DUMMYFUNCTION("""COMPUTED_VALUE"""),296.2)</f>
        <v>296.2</v>
      </c>
      <c r="F76" s="1">
        <f ca="1">IFERROR(__xludf.DUMMYFUNCTION("""COMPUTED_VALUE"""),80555)</f>
        <v>80555</v>
      </c>
      <c r="G76">
        <f ca="1">IFERROR(__xludf.DUMMYFUNCTION("""COMPUTED_VALUE"""),272)</f>
        <v>272</v>
      </c>
    </row>
    <row r="77" spans="1:7" ht="12.75">
      <c r="A77">
        <f ca="1">IFERROR(__xludf.DUMMYFUNCTION("""COMPUTED_VALUE"""),76)</f>
        <v>76</v>
      </c>
      <c r="B77" t="str">
        <f ca="1">IFERROR(__xludf.DUMMYFUNCTION("""COMPUTED_VALUE"""),"T69")</f>
        <v>T69</v>
      </c>
      <c r="C77" t="str">
        <f ca="1">IFERROR(__xludf.DUMMYFUNCTION("""COMPUTED_VALUE"""),"Harold Varner III")</f>
        <v>Harold Varner III</v>
      </c>
      <c r="D77">
        <f ca="1">IFERROR(__xludf.DUMMYFUNCTION("""COMPUTED_VALUE"""),14)</f>
        <v>14</v>
      </c>
      <c r="E77">
        <f ca="1">IFERROR(__xludf.DUMMYFUNCTION("""COMPUTED_VALUE"""),296.1)</f>
        <v>296.10000000000002</v>
      </c>
      <c r="F77" s="1">
        <f ca="1">IFERROR(__xludf.DUMMYFUNCTION("""COMPUTED_VALUE"""),48555)</f>
        <v>48555</v>
      </c>
      <c r="G77">
        <f ca="1">IFERROR(__xludf.DUMMYFUNCTION("""COMPUTED_VALUE"""),164)</f>
        <v>164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IFERROR(__xludf.DUMMYFUNCTION("""COMPUTED_VALUE"""),"T142")</f>
        <v>T142</v>
      </c>
      <c r="C78" t="str">
        <f ca="1">IFERROR(__xludf.DUMMYFUNCTION("""COMPUTED_VALUE"""),"Tony Finau")</f>
        <v>Tony Finau</v>
      </c>
      <c r="D78">
        <f ca="1">IFERROR(__xludf.DUMMYFUNCTION("""COMPUTED_VALUE"""),12)</f>
        <v>12</v>
      </c>
      <c r="E78">
        <f ca="1">IFERROR(__xludf.DUMMYFUNCTION("""COMPUTED_VALUE"""),296)</f>
        <v>296</v>
      </c>
      <c r="F78" s="1">
        <f ca="1">IFERROR(__xludf.DUMMYFUNCTION("""COMPUTED_VALUE"""),47363)</f>
        <v>47363</v>
      </c>
      <c r="G78">
        <f ca="1">IFERROR(__xludf.DUMMYFUNCTION("""COMPUTED_VALUE"""),160)</f>
        <v>160</v>
      </c>
    </row>
    <row r="79" spans="1:7" ht="12.75">
      <c r="A79">
        <f ca="1">IFERROR(__xludf.DUMMYFUNCTION("""COMPUTED_VALUE"""),78)</f>
        <v>78</v>
      </c>
      <c r="B79" t="str">
        <f ca="1">IFERROR(__xludf.DUMMYFUNCTION("""COMPUTED_VALUE"""),"")</f>
        <v/>
      </c>
      <c r="C79" t="str">
        <f ca="1">IFERROR(__xludf.DUMMYFUNCTION("""COMPUTED_VALUE"""),"Francesco Molinari")</f>
        <v>Francesco Molinari</v>
      </c>
      <c r="D79">
        <f ca="1">IFERROR(__xludf.DUMMYFUNCTION("""COMPUTED_VALUE"""),6)</f>
        <v>6</v>
      </c>
      <c r="E79">
        <f ca="1">IFERROR(__xludf.DUMMYFUNCTION("""COMPUTED_VALUE"""),295.9)</f>
        <v>295.89999999999998</v>
      </c>
      <c r="F79" s="1">
        <f ca="1">IFERROR(__xludf.DUMMYFUNCTION("""COMPUTED_VALUE"""),23668)</f>
        <v>23668</v>
      </c>
      <c r="G79">
        <f ca="1">IFERROR(__xludf.DUMMYFUNCTION("""COMPUTED_VALUE"""),80)</f>
        <v>80</v>
      </c>
    </row>
    <row r="80" spans="1:7" ht="12.75">
      <c r="A80" t="str">
        <f ca="1">IFERROR(__xludf.DUMMYFUNCTION("""COMPUTED_VALUE"""),"T79")</f>
        <v>T79</v>
      </c>
      <c r="B80">
        <f ca="1">IFERROR(__xludf.DUMMYFUNCTION("""COMPUTED_VALUE"""),68)</f>
        <v>68</v>
      </c>
      <c r="C80" t="str">
        <f ca="1">IFERROR(__xludf.DUMMYFUNCTION("""COMPUTED_VALUE"""),"Romain Langasque")</f>
        <v>Romain Langasque</v>
      </c>
      <c r="D80">
        <f ca="1">IFERROR(__xludf.DUMMYFUNCTION("""COMPUTED_VALUE"""),4)</f>
        <v>4</v>
      </c>
      <c r="E80">
        <f ca="1">IFERROR(__xludf.DUMMYFUNCTION("""COMPUTED_VALUE"""),295.6)</f>
        <v>295.60000000000002</v>
      </c>
      <c r="F80" s="1">
        <f ca="1">IFERROR(__xludf.DUMMYFUNCTION("""COMPUTED_VALUE"""),16552)</f>
        <v>16552</v>
      </c>
      <c r="G80">
        <f ca="1">IFERROR(__xludf.DUMMYFUNCTION("""COMPUTED_VALUE"""),56)</f>
        <v>56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IFERROR(__xludf.DUMMYFUNCTION("""COMPUTED_VALUE"""),"T71")</f>
        <v>T71</v>
      </c>
      <c r="C81" t="str">
        <f ca="1">IFERROR(__xludf.DUMMYFUNCTION("""COMPUTED_VALUE"""),"J.T. Poston")</f>
        <v>J.T. Poston</v>
      </c>
      <c r="D81">
        <f ca="1">IFERROR(__xludf.DUMMYFUNCTION("""COMPUTED_VALUE"""),18)</f>
        <v>18</v>
      </c>
      <c r="E81">
        <f ca="1">IFERROR(__xludf.DUMMYFUNCTION("""COMPUTED_VALUE"""),295.6)</f>
        <v>295.60000000000002</v>
      </c>
      <c r="F81" s="1">
        <f ca="1">IFERROR(__xludf.DUMMYFUNCTION("""COMPUTED_VALUE"""),73307)</f>
        <v>73307</v>
      </c>
      <c r="G81">
        <f ca="1">IFERROR(__xludf.DUMMYFUNCTION("""COMPUTED_VALUE"""),248)</f>
        <v>248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IFERROR(__xludf.DUMMYFUNCTION("""COMPUTED_VALUE"""),"T112")</f>
        <v>T112</v>
      </c>
      <c r="C82" t="str">
        <f ca="1">IFERROR(__xludf.DUMMYFUNCTION("""COMPUTED_VALUE"""),"Sean O'Hair")</f>
        <v>Sean O'Hair</v>
      </c>
      <c r="D82">
        <f ca="1">IFERROR(__xludf.DUMMYFUNCTION("""COMPUTED_VALUE"""),14)</f>
        <v>14</v>
      </c>
      <c r="E82">
        <f ca="1">IFERROR(__xludf.DUMMYFUNCTION("""COMPUTED_VALUE"""),295.5)</f>
        <v>295.5</v>
      </c>
      <c r="F82" s="1">
        <f ca="1">IFERROR(__xludf.DUMMYFUNCTION("""COMPUTED_VALUE"""),40194)</f>
        <v>40194</v>
      </c>
      <c r="G82">
        <f ca="1">IFERROR(__xludf.DUMMYFUNCTION("""COMPUTED_VALUE"""),136)</f>
        <v>136</v>
      </c>
    </row>
    <row r="83" spans="1:7" ht="12.75">
      <c r="A83">
        <f ca="1">IFERROR(__xludf.DUMMYFUNCTION("""COMPUTED_VALUE"""),82)</f>
        <v>82</v>
      </c>
      <c r="B83" t="str">
        <f ca="1">IFERROR(__xludf.DUMMYFUNCTION("""COMPUTED_VALUE"""),"T78")</f>
        <v>T78</v>
      </c>
      <c r="C83" t="str">
        <f ca="1">IFERROR(__xludf.DUMMYFUNCTION("""COMPUTED_VALUE"""),"Hunter Mahan")</f>
        <v>Hunter Mahan</v>
      </c>
      <c r="D83">
        <f ca="1">IFERROR(__xludf.DUMMYFUNCTION("""COMPUTED_VALUE"""),14)</f>
        <v>14</v>
      </c>
      <c r="E83">
        <f ca="1">IFERROR(__xludf.DUMMYFUNCTION("""COMPUTED_VALUE"""),295.3)</f>
        <v>295.3</v>
      </c>
      <c r="F83" s="1">
        <f ca="1">IFERROR(__xludf.DUMMYFUNCTION("""COMPUTED_VALUE"""),40757)</f>
        <v>40757</v>
      </c>
      <c r="G83">
        <f ca="1">IFERROR(__xludf.DUMMYFUNCTION("""COMPUTED_VALUE"""),138)</f>
        <v>138</v>
      </c>
    </row>
    <row r="84" spans="1:7" ht="12.75">
      <c r="A84">
        <f ca="1">IFERROR(__xludf.DUMMYFUNCTION("""COMPUTED_VALUE"""),83)</f>
        <v>83</v>
      </c>
      <c r="B84" t="str">
        <f ca="1">IFERROR(__xludf.DUMMYFUNCTION("""COMPUTED_VALUE"""),"T85")</f>
        <v>T85</v>
      </c>
      <c r="C84" t="str">
        <f ca="1">IFERROR(__xludf.DUMMYFUNCTION("""COMPUTED_VALUE"""),"Grayson Murray")</f>
        <v>Grayson Murray</v>
      </c>
      <c r="D84">
        <f ca="1">IFERROR(__xludf.DUMMYFUNCTION("""COMPUTED_VALUE"""),10)</f>
        <v>10</v>
      </c>
      <c r="E84">
        <f ca="1">IFERROR(__xludf.DUMMYFUNCTION("""COMPUTED_VALUE"""),295.1)</f>
        <v>295.10000000000002</v>
      </c>
      <c r="F84" s="1">
        <f ca="1">IFERROR(__xludf.DUMMYFUNCTION("""COMPUTED_VALUE"""),32462)</f>
        <v>32462</v>
      </c>
      <c r="G84">
        <f ca="1">IFERROR(__xludf.DUMMYFUNCTION("""COMPUTED_VALUE"""),110)</f>
        <v>110</v>
      </c>
    </row>
    <row r="85" spans="1:7" ht="12.75">
      <c r="A85" t="str">
        <f ca="1">IFERROR(__xludf.DUMMYFUNCTION("""COMPUTED_VALUE"""),"T84")</f>
        <v>T84</v>
      </c>
      <c r="B85">
        <f ca="1">IFERROR(__xludf.DUMMYFUNCTION("""COMPUTED_VALUE"""),82)</f>
        <v>82</v>
      </c>
      <c r="C85" t="str">
        <f ca="1">IFERROR(__xludf.DUMMYFUNCTION("""COMPUTED_VALUE"""),"Charl Schwartzel")</f>
        <v>Charl Schwartzel</v>
      </c>
      <c r="D85">
        <f ca="1">IFERROR(__xludf.DUMMYFUNCTION("""COMPUTED_VALUE"""),12)</f>
        <v>12</v>
      </c>
      <c r="E85">
        <f ca="1">IFERROR(__xludf.DUMMYFUNCTION("""COMPUTED_VALUE"""),294.9)</f>
        <v>294.89999999999998</v>
      </c>
      <c r="F85" s="1">
        <f ca="1">IFERROR(__xludf.DUMMYFUNCTION("""COMPUTED_VALUE"""),48949)</f>
        <v>48949</v>
      </c>
      <c r="G85">
        <f ca="1">IFERROR(__xludf.DUMMYFUNCTION("""COMPUTED_VALUE"""),166)</f>
        <v>166</v>
      </c>
    </row>
    <row r="86" spans="1:7" ht="12.75">
      <c r="A86" t="str">
        <f ca="1">IFERROR(__xludf.DUMMYFUNCTION("""COMPUTED_VALUE"""),"T84")</f>
        <v>T84</v>
      </c>
      <c r="B86" t="str">
        <f ca="1">IFERROR(__xludf.DUMMYFUNCTION("""COMPUTED_VALUE"""),"T73")</f>
        <v>T73</v>
      </c>
      <c r="C86" t="str">
        <f ca="1">IFERROR(__xludf.DUMMYFUNCTION("""COMPUTED_VALUE"""),"Rickie Fowler")</f>
        <v>Rickie Fowler</v>
      </c>
      <c r="D86">
        <f ca="1">IFERROR(__xludf.DUMMYFUNCTION("""COMPUTED_VALUE"""),14)</f>
        <v>14</v>
      </c>
      <c r="E86">
        <f ca="1">IFERROR(__xludf.DUMMYFUNCTION("""COMPUTED_VALUE"""),294.9)</f>
        <v>294.89999999999998</v>
      </c>
      <c r="F86" s="1">
        <f ca="1">IFERROR(__xludf.DUMMYFUNCTION("""COMPUTED_VALUE"""),56613)</f>
        <v>56613</v>
      </c>
      <c r="G86">
        <f ca="1">IFERROR(__xludf.DUMMYFUNCTION("""COMPUTED_VALUE"""),192)</f>
        <v>192</v>
      </c>
    </row>
    <row r="87" spans="1:7" ht="12.75">
      <c r="A87">
        <f ca="1">IFERROR(__xludf.DUMMYFUNCTION("""COMPUTED_VALUE"""),86)</f>
        <v>86</v>
      </c>
      <c r="B87" t="str">
        <f ca="1">IFERROR(__xludf.DUMMYFUNCTION("""COMPUTED_VALUE"""),"T75")</f>
        <v>T75</v>
      </c>
      <c r="C87" t="str">
        <f ca="1">IFERROR(__xludf.DUMMYFUNCTION("""COMPUTED_VALUE"""),"Si Woo Kim")</f>
        <v>Si Woo Kim</v>
      </c>
      <c r="D87">
        <f ca="1">IFERROR(__xludf.DUMMYFUNCTION("""COMPUTED_VALUE"""),20)</f>
        <v>20</v>
      </c>
      <c r="E87">
        <f ca="1">IFERROR(__xludf.DUMMYFUNCTION("""COMPUTED_VALUE"""),294.8)</f>
        <v>294.8</v>
      </c>
      <c r="F87" s="1">
        <f ca="1">IFERROR(__xludf.DUMMYFUNCTION("""COMPUTED_VALUE"""),81949)</f>
        <v>81949</v>
      </c>
      <c r="G87">
        <f ca="1">IFERROR(__xludf.DUMMYFUNCTION("""COMPUTED_VALUE"""),278)</f>
        <v>278</v>
      </c>
    </row>
    <row r="88" spans="1:7" ht="12.75">
      <c r="A88">
        <f ca="1">IFERROR(__xludf.DUMMYFUNCTION("""COMPUTED_VALUE"""),87)</f>
        <v>87</v>
      </c>
      <c r="B88" t="str">
        <f ca="1">IFERROR(__xludf.DUMMYFUNCTION("""COMPUTED_VALUE"""),"T63")</f>
        <v>T63</v>
      </c>
      <c r="C88" t="str">
        <f ca="1">IFERROR(__xludf.DUMMYFUNCTION("""COMPUTED_VALUE"""),"Scott Piercy")</f>
        <v>Scott Piercy</v>
      </c>
      <c r="D88">
        <f ca="1">IFERROR(__xludf.DUMMYFUNCTION("""COMPUTED_VALUE"""),18)</f>
        <v>18</v>
      </c>
      <c r="E88">
        <f ca="1">IFERROR(__xludf.DUMMYFUNCTION("""COMPUTED_VALUE"""),294.6)</f>
        <v>294.60000000000002</v>
      </c>
      <c r="F88" s="1">
        <f ca="1">IFERROR(__xludf.DUMMYFUNCTION("""COMPUTED_VALUE"""),56572)</f>
        <v>56572</v>
      </c>
      <c r="G88">
        <f ca="1">IFERROR(__xludf.DUMMYFUNCTION("""COMPUTED_VALUE"""),192)</f>
        <v>192</v>
      </c>
    </row>
    <row r="89" spans="1:7" ht="12.75">
      <c r="A89" t="str">
        <f ca="1">IFERROR(__xludf.DUMMYFUNCTION("""COMPUTED_VALUE"""),"T88")</f>
        <v>T88</v>
      </c>
      <c r="B89" t="str">
        <f ca="1">IFERROR(__xludf.DUMMYFUNCTION("""COMPUTED_VALUE"""),"T73")</f>
        <v>T73</v>
      </c>
      <c r="C89" t="str">
        <f ca="1">IFERROR(__xludf.DUMMYFUNCTION("""COMPUTED_VALUE"""),"Emiliano Grillo")</f>
        <v>Emiliano Grillo</v>
      </c>
      <c r="D89">
        <f ca="1">IFERROR(__xludf.DUMMYFUNCTION("""COMPUTED_VALUE"""),22)</f>
        <v>22</v>
      </c>
      <c r="E89">
        <f ca="1">IFERROR(__xludf.DUMMYFUNCTION("""COMPUTED_VALUE"""),294.5)</f>
        <v>294.5</v>
      </c>
      <c r="F89" s="1">
        <f ca="1">IFERROR(__xludf.DUMMYFUNCTION("""COMPUTED_VALUE"""),57128)</f>
        <v>57128</v>
      </c>
      <c r="G89">
        <f ca="1">IFERROR(__xludf.DUMMYFUNCTION("""COMPUTED_VALUE"""),194)</f>
        <v>194</v>
      </c>
    </row>
    <row r="90" spans="1:7" ht="12.75">
      <c r="A90" t="str">
        <f ca="1">IFERROR(__xludf.DUMMYFUNCTION("""COMPUTED_VALUE"""),"T88")</f>
        <v>T88</v>
      </c>
      <c r="B90">
        <f ca="1">IFERROR(__xludf.DUMMYFUNCTION("""COMPUTED_VALUE"""),77)</f>
        <v>77</v>
      </c>
      <c r="C90" t="str">
        <f ca="1">IFERROR(__xludf.DUMMYFUNCTION("""COMPUTED_VALUE"""),"Kevin Chappell")</f>
        <v>Kevin Chappell</v>
      </c>
      <c r="D90">
        <f ca="1">IFERROR(__xludf.DUMMYFUNCTION("""COMPUTED_VALUE"""),16)</f>
        <v>16</v>
      </c>
      <c r="E90">
        <f ca="1">IFERROR(__xludf.DUMMYFUNCTION("""COMPUTED_VALUE"""),294.5)</f>
        <v>294.5</v>
      </c>
      <c r="F90" s="1">
        <f ca="1">IFERROR(__xludf.DUMMYFUNCTION("""COMPUTED_VALUE"""),56551)</f>
        <v>56551</v>
      </c>
      <c r="G90">
        <f ca="1">IFERROR(__xludf.DUMMYFUNCTION("""COMPUTED_VALUE"""),192)</f>
        <v>192</v>
      </c>
    </row>
    <row r="91" spans="1:7" ht="12.75">
      <c r="A91" t="str">
        <f ca="1">IFERROR(__xludf.DUMMYFUNCTION("""COMPUTED_VALUE"""),"T88")</f>
        <v>T88</v>
      </c>
      <c r="B91" t="str">
        <f ca="1">IFERROR(__xludf.DUMMYFUNCTION("""COMPUTED_VALUE"""),"T94")</f>
        <v>T94</v>
      </c>
      <c r="C91" t="str">
        <f ca="1">IFERROR(__xludf.DUMMYFUNCTION("""COMPUTED_VALUE"""),"Jordan Spieth")</f>
        <v>Jordan Spieth</v>
      </c>
      <c r="D91">
        <f ca="1">IFERROR(__xludf.DUMMYFUNCTION("""COMPUTED_VALUE"""),14)</f>
        <v>14</v>
      </c>
      <c r="E91">
        <f ca="1">IFERROR(__xludf.DUMMYFUNCTION("""COMPUTED_VALUE"""),294.5)</f>
        <v>294.5</v>
      </c>
      <c r="F91" s="1">
        <f ca="1">IFERROR(__xludf.DUMMYFUNCTION("""COMPUTED_VALUE"""),55964)</f>
        <v>55964</v>
      </c>
      <c r="G91">
        <f ca="1">IFERROR(__xludf.DUMMYFUNCTION("""COMPUTED_VALUE"""),190)</f>
        <v>190</v>
      </c>
    </row>
    <row r="92" spans="1:7" ht="12.75">
      <c r="A92" t="str">
        <f ca="1">IFERROR(__xludf.DUMMYFUNCTION("""COMPUTED_VALUE"""),"T88")</f>
        <v>T88</v>
      </c>
      <c r="B92" t="str">
        <f ca="1">IFERROR(__xludf.DUMMYFUNCTION("""COMPUTED_VALUE"""),"T78")</f>
        <v>T78</v>
      </c>
      <c r="C92" t="str">
        <f ca="1">IFERROR(__xludf.DUMMYFUNCTION("""COMPUTED_VALUE"""),"Adam Schenk")</f>
        <v>Adam Schenk</v>
      </c>
      <c r="D92">
        <f ca="1">IFERROR(__xludf.DUMMYFUNCTION("""COMPUTED_VALUE"""),22)</f>
        <v>22</v>
      </c>
      <c r="E92">
        <f ca="1">IFERROR(__xludf.DUMMYFUNCTION("""COMPUTED_VALUE"""),294.5)</f>
        <v>294.5</v>
      </c>
      <c r="F92" s="1">
        <f ca="1">IFERROR(__xludf.DUMMYFUNCTION("""COMPUTED_VALUE"""),57132)</f>
        <v>57132</v>
      </c>
      <c r="G92">
        <f ca="1">IFERROR(__xludf.DUMMYFUNCTION("""COMPUTED_VALUE"""),194)</f>
        <v>194</v>
      </c>
    </row>
    <row r="93" spans="1:7" ht="12.75">
      <c r="A93" t="str">
        <f ca="1">IFERROR(__xludf.DUMMYFUNCTION("""COMPUTED_VALUE"""),"T92")</f>
        <v>T92</v>
      </c>
      <c r="B93" t="str">
        <f ca="1">IFERROR(__xludf.DUMMYFUNCTION("""COMPUTED_VALUE"""),"T108")</f>
        <v>T108</v>
      </c>
      <c r="C93" t="str">
        <f ca="1">IFERROR(__xludf.DUMMYFUNCTION("""COMPUTED_VALUE"""),"Shane Lowry")</f>
        <v>Shane Lowry</v>
      </c>
      <c r="D93">
        <f ca="1">IFERROR(__xludf.DUMMYFUNCTION("""COMPUTED_VALUE"""),14)</f>
        <v>14</v>
      </c>
      <c r="E93">
        <f ca="1">IFERROR(__xludf.DUMMYFUNCTION("""COMPUTED_VALUE"""),294.1)</f>
        <v>294.10000000000002</v>
      </c>
      <c r="F93" s="1">
        <f ca="1">IFERROR(__xludf.DUMMYFUNCTION("""COMPUTED_VALUE"""),56462)</f>
        <v>56462</v>
      </c>
      <c r="G93">
        <f ca="1">IFERROR(__xludf.DUMMYFUNCTION("""COMPUTED_VALUE"""),192)</f>
        <v>192</v>
      </c>
    </row>
    <row r="94" spans="1:7" ht="12.75">
      <c r="A94" t="str">
        <f ca="1">IFERROR(__xludf.DUMMYFUNCTION("""COMPUTED_VALUE"""),"T92")</f>
        <v>T92</v>
      </c>
      <c r="B94" t="str">
        <f ca="1">IFERROR(__xludf.DUMMYFUNCTION("""COMPUTED_VALUE"""),"")</f>
        <v/>
      </c>
      <c r="C94" t="str">
        <f ca="1">IFERROR(__xludf.DUMMYFUNCTION("""COMPUTED_VALUE"""),"Dawie van der Walt")</f>
        <v>Dawie van der Walt</v>
      </c>
      <c r="D94">
        <f ca="1">IFERROR(__xludf.DUMMYFUNCTION("""COMPUTED_VALUE"""),4)</f>
        <v>4</v>
      </c>
      <c r="E94">
        <f ca="1">IFERROR(__xludf.DUMMYFUNCTION("""COMPUTED_VALUE"""),294.1)</f>
        <v>294.10000000000002</v>
      </c>
      <c r="F94" s="1">
        <f ca="1">IFERROR(__xludf.DUMMYFUNCTION("""COMPUTED_VALUE"""),15293)</f>
        <v>15293</v>
      </c>
      <c r="G94">
        <f ca="1">IFERROR(__xludf.DUMMYFUNCTION("""COMPUTED_VALUE"""),52)</f>
        <v>52</v>
      </c>
    </row>
    <row r="95" spans="1:7" ht="12.75">
      <c r="A95">
        <f ca="1">IFERROR(__xludf.DUMMYFUNCTION("""COMPUTED_VALUE"""),94)</f>
        <v>94</v>
      </c>
      <c r="B95" t="str">
        <f ca="1">IFERROR(__xludf.DUMMYFUNCTION("""COMPUTED_VALUE"""),"T96")</f>
        <v>T96</v>
      </c>
      <c r="C95" t="str">
        <f ca="1">IFERROR(__xludf.DUMMYFUNCTION("""COMPUTED_VALUE"""),"Hideki Matsuyama")</f>
        <v>Hideki Matsuyama</v>
      </c>
      <c r="D95">
        <f ca="1">IFERROR(__xludf.DUMMYFUNCTION("""COMPUTED_VALUE"""),18)</f>
        <v>18</v>
      </c>
      <c r="E95">
        <f ca="1">IFERROR(__xludf.DUMMYFUNCTION("""COMPUTED_VALUE"""),294)</f>
        <v>294</v>
      </c>
      <c r="F95" s="1">
        <f ca="1">IFERROR(__xludf.DUMMYFUNCTION("""COMPUTED_VALUE"""),71735)</f>
        <v>71735</v>
      </c>
      <c r="G95">
        <f ca="1">IFERROR(__xludf.DUMMYFUNCTION("""COMPUTED_VALUE"""),244)</f>
        <v>244</v>
      </c>
    </row>
    <row r="96" spans="1:7" ht="12.75">
      <c r="A96">
        <f ca="1">IFERROR(__xludf.DUMMYFUNCTION("""COMPUTED_VALUE"""),95)</f>
        <v>95</v>
      </c>
      <c r="B96">
        <f ca="1">IFERROR(__xludf.DUMMYFUNCTION("""COMPUTED_VALUE"""),83)</f>
        <v>83</v>
      </c>
      <c r="C96" t="str">
        <f ca="1">IFERROR(__xludf.DUMMYFUNCTION("""COMPUTED_VALUE"""),"Joel Dahmen")</f>
        <v>Joel Dahmen</v>
      </c>
      <c r="D96">
        <f ca="1">IFERROR(__xludf.DUMMYFUNCTION("""COMPUTED_VALUE"""),18)</f>
        <v>18</v>
      </c>
      <c r="E96">
        <f ca="1">IFERROR(__xludf.DUMMYFUNCTION("""COMPUTED_VALUE"""),293.9)</f>
        <v>293.89999999999998</v>
      </c>
      <c r="F96" s="1">
        <f ca="1">IFERROR(__xludf.DUMMYFUNCTION("""COMPUTED_VALUE"""),72892)</f>
        <v>72892</v>
      </c>
      <c r="G96">
        <f ca="1">IFERROR(__xludf.DUMMYFUNCTION("""COMPUTED_VALUE"""),248)</f>
        <v>248</v>
      </c>
    </row>
    <row r="97" spans="1:7" ht="12.75">
      <c r="A97">
        <f ca="1">IFERROR(__xludf.DUMMYFUNCTION("""COMPUTED_VALUE"""),96)</f>
        <v>96</v>
      </c>
      <c r="B97" t="str">
        <f ca="1">IFERROR(__xludf.DUMMYFUNCTION("""COMPUTED_VALUE"""),"T104")</f>
        <v>T104</v>
      </c>
      <c r="C97" t="str">
        <f ca="1">IFERROR(__xludf.DUMMYFUNCTION("""COMPUTED_VALUE"""),"Corey Conners")</f>
        <v>Corey Conners</v>
      </c>
      <c r="D97">
        <f ca="1">IFERROR(__xludf.DUMMYFUNCTION("""COMPUTED_VALUE"""),20)</f>
        <v>20</v>
      </c>
      <c r="E97">
        <f ca="1">IFERROR(__xludf.DUMMYFUNCTION("""COMPUTED_VALUE"""),293.8)</f>
        <v>293.8</v>
      </c>
      <c r="F97" s="1">
        <f ca="1">IFERROR(__xludf.DUMMYFUNCTION("""COMPUTED_VALUE"""),71684)</f>
        <v>71684</v>
      </c>
      <c r="G97">
        <f ca="1">IFERROR(__xludf.DUMMYFUNCTION("""COMPUTED_VALUE"""),244)</f>
        <v>244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IFERROR(__xludf.DUMMYFUNCTION("""COMPUTED_VALUE"""),"T85")</f>
        <v>T85</v>
      </c>
      <c r="C98" t="str">
        <f ca="1">IFERROR(__xludf.DUMMYFUNCTION("""COMPUTED_VALUE"""),"Harry Higgs")</f>
        <v>Harry Higgs</v>
      </c>
      <c r="D98">
        <f ca="1">IFERROR(__xludf.DUMMYFUNCTION("""COMPUTED_VALUE"""),14)</f>
        <v>14</v>
      </c>
      <c r="E98">
        <f ca="1">IFERROR(__xludf.DUMMYFUNCTION("""COMPUTED_VALUE"""),293.6)</f>
        <v>293.60000000000002</v>
      </c>
      <c r="F98" s="1">
        <f ca="1">IFERROR(__xludf.DUMMYFUNCTION("""COMPUTED_VALUE"""),56377)</f>
        <v>56377</v>
      </c>
      <c r="G98">
        <f ca="1">IFERROR(__xludf.DUMMYFUNCTION("""COMPUTED_VALUE"""),192)</f>
        <v>192</v>
      </c>
    </row>
    <row r="99" spans="1:7" ht="12.75">
      <c r="A99" t="str">
        <f ca="1">IFERROR(__xludf.DUMMYFUNCTION("""COMPUTED_VALUE"""),"T97")</f>
        <v>T97</v>
      </c>
      <c r="B99" t="str">
        <f ca="1">IFERROR(__xludf.DUMMYFUNCTION("""COMPUTED_VALUE"""),"T85")</f>
        <v>T85</v>
      </c>
      <c r="C99" t="str">
        <f ca="1">IFERROR(__xludf.DUMMYFUNCTION("""COMPUTED_VALUE"""),"Rasmus Hojgaard")</f>
        <v>Rasmus Hojgaard</v>
      </c>
      <c r="D99">
        <f ca="1">IFERROR(__xludf.DUMMYFUNCTION("""COMPUTED_VALUE"""),6)</f>
        <v>6</v>
      </c>
      <c r="E99">
        <f ca="1">IFERROR(__xludf.DUMMYFUNCTION("""COMPUTED_VALUE"""),293.6)</f>
        <v>293.60000000000002</v>
      </c>
      <c r="F99" s="1">
        <f ca="1">IFERROR(__xludf.DUMMYFUNCTION("""COMPUTED_VALUE"""),8220)</f>
        <v>8220</v>
      </c>
      <c r="G99">
        <f ca="1">IFERROR(__xludf.DUMMYFUNCTION("""COMPUTED_VALUE"""),28)</f>
        <v>28</v>
      </c>
    </row>
    <row r="100" spans="1:7" ht="12.75">
      <c r="A100" t="str">
        <f ca="1">IFERROR(__xludf.DUMMYFUNCTION("""COMPUTED_VALUE"""),"T97")</f>
        <v>T97</v>
      </c>
      <c r="B100" t="str">
        <f ca="1">IFERROR(__xludf.DUMMYFUNCTION("""COMPUTED_VALUE"""),"T85")</f>
        <v>T85</v>
      </c>
      <c r="C100" t="str">
        <f ca="1">IFERROR(__xludf.DUMMYFUNCTION("""COMPUTED_VALUE"""),"Jason Kokrak")</f>
        <v>Jason Kokrak</v>
      </c>
      <c r="D100">
        <f ca="1">IFERROR(__xludf.DUMMYFUNCTION("""COMPUTED_VALUE"""),14)</f>
        <v>14</v>
      </c>
      <c r="E100">
        <f ca="1">IFERROR(__xludf.DUMMYFUNCTION("""COMPUTED_VALUE"""),293.6)</f>
        <v>293.60000000000002</v>
      </c>
      <c r="F100" s="1">
        <f ca="1">IFERROR(__xludf.DUMMYFUNCTION("""COMPUTED_VALUE"""),56368)</f>
        <v>56368</v>
      </c>
      <c r="G100">
        <f ca="1">IFERROR(__xludf.DUMMYFUNCTION("""COMPUTED_VALUE"""),192)</f>
        <v>192</v>
      </c>
    </row>
    <row r="101" spans="1:7" ht="12.75">
      <c r="A101" t="str">
        <f ca="1">IFERROR(__xludf.DUMMYFUNCTION("""COMPUTED_VALUE"""),"T97")</f>
        <v>T97</v>
      </c>
      <c r="B101" t="str">
        <f ca="1">IFERROR(__xludf.DUMMYFUNCTION("""COMPUTED_VALUE"""),"T85")</f>
        <v>T85</v>
      </c>
      <c r="C101" t="str">
        <f ca="1">IFERROR(__xludf.DUMMYFUNCTION("""COMPUTED_VALUE"""),"Paul Casey")</f>
        <v>Paul Casey</v>
      </c>
      <c r="D101">
        <f ca="1">IFERROR(__xludf.DUMMYFUNCTION("""COMPUTED_VALUE"""),14)</f>
        <v>14</v>
      </c>
      <c r="E101">
        <f ca="1">IFERROR(__xludf.DUMMYFUNCTION("""COMPUTED_VALUE"""),293.6)</f>
        <v>293.60000000000002</v>
      </c>
      <c r="F101" s="1">
        <f ca="1">IFERROR(__xludf.DUMMYFUNCTION("""COMPUTED_VALUE"""),56363)</f>
        <v>56363</v>
      </c>
      <c r="G101">
        <f ca="1">IFERROR(__xludf.DUMMYFUNCTION("""COMPUTED_VALUE"""),192)</f>
        <v>192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IFERROR(__xludf.DUMMYFUNCTION("""COMPUTED_VALUE"""),90)</f>
        <v>90</v>
      </c>
      <c r="C102" t="str">
        <f ca="1">IFERROR(__xludf.DUMMYFUNCTION("""COMPUTED_VALUE"""),"Xander Schauffele")</f>
        <v>Xander Schauffele</v>
      </c>
      <c r="D102">
        <f ca="1">IFERROR(__xludf.DUMMYFUNCTION("""COMPUTED_VALUE"""),12)</f>
        <v>12</v>
      </c>
      <c r="E102">
        <f ca="1">IFERROR(__xludf.DUMMYFUNCTION("""COMPUTED_VALUE"""),293.5)</f>
        <v>293.5</v>
      </c>
      <c r="F102" s="1">
        <f ca="1">IFERROR(__xludf.DUMMYFUNCTION("""COMPUTED_VALUE"""),48140)</f>
        <v>48140</v>
      </c>
      <c r="G102">
        <f ca="1">IFERROR(__xludf.DUMMYFUNCTION("""COMPUTED_VALUE"""),164)</f>
        <v>164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IFERROR(__xludf.DUMMYFUNCTION("""COMPUTED_VALUE"""),"T80")</f>
        <v>T80</v>
      </c>
      <c r="C103" t="str">
        <f ca="1">IFERROR(__xludf.DUMMYFUNCTION("""COMPUTED_VALUE"""),"James Hahn")</f>
        <v>James Hahn</v>
      </c>
      <c r="D103">
        <f ca="1">IFERROR(__xludf.DUMMYFUNCTION("""COMPUTED_VALUE"""),16)</f>
        <v>16</v>
      </c>
      <c r="E103">
        <f ca="1">IFERROR(__xludf.DUMMYFUNCTION("""COMPUTED_VALUE"""),293.3)</f>
        <v>293.3</v>
      </c>
      <c r="F103" s="1">
        <f ca="1">IFERROR(__xludf.DUMMYFUNCTION("""COMPUTED_VALUE"""),48102)</f>
        <v>48102</v>
      </c>
      <c r="G103">
        <f ca="1">IFERROR(__xludf.DUMMYFUNCTION("""COMPUTED_VALUE"""),164)</f>
        <v>164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IFERROR(__xludf.DUMMYFUNCTION("""COMPUTED_VALUE"""),"T92")</f>
        <v>T92</v>
      </c>
      <c r="C104" t="str">
        <f ca="1">IFERROR(__xludf.DUMMYFUNCTION("""COMPUTED_VALUE"""),"Brian Gay")</f>
        <v>Brian Gay</v>
      </c>
      <c r="D104">
        <f ca="1">IFERROR(__xludf.DUMMYFUNCTION("""COMPUTED_VALUE"""),8)</f>
        <v>8</v>
      </c>
      <c r="E104">
        <f ca="1">IFERROR(__xludf.DUMMYFUNCTION("""COMPUTED_VALUE"""),293.2)</f>
        <v>293.2</v>
      </c>
      <c r="F104" s="1">
        <f ca="1">IFERROR(__xludf.DUMMYFUNCTION("""COMPUTED_VALUE"""),16420)</f>
        <v>16420</v>
      </c>
      <c r="G104">
        <f ca="1">IFERROR(__xludf.DUMMYFUNCTION("""COMPUTED_VALUE"""),56)</f>
        <v>56</v>
      </c>
    </row>
    <row r="105" spans="1:7" ht="12.75">
      <c r="A105" t="str">
        <f ca="1">IFERROR(__xludf.DUMMYFUNCTION("""COMPUTED_VALUE"""),"T103")</f>
        <v>T103</v>
      </c>
      <c r="B105" t="str">
        <f ca="1">IFERROR(__xludf.DUMMYFUNCTION("""COMPUTED_VALUE"""),"T92")</f>
        <v>T92</v>
      </c>
      <c r="C105" t="str">
        <f ca="1">IFERROR(__xludf.DUMMYFUNCTION("""COMPUTED_VALUE"""),"Zack Sucher")</f>
        <v>Zack Sucher</v>
      </c>
      <c r="D105">
        <f ca="1">IFERROR(__xludf.DUMMYFUNCTION("""COMPUTED_VALUE"""),6)</f>
        <v>6</v>
      </c>
      <c r="E105">
        <f ca="1">IFERROR(__xludf.DUMMYFUNCTION("""COMPUTED_VALUE"""),293.2)</f>
        <v>293.2</v>
      </c>
      <c r="F105" s="1">
        <f ca="1">IFERROR(__xludf.DUMMYFUNCTION("""COMPUTED_VALUE"""),8209)</f>
        <v>8209</v>
      </c>
      <c r="G105">
        <f ca="1">IFERROR(__xludf.DUMMYFUNCTION("""COMPUTED_VALUE"""),28)</f>
        <v>28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IFERROR(__xludf.DUMMYFUNCTION("""COMPUTED_VALUE"""),"T104")</f>
        <v>T104</v>
      </c>
      <c r="C106" t="str">
        <f ca="1">IFERROR(__xludf.DUMMYFUNCTION("""COMPUTED_VALUE"""),"Denny McCarthy")</f>
        <v>Denny McCarthy</v>
      </c>
      <c r="D106">
        <f ca="1">IFERROR(__xludf.DUMMYFUNCTION("""COMPUTED_VALUE"""),22)</f>
        <v>22</v>
      </c>
      <c r="E106">
        <f ca="1">IFERROR(__xludf.DUMMYFUNCTION("""COMPUTED_VALUE"""),293.1)</f>
        <v>293.10000000000002</v>
      </c>
      <c r="F106" s="1">
        <f ca="1">IFERROR(__xludf.DUMMYFUNCTION("""COMPUTED_VALUE"""),56275)</f>
        <v>56275</v>
      </c>
      <c r="G106">
        <f ca="1">IFERROR(__xludf.DUMMYFUNCTION("""COMPUTED_VALUE"""),192)</f>
        <v>192</v>
      </c>
    </row>
    <row r="107" spans="1:7" ht="12.75">
      <c r="A107" t="str">
        <f ca="1">IFERROR(__xludf.DUMMYFUNCTION("""COMPUTED_VALUE"""),"T106")</f>
        <v>T106</v>
      </c>
      <c r="B107" t="str">
        <f ca="1">IFERROR(__xludf.DUMMYFUNCTION("""COMPUTED_VALUE"""),"T96")</f>
        <v>T96</v>
      </c>
      <c r="C107" t="str">
        <f ca="1">IFERROR(__xludf.DUMMYFUNCTION("""COMPUTED_VALUE"""),"Sebastián Muñoz")</f>
        <v>Sebastián Muñoz</v>
      </c>
      <c r="D107">
        <f ca="1">IFERROR(__xludf.DUMMYFUNCTION("""COMPUTED_VALUE"""),20)</f>
        <v>20</v>
      </c>
      <c r="E107">
        <f ca="1">IFERROR(__xludf.DUMMYFUNCTION("""COMPUTED_VALUE"""),293)</f>
        <v>293</v>
      </c>
      <c r="F107" s="1">
        <f ca="1">IFERROR(__xludf.DUMMYFUNCTION("""COMPUTED_VALUE"""),80860)</f>
        <v>80860</v>
      </c>
      <c r="G107">
        <f ca="1">IFERROR(__xludf.DUMMYFUNCTION("""COMPUTED_VALUE"""),276)</f>
        <v>276</v>
      </c>
    </row>
    <row r="108" spans="1:7" ht="12.75">
      <c r="A108" t="str">
        <f ca="1">IFERROR(__xludf.DUMMYFUNCTION("""COMPUTED_VALUE"""),"T106")</f>
        <v>T106</v>
      </c>
      <c r="B108">
        <f ca="1">IFERROR(__xludf.DUMMYFUNCTION("""COMPUTED_VALUE"""),84)</f>
        <v>84</v>
      </c>
      <c r="C108" t="str">
        <f ca="1">IFERROR(__xludf.DUMMYFUNCTION("""COMPUTED_VALUE"""),"Scott Stallings")</f>
        <v>Scott Stallings</v>
      </c>
      <c r="D108">
        <f ca="1">IFERROR(__xludf.DUMMYFUNCTION("""COMPUTED_VALUE"""),14)</f>
        <v>14</v>
      </c>
      <c r="E108">
        <f ca="1">IFERROR(__xludf.DUMMYFUNCTION("""COMPUTED_VALUE"""),293)</f>
        <v>293</v>
      </c>
      <c r="F108" s="1">
        <f ca="1">IFERROR(__xludf.DUMMYFUNCTION("""COMPUTED_VALUE"""),40433)</f>
        <v>40433</v>
      </c>
      <c r="G108">
        <f ca="1">IFERROR(__xludf.DUMMYFUNCTION("""COMPUTED_VALUE"""),138)</f>
        <v>138</v>
      </c>
    </row>
    <row r="109" spans="1:7" ht="12.75">
      <c r="A109" t="str">
        <f ca="1">IFERROR(__xludf.DUMMYFUNCTION("""COMPUTED_VALUE"""),"T108")</f>
        <v>T108</v>
      </c>
      <c r="B109" t="str">
        <f ca="1">IFERROR(__xludf.DUMMYFUNCTION("""COMPUTED_VALUE"""),"T162")</f>
        <v>T162</v>
      </c>
      <c r="C109" t="str">
        <f ca="1">IFERROR(__xludf.DUMMYFUNCTION("""COMPUTED_VALUE"""),"Scott Brown")</f>
        <v>Scott Brown</v>
      </c>
      <c r="D109">
        <f ca="1">IFERROR(__xludf.DUMMYFUNCTION("""COMPUTED_VALUE"""),14)</f>
        <v>14</v>
      </c>
      <c r="E109">
        <f ca="1">IFERROR(__xludf.DUMMYFUNCTION("""COMPUTED_VALUE"""),292.9)</f>
        <v>292.89999999999998</v>
      </c>
      <c r="F109" s="1">
        <f ca="1">IFERROR(__xludf.DUMMYFUNCTION("""COMPUTED_VALUE"""),39840)</f>
        <v>39840</v>
      </c>
      <c r="G109">
        <f ca="1">IFERROR(__xludf.DUMMYFUNCTION("""COMPUTED_VALUE"""),136)</f>
        <v>136</v>
      </c>
    </row>
    <row r="110" spans="1:7" ht="12.75">
      <c r="A110" t="str">
        <f ca="1">IFERROR(__xludf.DUMMYFUNCTION("""COMPUTED_VALUE"""),"T108")</f>
        <v>T108</v>
      </c>
      <c r="B110" t="str">
        <f ca="1">IFERROR(__xludf.DUMMYFUNCTION("""COMPUTED_VALUE"""),"T94")</f>
        <v>T94</v>
      </c>
      <c r="C110" t="str">
        <f ca="1">IFERROR(__xludf.DUMMYFUNCTION("""COMPUTED_VALUE"""),"Kyoung-Hoon Lee")</f>
        <v>Kyoung-Hoon Lee</v>
      </c>
      <c r="D110">
        <f ca="1">IFERROR(__xludf.DUMMYFUNCTION("""COMPUTED_VALUE"""),20)</f>
        <v>20</v>
      </c>
      <c r="E110">
        <f ca="1">IFERROR(__xludf.DUMMYFUNCTION("""COMPUTED_VALUE"""),292.9)</f>
        <v>292.89999999999998</v>
      </c>
      <c r="F110" s="1">
        <f ca="1">IFERROR(__xludf.DUMMYFUNCTION("""COMPUTED_VALUE"""),56816)</f>
        <v>56816</v>
      </c>
      <c r="G110">
        <f ca="1">IFERROR(__xludf.DUMMYFUNCTION("""COMPUTED_VALUE"""),194)</f>
        <v>194</v>
      </c>
    </row>
    <row r="111" spans="1:7" ht="12.75">
      <c r="A111" t="str">
        <f ca="1">IFERROR(__xludf.DUMMYFUNCTION("""COMPUTED_VALUE"""),"T108")</f>
        <v>T108</v>
      </c>
      <c r="B111" t="str">
        <f ca="1">IFERROR(__xludf.DUMMYFUNCTION("""COMPUTED_VALUE"""),"T146")</f>
        <v>T146</v>
      </c>
      <c r="C111" t="str">
        <f ca="1">IFERROR(__xludf.DUMMYFUNCTION("""COMPUTED_VALUE"""),"Erik van Rooyen")</f>
        <v>Erik van Rooyen</v>
      </c>
      <c r="D111">
        <f ca="1">IFERROR(__xludf.DUMMYFUNCTION("""COMPUTED_VALUE"""),10)</f>
        <v>10</v>
      </c>
      <c r="E111">
        <f ca="1">IFERROR(__xludf.DUMMYFUNCTION("""COMPUTED_VALUE"""),292.9)</f>
        <v>292.89999999999998</v>
      </c>
      <c r="F111" s="1">
        <f ca="1">IFERROR(__xludf.DUMMYFUNCTION("""COMPUTED_VALUE"""),39837)</f>
        <v>39837</v>
      </c>
      <c r="G111">
        <f ca="1">IFERROR(__xludf.DUMMYFUNCTION("""COMPUTED_VALUE"""),136)</f>
        <v>136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IFERROR(__xludf.DUMMYFUNCTION("""COMPUTED_VALUE"""),103)</f>
        <v>103</v>
      </c>
      <c r="C112" t="str">
        <f ca="1">IFERROR(__xludf.DUMMYFUNCTION("""COMPUTED_VALUE"""),"Matthew NeSmith")</f>
        <v>Matthew NeSmith</v>
      </c>
      <c r="D112">
        <f ca="1">IFERROR(__xludf.DUMMYFUNCTION("""COMPUTED_VALUE"""),16)</f>
        <v>16</v>
      </c>
      <c r="E112">
        <f ca="1">IFERROR(__xludf.DUMMYFUNCTION("""COMPUTED_VALUE"""),292.8)</f>
        <v>292.8</v>
      </c>
      <c r="F112" s="1">
        <f ca="1">IFERROR(__xludf.DUMMYFUNCTION("""COMPUTED_VALUE"""),48608)</f>
        <v>48608</v>
      </c>
      <c r="G112">
        <f ca="1">IFERROR(__xludf.DUMMYFUNCTION("""COMPUTED_VALUE"""),166)</f>
        <v>166</v>
      </c>
    </row>
    <row r="113" spans="1:7" ht="12.75">
      <c r="A113" t="str">
        <f ca="1">IFERROR(__xludf.DUMMYFUNCTION("""COMPUTED_VALUE"""),"T111")</f>
        <v>T111</v>
      </c>
      <c r="B113">
        <f ca="1">IFERROR(__xludf.DUMMYFUNCTION("""COMPUTED_VALUE"""),99)</f>
        <v>99</v>
      </c>
      <c r="C113" t="str">
        <f ca="1">IFERROR(__xludf.DUMMYFUNCTION("""COMPUTED_VALUE"""),"Tommy Fleetwood")</f>
        <v>Tommy Fleetwood</v>
      </c>
      <c r="D113">
        <f ca="1">IFERROR(__xludf.DUMMYFUNCTION("""COMPUTED_VALUE"""),10)</f>
        <v>10</v>
      </c>
      <c r="E113">
        <f ca="1">IFERROR(__xludf.DUMMYFUNCTION("""COMPUTED_VALUE"""),292.8)</f>
        <v>292.8</v>
      </c>
      <c r="F113" s="1">
        <f ca="1">IFERROR(__xludf.DUMMYFUNCTION("""COMPUTED_VALUE"""),39821)</f>
        <v>39821</v>
      </c>
      <c r="G113">
        <f ca="1">IFERROR(__xludf.DUMMYFUNCTION("""COMPUTED_VALUE"""),136)</f>
        <v>136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IFERROR(__xludf.DUMMYFUNCTION("""COMPUTED_VALUE"""),"T112")</f>
        <v>T112</v>
      </c>
      <c r="C114" t="str">
        <f ca="1">IFERROR(__xludf.DUMMYFUNCTION("""COMPUTED_VALUE"""),"Phil Mickelson")</f>
        <v>Phil Mickelson</v>
      </c>
      <c r="D114">
        <f ca="1">IFERROR(__xludf.DUMMYFUNCTION("""COMPUTED_VALUE"""),12)</f>
        <v>12</v>
      </c>
      <c r="E114">
        <f ca="1">IFERROR(__xludf.DUMMYFUNCTION("""COMPUTED_VALUE"""),292.8)</f>
        <v>292.8</v>
      </c>
      <c r="F114" s="1">
        <f ca="1">IFERROR(__xludf.DUMMYFUNCTION("""COMPUTED_VALUE"""),47438)</f>
        <v>47438</v>
      </c>
      <c r="G114">
        <f ca="1">IFERROR(__xludf.DUMMYFUNCTION("""COMPUTED_VALUE"""),162)</f>
        <v>162</v>
      </c>
    </row>
    <row r="115" spans="1:7" ht="12.75">
      <c r="A115">
        <f ca="1">IFERROR(__xludf.DUMMYFUNCTION("""COMPUTED_VALUE"""),114)</f>
        <v>114</v>
      </c>
      <c r="B115" t="str">
        <f ca="1">IFERROR(__xludf.DUMMYFUNCTION("""COMPUTED_VALUE"""),"T108")</f>
        <v>T108</v>
      </c>
      <c r="C115" t="str">
        <f ca="1">IFERROR(__xludf.DUMMYFUNCTION("""COMPUTED_VALUE"""),"Hudson Swafford")</f>
        <v>Hudson Swafford</v>
      </c>
      <c r="D115">
        <f ca="1">IFERROR(__xludf.DUMMYFUNCTION("""COMPUTED_VALUE"""),18)</f>
        <v>18</v>
      </c>
      <c r="E115">
        <f ca="1">IFERROR(__xludf.DUMMYFUNCTION("""COMPUTED_VALUE"""),292.7)</f>
        <v>292.7</v>
      </c>
      <c r="F115" s="1">
        <f ca="1">IFERROR(__xludf.DUMMYFUNCTION("""COMPUTED_VALUE"""),40397)</f>
        <v>40397</v>
      </c>
      <c r="G115">
        <f ca="1">IFERROR(__xludf.DUMMYFUNCTION("""COMPUTED_VALUE"""),138)</f>
        <v>138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IFERROR(__xludf.DUMMYFUNCTION("""COMPUTED_VALUE"""),"T125")</f>
        <v>T125</v>
      </c>
      <c r="C116" t="str">
        <f ca="1">IFERROR(__xludf.DUMMYFUNCTION("""COMPUTED_VALUE"""),"Danny Willett")</f>
        <v>Danny Willett</v>
      </c>
      <c r="D116">
        <f ca="1">IFERROR(__xludf.DUMMYFUNCTION("""COMPUTED_VALUE"""),7)</f>
        <v>7</v>
      </c>
      <c r="E116">
        <f ca="1">IFERROR(__xludf.DUMMYFUNCTION("""COMPUTED_VALUE"""),292.2)</f>
        <v>292.2</v>
      </c>
      <c r="F116" s="1">
        <f ca="1">IFERROR(__xludf.DUMMYFUNCTION("""COMPUTED_VALUE"""),11982)</f>
        <v>11982</v>
      </c>
      <c r="G116">
        <f ca="1">IFERROR(__xludf.DUMMYFUNCTION("""COMPUTED_VALUE"""),41)</f>
        <v>41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IFERROR(__xludf.DUMMYFUNCTION("""COMPUTED_VALUE"""),100)</f>
        <v>100</v>
      </c>
      <c r="C117" t="str">
        <f ca="1">IFERROR(__xludf.DUMMYFUNCTION("""COMPUTED_VALUE"""),"Cameron Smith")</f>
        <v>Cameron Smith</v>
      </c>
      <c r="D117">
        <f ca="1">IFERROR(__xludf.DUMMYFUNCTION("""COMPUTED_VALUE"""),16)</f>
        <v>16</v>
      </c>
      <c r="E117">
        <f ca="1">IFERROR(__xludf.DUMMYFUNCTION("""COMPUTED_VALUE"""),292.1)</f>
        <v>292.10000000000002</v>
      </c>
      <c r="F117" s="1">
        <f ca="1">IFERROR(__xludf.DUMMYFUNCTION("""COMPUTED_VALUE"""),64253)</f>
        <v>64253</v>
      </c>
      <c r="G117">
        <f ca="1">IFERROR(__xludf.DUMMYFUNCTION("""COMPUTED_VALUE"""),220)</f>
        <v>220</v>
      </c>
    </row>
    <row r="118" spans="1:7" ht="12.75">
      <c r="A118" t="str">
        <f ca="1">IFERROR(__xludf.DUMMYFUNCTION("""COMPUTED_VALUE"""),"T117")</f>
        <v>T117</v>
      </c>
      <c r="B118" t="str">
        <f ca="1">IFERROR(__xludf.DUMMYFUNCTION("""COMPUTED_VALUE"""),"T139")</f>
        <v>T139</v>
      </c>
      <c r="C118" t="str">
        <f ca="1">IFERROR(__xludf.DUMMYFUNCTION("""COMPUTED_VALUE"""),"Tyrrell Hatton")</f>
        <v>Tyrrell Hatton</v>
      </c>
      <c r="D118">
        <f ca="1">IFERROR(__xludf.DUMMYFUNCTION("""COMPUTED_VALUE"""),14)</f>
        <v>14</v>
      </c>
      <c r="E118">
        <f ca="1">IFERROR(__xludf.DUMMYFUNCTION("""COMPUTED_VALUE"""),292)</f>
        <v>292</v>
      </c>
      <c r="F118" s="1">
        <f ca="1">IFERROR(__xludf.DUMMYFUNCTION("""COMPUTED_VALUE"""),54895)</f>
        <v>54895</v>
      </c>
      <c r="G118">
        <f ca="1">IFERROR(__xludf.DUMMYFUNCTION("""COMPUTED_VALUE"""),188)</f>
        <v>188</v>
      </c>
    </row>
    <row r="119" spans="1:7" ht="12.75">
      <c r="A119" t="str">
        <f ca="1">IFERROR(__xludf.DUMMYFUNCTION("""COMPUTED_VALUE"""),"T117")</f>
        <v>T117</v>
      </c>
      <c r="B119" t="str">
        <f ca="1">IFERROR(__xludf.DUMMYFUNCTION("""COMPUTED_VALUE"""),"T101")</f>
        <v>T101</v>
      </c>
      <c r="C119" t="str">
        <f ca="1">IFERROR(__xludf.DUMMYFUNCTION("""COMPUTED_VALUE"""),"Jeongwoo Ham")</f>
        <v>Jeongwoo Ham</v>
      </c>
      <c r="D119">
        <f ca="1">IFERROR(__xludf.DUMMYFUNCTION("""COMPUTED_VALUE"""),4)</f>
        <v>4</v>
      </c>
      <c r="E119">
        <f ca="1">IFERROR(__xludf.DUMMYFUNCTION("""COMPUTED_VALUE"""),292)</f>
        <v>292</v>
      </c>
      <c r="F119" s="1">
        <f ca="1">IFERROR(__xludf.DUMMYFUNCTION("""COMPUTED_VALUE"""),16354)</f>
        <v>16354</v>
      </c>
      <c r="G119">
        <f ca="1">IFERROR(__xludf.DUMMYFUNCTION("""COMPUTED_VALUE"""),56)</f>
        <v>56</v>
      </c>
    </row>
    <row r="120" spans="1:7" ht="12.75">
      <c r="A120" t="str">
        <f ca="1">IFERROR(__xludf.DUMMYFUNCTION("""COMPUTED_VALUE"""),"T117")</f>
        <v>T117</v>
      </c>
      <c r="B120" t="str">
        <f ca="1">IFERROR(__xludf.DUMMYFUNCTION("""COMPUTED_VALUE"""),"T101")</f>
        <v>T101</v>
      </c>
      <c r="C120" t="str">
        <f ca="1">IFERROR(__xludf.DUMMYFUNCTION("""COMPUTED_VALUE"""),"Nick Watney")</f>
        <v>Nick Watney</v>
      </c>
      <c r="D120">
        <f ca="1">IFERROR(__xludf.DUMMYFUNCTION("""COMPUTED_VALUE"""),10)</f>
        <v>10</v>
      </c>
      <c r="E120">
        <f ca="1">IFERROR(__xludf.DUMMYFUNCTION("""COMPUTED_VALUE"""),292)</f>
        <v>292</v>
      </c>
      <c r="F120" s="1">
        <f ca="1">IFERROR(__xludf.DUMMYFUNCTION("""COMPUTED_VALUE"""),32701)</f>
        <v>32701</v>
      </c>
      <c r="G120">
        <f ca="1">IFERROR(__xludf.DUMMYFUNCTION("""COMPUTED_VALUE"""),112)</f>
        <v>112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IFERROR(__xludf.DUMMYFUNCTION("""COMPUTED_VALUE"""),107)</f>
        <v>107</v>
      </c>
      <c r="C121" t="str">
        <f ca="1">IFERROR(__xludf.DUMMYFUNCTION("""COMPUTED_VALUE"""),"Camilo Villegas")</f>
        <v>Camilo Villegas</v>
      </c>
      <c r="D121">
        <f ca="1">IFERROR(__xludf.DUMMYFUNCTION("""COMPUTED_VALUE"""),14)</f>
        <v>14</v>
      </c>
      <c r="E121">
        <f ca="1">IFERROR(__xludf.DUMMYFUNCTION("""COMPUTED_VALUE"""),291.8)</f>
        <v>291.8</v>
      </c>
      <c r="F121" s="1">
        <f ca="1">IFERROR(__xludf.DUMMYFUNCTION("""COMPUTED_VALUE"""),40265)</f>
        <v>40265</v>
      </c>
      <c r="G121">
        <f ca="1">IFERROR(__xludf.DUMMYFUNCTION("""COMPUTED_VALUE"""),138)</f>
        <v>138</v>
      </c>
    </row>
    <row r="122" spans="1:7" ht="12.75">
      <c r="A122" t="str">
        <f ca="1">IFERROR(__xludf.DUMMYFUNCTION("""COMPUTED_VALUE"""),"T121")</f>
        <v>T121</v>
      </c>
      <c r="B122">
        <f ca="1">IFERROR(__xludf.DUMMYFUNCTION("""COMPUTED_VALUE"""),106)</f>
        <v>106</v>
      </c>
      <c r="C122" t="str">
        <f ca="1">IFERROR(__xludf.DUMMYFUNCTION("""COMPUTED_VALUE"""),"Anirban Lahiri")</f>
        <v>Anirban Lahiri</v>
      </c>
      <c r="D122">
        <f ca="1">IFERROR(__xludf.DUMMYFUNCTION("""COMPUTED_VALUE"""),16)</f>
        <v>16</v>
      </c>
      <c r="E122">
        <f ca="1">IFERROR(__xludf.DUMMYFUNCTION("""COMPUTED_VALUE"""),291.6)</f>
        <v>291.60000000000002</v>
      </c>
      <c r="F122" s="1">
        <f ca="1">IFERROR(__xludf.DUMMYFUNCTION("""COMPUTED_VALUE"""),32655)</f>
        <v>32655</v>
      </c>
      <c r="G122">
        <f ca="1">IFERROR(__xludf.DUMMYFUNCTION("""COMPUTED_VALUE"""),112)</f>
        <v>112</v>
      </c>
    </row>
    <row r="123" spans="1:7" ht="12.75">
      <c r="A123" t="str">
        <f ca="1">IFERROR(__xludf.DUMMYFUNCTION("""COMPUTED_VALUE"""),"T121")</f>
        <v>T121</v>
      </c>
      <c r="B123" t="str">
        <f ca="1">IFERROR(__xludf.DUMMYFUNCTION("""COMPUTED_VALUE"""),"T125")</f>
        <v>T125</v>
      </c>
      <c r="C123" t="str">
        <f ca="1">IFERROR(__xludf.DUMMYFUNCTION("""COMPUTED_VALUE"""),"Xinjun Zhang")</f>
        <v>Xinjun Zhang</v>
      </c>
      <c r="D123">
        <f ca="1">IFERROR(__xludf.DUMMYFUNCTION("""COMPUTED_VALUE"""),14)</f>
        <v>14</v>
      </c>
      <c r="E123">
        <f ca="1">IFERROR(__xludf.DUMMYFUNCTION("""COMPUTED_VALUE"""),291.6)</f>
        <v>291.60000000000002</v>
      </c>
      <c r="F123" s="1">
        <f ca="1">IFERROR(__xludf.DUMMYFUNCTION("""COMPUTED_VALUE"""),40242)</f>
        <v>40242</v>
      </c>
      <c r="G123">
        <f ca="1">IFERROR(__xludf.DUMMYFUNCTION("""COMPUTED_VALUE"""),138)</f>
        <v>138</v>
      </c>
    </row>
    <row r="124" spans="1:7" ht="12.75">
      <c r="A124">
        <f ca="1">IFERROR(__xludf.DUMMYFUNCTION("""COMPUTED_VALUE"""),123)</f>
        <v>123</v>
      </c>
      <c r="B124" t="str">
        <f ca="1">IFERROR(__xludf.DUMMYFUNCTION("""COMPUTED_VALUE"""),"T150")</f>
        <v>T150</v>
      </c>
      <c r="C124" t="str">
        <f ca="1">IFERROR(__xludf.DUMMYFUNCTION("""COMPUTED_VALUE"""),"Lanto Griffin")</f>
        <v>Lanto Griffin</v>
      </c>
      <c r="D124">
        <f ca="1">IFERROR(__xludf.DUMMYFUNCTION("""COMPUTED_VALUE"""),18)</f>
        <v>18</v>
      </c>
      <c r="E124">
        <f ca="1">IFERROR(__xludf.DUMMYFUNCTION("""COMPUTED_VALUE"""),291.4)</f>
        <v>291.39999999999998</v>
      </c>
      <c r="F124" s="1">
        <f ca="1">IFERROR(__xludf.DUMMYFUNCTION("""COMPUTED_VALUE"""),71100)</f>
        <v>71100</v>
      </c>
      <c r="G124">
        <f ca="1">IFERROR(__xludf.DUMMYFUNCTION("""COMPUTED_VALUE"""),244)</f>
        <v>244</v>
      </c>
    </row>
    <row r="125" spans="1:7" ht="12.75">
      <c r="A125" t="str">
        <f ca="1">IFERROR(__xludf.DUMMYFUNCTION("""COMPUTED_VALUE"""),"T124")</f>
        <v>T124</v>
      </c>
      <c r="B125" t="str">
        <f ca="1">IFERROR(__xludf.DUMMYFUNCTION("""COMPUTED_VALUE"""),"T108")</f>
        <v>T108</v>
      </c>
      <c r="C125" t="str">
        <f ca="1">IFERROR(__xludf.DUMMYFUNCTION("""COMPUTED_VALUE"""),"Gary Woodland")</f>
        <v>Gary Woodland</v>
      </c>
      <c r="D125">
        <f ca="1">IFERROR(__xludf.DUMMYFUNCTION("""COMPUTED_VALUE"""),6)</f>
        <v>6</v>
      </c>
      <c r="E125">
        <f ca="1">IFERROR(__xludf.DUMMYFUNCTION("""COMPUTED_VALUE"""),291.3)</f>
        <v>291.3</v>
      </c>
      <c r="F125" s="1">
        <f ca="1">IFERROR(__xludf.DUMMYFUNCTION("""COMPUTED_VALUE"""),24468)</f>
        <v>24468</v>
      </c>
      <c r="G125">
        <f ca="1">IFERROR(__xludf.DUMMYFUNCTION("""COMPUTED_VALUE"""),84)</f>
        <v>84</v>
      </c>
    </row>
    <row r="126" spans="1:7" ht="12.75">
      <c r="A126" t="str">
        <f ca="1">IFERROR(__xludf.DUMMYFUNCTION("""COMPUTED_VALUE"""),"T124")</f>
        <v>T124</v>
      </c>
      <c r="B126" t="str">
        <f ca="1">IFERROR(__xludf.DUMMYFUNCTION("""COMPUTED_VALUE"""),"T118")</f>
        <v>T118</v>
      </c>
      <c r="C126" t="str">
        <f ca="1">IFERROR(__xludf.DUMMYFUNCTION("""COMPUTED_VALUE"""),"Pat Perez")</f>
        <v>Pat Perez</v>
      </c>
      <c r="D126">
        <f ca="1">IFERROR(__xludf.DUMMYFUNCTION("""COMPUTED_VALUE"""),16)</f>
        <v>16</v>
      </c>
      <c r="E126">
        <f ca="1">IFERROR(__xludf.DUMMYFUNCTION("""COMPUTED_VALUE"""),291.3)</f>
        <v>291.3</v>
      </c>
      <c r="F126" s="1">
        <f ca="1">IFERROR(__xludf.DUMMYFUNCTION("""COMPUTED_VALUE"""),40195)</f>
        <v>40195</v>
      </c>
      <c r="G126">
        <f ca="1">IFERROR(__xludf.DUMMYFUNCTION("""COMPUTED_VALUE"""),138)</f>
        <v>138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IFERROR(__xludf.DUMMYFUNCTION("""COMPUTED_VALUE"""),111)</f>
        <v>111</v>
      </c>
      <c r="C127" t="str">
        <f ca="1">IFERROR(__xludf.DUMMYFUNCTION("""COMPUTED_VALUE"""),"Chase Seiffert")</f>
        <v>Chase Seiffert</v>
      </c>
      <c r="D127">
        <f ca="1">IFERROR(__xludf.DUMMYFUNCTION("""COMPUTED_VALUE"""),14)</f>
        <v>14</v>
      </c>
      <c r="E127">
        <f ca="1">IFERROR(__xludf.DUMMYFUNCTION("""COMPUTED_VALUE"""),291.2)</f>
        <v>291.2</v>
      </c>
      <c r="F127" s="1">
        <f ca="1">IFERROR(__xludf.DUMMYFUNCTION("""COMPUTED_VALUE"""),32614)</f>
        <v>32614</v>
      </c>
      <c r="G127">
        <f ca="1">IFERROR(__xludf.DUMMYFUNCTION("""COMPUTED_VALUE"""),112)</f>
        <v>112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IFERROR(__xludf.DUMMYFUNCTION("""COMPUTED_VALUE"""),"T144")</f>
        <v>T144</v>
      </c>
      <c r="C128" t="str">
        <f ca="1">IFERROR(__xludf.DUMMYFUNCTION("""COMPUTED_VALUE"""),"Talor Gooch")</f>
        <v>Talor Gooch</v>
      </c>
      <c r="D128">
        <f ca="1">IFERROR(__xludf.DUMMYFUNCTION("""COMPUTED_VALUE"""),20)</f>
        <v>20</v>
      </c>
      <c r="E128">
        <f ca="1">IFERROR(__xludf.DUMMYFUNCTION("""COMPUTED_VALUE"""),291)</f>
        <v>291</v>
      </c>
      <c r="F128" s="1">
        <f ca="1">IFERROR(__xludf.DUMMYFUNCTION("""COMPUTED_VALUE"""),79155)</f>
        <v>79155</v>
      </c>
      <c r="G128">
        <f ca="1">IFERROR(__xludf.DUMMYFUNCTION("""COMPUTED_VALUE"""),272)</f>
        <v>272</v>
      </c>
    </row>
    <row r="129" spans="1:7" ht="12.75">
      <c r="A129">
        <f ca="1">IFERROR(__xludf.DUMMYFUNCTION("""COMPUTED_VALUE"""),128)</f>
        <v>128</v>
      </c>
      <c r="B129">
        <f ca="1">IFERROR(__xludf.DUMMYFUNCTION("""COMPUTED_VALUE"""),117)</f>
        <v>117</v>
      </c>
      <c r="C129" t="str">
        <f ca="1">IFERROR(__xludf.DUMMYFUNCTION("""COMPUTED_VALUE"""),"Harris English")</f>
        <v>Harris English</v>
      </c>
      <c r="D129">
        <f ca="1">IFERROR(__xludf.DUMMYFUNCTION("""COMPUTED_VALUE"""),14)</f>
        <v>14</v>
      </c>
      <c r="E129">
        <f ca="1">IFERROR(__xludf.DUMMYFUNCTION("""COMPUTED_VALUE"""),290.9)</f>
        <v>290.89999999999998</v>
      </c>
      <c r="F129" s="1">
        <f ca="1">IFERROR(__xludf.DUMMYFUNCTION("""COMPUTED_VALUE"""),55850)</f>
        <v>55850</v>
      </c>
      <c r="G129">
        <f ca="1">IFERROR(__xludf.DUMMYFUNCTION("""COMPUTED_VALUE"""),192)</f>
        <v>192</v>
      </c>
    </row>
    <row r="130" spans="1:7" ht="12.75">
      <c r="A130" t="str">
        <f ca="1">IFERROR(__xludf.DUMMYFUNCTION("""COMPUTED_VALUE"""),"T129")</f>
        <v>T129</v>
      </c>
      <c r="B130" t="str">
        <f ca="1">IFERROR(__xludf.DUMMYFUNCTION("""COMPUTED_VALUE"""),"T118")</f>
        <v>T118</v>
      </c>
      <c r="C130" t="str">
        <f ca="1">IFERROR(__xludf.DUMMYFUNCTION("""COMPUTED_VALUE"""),"Nick Taylor")</f>
        <v>Nick Taylor</v>
      </c>
      <c r="D130">
        <f ca="1">IFERROR(__xludf.DUMMYFUNCTION("""COMPUTED_VALUE"""),12)</f>
        <v>12</v>
      </c>
      <c r="E130">
        <f ca="1">IFERROR(__xludf.DUMMYFUNCTION("""COMPUTED_VALUE"""),290.8)</f>
        <v>290.8</v>
      </c>
      <c r="F130" s="1">
        <f ca="1">IFERROR(__xludf.DUMMYFUNCTION("""COMPUTED_VALUE"""),47689)</f>
        <v>47689</v>
      </c>
      <c r="G130">
        <f ca="1">IFERROR(__xludf.DUMMYFUNCTION("""COMPUTED_VALUE"""),164)</f>
        <v>164</v>
      </c>
    </row>
    <row r="131" spans="1:7" ht="12.75">
      <c r="A131" t="str">
        <f ca="1">IFERROR(__xludf.DUMMYFUNCTION("""COMPUTED_VALUE"""),"T129")</f>
        <v>T129</v>
      </c>
      <c r="B131" t="str">
        <f ca="1">IFERROR(__xludf.DUMMYFUNCTION("""COMPUTED_VALUE"""),"T118")</f>
        <v>T118</v>
      </c>
      <c r="C131" t="str">
        <f ca="1">IFERROR(__xludf.DUMMYFUNCTION("""COMPUTED_VALUE"""),"Billy Horschel")</f>
        <v>Billy Horschel</v>
      </c>
      <c r="D131">
        <f ca="1">IFERROR(__xludf.DUMMYFUNCTION("""COMPUTED_VALUE"""),12)</f>
        <v>12</v>
      </c>
      <c r="E131">
        <f ca="1">IFERROR(__xludf.DUMMYFUNCTION("""COMPUTED_VALUE"""),290.8)</f>
        <v>290.8</v>
      </c>
      <c r="F131" s="1">
        <f ca="1">IFERROR(__xludf.DUMMYFUNCTION("""COMPUTED_VALUE"""),47697)</f>
        <v>47697</v>
      </c>
      <c r="G131">
        <f ca="1">IFERROR(__xludf.DUMMYFUNCTION("""COMPUTED_VALUE"""),164)</f>
        <v>164</v>
      </c>
    </row>
    <row r="132" spans="1:7" ht="12.75">
      <c r="A132" t="str">
        <f ca="1">IFERROR(__xludf.DUMMYFUNCTION("""COMPUTED_VALUE"""),"T131")</f>
        <v>T131</v>
      </c>
      <c r="B132" t="str">
        <f ca="1">IFERROR(__xludf.DUMMYFUNCTION("""COMPUTED_VALUE"""),"T137")</f>
        <v>T137</v>
      </c>
      <c r="C132" t="str">
        <f ca="1">IFERROR(__xludf.DUMMYFUNCTION("""COMPUTED_VALUE"""),"Andrew Landry")</f>
        <v>Andrew Landry</v>
      </c>
      <c r="D132">
        <f ca="1">IFERROR(__xludf.DUMMYFUNCTION("""COMPUTED_VALUE"""),14)</f>
        <v>14</v>
      </c>
      <c r="E132">
        <f ca="1">IFERROR(__xludf.DUMMYFUNCTION("""COMPUTED_VALUE"""),290.7)</f>
        <v>290.7</v>
      </c>
      <c r="F132" s="1">
        <f ca="1">IFERROR(__xludf.DUMMYFUNCTION("""COMPUTED_VALUE"""),55235)</f>
        <v>55235</v>
      </c>
      <c r="G132">
        <f ca="1">IFERROR(__xludf.DUMMYFUNCTION("""COMPUTED_VALUE"""),190)</f>
        <v>190</v>
      </c>
    </row>
    <row r="133" spans="1:7" ht="12.75">
      <c r="A133" t="str">
        <f ca="1">IFERROR(__xludf.DUMMYFUNCTION("""COMPUTED_VALUE"""),"T131")</f>
        <v>T131</v>
      </c>
      <c r="B133" t="str">
        <f ca="1">IFERROR(__xludf.DUMMYFUNCTION("""COMPUTED_VALUE"""),"T115")</f>
        <v>T115</v>
      </c>
      <c r="C133" t="str">
        <f ca="1">IFERROR(__xludf.DUMMYFUNCTION("""COMPUTED_VALUE"""),"Brian Harman")</f>
        <v>Brian Harman</v>
      </c>
      <c r="D133">
        <f ca="1">IFERROR(__xludf.DUMMYFUNCTION("""COMPUTED_VALUE"""),24)</f>
        <v>24</v>
      </c>
      <c r="E133">
        <f ca="1">IFERROR(__xludf.DUMMYFUNCTION("""COMPUTED_VALUE"""),290.7)</f>
        <v>290.7</v>
      </c>
      <c r="F133" s="1">
        <f ca="1">IFERROR(__xludf.DUMMYFUNCTION("""COMPUTED_VALUE"""),95339)</f>
        <v>95339</v>
      </c>
      <c r="G133">
        <f ca="1">IFERROR(__xludf.DUMMYFUNCTION("""COMPUTED_VALUE"""),328)</f>
        <v>328</v>
      </c>
    </row>
    <row r="134" spans="1:7" ht="12.75">
      <c r="A134" t="str">
        <f ca="1">IFERROR(__xludf.DUMMYFUNCTION("""COMPUTED_VALUE"""),"T133")</f>
        <v>T133</v>
      </c>
      <c r="B134">
        <f ca="1">IFERROR(__xludf.DUMMYFUNCTION("""COMPUTED_VALUE"""),121)</f>
        <v>121</v>
      </c>
      <c r="C134" t="str">
        <f ca="1">IFERROR(__xludf.DUMMYFUNCTION("""COMPUTED_VALUE"""),"Rory Sabbatini")</f>
        <v>Rory Sabbatini</v>
      </c>
      <c r="D134">
        <f ca="1">IFERROR(__xludf.DUMMYFUNCTION("""COMPUTED_VALUE"""),13)</f>
        <v>13</v>
      </c>
      <c r="E134">
        <f ca="1">IFERROR(__xludf.DUMMYFUNCTION("""COMPUTED_VALUE"""),290.6)</f>
        <v>290.60000000000002</v>
      </c>
      <c r="F134" s="1">
        <f ca="1">IFERROR(__xludf.DUMMYFUNCTION("""COMPUTED_VALUE"""),52593)</f>
        <v>52593</v>
      </c>
      <c r="G134">
        <f ca="1">IFERROR(__xludf.DUMMYFUNCTION("""COMPUTED_VALUE"""),181)</f>
        <v>181</v>
      </c>
    </row>
    <row r="135" spans="1:7" ht="12.75">
      <c r="A135" t="str">
        <f ca="1">IFERROR(__xludf.DUMMYFUNCTION("""COMPUTED_VALUE"""),"T133")</f>
        <v>T133</v>
      </c>
      <c r="B135" t="str">
        <f ca="1">IFERROR(__xludf.DUMMYFUNCTION("""COMPUTED_VALUE"""),"T130")</f>
        <v>T130</v>
      </c>
      <c r="C135" t="str">
        <f ca="1">IFERROR(__xludf.DUMMYFUNCTION("""COMPUTED_VALUE"""),"Nate Lashley")</f>
        <v>Nate Lashley</v>
      </c>
      <c r="D135">
        <f ca="1">IFERROR(__xludf.DUMMYFUNCTION("""COMPUTED_VALUE"""),16)</f>
        <v>16</v>
      </c>
      <c r="E135">
        <f ca="1">IFERROR(__xludf.DUMMYFUNCTION("""COMPUTED_VALUE"""),290.6)</f>
        <v>290.60000000000002</v>
      </c>
      <c r="F135" s="1">
        <f ca="1">IFERROR(__xludf.DUMMYFUNCTION("""COMPUTED_VALUE"""),47654)</f>
        <v>47654</v>
      </c>
      <c r="G135">
        <f ca="1">IFERROR(__xludf.DUMMYFUNCTION("""COMPUTED_VALUE"""),164)</f>
        <v>164</v>
      </c>
    </row>
    <row r="136" spans="1:7" ht="12.75">
      <c r="A136" t="str">
        <f ca="1">IFERROR(__xludf.DUMMYFUNCTION("""COMPUTED_VALUE"""),"T133")</f>
        <v>T133</v>
      </c>
      <c r="B136" t="str">
        <f ca="1">IFERROR(__xludf.DUMMYFUNCTION("""COMPUTED_VALUE"""),"T122")</f>
        <v>T122</v>
      </c>
      <c r="C136" t="str">
        <f ca="1">IFERROR(__xludf.DUMMYFUNCTION("""COMPUTED_VALUE"""),"John Huh")</f>
        <v>John Huh</v>
      </c>
      <c r="D136">
        <f ca="1">IFERROR(__xludf.DUMMYFUNCTION("""COMPUTED_VALUE"""),8)</f>
        <v>8</v>
      </c>
      <c r="E136">
        <f ca="1">IFERROR(__xludf.DUMMYFUNCTION("""COMPUTED_VALUE"""),290.6)</f>
        <v>290.60000000000002</v>
      </c>
      <c r="F136" s="1">
        <f ca="1">IFERROR(__xludf.DUMMYFUNCTION("""COMPUTED_VALUE"""),31387)</f>
        <v>31387</v>
      </c>
      <c r="G136">
        <f ca="1">IFERROR(__xludf.DUMMYFUNCTION("""COMPUTED_VALUE"""),108)</f>
        <v>108</v>
      </c>
    </row>
    <row r="137" spans="1:7" ht="12.75">
      <c r="A137" t="str">
        <f ca="1">IFERROR(__xludf.DUMMYFUNCTION("""COMPUTED_VALUE"""),"T133")</f>
        <v>T133</v>
      </c>
      <c r="B137" t="str">
        <f ca="1">IFERROR(__xludf.DUMMYFUNCTION("""COMPUTED_VALUE"""),"T146")</f>
        <v>T146</v>
      </c>
      <c r="C137" t="str">
        <f ca="1">IFERROR(__xludf.DUMMYFUNCTION("""COMPUTED_VALUE"""),"Michael Kim")</f>
        <v>Michael Kim</v>
      </c>
      <c r="D137">
        <f ca="1">IFERROR(__xludf.DUMMYFUNCTION("""COMPUTED_VALUE"""),12)</f>
        <v>12</v>
      </c>
      <c r="E137">
        <f ca="1">IFERROR(__xludf.DUMMYFUNCTION("""COMPUTED_VALUE"""),290.6)</f>
        <v>290.60000000000002</v>
      </c>
      <c r="F137" s="1">
        <f ca="1">IFERROR(__xludf.DUMMYFUNCTION("""COMPUTED_VALUE"""),31965)</f>
        <v>31965</v>
      </c>
      <c r="G137">
        <f ca="1">IFERROR(__xludf.DUMMYFUNCTION("""COMPUTED_VALUE"""),110)</f>
        <v>110</v>
      </c>
    </row>
    <row r="138" spans="1:7" ht="12.75">
      <c r="A138">
        <f ca="1">IFERROR(__xludf.DUMMYFUNCTION("""COMPUTED_VALUE"""),137)</f>
        <v>137</v>
      </c>
      <c r="B138" t="str">
        <f ca="1">IFERROR(__xludf.DUMMYFUNCTION("""COMPUTED_VALUE"""),"T128")</f>
        <v>T128</v>
      </c>
      <c r="C138" t="str">
        <f ca="1">IFERROR(__xludf.DUMMYFUNCTION("""COMPUTED_VALUE"""),"Keegan Bradley")</f>
        <v>Keegan Bradley</v>
      </c>
      <c r="D138">
        <f ca="1">IFERROR(__xludf.DUMMYFUNCTION("""COMPUTED_VALUE"""),16)</f>
        <v>16</v>
      </c>
      <c r="E138">
        <f ca="1">IFERROR(__xludf.DUMMYFUNCTION("""COMPUTED_VALUE"""),290.5)</f>
        <v>290.5</v>
      </c>
      <c r="F138" s="1">
        <f ca="1">IFERROR(__xludf.DUMMYFUNCTION("""COMPUTED_VALUE"""),64491)</f>
        <v>64491</v>
      </c>
      <c r="G138">
        <f ca="1">IFERROR(__xludf.DUMMYFUNCTION("""COMPUTED_VALUE"""),222)</f>
        <v>222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IFERROR(__xludf.DUMMYFUNCTION("""COMPUTED_VALUE"""),"T112")</f>
        <v>T112</v>
      </c>
      <c r="C139" t="str">
        <f ca="1">IFERROR(__xludf.DUMMYFUNCTION("""COMPUTED_VALUE"""),"Jason Dufner")</f>
        <v>Jason Dufner</v>
      </c>
      <c r="D139">
        <f ca="1">IFERROR(__xludf.DUMMYFUNCTION("""COMPUTED_VALUE"""),14)</f>
        <v>14</v>
      </c>
      <c r="E139">
        <f ca="1">IFERROR(__xludf.DUMMYFUNCTION("""COMPUTED_VALUE"""),290.4)</f>
        <v>290.39999999999998</v>
      </c>
      <c r="F139" s="1">
        <f ca="1">IFERROR(__xludf.DUMMYFUNCTION("""COMPUTED_VALUE"""),40078)</f>
        <v>40078</v>
      </c>
      <c r="G139">
        <f ca="1">IFERROR(__xludf.DUMMYFUNCTION("""COMPUTED_VALUE"""),138)</f>
        <v>138</v>
      </c>
    </row>
    <row r="140" spans="1:7" ht="12.75">
      <c r="A140" t="str">
        <f ca="1">IFERROR(__xludf.DUMMYFUNCTION("""COMPUTED_VALUE"""),"T138")</f>
        <v>T138</v>
      </c>
      <c r="B140">
        <f ca="1">IFERROR(__xludf.DUMMYFUNCTION("""COMPUTED_VALUE"""),124)</f>
        <v>124</v>
      </c>
      <c r="C140" t="str">
        <f ca="1">IFERROR(__xludf.DUMMYFUNCTION("""COMPUTED_VALUE"""),"Renato Paratore")</f>
        <v>Renato Paratore</v>
      </c>
      <c r="D140">
        <f ca="1">IFERROR(__xludf.DUMMYFUNCTION("""COMPUTED_VALUE"""),4)</f>
        <v>4</v>
      </c>
      <c r="E140">
        <f ca="1">IFERROR(__xludf.DUMMYFUNCTION("""COMPUTED_VALUE"""),290.4)</f>
        <v>290.39999999999998</v>
      </c>
      <c r="F140" s="1">
        <f ca="1">IFERROR(__xludf.DUMMYFUNCTION("""COMPUTED_VALUE"""),16262)</f>
        <v>16262</v>
      </c>
      <c r="G140">
        <f ca="1">IFERROR(__xludf.DUMMYFUNCTION("""COMPUTED_VALUE"""),56)</f>
        <v>56</v>
      </c>
    </row>
    <row r="141" spans="1:7" ht="12.75">
      <c r="A141" t="str">
        <f ca="1">IFERROR(__xludf.DUMMYFUNCTION("""COMPUTED_VALUE"""),"T140")</f>
        <v>T140</v>
      </c>
      <c r="B141" t="str">
        <f ca="1">IFERROR(__xludf.DUMMYFUNCTION("""COMPUTED_VALUE"""),"T115")</f>
        <v>T115</v>
      </c>
      <c r="C141" t="str">
        <f ca="1">IFERROR(__xludf.DUMMYFUNCTION("""COMPUTED_VALUE"""),"Austin Cook")</f>
        <v>Austin Cook</v>
      </c>
      <c r="D141">
        <f ca="1">IFERROR(__xludf.DUMMYFUNCTION("""COMPUTED_VALUE"""),14)</f>
        <v>14</v>
      </c>
      <c r="E141">
        <f ca="1">IFERROR(__xludf.DUMMYFUNCTION("""COMPUTED_VALUE"""),290.2)</f>
        <v>290.2</v>
      </c>
      <c r="F141" s="1">
        <f ca="1">IFERROR(__xludf.DUMMYFUNCTION("""COMPUTED_VALUE"""),55725)</f>
        <v>55725</v>
      </c>
      <c r="G141">
        <f ca="1">IFERROR(__xludf.DUMMYFUNCTION("""COMPUTED_VALUE"""),192)</f>
        <v>192</v>
      </c>
    </row>
    <row r="142" spans="1:7" ht="12.75">
      <c r="A142" t="str">
        <f ca="1">IFERROR(__xludf.DUMMYFUNCTION("""COMPUTED_VALUE"""),"T140")</f>
        <v>T140</v>
      </c>
      <c r="B142">
        <f ca="1">IFERROR(__xludf.DUMMYFUNCTION("""COMPUTED_VALUE"""),127)</f>
        <v>127</v>
      </c>
      <c r="C142" t="str">
        <f ca="1">IFERROR(__xludf.DUMMYFUNCTION("""COMPUTED_VALUE"""),"Matt Wallace")</f>
        <v>Matt Wallace</v>
      </c>
      <c r="D142">
        <f ca="1">IFERROR(__xludf.DUMMYFUNCTION("""COMPUTED_VALUE"""),4)</f>
        <v>4</v>
      </c>
      <c r="E142">
        <f ca="1">IFERROR(__xludf.DUMMYFUNCTION("""COMPUTED_VALUE"""),290.2)</f>
        <v>290.2</v>
      </c>
      <c r="F142" s="1">
        <f ca="1">IFERROR(__xludf.DUMMYFUNCTION("""COMPUTED_VALUE"""),16253)</f>
        <v>16253</v>
      </c>
      <c r="G142">
        <f ca="1">IFERROR(__xludf.DUMMYFUNCTION("""COMPUTED_VALUE"""),56)</f>
        <v>56</v>
      </c>
    </row>
    <row r="143" spans="1:7" ht="12.75">
      <c r="A143" t="str">
        <f ca="1">IFERROR(__xludf.DUMMYFUNCTION("""COMPUTED_VALUE"""),"T140")</f>
        <v>T140</v>
      </c>
      <c r="B143">
        <f ca="1">IFERROR(__xludf.DUMMYFUNCTION("""COMPUTED_VALUE"""),141)</f>
        <v>141</v>
      </c>
      <c r="C143" t="str">
        <f ca="1">IFERROR(__xludf.DUMMYFUNCTION("""COMPUTED_VALUE"""),"Kevin Streelman")</f>
        <v>Kevin Streelman</v>
      </c>
      <c r="D143">
        <f ca="1">IFERROR(__xludf.DUMMYFUNCTION("""COMPUTED_VALUE"""),18)</f>
        <v>18</v>
      </c>
      <c r="E143">
        <f ca="1">IFERROR(__xludf.DUMMYFUNCTION("""COMPUTED_VALUE"""),290.2)</f>
        <v>290.2</v>
      </c>
      <c r="F143" s="1">
        <f ca="1">IFERROR(__xludf.DUMMYFUNCTION("""COMPUTED_VALUE"""),71383)</f>
        <v>71383</v>
      </c>
      <c r="G143">
        <f ca="1">IFERROR(__xludf.DUMMYFUNCTION("""COMPUTED_VALUE"""),246)</f>
        <v>246</v>
      </c>
    </row>
    <row r="144" spans="1:7" ht="12.75">
      <c r="A144" t="str">
        <f ca="1">IFERROR(__xludf.DUMMYFUNCTION("""COMPUTED_VALUE"""),"T140")</f>
        <v>T140</v>
      </c>
      <c r="B144" t="str">
        <f ca="1">IFERROR(__xludf.DUMMYFUNCTION("""COMPUTED_VALUE"""),"T146")</f>
        <v>T146</v>
      </c>
      <c r="C144" t="str">
        <f ca="1">IFERROR(__xludf.DUMMYFUNCTION("""COMPUTED_VALUE"""),"Henrik Norlander")</f>
        <v>Henrik Norlander</v>
      </c>
      <c r="D144">
        <f ca="1">IFERROR(__xludf.DUMMYFUNCTION("""COMPUTED_VALUE"""),16)</f>
        <v>16</v>
      </c>
      <c r="E144">
        <f ca="1">IFERROR(__xludf.DUMMYFUNCTION("""COMPUTED_VALUE"""),290.2)</f>
        <v>290.2</v>
      </c>
      <c r="F144" s="1">
        <f ca="1">IFERROR(__xludf.DUMMYFUNCTION("""COMPUTED_VALUE"""),48176)</f>
        <v>48176</v>
      </c>
      <c r="G144">
        <f ca="1">IFERROR(__xludf.DUMMYFUNCTION("""COMPUTED_VALUE"""),166)</f>
        <v>166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IFERROR(__xludf.DUMMYFUNCTION("""COMPUTED_VALUE"""),"T128")</f>
        <v>T128</v>
      </c>
      <c r="C145" t="str">
        <f ca="1">IFERROR(__xludf.DUMMYFUNCTION("""COMPUTED_VALUE"""),"Abraham Ancer")</f>
        <v>Abraham Ancer</v>
      </c>
      <c r="D145">
        <f ca="1">IFERROR(__xludf.DUMMYFUNCTION("""COMPUTED_VALUE"""),16)</f>
        <v>16</v>
      </c>
      <c r="E145">
        <f ca="1">IFERROR(__xludf.DUMMYFUNCTION("""COMPUTED_VALUE"""),290.1)</f>
        <v>290.10000000000002</v>
      </c>
      <c r="F145" s="1">
        <f ca="1">IFERROR(__xludf.DUMMYFUNCTION("""COMPUTED_VALUE"""),63829)</f>
        <v>63829</v>
      </c>
      <c r="G145">
        <f ca="1">IFERROR(__xludf.DUMMYFUNCTION("""COMPUTED_VALUE"""),220)</f>
        <v>220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IFERROR(__xludf.DUMMYFUNCTION("""COMPUTED_VALUE"""),"T150")</f>
        <v>T150</v>
      </c>
      <c r="C146" t="str">
        <f ca="1">IFERROR(__xludf.DUMMYFUNCTION("""COMPUTED_VALUE"""),"Sam Ryder")</f>
        <v>Sam Ryder</v>
      </c>
      <c r="D146">
        <f ca="1">IFERROR(__xludf.DUMMYFUNCTION("""COMPUTED_VALUE"""),12)</f>
        <v>12</v>
      </c>
      <c r="E146">
        <f ca="1">IFERROR(__xludf.DUMMYFUNCTION("""COMPUTED_VALUE"""),290.1)</f>
        <v>290.10000000000002</v>
      </c>
      <c r="F146" s="1">
        <f ca="1">IFERROR(__xludf.DUMMYFUNCTION("""COMPUTED_VALUE"""),31908)</f>
        <v>31908</v>
      </c>
      <c r="G146">
        <f ca="1">IFERROR(__xludf.DUMMYFUNCTION("""COMPUTED_VALUE"""),110)</f>
        <v>110</v>
      </c>
    </row>
    <row r="147" spans="1:7" ht="12.75">
      <c r="A147">
        <f ca="1">IFERROR(__xludf.DUMMYFUNCTION("""COMPUTED_VALUE"""),146)</f>
        <v>146</v>
      </c>
      <c r="B147" t="str">
        <f ca="1">IFERROR(__xludf.DUMMYFUNCTION("""COMPUTED_VALUE"""),"T130")</f>
        <v>T130</v>
      </c>
      <c r="C147" t="str">
        <f ca="1">IFERROR(__xludf.DUMMYFUNCTION("""COMPUTED_VALUE"""),"Luke Schniederjans")</f>
        <v>Luke Schniederjans</v>
      </c>
      <c r="D147">
        <f ca="1">IFERROR(__xludf.DUMMYFUNCTION("""COMPUTED_VALUE"""),4)</f>
        <v>4</v>
      </c>
      <c r="E147">
        <f ca="1">IFERROR(__xludf.DUMMYFUNCTION("""COMPUTED_VALUE"""),290)</f>
        <v>290</v>
      </c>
      <c r="F147" s="1">
        <f ca="1">IFERROR(__xludf.DUMMYFUNCTION("""COMPUTED_VALUE"""),8121)</f>
        <v>8121</v>
      </c>
      <c r="G147">
        <f ca="1">IFERROR(__xludf.DUMMYFUNCTION("""COMPUTED_VALUE"""),28)</f>
        <v>28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IFERROR(__xludf.DUMMYFUNCTION("""COMPUTED_VALUE"""),"T133")</f>
        <v>T133</v>
      </c>
      <c r="C148" t="str">
        <f ca="1">IFERROR(__xludf.DUMMYFUNCTION("""COMPUTED_VALUE"""),"John Pak")</f>
        <v>John Pak</v>
      </c>
      <c r="D148">
        <f ca="1">IFERROR(__xludf.DUMMYFUNCTION("""COMPUTED_VALUE"""),4)</f>
        <v>4</v>
      </c>
      <c r="E148">
        <f ca="1">IFERROR(__xludf.DUMMYFUNCTION("""COMPUTED_VALUE"""),289.9)</f>
        <v>289.89999999999998</v>
      </c>
      <c r="F148" s="1">
        <f ca="1">IFERROR(__xludf.DUMMYFUNCTION("""COMPUTED_VALUE"""),16237)</f>
        <v>16237</v>
      </c>
      <c r="G148">
        <f ca="1">IFERROR(__xludf.DUMMYFUNCTION("""COMPUTED_VALUE"""),56)</f>
        <v>56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IFERROR(__xludf.DUMMYFUNCTION("""COMPUTED_VALUE"""),"T133")</f>
        <v>T133</v>
      </c>
      <c r="C149" t="str">
        <f ca="1">IFERROR(__xludf.DUMMYFUNCTION("""COMPUTED_VALUE"""),"Justin Thomas")</f>
        <v>Justin Thomas</v>
      </c>
      <c r="D149">
        <f ca="1">IFERROR(__xludf.DUMMYFUNCTION("""COMPUTED_VALUE"""),12)</f>
        <v>12</v>
      </c>
      <c r="E149">
        <f ca="1">IFERROR(__xludf.DUMMYFUNCTION("""COMPUTED_VALUE"""),289.9)</f>
        <v>289.89999999999998</v>
      </c>
      <c r="F149" s="1">
        <f ca="1">IFERROR(__xludf.DUMMYFUNCTION("""COMPUTED_VALUE"""),47537)</f>
        <v>47537</v>
      </c>
      <c r="G149">
        <f ca="1">IFERROR(__xludf.DUMMYFUNCTION("""COMPUTED_VALUE"""),164)</f>
        <v>164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IFERROR(__xludf.DUMMYFUNCTION("""COMPUTED_VALUE"""),136)</f>
        <v>136</v>
      </c>
      <c r="C150" t="str">
        <f ca="1">IFERROR(__xludf.DUMMYFUNCTION("""COMPUTED_VALUE"""),"Lucas Herbert")</f>
        <v>Lucas Herbert</v>
      </c>
      <c r="D150">
        <f ca="1">IFERROR(__xludf.DUMMYFUNCTION("""COMPUTED_VALUE"""),4)</f>
        <v>4</v>
      </c>
      <c r="E150">
        <f ca="1">IFERROR(__xludf.DUMMYFUNCTION("""COMPUTED_VALUE"""),289.8)</f>
        <v>289.8</v>
      </c>
      <c r="F150" s="1">
        <f ca="1">IFERROR(__xludf.DUMMYFUNCTION("""COMPUTED_VALUE"""),16229)</f>
        <v>16229</v>
      </c>
      <c r="G150">
        <f ca="1">IFERROR(__xludf.DUMMYFUNCTION("""COMPUTED_VALUE"""),56)</f>
        <v>56</v>
      </c>
    </row>
    <row r="151" spans="1:7" ht="12.75">
      <c r="A151">
        <f ca="1">IFERROR(__xludf.DUMMYFUNCTION("""COMPUTED_VALUE"""),150)</f>
        <v>150</v>
      </c>
      <c r="B151" t="str">
        <f ca="1">IFERROR(__xludf.DUMMYFUNCTION("""COMPUTED_VALUE"""),"T137")</f>
        <v>T137</v>
      </c>
      <c r="C151" t="str">
        <f ca="1">IFERROR(__xludf.DUMMYFUNCTION("""COMPUTED_VALUE"""),"Vincent Whaley")</f>
        <v>Vincent Whaley</v>
      </c>
      <c r="D151">
        <f ca="1">IFERROR(__xludf.DUMMYFUNCTION("""COMPUTED_VALUE"""),14)</f>
        <v>14</v>
      </c>
      <c r="E151">
        <f ca="1">IFERROR(__xludf.DUMMYFUNCTION("""COMPUTED_VALUE"""),289.7)</f>
        <v>289.7</v>
      </c>
      <c r="F151" s="1">
        <f ca="1">IFERROR(__xludf.DUMMYFUNCTION("""COMPUTED_VALUE"""),32445)</f>
        <v>32445</v>
      </c>
      <c r="G151">
        <f ca="1">IFERROR(__xludf.DUMMYFUNCTION("""COMPUTED_VALUE"""),112)</f>
        <v>112</v>
      </c>
    </row>
    <row r="152" spans="1:7" ht="12.75">
      <c r="A152" t="str">
        <f ca="1">IFERROR(__xludf.DUMMYFUNCTION("""COMPUTED_VALUE"""),"T151")</f>
        <v>T151</v>
      </c>
      <c r="B152" t="str">
        <f ca="1">IFERROR(__xludf.DUMMYFUNCTION("""COMPUTED_VALUE"""),"T139")</f>
        <v>T139</v>
      </c>
      <c r="C152" t="str">
        <f ca="1">IFERROR(__xludf.DUMMYFUNCTION("""COMPUTED_VALUE"""),"Chesson Hadley")</f>
        <v>Chesson Hadley</v>
      </c>
      <c r="D152">
        <f ca="1">IFERROR(__xludf.DUMMYFUNCTION("""COMPUTED_VALUE"""),16)</f>
        <v>16</v>
      </c>
      <c r="E152">
        <f ca="1">IFERROR(__xludf.DUMMYFUNCTION("""COMPUTED_VALUE"""),289.6)</f>
        <v>289.60000000000002</v>
      </c>
      <c r="F152" s="1">
        <f ca="1">IFERROR(__xludf.DUMMYFUNCTION("""COMPUTED_VALUE"""),48648)</f>
        <v>48648</v>
      </c>
      <c r="G152">
        <f ca="1">IFERROR(__xludf.DUMMYFUNCTION("""COMPUTED_VALUE"""),168)</f>
        <v>168</v>
      </c>
    </row>
    <row r="153" spans="1:7" ht="12.75">
      <c r="A153" t="str">
        <f ca="1">IFERROR(__xludf.DUMMYFUNCTION("""COMPUTED_VALUE"""),"T151")</f>
        <v>T151</v>
      </c>
      <c r="B153" t="str">
        <f ca="1">IFERROR(__xludf.DUMMYFUNCTION("""COMPUTED_VALUE"""),"T122")</f>
        <v>T122</v>
      </c>
      <c r="C153" t="str">
        <f ca="1">IFERROR(__xludf.DUMMYFUNCTION("""COMPUTED_VALUE"""),"Martin Laird")</f>
        <v>Martin Laird</v>
      </c>
      <c r="D153">
        <f ca="1">IFERROR(__xludf.DUMMYFUNCTION("""COMPUTED_VALUE"""),16)</f>
        <v>16</v>
      </c>
      <c r="E153">
        <f ca="1">IFERROR(__xludf.DUMMYFUNCTION("""COMPUTED_VALUE"""),289.6)</f>
        <v>289.60000000000002</v>
      </c>
      <c r="F153" s="1">
        <f ca="1">IFERROR(__xludf.DUMMYFUNCTION("""COMPUTED_VALUE"""),48080)</f>
        <v>48080</v>
      </c>
      <c r="G153">
        <f ca="1">IFERROR(__xludf.DUMMYFUNCTION("""COMPUTED_VALUE"""),166)</f>
        <v>166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IFERROR(__xludf.DUMMYFUNCTION("""COMPUTED_VALUE"""),"T130")</f>
        <v>T130</v>
      </c>
      <c r="C154" t="str">
        <f ca="1">IFERROR(__xludf.DUMMYFUNCTION("""COMPUTED_VALUE"""),"Sung Kang")</f>
        <v>Sung Kang</v>
      </c>
      <c r="D154">
        <f ca="1">IFERROR(__xludf.DUMMYFUNCTION("""COMPUTED_VALUE"""),14)</f>
        <v>14</v>
      </c>
      <c r="E154">
        <f ca="1">IFERROR(__xludf.DUMMYFUNCTION("""COMPUTED_VALUE"""),289.5)</f>
        <v>289.5</v>
      </c>
      <c r="F154" s="1">
        <f ca="1">IFERROR(__xludf.DUMMYFUNCTION("""COMPUTED_VALUE"""),56164)</f>
        <v>56164</v>
      </c>
      <c r="G154">
        <f ca="1">IFERROR(__xludf.DUMMYFUNCTION("""COMPUTED_VALUE"""),194)</f>
        <v>194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IFERROR(__xludf.DUMMYFUNCTION("""COMPUTED_VALUE"""),"T162")</f>
        <v>T162</v>
      </c>
      <c r="C155" t="str">
        <f ca="1">IFERROR(__xludf.DUMMYFUNCTION("""COMPUTED_VALUE"""),"Bo Hoag")</f>
        <v>Bo Hoag</v>
      </c>
      <c r="D155">
        <f ca="1">IFERROR(__xludf.DUMMYFUNCTION("""COMPUTED_VALUE"""),14)</f>
        <v>14</v>
      </c>
      <c r="E155">
        <f ca="1">IFERROR(__xludf.DUMMYFUNCTION("""COMPUTED_VALUE"""),289.3)</f>
        <v>289.3</v>
      </c>
      <c r="F155" s="1">
        <f ca="1">IFERROR(__xludf.DUMMYFUNCTION("""COMPUTED_VALUE"""),39917)</f>
        <v>39917</v>
      </c>
      <c r="G155">
        <f ca="1">IFERROR(__xludf.DUMMYFUNCTION("""COMPUTED_VALUE"""),138)</f>
        <v>138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IFERROR(__xludf.DUMMYFUNCTION("""COMPUTED_VALUE"""),"T142")</f>
        <v>T142</v>
      </c>
      <c r="C156" t="str">
        <f ca="1">IFERROR(__xludf.DUMMYFUNCTION("""COMPUTED_VALUE"""),"Collin Morikawa")</f>
        <v>Collin Morikawa</v>
      </c>
      <c r="D156">
        <f ca="1">IFERROR(__xludf.DUMMYFUNCTION("""COMPUTED_VALUE"""),12)</f>
        <v>12</v>
      </c>
      <c r="E156">
        <f ca="1">IFERROR(__xludf.DUMMYFUNCTION("""COMPUTED_VALUE"""),289.3)</f>
        <v>289.3</v>
      </c>
      <c r="F156" s="1">
        <f ca="1">IFERROR(__xludf.DUMMYFUNCTION("""COMPUTED_VALUE"""),47440)</f>
        <v>47440</v>
      </c>
      <c r="G156">
        <f ca="1">IFERROR(__xludf.DUMMYFUNCTION("""COMPUTED_VALUE"""),164)</f>
        <v>164</v>
      </c>
    </row>
    <row r="157" spans="1:7" ht="12.75">
      <c r="A157">
        <f ca="1">IFERROR(__xludf.DUMMYFUNCTION("""COMPUTED_VALUE"""),156)</f>
        <v>156</v>
      </c>
      <c r="B157" t="str">
        <f ca="1">IFERROR(__xludf.DUMMYFUNCTION("""COMPUTED_VALUE"""),"T144")</f>
        <v>T144</v>
      </c>
      <c r="C157" t="str">
        <f ca="1">IFERROR(__xludf.DUMMYFUNCTION("""COMPUTED_VALUE"""),"Kevin Na")</f>
        <v>Kevin Na</v>
      </c>
      <c r="D157">
        <f ca="1">IFERROR(__xludf.DUMMYFUNCTION("""COMPUTED_VALUE"""),14)</f>
        <v>14</v>
      </c>
      <c r="E157">
        <f ca="1">IFERROR(__xludf.DUMMYFUNCTION("""COMPUTED_VALUE"""),289.2)</f>
        <v>289.2</v>
      </c>
      <c r="F157" s="1">
        <f ca="1">IFERROR(__xludf.DUMMYFUNCTION("""COMPUTED_VALUE"""),55520)</f>
        <v>55520</v>
      </c>
      <c r="G157">
        <f ca="1">IFERROR(__xludf.DUMMYFUNCTION("""COMPUTED_VALUE"""),192)</f>
        <v>192</v>
      </c>
    </row>
    <row r="158" spans="1:7" ht="12.75">
      <c r="A158">
        <f ca="1">IFERROR(__xludf.DUMMYFUNCTION("""COMPUTED_VALUE"""),157)</f>
        <v>157</v>
      </c>
      <c r="B158" t="str">
        <f ca="1">IFERROR(__xludf.DUMMYFUNCTION("""COMPUTED_VALUE"""),"T146")</f>
        <v>T146</v>
      </c>
      <c r="C158" t="str">
        <f ca="1">IFERROR(__xludf.DUMMYFUNCTION("""COMPUTED_VALUE"""),"Webb Simpson")</f>
        <v>Webb Simpson</v>
      </c>
      <c r="D158">
        <f ca="1">IFERROR(__xludf.DUMMYFUNCTION("""COMPUTED_VALUE"""),12)</f>
        <v>12</v>
      </c>
      <c r="E158">
        <f ca="1">IFERROR(__xludf.DUMMYFUNCTION("""COMPUTED_VALUE"""),289.1)</f>
        <v>289.10000000000002</v>
      </c>
      <c r="F158" s="1">
        <f ca="1">IFERROR(__xludf.DUMMYFUNCTION("""COMPUTED_VALUE"""),47410)</f>
        <v>47410</v>
      </c>
      <c r="G158">
        <f ca="1">IFERROR(__xludf.DUMMYFUNCTION("""COMPUTED_VALUE"""),164)</f>
        <v>164</v>
      </c>
    </row>
    <row r="159" spans="1:7" ht="12.75">
      <c r="A159">
        <f ca="1">IFERROR(__xludf.DUMMYFUNCTION("""COMPUTED_VALUE"""),158)</f>
        <v>158</v>
      </c>
      <c r="B159" t="str">
        <f ca="1">IFERROR(__xludf.DUMMYFUNCTION("""COMPUTED_VALUE"""),"T165")</f>
        <v>T165</v>
      </c>
      <c r="C159" t="str">
        <f ca="1">IFERROR(__xludf.DUMMYFUNCTION("""COMPUTED_VALUE"""),"Branden Grace")</f>
        <v>Branden Grace</v>
      </c>
      <c r="D159">
        <f ca="1">IFERROR(__xludf.DUMMYFUNCTION("""COMPUTED_VALUE"""),16)</f>
        <v>16</v>
      </c>
      <c r="E159">
        <f ca="1">IFERROR(__xludf.DUMMYFUNCTION("""COMPUTED_VALUE"""),289)</f>
        <v>289</v>
      </c>
      <c r="F159" s="1">
        <f ca="1">IFERROR(__xludf.DUMMYFUNCTION("""COMPUTED_VALUE"""),39881)</f>
        <v>39881</v>
      </c>
      <c r="G159">
        <f ca="1">IFERROR(__xludf.DUMMYFUNCTION("""COMPUTED_VALUE"""),138)</f>
        <v>138</v>
      </c>
    </row>
    <row r="160" spans="1:7" ht="12.75">
      <c r="A160" t="str">
        <f ca="1">IFERROR(__xludf.DUMMYFUNCTION("""COMPUTED_VALUE"""),"T159")</f>
        <v>T159</v>
      </c>
      <c r="B160" t="str">
        <f ca="1">IFERROR(__xludf.DUMMYFUNCTION("""COMPUTED_VALUE"""),"T150")</f>
        <v>T150</v>
      </c>
      <c r="C160" t="str">
        <f ca="1">IFERROR(__xludf.DUMMYFUNCTION("""COMPUTED_VALUE"""),"Richy Werenski")</f>
        <v>Richy Werenski</v>
      </c>
      <c r="D160">
        <f ca="1">IFERROR(__xludf.DUMMYFUNCTION("""COMPUTED_VALUE"""),16)</f>
        <v>16</v>
      </c>
      <c r="E160">
        <f ca="1">IFERROR(__xludf.DUMMYFUNCTION("""COMPUTED_VALUE"""),288.8)</f>
        <v>288.8</v>
      </c>
      <c r="F160" s="1">
        <f ca="1">IFERROR(__xludf.DUMMYFUNCTION("""COMPUTED_VALUE"""),63531)</f>
        <v>63531</v>
      </c>
      <c r="G160">
        <f ca="1">IFERROR(__xludf.DUMMYFUNCTION("""COMPUTED_VALUE"""),220)</f>
        <v>220</v>
      </c>
    </row>
    <row r="161" spans="1:7" ht="12.75">
      <c r="A161" t="str">
        <f ca="1">IFERROR(__xludf.DUMMYFUNCTION("""COMPUTED_VALUE"""),"T159")</f>
        <v>T159</v>
      </c>
      <c r="B161" t="str">
        <f ca="1">IFERROR(__xludf.DUMMYFUNCTION("""COMPUTED_VALUE"""),"T150")</f>
        <v>T150</v>
      </c>
      <c r="C161" t="str">
        <f ca="1">IFERROR(__xludf.DUMMYFUNCTION("""COMPUTED_VALUE"""),"Roger Sloan")</f>
        <v>Roger Sloan</v>
      </c>
      <c r="D161">
        <f ca="1">IFERROR(__xludf.DUMMYFUNCTION("""COMPUTED_VALUE"""),12)</f>
        <v>12</v>
      </c>
      <c r="E161">
        <f ca="1">IFERROR(__xludf.DUMMYFUNCTION("""COMPUTED_VALUE"""),288.8)</f>
        <v>288.8</v>
      </c>
      <c r="F161" s="1">
        <f ca="1">IFERROR(__xludf.DUMMYFUNCTION("""COMPUTED_VALUE"""),24260)</f>
        <v>24260</v>
      </c>
      <c r="G161">
        <f ca="1">IFERROR(__xludf.DUMMYFUNCTION("""COMPUTED_VALUE"""),84)</f>
        <v>84</v>
      </c>
    </row>
    <row r="162" spans="1:7" ht="12.75">
      <c r="A162" t="str">
        <f ca="1">IFERROR(__xludf.DUMMYFUNCTION("""COMPUTED_VALUE"""),"T161")</f>
        <v>T161</v>
      </c>
      <c r="B162">
        <f ca="1">IFERROR(__xludf.DUMMYFUNCTION("""COMPUTED_VALUE"""),158)</f>
        <v>158</v>
      </c>
      <c r="C162" t="str">
        <f ca="1">IFERROR(__xludf.DUMMYFUNCTION("""COMPUTED_VALUE"""),"Lucas Glover")</f>
        <v>Lucas Glover</v>
      </c>
      <c r="D162">
        <f ca="1">IFERROR(__xludf.DUMMYFUNCTION("""COMPUTED_VALUE"""),12)</f>
        <v>12</v>
      </c>
      <c r="E162">
        <f ca="1">IFERROR(__xludf.DUMMYFUNCTION("""COMPUTED_VALUE"""),288.7)</f>
        <v>288.7</v>
      </c>
      <c r="F162" s="1">
        <f ca="1">IFERROR(__xludf.DUMMYFUNCTION("""COMPUTED_VALUE"""),47922)</f>
        <v>47922</v>
      </c>
      <c r="G162">
        <f ca="1">IFERROR(__xludf.DUMMYFUNCTION("""COMPUTED_VALUE"""),166)</f>
        <v>166</v>
      </c>
    </row>
    <row r="163" spans="1:7" ht="12.75">
      <c r="A163" t="str">
        <f ca="1">IFERROR(__xludf.DUMMYFUNCTION("""COMPUTED_VALUE"""),"T161")</f>
        <v>T161</v>
      </c>
      <c r="B163" t="str">
        <f ca="1">IFERROR(__xludf.DUMMYFUNCTION("""COMPUTED_VALUE"""),"T133")</f>
        <v>T133</v>
      </c>
      <c r="C163" t="str">
        <f ca="1">IFERROR(__xludf.DUMMYFUNCTION("""COMPUTED_VALUE"""),"Bo Van Pelt")</f>
        <v>Bo Van Pelt</v>
      </c>
      <c r="D163">
        <f ca="1">IFERROR(__xludf.DUMMYFUNCTION("""COMPUTED_VALUE"""),10)</f>
        <v>10</v>
      </c>
      <c r="E163">
        <f ca="1">IFERROR(__xludf.DUMMYFUNCTION("""COMPUTED_VALUE"""),288.7)</f>
        <v>288.7</v>
      </c>
      <c r="F163" s="1">
        <f ca="1">IFERROR(__xludf.DUMMYFUNCTION("""COMPUTED_VALUE"""),23674)</f>
        <v>23674</v>
      </c>
      <c r="G163">
        <f ca="1">IFERROR(__xludf.DUMMYFUNCTION("""COMPUTED_VALUE"""),82)</f>
        <v>82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IFERROR(__xludf.DUMMYFUNCTION("""COMPUTED_VALUE"""),172)</f>
        <v>172</v>
      </c>
      <c r="C164" t="str">
        <f ca="1">IFERROR(__xludf.DUMMYFUNCTION("""COMPUTED_VALUE"""),"Doc Redman")</f>
        <v>Doc Redman</v>
      </c>
      <c r="D164">
        <f ca="1">IFERROR(__xludf.DUMMYFUNCTION("""COMPUTED_VALUE"""),18)</f>
        <v>18</v>
      </c>
      <c r="E164">
        <f ca="1">IFERROR(__xludf.DUMMYFUNCTION("""COMPUTED_VALUE"""),288.6)</f>
        <v>288.60000000000002</v>
      </c>
      <c r="F164" s="1">
        <f ca="1">IFERROR(__xludf.DUMMYFUNCTION("""COMPUTED_VALUE"""),55405)</f>
        <v>55405</v>
      </c>
      <c r="G164">
        <f ca="1">IFERROR(__xludf.DUMMYFUNCTION("""COMPUTED_VALUE"""),192)</f>
        <v>192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IFERROR(__xludf.DUMMYFUNCTION("""COMPUTED_VALUE"""),154)</f>
        <v>154</v>
      </c>
      <c r="C165" t="str">
        <f ca="1">IFERROR(__xludf.DUMMYFUNCTION("""COMPUTED_VALUE"""),"Matthias Schwab")</f>
        <v>Matthias Schwab</v>
      </c>
      <c r="D165">
        <f ca="1">IFERROR(__xludf.DUMMYFUNCTION("""COMPUTED_VALUE"""),8)</f>
        <v>8</v>
      </c>
      <c r="E165">
        <f ca="1">IFERROR(__xludf.DUMMYFUNCTION("""COMPUTED_VALUE"""),288.5)</f>
        <v>288.5</v>
      </c>
      <c r="F165" s="1">
        <f ca="1">IFERROR(__xludf.DUMMYFUNCTION("""COMPUTED_VALUE"""),16156)</f>
        <v>16156</v>
      </c>
      <c r="G165">
        <f ca="1">IFERROR(__xludf.DUMMYFUNCTION("""COMPUTED_VALUE"""),56)</f>
        <v>56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IFERROR(__xludf.DUMMYFUNCTION("""COMPUTED_VALUE"""),"T155")</f>
        <v>T155</v>
      </c>
      <c r="C166" t="str">
        <f ca="1">IFERROR(__xludf.DUMMYFUNCTION("""COMPUTED_VALUE"""),"Tae Hee Lee")</f>
        <v>Tae Hee Lee</v>
      </c>
      <c r="D166">
        <f ca="1">IFERROR(__xludf.DUMMYFUNCTION("""COMPUTED_VALUE"""),4)</f>
        <v>4</v>
      </c>
      <c r="E166">
        <f ca="1">IFERROR(__xludf.DUMMYFUNCTION("""COMPUTED_VALUE"""),288.4)</f>
        <v>288.39999999999998</v>
      </c>
      <c r="F166" s="1">
        <f ca="1">IFERROR(__xludf.DUMMYFUNCTION("""COMPUTED_VALUE"""),16150)</f>
        <v>16150</v>
      </c>
      <c r="G166">
        <f ca="1">IFERROR(__xludf.DUMMYFUNCTION("""COMPUTED_VALUE"""),56)</f>
        <v>56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IFERROR(__xludf.DUMMYFUNCTION("""COMPUTED_VALUE"""),"T155")</f>
        <v>T155</v>
      </c>
      <c r="C167" t="str">
        <f ca="1">IFERROR(__xludf.DUMMYFUNCTION("""COMPUTED_VALUE"""),"Wesley Bryan")</f>
        <v>Wesley Bryan</v>
      </c>
      <c r="D167">
        <f ca="1">IFERROR(__xludf.DUMMYFUNCTION("""COMPUTED_VALUE"""),8)</f>
        <v>8</v>
      </c>
      <c r="E167">
        <f ca="1">IFERROR(__xludf.DUMMYFUNCTION("""COMPUTED_VALUE"""),288.4)</f>
        <v>288.39999999999998</v>
      </c>
      <c r="F167" s="1">
        <f ca="1">IFERROR(__xludf.DUMMYFUNCTION("""COMPUTED_VALUE"""),24228)</f>
        <v>24228</v>
      </c>
      <c r="G167">
        <f ca="1">IFERROR(__xludf.DUMMYFUNCTION("""COMPUTED_VALUE"""),84)</f>
        <v>84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IFERROR(__xludf.DUMMYFUNCTION("""COMPUTED_VALUE"""),"T173")</f>
        <v>T173</v>
      </c>
      <c r="C168" t="str">
        <f ca="1">IFERROR(__xludf.DUMMYFUNCTION("""COMPUTED_VALUE"""),"Russell Knox")</f>
        <v>Russell Knox</v>
      </c>
      <c r="D168">
        <f ca="1">IFERROR(__xludf.DUMMYFUNCTION("""COMPUTED_VALUE"""),16)</f>
        <v>16</v>
      </c>
      <c r="E168">
        <f ca="1">IFERROR(__xludf.DUMMYFUNCTION("""COMPUTED_VALUE"""),288.2)</f>
        <v>288.2</v>
      </c>
      <c r="F168" s="1">
        <f ca="1">IFERROR(__xludf.DUMMYFUNCTION("""COMPUTED_VALUE"""),47272)</f>
        <v>47272</v>
      </c>
      <c r="G168">
        <f ca="1">IFERROR(__xludf.DUMMYFUNCTION("""COMPUTED_VALUE"""),164)</f>
        <v>164</v>
      </c>
    </row>
    <row r="169" spans="1:7" ht="12.75">
      <c r="A169">
        <f ca="1">IFERROR(__xludf.DUMMYFUNCTION("""COMPUTED_VALUE"""),168)</f>
        <v>168</v>
      </c>
      <c r="B169" t="str">
        <f ca="1">IFERROR(__xludf.DUMMYFUNCTION("""COMPUTED_VALUE"""),"T160")</f>
        <v>T160</v>
      </c>
      <c r="C169" t="str">
        <f ca="1">IFERROR(__xludf.DUMMYFUNCTION("""COMPUTED_VALUE"""),"Russell Henley")</f>
        <v>Russell Henley</v>
      </c>
      <c r="D169">
        <f ca="1">IFERROR(__xludf.DUMMYFUNCTION("""COMPUTED_VALUE"""),16)</f>
        <v>16</v>
      </c>
      <c r="E169">
        <f ca="1">IFERROR(__xludf.DUMMYFUNCTION("""COMPUTED_VALUE"""),288.1)</f>
        <v>288.10000000000002</v>
      </c>
      <c r="F169" s="1">
        <f ca="1">IFERROR(__xludf.DUMMYFUNCTION("""COMPUTED_VALUE"""),62234)</f>
        <v>62234</v>
      </c>
      <c r="G169">
        <f ca="1">IFERROR(__xludf.DUMMYFUNCTION("""COMPUTED_VALUE"""),216)</f>
        <v>216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IFERROR(__xludf.DUMMYFUNCTION("""COMPUTED_VALUE"""),"T160")</f>
        <v>T160</v>
      </c>
      <c r="C170" t="str">
        <f ca="1">IFERROR(__xludf.DUMMYFUNCTION("""COMPUTED_VALUE"""),"Andy Zhang")</f>
        <v>Andy Zhang</v>
      </c>
      <c r="D170">
        <f ca="1">IFERROR(__xludf.DUMMYFUNCTION("""COMPUTED_VALUE"""),4)</f>
        <v>4</v>
      </c>
      <c r="E170">
        <f ca="1">IFERROR(__xludf.DUMMYFUNCTION("""COMPUTED_VALUE"""),288)</f>
        <v>288</v>
      </c>
      <c r="F170" s="1">
        <f ca="1">IFERROR(__xludf.DUMMYFUNCTION("""COMPUTED_VALUE"""),16126)</f>
        <v>16126</v>
      </c>
      <c r="G170">
        <f ca="1">IFERROR(__xludf.DUMMYFUNCTION("""COMPUTED_VALUE"""),56)</f>
        <v>56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IFERROR(__xludf.DUMMYFUNCTION("""COMPUTED_VALUE"""),177)</f>
        <v>177</v>
      </c>
      <c r="C171" t="str">
        <f ca="1">IFERROR(__xludf.DUMMYFUNCTION("""COMPUTED_VALUE"""),"Ted Potter, Jr.")</f>
        <v>Ted Potter, Jr.</v>
      </c>
      <c r="D171">
        <f ca="1">IFERROR(__xludf.DUMMYFUNCTION("""COMPUTED_VALUE"""),8)</f>
        <v>8</v>
      </c>
      <c r="E171">
        <f ca="1">IFERROR(__xludf.DUMMYFUNCTION("""COMPUTED_VALUE"""),287.9)</f>
        <v>287.89999999999998</v>
      </c>
      <c r="F171" s="1">
        <f ca="1">IFERROR(__xludf.DUMMYFUNCTION("""COMPUTED_VALUE"""),31672)</f>
        <v>31672</v>
      </c>
      <c r="G171">
        <f ca="1">IFERROR(__xludf.DUMMYFUNCTION("""COMPUTED_VALUE"""),110)</f>
        <v>110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IFERROR(__xludf.DUMMYFUNCTION("""COMPUTED_VALUE"""),"T178")</f>
        <v>T178</v>
      </c>
      <c r="C172" t="str">
        <f ca="1">IFERROR(__xludf.DUMMYFUNCTION("""COMPUTED_VALUE"""),"Alex Noren")</f>
        <v>Alex Noren</v>
      </c>
      <c r="D172">
        <f ca="1">IFERROR(__xludf.DUMMYFUNCTION("""COMPUTED_VALUE"""),14)</f>
        <v>14</v>
      </c>
      <c r="E172">
        <f ca="1">IFERROR(__xludf.DUMMYFUNCTION("""COMPUTED_VALUE"""),287.8)</f>
        <v>287.8</v>
      </c>
      <c r="F172" s="1">
        <f ca="1">IFERROR(__xludf.DUMMYFUNCTION("""COMPUTED_VALUE"""),54678)</f>
        <v>54678</v>
      </c>
      <c r="G172">
        <f ca="1">IFERROR(__xludf.DUMMYFUNCTION("""COMPUTED_VALUE"""),190)</f>
        <v>190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IFERROR(__xludf.DUMMYFUNCTION("""COMPUTED_VALUE"""),"T155")</f>
        <v>T155</v>
      </c>
      <c r="C173" t="str">
        <f ca="1">IFERROR(__xludf.DUMMYFUNCTION("""COMPUTED_VALUE"""),"Zach Johnson")</f>
        <v>Zach Johnson</v>
      </c>
      <c r="D173">
        <f ca="1">IFERROR(__xludf.DUMMYFUNCTION("""COMPUTED_VALUE"""),16)</f>
        <v>16</v>
      </c>
      <c r="E173">
        <f ca="1">IFERROR(__xludf.DUMMYFUNCTION("""COMPUTED_VALUE"""),287.8)</f>
        <v>287.8</v>
      </c>
      <c r="F173" s="1">
        <f ca="1">IFERROR(__xludf.DUMMYFUNCTION("""COMPUTED_VALUE"""),63321)</f>
        <v>63321</v>
      </c>
      <c r="G173">
        <f ca="1">IFERROR(__xludf.DUMMYFUNCTION("""COMPUTED_VALUE"""),220)</f>
        <v>220</v>
      </c>
    </row>
    <row r="174" spans="1:7" ht="12.75">
      <c r="A174" t="str">
        <f ca="1">IFERROR(__xludf.DUMMYFUNCTION("""COMPUTED_VALUE"""),"T171")</f>
        <v>T171</v>
      </c>
      <c r="B174">
        <f ca="1">IFERROR(__xludf.DUMMYFUNCTION("""COMPUTED_VALUE"""),164)</f>
        <v>164</v>
      </c>
      <c r="C174" t="str">
        <f ca="1">IFERROR(__xludf.DUMMYFUNCTION("""COMPUTED_VALUE"""),"Justin Rose")</f>
        <v>Justin Rose</v>
      </c>
      <c r="D174">
        <f ca="1">IFERROR(__xludf.DUMMYFUNCTION("""COMPUTED_VALUE"""),10)</f>
        <v>10</v>
      </c>
      <c r="E174">
        <f ca="1">IFERROR(__xludf.DUMMYFUNCTION("""COMPUTED_VALUE"""),287.8)</f>
        <v>287.8</v>
      </c>
      <c r="F174" s="1">
        <f ca="1">IFERROR(__xludf.DUMMYFUNCTION("""COMPUTED_VALUE"""),39134)</f>
        <v>39134</v>
      </c>
      <c r="G174">
        <f ca="1">IFERROR(__xludf.DUMMYFUNCTION("""COMPUTED_VALUE"""),136)</f>
        <v>136</v>
      </c>
    </row>
    <row r="175" spans="1:7" ht="12.75">
      <c r="A175" t="str">
        <f ca="1">IFERROR(__xludf.DUMMYFUNCTION("""COMPUTED_VALUE"""),"T171")</f>
        <v>T171</v>
      </c>
      <c r="B175" t="str">
        <f ca="1">IFERROR(__xludf.DUMMYFUNCTION("""COMPUTED_VALUE"""),"T186")</f>
        <v>T186</v>
      </c>
      <c r="C175" t="str">
        <f ca="1">IFERROR(__xludf.DUMMYFUNCTION("""COMPUTED_VALUE"""),"C.T. Pan")</f>
        <v>C.T. Pan</v>
      </c>
      <c r="D175">
        <f ca="1">IFERROR(__xludf.DUMMYFUNCTION("""COMPUTED_VALUE"""),20)</f>
        <v>20</v>
      </c>
      <c r="E175">
        <f ca="1">IFERROR(__xludf.DUMMYFUNCTION("""COMPUTED_VALUE"""),287.8)</f>
        <v>287.8</v>
      </c>
      <c r="F175" s="1">
        <f ca="1">IFERROR(__xludf.DUMMYFUNCTION("""COMPUTED_VALUE"""),63312)</f>
        <v>63312</v>
      </c>
      <c r="G175">
        <f ca="1">IFERROR(__xludf.DUMMYFUNCTION("""COMPUTED_VALUE"""),220)</f>
        <v>220</v>
      </c>
    </row>
    <row r="176" spans="1:7" ht="12.75">
      <c r="A176" t="str">
        <f ca="1">IFERROR(__xludf.DUMMYFUNCTION("""COMPUTED_VALUE"""),"T171")</f>
        <v>T171</v>
      </c>
      <c r="B176" t="str">
        <f ca="1">IFERROR(__xludf.DUMMYFUNCTION("""COMPUTED_VALUE"""),"")</f>
        <v/>
      </c>
      <c r="C176" t="str">
        <f ca="1">IFERROR(__xludf.DUMMYFUNCTION("""COMPUTED_VALUE"""),"Justin Harding")</f>
        <v>Justin Harding</v>
      </c>
      <c r="D176">
        <f ca="1">IFERROR(__xludf.DUMMYFUNCTION("""COMPUTED_VALUE"""),6)</f>
        <v>6</v>
      </c>
      <c r="E176">
        <f ca="1">IFERROR(__xludf.DUMMYFUNCTION("""COMPUTED_VALUE"""),287.8)</f>
        <v>287.8</v>
      </c>
      <c r="F176" s="1">
        <f ca="1">IFERROR(__xludf.DUMMYFUNCTION("""COMPUTED_VALUE"""),23021)</f>
        <v>23021</v>
      </c>
      <c r="G176">
        <f ca="1">IFERROR(__xludf.DUMMYFUNCTION("""COMPUTED_VALUE"""),80)</f>
        <v>80</v>
      </c>
    </row>
    <row r="177" spans="1:7" ht="12.75">
      <c r="A177" t="str">
        <f ca="1">IFERROR(__xludf.DUMMYFUNCTION("""COMPUTED_VALUE"""),"T171")</f>
        <v>T171</v>
      </c>
      <c r="B177">
        <f ca="1">IFERROR(__xludf.DUMMYFUNCTION("""COMPUTED_VALUE"""),201)</f>
        <v>201</v>
      </c>
      <c r="C177" t="str">
        <f ca="1">IFERROR(__xludf.DUMMYFUNCTION("""COMPUTED_VALUE"""),"Mackenzie Hughes")</f>
        <v>Mackenzie Hughes</v>
      </c>
      <c r="D177">
        <f ca="1">IFERROR(__xludf.DUMMYFUNCTION("""COMPUTED_VALUE"""),18)</f>
        <v>18</v>
      </c>
      <c r="E177">
        <f ca="1">IFERROR(__xludf.DUMMYFUNCTION("""COMPUTED_VALUE"""),287.8)</f>
        <v>287.8</v>
      </c>
      <c r="F177" s="1">
        <f ca="1">IFERROR(__xludf.DUMMYFUNCTION("""COMPUTED_VALUE"""),54112)</f>
        <v>54112</v>
      </c>
      <c r="G177">
        <f ca="1">IFERROR(__xludf.DUMMYFUNCTION("""COMPUTED_VALUE"""),188)</f>
        <v>188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IFERROR(__xludf.DUMMYFUNCTION("""COMPUTED_VALUE"""),159)</f>
        <v>159</v>
      </c>
      <c r="C178" t="str">
        <f ca="1">IFERROR(__xludf.DUMMYFUNCTION("""COMPUTED_VALUE"""),"Brandt Snedeker")</f>
        <v>Brandt Snedeker</v>
      </c>
      <c r="D178">
        <f ca="1">IFERROR(__xludf.DUMMYFUNCTION("""COMPUTED_VALUE"""),16)</f>
        <v>16</v>
      </c>
      <c r="E178">
        <f ca="1">IFERROR(__xludf.DUMMYFUNCTION("""COMPUTED_VALUE"""),287.7)</f>
        <v>287.7</v>
      </c>
      <c r="F178" s="1">
        <f ca="1">IFERROR(__xludf.DUMMYFUNCTION("""COMPUTED_VALUE"""),63299)</f>
        <v>63299</v>
      </c>
      <c r="G178">
        <f ca="1">IFERROR(__xludf.DUMMYFUNCTION("""COMPUTED_VALUE"""),220)</f>
        <v>220</v>
      </c>
    </row>
    <row r="179" spans="1:7" ht="12.75">
      <c r="A179" t="str">
        <f ca="1">IFERROR(__xludf.DUMMYFUNCTION("""COMPUTED_VALUE"""),"T178")</f>
        <v>T178</v>
      </c>
      <c r="B179">
        <f ca="1">IFERROR(__xludf.DUMMYFUNCTION("""COMPUTED_VALUE"""),210)</f>
        <v>210</v>
      </c>
      <c r="C179" t="str">
        <f ca="1">IFERROR(__xludf.DUMMYFUNCTION("""COMPUTED_VALUE"""),"Chris Kirk")</f>
        <v>Chris Kirk</v>
      </c>
      <c r="D179">
        <f ca="1">IFERROR(__xludf.DUMMYFUNCTION("""COMPUTED_VALUE"""),10)</f>
        <v>10</v>
      </c>
      <c r="E179">
        <f ca="1">IFERROR(__xludf.DUMMYFUNCTION("""COMPUTED_VALUE"""),287.6)</f>
        <v>287.60000000000002</v>
      </c>
      <c r="F179" s="1">
        <f ca="1">IFERROR(__xludf.DUMMYFUNCTION("""COMPUTED_VALUE"""),31055)</f>
        <v>31055</v>
      </c>
      <c r="G179">
        <f ca="1">IFERROR(__xludf.DUMMYFUNCTION("""COMPUTED_VALUE"""),108)</f>
        <v>108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IFERROR(__xludf.DUMMYFUNCTION("""COMPUTED_VALUE"""),"T165")</f>
        <v>T165</v>
      </c>
      <c r="C180" t="str">
        <f ca="1">IFERROR(__xludf.DUMMYFUNCTION("""COMPUTED_VALUE"""),"Daniel Berger")</f>
        <v>Daniel Berger</v>
      </c>
      <c r="D180">
        <f ca="1">IFERROR(__xludf.DUMMYFUNCTION("""COMPUTED_VALUE"""),12)</f>
        <v>12</v>
      </c>
      <c r="E180">
        <f ca="1">IFERROR(__xludf.DUMMYFUNCTION("""COMPUTED_VALUE"""),287.6)</f>
        <v>287.60000000000002</v>
      </c>
      <c r="F180" s="1">
        <f ca="1">IFERROR(__xludf.DUMMYFUNCTION("""COMPUTED_VALUE"""),47161)</f>
        <v>47161</v>
      </c>
      <c r="G180">
        <f ca="1">IFERROR(__xludf.DUMMYFUNCTION("""COMPUTED_VALUE"""),164)</f>
        <v>164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IFERROR(__xludf.DUMMYFUNCTION("""COMPUTED_VALUE"""),"T165")</f>
        <v>T165</v>
      </c>
      <c r="C181" t="str">
        <f ca="1">IFERROR(__xludf.DUMMYFUNCTION("""COMPUTED_VALUE"""),"Tom Hoge")</f>
        <v>Tom Hoge</v>
      </c>
      <c r="D181">
        <f ca="1">IFERROR(__xludf.DUMMYFUNCTION("""COMPUTED_VALUE"""),22)</f>
        <v>22</v>
      </c>
      <c r="E181">
        <f ca="1">IFERROR(__xludf.DUMMYFUNCTION("""COMPUTED_VALUE"""),287.5)</f>
        <v>287.5</v>
      </c>
      <c r="F181" s="1">
        <f ca="1">IFERROR(__xludf.DUMMYFUNCTION("""COMPUTED_VALUE"""),86838)</f>
        <v>86838</v>
      </c>
      <c r="G181">
        <f ca="1">IFERROR(__xludf.DUMMYFUNCTION("""COMPUTED_VALUE"""),302)</f>
        <v>302</v>
      </c>
    </row>
    <row r="182" spans="1:7" ht="12.75">
      <c r="A182" t="str">
        <f ca="1">IFERROR(__xludf.DUMMYFUNCTION("""COMPUTED_VALUE"""),"T181")</f>
        <v>T181</v>
      </c>
      <c r="B182" t="str">
        <f ca="1">IFERROR(__xludf.DUMMYFUNCTION("""COMPUTED_VALUE"""),"T168")</f>
        <v>T168</v>
      </c>
      <c r="C182" t="str">
        <f ca="1">IFERROR(__xludf.DUMMYFUNCTION("""COMPUTED_VALUE"""),"Adam Hadwin")</f>
        <v>Adam Hadwin</v>
      </c>
      <c r="D182">
        <f ca="1">IFERROR(__xludf.DUMMYFUNCTION("""COMPUTED_VALUE"""),16)</f>
        <v>16</v>
      </c>
      <c r="E182">
        <f ca="1">IFERROR(__xludf.DUMMYFUNCTION("""COMPUTED_VALUE"""),287.4)</f>
        <v>287.39999999999998</v>
      </c>
      <c r="F182" s="1">
        <f ca="1">IFERROR(__xludf.DUMMYFUNCTION("""COMPUTED_VALUE"""),63230)</f>
        <v>63230</v>
      </c>
      <c r="G182">
        <f ca="1">IFERROR(__xludf.DUMMYFUNCTION("""COMPUTED_VALUE"""),220)</f>
        <v>220</v>
      </c>
    </row>
    <row r="183" spans="1:7" ht="12.75">
      <c r="A183" t="str">
        <f ca="1">IFERROR(__xludf.DUMMYFUNCTION("""COMPUTED_VALUE"""),"T181")</f>
        <v>T181</v>
      </c>
      <c r="B183" t="str">
        <f ca="1">IFERROR(__xludf.DUMMYFUNCTION("""COMPUTED_VALUE"""),"T168")</f>
        <v>T168</v>
      </c>
      <c r="C183" t="str">
        <f ca="1">IFERROR(__xludf.DUMMYFUNCTION("""COMPUTED_VALUE"""),"Seamus Power")</f>
        <v>Seamus Power</v>
      </c>
      <c r="D183">
        <f ca="1">IFERROR(__xludf.DUMMYFUNCTION("""COMPUTED_VALUE"""),8)</f>
        <v>8</v>
      </c>
      <c r="E183">
        <f ca="1">IFERROR(__xludf.DUMMYFUNCTION("""COMPUTED_VALUE"""),287.4)</f>
        <v>287.39999999999998</v>
      </c>
      <c r="F183" s="1">
        <f ca="1">IFERROR(__xludf.DUMMYFUNCTION("""COMPUTED_VALUE"""),8048)</f>
        <v>8048</v>
      </c>
      <c r="G183">
        <f ca="1">IFERROR(__xludf.DUMMYFUNCTION("""COMPUTED_VALUE"""),28)</f>
        <v>28</v>
      </c>
    </row>
    <row r="184" spans="1:7" ht="12.75">
      <c r="A184" t="str">
        <f ca="1">IFERROR(__xludf.DUMMYFUNCTION("""COMPUTED_VALUE"""),"T181")</f>
        <v>T181</v>
      </c>
      <c r="B184" t="str">
        <f ca="1">IFERROR(__xludf.DUMMYFUNCTION("""COMPUTED_VALUE"""),"T168")</f>
        <v>T168</v>
      </c>
      <c r="C184" t="str">
        <f ca="1">IFERROR(__xludf.DUMMYFUNCTION("""COMPUTED_VALUE"""),"Bill Haas")</f>
        <v>Bill Haas</v>
      </c>
      <c r="D184">
        <f ca="1">IFERROR(__xludf.DUMMYFUNCTION("""COMPUTED_VALUE"""),10)</f>
        <v>10</v>
      </c>
      <c r="E184">
        <f ca="1">IFERROR(__xludf.DUMMYFUNCTION("""COMPUTED_VALUE"""),287.4)</f>
        <v>287.39999999999998</v>
      </c>
      <c r="F184" s="1">
        <f ca="1">IFERROR(__xludf.DUMMYFUNCTION("""COMPUTED_VALUE"""),24141)</f>
        <v>24141</v>
      </c>
      <c r="G184">
        <f ca="1">IFERROR(__xludf.DUMMYFUNCTION("""COMPUTED_VALUE"""),84)</f>
        <v>84</v>
      </c>
    </row>
    <row r="185" spans="1:7" ht="12.75">
      <c r="A185" t="str">
        <f ca="1">IFERROR(__xludf.DUMMYFUNCTION("""COMPUTED_VALUE"""),"T181")</f>
        <v>T181</v>
      </c>
      <c r="B185" t="str">
        <f ca="1">IFERROR(__xludf.DUMMYFUNCTION("""COMPUTED_VALUE"""),"T168")</f>
        <v>T168</v>
      </c>
      <c r="C185" t="str">
        <f ca="1">IFERROR(__xludf.DUMMYFUNCTION("""COMPUTED_VALUE"""),"Ian Poulter")</f>
        <v>Ian Poulter</v>
      </c>
      <c r="D185">
        <f ca="1">IFERROR(__xludf.DUMMYFUNCTION("""COMPUTED_VALUE"""),6)</f>
        <v>6</v>
      </c>
      <c r="E185">
        <f ca="1">IFERROR(__xludf.DUMMYFUNCTION("""COMPUTED_VALUE"""),287.4)</f>
        <v>287.39999999999998</v>
      </c>
      <c r="F185" s="1">
        <f ca="1">IFERROR(__xludf.DUMMYFUNCTION("""COMPUTED_VALUE"""),24142)</f>
        <v>24142</v>
      </c>
      <c r="G185">
        <f ca="1">IFERROR(__xludf.DUMMYFUNCTION("""COMPUTED_VALUE"""),84)</f>
        <v>84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IFERROR(__xludf.DUMMYFUNCTION("""COMPUTED_VALUE"""),"T173")</f>
        <v>T173</v>
      </c>
      <c r="C186" t="str">
        <f ca="1">IFERROR(__xludf.DUMMYFUNCTION("""COMPUTED_VALUE"""),"Ben Taylor")</f>
        <v>Ben Taylor</v>
      </c>
      <c r="D186">
        <f ca="1">IFERROR(__xludf.DUMMYFUNCTION("""COMPUTED_VALUE"""),10)</f>
        <v>10</v>
      </c>
      <c r="E186">
        <f ca="1">IFERROR(__xludf.DUMMYFUNCTION("""COMPUTED_VALUE"""),287)</f>
        <v>287</v>
      </c>
      <c r="F186" s="1">
        <f ca="1">IFERROR(__xludf.DUMMYFUNCTION("""COMPUTED_VALUE"""),16072)</f>
        <v>16072</v>
      </c>
      <c r="G186">
        <f ca="1">IFERROR(__xludf.DUMMYFUNCTION("""COMPUTED_VALUE"""),56)</f>
        <v>56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IFERROR(__xludf.DUMMYFUNCTION("""COMPUTED_VALUE"""),"T175")</f>
        <v>T175</v>
      </c>
      <c r="C187" t="str">
        <f ca="1">IFERROR(__xludf.DUMMYFUNCTION("""COMPUTED_VALUE"""),"Steve Lewton")</f>
        <v>Steve Lewton</v>
      </c>
      <c r="D187">
        <f ca="1">IFERROR(__xludf.DUMMYFUNCTION("""COMPUTED_VALUE"""),4)</f>
        <v>4</v>
      </c>
      <c r="E187">
        <f ca="1">IFERROR(__xludf.DUMMYFUNCTION("""COMPUTED_VALUE"""),286.9)</f>
        <v>286.89999999999998</v>
      </c>
      <c r="F187" s="1">
        <f ca="1">IFERROR(__xludf.DUMMYFUNCTION("""COMPUTED_VALUE"""),16068)</f>
        <v>16068</v>
      </c>
      <c r="G187">
        <f ca="1">IFERROR(__xludf.DUMMYFUNCTION("""COMPUTED_VALUE"""),56)</f>
        <v>56</v>
      </c>
    </row>
    <row r="188" spans="1:7" ht="12.75">
      <c r="A188" t="str">
        <f ca="1">IFERROR(__xludf.DUMMYFUNCTION("""COMPUTED_VALUE"""),"T187")</f>
        <v>T187</v>
      </c>
      <c r="B188" t="str">
        <f ca="1">IFERROR(__xludf.DUMMYFUNCTION("""COMPUTED_VALUE"""),"T178")</f>
        <v>T178</v>
      </c>
      <c r="C188" t="str">
        <f ca="1">IFERROR(__xludf.DUMMYFUNCTION("""COMPUTED_VALUE"""),"Doug Ghim")</f>
        <v>Doug Ghim</v>
      </c>
      <c r="D188">
        <f ca="1">IFERROR(__xludf.DUMMYFUNCTION("""COMPUTED_VALUE"""),14)</f>
        <v>14</v>
      </c>
      <c r="E188">
        <f ca="1">IFERROR(__xludf.DUMMYFUNCTION("""COMPUTED_VALUE"""),286.6)</f>
        <v>286.60000000000002</v>
      </c>
      <c r="F188" s="1">
        <f ca="1">IFERROR(__xludf.DUMMYFUNCTION("""COMPUTED_VALUE"""),32101)</f>
        <v>32101</v>
      </c>
      <c r="G188">
        <f ca="1">IFERROR(__xludf.DUMMYFUNCTION("""COMPUTED_VALUE"""),112)</f>
        <v>112</v>
      </c>
    </row>
    <row r="189" spans="1:7" ht="12.75">
      <c r="A189" t="str">
        <f ca="1">IFERROR(__xludf.DUMMYFUNCTION("""COMPUTED_VALUE"""),"T187")</f>
        <v>T187</v>
      </c>
      <c r="B189" t="str">
        <f ca="1">IFERROR(__xludf.DUMMYFUNCTION("""COMPUTED_VALUE"""),"T178")</f>
        <v>T178</v>
      </c>
      <c r="C189" t="str">
        <f ca="1">IFERROR(__xludf.DUMMYFUNCTION("""COMPUTED_VALUE"""),"Bud Cauley")</f>
        <v>Bud Cauley</v>
      </c>
      <c r="D189">
        <f ca="1">IFERROR(__xludf.DUMMYFUNCTION("""COMPUTED_VALUE"""),4)</f>
        <v>4</v>
      </c>
      <c r="E189">
        <f ca="1">IFERROR(__xludf.DUMMYFUNCTION("""COMPUTED_VALUE"""),286.6)</f>
        <v>286.60000000000002</v>
      </c>
      <c r="F189" s="1">
        <f ca="1">IFERROR(__xludf.DUMMYFUNCTION("""COMPUTED_VALUE"""),16051)</f>
        <v>16051</v>
      </c>
      <c r="G189">
        <f ca="1">IFERROR(__xludf.DUMMYFUNCTION("""COMPUTED_VALUE"""),56)</f>
        <v>56</v>
      </c>
    </row>
    <row r="190" spans="1:7" ht="12.75">
      <c r="A190" t="str">
        <f ca="1">IFERROR(__xludf.DUMMYFUNCTION("""COMPUTED_VALUE"""),"T189")</f>
        <v>T189</v>
      </c>
      <c r="B190" t="str">
        <f ca="1">IFERROR(__xludf.DUMMYFUNCTION("""COMPUTED_VALUE"""),"T186")</f>
        <v>T186</v>
      </c>
      <c r="C190" t="str">
        <f ca="1">IFERROR(__xludf.DUMMYFUNCTION("""COMPUTED_VALUE"""),"Adam Long")</f>
        <v>Adam Long</v>
      </c>
      <c r="D190">
        <f ca="1">IFERROR(__xludf.DUMMYFUNCTION("""COMPUTED_VALUE"""),22)</f>
        <v>22</v>
      </c>
      <c r="E190">
        <f ca="1">IFERROR(__xludf.DUMMYFUNCTION("""COMPUTED_VALUE"""),286.5)</f>
        <v>286.5</v>
      </c>
      <c r="F190" s="1">
        <f ca="1">IFERROR(__xludf.DUMMYFUNCTION("""COMPUTED_VALUE"""),69916)</f>
        <v>69916</v>
      </c>
      <c r="G190">
        <f ca="1">IFERROR(__xludf.DUMMYFUNCTION("""COMPUTED_VALUE"""),244)</f>
        <v>244</v>
      </c>
    </row>
    <row r="191" spans="1:7" ht="12.75">
      <c r="A191" t="str">
        <f ca="1">IFERROR(__xludf.DUMMYFUNCTION("""COMPUTED_VALUE"""),"T189")</f>
        <v>T189</v>
      </c>
      <c r="B191" t="str">
        <f ca="1">IFERROR(__xludf.DUMMYFUNCTION("""COMPUTED_VALUE"""),"T181")</f>
        <v>T181</v>
      </c>
      <c r="C191" t="str">
        <f ca="1">IFERROR(__xludf.DUMMYFUNCTION("""COMPUTED_VALUE"""),"Brendan Steele")</f>
        <v>Brendan Steele</v>
      </c>
      <c r="D191">
        <f ca="1">IFERROR(__xludf.DUMMYFUNCTION("""COMPUTED_VALUE"""),14)</f>
        <v>14</v>
      </c>
      <c r="E191">
        <f ca="1">IFERROR(__xludf.DUMMYFUNCTION("""COMPUTED_VALUE"""),286.5)</f>
        <v>286.5</v>
      </c>
      <c r="F191" s="1">
        <f ca="1">IFERROR(__xludf.DUMMYFUNCTION("""COMPUTED_VALUE"""),55015)</f>
        <v>55015</v>
      </c>
      <c r="G191">
        <f ca="1">IFERROR(__xludf.DUMMYFUNCTION("""COMPUTED_VALUE"""),192)</f>
        <v>192</v>
      </c>
    </row>
    <row r="192" spans="1:7" ht="12.75">
      <c r="A192" t="str">
        <f ca="1">IFERROR(__xludf.DUMMYFUNCTION("""COMPUTED_VALUE"""),"T189")</f>
        <v>T189</v>
      </c>
      <c r="B192" t="str">
        <f ca="1">IFERROR(__xludf.DUMMYFUNCTION("""COMPUTED_VALUE"""),"T181")</f>
        <v>T181</v>
      </c>
      <c r="C192" t="str">
        <f ca="1">IFERROR(__xludf.DUMMYFUNCTION("""COMPUTED_VALUE"""),"Rafa Cabrera Bello")</f>
        <v>Rafa Cabrera Bello</v>
      </c>
      <c r="D192">
        <f ca="1">IFERROR(__xludf.DUMMYFUNCTION("""COMPUTED_VALUE"""),14)</f>
        <v>14</v>
      </c>
      <c r="E192">
        <f ca="1">IFERROR(__xludf.DUMMYFUNCTION("""COMPUTED_VALUE"""),286.5)</f>
        <v>286.5</v>
      </c>
      <c r="F192" s="1">
        <f ca="1">IFERROR(__xludf.DUMMYFUNCTION("""COMPUTED_VALUE"""),48126)</f>
        <v>48126</v>
      </c>
      <c r="G192">
        <f ca="1">IFERROR(__xludf.DUMMYFUNCTION("""COMPUTED_VALUE"""),168)</f>
        <v>168</v>
      </c>
    </row>
    <row r="193" spans="1:7" ht="12.75">
      <c r="A193" t="str">
        <f ca="1">IFERROR(__xludf.DUMMYFUNCTION("""COMPUTED_VALUE"""),"T192")</f>
        <v>T192</v>
      </c>
      <c r="B193" t="str">
        <f ca="1">IFERROR(__xludf.DUMMYFUNCTION("""COMPUTED_VALUE"""),"T183")</f>
        <v>T183</v>
      </c>
      <c r="C193" t="str">
        <f ca="1">IFERROR(__xludf.DUMMYFUNCTION("""COMPUTED_VALUE"""),"Nelson Ledesma")</f>
        <v>Nelson Ledesma</v>
      </c>
      <c r="D193">
        <f ca="1">IFERROR(__xludf.DUMMYFUNCTION("""COMPUTED_VALUE"""),8)</f>
        <v>8</v>
      </c>
      <c r="E193">
        <f ca="1">IFERROR(__xludf.DUMMYFUNCTION("""COMPUTED_VALUE"""),286.3)</f>
        <v>286.3</v>
      </c>
      <c r="F193" s="1">
        <f ca="1">IFERROR(__xludf.DUMMYFUNCTION("""COMPUTED_VALUE"""),16032)</f>
        <v>16032</v>
      </c>
      <c r="G193">
        <f ca="1">IFERROR(__xludf.DUMMYFUNCTION("""COMPUTED_VALUE"""),56)</f>
        <v>56</v>
      </c>
    </row>
    <row r="194" spans="1:7" ht="12.75">
      <c r="A194" t="str">
        <f ca="1">IFERROR(__xludf.DUMMYFUNCTION("""COMPUTED_VALUE"""),"T192")</f>
        <v>T192</v>
      </c>
      <c r="B194" t="str">
        <f ca="1">IFERROR(__xludf.DUMMYFUNCTION("""COMPUTED_VALUE"""),"T183")</f>
        <v>T183</v>
      </c>
      <c r="C194" t="str">
        <f ca="1">IFERROR(__xludf.DUMMYFUNCTION("""COMPUTED_VALUE"""),"Sebastian Cappelen")</f>
        <v>Sebastian Cappelen</v>
      </c>
      <c r="D194">
        <f ca="1">IFERROR(__xludf.DUMMYFUNCTION("""COMPUTED_VALUE"""),8)</f>
        <v>8</v>
      </c>
      <c r="E194">
        <f ca="1">IFERROR(__xludf.DUMMYFUNCTION("""COMPUTED_VALUE"""),286.3)</f>
        <v>286.3</v>
      </c>
      <c r="F194" s="1">
        <f ca="1">IFERROR(__xludf.DUMMYFUNCTION("""COMPUTED_VALUE"""),16032)</f>
        <v>16032</v>
      </c>
      <c r="G194">
        <f ca="1">IFERROR(__xludf.DUMMYFUNCTION("""COMPUTED_VALUE"""),56)</f>
        <v>56</v>
      </c>
    </row>
    <row r="195" spans="1:7" ht="12.75">
      <c r="A195">
        <f ca="1">IFERROR(__xludf.DUMMYFUNCTION("""COMPUTED_VALUE"""),194)</f>
        <v>194</v>
      </c>
      <c r="B195" t="str">
        <f ca="1">IFERROR(__xludf.DUMMYFUNCTION("""COMPUTED_VALUE"""),"T175")</f>
        <v>T175</v>
      </c>
      <c r="C195" t="str">
        <f ca="1">IFERROR(__xludf.DUMMYFUNCTION("""COMPUTED_VALUE"""),"Troy Merritt")</f>
        <v>Troy Merritt</v>
      </c>
      <c r="D195">
        <f ca="1">IFERROR(__xludf.DUMMYFUNCTION("""COMPUTED_VALUE"""),20)</f>
        <v>20</v>
      </c>
      <c r="E195">
        <f ca="1">IFERROR(__xludf.DUMMYFUNCTION("""COMPUTED_VALUE"""),286.2)</f>
        <v>286.2</v>
      </c>
      <c r="F195" s="1">
        <f ca="1">IFERROR(__xludf.DUMMYFUNCTION("""COMPUTED_VALUE"""),62960)</f>
        <v>62960</v>
      </c>
      <c r="G195">
        <f ca="1">IFERROR(__xludf.DUMMYFUNCTION("""COMPUTED_VALUE"""),220)</f>
        <v>220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IFERROR(__xludf.DUMMYFUNCTION("""COMPUTED_VALUE"""),185)</f>
        <v>185</v>
      </c>
      <c r="C196" t="str">
        <f ca="1">IFERROR(__xludf.DUMMYFUNCTION("""COMPUTED_VALUE"""),"Akshay Bhatia")</f>
        <v>Akshay Bhatia</v>
      </c>
      <c r="D196">
        <f ca="1">IFERROR(__xludf.DUMMYFUNCTION("""COMPUTED_VALUE"""),6)</f>
        <v>6</v>
      </c>
      <c r="E196">
        <f ca="1">IFERROR(__xludf.DUMMYFUNCTION("""COMPUTED_VALUE"""),286)</f>
        <v>286</v>
      </c>
      <c r="F196" s="1">
        <f ca="1">IFERROR(__xludf.DUMMYFUNCTION("""COMPUTED_VALUE"""),16013)</f>
        <v>16013</v>
      </c>
      <c r="G196">
        <f ca="1">IFERROR(__xludf.DUMMYFUNCTION("""COMPUTED_VALUE"""),56)</f>
        <v>56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IFERROR(__xludf.DUMMYFUNCTION("""COMPUTED_VALUE"""),220)</f>
        <v>220</v>
      </c>
      <c r="C197" t="str">
        <f ca="1">IFERROR(__xludf.DUMMYFUNCTION("""COMPUTED_VALUE"""),"Kramer Hickok")</f>
        <v>Kramer Hickok</v>
      </c>
      <c r="D197">
        <f ca="1">IFERROR(__xludf.DUMMYFUNCTION("""COMPUTED_VALUE"""),16)</f>
        <v>16</v>
      </c>
      <c r="E197">
        <f ca="1">IFERROR(__xludf.DUMMYFUNCTION("""COMPUTED_VALUE"""),285.8)</f>
        <v>285.8</v>
      </c>
      <c r="F197" s="1">
        <f ca="1">IFERROR(__xludf.DUMMYFUNCTION("""COMPUTED_VALUE"""),30861)</f>
        <v>30861</v>
      </c>
      <c r="G197">
        <f ca="1">IFERROR(__xludf.DUMMYFUNCTION("""COMPUTED_VALUE"""),108)</f>
        <v>108</v>
      </c>
    </row>
    <row r="198" spans="1:7" ht="12.75">
      <c r="A198">
        <f ca="1">IFERROR(__xludf.DUMMYFUNCTION("""COMPUTED_VALUE"""),197)</f>
        <v>197</v>
      </c>
      <c r="B198" t="str">
        <f ca="1">IFERROR(__xludf.DUMMYFUNCTION("""COMPUTED_VALUE"""),"T190")</f>
        <v>T190</v>
      </c>
      <c r="C198" t="str">
        <f ca="1">IFERROR(__xludf.DUMMYFUNCTION("""COMPUTED_VALUE"""),"Luke Donald")</f>
        <v>Luke Donald</v>
      </c>
      <c r="D198">
        <f ca="1">IFERROR(__xludf.DUMMYFUNCTION("""COMPUTED_VALUE"""),14)</f>
        <v>14</v>
      </c>
      <c r="E198">
        <f ca="1">IFERROR(__xludf.DUMMYFUNCTION("""COMPUTED_VALUE"""),285.7)</f>
        <v>285.7</v>
      </c>
      <c r="F198" s="1">
        <f ca="1">IFERROR(__xludf.DUMMYFUNCTION("""COMPUTED_VALUE"""),39430)</f>
        <v>39430</v>
      </c>
      <c r="G198">
        <f ca="1">IFERROR(__xludf.DUMMYFUNCTION("""COMPUTED_VALUE"""),138)</f>
        <v>138</v>
      </c>
    </row>
    <row r="199" spans="1:7" ht="12.75">
      <c r="A199" t="str">
        <f ca="1">IFERROR(__xludf.DUMMYFUNCTION("""COMPUTED_VALUE"""),"T198")</f>
        <v>T198</v>
      </c>
      <c r="B199" t="str">
        <f ca="1">IFERROR(__xludf.DUMMYFUNCTION("""COMPUTED_VALUE"""),"T188")</f>
        <v>T188</v>
      </c>
      <c r="C199" t="str">
        <f ca="1">IFERROR(__xludf.DUMMYFUNCTION("""COMPUTED_VALUE"""),"Sahith Theegala")</f>
        <v>Sahith Theegala</v>
      </c>
      <c r="D199">
        <f ca="1">IFERROR(__xludf.DUMMYFUNCTION("""COMPUTED_VALUE"""),6)</f>
        <v>6</v>
      </c>
      <c r="E199">
        <f ca="1">IFERROR(__xludf.DUMMYFUNCTION("""COMPUTED_VALUE"""),285.6)</f>
        <v>285.60000000000002</v>
      </c>
      <c r="F199" s="1">
        <f ca="1">IFERROR(__xludf.DUMMYFUNCTION("""COMPUTED_VALUE"""),23992)</f>
        <v>23992</v>
      </c>
      <c r="G199">
        <f ca="1">IFERROR(__xludf.DUMMYFUNCTION("""COMPUTED_VALUE"""),84)</f>
        <v>84</v>
      </c>
    </row>
    <row r="200" spans="1:7" ht="12.75">
      <c r="A200" t="str">
        <f ca="1">IFERROR(__xludf.DUMMYFUNCTION("""COMPUTED_VALUE"""),"T198")</f>
        <v>T198</v>
      </c>
      <c r="B200" t="str">
        <f ca="1">IFERROR(__xludf.DUMMYFUNCTION("""COMPUTED_VALUE"""),"T188")</f>
        <v>T188</v>
      </c>
      <c r="C200" t="str">
        <f ca="1">IFERROR(__xludf.DUMMYFUNCTION("""COMPUTED_VALUE"""),"Robert Streb")</f>
        <v>Robert Streb</v>
      </c>
      <c r="D200">
        <f ca="1">IFERROR(__xludf.DUMMYFUNCTION("""COMPUTED_VALUE"""),12)</f>
        <v>12</v>
      </c>
      <c r="E200">
        <f ca="1">IFERROR(__xludf.DUMMYFUNCTION("""COMPUTED_VALUE"""),285.6)</f>
        <v>285.60000000000002</v>
      </c>
      <c r="F200" s="1">
        <f ca="1">IFERROR(__xludf.DUMMYFUNCTION("""COMPUTED_VALUE"""),15993)</f>
        <v>15993</v>
      </c>
      <c r="G200">
        <f ca="1">IFERROR(__xludf.DUMMYFUNCTION("""COMPUTED_VALUE"""),56)</f>
        <v>56</v>
      </c>
    </row>
    <row r="201" spans="1:7" ht="12.75">
      <c r="A201">
        <f ca="1">IFERROR(__xludf.DUMMYFUNCTION("""COMPUTED_VALUE"""),200)</f>
        <v>200</v>
      </c>
      <c r="B201" t="str">
        <f ca="1">IFERROR(__xludf.DUMMYFUNCTION("""COMPUTED_VALUE"""),"T190")</f>
        <v>T190</v>
      </c>
      <c r="C201" t="str">
        <f ca="1">IFERROR(__xludf.DUMMYFUNCTION("""COMPUTED_VALUE"""),"Chan Kim")</f>
        <v>Chan Kim</v>
      </c>
      <c r="D201">
        <f ca="1">IFERROR(__xludf.DUMMYFUNCTION("""COMPUTED_VALUE"""),6)</f>
        <v>6</v>
      </c>
      <c r="E201">
        <f ca="1">IFERROR(__xludf.DUMMYFUNCTION("""COMPUTED_VALUE"""),285.4)</f>
        <v>285.39999999999998</v>
      </c>
      <c r="F201" s="1">
        <f ca="1">IFERROR(__xludf.DUMMYFUNCTION("""COMPUTED_VALUE"""),22835)</f>
        <v>22835</v>
      </c>
      <c r="G201">
        <f ca="1">IFERROR(__xludf.DUMMYFUNCTION("""COMPUTED_VALUE"""),80)</f>
        <v>80</v>
      </c>
    </row>
    <row r="202" spans="1:7" ht="12.75">
      <c r="A202" t="str">
        <f ca="1">IFERROR(__xludf.DUMMYFUNCTION("""COMPUTED_VALUE"""),"T201")</f>
        <v>T201</v>
      </c>
      <c r="B202">
        <f ca="1">IFERROR(__xludf.DUMMYFUNCTION("""COMPUTED_VALUE"""),208)</f>
        <v>208</v>
      </c>
      <c r="C202" t="str">
        <f ca="1">IFERROR(__xludf.DUMMYFUNCTION("""COMPUTED_VALUE"""),"Vaughn Taylor")</f>
        <v>Vaughn Taylor</v>
      </c>
      <c r="D202">
        <f ca="1">IFERROR(__xludf.DUMMYFUNCTION("""COMPUTED_VALUE"""),12)</f>
        <v>12</v>
      </c>
      <c r="E202">
        <f ca="1">IFERROR(__xludf.DUMMYFUNCTION("""COMPUTED_VALUE"""),285.2)</f>
        <v>285.2</v>
      </c>
      <c r="F202" s="1">
        <f ca="1">IFERROR(__xludf.DUMMYFUNCTION("""COMPUTED_VALUE"""),23387)</f>
        <v>23387</v>
      </c>
      <c r="G202">
        <f ca="1">IFERROR(__xludf.DUMMYFUNCTION("""COMPUTED_VALUE"""),82)</f>
        <v>82</v>
      </c>
    </row>
    <row r="203" spans="1:7" ht="12.75">
      <c r="A203" t="str">
        <f ca="1">IFERROR(__xludf.DUMMYFUNCTION("""COMPUTED_VALUE"""),"T201")</f>
        <v>T201</v>
      </c>
      <c r="B203">
        <f ca="1">IFERROR(__xludf.DUMMYFUNCTION("""COMPUTED_VALUE"""),192)</f>
        <v>192</v>
      </c>
      <c r="C203" t="str">
        <f ca="1">IFERROR(__xludf.DUMMYFUNCTION("""COMPUTED_VALUE"""),"Matt Kuchar")</f>
        <v>Matt Kuchar</v>
      </c>
      <c r="D203">
        <f ca="1">IFERROR(__xludf.DUMMYFUNCTION("""COMPUTED_VALUE"""),14)</f>
        <v>14</v>
      </c>
      <c r="E203">
        <f ca="1">IFERROR(__xludf.DUMMYFUNCTION("""COMPUTED_VALUE"""),285.2)</f>
        <v>285.2</v>
      </c>
      <c r="F203" s="1">
        <f ca="1">IFERROR(__xludf.DUMMYFUNCTION("""COMPUTED_VALUE"""),54765)</f>
        <v>54765</v>
      </c>
      <c r="G203">
        <f ca="1">IFERROR(__xludf.DUMMYFUNCTION("""COMPUTED_VALUE"""),192)</f>
        <v>192</v>
      </c>
    </row>
    <row r="204" spans="1:7" ht="12.75">
      <c r="A204" t="str">
        <f ca="1">IFERROR(__xludf.DUMMYFUNCTION("""COMPUTED_VALUE"""),"T201")</f>
        <v>T201</v>
      </c>
      <c r="B204" t="str">
        <f ca="1">IFERROR(__xludf.DUMMYFUNCTION("""COMPUTED_VALUE"""),"T196")</f>
        <v>T196</v>
      </c>
      <c r="C204" t="str">
        <f ca="1">IFERROR(__xludf.DUMMYFUNCTION("""COMPUTED_VALUE"""),"Brice Garnett")</f>
        <v>Brice Garnett</v>
      </c>
      <c r="D204">
        <f ca="1">IFERROR(__xludf.DUMMYFUNCTION("""COMPUTED_VALUE"""),22)</f>
        <v>22</v>
      </c>
      <c r="E204">
        <f ca="1">IFERROR(__xludf.DUMMYFUNCTION("""COMPUTED_VALUE"""),285.2)</f>
        <v>285.2</v>
      </c>
      <c r="F204" s="1">
        <f ca="1">IFERROR(__xludf.DUMMYFUNCTION("""COMPUTED_VALUE"""),54766)</f>
        <v>54766</v>
      </c>
      <c r="G204">
        <f ca="1">IFERROR(__xludf.DUMMYFUNCTION("""COMPUTED_VALUE"""),192)</f>
        <v>192</v>
      </c>
    </row>
    <row r="205" spans="1:7" ht="12.75">
      <c r="A205" t="str">
        <f ca="1">IFERROR(__xludf.DUMMYFUNCTION("""COMPUTED_VALUE"""),"T204")</f>
        <v>T204</v>
      </c>
      <c r="B205">
        <f ca="1">IFERROR(__xludf.DUMMYFUNCTION("""COMPUTED_VALUE"""),193)</f>
        <v>193</v>
      </c>
      <c r="C205" t="str">
        <f ca="1">IFERROR(__xludf.DUMMYFUNCTION("""COMPUTED_VALUE"""),"Bernd Wiesberger")</f>
        <v>Bernd Wiesberger</v>
      </c>
      <c r="D205">
        <f ca="1">IFERROR(__xludf.DUMMYFUNCTION("""COMPUTED_VALUE"""),4)</f>
        <v>4</v>
      </c>
      <c r="E205">
        <f ca="1">IFERROR(__xludf.DUMMYFUNCTION("""COMPUTED_VALUE"""),285.1)</f>
        <v>285.10000000000002</v>
      </c>
      <c r="F205" s="1">
        <f ca="1">IFERROR(__xludf.DUMMYFUNCTION("""COMPUTED_VALUE"""),15965)</f>
        <v>15965</v>
      </c>
      <c r="G205">
        <f ca="1">IFERROR(__xludf.DUMMYFUNCTION("""COMPUTED_VALUE"""),56)</f>
        <v>56</v>
      </c>
    </row>
    <row r="206" spans="1:7" ht="12.75">
      <c r="A206" t="str">
        <f ca="1">IFERROR(__xludf.DUMMYFUNCTION("""COMPUTED_VALUE"""),"T204")</f>
        <v>T204</v>
      </c>
      <c r="B206">
        <f ca="1">IFERROR(__xludf.DUMMYFUNCTION("""COMPUTED_VALUE"""),209)</f>
        <v>209</v>
      </c>
      <c r="C206" t="str">
        <f ca="1">IFERROR(__xludf.DUMMYFUNCTION("""COMPUTED_VALUE"""),"Michael Thompson")</f>
        <v>Michael Thompson</v>
      </c>
      <c r="D206">
        <f ca="1">IFERROR(__xludf.DUMMYFUNCTION("""COMPUTED_VALUE"""),16)</f>
        <v>16</v>
      </c>
      <c r="E206">
        <f ca="1">IFERROR(__xludf.DUMMYFUNCTION("""COMPUTED_VALUE"""),285.1)</f>
        <v>285.10000000000002</v>
      </c>
      <c r="F206" s="1">
        <f ca="1">IFERROR(__xludf.DUMMYFUNCTION("""COMPUTED_VALUE"""),61588)</f>
        <v>61588</v>
      </c>
      <c r="G206">
        <f ca="1">IFERROR(__xludf.DUMMYFUNCTION("""COMPUTED_VALUE"""),216)</f>
        <v>216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IFERROR(__xludf.DUMMYFUNCTION("""COMPUTED_VALUE"""),194)</f>
        <v>194</v>
      </c>
      <c r="C207" t="str">
        <f ca="1">IFERROR(__xludf.DUMMYFUNCTION("""COMPUTED_VALUE"""),"Matthew Fitzpatrick")</f>
        <v>Matthew Fitzpatrick</v>
      </c>
      <c r="D207">
        <f ca="1">IFERROR(__xludf.DUMMYFUNCTION("""COMPUTED_VALUE"""),10)</f>
        <v>10</v>
      </c>
      <c r="E207">
        <f ca="1">IFERROR(__xludf.DUMMYFUNCTION("""COMPUTED_VALUE"""),285)</f>
        <v>285</v>
      </c>
      <c r="F207" s="1">
        <f ca="1">IFERROR(__xludf.DUMMYFUNCTION("""COMPUTED_VALUE"""),38765)</f>
        <v>38765</v>
      </c>
      <c r="G207">
        <f ca="1">IFERROR(__xludf.DUMMYFUNCTION("""COMPUTED_VALUE"""),136)</f>
        <v>136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IFERROR(__xludf.DUMMYFUNCTION("""COMPUTED_VALUE"""),195)</f>
        <v>195</v>
      </c>
      <c r="C208" t="str">
        <f ca="1">IFERROR(__xludf.DUMMYFUNCTION("""COMPUTED_VALUE"""),"Hank Lebioda")</f>
        <v>Hank Lebioda</v>
      </c>
      <c r="D208">
        <f ca="1">IFERROR(__xludf.DUMMYFUNCTION("""COMPUTED_VALUE"""),14)</f>
        <v>14</v>
      </c>
      <c r="E208">
        <f ca="1">IFERROR(__xludf.DUMMYFUNCTION("""COMPUTED_VALUE"""),284.9)</f>
        <v>284.89999999999998</v>
      </c>
      <c r="F208" s="1">
        <f ca="1">IFERROR(__xludf.DUMMYFUNCTION("""COMPUTED_VALUE"""),23931)</f>
        <v>23931</v>
      </c>
      <c r="G208">
        <f ca="1">IFERROR(__xludf.DUMMYFUNCTION("""COMPUTED_VALUE"""),84)</f>
        <v>84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IFERROR(__xludf.DUMMYFUNCTION("""COMPUTED_VALUE"""),"T196")</f>
        <v>T196</v>
      </c>
      <c r="C209" t="str">
        <f ca="1">IFERROR(__xludf.DUMMYFUNCTION("""COMPUTED_VALUE"""),"Rob Oppenheim")</f>
        <v>Rob Oppenheim</v>
      </c>
      <c r="D209">
        <f ca="1">IFERROR(__xludf.DUMMYFUNCTION("""COMPUTED_VALUE"""),16)</f>
        <v>16</v>
      </c>
      <c r="E209">
        <f ca="1">IFERROR(__xludf.DUMMYFUNCTION("""COMPUTED_VALUE"""),284.7)</f>
        <v>284.7</v>
      </c>
      <c r="F209" s="1">
        <f ca="1">IFERROR(__xludf.DUMMYFUNCTION("""COMPUTED_VALUE"""),39858)</f>
        <v>39858</v>
      </c>
      <c r="G209">
        <f ca="1">IFERROR(__xludf.DUMMYFUNCTION("""COMPUTED_VALUE"""),140)</f>
        <v>140</v>
      </c>
    </row>
    <row r="210" spans="1:7" ht="12.75">
      <c r="A210">
        <f ca="1">IFERROR(__xludf.DUMMYFUNCTION("""COMPUTED_VALUE"""),209)</f>
        <v>209</v>
      </c>
      <c r="B210" t="str">
        <f ca="1">IFERROR(__xludf.DUMMYFUNCTION("""COMPUTED_VALUE"""),"T198")</f>
        <v>T198</v>
      </c>
      <c r="C210" t="str">
        <f ca="1">IFERROR(__xludf.DUMMYFUNCTION("""COMPUTED_VALUE"""),"Fabián Gómez")</f>
        <v>Fabián Gómez</v>
      </c>
      <c r="D210">
        <f ca="1">IFERROR(__xludf.DUMMYFUNCTION("""COMPUTED_VALUE"""),16)</f>
        <v>16</v>
      </c>
      <c r="E210">
        <f ca="1">IFERROR(__xludf.DUMMYFUNCTION("""COMPUTED_VALUE"""),284.6)</f>
        <v>284.60000000000002</v>
      </c>
      <c r="F210" s="1">
        <f ca="1">IFERROR(__xludf.DUMMYFUNCTION("""COMPUTED_VALUE"""),38699)</f>
        <v>38699</v>
      </c>
      <c r="G210">
        <f ca="1">IFERROR(__xludf.DUMMYFUNCTION("""COMPUTED_VALUE"""),136)</f>
        <v>136</v>
      </c>
    </row>
    <row r="211" spans="1:7" ht="12.75">
      <c r="A211" t="str">
        <f ca="1">IFERROR(__xludf.DUMMYFUNCTION("""COMPUTED_VALUE"""),"T210")</f>
        <v>T210</v>
      </c>
      <c r="B211" t="str">
        <f ca="1">IFERROR(__xludf.DUMMYFUNCTION("""COMPUTED_VALUE"""),"T198")</f>
        <v>T198</v>
      </c>
      <c r="C211" t="str">
        <f ca="1">IFERROR(__xludf.DUMMYFUNCTION("""COMPUTED_VALUE"""),"Matt Every")</f>
        <v>Matt Every</v>
      </c>
      <c r="D211">
        <f ca="1">IFERROR(__xludf.DUMMYFUNCTION("""COMPUTED_VALUE"""),8)</f>
        <v>8</v>
      </c>
      <c r="E211">
        <f ca="1">IFERROR(__xludf.DUMMYFUNCTION("""COMPUTED_VALUE"""),284.4)</f>
        <v>284.39999999999998</v>
      </c>
      <c r="F211" s="1">
        <f ca="1">IFERROR(__xludf.DUMMYFUNCTION("""COMPUTED_VALUE"""),15928)</f>
        <v>15928</v>
      </c>
      <c r="G211">
        <f ca="1">IFERROR(__xludf.DUMMYFUNCTION("""COMPUTED_VALUE"""),56)</f>
        <v>56</v>
      </c>
    </row>
    <row r="212" spans="1:7" ht="12.75">
      <c r="A212" t="str">
        <f ca="1">IFERROR(__xludf.DUMMYFUNCTION("""COMPUTED_VALUE"""),"T210")</f>
        <v>T210</v>
      </c>
      <c r="B212" t="str">
        <f ca="1">IFERROR(__xludf.DUMMYFUNCTION("""COMPUTED_VALUE"""),"T198")</f>
        <v>T198</v>
      </c>
      <c r="C212" t="str">
        <f ca="1">IFERROR(__xludf.DUMMYFUNCTION("""COMPUTED_VALUE"""),"Kiradech Aphibarnrat")</f>
        <v>Kiradech Aphibarnrat</v>
      </c>
      <c r="D212">
        <f ca="1">IFERROR(__xludf.DUMMYFUNCTION("""COMPUTED_VALUE"""),12)</f>
        <v>12</v>
      </c>
      <c r="E212">
        <f ca="1">IFERROR(__xludf.DUMMYFUNCTION("""COMPUTED_VALUE"""),284.4)</f>
        <v>284.39999999999998</v>
      </c>
      <c r="F212" s="1">
        <f ca="1">IFERROR(__xludf.DUMMYFUNCTION("""COMPUTED_VALUE"""),15926)</f>
        <v>15926</v>
      </c>
      <c r="G212">
        <f ca="1">IFERROR(__xludf.DUMMYFUNCTION("""COMPUTED_VALUE"""),56)</f>
        <v>56</v>
      </c>
    </row>
    <row r="213" spans="1:7" ht="12.75">
      <c r="A213" t="str">
        <f ca="1">IFERROR(__xludf.DUMMYFUNCTION("""COMPUTED_VALUE"""),"T212")</f>
        <v>T212</v>
      </c>
      <c r="B213">
        <f ca="1">IFERROR(__xludf.DUMMYFUNCTION("""COMPUTED_VALUE"""),202)</f>
        <v>202</v>
      </c>
      <c r="C213" t="str">
        <f ca="1">IFERROR(__xludf.DUMMYFUNCTION("""COMPUTED_VALUE"""),"Jim Herman")</f>
        <v>Jim Herman</v>
      </c>
      <c r="D213">
        <f ca="1">IFERROR(__xludf.DUMMYFUNCTION("""COMPUTED_VALUE"""),12)</f>
        <v>12</v>
      </c>
      <c r="E213">
        <f ca="1">IFERROR(__xludf.DUMMYFUNCTION("""COMPUTED_VALUE"""),284.2)</f>
        <v>284.2</v>
      </c>
      <c r="F213" s="1">
        <f ca="1">IFERROR(__xludf.DUMMYFUNCTION("""COMPUTED_VALUE"""),46611)</f>
        <v>46611</v>
      </c>
      <c r="G213">
        <f ca="1">IFERROR(__xludf.DUMMYFUNCTION("""COMPUTED_VALUE"""),164)</f>
        <v>164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IFERROR(__xludf.DUMMYFUNCTION("""COMPUTED_VALUE"""),"T205")</f>
        <v>T205</v>
      </c>
      <c r="C214" t="str">
        <f ca="1">IFERROR(__xludf.DUMMYFUNCTION("""COMPUTED_VALUE"""),"Tyler Duncan")</f>
        <v>Tyler Duncan</v>
      </c>
      <c r="D214">
        <f ca="1">IFERROR(__xludf.DUMMYFUNCTION("""COMPUTED_VALUE"""),18)</f>
        <v>18</v>
      </c>
      <c r="E214">
        <f ca="1">IFERROR(__xludf.DUMMYFUNCTION("""COMPUTED_VALUE"""),284.2)</f>
        <v>284.2</v>
      </c>
      <c r="F214" s="1">
        <f ca="1">IFERROR(__xludf.DUMMYFUNCTION("""COMPUTED_VALUE"""),69924)</f>
        <v>69924</v>
      </c>
      <c r="G214">
        <f ca="1">IFERROR(__xludf.DUMMYFUNCTION("""COMPUTED_VALUE"""),246)</f>
        <v>246</v>
      </c>
    </row>
    <row r="215" spans="1:7" ht="12.75">
      <c r="A215" t="str">
        <f ca="1">IFERROR(__xludf.DUMMYFUNCTION("""COMPUTED_VALUE"""),"T214")</f>
        <v>T214</v>
      </c>
      <c r="B215" t="str">
        <f ca="1">IFERROR(__xludf.DUMMYFUNCTION("""COMPUTED_VALUE"""),"T203")</f>
        <v>T203</v>
      </c>
      <c r="C215" t="str">
        <f ca="1">IFERROR(__xludf.DUMMYFUNCTION("""COMPUTED_VALUE"""),"J.J. Spaun")</f>
        <v>J.J. Spaun</v>
      </c>
      <c r="D215">
        <f ca="1">IFERROR(__xludf.DUMMYFUNCTION("""COMPUTED_VALUE"""),10)</f>
        <v>10</v>
      </c>
      <c r="E215">
        <f ca="1">IFERROR(__xludf.DUMMYFUNCTION("""COMPUTED_VALUE"""),284)</f>
        <v>284</v>
      </c>
      <c r="F215" s="1">
        <f ca="1">IFERROR(__xludf.DUMMYFUNCTION("""COMPUTED_VALUE"""),23857)</f>
        <v>23857</v>
      </c>
      <c r="G215">
        <f ca="1">IFERROR(__xludf.DUMMYFUNCTION("""COMPUTED_VALUE"""),84)</f>
        <v>84</v>
      </c>
    </row>
    <row r="216" spans="1:7" ht="12.75">
      <c r="A216" t="str">
        <f ca="1">IFERROR(__xludf.DUMMYFUNCTION("""COMPUTED_VALUE"""),"T214")</f>
        <v>T214</v>
      </c>
      <c r="B216" t="str">
        <f ca="1">IFERROR(__xludf.DUMMYFUNCTION("""COMPUTED_VALUE"""),"T203")</f>
        <v>T203</v>
      </c>
      <c r="C216" t="str">
        <f ca="1">IFERROR(__xludf.DUMMYFUNCTION("""COMPUTED_VALUE"""),"Kevin Kisner")</f>
        <v>Kevin Kisner</v>
      </c>
      <c r="D216">
        <f ca="1">IFERROR(__xludf.DUMMYFUNCTION("""COMPUTED_VALUE"""),10)</f>
        <v>10</v>
      </c>
      <c r="E216">
        <f ca="1">IFERROR(__xludf.DUMMYFUNCTION("""COMPUTED_VALUE"""),284)</f>
        <v>284</v>
      </c>
      <c r="F216" s="1">
        <f ca="1">IFERROR(__xludf.DUMMYFUNCTION("""COMPUTED_VALUE"""),38619)</f>
        <v>38619</v>
      </c>
      <c r="G216">
        <f ca="1">IFERROR(__xludf.DUMMYFUNCTION("""COMPUTED_VALUE"""),136)</f>
        <v>136</v>
      </c>
    </row>
    <row r="217" spans="1:7" ht="12.75">
      <c r="A217" t="str">
        <f ca="1">IFERROR(__xludf.DUMMYFUNCTION("""COMPUTED_VALUE"""),"T216")</f>
        <v>T216</v>
      </c>
      <c r="B217" t="str">
        <f ca="1">IFERROR(__xludf.DUMMYFUNCTION("""COMPUTED_VALUE"""),"T205")</f>
        <v>T205</v>
      </c>
      <c r="C217" t="str">
        <f ca="1">IFERROR(__xludf.DUMMYFUNCTION("""COMPUTED_VALUE"""),"D.J. Trahan")</f>
        <v>D.J. Trahan</v>
      </c>
      <c r="D217">
        <f ca="1">IFERROR(__xludf.DUMMYFUNCTION("""COMPUTED_VALUE"""),16)</f>
        <v>16</v>
      </c>
      <c r="E217">
        <f ca="1">IFERROR(__xludf.DUMMYFUNCTION("""COMPUTED_VALUE"""),283.9)</f>
        <v>283.89999999999998</v>
      </c>
      <c r="F217" s="1">
        <f ca="1">IFERROR(__xludf.DUMMYFUNCTION("""COMPUTED_VALUE"""),31800)</f>
        <v>31800</v>
      </c>
      <c r="G217">
        <f ca="1">IFERROR(__xludf.DUMMYFUNCTION("""COMPUTED_VALUE"""),112)</f>
        <v>112</v>
      </c>
    </row>
    <row r="218" spans="1:7" ht="12.75">
      <c r="A218" t="str">
        <f ca="1">IFERROR(__xludf.DUMMYFUNCTION("""COMPUTED_VALUE"""),"T216")</f>
        <v>T216</v>
      </c>
      <c r="B218" t="str">
        <f ca="1">IFERROR(__xludf.DUMMYFUNCTION("""COMPUTED_VALUE"""),"T205")</f>
        <v>T205</v>
      </c>
      <c r="C218" t="str">
        <f ca="1">IFERROR(__xludf.DUMMYFUNCTION("""COMPUTED_VALUE"""),"Marc Leishman")</f>
        <v>Marc Leishman</v>
      </c>
      <c r="D218">
        <f ca="1">IFERROR(__xludf.DUMMYFUNCTION("""COMPUTED_VALUE"""),10)</f>
        <v>10</v>
      </c>
      <c r="E218">
        <f ca="1">IFERROR(__xludf.DUMMYFUNCTION("""COMPUTED_VALUE"""),283.9)</f>
        <v>283.89999999999998</v>
      </c>
      <c r="F218" s="1">
        <f ca="1">IFERROR(__xludf.DUMMYFUNCTION("""COMPUTED_VALUE"""),38611)</f>
        <v>38611</v>
      </c>
      <c r="G218">
        <f ca="1">IFERROR(__xludf.DUMMYFUNCTION("""COMPUTED_VALUE"""),136)</f>
        <v>136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IFERROR(__xludf.DUMMYFUNCTION("""COMPUTED_VALUE"""),"T223")</f>
        <v>T223</v>
      </c>
      <c r="C219" t="str">
        <f ca="1">IFERROR(__xludf.DUMMYFUNCTION("""COMPUTED_VALUE"""),"Kelly Kraft")</f>
        <v>Kelly Kraft</v>
      </c>
      <c r="D219">
        <f ca="1">IFERROR(__xludf.DUMMYFUNCTION("""COMPUTED_VALUE"""),14)</f>
        <v>14</v>
      </c>
      <c r="E219">
        <f ca="1">IFERROR(__xludf.DUMMYFUNCTION("""COMPUTED_VALUE"""),283.7)</f>
        <v>283.7</v>
      </c>
      <c r="F219" s="1">
        <f ca="1">IFERROR(__xludf.DUMMYFUNCTION("""COMPUTED_VALUE"""),31205)</f>
        <v>31205</v>
      </c>
      <c r="G219">
        <f ca="1">IFERROR(__xludf.DUMMYFUNCTION("""COMPUTED_VALUE"""),110)</f>
        <v>110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IFERROR(__xludf.DUMMYFUNCTION("""COMPUTED_VALUE"""),"")</f>
        <v/>
      </c>
      <c r="C220" t="str">
        <f ca="1">IFERROR(__xludf.DUMMYFUNCTION("""COMPUTED_VALUE"""),"Greg Chalmers")</f>
        <v>Greg Chalmers</v>
      </c>
      <c r="D220">
        <f ca="1">IFERROR(__xludf.DUMMYFUNCTION("""COMPUTED_VALUE"""),6)</f>
        <v>6</v>
      </c>
      <c r="E220">
        <f ca="1">IFERROR(__xludf.DUMMYFUNCTION("""COMPUTED_VALUE"""),283.2)</f>
        <v>283.2</v>
      </c>
      <c r="F220" s="1">
        <f ca="1">IFERROR(__xludf.DUMMYFUNCTION("""COMPUTED_VALUE"""),22653)</f>
        <v>22653</v>
      </c>
      <c r="G220">
        <f ca="1">IFERROR(__xludf.DUMMYFUNCTION("""COMPUTED_VALUE"""),80)</f>
        <v>80</v>
      </c>
    </row>
    <row r="221" spans="1:7" ht="12.75">
      <c r="A221" t="str">
        <f ca="1">IFERROR(__xludf.DUMMYFUNCTION("""COMPUTED_VALUE"""),"T220")</f>
        <v>T220</v>
      </c>
      <c r="B221" t="str">
        <f ca="1">IFERROR(__xludf.DUMMYFUNCTION("""COMPUTED_VALUE"""),"T211")</f>
        <v>T211</v>
      </c>
      <c r="C221" t="str">
        <f ca="1">IFERROR(__xludf.DUMMYFUNCTION("""COMPUTED_VALUE"""),"Rafael Campos")</f>
        <v>Rafael Campos</v>
      </c>
      <c r="D221">
        <f ca="1">IFERROR(__xludf.DUMMYFUNCTION("""COMPUTED_VALUE"""),6)</f>
        <v>6</v>
      </c>
      <c r="E221">
        <f ca="1">IFERROR(__xludf.DUMMYFUNCTION("""COMPUTED_VALUE"""),283)</f>
        <v>283</v>
      </c>
      <c r="F221" s="1">
        <f ca="1">IFERROR(__xludf.DUMMYFUNCTION("""COMPUTED_VALUE"""),7923)</f>
        <v>7923</v>
      </c>
      <c r="G221">
        <f ca="1">IFERROR(__xludf.DUMMYFUNCTION("""COMPUTED_VALUE"""),28)</f>
        <v>28</v>
      </c>
    </row>
    <row r="222" spans="1:7" ht="12.75">
      <c r="A222" t="str">
        <f ca="1">IFERROR(__xludf.DUMMYFUNCTION("""COMPUTED_VALUE"""),"T220")</f>
        <v>T220</v>
      </c>
      <c r="B222" t="str">
        <f ca="1">IFERROR(__xludf.DUMMYFUNCTION("""COMPUTED_VALUE"""),"T211")</f>
        <v>T211</v>
      </c>
      <c r="C222" t="str">
        <f ca="1">IFERROR(__xludf.DUMMYFUNCTION("""COMPUTED_VALUE"""),"Thomas Detry")</f>
        <v>Thomas Detry</v>
      </c>
      <c r="D222">
        <f ca="1">IFERROR(__xludf.DUMMYFUNCTION("""COMPUTED_VALUE"""),8)</f>
        <v>8</v>
      </c>
      <c r="E222">
        <f ca="1">IFERROR(__xludf.DUMMYFUNCTION("""COMPUTED_VALUE"""),283)</f>
        <v>283</v>
      </c>
      <c r="F222" s="1">
        <f ca="1">IFERROR(__xludf.DUMMYFUNCTION("""COMPUTED_VALUE"""),15848)</f>
        <v>15848</v>
      </c>
      <c r="G222">
        <f ca="1">IFERROR(__xludf.DUMMYFUNCTION("""COMPUTED_VALUE"""),56)</f>
        <v>56</v>
      </c>
    </row>
    <row r="223" spans="1:7" ht="12.75">
      <c r="A223">
        <f ca="1">IFERROR(__xludf.DUMMYFUNCTION("""COMPUTED_VALUE"""),222)</f>
        <v>222</v>
      </c>
      <c r="B223" t="str">
        <f ca="1">IFERROR(__xludf.DUMMYFUNCTION("""COMPUTED_VALUE"""),"T230")</f>
        <v>T230</v>
      </c>
      <c r="C223" t="str">
        <f ca="1">IFERROR(__xludf.DUMMYFUNCTION("""COMPUTED_VALUE"""),"Graeme McDowell")</f>
        <v>Graeme McDowell</v>
      </c>
      <c r="D223">
        <f ca="1">IFERROR(__xludf.DUMMYFUNCTION("""COMPUTED_VALUE"""),8)</f>
        <v>8</v>
      </c>
      <c r="E223">
        <f ca="1">IFERROR(__xludf.DUMMYFUNCTION("""COMPUTED_VALUE"""),282.9)</f>
        <v>282.89999999999998</v>
      </c>
      <c r="F223" s="1">
        <f ca="1">IFERROR(__xludf.DUMMYFUNCTION("""COMPUTED_VALUE"""),22636)</f>
        <v>22636</v>
      </c>
      <c r="G223">
        <f ca="1">IFERROR(__xludf.DUMMYFUNCTION("""COMPUTED_VALUE"""),80)</f>
        <v>80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IFERROR(__xludf.DUMMYFUNCTION("""COMPUTED_VALUE"""),213)</f>
        <v>213</v>
      </c>
      <c r="C224" t="str">
        <f ca="1">IFERROR(__xludf.DUMMYFUNCTION("""COMPUTED_VALUE"""),"Kyle Stanley")</f>
        <v>Kyle Stanley</v>
      </c>
      <c r="D224">
        <f ca="1">IFERROR(__xludf.DUMMYFUNCTION("""COMPUTED_VALUE"""),16)</f>
        <v>16</v>
      </c>
      <c r="E224">
        <f ca="1">IFERROR(__xludf.DUMMYFUNCTION("""COMPUTED_VALUE"""),282.6)</f>
        <v>282.60000000000002</v>
      </c>
      <c r="F224" s="1">
        <f ca="1">IFERROR(__xludf.DUMMYFUNCTION("""COMPUTED_VALUE"""),31655)</f>
        <v>31655</v>
      </c>
      <c r="G224">
        <f ca="1">IFERROR(__xludf.DUMMYFUNCTION("""COMPUTED_VALUE"""),112)</f>
        <v>112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IFERROR(__xludf.DUMMYFUNCTION("""COMPUTED_VALUE"""),214)</f>
        <v>214</v>
      </c>
      <c r="C225" t="str">
        <f ca="1">IFERROR(__xludf.DUMMYFUNCTION("""COMPUTED_VALUE"""),"Joohyung Kim")</f>
        <v>Joohyung Kim</v>
      </c>
      <c r="D225">
        <f ca="1">IFERROR(__xludf.DUMMYFUNCTION("""COMPUTED_VALUE"""),12)</f>
        <v>12</v>
      </c>
      <c r="E225">
        <f ca="1">IFERROR(__xludf.DUMMYFUNCTION("""COMPUTED_VALUE"""),282.5)</f>
        <v>282.5</v>
      </c>
      <c r="F225" s="1">
        <f ca="1">IFERROR(__xludf.DUMMYFUNCTION("""COMPUTED_VALUE"""),31645)</f>
        <v>31645</v>
      </c>
      <c r="G225">
        <f ca="1">IFERROR(__xludf.DUMMYFUNCTION("""COMPUTED_VALUE"""),112)</f>
        <v>112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IFERROR(__xludf.DUMMYFUNCTION("""COMPUTED_VALUE"""),215)</f>
        <v>215</v>
      </c>
      <c r="C226" t="str">
        <f ca="1">IFERROR(__xludf.DUMMYFUNCTION("""COMPUTED_VALUE"""),"Ryan Blaum")</f>
        <v>Ryan Blaum</v>
      </c>
      <c r="D226">
        <f ca="1">IFERROR(__xludf.DUMMYFUNCTION("""COMPUTED_VALUE"""),8)</f>
        <v>8</v>
      </c>
      <c r="E226">
        <f ca="1">IFERROR(__xludf.DUMMYFUNCTION("""COMPUTED_VALUE"""),282.4)</f>
        <v>282.39999999999998</v>
      </c>
      <c r="F226" s="1">
        <f ca="1">IFERROR(__xludf.DUMMYFUNCTION("""COMPUTED_VALUE"""),15813)</f>
        <v>15813</v>
      </c>
      <c r="G226">
        <f ca="1">IFERROR(__xludf.DUMMYFUNCTION("""COMPUTED_VALUE"""),56)</f>
        <v>56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IFERROR(__xludf.DUMMYFUNCTION("""COMPUTED_VALUE"""),216)</f>
        <v>216</v>
      </c>
      <c r="C227" t="str">
        <f ca="1">IFERROR(__xludf.DUMMYFUNCTION("""COMPUTED_VALUE"""),"Stephan Jaeger")</f>
        <v>Stephan Jaeger</v>
      </c>
      <c r="D227">
        <f ca="1">IFERROR(__xludf.DUMMYFUNCTION("""COMPUTED_VALUE"""),4)</f>
        <v>4</v>
      </c>
      <c r="E227">
        <f ca="1">IFERROR(__xludf.DUMMYFUNCTION("""COMPUTED_VALUE"""),282.3)</f>
        <v>282.3</v>
      </c>
      <c r="F227" s="1">
        <f ca="1">IFERROR(__xludf.DUMMYFUNCTION("""COMPUTED_VALUE"""),15808)</f>
        <v>15808</v>
      </c>
      <c r="G227">
        <f ca="1">IFERROR(__xludf.DUMMYFUNCTION("""COMPUTED_VALUE"""),56)</f>
        <v>56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IFERROR(__xludf.DUMMYFUNCTION("""COMPUTED_VALUE"""),217)</f>
        <v>217</v>
      </c>
      <c r="C228" t="str">
        <f ca="1">IFERROR(__xludf.DUMMYFUNCTION("""COMPUTED_VALUE"""),"Sangmoon Bae")</f>
        <v>Sangmoon Bae</v>
      </c>
      <c r="D228">
        <f ca="1">IFERROR(__xludf.DUMMYFUNCTION("""COMPUTED_VALUE"""),8)</f>
        <v>8</v>
      </c>
      <c r="E228">
        <f ca="1">IFERROR(__xludf.DUMMYFUNCTION("""COMPUTED_VALUE"""),282.2)</f>
        <v>282.2</v>
      </c>
      <c r="F228" s="1">
        <f ca="1">IFERROR(__xludf.DUMMYFUNCTION("""COMPUTED_VALUE"""),7901)</f>
        <v>7901</v>
      </c>
      <c r="G228">
        <f ca="1">IFERROR(__xludf.DUMMYFUNCTION("""COMPUTED_VALUE"""),28)</f>
        <v>28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IFERROR(__xludf.DUMMYFUNCTION("""COMPUTED_VALUE"""),218)</f>
        <v>218</v>
      </c>
      <c r="C229" t="str">
        <f ca="1">IFERROR(__xludf.DUMMYFUNCTION("""COMPUTED_VALUE"""),"Patrick Reed")</f>
        <v>Patrick Reed</v>
      </c>
      <c r="D229">
        <f ca="1">IFERROR(__xludf.DUMMYFUNCTION("""COMPUTED_VALUE"""),8)</f>
        <v>8</v>
      </c>
      <c r="E229">
        <f ca="1">IFERROR(__xludf.DUMMYFUNCTION("""COMPUTED_VALUE"""),282)</f>
        <v>282</v>
      </c>
      <c r="F229" s="1">
        <f ca="1">IFERROR(__xludf.DUMMYFUNCTION("""COMPUTED_VALUE"""),30453)</f>
        <v>30453</v>
      </c>
      <c r="G229">
        <f ca="1">IFERROR(__xludf.DUMMYFUNCTION("""COMPUTED_VALUE"""),108)</f>
        <v>108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IFERROR(__xludf.DUMMYFUNCTION("""COMPUTED_VALUE"""),219)</f>
        <v>219</v>
      </c>
      <c r="C230" t="str">
        <f ca="1">IFERROR(__xludf.DUMMYFUNCTION("""COMPUTED_VALUE"""),"Wes Roach")</f>
        <v>Wes Roach</v>
      </c>
      <c r="D230">
        <f ca="1">IFERROR(__xludf.DUMMYFUNCTION("""COMPUTED_VALUE"""),6)</f>
        <v>6</v>
      </c>
      <c r="E230">
        <f ca="1">IFERROR(__xludf.DUMMYFUNCTION("""COMPUTED_VALUE"""),281.9)</f>
        <v>281.89999999999998</v>
      </c>
      <c r="F230" s="1">
        <f ca="1">IFERROR(__xludf.DUMMYFUNCTION("""COMPUTED_VALUE"""),7892)</f>
        <v>7892</v>
      </c>
      <c r="G230">
        <f ca="1">IFERROR(__xludf.DUMMYFUNCTION("""COMPUTED_VALUE"""),28)</f>
        <v>28</v>
      </c>
    </row>
    <row r="231" spans="1:7" ht="12.75">
      <c r="A231" t="str">
        <f ca="1">IFERROR(__xludf.DUMMYFUNCTION("""COMPUTED_VALUE"""),"T230")</f>
        <v>T230</v>
      </c>
      <c r="B231" t="str">
        <f ca="1">IFERROR(__xludf.DUMMYFUNCTION("""COMPUTED_VALUE"""),"T221")</f>
        <v>T221</v>
      </c>
      <c r="C231" t="str">
        <f ca="1">IFERROR(__xludf.DUMMYFUNCTION("""COMPUTED_VALUE"""),"Chez Reavie")</f>
        <v>Chez Reavie</v>
      </c>
      <c r="D231">
        <f ca="1">IFERROR(__xludf.DUMMYFUNCTION("""COMPUTED_VALUE"""),14)</f>
        <v>14</v>
      </c>
      <c r="E231">
        <f ca="1">IFERROR(__xludf.DUMMYFUNCTION("""COMPUTED_VALUE"""),281.5)</f>
        <v>281.5</v>
      </c>
      <c r="F231" s="1">
        <f ca="1">IFERROR(__xludf.DUMMYFUNCTION("""COMPUTED_VALUE"""),55180)</f>
        <v>55180</v>
      </c>
      <c r="G231">
        <f ca="1">IFERROR(__xludf.DUMMYFUNCTION("""COMPUTED_VALUE"""),196)</f>
        <v>196</v>
      </c>
    </row>
    <row r="232" spans="1:7" ht="12.75">
      <c r="A232" t="str">
        <f ca="1">IFERROR(__xludf.DUMMYFUNCTION("""COMPUTED_VALUE"""),"T230")</f>
        <v>T230</v>
      </c>
      <c r="B232" t="str">
        <f ca="1">IFERROR(__xludf.DUMMYFUNCTION("""COMPUTED_VALUE"""),"T221")</f>
        <v>T221</v>
      </c>
      <c r="C232" t="str">
        <f ca="1">IFERROR(__xludf.DUMMYFUNCTION("""COMPUTED_VALUE"""),"Cameron Percy")</f>
        <v>Cameron Percy</v>
      </c>
      <c r="D232">
        <f ca="1">IFERROR(__xludf.DUMMYFUNCTION("""COMPUTED_VALUE"""),16)</f>
        <v>16</v>
      </c>
      <c r="E232">
        <f ca="1">IFERROR(__xludf.DUMMYFUNCTION("""COMPUTED_VALUE"""),281.5)</f>
        <v>281.5</v>
      </c>
      <c r="F232" s="1">
        <f ca="1">IFERROR(__xludf.DUMMYFUNCTION("""COMPUTED_VALUE"""),31531)</f>
        <v>31531</v>
      </c>
      <c r="G232">
        <f ca="1">IFERROR(__xludf.DUMMYFUNCTION("""COMPUTED_VALUE"""),112)</f>
        <v>112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IFERROR(__xludf.DUMMYFUNCTION("""COMPUTED_VALUE"""),"T223")</f>
        <v>T223</v>
      </c>
      <c r="C233" t="str">
        <f ca="1">IFERROR(__xludf.DUMMYFUNCTION("""COMPUTED_VALUE"""),"Josh Teater")</f>
        <v>Josh Teater</v>
      </c>
      <c r="D233">
        <f ca="1">IFERROR(__xludf.DUMMYFUNCTION("""COMPUTED_VALUE"""),6)</f>
        <v>6</v>
      </c>
      <c r="E233">
        <f ca="1">IFERROR(__xludf.DUMMYFUNCTION("""COMPUTED_VALUE"""),281.3)</f>
        <v>281.3</v>
      </c>
      <c r="F233" s="1">
        <f ca="1">IFERROR(__xludf.DUMMYFUNCTION("""COMPUTED_VALUE"""),7878)</f>
        <v>7878</v>
      </c>
      <c r="G233">
        <f ca="1">IFERROR(__xludf.DUMMYFUNCTION("""COMPUTED_VALUE"""),28)</f>
        <v>28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IFERROR(__xludf.DUMMYFUNCTION("""COMPUTED_VALUE"""),225)</f>
        <v>225</v>
      </c>
      <c r="C234" t="str">
        <f ca="1">IFERROR(__xludf.DUMMYFUNCTION("""COMPUTED_VALUE"""),"Jay McLuen")</f>
        <v>Jay McLuen</v>
      </c>
      <c r="D234">
        <f ca="1">IFERROR(__xludf.DUMMYFUNCTION("""COMPUTED_VALUE"""),4)</f>
        <v>4</v>
      </c>
      <c r="E234">
        <f ca="1">IFERROR(__xludf.DUMMYFUNCTION("""COMPUTED_VALUE"""),280.3)</f>
        <v>280.3</v>
      </c>
      <c r="F234" s="1">
        <f ca="1">IFERROR(__xludf.DUMMYFUNCTION("""COMPUTED_VALUE"""),15695)</f>
        <v>15695</v>
      </c>
      <c r="G234">
        <f ca="1">IFERROR(__xludf.DUMMYFUNCTION("""COMPUTED_VALUE"""),56)</f>
        <v>56</v>
      </c>
    </row>
    <row r="235" spans="1:7" ht="12.75">
      <c r="A235" t="str">
        <f ca="1">IFERROR(__xludf.DUMMYFUNCTION("""COMPUTED_VALUE"""),"T234")</f>
        <v>T234</v>
      </c>
      <c r="B235" t="str">
        <f ca="1">IFERROR(__xludf.DUMMYFUNCTION("""COMPUTED_VALUE"""),"T226")</f>
        <v>T226</v>
      </c>
      <c r="C235" t="str">
        <f ca="1">IFERROR(__xludf.DUMMYFUNCTION("""COMPUTED_VALUE"""),"Zac Blair")</f>
        <v>Zac Blair</v>
      </c>
      <c r="D235">
        <f ca="1">IFERROR(__xludf.DUMMYFUNCTION("""COMPUTED_VALUE"""),10)</f>
        <v>10</v>
      </c>
      <c r="E235">
        <f ca="1">IFERROR(__xludf.DUMMYFUNCTION("""COMPUTED_VALUE"""),280.1)</f>
        <v>280.10000000000002</v>
      </c>
      <c r="F235" s="1">
        <f ca="1">IFERROR(__xludf.DUMMYFUNCTION("""COMPUTED_VALUE"""),23530)</f>
        <v>23530</v>
      </c>
      <c r="G235">
        <f ca="1">IFERROR(__xludf.DUMMYFUNCTION("""COMPUTED_VALUE"""),84)</f>
        <v>84</v>
      </c>
    </row>
    <row r="236" spans="1:7" ht="12.75">
      <c r="A236" t="str">
        <f ca="1">IFERROR(__xludf.DUMMYFUNCTION("""COMPUTED_VALUE"""),"T234")</f>
        <v>T234</v>
      </c>
      <c r="B236" t="str">
        <f ca="1">IFERROR(__xludf.DUMMYFUNCTION("""COMPUTED_VALUE"""),"T226")</f>
        <v>T226</v>
      </c>
      <c r="C236" t="str">
        <f ca="1">IFERROR(__xludf.DUMMYFUNCTION("""COMPUTED_VALUE"""),"Christiaan Bezuidenhout")</f>
        <v>Christiaan Bezuidenhout</v>
      </c>
      <c r="D236">
        <f ca="1">IFERROR(__xludf.DUMMYFUNCTION("""COMPUTED_VALUE"""),4)</f>
        <v>4</v>
      </c>
      <c r="E236">
        <f ca="1">IFERROR(__xludf.DUMMYFUNCTION("""COMPUTED_VALUE"""),280.1)</f>
        <v>280.10000000000002</v>
      </c>
      <c r="F236" s="1">
        <f ca="1">IFERROR(__xludf.DUMMYFUNCTION("""COMPUTED_VALUE"""),15688)</f>
        <v>15688</v>
      </c>
      <c r="G236">
        <f ca="1">IFERROR(__xludf.DUMMYFUNCTION("""COMPUTED_VALUE"""),56)</f>
        <v>56</v>
      </c>
    </row>
    <row r="237" spans="1:7" ht="12.75">
      <c r="A237" t="str">
        <f ca="1">IFERROR(__xludf.DUMMYFUNCTION("""COMPUTED_VALUE"""),"T234")</f>
        <v>T234</v>
      </c>
      <c r="B237" t="str">
        <f ca="1">IFERROR(__xludf.DUMMYFUNCTION("""COMPUTED_VALUE"""),"T226")</f>
        <v>T226</v>
      </c>
      <c r="C237" t="str">
        <f ca="1">IFERROR(__xludf.DUMMYFUNCTION("""COMPUTED_VALUE"""),"Michael Gellerman")</f>
        <v>Michael Gellerman</v>
      </c>
      <c r="D237">
        <f ca="1">IFERROR(__xludf.DUMMYFUNCTION("""COMPUTED_VALUE"""),5)</f>
        <v>5</v>
      </c>
      <c r="E237">
        <f ca="1">IFERROR(__xludf.DUMMYFUNCTION("""COMPUTED_VALUE"""),280.1)</f>
        <v>280.10000000000002</v>
      </c>
      <c r="F237" s="1">
        <f ca="1">IFERROR(__xludf.DUMMYFUNCTION("""COMPUTED_VALUE"""),7843)</f>
        <v>7843</v>
      </c>
      <c r="G237">
        <f ca="1">IFERROR(__xludf.DUMMYFUNCTION("""COMPUTED_VALUE"""),28)</f>
        <v>28</v>
      </c>
    </row>
    <row r="238" spans="1:7" ht="12.75">
      <c r="A238" t="str">
        <f ca="1">IFERROR(__xludf.DUMMYFUNCTION("""COMPUTED_VALUE"""),"T237")</f>
        <v>T237</v>
      </c>
      <c r="B238">
        <f ca="1">IFERROR(__xludf.DUMMYFUNCTION("""COMPUTED_VALUE"""),233)</f>
        <v>233</v>
      </c>
      <c r="C238" t="str">
        <f ca="1">IFERROR(__xludf.DUMMYFUNCTION("""COMPUTED_VALUE"""),"Kevin Stadler")</f>
        <v>Kevin Stadler</v>
      </c>
      <c r="D238">
        <f ca="1">IFERROR(__xludf.DUMMYFUNCTION("""COMPUTED_VALUE"""),8)</f>
        <v>8</v>
      </c>
      <c r="E238">
        <f ca="1">IFERROR(__xludf.DUMMYFUNCTION("""COMPUTED_VALUE"""),280)</f>
        <v>280</v>
      </c>
      <c r="F238" s="1">
        <f ca="1">IFERROR(__xludf.DUMMYFUNCTION("""COMPUTED_VALUE"""),22958)</f>
        <v>22958</v>
      </c>
      <c r="G238">
        <f ca="1">IFERROR(__xludf.DUMMYFUNCTION("""COMPUTED_VALUE"""),82)</f>
        <v>82</v>
      </c>
    </row>
    <row r="239" spans="1:7" ht="12.75">
      <c r="A239" t="str">
        <f ca="1">IFERROR(__xludf.DUMMYFUNCTION("""COMPUTED_VALUE"""),"T237")</f>
        <v>T237</v>
      </c>
      <c r="B239">
        <f ca="1">IFERROR(__xludf.DUMMYFUNCTION("""COMPUTED_VALUE"""),229)</f>
        <v>229</v>
      </c>
      <c r="C239" t="str">
        <f ca="1">IFERROR(__xludf.DUMMYFUNCTION("""COMPUTED_VALUE"""),"Ricky Barnes")</f>
        <v>Ricky Barnes</v>
      </c>
      <c r="D239">
        <f ca="1">IFERROR(__xludf.DUMMYFUNCTION("""COMPUTED_VALUE"""),12)</f>
        <v>12</v>
      </c>
      <c r="E239">
        <f ca="1">IFERROR(__xludf.DUMMYFUNCTION("""COMPUTED_VALUE"""),280)</f>
        <v>280</v>
      </c>
      <c r="F239" s="1">
        <f ca="1">IFERROR(__xludf.DUMMYFUNCTION("""COMPUTED_VALUE"""),15678)</f>
        <v>15678</v>
      </c>
      <c r="G239">
        <f ca="1">IFERROR(__xludf.DUMMYFUNCTION("""COMPUTED_VALUE"""),56)</f>
        <v>56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IFERROR(__xludf.DUMMYFUNCTION("""COMPUTED_VALUE"""),"T230")</f>
        <v>T230</v>
      </c>
      <c r="C240" t="str">
        <f ca="1">IFERROR(__xludf.DUMMYFUNCTION("""COMPUTED_VALUE"""),"Shugo Imahira")</f>
        <v>Shugo Imahira</v>
      </c>
      <c r="D240">
        <f ca="1">IFERROR(__xludf.DUMMYFUNCTION("""COMPUTED_VALUE"""),8)</f>
        <v>8</v>
      </c>
      <c r="E240">
        <f ca="1">IFERROR(__xludf.DUMMYFUNCTION("""COMPUTED_VALUE"""),279.9)</f>
        <v>279.89999999999998</v>
      </c>
      <c r="F240" s="1">
        <f ca="1">IFERROR(__xludf.DUMMYFUNCTION("""COMPUTED_VALUE"""),30231)</f>
        <v>30231</v>
      </c>
      <c r="G240">
        <f ca="1">IFERROR(__xludf.DUMMYFUNCTION("""COMPUTED_VALUE"""),108)</f>
        <v>108</v>
      </c>
    </row>
    <row r="241" spans="1:7" ht="12.75">
      <c r="A241" t="str">
        <f ca="1">IFERROR(__xludf.DUMMYFUNCTION("""COMPUTED_VALUE"""),"T240")</f>
        <v>T240</v>
      </c>
      <c r="B241">
        <f ca="1">IFERROR(__xludf.DUMMYFUNCTION("""COMPUTED_VALUE"""),232)</f>
        <v>232</v>
      </c>
      <c r="C241" t="str">
        <f ca="1">IFERROR(__xludf.DUMMYFUNCTION("""COMPUTED_VALUE"""),"Peter Uihlein")</f>
        <v>Peter Uihlein</v>
      </c>
      <c r="D241">
        <f ca="1">IFERROR(__xludf.DUMMYFUNCTION("""COMPUTED_VALUE"""),8)</f>
        <v>8</v>
      </c>
      <c r="E241">
        <f ca="1">IFERROR(__xludf.DUMMYFUNCTION("""COMPUTED_VALUE"""),279.8)</f>
        <v>279.8</v>
      </c>
      <c r="F241" s="1">
        <f ca="1">IFERROR(__xludf.DUMMYFUNCTION("""COMPUTED_VALUE"""),7835)</f>
        <v>7835</v>
      </c>
      <c r="G241">
        <f ca="1">IFERROR(__xludf.DUMMYFUNCTION("""COMPUTED_VALUE"""),28)</f>
        <v>28</v>
      </c>
    </row>
    <row r="242" spans="1:7" ht="12.75">
      <c r="A242" t="str">
        <f ca="1">IFERROR(__xludf.DUMMYFUNCTION("""COMPUTED_VALUE"""),"T240")</f>
        <v>T240</v>
      </c>
      <c r="B242">
        <f ca="1">IFERROR(__xludf.DUMMYFUNCTION("""COMPUTED_VALUE"""),234)</f>
        <v>234</v>
      </c>
      <c r="C242" t="str">
        <f ca="1">IFERROR(__xludf.DUMMYFUNCTION("""COMPUTED_VALUE"""),"Andrew Putnam")</f>
        <v>Andrew Putnam</v>
      </c>
      <c r="D242">
        <f ca="1">IFERROR(__xludf.DUMMYFUNCTION("""COMPUTED_VALUE"""),19)</f>
        <v>19</v>
      </c>
      <c r="E242">
        <f ca="1">IFERROR(__xludf.DUMMYFUNCTION("""COMPUTED_VALUE"""),279.8)</f>
        <v>279.8</v>
      </c>
      <c r="F242" s="1">
        <f ca="1">IFERROR(__xludf.DUMMYFUNCTION("""COMPUTED_VALUE"""),58207)</f>
        <v>58207</v>
      </c>
      <c r="G242">
        <f ca="1">IFERROR(__xludf.DUMMYFUNCTION("""COMPUTED_VALUE"""),208)</f>
        <v>208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IFERROR(__xludf.DUMMYFUNCTION("""COMPUTED_VALUE"""),241)</f>
        <v>241</v>
      </c>
      <c r="C243" t="str">
        <f ca="1">IFERROR(__xludf.DUMMYFUNCTION("""COMPUTED_VALUE"""),"Henrik Stenson")</f>
        <v>Henrik Stenson</v>
      </c>
      <c r="D243">
        <f ca="1">IFERROR(__xludf.DUMMYFUNCTION("""COMPUTED_VALUE"""),11)</f>
        <v>11</v>
      </c>
      <c r="E243">
        <f ca="1">IFERROR(__xludf.DUMMYFUNCTION("""COMPUTED_VALUE"""),279.5)</f>
        <v>279.5</v>
      </c>
      <c r="F243" s="1">
        <f ca="1">IFERROR(__xludf.DUMMYFUNCTION("""COMPUTED_VALUE"""),22922)</f>
        <v>22922</v>
      </c>
      <c r="G243">
        <f ca="1">IFERROR(__xludf.DUMMYFUNCTION("""COMPUTED_VALUE"""),82)</f>
        <v>82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IFERROR(__xludf.DUMMYFUNCTION("""COMPUTED_VALUE"""),235)</f>
        <v>235</v>
      </c>
      <c r="C244" t="str">
        <f ca="1">IFERROR(__xludf.DUMMYFUNCTION("""COMPUTED_VALUE"""),"Rikuya Hoshino")</f>
        <v>Rikuya Hoshino</v>
      </c>
      <c r="D244">
        <f ca="1">IFERROR(__xludf.DUMMYFUNCTION("""COMPUTED_VALUE"""),4)</f>
        <v>4</v>
      </c>
      <c r="E244">
        <f ca="1">IFERROR(__xludf.DUMMYFUNCTION("""COMPUTED_VALUE"""),279.3)</f>
        <v>279.3</v>
      </c>
      <c r="F244" s="1">
        <f ca="1">IFERROR(__xludf.DUMMYFUNCTION("""COMPUTED_VALUE"""),14525)</f>
        <v>14525</v>
      </c>
      <c r="G244">
        <f ca="1">IFERROR(__xludf.DUMMYFUNCTION("""COMPUTED_VALUE"""),52)</f>
        <v>52</v>
      </c>
    </row>
    <row r="245" spans="1:7" ht="12.75">
      <c r="A245">
        <f ca="1">IFERROR(__xludf.DUMMYFUNCTION("""COMPUTED_VALUE"""),244)</f>
        <v>244</v>
      </c>
      <c r="B245" t="str">
        <f ca="1">IFERROR(__xludf.DUMMYFUNCTION("""COMPUTED_VALUE"""),"T236")</f>
        <v>T236</v>
      </c>
      <c r="C245" t="str">
        <f ca="1">IFERROR(__xludf.DUMMYFUNCTION("""COMPUTED_VALUE"""),"Brian Stuard")</f>
        <v>Brian Stuard</v>
      </c>
      <c r="D245">
        <f ca="1">IFERROR(__xludf.DUMMYFUNCTION("""COMPUTED_VALUE"""),18)</f>
        <v>18</v>
      </c>
      <c r="E245">
        <f ca="1">IFERROR(__xludf.DUMMYFUNCTION("""COMPUTED_VALUE"""),279.2)</f>
        <v>279.2</v>
      </c>
      <c r="F245" s="1">
        <f ca="1">IFERROR(__xludf.DUMMYFUNCTION("""COMPUTED_VALUE"""),45784)</f>
        <v>45784</v>
      </c>
      <c r="G245">
        <f ca="1">IFERROR(__xludf.DUMMYFUNCTION("""COMPUTED_VALUE"""),164)</f>
        <v>164</v>
      </c>
    </row>
    <row r="246" spans="1:7" ht="12.75">
      <c r="A246">
        <f ca="1">IFERROR(__xludf.DUMMYFUNCTION("""COMPUTED_VALUE"""),245)</f>
        <v>245</v>
      </c>
      <c r="B246" t="str">
        <f ca="1">IFERROR(__xludf.DUMMYFUNCTION("""COMPUTED_VALUE"""),"T236")</f>
        <v>T236</v>
      </c>
      <c r="C246" t="str">
        <f ca="1">IFERROR(__xludf.DUMMYFUNCTION("""COMPUTED_VALUE"""),"Mark Anderson")</f>
        <v>Mark Anderson</v>
      </c>
      <c r="D246">
        <f ca="1">IFERROR(__xludf.DUMMYFUNCTION("""COMPUTED_VALUE"""),14)</f>
        <v>14</v>
      </c>
      <c r="E246">
        <f ca="1">IFERROR(__xludf.DUMMYFUNCTION("""COMPUTED_VALUE"""),279)</f>
        <v>279</v>
      </c>
      <c r="F246" s="1">
        <f ca="1">IFERROR(__xludf.DUMMYFUNCTION("""COMPUTED_VALUE"""),23439)</f>
        <v>23439</v>
      </c>
      <c r="G246">
        <f ca="1">IFERROR(__xludf.DUMMYFUNCTION("""COMPUTED_VALUE"""),84)</f>
        <v>84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IFERROR(__xludf.DUMMYFUNCTION("""COMPUTED_VALUE"""),238)</f>
        <v>238</v>
      </c>
      <c r="C247" t="str">
        <f ca="1">IFERROR(__xludf.DUMMYFUNCTION("""COMPUTED_VALUE"""),"Johnson Wagner")</f>
        <v>Johnson Wagner</v>
      </c>
      <c r="D247">
        <f ca="1">IFERROR(__xludf.DUMMYFUNCTION("""COMPUTED_VALUE"""),8)</f>
        <v>8</v>
      </c>
      <c r="E247">
        <f ca="1">IFERROR(__xludf.DUMMYFUNCTION("""COMPUTED_VALUE"""),278.9)</f>
        <v>278.89999999999998</v>
      </c>
      <c r="F247" s="1">
        <f ca="1">IFERROR(__xludf.DUMMYFUNCTION("""COMPUTED_VALUE"""),7809)</f>
        <v>7809</v>
      </c>
      <c r="G247">
        <f ca="1">IFERROR(__xludf.DUMMYFUNCTION("""COMPUTED_VALUE"""),28)</f>
        <v>28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IFERROR(__xludf.DUMMYFUNCTION("""COMPUTED_VALUE"""),239)</f>
        <v>239</v>
      </c>
      <c r="C248" t="str">
        <f ca="1">IFERROR(__xludf.DUMMYFUNCTION("""COMPUTED_VALUE"""),"Jazz Janewattananond")</f>
        <v>Jazz Janewattananond</v>
      </c>
      <c r="D248">
        <f ca="1">IFERROR(__xludf.DUMMYFUNCTION("""COMPUTED_VALUE"""),6)</f>
        <v>6</v>
      </c>
      <c r="E248">
        <f ca="1">IFERROR(__xludf.DUMMYFUNCTION("""COMPUTED_VALUE"""),278.8)</f>
        <v>278.8</v>
      </c>
      <c r="F248" s="1">
        <f ca="1">IFERROR(__xludf.DUMMYFUNCTION("""COMPUTED_VALUE"""),22301)</f>
        <v>22301</v>
      </c>
      <c r="G248">
        <f ca="1">IFERROR(__xludf.DUMMYFUNCTION("""COMPUTED_VALUE"""),80)</f>
        <v>80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IFERROR(__xludf.DUMMYFUNCTION("""COMPUTED_VALUE"""),240)</f>
        <v>240</v>
      </c>
      <c r="C249" t="str">
        <f ca="1">IFERROR(__xludf.DUMMYFUNCTION("""COMPUTED_VALUE"""),"Chris Baker")</f>
        <v>Chris Baker</v>
      </c>
      <c r="D249">
        <f ca="1">IFERROR(__xludf.DUMMYFUNCTION("""COMPUTED_VALUE"""),8)</f>
        <v>8</v>
      </c>
      <c r="E249">
        <f ca="1">IFERROR(__xludf.DUMMYFUNCTION("""COMPUTED_VALUE"""),277.9)</f>
        <v>277.89999999999998</v>
      </c>
      <c r="F249" s="1">
        <f ca="1">IFERROR(__xludf.DUMMYFUNCTION("""COMPUTED_VALUE"""),15565)</f>
        <v>15565</v>
      </c>
      <c r="G249">
        <f ca="1">IFERROR(__xludf.DUMMYFUNCTION("""COMPUTED_VALUE"""),56)</f>
        <v>56</v>
      </c>
    </row>
    <row r="250" spans="1:7" ht="12.75">
      <c r="A250" t="str">
        <f ca="1">IFERROR(__xludf.DUMMYFUNCTION("""COMPUTED_VALUE"""),"T249")</f>
        <v>T249</v>
      </c>
      <c r="B250" t="str">
        <f ca="1">IFERROR(__xludf.DUMMYFUNCTION("""COMPUTED_VALUE"""),"T242")</f>
        <v>T242</v>
      </c>
      <c r="C250" t="str">
        <f ca="1">IFERROR(__xludf.DUMMYFUNCTION("""COMPUTED_VALUE"""),"Aaron Baddeley")</f>
        <v>Aaron Baddeley</v>
      </c>
      <c r="D250">
        <f ca="1">IFERROR(__xludf.DUMMYFUNCTION("""COMPUTED_VALUE"""),8)</f>
        <v>8</v>
      </c>
      <c r="E250">
        <f ca="1">IFERROR(__xludf.DUMMYFUNCTION("""COMPUTED_VALUE"""),277.1)</f>
        <v>277.10000000000002</v>
      </c>
      <c r="F250" s="1">
        <f ca="1">IFERROR(__xludf.DUMMYFUNCTION("""COMPUTED_VALUE"""),15516)</f>
        <v>15516</v>
      </c>
      <c r="G250">
        <f ca="1">IFERROR(__xludf.DUMMYFUNCTION("""COMPUTED_VALUE"""),56)</f>
        <v>56</v>
      </c>
    </row>
    <row r="251" spans="1:7" ht="12.75">
      <c r="A251" t="str">
        <f ca="1">IFERROR(__xludf.DUMMYFUNCTION("""COMPUTED_VALUE"""),"T249")</f>
        <v>T249</v>
      </c>
      <c r="B251" t="str">
        <f ca="1">IFERROR(__xludf.DUMMYFUNCTION("""COMPUTED_VALUE"""),"T242")</f>
        <v>T242</v>
      </c>
      <c r="C251" t="str">
        <f ca="1">IFERROR(__xludf.DUMMYFUNCTION("""COMPUTED_VALUE"""),"Tiger Woods")</f>
        <v>Tiger Woods</v>
      </c>
      <c r="D251">
        <f ca="1">IFERROR(__xludf.DUMMYFUNCTION("""COMPUTED_VALUE"""),6)</f>
        <v>6</v>
      </c>
      <c r="E251">
        <f ca="1">IFERROR(__xludf.DUMMYFUNCTION("""COMPUTED_VALUE"""),277.1)</f>
        <v>277.10000000000002</v>
      </c>
      <c r="F251" s="1">
        <f ca="1">IFERROR(__xludf.DUMMYFUNCTION("""COMPUTED_VALUE"""),22164)</f>
        <v>22164</v>
      </c>
      <c r="G251">
        <f ca="1">IFERROR(__xludf.DUMMYFUNCTION("""COMPUTED_VALUE"""),80)</f>
        <v>80</v>
      </c>
    </row>
    <row r="252" spans="1:7" ht="12.75">
      <c r="A252" t="str">
        <f ca="1">IFERROR(__xludf.DUMMYFUNCTION("""COMPUTED_VALUE"""),"T251")</f>
        <v>T251</v>
      </c>
      <c r="B252" t="str">
        <f ca="1">IFERROR(__xludf.DUMMYFUNCTION("""COMPUTED_VALUE"""),"T244")</f>
        <v>T244</v>
      </c>
      <c r="C252" t="str">
        <f ca="1">IFERROR(__xludf.DUMMYFUNCTION("""COMPUTED_VALUE"""),"John Senden")</f>
        <v>John Senden</v>
      </c>
      <c r="D252">
        <f ca="1">IFERROR(__xludf.DUMMYFUNCTION("""COMPUTED_VALUE"""),8)</f>
        <v>8</v>
      </c>
      <c r="E252">
        <f ca="1">IFERROR(__xludf.DUMMYFUNCTION("""COMPUTED_VALUE"""),277)</f>
        <v>277</v>
      </c>
      <c r="F252" s="1">
        <f ca="1">IFERROR(__xludf.DUMMYFUNCTION("""COMPUTED_VALUE"""),7756)</f>
        <v>7756</v>
      </c>
      <c r="G252">
        <f ca="1">IFERROR(__xludf.DUMMYFUNCTION("""COMPUTED_VALUE"""),28)</f>
        <v>28</v>
      </c>
    </row>
    <row r="253" spans="1:7" ht="12.75">
      <c r="A253" t="str">
        <f ca="1">IFERROR(__xludf.DUMMYFUNCTION("""COMPUTED_VALUE"""),"T251")</f>
        <v>T251</v>
      </c>
      <c r="B253" t="str">
        <f ca="1">IFERROR(__xludf.DUMMYFUNCTION("""COMPUTED_VALUE"""),"T244")</f>
        <v>T244</v>
      </c>
      <c r="C253" t="str">
        <f ca="1">IFERROR(__xludf.DUMMYFUNCTION("""COMPUTED_VALUE"""),"Brendon Todd")</f>
        <v>Brendon Todd</v>
      </c>
      <c r="D253">
        <f ca="1">IFERROR(__xludf.DUMMYFUNCTION("""COMPUTED_VALUE"""),14)</f>
        <v>14</v>
      </c>
      <c r="E253">
        <f ca="1">IFERROR(__xludf.DUMMYFUNCTION("""COMPUTED_VALUE"""),277)</f>
        <v>277</v>
      </c>
      <c r="F253" s="1">
        <f ca="1">IFERROR(__xludf.DUMMYFUNCTION("""COMPUTED_VALUE"""),45432)</f>
        <v>45432</v>
      </c>
      <c r="G253">
        <f ca="1">IFERROR(__xludf.DUMMYFUNCTION("""COMPUTED_VALUE"""),164)</f>
        <v>164</v>
      </c>
    </row>
    <row r="254" spans="1:7" ht="12.75">
      <c r="A254">
        <f ca="1">IFERROR(__xludf.DUMMYFUNCTION("""COMPUTED_VALUE"""),253)</f>
        <v>253</v>
      </c>
      <c r="B254" t="str">
        <f ca="1">IFERROR(__xludf.DUMMYFUNCTION("""COMPUTED_VALUE"""),"T257")</f>
        <v>T257</v>
      </c>
      <c r="C254" t="str">
        <f ca="1">IFERROR(__xludf.DUMMYFUNCTION("""COMPUTED_VALUE"""),"Satoshi Kodaira")</f>
        <v>Satoshi Kodaira</v>
      </c>
      <c r="D254">
        <f ca="1">IFERROR(__xludf.DUMMYFUNCTION("""COMPUTED_VALUE"""),12)</f>
        <v>12</v>
      </c>
      <c r="E254">
        <f ca="1">IFERROR(__xludf.DUMMYFUNCTION("""COMPUTED_VALUE"""),276.9)</f>
        <v>276.89999999999998</v>
      </c>
      <c r="F254" s="1">
        <f ca="1">IFERROR(__xludf.DUMMYFUNCTION("""COMPUTED_VALUE"""),44301)</f>
        <v>44301</v>
      </c>
      <c r="G254">
        <f ca="1">IFERROR(__xludf.DUMMYFUNCTION("""COMPUTED_VALUE"""),160)</f>
        <v>160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IFERROR(__xludf.DUMMYFUNCTION("""COMPUTED_VALUE"""),253)</f>
        <v>253</v>
      </c>
      <c r="C255" t="str">
        <f ca="1">IFERROR(__xludf.DUMMYFUNCTION("""COMPUTED_VALUE"""),"Mark Hubbard")</f>
        <v>Mark Hubbard</v>
      </c>
      <c r="D255">
        <f ca="1">IFERROR(__xludf.DUMMYFUNCTION("""COMPUTED_VALUE"""),20)</f>
        <v>20</v>
      </c>
      <c r="E255">
        <f ca="1">IFERROR(__xludf.DUMMYFUNCTION("""COMPUTED_VALUE"""),276.8)</f>
        <v>276.8</v>
      </c>
      <c r="F255" s="1">
        <f ca="1">IFERROR(__xludf.DUMMYFUNCTION("""COMPUTED_VALUE"""),75283)</f>
        <v>75283</v>
      </c>
      <c r="G255">
        <f ca="1">IFERROR(__xludf.DUMMYFUNCTION("""COMPUTED_VALUE"""),272)</f>
        <v>272</v>
      </c>
    </row>
    <row r="256" spans="1:7" ht="12.75">
      <c r="A256" t="str">
        <f ca="1">IFERROR(__xludf.DUMMYFUNCTION("""COMPUTED_VALUE"""),"T255")</f>
        <v>T255</v>
      </c>
      <c r="B256" t="str">
        <f ca="1">IFERROR(__xludf.DUMMYFUNCTION("""COMPUTED_VALUE"""),"T246")</f>
        <v>T246</v>
      </c>
      <c r="C256" t="str">
        <f ca="1">IFERROR(__xludf.DUMMYFUNCTION("""COMPUTED_VALUE"""),"Dominic Bozzelli")</f>
        <v>Dominic Bozzelli</v>
      </c>
      <c r="D256">
        <f ca="1">IFERROR(__xludf.DUMMYFUNCTION("""COMPUTED_VALUE"""),8)</f>
        <v>8</v>
      </c>
      <c r="E256">
        <f ca="1">IFERROR(__xludf.DUMMYFUNCTION("""COMPUTED_VALUE"""),276.7)</f>
        <v>276.7</v>
      </c>
      <c r="F256" s="1">
        <f ca="1">IFERROR(__xludf.DUMMYFUNCTION("""COMPUTED_VALUE"""),7748)</f>
        <v>7748</v>
      </c>
      <c r="G256">
        <f ca="1">IFERROR(__xludf.DUMMYFUNCTION("""COMPUTED_VALUE"""),28)</f>
        <v>28</v>
      </c>
    </row>
    <row r="257" spans="1:7" ht="12.75">
      <c r="A257" t="str">
        <f ca="1">IFERROR(__xludf.DUMMYFUNCTION("""COMPUTED_VALUE"""),"T255")</f>
        <v>T255</v>
      </c>
      <c r="B257" t="str">
        <f ca="1">IFERROR(__xludf.DUMMYFUNCTION("""COMPUTED_VALUE"""),"T246")</f>
        <v>T246</v>
      </c>
      <c r="C257" t="str">
        <f ca="1">IFERROR(__xludf.DUMMYFUNCTION("""COMPUTED_VALUE"""),"Chris Stroud")</f>
        <v>Chris Stroud</v>
      </c>
      <c r="D257">
        <f ca="1">IFERROR(__xludf.DUMMYFUNCTION("""COMPUTED_VALUE"""),6)</f>
        <v>6</v>
      </c>
      <c r="E257">
        <f ca="1">IFERROR(__xludf.DUMMYFUNCTION("""COMPUTED_VALUE"""),276.7)</f>
        <v>276.7</v>
      </c>
      <c r="F257" s="1">
        <f ca="1">IFERROR(__xludf.DUMMYFUNCTION("""COMPUTED_VALUE"""),15496)</f>
        <v>15496</v>
      </c>
      <c r="G257">
        <f ca="1">IFERROR(__xludf.DUMMYFUNCTION("""COMPUTED_VALUE"""),56)</f>
        <v>56</v>
      </c>
    </row>
    <row r="258" spans="1:7" ht="12.75">
      <c r="A258" t="str">
        <f ca="1">IFERROR(__xludf.DUMMYFUNCTION("""COMPUTED_VALUE"""),"T257")</f>
        <v>T257</v>
      </c>
      <c r="B258" t="str">
        <f ca="1">IFERROR(__xludf.DUMMYFUNCTION("""COMPUTED_VALUE"""),"T248")</f>
        <v>T248</v>
      </c>
      <c r="C258" t="str">
        <f ca="1">IFERROR(__xludf.DUMMYFUNCTION("""COMPUTED_VALUE"""),"Rhein Gibson")</f>
        <v>Rhein Gibson</v>
      </c>
      <c r="D258">
        <f ca="1">IFERROR(__xludf.DUMMYFUNCTION("""COMPUTED_VALUE"""),10)</f>
        <v>10</v>
      </c>
      <c r="E258">
        <f ca="1">IFERROR(__xludf.DUMMYFUNCTION("""COMPUTED_VALUE"""),276.5)</f>
        <v>276.5</v>
      </c>
      <c r="F258" s="1">
        <f ca="1">IFERROR(__xludf.DUMMYFUNCTION("""COMPUTED_VALUE"""),15483)</f>
        <v>15483</v>
      </c>
      <c r="G258">
        <f ca="1">IFERROR(__xludf.DUMMYFUNCTION("""COMPUTED_VALUE"""),56)</f>
        <v>56</v>
      </c>
    </row>
    <row r="259" spans="1:7" ht="12.75">
      <c r="A259" t="str">
        <f ca="1">IFERROR(__xludf.DUMMYFUNCTION("""COMPUTED_VALUE"""),"T257")</f>
        <v>T257</v>
      </c>
      <c r="B259" t="str">
        <f ca="1">IFERROR(__xludf.DUMMYFUNCTION("""COMPUTED_VALUE"""),"T248")</f>
        <v>T248</v>
      </c>
      <c r="C259" t="str">
        <f ca="1">IFERROR(__xludf.DUMMYFUNCTION("""COMPUTED_VALUE"""),"Shaun Norris")</f>
        <v>Shaun Norris</v>
      </c>
      <c r="D259">
        <f ca="1">IFERROR(__xludf.DUMMYFUNCTION("""COMPUTED_VALUE"""),6)</f>
        <v>6</v>
      </c>
      <c r="E259">
        <f ca="1">IFERROR(__xludf.DUMMYFUNCTION("""COMPUTED_VALUE"""),276.5)</f>
        <v>276.5</v>
      </c>
      <c r="F259" s="1">
        <f ca="1">IFERROR(__xludf.DUMMYFUNCTION("""COMPUTED_VALUE"""),22121)</f>
        <v>22121</v>
      </c>
      <c r="G259">
        <f ca="1">IFERROR(__xludf.DUMMYFUNCTION("""COMPUTED_VALUE"""),80)</f>
        <v>80</v>
      </c>
    </row>
    <row r="260" spans="1:7" ht="12.75">
      <c r="A260" t="str">
        <f ca="1">IFERROR(__xludf.DUMMYFUNCTION("""COMPUTED_VALUE"""),"T257")</f>
        <v>T257</v>
      </c>
      <c r="B260" t="str">
        <f ca="1">IFERROR(__xludf.DUMMYFUNCTION("""COMPUTED_VALUE"""),"T248")</f>
        <v>T248</v>
      </c>
      <c r="C260" t="str">
        <f ca="1">IFERROR(__xludf.DUMMYFUNCTION("""COMPUTED_VALUE"""),"Jonathan Byrd")</f>
        <v>Jonathan Byrd</v>
      </c>
      <c r="D260">
        <f ca="1">IFERROR(__xludf.DUMMYFUNCTION("""COMPUTED_VALUE"""),14)</f>
        <v>14</v>
      </c>
      <c r="E260">
        <f ca="1">IFERROR(__xludf.DUMMYFUNCTION("""COMPUTED_VALUE"""),276.5)</f>
        <v>276.5</v>
      </c>
      <c r="F260" s="1">
        <f ca="1">IFERROR(__xludf.DUMMYFUNCTION("""COMPUTED_VALUE"""),23226)</f>
        <v>23226</v>
      </c>
      <c r="G260">
        <f ca="1">IFERROR(__xludf.DUMMYFUNCTION("""COMPUTED_VALUE"""),84)</f>
        <v>84</v>
      </c>
    </row>
    <row r="261" spans="1:7" ht="12.75">
      <c r="A261" t="str">
        <f ca="1">IFERROR(__xludf.DUMMYFUNCTION("""COMPUTED_VALUE"""),"T260")</f>
        <v>T260</v>
      </c>
      <c r="B261" t="str">
        <f ca="1">IFERROR(__xludf.DUMMYFUNCTION("""COMPUTED_VALUE"""),"T251")</f>
        <v>T251</v>
      </c>
      <c r="C261" t="str">
        <f ca="1">IFERROR(__xludf.DUMMYFUNCTION("""COMPUTED_VALUE"""),"William McGirt")</f>
        <v>William McGirt</v>
      </c>
      <c r="D261">
        <f ca="1">IFERROR(__xludf.DUMMYFUNCTION("""COMPUTED_VALUE"""),6)</f>
        <v>6</v>
      </c>
      <c r="E261">
        <f ca="1">IFERROR(__xludf.DUMMYFUNCTION("""COMPUTED_VALUE"""),276.1)</f>
        <v>276.10000000000002</v>
      </c>
      <c r="F261" s="1">
        <f ca="1">IFERROR(__xludf.DUMMYFUNCTION("""COMPUTED_VALUE"""),23196)</f>
        <v>23196</v>
      </c>
      <c r="G261">
        <f ca="1">IFERROR(__xludf.DUMMYFUNCTION("""COMPUTED_VALUE"""),84)</f>
        <v>84</v>
      </c>
    </row>
    <row r="262" spans="1:7" ht="12.75">
      <c r="A262" t="str">
        <f ca="1">IFERROR(__xludf.DUMMYFUNCTION("""COMPUTED_VALUE"""),"T260")</f>
        <v>T260</v>
      </c>
      <c r="B262" t="str">
        <f ca="1">IFERROR(__xludf.DUMMYFUNCTION("""COMPUTED_VALUE"""),"T251")</f>
        <v>T251</v>
      </c>
      <c r="C262" t="str">
        <f ca="1">IFERROR(__xludf.DUMMYFUNCTION("""COMPUTED_VALUE"""),"Naoki Sekito")</f>
        <v>Naoki Sekito</v>
      </c>
      <c r="D262">
        <f ca="1">IFERROR(__xludf.DUMMYFUNCTION("""COMPUTED_VALUE"""),4)</f>
        <v>4</v>
      </c>
      <c r="E262">
        <f ca="1">IFERROR(__xludf.DUMMYFUNCTION("""COMPUTED_VALUE"""),276.1)</f>
        <v>276.10000000000002</v>
      </c>
      <c r="F262" s="1">
        <f ca="1">IFERROR(__xludf.DUMMYFUNCTION("""COMPUTED_VALUE"""),14360)</f>
        <v>14360</v>
      </c>
      <c r="G262">
        <f ca="1">IFERROR(__xludf.DUMMYFUNCTION("""COMPUTED_VALUE"""),52)</f>
        <v>52</v>
      </c>
    </row>
    <row r="263" spans="1:7" ht="12.75">
      <c r="A263">
        <f ca="1">IFERROR(__xludf.DUMMYFUNCTION("""COMPUTED_VALUE"""),262)</f>
        <v>262</v>
      </c>
      <c r="B263" t="str">
        <f ca="1">IFERROR(__xludf.DUMMYFUNCTION("""COMPUTED_VALUE"""),"T254")</f>
        <v>T254</v>
      </c>
      <c r="C263" t="str">
        <f ca="1">IFERROR(__xludf.DUMMYFUNCTION("""COMPUTED_VALUE"""),"Ryan Armour")</f>
        <v>Ryan Armour</v>
      </c>
      <c r="D263">
        <f ca="1">IFERROR(__xludf.DUMMYFUNCTION("""COMPUTED_VALUE"""),16)</f>
        <v>16</v>
      </c>
      <c r="E263">
        <f ca="1">IFERROR(__xludf.DUMMYFUNCTION("""COMPUTED_VALUE"""),275.9)</f>
        <v>275.89999999999998</v>
      </c>
      <c r="F263" s="1">
        <f ca="1">IFERROR(__xludf.DUMMYFUNCTION("""COMPUTED_VALUE"""),38069)</f>
        <v>38069</v>
      </c>
      <c r="G263">
        <f ca="1">IFERROR(__xludf.DUMMYFUNCTION("""COMPUTED_VALUE"""),138)</f>
        <v>138</v>
      </c>
    </row>
    <row r="264" spans="1:7" ht="12.75">
      <c r="A264">
        <f ca="1">IFERROR(__xludf.DUMMYFUNCTION("""COMPUTED_VALUE"""),263)</f>
        <v>263</v>
      </c>
      <c r="B264" t="str">
        <f ca="1">IFERROR(__xludf.DUMMYFUNCTION("""COMPUTED_VALUE"""),"T254")</f>
        <v>T254</v>
      </c>
      <c r="C264" t="str">
        <f ca="1">IFERROR(__xludf.DUMMYFUNCTION("""COMPUTED_VALUE"""),"George McNeill")</f>
        <v>George McNeill</v>
      </c>
      <c r="D264">
        <f ca="1">IFERROR(__xludf.DUMMYFUNCTION("""COMPUTED_VALUE"""),8)</f>
        <v>8</v>
      </c>
      <c r="E264">
        <f ca="1">IFERROR(__xludf.DUMMYFUNCTION("""COMPUTED_VALUE"""),275.8)</f>
        <v>275.8</v>
      </c>
      <c r="F264" s="1">
        <f ca="1">IFERROR(__xludf.DUMMYFUNCTION("""COMPUTED_VALUE"""),7722)</f>
        <v>7722</v>
      </c>
      <c r="G264">
        <f ca="1">IFERROR(__xludf.DUMMYFUNCTION("""COMPUTED_VALUE"""),28)</f>
        <v>28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IFERROR(__xludf.DUMMYFUNCTION("""COMPUTED_VALUE"""),256)</f>
        <v>256</v>
      </c>
      <c r="C265" t="str">
        <f ca="1">IFERROR(__xludf.DUMMYFUNCTION("""COMPUTED_VALUE"""),"Tim Wilkinson")</f>
        <v>Tim Wilkinson</v>
      </c>
      <c r="D265">
        <f ca="1">IFERROR(__xludf.DUMMYFUNCTION("""COMPUTED_VALUE"""),12)</f>
        <v>12</v>
      </c>
      <c r="E265">
        <f ca="1">IFERROR(__xludf.DUMMYFUNCTION("""COMPUTED_VALUE"""),273.6)</f>
        <v>273.60000000000002</v>
      </c>
      <c r="F265" s="1">
        <f ca="1">IFERROR(__xludf.DUMMYFUNCTION("""COMPUTED_VALUE"""),22986)</f>
        <v>22986</v>
      </c>
      <c r="G265">
        <f ca="1">IFERROR(__xludf.DUMMYFUNCTION("""COMPUTED_VALUE"""),84)</f>
        <v>84</v>
      </c>
    </row>
    <row r="266" spans="1:7" ht="12.75">
      <c r="A266">
        <f ca="1">IFERROR(__xludf.DUMMYFUNCTION("""COMPUTED_VALUE"""),265)</f>
        <v>265</v>
      </c>
      <c r="B266" t="str">
        <f ca="1">IFERROR(__xludf.DUMMYFUNCTION("""COMPUTED_VALUE"""),"T257")</f>
        <v>T257</v>
      </c>
      <c r="C266" t="str">
        <f ca="1">IFERROR(__xludf.DUMMYFUNCTION("""COMPUTED_VALUE"""),"Takumi Kanaya")</f>
        <v>Takumi Kanaya</v>
      </c>
      <c r="D266">
        <f ca="1">IFERROR(__xludf.DUMMYFUNCTION("""COMPUTED_VALUE"""),6)</f>
        <v>6</v>
      </c>
      <c r="E266">
        <f ca="1">IFERROR(__xludf.DUMMYFUNCTION("""COMPUTED_VALUE"""),272.7)</f>
        <v>272.7</v>
      </c>
      <c r="F266" s="1">
        <f ca="1">IFERROR(__xludf.DUMMYFUNCTION("""COMPUTED_VALUE"""),21818)</f>
        <v>21818</v>
      </c>
      <c r="G266">
        <f ca="1">IFERROR(__xludf.DUMMYFUNCTION("""COMPUTED_VALUE"""),80)</f>
        <v>80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IFERROR(__xludf.DUMMYFUNCTION("""COMPUTED_VALUE"""),259)</f>
        <v>259</v>
      </c>
      <c r="C267" t="str">
        <f ca="1">IFERROR(__xludf.DUMMYFUNCTION("""COMPUTED_VALUE"""),"Jim Furyk")</f>
        <v>Jim Furyk</v>
      </c>
      <c r="D267">
        <f ca="1">IFERROR(__xludf.DUMMYFUNCTION("""COMPUTED_VALUE"""),4)</f>
        <v>4</v>
      </c>
      <c r="E267">
        <f ca="1">IFERROR(__xludf.DUMMYFUNCTION("""COMPUTED_VALUE"""),272.3)</f>
        <v>272.3</v>
      </c>
      <c r="F267" s="1">
        <f ca="1">IFERROR(__xludf.DUMMYFUNCTION("""COMPUTED_VALUE"""),15246)</f>
        <v>15246</v>
      </c>
      <c r="G267">
        <f ca="1">IFERROR(__xludf.DUMMYFUNCTION("""COMPUTED_VALUE"""),56)</f>
        <v>56</v>
      </c>
    </row>
    <row r="268" spans="1:7" ht="12.75">
      <c r="A268" t="str">
        <f ca="1">IFERROR(__xludf.DUMMYFUNCTION("""COMPUTED_VALUE"""),"T267")</f>
        <v>T267</v>
      </c>
      <c r="B268">
        <f ca="1">IFERROR(__xludf.DUMMYFUNCTION("""COMPUTED_VALUE"""),262)</f>
        <v>262</v>
      </c>
      <c r="C268" t="str">
        <f ca="1">IFERROR(__xludf.DUMMYFUNCTION("""COMPUTED_VALUE"""),"David Hearn")</f>
        <v>David Hearn</v>
      </c>
      <c r="D268">
        <f ca="1">IFERROR(__xludf.DUMMYFUNCTION("""COMPUTED_VALUE"""),16)</f>
        <v>16</v>
      </c>
      <c r="E268">
        <f ca="1">IFERROR(__xludf.DUMMYFUNCTION("""COMPUTED_VALUE"""),271.4)</f>
        <v>271.39999999999998</v>
      </c>
      <c r="F268" s="1">
        <f ca="1">IFERROR(__xludf.DUMMYFUNCTION("""COMPUTED_VALUE"""),29857)</f>
        <v>29857</v>
      </c>
      <c r="G268">
        <f ca="1">IFERROR(__xludf.DUMMYFUNCTION("""COMPUTED_VALUE"""),110)</f>
        <v>110</v>
      </c>
    </row>
    <row r="269" spans="1:7" ht="12.75">
      <c r="A269" t="str">
        <f ca="1">IFERROR(__xludf.DUMMYFUNCTION("""COMPUTED_VALUE"""),"T267")</f>
        <v>T267</v>
      </c>
      <c r="B269">
        <f ca="1">IFERROR(__xludf.DUMMYFUNCTION("""COMPUTED_VALUE"""),261)</f>
        <v>261</v>
      </c>
      <c r="C269" t="str">
        <f ca="1">IFERROR(__xludf.DUMMYFUNCTION("""COMPUTED_VALUE"""),"Shawn Stefani")</f>
        <v>Shawn Stefani</v>
      </c>
      <c r="D269">
        <f ca="1">IFERROR(__xludf.DUMMYFUNCTION("""COMPUTED_VALUE"""),5)</f>
        <v>5</v>
      </c>
      <c r="E269">
        <f ca="1">IFERROR(__xludf.DUMMYFUNCTION("""COMPUTED_VALUE"""),271.4)</f>
        <v>271.39999999999998</v>
      </c>
      <c r="F269" s="1">
        <f ca="1">IFERROR(__xludf.DUMMYFUNCTION("""COMPUTED_VALUE"""),7599)</f>
        <v>7599</v>
      </c>
      <c r="G269">
        <f ca="1">IFERROR(__xludf.DUMMYFUNCTION("""COMPUTED_VALUE"""),28)</f>
        <v>28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IFERROR(__xludf.DUMMYFUNCTION("""COMPUTED_VALUE"""),260)</f>
        <v>260</v>
      </c>
      <c r="C270" t="str">
        <f ca="1">IFERROR(__xludf.DUMMYFUNCTION("""COMPUTED_VALUE"""),"D.A. Points")</f>
        <v>D.A. Points</v>
      </c>
      <c r="D270">
        <f ca="1">IFERROR(__xludf.DUMMYFUNCTION("""COMPUTED_VALUE"""),12)</f>
        <v>12</v>
      </c>
      <c r="E270">
        <f ca="1">IFERROR(__xludf.DUMMYFUNCTION("""COMPUTED_VALUE"""),271.3)</f>
        <v>271.3</v>
      </c>
      <c r="F270" s="1">
        <f ca="1">IFERROR(__xludf.DUMMYFUNCTION("""COMPUTED_VALUE"""),29839)</f>
        <v>29839</v>
      </c>
      <c r="G270">
        <f ca="1">IFERROR(__xludf.DUMMYFUNCTION("""COMPUTED_VALUE"""),110)</f>
        <v>110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IFERROR(__xludf.DUMMYFUNCTION("""COMPUTED_VALUE"""),"Ryo Ishikawa")</f>
        <v>Ryo Ishikawa</v>
      </c>
      <c r="D271">
        <f ca="1">IFERROR(__xludf.DUMMYFUNCTION("""COMPUTED_VALUE"""),8)</f>
        <v>8</v>
      </c>
      <c r="E271">
        <f ca="1">IFERROR(__xludf.DUMMYFUNCTION("""COMPUTED_VALUE"""),270.4)</f>
        <v>270.39999999999998</v>
      </c>
      <c r="F271" s="1">
        <f ca="1">IFERROR(__xludf.DUMMYFUNCTION("""COMPUTED_VALUE"""),29205)</f>
        <v>29205</v>
      </c>
      <c r="G271">
        <f ca="1">IFERROR(__xludf.DUMMYFUNCTION("""COMPUTED_VALUE"""),108)</f>
        <v>108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IFERROR(__xludf.DUMMYFUNCTION("""COMPUTED_VALUE"""),"Alex Cejka")</f>
        <v>Alex Cejka</v>
      </c>
      <c r="D272">
        <f ca="1">IFERROR(__xludf.DUMMYFUNCTION("""COMPUTED_VALUE"""),6)</f>
        <v>6</v>
      </c>
      <c r="E272">
        <f ca="1">IFERROR(__xludf.DUMMYFUNCTION("""COMPUTED_VALUE"""),269.4)</f>
        <v>269.39999999999998</v>
      </c>
      <c r="F272" s="1">
        <f ca="1">IFERROR(__xludf.DUMMYFUNCTION("""COMPUTED_VALUE"""),7544)</f>
        <v>7544</v>
      </c>
      <c r="G272">
        <f ca="1">IFERROR(__xludf.DUMMYFUNCTION("""COMPUTED_VALUE"""),28)</f>
        <v>28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IFERROR(__xludf.DUMMYFUNCTION("""COMPUTED_VALUE"""),"K.J. Choi")</f>
        <v>K.J. Choi</v>
      </c>
      <c r="D273">
        <f ca="1">IFERROR(__xludf.DUMMYFUNCTION("""COMPUTED_VALUE"""),6)</f>
        <v>6</v>
      </c>
      <c r="E273">
        <f ca="1">IFERROR(__xludf.DUMMYFUNCTION("""COMPUTED_VALUE"""),269)</f>
        <v>269</v>
      </c>
      <c r="F273" s="1">
        <f ca="1">IFERROR(__xludf.DUMMYFUNCTION("""COMPUTED_VALUE"""),22593)</f>
        <v>22593</v>
      </c>
      <c r="G273">
        <f ca="1">IFERROR(__xludf.DUMMYFUNCTION("""COMPUTED_VALUE"""),84)</f>
        <v>84</v>
      </c>
    </row>
    <row r="274" spans="1:7" ht="12.75">
      <c r="A274" t="str">
        <f ca="1">IFERROR(__xludf.DUMMYFUNCTION("""COMPUTED_VALUE"""),"T273")</f>
        <v>T273</v>
      </c>
      <c r="B274" t="str">
        <f ca="1">IFERROR(__xludf.DUMMYFUNCTION("""COMPUTED_VALUE"""),"T266")</f>
        <v>T266</v>
      </c>
      <c r="C274" t="str">
        <f ca="1">IFERROR(__xludf.DUMMYFUNCTION("""COMPUTED_VALUE"""),"Gunn Charoenkul")</f>
        <v>Gunn Charoenkul</v>
      </c>
      <c r="D274">
        <f ca="1">IFERROR(__xludf.DUMMYFUNCTION("""COMPUTED_VALUE"""),4)</f>
        <v>4</v>
      </c>
      <c r="E274">
        <f ca="1">IFERROR(__xludf.DUMMYFUNCTION("""COMPUTED_VALUE"""),268.7)</f>
        <v>268.7</v>
      </c>
      <c r="F274" s="1">
        <f ca="1">IFERROR(__xludf.DUMMYFUNCTION("""COMPUTED_VALUE"""),13974)</f>
        <v>13974</v>
      </c>
      <c r="G274">
        <f ca="1">IFERROR(__xludf.DUMMYFUNCTION("""COMPUTED_VALUE"""),52)</f>
        <v>52</v>
      </c>
    </row>
    <row r="275" spans="1:7" ht="12.75">
      <c r="A275" t="str">
        <f ca="1">IFERROR(__xludf.DUMMYFUNCTION("""COMPUTED_VALUE"""),"T273")</f>
        <v>T273</v>
      </c>
      <c r="B275" t="str">
        <f ca="1">IFERROR(__xludf.DUMMYFUNCTION("""COMPUTED_VALUE"""),"T266")</f>
        <v>T266</v>
      </c>
      <c r="C275" t="str">
        <f ca="1">IFERROR(__xludf.DUMMYFUNCTION("""COMPUTED_VALUE"""),"Mikumu Horikawa")</f>
        <v>Mikumu Horikawa</v>
      </c>
      <c r="D275">
        <f ca="1">IFERROR(__xludf.DUMMYFUNCTION("""COMPUTED_VALUE"""),4)</f>
        <v>4</v>
      </c>
      <c r="E275">
        <f ca="1">IFERROR(__xludf.DUMMYFUNCTION("""COMPUTED_VALUE"""),268.7)</f>
        <v>268.7</v>
      </c>
      <c r="F275" s="1">
        <f ca="1">IFERROR(__xludf.DUMMYFUNCTION("""COMPUTED_VALUE"""),13974)</f>
        <v>13974</v>
      </c>
      <c r="G275">
        <f ca="1">IFERROR(__xludf.DUMMYFUNCTION("""COMPUTED_VALUE"""),52)</f>
        <v>52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IFERROR(__xludf.DUMMYFUNCTION("""COMPUTED_VALUE"""),"Brad Kennedy")</f>
        <v>Brad Kennedy</v>
      </c>
      <c r="D276">
        <f ca="1">IFERROR(__xludf.DUMMYFUNCTION("""COMPUTED_VALUE"""),4)</f>
        <v>4</v>
      </c>
      <c r="E276">
        <f ca="1">IFERROR(__xludf.DUMMYFUNCTION("""COMPUTED_VALUE"""),264.8)</f>
        <v>264.8</v>
      </c>
      <c r="F276" s="1">
        <f ca="1">IFERROR(__xludf.DUMMYFUNCTION("""COMPUTED_VALUE"""),13770)</f>
        <v>13770</v>
      </c>
      <c r="G276">
        <f ca="1">IFERROR(__xludf.DUMMYFUNCTION("""COMPUTED_VALUE"""),52)</f>
        <v>52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IFERROR(__xludf.DUMMYFUNCTION("""COMPUTED_VALUE"""),260)</f>
        <v>260</v>
      </c>
      <c r="F277" s="1">
        <f ca="1">IFERROR(__xludf.DUMMYFUNCTION("""COMPUTED_VALUE"""),7281)</f>
        <v>7281</v>
      </c>
      <c r="G277">
        <f ca="1">IFERROR(__xludf.DUMMYFUNCTION("""COMPUTED_VALUE"""),28)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IFERROR(__xludf.DUMMYFUNCTION("importhtml(""https://www.pgatour.com/stats/stat.02341.html"",""table"",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(%)")</f>
        <v>AVG (%)</v>
      </c>
      <c r="F1" t="str">
        <f ca="1">IFERROR(__xludf.DUMMYFUNCTION("""COMPUTED_VALUE"""),"TOTAL SHOT DISTANCE")</f>
        <v>TOTAL SHOT DISTANCE</v>
      </c>
      <c r="G1" t="str">
        <f ca="1">IFERROR(__xludf.DUMMYFUNCTION("""COMPUTED_VALUE"""),"TOTAL DISTANCE")</f>
        <v>TOTAL DISTANCE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IFERROR(__xludf.DUMMYFUNCTION("""COMPUTED_VALUE"""),"Ryan Brehm")</f>
        <v>Ryan Brehm</v>
      </c>
      <c r="D2">
        <f ca="1">IFERROR(__xludf.DUMMYFUNCTION("""COMPUTED_VALUE"""),10)</f>
        <v>10</v>
      </c>
      <c r="E2">
        <f ca="1">IFERROR(__xludf.DUMMYFUNCTION("""COMPUTED_VALUE"""),69.58)</f>
        <v>69.58</v>
      </c>
      <c r="F2" s="1">
        <f ca="1">IFERROR(__xludf.DUMMYFUNCTION("""COMPUTED_VALUE"""),88329)</f>
        <v>88329</v>
      </c>
      <c r="G2" s="1">
        <f ca="1">IFERROR(__xludf.DUMMYFUNCTION("""COMPUTED_VALUE"""),12694)</f>
        <v>12694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IFERROR(__xludf.DUMMYFUNCTION("""COMPUTED_VALUE"""),"Bryson DeChambeau")</f>
        <v>Bryson DeChambeau</v>
      </c>
      <c r="D3">
        <f ca="1">IFERROR(__xludf.DUMMYFUNCTION("""COMPUTED_VALUE"""),8)</f>
        <v>8</v>
      </c>
      <c r="E3">
        <f ca="1">IFERROR(__xludf.DUMMYFUNCTION("""COMPUTED_VALUE"""),68.65)</f>
        <v>68.650000000000006</v>
      </c>
      <c r="F3" s="1">
        <f ca="1">IFERROR(__xludf.DUMMYFUNCTION("""COMPUTED_VALUE"""),361113)</f>
        <v>361113</v>
      </c>
      <c r="G3" s="1">
        <f ca="1">IFERROR(__xludf.DUMMYFUNCTION("""COMPUTED_VALUE"""),52599)</f>
        <v>52599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IFERROR(__xludf.DUMMYFUNCTION("""COMPUTED_VALUE"""),"Justin Suh")</f>
        <v>Justin Suh</v>
      </c>
      <c r="D4">
        <f ca="1">IFERROR(__xludf.DUMMYFUNCTION("""COMPUTED_VALUE"""),10)</f>
        <v>10</v>
      </c>
      <c r="E4">
        <f ca="1">IFERROR(__xludf.DUMMYFUNCTION("""COMPUTED_VALUE"""),67.76)</f>
        <v>67.760000000000005</v>
      </c>
      <c r="F4" s="1">
        <f ca="1">IFERROR(__xludf.DUMMYFUNCTION("""COMPUTED_VALUE"""),171635)</f>
        <v>171635</v>
      </c>
      <c r="G4" s="1">
        <f ca="1">IFERROR(__xludf.DUMMYFUNCTION("""COMPUTED_VALUE"""),25329)</f>
        <v>25329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IFERROR(__xludf.DUMMYFUNCTION("""COMPUTED_VALUE"""),"Joseph Bramlett")</f>
        <v>Joseph Bramlett</v>
      </c>
      <c r="D5">
        <f ca="1">IFERROR(__xludf.DUMMYFUNCTION("""COMPUTED_VALUE"""),18)</f>
        <v>18</v>
      </c>
      <c r="E5">
        <f ca="1">IFERROR(__xludf.DUMMYFUNCTION("""COMPUTED_VALUE"""),66.9)</f>
        <v>66.900000000000006</v>
      </c>
      <c r="F5" s="1">
        <f ca="1">IFERROR(__xludf.DUMMYFUNCTION("""COMPUTED_VALUE"""),428789)</f>
        <v>428789</v>
      </c>
      <c r="G5" s="1">
        <f ca="1">IFERROR(__xludf.DUMMYFUNCTION("""COMPUTED_VALUE"""),64094)</f>
        <v>64094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IFERROR(__xludf.DUMMYFUNCTION("""COMPUTED_VALUE"""),"Wyndham Clark")</f>
        <v>Wyndham Clark</v>
      </c>
      <c r="D6">
        <f ca="1">IFERROR(__xludf.DUMMYFUNCTION("""COMPUTED_VALUE"""),16)</f>
        <v>16</v>
      </c>
      <c r="E6">
        <f ca="1">IFERROR(__xludf.DUMMYFUNCTION("""COMPUTED_VALUE"""),66.88)</f>
        <v>66.88</v>
      </c>
      <c r="F6" s="1">
        <f ca="1">IFERROR(__xludf.DUMMYFUNCTION("""COMPUTED_VALUE"""),512728)</f>
        <v>512728</v>
      </c>
      <c r="G6" s="1">
        <f ca="1">IFERROR(__xludf.DUMMYFUNCTION("""COMPUTED_VALUE"""),76663)</f>
        <v>76663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IFERROR(__xludf.DUMMYFUNCTION("""COMPUTED_VALUE"""),10)</f>
        <v>10</v>
      </c>
      <c r="C7" t="str">
        <f ca="1">IFERROR(__xludf.DUMMYFUNCTION("""COMPUTED_VALUE"""),"George Markham")</f>
        <v>George Markham</v>
      </c>
      <c r="D7">
        <f ca="1">IFERROR(__xludf.DUMMYFUNCTION("""COMPUTED_VALUE"""),4)</f>
        <v>4</v>
      </c>
      <c r="E7">
        <f ca="1">IFERROR(__xludf.DUMMYFUNCTION("""COMPUTED_VALUE"""),66.52)</f>
        <v>66.52</v>
      </c>
      <c r="F7" s="1">
        <f ca="1">IFERROR(__xludf.DUMMYFUNCTION("""COMPUTED_VALUE"""),168476)</f>
        <v>168476</v>
      </c>
      <c r="G7" s="1">
        <f ca="1">IFERROR(__xludf.DUMMYFUNCTION("""COMPUTED_VALUE"""),25329)</f>
        <v>25329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IFERROR(__xludf.DUMMYFUNCTION("""COMPUTED_VALUE"""),5)</f>
        <v>5</v>
      </c>
      <c r="C8" t="str">
        <f ca="1">IFERROR(__xludf.DUMMYFUNCTION("""COMPUTED_VALUE"""),"Sam Burns")</f>
        <v>Sam Burns</v>
      </c>
      <c r="D8">
        <f ca="1">IFERROR(__xludf.DUMMYFUNCTION("""COMPUTED_VALUE"""),18)</f>
        <v>18</v>
      </c>
      <c r="E8">
        <f ca="1">IFERROR(__xludf.DUMMYFUNCTION("""COMPUTED_VALUE"""),66.43)</f>
        <v>66.430000000000007</v>
      </c>
      <c r="F8" s="1">
        <f ca="1">IFERROR(__xludf.DUMMYFUNCTION("""COMPUTED_VALUE"""),588623)</f>
        <v>588623</v>
      </c>
      <c r="G8" s="1">
        <f ca="1">IFERROR(__xludf.DUMMYFUNCTION("""COMPUTED_VALUE"""),88611)</f>
        <v>88611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IFERROR(__xludf.DUMMYFUNCTION("""COMPUTED_VALUE"""),11)</f>
        <v>11</v>
      </c>
      <c r="C9" t="str">
        <f ca="1">IFERROR(__xludf.DUMMYFUNCTION("""COMPUTED_VALUE"""),"Brandon Hagy")</f>
        <v>Brandon Hagy</v>
      </c>
      <c r="D9">
        <f ca="1">IFERROR(__xludf.DUMMYFUNCTION("""COMPUTED_VALUE"""),10)</f>
        <v>10</v>
      </c>
      <c r="E9">
        <f ca="1">IFERROR(__xludf.DUMMYFUNCTION("""COMPUTED_VALUE"""),66.33)</f>
        <v>66.33</v>
      </c>
      <c r="F9" s="1">
        <f ca="1">IFERROR(__xludf.DUMMYFUNCTION("""COMPUTED_VALUE"""),254576)</f>
        <v>254576</v>
      </c>
      <c r="G9" s="1">
        <f ca="1">IFERROR(__xludf.DUMMYFUNCTION("""COMPUTED_VALUE"""),38379)</f>
        <v>38379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IFERROR(__xludf.DUMMYFUNCTION("""COMPUTED_VALUE"""),"T14")</f>
        <v>T14</v>
      </c>
      <c r="C10" t="str">
        <f ca="1">IFERROR(__xludf.DUMMYFUNCTION("""COMPUTED_VALUE"""),"Tyler McCumber")</f>
        <v>Tyler McCumber</v>
      </c>
      <c r="D10">
        <f ca="1">IFERROR(__xludf.DUMMYFUNCTION("""COMPUTED_VALUE"""),14)</f>
        <v>14</v>
      </c>
      <c r="E10">
        <f ca="1">IFERROR(__xludf.DUMMYFUNCTION("""COMPUTED_VALUE"""),66.02)</f>
        <v>66.02</v>
      </c>
      <c r="F10" s="1">
        <f ca="1">IFERROR(__xludf.DUMMYFUNCTION("""COMPUTED_VALUE"""),339207)</f>
        <v>339207</v>
      </c>
      <c r="G10" s="1">
        <f ca="1">IFERROR(__xludf.DUMMYFUNCTION("""COMPUTED_VALUE"""),51378)</f>
        <v>51378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IFERROR(__xludf.DUMMYFUNCTION("""COMPUTED_VALUE"""),7)</f>
        <v>7</v>
      </c>
      <c r="C11" t="str">
        <f ca="1">IFERROR(__xludf.DUMMYFUNCTION("""COMPUTED_VALUE"""),"Beau Hossler")</f>
        <v>Beau Hossler</v>
      </c>
      <c r="D11">
        <f ca="1">IFERROR(__xludf.DUMMYFUNCTION("""COMPUTED_VALUE"""),22)</f>
        <v>22</v>
      </c>
      <c r="E11">
        <f ca="1">IFERROR(__xludf.DUMMYFUNCTION("""COMPUTED_VALUE"""),66)</f>
        <v>66</v>
      </c>
      <c r="F11" s="1">
        <f ca="1">IFERROR(__xludf.DUMMYFUNCTION("""COMPUTED_VALUE"""),589577)</f>
        <v>589577</v>
      </c>
      <c r="G11" s="1">
        <f ca="1">IFERROR(__xludf.DUMMYFUNCTION("""COMPUTED_VALUE"""),89328)</f>
        <v>89328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IFERROR(__xludf.DUMMYFUNCTION("""COMPUTED_VALUE"""),"Luke List")</f>
        <v>Luke List</v>
      </c>
      <c r="D12">
        <f ca="1">IFERROR(__xludf.DUMMYFUNCTION("""COMPUTED_VALUE"""),18)</f>
        <v>18</v>
      </c>
      <c r="E12">
        <f ca="1">IFERROR(__xludf.DUMMYFUNCTION("""COMPUTED_VALUE"""),65.86)</f>
        <v>65.86</v>
      </c>
      <c r="F12" s="1">
        <f ca="1">IFERROR(__xludf.DUMMYFUNCTION("""COMPUTED_VALUE"""),418582)</f>
        <v>418582</v>
      </c>
      <c r="G12" s="1">
        <f ca="1">IFERROR(__xludf.DUMMYFUNCTION("""COMPUTED_VALUE"""),63561)</f>
        <v>63561</v>
      </c>
    </row>
    <row r="13" spans="1:7" ht="15.75" customHeight="1">
      <c r="A13" t="str">
        <f ca="1">IFERROR(__xludf.DUMMYFUNCTION("""COMPUTED_VALUE"""),"T12")</f>
        <v>T12</v>
      </c>
      <c r="B13">
        <f ca="1">IFERROR(__xludf.DUMMYFUNCTION("""COMPUTED_VALUE"""),12)</f>
        <v>12</v>
      </c>
      <c r="C13" t="str">
        <f ca="1">IFERROR(__xludf.DUMMYFUNCTION("""COMPUTED_VALUE"""),"Cameron Davis")</f>
        <v>Cameron Davis</v>
      </c>
      <c r="D13">
        <f ca="1">IFERROR(__xludf.DUMMYFUNCTION("""COMPUTED_VALUE"""),16)</f>
        <v>16</v>
      </c>
      <c r="E13">
        <f ca="1">IFERROR(__xludf.DUMMYFUNCTION("""COMPUTED_VALUE"""),65.77)</f>
        <v>65.77</v>
      </c>
      <c r="F13" s="1">
        <f ca="1">IFERROR(__xludf.DUMMYFUNCTION("""COMPUTED_VALUE"""),668606)</f>
        <v>668606</v>
      </c>
      <c r="G13" s="1">
        <f ca="1">IFERROR(__xludf.DUMMYFUNCTION("""COMPUTED_VALUE"""),101662)</f>
        <v>101662</v>
      </c>
    </row>
    <row r="14" spans="1:7" ht="15.75" customHeight="1">
      <c r="A14" t="str">
        <f ca="1">IFERROR(__xludf.DUMMYFUNCTION("""COMPUTED_VALUE"""),"T12")</f>
        <v>T12</v>
      </c>
      <c r="B14" t="str">
        <f ca="1">IFERROR(__xludf.DUMMYFUNCTION("""COMPUTED_VALUE"""),"T14")</f>
        <v>T14</v>
      </c>
      <c r="C14" t="str">
        <f ca="1">IFERROR(__xludf.DUMMYFUNCTION("""COMPUTED_VALUE"""),"Will Gordon")</f>
        <v>Will Gordon</v>
      </c>
      <c r="D14">
        <f ca="1">IFERROR(__xludf.DUMMYFUNCTION("""COMPUTED_VALUE"""),20)</f>
        <v>20</v>
      </c>
      <c r="E14">
        <f ca="1">IFERROR(__xludf.DUMMYFUNCTION("""COMPUTED_VALUE"""),65.77)</f>
        <v>65.77</v>
      </c>
      <c r="F14" s="1">
        <f ca="1">IFERROR(__xludf.DUMMYFUNCTION("""COMPUTED_VALUE"""),585041)</f>
        <v>585041</v>
      </c>
      <c r="G14" s="1">
        <f ca="1">IFERROR(__xludf.DUMMYFUNCTION("""COMPUTED_VALUE"""),88946)</f>
        <v>88946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IFERROR(__xludf.DUMMYFUNCTION("""COMPUTED_VALUE"""),9)</f>
        <v>9</v>
      </c>
      <c r="C15" t="str">
        <f ca="1">IFERROR(__xludf.DUMMYFUNCTION("""COMPUTED_VALUE"""),"Patrick Rodgers")</f>
        <v>Patrick Rodgers</v>
      </c>
      <c r="D15">
        <f ca="1">IFERROR(__xludf.DUMMYFUNCTION("""COMPUTED_VALUE"""),18)</f>
        <v>18</v>
      </c>
      <c r="E15">
        <f ca="1">IFERROR(__xludf.DUMMYFUNCTION("""COMPUTED_VALUE"""),65.74)</f>
        <v>65.739999999999995</v>
      </c>
      <c r="F15" s="1">
        <f ca="1">IFERROR(__xludf.DUMMYFUNCTION("""COMPUTED_VALUE"""),417858)</f>
        <v>417858</v>
      </c>
      <c r="G15" s="1">
        <f ca="1">IFERROR(__xludf.DUMMYFUNCTION("""COMPUTED_VALUE"""),63561)</f>
        <v>63561</v>
      </c>
    </row>
    <row r="16" spans="1:7" ht="15.75" customHeight="1">
      <c r="A16">
        <f ca="1">IFERROR(__xludf.DUMMYFUNCTION("""COMPUTED_VALUE"""),15)</f>
        <v>15</v>
      </c>
      <c r="B16" t="str">
        <f ca="1">IFERROR(__xludf.DUMMYFUNCTION("""COMPUTED_VALUE"""),"T18")</f>
        <v>T18</v>
      </c>
      <c r="C16" t="str">
        <f ca="1">IFERROR(__xludf.DUMMYFUNCTION("""COMPUTED_VALUE"""),"Sergio Garcia")</f>
        <v>Sergio Garcia</v>
      </c>
      <c r="D16">
        <f ca="1">IFERROR(__xludf.DUMMYFUNCTION("""COMPUTED_VALUE"""),18)</f>
        <v>18</v>
      </c>
      <c r="E16">
        <f ca="1">IFERROR(__xludf.DUMMYFUNCTION("""COMPUTED_VALUE"""),65.67)</f>
        <v>65.67</v>
      </c>
      <c r="F16" s="1">
        <f ca="1">IFERROR(__xludf.DUMMYFUNCTION("""COMPUTED_VALUE"""),766958)</f>
        <v>766958</v>
      </c>
      <c r="G16" s="1">
        <f ca="1">IFERROR(__xludf.DUMMYFUNCTION("""COMPUTED_VALUE"""),116781)</f>
        <v>116781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IFERROR(__xludf.DUMMYFUNCTION("""COMPUTED_VALUE"""),20)</f>
        <v>20</v>
      </c>
      <c r="C17" t="str">
        <f ca="1">IFERROR(__xludf.DUMMYFUNCTION("""COMPUTED_VALUE"""),"MJ Daffue")</f>
        <v>MJ Daffue</v>
      </c>
      <c r="D17">
        <f ca="1">IFERROR(__xludf.DUMMYFUNCTION("""COMPUTED_VALUE"""),10)</f>
        <v>10</v>
      </c>
      <c r="E17">
        <f ca="1">IFERROR(__xludf.DUMMYFUNCTION("""COMPUTED_VALUE"""),65.6)</f>
        <v>65.599999999999994</v>
      </c>
      <c r="F17" s="1">
        <f ca="1">IFERROR(__xludf.DUMMYFUNCTION("""COMPUTED_VALUE"""),420121)</f>
        <v>420121</v>
      </c>
      <c r="G17" s="1">
        <f ca="1">IFERROR(__xludf.DUMMYFUNCTION("""COMPUTED_VALUE"""),64043)</f>
        <v>64043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IFERROR(__xludf.DUMMYFUNCTION("""COMPUTED_VALUE"""),17)</f>
        <v>17</v>
      </c>
      <c r="C18" t="str">
        <f ca="1">IFERROR(__xludf.DUMMYFUNCTION("""COMPUTED_VALUE"""),"Stewart Cink")</f>
        <v>Stewart Cink</v>
      </c>
      <c r="D18">
        <f ca="1">IFERROR(__xludf.DUMMYFUNCTION("""COMPUTED_VALUE"""),18)</f>
        <v>18</v>
      </c>
      <c r="E18">
        <f ca="1">IFERROR(__xludf.DUMMYFUNCTION("""COMPUTED_VALUE"""),65.54)</f>
        <v>65.540000000000006</v>
      </c>
      <c r="F18" s="1">
        <f ca="1">IFERROR(__xludf.DUMMYFUNCTION("""COMPUTED_VALUE"""),585466)</f>
        <v>585466</v>
      </c>
      <c r="G18" s="1">
        <f ca="1">IFERROR(__xludf.DUMMYFUNCTION("""COMPUTED_VALUE"""),89328)</f>
        <v>89328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IFERROR(__xludf.DUMMYFUNCTION("""COMPUTED_VALUE"""),"J.B. Holmes")</f>
        <v>J.B. Holmes</v>
      </c>
      <c r="D19">
        <f ca="1">IFERROR(__xludf.DUMMYFUNCTION("""COMPUTED_VALUE"""),10)</f>
        <v>10</v>
      </c>
      <c r="E19">
        <f ca="1">IFERROR(__xludf.DUMMYFUNCTION("""COMPUTED_VALUE"""),65.44)</f>
        <v>65.44</v>
      </c>
      <c r="F19" s="1">
        <f ca="1">IFERROR(__xludf.DUMMYFUNCTION("""COMPUTED_VALUE"""),419081)</f>
        <v>419081</v>
      </c>
      <c r="G19" s="1">
        <f ca="1">IFERROR(__xludf.DUMMYFUNCTION("""COMPUTED_VALUE"""),64043)</f>
        <v>64043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IFERROR(__xludf.DUMMYFUNCTION("""COMPUTED_VALUE"""),8)</f>
        <v>8</v>
      </c>
      <c r="C20" t="str">
        <f ca="1">IFERROR(__xludf.DUMMYFUNCTION("""COMPUTED_VALUE"""),"Keith Mitchell")</f>
        <v>Keith Mitchell</v>
      </c>
      <c r="D20">
        <f ca="1">IFERROR(__xludf.DUMMYFUNCTION("""COMPUTED_VALUE"""),14)</f>
        <v>14</v>
      </c>
      <c r="E20">
        <f ca="1">IFERROR(__xludf.DUMMYFUNCTION("""COMPUTED_VALUE"""),65.39)</f>
        <v>65.39</v>
      </c>
      <c r="F20" s="1">
        <f ca="1">IFERROR(__xludf.DUMMYFUNCTION("""COMPUTED_VALUE"""),249794)</f>
        <v>249794</v>
      </c>
      <c r="G20" s="1">
        <f ca="1">IFERROR(__xludf.DUMMYFUNCTION("""COMPUTED_VALUE"""),38202)</f>
        <v>38202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IFERROR(__xludf.DUMMYFUNCTION("""COMPUTED_VALUE"""),21)</f>
        <v>21</v>
      </c>
      <c r="C21" t="str">
        <f ca="1">IFERROR(__xludf.DUMMYFUNCTION("""COMPUTED_VALUE"""),"Dylan Frittelli")</f>
        <v>Dylan Frittelli</v>
      </c>
      <c r="D21">
        <f ca="1">IFERROR(__xludf.DUMMYFUNCTION("""COMPUTED_VALUE"""),16)</f>
        <v>16</v>
      </c>
      <c r="E21">
        <f ca="1">IFERROR(__xludf.DUMMYFUNCTION("""COMPUTED_VALUE"""),65.32)</f>
        <v>65.319999999999993</v>
      </c>
      <c r="F21" s="1">
        <f ca="1">IFERROR(__xludf.DUMMYFUNCTION("""COMPUTED_VALUE"""),662567)</f>
        <v>662567</v>
      </c>
      <c r="G21" s="1">
        <f ca="1">IFERROR(__xludf.DUMMYFUNCTION("""COMPUTED_VALUE"""),101429)</f>
        <v>101429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IFERROR(__xludf.DUMMYFUNCTION("""COMPUTED_VALUE"""),16)</f>
        <v>16</v>
      </c>
      <c r="C22" t="str">
        <f ca="1">IFERROR(__xludf.DUMMYFUNCTION("""COMPUTED_VALUE"""),"Charley Hoffman")</f>
        <v>Charley Hoffman</v>
      </c>
      <c r="D22">
        <f ca="1">IFERROR(__xludf.DUMMYFUNCTION("""COMPUTED_VALUE"""),20)</f>
        <v>20</v>
      </c>
      <c r="E22">
        <f ca="1">IFERROR(__xludf.DUMMYFUNCTION("""COMPUTED_VALUE"""),65.26)</f>
        <v>65.260000000000005</v>
      </c>
      <c r="F22" s="1">
        <f ca="1">IFERROR(__xludf.DUMMYFUNCTION("""COMPUTED_VALUE"""),580463)</f>
        <v>580463</v>
      </c>
      <c r="G22" s="1">
        <f ca="1">IFERROR(__xludf.DUMMYFUNCTION("""COMPUTED_VALUE"""),88946)</f>
        <v>88946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IFERROR(__xludf.DUMMYFUNCTION("""COMPUTED_VALUE"""),"T29")</f>
        <v>T29</v>
      </c>
      <c r="C23" t="str">
        <f ca="1">IFERROR(__xludf.DUMMYFUNCTION("""COMPUTED_VALUE"""),"Will Zalatoris")</f>
        <v>Will Zalatoris</v>
      </c>
      <c r="D23">
        <f ca="1">IFERROR(__xludf.DUMMYFUNCTION("""COMPUTED_VALUE"""),18)</f>
        <v>18</v>
      </c>
      <c r="E23">
        <f ca="1">IFERROR(__xludf.DUMMYFUNCTION("""COMPUTED_VALUE"""),65.22)</f>
        <v>65.22</v>
      </c>
      <c r="F23" s="1">
        <f ca="1">IFERROR(__xludf.DUMMYFUNCTION("""COMPUTED_VALUE"""),427943)</f>
        <v>427943</v>
      </c>
      <c r="G23" s="1">
        <f ca="1">IFERROR(__xludf.DUMMYFUNCTION("""COMPUTED_VALUE"""),65619)</f>
        <v>65619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IFERROR(__xludf.DUMMYFUNCTION("""COMPUTED_VALUE"""),32)</f>
        <v>32</v>
      </c>
      <c r="C24" t="str">
        <f ca="1">IFERROR(__xludf.DUMMYFUNCTION("""COMPUTED_VALUE"""),"Michael Gligic")</f>
        <v>Michael Gligic</v>
      </c>
      <c r="D24">
        <f ca="1">IFERROR(__xludf.DUMMYFUNCTION("""COMPUTED_VALUE"""),18)</f>
        <v>18</v>
      </c>
      <c r="E24">
        <f ca="1">IFERROR(__xludf.DUMMYFUNCTION("""COMPUTED_VALUE"""),65.17)</f>
        <v>65.17</v>
      </c>
      <c r="F24" s="1">
        <f ca="1">IFERROR(__xludf.DUMMYFUNCTION("""COMPUTED_VALUE"""),500216)</f>
        <v>500216</v>
      </c>
      <c r="G24" s="1">
        <f ca="1">IFERROR(__xludf.DUMMYFUNCTION("""COMPUTED_VALUE"""),76759)</f>
        <v>76759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IFERROR(__xludf.DUMMYFUNCTION("""COMPUTED_VALUE"""),26)</f>
        <v>26</v>
      </c>
      <c r="C25" t="str">
        <f ca="1">IFERROR(__xludf.DUMMYFUNCTION("""COMPUTED_VALUE"""),"Graham DeLaet")</f>
        <v>Graham DeLaet</v>
      </c>
      <c r="D25">
        <f ca="1">IFERROR(__xludf.DUMMYFUNCTION("""COMPUTED_VALUE"""),9)</f>
        <v>9</v>
      </c>
      <c r="E25">
        <f ca="1">IFERROR(__xludf.DUMMYFUNCTION("""COMPUTED_VALUE"""),64.98)</f>
        <v>64.98</v>
      </c>
      <c r="F25" s="1">
        <f ca="1">IFERROR(__xludf.DUMMYFUNCTION("""COMPUTED_VALUE"""),205208)</f>
        <v>205208</v>
      </c>
      <c r="G25" s="1">
        <f ca="1">IFERROR(__xludf.DUMMYFUNCTION("""COMPUTED_VALUE"""),31578)</f>
        <v>31578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IFERROR(__xludf.DUMMYFUNCTION("""COMPUTED_VALUE"""),"T18")</f>
        <v>T18</v>
      </c>
      <c r="C26" t="str">
        <f ca="1">IFERROR(__xludf.DUMMYFUNCTION("""COMPUTED_VALUE"""),"Sepp Straka")</f>
        <v>Sepp Straka</v>
      </c>
      <c r="D26">
        <f ca="1">IFERROR(__xludf.DUMMYFUNCTION("""COMPUTED_VALUE"""),22)</f>
        <v>22</v>
      </c>
      <c r="E26">
        <f ca="1">IFERROR(__xludf.DUMMYFUNCTION("""COMPUTED_VALUE"""),64.91)</f>
        <v>64.91</v>
      </c>
      <c r="F26" s="1">
        <f ca="1">IFERROR(__xludf.DUMMYFUNCTION("""COMPUTED_VALUE"""),575205)</f>
        <v>575205</v>
      </c>
      <c r="G26" s="1">
        <f ca="1">IFERROR(__xludf.DUMMYFUNCTION("""COMPUTED_VALUE"""),88611)</f>
        <v>88611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IFERROR(__xludf.DUMMYFUNCTION("""COMPUTED_VALUE"""),35)</f>
        <v>35</v>
      </c>
      <c r="C27" t="str">
        <f ca="1">IFERROR(__xludf.DUMMYFUNCTION("""COMPUTED_VALUE"""),"Brian Gay")</f>
        <v>Brian Gay</v>
      </c>
      <c r="D27">
        <f ca="1">IFERROR(__xludf.DUMMYFUNCTION("""COMPUTED_VALUE"""),8)</f>
        <v>8</v>
      </c>
      <c r="E27">
        <f ca="1">IFERROR(__xludf.DUMMYFUNCTION("""COMPUTED_VALUE"""),64.88)</f>
        <v>64.88</v>
      </c>
      <c r="F27" s="1">
        <f ca="1">IFERROR(__xludf.DUMMYFUNCTION("""COMPUTED_VALUE"""),164183)</f>
        <v>164183</v>
      </c>
      <c r="G27" s="1">
        <f ca="1">IFERROR(__xludf.DUMMYFUNCTION("""COMPUTED_VALUE"""),25307)</f>
        <v>25307</v>
      </c>
    </row>
    <row r="28" spans="1:7" ht="15.75" customHeight="1">
      <c r="A28" t="str">
        <f ca="1">IFERROR(__xludf.DUMMYFUNCTION("""COMPUTED_VALUE"""),"T27")</f>
        <v>T27</v>
      </c>
      <c r="B28" t="str">
        <f ca="1">IFERROR(__xludf.DUMMYFUNCTION("""COMPUTED_VALUE"""),"T24")</f>
        <v>T24</v>
      </c>
      <c r="C28" t="str">
        <f ca="1">IFERROR(__xludf.DUMMYFUNCTION("""COMPUTED_VALUE"""),"Scott Harrington")</f>
        <v>Scott Harrington</v>
      </c>
      <c r="D28">
        <f ca="1">IFERROR(__xludf.DUMMYFUNCTION("""COMPUTED_VALUE"""),18)</f>
        <v>18</v>
      </c>
      <c r="E28">
        <f ca="1">IFERROR(__xludf.DUMMYFUNCTION("""COMPUTED_VALUE"""),64.72)</f>
        <v>64.72</v>
      </c>
      <c r="F28" s="1">
        <f ca="1">IFERROR(__xludf.DUMMYFUNCTION("""COMPUTED_VALUE"""),491230)</f>
        <v>491230</v>
      </c>
      <c r="G28" s="1">
        <f ca="1">IFERROR(__xludf.DUMMYFUNCTION("""COMPUTED_VALUE"""),75895)</f>
        <v>75895</v>
      </c>
    </row>
    <row r="29" spans="1:7" ht="15.75" customHeight="1">
      <c r="A29" t="str">
        <f ca="1">IFERROR(__xludf.DUMMYFUNCTION("""COMPUTED_VALUE"""),"T27")</f>
        <v>T27</v>
      </c>
      <c r="B29">
        <f ca="1">IFERROR(__xludf.DUMMYFUNCTION("""COMPUTED_VALUE"""),37)</f>
        <v>37</v>
      </c>
      <c r="C29" t="str">
        <f ca="1">IFERROR(__xludf.DUMMYFUNCTION("""COMPUTED_VALUE"""),"Peter Malnati")</f>
        <v>Peter Malnati</v>
      </c>
      <c r="D29">
        <f ca="1">IFERROR(__xludf.DUMMYFUNCTION("""COMPUTED_VALUE"""),18)</f>
        <v>18</v>
      </c>
      <c r="E29">
        <f ca="1">IFERROR(__xludf.DUMMYFUNCTION("""COMPUTED_VALUE"""),64.72)</f>
        <v>64.72</v>
      </c>
      <c r="F29" s="1">
        <f ca="1">IFERROR(__xludf.DUMMYFUNCTION("""COMPUTED_VALUE"""),414847)</f>
        <v>414847</v>
      </c>
      <c r="G29" s="1">
        <f ca="1">IFERROR(__xludf.DUMMYFUNCTION("""COMPUTED_VALUE"""),64094)</f>
        <v>64094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IFERROR(__xludf.DUMMYFUNCTION("""COMPUTED_VALUE"""),27)</f>
        <v>27</v>
      </c>
      <c r="C30" t="str">
        <f ca="1">IFERROR(__xludf.DUMMYFUNCTION("""COMPUTED_VALUE"""),"Kristoffer Ventura")</f>
        <v>Kristoffer Ventura</v>
      </c>
      <c r="D30">
        <f ca="1">IFERROR(__xludf.DUMMYFUNCTION("""COMPUTED_VALUE"""),20)</f>
        <v>20</v>
      </c>
      <c r="E30">
        <f ca="1">IFERROR(__xludf.DUMMYFUNCTION("""COMPUTED_VALUE"""),64.7)</f>
        <v>64.7</v>
      </c>
      <c r="F30" s="1">
        <f ca="1">IFERROR(__xludf.DUMMYFUNCTION("""COMPUTED_VALUE"""),575485)</f>
        <v>575485</v>
      </c>
      <c r="G30" s="1">
        <f ca="1">IFERROR(__xludf.DUMMYFUNCTION("""COMPUTED_VALUE"""),88946)</f>
        <v>88946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IFERROR(__xludf.DUMMYFUNCTION("""COMPUTED_VALUE"""),39)</f>
        <v>39</v>
      </c>
      <c r="C31" t="str">
        <f ca="1">IFERROR(__xludf.DUMMYFUNCTION("""COMPUTED_VALUE"""),"Zack Sucher")</f>
        <v>Zack Sucher</v>
      </c>
      <c r="D31">
        <f ca="1">IFERROR(__xludf.DUMMYFUNCTION("""COMPUTED_VALUE"""),6)</f>
        <v>6</v>
      </c>
      <c r="E31">
        <f ca="1">IFERROR(__xludf.DUMMYFUNCTION("""COMPUTED_VALUE"""),64.67)</f>
        <v>64.67</v>
      </c>
      <c r="F31" s="1">
        <f ca="1">IFERROR(__xludf.DUMMYFUNCTION("""COMPUTED_VALUE"""),82094)</f>
        <v>82094</v>
      </c>
      <c r="G31" s="1">
        <f ca="1">IFERROR(__xludf.DUMMYFUNCTION("""COMPUTED_VALUE"""),12694)</f>
        <v>12694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IFERROR(__xludf.DUMMYFUNCTION("""COMPUTED_VALUE"""),42)</f>
        <v>42</v>
      </c>
      <c r="C32" t="str">
        <f ca="1">IFERROR(__xludf.DUMMYFUNCTION("""COMPUTED_VALUE"""),"Joaquin Niemann")</f>
        <v>Joaquin Niemann</v>
      </c>
      <c r="D32">
        <f ca="1">IFERROR(__xludf.DUMMYFUNCTION("""COMPUTED_VALUE"""),16)</f>
        <v>16</v>
      </c>
      <c r="E32">
        <f ca="1">IFERROR(__xludf.DUMMYFUNCTION("""COMPUTED_VALUE"""),64.62)</f>
        <v>64.62</v>
      </c>
      <c r="F32" s="1">
        <f ca="1">IFERROR(__xludf.DUMMYFUNCTION("""COMPUTED_VALUE"""),666331)</f>
        <v>666331</v>
      </c>
      <c r="G32" s="1">
        <f ca="1">IFERROR(__xludf.DUMMYFUNCTION("""COMPUTED_VALUE"""),103110)</f>
        <v>103110</v>
      </c>
    </row>
    <row r="33" spans="1:7" ht="12.75">
      <c r="A33">
        <f ca="1">IFERROR(__xludf.DUMMYFUNCTION("""COMPUTED_VALUE"""),32)</f>
        <v>32</v>
      </c>
      <c r="B33" t="str">
        <f ca="1">IFERROR(__xludf.DUMMYFUNCTION("""COMPUTED_VALUE"""),"T44")</f>
        <v>T44</v>
      </c>
      <c r="C33" t="str">
        <f ca="1">IFERROR(__xludf.DUMMYFUNCTION("""COMPUTED_VALUE"""),"Cameron Champ")</f>
        <v>Cameron Champ</v>
      </c>
      <c r="D33">
        <f ca="1">IFERROR(__xludf.DUMMYFUNCTION("""COMPUTED_VALUE"""),12)</f>
        <v>12</v>
      </c>
      <c r="E33">
        <f ca="1">IFERROR(__xludf.DUMMYFUNCTION("""COMPUTED_VALUE"""),64.56)</f>
        <v>64.56</v>
      </c>
      <c r="F33" s="1">
        <f ca="1">IFERROR(__xludf.DUMMYFUNCTION("""COMPUTED_VALUE"""),495609)</f>
        <v>495609</v>
      </c>
      <c r="G33" s="1">
        <f ca="1">IFERROR(__xludf.DUMMYFUNCTION("""COMPUTED_VALUE"""),76762)</f>
        <v>76762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IFERROR(__xludf.DUMMYFUNCTION("""COMPUTED_VALUE"""),22)</f>
        <v>22</v>
      </c>
      <c r="C34" t="str">
        <f ca="1">IFERROR(__xludf.DUMMYFUNCTION("""COMPUTED_VALUE"""),"Martin Trainer")</f>
        <v>Martin Trainer</v>
      </c>
      <c r="D34">
        <f ca="1">IFERROR(__xludf.DUMMYFUNCTION("""COMPUTED_VALUE"""),10)</f>
        <v>10</v>
      </c>
      <c r="E34">
        <f ca="1">IFERROR(__xludf.DUMMYFUNCTION("""COMPUTED_VALUE"""),64.5)</f>
        <v>64.5</v>
      </c>
      <c r="F34" s="1">
        <f ca="1">IFERROR(__xludf.DUMMYFUNCTION("""COMPUTED_VALUE"""),328258)</f>
        <v>328258</v>
      </c>
      <c r="G34" s="1">
        <f ca="1">IFERROR(__xludf.DUMMYFUNCTION("""COMPUTED_VALUE"""),50896)</f>
        <v>50896</v>
      </c>
    </row>
    <row r="35" spans="1:7" ht="12.75">
      <c r="A35" t="str">
        <f ca="1">IFERROR(__xludf.DUMMYFUNCTION("""COMPUTED_VALUE"""),"T34")</f>
        <v>T34</v>
      </c>
      <c r="B35">
        <f ca="1">IFERROR(__xludf.DUMMYFUNCTION("""COMPUTED_VALUE"""),33)</f>
        <v>33</v>
      </c>
      <c r="C35" t="str">
        <f ca="1">IFERROR(__xludf.DUMMYFUNCTION("""COMPUTED_VALUE"""),"Aaron Wise")</f>
        <v>Aaron Wise</v>
      </c>
      <c r="D35">
        <f ca="1">IFERROR(__xludf.DUMMYFUNCTION("""COMPUTED_VALUE"""),16)</f>
        <v>16</v>
      </c>
      <c r="E35">
        <f ca="1">IFERROR(__xludf.DUMMYFUNCTION("""COMPUTED_VALUE"""),64.43)</f>
        <v>64.430000000000007</v>
      </c>
      <c r="F35" s="1">
        <f ca="1">IFERROR(__xludf.DUMMYFUNCTION("""COMPUTED_VALUE"""),491466)</f>
        <v>491466</v>
      </c>
      <c r="G35" s="1">
        <f ca="1">IFERROR(__xludf.DUMMYFUNCTION("""COMPUTED_VALUE"""),76281)</f>
        <v>76281</v>
      </c>
    </row>
    <row r="36" spans="1:7" ht="12.75">
      <c r="A36" t="str">
        <f ca="1">IFERROR(__xludf.DUMMYFUNCTION("""COMPUTED_VALUE"""),"T34")</f>
        <v>T34</v>
      </c>
      <c r="B36">
        <f ca="1">IFERROR(__xludf.DUMMYFUNCTION("""COMPUTED_VALUE"""),31)</f>
        <v>31</v>
      </c>
      <c r="C36" t="str">
        <f ca="1">IFERROR(__xludf.DUMMYFUNCTION("""COMPUTED_VALUE"""),"Kevin Tway")</f>
        <v>Kevin Tway</v>
      </c>
      <c r="D36">
        <f ca="1">IFERROR(__xludf.DUMMYFUNCTION("""COMPUTED_VALUE"""),16)</f>
        <v>16</v>
      </c>
      <c r="E36">
        <f ca="1">IFERROR(__xludf.DUMMYFUNCTION("""COMPUTED_VALUE"""),64.43)</f>
        <v>64.430000000000007</v>
      </c>
      <c r="F36" s="1">
        <f ca="1">IFERROR(__xludf.DUMMYFUNCTION("""COMPUTED_VALUE"""),327907)</f>
        <v>327907</v>
      </c>
      <c r="G36" s="1">
        <f ca="1">IFERROR(__xludf.DUMMYFUNCTION("""COMPUTED_VALUE"""),50896)</f>
        <v>50896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IFERROR(__xludf.DUMMYFUNCTION("""COMPUTED_VALUE"""),36)</f>
        <v>36</v>
      </c>
      <c r="C37" t="str">
        <f ca="1">IFERROR(__xludf.DUMMYFUNCTION("""COMPUTED_VALUE"""),"Brooks Koepka")</f>
        <v>Brooks Koepka</v>
      </c>
      <c r="D37">
        <f ca="1">IFERROR(__xludf.DUMMYFUNCTION("""COMPUTED_VALUE"""),8)</f>
        <v>8</v>
      </c>
      <c r="E37">
        <f ca="1">IFERROR(__xludf.DUMMYFUNCTION("""COMPUTED_VALUE"""),64.42)</f>
        <v>64.42</v>
      </c>
      <c r="F37" s="1">
        <f ca="1">IFERROR(__xludf.DUMMYFUNCTION("""COMPUTED_VALUE"""),330995)</f>
        <v>330995</v>
      </c>
      <c r="G37" s="1">
        <f ca="1">IFERROR(__xludf.DUMMYFUNCTION("""COMPUTED_VALUE"""),51383)</f>
        <v>51383</v>
      </c>
    </row>
    <row r="38" spans="1:7" ht="12.75">
      <c r="A38">
        <f ca="1">IFERROR(__xludf.DUMMYFUNCTION("""COMPUTED_VALUE"""),37)</f>
        <v>37</v>
      </c>
      <c r="B38" t="str">
        <f ca="1">IFERROR(__xludf.DUMMYFUNCTION("""COMPUTED_VALUE"""),"")</f>
        <v/>
      </c>
      <c r="C38" t="str">
        <f ca="1">IFERROR(__xludf.DUMMYFUNCTION("""COMPUTED_VALUE"""),"Erik Barnes")</f>
        <v>Erik Barnes</v>
      </c>
      <c r="D38">
        <f ca="1">IFERROR(__xludf.DUMMYFUNCTION("""COMPUTED_VALUE"""),4)</f>
        <v>4</v>
      </c>
      <c r="E38">
        <f ca="1">IFERROR(__xludf.DUMMYFUNCTION("""COMPUTED_VALUE"""),64.33)</f>
        <v>64.33</v>
      </c>
      <c r="F38" s="1">
        <f ca="1">IFERROR(__xludf.DUMMYFUNCTION("""COMPUTED_VALUE"""),160207)</f>
        <v>160207</v>
      </c>
      <c r="G38" s="1">
        <f ca="1">IFERROR(__xludf.DUMMYFUNCTION("""COMPUTED_VALUE"""),24903)</f>
        <v>24903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IFERROR(__xludf.DUMMYFUNCTION("""COMPUTED_VALUE"""),50)</f>
        <v>50</v>
      </c>
      <c r="C39" t="str">
        <f ca="1">IFERROR(__xludf.DUMMYFUNCTION("""COMPUTED_VALUE"""),"Jhonattan Vegas")</f>
        <v>Jhonattan Vegas</v>
      </c>
      <c r="D39">
        <f ca="1">IFERROR(__xludf.DUMMYFUNCTION("""COMPUTED_VALUE"""),16)</f>
        <v>16</v>
      </c>
      <c r="E39">
        <f ca="1">IFERROR(__xludf.DUMMYFUNCTION("""COMPUTED_VALUE"""),64.32)</f>
        <v>64.319999999999993</v>
      </c>
      <c r="F39" s="1">
        <f ca="1">IFERROR(__xludf.DUMMYFUNCTION("""COMPUTED_VALUE"""),407011)</f>
        <v>407011</v>
      </c>
      <c r="G39" s="1">
        <f ca="1">IFERROR(__xludf.DUMMYFUNCTION("""COMPUTED_VALUE"""),63282)</f>
        <v>63282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IFERROR(__xludf.DUMMYFUNCTION("""COMPUTED_VALUE"""),48)</f>
        <v>48</v>
      </c>
      <c r="C40" t="str">
        <f ca="1">IFERROR(__xludf.DUMMYFUNCTION("""COMPUTED_VALUE"""),"Maverick McNealy")</f>
        <v>Maverick McNealy</v>
      </c>
      <c r="D40">
        <f ca="1">IFERROR(__xludf.DUMMYFUNCTION("""COMPUTED_VALUE"""),16)</f>
        <v>16</v>
      </c>
      <c r="E40">
        <f ca="1">IFERROR(__xludf.DUMMYFUNCTION("""COMPUTED_VALUE"""),64.25)</f>
        <v>64.25</v>
      </c>
      <c r="F40" s="1">
        <f ca="1">IFERROR(__xludf.DUMMYFUNCTION("""COMPUTED_VALUE"""),490129)</f>
        <v>490129</v>
      </c>
      <c r="G40" s="1">
        <f ca="1">IFERROR(__xludf.DUMMYFUNCTION("""COMPUTED_VALUE"""),76281)</f>
        <v>76281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IFERROR(__xludf.DUMMYFUNCTION("""COMPUTED_VALUE"""),38)</f>
        <v>38</v>
      </c>
      <c r="C41" t="str">
        <f ca="1">IFERROR(__xludf.DUMMYFUNCTION("""COMPUTED_VALUE"""),"Isaiah Salinda")</f>
        <v>Isaiah Salinda</v>
      </c>
      <c r="D41">
        <f ca="1">IFERROR(__xludf.DUMMYFUNCTION("""COMPUTED_VALUE"""),8)</f>
        <v>8</v>
      </c>
      <c r="E41">
        <f ca="1">IFERROR(__xludf.DUMMYFUNCTION("""COMPUTED_VALUE"""),64.23)</f>
        <v>64.23</v>
      </c>
      <c r="F41" s="1">
        <f ca="1">IFERROR(__xludf.DUMMYFUNCTION("""COMPUTED_VALUE"""),322852)</f>
        <v>322852</v>
      </c>
      <c r="G41" s="1">
        <f ca="1">IFERROR(__xludf.DUMMYFUNCTION("""COMPUTED_VALUE"""),50262)</f>
        <v>50262</v>
      </c>
    </row>
    <row r="42" spans="1:7" ht="12.75">
      <c r="A42">
        <f ca="1">IFERROR(__xludf.DUMMYFUNCTION("""COMPUTED_VALUE"""),41)</f>
        <v>41</v>
      </c>
      <c r="B42" t="str">
        <f ca="1">IFERROR(__xludf.DUMMYFUNCTION("""COMPUTED_VALUE"""),"T24")</f>
        <v>T24</v>
      </c>
      <c r="C42" t="str">
        <f ca="1">IFERROR(__xludf.DUMMYFUNCTION("""COMPUTED_VALUE"""),"Jamie Lovemark")</f>
        <v>Jamie Lovemark</v>
      </c>
      <c r="D42">
        <f ca="1">IFERROR(__xludf.DUMMYFUNCTION("""COMPUTED_VALUE"""),18)</f>
        <v>18</v>
      </c>
      <c r="E42">
        <f ca="1">IFERROR(__xludf.DUMMYFUNCTION("""COMPUTED_VALUE"""),64.21)</f>
        <v>64.209999999999994</v>
      </c>
      <c r="F42" s="1">
        <f ca="1">IFERROR(__xludf.DUMMYFUNCTION("""COMPUTED_VALUE"""),487313)</f>
        <v>487313</v>
      </c>
      <c r="G42" s="1">
        <f ca="1">IFERROR(__xludf.DUMMYFUNCTION("""COMPUTED_VALUE"""),75895)</f>
        <v>75895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IFERROR(__xludf.DUMMYFUNCTION("""COMPUTED_VALUE"""),"T29")</f>
        <v>T29</v>
      </c>
      <c r="C43" t="str">
        <f ca="1">IFERROR(__xludf.DUMMYFUNCTION("""COMPUTED_VALUE"""),"Harold Varner III")</f>
        <v>Harold Varner III</v>
      </c>
      <c r="D43">
        <f ca="1">IFERROR(__xludf.DUMMYFUNCTION("""COMPUTED_VALUE"""),14)</f>
        <v>14</v>
      </c>
      <c r="E43">
        <f ca="1">IFERROR(__xludf.DUMMYFUNCTION("""COMPUTED_VALUE"""),64.19)</f>
        <v>64.19</v>
      </c>
      <c r="F43" s="1">
        <f ca="1">IFERROR(__xludf.DUMMYFUNCTION("""COMPUTED_VALUE"""),485247)</f>
        <v>485247</v>
      </c>
      <c r="G43" s="1">
        <f ca="1">IFERROR(__xludf.DUMMYFUNCTION("""COMPUTED_VALUE"""),75591)</f>
        <v>75591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IFERROR(__xludf.DUMMYFUNCTION("""COMPUTED_VALUE"""),57)</f>
        <v>57</v>
      </c>
      <c r="C44" t="str">
        <f ca="1">IFERROR(__xludf.DUMMYFUNCTION("""COMPUTED_VALUE"""),"Nick Watney")</f>
        <v>Nick Watney</v>
      </c>
      <c r="D44">
        <f ca="1">IFERROR(__xludf.DUMMYFUNCTION("""COMPUTED_VALUE"""),10)</f>
        <v>10</v>
      </c>
      <c r="E44">
        <f ca="1">IFERROR(__xludf.DUMMYFUNCTION("""COMPUTED_VALUE"""),64.13)</f>
        <v>64.13</v>
      </c>
      <c r="F44" s="1">
        <f ca="1">IFERROR(__xludf.DUMMYFUNCTION("""COMPUTED_VALUE"""),327011)</f>
        <v>327011</v>
      </c>
      <c r="G44" s="1">
        <f ca="1">IFERROR(__xludf.DUMMYFUNCTION("""COMPUTED_VALUE"""),50992)</f>
        <v>50992</v>
      </c>
    </row>
    <row r="45" spans="1:7" ht="12.75">
      <c r="A45" t="str">
        <f ca="1">IFERROR(__xludf.DUMMYFUNCTION("""COMPUTED_VALUE"""),"T44")</f>
        <v>T44</v>
      </c>
      <c r="B45">
        <f ca="1">IFERROR(__xludf.DUMMYFUNCTION("""COMPUTED_VALUE"""),53)</f>
        <v>53</v>
      </c>
      <c r="C45" t="str">
        <f ca="1">IFERROR(__xludf.DUMMYFUNCTION("""COMPUTED_VALUE"""),"Scottie Scheffler")</f>
        <v>Scottie Scheffler</v>
      </c>
      <c r="D45">
        <f ca="1">IFERROR(__xludf.DUMMYFUNCTION("""COMPUTED_VALUE"""),18)</f>
        <v>18</v>
      </c>
      <c r="E45">
        <f ca="1">IFERROR(__xludf.DUMMYFUNCTION("""COMPUTED_VALUE"""),64.12)</f>
        <v>64.12</v>
      </c>
      <c r="F45" s="1">
        <f ca="1">IFERROR(__xludf.DUMMYFUNCTION("""COMPUTED_VALUE"""),731646)</f>
        <v>731646</v>
      </c>
      <c r="G45" s="1">
        <f ca="1">IFERROR(__xludf.DUMMYFUNCTION("""COMPUTED_VALUE"""),114098)</f>
        <v>114098</v>
      </c>
    </row>
    <row r="46" spans="1:7" ht="12.75">
      <c r="A46" t="str">
        <f ca="1">IFERROR(__xludf.DUMMYFUNCTION("""COMPUTED_VALUE"""),"T44")</f>
        <v>T44</v>
      </c>
      <c r="B46">
        <f ca="1">IFERROR(__xludf.DUMMYFUNCTION("""COMPUTED_VALUE"""),47)</f>
        <v>47</v>
      </c>
      <c r="C46" t="str">
        <f ca="1">IFERROR(__xludf.DUMMYFUNCTION("""COMPUTED_VALUE"""),"Robby Shelton")</f>
        <v>Robby Shelton</v>
      </c>
      <c r="D46">
        <f ca="1">IFERROR(__xludf.DUMMYFUNCTION("""COMPUTED_VALUE"""),14)</f>
        <v>14</v>
      </c>
      <c r="E46">
        <f ca="1">IFERROR(__xludf.DUMMYFUNCTION("""COMPUTED_VALUE"""),64.12)</f>
        <v>64.12</v>
      </c>
      <c r="F46" s="1">
        <f ca="1">IFERROR(__xludf.DUMMYFUNCTION("""COMPUTED_VALUE"""),577637)</f>
        <v>577637</v>
      </c>
      <c r="G46" s="1">
        <f ca="1">IFERROR(__xludf.DUMMYFUNCTION("""COMPUTED_VALUE"""),90092)</f>
        <v>90092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IFERROR(__xludf.DUMMYFUNCTION("""COMPUTED_VALUE"""),40)</f>
        <v>40</v>
      </c>
      <c r="C47" t="str">
        <f ca="1">IFERROR(__xludf.DUMMYFUNCTION("""COMPUTED_VALUE"""),"Cameron Tringale")</f>
        <v>Cameron Tringale</v>
      </c>
      <c r="D47">
        <f ca="1">IFERROR(__xludf.DUMMYFUNCTION("""COMPUTED_VALUE"""),16)</f>
        <v>16</v>
      </c>
      <c r="E47">
        <f ca="1">IFERROR(__xludf.DUMMYFUNCTION("""COMPUTED_VALUE"""),64.09)</f>
        <v>64.09</v>
      </c>
      <c r="F47" s="1">
        <f ca="1">IFERROR(__xludf.DUMMYFUNCTION("""COMPUTED_VALUE"""),570374)</f>
        <v>570374</v>
      </c>
      <c r="G47" s="1">
        <f ca="1">IFERROR(__xludf.DUMMYFUNCTION("""COMPUTED_VALUE"""),88997)</f>
        <v>88997</v>
      </c>
    </row>
    <row r="48" spans="1:7" ht="12.75">
      <c r="A48" t="str">
        <f ca="1">IFERROR(__xludf.DUMMYFUNCTION("""COMPUTED_VALUE"""),"T47")</f>
        <v>T47</v>
      </c>
      <c r="B48">
        <f ca="1">IFERROR(__xludf.DUMMYFUNCTION("""COMPUTED_VALUE"""),58)</f>
        <v>58</v>
      </c>
      <c r="C48" t="str">
        <f ca="1">IFERROR(__xludf.DUMMYFUNCTION("""COMPUTED_VALUE"""),"Jaekyeong Lee")</f>
        <v>Jaekyeong Lee</v>
      </c>
      <c r="D48">
        <f ca="1">IFERROR(__xludf.DUMMYFUNCTION("""COMPUTED_VALUE"""),4)</f>
        <v>4</v>
      </c>
      <c r="E48">
        <f ca="1">IFERROR(__xludf.DUMMYFUNCTION("""COMPUTED_VALUE"""),64.07)</f>
        <v>64.069999999999993</v>
      </c>
      <c r="F48" s="1">
        <f ca="1">IFERROR(__xludf.DUMMYFUNCTION("""COMPUTED_VALUE"""),169658)</f>
        <v>169658</v>
      </c>
      <c r="G48" s="1">
        <f ca="1">IFERROR(__xludf.DUMMYFUNCTION("""COMPUTED_VALUE"""),26480)</f>
        <v>26480</v>
      </c>
    </row>
    <row r="49" spans="1:7" ht="12.75">
      <c r="A49" t="str">
        <f ca="1">IFERROR(__xludf.DUMMYFUNCTION("""COMPUTED_VALUE"""),"T47")</f>
        <v>T47</v>
      </c>
      <c r="B49">
        <f ca="1">IFERROR(__xludf.DUMMYFUNCTION("""COMPUTED_VALUE"""),43)</f>
        <v>43</v>
      </c>
      <c r="C49" t="str">
        <f ca="1">IFERROR(__xludf.DUMMYFUNCTION("""COMPUTED_VALUE"""),"Hunter Mahan")</f>
        <v>Hunter Mahan</v>
      </c>
      <c r="D49">
        <f ca="1">IFERROR(__xludf.DUMMYFUNCTION("""COMPUTED_VALUE"""),14)</f>
        <v>14</v>
      </c>
      <c r="E49">
        <f ca="1">IFERROR(__xludf.DUMMYFUNCTION("""COMPUTED_VALUE"""),64.07)</f>
        <v>64.069999999999993</v>
      </c>
      <c r="F49" s="1">
        <f ca="1">IFERROR(__xludf.DUMMYFUNCTION("""COMPUTED_VALUE"""),407571)</f>
        <v>407571</v>
      </c>
      <c r="G49" s="1">
        <f ca="1">IFERROR(__xludf.DUMMYFUNCTION("""COMPUTED_VALUE"""),63612)</f>
        <v>63612</v>
      </c>
    </row>
    <row r="50" spans="1:7" ht="12.75">
      <c r="A50" t="str">
        <f ca="1">IFERROR(__xludf.DUMMYFUNCTION("""COMPUTED_VALUE"""),"T47")</f>
        <v>T47</v>
      </c>
      <c r="B50" t="str">
        <f ca="1">IFERROR(__xludf.DUMMYFUNCTION("""COMPUTED_VALUE"""),"T44")</f>
        <v>T44</v>
      </c>
      <c r="C50" t="str">
        <f ca="1">IFERROR(__xludf.DUMMYFUNCTION("""COMPUTED_VALUE"""),"Patton Kizzire")</f>
        <v>Patton Kizzire</v>
      </c>
      <c r="D50">
        <f ca="1">IFERROR(__xludf.DUMMYFUNCTION("""COMPUTED_VALUE"""),18)</f>
        <v>18</v>
      </c>
      <c r="E50">
        <f ca="1">IFERROR(__xludf.DUMMYFUNCTION("""COMPUTED_VALUE"""),64.07)</f>
        <v>64.069999999999993</v>
      </c>
      <c r="F50" s="1">
        <f ca="1">IFERROR(__xludf.DUMMYFUNCTION("""COMPUTED_VALUE"""),570215)</f>
        <v>570215</v>
      </c>
      <c r="G50" s="1">
        <f ca="1">IFERROR(__xludf.DUMMYFUNCTION("""COMPUTED_VALUE"""),88997)</f>
        <v>88997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IFERROR(__xludf.DUMMYFUNCTION("""COMPUTED_VALUE"""),59)</f>
        <v>59</v>
      </c>
      <c r="C51" t="str">
        <f ca="1">IFERROR(__xludf.DUMMYFUNCTION("""COMPUTED_VALUE"""),"Ryan Palmer")</f>
        <v>Ryan Palmer</v>
      </c>
      <c r="D51">
        <f ca="1">IFERROR(__xludf.DUMMYFUNCTION("""COMPUTED_VALUE"""),14)</f>
        <v>14</v>
      </c>
      <c r="E51">
        <f ca="1">IFERROR(__xludf.DUMMYFUNCTION("""COMPUTED_VALUE"""),64.01)</f>
        <v>64.010000000000005</v>
      </c>
      <c r="F51" s="1">
        <f ca="1">IFERROR(__xludf.DUMMYFUNCTION("""COMPUTED_VALUE"""),572758)</f>
        <v>572758</v>
      </c>
      <c r="G51" s="1">
        <f ca="1">IFERROR(__xludf.DUMMYFUNCTION("""COMPUTED_VALUE"""),89478)</f>
        <v>89478</v>
      </c>
    </row>
    <row r="52" spans="1:7" ht="12.75">
      <c r="A52">
        <f ca="1">IFERROR(__xludf.DUMMYFUNCTION("""COMPUTED_VALUE"""),51)</f>
        <v>51</v>
      </c>
      <c r="B52" t="str">
        <f ca="1">IFERROR(__xludf.DUMMYFUNCTION("""COMPUTED_VALUE"""),"T62")</f>
        <v>T62</v>
      </c>
      <c r="C52" t="str">
        <f ca="1">IFERROR(__xludf.DUMMYFUNCTION("""COMPUTED_VALUE"""),"Luke Schniederjans")</f>
        <v>Luke Schniederjans</v>
      </c>
      <c r="D52">
        <f ca="1">IFERROR(__xludf.DUMMYFUNCTION("""COMPUTED_VALUE"""),4)</f>
        <v>4</v>
      </c>
      <c r="E52">
        <f ca="1">IFERROR(__xludf.DUMMYFUNCTION("""COMPUTED_VALUE"""),63.97)</f>
        <v>63.97</v>
      </c>
      <c r="F52" s="1">
        <f ca="1">IFERROR(__xludf.DUMMYFUNCTION("""COMPUTED_VALUE"""),81207)</f>
        <v>81207</v>
      </c>
      <c r="G52" s="1">
        <f ca="1">IFERROR(__xludf.DUMMYFUNCTION("""COMPUTED_VALUE"""),12694)</f>
        <v>12694</v>
      </c>
    </row>
    <row r="53" spans="1:7" ht="12.75">
      <c r="A53" t="str">
        <f ca="1">IFERROR(__xludf.DUMMYFUNCTION("""COMPUTED_VALUE"""),"T52")</f>
        <v>T52</v>
      </c>
      <c r="B53">
        <f ca="1">IFERROR(__xludf.DUMMYFUNCTION("""COMPUTED_VALUE"""),51)</f>
        <v>51</v>
      </c>
      <c r="C53" t="str">
        <f ca="1">IFERROR(__xludf.DUMMYFUNCTION("""COMPUTED_VALUE"""),"Adam Schenk")</f>
        <v>Adam Schenk</v>
      </c>
      <c r="D53">
        <f ca="1">IFERROR(__xludf.DUMMYFUNCTION("""COMPUTED_VALUE"""),22)</f>
        <v>22</v>
      </c>
      <c r="E53">
        <f ca="1">IFERROR(__xludf.DUMMYFUNCTION("""COMPUTED_VALUE"""),63.95)</f>
        <v>63.95</v>
      </c>
      <c r="F53" s="1">
        <f ca="1">IFERROR(__xludf.DUMMYFUNCTION("""COMPUTED_VALUE"""),571248)</f>
        <v>571248</v>
      </c>
      <c r="G53" s="1">
        <f ca="1">IFERROR(__xludf.DUMMYFUNCTION("""COMPUTED_VALUE"""),89328)</f>
        <v>89328</v>
      </c>
    </row>
    <row r="54" spans="1:7" ht="12.75">
      <c r="A54" t="str">
        <f ca="1">IFERROR(__xludf.DUMMYFUNCTION("""COMPUTED_VALUE"""),"T52")</f>
        <v>T52</v>
      </c>
      <c r="B54">
        <f ca="1">IFERROR(__xludf.DUMMYFUNCTION("""COMPUTED_VALUE"""),28)</f>
        <v>28</v>
      </c>
      <c r="C54" t="str">
        <f ca="1">IFERROR(__xludf.DUMMYFUNCTION("""COMPUTED_VALUE"""),"Bronson Burgoon")</f>
        <v>Bronson Burgoon</v>
      </c>
      <c r="D54">
        <f ca="1">IFERROR(__xludf.DUMMYFUNCTION("""COMPUTED_VALUE"""),10)</f>
        <v>10</v>
      </c>
      <c r="E54">
        <f ca="1">IFERROR(__xludf.DUMMYFUNCTION("""COMPUTED_VALUE"""),63.95)</f>
        <v>63.95</v>
      </c>
      <c r="F54" s="1">
        <f ca="1">IFERROR(__xludf.DUMMYFUNCTION("""COMPUTED_VALUE"""),325603)</f>
        <v>325603</v>
      </c>
      <c r="G54" s="1">
        <f ca="1">IFERROR(__xludf.DUMMYFUNCTION("""COMPUTED_VALUE"""),50918)</f>
        <v>50918</v>
      </c>
    </row>
    <row r="55" spans="1:7" ht="12.75">
      <c r="A55" t="str">
        <f ca="1">IFERROR(__xludf.DUMMYFUNCTION("""COMPUTED_VALUE"""),"T54")</f>
        <v>T54</v>
      </c>
      <c r="B55">
        <f ca="1">IFERROR(__xludf.DUMMYFUNCTION("""COMPUTED_VALUE"""),49)</f>
        <v>49</v>
      </c>
      <c r="C55" t="str">
        <f ca="1">IFERROR(__xludf.DUMMYFUNCTION("""COMPUTED_VALUE"""),"Emiliano Grillo")</f>
        <v>Emiliano Grillo</v>
      </c>
      <c r="D55">
        <f ca="1">IFERROR(__xludf.DUMMYFUNCTION("""COMPUTED_VALUE"""),22)</f>
        <v>22</v>
      </c>
      <c r="E55">
        <f ca="1">IFERROR(__xludf.DUMMYFUNCTION("""COMPUTED_VALUE"""),63.91)</f>
        <v>63.91</v>
      </c>
      <c r="F55" s="1">
        <f ca="1">IFERROR(__xludf.DUMMYFUNCTION("""COMPUTED_VALUE"""),570908)</f>
        <v>570908</v>
      </c>
      <c r="G55" s="1">
        <f ca="1">IFERROR(__xludf.DUMMYFUNCTION("""COMPUTED_VALUE"""),89328)</f>
        <v>89328</v>
      </c>
    </row>
    <row r="56" spans="1:7" ht="12.75">
      <c r="A56" t="str">
        <f ca="1">IFERROR(__xludf.DUMMYFUNCTION("""COMPUTED_VALUE"""),"T54")</f>
        <v>T54</v>
      </c>
      <c r="B56">
        <f ca="1">IFERROR(__xludf.DUMMYFUNCTION("""COMPUTED_VALUE"""),65)</f>
        <v>65</v>
      </c>
      <c r="C56" t="str">
        <f ca="1">IFERROR(__xludf.DUMMYFUNCTION("""COMPUTED_VALUE"""),"Matthew Wolff")</f>
        <v>Matthew Wolff</v>
      </c>
      <c r="D56">
        <f ca="1">IFERROR(__xludf.DUMMYFUNCTION("""COMPUTED_VALUE"""),16)</f>
        <v>16</v>
      </c>
      <c r="E56">
        <f ca="1">IFERROR(__xludf.DUMMYFUNCTION("""COMPUTED_VALUE"""),63.91)</f>
        <v>63.91</v>
      </c>
      <c r="F56" s="1">
        <f ca="1">IFERROR(__xludf.DUMMYFUNCTION("""COMPUTED_VALUE"""),658934)</f>
        <v>658934</v>
      </c>
      <c r="G56" s="1">
        <f ca="1">IFERROR(__xludf.DUMMYFUNCTION("""COMPUTED_VALUE"""),103110)</f>
        <v>103110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IFERROR(__xludf.DUMMYFUNCTION("""COMPUTED_VALUE"""),54)</f>
        <v>54</v>
      </c>
      <c r="C57" t="str">
        <f ca="1">IFERROR(__xludf.DUMMYFUNCTION("""COMPUTED_VALUE"""),"Charl Schwartzel")</f>
        <v>Charl Schwartzel</v>
      </c>
      <c r="D57">
        <f ca="1">IFERROR(__xludf.DUMMYFUNCTION("""COMPUTED_VALUE"""),12)</f>
        <v>12</v>
      </c>
      <c r="E57">
        <f ca="1">IFERROR(__xludf.DUMMYFUNCTION("""COMPUTED_VALUE"""),63.89)</f>
        <v>63.89</v>
      </c>
      <c r="F57" s="1">
        <f ca="1">IFERROR(__xludf.DUMMYFUNCTION("""COMPUTED_VALUE"""),489452)</f>
        <v>489452</v>
      </c>
      <c r="G57" s="1">
        <f ca="1">IFERROR(__xludf.DUMMYFUNCTION("""COMPUTED_VALUE"""),76612)</f>
        <v>76612</v>
      </c>
    </row>
    <row r="58" spans="1:7" ht="12.75">
      <c r="A58">
        <f ca="1">IFERROR(__xludf.DUMMYFUNCTION("""COMPUTED_VALUE"""),57)</f>
        <v>57</v>
      </c>
      <c r="B58">
        <f ca="1">IFERROR(__xludf.DUMMYFUNCTION("""COMPUTED_VALUE"""),67)</f>
        <v>67</v>
      </c>
      <c r="C58" t="str">
        <f ca="1">IFERROR(__xludf.DUMMYFUNCTION("""COMPUTED_VALUE"""),"Rory McIlroy")</f>
        <v>Rory McIlroy</v>
      </c>
      <c r="D58">
        <f ca="1">IFERROR(__xludf.DUMMYFUNCTION("""COMPUTED_VALUE"""),12)</f>
        <v>12</v>
      </c>
      <c r="E58">
        <f ca="1">IFERROR(__xludf.DUMMYFUNCTION("""COMPUTED_VALUE"""),63.88)</f>
        <v>63.88</v>
      </c>
      <c r="F58" s="1">
        <f ca="1">IFERROR(__xludf.DUMMYFUNCTION("""COMPUTED_VALUE"""),496828)</f>
        <v>496828</v>
      </c>
      <c r="G58" s="1">
        <f ca="1">IFERROR(__xludf.DUMMYFUNCTION("""COMPUTED_VALUE"""),77781)</f>
        <v>77781</v>
      </c>
    </row>
    <row r="59" spans="1:7" ht="12.75">
      <c r="A59">
        <f ca="1">IFERROR(__xludf.DUMMYFUNCTION("""COMPUTED_VALUE"""),58)</f>
        <v>58</v>
      </c>
      <c r="B59" t="str">
        <f ca="1">IFERROR(__xludf.DUMMYFUNCTION("""COMPUTED_VALUE"""),"T44")</f>
        <v>T44</v>
      </c>
      <c r="C59" t="str">
        <f ca="1">IFERROR(__xludf.DUMMYFUNCTION("""COMPUTED_VALUE"""),"Matt Jones")</f>
        <v>Matt Jones</v>
      </c>
      <c r="D59">
        <f ca="1">IFERROR(__xludf.DUMMYFUNCTION("""COMPUTED_VALUE"""),20)</f>
        <v>20</v>
      </c>
      <c r="E59">
        <f ca="1">IFERROR(__xludf.DUMMYFUNCTION("""COMPUTED_VALUE"""),63.8)</f>
        <v>63.8</v>
      </c>
      <c r="F59" s="1">
        <f ca="1">IFERROR(__xludf.DUMMYFUNCTION("""COMPUTED_VALUE"""),490553)</f>
        <v>490553</v>
      </c>
      <c r="G59" s="1">
        <f ca="1">IFERROR(__xludf.DUMMYFUNCTION("""COMPUTED_VALUE"""),76890)</f>
        <v>76890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IFERROR(__xludf.DUMMYFUNCTION("""COMPUTED_VALUE"""),56)</f>
        <v>56</v>
      </c>
      <c r="C60" t="str">
        <f ca="1">IFERROR(__xludf.DUMMYFUNCTION("""COMPUTED_VALUE"""),"Max Homa")</f>
        <v>Max Homa</v>
      </c>
      <c r="D60">
        <f ca="1">IFERROR(__xludf.DUMMYFUNCTION("""COMPUTED_VALUE"""),12)</f>
        <v>12</v>
      </c>
      <c r="E60">
        <f ca="1">IFERROR(__xludf.DUMMYFUNCTION("""COMPUTED_VALUE"""),63.72)</f>
        <v>63.72</v>
      </c>
      <c r="F60" s="1">
        <f ca="1">IFERROR(__xludf.DUMMYFUNCTION("""COMPUTED_VALUE"""),325930)</f>
        <v>325930</v>
      </c>
      <c r="G60" s="1">
        <f ca="1">IFERROR(__xludf.DUMMYFUNCTION("""COMPUTED_VALUE"""),51154)</f>
        <v>51154</v>
      </c>
    </row>
    <row r="61" spans="1:7" ht="12.75">
      <c r="A61" t="str">
        <f ca="1">IFERROR(__xludf.DUMMYFUNCTION("""COMPUTED_VALUE"""),"T60")</f>
        <v>T60</v>
      </c>
      <c r="B61" t="str">
        <f ca="1">IFERROR(__xludf.DUMMYFUNCTION("""COMPUTED_VALUE"""),"T71")</f>
        <v>T71</v>
      </c>
      <c r="C61" t="str">
        <f ca="1">IFERROR(__xludf.DUMMYFUNCTION("""COMPUTED_VALUE"""),"Carlos Ortiz")</f>
        <v>Carlos Ortiz</v>
      </c>
      <c r="D61">
        <f ca="1">IFERROR(__xludf.DUMMYFUNCTION("""COMPUTED_VALUE"""),20)</f>
        <v>20</v>
      </c>
      <c r="E61">
        <f ca="1">IFERROR(__xludf.DUMMYFUNCTION("""COMPUTED_VALUE"""),63.69)</f>
        <v>63.69</v>
      </c>
      <c r="F61" s="1">
        <f ca="1">IFERROR(__xludf.DUMMYFUNCTION("""COMPUTED_VALUE"""),805048)</f>
        <v>805048</v>
      </c>
      <c r="G61" s="1">
        <f ca="1">IFERROR(__xludf.DUMMYFUNCTION("""COMPUTED_VALUE"""),126406)</f>
        <v>126406</v>
      </c>
    </row>
    <row r="62" spans="1:7" ht="12.75">
      <c r="A62" t="str">
        <f ca="1">IFERROR(__xludf.DUMMYFUNCTION("""COMPUTED_VALUE"""),"T60")</f>
        <v>T60</v>
      </c>
      <c r="B62" t="str">
        <f ca="1">IFERROR(__xludf.DUMMYFUNCTION("""COMPUTED_VALUE"""),"T71")</f>
        <v>T71</v>
      </c>
      <c r="C62" t="str">
        <f ca="1">IFERROR(__xludf.DUMMYFUNCTION("""COMPUTED_VALUE"""),"Harry Higgs")</f>
        <v>Harry Higgs</v>
      </c>
      <c r="D62">
        <f ca="1">IFERROR(__xludf.DUMMYFUNCTION("""COMPUTED_VALUE"""),14)</f>
        <v>14</v>
      </c>
      <c r="E62">
        <f ca="1">IFERROR(__xludf.DUMMYFUNCTION("""COMPUTED_VALUE"""),63.69)</f>
        <v>63.69</v>
      </c>
      <c r="F62" s="1">
        <f ca="1">IFERROR(__xludf.DUMMYFUNCTION("""COMPUTED_VALUE"""),563583)</f>
        <v>563583</v>
      </c>
      <c r="G62" s="1">
        <f ca="1">IFERROR(__xludf.DUMMYFUNCTION("""COMPUTED_VALUE"""),88483)</f>
        <v>88483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IFERROR(__xludf.DUMMYFUNCTION("""COMPUTED_VALUE"""),77)</f>
        <v>77</v>
      </c>
      <c r="C63" t="str">
        <f ca="1">IFERROR(__xludf.DUMMYFUNCTION("""COMPUTED_VALUE"""),"Andy Zhang")</f>
        <v>Andy Zhang</v>
      </c>
      <c r="D63">
        <f ca="1">IFERROR(__xludf.DUMMYFUNCTION("""COMPUTED_VALUE"""),4)</f>
        <v>4</v>
      </c>
      <c r="E63">
        <f ca="1">IFERROR(__xludf.DUMMYFUNCTION("""COMPUTED_VALUE"""),63.59)</f>
        <v>63.59</v>
      </c>
      <c r="F63" s="1">
        <f ca="1">IFERROR(__xludf.DUMMYFUNCTION("""COMPUTED_VALUE"""),161260)</f>
        <v>161260</v>
      </c>
      <c r="G63" s="1">
        <f ca="1">IFERROR(__xludf.DUMMYFUNCTION("""COMPUTED_VALUE"""),25359)</f>
        <v>25359</v>
      </c>
    </row>
    <row r="64" spans="1:7" ht="12.75">
      <c r="A64" t="str">
        <f ca="1">IFERROR(__xludf.DUMMYFUNCTION("""COMPUTED_VALUE"""),"T63")</f>
        <v>T63</v>
      </c>
      <c r="B64">
        <f ca="1">IFERROR(__xludf.DUMMYFUNCTION("""COMPUTED_VALUE"""),60)</f>
        <v>60</v>
      </c>
      <c r="C64" t="str">
        <f ca="1">IFERROR(__xludf.DUMMYFUNCTION("""COMPUTED_VALUE"""),"Hudson Swafford")</f>
        <v>Hudson Swafford</v>
      </c>
      <c r="D64">
        <f ca="1">IFERROR(__xludf.DUMMYFUNCTION("""COMPUTED_VALUE"""),18)</f>
        <v>18</v>
      </c>
      <c r="E64">
        <f ca="1">IFERROR(__xludf.DUMMYFUNCTION("""COMPUTED_VALUE"""),63.56)</f>
        <v>63.56</v>
      </c>
      <c r="F64" s="1">
        <f ca="1">IFERROR(__xludf.DUMMYFUNCTION("""COMPUTED_VALUE"""),403972)</f>
        <v>403972</v>
      </c>
      <c r="G64" s="1">
        <f ca="1">IFERROR(__xludf.DUMMYFUNCTION("""COMPUTED_VALUE"""),63561)</f>
        <v>63561</v>
      </c>
    </row>
    <row r="65" spans="1:7" ht="12.75">
      <c r="A65" t="str">
        <f ca="1">IFERROR(__xludf.DUMMYFUNCTION("""COMPUTED_VALUE"""),"T63")</f>
        <v>T63</v>
      </c>
      <c r="B65">
        <f ca="1">IFERROR(__xludf.DUMMYFUNCTION("""COMPUTED_VALUE"""),69)</f>
        <v>69</v>
      </c>
      <c r="C65" t="str">
        <f ca="1">IFERROR(__xludf.DUMMYFUNCTION("""COMPUTED_VALUE"""),"Sean O'Hair")</f>
        <v>Sean O'Hair</v>
      </c>
      <c r="D65">
        <f ca="1">IFERROR(__xludf.DUMMYFUNCTION("""COMPUTED_VALUE"""),14)</f>
        <v>14</v>
      </c>
      <c r="E65">
        <f ca="1">IFERROR(__xludf.DUMMYFUNCTION("""COMPUTED_VALUE"""),63.56)</f>
        <v>63.56</v>
      </c>
      <c r="F65" s="1">
        <f ca="1">IFERROR(__xludf.DUMMYFUNCTION("""COMPUTED_VALUE"""),401906)</f>
        <v>401906</v>
      </c>
      <c r="G65" s="1">
        <f ca="1">IFERROR(__xludf.DUMMYFUNCTION("""COMPUTED_VALUE"""),63230)</f>
        <v>63230</v>
      </c>
    </row>
    <row r="66" spans="1:7" ht="12.75">
      <c r="A66" t="str">
        <f ca="1">IFERROR(__xludf.DUMMYFUNCTION("""COMPUTED_VALUE"""),"T63")</f>
        <v>T63</v>
      </c>
      <c r="B66">
        <f ca="1">IFERROR(__xludf.DUMMYFUNCTION("""COMPUTED_VALUE"""),34)</f>
        <v>34</v>
      </c>
      <c r="C66" t="str">
        <f ca="1">IFERROR(__xludf.DUMMYFUNCTION("""COMPUTED_VALUE"""),"James Hahn")</f>
        <v>James Hahn</v>
      </c>
      <c r="D66">
        <f ca="1">IFERROR(__xludf.DUMMYFUNCTION("""COMPUTED_VALUE"""),16)</f>
        <v>16</v>
      </c>
      <c r="E66">
        <f ca="1">IFERROR(__xludf.DUMMYFUNCTION("""COMPUTED_VALUE"""),63.56)</f>
        <v>63.56</v>
      </c>
      <c r="F66" s="1">
        <f ca="1">IFERROR(__xludf.DUMMYFUNCTION("""COMPUTED_VALUE"""),480457)</f>
        <v>480457</v>
      </c>
      <c r="G66" s="1">
        <f ca="1">IFERROR(__xludf.DUMMYFUNCTION("""COMPUTED_VALUE"""),75591)</f>
        <v>75591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IFERROR(__xludf.DUMMYFUNCTION("""COMPUTED_VALUE"""),52)</f>
        <v>52</v>
      </c>
      <c r="C67" t="str">
        <f ca="1">IFERROR(__xludf.DUMMYFUNCTION("""COMPUTED_VALUE"""),"Kevin Chappell")</f>
        <v>Kevin Chappell</v>
      </c>
      <c r="D67">
        <f ca="1">IFERROR(__xludf.DUMMYFUNCTION("""COMPUTED_VALUE"""),16)</f>
        <v>16</v>
      </c>
      <c r="E67">
        <f ca="1">IFERROR(__xludf.DUMMYFUNCTION("""COMPUTED_VALUE"""),63.55)</f>
        <v>63.55</v>
      </c>
      <c r="F67" s="1">
        <f ca="1">IFERROR(__xludf.DUMMYFUNCTION("""COMPUTED_VALUE"""),565257)</f>
        <v>565257</v>
      </c>
      <c r="G67" s="1">
        <f ca="1">IFERROR(__xludf.DUMMYFUNCTION("""COMPUTED_VALUE"""),88946)</f>
        <v>88946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IFERROR(__xludf.DUMMYFUNCTION("""COMPUTED_VALUE"""),41)</f>
        <v>41</v>
      </c>
      <c r="C68" t="str">
        <f ca="1">IFERROR(__xludf.DUMMYFUNCTION("""COMPUTED_VALUE"""),"Scott Piercy")</f>
        <v>Scott Piercy</v>
      </c>
      <c r="D68">
        <f ca="1">IFERROR(__xludf.DUMMYFUNCTION("""COMPUTED_VALUE"""),18)</f>
        <v>18</v>
      </c>
      <c r="E68">
        <f ca="1">IFERROR(__xludf.DUMMYFUNCTION("""COMPUTED_VALUE"""),63.53)</f>
        <v>63.53</v>
      </c>
      <c r="F68" s="1">
        <f ca="1">IFERROR(__xludf.DUMMYFUNCTION("""COMPUTED_VALUE"""),565371)</f>
        <v>565371</v>
      </c>
      <c r="G68" s="1">
        <f ca="1">IFERROR(__xludf.DUMMYFUNCTION("""COMPUTED_VALUE"""),88997)</f>
        <v>88997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IFERROR(__xludf.DUMMYFUNCTION("""COMPUTED_VALUE"""),81)</f>
        <v>81</v>
      </c>
      <c r="C69" t="str">
        <f ca="1">IFERROR(__xludf.DUMMYFUNCTION("""COMPUTED_VALUE"""),"Anirban Lahiri")</f>
        <v>Anirban Lahiri</v>
      </c>
      <c r="D69">
        <f ca="1">IFERROR(__xludf.DUMMYFUNCTION("""COMPUTED_VALUE"""),16)</f>
        <v>16</v>
      </c>
      <c r="E69">
        <f ca="1">IFERROR(__xludf.DUMMYFUNCTION("""COMPUTED_VALUE"""),63.49)</f>
        <v>63.49</v>
      </c>
      <c r="F69" s="1">
        <f ca="1">IFERROR(__xludf.DUMMYFUNCTION("""COMPUTED_VALUE"""),326545)</f>
        <v>326545</v>
      </c>
      <c r="G69" s="1">
        <f ca="1">IFERROR(__xludf.DUMMYFUNCTION("""COMPUTED_VALUE"""),51430)</f>
        <v>51430</v>
      </c>
    </row>
    <row r="70" spans="1:7" ht="12.75">
      <c r="A70" t="str">
        <f ca="1">IFERROR(__xludf.DUMMYFUNCTION("""COMPUTED_VALUE"""),"T69")</f>
        <v>T69</v>
      </c>
      <c r="B70" t="str">
        <f ca="1">IFERROR(__xludf.DUMMYFUNCTION("""COMPUTED_VALUE"""),"T62")</f>
        <v>T62</v>
      </c>
      <c r="C70" t="str">
        <f ca="1">IFERROR(__xludf.DUMMYFUNCTION("""COMPUTED_VALUE"""),"Tom Lewis")</f>
        <v>Tom Lewis</v>
      </c>
      <c r="D70">
        <f ca="1">IFERROR(__xludf.DUMMYFUNCTION("""COMPUTED_VALUE"""),12)</f>
        <v>12</v>
      </c>
      <c r="E70">
        <f ca="1">IFERROR(__xludf.DUMMYFUNCTION("""COMPUTED_VALUE"""),63.46)</f>
        <v>63.46</v>
      </c>
      <c r="F70" s="1">
        <f ca="1">IFERROR(__xludf.DUMMYFUNCTION("""COMPUTED_VALUE"""),409644)</f>
        <v>409644</v>
      </c>
      <c r="G70" s="1">
        <f ca="1">IFERROR(__xludf.DUMMYFUNCTION("""COMPUTED_VALUE"""),64556)</f>
        <v>64556</v>
      </c>
    </row>
    <row r="71" spans="1:7" ht="12.75">
      <c r="A71" t="str">
        <f ca="1">IFERROR(__xludf.DUMMYFUNCTION("""COMPUTED_VALUE"""),"T69")</f>
        <v>T69</v>
      </c>
      <c r="B71">
        <f ca="1">IFERROR(__xludf.DUMMYFUNCTION("""COMPUTED_VALUE"""),83)</f>
        <v>83</v>
      </c>
      <c r="C71" t="str">
        <f ca="1">IFERROR(__xludf.DUMMYFUNCTION("""COMPUTED_VALUE"""),"Joel Dahmen")</f>
        <v>Joel Dahmen</v>
      </c>
      <c r="D71">
        <f ca="1">IFERROR(__xludf.DUMMYFUNCTION("""COMPUTED_VALUE"""),18)</f>
        <v>18</v>
      </c>
      <c r="E71">
        <f ca="1">IFERROR(__xludf.DUMMYFUNCTION("""COMPUTED_VALUE"""),63.46)</f>
        <v>63.46</v>
      </c>
      <c r="F71" s="1">
        <f ca="1">IFERROR(__xludf.DUMMYFUNCTION("""COMPUTED_VALUE"""),728778)</f>
        <v>728778</v>
      </c>
      <c r="G71" s="1">
        <f ca="1">IFERROR(__xludf.DUMMYFUNCTION("""COMPUTED_VALUE"""),114837)</f>
        <v>114837</v>
      </c>
    </row>
    <row r="72" spans="1:7" ht="12.75">
      <c r="A72">
        <f ca="1">IFERROR(__xludf.DUMMYFUNCTION("""COMPUTED_VALUE"""),71)</f>
        <v>71</v>
      </c>
      <c r="B72" t="str">
        <f ca="1">IFERROR(__xludf.DUMMYFUNCTION("""COMPUTED_VALUE"""),"T84")</f>
        <v>T84</v>
      </c>
      <c r="C72" t="str">
        <f ca="1">IFERROR(__xludf.DUMMYFUNCTION("""COMPUTED_VALUE"""),"Chase Seiffert")</f>
        <v>Chase Seiffert</v>
      </c>
      <c r="D72">
        <f ca="1">IFERROR(__xludf.DUMMYFUNCTION("""COMPUTED_VALUE"""),14)</f>
        <v>14</v>
      </c>
      <c r="E72">
        <f ca="1">IFERROR(__xludf.DUMMYFUNCTION("""COMPUTED_VALUE"""),63.44)</f>
        <v>63.44</v>
      </c>
      <c r="F72" s="1">
        <f ca="1">IFERROR(__xludf.DUMMYFUNCTION("""COMPUTED_VALUE"""),325958)</f>
        <v>325958</v>
      </c>
      <c r="G72" s="1">
        <f ca="1">IFERROR(__xludf.DUMMYFUNCTION("""COMPUTED_VALUE"""),51378)</f>
        <v>51378</v>
      </c>
    </row>
    <row r="73" spans="1:7" ht="12.75">
      <c r="A73" t="str">
        <f ca="1">IFERROR(__xludf.DUMMYFUNCTION("""COMPUTED_VALUE"""),"T72")</f>
        <v>T72</v>
      </c>
      <c r="B73">
        <f ca="1">IFERROR(__xludf.DUMMYFUNCTION("""COMPUTED_VALUE"""),86)</f>
        <v>86</v>
      </c>
      <c r="C73" t="str">
        <f ca="1">IFERROR(__xludf.DUMMYFUNCTION("""COMPUTED_VALUE"""),"Seamus Power")</f>
        <v>Seamus Power</v>
      </c>
      <c r="D73">
        <f ca="1">IFERROR(__xludf.DUMMYFUNCTION("""COMPUTED_VALUE"""),8)</f>
        <v>8</v>
      </c>
      <c r="E73">
        <f ca="1">IFERROR(__xludf.DUMMYFUNCTION("""COMPUTED_VALUE"""),63.4)</f>
        <v>63.4</v>
      </c>
      <c r="F73" s="1">
        <f ca="1">IFERROR(__xludf.DUMMYFUNCTION("""COMPUTED_VALUE"""),80480)</f>
        <v>80480</v>
      </c>
      <c r="G73" s="1">
        <f ca="1">IFERROR(__xludf.DUMMYFUNCTION("""COMPUTED_VALUE"""),12694)</f>
        <v>12694</v>
      </c>
    </row>
    <row r="74" spans="1:7" ht="12.75">
      <c r="A74" t="str">
        <f ca="1">IFERROR(__xludf.DUMMYFUNCTION("""COMPUTED_VALUE"""),"T72")</f>
        <v>T72</v>
      </c>
      <c r="B74">
        <f ca="1">IFERROR(__xludf.DUMMYFUNCTION("""COMPUTED_VALUE"""),78)</f>
        <v>78</v>
      </c>
      <c r="C74" t="str">
        <f ca="1">IFERROR(__xludf.DUMMYFUNCTION("""COMPUTED_VALUE"""),"Danny Lee")</f>
        <v>Danny Lee</v>
      </c>
      <c r="D74">
        <f ca="1">IFERROR(__xludf.DUMMYFUNCTION("""COMPUTED_VALUE"""),15)</f>
        <v>15</v>
      </c>
      <c r="E74">
        <f ca="1">IFERROR(__xludf.DUMMYFUNCTION("""COMPUTED_VALUE"""),63.4)</f>
        <v>63.4</v>
      </c>
      <c r="F74" s="1">
        <f ca="1">IFERROR(__xludf.DUMMYFUNCTION("""COMPUTED_VALUE"""),609756)</f>
        <v>609756</v>
      </c>
      <c r="G74" s="1">
        <f ca="1">IFERROR(__xludf.DUMMYFUNCTION("""COMPUTED_VALUE"""),96169)</f>
        <v>96169</v>
      </c>
    </row>
    <row r="75" spans="1:7" ht="12.75">
      <c r="A75">
        <f ca="1">IFERROR(__xludf.DUMMYFUNCTION("""COMPUTED_VALUE"""),74)</f>
        <v>74</v>
      </c>
      <c r="B75">
        <f ca="1">IFERROR(__xludf.DUMMYFUNCTION("""COMPUTED_VALUE"""),87)</f>
        <v>87</v>
      </c>
      <c r="C75" t="str">
        <f ca="1">IFERROR(__xludf.DUMMYFUNCTION("""COMPUTED_VALUE"""),"Ben Taylor")</f>
        <v>Ben Taylor</v>
      </c>
      <c r="D75">
        <f ca="1">IFERROR(__xludf.DUMMYFUNCTION("""COMPUTED_VALUE"""),10)</f>
        <v>10</v>
      </c>
      <c r="E75">
        <f ca="1">IFERROR(__xludf.DUMMYFUNCTION("""COMPUTED_VALUE"""),63.38)</f>
        <v>63.38</v>
      </c>
      <c r="F75" s="1">
        <f ca="1">IFERROR(__xludf.DUMMYFUNCTION("""COMPUTED_VALUE"""),160716)</f>
        <v>160716</v>
      </c>
      <c r="G75" s="1">
        <f ca="1">IFERROR(__xludf.DUMMYFUNCTION("""COMPUTED_VALUE"""),25359)</f>
        <v>25359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IFERROR(__xludf.DUMMYFUNCTION("""COMPUTED_VALUE"""),73)</f>
        <v>73</v>
      </c>
      <c r="C76" t="str">
        <f ca="1">IFERROR(__xludf.DUMMYFUNCTION("""COMPUTED_VALUE"""),"Matthew NeSmith")</f>
        <v>Matthew NeSmith</v>
      </c>
      <c r="D76">
        <f ca="1">IFERROR(__xludf.DUMMYFUNCTION("""COMPUTED_VALUE"""),16)</f>
        <v>16</v>
      </c>
      <c r="E76">
        <f ca="1">IFERROR(__xludf.DUMMYFUNCTION("""COMPUTED_VALUE"""),63.36)</f>
        <v>63.36</v>
      </c>
      <c r="F76" s="1">
        <f ca="1">IFERROR(__xludf.DUMMYFUNCTION("""COMPUTED_VALUE"""),485709)</f>
        <v>485709</v>
      </c>
      <c r="G76" s="1">
        <f ca="1">IFERROR(__xludf.DUMMYFUNCTION("""COMPUTED_VALUE"""),76663)</f>
        <v>76663</v>
      </c>
    </row>
    <row r="77" spans="1:7" ht="12.75">
      <c r="A77" t="str">
        <f ca="1">IFERROR(__xludf.DUMMYFUNCTION("""COMPUTED_VALUE"""),"T76")</f>
        <v>T76</v>
      </c>
      <c r="B77" t="str">
        <f ca="1">IFERROR(__xludf.DUMMYFUNCTION("""COMPUTED_VALUE"""),"T88")</f>
        <v>T88</v>
      </c>
      <c r="C77" t="str">
        <f ca="1">IFERROR(__xludf.DUMMYFUNCTION("""COMPUTED_VALUE"""),"Patrick Cantlay")</f>
        <v>Patrick Cantlay</v>
      </c>
      <c r="D77">
        <f ca="1">IFERROR(__xludf.DUMMYFUNCTION("""COMPUTED_VALUE"""),16)</f>
        <v>16</v>
      </c>
      <c r="E77">
        <f ca="1">IFERROR(__xludf.DUMMYFUNCTION("""COMPUTED_VALUE"""),63.34)</f>
        <v>63.34</v>
      </c>
      <c r="F77" s="1">
        <f ca="1">IFERROR(__xludf.DUMMYFUNCTION("""COMPUTED_VALUE"""),653101)</f>
        <v>653101</v>
      </c>
      <c r="G77" s="1">
        <f ca="1">IFERROR(__xludf.DUMMYFUNCTION("""COMPUTED_VALUE"""),103110)</f>
        <v>103110</v>
      </c>
    </row>
    <row r="78" spans="1:7" ht="12.75">
      <c r="A78" t="str">
        <f ca="1">IFERROR(__xludf.DUMMYFUNCTION("""COMPUTED_VALUE"""),"T76")</f>
        <v>T76</v>
      </c>
      <c r="B78" t="str">
        <f ca="1">IFERROR(__xludf.DUMMYFUNCTION("""COMPUTED_VALUE"""),"T88")</f>
        <v>T88</v>
      </c>
      <c r="C78" t="str">
        <f ca="1">IFERROR(__xludf.DUMMYFUNCTION("""COMPUTED_VALUE"""),"Seonghyeon Kim")</f>
        <v>Seonghyeon Kim</v>
      </c>
      <c r="D78">
        <f ca="1">IFERROR(__xludf.DUMMYFUNCTION("""COMPUTED_VALUE"""),4)</f>
        <v>4</v>
      </c>
      <c r="E78">
        <f ca="1">IFERROR(__xludf.DUMMYFUNCTION("""COMPUTED_VALUE"""),63.34)</f>
        <v>63.34</v>
      </c>
      <c r="F78" s="1">
        <f ca="1">IFERROR(__xludf.DUMMYFUNCTION("""COMPUTED_VALUE"""),167736)</f>
        <v>167736</v>
      </c>
      <c r="G78" s="1">
        <f ca="1">IFERROR(__xludf.DUMMYFUNCTION("""COMPUTED_VALUE"""),26480)</f>
        <v>26480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IFERROR(__xludf.DUMMYFUNCTION("""COMPUTED_VALUE"""),"T93")</f>
        <v>T93</v>
      </c>
      <c r="C79" t="str">
        <f ca="1">IFERROR(__xludf.DUMMYFUNCTION("""COMPUTED_VALUE"""),"Byeong Hun An")</f>
        <v>Byeong Hun An</v>
      </c>
      <c r="D79">
        <f ca="1">IFERROR(__xludf.DUMMYFUNCTION("""COMPUTED_VALUE"""),14)</f>
        <v>14</v>
      </c>
      <c r="E79">
        <f ca="1">IFERROR(__xludf.DUMMYFUNCTION("""COMPUTED_VALUE"""),63.31)</f>
        <v>63.31</v>
      </c>
      <c r="F79" s="1">
        <f ca="1">IFERROR(__xludf.DUMMYFUNCTION("""COMPUTED_VALUE"""),568365)</f>
        <v>568365</v>
      </c>
      <c r="G79" s="1">
        <f ca="1">IFERROR(__xludf.DUMMYFUNCTION("""COMPUTED_VALUE"""),89782)</f>
        <v>89782</v>
      </c>
    </row>
    <row r="80" spans="1:7" ht="12.75">
      <c r="A80" t="str">
        <f ca="1">IFERROR(__xludf.DUMMYFUNCTION("""COMPUTED_VALUE"""),"T78")</f>
        <v>T78</v>
      </c>
      <c r="B80">
        <f ca="1">IFERROR(__xludf.DUMMYFUNCTION("""COMPUTED_VALUE"""),70)</f>
        <v>70</v>
      </c>
      <c r="C80" t="str">
        <f ca="1">IFERROR(__xludf.DUMMYFUNCTION("""COMPUTED_VALUE"""),"Xinjun Zhang")</f>
        <v>Xinjun Zhang</v>
      </c>
      <c r="D80">
        <f ca="1">IFERROR(__xludf.DUMMYFUNCTION("""COMPUTED_VALUE"""),14)</f>
        <v>14</v>
      </c>
      <c r="E80">
        <f ca="1">IFERROR(__xludf.DUMMYFUNCTION("""COMPUTED_VALUE"""),63.31)</f>
        <v>63.31</v>
      </c>
      <c r="F80" s="1">
        <f ca="1">IFERROR(__xludf.DUMMYFUNCTION("""COMPUTED_VALUE"""),402385)</f>
        <v>402385</v>
      </c>
      <c r="G80" s="1">
        <f ca="1">IFERROR(__xludf.DUMMYFUNCTION("""COMPUTED_VALUE"""),63561)</f>
        <v>63561</v>
      </c>
    </row>
    <row r="81" spans="1:7" ht="12.75">
      <c r="A81" t="str">
        <f ca="1">IFERROR(__xludf.DUMMYFUNCTION("""COMPUTED_VALUE"""),"T78")</f>
        <v>T78</v>
      </c>
      <c r="B81" t="str">
        <f ca="1">IFERROR(__xludf.DUMMYFUNCTION("""COMPUTED_VALUE"""),"T93")</f>
        <v>T93</v>
      </c>
      <c r="C81" t="str">
        <f ca="1">IFERROR(__xludf.DUMMYFUNCTION("""COMPUTED_VALUE"""),"Charles Howell III")</f>
        <v>Charles Howell III</v>
      </c>
      <c r="D81">
        <f ca="1">IFERROR(__xludf.DUMMYFUNCTION("""COMPUTED_VALUE"""),10)</f>
        <v>10</v>
      </c>
      <c r="E81">
        <f ca="1">IFERROR(__xludf.DUMMYFUNCTION("""COMPUTED_VALUE"""),63.31)</f>
        <v>63.31</v>
      </c>
      <c r="F81" s="1">
        <f ca="1">IFERROR(__xludf.DUMMYFUNCTION("""COMPUTED_VALUE"""),333019)</f>
        <v>333019</v>
      </c>
      <c r="G81" s="1">
        <f ca="1">IFERROR(__xludf.DUMMYFUNCTION("""COMPUTED_VALUE"""),52599)</f>
        <v>52599</v>
      </c>
    </row>
    <row r="82" spans="1:7" ht="12.75">
      <c r="A82" t="str">
        <f ca="1">IFERROR(__xludf.DUMMYFUNCTION("""COMPUTED_VALUE"""),"T81")</f>
        <v>T81</v>
      </c>
      <c r="B82">
        <f ca="1">IFERROR(__xludf.DUMMYFUNCTION("""COMPUTED_VALUE"""),212)</f>
        <v>212</v>
      </c>
      <c r="C82" t="str">
        <f ca="1">IFERROR(__xludf.DUMMYFUNCTION("""COMPUTED_VALUE"""),"Dustin Johnson")</f>
        <v>Dustin Johnson</v>
      </c>
      <c r="D82">
        <f ca="1">IFERROR(__xludf.DUMMYFUNCTION("""COMPUTED_VALUE"""),8)</f>
        <v>8</v>
      </c>
      <c r="E82">
        <f ca="1">IFERROR(__xludf.DUMMYFUNCTION("""COMPUTED_VALUE"""),63.29)</f>
        <v>63.29</v>
      </c>
      <c r="F82" s="1">
        <f ca="1">IFERROR(__xludf.DUMMYFUNCTION("""COMPUTED_VALUE"""),330205)</f>
        <v>330205</v>
      </c>
      <c r="G82" s="1">
        <f ca="1">IFERROR(__xludf.DUMMYFUNCTION("""COMPUTED_VALUE"""),52173)</f>
        <v>52173</v>
      </c>
    </row>
    <row r="83" spans="1:7" ht="12.75">
      <c r="A83" t="str">
        <f ca="1">IFERROR(__xludf.DUMMYFUNCTION("""COMPUTED_VALUE"""),"T81")</f>
        <v>T81</v>
      </c>
      <c r="B83">
        <f ca="1">IFERROR(__xludf.DUMMYFUNCTION("""COMPUTED_VALUE"""),96)</f>
        <v>96</v>
      </c>
      <c r="C83" t="str">
        <f ca="1">IFERROR(__xludf.DUMMYFUNCTION("""COMPUTED_VALUE"""),"Bud Cauley")</f>
        <v>Bud Cauley</v>
      </c>
      <c r="D83">
        <f ca="1">IFERROR(__xludf.DUMMYFUNCTION("""COMPUTED_VALUE"""),4)</f>
        <v>4</v>
      </c>
      <c r="E83">
        <f ca="1">IFERROR(__xludf.DUMMYFUNCTION("""COMPUTED_VALUE"""),63.29)</f>
        <v>63.29</v>
      </c>
      <c r="F83" s="1">
        <f ca="1">IFERROR(__xludf.DUMMYFUNCTION("""COMPUTED_VALUE"""),160506)</f>
        <v>160506</v>
      </c>
      <c r="G83" s="1">
        <f ca="1">IFERROR(__xludf.DUMMYFUNCTION("""COMPUTED_VALUE"""),25359)</f>
        <v>25359</v>
      </c>
    </row>
    <row r="84" spans="1:7" ht="12.75">
      <c r="A84" t="str">
        <f ca="1">IFERROR(__xludf.DUMMYFUNCTION("""COMPUTED_VALUE"""),"T81")</f>
        <v>T81</v>
      </c>
      <c r="B84">
        <f ca="1">IFERROR(__xludf.DUMMYFUNCTION("""COMPUTED_VALUE"""),79)</f>
        <v>79</v>
      </c>
      <c r="C84" t="str">
        <f ca="1">IFERROR(__xludf.DUMMYFUNCTION("""COMPUTED_VALUE"""),"Si Woo Kim")</f>
        <v>Si Woo Kim</v>
      </c>
      <c r="D84">
        <f ca="1">IFERROR(__xludf.DUMMYFUNCTION("""COMPUTED_VALUE"""),20)</f>
        <v>20</v>
      </c>
      <c r="E84">
        <f ca="1">IFERROR(__xludf.DUMMYFUNCTION("""COMPUTED_VALUE"""),63.29)</f>
        <v>63.29</v>
      </c>
      <c r="F84" s="1">
        <f ca="1">IFERROR(__xludf.DUMMYFUNCTION("""COMPUTED_VALUE"""),819214)</f>
        <v>819214</v>
      </c>
      <c r="G84" s="1">
        <f ca="1">IFERROR(__xludf.DUMMYFUNCTION("""COMPUTED_VALUE"""),129446)</f>
        <v>129446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IFERROR(__xludf.DUMMYFUNCTION("""COMPUTED_VALUE"""),75)</f>
        <v>75</v>
      </c>
      <c r="C85" t="str">
        <f ca="1">IFERROR(__xludf.DUMMYFUNCTION("""COMPUTED_VALUE"""),"Grayson Murray")</f>
        <v>Grayson Murray</v>
      </c>
      <c r="D85">
        <f ca="1">IFERROR(__xludf.DUMMYFUNCTION("""COMPUTED_VALUE"""),10)</f>
        <v>10</v>
      </c>
      <c r="E85">
        <f ca="1">IFERROR(__xludf.DUMMYFUNCTION("""COMPUTED_VALUE"""),63.24)</f>
        <v>63.24</v>
      </c>
      <c r="F85" s="1">
        <f ca="1">IFERROR(__xludf.DUMMYFUNCTION("""COMPUTED_VALUE"""),324616)</f>
        <v>324616</v>
      </c>
      <c r="G85" s="1">
        <f ca="1">IFERROR(__xludf.DUMMYFUNCTION("""COMPUTED_VALUE"""),51334)</f>
        <v>51334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IFERROR(__xludf.DUMMYFUNCTION("""COMPUTED_VALUE"""),97)</f>
        <v>97</v>
      </c>
      <c r="C86" t="str">
        <f ca="1">IFERROR(__xludf.DUMMYFUNCTION("""COMPUTED_VALUE"""),"Hanbyeol Kim")</f>
        <v>Hanbyeol Kim</v>
      </c>
      <c r="D86">
        <f ca="1">IFERROR(__xludf.DUMMYFUNCTION("""COMPUTED_VALUE"""),4)</f>
        <v>4</v>
      </c>
      <c r="E86">
        <f ca="1">IFERROR(__xludf.DUMMYFUNCTION("""COMPUTED_VALUE"""),63.23)</f>
        <v>63.23</v>
      </c>
      <c r="F86" s="1">
        <f ca="1">IFERROR(__xludf.DUMMYFUNCTION("""COMPUTED_VALUE"""),167444)</f>
        <v>167444</v>
      </c>
      <c r="G86" s="1">
        <f ca="1">IFERROR(__xludf.DUMMYFUNCTION("""COMPUTED_VALUE"""),26480)</f>
        <v>26480</v>
      </c>
    </row>
    <row r="87" spans="1:7" ht="12.75">
      <c r="A87" t="str">
        <f ca="1">IFERROR(__xludf.DUMMYFUNCTION("""COMPUTED_VALUE"""),"T86")</f>
        <v>T86</v>
      </c>
      <c r="B87" t="str">
        <f ca="1">IFERROR(__xludf.DUMMYFUNCTION("""COMPUTED_VALUE"""),"T98")</f>
        <v>T98</v>
      </c>
      <c r="C87" t="str">
        <f ca="1">IFERROR(__xludf.DUMMYFUNCTION("""COMPUTED_VALUE"""),"Nelson Ledesma")</f>
        <v>Nelson Ledesma</v>
      </c>
      <c r="D87">
        <f ca="1">IFERROR(__xludf.DUMMYFUNCTION("""COMPUTED_VALUE"""),8)</f>
        <v>8</v>
      </c>
      <c r="E87">
        <f ca="1">IFERROR(__xludf.DUMMYFUNCTION("""COMPUTED_VALUE"""),63.22)</f>
        <v>63.22</v>
      </c>
      <c r="F87" s="1">
        <f ca="1">IFERROR(__xludf.DUMMYFUNCTION("""COMPUTED_VALUE"""),160316)</f>
        <v>160316</v>
      </c>
      <c r="G87" s="1">
        <f ca="1">IFERROR(__xludf.DUMMYFUNCTION("""COMPUTED_VALUE"""),25359)</f>
        <v>25359</v>
      </c>
    </row>
    <row r="88" spans="1:7" ht="12.75">
      <c r="A88" t="str">
        <f ca="1">IFERROR(__xludf.DUMMYFUNCTION("""COMPUTED_VALUE"""),"T86")</f>
        <v>T86</v>
      </c>
      <c r="B88">
        <f ca="1">IFERROR(__xludf.DUMMYFUNCTION("""COMPUTED_VALUE"""),68)</f>
        <v>68</v>
      </c>
      <c r="C88" t="str">
        <f ca="1">IFERROR(__xludf.DUMMYFUNCTION("""COMPUTED_VALUE"""),"Pat Perez")</f>
        <v>Pat Perez</v>
      </c>
      <c r="D88">
        <f ca="1">IFERROR(__xludf.DUMMYFUNCTION("""COMPUTED_VALUE"""),16)</f>
        <v>16</v>
      </c>
      <c r="E88">
        <f ca="1">IFERROR(__xludf.DUMMYFUNCTION("""COMPUTED_VALUE"""),63.22)</f>
        <v>63.22</v>
      </c>
      <c r="F88" s="1">
        <f ca="1">IFERROR(__xludf.DUMMYFUNCTION("""COMPUTED_VALUE"""),401848)</f>
        <v>401848</v>
      </c>
      <c r="G88" s="1">
        <f ca="1">IFERROR(__xludf.DUMMYFUNCTION("""COMPUTED_VALUE"""),63561)</f>
        <v>63561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IFERROR(__xludf.DUMMYFUNCTION("""COMPUTED_VALUE"""),61)</f>
        <v>61</v>
      </c>
      <c r="C89" t="str">
        <f ca="1">IFERROR(__xludf.DUMMYFUNCTION("""COMPUTED_VALUE"""),"Scott Stallings")</f>
        <v>Scott Stallings</v>
      </c>
      <c r="D89">
        <f ca="1">IFERROR(__xludf.DUMMYFUNCTION("""COMPUTED_VALUE"""),14)</f>
        <v>14</v>
      </c>
      <c r="E89">
        <f ca="1">IFERROR(__xludf.DUMMYFUNCTION("""COMPUTED_VALUE"""),63.19)</f>
        <v>63.19</v>
      </c>
      <c r="F89" s="1">
        <f ca="1">IFERROR(__xludf.DUMMYFUNCTION("""COMPUTED_VALUE"""),404108)</f>
        <v>404108</v>
      </c>
      <c r="G89" s="1">
        <f ca="1">IFERROR(__xludf.DUMMYFUNCTION("""COMPUTED_VALUE"""),63947)</f>
        <v>63947</v>
      </c>
    </row>
    <row r="90" spans="1:7" ht="12.75">
      <c r="A90" t="str">
        <f ca="1">IFERROR(__xludf.DUMMYFUNCTION("""COMPUTED_VALUE"""),"T89")</f>
        <v>T89</v>
      </c>
      <c r="B90" t="str">
        <f ca="1">IFERROR(__xludf.DUMMYFUNCTION("""COMPUTED_VALUE"""),"T84")</f>
        <v>T84</v>
      </c>
      <c r="C90" t="str">
        <f ca="1">IFERROR(__xludf.DUMMYFUNCTION("""COMPUTED_VALUE"""),"Jimmy Walker")</f>
        <v>Jimmy Walker</v>
      </c>
      <c r="D90">
        <f ca="1">IFERROR(__xludf.DUMMYFUNCTION("""COMPUTED_VALUE"""),10)</f>
        <v>10</v>
      </c>
      <c r="E90">
        <f ca="1">IFERROR(__xludf.DUMMYFUNCTION("""COMPUTED_VALUE"""),63.18)</f>
        <v>63.18</v>
      </c>
      <c r="F90" s="1">
        <f ca="1">IFERROR(__xludf.DUMMYFUNCTION("""COMPUTED_VALUE"""),409958)</f>
        <v>409958</v>
      </c>
      <c r="G90" s="1">
        <f ca="1">IFERROR(__xludf.DUMMYFUNCTION("""COMPUTED_VALUE"""),64891)</f>
        <v>64891</v>
      </c>
    </row>
    <row r="91" spans="1:7" ht="12.75">
      <c r="A91" t="str">
        <f ca="1">IFERROR(__xludf.DUMMYFUNCTION("""COMPUTED_VALUE"""),"T89")</f>
        <v>T89</v>
      </c>
      <c r="B91">
        <f ca="1">IFERROR(__xludf.DUMMYFUNCTION("""COMPUTED_VALUE"""),102)</f>
        <v>102</v>
      </c>
      <c r="C91" t="str">
        <f ca="1">IFERROR(__xludf.DUMMYFUNCTION("""COMPUTED_VALUE"""),"Davis Riley")</f>
        <v>Davis Riley</v>
      </c>
      <c r="D91">
        <f ca="1">IFERROR(__xludf.DUMMYFUNCTION("""COMPUTED_VALUE"""),4)</f>
        <v>4</v>
      </c>
      <c r="E91">
        <f ca="1">IFERROR(__xludf.DUMMYFUNCTION("""COMPUTED_VALUE"""),63.18)</f>
        <v>63.18</v>
      </c>
      <c r="F91" s="1">
        <f ca="1">IFERROR(__xludf.DUMMYFUNCTION("""COMPUTED_VALUE"""),168422)</f>
        <v>168422</v>
      </c>
      <c r="G91" s="1">
        <f ca="1">IFERROR(__xludf.DUMMYFUNCTION("""COMPUTED_VALUE"""),26658)</f>
        <v>26658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IFERROR(__xludf.DUMMYFUNCTION("""COMPUTED_VALUE"""),74)</f>
        <v>74</v>
      </c>
      <c r="C92" t="str">
        <f ca="1">IFERROR(__xludf.DUMMYFUNCTION("""COMPUTED_VALUE"""),"Denny McCarthy")</f>
        <v>Denny McCarthy</v>
      </c>
      <c r="D92">
        <f ca="1">IFERROR(__xludf.DUMMYFUNCTION("""COMPUTED_VALUE"""),22)</f>
        <v>22</v>
      </c>
      <c r="E92">
        <f ca="1">IFERROR(__xludf.DUMMYFUNCTION("""COMPUTED_VALUE"""),63.17)</f>
        <v>63.17</v>
      </c>
      <c r="F92" s="1">
        <f ca="1">IFERROR(__xludf.DUMMYFUNCTION("""COMPUTED_VALUE"""),562160)</f>
        <v>562160</v>
      </c>
      <c r="G92" s="1">
        <f ca="1">IFERROR(__xludf.DUMMYFUNCTION("""COMPUTED_VALUE"""),88997)</f>
        <v>88997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IFERROR(__xludf.DUMMYFUNCTION("""COMPUTED_VALUE"""),103)</f>
        <v>103</v>
      </c>
      <c r="C93" t="str">
        <f ca="1">IFERROR(__xludf.DUMMYFUNCTION("""COMPUTED_VALUE"""),"Akshay Bhatia")</f>
        <v>Akshay Bhatia</v>
      </c>
      <c r="D93">
        <f ca="1">IFERROR(__xludf.DUMMYFUNCTION("""COMPUTED_VALUE"""),6)</f>
        <v>6</v>
      </c>
      <c r="E93">
        <f ca="1">IFERROR(__xludf.DUMMYFUNCTION("""COMPUTED_VALUE"""),63.15)</f>
        <v>63.15</v>
      </c>
      <c r="F93" s="1">
        <f ca="1">IFERROR(__xludf.DUMMYFUNCTION("""COMPUTED_VALUE"""),160134)</f>
        <v>160134</v>
      </c>
      <c r="G93" s="1">
        <f ca="1">IFERROR(__xludf.DUMMYFUNCTION("""COMPUTED_VALUE"""),25359)</f>
        <v>25359</v>
      </c>
    </row>
    <row r="94" spans="1:7" ht="12.75">
      <c r="A94" t="str">
        <f ca="1">IFERROR(__xludf.DUMMYFUNCTION("""COMPUTED_VALUE"""),"T93")</f>
        <v>T93</v>
      </c>
      <c r="B94" t="str">
        <f ca="1">IFERROR(__xludf.DUMMYFUNCTION("""COMPUTED_VALUE"""),"T88")</f>
        <v>T88</v>
      </c>
      <c r="C94" t="str">
        <f ca="1">IFERROR(__xludf.DUMMYFUNCTION("""COMPUTED_VALUE"""),"Sungjae Im")</f>
        <v>Sungjae Im</v>
      </c>
      <c r="D94">
        <f ca="1">IFERROR(__xludf.DUMMYFUNCTION("""COMPUTED_VALUE"""),24)</f>
        <v>24</v>
      </c>
      <c r="E94">
        <f ca="1">IFERROR(__xludf.DUMMYFUNCTION("""COMPUTED_VALUE"""),63.09)</f>
        <v>63.09</v>
      </c>
      <c r="F94" s="1">
        <f ca="1">IFERROR(__xludf.DUMMYFUNCTION("""COMPUTED_VALUE"""),972083)</f>
        <v>972083</v>
      </c>
      <c r="G94" s="1">
        <f ca="1">IFERROR(__xludf.DUMMYFUNCTION("""COMPUTED_VALUE"""),154084)</f>
        <v>154084</v>
      </c>
    </row>
    <row r="95" spans="1:7" ht="12.75">
      <c r="A95" t="str">
        <f ca="1">IFERROR(__xludf.DUMMYFUNCTION("""COMPUTED_VALUE"""),"T93")</f>
        <v>T93</v>
      </c>
      <c r="B95" t="str">
        <f ca="1">IFERROR(__xludf.DUMMYFUNCTION("""COMPUTED_VALUE"""),"T105")</f>
        <v>T105</v>
      </c>
      <c r="C95" t="str">
        <f ca="1">IFERROR(__xludf.DUMMYFUNCTION("""COMPUTED_VALUE"""),"Bubba Watson")</f>
        <v>Bubba Watson</v>
      </c>
      <c r="D95">
        <f ca="1">IFERROR(__xludf.DUMMYFUNCTION("""COMPUTED_VALUE"""),12)</f>
        <v>12</v>
      </c>
      <c r="E95">
        <f ca="1">IFERROR(__xludf.DUMMYFUNCTION("""COMPUTED_VALUE"""),63.09)</f>
        <v>63.09</v>
      </c>
      <c r="F95" s="1">
        <f ca="1">IFERROR(__xludf.DUMMYFUNCTION("""COMPUTED_VALUE"""),490710)</f>
        <v>490710</v>
      </c>
      <c r="G95" s="1">
        <f ca="1">IFERROR(__xludf.DUMMYFUNCTION("""COMPUTED_VALUE"""),77781)</f>
        <v>77781</v>
      </c>
    </row>
    <row r="96" spans="1:7" ht="12.75">
      <c r="A96" t="str">
        <f ca="1">IFERROR(__xludf.DUMMYFUNCTION("""COMPUTED_VALUE"""),"T93")</f>
        <v>T93</v>
      </c>
      <c r="B96" t="str">
        <f ca="1">IFERROR(__xludf.DUMMYFUNCTION("""COMPUTED_VALUE"""),"")</f>
        <v/>
      </c>
      <c r="C96" t="str">
        <f ca="1">IFERROR(__xludf.DUMMYFUNCTION("""COMPUTED_VALUE"""),"Francesco Molinari")</f>
        <v>Francesco Molinari</v>
      </c>
      <c r="D96">
        <f ca="1">IFERROR(__xludf.DUMMYFUNCTION("""COMPUTED_VALUE"""),6)</f>
        <v>6</v>
      </c>
      <c r="E96">
        <f ca="1">IFERROR(__xludf.DUMMYFUNCTION("""COMPUTED_VALUE"""),63.09)</f>
        <v>63.09</v>
      </c>
      <c r="F96" s="1">
        <f ca="1">IFERROR(__xludf.DUMMYFUNCTION("""COMPUTED_VALUE"""),236680)</f>
        <v>236680</v>
      </c>
      <c r="G96" s="1">
        <f ca="1">IFERROR(__xludf.DUMMYFUNCTION("""COMPUTED_VALUE"""),37516)</f>
        <v>37516</v>
      </c>
    </row>
    <row r="97" spans="1:7" ht="12.75">
      <c r="A97" t="str">
        <f ca="1">IFERROR(__xludf.DUMMYFUNCTION("""COMPUTED_VALUE"""),"T96")</f>
        <v>T96</v>
      </c>
      <c r="B97">
        <f ca="1">IFERROR(__xludf.DUMMYFUNCTION("""COMPUTED_VALUE"""),115)</f>
        <v>115</v>
      </c>
      <c r="C97" t="str">
        <f ca="1">IFERROR(__xludf.DUMMYFUNCTION("""COMPUTED_VALUE"""),"Jason Day")</f>
        <v>Jason Day</v>
      </c>
      <c r="D97">
        <f ca="1">IFERROR(__xludf.DUMMYFUNCTION("""COMPUTED_VALUE"""),17)</f>
        <v>17</v>
      </c>
      <c r="E97">
        <f ca="1">IFERROR(__xludf.DUMMYFUNCTION("""COMPUTED_VALUE"""),63.08)</f>
        <v>63.08</v>
      </c>
      <c r="F97" s="1">
        <f ca="1">IFERROR(__xludf.DUMMYFUNCTION("""COMPUTED_VALUE"""),685568)</f>
        <v>685568</v>
      </c>
      <c r="G97" s="1">
        <f ca="1">IFERROR(__xludf.DUMMYFUNCTION("""COMPUTED_VALUE"""),108684)</f>
        <v>108684</v>
      </c>
    </row>
    <row r="98" spans="1:7" ht="12.75">
      <c r="A98" t="str">
        <f ca="1">IFERROR(__xludf.DUMMYFUNCTION("""COMPUTED_VALUE"""),"T96")</f>
        <v>T96</v>
      </c>
      <c r="B98">
        <f ca="1">IFERROR(__xludf.DUMMYFUNCTION("""COMPUTED_VALUE"""),107)</f>
        <v>107</v>
      </c>
      <c r="C98" t="str">
        <f ca="1">IFERROR(__xludf.DUMMYFUNCTION("""COMPUTED_VALUE"""),"Vincent Whaley")</f>
        <v>Vincent Whaley</v>
      </c>
      <c r="D98">
        <f ca="1">IFERROR(__xludf.DUMMYFUNCTION("""COMPUTED_VALUE"""),14)</f>
        <v>14</v>
      </c>
      <c r="E98">
        <f ca="1">IFERROR(__xludf.DUMMYFUNCTION("""COMPUTED_VALUE"""),63.08)</f>
        <v>63.08</v>
      </c>
      <c r="F98" s="1">
        <f ca="1">IFERROR(__xludf.DUMMYFUNCTION("""COMPUTED_VALUE"""),324446)</f>
        <v>324446</v>
      </c>
      <c r="G98" s="1">
        <f ca="1">IFERROR(__xludf.DUMMYFUNCTION("""COMPUTED_VALUE"""),51430)</f>
        <v>51430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IFERROR(__xludf.DUMMYFUNCTION("""COMPUTED_VALUE"""),108)</f>
        <v>108</v>
      </c>
      <c r="C99" t="str">
        <f ca="1">IFERROR(__xludf.DUMMYFUNCTION("""COMPUTED_VALUE"""),"Louis Oosthuizen")</f>
        <v>Louis Oosthuizen</v>
      </c>
      <c r="D99">
        <f ca="1">IFERROR(__xludf.DUMMYFUNCTION("""COMPUTED_VALUE"""),12)</f>
        <v>12</v>
      </c>
      <c r="E99">
        <f ca="1">IFERROR(__xludf.DUMMYFUNCTION("""COMPUTED_VALUE"""),63.04)</f>
        <v>63.04</v>
      </c>
      <c r="F99" s="1">
        <f ca="1">IFERROR(__xludf.DUMMYFUNCTION("""COMPUTED_VALUE"""),498487)</f>
        <v>498487</v>
      </c>
      <c r="G99" s="1">
        <f ca="1">IFERROR(__xludf.DUMMYFUNCTION("""COMPUTED_VALUE"""),79079)</f>
        <v>79079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IFERROR(__xludf.DUMMYFUNCTION("""COMPUTED_VALUE"""),66)</f>
        <v>66</v>
      </c>
      <c r="C100" t="str">
        <f ca="1">IFERROR(__xludf.DUMMYFUNCTION("""COMPUTED_VALUE"""),"Jason Dufner")</f>
        <v>Jason Dufner</v>
      </c>
      <c r="D100">
        <f ca="1">IFERROR(__xludf.DUMMYFUNCTION("""COMPUTED_VALUE"""),14)</f>
        <v>14</v>
      </c>
      <c r="E100">
        <f ca="1">IFERROR(__xludf.DUMMYFUNCTION("""COMPUTED_VALUE"""),63.02)</f>
        <v>63.02</v>
      </c>
      <c r="F100" s="1">
        <f ca="1">IFERROR(__xludf.DUMMYFUNCTION("""COMPUTED_VALUE"""),400586)</f>
        <v>400586</v>
      </c>
      <c r="G100" s="1">
        <f ca="1">IFERROR(__xludf.DUMMYFUNCTION("""COMPUTED_VALUE"""),63561)</f>
        <v>63561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IFERROR(__xludf.DUMMYFUNCTION("""COMPUTED_VALUE"""),"T105")</f>
        <v>T105</v>
      </c>
      <c r="C101" t="str">
        <f ca="1">IFERROR(__xludf.DUMMYFUNCTION("""COMPUTED_VALUE"""),"Scott Brown")</f>
        <v>Scott Brown</v>
      </c>
      <c r="D101">
        <f ca="1">IFERROR(__xludf.DUMMYFUNCTION("""COMPUTED_VALUE"""),14)</f>
        <v>14</v>
      </c>
      <c r="E101">
        <f ca="1">IFERROR(__xludf.DUMMYFUNCTION("""COMPUTED_VALUE"""),63.01)</f>
        <v>63.01</v>
      </c>
      <c r="F101" s="1">
        <f ca="1">IFERROR(__xludf.DUMMYFUNCTION("""COMPUTED_VALUE"""),398389)</f>
        <v>398389</v>
      </c>
      <c r="G101" s="1">
        <f ca="1">IFERROR(__xludf.DUMMYFUNCTION("""COMPUTED_VALUE"""),63230)</f>
        <v>63230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IFERROR(__xludf.DUMMYFUNCTION("""COMPUTED_VALUE"""),110)</f>
        <v>110</v>
      </c>
      <c r="C102" t="str">
        <f ca="1">IFERROR(__xludf.DUMMYFUNCTION("""COMPUTED_VALUE"""),"Taylor Pendrith")</f>
        <v>Taylor Pendrith</v>
      </c>
      <c r="D102">
        <f ca="1">IFERROR(__xludf.DUMMYFUNCTION("""COMPUTED_VALUE"""),4)</f>
        <v>4</v>
      </c>
      <c r="E102">
        <f ca="1">IFERROR(__xludf.DUMMYFUNCTION("""COMPUTED_VALUE"""),62.98)</f>
        <v>62.98</v>
      </c>
      <c r="F102" s="1">
        <f ca="1">IFERROR(__xludf.DUMMYFUNCTION("""COMPUTED_VALUE"""),171740)</f>
        <v>171740</v>
      </c>
      <c r="G102" s="1">
        <f ca="1">IFERROR(__xludf.DUMMYFUNCTION("""COMPUTED_VALUE"""),27270)</f>
        <v>27270</v>
      </c>
    </row>
    <row r="103" spans="1:7" ht="12.75">
      <c r="A103">
        <f ca="1">IFERROR(__xludf.DUMMYFUNCTION("""COMPUTED_VALUE"""),102)</f>
        <v>102</v>
      </c>
      <c r="B103">
        <f ca="1">IFERROR(__xludf.DUMMYFUNCTION("""COMPUTED_VALUE"""),80)</f>
        <v>80</v>
      </c>
      <c r="C103" t="str">
        <f ca="1">IFERROR(__xludf.DUMMYFUNCTION("""COMPUTED_VALUE"""),"Camilo Villegas")</f>
        <v>Camilo Villegas</v>
      </c>
      <c r="D103">
        <f ca="1">IFERROR(__xludf.DUMMYFUNCTION("""COMPUTED_VALUE"""),14)</f>
        <v>14</v>
      </c>
      <c r="E103">
        <f ca="1">IFERROR(__xludf.DUMMYFUNCTION("""COMPUTED_VALUE"""),62.94)</f>
        <v>62.94</v>
      </c>
      <c r="F103" s="1">
        <f ca="1">IFERROR(__xludf.DUMMYFUNCTION("""COMPUTED_VALUE"""),402491)</f>
        <v>402491</v>
      </c>
      <c r="G103" s="1">
        <f ca="1">IFERROR(__xludf.DUMMYFUNCTION("""COMPUTED_VALUE"""),63947)</f>
        <v>63947</v>
      </c>
    </row>
    <row r="104" spans="1:7" ht="12.75">
      <c r="A104">
        <f ca="1">IFERROR(__xludf.DUMMYFUNCTION("""COMPUTED_VALUE"""),103)</f>
        <v>103</v>
      </c>
      <c r="B104" t="str">
        <f ca="1">IFERROR(__xludf.DUMMYFUNCTION("""COMPUTED_VALUE"""),"T100")</f>
        <v>T100</v>
      </c>
      <c r="C104" t="str">
        <f ca="1">IFERROR(__xludf.DUMMYFUNCTION("""COMPUTED_VALUE"""),"J.T. Poston")</f>
        <v>J.T. Poston</v>
      </c>
      <c r="D104">
        <f ca="1">IFERROR(__xludf.DUMMYFUNCTION("""COMPUTED_VALUE"""),18)</f>
        <v>18</v>
      </c>
      <c r="E104">
        <f ca="1">IFERROR(__xludf.DUMMYFUNCTION("""COMPUTED_VALUE"""),62.93)</f>
        <v>62.93</v>
      </c>
      <c r="F104" s="1">
        <f ca="1">IFERROR(__xludf.DUMMYFUNCTION("""COMPUTED_VALUE"""),732618)</f>
        <v>732618</v>
      </c>
      <c r="G104" s="1">
        <f ca="1">IFERROR(__xludf.DUMMYFUNCTION("""COMPUTED_VALUE"""),116421)</f>
        <v>116421</v>
      </c>
    </row>
    <row r="105" spans="1:7" ht="12.75">
      <c r="A105">
        <f ca="1">IFERROR(__xludf.DUMMYFUNCTION("""COMPUTED_VALUE"""),104)</f>
        <v>104</v>
      </c>
      <c r="B105" t="str">
        <f ca="1">IFERROR(__xludf.DUMMYFUNCTION("""COMPUTED_VALUE"""),"")</f>
        <v/>
      </c>
      <c r="C105" t="str">
        <f ca="1">IFERROR(__xludf.DUMMYFUNCTION("""COMPUTED_VALUE"""),"Ollie Schniederjans")</f>
        <v>Ollie Schniederjans</v>
      </c>
      <c r="D105">
        <f ca="1">IFERROR(__xludf.DUMMYFUNCTION("""COMPUTED_VALUE"""),6)</f>
        <v>6</v>
      </c>
      <c r="E105">
        <f ca="1">IFERROR(__xludf.DUMMYFUNCTION("""COMPUTED_VALUE"""),62.92)</f>
        <v>62.92</v>
      </c>
      <c r="F105" s="1">
        <f ca="1">IFERROR(__xludf.DUMMYFUNCTION("""COMPUTED_VALUE"""),79085)</f>
        <v>79085</v>
      </c>
      <c r="G105" s="1">
        <f ca="1">IFERROR(__xludf.DUMMYFUNCTION("""COMPUTED_VALUE"""),12569)</f>
        <v>12569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IFERROR(__xludf.DUMMYFUNCTION("""COMPUTED_VALUE"""),64)</f>
        <v>64</v>
      </c>
      <c r="C106" t="str">
        <f ca="1">IFERROR(__xludf.DUMMYFUNCTION("""COMPUTED_VALUE"""),"Austin Cook")</f>
        <v>Austin Cook</v>
      </c>
      <c r="D106">
        <f ca="1">IFERROR(__xludf.DUMMYFUNCTION("""COMPUTED_VALUE"""),14)</f>
        <v>14</v>
      </c>
      <c r="E106">
        <f ca="1">IFERROR(__xludf.DUMMYFUNCTION("""COMPUTED_VALUE"""),62.88)</f>
        <v>62.88</v>
      </c>
      <c r="F106" s="1">
        <f ca="1">IFERROR(__xludf.DUMMYFUNCTION("""COMPUTED_VALUE"""),557172)</f>
        <v>557172</v>
      </c>
      <c r="G106" s="1">
        <f ca="1">IFERROR(__xludf.DUMMYFUNCTION("""COMPUTED_VALUE"""),88611)</f>
        <v>88611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IFERROR(__xludf.DUMMYFUNCTION("""COMPUTED_VALUE"""),104)</f>
        <v>104</v>
      </c>
      <c r="C107" t="str">
        <f ca="1">IFERROR(__xludf.DUMMYFUNCTION("""COMPUTED_VALUE"""),"Henrik Norlander")</f>
        <v>Henrik Norlander</v>
      </c>
      <c r="D107">
        <f ca="1">IFERROR(__xludf.DUMMYFUNCTION("""COMPUTED_VALUE"""),16)</f>
        <v>16</v>
      </c>
      <c r="E107">
        <f ca="1">IFERROR(__xludf.DUMMYFUNCTION("""COMPUTED_VALUE"""),62.83)</f>
        <v>62.83</v>
      </c>
      <c r="F107" s="1">
        <f ca="1">IFERROR(__xludf.DUMMYFUNCTION("""COMPUTED_VALUE"""),481672)</f>
        <v>481672</v>
      </c>
      <c r="G107" s="1">
        <f ca="1">IFERROR(__xludf.DUMMYFUNCTION("""COMPUTED_VALUE"""),76663)</f>
        <v>76663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IFERROR(__xludf.DUMMYFUNCTION("""COMPUTED_VALUE"""),"")</f>
        <v/>
      </c>
      <c r="C108" t="str">
        <f ca="1">IFERROR(__xludf.DUMMYFUNCTION("""COMPUTED_VALUE"""),"Padraig Harrington")</f>
        <v>Padraig Harrington</v>
      </c>
      <c r="D108">
        <f ca="1">IFERROR(__xludf.DUMMYFUNCTION("""COMPUTED_VALUE"""),8)</f>
        <v>8</v>
      </c>
      <c r="E108">
        <f ca="1">IFERROR(__xludf.DUMMYFUNCTION("""COMPUTED_VALUE"""),62.8)</f>
        <v>62.8</v>
      </c>
      <c r="F108" s="1">
        <f ca="1">IFERROR(__xludf.DUMMYFUNCTION("""COMPUTED_VALUE"""),156393)</f>
        <v>156393</v>
      </c>
      <c r="G108" s="1">
        <f ca="1">IFERROR(__xludf.DUMMYFUNCTION("""COMPUTED_VALUE"""),24903)</f>
        <v>24903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IFERROR(__xludf.DUMMYFUNCTION("""COMPUTED_VALUE"""),"T98")</f>
        <v>T98</v>
      </c>
      <c r="C109" t="str">
        <f ca="1">IFERROR(__xludf.DUMMYFUNCTION("""COMPUTED_VALUE"""),"Bo Hoag")</f>
        <v>Bo Hoag</v>
      </c>
      <c r="D109">
        <f ca="1">IFERROR(__xludf.DUMMYFUNCTION("""COMPUTED_VALUE"""),14)</f>
        <v>14</v>
      </c>
      <c r="E109">
        <f ca="1">IFERROR(__xludf.DUMMYFUNCTION("""COMPUTED_VALUE"""),62.8)</f>
        <v>62.8</v>
      </c>
      <c r="F109" s="1">
        <f ca="1">IFERROR(__xludf.DUMMYFUNCTION("""COMPUTED_VALUE"""),399161)</f>
        <v>399161</v>
      </c>
      <c r="G109" s="1">
        <f ca="1">IFERROR(__xludf.DUMMYFUNCTION("""COMPUTED_VALUE"""),63561)</f>
        <v>63561</v>
      </c>
    </row>
    <row r="110" spans="1:7" ht="12.75">
      <c r="A110">
        <f ca="1">IFERROR(__xludf.DUMMYFUNCTION("""COMPUTED_VALUE"""),109)</f>
        <v>109</v>
      </c>
      <c r="B110" t="str">
        <f ca="1">IFERROR(__xludf.DUMMYFUNCTION("""COMPUTED_VALUE"""),"T100")</f>
        <v>T100</v>
      </c>
      <c r="C110" t="str">
        <f ca="1">IFERROR(__xludf.DUMMYFUNCTION("""COMPUTED_VALUE"""),"Kyoung-Hoon Lee")</f>
        <v>Kyoung-Hoon Lee</v>
      </c>
      <c r="D110">
        <f ca="1">IFERROR(__xludf.DUMMYFUNCTION("""COMPUTED_VALUE"""),20)</f>
        <v>20</v>
      </c>
      <c r="E110">
        <f ca="1">IFERROR(__xludf.DUMMYFUNCTION("""COMPUTED_VALUE"""),62.79)</f>
        <v>62.79</v>
      </c>
      <c r="F110" s="1">
        <f ca="1">IFERROR(__xludf.DUMMYFUNCTION("""COMPUTED_VALUE"""),567760)</f>
        <v>567760</v>
      </c>
      <c r="G110" s="1">
        <f ca="1">IFERROR(__xludf.DUMMYFUNCTION("""COMPUTED_VALUE"""),90427)</f>
        <v>90427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IFERROR(__xludf.DUMMYFUNCTION("""COMPUTED_VALUE"""),116)</f>
        <v>116</v>
      </c>
      <c r="C111" t="str">
        <f ca="1">IFERROR(__xludf.DUMMYFUNCTION("""COMPUTED_VALUE"""),"Viktor Hovland")</f>
        <v>Viktor Hovland</v>
      </c>
      <c r="D111">
        <f ca="1">IFERROR(__xludf.DUMMYFUNCTION("""COMPUTED_VALUE"""),16)</f>
        <v>16</v>
      </c>
      <c r="E111">
        <f ca="1">IFERROR(__xludf.DUMMYFUNCTION("""COMPUTED_VALUE"""),62.78)</f>
        <v>62.78</v>
      </c>
      <c r="F111" s="1">
        <f ca="1">IFERROR(__xludf.DUMMYFUNCTION("""COMPUTED_VALUE"""),644677)</f>
        <v>644677</v>
      </c>
      <c r="G111" s="1">
        <f ca="1">IFERROR(__xludf.DUMMYFUNCTION("""COMPUTED_VALUE"""),102684)</f>
        <v>102684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IFERROR(__xludf.DUMMYFUNCTION("""COMPUTED_VALUE"""),113)</f>
        <v>113</v>
      </c>
      <c r="C112" t="str">
        <f ca="1">IFERROR(__xludf.DUMMYFUNCTION("""COMPUTED_VALUE"""),"Jon Rahm")</f>
        <v>Jon Rahm</v>
      </c>
      <c r="D112">
        <f ca="1">IFERROR(__xludf.DUMMYFUNCTION("""COMPUTED_VALUE"""),12)</f>
        <v>12</v>
      </c>
      <c r="E112">
        <f ca="1">IFERROR(__xludf.DUMMYFUNCTION("""COMPUTED_VALUE"""),62.77)</f>
        <v>62.77</v>
      </c>
      <c r="F112" s="1">
        <f ca="1">IFERROR(__xludf.DUMMYFUNCTION("""COMPUTED_VALUE"""),488234)</f>
        <v>488234</v>
      </c>
      <c r="G112" s="1">
        <f ca="1">IFERROR(__xludf.DUMMYFUNCTION("""COMPUTED_VALUE"""),77781)</f>
        <v>77781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IFERROR(__xludf.DUMMYFUNCTION("""COMPUTED_VALUE"""),"T91")</f>
        <v>T91</v>
      </c>
      <c r="C113" t="str">
        <f ca="1">IFERROR(__xludf.DUMMYFUNCTION("""COMPUTED_VALUE"""),"Michael Kim")</f>
        <v>Michael Kim</v>
      </c>
      <c r="D113">
        <f ca="1">IFERROR(__xludf.DUMMYFUNCTION("""COMPUTED_VALUE"""),12)</f>
        <v>12</v>
      </c>
      <c r="E113">
        <f ca="1">IFERROR(__xludf.DUMMYFUNCTION("""COMPUTED_VALUE"""),62.77)</f>
        <v>62.77</v>
      </c>
      <c r="F113" s="1">
        <f ca="1">IFERROR(__xludf.DUMMYFUNCTION("""COMPUTED_VALUE"""),319495)</f>
        <v>319495</v>
      </c>
      <c r="G113" s="1">
        <f ca="1">IFERROR(__xludf.DUMMYFUNCTION("""COMPUTED_VALUE"""),50896)</f>
        <v>50896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IFERROR(__xludf.DUMMYFUNCTION("""COMPUTED_VALUE"""),112)</f>
        <v>112</v>
      </c>
      <c r="C114" t="str">
        <f ca="1">IFERROR(__xludf.DUMMYFUNCTION("""COMPUTED_VALUE"""),"Phil Mickelson")</f>
        <v>Phil Mickelson</v>
      </c>
      <c r="D114">
        <f ca="1">IFERROR(__xludf.DUMMYFUNCTION("""COMPUTED_VALUE"""),12)</f>
        <v>12</v>
      </c>
      <c r="E114">
        <f ca="1">IFERROR(__xludf.DUMMYFUNCTION("""COMPUTED_VALUE"""),62.75)</f>
        <v>62.75</v>
      </c>
      <c r="F114" s="1">
        <f ca="1">IFERROR(__xludf.DUMMYFUNCTION("""COMPUTED_VALUE"""),474342)</f>
        <v>474342</v>
      </c>
      <c r="G114" s="1">
        <f ca="1">IFERROR(__xludf.DUMMYFUNCTION("""COMPUTED_VALUE"""),75597)</f>
        <v>75597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IFERROR(__xludf.DUMMYFUNCTION("""COMPUTED_VALUE"""),230)</f>
        <v>230</v>
      </c>
      <c r="C115" t="str">
        <f ca="1">IFERROR(__xludf.DUMMYFUNCTION("""COMPUTED_VALUE"""),"Adam Scott")</f>
        <v>Adam Scott</v>
      </c>
      <c r="D115">
        <f ca="1">IFERROR(__xludf.DUMMYFUNCTION("""COMPUTED_VALUE"""),8)</f>
        <v>8</v>
      </c>
      <c r="E115">
        <f ca="1">IFERROR(__xludf.DUMMYFUNCTION("""COMPUTED_VALUE"""),62.74)</f>
        <v>62.74</v>
      </c>
      <c r="F115" s="1">
        <f ca="1">IFERROR(__xludf.DUMMYFUNCTION("""COMPUTED_VALUE"""),327336)</f>
        <v>327336</v>
      </c>
      <c r="G115" s="1">
        <f ca="1">IFERROR(__xludf.DUMMYFUNCTION("""COMPUTED_VALUE"""),52173)</f>
        <v>52173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IFERROR(__xludf.DUMMYFUNCTION("""COMPUTED_VALUE"""),76)</f>
        <v>76</v>
      </c>
      <c r="C116" t="str">
        <f ca="1">IFERROR(__xludf.DUMMYFUNCTION("""COMPUTED_VALUE"""),"Nate Lashley")</f>
        <v>Nate Lashley</v>
      </c>
      <c r="D116">
        <f ca="1">IFERROR(__xludf.DUMMYFUNCTION("""COMPUTED_VALUE"""),16)</f>
        <v>16</v>
      </c>
      <c r="E116">
        <f ca="1">IFERROR(__xludf.DUMMYFUNCTION("""COMPUTED_VALUE"""),62.73)</f>
        <v>62.73</v>
      </c>
      <c r="F116" s="1">
        <f ca="1">IFERROR(__xludf.DUMMYFUNCTION("""COMPUTED_VALUE"""),476445)</f>
        <v>476445</v>
      </c>
      <c r="G116" s="1">
        <f ca="1">IFERROR(__xludf.DUMMYFUNCTION("""COMPUTED_VALUE"""),75946)</f>
        <v>75946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IFERROR(__xludf.DUMMYFUNCTION("""COMPUTED_VALUE"""),82)</f>
        <v>82</v>
      </c>
      <c r="C117" t="str">
        <f ca="1">IFERROR(__xludf.DUMMYFUNCTION("""COMPUTED_VALUE"""),"Martin Laird")</f>
        <v>Martin Laird</v>
      </c>
      <c r="D117">
        <f ca="1">IFERROR(__xludf.DUMMYFUNCTION("""COMPUTED_VALUE"""),16)</f>
        <v>16</v>
      </c>
      <c r="E117">
        <f ca="1">IFERROR(__xludf.DUMMYFUNCTION("""COMPUTED_VALUE"""),62.72)</f>
        <v>62.72</v>
      </c>
      <c r="F117" s="1">
        <f ca="1">IFERROR(__xludf.DUMMYFUNCTION("""COMPUTED_VALUE"""),480799)</f>
        <v>480799</v>
      </c>
      <c r="G117" s="1">
        <f ca="1">IFERROR(__xludf.DUMMYFUNCTION("""COMPUTED_VALUE"""),76663)</f>
        <v>76663</v>
      </c>
    </row>
    <row r="118" spans="1:7" ht="12.75">
      <c r="A118">
        <f ca="1">IFERROR(__xludf.DUMMYFUNCTION("""COMPUTED_VALUE"""),117)</f>
        <v>117</v>
      </c>
      <c r="B118" t="str">
        <f ca="1">IFERROR(__xludf.DUMMYFUNCTION("""COMPUTED_VALUE"""),"T93")</f>
        <v>T93</v>
      </c>
      <c r="C118" t="str">
        <f ca="1">IFERROR(__xludf.DUMMYFUNCTION("""COMPUTED_VALUE"""),"Sam Ryder")</f>
        <v>Sam Ryder</v>
      </c>
      <c r="D118">
        <f ca="1">IFERROR(__xludf.DUMMYFUNCTION("""COMPUTED_VALUE"""),12)</f>
        <v>12</v>
      </c>
      <c r="E118">
        <f ca="1">IFERROR(__xludf.DUMMYFUNCTION("""COMPUTED_VALUE"""),62.69)</f>
        <v>62.69</v>
      </c>
      <c r="F118" s="1">
        <f ca="1">IFERROR(__xludf.DUMMYFUNCTION("""COMPUTED_VALUE"""),319082)</f>
        <v>319082</v>
      </c>
      <c r="G118" s="1">
        <f ca="1">IFERROR(__xludf.DUMMYFUNCTION("""COMPUTED_VALUE"""),50896)</f>
        <v>50896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IFERROR(__xludf.DUMMYFUNCTION("""COMPUTED_VALUE"""),118)</f>
        <v>118</v>
      </c>
      <c r="C119" t="str">
        <f ca="1">IFERROR(__xludf.DUMMYFUNCTION("""COMPUTED_VALUE"""),"Rickie Fowler")</f>
        <v>Rickie Fowler</v>
      </c>
      <c r="D119">
        <f ca="1">IFERROR(__xludf.DUMMYFUNCTION("""COMPUTED_VALUE"""),14)</f>
        <v>14</v>
      </c>
      <c r="E119">
        <f ca="1">IFERROR(__xludf.DUMMYFUNCTION("""COMPUTED_VALUE"""),62.6)</f>
        <v>62.6</v>
      </c>
      <c r="F119" s="1">
        <f ca="1">IFERROR(__xludf.DUMMYFUNCTION("""COMPUTED_VALUE"""),565891)</f>
        <v>565891</v>
      </c>
      <c r="G119" s="1">
        <f ca="1">IFERROR(__xludf.DUMMYFUNCTION("""COMPUTED_VALUE"""),90394)</f>
        <v>90394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IFERROR(__xludf.DUMMYFUNCTION("""COMPUTED_VALUE"""),"T122")</f>
        <v>T122</v>
      </c>
      <c r="C120" t="str">
        <f ca="1">IFERROR(__xludf.DUMMYFUNCTION("""COMPUTED_VALUE"""),"Jordan Spieth")</f>
        <v>Jordan Spieth</v>
      </c>
      <c r="D120">
        <f ca="1">IFERROR(__xludf.DUMMYFUNCTION("""COMPUTED_VALUE"""),14)</f>
        <v>14</v>
      </c>
      <c r="E120">
        <f ca="1">IFERROR(__xludf.DUMMYFUNCTION("""COMPUTED_VALUE"""),62.59)</f>
        <v>62.59</v>
      </c>
      <c r="F120" s="1">
        <f ca="1">IFERROR(__xludf.DUMMYFUNCTION("""COMPUTED_VALUE"""),559643)</f>
        <v>559643</v>
      </c>
      <c r="G120" s="1">
        <f ca="1">IFERROR(__xludf.DUMMYFUNCTION("""COMPUTED_VALUE"""),89412)</f>
        <v>89412</v>
      </c>
    </row>
    <row r="121" spans="1:7" ht="12.75">
      <c r="A121" t="str">
        <f ca="1">IFERROR(__xludf.DUMMYFUNCTION("""COMPUTED_VALUE"""),"T120")</f>
        <v>T120</v>
      </c>
      <c r="B121" t="str">
        <f ca="1">IFERROR(__xludf.DUMMYFUNCTION("""COMPUTED_VALUE"""),"T119")</f>
        <v>T119</v>
      </c>
      <c r="C121" t="str">
        <f ca="1">IFERROR(__xludf.DUMMYFUNCTION("""COMPUTED_VALUE"""),"Roger Sloan")</f>
        <v>Roger Sloan</v>
      </c>
      <c r="D121">
        <f ca="1">IFERROR(__xludf.DUMMYFUNCTION("""COMPUTED_VALUE"""),12)</f>
        <v>12</v>
      </c>
      <c r="E121">
        <f ca="1">IFERROR(__xludf.DUMMYFUNCTION("""COMPUTED_VALUE"""),62.58)</f>
        <v>62.58</v>
      </c>
      <c r="F121" s="1">
        <f ca="1">IFERROR(__xludf.DUMMYFUNCTION("""COMPUTED_VALUE"""),242604)</f>
        <v>242604</v>
      </c>
      <c r="G121" s="1">
        <f ca="1">IFERROR(__xludf.DUMMYFUNCTION("""COMPUTED_VALUE"""),38765)</f>
        <v>38765</v>
      </c>
    </row>
    <row r="122" spans="1:7" ht="12.75">
      <c r="A122" t="str">
        <f ca="1">IFERROR(__xludf.DUMMYFUNCTION("""COMPUTED_VALUE"""),"T120")</f>
        <v>T120</v>
      </c>
      <c r="B122" t="str">
        <f ca="1">IFERROR(__xludf.DUMMYFUNCTION("""COMPUTED_VALUE"""),"T119")</f>
        <v>T119</v>
      </c>
      <c r="C122" t="str">
        <f ca="1">IFERROR(__xludf.DUMMYFUNCTION("""COMPUTED_VALUE"""),"Sebastián Muñoz")</f>
        <v>Sebastián Muñoz</v>
      </c>
      <c r="D122">
        <f ca="1">IFERROR(__xludf.DUMMYFUNCTION("""COMPUTED_VALUE"""),20)</f>
        <v>20</v>
      </c>
      <c r="E122">
        <f ca="1">IFERROR(__xludf.DUMMYFUNCTION("""COMPUTED_VALUE"""),62.58)</f>
        <v>62.58</v>
      </c>
      <c r="F122" s="1">
        <f ca="1">IFERROR(__xludf.DUMMYFUNCTION("""COMPUTED_VALUE"""),808396)</f>
        <v>808396</v>
      </c>
      <c r="G122" s="1">
        <f ca="1">IFERROR(__xludf.DUMMYFUNCTION("""COMPUTED_VALUE"""),129181)</f>
        <v>129181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IFERROR(__xludf.DUMMYFUNCTION("""COMPUTED_VALUE"""),"T122")</f>
        <v>T122</v>
      </c>
      <c r="C123" t="str">
        <f ca="1">IFERROR(__xludf.DUMMYFUNCTION("""COMPUTED_VALUE"""),"Rob Oppenheim")</f>
        <v>Rob Oppenheim</v>
      </c>
      <c r="D123">
        <f ca="1">IFERROR(__xludf.DUMMYFUNCTION("""COMPUTED_VALUE"""),16)</f>
        <v>16</v>
      </c>
      <c r="E123">
        <f ca="1">IFERROR(__xludf.DUMMYFUNCTION("""COMPUTED_VALUE"""),62.56)</f>
        <v>62.56</v>
      </c>
      <c r="F123" s="1">
        <f ca="1">IFERROR(__xludf.DUMMYFUNCTION("""COMPUTED_VALUE"""),398578)</f>
        <v>398578</v>
      </c>
      <c r="G123" s="1">
        <f ca="1">IFERROR(__xludf.DUMMYFUNCTION("""COMPUTED_VALUE"""),63708)</f>
        <v>63708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IFERROR(__xludf.DUMMYFUNCTION("""COMPUTED_VALUE"""),"T122")</f>
        <v>T122</v>
      </c>
      <c r="C124" t="str">
        <f ca="1">IFERROR(__xludf.DUMMYFUNCTION("""COMPUTED_VALUE"""),"Nick Taylor")</f>
        <v>Nick Taylor</v>
      </c>
      <c r="D124">
        <f ca="1">IFERROR(__xludf.DUMMYFUNCTION("""COMPUTED_VALUE"""),12)</f>
        <v>12</v>
      </c>
      <c r="E124">
        <f ca="1">IFERROR(__xludf.DUMMYFUNCTION("""COMPUTED_VALUE"""),62.56)</f>
        <v>62.56</v>
      </c>
      <c r="F124" s="1">
        <f ca="1">IFERROR(__xludf.DUMMYFUNCTION("""COMPUTED_VALUE"""),476370)</f>
        <v>476370</v>
      </c>
      <c r="G124" s="1">
        <f ca="1">IFERROR(__xludf.DUMMYFUNCTION("""COMPUTED_VALUE"""),76144)</f>
        <v>76144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IFERROR(__xludf.DUMMYFUNCTION("""COMPUTED_VALUE"""),127)</f>
        <v>127</v>
      </c>
      <c r="C125" t="str">
        <f ca="1">IFERROR(__xludf.DUMMYFUNCTION("""COMPUTED_VALUE"""),"Sahith Theegala")</f>
        <v>Sahith Theegala</v>
      </c>
      <c r="D125">
        <f ca="1">IFERROR(__xludf.DUMMYFUNCTION("""COMPUTED_VALUE"""),6)</f>
        <v>6</v>
      </c>
      <c r="E125">
        <f ca="1">IFERROR(__xludf.DUMMYFUNCTION("""COMPUTED_VALUE"""),62.51)</f>
        <v>62.51</v>
      </c>
      <c r="F125" s="1">
        <f ca="1">IFERROR(__xludf.DUMMYFUNCTION("""COMPUTED_VALUE"""),239922)</f>
        <v>239922</v>
      </c>
      <c r="G125" s="1">
        <f ca="1">IFERROR(__xludf.DUMMYFUNCTION("""COMPUTED_VALUE"""),38379)</f>
        <v>38379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IFERROR(__xludf.DUMMYFUNCTION("""COMPUTED_VALUE"""),128)</f>
        <v>128</v>
      </c>
      <c r="C126" t="str">
        <f ca="1">IFERROR(__xludf.DUMMYFUNCTION("""COMPUTED_VALUE"""),"Wesley Bryan")</f>
        <v>Wesley Bryan</v>
      </c>
      <c r="D126">
        <f ca="1">IFERROR(__xludf.DUMMYFUNCTION("""COMPUTED_VALUE"""),8)</f>
        <v>8</v>
      </c>
      <c r="E126">
        <f ca="1">IFERROR(__xludf.DUMMYFUNCTION("""COMPUTED_VALUE"""),62.5)</f>
        <v>62.5</v>
      </c>
      <c r="F126" s="1">
        <f ca="1">IFERROR(__xludf.DUMMYFUNCTION("""COMPUTED_VALUE"""),242284)</f>
        <v>242284</v>
      </c>
      <c r="G126" s="1">
        <f ca="1">IFERROR(__xludf.DUMMYFUNCTION("""COMPUTED_VALUE"""),38765)</f>
        <v>38765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IFERROR(__xludf.DUMMYFUNCTION("""COMPUTED_VALUE"""),55)</f>
        <v>55</v>
      </c>
      <c r="C127" t="str">
        <f ca="1">IFERROR(__xludf.DUMMYFUNCTION("""COMPUTED_VALUE"""),"John Huh")</f>
        <v>John Huh</v>
      </c>
      <c r="D127">
        <f ca="1">IFERROR(__xludf.DUMMYFUNCTION("""COMPUTED_VALUE"""),8)</f>
        <v>8</v>
      </c>
      <c r="E127">
        <f ca="1">IFERROR(__xludf.DUMMYFUNCTION("""COMPUTED_VALUE"""),62.46)</f>
        <v>62.46</v>
      </c>
      <c r="F127" s="1">
        <f ca="1">IFERROR(__xludf.DUMMYFUNCTION("""COMPUTED_VALUE"""),313774)</f>
        <v>313774</v>
      </c>
      <c r="G127" s="1">
        <f ca="1">IFERROR(__xludf.DUMMYFUNCTION("""COMPUTED_VALUE"""),50232)</f>
        <v>50232</v>
      </c>
    </row>
    <row r="128" spans="1:7" ht="12.75">
      <c r="A128" t="str">
        <f ca="1">IFERROR(__xludf.DUMMYFUNCTION("""COMPUTED_VALUE"""),"T127")</f>
        <v>T127</v>
      </c>
      <c r="B128" t="str">
        <f ca="1">IFERROR(__xludf.DUMMYFUNCTION("""COMPUTED_VALUE"""),"T129")</f>
        <v>T129</v>
      </c>
      <c r="C128" t="str">
        <f ca="1">IFERROR(__xludf.DUMMYFUNCTION("""COMPUTED_VALUE"""),"Doug Ghim")</f>
        <v>Doug Ghim</v>
      </c>
      <c r="D128">
        <f ca="1">IFERROR(__xludf.DUMMYFUNCTION("""COMPUTED_VALUE"""),14)</f>
        <v>14</v>
      </c>
      <c r="E128">
        <f ca="1">IFERROR(__xludf.DUMMYFUNCTION("""COMPUTED_VALUE"""),62.42)</f>
        <v>62.42</v>
      </c>
      <c r="F128" s="1">
        <f ca="1">IFERROR(__xludf.DUMMYFUNCTION("""COMPUTED_VALUE"""),321010)</f>
        <v>321010</v>
      </c>
      <c r="G128" s="1">
        <f ca="1">IFERROR(__xludf.DUMMYFUNCTION("""COMPUTED_VALUE"""),51430)</f>
        <v>51430</v>
      </c>
    </row>
    <row r="129" spans="1:7" ht="12.75">
      <c r="A129" t="str">
        <f ca="1">IFERROR(__xludf.DUMMYFUNCTION("""COMPUTED_VALUE"""),"T127")</f>
        <v>T127</v>
      </c>
      <c r="B129" t="str">
        <f ca="1">IFERROR(__xludf.DUMMYFUNCTION("""COMPUTED_VALUE"""),"T129")</f>
        <v>T129</v>
      </c>
      <c r="C129" t="str">
        <f ca="1">IFERROR(__xludf.DUMMYFUNCTION("""COMPUTED_VALUE"""),"Rafael Campos")</f>
        <v>Rafael Campos</v>
      </c>
      <c r="D129">
        <f ca="1">IFERROR(__xludf.DUMMYFUNCTION("""COMPUTED_VALUE"""),6)</f>
        <v>6</v>
      </c>
      <c r="E129">
        <f ca="1">IFERROR(__xludf.DUMMYFUNCTION("""COMPUTED_VALUE"""),62.42)</f>
        <v>62.42</v>
      </c>
      <c r="F129" s="1">
        <f ca="1">IFERROR(__xludf.DUMMYFUNCTION("""COMPUTED_VALUE"""),79230)</f>
        <v>79230</v>
      </c>
      <c r="G129" s="1">
        <f ca="1">IFERROR(__xludf.DUMMYFUNCTION("""COMPUTED_VALUE"""),12694)</f>
        <v>12694</v>
      </c>
    </row>
    <row r="130" spans="1:7" ht="12.75">
      <c r="A130">
        <f ca="1">IFERROR(__xludf.DUMMYFUNCTION("""COMPUTED_VALUE"""),129)</f>
        <v>129</v>
      </c>
      <c r="B130">
        <f ca="1">IFERROR(__xludf.DUMMYFUNCTION("""COMPUTED_VALUE"""),125)</f>
        <v>125</v>
      </c>
      <c r="C130" t="str">
        <f ca="1">IFERROR(__xludf.DUMMYFUNCTION("""COMPUTED_VALUE"""),"Andrew Landry")</f>
        <v>Andrew Landry</v>
      </c>
      <c r="D130">
        <f ca="1">IFERROR(__xludf.DUMMYFUNCTION("""COMPUTED_VALUE"""),14)</f>
        <v>14</v>
      </c>
      <c r="E130">
        <f ca="1">IFERROR(__xludf.DUMMYFUNCTION("""COMPUTED_VALUE"""),62.4)</f>
        <v>62.4</v>
      </c>
      <c r="F130" s="1">
        <f ca="1">IFERROR(__xludf.DUMMYFUNCTION("""COMPUTED_VALUE"""),551665)</f>
        <v>551665</v>
      </c>
      <c r="G130" s="1">
        <f ca="1">IFERROR(__xludf.DUMMYFUNCTION("""COMPUTED_VALUE"""),88409)</f>
        <v>88409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IFERROR(__xludf.DUMMYFUNCTION("""COMPUTED_VALUE"""),131)</f>
        <v>131</v>
      </c>
      <c r="C131" t="str">
        <f ca="1">IFERROR(__xludf.DUMMYFUNCTION("""COMPUTED_VALUE"""),"Talor Gooch")</f>
        <v>Talor Gooch</v>
      </c>
      <c r="D131">
        <f ca="1">IFERROR(__xludf.DUMMYFUNCTION("""COMPUTED_VALUE"""),20)</f>
        <v>20</v>
      </c>
      <c r="E131">
        <f ca="1">IFERROR(__xludf.DUMMYFUNCTION("""COMPUTED_VALUE"""),62.37)</f>
        <v>62.37</v>
      </c>
      <c r="F131" s="1">
        <f ca="1">IFERROR(__xludf.DUMMYFUNCTION("""COMPUTED_VALUE"""),790811)</f>
        <v>790811</v>
      </c>
      <c r="G131" s="1">
        <f ca="1">IFERROR(__xludf.DUMMYFUNCTION("""COMPUTED_VALUE"""),126792)</f>
        <v>126792</v>
      </c>
    </row>
    <row r="132" spans="1:7" ht="12.75">
      <c r="A132" t="str">
        <f ca="1">IFERROR(__xludf.DUMMYFUNCTION("""COMPUTED_VALUE"""),"T131")</f>
        <v>T131</v>
      </c>
      <c r="B132" t="str">
        <f ca="1">IFERROR(__xludf.DUMMYFUNCTION("""COMPUTED_VALUE"""),"T132")</f>
        <v>T132</v>
      </c>
      <c r="C132" t="str">
        <f ca="1">IFERROR(__xludf.DUMMYFUNCTION("""COMPUTED_VALUE"""),"Jason Kokrak")</f>
        <v>Jason Kokrak</v>
      </c>
      <c r="D132">
        <f ca="1">IFERROR(__xludf.DUMMYFUNCTION("""COMPUTED_VALUE"""),14)</f>
        <v>14</v>
      </c>
      <c r="E132">
        <f ca="1">IFERROR(__xludf.DUMMYFUNCTION("""COMPUTED_VALUE"""),62.36)</f>
        <v>62.36</v>
      </c>
      <c r="F132" s="1">
        <f ca="1">IFERROR(__xludf.DUMMYFUNCTION("""COMPUTED_VALUE"""),563683)</f>
        <v>563683</v>
      </c>
      <c r="G132" s="1">
        <f ca="1">IFERROR(__xludf.DUMMYFUNCTION("""COMPUTED_VALUE"""),90394)</f>
        <v>90394</v>
      </c>
    </row>
    <row r="133" spans="1:7" ht="12.75">
      <c r="A133" t="str">
        <f ca="1">IFERROR(__xludf.DUMMYFUNCTION("""COMPUTED_VALUE"""),"T131")</f>
        <v>T131</v>
      </c>
      <c r="B133" t="str">
        <f ca="1">IFERROR(__xludf.DUMMYFUNCTION("""COMPUTED_VALUE"""),"T132")</f>
        <v>T132</v>
      </c>
      <c r="C133" t="str">
        <f ca="1">IFERROR(__xludf.DUMMYFUNCTION("""COMPUTED_VALUE"""),"Ryan Blaum")</f>
        <v>Ryan Blaum</v>
      </c>
      <c r="D133">
        <f ca="1">IFERROR(__xludf.DUMMYFUNCTION("""COMPUTED_VALUE"""),8)</f>
        <v>8</v>
      </c>
      <c r="E133">
        <f ca="1">IFERROR(__xludf.DUMMYFUNCTION("""COMPUTED_VALUE"""),62.36)</f>
        <v>62.36</v>
      </c>
      <c r="F133" s="1">
        <f ca="1">IFERROR(__xludf.DUMMYFUNCTION("""COMPUTED_VALUE"""),158128)</f>
        <v>158128</v>
      </c>
      <c r="G133" s="1">
        <f ca="1">IFERROR(__xludf.DUMMYFUNCTION("""COMPUTED_VALUE"""),25359)</f>
        <v>25359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IFERROR(__xludf.DUMMYFUNCTION("""COMPUTED_VALUE"""),"T134")</f>
        <v>T134</v>
      </c>
      <c r="C134" t="str">
        <f ca="1">IFERROR(__xludf.DUMMYFUNCTION("""COMPUTED_VALUE"""),"Sebastian Cappelen")</f>
        <v>Sebastian Cappelen</v>
      </c>
      <c r="D134">
        <f ca="1">IFERROR(__xludf.DUMMYFUNCTION("""COMPUTED_VALUE"""),8)</f>
        <v>8</v>
      </c>
      <c r="E134">
        <f ca="1">IFERROR(__xludf.DUMMYFUNCTION("""COMPUTED_VALUE"""),62.35)</f>
        <v>62.35</v>
      </c>
      <c r="F134" s="1">
        <f ca="1">IFERROR(__xludf.DUMMYFUNCTION("""COMPUTED_VALUE"""),160315)</f>
        <v>160315</v>
      </c>
      <c r="G134" s="1">
        <f ca="1">IFERROR(__xludf.DUMMYFUNCTION("""COMPUTED_VALUE"""),25714)</f>
        <v>25714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IFERROR(__xludf.DUMMYFUNCTION("""COMPUTED_VALUE"""),136)</f>
        <v>136</v>
      </c>
      <c r="C135" t="str">
        <f ca="1">IFERROR(__xludf.DUMMYFUNCTION("""COMPUTED_VALUE"""),"Paul Casey")</f>
        <v>Paul Casey</v>
      </c>
      <c r="D135">
        <f ca="1">IFERROR(__xludf.DUMMYFUNCTION("""COMPUTED_VALUE"""),14)</f>
        <v>14</v>
      </c>
      <c r="E135">
        <f ca="1">IFERROR(__xludf.DUMMYFUNCTION("""COMPUTED_VALUE"""),62.34)</f>
        <v>62.34</v>
      </c>
      <c r="F135" s="1">
        <f ca="1">IFERROR(__xludf.DUMMYFUNCTION("""COMPUTED_VALUE"""),563558)</f>
        <v>563558</v>
      </c>
      <c r="G135" s="1">
        <f ca="1">IFERROR(__xludf.DUMMYFUNCTION("""COMPUTED_VALUE"""),90394)</f>
        <v>90394</v>
      </c>
    </row>
    <row r="136" spans="1:7" ht="12.75">
      <c r="A136">
        <f ca="1">IFERROR(__xludf.DUMMYFUNCTION("""COMPUTED_VALUE"""),135)</f>
        <v>135</v>
      </c>
      <c r="B136">
        <f ca="1">IFERROR(__xludf.DUMMYFUNCTION("""COMPUTED_VALUE"""),138)</f>
        <v>138</v>
      </c>
      <c r="C136" t="str">
        <f ca="1">IFERROR(__xludf.DUMMYFUNCTION("""COMPUTED_VALUE"""),"Cameron Smith")</f>
        <v>Cameron Smith</v>
      </c>
      <c r="D136">
        <f ca="1">IFERROR(__xludf.DUMMYFUNCTION("""COMPUTED_VALUE"""),16)</f>
        <v>16</v>
      </c>
      <c r="E136">
        <f ca="1">IFERROR(__xludf.DUMMYFUNCTION("""COMPUTED_VALUE"""),62.3)</f>
        <v>62.3</v>
      </c>
      <c r="F136" s="1">
        <f ca="1">IFERROR(__xludf.DUMMYFUNCTION("""COMPUTED_VALUE"""),642406)</f>
        <v>642406</v>
      </c>
      <c r="G136" s="1">
        <f ca="1">IFERROR(__xludf.DUMMYFUNCTION("""COMPUTED_VALUE"""),103110)</f>
        <v>103110</v>
      </c>
    </row>
    <row r="137" spans="1:7" ht="12.75">
      <c r="A137">
        <f ca="1">IFERROR(__xludf.DUMMYFUNCTION("""COMPUTED_VALUE"""),136)</f>
        <v>136</v>
      </c>
      <c r="B137">
        <f ca="1">IFERROR(__xludf.DUMMYFUNCTION("""COMPUTED_VALUE"""),114)</f>
        <v>114</v>
      </c>
      <c r="C137" t="str">
        <f ca="1">IFERROR(__xludf.DUMMYFUNCTION("""COMPUTED_VALUE"""),"Doc Redman")</f>
        <v>Doc Redman</v>
      </c>
      <c r="D137">
        <f ca="1">IFERROR(__xludf.DUMMYFUNCTION("""COMPUTED_VALUE"""),18)</f>
        <v>18</v>
      </c>
      <c r="E137">
        <f ca="1">IFERROR(__xludf.DUMMYFUNCTION("""COMPUTED_VALUE"""),62.29)</f>
        <v>62.29</v>
      </c>
      <c r="F137" s="1">
        <f ca="1">IFERROR(__xludf.DUMMYFUNCTION("""COMPUTED_VALUE"""),554054)</f>
        <v>554054</v>
      </c>
      <c r="G137" s="1">
        <f ca="1">IFERROR(__xludf.DUMMYFUNCTION("""COMPUTED_VALUE"""),88946)</f>
        <v>88946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IFERROR(__xludf.DUMMYFUNCTION("""COMPUTED_VALUE"""),139)</f>
        <v>139</v>
      </c>
      <c r="C138" t="str">
        <f ca="1">IFERROR(__xludf.DUMMYFUNCTION("""COMPUTED_VALUE"""),"Bill Haas")</f>
        <v>Bill Haas</v>
      </c>
      <c r="D138">
        <f ca="1">IFERROR(__xludf.DUMMYFUNCTION("""COMPUTED_VALUE"""),10)</f>
        <v>10</v>
      </c>
      <c r="E138">
        <f ca="1">IFERROR(__xludf.DUMMYFUNCTION("""COMPUTED_VALUE"""),62.28)</f>
        <v>62.28</v>
      </c>
      <c r="F138" s="1">
        <f ca="1">IFERROR(__xludf.DUMMYFUNCTION("""COMPUTED_VALUE"""),241412)</f>
        <v>241412</v>
      </c>
      <c r="G138" s="1">
        <f ca="1">IFERROR(__xludf.DUMMYFUNCTION("""COMPUTED_VALUE"""),38765)</f>
        <v>38765</v>
      </c>
    </row>
    <row r="139" spans="1:7" ht="12.75">
      <c r="A139" t="str">
        <f ca="1">IFERROR(__xludf.DUMMYFUNCTION("""COMPUTED_VALUE"""),"T138")</f>
        <v>T138</v>
      </c>
      <c r="B139">
        <f ca="1">IFERROR(__xludf.DUMMYFUNCTION("""COMPUTED_VALUE"""),121)</f>
        <v>121</v>
      </c>
      <c r="C139" t="str">
        <f ca="1">IFERROR(__xludf.DUMMYFUNCTION("""COMPUTED_VALUE"""),"C.T. Pan")</f>
        <v>C.T. Pan</v>
      </c>
      <c r="D139">
        <f ca="1">IFERROR(__xludf.DUMMYFUNCTION("""COMPUTED_VALUE"""),20)</f>
        <v>20</v>
      </c>
      <c r="E139">
        <f ca="1">IFERROR(__xludf.DUMMYFUNCTION("""COMPUTED_VALUE"""),62.27)</f>
        <v>62.27</v>
      </c>
      <c r="F139" s="1">
        <f ca="1">IFERROR(__xludf.DUMMYFUNCTION("""COMPUTED_VALUE"""),633075)</f>
        <v>633075</v>
      </c>
      <c r="G139" s="1">
        <f ca="1">IFERROR(__xludf.DUMMYFUNCTION("""COMPUTED_VALUE"""),101662)</f>
        <v>101662</v>
      </c>
    </row>
    <row r="140" spans="1:7" ht="12.75">
      <c r="A140" t="str">
        <f ca="1">IFERROR(__xludf.DUMMYFUNCTION("""COMPUTED_VALUE"""),"T138")</f>
        <v>T138</v>
      </c>
      <c r="B140">
        <f ca="1">IFERROR(__xludf.DUMMYFUNCTION("""COMPUTED_VALUE"""),109)</f>
        <v>109</v>
      </c>
      <c r="C140" t="str">
        <f ca="1">IFERROR(__xludf.DUMMYFUNCTION("""COMPUTED_VALUE"""),"Russell Knox")</f>
        <v>Russell Knox</v>
      </c>
      <c r="D140">
        <f ca="1">IFERROR(__xludf.DUMMYFUNCTION("""COMPUTED_VALUE"""),16)</f>
        <v>16</v>
      </c>
      <c r="E140">
        <f ca="1">IFERROR(__xludf.DUMMYFUNCTION("""COMPUTED_VALUE"""),62.27)</f>
        <v>62.27</v>
      </c>
      <c r="F140" s="1">
        <f ca="1">IFERROR(__xludf.DUMMYFUNCTION("""COMPUTED_VALUE"""),472605)</f>
        <v>472605</v>
      </c>
      <c r="G140" s="1">
        <f ca="1">IFERROR(__xludf.DUMMYFUNCTION("""COMPUTED_VALUE"""),75895)</f>
        <v>75895</v>
      </c>
    </row>
    <row r="141" spans="1:7" ht="12.75">
      <c r="A141" t="str">
        <f ca="1">IFERROR(__xludf.DUMMYFUNCTION("""COMPUTED_VALUE"""),"T140")</f>
        <v>T140</v>
      </c>
      <c r="B141" t="str">
        <f ca="1">IFERROR(__xludf.DUMMYFUNCTION("""COMPUTED_VALUE"""),"T140")</f>
        <v>T140</v>
      </c>
      <c r="C141" t="str">
        <f ca="1">IFERROR(__xludf.DUMMYFUNCTION("""COMPUTED_VALUE"""),"Sangmoon Bae")</f>
        <v>Sangmoon Bae</v>
      </c>
      <c r="D141">
        <f ca="1">IFERROR(__xludf.DUMMYFUNCTION("""COMPUTED_VALUE"""),8)</f>
        <v>8</v>
      </c>
      <c r="E141">
        <f ca="1">IFERROR(__xludf.DUMMYFUNCTION("""COMPUTED_VALUE"""),62.24)</f>
        <v>62.24</v>
      </c>
      <c r="F141" s="1">
        <f ca="1">IFERROR(__xludf.DUMMYFUNCTION("""COMPUTED_VALUE"""),79010)</f>
        <v>79010</v>
      </c>
      <c r="G141" s="1">
        <f ca="1">IFERROR(__xludf.DUMMYFUNCTION("""COMPUTED_VALUE"""),12694)</f>
        <v>12694</v>
      </c>
    </row>
    <row r="142" spans="1:7" ht="12.75">
      <c r="A142" t="str">
        <f ca="1">IFERROR(__xludf.DUMMYFUNCTION("""COMPUTED_VALUE"""),"T140")</f>
        <v>T140</v>
      </c>
      <c r="B142">
        <f ca="1">IFERROR(__xludf.DUMMYFUNCTION("""COMPUTED_VALUE"""),157)</f>
        <v>157</v>
      </c>
      <c r="C142" t="str">
        <f ca="1">IFERROR(__xludf.DUMMYFUNCTION("""COMPUTED_VALUE"""),"Corey Conners")</f>
        <v>Corey Conners</v>
      </c>
      <c r="D142">
        <f ca="1">IFERROR(__xludf.DUMMYFUNCTION("""COMPUTED_VALUE"""),20)</f>
        <v>20</v>
      </c>
      <c r="E142">
        <f ca="1">IFERROR(__xludf.DUMMYFUNCTION("""COMPUTED_VALUE"""),62.24)</f>
        <v>62.24</v>
      </c>
      <c r="F142" s="1">
        <f ca="1">IFERROR(__xludf.DUMMYFUNCTION("""COMPUTED_VALUE"""),716534)</f>
        <v>716534</v>
      </c>
      <c r="G142" s="1">
        <f ca="1">IFERROR(__xludf.DUMMYFUNCTION("""COMPUTED_VALUE"""),115123)</f>
        <v>115123</v>
      </c>
    </row>
    <row r="143" spans="1:7" ht="12.75">
      <c r="A143" t="str">
        <f ca="1">IFERROR(__xludf.DUMMYFUNCTION("""COMPUTED_VALUE"""),"T142")</f>
        <v>T142</v>
      </c>
      <c r="B143">
        <f ca="1">IFERROR(__xludf.DUMMYFUNCTION("""COMPUTED_VALUE"""),111)</f>
        <v>111</v>
      </c>
      <c r="C143" t="str">
        <f ca="1">IFERROR(__xludf.DUMMYFUNCTION("""COMPUTED_VALUE"""),"Ted Potter, Jr.")</f>
        <v>Ted Potter, Jr.</v>
      </c>
      <c r="D143">
        <f ca="1">IFERROR(__xludf.DUMMYFUNCTION("""COMPUTED_VALUE"""),8)</f>
        <v>8</v>
      </c>
      <c r="E143">
        <f ca="1">IFERROR(__xludf.DUMMYFUNCTION("""COMPUTED_VALUE"""),62.23)</f>
        <v>62.23</v>
      </c>
      <c r="F143" s="1">
        <f ca="1">IFERROR(__xludf.DUMMYFUNCTION("""COMPUTED_VALUE"""),316718)</f>
        <v>316718</v>
      </c>
      <c r="G143" s="1">
        <f ca="1">IFERROR(__xludf.DUMMYFUNCTION("""COMPUTED_VALUE"""),50896)</f>
        <v>50896</v>
      </c>
    </row>
    <row r="144" spans="1:7" ht="12.75">
      <c r="A144" t="str">
        <f ca="1">IFERROR(__xludf.DUMMYFUNCTION("""COMPUTED_VALUE"""),"T142")</f>
        <v>T142</v>
      </c>
      <c r="B144">
        <f ca="1">IFERROR(__xludf.DUMMYFUNCTION("""COMPUTED_VALUE"""),137)</f>
        <v>137</v>
      </c>
      <c r="C144" t="str">
        <f ca="1">IFERROR(__xludf.DUMMYFUNCTION("""COMPUTED_VALUE"""),"Kevin Streelman")</f>
        <v>Kevin Streelman</v>
      </c>
      <c r="D144">
        <f ca="1">IFERROR(__xludf.DUMMYFUNCTION("""COMPUTED_VALUE"""),18)</f>
        <v>18</v>
      </c>
      <c r="E144">
        <f ca="1">IFERROR(__xludf.DUMMYFUNCTION("""COMPUTED_VALUE"""),62.23)</f>
        <v>62.23</v>
      </c>
      <c r="F144" s="1">
        <f ca="1">IFERROR(__xludf.DUMMYFUNCTION("""COMPUTED_VALUE"""),713744)</f>
        <v>713744</v>
      </c>
      <c r="G144" s="1">
        <f ca="1">IFERROR(__xludf.DUMMYFUNCTION("""COMPUTED_VALUE"""),114690)</f>
        <v>114690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IFERROR(__xludf.DUMMYFUNCTION("""COMPUTED_VALUE"""),"T143")</f>
        <v>T143</v>
      </c>
      <c r="C145" t="str">
        <f ca="1">IFERROR(__xludf.DUMMYFUNCTION("""COMPUTED_VALUE"""),"Robert Streb")</f>
        <v>Robert Streb</v>
      </c>
      <c r="D145">
        <f ca="1">IFERROR(__xludf.DUMMYFUNCTION("""COMPUTED_VALUE"""),12)</f>
        <v>12</v>
      </c>
      <c r="E145">
        <f ca="1">IFERROR(__xludf.DUMMYFUNCTION("""COMPUTED_VALUE"""),62.2)</f>
        <v>62.2</v>
      </c>
      <c r="F145" s="1">
        <f ca="1">IFERROR(__xludf.DUMMYFUNCTION("""COMPUTED_VALUE"""),159931)</f>
        <v>159931</v>
      </c>
      <c r="G145" s="1">
        <f ca="1">IFERROR(__xludf.DUMMYFUNCTION("""COMPUTED_VALUE"""),25714)</f>
        <v>25714</v>
      </c>
    </row>
    <row r="146" spans="1:7" ht="12.75">
      <c r="A146">
        <f ca="1">IFERROR(__xludf.DUMMYFUNCTION("""COMPUTED_VALUE"""),145)</f>
        <v>145</v>
      </c>
      <c r="B146" t="str">
        <f ca="1">IFERROR(__xludf.DUMMYFUNCTION("""COMPUTED_VALUE"""),"T143")</f>
        <v>T143</v>
      </c>
      <c r="C146" t="str">
        <f ca="1">IFERROR(__xludf.DUMMYFUNCTION("""COMPUTED_VALUE"""),"Hideki Matsuyama")</f>
        <v>Hideki Matsuyama</v>
      </c>
      <c r="D146">
        <f ca="1">IFERROR(__xludf.DUMMYFUNCTION("""COMPUTED_VALUE"""),18)</f>
        <v>18</v>
      </c>
      <c r="E146">
        <f ca="1">IFERROR(__xludf.DUMMYFUNCTION("""COMPUTED_VALUE"""),62.19)</f>
        <v>62.19</v>
      </c>
      <c r="F146" s="1">
        <f ca="1">IFERROR(__xludf.DUMMYFUNCTION("""COMPUTED_VALUE"""),716995)</f>
        <v>716995</v>
      </c>
      <c r="G146" s="1">
        <f ca="1">IFERROR(__xludf.DUMMYFUNCTION("""COMPUTED_VALUE"""),115297)</f>
        <v>115297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IFERROR(__xludf.DUMMYFUNCTION("""COMPUTED_VALUE"""),146)</f>
        <v>146</v>
      </c>
      <c r="C147" t="str">
        <f ca="1">IFERROR(__xludf.DUMMYFUNCTION("""COMPUTED_VALUE"""),"Wes Roach")</f>
        <v>Wes Roach</v>
      </c>
      <c r="D147">
        <f ca="1">IFERROR(__xludf.DUMMYFUNCTION("""COMPUTED_VALUE"""),6)</f>
        <v>6</v>
      </c>
      <c r="E147">
        <f ca="1">IFERROR(__xludf.DUMMYFUNCTION("""COMPUTED_VALUE"""),62.17)</f>
        <v>62.17</v>
      </c>
      <c r="F147" s="1">
        <f ca="1">IFERROR(__xludf.DUMMYFUNCTION("""COMPUTED_VALUE"""),78921)</f>
        <v>78921</v>
      </c>
      <c r="G147" s="1">
        <f ca="1">IFERROR(__xludf.DUMMYFUNCTION("""COMPUTED_VALUE"""),12694)</f>
        <v>12694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IFERROR(__xludf.DUMMYFUNCTION("""COMPUTED_VALUE"""),"T147")</f>
        <v>T147</v>
      </c>
      <c r="C148" t="str">
        <f ca="1">IFERROR(__xludf.DUMMYFUNCTION("""COMPUTED_VALUE"""),"J.J. Spaun")</f>
        <v>J.J. Spaun</v>
      </c>
      <c r="D148">
        <f ca="1">IFERROR(__xludf.DUMMYFUNCTION("""COMPUTED_VALUE"""),10)</f>
        <v>10</v>
      </c>
      <c r="E148">
        <f ca="1">IFERROR(__xludf.DUMMYFUNCTION("""COMPUTED_VALUE"""),62.16)</f>
        <v>62.16</v>
      </c>
      <c r="F148" s="1">
        <f ca="1">IFERROR(__xludf.DUMMYFUNCTION("""COMPUTED_VALUE"""),238566)</f>
        <v>238566</v>
      </c>
      <c r="G148" s="1">
        <f ca="1">IFERROR(__xludf.DUMMYFUNCTION("""COMPUTED_VALUE"""),38379)</f>
        <v>38379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IFERROR(__xludf.DUMMYFUNCTION("""COMPUTED_VALUE"""),"T147")</f>
        <v>T147</v>
      </c>
      <c r="C149" t="str">
        <f ca="1">IFERROR(__xludf.DUMMYFUNCTION("""COMPUTED_VALUE"""),"Chesson Hadley")</f>
        <v>Chesson Hadley</v>
      </c>
      <c r="D149">
        <f ca="1">IFERROR(__xludf.DUMMYFUNCTION("""COMPUTED_VALUE"""),16)</f>
        <v>16</v>
      </c>
      <c r="E149">
        <f ca="1">IFERROR(__xludf.DUMMYFUNCTION("""COMPUTED_VALUE"""),62.16)</f>
        <v>62.16</v>
      </c>
      <c r="F149" s="1">
        <f ca="1">IFERROR(__xludf.DUMMYFUNCTION("""COMPUTED_VALUE"""),486483)</f>
        <v>486483</v>
      </c>
      <c r="G149" s="1">
        <f ca="1">IFERROR(__xludf.DUMMYFUNCTION("""COMPUTED_VALUE"""),78262)</f>
        <v>78262</v>
      </c>
    </row>
    <row r="150" spans="1:7" ht="12.75">
      <c r="A150" t="str">
        <f ca="1">IFERROR(__xludf.DUMMYFUNCTION("""COMPUTED_VALUE"""),"T147")</f>
        <v>T147</v>
      </c>
      <c r="B150" t="str">
        <f ca="1">IFERROR(__xludf.DUMMYFUNCTION("""COMPUTED_VALUE"""),"T147")</f>
        <v>T147</v>
      </c>
      <c r="C150" t="str">
        <f ca="1">IFERROR(__xludf.DUMMYFUNCTION("""COMPUTED_VALUE"""),"Kurt Kitayama")</f>
        <v>Kurt Kitayama</v>
      </c>
      <c r="D150">
        <f ca="1">IFERROR(__xludf.DUMMYFUNCTION("""COMPUTED_VALUE"""),4)</f>
        <v>4</v>
      </c>
      <c r="E150">
        <f ca="1">IFERROR(__xludf.DUMMYFUNCTION("""COMPUTED_VALUE"""),62.16)</f>
        <v>62.16</v>
      </c>
      <c r="F150" s="1">
        <f ca="1">IFERROR(__xludf.DUMMYFUNCTION("""COMPUTED_VALUE"""),84771)</f>
        <v>84771</v>
      </c>
      <c r="G150" s="1">
        <f ca="1">IFERROR(__xludf.DUMMYFUNCTION("""COMPUTED_VALUE"""),13638)</f>
        <v>13638</v>
      </c>
    </row>
    <row r="151" spans="1:7" ht="12.75">
      <c r="A151" t="str">
        <f ca="1">IFERROR(__xludf.DUMMYFUNCTION("""COMPUTED_VALUE"""),"T147")</f>
        <v>T147</v>
      </c>
      <c r="B151" t="str">
        <f ca="1">IFERROR(__xludf.DUMMYFUNCTION("""COMPUTED_VALUE"""),"T147")</f>
        <v>T147</v>
      </c>
      <c r="C151" t="str">
        <f ca="1">IFERROR(__xludf.DUMMYFUNCTION("""COMPUTED_VALUE"""),"Brendan Steele")</f>
        <v>Brendan Steele</v>
      </c>
      <c r="D151">
        <f ca="1">IFERROR(__xludf.DUMMYFUNCTION("""COMPUTED_VALUE"""),14)</f>
        <v>14</v>
      </c>
      <c r="E151">
        <f ca="1">IFERROR(__xludf.DUMMYFUNCTION("""COMPUTED_VALUE"""),62.16)</f>
        <v>62.16</v>
      </c>
      <c r="F151" s="1">
        <f ca="1">IFERROR(__xludf.DUMMYFUNCTION("""COMPUTED_VALUE"""),549998)</f>
        <v>549998</v>
      </c>
      <c r="G151" s="1">
        <f ca="1">IFERROR(__xludf.DUMMYFUNCTION("""COMPUTED_VALUE"""),88483)</f>
        <v>88483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IFERROR(__xludf.DUMMYFUNCTION("""COMPUTED_VALUE"""),206)</f>
        <v>206</v>
      </c>
      <c r="C152" t="str">
        <f ca="1">IFERROR(__xludf.DUMMYFUNCTION("""COMPUTED_VALUE"""),"Tony Finau")</f>
        <v>Tony Finau</v>
      </c>
      <c r="D152">
        <f ca="1">IFERROR(__xludf.DUMMYFUNCTION("""COMPUTED_VALUE"""),12)</f>
        <v>12</v>
      </c>
      <c r="E152">
        <f ca="1">IFERROR(__xludf.DUMMYFUNCTION("""COMPUTED_VALUE"""),62.15)</f>
        <v>62.15</v>
      </c>
      <c r="F152" s="1">
        <f ca="1">IFERROR(__xludf.DUMMYFUNCTION("""COMPUTED_VALUE"""),473626)</f>
        <v>473626</v>
      </c>
      <c r="G152" s="1">
        <f ca="1">IFERROR(__xludf.DUMMYFUNCTION("""COMPUTED_VALUE"""),76204)</f>
        <v>76204</v>
      </c>
    </row>
    <row r="153" spans="1:7" ht="12.75">
      <c r="A153">
        <f ca="1">IFERROR(__xludf.DUMMYFUNCTION("""COMPUTED_VALUE"""),152)</f>
        <v>152</v>
      </c>
      <c r="B153" t="str">
        <f ca="1">IFERROR(__xludf.DUMMYFUNCTION("""COMPUTED_VALUE"""),"T134")</f>
        <v>T134</v>
      </c>
      <c r="C153" t="str">
        <f ca="1">IFERROR(__xludf.DUMMYFUNCTION("""COMPUTED_VALUE"""),"Tom Hoge")</f>
        <v>Tom Hoge</v>
      </c>
      <c r="D153">
        <f ca="1">IFERROR(__xludf.DUMMYFUNCTION("""COMPUTED_VALUE"""),22)</f>
        <v>22</v>
      </c>
      <c r="E153">
        <f ca="1">IFERROR(__xludf.DUMMYFUNCTION("""COMPUTED_VALUE"""),62.09)</f>
        <v>62.09</v>
      </c>
      <c r="F153" s="1">
        <f ca="1">IFERROR(__xludf.DUMMYFUNCTION("""COMPUTED_VALUE"""),868215)</f>
        <v>868215</v>
      </c>
      <c r="G153" s="1">
        <f ca="1">IFERROR(__xludf.DUMMYFUNCTION("""COMPUTED_VALUE"""),139839)</f>
        <v>139839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IFERROR(__xludf.DUMMYFUNCTION("""COMPUTED_VALUE"""),"T153")</f>
        <v>T153</v>
      </c>
      <c r="C154" t="str">
        <f ca="1">IFERROR(__xludf.DUMMYFUNCTION("""COMPUTED_VALUE"""),"Kyle Stanley")</f>
        <v>Kyle Stanley</v>
      </c>
      <c r="D154">
        <f ca="1">IFERROR(__xludf.DUMMYFUNCTION("""COMPUTED_VALUE"""),16)</f>
        <v>16</v>
      </c>
      <c r="E154">
        <f ca="1">IFERROR(__xludf.DUMMYFUNCTION("""COMPUTED_VALUE"""),62.08)</f>
        <v>62.08</v>
      </c>
      <c r="F154" s="1">
        <f ca="1">IFERROR(__xludf.DUMMYFUNCTION("""COMPUTED_VALUE"""),316545)</f>
        <v>316545</v>
      </c>
      <c r="G154" s="1">
        <f ca="1">IFERROR(__xludf.DUMMYFUNCTION("""COMPUTED_VALUE"""),50992)</f>
        <v>50992</v>
      </c>
    </row>
    <row r="155" spans="1:7" ht="12.75">
      <c r="A155">
        <f ca="1">IFERROR(__xludf.DUMMYFUNCTION("""COMPUTED_VALUE"""),154)</f>
        <v>154</v>
      </c>
      <c r="B155" t="str">
        <f ca="1">IFERROR(__xludf.DUMMYFUNCTION("""COMPUTED_VALUE"""),"T155")</f>
        <v>T155</v>
      </c>
      <c r="C155" t="str">
        <f ca="1">IFERROR(__xludf.DUMMYFUNCTION("""COMPUTED_VALUE"""),"Josh Teater")</f>
        <v>Josh Teater</v>
      </c>
      <c r="D155">
        <f ca="1">IFERROR(__xludf.DUMMYFUNCTION("""COMPUTED_VALUE"""),6)</f>
        <v>6</v>
      </c>
      <c r="E155">
        <f ca="1">IFERROR(__xludf.DUMMYFUNCTION("""COMPUTED_VALUE"""),62.06)</f>
        <v>62.06</v>
      </c>
      <c r="F155" s="1">
        <f ca="1">IFERROR(__xludf.DUMMYFUNCTION("""COMPUTED_VALUE"""),78776)</f>
        <v>78776</v>
      </c>
      <c r="G155" s="1">
        <f ca="1">IFERROR(__xludf.DUMMYFUNCTION("""COMPUTED_VALUE"""),12694)</f>
        <v>12694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IFERROR(__xludf.DUMMYFUNCTION("""COMPUTED_VALUE"""),158)</f>
        <v>158</v>
      </c>
      <c r="C156" t="str">
        <f ca="1">IFERROR(__xludf.DUMMYFUNCTION("""COMPUTED_VALUE"""),"Tommy Fleetwood")</f>
        <v>Tommy Fleetwood</v>
      </c>
      <c r="D156">
        <f ca="1">IFERROR(__xludf.DUMMYFUNCTION("""COMPUTED_VALUE"""),10)</f>
        <v>10</v>
      </c>
      <c r="E156">
        <f ca="1">IFERROR(__xludf.DUMMYFUNCTION("""COMPUTED_VALUE"""),62.03)</f>
        <v>62.03</v>
      </c>
      <c r="F156" s="1">
        <f ca="1">IFERROR(__xludf.DUMMYFUNCTION("""COMPUTED_VALUE"""),397904)</f>
        <v>397904</v>
      </c>
      <c r="G156" s="1">
        <f ca="1">IFERROR(__xludf.DUMMYFUNCTION("""COMPUTED_VALUE"""),64149)</f>
        <v>64149</v>
      </c>
    </row>
    <row r="157" spans="1:7" ht="12.75">
      <c r="A157">
        <f ca="1">IFERROR(__xludf.DUMMYFUNCTION("""COMPUTED_VALUE"""),156)</f>
        <v>156</v>
      </c>
      <c r="B157">
        <f ca="1">IFERROR(__xludf.DUMMYFUNCTION("""COMPUTED_VALUE"""),159)</f>
        <v>159</v>
      </c>
      <c r="C157" t="str">
        <f ca="1">IFERROR(__xludf.DUMMYFUNCTION("""COMPUTED_VALUE"""),"Kevin Na")</f>
        <v>Kevin Na</v>
      </c>
      <c r="D157">
        <f ca="1">IFERROR(__xludf.DUMMYFUNCTION("""COMPUTED_VALUE"""),14)</f>
        <v>14</v>
      </c>
      <c r="E157">
        <f ca="1">IFERROR(__xludf.DUMMYFUNCTION("""COMPUTED_VALUE"""),62.02)</f>
        <v>62.02</v>
      </c>
      <c r="F157" s="1">
        <f ca="1">IFERROR(__xludf.DUMMYFUNCTION("""COMPUTED_VALUE"""),554916)</f>
        <v>554916</v>
      </c>
      <c r="G157" s="1">
        <f ca="1">IFERROR(__xludf.DUMMYFUNCTION("""COMPUTED_VALUE"""),89478)</f>
        <v>89478</v>
      </c>
    </row>
    <row r="158" spans="1:7" ht="12.75">
      <c r="A158">
        <f ca="1">IFERROR(__xludf.DUMMYFUNCTION("""COMPUTED_VALUE"""),157)</f>
        <v>157</v>
      </c>
      <c r="B158">
        <f ca="1">IFERROR(__xludf.DUMMYFUNCTION("""COMPUTED_VALUE"""),117)</f>
        <v>117</v>
      </c>
      <c r="C158" t="str">
        <f ca="1">IFERROR(__xludf.DUMMYFUNCTION("""COMPUTED_VALUE"""),"Luke Donald")</f>
        <v>Luke Donald</v>
      </c>
      <c r="D158">
        <f ca="1">IFERROR(__xludf.DUMMYFUNCTION("""COMPUTED_VALUE"""),14)</f>
        <v>14</v>
      </c>
      <c r="E158">
        <f ca="1">IFERROR(__xludf.DUMMYFUNCTION("""COMPUTED_VALUE"""),61.98)</f>
        <v>61.98</v>
      </c>
      <c r="F158" s="1">
        <f ca="1">IFERROR(__xludf.DUMMYFUNCTION("""COMPUTED_VALUE"""),394257)</f>
        <v>394257</v>
      </c>
      <c r="G158" s="1">
        <f ca="1">IFERROR(__xludf.DUMMYFUNCTION("""COMPUTED_VALUE"""),63612)</f>
        <v>63612</v>
      </c>
    </row>
    <row r="159" spans="1:7" ht="12.75">
      <c r="A159">
        <f ca="1">IFERROR(__xludf.DUMMYFUNCTION("""COMPUTED_VALUE"""),158)</f>
        <v>158</v>
      </c>
      <c r="B159" t="str">
        <f ca="1">IFERROR(__xludf.DUMMYFUNCTION("""COMPUTED_VALUE"""),"T91")</f>
        <v>T91</v>
      </c>
      <c r="C159" t="str">
        <f ca="1">IFERROR(__xludf.DUMMYFUNCTION("""COMPUTED_VALUE"""),"Bo Van Pelt")</f>
        <v>Bo Van Pelt</v>
      </c>
      <c r="D159">
        <f ca="1">IFERROR(__xludf.DUMMYFUNCTION("""COMPUTED_VALUE"""),10)</f>
        <v>10</v>
      </c>
      <c r="E159">
        <f ca="1">IFERROR(__xludf.DUMMYFUNCTION("""COMPUTED_VALUE"""),61.97)</f>
        <v>61.97</v>
      </c>
      <c r="F159" s="1">
        <f ca="1">IFERROR(__xludf.DUMMYFUNCTION("""COMPUTED_VALUE"""),236744)</f>
        <v>236744</v>
      </c>
      <c r="G159" s="1">
        <f ca="1">IFERROR(__xludf.DUMMYFUNCTION("""COMPUTED_VALUE"""),38202)</f>
        <v>38202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IFERROR(__xludf.DUMMYFUNCTION("""COMPUTED_VALUE"""),152)</f>
        <v>152</v>
      </c>
      <c r="C160" t="str">
        <f ca="1">IFERROR(__xludf.DUMMYFUNCTION("""COMPUTED_VALUE"""),"Keegan Bradley")</f>
        <v>Keegan Bradley</v>
      </c>
      <c r="D160">
        <f ca="1">IFERROR(__xludf.DUMMYFUNCTION("""COMPUTED_VALUE"""),16)</f>
        <v>16</v>
      </c>
      <c r="E160">
        <f ca="1">IFERROR(__xludf.DUMMYFUNCTION("""COMPUTED_VALUE"""),61.95)</f>
        <v>61.95</v>
      </c>
      <c r="F160" s="1">
        <f ca="1">IFERROR(__xludf.DUMMYFUNCTION("""COMPUTED_VALUE"""),644647)</f>
        <v>644647</v>
      </c>
      <c r="G160" s="1">
        <f ca="1">IFERROR(__xludf.DUMMYFUNCTION("""COMPUTED_VALUE"""),104065)</f>
        <v>104065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IFERROR(__xludf.DUMMYFUNCTION("""COMPUTED_VALUE"""),160)</f>
        <v>160</v>
      </c>
      <c r="C161" t="str">
        <f ca="1">IFERROR(__xludf.DUMMYFUNCTION("""COMPUTED_VALUE"""),"Matt Every")</f>
        <v>Matt Every</v>
      </c>
      <c r="D161">
        <f ca="1">IFERROR(__xludf.DUMMYFUNCTION("""COMPUTED_VALUE"""),8)</f>
        <v>8</v>
      </c>
      <c r="E161">
        <f ca="1">IFERROR(__xludf.DUMMYFUNCTION("""COMPUTED_VALUE"""),61.94)</f>
        <v>61.94</v>
      </c>
      <c r="F161" s="1">
        <f ca="1">IFERROR(__xludf.DUMMYFUNCTION("""COMPUTED_VALUE"""),159275)</f>
        <v>159275</v>
      </c>
      <c r="G161" s="1">
        <f ca="1">IFERROR(__xludf.DUMMYFUNCTION("""COMPUTED_VALUE"""),25714)</f>
        <v>25714</v>
      </c>
    </row>
    <row r="162" spans="1:7" ht="12.75">
      <c r="A162">
        <f ca="1">IFERROR(__xludf.DUMMYFUNCTION("""COMPUTED_VALUE"""),161)</f>
        <v>161</v>
      </c>
      <c r="B162" t="str">
        <f ca="1">IFERROR(__xludf.DUMMYFUNCTION("""COMPUTED_VALUE"""),"T161")</f>
        <v>T161</v>
      </c>
      <c r="C162" t="str">
        <f ca="1">IFERROR(__xludf.DUMMYFUNCTION("""COMPUTED_VALUE"""),"Kiradech Aphibarnrat")</f>
        <v>Kiradech Aphibarnrat</v>
      </c>
      <c r="D162">
        <f ca="1">IFERROR(__xludf.DUMMYFUNCTION("""COMPUTED_VALUE"""),12)</f>
        <v>12</v>
      </c>
      <c r="E162">
        <f ca="1">IFERROR(__xludf.DUMMYFUNCTION("""COMPUTED_VALUE"""),61.93)</f>
        <v>61.93</v>
      </c>
      <c r="F162" s="1">
        <f ca="1">IFERROR(__xludf.DUMMYFUNCTION("""COMPUTED_VALUE"""),159259)</f>
        <v>159259</v>
      </c>
      <c r="G162" s="1">
        <f ca="1">IFERROR(__xludf.DUMMYFUNCTION("""COMPUTED_VALUE"""),25714)</f>
        <v>25714</v>
      </c>
    </row>
    <row r="163" spans="1:7" ht="12.75">
      <c r="A163">
        <f ca="1">IFERROR(__xludf.DUMMYFUNCTION("""COMPUTED_VALUE"""),162)</f>
        <v>162</v>
      </c>
      <c r="B163" t="str">
        <f ca="1">IFERROR(__xludf.DUMMYFUNCTION("""COMPUTED_VALUE"""),"T155")</f>
        <v>T155</v>
      </c>
      <c r="C163" t="str">
        <f ca="1">IFERROR(__xludf.DUMMYFUNCTION("""COMPUTED_VALUE"""),"Rory Sabbatini")</f>
        <v>Rory Sabbatini</v>
      </c>
      <c r="D163">
        <f ca="1">IFERROR(__xludf.DUMMYFUNCTION("""COMPUTED_VALUE"""),13)</f>
        <v>13</v>
      </c>
      <c r="E163">
        <f ca="1">IFERROR(__xludf.DUMMYFUNCTION("""COMPUTED_VALUE"""),61.9)</f>
        <v>61.9</v>
      </c>
      <c r="F163" s="1">
        <f ca="1">IFERROR(__xludf.DUMMYFUNCTION("""COMPUTED_VALUE"""),525790)</f>
        <v>525790</v>
      </c>
      <c r="G163" s="1">
        <f ca="1">IFERROR(__xludf.DUMMYFUNCTION("""COMPUTED_VALUE"""),84941)</f>
        <v>84941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IFERROR(__xludf.DUMMYFUNCTION("""COMPUTED_VALUE"""),"T164")</f>
        <v>T164</v>
      </c>
      <c r="C164" t="str">
        <f ca="1">IFERROR(__xludf.DUMMYFUNCTION("""COMPUTED_VALUE"""),"Webb Simpson")</f>
        <v>Webb Simpson</v>
      </c>
      <c r="D164">
        <f ca="1">IFERROR(__xludf.DUMMYFUNCTION("""COMPUTED_VALUE"""),12)</f>
        <v>12</v>
      </c>
      <c r="E164">
        <f ca="1">IFERROR(__xludf.DUMMYFUNCTION("""COMPUTED_VALUE"""),61.87)</f>
        <v>61.87</v>
      </c>
      <c r="F164" s="1">
        <f ca="1">IFERROR(__xludf.DUMMYFUNCTION("""COMPUTED_VALUE"""),474096)</f>
        <v>474096</v>
      </c>
      <c r="G164" s="1">
        <f ca="1">IFERROR(__xludf.DUMMYFUNCTION("""COMPUTED_VALUE"""),76630)</f>
        <v>76630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IFERROR(__xludf.DUMMYFUNCTION("""COMPUTED_VALUE"""),"T164")</f>
        <v>T164</v>
      </c>
      <c r="C165" t="str">
        <f ca="1">IFERROR(__xludf.DUMMYFUNCTION("""COMPUTED_VALUE"""),"Abraham Ancer")</f>
        <v>Abraham Ancer</v>
      </c>
      <c r="D165">
        <f ca="1">IFERROR(__xludf.DUMMYFUNCTION("""COMPUTED_VALUE"""),16)</f>
        <v>16</v>
      </c>
      <c r="E165">
        <f ca="1">IFERROR(__xludf.DUMMYFUNCTION("""COMPUTED_VALUE"""),61.87)</f>
        <v>61.87</v>
      </c>
      <c r="F165" s="1">
        <f ca="1">IFERROR(__xludf.DUMMYFUNCTION("""COMPUTED_VALUE"""),637958)</f>
        <v>637958</v>
      </c>
      <c r="G165" s="1">
        <f ca="1">IFERROR(__xludf.DUMMYFUNCTION("""COMPUTED_VALUE"""),103110)</f>
        <v>103110</v>
      </c>
    </row>
    <row r="166" spans="1:7" ht="12.75">
      <c r="A166" t="str">
        <f ca="1">IFERROR(__xludf.DUMMYFUNCTION("""COMPUTED_VALUE"""),"T165")</f>
        <v>T165</v>
      </c>
      <c r="B166">
        <f ca="1">IFERROR(__xludf.DUMMYFUNCTION("""COMPUTED_VALUE"""),166)</f>
        <v>166</v>
      </c>
      <c r="C166" t="str">
        <f ca="1">IFERROR(__xludf.DUMMYFUNCTION("""COMPUTED_VALUE"""),"Xander Schauffele")</f>
        <v>Xander Schauffele</v>
      </c>
      <c r="D166">
        <f ca="1">IFERROR(__xludf.DUMMYFUNCTION("""COMPUTED_VALUE"""),12)</f>
        <v>12</v>
      </c>
      <c r="E166">
        <f ca="1">IFERROR(__xludf.DUMMYFUNCTION("""COMPUTED_VALUE"""),61.86)</f>
        <v>61.86</v>
      </c>
      <c r="F166" s="1">
        <f ca="1">IFERROR(__xludf.DUMMYFUNCTION("""COMPUTED_VALUE"""),481138)</f>
        <v>481138</v>
      </c>
      <c r="G166" s="1">
        <f ca="1">IFERROR(__xludf.DUMMYFUNCTION("""COMPUTED_VALUE"""),77781)</f>
        <v>77781</v>
      </c>
    </row>
    <row r="167" spans="1:7" ht="12.75">
      <c r="A167" t="str">
        <f ca="1">IFERROR(__xludf.DUMMYFUNCTION("""COMPUTED_VALUE"""),"T165")</f>
        <v>T165</v>
      </c>
      <c r="B167">
        <f ca="1">IFERROR(__xludf.DUMMYFUNCTION("""COMPUTED_VALUE"""),151)</f>
        <v>151</v>
      </c>
      <c r="C167" t="str">
        <f ca="1">IFERROR(__xludf.DUMMYFUNCTION("""COMPUTED_VALUE"""),"Brian Harman")</f>
        <v>Brian Harman</v>
      </c>
      <c r="D167">
        <f ca="1">IFERROR(__xludf.DUMMYFUNCTION("""COMPUTED_VALUE"""),24)</f>
        <v>24</v>
      </c>
      <c r="E167">
        <f ca="1">IFERROR(__xludf.DUMMYFUNCTION("""COMPUTED_VALUE"""),61.86)</f>
        <v>61.86</v>
      </c>
      <c r="F167" s="1">
        <f ca="1">IFERROR(__xludf.DUMMYFUNCTION("""COMPUTED_VALUE"""),953095)</f>
        <v>953095</v>
      </c>
      <c r="G167" s="1">
        <f ca="1">IFERROR(__xludf.DUMMYFUNCTION("""COMPUTED_VALUE"""),154084)</f>
        <v>154084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IFERROR(__xludf.DUMMYFUNCTION("""COMPUTED_VALUE"""),167)</f>
        <v>167</v>
      </c>
      <c r="C168" t="str">
        <f ca="1">IFERROR(__xludf.DUMMYFUNCTION("""COMPUTED_VALUE"""),"D.J. Trahan")</f>
        <v>D.J. Trahan</v>
      </c>
      <c r="D168">
        <f ca="1">IFERROR(__xludf.DUMMYFUNCTION("""COMPUTED_VALUE"""),16)</f>
        <v>16</v>
      </c>
      <c r="E168">
        <f ca="1">IFERROR(__xludf.DUMMYFUNCTION("""COMPUTED_VALUE"""),61.83)</f>
        <v>61.83</v>
      </c>
      <c r="F168" s="1">
        <f ca="1">IFERROR(__xludf.DUMMYFUNCTION("""COMPUTED_VALUE"""),318002)</f>
        <v>318002</v>
      </c>
      <c r="G168" s="1">
        <f ca="1">IFERROR(__xludf.DUMMYFUNCTION("""COMPUTED_VALUE"""),51430)</f>
        <v>51430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IFERROR(__xludf.DUMMYFUNCTION("""COMPUTED_VALUE"""),168)</f>
        <v>168</v>
      </c>
      <c r="C169" t="str">
        <f ca="1">IFERROR(__xludf.DUMMYFUNCTION("""COMPUTED_VALUE"""),"Ricky Barnes")</f>
        <v>Ricky Barnes</v>
      </c>
      <c r="D169">
        <f ca="1">IFERROR(__xludf.DUMMYFUNCTION("""COMPUTED_VALUE"""),12)</f>
        <v>12</v>
      </c>
      <c r="E169">
        <f ca="1">IFERROR(__xludf.DUMMYFUNCTION("""COMPUTED_VALUE"""),61.82)</f>
        <v>61.82</v>
      </c>
      <c r="F169" s="1">
        <f ca="1">IFERROR(__xludf.DUMMYFUNCTION("""COMPUTED_VALUE"""),156777)</f>
        <v>156777</v>
      </c>
      <c r="G169" s="1">
        <f ca="1">IFERROR(__xludf.DUMMYFUNCTION("""COMPUTED_VALUE"""),25359)</f>
        <v>25359</v>
      </c>
    </row>
    <row r="170" spans="1:7" ht="12.75">
      <c r="A170">
        <f ca="1">IFERROR(__xludf.DUMMYFUNCTION("""COMPUTED_VALUE"""),169)</f>
        <v>169</v>
      </c>
      <c r="B170">
        <f ca="1">IFERROR(__xludf.DUMMYFUNCTION("""COMPUTED_VALUE"""),183)</f>
        <v>183</v>
      </c>
      <c r="C170" t="str">
        <f ca="1">IFERROR(__xludf.DUMMYFUNCTION("""COMPUTED_VALUE"""),"Shane Lowry")</f>
        <v>Shane Lowry</v>
      </c>
      <c r="D170">
        <f ca="1">IFERROR(__xludf.DUMMYFUNCTION("""COMPUTED_VALUE"""),14)</f>
        <v>14</v>
      </c>
      <c r="E170">
        <f ca="1">IFERROR(__xludf.DUMMYFUNCTION("""COMPUTED_VALUE"""),61.81)</f>
        <v>61.81</v>
      </c>
      <c r="F170" s="1">
        <f ca="1">IFERROR(__xludf.DUMMYFUNCTION("""COMPUTED_VALUE"""),564624)</f>
        <v>564624</v>
      </c>
      <c r="G170" s="1">
        <f ca="1">IFERROR(__xludf.DUMMYFUNCTION("""COMPUTED_VALUE"""),91347)</f>
        <v>91347</v>
      </c>
    </row>
    <row r="171" spans="1:7" ht="12.75">
      <c r="A171" t="str">
        <f ca="1">IFERROR(__xludf.DUMMYFUNCTION("""COMPUTED_VALUE"""),"T170")</f>
        <v>T170</v>
      </c>
      <c r="B171">
        <f ca="1">IFERROR(__xludf.DUMMYFUNCTION("""COMPUTED_VALUE"""),126)</f>
        <v>126</v>
      </c>
      <c r="C171" t="str">
        <f ca="1">IFERROR(__xludf.DUMMYFUNCTION("""COMPUTED_VALUE"""),"Brice Garnett")</f>
        <v>Brice Garnett</v>
      </c>
      <c r="D171">
        <f ca="1">IFERROR(__xludf.DUMMYFUNCTION("""COMPUTED_VALUE"""),22)</f>
        <v>22</v>
      </c>
      <c r="E171">
        <f ca="1">IFERROR(__xludf.DUMMYFUNCTION("""COMPUTED_VALUE"""),61.79)</f>
        <v>61.79</v>
      </c>
      <c r="F171" s="1">
        <f ca="1">IFERROR(__xludf.DUMMYFUNCTION("""COMPUTED_VALUE"""),547488)</f>
        <v>547488</v>
      </c>
      <c r="G171" s="1">
        <f ca="1">IFERROR(__xludf.DUMMYFUNCTION("""COMPUTED_VALUE"""),88611)</f>
        <v>88611</v>
      </c>
    </row>
    <row r="172" spans="1:7" ht="12.75">
      <c r="A172" t="str">
        <f ca="1">IFERROR(__xludf.DUMMYFUNCTION("""COMPUTED_VALUE"""),"T170")</f>
        <v>T170</v>
      </c>
      <c r="B172" t="str">
        <f ca="1">IFERROR(__xludf.DUMMYFUNCTION("""COMPUTED_VALUE"""),"T169")</f>
        <v>T169</v>
      </c>
      <c r="C172" t="str">
        <f ca="1">IFERROR(__xludf.DUMMYFUNCTION("""COMPUTED_VALUE"""),"Michael Gellerman")</f>
        <v>Michael Gellerman</v>
      </c>
      <c r="D172">
        <f ca="1">IFERROR(__xludf.DUMMYFUNCTION("""COMPUTED_VALUE"""),5)</f>
        <v>5</v>
      </c>
      <c r="E172">
        <f ca="1">IFERROR(__xludf.DUMMYFUNCTION("""COMPUTED_VALUE"""),61.79)</f>
        <v>61.79</v>
      </c>
      <c r="F172" s="1">
        <f ca="1">IFERROR(__xludf.DUMMYFUNCTION("""COMPUTED_VALUE"""),78434)</f>
        <v>78434</v>
      </c>
      <c r="G172" s="1">
        <f ca="1">IFERROR(__xludf.DUMMYFUNCTION("""COMPUTED_VALUE"""),12694)</f>
        <v>12694</v>
      </c>
    </row>
    <row r="173" spans="1:7" ht="12.75">
      <c r="A173" t="str">
        <f ca="1">IFERROR(__xludf.DUMMYFUNCTION("""COMPUTED_VALUE"""),"T170")</f>
        <v>T170</v>
      </c>
      <c r="B173" t="str">
        <f ca="1">IFERROR(__xludf.DUMMYFUNCTION("""COMPUTED_VALUE"""),"T169")</f>
        <v>T169</v>
      </c>
      <c r="C173" t="str">
        <f ca="1">IFERROR(__xludf.DUMMYFUNCTION("""COMPUTED_VALUE"""),"Collin Morikawa")</f>
        <v>Collin Morikawa</v>
      </c>
      <c r="D173">
        <f ca="1">IFERROR(__xludf.DUMMYFUNCTION("""COMPUTED_VALUE"""),12)</f>
        <v>12</v>
      </c>
      <c r="E173">
        <f ca="1">IFERROR(__xludf.DUMMYFUNCTION("""COMPUTED_VALUE"""),61.79)</f>
        <v>61.79</v>
      </c>
      <c r="F173" s="1">
        <f ca="1">IFERROR(__xludf.DUMMYFUNCTION("""COMPUTED_VALUE"""),474347)</f>
        <v>474347</v>
      </c>
      <c r="G173" s="1">
        <f ca="1">IFERROR(__xludf.DUMMYFUNCTION("""COMPUTED_VALUE"""),76762)</f>
        <v>76762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IFERROR(__xludf.DUMMYFUNCTION("""COMPUTED_VALUE"""),171)</f>
        <v>171</v>
      </c>
      <c r="C174" t="str">
        <f ca="1">IFERROR(__xludf.DUMMYFUNCTION("""COMPUTED_VALUE"""),"Harris English")</f>
        <v>Harris English</v>
      </c>
      <c r="D174">
        <f ca="1">IFERROR(__xludf.DUMMYFUNCTION("""COMPUTED_VALUE"""),14)</f>
        <v>14</v>
      </c>
      <c r="E174">
        <f ca="1">IFERROR(__xludf.DUMMYFUNCTION("""COMPUTED_VALUE"""),61.78)</f>
        <v>61.78</v>
      </c>
      <c r="F174" s="1">
        <f ca="1">IFERROR(__xludf.DUMMYFUNCTION("""COMPUTED_VALUE"""),558409)</f>
        <v>558409</v>
      </c>
      <c r="G174" s="1">
        <f ca="1">IFERROR(__xludf.DUMMYFUNCTION("""COMPUTED_VALUE"""),90394)</f>
        <v>90394</v>
      </c>
    </row>
    <row r="175" spans="1:7" ht="12.75">
      <c r="A175">
        <f ca="1">IFERROR(__xludf.DUMMYFUNCTION("""COMPUTED_VALUE"""),174)</f>
        <v>174</v>
      </c>
      <c r="B175">
        <f ca="1">IFERROR(__xludf.DUMMYFUNCTION("""COMPUTED_VALUE"""),172)</f>
        <v>172</v>
      </c>
      <c r="C175" t="str">
        <f ca="1">IFERROR(__xludf.DUMMYFUNCTION("""COMPUTED_VALUE"""),"Richy Werenski")</f>
        <v>Richy Werenski</v>
      </c>
      <c r="D175">
        <f ca="1">IFERROR(__xludf.DUMMYFUNCTION("""COMPUTED_VALUE"""),16)</f>
        <v>16</v>
      </c>
      <c r="E175">
        <f ca="1">IFERROR(__xludf.DUMMYFUNCTION("""COMPUTED_VALUE"""),61.77)</f>
        <v>61.77</v>
      </c>
      <c r="F175" s="1">
        <f ca="1">IFERROR(__xludf.DUMMYFUNCTION("""COMPUTED_VALUE"""),635156)</f>
        <v>635156</v>
      </c>
      <c r="G175" s="1">
        <f ca="1">IFERROR(__xludf.DUMMYFUNCTION("""COMPUTED_VALUE"""),102833)</f>
        <v>102833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IFERROR(__xludf.DUMMYFUNCTION("""COMPUTED_VALUE"""),"T161")</f>
        <v>T161</v>
      </c>
      <c r="C176" t="str">
        <f ca="1">IFERROR(__xludf.DUMMYFUNCTION("""COMPUTED_VALUE"""),"Branden Grace")</f>
        <v>Branden Grace</v>
      </c>
      <c r="D176">
        <f ca="1">IFERROR(__xludf.DUMMYFUNCTION("""COMPUTED_VALUE"""),16)</f>
        <v>16</v>
      </c>
      <c r="E176">
        <f ca="1">IFERROR(__xludf.DUMMYFUNCTION("""COMPUTED_VALUE"""),61.74)</f>
        <v>61.74</v>
      </c>
      <c r="F176" s="1">
        <f ca="1">IFERROR(__xludf.DUMMYFUNCTION("""COMPUTED_VALUE"""),398772)</f>
        <v>398772</v>
      </c>
      <c r="G176" s="1">
        <f ca="1">IFERROR(__xludf.DUMMYFUNCTION("""COMPUTED_VALUE"""),64586)</f>
        <v>64586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IFERROR(__xludf.DUMMYFUNCTION("""COMPUTED_VALUE"""),173)</f>
        <v>173</v>
      </c>
      <c r="C177" t="str">
        <f ca="1">IFERROR(__xludf.DUMMYFUNCTION("""COMPUTED_VALUE"""),"Hank Lebioda")</f>
        <v>Hank Lebioda</v>
      </c>
      <c r="D177">
        <f ca="1">IFERROR(__xludf.DUMMYFUNCTION("""COMPUTED_VALUE"""),14)</f>
        <v>14</v>
      </c>
      <c r="E177">
        <f ca="1">IFERROR(__xludf.DUMMYFUNCTION("""COMPUTED_VALUE"""),61.73)</f>
        <v>61.73</v>
      </c>
      <c r="F177" s="1">
        <f ca="1">IFERROR(__xludf.DUMMYFUNCTION("""COMPUTED_VALUE"""),239308)</f>
        <v>239308</v>
      </c>
      <c r="G177" s="1">
        <f ca="1">IFERROR(__xludf.DUMMYFUNCTION("""COMPUTED_VALUE"""),38765)</f>
        <v>38765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IFERROR(__xludf.DUMMYFUNCTION("""COMPUTED_VALUE"""),174)</f>
        <v>174</v>
      </c>
      <c r="C178" t="str">
        <f ca="1">IFERROR(__xludf.DUMMYFUNCTION("""COMPUTED_VALUE"""),"Peter Uihlein")</f>
        <v>Peter Uihlein</v>
      </c>
      <c r="D178">
        <f ca="1">IFERROR(__xludf.DUMMYFUNCTION("""COMPUTED_VALUE"""),8)</f>
        <v>8</v>
      </c>
      <c r="E178">
        <f ca="1">IFERROR(__xludf.DUMMYFUNCTION("""COMPUTED_VALUE"""),61.72)</f>
        <v>61.72</v>
      </c>
      <c r="F178" s="1">
        <f ca="1">IFERROR(__xludf.DUMMYFUNCTION("""COMPUTED_VALUE"""),78353)</f>
        <v>78353</v>
      </c>
      <c r="G178" s="1">
        <f ca="1">IFERROR(__xludf.DUMMYFUNCTION("""COMPUTED_VALUE"""),12694)</f>
        <v>12694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IFERROR(__xludf.DUMMYFUNCTION("""COMPUTED_VALUE"""),175)</f>
        <v>175</v>
      </c>
      <c r="C179" t="str">
        <f ca="1">IFERROR(__xludf.DUMMYFUNCTION("""COMPUTED_VALUE"""),"Jeongwoo Ham")</f>
        <v>Jeongwoo Ham</v>
      </c>
      <c r="D179">
        <f ca="1">IFERROR(__xludf.DUMMYFUNCTION("""COMPUTED_VALUE"""),4)</f>
        <v>4</v>
      </c>
      <c r="E179">
        <f ca="1">IFERROR(__xludf.DUMMYFUNCTION("""COMPUTED_VALUE"""),61.71)</f>
        <v>61.71</v>
      </c>
      <c r="F179" s="1">
        <f ca="1">IFERROR(__xludf.DUMMYFUNCTION("""COMPUTED_VALUE"""),163418)</f>
        <v>163418</v>
      </c>
      <c r="G179" s="1">
        <f ca="1">IFERROR(__xludf.DUMMYFUNCTION("""COMPUTED_VALUE"""),26480)</f>
        <v>26480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IFERROR(__xludf.DUMMYFUNCTION("""COMPUTED_VALUE"""),145)</f>
        <v>145</v>
      </c>
      <c r="C180" t="str">
        <f ca="1">IFERROR(__xludf.DUMMYFUNCTION("""COMPUTED_VALUE"""),"Russell Henley")</f>
        <v>Russell Henley</v>
      </c>
      <c r="D180">
        <f ca="1">IFERROR(__xludf.DUMMYFUNCTION("""COMPUTED_VALUE"""),16)</f>
        <v>16</v>
      </c>
      <c r="E180">
        <f ca="1">IFERROR(__xludf.DUMMYFUNCTION("""COMPUTED_VALUE"""),61.7)</f>
        <v>61.7</v>
      </c>
      <c r="F180" s="1">
        <f ca="1">IFERROR(__xludf.DUMMYFUNCTION("""COMPUTED_VALUE"""),621630)</f>
        <v>621630</v>
      </c>
      <c r="G180" s="1">
        <f ca="1">IFERROR(__xludf.DUMMYFUNCTION("""COMPUTED_VALUE"""),100743)</f>
        <v>100743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IFERROR(__xludf.DUMMYFUNCTION("""COMPUTED_VALUE"""),"T153")</f>
        <v>T153</v>
      </c>
      <c r="C181" t="str">
        <f ca="1">IFERROR(__xludf.DUMMYFUNCTION("""COMPUTED_VALUE"""),"Sung Kang")</f>
        <v>Sung Kang</v>
      </c>
      <c r="D181">
        <f ca="1">IFERROR(__xludf.DUMMYFUNCTION("""COMPUTED_VALUE"""),14)</f>
        <v>14</v>
      </c>
      <c r="E181">
        <f ca="1">IFERROR(__xludf.DUMMYFUNCTION("""COMPUTED_VALUE"""),61.68)</f>
        <v>61.68</v>
      </c>
      <c r="F181" s="1">
        <f ca="1">IFERROR(__xludf.DUMMYFUNCTION("""COMPUTED_VALUE"""),561517)</f>
        <v>561517</v>
      </c>
      <c r="G181" s="1">
        <f ca="1">IFERROR(__xludf.DUMMYFUNCTION("""COMPUTED_VALUE"""),91036)</f>
        <v>91036</v>
      </c>
    </row>
    <row r="182" spans="1:7" ht="12.75">
      <c r="A182">
        <f ca="1">IFERROR(__xludf.DUMMYFUNCTION("""COMPUTED_VALUE"""),181)</f>
        <v>181</v>
      </c>
      <c r="B182" t="str">
        <f ca="1">IFERROR(__xludf.DUMMYFUNCTION("""COMPUTED_VALUE"""),"T140")</f>
        <v>T140</v>
      </c>
      <c r="C182" t="str">
        <f ca="1">IFERROR(__xludf.DUMMYFUNCTION("""COMPUTED_VALUE"""),"Brandt Snedeker")</f>
        <v>Brandt Snedeker</v>
      </c>
      <c r="D182">
        <f ca="1">IFERROR(__xludf.DUMMYFUNCTION("""COMPUTED_VALUE"""),16)</f>
        <v>16</v>
      </c>
      <c r="E182">
        <f ca="1">IFERROR(__xludf.DUMMYFUNCTION("""COMPUTED_VALUE"""),61.66)</f>
        <v>61.66</v>
      </c>
      <c r="F182" s="1">
        <f ca="1">IFERROR(__xludf.DUMMYFUNCTION("""COMPUTED_VALUE"""),632872)</f>
        <v>632872</v>
      </c>
      <c r="G182" s="1">
        <f ca="1">IFERROR(__xludf.DUMMYFUNCTION("""COMPUTED_VALUE"""),102635)</f>
        <v>102635</v>
      </c>
    </row>
    <row r="183" spans="1:7" ht="12.75">
      <c r="A183" t="str">
        <f ca="1">IFERROR(__xludf.DUMMYFUNCTION("""COMPUTED_VALUE"""),"T182")</f>
        <v>T182</v>
      </c>
      <c r="B183">
        <f ca="1">IFERROR(__xludf.DUMMYFUNCTION("""COMPUTED_VALUE"""),176)</f>
        <v>176</v>
      </c>
      <c r="C183" t="str">
        <f ca="1">IFERROR(__xludf.DUMMYFUNCTION("""COMPUTED_VALUE"""),"Thomas Pieters")</f>
        <v>Thomas Pieters</v>
      </c>
      <c r="D183">
        <f ca="1">IFERROR(__xludf.DUMMYFUNCTION("""COMPUTED_VALUE"""),4)</f>
        <v>4</v>
      </c>
      <c r="E183">
        <f ca="1">IFERROR(__xludf.DUMMYFUNCTION("""COMPUTED_VALUE"""),61.65)</f>
        <v>61.65</v>
      </c>
      <c r="F183" s="1">
        <f ca="1">IFERROR(__xludf.DUMMYFUNCTION("""COMPUTED_VALUE"""),168125)</f>
        <v>168125</v>
      </c>
      <c r="G183" s="1">
        <f ca="1">IFERROR(__xludf.DUMMYFUNCTION("""COMPUTED_VALUE"""),27270)</f>
        <v>27270</v>
      </c>
    </row>
    <row r="184" spans="1:7" ht="12.75">
      <c r="A184" t="str">
        <f ca="1">IFERROR(__xludf.DUMMYFUNCTION("""COMPUTED_VALUE"""),"T182")</f>
        <v>T182</v>
      </c>
      <c r="B184">
        <f ca="1">IFERROR(__xludf.DUMMYFUNCTION("""COMPUTED_VALUE"""),186)</f>
        <v>186</v>
      </c>
      <c r="C184" t="str">
        <f ca="1">IFERROR(__xludf.DUMMYFUNCTION("""COMPUTED_VALUE"""),"Lanto Griffin")</f>
        <v>Lanto Griffin</v>
      </c>
      <c r="D184">
        <f ca="1">IFERROR(__xludf.DUMMYFUNCTION("""COMPUTED_VALUE"""),18)</f>
        <v>18</v>
      </c>
      <c r="E184">
        <f ca="1">IFERROR(__xludf.DUMMYFUNCTION("""COMPUTED_VALUE"""),61.65)</f>
        <v>61.65</v>
      </c>
      <c r="F184" s="1">
        <f ca="1">IFERROR(__xludf.DUMMYFUNCTION("""COMPUTED_VALUE"""),710843)</f>
        <v>710843</v>
      </c>
      <c r="G184" s="1">
        <f ca="1">IFERROR(__xludf.DUMMYFUNCTION("""COMPUTED_VALUE"""),115297)</f>
        <v>115297</v>
      </c>
    </row>
    <row r="185" spans="1:7" ht="12.75">
      <c r="A185" t="str">
        <f ca="1">IFERROR(__xludf.DUMMYFUNCTION("""COMPUTED_VALUE"""),"T184")</f>
        <v>T184</v>
      </c>
      <c r="B185">
        <f ca="1">IFERROR(__xludf.DUMMYFUNCTION("""COMPUTED_VALUE"""),184)</f>
        <v>184</v>
      </c>
      <c r="C185" t="str">
        <f ca="1">IFERROR(__xludf.DUMMYFUNCTION("""COMPUTED_VALUE"""),"Tyrrell Hatton")</f>
        <v>Tyrrell Hatton</v>
      </c>
      <c r="D185">
        <f ca="1">IFERROR(__xludf.DUMMYFUNCTION("""COMPUTED_VALUE"""),14)</f>
        <v>14</v>
      </c>
      <c r="E185">
        <f ca="1">IFERROR(__xludf.DUMMYFUNCTION("""COMPUTED_VALUE"""),61.63)</f>
        <v>61.63</v>
      </c>
      <c r="F185" s="1">
        <f ca="1">IFERROR(__xludf.DUMMYFUNCTION("""COMPUTED_VALUE"""),548867)</f>
        <v>548867</v>
      </c>
      <c r="G185" s="1">
        <f ca="1">IFERROR(__xludf.DUMMYFUNCTION("""COMPUTED_VALUE"""),89052)</f>
        <v>89052</v>
      </c>
    </row>
    <row r="186" spans="1:7" ht="12.75">
      <c r="A186" t="str">
        <f ca="1">IFERROR(__xludf.DUMMYFUNCTION("""COMPUTED_VALUE"""),"T184")</f>
        <v>T184</v>
      </c>
      <c r="B186">
        <f ca="1">IFERROR(__xludf.DUMMYFUNCTION("""COMPUTED_VALUE"""),177)</f>
        <v>177</v>
      </c>
      <c r="C186" t="str">
        <f ca="1">IFERROR(__xludf.DUMMYFUNCTION("""COMPUTED_VALUE"""),"Steve Lewton")</f>
        <v>Steve Lewton</v>
      </c>
      <c r="D186">
        <f ca="1">IFERROR(__xludf.DUMMYFUNCTION("""COMPUTED_VALUE"""),4)</f>
        <v>4</v>
      </c>
      <c r="E186">
        <f ca="1">IFERROR(__xludf.DUMMYFUNCTION("""COMPUTED_VALUE"""),61.63)</f>
        <v>61.63</v>
      </c>
      <c r="F186" s="1">
        <f ca="1">IFERROR(__xludf.DUMMYFUNCTION("""COMPUTED_VALUE"""),160676)</f>
        <v>160676</v>
      </c>
      <c r="G186" s="1">
        <f ca="1">IFERROR(__xludf.DUMMYFUNCTION("""COMPUTED_VALUE"""),26071)</f>
        <v>26071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IFERROR(__xludf.DUMMYFUNCTION("""COMPUTED_VALUE"""),180)</f>
        <v>180</v>
      </c>
      <c r="C187" t="str">
        <f ca="1">IFERROR(__xludf.DUMMYFUNCTION("""COMPUTED_VALUE"""),"Johnson Wagner")</f>
        <v>Johnson Wagner</v>
      </c>
      <c r="D187">
        <f ca="1">IFERROR(__xludf.DUMMYFUNCTION("""COMPUTED_VALUE"""),8)</f>
        <v>8</v>
      </c>
      <c r="E187">
        <f ca="1">IFERROR(__xludf.DUMMYFUNCTION("""COMPUTED_VALUE"""),61.51)</f>
        <v>61.51</v>
      </c>
      <c r="F187" s="1">
        <f ca="1">IFERROR(__xludf.DUMMYFUNCTION("""COMPUTED_VALUE"""),78085)</f>
        <v>78085</v>
      </c>
      <c r="G187" s="1">
        <f ca="1">IFERROR(__xludf.DUMMYFUNCTION("""COMPUTED_VALUE"""),12694)</f>
        <v>12694</v>
      </c>
    </row>
    <row r="188" spans="1:7" ht="12.75">
      <c r="A188" t="str">
        <f ca="1">IFERROR(__xludf.DUMMYFUNCTION("""COMPUTED_VALUE"""),"T187")</f>
        <v>T187</v>
      </c>
      <c r="B188" t="str">
        <f ca="1">IFERROR(__xludf.DUMMYFUNCTION("""COMPUTED_VALUE"""),"")</f>
        <v/>
      </c>
      <c r="C188" t="str">
        <f ca="1">IFERROR(__xludf.DUMMYFUNCTION("""COMPUTED_VALUE"""),"Dawie van der Walt")</f>
        <v>Dawie van der Walt</v>
      </c>
      <c r="D188">
        <f ca="1">IFERROR(__xludf.DUMMYFUNCTION("""COMPUTED_VALUE"""),4)</f>
        <v>4</v>
      </c>
      <c r="E188">
        <f ca="1">IFERROR(__xludf.DUMMYFUNCTION("""COMPUTED_VALUE"""),61.41)</f>
        <v>61.41</v>
      </c>
      <c r="F188" s="1">
        <f ca="1">IFERROR(__xludf.DUMMYFUNCTION("""COMPUTED_VALUE"""),152931)</f>
        <v>152931</v>
      </c>
      <c r="G188" s="1">
        <f ca="1">IFERROR(__xludf.DUMMYFUNCTION("""COMPUTED_VALUE"""),24903)</f>
        <v>24903</v>
      </c>
    </row>
    <row r="189" spans="1:7" ht="12.75">
      <c r="A189" t="str">
        <f ca="1">IFERROR(__xludf.DUMMYFUNCTION("""COMPUTED_VALUE"""),"T187")</f>
        <v>T187</v>
      </c>
      <c r="B189">
        <f ca="1">IFERROR(__xludf.DUMMYFUNCTION("""COMPUTED_VALUE"""),211)</f>
        <v>211</v>
      </c>
      <c r="C189" t="str">
        <f ca="1">IFERROR(__xludf.DUMMYFUNCTION("""COMPUTED_VALUE"""),"Erik van Rooyen")</f>
        <v>Erik van Rooyen</v>
      </c>
      <c r="D189">
        <f ca="1">IFERROR(__xludf.DUMMYFUNCTION("""COMPUTED_VALUE"""),10)</f>
        <v>10</v>
      </c>
      <c r="E189">
        <f ca="1">IFERROR(__xludf.DUMMYFUNCTION("""COMPUTED_VALUE"""),61.41)</f>
        <v>61.41</v>
      </c>
      <c r="F189" s="1">
        <f ca="1">IFERROR(__xludf.DUMMYFUNCTION("""COMPUTED_VALUE"""),398370)</f>
        <v>398370</v>
      </c>
      <c r="G189" s="1">
        <f ca="1">IFERROR(__xludf.DUMMYFUNCTION("""COMPUTED_VALUE"""),64867)</f>
        <v>64867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IFERROR(__xludf.DUMMYFUNCTION("""COMPUTED_VALUE"""),182)</f>
        <v>182</v>
      </c>
      <c r="C190" t="str">
        <f ca="1">IFERROR(__xludf.DUMMYFUNCTION("""COMPUTED_VALUE"""),"Zac Blair")</f>
        <v>Zac Blair</v>
      </c>
      <c r="D190">
        <f ca="1">IFERROR(__xludf.DUMMYFUNCTION("""COMPUTED_VALUE"""),10)</f>
        <v>10</v>
      </c>
      <c r="E190">
        <f ca="1">IFERROR(__xludf.DUMMYFUNCTION("""COMPUTED_VALUE"""),61.39)</f>
        <v>61.39</v>
      </c>
      <c r="F190" s="1">
        <f ca="1">IFERROR(__xludf.DUMMYFUNCTION("""COMPUTED_VALUE"""),235298)</f>
        <v>235298</v>
      </c>
      <c r="G190" s="1">
        <f ca="1">IFERROR(__xludf.DUMMYFUNCTION("""COMPUTED_VALUE"""),38327)</f>
        <v>38327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IFERROR(__xludf.DUMMYFUNCTION("""COMPUTED_VALUE"""),187)</f>
        <v>187</v>
      </c>
      <c r="C191" t="str">
        <f ca="1">IFERROR(__xludf.DUMMYFUNCTION("""COMPUTED_VALUE"""),"Billy Horschel")</f>
        <v>Billy Horschel</v>
      </c>
      <c r="D191">
        <f ca="1">IFERROR(__xludf.DUMMYFUNCTION("""COMPUTED_VALUE"""),12)</f>
        <v>12</v>
      </c>
      <c r="E191">
        <f ca="1">IFERROR(__xludf.DUMMYFUNCTION("""COMPUTED_VALUE"""),61.32)</f>
        <v>61.32</v>
      </c>
      <c r="F191" s="1">
        <f ca="1">IFERROR(__xludf.DUMMYFUNCTION("""COMPUTED_VALUE"""),476939)</f>
        <v>476939</v>
      </c>
      <c r="G191" s="1">
        <f ca="1">IFERROR(__xludf.DUMMYFUNCTION("""COMPUTED_VALUE"""),77781)</f>
        <v>77781</v>
      </c>
    </row>
    <row r="192" spans="1:7" ht="12.75">
      <c r="A192" t="str">
        <f ca="1">IFERROR(__xludf.DUMMYFUNCTION("""COMPUTED_VALUE"""),"T191")</f>
        <v>T191</v>
      </c>
      <c r="B192">
        <f ca="1">IFERROR(__xludf.DUMMYFUNCTION("""COMPUTED_VALUE"""),193)</f>
        <v>193</v>
      </c>
      <c r="C192" t="str">
        <f ca="1">IFERROR(__xludf.DUMMYFUNCTION("""COMPUTED_VALUE"""),"Lee Westwood")</f>
        <v>Lee Westwood</v>
      </c>
      <c r="D192">
        <f ca="1">IFERROR(__xludf.DUMMYFUNCTION("""COMPUTED_VALUE"""),6)</f>
        <v>6</v>
      </c>
      <c r="E192">
        <f ca="1">IFERROR(__xludf.DUMMYFUNCTION("""COMPUTED_VALUE"""),61.31)</f>
        <v>61.31</v>
      </c>
      <c r="F192" s="1">
        <f ca="1">IFERROR(__xludf.DUMMYFUNCTION("""COMPUTED_VALUE"""),244236)</f>
        <v>244236</v>
      </c>
      <c r="G192" s="1">
        <f ca="1">IFERROR(__xludf.DUMMYFUNCTION("""COMPUTED_VALUE"""),39839)</f>
        <v>39839</v>
      </c>
    </row>
    <row r="193" spans="1:7" ht="12.75">
      <c r="A193" t="str">
        <f ca="1">IFERROR(__xludf.DUMMYFUNCTION("""COMPUTED_VALUE"""),"T191")</f>
        <v>T191</v>
      </c>
      <c r="B193">
        <f ca="1">IFERROR(__xludf.DUMMYFUNCTION("""COMPUTED_VALUE"""),188)</f>
        <v>188</v>
      </c>
      <c r="C193" t="str">
        <f ca="1">IFERROR(__xludf.DUMMYFUNCTION("""COMPUTED_VALUE"""),"Cameron Percy")</f>
        <v>Cameron Percy</v>
      </c>
      <c r="D193">
        <f ca="1">IFERROR(__xludf.DUMMYFUNCTION("""COMPUTED_VALUE"""),16)</f>
        <v>16</v>
      </c>
      <c r="E193">
        <f ca="1">IFERROR(__xludf.DUMMYFUNCTION("""COMPUTED_VALUE"""),61.31)</f>
        <v>61.31</v>
      </c>
      <c r="F193" s="1">
        <f ca="1">IFERROR(__xludf.DUMMYFUNCTION("""COMPUTED_VALUE"""),315306)</f>
        <v>315306</v>
      </c>
      <c r="G193" s="1">
        <f ca="1">IFERROR(__xludf.DUMMYFUNCTION("""COMPUTED_VALUE"""),51430)</f>
        <v>51430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IFERROR(__xludf.DUMMYFUNCTION("""COMPUTED_VALUE"""),189)</f>
        <v>189</v>
      </c>
      <c r="C194" t="str">
        <f ca="1">IFERROR(__xludf.DUMMYFUNCTION("""COMPUTED_VALUE"""),"Adam Hadwin")</f>
        <v>Adam Hadwin</v>
      </c>
      <c r="D194">
        <f ca="1">IFERROR(__xludf.DUMMYFUNCTION("""COMPUTED_VALUE"""),16)</f>
        <v>16</v>
      </c>
      <c r="E194">
        <f ca="1">IFERROR(__xludf.DUMMYFUNCTION("""COMPUTED_VALUE"""),61.3)</f>
        <v>61.3</v>
      </c>
      <c r="F194" s="1">
        <f ca="1">IFERROR(__xludf.DUMMYFUNCTION("""COMPUTED_VALUE"""),632023)</f>
        <v>632023</v>
      </c>
      <c r="G194" s="1">
        <f ca="1">IFERROR(__xludf.DUMMYFUNCTION("""COMPUTED_VALUE"""),103110)</f>
        <v>103110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IFERROR(__xludf.DUMMYFUNCTION("""COMPUTED_VALUE"""),181)</f>
        <v>181</v>
      </c>
      <c r="C195" t="str">
        <f ca="1">IFERROR(__xludf.DUMMYFUNCTION("""COMPUTED_VALUE"""),"Lucas Glover")</f>
        <v>Lucas Glover</v>
      </c>
      <c r="D195">
        <f ca="1">IFERROR(__xludf.DUMMYFUNCTION("""COMPUTED_VALUE"""),12)</f>
        <v>12</v>
      </c>
      <c r="E195">
        <f ca="1">IFERROR(__xludf.DUMMYFUNCTION("""COMPUTED_VALUE"""),61.27)</f>
        <v>61.27</v>
      </c>
      <c r="F195" s="1">
        <f ca="1">IFERROR(__xludf.DUMMYFUNCTION("""COMPUTED_VALUE"""),479221)</f>
        <v>479221</v>
      </c>
      <c r="G195" s="1">
        <f ca="1">IFERROR(__xludf.DUMMYFUNCTION("""COMPUTED_VALUE"""),78218)</f>
        <v>78218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IFERROR(__xludf.DUMMYFUNCTION("""COMPUTED_VALUE"""),163)</f>
        <v>163</v>
      </c>
      <c r="C196" t="str">
        <f ca="1">IFERROR(__xludf.DUMMYFUNCTION("""COMPUTED_VALUE"""),"Vaughn Taylor")</f>
        <v>Vaughn Taylor</v>
      </c>
      <c r="D196">
        <f ca="1">IFERROR(__xludf.DUMMYFUNCTION("""COMPUTED_VALUE"""),12)</f>
        <v>12</v>
      </c>
      <c r="E196">
        <f ca="1">IFERROR(__xludf.DUMMYFUNCTION("""COMPUTED_VALUE"""),61.22)</f>
        <v>61.22</v>
      </c>
      <c r="F196" s="1">
        <f ca="1">IFERROR(__xludf.DUMMYFUNCTION("""COMPUTED_VALUE"""),233871)</f>
        <v>233871</v>
      </c>
      <c r="G196" s="1">
        <f ca="1">IFERROR(__xludf.DUMMYFUNCTION("""COMPUTED_VALUE"""),38202)</f>
        <v>38202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IFERROR(__xludf.DUMMYFUNCTION("""COMPUTED_VALUE"""),191)</f>
        <v>191</v>
      </c>
      <c r="C197" t="str">
        <f ca="1">IFERROR(__xludf.DUMMYFUNCTION("""COMPUTED_VALUE"""),"Matt Kuchar")</f>
        <v>Matt Kuchar</v>
      </c>
      <c r="D197">
        <f ca="1">IFERROR(__xludf.DUMMYFUNCTION("""COMPUTED_VALUE"""),14)</f>
        <v>14</v>
      </c>
      <c r="E197">
        <f ca="1">IFERROR(__xludf.DUMMYFUNCTION("""COMPUTED_VALUE"""),61.2)</f>
        <v>61.2</v>
      </c>
      <c r="F197" s="1">
        <f ca="1">IFERROR(__xludf.DUMMYFUNCTION("""COMPUTED_VALUE"""),547572)</f>
        <v>547572</v>
      </c>
      <c r="G197" s="1">
        <f ca="1">IFERROR(__xludf.DUMMYFUNCTION("""COMPUTED_VALUE"""),89478)</f>
        <v>89478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IFERROR(__xludf.DUMMYFUNCTION("""COMPUTED_VALUE"""),192)</f>
        <v>192</v>
      </c>
      <c r="C198" t="str">
        <f ca="1">IFERROR(__xludf.DUMMYFUNCTION("""COMPUTED_VALUE"""),"Rafa Cabrera Bello")</f>
        <v>Rafa Cabrera Bello</v>
      </c>
      <c r="D198">
        <f ca="1">IFERROR(__xludf.DUMMYFUNCTION("""COMPUTED_VALUE"""),14)</f>
        <v>14</v>
      </c>
      <c r="E198">
        <f ca="1">IFERROR(__xludf.DUMMYFUNCTION("""COMPUTED_VALUE"""),61.19)</f>
        <v>61.19</v>
      </c>
      <c r="F198" s="1">
        <f ca="1">IFERROR(__xludf.DUMMYFUNCTION("""COMPUTED_VALUE"""),481213)</f>
        <v>481213</v>
      </c>
      <c r="G198" s="1">
        <f ca="1">IFERROR(__xludf.DUMMYFUNCTION("""COMPUTED_VALUE"""),78648)</f>
        <v>78648</v>
      </c>
    </row>
    <row r="199" spans="1:7" ht="12.75">
      <c r="A199">
        <f ca="1">IFERROR(__xludf.DUMMYFUNCTION("""COMPUTED_VALUE"""),198)</f>
        <v>198</v>
      </c>
      <c r="B199" t="str">
        <f ca="1">IFERROR(__xludf.DUMMYFUNCTION("""COMPUTED_VALUE"""),"T140")</f>
        <v>T140</v>
      </c>
      <c r="C199" t="str">
        <f ca="1">IFERROR(__xludf.DUMMYFUNCTION("""COMPUTED_VALUE"""),"Fabián Gómez")</f>
        <v>Fabián Gómez</v>
      </c>
      <c r="D199">
        <f ca="1">IFERROR(__xludf.DUMMYFUNCTION("""COMPUTED_VALUE"""),16)</f>
        <v>16</v>
      </c>
      <c r="E199">
        <f ca="1">IFERROR(__xludf.DUMMYFUNCTION("""COMPUTED_VALUE"""),61.14)</f>
        <v>61.14</v>
      </c>
      <c r="F199" s="1">
        <f ca="1">IFERROR(__xludf.DUMMYFUNCTION("""COMPUTED_VALUE"""),386617)</f>
        <v>386617</v>
      </c>
      <c r="G199" s="1">
        <f ca="1">IFERROR(__xludf.DUMMYFUNCTION("""COMPUTED_VALUE"""),63230)</f>
        <v>63230</v>
      </c>
    </row>
    <row r="200" spans="1:7" ht="12.75">
      <c r="A200" t="str">
        <f ca="1">IFERROR(__xludf.DUMMYFUNCTION("""COMPUTED_VALUE"""),"T199")</f>
        <v>T199</v>
      </c>
      <c r="B200">
        <f ca="1">IFERROR(__xludf.DUMMYFUNCTION("""COMPUTED_VALUE"""),178)</f>
        <v>178</v>
      </c>
      <c r="C200" t="str">
        <f ca="1">IFERROR(__xludf.DUMMYFUNCTION("""COMPUTED_VALUE"""),"Zach Johnson")</f>
        <v>Zach Johnson</v>
      </c>
      <c r="D200">
        <f ca="1">IFERROR(__xludf.DUMMYFUNCTION("""COMPUTED_VALUE"""),16)</f>
        <v>16</v>
      </c>
      <c r="E200">
        <f ca="1">IFERROR(__xludf.DUMMYFUNCTION("""COMPUTED_VALUE"""),61.12)</f>
        <v>61.12</v>
      </c>
      <c r="F200" s="1">
        <f ca="1">IFERROR(__xludf.DUMMYFUNCTION("""COMPUTED_VALUE"""),633005)</f>
        <v>633005</v>
      </c>
      <c r="G200" s="1">
        <f ca="1">IFERROR(__xludf.DUMMYFUNCTION("""COMPUTED_VALUE"""),103573)</f>
        <v>103573</v>
      </c>
    </row>
    <row r="201" spans="1:7" ht="12.75">
      <c r="A201" t="str">
        <f ca="1">IFERROR(__xludf.DUMMYFUNCTION("""COMPUTED_VALUE"""),"T199")</f>
        <v>T199</v>
      </c>
      <c r="B201">
        <f ca="1">IFERROR(__xludf.DUMMYFUNCTION("""COMPUTED_VALUE"""),194)</f>
        <v>194</v>
      </c>
      <c r="C201" t="str">
        <f ca="1">IFERROR(__xludf.DUMMYFUNCTION("""COMPUTED_VALUE"""),"Justin Thomas")</f>
        <v>Justin Thomas</v>
      </c>
      <c r="D201">
        <f ca="1">IFERROR(__xludf.DUMMYFUNCTION("""COMPUTED_VALUE"""),12)</f>
        <v>12</v>
      </c>
      <c r="E201">
        <f ca="1">IFERROR(__xludf.DUMMYFUNCTION("""COMPUTED_VALUE"""),61.12)</f>
        <v>61.12</v>
      </c>
      <c r="F201" s="1">
        <f ca="1">IFERROR(__xludf.DUMMYFUNCTION("""COMPUTED_VALUE"""),475367)</f>
        <v>475367</v>
      </c>
      <c r="G201" s="1">
        <f ca="1">IFERROR(__xludf.DUMMYFUNCTION("""COMPUTED_VALUE"""),77781)</f>
        <v>77781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IFERROR(__xludf.DUMMYFUNCTION("""COMPUTED_VALUE"""),195)</f>
        <v>195</v>
      </c>
      <c r="C202" t="str">
        <f ca="1">IFERROR(__xludf.DUMMYFUNCTION("""COMPUTED_VALUE"""),"John Senden")</f>
        <v>John Senden</v>
      </c>
      <c r="D202">
        <f ca="1">IFERROR(__xludf.DUMMYFUNCTION("""COMPUTED_VALUE"""),8)</f>
        <v>8</v>
      </c>
      <c r="E202">
        <f ca="1">IFERROR(__xludf.DUMMYFUNCTION("""COMPUTED_VALUE"""),61.1)</f>
        <v>61.1</v>
      </c>
      <c r="F202" s="1">
        <f ca="1">IFERROR(__xludf.DUMMYFUNCTION("""COMPUTED_VALUE"""),77560)</f>
        <v>77560</v>
      </c>
      <c r="G202" s="1">
        <f ca="1">IFERROR(__xludf.DUMMYFUNCTION("""COMPUTED_VALUE"""),12694)</f>
        <v>12694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IFERROR(__xludf.DUMMYFUNCTION("""COMPUTED_VALUE"""),196)</f>
        <v>196</v>
      </c>
      <c r="C203" t="str">
        <f ca="1">IFERROR(__xludf.DUMMYFUNCTION("""COMPUTED_VALUE"""),"Mark Anderson")</f>
        <v>Mark Anderson</v>
      </c>
      <c r="D203">
        <f ca="1">IFERROR(__xludf.DUMMYFUNCTION("""COMPUTED_VALUE"""),14)</f>
        <v>14</v>
      </c>
      <c r="E203">
        <f ca="1">IFERROR(__xludf.DUMMYFUNCTION("""COMPUTED_VALUE"""),61.07)</f>
        <v>61.07</v>
      </c>
      <c r="F203" s="1">
        <f ca="1">IFERROR(__xludf.DUMMYFUNCTION("""COMPUTED_VALUE"""),234393)</f>
        <v>234393</v>
      </c>
      <c r="G203" s="1">
        <f ca="1">IFERROR(__xludf.DUMMYFUNCTION("""COMPUTED_VALUE"""),38379)</f>
        <v>38379</v>
      </c>
    </row>
    <row r="204" spans="1:7" ht="12.75">
      <c r="A204" t="str">
        <f ca="1">IFERROR(__xludf.DUMMYFUNCTION("""COMPUTED_VALUE"""),"T203")</f>
        <v>T203</v>
      </c>
      <c r="B204" t="str">
        <f ca="1">IFERROR(__xludf.DUMMYFUNCTION("""COMPUTED_VALUE"""),"T197")</f>
        <v>T197</v>
      </c>
      <c r="C204" t="str">
        <f ca="1">IFERROR(__xludf.DUMMYFUNCTION("""COMPUTED_VALUE"""),"Rhein Gibson")</f>
        <v>Rhein Gibson</v>
      </c>
      <c r="D204">
        <f ca="1">IFERROR(__xludf.DUMMYFUNCTION("""COMPUTED_VALUE"""),10)</f>
        <v>10</v>
      </c>
      <c r="E204">
        <f ca="1">IFERROR(__xludf.DUMMYFUNCTION("""COMPUTED_VALUE"""),61.05)</f>
        <v>61.05</v>
      </c>
      <c r="F204" s="1">
        <f ca="1">IFERROR(__xludf.DUMMYFUNCTION("""COMPUTED_VALUE"""),154827)</f>
        <v>154827</v>
      </c>
      <c r="G204" s="1">
        <f ca="1">IFERROR(__xludf.DUMMYFUNCTION("""COMPUTED_VALUE"""),25359)</f>
        <v>25359</v>
      </c>
    </row>
    <row r="205" spans="1:7" ht="12.75">
      <c r="A205" t="str">
        <f ca="1">IFERROR(__xludf.DUMMYFUNCTION("""COMPUTED_VALUE"""),"T203")</f>
        <v>T203</v>
      </c>
      <c r="B205" t="str">
        <f ca="1">IFERROR(__xludf.DUMMYFUNCTION("""COMPUTED_VALUE"""),"T197")</f>
        <v>T197</v>
      </c>
      <c r="C205" t="str">
        <f ca="1">IFERROR(__xludf.DUMMYFUNCTION("""COMPUTED_VALUE"""),"Joohyung Kim")</f>
        <v>Joohyung Kim</v>
      </c>
      <c r="D205">
        <f ca="1">IFERROR(__xludf.DUMMYFUNCTION("""COMPUTED_VALUE"""),12)</f>
        <v>12</v>
      </c>
      <c r="E205">
        <f ca="1">IFERROR(__xludf.DUMMYFUNCTION("""COMPUTED_VALUE"""),61.05)</f>
        <v>61.05</v>
      </c>
      <c r="F205" s="1">
        <f ca="1">IFERROR(__xludf.DUMMYFUNCTION("""COMPUTED_VALUE"""),316452)</f>
        <v>316452</v>
      </c>
      <c r="G205" s="1">
        <f ca="1">IFERROR(__xludf.DUMMYFUNCTION("""COMPUTED_VALUE"""),51839)</f>
        <v>51839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IFERROR(__xludf.DUMMYFUNCTION("""COMPUTED_VALUE"""),200)</f>
        <v>200</v>
      </c>
      <c r="C206" t="str">
        <f ca="1">IFERROR(__xludf.DUMMYFUNCTION("""COMPUTED_VALUE"""),"Chez Reavie")</f>
        <v>Chez Reavie</v>
      </c>
      <c r="D206">
        <f ca="1">IFERROR(__xludf.DUMMYFUNCTION("""COMPUTED_VALUE"""),14)</f>
        <v>14</v>
      </c>
      <c r="E206">
        <f ca="1">IFERROR(__xludf.DUMMYFUNCTION("""COMPUTED_VALUE"""),61.04)</f>
        <v>61.04</v>
      </c>
      <c r="F206" s="1">
        <f ca="1">IFERROR(__xludf.DUMMYFUNCTION("""COMPUTED_VALUE"""),551802)</f>
        <v>551802</v>
      </c>
      <c r="G206" s="1">
        <f ca="1">IFERROR(__xludf.DUMMYFUNCTION("""COMPUTED_VALUE"""),90397)</f>
        <v>90397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IFERROR(__xludf.DUMMYFUNCTION("""COMPUTED_VALUE"""),201)</f>
        <v>201</v>
      </c>
      <c r="C207" t="str">
        <f ca="1">IFERROR(__xludf.DUMMYFUNCTION("""COMPUTED_VALUE"""),"Dominic Bozzelli")</f>
        <v>Dominic Bozzelli</v>
      </c>
      <c r="D207">
        <f ca="1">IFERROR(__xludf.DUMMYFUNCTION("""COMPUTED_VALUE"""),8)</f>
        <v>8</v>
      </c>
      <c r="E207">
        <f ca="1">IFERROR(__xludf.DUMMYFUNCTION("""COMPUTED_VALUE"""),61.03)</f>
        <v>61.03</v>
      </c>
      <c r="F207" s="1">
        <f ca="1">IFERROR(__xludf.DUMMYFUNCTION("""COMPUTED_VALUE"""),77475)</f>
        <v>77475</v>
      </c>
      <c r="G207" s="1">
        <f ca="1">IFERROR(__xludf.DUMMYFUNCTION("""COMPUTED_VALUE"""),12694)</f>
        <v>12694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IFERROR(__xludf.DUMMYFUNCTION("""COMPUTED_VALUE"""),202)</f>
        <v>202</v>
      </c>
      <c r="C208" t="str">
        <f ca="1">IFERROR(__xludf.DUMMYFUNCTION("""COMPUTED_VALUE"""),"Justin Rose")</f>
        <v>Justin Rose</v>
      </c>
      <c r="D208">
        <f ca="1">IFERROR(__xludf.DUMMYFUNCTION("""COMPUTED_VALUE"""),10)</f>
        <v>10</v>
      </c>
      <c r="E208">
        <f ca="1">IFERROR(__xludf.DUMMYFUNCTION("""COMPUTED_VALUE"""),61.01)</f>
        <v>61.01</v>
      </c>
      <c r="F208" s="1">
        <f ca="1">IFERROR(__xludf.DUMMYFUNCTION("""COMPUTED_VALUE"""),391342)</f>
        <v>391342</v>
      </c>
      <c r="G208" s="1">
        <f ca="1">IFERROR(__xludf.DUMMYFUNCTION("""COMPUTED_VALUE"""),64149)</f>
        <v>64149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IFERROR(__xludf.DUMMYFUNCTION("""COMPUTED_VALUE"""),179)</f>
        <v>179</v>
      </c>
      <c r="C209" t="str">
        <f ca="1">IFERROR(__xludf.DUMMYFUNCTION("""COMPUTED_VALUE"""),"Troy Merritt")</f>
        <v>Troy Merritt</v>
      </c>
      <c r="D209">
        <f ca="1">IFERROR(__xludf.DUMMYFUNCTION("""COMPUTED_VALUE"""),20)</f>
        <v>20</v>
      </c>
      <c r="E209">
        <f ca="1">IFERROR(__xludf.DUMMYFUNCTION("""COMPUTED_VALUE"""),61)</f>
        <v>61</v>
      </c>
      <c r="F209" s="1">
        <f ca="1">IFERROR(__xludf.DUMMYFUNCTION("""COMPUTED_VALUE"""),629590)</f>
        <v>629590</v>
      </c>
      <c r="G209" s="1">
        <f ca="1">IFERROR(__xludf.DUMMYFUNCTION("""COMPUTED_VALUE"""),103216)</f>
        <v>103216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IFERROR(__xludf.DUMMYFUNCTION("""COMPUTED_VALUE"""),185)</f>
        <v>185</v>
      </c>
      <c r="C210" t="str">
        <f ca="1">IFERROR(__xludf.DUMMYFUNCTION("""COMPUTED_VALUE"""),"Kramer Hickok")</f>
        <v>Kramer Hickok</v>
      </c>
      <c r="D210">
        <f ca="1">IFERROR(__xludf.DUMMYFUNCTION("""COMPUTED_VALUE"""),16)</f>
        <v>16</v>
      </c>
      <c r="E210">
        <f ca="1">IFERROR(__xludf.DUMMYFUNCTION("""COMPUTED_VALUE"""),60.97)</f>
        <v>60.97</v>
      </c>
      <c r="F210" s="1">
        <f ca="1">IFERROR(__xludf.DUMMYFUNCTION("""COMPUTED_VALUE"""),308610)</f>
        <v>308610</v>
      </c>
      <c r="G210" s="1">
        <f ca="1">IFERROR(__xludf.DUMMYFUNCTION("""COMPUTED_VALUE"""),50617)</f>
        <v>50617</v>
      </c>
    </row>
    <row r="211" spans="1:7" ht="12.75">
      <c r="A211">
        <f ca="1">IFERROR(__xludf.DUMMYFUNCTION("""COMPUTED_VALUE"""),210)</f>
        <v>210</v>
      </c>
      <c r="B211">
        <f ca="1">IFERROR(__xludf.DUMMYFUNCTION("""COMPUTED_VALUE"""),203)</f>
        <v>203</v>
      </c>
      <c r="C211" t="str">
        <f ca="1">IFERROR(__xludf.DUMMYFUNCTION("""COMPUTED_VALUE"""),"Gary Woodland")</f>
        <v>Gary Woodland</v>
      </c>
      <c r="D211">
        <f ca="1">IFERROR(__xludf.DUMMYFUNCTION("""COMPUTED_VALUE"""),6)</f>
        <v>6</v>
      </c>
      <c r="E211">
        <f ca="1">IFERROR(__xludf.DUMMYFUNCTION("""COMPUTED_VALUE"""),60.96)</f>
        <v>60.96</v>
      </c>
      <c r="F211" s="1">
        <f ca="1">IFERROR(__xludf.DUMMYFUNCTION("""COMPUTED_VALUE"""),244561)</f>
        <v>244561</v>
      </c>
      <c r="G211" s="1">
        <f ca="1">IFERROR(__xludf.DUMMYFUNCTION("""COMPUTED_VALUE"""),40118)</f>
        <v>40118</v>
      </c>
    </row>
    <row r="212" spans="1:7" ht="12.75">
      <c r="A212">
        <f ca="1">IFERROR(__xludf.DUMMYFUNCTION("""COMPUTED_VALUE"""),211)</f>
        <v>211</v>
      </c>
      <c r="B212" t="str">
        <f ca="1">IFERROR(__xludf.DUMMYFUNCTION("""COMPUTED_VALUE"""),"T204")</f>
        <v>T204</v>
      </c>
      <c r="C212" t="str">
        <f ca="1">IFERROR(__xludf.DUMMYFUNCTION("""COMPUTED_VALUE"""),"Robert MacIntyre")</f>
        <v>Robert MacIntyre</v>
      </c>
      <c r="D212">
        <f ca="1">IFERROR(__xludf.DUMMYFUNCTION("""COMPUTED_VALUE"""),4)</f>
        <v>4</v>
      </c>
      <c r="E212">
        <f ca="1">IFERROR(__xludf.DUMMYFUNCTION("""COMPUTED_VALUE"""),60.95)</f>
        <v>60.95</v>
      </c>
      <c r="F212" s="1">
        <f ca="1">IFERROR(__xludf.DUMMYFUNCTION("""COMPUTED_VALUE"""),166206)</f>
        <v>166206</v>
      </c>
      <c r="G212" s="1">
        <f ca="1">IFERROR(__xludf.DUMMYFUNCTION("""COMPUTED_VALUE"""),27270)</f>
        <v>27270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IFERROR(__xludf.DUMMYFUNCTION("""COMPUTED_VALUE"""),210)</f>
        <v>210</v>
      </c>
      <c r="C213" t="str">
        <f ca="1">IFERROR(__xludf.DUMMYFUNCTION("""COMPUTED_VALUE"""),"Chris Kirk")</f>
        <v>Chris Kirk</v>
      </c>
      <c r="D213">
        <f ca="1">IFERROR(__xludf.DUMMYFUNCTION("""COMPUTED_VALUE"""),10)</f>
        <v>10</v>
      </c>
      <c r="E213">
        <f ca="1">IFERROR(__xludf.DUMMYFUNCTION("""COMPUTED_VALUE"""),60.92)</f>
        <v>60.92</v>
      </c>
      <c r="F213" s="1">
        <f ca="1">IFERROR(__xludf.DUMMYFUNCTION("""COMPUTED_VALUE"""),310554)</f>
        <v>310554</v>
      </c>
      <c r="G213" s="1">
        <f ca="1">IFERROR(__xludf.DUMMYFUNCTION("""COMPUTED_VALUE"""),50974)</f>
        <v>50974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IFERROR(__xludf.DUMMYFUNCTION("""COMPUTED_VALUE"""),207)</f>
        <v>207</v>
      </c>
      <c r="C214" t="str">
        <f ca="1">IFERROR(__xludf.DUMMYFUNCTION("""COMPUTED_VALUE"""),"Tae Hee Lee")</f>
        <v>Tae Hee Lee</v>
      </c>
      <c r="D214">
        <f ca="1">IFERROR(__xludf.DUMMYFUNCTION("""COMPUTED_VALUE"""),4)</f>
        <v>4</v>
      </c>
      <c r="E214">
        <f ca="1">IFERROR(__xludf.DUMMYFUNCTION("""COMPUTED_VALUE"""),60.85)</f>
        <v>60.85</v>
      </c>
      <c r="F214" s="1">
        <f ca="1">IFERROR(__xludf.DUMMYFUNCTION("""COMPUTED_VALUE"""),161132)</f>
        <v>161132</v>
      </c>
      <c r="G214" s="1">
        <f ca="1">IFERROR(__xludf.DUMMYFUNCTION("""COMPUTED_VALUE"""),26480)</f>
        <v>26480</v>
      </c>
    </row>
    <row r="215" spans="1:7" ht="12.75">
      <c r="A215">
        <f ca="1">IFERROR(__xludf.DUMMYFUNCTION("""COMPUTED_VALUE"""),214)</f>
        <v>214</v>
      </c>
      <c r="B215" t="str">
        <f ca="1">IFERROR(__xludf.DUMMYFUNCTION("""COMPUTED_VALUE"""),"T208")</f>
        <v>T208</v>
      </c>
      <c r="C215" t="str">
        <f ca="1">IFERROR(__xludf.DUMMYFUNCTION("""COMPUTED_VALUE"""),"George McNeill")</f>
        <v>George McNeill</v>
      </c>
      <c r="D215">
        <f ca="1">IFERROR(__xludf.DUMMYFUNCTION("""COMPUTED_VALUE"""),8)</f>
        <v>8</v>
      </c>
      <c r="E215">
        <f ca="1">IFERROR(__xludf.DUMMYFUNCTION("""COMPUTED_VALUE"""),60.83)</f>
        <v>60.83</v>
      </c>
      <c r="F215" s="1">
        <f ca="1">IFERROR(__xludf.DUMMYFUNCTION("""COMPUTED_VALUE"""),77221)</f>
        <v>77221</v>
      </c>
      <c r="G215" s="1">
        <f ca="1">IFERROR(__xludf.DUMMYFUNCTION("""COMPUTED_VALUE"""),12694)</f>
        <v>12694</v>
      </c>
    </row>
    <row r="216" spans="1:7" ht="12.75">
      <c r="A216">
        <f ca="1">IFERROR(__xludf.DUMMYFUNCTION("""COMPUTED_VALUE"""),215)</f>
        <v>215</v>
      </c>
      <c r="B216" t="str">
        <f ca="1">IFERROR(__xludf.DUMMYFUNCTION("""COMPUTED_VALUE"""),"T204")</f>
        <v>T204</v>
      </c>
      <c r="C216" t="str">
        <f ca="1">IFERROR(__xludf.DUMMYFUNCTION("""COMPUTED_VALUE"""),"Kelly Kraft")</f>
        <v>Kelly Kraft</v>
      </c>
      <c r="D216">
        <f ca="1">IFERROR(__xludf.DUMMYFUNCTION("""COMPUTED_VALUE"""),14)</f>
        <v>14</v>
      </c>
      <c r="E216">
        <f ca="1">IFERROR(__xludf.DUMMYFUNCTION("""COMPUTED_VALUE"""),60.79)</f>
        <v>60.79</v>
      </c>
      <c r="F216" s="1">
        <f ca="1">IFERROR(__xludf.DUMMYFUNCTION("""COMPUTED_VALUE"""),312047)</f>
        <v>312047</v>
      </c>
      <c r="G216" s="1">
        <f ca="1">IFERROR(__xludf.DUMMYFUNCTION("""COMPUTED_VALUE"""),51334)</f>
        <v>51334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IFERROR(__xludf.DUMMYFUNCTION("""COMPUTED_VALUE"""),229)</f>
        <v>229</v>
      </c>
      <c r="C217" t="str">
        <f ca="1">IFERROR(__xludf.DUMMYFUNCTION("""COMPUTED_VALUE"""),"Mackenzie Hughes")</f>
        <v>Mackenzie Hughes</v>
      </c>
      <c r="D217">
        <f ca="1">IFERROR(__xludf.DUMMYFUNCTION("""COMPUTED_VALUE"""),18)</f>
        <v>18</v>
      </c>
      <c r="E217">
        <f ca="1">IFERROR(__xludf.DUMMYFUNCTION("""COMPUTED_VALUE"""),60.75)</f>
        <v>60.75</v>
      </c>
      <c r="F217" s="1">
        <f ca="1">IFERROR(__xludf.DUMMYFUNCTION("""COMPUTED_VALUE"""),540983)</f>
        <v>540983</v>
      </c>
      <c r="G217" s="1">
        <f ca="1">IFERROR(__xludf.DUMMYFUNCTION("""COMPUTED_VALUE"""),89052)</f>
        <v>89052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IFERROR(__xludf.DUMMYFUNCTION("""COMPUTED_VALUE"""),213)</f>
        <v>213</v>
      </c>
      <c r="C218" t="str">
        <f ca="1">IFERROR(__xludf.DUMMYFUNCTION("""COMPUTED_VALUE"""),"Romain Langasque")</f>
        <v>Romain Langasque</v>
      </c>
      <c r="D218">
        <f ca="1">IFERROR(__xludf.DUMMYFUNCTION("""COMPUTED_VALUE"""),4)</f>
        <v>4</v>
      </c>
      <c r="E218">
        <f ca="1">IFERROR(__xludf.DUMMYFUNCTION("""COMPUTED_VALUE"""),60.7)</f>
        <v>60.7</v>
      </c>
      <c r="F218" s="1">
        <f ca="1">IFERROR(__xludf.DUMMYFUNCTION("""COMPUTED_VALUE"""),165524)</f>
        <v>165524</v>
      </c>
      <c r="G218" s="1">
        <f ca="1">IFERROR(__xludf.DUMMYFUNCTION("""COMPUTED_VALUE"""),27270)</f>
        <v>27270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IFERROR(__xludf.DUMMYFUNCTION("""COMPUTED_VALUE"""),214)</f>
        <v>214</v>
      </c>
      <c r="C219" t="str">
        <f ca="1">IFERROR(__xludf.DUMMYFUNCTION("""COMPUTED_VALUE"""),"Daniel Berger")</f>
        <v>Daniel Berger</v>
      </c>
      <c r="D219">
        <f ca="1">IFERROR(__xludf.DUMMYFUNCTION("""COMPUTED_VALUE"""),12)</f>
        <v>12</v>
      </c>
      <c r="E219">
        <f ca="1">IFERROR(__xludf.DUMMYFUNCTION("""COMPUTED_VALUE"""),60.63)</f>
        <v>60.63</v>
      </c>
      <c r="F219" s="1">
        <f ca="1">IFERROR(__xludf.DUMMYFUNCTION("""COMPUTED_VALUE"""),471561)</f>
        <v>471561</v>
      </c>
      <c r="G219" s="1">
        <f ca="1">IFERROR(__xludf.DUMMYFUNCTION("""COMPUTED_VALUE"""),77781)</f>
        <v>77781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IFERROR(__xludf.DUMMYFUNCTION("""COMPUTED_VALUE"""),215)</f>
        <v>215</v>
      </c>
      <c r="C220" t="str">
        <f ca="1">IFERROR(__xludf.DUMMYFUNCTION("""COMPUTED_VALUE"""),"Chan Kim")</f>
        <v>Chan Kim</v>
      </c>
      <c r="D220">
        <f ca="1">IFERROR(__xludf.DUMMYFUNCTION("""COMPUTED_VALUE"""),6)</f>
        <v>6</v>
      </c>
      <c r="E220">
        <f ca="1">IFERROR(__xludf.DUMMYFUNCTION("""COMPUTED_VALUE"""),60.62)</f>
        <v>60.62</v>
      </c>
      <c r="F220" s="1">
        <f ca="1">IFERROR(__xludf.DUMMYFUNCTION("""COMPUTED_VALUE"""),228347)</f>
        <v>228347</v>
      </c>
      <c r="G220" s="1">
        <f ca="1">IFERROR(__xludf.DUMMYFUNCTION("""COMPUTED_VALUE"""),37669)</f>
        <v>37669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IFERROR(__xludf.DUMMYFUNCTION("""COMPUTED_VALUE"""),216)</f>
        <v>216</v>
      </c>
      <c r="C221" t="str">
        <f ca="1">IFERROR(__xludf.DUMMYFUNCTION("""COMPUTED_VALUE"""),"Matthias Schwab")</f>
        <v>Matthias Schwab</v>
      </c>
      <c r="D221">
        <f ca="1">IFERROR(__xludf.DUMMYFUNCTION("""COMPUTED_VALUE"""),8)</f>
        <v>8</v>
      </c>
      <c r="E221">
        <f ca="1">IFERROR(__xludf.DUMMYFUNCTION("""COMPUTED_VALUE"""),60.6)</f>
        <v>60.6</v>
      </c>
      <c r="F221" s="1">
        <f ca="1">IFERROR(__xludf.DUMMYFUNCTION("""COMPUTED_VALUE"""),161557)</f>
        <v>161557</v>
      </c>
      <c r="G221" s="1">
        <f ca="1">IFERROR(__xludf.DUMMYFUNCTION("""COMPUTED_VALUE"""),26658)</f>
        <v>26658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IFERROR(__xludf.DUMMYFUNCTION("""COMPUTED_VALUE"""),"T208")</f>
        <v>T208</v>
      </c>
      <c r="C222" t="str">
        <f ca="1">IFERROR(__xludf.DUMMYFUNCTION("""COMPUTED_VALUE"""),"Andrew Putnam")</f>
        <v>Andrew Putnam</v>
      </c>
      <c r="D222">
        <f ca="1">IFERROR(__xludf.DUMMYFUNCTION("""COMPUTED_VALUE"""),19)</f>
        <v>19</v>
      </c>
      <c r="E222">
        <f ca="1">IFERROR(__xludf.DUMMYFUNCTION("""COMPUTED_VALUE"""),60.53)</f>
        <v>60.53</v>
      </c>
      <c r="F222" s="1">
        <f ca="1">IFERROR(__xludf.DUMMYFUNCTION("""COMPUTED_VALUE"""),581871)</f>
        <v>581871</v>
      </c>
      <c r="G222" s="1">
        <f ca="1">IFERROR(__xludf.DUMMYFUNCTION("""COMPUTED_VALUE"""),96128)</f>
        <v>96128</v>
      </c>
    </row>
    <row r="223" spans="1:7" ht="12.75">
      <c r="A223" t="str">
        <f ca="1">IFERROR(__xludf.DUMMYFUNCTION("""COMPUTED_VALUE"""),"T221")</f>
        <v>T221</v>
      </c>
      <c r="B223">
        <f ca="1">IFERROR(__xludf.DUMMYFUNCTION("""COMPUTED_VALUE"""),218)</f>
        <v>218</v>
      </c>
      <c r="C223" t="str">
        <f ca="1">IFERROR(__xludf.DUMMYFUNCTION("""COMPUTED_VALUE"""),"Chris Baker")</f>
        <v>Chris Baker</v>
      </c>
      <c r="D223">
        <f ca="1">IFERROR(__xludf.DUMMYFUNCTION("""COMPUTED_VALUE"""),8)</f>
        <v>8</v>
      </c>
      <c r="E223">
        <f ca="1">IFERROR(__xludf.DUMMYFUNCTION("""COMPUTED_VALUE"""),60.53)</f>
        <v>60.53</v>
      </c>
      <c r="F223" s="1">
        <f ca="1">IFERROR(__xludf.DUMMYFUNCTION("""COMPUTED_VALUE"""),155649)</f>
        <v>155649</v>
      </c>
      <c r="G223" s="1">
        <f ca="1">IFERROR(__xludf.DUMMYFUNCTION("""COMPUTED_VALUE"""),25714)</f>
        <v>25714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IFERROR(__xludf.DUMMYFUNCTION("""COMPUTED_VALUE"""),219)</f>
        <v>219</v>
      </c>
      <c r="C224" t="str">
        <f ca="1">IFERROR(__xludf.DUMMYFUNCTION("""COMPUTED_VALUE"""),"Jonathan Byrd")</f>
        <v>Jonathan Byrd</v>
      </c>
      <c r="D224">
        <f ca="1">IFERROR(__xludf.DUMMYFUNCTION("""COMPUTED_VALUE"""),14)</f>
        <v>14</v>
      </c>
      <c r="E224">
        <f ca="1">IFERROR(__xludf.DUMMYFUNCTION("""COMPUTED_VALUE"""),60.52)</f>
        <v>60.52</v>
      </c>
      <c r="F224" s="1">
        <f ca="1">IFERROR(__xludf.DUMMYFUNCTION("""COMPUTED_VALUE"""),232255)</f>
        <v>232255</v>
      </c>
      <c r="G224" s="1">
        <f ca="1">IFERROR(__xludf.DUMMYFUNCTION("""COMPUTED_VALUE"""),38379)</f>
        <v>38379</v>
      </c>
    </row>
    <row r="225" spans="1:7" ht="12.75">
      <c r="A225">
        <f ca="1">IFERROR(__xludf.DUMMYFUNCTION("""COMPUTED_VALUE"""),224)</f>
        <v>224</v>
      </c>
      <c r="B225" t="str">
        <f ca="1">IFERROR(__xludf.DUMMYFUNCTION("""COMPUTED_VALUE"""),"T224")</f>
        <v>T224</v>
      </c>
      <c r="C225" t="str">
        <f ca="1">IFERROR(__xludf.DUMMYFUNCTION("""COMPUTED_VALUE"""),"Alex Noren")</f>
        <v>Alex Noren</v>
      </c>
      <c r="D225">
        <f ca="1">IFERROR(__xludf.DUMMYFUNCTION("""COMPUTED_VALUE"""),14)</f>
        <v>14</v>
      </c>
      <c r="E225">
        <f ca="1">IFERROR(__xludf.DUMMYFUNCTION("""COMPUTED_VALUE"""),60.47)</f>
        <v>60.47</v>
      </c>
      <c r="F225" s="1">
        <f ca="1">IFERROR(__xludf.DUMMYFUNCTION("""COMPUTED_VALUE"""),546320)</f>
        <v>546320</v>
      </c>
      <c r="G225" s="1">
        <f ca="1">IFERROR(__xludf.DUMMYFUNCTION("""COMPUTED_VALUE"""),90350)</f>
        <v>90350</v>
      </c>
    </row>
    <row r="226" spans="1:7" ht="12.75">
      <c r="A226" t="str">
        <f ca="1">IFERROR(__xludf.DUMMYFUNCTION("""COMPUTED_VALUE"""),"T225")</f>
        <v>T225</v>
      </c>
      <c r="B226" t="str">
        <f ca="1">IFERROR(__xludf.DUMMYFUNCTION("""COMPUTED_VALUE"""),"T221")</f>
        <v>T221</v>
      </c>
      <c r="C226" t="str">
        <f ca="1">IFERROR(__xludf.DUMMYFUNCTION("""COMPUTED_VALUE"""),"William McGirt")</f>
        <v>William McGirt</v>
      </c>
      <c r="D226">
        <f ca="1">IFERROR(__xludf.DUMMYFUNCTION("""COMPUTED_VALUE"""),6)</f>
        <v>6</v>
      </c>
      <c r="E226">
        <f ca="1">IFERROR(__xludf.DUMMYFUNCTION("""COMPUTED_VALUE"""),60.44)</f>
        <v>60.44</v>
      </c>
      <c r="F226" s="1">
        <f ca="1">IFERROR(__xludf.DUMMYFUNCTION("""COMPUTED_VALUE"""),231955)</f>
        <v>231955</v>
      </c>
      <c r="G226" s="1">
        <f ca="1">IFERROR(__xludf.DUMMYFUNCTION("""COMPUTED_VALUE"""),38379)</f>
        <v>38379</v>
      </c>
    </row>
    <row r="227" spans="1:7" ht="12.75">
      <c r="A227" t="str">
        <f ca="1">IFERROR(__xludf.DUMMYFUNCTION("""COMPUTED_VALUE"""),"T225")</f>
        <v>T225</v>
      </c>
      <c r="B227" t="str">
        <f ca="1">IFERROR(__xludf.DUMMYFUNCTION("""COMPUTED_VALUE"""),"T221")</f>
        <v>T221</v>
      </c>
      <c r="C227" t="str">
        <f ca="1">IFERROR(__xludf.DUMMYFUNCTION("""COMPUTED_VALUE"""),"Rikuya Hoshino")</f>
        <v>Rikuya Hoshino</v>
      </c>
      <c r="D227">
        <f ca="1">IFERROR(__xludf.DUMMYFUNCTION("""COMPUTED_VALUE"""),4)</f>
        <v>4</v>
      </c>
      <c r="E227">
        <f ca="1">IFERROR(__xludf.DUMMYFUNCTION("""COMPUTED_VALUE"""),60.44)</f>
        <v>60.44</v>
      </c>
      <c r="F227" s="1">
        <f ca="1">IFERROR(__xludf.DUMMYFUNCTION("""COMPUTED_VALUE"""),145248)</f>
        <v>145248</v>
      </c>
      <c r="G227" s="1">
        <f ca="1">IFERROR(__xludf.DUMMYFUNCTION("""COMPUTED_VALUE"""),24031)</f>
        <v>24031</v>
      </c>
    </row>
    <row r="228" spans="1:7" ht="12.75">
      <c r="A228" t="str">
        <f ca="1">IFERROR(__xludf.DUMMYFUNCTION("""COMPUTED_VALUE"""),"T225")</f>
        <v>T225</v>
      </c>
      <c r="B228">
        <f ca="1">IFERROR(__xludf.DUMMYFUNCTION("""COMPUTED_VALUE"""),217)</f>
        <v>217</v>
      </c>
      <c r="C228" t="str">
        <f ca="1">IFERROR(__xludf.DUMMYFUNCTION("""COMPUTED_VALUE"""),"Tyler Duncan")</f>
        <v>Tyler Duncan</v>
      </c>
      <c r="D228">
        <f ca="1">IFERROR(__xludf.DUMMYFUNCTION("""COMPUTED_VALUE"""),18)</f>
        <v>18</v>
      </c>
      <c r="E228">
        <f ca="1">IFERROR(__xludf.DUMMYFUNCTION("""COMPUTED_VALUE"""),60.44)</f>
        <v>60.44</v>
      </c>
      <c r="F228" s="1">
        <f ca="1">IFERROR(__xludf.DUMMYFUNCTION("""COMPUTED_VALUE"""),699052)</f>
        <v>699052</v>
      </c>
      <c r="G228" s="1">
        <f ca="1">IFERROR(__xludf.DUMMYFUNCTION("""COMPUTED_VALUE"""),115657)</f>
        <v>115657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IFERROR(__xludf.DUMMYFUNCTION("""COMPUTED_VALUE"""),220)</f>
        <v>220</v>
      </c>
      <c r="C229" t="str">
        <f ca="1">IFERROR(__xludf.DUMMYFUNCTION("""COMPUTED_VALUE"""),"Adam Long")</f>
        <v>Adam Long</v>
      </c>
      <c r="D229">
        <f ca="1">IFERROR(__xludf.DUMMYFUNCTION("""COMPUTED_VALUE"""),22)</f>
        <v>22</v>
      </c>
      <c r="E229">
        <f ca="1">IFERROR(__xludf.DUMMYFUNCTION("""COMPUTED_VALUE"""),60.43)</f>
        <v>60.43</v>
      </c>
      <c r="F229" s="1">
        <f ca="1">IFERROR(__xludf.DUMMYFUNCTION("""COMPUTED_VALUE"""),699146)</f>
        <v>699146</v>
      </c>
      <c r="G229" s="1">
        <f ca="1">IFERROR(__xludf.DUMMYFUNCTION("""COMPUTED_VALUE"""),115704)</f>
        <v>115704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IFERROR(__xludf.DUMMYFUNCTION("""COMPUTED_VALUE"""),223)</f>
        <v>223</v>
      </c>
      <c r="C230" t="str">
        <f ca="1">IFERROR(__xludf.DUMMYFUNCTION("""COMPUTED_VALUE"""),"Jim Herman")</f>
        <v>Jim Herman</v>
      </c>
      <c r="D230">
        <f ca="1">IFERROR(__xludf.DUMMYFUNCTION("""COMPUTED_VALUE"""),12)</f>
        <v>12</v>
      </c>
      <c r="E230">
        <f ca="1">IFERROR(__xludf.DUMMYFUNCTION("""COMPUTED_VALUE"""),60.39)</f>
        <v>60.39</v>
      </c>
      <c r="F230" s="1">
        <f ca="1">IFERROR(__xludf.DUMMYFUNCTION("""COMPUTED_VALUE"""),466017)</f>
        <v>466017</v>
      </c>
      <c r="G230" s="1">
        <f ca="1">IFERROR(__xludf.DUMMYFUNCTION("""COMPUTED_VALUE"""),77169)</f>
        <v>77169</v>
      </c>
    </row>
    <row r="231" spans="1:7" ht="12.75">
      <c r="A231">
        <f ca="1">IFERROR(__xludf.DUMMYFUNCTION("""COMPUTED_VALUE"""),230)</f>
        <v>230</v>
      </c>
      <c r="B231" t="str">
        <f ca="1">IFERROR(__xludf.DUMMYFUNCTION("""COMPUTED_VALUE"""),"T224")</f>
        <v>T224</v>
      </c>
      <c r="C231" t="str">
        <f ca="1">IFERROR(__xludf.DUMMYFUNCTION("""COMPUTED_VALUE"""),"Matthew Fitzpatrick")</f>
        <v>Matthew Fitzpatrick</v>
      </c>
      <c r="D231">
        <f ca="1">IFERROR(__xludf.DUMMYFUNCTION("""COMPUTED_VALUE"""),10)</f>
        <v>10</v>
      </c>
      <c r="E231">
        <f ca="1">IFERROR(__xludf.DUMMYFUNCTION("""COMPUTED_VALUE"""),60.37)</f>
        <v>60.37</v>
      </c>
      <c r="F231" s="1">
        <f ca="1">IFERROR(__xludf.DUMMYFUNCTION("""COMPUTED_VALUE"""),387293)</f>
        <v>387293</v>
      </c>
      <c r="G231" s="1">
        <f ca="1">IFERROR(__xludf.DUMMYFUNCTION("""COMPUTED_VALUE"""),64149)</f>
        <v>64149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IFERROR(__xludf.DUMMYFUNCTION("""COMPUTED_VALUE"""),226)</f>
        <v>226</v>
      </c>
      <c r="C232" t="str">
        <f ca="1">IFERROR(__xludf.DUMMYFUNCTION("""COMPUTED_VALUE"""),"Aaron Baddeley")</f>
        <v>Aaron Baddeley</v>
      </c>
      <c r="D232">
        <f ca="1">IFERROR(__xludf.DUMMYFUNCTION("""COMPUTED_VALUE"""),8)</f>
        <v>8</v>
      </c>
      <c r="E232">
        <f ca="1">IFERROR(__xludf.DUMMYFUNCTION("""COMPUTED_VALUE"""),60.34)</f>
        <v>60.34</v>
      </c>
      <c r="F232" s="1">
        <f ca="1">IFERROR(__xludf.DUMMYFUNCTION("""COMPUTED_VALUE"""),155157)</f>
        <v>155157</v>
      </c>
      <c r="G232" s="1">
        <f ca="1">IFERROR(__xludf.DUMMYFUNCTION("""COMPUTED_VALUE"""),25714)</f>
        <v>25714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IFERROR(__xludf.DUMMYFUNCTION("""COMPUTED_VALUE"""),190)</f>
        <v>190</v>
      </c>
      <c r="C233" t="str">
        <f ca="1">IFERROR(__xludf.DUMMYFUNCTION("""COMPUTED_VALUE"""),"Brian Stuard")</f>
        <v>Brian Stuard</v>
      </c>
      <c r="D233">
        <f ca="1">IFERROR(__xludf.DUMMYFUNCTION("""COMPUTED_VALUE"""),18)</f>
        <v>18</v>
      </c>
      <c r="E233">
        <f ca="1">IFERROR(__xludf.DUMMYFUNCTION("""COMPUTED_VALUE"""),60.32)</f>
        <v>60.32</v>
      </c>
      <c r="F233" s="1">
        <f ca="1">IFERROR(__xludf.DUMMYFUNCTION("""COMPUTED_VALUE"""),457765)</f>
        <v>457765</v>
      </c>
      <c r="G233" s="1">
        <f ca="1">IFERROR(__xludf.DUMMYFUNCTION("""COMPUTED_VALUE"""),75895)</f>
        <v>75895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IFERROR(__xludf.DUMMYFUNCTION("""COMPUTED_VALUE"""),227)</f>
        <v>227</v>
      </c>
      <c r="C234" t="str">
        <f ca="1">IFERROR(__xludf.DUMMYFUNCTION("""COMPUTED_VALUE"""),"Rasmus Hojgaard")</f>
        <v>Rasmus Hojgaard</v>
      </c>
      <c r="D234">
        <f ca="1">IFERROR(__xludf.DUMMYFUNCTION("""COMPUTED_VALUE"""),6)</f>
        <v>6</v>
      </c>
      <c r="E234">
        <f ca="1">IFERROR(__xludf.DUMMYFUNCTION("""COMPUTED_VALUE"""),60.27)</f>
        <v>60.27</v>
      </c>
      <c r="F234" s="1">
        <f ca="1">IFERROR(__xludf.DUMMYFUNCTION("""COMPUTED_VALUE"""),82196)</f>
        <v>82196</v>
      </c>
      <c r="G234" s="1">
        <f ca="1">IFERROR(__xludf.DUMMYFUNCTION("""COMPUTED_VALUE"""),13638)</f>
        <v>13638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IFERROR(__xludf.DUMMYFUNCTION("""COMPUTED_VALUE"""),228)</f>
        <v>228</v>
      </c>
      <c r="C235" t="str">
        <f ca="1">IFERROR(__xludf.DUMMYFUNCTION("""COMPUTED_VALUE"""),"Chris Stroud")</f>
        <v>Chris Stroud</v>
      </c>
      <c r="D235">
        <f ca="1">IFERROR(__xludf.DUMMYFUNCTION("""COMPUTED_VALUE"""),6)</f>
        <v>6</v>
      </c>
      <c r="E235">
        <f ca="1">IFERROR(__xludf.DUMMYFUNCTION("""COMPUTED_VALUE"""),60.26)</f>
        <v>60.26</v>
      </c>
      <c r="F235" s="1">
        <f ca="1">IFERROR(__xludf.DUMMYFUNCTION("""COMPUTED_VALUE"""),154958)</f>
        <v>154958</v>
      </c>
      <c r="G235" s="1">
        <f ca="1">IFERROR(__xludf.DUMMYFUNCTION("""COMPUTED_VALUE"""),25714)</f>
        <v>25714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IFERROR(__xludf.DUMMYFUNCTION("""COMPUTED_VALUE"""),231)</f>
        <v>231</v>
      </c>
      <c r="C236" t="str">
        <f ca="1">IFERROR(__xludf.DUMMYFUNCTION("""COMPUTED_VALUE"""),"Jay McLuen")</f>
        <v>Jay McLuen</v>
      </c>
      <c r="D236">
        <f ca="1">IFERROR(__xludf.DUMMYFUNCTION("""COMPUTED_VALUE"""),4)</f>
        <v>4</v>
      </c>
      <c r="E236">
        <f ca="1">IFERROR(__xludf.DUMMYFUNCTION("""COMPUTED_VALUE"""),60.2)</f>
        <v>60.2</v>
      </c>
      <c r="F236" s="1">
        <f ca="1">IFERROR(__xludf.DUMMYFUNCTION("""COMPUTED_VALUE"""),156946)</f>
        <v>156946</v>
      </c>
      <c r="G236" s="1">
        <f ca="1">IFERROR(__xludf.DUMMYFUNCTION("""COMPUTED_VALUE"""),26071)</f>
        <v>26071</v>
      </c>
    </row>
    <row r="237" spans="1:7" ht="12.75">
      <c r="A237" t="str">
        <f ca="1">IFERROR(__xludf.DUMMYFUNCTION("""COMPUTED_VALUE"""),"T236")</f>
        <v>T236</v>
      </c>
      <c r="B237" t="str">
        <f ca="1">IFERROR(__xludf.DUMMYFUNCTION("""COMPUTED_VALUE"""),"T232")</f>
        <v>T232</v>
      </c>
      <c r="C237" t="str">
        <f ca="1">IFERROR(__xludf.DUMMYFUNCTION("""COMPUTED_VALUE"""),"Marc Leishman")</f>
        <v>Marc Leishman</v>
      </c>
      <c r="D237">
        <f ca="1">IFERROR(__xludf.DUMMYFUNCTION("""COMPUTED_VALUE"""),10)</f>
        <v>10</v>
      </c>
      <c r="E237">
        <f ca="1">IFERROR(__xludf.DUMMYFUNCTION("""COMPUTED_VALUE"""),60.18)</f>
        <v>60.18</v>
      </c>
      <c r="F237" s="1">
        <f ca="1">IFERROR(__xludf.DUMMYFUNCTION("""COMPUTED_VALUE"""),386073)</f>
        <v>386073</v>
      </c>
      <c r="G237" s="1">
        <f ca="1">IFERROR(__xludf.DUMMYFUNCTION("""COMPUTED_VALUE"""),64149)</f>
        <v>64149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IFERROR(__xludf.DUMMYFUNCTION("""COMPUTED_VALUE"""),"T232")</f>
        <v>T232</v>
      </c>
      <c r="C238" t="str">
        <f ca="1">IFERROR(__xludf.DUMMYFUNCTION("""COMPUTED_VALUE"""),"Ian Poulter")</f>
        <v>Ian Poulter</v>
      </c>
      <c r="D238">
        <f ca="1">IFERROR(__xludf.DUMMYFUNCTION("""COMPUTED_VALUE"""),6)</f>
        <v>6</v>
      </c>
      <c r="E238">
        <f ca="1">IFERROR(__xludf.DUMMYFUNCTION("""COMPUTED_VALUE"""),60.18)</f>
        <v>60.18</v>
      </c>
      <c r="F238" s="1">
        <f ca="1">IFERROR(__xludf.DUMMYFUNCTION("""COMPUTED_VALUE"""),241423)</f>
        <v>241423</v>
      </c>
      <c r="G238" s="1">
        <f ca="1">IFERROR(__xludf.DUMMYFUNCTION("""COMPUTED_VALUE"""),40118)</f>
        <v>40118</v>
      </c>
    </row>
    <row r="239" spans="1:7" ht="12.75">
      <c r="A239" t="str">
        <f ca="1">IFERROR(__xludf.DUMMYFUNCTION("""COMPUTED_VALUE"""),"T236")</f>
        <v>T236</v>
      </c>
      <c r="B239" t="str">
        <f ca="1">IFERROR(__xludf.DUMMYFUNCTION("""COMPUTED_VALUE"""),"T232")</f>
        <v>T232</v>
      </c>
      <c r="C239" t="str">
        <f ca="1">IFERROR(__xludf.DUMMYFUNCTION("""COMPUTED_VALUE"""),"Kevin Kisner")</f>
        <v>Kevin Kisner</v>
      </c>
      <c r="D239">
        <f ca="1">IFERROR(__xludf.DUMMYFUNCTION("""COMPUTED_VALUE"""),10)</f>
        <v>10</v>
      </c>
      <c r="E239">
        <f ca="1">IFERROR(__xludf.DUMMYFUNCTION("""COMPUTED_VALUE"""),60.18)</f>
        <v>60.18</v>
      </c>
      <c r="F239" s="1">
        <f ca="1">IFERROR(__xludf.DUMMYFUNCTION("""COMPUTED_VALUE"""),386035)</f>
        <v>386035</v>
      </c>
      <c r="G239" s="1">
        <f ca="1">IFERROR(__xludf.DUMMYFUNCTION("""COMPUTED_VALUE"""),64149)</f>
        <v>64149</v>
      </c>
    </row>
    <row r="240" spans="1:7" ht="12.75">
      <c r="A240" t="str">
        <f ca="1">IFERROR(__xludf.DUMMYFUNCTION("""COMPUTED_VALUE"""),"T236")</f>
        <v>T236</v>
      </c>
      <c r="B240">
        <f ca="1">IFERROR(__xludf.DUMMYFUNCTION("""COMPUTED_VALUE"""),243)</f>
        <v>243</v>
      </c>
      <c r="C240" t="str">
        <f ca="1">IFERROR(__xludf.DUMMYFUNCTION("""COMPUTED_VALUE"""),"Danny Willett")</f>
        <v>Danny Willett</v>
      </c>
      <c r="D240">
        <f ca="1">IFERROR(__xludf.DUMMYFUNCTION("""COMPUTED_VALUE"""),7)</f>
        <v>7</v>
      </c>
      <c r="E240">
        <f ca="1">IFERROR(__xludf.DUMMYFUNCTION("""COMPUTED_VALUE"""),60.18)</f>
        <v>60.18</v>
      </c>
      <c r="F240" s="1">
        <f ca="1">IFERROR(__xludf.DUMMYFUNCTION("""COMPUTED_VALUE"""),119818)</f>
        <v>119818</v>
      </c>
      <c r="G240" s="1">
        <f ca="1">IFERROR(__xludf.DUMMYFUNCTION("""COMPUTED_VALUE"""),19909)</f>
        <v>19909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IFERROR(__xludf.DUMMYFUNCTION("""COMPUTED_VALUE"""),235)</f>
        <v>235</v>
      </c>
      <c r="C241" t="str">
        <f ca="1">IFERROR(__xludf.DUMMYFUNCTION("""COMPUTED_VALUE"""),"Jim Furyk")</f>
        <v>Jim Furyk</v>
      </c>
      <c r="D241">
        <f ca="1">IFERROR(__xludf.DUMMYFUNCTION("""COMPUTED_VALUE"""),4)</f>
        <v>4</v>
      </c>
      <c r="E241">
        <f ca="1">IFERROR(__xludf.DUMMYFUNCTION("""COMPUTED_VALUE"""),60.12)</f>
        <v>60.12</v>
      </c>
      <c r="F241" s="1">
        <f ca="1">IFERROR(__xludf.DUMMYFUNCTION("""COMPUTED_VALUE"""),152462)</f>
        <v>152462</v>
      </c>
      <c r="G241" s="1">
        <f ca="1">IFERROR(__xludf.DUMMYFUNCTION("""COMPUTED_VALUE"""),25359)</f>
        <v>25359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IFERROR(__xludf.DUMMYFUNCTION("""COMPUTED_VALUE"""),"T197")</f>
        <v>T197</v>
      </c>
      <c r="C242" t="str">
        <f ca="1">IFERROR(__xludf.DUMMYFUNCTION("""COMPUTED_VALUE"""),"Kevin Stadler")</f>
        <v>Kevin Stadler</v>
      </c>
      <c r="D242">
        <f ca="1">IFERROR(__xludf.DUMMYFUNCTION("""COMPUTED_VALUE"""),8)</f>
        <v>8</v>
      </c>
      <c r="E242">
        <f ca="1">IFERROR(__xludf.DUMMYFUNCTION("""COMPUTED_VALUE"""),60.1)</f>
        <v>60.1</v>
      </c>
      <c r="F242" s="1">
        <f ca="1">IFERROR(__xludf.DUMMYFUNCTION("""COMPUTED_VALUE"""),229576)</f>
        <v>229576</v>
      </c>
      <c r="G242" s="1">
        <f ca="1">IFERROR(__xludf.DUMMYFUNCTION("""COMPUTED_VALUE"""),38202)</f>
        <v>38202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IFERROR(__xludf.DUMMYFUNCTION("""COMPUTED_VALUE"""),240)</f>
        <v>240</v>
      </c>
      <c r="C243" t="str">
        <f ca="1">IFERROR(__xludf.DUMMYFUNCTION("""COMPUTED_VALUE"""),"Michael Thompson")</f>
        <v>Michael Thompson</v>
      </c>
      <c r="D243">
        <f ca="1">IFERROR(__xludf.DUMMYFUNCTION("""COMPUTED_VALUE"""),16)</f>
        <v>16</v>
      </c>
      <c r="E243">
        <f ca="1">IFERROR(__xludf.DUMMYFUNCTION("""COMPUTED_VALUE"""),59.96)</f>
        <v>59.96</v>
      </c>
      <c r="F243" s="1">
        <f ca="1">IFERROR(__xludf.DUMMYFUNCTION("""COMPUTED_VALUE"""),615686)</f>
        <v>615686</v>
      </c>
      <c r="G243" s="1">
        <f ca="1">IFERROR(__xludf.DUMMYFUNCTION("""COMPUTED_VALUE"""),102684)</f>
        <v>102684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IFERROR(__xludf.DUMMYFUNCTION("""COMPUTED_VALUE"""),237)</f>
        <v>237</v>
      </c>
      <c r="C244" t="str">
        <f ca="1">IFERROR(__xludf.DUMMYFUNCTION("""COMPUTED_VALUE"""),"Tim Wilkinson")</f>
        <v>Tim Wilkinson</v>
      </c>
      <c r="D244">
        <f ca="1">IFERROR(__xludf.DUMMYFUNCTION("""COMPUTED_VALUE"""),12)</f>
        <v>12</v>
      </c>
      <c r="E244">
        <f ca="1">IFERROR(__xludf.DUMMYFUNCTION("""COMPUTED_VALUE"""),59.89)</f>
        <v>59.89</v>
      </c>
      <c r="F244" s="1">
        <f ca="1">IFERROR(__xludf.DUMMYFUNCTION("""COMPUTED_VALUE"""),229862)</f>
        <v>229862</v>
      </c>
      <c r="G244" s="1">
        <f ca="1">IFERROR(__xludf.DUMMYFUNCTION("""COMPUTED_VALUE"""),38379)</f>
        <v>38379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IFERROR(__xludf.DUMMYFUNCTION("""COMPUTED_VALUE"""),238)</f>
        <v>238</v>
      </c>
      <c r="C245" t="str">
        <f ca="1">IFERROR(__xludf.DUMMYFUNCTION("""COMPUTED_VALUE"""),"Shawn Stefani")</f>
        <v>Shawn Stefani</v>
      </c>
      <c r="D245">
        <f ca="1">IFERROR(__xludf.DUMMYFUNCTION("""COMPUTED_VALUE"""),5)</f>
        <v>5</v>
      </c>
      <c r="E245">
        <f ca="1">IFERROR(__xludf.DUMMYFUNCTION("""COMPUTED_VALUE"""),59.86)</f>
        <v>59.86</v>
      </c>
      <c r="F245" s="1">
        <f ca="1">IFERROR(__xludf.DUMMYFUNCTION("""COMPUTED_VALUE"""),75987)</f>
        <v>75987</v>
      </c>
      <c r="G245" s="1">
        <f ca="1">IFERROR(__xludf.DUMMYFUNCTION("""COMPUTED_VALUE"""),12694)</f>
        <v>12694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IFERROR(__xludf.DUMMYFUNCTION("""COMPUTED_VALUE"""),239)</f>
        <v>239</v>
      </c>
      <c r="C246" t="str">
        <f ca="1">IFERROR(__xludf.DUMMYFUNCTION("""COMPUTED_VALUE"""),"Naoki Sekito")</f>
        <v>Naoki Sekito</v>
      </c>
      <c r="D246">
        <f ca="1">IFERROR(__xludf.DUMMYFUNCTION("""COMPUTED_VALUE"""),4)</f>
        <v>4</v>
      </c>
      <c r="E246">
        <f ca="1">IFERROR(__xludf.DUMMYFUNCTION("""COMPUTED_VALUE"""),59.75)</f>
        <v>59.75</v>
      </c>
      <c r="F246" s="1">
        <f ca="1">IFERROR(__xludf.DUMMYFUNCTION("""COMPUTED_VALUE"""),143597)</f>
        <v>143597</v>
      </c>
      <c r="G246" s="1">
        <f ca="1">IFERROR(__xludf.DUMMYFUNCTION("""COMPUTED_VALUE"""),24031)</f>
        <v>24031</v>
      </c>
    </row>
    <row r="247" spans="1:7" ht="12.75">
      <c r="A247">
        <f ca="1">IFERROR(__xludf.DUMMYFUNCTION("""COMPUTED_VALUE"""),246)</f>
        <v>246</v>
      </c>
      <c r="B247" t="str">
        <f ca="1">IFERROR(__xludf.DUMMYFUNCTION("""COMPUTED_VALUE"""),"")</f>
        <v/>
      </c>
      <c r="C247" t="str">
        <f ca="1">IFERROR(__xludf.DUMMYFUNCTION("""COMPUTED_VALUE"""),"Greg Chalmers")</f>
        <v>Greg Chalmers</v>
      </c>
      <c r="D247">
        <f ca="1">IFERROR(__xludf.DUMMYFUNCTION("""COMPUTED_VALUE"""),6)</f>
        <v>6</v>
      </c>
      <c r="E247">
        <f ca="1">IFERROR(__xludf.DUMMYFUNCTION("""COMPUTED_VALUE"""),59.73)</f>
        <v>59.73</v>
      </c>
      <c r="F247" s="1">
        <f ca="1">IFERROR(__xludf.DUMMYFUNCTION("""COMPUTED_VALUE"""),226526)</f>
        <v>226526</v>
      </c>
      <c r="G247" s="1">
        <f ca="1">IFERROR(__xludf.DUMMYFUNCTION("""COMPUTED_VALUE"""),37923)</f>
        <v>37923</v>
      </c>
    </row>
    <row r="248" spans="1:7" ht="12.75">
      <c r="A248">
        <f ca="1">IFERROR(__xludf.DUMMYFUNCTION("""COMPUTED_VALUE"""),247)</f>
        <v>247</v>
      </c>
      <c r="B248" t="str">
        <f ca="1">IFERROR(__xludf.DUMMYFUNCTION("""COMPUTED_VALUE"""),"")</f>
        <v/>
      </c>
      <c r="C248" t="str">
        <f ca="1">IFERROR(__xludf.DUMMYFUNCTION("""COMPUTED_VALUE"""),"Justin Harding")</f>
        <v>Justin Harding</v>
      </c>
      <c r="D248">
        <f ca="1">IFERROR(__xludf.DUMMYFUNCTION("""COMPUTED_VALUE"""),6)</f>
        <v>6</v>
      </c>
      <c r="E248">
        <f ca="1">IFERROR(__xludf.DUMMYFUNCTION("""COMPUTED_VALUE"""),59.7)</f>
        <v>59.7</v>
      </c>
      <c r="F248" s="1">
        <f ca="1">IFERROR(__xludf.DUMMYFUNCTION("""COMPUTED_VALUE"""),230108)</f>
        <v>230108</v>
      </c>
      <c r="G248" s="1">
        <f ca="1">IFERROR(__xludf.DUMMYFUNCTION("""COMPUTED_VALUE"""),38541)</f>
        <v>38541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IFERROR(__xludf.DUMMYFUNCTION("""COMPUTED_VALUE"""),241)</f>
        <v>241</v>
      </c>
      <c r="C249" t="str">
        <f ca="1">IFERROR(__xludf.DUMMYFUNCTION("""COMPUTED_VALUE"""),"Renato Paratore")</f>
        <v>Renato Paratore</v>
      </c>
      <c r="D249">
        <f ca="1">IFERROR(__xludf.DUMMYFUNCTION("""COMPUTED_VALUE"""),4)</f>
        <v>4</v>
      </c>
      <c r="E249">
        <f ca="1">IFERROR(__xludf.DUMMYFUNCTION("""COMPUTED_VALUE"""),59.63)</f>
        <v>59.63</v>
      </c>
      <c r="F249" s="1">
        <f ca="1">IFERROR(__xludf.DUMMYFUNCTION("""COMPUTED_VALUE"""),162621)</f>
        <v>162621</v>
      </c>
      <c r="G249" s="1">
        <f ca="1">IFERROR(__xludf.DUMMYFUNCTION("""COMPUTED_VALUE"""),27270)</f>
        <v>27270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IFERROR(__xludf.DUMMYFUNCTION("""COMPUTED_VALUE"""),242)</f>
        <v>242</v>
      </c>
      <c r="C250" t="str">
        <f ca="1">IFERROR(__xludf.DUMMYFUNCTION("""COMPUTED_VALUE"""),"Matt Wallace")</f>
        <v>Matt Wallace</v>
      </c>
      <c r="D250">
        <f ca="1">IFERROR(__xludf.DUMMYFUNCTION("""COMPUTED_VALUE"""),4)</f>
        <v>4</v>
      </c>
      <c r="E250">
        <f ca="1">IFERROR(__xludf.DUMMYFUNCTION("""COMPUTED_VALUE"""),59.6)</f>
        <v>59.6</v>
      </c>
      <c r="F250" s="1">
        <f ca="1">IFERROR(__xludf.DUMMYFUNCTION("""COMPUTED_VALUE"""),162529)</f>
        <v>162529</v>
      </c>
      <c r="G250" s="1">
        <f ca="1">IFERROR(__xludf.DUMMYFUNCTION("""COMPUTED_VALUE"""),27270)</f>
        <v>27270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IFERROR(__xludf.DUMMYFUNCTION("""COMPUTED_VALUE"""),245)</f>
        <v>245</v>
      </c>
      <c r="C251" t="str">
        <f ca="1">IFERROR(__xludf.DUMMYFUNCTION("""COMPUTED_VALUE"""),"John Pak")</f>
        <v>John Pak</v>
      </c>
      <c r="D251">
        <f ca="1">IFERROR(__xludf.DUMMYFUNCTION("""COMPUTED_VALUE"""),4)</f>
        <v>4</v>
      </c>
      <c r="E251">
        <f ca="1">IFERROR(__xludf.DUMMYFUNCTION("""COMPUTED_VALUE"""),59.54)</f>
        <v>59.54</v>
      </c>
      <c r="F251" s="1">
        <f ca="1">IFERROR(__xludf.DUMMYFUNCTION("""COMPUTED_VALUE"""),162370)</f>
        <v>162370</v>
      </c>
      <c r="G251" s="1">
        <f ca="1">IFERROR(__xludf.DUMMYFUNCTION("""COMPUTED_VALUE"""),27270)</f>
        <v>27270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IFERROR(__xludf.DUMMYFUNCTION("""COMPUTED_VALUE"""),236)</f>
        <v>236</v>
      </c>
      <c r="C252" t="str">
        <f ca="1">IFERROR(__xludf.DUMMYFUNCTION("""COMPUTED_VALUE"""),"Ryan Armour")</f>
        <v>Ryan Armour</v>
      </c>
      <c r="D252">
        <f ca="1">IFERROR(__xludf.DUMMYFUNCTION("""COMPUTED_VALUE"""),16)</f>
        <v>16</v>
      </c>
      <c r="E252">
        <f ca="1">IFERROR(__xludf.DUMMYFUNCTION("""COMPUTED_VALUE"""),59.53)</f>
        <v>59.53</v>
      </c>
      <c r="F252" s="1">
        <f ca="1">IFERROR(__xludf.DUMMYFUNCTION("""COMPUTED_VALUE"""),380687)</f>
        <v>380687</v>
      </c>
      <c r="G252" s="1">
        <f ca="1">IFERROR(__xludf.DUMMYFUNCTION("""COMPUTED_VALUE"""),63947)</f>
        <v>63947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IFERROR(__xludf.DUMMYFUNCTION("""COMPUTED_VALUE"""),246)</f>
        <v>246</v>
      </c>
      <c r="C253" t="str">
        <f ca="1">IFERROR(__xludf.DUMMYFUNCTION("""COMPUTED_VALUE"""),"Lucas Herbert")</f>
        <v>Lucas Herbert</v>
      </c>
      <c r="D253">
        <f ca="1">IFERROR(__xludf.DUMMYFUNCTION("""COMPUTED_VALUE"""),4)</f>
        <v>4</v>
      </c>
      <c r="E253">
        <f ca="1">IFERROR(__xludf.DUMMYFUNCTION("""COMPUTED_VALUE"""),59.51)</f>
        <v>59.51</v>
      </c>
      <c r="F253" s="1">
        <f ca="1">IFERROR(__xludf.DUMMYFUNCTION("""COMPUTED_VALUE"""),162289)</f>
        <v>162289</v>
      </c>
      <c r="G253" s="1">
        <f ca="1">IFERROR(__xludf.DUMMYFUNCTION("""COMPUTED_VALUE"""),27270)</f>
        <v>27270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IFERROR(__xludf.DUMMYFUNCTION("""COMPUTED_VALUE"""),"Alex Cejka")</f>
        <v>Alex Cejka</v>
      </c>
      <c r="D254">
        <f ca="1">IFERROR(__xludf.DUMMYFUNCTION("""COMPUTED_VALUE"""),6)</f>
        <v>6</v>
      </c>
      <c r="E254">
        <f ca="1">IFERROR(__xludf.DUMMYFUNCTION("""COMPUTED_VALUE"""),59.43)</f>
        <v>59.43</v>
      </c>
      <c r="F254" s="1">
        <f ca="1">IFERROR(__xludf.DUMMYFUNCTION("""COMPUTED_VALUE"""),75435)</f>
        <v>75435</v>
      </c>
      <c r="G254" s="1">
        <f ca="1">IFERROR(__xludf.DUMMYFUNCTION("""COMPUTED_VALUE"""),12694)</f>
        <v>12694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IFERROR(__xludf.DUMMYFUNCTION("""COMPUTED_VALUE"""),250)</f>
        <v>250</v>
      </c>
      <c r="C255" t="str">
        <f ca="1">IFERROR(__xludf.DUMMYFUNCTION("""COMPUTED_VALUE"""),"Satoshi Kodaira")</f>
        <v>Satoshi Kodaira</v>
      </c>
      <c r="D255">
        <f ca="1">IFERROR(__xludf.DUMMYFUNCTION("""COMPUTED_VALUE"""),12)</f>
        <v>12</v>
      </c>
      <c r="E255">
        <f ca="1">IFERROR(__xludf.DUMMYFUNCTION("""COMPUTED_VALUE"""),59.41)</f>
        <v>59.41</v>
      </c>
      <c r="F255" s="1">
        <f ca="1">IFERROR(__xludf.DUMMYFUNCTION("""COMPUTED_VALUE"""),443010)</f>
        <v>443010</v>
      </c>
      <c r="G255" s="1">
        <f ca="1">IFERROR(__xludf.DUMMYFUNCTION("""COMPUTED_VALUE"""),74567)</f>
        <v>74567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IFERROR(__xludf.DUMMYFUNCTION("""COMPUTED_VALUE"""),249)</f>
        <v>249</v>
      </c>
      <c r="C256" t="str">
        <f ca="1">IFERROR(__xludf.DUMMYFUNCTION("""COMPUTED_VALUE"""),"Patrick Reed")</f>
        <v>Patrick Reed</v>
      </c>
      <c r="D256">
        <f ca="1">IFERROR(__xludf.DUMMYFUNCTION("""COMPUTED_VALUE"""),8)</f>
        <v>8</v>
      </c>
      <c r="E256">
        <f ca="1">IFERROR(__xludf.DUMMYFUNCTION("""COMPUTED_VALUE"""),59.36)</f>
        <v>59.36</v>
      </c>
      <c r="F256" s="1">
        <f ca="1">IFERROR(__xludf.DUMMYFUNCTION("""COMPUTED_VALUE"""),304534)</f>
        <v>304534</v>
      </c>
      <c r="G256" s="1">
        <f ca="1">IFERROR(__xludf.DUMMYFUNCTION("""COMPUTED_VALUE"""),51301)</f>
        <v>51301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IFERROR(__xludf.DUMMYFUNCTION("""COMPUTED_VALUE"""),252)</f>
        <v>252</v>
      </c>
      <c r="C257" t="str">
        <f ca="1">IFERROR(__xludf.DUMMYFUNCTION("""COMPUTED_VALUE"""),"Jazz Janewattananond")</f>
        <v>Jazz Janewattananond</v>
      </c>
      <c r="D257">
        <f ca="1">IFERROR(__xludf.DUMMYFUNCTION("""COMPUTED_VALUE"""),6)</f>
        <v>6</v>
      </c>
      <c r="E257">
        <f ca="1">IFERROR(__xludf.DUMMYFUNCTION("""COMPUTED_VALUE"""),59.2)</f>
        <v>59.2</v>
      </c>
      <c r="F257" s="1">
        <f ca="1">IFERROR(__xludf.DUMMYFUNCTION("""COMPUTED_VALUE"""),223013)</f>
        <v>223013</v>
      </c>
      <c r="G257" s="1">
        <f ca="1">IFERROR(__xludf.DUMMYFUNCTION("""COMPUTED_VALUE"""),37669)</f>
        <v>37669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IFERROR(__xludf.DUMMYFUNCTION("""COMPUTED_VALUE"""),251)</f>
        <v>251</v>
      </c>
      <c r="C258" t="str">
        <f ca="1">IFERROR(__xludf.DUMMYFUNCTION("""COMPUTED_VALUE"""),"Mark Hubbard")</f>
        <v>Mark Hubbard</v>
      </c>
      <c r="D258">
        <f ca="1">IFERROR(__xludf.DUMMYFUNCTION("""COMPUTED_VALUE"""),20)</f>
        <v>20</v>
      </c>
      <c r="E258">
        <f ca="1">IFERROR(__xludf.DUMMYFUNCTION("""COMPUTED_VALUE"""),59.1)</f>
        <v>59.1</v>
      </c>
      <c r="F258" s="1">
        <f ca="1">IFERROR(__xludf.DUMMYFUNCTION("""COMPUTED_VALUE"""),752832)</f>
        <v>752832</v>
      </c>
      <c r="G258" s="1">
        <f ca="1">IFERROR(__xludf.DUMMYFUNCTION("""COMPUTED_VALUE"""),127379)</f>
        <v>127379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IFERROR(__xludf.DUMMYFUNCTION("""COMPUTED_VALUE"""),253)</f>
        <v>253</v>
      </c>
      <c r="C259" t="str">
        <f ca="1">IFERROR(__xludf.DUMMYFUNCTION("""COMPUTED_VALUE"""),"K.J. Choi")</f>
        <v>K.J. Choi</v>
      </c>
      <c r="D259">
        <f ca="1">IFERROR(__xludf.DUMMYFUNCTION("""COMPUTED_VALUE"""),6)</f>
        <v>6</v>
      </c>
      <c r="E259">
        <f ca="1">IFERROR(__xludf.DUMMYFUNCTION("""COMPUTED_VALUE"""),58.95)</f>
        <v>58.95</v>
      </c>
      <c r="F259" s="1">
        <f ca="1">IFERROR(__xludf.DUMMYFUNCTION("""COMPUTED_VALUE"""),225929)</f>
        <v>225929</v>
      </c>
      <c r="G259" s="1">
        <f ca="1">IFERROR(__xludf.DUMMYFUNCTION("""COMPUTED_VALUE"""),38327)</f>
        <v>38327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IFERROR(__xludf.DUMMYFUNCTION("""COMPUTED_VALUE"""),254)</f>
        <v>254</v>
      </c>
      <c r="C260" t="str">
        <f ca="1">IFERROR(__xludf.DUMMYFUNCTION("""COMPUTED_VALUE"""),"Shugo Imahira")</f>
        <v>Shugo Imahira</v>
      </c>
      <c r="D260">
        <f ca="1">IFERROR(__xludf.DUMMYFUNCTION("""COMPUTED_VALUE"""),8)</f>
        <v>8</v>
      </c>
      <c r="E260">
        <f ca="1">IFERROR(__xludf.DUMMYFUNCTION("""COMPUTED_VALUE"""),58.93)</f>
        <v>58.93</v>
      </c>
      <c r="F260" s="1">
        <f ca="1">IFERROR(__xludf.DUMMYFUNCTION("""COMPUTED_VALUE"""),302305)</f>
        <v>302305</v>
      </c>
      <c r="G260" s="1">
        <f ca="1">IFERROR(__xludf.DUMMYFUNCTION("""COMPUTED_VALUE"""),51301)</f>
        <v>51301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IFERROR(__xludf.DUMMYFUNCTION("""COMPUTED_VALUE"""),255)</f>
        <v>255</v>
      </c>
      <c r="C261" t="str">
        <f ca="1">IFERROR(__xludf.DUMMYFUNCTION("""COMPUTED_VALUE"""),"Tiger Woods")</f>
        <v>Tiger Woods</v>
      </c>
      <c r="D261">
        <f ca="1">IFERROR(__xludf.DUMMYFUNCTION("""COMPUTED_VALUE"""),6)</f>
        <v>6</v>
      </c>
      <c r="E261">
        <f ca="1">IFERROR(__xludf.DUMMYFUNCTION("""COMPUTED_VALUE"""),58.84)</f>
        <v>58.84</v>
      </c>
      <c r="F261" s="1">
        <f ca="1">IFERROR(__xludf.DUMMYFUNCTION("""COMPUTED_VALUE"""),221641)</f>
        <v>221641</v>
      </c>
      <c r="G261" s="1">
        <f ca="1">IFERROR(__xludf.DUMMYFUNCTION("""COMPUTED_VALUE"""),37669)</f>
        <v>37669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IFERROR(__xludf.DUMMYFUNCTION("""COMPUTED_VALUE"""),266)</f>
        <v>266</v>
      </c>
      <c r="C262" t="str">
        <f ca="1">IFERROR(__xludf.DUMMYFUNCTION("""COMPUTED_VALUE"""),"Graeme McDowell")</f>
        <v>Graeme McDowell</v>
      </c>
      <c r="D262">
        <f ca="1">IFERROR(__xludf.DUMMYFUNCTION("""COMPUTED_VALUE"""),8)</f>
        <v>8</v>
      </c>
      <c r="E262">
        <f ca="1">IFERROR(__xludf.DUMMYFUNCTION("""COMPUTED_VALUE"""),58.73)</f>
        <v>58.73</v>
      </c>
      <c r="F262" s="1">
        <f ca="1">IFERROR(__xludf.DUMMYFUNCTION("""COMPUTED_VALUE"""),226356)</f>
        <v>226356</v>
      </c>
      <c r="G262" s="1">
        <f ca="1">IFERROR(__xludf.DUMMYFUNCTION("""COMPUTED_VALUE"""),38541)</f>
        <v>38541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IFERROR(__xludf.DUMMYFUNCTION("""COMPUTED_VALUE"""),256)</f>
        <v>256</v>
      </c>
      <c r="C263" t="str">
        <f ca="1">IFERROR(__xludf.DUMMYFUNCTION("""COMPUTED_VALUE"""),"Shaun Norris")</f>
        <v>Shaun Norris</v>
      </c>
      <c r="D263">
        <f ca="1">IFERROR(__xludf.DUMMYFUNCTION("""COMPUTED_VALUE"""),6)</f>
        <v>6</v>
      </c>
      <c r="E263">
        <f ca="1">IFERROR(__xludf.DUMMYFUNCTION("""COMPUTED_VALUE"""),58.72)</f>
        <v>58.72</v>
      </c>
      <c r="F263" s="1">
        <f ca="1">IFERROR(__xludf.DUMMYFUNCTION("""COMPUTED_VALUE"""),221210)</f>
        <v>221210</v>
      </c>
      <c r="G263" s="1">
        <f ca="1">IFERROR(__xludf.DUMMYFUNCTION("""COMPUTED_VALUE"""),37669)</f>
        <v>37669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IFERROR(__xludf.DUMMYFUNCTION("""COMPUTED_VALUE"""),244)</f>
        <v>244</v>
      </c>
      <c r="C264" t="str">
        <f ca="1">IFERROR(__xludf.DUMMYFUNCTION("""COMPUTED_VALUE"""),"D.A. Points")</f>
        <v>D.A. Points</v>
      </c>
      <c r="D264">
        <f ca="1">IFERROR(__xludf.DUMMYFUNCTION("""COMPUTED_VALUE"""),12)</f>
        <v>12</v>
      </c>
      <c r="E264">
        <f ca="1">IFERROR(__xludf.DUMMYFUNCTION("""COMPUTED_VALUE"""),58.62)</f>
        <v>58.62</v>
      </c>
      <c r="F264" s="1">
        <f ca="1">IFERROR(__xludf.DUMMYFUNCTION("""COMPUTED_VALUE"""),298347)</f>
        <v>298347</v>
      </c>
      <c r="G264" s="1">
        <f ca="1">IFERROR(__xludf.DUMMYFUNCTION("""COMPUTED_VALUE"""),50896)</f>
        <v>50896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IFERROR(__xludf.DUMMYFUNCTION("""COMPUTED_VALUE"""),248)</f>
        <v>248</v>
      </c>
      <c r="C265" t="str">
        <f ca="1">IFERROR(__xludf.DUMMYFUNCTION("""COMPUTED_VALUE"""),"David Hearn")</f>
        <v>David Hearn</v>
      </c>
      <c r="D265">
        <f ca="1">IFERROR(__xludf.DUMMYFUNCTION("""COMPUTED_VALUE"""),16)</f>
        <v>16</v>
      </c>
      <c r="E265">
        <f ca="1">IFERROR(__xludf.DUMMYFUNCTION("""COMPUTED_VALUE"""),58.6)</f>
        <v>58.6</v>
      </c>
      <c r="F265" s="1">
        <f ca="1">IFERROR(__xludf.DUMMYFUNCTION("""COMPUTED_VALUE"""),298566)</f>
        <v>298566</v>
      </c>
      <c r="G265" s="1">
        <f ca="1">IFERROR(__xludf.DUMMYFUNCTION("""COMPUTED_VALUE"""),50948)</f>
        <v>50948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IFERROR(__xludf.DUMMYFUNCTION("""COMPUTED_VALUE"""),"Bernd Wiesberger")</f>
        <v>Bernd Wiesberger</v>
      </c>
      <c r="D266">
        <f ca="1">IFERROR(__xludf.DUMMYFUNCTION("""COMPUTED_VALUE"""),4)</f>
        <v>4</v>
      </c>
      <c r="E266">
        <f ca="1">IFERROR(__xludf.DUMMYFUNCTION("""COMPUTED_VALUE"""),58.54)</f>
        <v>58.54</v>
      </c>
      <c r="F266" s="1">
        <f ca="1">IFERROR(__xludf.DUMMYFUNCTION("""COMPUTED_VALUE"""),159652)</f>
        <v>159652</v>
      </c>
      <c r="G266" s="1">
        <f ca="1">IFERROR(__xludf.DUMMYFUNCTION("""COMPUTED_VALUE"""),27270)</f>
        <v>27270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IFERROR(__xludf.DUMMYFUNCTION("""COMPUTED_VALUE"""),259)</f>
        <v>259</v>
      </c>
      <c r="C267" t="str">
        <f ca="1">IFERROR(__xludf.DUMMYFUNCTION("""COMPUTED_VALUE"""),"Henrik Stenson")</f>
        <v>Henrik Stenson</v>
      </c>
      <c r="D267">
        <f ca="1">IFERROR(__xludf.DUMMYFUNCTION("""COMPUTED_VALUE"""),11)</f>
        <v>11</v>
      </c>
      <c r="E267">
        <f ca="1">IFERROR(__xludf.DUMMYFUNCTION("""COMPUTED_VALUE"""),58.44)</f>
        <v>58.44</v>
      </c>
      <c r="F267" s="1">
        <f ca="1">IFERROR(__xludf.DUMMYFUNCTION("""COMPUTED_VALUE"""),229223)</f>
        <v>229223</v>
      </c>
      <c r="G267" s="1">
        <f ca="1">IFERROR(__xludf.DUMMYFUNCTION("""COMPUTED_VALUE"""),39227)</f>
        <v>39227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IFERROR(__xludf.DUMMYFUNCTION("""COMPUTED_VALUE"""),258)</f>
        <v>258</v>
      </c>
      <c r="C268" t="str">
        <f ca="1">IFERROR(__xludf.DUMMYFUNCTION("""COMPUTED_VALUE"""),"Brendon Todd")</f>
        <v>Brendon Todd</v>
      </c>
      <c r="D268">
        <f ca="1">IFERROR(__xludf.DUMMYFUNCTION("""COMPUTED_VALUE"""),14)</f>
        <v>14</v>
      </c>
      <c r="E268">
        <f ca="1">IFERROR(__xludf.DUMMYFUNCTION("""COMPUTED_VALUE"""),58.41)</f>
        <v>58.41</v>
      </c>
      <c r="F268" s="1">
        <f ca="1">IFERROR(__xludf.DUMMYFUNCTION("""COMPUTED_VALUE"""),454316)</f>
        <v>454316</v>
      </c>
      <c r="G268" s="1">
        <f ca="1">IFERROR(__xludf.DUMMYFUNCTION("""COMPUTED_VALUE"""),77781)</f>
        <v>77781</v>
      </c>
    </row>
    <row r="269" spans="1:7" ht="12.75">
      <c r="A269" t="str">
        <f ca="1">IFERROR(__xludf.DUMMYFUNCTION("""COMPUTED_VALUE"""),"T268")</f>
        <v>T268</v>
      </c>
      <c r="B269" t="str">
        <f ca="1">IFERROR(__xludf.DUMMYFUNCTION("""COMPUTED_VALUE"""),"T260")</f>
        <v>T260</v>
      </c>
      <c r="C269" t="str">
        <f ca="1">IFERROR(__xludf.DUMMYFUNCTION("""COMPUTED_VALUE"""),"Mikumu Horikawa")</f>
        <v>Mikumu Horikawa</v>
      </c>
      <c r="D269">
        <f ca="1">IFERROR(__xludf.DUMMYFUNCTION("""COMPUTED_VALUE"""),4)</f>
        <v>4</v>
      </c>
      <c r="E269">
        <f ca="1">IFERROR(__xludf.DUMMYFUNCTION("""COMPUTED_VALUE"""),58.15)</f>
        <v>58.15</v>
      </c>
      <c r="F269" s="1">
        <f ca="1">IFERROR(__xludf.DUMMYFUNCTION("""COMPUTED_VALUE"""),139737)</f>
        <v>139737</v>
      </c>
      <c r="G269" s="1">
        <f ca="1">IFERROR(__xludf.DUMMYFUNCTION("""COMPUTED_VALUE"""),24031)</f>
        <v>24031</v>
      </c>
    </row>
    <row r="270" spans="1:7" ht="12.75">
      <c r="A270" t="str">
        <f ca="1">IFERROR(__xludf.DUMMYFUNCTION("""COMPUTED_VALUE"""),"T268")</f>
        <v>T268</v>
      </c>
      <c r="B270" t="str">
        <f ca="1">IFERROR(__xludf.DUMMYFUNCTION("""COMPUTED_VALUE"""),"T260")</f>
        <v>T260</v>
      </c>
      <c r="C270" t="str">
        <f ca="1">IFERROR(__xludf.DUMMYFUNCTION("""COMPUTED_VALUE"""),"Gunn Charoenkul")</f>
        <v>Gunn Charoenkul</v>
      </c>
      <c r="D270">
        <f ca="1">IFERROR(__xludf.DUMMYFUNCTION("""COMPUTED_VALUE"""),4)</f>
        <v>4</v>
      </c>
      <c r="E270">
        <f ca="1">IFERROR(__xludf.DUMMYFUNCTION("""COMPUTED_VALUE"""),58.15)</f>
        <v>58.15</v>
      </c>
      <c r="F270" s="1">
        <f ca="1">IFERROR(__xludf.DUMMYFUNCTION("""COMPUTED_VALUE"""),139742)</f>
        <v>139742</v>
      </c>
      <c r="G270" s="1">
        <f ca="1">IFERROR(__xludf.DUMMYFUNCTION("""COMPUTED_VALUE"""),24031)</f>
        <v>24031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IFERROR(__xludf.DUMMYFUNCTION("""COMPUTED_VALUE"""),262)</f>
        <v>262</v>
      </c>
      <c r="C271" t="str">
        <f ca="1">IFERROR(__xludf.DUMMYFUNCTION("""COMPUTED_VALUE"""),"Thomas Detry")</f>
        <v>Thomas Detry</v>
      </c>
      <c r="D271">
        <f ca="1">IFERROR(__xludf.DUMMYFUNCTION("""COMPUTED_VALUE"""),8)</f>
        <v>8</v>
      </c>
      <c r="E271">
        <f ca="1">IFERROR(__xludf.DUMMYFUNCTION("""COMPUTED_VALUE"""),58.12)</f>
        <v>58.12</v>
      </c>
      <c r="F271" s="1">
        <f ca="1">IFERROR(__xludf.DUMMYFUNCTION("""COMPUTED_VALUE"""),158484)</f>
        <v>158484</v>
      </c>
      <c r="G271" s="1">
        <f ca="1">IFERROR(__xludf.DUMMYFUNCTION("""COMPUTED_VALUE"""),27270)</f>
        <v>27270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IFERROR(__xludf.DUMMYFUNCTION("""COMPUTED_VALUE"""),"Stephan Jaeger")</f>
        <v>Stephan Jaeger</v>
      </c>
      <c r="D272">
        <f ca="1">IFERROR(__xludf.DUMMYFUNCTION("""COMPUTED_VALUE"""),4)</f>
        <v>4</v>
      </c>
      <c r="E272">
        <f ca="1">IFERROR(__xludf.DUMMYFUNCTION("""COMPUTED_VALUE"""),57.97)</f>
        <v>57.97</v>
      </c>
      <c r="F272" s="1">
        <f ca="1">IFERROR(__xludf.DUMMYFUNCTION("""COMPUTED_VALUE"""),158075)</f>
        <v>158075</v>
      </c>
      <c r="G272" s="1">
        <f ca="1">IFERROR(__xludf.DUMMYFUNCTION("""COMPUTED_VALUE"""),27270)</f>
        <v>27270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IFERROR(__xludf.DUMMYFUNCTION("""COMPUTED_VALUE"""),"Takumi Kanaya")</f>
        <v>Takumi Kanaya</v>
      </c>
      <c r="D273">
        <f ca="1">IFERROR(__xludf.DUMMYFUNCTION("""COMPUTED_VALUE"""),6)</f>
        <v>6</v>
      </c>
      <c r="E273">
        <f ca="1">IFERROR(__xludf.DUMMYFUNCTION("""COMPUTED_VALUE"""),57.92)</f>
        <v>57.92</v>
      </c>
      <c r="F273" s="1">
        <f ca="1">IFERROR(__xludf.DUMMYFUNCTION("""COMPUTED_VALUE"""),218176)</f>
        <v>218176</v>
      </c>
      <c r="G273" s="1">
        <f ca="1">IFERROR(__xludf.DUMMYFUNCTION("""COMPUTED_VALUE"""),37669)</f>
        <v>37669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IFERROR(__xludf.DUMMYFUNCTION("""COMPUTED_VALUE"""),"Christiaan Bezuidenhout")</f>
        <v>Christiaan Bezuidenhout</v>
      </c>
      <c r="D274">
        <f ca="1">IFERROR(__xludf.DUMMYFUNCTION("""COMPUTED_VALUE"""),4)</f>
        <v>4</v>
      </c>
      <c r="E274">
        <f ca="1">IFERROR(__xludf.DUMMYFUNCTION("""COMPUTED_VALUE"""),57.53)</f>
        <v>57.53</v>
      </c>
      <c r="F274" s="1">
        <f ca="1">IFERROR(__xludf.DUMMYFUNCTION("""COMPUTED_VALUE"""),156876)</f>
        <v>156876</v>
      </c>
      <c r="G274" s="1">
        <f ca="1">IFERROR(__xludf.DUMMYFUNCTION("""COMPUTED_VALUE"""),27270)</f>
        <v>27270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IFERROR(__xludf.DUMMYFUNCTION("""COMPUTED_VALUE"""),"Parker McLachlin")</f>
        <v>Parker McLachlin</v>
      </c>
      <c r="D275">
        <f ca="1">IFERROR(__xludf.DUMMYFUNCTION("""COMPUTED_VALUE"""),4)</f>
        <v>4</v>
      </c>
      <c r="E275">
        <f ca="1">IFERROR(__xludf.DUMMYFUNCTION("""COMPUTED_VALUE"""),57.36)</f>
        <v>57.36</v>
      </c>
      <c r="F275" s="1">
        <f ca="1">IFERROR(__xludf.DUMMYFUNCTION("""COMPUTED_VALUE"""),72812)</f>
        <v>72812</v>
      </c>
      <c r="G275" s="1">
        <f ca="1">IFERROR(__xludf.DUMMYFUNCTION("""COMPUTED_VALUE"""),12694)</f>
        <v>12694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IFERROR(__xludf.DUMMYFUNCTION("""COMPUTED_VALUE"""),"Brad Kennedy")</f>
        <v>Brad Kennedy</v>
      </c>
      <c r="D276">
        <f ca="1">IFERROR(__xludf.DUMMYFUNCTION("""COMPUTED_VALUE"""),4)</f>
        <v>4</v>
      </c>
      <c r="E276">
        <f ca="1">IFERROR(__xludf.DUMMYFUNCTION("""COMPUTED_VALUE"""),57.3)</f>
        <v>57.3</v>
      </c>
      <c r="F276" s="1">
        <f ca="1">IFERROR(__xludf.DUMMYFUNCTION("""COMPUTED_VALUE"""),137697)</f>
        <v>137697</v>
      </c>
      <c r="G276" s="1">
        <f ca="1">IFERROR(__xludf.DUMMYFUNCTION("""COMPUTED_VALUE"""),24031)</f>
        <v>24031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IFERROR(__xludf.DUMMYFUNCTION("""COMPUTED_VALUE"""),"Ryo Ishikawa")</f>
        <v>Ryo Ishikawa</v>
      </c>
      <c r="D277">
        <f ca="1">IFERROR(__xludf.DUMMYFUNCTION("""COMPUTED_VALUE"""),8)</f>
        <v>8</v>
      </c>
      <c r="E277">
        <f ca="1">IFERROR(__xludf.DUMMYFUNCTION("""COMPUTED_VALUE"""),56.93)</f>
        <v>56.93</v>
      </c>
      <c r="F277" s="1">
        <f ca="1">IFERROR(__xludf.DUMMYFUNCTION("""COMPUTED_VALUE"""),292052)</f>
        <v>292052</v>
      </c>
      <c r="G277" s="1">
        <f ca="1">IFERROR(__xludf.DUMMYFUNCTION("""COMPUTED_VALUE"""),51301)</f>
        <v>51301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IFERROR(__xludf.DUMMYFUNCTION("importhtml(""https://www.pgatour.com/stats/stat.102.html"",""table"",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IFERROR(__xludf.DUMMYFUNCTION("""COMPUTED_VALUE"""),"FAIRWAYS HIT")</f>
        <v>FAIRWAYS HIT</v>
      </c>
      <c r="G1" t="str">
        <f ca="1">IFERROR(__xludf.DUMMYFUNCTION("""COMPUTED_VALUE"""),"POSSIBLE FAIRWAYS")</f>
        <v>POSSIBLE FAIRWAYS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IFERROR(__xludf.DUMMYFUNCTION("""COMPUTED_VALUE"""),"Gunn Charoenkul")</f>
        <v>Gunn Charoenkul</v>
      </c>
      <c r="D2">
        <f ca="1">IFERROR(__xludf.DUMMYFUNCTION("""COMPUTED_VALUE"""),4)</f>
        <v>4</v>
      </c>
      <c r="E2">
        <f ca="1">IFERROR(__xludf.DUMMYFUNCTION("""COMPUTED_VALUE"""),80.77)</f>
        <v>80.77</v>
      </c>
      <c r="F2">
        <f ca="1">IFERROR(__xludf.DUMMYFUNCTION("""COMPUTED_VALUE"""),42)</f>
        <v>42</v>
      </c>
      <c r="G2">
        <f ca="1">IFERROR(__xludf.DUMMYFUNCTION("""COMPUTED_VALUE"""),52)</f>
        <v>52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IFERROR(__xludf.DUMMYFUNCTION("""COMPUTED_VALUE"""),"Naoki Sekito")</f>
        <v>Naoki Sekito</v>
      </c>
      <c r="D3">
        <f ca="1">IFERROR(__xludf.DUMMYFUNCTION("""COMPUTED_VALUE"""),4)</f>
        <v>4</v>
      </c>
      <c r="E3">
        <f ca="1">IFERROR(__xludf.DUMMYFUNCTION("""COMPUTED_VALUE"""),80.77)</f>
        <v>80.77</v>
      </c>
      <c r="F3">
        <f ca="1">IFERROR(__xludf.DUMMYFUNCTION("""COMPUTED_VALUE"""),42)</f>
        <v>42</v>
      </c>
      <c r="G3">
        <f ca="1">IFERROR(__xludf.DUMMYFUNCTION("""COMPUTED_VALUE"""),52)</f>
        <v>52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IFERROR(__xludf.DUMMYFUNCTION("""COMPUTED_VALUE"""),"Rikuya Hoshino")</f>
        <v>Rikuya Hoshino</v>
      </c>
      <c r="D4">
        <f ca="1">IFERROR(__xludf.DUMMYFUNCTION("""COMPUTED_VALUE"""),4)</f>
        <v>4</v>
      </c>
      <c r="E4">
        <f ca="1">IFERROR(__xludf.DUMMYFUNCTION("""COMPUTED_VALUE"""),78.85)</f>
        <v>78.849999999999994</v>
      </c>
      <c r="F4">
        <f ca="1">IFERROR(__xludf.DUMMYFUNCTION("""COMPUTED_VALUE"""),41)</f>
        <v>41</v>
      </c>
      <c r="G4">
        <f ca="1">IFERROR(__xludf.DUMMYFUNCTION("""COMPUTED_VALUE"""),52)</f>
        <v>52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IFERROR(__xludf.DUMMYFUNCTION("""COMPUTED_VALUE"""),"Alex Smalley")</f>
        <v>Alex Smalley</v>
      </c>
      <c r="D5">
        <f ca="1">IFERROR(__xludf.DUMMYFUNCTION("""COMPUTED_VALUE"""),4)</f>
        <v>4</v>
      </c>
      <c r="E5">
        <f ca="1">IFERROR(__xludf.DUMMYFUNCTION("""COMPUTED_VALUE"""),76.79)</f>
        <v>76.790000000000006</v>
      </c>
      <c r="F5">
        <f ca="1">IFERROR(__xludf.DUMMYFUNCTION("""COMPUTED_VALUE"""),43)</f>
        <v>43</v>
      </c>
      <c r="G5">
        <f ca="1">IFERROR(__xludf.DUMMYFUNCTION("""COMPUTED_VALUE"""),56)</f>
        <v>56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IFERROR(__xludf.DUMMYFUNCTION("""COMPUTED_VALUE"""),8)</f>
        <v>8</v>
      </c>
      <c r="C6" t="str">
        <f ca="1">IFERROR(__xludf.DUMMYFUNCTION("""COMPUTED_VALUE"""),"Roberto Díaz")</f>
        <v>Roberto Díaz</v>
      </c>
      <c r="D6">
        <f ca="1">IFERROR(__xludf.DUMMYFUNCTION("""COMPUTED_VALUE"""),4)</f>
        <v>4</v>
      </c>
      <c r="E6">
        <f ca="1">IFERROR(__xludf.DUMMYFUNCTION("""COMPUTED_VALUE"""),75)</f>
        <v>75</v>
      </c>
      <c r="F6">
        <f ca="1">IFERROR(__xludf.DUMMYFUNCTION("""COMPUTED_VALUE"""),42)</f>
        <v>42</v>
      </c>
      <c r="G6">
        <f ca="1">IFERROR(__xludf.DUMMYFUNCTION("""COMPUTED_VALUE"""),56)</f>
        <v>56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IFERROR(__xludf.DUMMYFUNCTION("""COMPUTED_VALUE"""),7)</f>
        <v>7</v>
      </c>
      <c r="C7" t="str">
        <f ca="1">IFERROR(__xludf.DUMMYFUNCTION("""COMPUTED_VALUE"""),"James Hahn")</f>
        <v>James Hahn</v>
      </c>
      <c r="D7">
        <f ca="1">IFERROR(__xludf.DUMMYFUNCTION("""COMPUTED_VALUE"""),16)</f>
        <v>16</v>
      </c>
      <c r="E7">
        <f ca="1">IFERROR(__xludf.DUMMYFUNCTION("""COMPUTED_VALUE"""),73.64)</f>
        <v>73.64</v>
      </c>
      <c r="F7">
        <f ca="1">IFERROR(__xludf.DUMMYFUNCTION("""COMPUTED_VALUE"""),162)</f>
        <v>162</v>
      </c>
      <c r="G7">
        <f ca="1">IFERROR(__xludf.DUMMYFUNCTION("""COMPUTED_VALUE"""),220)</f>
        <v>220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IFERROR(__xludf.DUMMYFUNCTION("""COMPUTED_VALUE"""),9)</f>
        <v>9</v>
      </c>
      <c r="C8" t="str">
        <f ca="1">IFERROR(__xludf.DUMMYFUNCTION("""COMPUTED_VALUE"""),"Brad Kennedy")</f>
        <v>Brad Kennedy</v>
      </c>
      <c r="D8">
        <f ca="1">IFERROR(__xludf.DUMMYFUNCTION("""COMPUTED_VALUE"""),4)</f>
        <v>4</v>
      </c>
      <c r="E8">
        <f ca="1">IFERROR(__xludf.DUMMYFUNCTION("""COMPUTED_VALUE"""),73.08)</f>
        <v>73.08</v>
      </c>
      <c r="F8">
        <f ca="1">IFERROR(__xludf.DUMMYFUNCTION("""COMPUTED_VALUE"""),38)</f>
        <v>38</v>
      </c>
      <c r="G8">
        <f ca="1">IFERROR(__xludf.DUMMYFUNCTION("""COMPUTED_VALUE"""),52)</f>
        <v>52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IFERROR(__xludf.DUMMYFUNCTION("""COMPUTED_VALUE"""),5)</f>
        <v>5</v>
      </c>
      <c r="C9" t="str">
        <f ca="1">IFERROR(__xludf.DUMMYFUNCTION("""COMPUTED_VALUE"""),"Satoshi Kodaira")</f>
        <v>Satoshi Kodaira</v>
      </c>
      <c r="D9">
        <f ca="1">IFERROR(__xludf.DUMMYFUNCTION("""COMPUTED_VALUE"""),12)</f>
        <v>12</v>
      </c>
      <c r="E9">
        <f ca="1">IFERROR(__xludf.DUMMYFUNCTION("""COMPUTED_VALUE"""),72.5)</f>
        <v>72.5</v>
      </c>
      <c r="F9">
        <f ca="1">IFERROR(__xludf.DUMMYFUNCTION("""COMPUTED_VALUE"""),116)</f>
        <v>116</v>
      </c>
      <c r="G9">
        <f ca="1">IFERROR(__xludf.DUMMYFUNCTION("""COMPUTED_VALUE"""),160)</f>
        <v>160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IFERROR(__xludf.DUMMYFUNCTION("""COMPUTED_VALUE"""),12)</f>
        <v>12</v>
      </c>
      <c r="C10" t="str">
        <f ca="1">IFERROR(__xludf.DUMMYFUNCTION("""COMPUTED_VALUE"""),"Russell Henley")</f>
        <v>Russell Henley</v>
      </c>
      <c r="D10">
        <f ca="1">IFERROR(__xludf.DUMMYFUNCTION("""COMPUTED_VALUE"""),16)</f>
        <v>16</v>
      </c>
      <c r="E10">
        <f ca="1">IFERROR(__xludf.DUMMYFUNCTION("""COMPUTED_VALUE"""),71.3)</f>
        <v>71.3</v>
      </c>
      <c r="F10">
        <f ca="1">IFERROR(__xludf.DUMMYFUNCTION("""COMPUTED_VALUE"""),154)</f>
        <v>154</v>
      </c>
      <c r="G10">
        <f ca="1">IFERROR(__xludf.DUMMYFUNCTION("""COMPUTED_VALUE"""),216)</f>
        <v>216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IFERROR(__xludf.DUMMYFUNCTION("""COMPUTED_VALUE"""),13)</f>
        <v>13</v>
      </c>
      <c r="C11" t="str">
        <f ca="1">IFERROR(__xludf.DUMMYFUNCTION("""COMPUTED_VALUE"""),"Matt Kuchar")</f>
        <v>Matt Kuchar</v>
      </c>
      <c r="D11">
        <f ca="1">IFERROR(__xludf.DUMMYFUNCTION("""COMPUTED_VALUE"""),14)</f>
        <v>14</v>
      </c>
      <c r="E11">
        <f ca="1">IFERROR(__xludf.DUMMYFUNCTION("""COMPUTED_VALUE"""),70.31)</f>
        <v>70.31</v>
      </c>
      <c r="F11">
        <f ca="1">IFERROR(__xludf.DUMMYFUNCTION("""COMPUTED_VALUE"""),135)</f>
        <v>135</v>
      </c>
      <c r="G11">
        <f ca="1">IFERROR(__xludf.DUMMYFUNCTION("""COMPUTED_VALUE"""),192)</f>
        <v>192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IFERROR(__xludf.DUMMYFUNCTION("""COMPUTED_VALUE"""),14)</f>
        <v>14</v>
      </c>
      <c r="C12" t="str">
        <f ca="1">IFERROR(__xludf.DUMMYFUNCTION("""COMPUTED_VALUE"""),"Arjun Atwal")</f>
        <v>Arjun Atwal</v>
      </c>
      <c r="D12">
        <f ca="1">IFERROR(__xludf.DUMMYFUNCTION("""COMPUTED_VALUE"""),6)</f>
        <v>6</v>
      </c>
      <c r="E12">
        <f ca="1">IFERROR(__xludf.DUMMYFUNCTION("""COMPUTED_VALUE"""),70.24)</f>
        <v>70.239999999999995</v>
      </c>
      <c r="F12">
        <f ca="1">IFERROR(__xludf.DUMMYFUNCTION("""COMPUTED_VALUE"""),59)</f>
        <v>59</v>
      </c>
      <c r="G12">
        <f ca="1">IFERROR(__xludf.DUMMYFUNCTION("""COMPUTED_VALUE"""),84)</f>
        <v>84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IFERROR(__xludf.DUMMYFUNCTION("""COMPUTED_VALUE"""),15)</f>
        <v>15</v>
      </c>
      <c r="C13" t="str">
        <f ca="1">IFERROR(__xludf.DUMMYFUNCTION("""COMPUTED_VALUE"""),"Chez Reavie")</f>
        <v>Chez Reavie</v>
      </c>
      <c r="D13">
        <f ca="1">IFERROR(__xludf.DUMMYFUNCTION("""COMPUTED_VALUE"""),14)</f>
        <v>14</v>
      </c>
      <c r="E13">
        <f ca="1">IFERROR(__xludf.DUMMYFUNCTION("""COMPUTED_VALUE"""),69.9)</f>
        <v>69.900000000000006</v>
      </c>
      <c r="F13">
        <f ca="1">IFERROR(__xludf.DUMMYFUNCTION("""COMPUTED_VALUE"""),137)</f>
        <v>137</v>
      </c>
      <c r="G13">
        <f ca="1">IFERROR(__xludf.DUMMYFUNCTION("""COMPUTED_VALUE"""),196)</f>
        <v>196</v>
      </c>
    </row>
    <row r="14" spans="1:7" ht="15.75" customHeight="1">
      <c r="A14" t="str">
        <f ca="1">IFERROR(__xludf.DUMMYFUNCTION("""COMPUTED_VALUE"""),"T13")</f>
        <v>T13</v>
      </c>
      <c r="B14" t="str">
        <f ca="1">IFERROR(__xludf.DUMMYFUNCTION("""COMPUTED_VALUE"""),"T16")</f>
        <v>T16</v>
      </c>
      <c r="C14" t="str">
        <f ca="1">IFERROR(__xludf.DUMMYFUNCTION("""COMPUTED_VALUE"""),"Jim Furyk")</f>
        <v>Jim Furyk</v>
      </c>
      <c r="D14">
        <f ca="1">IFERROR(__xludf.DUMMYFUNCTION("""COMPUTED_VALUE"""),4)</f>
        <v>4</v>
      </c>
      <c r="E14">
        <f ca="1">IFERROR(__xludf.DUMMYFUNCTION("""COMPUTED_VALUE"""),69.64)</f>
        <v>69.64</v>
      </c>
      <c r="F14">
        <f ca="1">IFERROR(__xludf.DUMMYFUNCTION("""COMPUTED_VALUE"""),39)</f>
        <v>39</v>
      </c>
      <c r="G14">
        <f ca="1">IFERROR(__xludf.DUMMYFUNCTION("""COMPUTED_VALUE"""),56)</f>
        <v>56</v>
      </c>
    </row>
    <row r="15" spans="1:7" ht="15.75" customHeight="1">
      <c r="A15" t="str">
        <f ca="1">IFERROR(__xludf.DUMMYFUNCTION("""COMPUTED_VALUE"""),"T13")</f>
        <v>T13</v>
      </c>
      <c r="B15" t="str">
        <f ca="1">IFERROR(__xludf.DUMMYFUNCTION("""COMPUTED_VALUE"""),"T16")</f>
        <v>T16</v>
      </c>
      <c r="C15" t="str">
        <f ca="1">IFERROR(__xludf.DUMMYFUNCTION("""COMPUTED_VALUE"""),"Willy Pumarol")</f>
        <v>Willy Pumarol</v>
      </c>
      <c r="D15">
        <f ca="1">IFERROR(__xludf.DUMMYFUNCTION("""COMPUTED_VALUE"""),4)</f>
        <v>4</v>
      </c>
      <c r="E15">
        <f ca="1">IFERROR(__xludf.DUMMYFUNCTION("""COMPUTED_VALUE"""),69.64)</f>
        <v>69.64</v>
      </c>
      <c r="F15">
        <f ca="1">IFERROR(__xludf.DUMMYFUNCTION("""COMPUTED_VALUE"""),39)</f>
        <v>39</v>
      </c>
      <c r="G15">
        <f ca="1">IFERROR(__xludf.DUMMYFUNCTION("""COMPUTED_VALUE"""),56)</f>
        <v>56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IFERROR(__xludf.DUMMYFUNCTION("""COMPUTED_VALUE"""),4)</f>
        <v>4</v>
      </c>
      <c r="C16" t="str">
        <f ca="1">IFERROR(__xludf.DUMMYFUNCTION("""COMPUTED_VALUE"""),"John Huh")</f>
        <v>John Huh</v>
      </c>
      <c r="D16">
        <f ca="1">IFERROR(__xludf.DUMMYFUNCTION("""COMPUTED_VALUE"""),8)</f>
        <v>8</v>
      </c>
      <c r="E16">
        <f ca="1">IFERROR(__xludf.DUMMYFUNCTION("""COMPUTED_VALUE"""),69.44)</f>
        <v>69.44</v>
      </c>
      <c r="F16">
        <f ca="1">IFERROR(__xludf.DUMMYFUNCTION("""COMPUTED_VALUE"""),75)</f>
        <v>75</v>
      </c>
      <c r="G16">
        <f ca="1">IFERROR(__xludf.DUMMYFUNCTION("""COMPUTED_VALUE"""),108)</f>
        <v>108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IFERROR(__xludf.DUMMYFUNCTION("""COMPUTED_VALUE"""),18)</f>
        <v>18</v>
      </c>
      <c r="C17" t="str">
        <f ca="1">IFERROR(__xludf.DUMMYFUNCTION("""COMPUTED_VALUE"""),"Matthew Fitzpatrick")</f>
        <v>Matthew Fitzpatrick</v>
      </c>
      <c r="D17">
        <f ca="1">IFERROR(__xludf.DUMMYFUNCTION("""COMPUTED_VALUE"""),10)</f>
        <v>10</v>
      </c>
      <c r="E17">
        <f ca="1">IFERROR(__xludf.DUMMYFUNCTION("""COMPUTED_VALUE"""),69.12)</f>
        <v>69.12</v>
      </c>
      <c r="F17">
        <f ca="1">IFERROR(__xludf.DUMMYFUNCTION("""COMPUTED_VALUE"""),94)</f>
        <v>94</v>
      </c>
      <c r="G17">
        <f ca="1">IFERROR(__xludf.DUMMYFUNCTION("""COMPUTED_VALUE"""),136)</f>
        <v>136</v>
      </c>
    </row>
    <row r="18" spans="1:7" ht="15.75" customHeight="1">
      <c r="A18" t="str">
        <f ca="1">IFERROR(__xludf.DUMMYFUNCTION("""COMPUTED_VALUE"""),"T17")</f>
        <v>T17</v>
      </c>
      <c r="B18" t="str">
        <f ca="1">IFERROR(__xludf.DUMMYFUNCTION("""COMPUTED_VALUE"""),"T20")</f>
        <v>T20</v>
      </c>
      <c r="C18" t="str">
        <f ca="1">IFERROR(__xludf.DUMMYFUNCTION("""COMPUTED_VALUE"""),"Ben Martin")</f>
        <v>Ben Martin</v>
      </c>
      <c r="D18">
        <f ca="1">IFERROR(__xludf.DUMMYFUNCTION("""COMPUTED_VALUE"""),6)</f>
        <v>6</v>
      </c>
      <c r="E18">
        <f ca="1">IFERROR(__xludf.DUMMYFUNCTION("""COMPUTED_VALUE"""),69.05)</f>
        <v>69.05</v>
      </c>
      <c r="F18">
        <f ca="1">IFERROR(__xludf.DUMMYFUNCTION("""COMPUTED_VALUE"""),58)</f>
        <v>58</v>
      </c>
      <c r="G18">
        <f ca="1">IFERROR(__xludf.DUMMYFUNCTION("""COMPUTED_VALUE"""),84)</f>
        <v>84</v>
      </c>
    </row>
    <row r="19" spans="1:7" ht="15.75" customHeight="1">
      <c r="A19" t="str">
        <f ca="1">IFERROR(__xludf.DUMMYFUNCTION("""COMPUTED_VALUE"""),"T17")</f>
        <v>T17</v>
      </c>
      <c r="B19" t="str">
        <f ca="1">IFERROR(__xludf.DUMMYFUNCTION("""COMPUTED_VALUE"""),"T20")</f>
        <v>T20</v>
      </c>
      <c r="C19" t="str">
        <f ca="1">IFERROR(__xludf.DUMMYFUNCTION("""COMPUTED_VALUE"""),"Joohyung Kim")</f>
        <v>Joohyung Kim</v>
      </c>
      <c r="D19">
        <f ca="1">IFERROR(__xludf.DUMMYFUNCTION("""COMPUTED_VALUE"""),12)</f>
        <v>12</v>
      </c>
      <c r="E19">
        <f ca="1">IFERROR(__xludf.DUMMYFUNCTION("""COMPUTED_VALUE"""),69.05)</f>
        <v>69.05</v>
      </c>
      <c r="F19">
        <f ca="1">IFERROR(__xludf.DUMMYFUNCTION("""COMPUTED_VALUE"""),116)</f>
        <v>116</v>
      </c>
      <c r="G19">
        <f ca="1">IFERROR(__xludf.DUMMYFUNCTION("""COMPUTED_VALUE"""),168)</f>
        <v>168</v>
      </c>
    </row>
    <row r="20" spans="1:7" ht="15.75" customHeight="1">
      <c r="A20">
        <f ca="1">IFERROR(__xludf.DUMMYFUNCTION("""COMPUTED_VALUE"""),19)</f>
        <v>19</v>
      </c>
      <c r="B20" t="str">
        <f ca="1">IFERROR(__xludf.DUMMYFUNCTION("""COMPUTED_VALUE"""),"T23")</f>
        <v>T23</v>
      </c>
      <c r="C20" t="str">
        <f ca="1">IFERROR(__xludf.DUMMYFUNCTION("""COMPUTED_VALUE"""),"Webb Simpson")</f>
        <v>Webb Simpson</v>
      </c>
      <c r="D20">
        <f ca="1">IFERROR(__xludf.DUMMYFUNCTION("""COMPUTED_VALUE"""),12)</f>
        <v>12</v>
      </c>
      <c r="E20">
        <f ca="1">IFERROR(__xludf.DUMMYFUNCTION("""COMPUTED_VALUE"""),68.9)</f>
        <v>68.900000000000006</v>
      </c>
      <c r="F20">
        <f ca="1">IFERROR(__xludf.DUMMYFUNCTION("""COMPUTED_VALUE"""),113)</f>
        <v>113</v>
      </c>
      <c r="G20">
        <f ca="1">IFERROR(__xludf.DUMMYFUNCTION("""COMPUTED_VALUE"""),164)</f>
        <v>164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IFERROR(__xludf.DUMMYFUNCTION("""COMPUTED_VALUE"""),10)</f>
        <v>10</v>
      </c>
      <c r="C21" t="str">
        <f ca="1">IFERROR(__xludf.DUMMYFUNCTION("""COMPUTED_VALUE"""),"Bo Van Pelt")</f>
        <v>Bo Van Pelt</v>
      </c>
      <c r="D21">
        <f ca="1">IFERROR(__xludf.DUMMYFUNCTION("""COMPUTED_VALUE"""),10)</f>
        <v>10</v>
      </c>
      <c r="E21">
        <f ca="1">IFERROR(__xludf.DUMMYFUNCTION("""COMPUTED_VALUE"""),68.84)</f>
        <v>68.84</v>
      </c>
      <c r="F21">
        <f ca="1">IFERROR(__xludf.DUMMYFUNCTION("""COMPUTED_VALUE"""),95)</f>
        <v>95</v>
      </c>
      <c r="G21">
        <f ca="1">IFERROR(__xludf.DUMMYFUNCTION("""COMPUTED_VALUE"""),138)</f>
        <v>138</v>
      </c>
    </row>
    <row r="22" spans="1:7" ht="15.75" customHeight="1">
      <c r="A22">
        <f ca="1">IFERROR(__xludf.DUMMYFUNCTION("""COMPUTED_VALUE"""),21)</f>
        <v>21</v>
      </c>
      <c r="B22" t="str">
        <f ca="1">IFERROR(__xludf.DUMMYFUNCTION("""COMPUTED_VALUE"""),"T23")</f>
        <v>T23</v>
      </c>
      <c r="C22" t="str">
        <f ca="1">IFERROR(__xludf.DUMMYFUNCTION("""COMPUTED_VALUE"""),"Andrew Landry")</f>
        <v>Andrew Landry</v>
      </c>
      <c r="D22">
        <f ca="1">IFERROR(__xludf.DUMMYFUNCTION("""COMPUTED_VALUE"""),14)</f>
        <v>14</v>
      </c>
      <c r="E22">
        <f ca="1">IFERROR(__xludf.DUMMYFUNCTION("""COMPUTED_VALUE"""),67.89)</f>
        <v>67.89</v>
      </c>
      <c r="F22">
        <f ca="1">IFERROR(__xludf.DUMMYFUNCTION("""COMPUTED_VALUE"""),129)</f>
        <v>129</v>
      </c>
      <c r="G22">
        <f ca="1">IFERROR(__xludf.DUMMYFUNCTION("""COMPUTED_VALUE"""),190)</f>
        <v>190</v>
      </c>
    </row>
    <row r="23" spans="1:7" ht="15.75" customHeight="1">
      <c r="A23" t="str">
        <f ca="1">IFERROR(__xludf.DUMMYFUNCTION("""COMPUTED_VALUE"""),"T22")</f>
        <v>T22</v>
      </c>
      <c r="B23" t="str">
        <f ca="1">IFERROR(__xludf.DUMMYFUNCTION("""COMPUTED_VALUE"""),"T26")</f>
        <v>T26</v>
      </c>
      <c r="C23" t="str">
        <f ca="1">IFERROR(__xludf.DUMMYFUNCTION("""COMPUTED_VALUE"""),"Chris Baker")</f>
        <v>Chris Baker</v>
      </c>
      <c r="D23">
        <f ca="1">IFERROR(__xludf.DUMMYFUNCTION("""COMPUTED_VALUE"""),8)</f>
        <v>8</v>
      </c>
      <c r="E23">
        <f ca="1">IFERROR(__xludf.DUMMYFUNCTION("""COMPUTED_VALUE"""),67.86)</f>
        <v>67.86</v>
      </c>
      <c r="F23">
        <f ca="1">IFERROR(__xludf.DUMMYFUNCTION("""COMPUTED_VALUE"""),76)</f>
        <v>76</v>
      </c>
      <c r="G23">
        <f ca="1">IFERROR(__xludf.DUMMYFUNCTION("""COMPUTED_VALUE"""),112)</f>
        <v>112</v>
      </c>
    </row>
    <row r="24" spans="1:7" ht="15.75" customHeight="1">
      <c r="A24" t="str">
        <f ca="1">IFERROR(__xludf.DUMMYFUNCTION("""COMPUTED_VALUE"""),"T22")</f>
        <v>T22</v>
      </c>
      <c r="B24" t="str">
        <f ca="1">IFERROR(__xludf.DUMMYFUNCTION("""COMPUTED_VALUE"""),"T26")</f>
        <v>T26</v>
      </c>
      <c r="C24" t="str">
        <f ca="1">IFERROR(__xludf.DUMMYFUNCTION("""COMPUTED_VALUE"""),"J.J. Henry")</f>
        <v>J.J. Henry</v>
      </c>
      <c r="D24">
        <f ca="1">IFERROR(__xludf.DUMMYFUNCTION("""COMPUTED_VALUE"""),4)</f>
        <v>4</v>
      </c>
      <c r="E24">
        <f ca="1">IFERROR(__xludf.DUMMYFUNCTION("""COMPUTED_VALUE"""),67.86)</f>
        <v>67.86</v>
      </c>
      <c r="F24">
        <f ca="1">IFERROR(__xludf.DUMMYFUNCTION("""COMPUTED_VALUE"""),38)</f>
        <v>38</v>
      </c>
      <c r="G24">
        <f ca="1">IFERROR(__xludf.DUMMYFUNCTION("""COMPUTED_VALUE"""),56)</f>
        <v>56</v>
      </c>
    </row>
    <row r="25" spans="1:7" ht="15.75" customHeight="1">
      <c r="A25" t="str">
        <f ca="1">IFERROR(__xludf.DUMMYFUNCTION("""COMPUTED_VALUE"""),"T22")</f>
        <v>T22</v>
      </c>
      <c r="B25" t="str">
        <f ca="1">IFERROR(__xludf.DUMMYFUNCTION("""COMPUTED_VALUE"""),"T26")</f>
        <v>T26</v>
      </c>
      <c r="C25" t="str">
        <f ca="1">IFERROR(__xludf.DUMMYFUNCTION("""COMPUTED_VALUE"""),"Stephen Stallings Jr.")</f>
        <v>Stephen Stallings Jr.</v>
      </c>
      <c r="D25">
        <f ca="1">IFERROR(__xludf.DUMMYFUNCTION("""COMPUTED_VALUE"""),4)</f>
        <v>4</v>
      </c>
      <c r="E25">
        <f ca="1">IFERROR(__xludf.DUMMYFUNCTION("""COMPUTED_VALUE"""),67.86)</f>
        <v>67.86</v>
      </c>
      <c r="F25">
        <f ca="1">IFERROR(__xludf.DUMMYFUNCTION("""COMPUTED_VALUE"""),38)</f>
        <v>38</v>
      </c>
      <c r="G25">
        <f ca="1">IFERROR(__xludf.DUMMYFUNCTION("""COMPUTED_VALUE"""),56)</f>
        <v>56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IFERROR(__xludf.DUMMYFUNCTION("""COMPUTED_VALUE"""),11)</f>
        <v>11</v>
      </c>
      <c r="C26" t="str">
        <f ca="1">IFERROR(__xludf.DUMMYFUNCTION("""COMPUTED_VALUE"""),"Henrik Stenson")</f>
        <v>Henrik Stenson</v>
      </c>
      <c r="D26">
        <f ca="1">IFERROR(__xludf.DUMMYFUNCTION("""COMPUTED_VALUE"""),11)</f>
        <v>11</v>
      </c>
      <c r="E26">
        <f ca="1">IFERROR(__xludf.DUMMYFUNCTION("""COMPUTED_VALUE"""),67.76)</f>
        <v>67.760000000000005</v>
      </c>
      <c r="F26">
        <f ca="1">IFERROR(__xludf.DUMMYFUNCTION("""COMPUTED_VALUE"""),103)</f>
        <v>103</v>
      </c>
      <c r="G26">
        <f ca="1">IFERROR(__xludf.DUMMYFUNCTION("""COMPUTED_VALUE"""),152)</f>
        <v>152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IFERROR(__xludf.DUMMYFUNCTION("""COMPUTED_VALUE"""),29)</f>
        <v>29</v>
      </c>
      <c r="C27" t="str">
        <f ca="1">IFERROR(__xludf.DUMMYFUNCTION("""COMPUTED_VALUE"""),"Abraham Ancer")</f>
        <v>Abraham Ancer</v>
      </c>
      <c r="D27">
        <f ca="1">IFERROR(__xludf.DUMMYFUNCTION("""COMPUTED_VALUE"""),16)</f>
        <v>16</v>
      </c>
      <c r="E27">
        <f ca="1">IFERROR(__xludf.DUMMYFUNCTION("""COMPUTED_VALUE"""),67.73)</f>
        <v>67.73</v>
      </c>
      <c r="F27">
        <f ca="1">IFERROR(__xludf.DUMMYFUNCTION("""COMPUTED_VALUE"""),149)</f>
        <v>149</v>
      </c>
      <c r="G27">
        <f ca="1">IFERROR(__xludf.DUMMYFUNCTION("""COMPUTED_VALUE"""),220)</f>
        <v>220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IFERROR(__xludf.DUMMYFUNCTION("""COMPUTED_VALUE"""),30)</f>
        <v>30</v>
      </c>
      <c r="C28" t="str">
        <f ca="1">IFERROR(__xludf.DUMMYFUNCTION("""COMPUTED_VALUE"""),"Scottie Scheffler")</f>
        <v>Scottie Scheffler</v>
      </c>
      <c r="D28">
        <f ca="1">IFERROR(__xludf.DUMMYFUNCTION("""COMPUTED_VALUE"""),18)</f>
        <v>18</v>
      </c>
      <c r="E28">
        <f ca="1">IFERROR(__xludf.DUMMYFUNCTION("""COMPUTED_VALUE"""),67.62)</f>
        <v>67.62</v>
      </c>
      <c r="F28">
        <f ca="1">IFERROR(__xludf.DUMMYFUNCTION("""COMPUTED_VALUE"""),165)</f>
        <v>165</v>
      </c>
      <c r="G28">
        <f ca="1">IFERROR(__xludf.DUMMYFUNCTION("""COMPUTED_VALUE"""),244)</f>
        <v>244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IFERROR(__xludf.DUMMYFUNCTION("""COMPUTED_VALUE"""),25)</f>
        <v>25</v>
      </c>
      <c r="C29" t="str">
        <f ca="1">IFERROR(__xludf.DUMMYFUNCTION("""COMPUTED_VALUE"""),"Henrik Norlander")</f>
        <v>Henrik Norlander</v>
      </c>
      <c r="D29">
        <f ca="1">IFERROR(__xludf.DUMMYFUNCTION("""COMPUTED_VALUE"""),16)</f>
        <v>16</v>
      </c>
      <c r="E29">
        <f ca="1">IFERROR(__xludf.DUMMYFUNCTION("""COMPUTED_VALUE"""),67.57)</f>
        <v>67.569999999999993</v>
      </c>
      <c r="F29">
        <f ca="1">IFERROR(__xludf.DUMMYFUNCTION("""COMPUTED_VALUE"""),150)</f>
        <v>150</v>
      </c>
      <c r="G29">
        <f ca="1">IFERROR(__xludf.DUMMYFUNCTION("""COMPUTED_VALUE"""),222)</f>
        <v>222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IFERROR(__xludf.DUMMYFUNCTION("""COMPUTED_VALUE"""),"T20")</f>
        <v>T20</v>
      </c>
      <c r="C30" t="str">
        <f ca="1">IFERROR(__xludf.DUMMYFUNCTION("""COMPUTED_VALUE"""),"Denny McCarthy")</f>
        <v>Denny McCarthy</v>
      </c>
      <c r="D30">
        <f ca="1">IFERROR(__xludf.DUMMYFUNCTION("""COMPUTED_VALUE"""),22)</f>
        <v>22</v>
      </c>
      <c r="E30">
        <f ca="1">IFERROR(__xludf.DUMMYFUNCTION("""COMPUTED_VALUE"""),67.43)</f>
        <v>67.430000000000007</v>
      </c>
      <c r="F30">
        <f ca="1">IFERROR(__xludf.DUMMYFUNCTION("""COMPUTED_VALUE"""),205)</f>
        <v>205</v>
      </c>
      <c r="G30">
        <f ca="1">IFERROR(__xludf.DUMMYFUNCTION("""COMPUTED_VALUE"""),304)</f>
        <v>304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IFERROR(__xludf.DUMMYFUNCTION("""COMPUTED_VALUE"""),34)</f>
        <v>34</v>
      </c>
      <c r="C31" t="str">
        <f ca="1">IFERROR(__xludf.DUMMYFUNCTION("""COMPUTED_VALUE"""),"Mikumu Horikawa")</f>
        <v>Mikumu Horikawa</v>
      </c>
      <c r="D31">
        <f ca="1">IFERROR(__xludf.DUMMYFUNCTION("""COMPUTED_VALUE"""),4)</f>
        <v>4</v>
      </c>
      <c r="E31">
        <f ca="1">IFERROR(__xludf.DUMMYFUNCTION("""COMPUTED_VALUE"""),67.31)</f>
        <v>67.31</v>
      </c>
      <c r="F31">
        <f ca="1">IFERROR(__xludf.DUMMYFUNCTION("""COMPUTED_VALUE"""),35)</f>
        <v>35</v>
      </c>
      <c r="G31">
        <f ca="1">IFERROR(__xludf.DUMMYFUNCTION("""COMPUTED_VALUE"""),52)</f>
        <v>52</v>
      </c>
    </row>
    <row r="32" spans="1:7" ht="12.75">
      <c r="A32" t="str">
        <f ca="1">IFERROR(__xludf.DUMMYFUNCTION("""COMPUTED_VALUE"""),"T31")</f>
        <v>T31</v>
      </c>
      <c r="B32" t="str">
        <f ca="1">IFERROR(__xludf.DUMMYFUNCTION("""COMPUTED_VALUE"""),"T32")</f>
        <v>T32</v>
      </c>
      <c r="C32" t="str">
        <f ca="1">IFERROR(__xludf.DUMMYFUNCTION("""COMPUTED_VALUE"""),"Martin Laird")</f>
        <v>Martin Laird</v>
      </c>
      <c r="D32">
        <f ca="1">IFERROR(__xludf.DUMMYFUNCTION("""COMPUTED_VALUE"""),16)</f>
        <v>16</v>
      </c>
      <c r="E32">
        <f ca="1">IFERROR(__xludf.DUMMYFUNCTION("""COMPUTED_VALUE"""),67.12)</f>
        <v>67.12</v>
      </c>
      <c r="F32">
        <f ca="1">IFERROR(__xludf.DUMMYFUNCTION("""COMPUTED_VALUE"""),149)</f>
        <v>149</v>
      </c>
      <c r="G32">
        <f ca="1">IFERROR(__xludf.DUMMYFUNCTION("""COMPUTED_VALUE"""),222)</f>
        <v>222</v>
      </c>
    </row>
    <row r="33" spans="1:7" ht="12.75">
      <c r="A33" t="str">
        <f ca="1">IFERROR(__xludf.DUMMYFUNCTION("""COMPUTED_VALUE"""),"T31")</f>
        <v>T31</v>
      </c>
      <c r="B33" t="str">
        <f ca="1">IFERROR(__xludf.DUMMYFUNCTION("""COMPUTED_VALUE"""),"T32")</f>
        <v>T32</v>
      </c>
      <c r="C33" t="str">
        <f ca="1">IFERROR(__xludf.DUMMYFUNCTION("""COMPUTED_VALUE"""),"Ryan Armour")</f>
        <v>Ryan Armour</v>
      </c>
      <c r="D33">
        <f ca="1">IFERROR(__xludf.DUMMYFUNCTION("""COMPUTED_VALUE"""),16)</f>
        <v>16</v>
      </c>
      <c r="E33">
        <f ca="1">IFERROR(__xludf.DUMMYFUNCTION("""COMPUTED_VALUE"""),67.12)</f>
        <v>67.12</v>
      </c>
      <c r="F33">
        <f ca="1">IFERROR(__xludf.DUMMYFUNCTION("""COMPUTED_VALUE"""),149)</f>
        <v>149</v>
      </c>
      <c r="G33">
        <f ca="1">IFERROR(__xludf.DUMMYFUNCTION("""COMPUTED_VALUE"""),222)</f>
        <v>222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IFERROR(__xludf.DUMMYFUNCTION("""COMPUTED_VALUE"""),19)</f>
        <v>19</v>
      </c>
      <c r="C34" t="str">
        <f ca="1">IFERROR(__xludf.DUMMYFUNCTION("""COMPUTED_VALUE"""),"Tyler Duncan")</f>
        <v>Tyler Duncan</v>
      </c>
      <c r="D34">
        <f ca="1">IFERROR(__xludf.DUMMYFUNCTION("""COMPUTED_VALUE"""),18)</f>
        <v>18</v>
      </c>
      <c r="E34">
        <f ca="1">IFERROR(__xludf.DUMMYFUNCTION("""COMPUTED_VALUE"""),66.67)</f>
        <v>66.67</v>
      </c>
      <c r="F34">
        <f ca="1">IFERROR(__xludf.DUMMYFUNCTION("""COMPUTED_VALUE"""),164)</f>
        <v>164</v>
      </c>
      <c r="G34">
        <f ca="1">IFERROR(__xludf.DUMMYFUNCTION("""COMPUTED_VALUE"""),246)</f>
        <v>246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IFERROR(__xludf.DUMMYFUNCTION("""COMPUTED_VALUE"""),47)</f>
        <v>47</v>
      </c>
      <c r="C35" t="str">
        <f ca="1">IFERROR(__xludf.DUMMYFUNCTION("""COMPUTED_VALUE"""),"Corey Conners")</f>
        <v>Corey Conners</v>
      </c>
      <c r="D35">
        <f ca="1">IFERROR(__xludf.DUMMYFUNCTION("""COMPUTED_VALUE"""),20)</f>
        <v>20</v>
      </c>
      <c r="E35">
        <f ca="1">IFERROR(__xludf.DUMMYFUNCTION("""COMPUTED_VALUE"""),66.54)</f>
        <v>66.540000000000006</v>
      </c>
      <c r="F35">
        <f ca="1">IFERROR(__xludf.DUMMYFUNCTION("""COMPUTED_VALUE"""),181)</f>
        <v>181</v>
      </c>
      <c r="G35">
        <f ca="1">IFERROR(__xludf.DUMMYFUNCTION("""COMPUTED_VALUE"""),272)</f>
        <v>272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IFERROR(__xludf.DUMMYFUNCTION("""COMPUTED_VALUE"""),52)</f>
        <v>52</v>
      </c>
      <c r="C36" t="str">
        <f ca="1">IFERROR(__xludf.DUMMYFUNCTION("""COMPUTED_VALUE"""),"Brice Garnett")</f>
        <v>Brice Garnett</v>
      </c>
      <c r="D36">
        <f ca="1">IFERROR(__xludf.DUMMYFUNCTION("""COMPUTED_VALUE"""),22)</f>
        <v>22</v>
      </c>
      <c r="E36">
        <f ca="1">IFERROR(__xludf.DUMMYFUNCTION("""COMPUTED_VALUE"""),66.45)</f>
        <v>66.45</v>
      </c>
      <c r="F36">
        <f ca="1">IFERROR(__xludf.DUMMYFUNCTION("""COMPUTED_VALUE"""),202)</f>
        <v>202</v>
      </c>
      <c r="G36">
        <f ca="1">IFERROR(__xludf.DUMMYFUNCTION("""COMPUTED_VALUE"""),304)</f>
        <v>304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IFERROR(__xludf.DUMMYFUNCTION("""COMPUTED_VALUE"""),35)</f>
        <v>35</v>
      </c>
      <c r="C37" t="str">
        <f ca="1">IFERROR(__xludf.DUMMYFUNCTION("""COMPUTED_VALUE"""),"David Hearn")</f>
        <v>David Hearn</v>
      </c>
      <c r="D37">
        <f ca="1">IFERROR(__xludf.DUMMYFUNCTION("""COMPUTED_VALUE"""),16)</f>
        <v>16</v>
      </c>
      <c r="E37">
        <f ca="1">IFERROR(__xludf.DUMMYFUNCTION("""COMPUTED_VALUE"""),66.22)</f>
        <v>66.22</v>
      </c>
      <c r="F37">
        <f ca="1">IFERROR(__xludf.DUMMYFUNCTION("""COMPUTED_VALUE"""),147)</f>
        <v>147</v>
      </c>
      <c r="G37">
        <f ca="1">IFERROR(__xludf.DUMMYFUNCTION("""COMPUTED_VALUE"""),222)</f>
        <v>222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IFERROR(__xludf.DUMMYFUNCTION("""COMPUTED_VALUE"""),39)</f>
        <v>39</v>
      </c>
      <c r="C38" t="str">
        <f ca="1">IFERROR(__xludf.DUMMYFUNCTION("""COMPUTED_VALUE"""),"Brendon Todd")</f>
        <v>Brendon Todd</v>
      </c>
      <c r="D38">
        <f ca="1">IFERROR(__xludf.DUMMYFUNCTION("""COMPUTED_VALUE"""),14)</f>
        <v>14</v>
      </c>
      <c r="E38">
        <f ca="1">IFERROR(__xludf.DUMMYFUNCTION("""COMPUTED_VALUE"""),66.15)</f>
        <v>66.150000000000006</v>
      </c>
      <c r="F38">
        <f ca="1">IFERROR(__xludf.DUMMYFUNCTION("""COMPUTED_VALUE"""),127)</f>
        <v>127</v>
      </c>
      <c r="G38">
        <f ca="1">IFERROR(__xludf.DUMMYFUNCTION("""COMPUTED_VALUE"""),192)</f>
        <v>192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IFERROR(__xludf.DUMMYFUNCTION("""COMPUTED_VALUE"""),42)</f>
        <v>42</v>
      </c>
      <c r="C39" t="str">
        <f ca="1">IFERROR(__xludf.DUMMYFUNCTION("""COMPUTED_VALUE"""),"Chase Seiffert")</f>
        <v>Chase Seiffert</v>
      </c>
      <c r="D39">
        <f ca="1">IFERROR(__xludf.DUMMYFUNCTION("""COMPUTED_VALUE"""),14)</f>
        <v>14</v>
      </c>
      <c r="E39">
        <f ca="1">IFERROR(__xludf.DUMMYFUNCTION("""COMPUTED_VALUE"""),65.82)</f>
        <v>65.819999999999993</v>
      </c>
      <c r="F39">
        <f ca="1">IFERROR(__xludf.DUMMYFUNCTION("""COMPUTED_VALUE"""),129)</f>
        <v>129</v>
      </c>
      <c r="G39">
        <f ca="1">IFERROR(__xludf.DUMMYFUNCTION("""COMPUTED_VALUE"""),196)</f>
        <v>196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IFERROR(__xludf.DUMMYFUNCTION("""COMPUTED_VALUE"""),43)</f>
        <v>43</v>
      </c>
      <c r="C40" t="str">
        <f ca="1">IFERROR(__xludf.DUMMYFUNCTION("""COMPUTED_VALUE"""),"Joel Dahmen")</f>
        <v>Joel Dahmen</v>
      </c>
      <c r="D40">
        <f ca="1">IFERROR(__xludf.DUMMYFUNCTION("""COMPUTED_VALUE"""),18)</f>
        <v>18</v>
      </c>
      <c r="E40">
        <f ca="1">IFERROR(__xludf.DUMMYFUNCTION("""COMPUTED_VALUE"""),65.73)</f>
        <v>65.73</v>
      </c>
      <c r="F40">
        <f ca="1">IFERROR(__xludf.DUMMYFUNCTION("""COMPUTED_VALUE"""),163)</f>
        <v>163</v>
      </c>
      <c r="G40">
        <f ca="1">IFERROR(__xludf.DUMMYFUNCTION("""COMPUTED_VALUE"""),248)</f>
        <v>248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IFERROR(__xludf.DUMMYFUNCTION("""COMPUTED_VALUE"""),44)</f>
        <v>44</v>
      </c>
      <c r="C41" t="str">
        <f ca="1">IFERROR(__xludf.DUMMYFUNCTION("""COMPUTED_VALUE"""),"Michael Gellerman")</f>
        <v>Michael Gellerman</v>
      </c>
      <c r="D41">
        <f ca="1">IFERROR(__xludf.DUMMYFUNCTION("""COMPUTED_VALUE"""),5)</f>
        <v>5</v>
      </c>
      <c r="E41">
        <f ca="1">IFERROR(__xludf.DUMMYFUNCTION("""COMPUTED_VALUE"""),65.71)</f>
        <v>65.709999999999994</v>
      </c>
      <c r="F41">
        <f ca="1">IFERROR(__xludf.DUMMYFUNCTION("""COMPUTED_VALUE"""),46)</f>
        <v>46</v>
      </c>
      <c r="G41">
        <f ca="1">IFERROR(__xludf.DUMMYFUNCTION("""COMPUTED_VALUE"""),70)</f>
        <v>70</v>
      </c>
    </row>
    <row r="42" spans="1:7" ht="12.75">
      <c r="A42" t="str">
        <f ca="1">IFERROR(__xludf.DUMMYFUNCTION("""COMPUTED_VALUE"""),"T41")</f>
        <v>T41</v>
      </c>
      <c r="B42" t="str">
        <f ca="1">IFERROR(__xludf.DUMMYFUNCTION("""COMPUTED_VALUE"""),"T71")</f>
        <v>T71</v>
      </c>
      <c r="C42" t="str">
        <f ca="1">IFERROR(__xludf.DUMMYFUNCTION("""COMPUTED_VALUE"""),"Austin Cook")</f>
        <v>Austin Cook</v>
      </c>
      <c r="D42">
        <f ca="1">IFERROR(__xludf.DUMMYFUNCTION("""COMPUTED_VALUE"""),14)</f>
        <v>14</v>
      </c>
      <c r="E42">
        <f ca="1">IFERROR(__xludf.DUMMYFUNCTION("""COMPUTED_VALUE"""),65.63)</f>
        <v>65.63</v>
      </c>
      <c r="F42">
        <f ca="1">IFERROR(__xludf.DUMMYFUNCTION("""COMPUTED_VALUE"""),126)</f>
        <v>126</v>
      </c>
      <c r="G42">
        <f ca="1">IFERROR(__xludf.DUMMYFUNCTION("""COMPUTED_VALUE"""),192)</f>
        <v>192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IFERROR(__xludf.DUMMYFUNCTION("""COMPUTED_VALUE"""),"T45")</f>
        <v>T45</v>
      </c>
      <c r="C43" t="str">
        <f ca="1">IFERROR(__xludf.DUMMYFUNCTION("""COMPUTED_VALUE"""),"Rob Oppenheim")</f>
        <v>Rob Oppenheim</v>
      </c>
      <c r="D43">
        <f ca="1">IFERROR(__xludf.DUMMYFUNCTION("""COMPUTED_VALUE"""),16)</f>
        <v>16</v>
      </c>
      <c r="E43">
        <f ca="1">IFERROR(__xludf.DUMMYFUNCTION("""COMPUTED_VALUE"""),65.63)</f>
        <v>65.63</v>
      </c>
      <c r="F43">
        <f ca="1">IFERROR(__xludf.DUMMYFUNCTION("""COMPUTED_VALUE"""),147)</f>
        <v>147</v>
      </c>
      <c r="G43">
        <f ca="1">IFERROR(__xludf.DUMMYFUNCTION("""COMPUTED_VALUE"""),224)</f>
        <v>224</v>
      </c>
    </row>
    <row r="44" spans="1:7" ht="12.75">
      <c r="A44" t="str">
        <f ca="1">IFERROR(__xludf.DUMMYFUNCTION("""COMPUTED_VALUE"""),"T41")</f>
        <v>T41</v>
      </c>
      <c r="B44" t="str">
        <f ca="1">IFERROR(__xludf.DUMMYFUNCTION("""COMPUTED_VALUE"""),"T45")</f>
        <v>T45</v>
      </c>
      <c r="C44" t="str">
        <f ca="1">IFERROR(__xludf.DUMMYFUNCTION("""COMPUTED_VALUE"""),"Kevin Na")</f>
        <v>Kevin Na</v>
      </c>
      <c r="D44">
        <f ca="1">IFERROR(__xludf.DUMMYFUNCTION("""COMPUTED_VALUE"""),14)</f>
        <v>14</v>
      </c>
      <c r="E44">
        <f ca="1">IFERROR(__xludf.DUMMYFUNCTION("""COMPUTED_VALUE"""),65.63)</f>
        <v>65.63</v>
      </c>
      <c r="F44">
        <f ca="1">IFERROR(__xludf.DUMMYFUNCTION("""COMPUTED_VALUE"""),126)</f>
        <v>126</v>
      </c>
      <c r="G44">
        <f ca="1">IFERROR(__xludf.DUMMYFUNCTION("""COMPUTED_VALUE"""),192)</f>
        <v>192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IFERROR(__xludf.DUMMYFUNCTION("""COMPUTED_VALUE"""),48)</f>
        <v>48</v>
      </c>
      <c r="C45" t="str">
        <f ca="1">IFERROR(__xludf.DUMMYFUNCTION("""COMPUTED_VALUE"""),"Adam Long")</f>
        <v>Adam Long</v>
      </c>
      <c r="D45">
        <f ca="1">IFERROR(__xludf.DUMMYFUNCTION("""COMPUTED_VALUE"""),22)</f>
        <v>22</v>
      </c>
      <c r="E45">
        <f ca="1">IFERROR(__xludf.DUMMYFUNCTION("""COMPUTED_VALUE"""),65.33)</f>
        <v>65.33</v>
      </c>
      <c r="F45">
        <f ca="1">IFERROR(__xludf.DUMMYFUNCTION("""COMPUTED_VALUE"""),196)</f>
        <v>196</v>
      </c>
      <c r="G45">
        <f ca="1">IFERROR(__xludf.DUMMYFUNCTION("""COMPUTED_VALUE"""),300)</f>
        <v>300</v>
      </c>
    </row>
    <row r="46" spans="1:7" ht="12.75">
      <c r="A46" t="str">
        <f ca="1">IFERROR(__xludf.DUMMYFUNCTION("""COMPUTED_VALUE"""),"T45")</f>
        <v>T45</v>
      </c>
      <c r="B46" t="str">
        <f ca="1">IFERROR(__xludf.DUMMYFUNCTION("""COMPUTED_VALUE"""),"T50")</f>
        <v>T50</v>
      </c>
      <c r="C46" t="str">
        <f ca="1">IFERROR(__xludf.DUMMYFUNCTION("""COMPUTED_VALUE"""),"Collin Morikawa")</f>
        <v>Collin Morikawa</v>
      </c>
      <c r="D46">
        <f ca="1">IFERROR(__xludf.DUMMYFUNCTION("""COMPUTED_VALUE"""),12)</f>
        <v>12</v>
      </c>
      <c r="E46">
        <f ca="1">IFERROR(__xludf.DUMMYFUNCTION("""COMPUTED_VALUE"""),65.24)</f>
        <v>65.239999999999995</v>
      </c>
      <c r="F46">
        <f ca="1">IFERROR(__xludf.DUMMYFUNCTION("""COMPUTED_VALUE"""),107)</f>
        <v>107</v>
      </c>
      <c r="G46">
        <f ca="1">IFERROR(__xludf.DUMMYFUNCTION("""COMPUTED_VALUE"""),164)</f>
        <v>164</v>
      </c>
    </row>
    <row r="47" spans="1:7" ht="12.75">
      <c r="A47" t="str">
        <f ca="1">IFERROR(__xludf.DUMMYFUNCTION("""COMPUTED_VALUE"""),"T45")</f>
        <v>T45</v>
      </c>
      <c r="B47" t="str">
        <f ca="1">IFERROR(__xludf.DUMMYFUNCTION("""COMPUTED_VALUE"""),"T50")</f>
        <v>T50</v>
      </c>
      <c r="C47" t="str">
        <f ca="1">IFERROR(__xludf.DUMMYFUNCTION("""COMPUTED_VALUE"""),"Nick Taylor")</f>
        <v>Nick Taylor</v>
      </c>
      <c r="D47">
        <f ca="1">IFERROR(__xludf.DUMMYFUNCTION("""COMPUTED_VALUE"""),12)</f>
        <v>12</v>
      </c>
      <c r="E47">
        <f ca="1">IFERROR(__xludf.DUMMYFUNCTION("""COMPUTED_VALUE"""),65.24)</f>
        <v>65.239999999999995</v>
      </c>
      <c r="F47">
        <f ca="1">IFERROR(__xludf.DUMMYFUNCTION("""COMPUTED_VALUE"""),107)</f>
        <v>107</v>
      </c>
      <c r="G47">
        <f ca="1">IFERROR(__xludf.DUMMYFUNCTION("""COMPUTED_VALUE"""),164)</f>
        <v>164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IFERROR(__xludf.DUMMYFUNCTION("""COMPUTED_VALUE"""),"T53")</f>
        <v>T53</v>
      </c>
      <c r="C48" t="str">
        <f ca="1">IFERROR(__xludf.DUMMYFUNCTION("""COMPUTED_VALUE"""),"Jazz Janewattananond")</f>
        <v>Jazz Janewattananond</v>
      </c>
      <c r="D48">
        <f ca="1">IFERROR(__xludf.DUMMYFUNCTION("""COMPUTED_VALUE"""),6)</f>
        <v>6</v>
      </c>
      <c r="E48">
        <f ca="1">IFERROR(__xludf.DUMMYFUNCTION("""COMPUTED_VALUE"""),65)</f>
        <v>65</v>
      </c>
      <c r="F48">
        <f ca="1">IFERROR(__xludf.DUMMYFUNCTION("""COMPUTED_VALUE"""),52)</f>
        <v>52</v>
      </c>
      <c r="G48">
        <f ca="1">IFERROR(__xludf.DUMMYFUNCTION("""COMPUTED_VALUE"""),80)</f>
        <v>80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IFERROR(__xludf.DUMMYFUNCTION("""COMPUTED_VALUE"""),"T53")</f>
        <v>T53</v>
      </c>
      <c r="C49" t="str">
        <f ca="1">IFERROR(__xludf.DUMMYFUNCTION("""COMPUTED_VALUE"""),"J.J. Spaun")</f>
        <v>J.J. Spaun</v>
      </c>
      <c r="D49">
        <f ca="1">IFERROR(__xludf.DUMMYFUNCTION("""COMPUTED_VALUE"""),10)</f>
        <v>10</v>
      </c>
      <c r="E49">
        <f ca="1">IFERROR(__xludf.DUMMYFUNCTION("""COMPUTED_VALUE"""),65)</f>
        <v>65</v>
      </c>
      <c r="F49">
        <f ca="1">IFERROR(__xludf.DUMMYFUNCTION("""COMPUTED_VALUE"""),91)</f>
        <v>91</v>
      </c>
      <c r="G49">
        <f ca="1">IFERROR(__xludf.DUMMYFUNCTION("""COMPUTED_VALUE"""),140)</f>
        <v>140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IFERROR(__xludf.DUMMYFUNCTION("""COMPUTED_VALUE"""),38)</f>
        <v>38</v>
      </c>
      <c r="C50" t="str">
        <f ca="1">IFERROR(__xludf.DUMMYFUNCTION("""COMPUTED_VALUE"""),"Sam Burns")</f>
        <v>Sam Burns</v>
      </c>
      <c r="D50">
        <f ca="1">IFERROR(__xludf.DUMMYFUNCTION("""COMPUTED_VALUE"""),18)</f>
        <v>18</v>
      </c>
      <c r="E50">
        <f ca="1">IFERROR(__xludf.DUMMYFUNCTION("""COMPUTED_VALUE"""),64.92)</f>
        <v>64.92</v>
      </c>
      <c r="F50">
        <f ca="1">IFERROR(__xludf.DUMMYFUNCTION("""COMPUTED_VALUE"""),161)</f>
        <v>161</v>
      </c>
      <c r="G50">
        <f ca="1">IFERROR(__xludf.DUMMYFUNCTION("""COMPUTED_VALUE"""),248)</f>
        <v>248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IFERROR(__xludf.DUMMYFUNCTION("""COMPUTED_VALUE"""),55)</f>
        <v>55</v>
      </c>
      <c r="C51" t="str">
        <f ca="1">IFERROR(__xludf.DUMMYFUNCTION("""COMPUTED_VALUE"""),"Matthew NeSmith")</f>
        <v>Matthew NeSmith</v>
      </c>
      <c r="D51">
        <f ca="1">IFERROR(__xludf.DUMMYFUNCTION("""COMPUTED_VALUE"""),16)</f>
        <v>16</v>
      </c>
      <c r="E51">
        <f ca="1">IFERROR(__xludf.DUMMYFUNCTION("""COMPUTED_VALUE"""),64.86)</f>
        <v>64.86</v>
      </c>
      <c r="F51">
        <f ca="1">IFERROR(__xludf.DUMMYFUNCTION("""COMPUTED_VALUE"""),144)</f>
        <v>144</v>
      </c>
      <c r="G51">
        <f ca="1">IFERROR(__xludf.DUMMYFUNCTION("""COMPUTED_VALUE"""),222)</f>
        <v>222</v>
      </c>
    </row>
    <row r="52" spans="1:7" ht="12.75">
      <c r="A52">
        <f ca="1">IFERROR(__xludf.DUMMYFUNCTION("""COMPUTED_VALUE"""),51)</f>
        <v>51</v>
      </c>
      <c r="B52">
        <f ca="1">IFERROR(__xludf.DUMMYFUNCTION("""COMPUTED_VALUE"""),56)</f>
        <v>56</v>
      </c>
      <c r="C52" t="str">
        <f ca="1">IFERROR(__xludf.DUMMYFUNCTION("""COMPUTED_VALUE"""),"Kyle Stanley")</f>
        <v>Kyle Stanley</v>
      </c>
      <c r="D52">
        <f ca="1">IFERROR(__xludf.DUMMYFUNCTION("""COMPUTED_VALUE"""),16)</f>
        <v>16</v>
      </c>
      <c r="E52">
        <f ca="1">IFERROR(__xludf.DUMMYFUNCTION("""COMPUTED_VALUE"""),64.73)</f>
        <v>64.73</v>
      </c>
      <c r="F52">
        <f ca="1">IFERROR(__xludf.DUMMYFUNCTION("""COMPUTED_VALUE"""),145)</f>
        <v>145</v>
      </c>
      <c r="G52">
        <f ca="1">IFERROR(__xludf.DUMMYFUNCTION("""COMPUTED_VALUE"""),224)</f>
        <v>224</v>
      </c>
    </row>
    <row r="53" spans="1:7" ht="12.75">
      <c r="A53">
        <f ca="1">IFERROR(__xludf.DUMMYFUNCTION("""COMPUTED_VALUE"""),52)</f>
        <v>52</v>
      </c>
      <c r="B53" t="str">
        <f ca="1">IFERROR(__xludf.DUMMYFUNCTION("""COMPUTED_VALUE"""),"T57")</f>
        <v>T57</v>
      </c>
      <c r="C53" t="str">
        <f ca="1">IFERROR(__xludf.DUMMYFUNCTION("""COMPUTED_VALUE"""),"Kevin Kisner")</f>
        <v>Kevin Kisner</v>
      </c>
      <c r="D53">
        <f ca="1">IFERROR(__xludf.DUMMYFUNCTION("""COMPUTED_VALUE"""),10)</f>
        <v>10</v>
      </c>
      <c r="E53">
        <f ca="1">IFERROR(__xludf.DUMMYFUNCTION("""COMPUTED_VALUE"""),64.71)</f>
        <v>64.709999999999994</v>
      </c>
      <c r="F53">
        <f ca="1">IFERROR(__xludf.DUMMYFUNCTION("""COMPUTED_VALUE"""),88)</f>
        <v>88</v>
      </c>
      <c r="G53">
        <f ca="1">IFERROR(__xludf.DUMMYFUNCTION("""COMPUTED_VALUE"""),136)</f>
        <v>136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IFERROR(__xludf.DUMMYFUNCTION("""COMPUTED_VALUE"""),49)</f>
        <v>49</v>
      </c>
      <c r="C54" t="str">
        <f ca="1">IFERROR(__xludf.DUMMYFUNCTION("""COMPUTED_VALUE"""),"Brian Stuard")</f>
        <v>Brian Stuard</v>
      </c>
      <c r="D54">
        <f ca="1">IFERROR(__xludf.DUMMYFUNCTION("""COMPUTED_VALUE"""),18)</f>
        <v>18</v>
      </c>
      <c r="E54">
        <f ca="1">IFERROR(__xludf.DUMMYFUNCTION("""COMPUTED_VALUE"""),64.52)</f>
        <v>64.52</v>
      </c>
      <c r="F54">
        <f ca="1">IFERROR(__xludf.DUMMYFUNCTION("""COMPUTED_VALUE"""),160)</f>
        <v>160</v>
      </c>
      <c r="G54">
        <f ca="1">IFERROR(__xludf.DUMMYFUNCTION("""COMPUTED_VALUE"""),248)</f>
        <v>248</v>
      </c>
    </row>
    <row r="55" spans="1:7" ht="12.75">
      <c r="A55" t="str">
        <f ca="1">IFERROR(__xludf.DUMMYFUNCTION("""COMPUTED_VALUE"""),"T54")</f>
        <v>T54</v>
      </c>
      <c r="B55" t="str">
        <f ca="1">IFERROR(__xludf.DUMMYFUNCTION("""COMPUTED_VALUE"""),"T61")</f>
        <v>T61</v>
      </c>
      <c r="C55" t="str">
        <f ca="1">IFERROR(__xludf.DUMMYFUNCTION("""COMPUTED_VALUE"""),"Tim Wilkinson")</f>
        <v>Tim Wilkinson</v>
      </c>
      <c r="D55">
        <f ca="1">IFERROR(__xludf.DUMMYFUNCTION("""COMPUTED_VALUE"""),12)</f>
        <v>12</v>
      </c>
      <c r="E55">
        <f ca="1">IFERROR(__xludf.DUMMYFUNCTION("""COMPUTED_VALUE"""),64.29)</f>
        <v>64.290000000000006</v>
      </c>
      <c r="F55">
        <f ca="1">IFERROR(__xludf.DUMMYFUNCTION("""COMPUTED_VALUE"""),108)</f>
        <v>108</v>
      </c>
      <c r="G55">
        <f ca="1">IFERROR(__xludf.DUMMYFUNCTION("""COMPUTED_VALUE"""),168)</f>
        <v>168</v>
      </c>
    </row>
    <row r="56" spans="1:7" ht="12.75">
      <c r="A56" t="str">
        <f ca="1">IFERROR(__xludf.DUMMYFUNCTION("""COMPUTED_VALUE"""),"T54")</f>
        <v>T54</v>
      </c>
      <c r="B56" t="str">
        <f ca="1">IFERROR(__xludf.DUMMYFUNCTION("""COMPUTED_VALUE"""),"T61")</f>
        <v>T61</v>
      </c>
      <c r="C56" t="str">
        <f ca="1">IFERROR(__xludf.DUMMYFUNCTION("""COMPUTED_VALUE"""),"Bud Cauley")</f>
        <v>Bud Cauley</v>
      </c>
      <c r="D56">
        <f ca="1">IFERROR(__xludf.DUMMYFUNCTION("""COMPUTED_VALUE"""),4)</f>
        <v>4</v>
      </c>
      <c r="E56">
        <f ca="1">IFERROR(__xludf.DUMMYFUNCTION("""COMPUTED_VALUE"""),64.29)</f>
        <v>64.290000000000006</v>
      </c>
      <c r="F56">
        <f ca="1">IFERROR(__xludf.DUMMYFUNCTION("""COMPUTED_VALUE"""),36)</f>
        <v>36</v>
      </c>
      <c r="G56">
        <f ca="1">IFERROR(__xludf.DUMMYFUNCTION("""COMPUTED_VALUE"""),56)</f>
        <v>56</v>
      </c>
    </row>
    <row r="57" spans="1:7" ht="12.75">
      <c r="A57" t="str">
        <f ca="1">IFERROR(__xludf.DUMMYFUNCTION("""COMPUTED_VALUE"""),"T54")</f>
        <v>T54</v>
      </c>
      <c r="B57" t="str">
        <f ca="1">IFERROR(__xludf.DUMMYFUNCTION("""COMPUTED_VALUE"""),"T61")</f>
        <v>T61</v>
      </c>
      <c r="C57" t="str">
        <f ca="1">IFERROR(__xludf.DUMMYFUNCTION("""COMPUTED_VALUE"""),"George Markham")</f>
        <v>George Markham</v>
      </c>
      <c r="D57">
        <f ca="1">IFERROR(__xludf.DUMMYFUNCTION("""COMPUTED_VALUE"""),4)</f>
        <v>4</v>
      </c>
      <c r="E57">
        <f ca="1">IFERROR(__xludf.DUMMYFUNCTION("""COMPUTED_VALUE"""),64.29)</f>
        <v>64.290000000000006</v>
      </c>
      <c r="F57">
        <f ca="1">IFERROR(__xludf.DUMMYFUNCTION("""COMPUTED_VALUE"""),36)</f>
        <v>36</v>
      </c>
      <c r="G57">
        <f ca="1">IFERROR(__xludf.DUMMYFUNCTION("""COMPUTED_VALUE"""),56)</f>
        <v>56</v>
      </c>
    </row>
    <row r="58" spans="1:7" ht="12.75">
      <c r="A58">
        <f ca="1">IFERROR(__xludf.DUMMYFUNCTION("""COMPUTED_VALUE"""),57)</f>
        <v>57</v>
      </c>
      <c r="B58">
        <f ca="1">IFERROR(__xludf.DUMMYFUNCTION("""COMPUTED_VALUE"""),84)</f>
        <v>84</v>
      </c>
      <c r="C58" t="str">
        <f ca="1">IFERROR(__xludf.DUMMYFUNCTION("""COMPUTED_VALUE"""),"Doc Redman")</f>
        <v>Doc Redman</v>
      </c>
      <c r="D58">
        <f ca="1">IFERROR(__xludf.DUMMYFUNCTION("""COMPUTED_VALUE"""),18)</f>
        <v>18</v>
      </c>
      <c r="E58">
        <f ca="1">IFERROR(__xludf.DUMMYFUNCTION("""COMPUTED_VALUE"""),64.11)</f>
        <v>64.11</v>
      </c>
      <c r="F58">
        <f ca="1">IFERROR(__xludf.DUMMYFUNCTION("""COMPUTED_VALUE"""),159)</f>
        <v>159</v>
      </c>
      <c r="G58">
        <f ca="1">IFERROR(__xludf.DUMMYFUNCTION("""COMPUTED_VALUE"""),248)</f>
        <v>248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IFERROR(__xludf.DUMMYFUNCTION("""COMPUTED_VALUE"""),65)</f>
        <v>65</v>
      </c>
      <c r="C59" t="str">
        <f ca="1">IFERROR(__xludf.DUMMYFUNCTION("""COMPUTED_VALUE"""),"Brendan Steele")</f>
        <v>Brendan Steele</v>
      </c>
      <c r="D59">
        <f ca="1">IFERROR(__xludf.DUMMYFUNCTION("""COMPUTED_VALUE"""),14)</f>
        <v>14</v>
      </c>
      <c r="E59">
        <f ca="1">IFERROR(__xludf.DUMMYFUNCTION("""COMPUTED_VALUE"""),64.06)</f>
        <v>64.06</v>
      </c>
      <c r="F59">
        <f ca="1">IFERROR(__xludf.DUMMYFUNCTION("""COMPUTED_VALUE"""),123)</f>
        <v>123</v>
      </c>
      <c r="G59">
        <f ca="1">IFERROR(__xludf.DUMMYFUNCTION("""COMPUTED_VALUE"""),192)</f>
        <v>192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IFERROR(__xludf.DUMMYFUNCTION("""COMPUTED_VALUE"""),31)</f>
        <v>31</v>
      </c>
      <c r="C60" t="str">
        <f ca="1">IFERROR(__xludf.DUMMYFUNCTION("""COMPUTED_VALUE"""),"Sungjae Im")</f>
        <v>Sungjae Im</v>
      </c>
      <c r="D60">
        <f ca="1">IFERROR(__xludf.DUMMYFUNCTION("""COMPUTED_VALUE"""),24)</f>
        <v>24</v>
      </c>
      <c r="E60">
        <f ca="1">IFERROR(__xludf.DUMMYFUNCTION("""COMPUTED_VALUE"""),64.02)</f>
        <v>64.02</v>
      </c>
      <c r="F60">
        <f ca="1">IFERROR(__xludf.DUMMYFUNCTION("""COMPUTED_VALUE"""),210)</f>
        <v>210</v>
      </c>
      <c r="G60">
        <f ca="1">IFERROR(__xludf.DUMMYFUNCTION("""COMPUTED_VALUE"""),328)</f>
        <v>328</v>
      </c>
    </row>
    <row r="61" spans="1:7" ht="12.75">
      <c r="A61">
        <f ca="1">IFERROR(__xludf.DUMMYFUNCTION("""COMPUTED_VALUE"""),60)</f>
        <v>60</v>
      </c>
      <c r="B61" t="str">
        <f ca="1">IFERROR(__xludf.DUMMYFUNCTION("""COMPUTED_VALUE"""),"T71")</f>
        <v>T71</v>
      </c>
      <c r="C61" t="str">
        <f ca="1">IFERROR(__xludf.DUMMYFUNCTION("""COMPUTED_VALUE"""),"Vaughn Taylor")</f>
        <v>Vaughn Taylor</v>
      </c>
      <c r="D61">
        <f ca="1">IFERROR(__xludf.DUMMYFUNCTION("""COMPUTED_VALUE"""),12)</f>
        <v>12</v>
      </c>
      <c r="E61">
        <f ca="1">IFERROR(__xludf.DUMMYFUNCTION("""COMPUTED_VALUE"""),63.86)</f>
        <v>63.86</v>
      </c>
      <c r="F61">
        <f ca="1">IFERROR(__xludf.DUMMYFUNCTION("""COMPUTED_VALUE"""),106)</f>
        <v>106</v>
      </c>
      <c r="G61">
        <f ca="1">IFERROR(__xludf.DUMMYFUNCTION("""COMPUTED_VALUE"""),166)</f>
        <v>166</v>
      </c>
    </row>
    <row r="62" spans="1:7" ht="12.75">
      <c r="A62" t="str">
        <f ca="1">IFERROR(__xludf.DUMMYFUNCTION("""COMPUTED_VALUE"""),"T61")</f>
        <v>T61</v>
      </c>
      <c r="B62" t="str">
        <f ca="1">IFERROR(__xludf.DUMMYFUNCTION("""COMPUTED_VALUE"""),"T40")</f>
        <v>T40</v>
      </c>
      <c r="C62" t="str">
        <f ca="1">IFERROR(__xludf.DUMMYFUNCTION("""COMPUTED_VALUE"""),"Fabián Gómez")</f>
        <v>Fabián Gómez</v>
      </c>
      <c r="D62">
        <f ca="1">IFERROR(__xludf.DUMMYFUNCTION("""COMPUTED_VALUE"""),16)</f>
        <v>16</v>
      </c>
      <c r="E62">
        <f ca="1">IFERROR(__xludf.DUMMYFUNCTION("""COMPUTED_VALUE"""),63.64)</f>
        <v>63.64</v>
      </c>
      <c r="F62">
        <f ca="1">IFERROR(__xludf.DUMMYFUNCTION("""COMPUTED_VALUE"""),140)</f>
        <v>140</v>
      </c>
      <c r="G62">
        <f ca="1">IFERROR(__xludf.DUMMYFUNCTION("""COMPUTED_VALUE"""),220)</f>
        <v>220</v>
      </c>
    </row>
    <row r="63" spans="1:7" ht="12.75">
      <c r="A63" t="str">
        <f ca="1">IFERROR(__xludf.DUMMYFUNCTION("""COMPUTED_VALUE"""),"T61")</f>
        <v>T61</v>
      </c>
      <c r="B63" t="str">
        <f ca="1">IFERROR(__xludf.DUMMYFUNCTION("""COMPUTED_VALUE"""),"T40")</f>
        <v>T40</v>
      </c>
      <c r="C63" t="str">
        <f ca="1">IFERROR(__xludf.DUMMYFUNCTION("""COMPUTED_VALUE"""),"Nate Lashley")</f>
        <v>Nate Lashley</v>
      </c>
      <c r="D63">
        <f ca="1">IFERROR(__xludf.DUMMYFUNCTION("""COMPUTED_VALUE"""),16)</f>
        <v>16</v>
      </c>
      <c r="E63">
        <f ca="1">IFERROR(__xludf.DUMMYFUNCTION("""COMPUTED_VALUE"""),63.64)</f>
        <v>63.64</v>
      </c>
      <c r="F63">
        <f ca="1">IFERROR(__xludf.DUMMYFUNCTION("""COMPUTED_VALUE"""),140)</f>
        <v>140</v>
      </c>
      <c r="G63">
        <f ca="1">IFERROR(__xludf.DUMMYFUNCTION("""COMPUTED_VALUE"""),220)</f>
        <v>220</v>
      </c>
    </row>
    <row r="64" spans="1:7" ht="12.75">
      <c r="A64" t="str">
        <f ca="1">IFERROR(__xludf.DUMMYFUNCTION("""COMPUTED_VALUE"""),"T63")</f>
        <v>T63</v>
      </c>
      <c r="B64" t="str">
        <f ca="1">IFERROR(__xludf.DUMMYFUNCTION("""COMPUTED_VALUE"""),"T66")</f>
        <v>T66</v>
      </c>
      <c r="C64" t="str">
        <f ca="1">IFERROR(__xludf.DUMMYFUNCTION("""COMPUTED_VALUE"""),"Jason Kokrak")</f>
        <v>Jason Kokrak</v>
      </c>
      <c r="D64">
        <f ca="1">IFERROR(__xludf.DUMMYFUNCTION("""COMPUTED_VALUE"""),14)</f>
        <v>14</v>
      </c>
      <c r="E64">
        <f ca="1">IFERROR(__xludf.DUMMYFUNCTION("""COMPUTED_VALUE"""),63.54)</f>
        <v>63.54</v>
      </c>
      <c r="F64">
        <f ca="1">IFERROR(__xludf.DUMMYFUNCTION("""COMPUTED_VALUE"""),122)</f>
        <v>122</v>
      </c>
      <c r="G64">
        <f ca="1">IFERROR(__xludf.DUMMYFUNCTION("""COMPUTED_VALUE"""),192)</f>
        <v>192</v>
      </c>
    </row>
    <row r="65" spans="1:7" ht="12.75">
      <c r="A65" t="str">
        <f ca="1">IFERROR(__xludf.DUMMYFUNCTION("""COMPUTED_VALUE"""),"T63")</f>
        <v>T63</v>
      </c>
      <c r="B65" t="str">
        <f ca="1">IFERROR(__xludf.DUMMYFUNCTION("""COMPUTED_VALUE"""),"T66")</f>
        <v>T66</v>
      </c>
      <c r="C65" t="str">
        <f ca="1">IFERROR(__xludf.DUMMYFUNCTION("""COMPUTED_VALUE"""),"Harris English")</f>
        <v>Harris English</v>
      </c>
      <c r="D65">
        <f ca="1">IFERROR(__xludf.DUMMYFUNCTION("""COMPUTED_VALUE"""),14)</f>
        <v>14</v>
      </c>
      <c r="E65">
        <f ca="1">IFERROR(__xludf.DUMMYFUNCTION("""COMPUTED_VALUE"""),63.54)</f>
        <v>63.54</v>
      </c>
      <c r="F65">
        <f ca="1">IFERROR(__xludf.DUMMYFUNCTION("""COMPUTED_VALUE"""),122)</f>
        <v>122</v>
      </c>
      <c r="G65">
        <f ca="1">IFERROR(__xludf.DUMMYFUNCTION("""COMPUTED_VALUE"""),192)</f>
        <v>192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IFERROR(__xludf.DUMMYFUNCTION("""COMPUTED_VALUE"""),"T57")</f>
        <v>T57</v>
      </c>
      <c r="C66" t="str">
        <f ca="1">IFERROR(__xludf.DUMMYFUNCTION("""COMPUTED_VALUE"""),"Tyrrell Hatton")</f>
        <v>Tyrrell Hatton</v>
      </c>
      <c r="D66">
        <f ca="1">IFERROR(__xludf.DUMMYFUNCTION("""COMPUTED_VALUE"""),14)</f>
        <v>14</v>
      </c>
      <c r="E66">
        <f ca="1">IFERROR(__xludf.DUMMYFUNCTION("""COMPUTED_VALUE"""),63.3)</f>
        <v>63.3</v>
      </c>
      <c r="F66">
        <f ca="1">IFERROR(__xludf.DUMMYFUNCTION("""COMPUTED_VALUE"""),119)</f>
        <v>119</v>
      </c>
      <c r="G66">
        <f ca="1">IFERROR(__xludf.DUMMYFUNCTION("""COMPUTED_VALUE"""),188)</f>
        <v>188</v>
      </c>
    </row>
    <row r="67" spans="1:7" ht="12.75">
      <c r="A67">
        <f ca="1">IFERROR(__xludf.DUMMYFUNCTION("""COMPUTED_VALUE"""),66)</f>
        <v>66</v>
      </c>
      <c r="B67" t="str">
        <f ca="1">IFERROR(__xludf.DUMMYFUNCTION("""COMPUTED_VALUE"""),"T36")</f>
        <v>T36</v>
      </c>
      <c r="C67" t="str">
        <f ca="1">IFERROR(__xludf.DUMMYFUNCTION("""COMPUTED_VALUE"""),"Sam Ryder")</f>
        <v>Sam Ryder</v>
      </c>
      <c r="D67">
        <f ca="1">IFERROR(__xludf.DUMMYFUNCTION("""COMPUTED_VALUE"""),12)</f>
        <v>12</v>
      </c>
      <c r="E67">
        <f ca="1">IFERROR(__xludf.DUMMYFUNCTION("""COMPUTED_VALUE"""),63.25)</f>
        <v>63.25</v>
      </c>
      <c r="F67">
        <f ca="1">IFERROR(__xludf.DUMMYFUNCTION("""COMPUTED_VALUE"""),105)</f>
        <v>105</v>
      </c>
      <c r="G67">
        <f ca="1">IFERROR(__xludf.DUMMYFUNCTION("""COMPUTED_VALUE"""),166)</f>
        <v>166</v>
      </c>
    </row>
    <row r="68" spans="1:7" ht="12.75">
      <c r="A68">
        <f ca="1">IFERROR(__xludf.DUMMYFUNCTION("""COMPUTED_VALUE"""),67)</f>
        <v>67</v>
      </c>
      <c r="B68" t="str">
        <f ca="1">IFERROR(__xludf.DUMMYFUNCTION("""COMPUTED_VALUE"""),"T68")</f>
        <v>T68</v>
      </c>
      <c r="C68" t="str">
        <f ca="1">IFERROR(__xludf.DUMMYFUNCTION("""COMPUTED_VALUE"""),"K.J. Choi")</f>
        <v>K.J. Choi</v>
      </c>
      <c r="D68">
        <f ca="1">IFERROR(__xludf.DUMMYFUNCTION("""COMPUTED_VALUE"""),6)</f>
        <v>6</v>
      </c>
      <c r="E68">
        <f ca="1">IFERROR(__xludf.DUMMYFUNCTION("""COMPUTED_VALUE"""),63.1)</f>
        <v>63.1</v>
      </c>
      <c r="F68">
        <f ca="1">IFERROR(__xludf.DUMMYFUNCTION("""COMPUTED_VALUE"""),53)</f>
        <v>53</v>
      </c>
      <c r="G68">
        <f ca="1">IFERROR(__xludf.DUMMYFUNCTION("""COMPUTED_VALUE"""),84)</f>
        <v>84</v>
      </c>
    </row>
    <row r="69" spans="1:7" ht="12.75">
      <c r="A69">
        <f ca="1">IFERROR(__xludf.DUMMYFUNCTION("""COMPUTED_VALUE"""),68)</f>
        <v>68</v>
      </c>
      <c r="B69" t="str">
        <f ca="1">IFERROR(__xludf.DUMMYFUNCTION("""COMPUTED_VALUE"""),"T59")</f>
        <v>T59</v>
      </c>
      <c r="C69" t="str">
        <f ca="1">IFERROR(__xludf.DUMMYFUNCTION("""COMPUTED_VALUE"""),"Mark Hubbard")</f>
        <v>Mark Hubbard</v>
      </c>
      <c r="D69">
        <f ca="1">IFERROR(__xludf.DUMMYFUNCTION("""COMPUTED_VALUE"""),20)</f>
        <v>20</v>
      </c>
      <c r="E69">
        <f ca="1">IFERROR(__xludf.DUMMYFUNCTION("""COMPUTED_VALUE"""),62.87)</f>
        <v>62.87</v>
      </c>
      <c r="F69">
        <f ca="1">IFERROR(__xludf.DUMMYFUNCTION("""COMPUTED_VALUE"""),171)</f>
        <v>171</v>
      </c>
      <c r="G69">
        <f ca="1">IFERROR(__xludf.DUMMYFUNCTION("""COMPUTED_VALUE"""),272)</f>
        <v>272</v>
      </c>
    </row>
    <row r="70" spans="1:7" ht="12.75">
      <c r="A70">
        <f ca="1">IFERROR(__xludf.DUMMYFUNCTION("""COMPUTED_VALUE"""),69)</f>
        <v>69</v>
      </c>
      <c r="B70" t="str">
        <f ca="1">IFERROR(__xludf.DUMMYFUNCTION("""COMPUTED_VALUE"""),"T71")</f>
        <v>T71</v>
      </c>
      <c r="C70" t="str">
        <f ca="1">IFERROR(__xludf.DUMMYFUNCTION("""COMPUTED_VALUE"""),"Justin Suh")</f>
        <v>Justin Suh</v>
      </c>
      <c r="D70">
        <f ca="1">IFERROR(__xludf.DUMMYFUNCTION("""COMPUTED_VALUE"""),10)</f>
        <v>10</v>
      </c>
      <c r="E70">
        <f ca="1">IFERROR(__xludf.DUMMYFUNCTION("""COMPUTED_VALUE"""),62.86)</f>
        <v>62.86</v>
      </c>
      <c r="F70">
        <f ca="1">IFERROR(__xludf.DUMMYFUNCTION("""COMPUTED_VALUE"""),88)</f>
        <v>88</v>
      </c>
      <c r="G70">
        <f ca="1">IFERROR(__xludf.DUMMYFUNCTION("""COMPUTED_VALUE"""),140)</f>
        <v>140</v>
      </c>
    </row>
    <row r="71" spans="1:7" ht="12.75">
      <c r="A71">
        <f ca="1">IFERROR(__xludf.DUMMYFUNCTION("""COMPUTED_VALUE"""),70)</f>
        <v>70</v>
      </c>
      <c r="B71" t="str">
        <f ca="1">IFERROR(__xludf.DUMMYFUNCTION("""COMPUTED_VALUE"""),"T68")</f>
        <v>T68</v>
      </c>
      <c r="C71" t="str">
        <f ca="1">IFERROR(__xludf.DUMMYFUNCTION("""COMPUTED_VALUE"""),"Russell Knox")</f>
        <v>Russell Knox</v>
      </c>
      <c r="D71">
        <f ca="1">IFERROR(__xludf.DUMMYFUNCTION("""COMPUTED_VALUE"""),16)</f>
        <v>16</v>
      </c>
      <c r="E71">
        <f ca="1">IFERROR(__xludf.DUMMYFUNCTION("""COMPUTED_VALUE"""),62.27)</f>
        <v>62.27</v>
      </c>
      <c r="F71">
        <f ca="1">IFERROR(__xludf.DUMMYFUNCTION("""COMPUTED_VALUE"""),137)</f>
        <v>137</v>
      </c>
      <c r="G71">
        <f ca="1">IFERROR(__xludf.DUMMYFUNCTION("""COMPUTED_VALUE"""),220)</f>
        <v>220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IFERROR(__xludf.DUMMYFUNCTION("""COMPUTED_VALUE"""),77)</f>
        <v>77</v>
      </c>
      <c r="C72" t="str">
        <f ca="1">IFERROR(__xludf.DUMMYFUNCTION("""COMPUTED_VALUE"""),"Jon Rahm")</f>
        <v>Jon Rahm</v>
      </c>
      <c r="D72">
        <f ca="1">IFERROR(__xludf.DUMMYFUNCTION("""COMPUTED_VALUE"""),12)</f>
        <v>12</v>
      </c>
      <c r="E72">
        <f ca="1">IFERROR(__xludf.DUMMYFUNCTION("""COMPUTED_VALUE"""),62.2)</f>
        <v>62.2</v>
      </c>
      <c r="F72">
        <f ca="1">IFERROR(__xludf.DUMMYFUNCTION("""COMPUTED_VALUE"""),102)</f>
        <v>102</v>
      </c>
      <c r="G72">
        <f ca="1">IFERROR(__xludf.DUMMYFUNCTION("""COMPUTED_VALUE"""),164)</f>
        <v>164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IFERROR(__xludf.DUMMYFUNCTION("""COMPUTED_VALUE"""),76)</f>
        <v>76</v>
      </c>
      <c r="C73" t="str">
        <f ca="1">IFERROR(__xludf.DUMMYFUNCTION("""COMPUTED_VALUE"""),"Keegan Bradley")</f>
        <v>Keegan Bradley</v>
      </c>
      <c r="D73">
        <f ca="1">IFERROR(__xludf.DUMMYFUNCTION("""COMPUTED_VALUE"""),16)</f>
        <v>16</v>
      </c>
      <c r="E73">
        <f ca="1">IFERROR(__xludf.DUMMYFUNCTION("""COMPUTED_VALUE"""),62.16)</f>
        <v>62.16</v>
      </c>
      <c r="F73">
        <f ca="1">IFERROR(__xludf.DUMMYFUNCTION("""COMPUTED_VALUE"""),138)</f>
        <v>138</v>
      </c>
      <c r="G73">
        <f ca="1">IFERROR(__xludf.DUMMYFUNCTION("""COMPUTED_VALUE"""),222)</f>
        <v>222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IFERROR(__xludf.DUMMYFUNCTION("""COMPUTED_VALUE"""),78)</f>
        <v>78</v>
      </c>
      <c r="C74" t="str">
        <f ca="1">IFERROR(__xludf.DUMMYFUNCTION("""COMPUTED_VALUE"""),"Zac Blair")</f>
        <v>Zac Blair</v>
      </c>
      <c r="D74">
        <f ca="1">IFERROR(__xludf.DUMMYFUNCTION("""COMPUTED_VALUE"""),10)</f>
        <v>10</v>
      </c>
      <c r="E74">
        <f ca="1">IFERROR(__xludf.DUMMYFUNCTION("""COMPUTED_VALUE"""),62.14)</f>
        <v>62.14</v>
      </c>
      <c r="F74">
        <f ca="1">IFERROR(__xludf.DUMMYFUNCTION("""COMPUTED_VALUE"""),87)</f>
        <v>87</v>
      </c>
      <c r="G74">
        <f ca="1">IFERROR(__xludf.DUMMYFUNCTION("""COMPUTED_VALUE"""),140)</f>
        <v>140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IFERROR(__xludf.DUMMYFUNCTION("""COMPUTED_VALUE"""),"T59")</f>
        <v>T59</v>
      </c>
      <c r="C75" t="str">
        <f ca="1">IFERROR(__xludf.DUMMYFUNCTION("""COMPUTED_VALUE"""),"Talor Gooch")</f>
        <v>Talor Gooch</v>
      </c>
      <c r="D75">
        <f ca="1">IFERROR(__xludf.DUMMYFUNCTION("""COMPUTED_VALUE"""),20)</f>
        <v>20</v>
      </c>
      <c r="E75">
        <f ca="1">IFERROR(__xludf.DUMMYFUNCTION("""COMPUTED_VALUE"""),62.13)</f>
        <v>62.13</v>
      </c>
      <c r="F75">
        <f ca="1">IFERROR(__xludf.DUMMYFUNCTION("""COMPUTED_VALUE"""),169)</f>
        <v>169</v>
      </c>
      <c r="G75">
        <f ca="1">IFERROR(__xludf.DUMMYFUNCTION("""COMPUTED_VALUE"""),272)</f>
        <v>272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IFERROR(__xludf.DUMMYFUNCTION("""COMPUTED_VALUE"""),"T61")</f>
        <v>T61</v>
      </c>
      <c r="C76" t="str">
        <f ca="1">IFERROR(__xludf.DUMMYFUNCTION("""COMPUTED_VALUE"""),"Kramer Hickok")</f>
        <v>Kramer Hickok</v>
      </c>
      <c r="D76">
        <f ca="1">IFERROR(__xludf.DUMMYFUNCTION("""COMPUTED_VALUE"""),16)</f>
        <v>16</v>
      </c>
      <c r="E76">
        <f ca="1">IFERROR(__xludf.DUMMYFUNCTION("""COMPUTED_VALUE"""),61.82)</f>
        <v>61.82</v>
      </c>
      <c r="F76">
        <f ca="1">IFERROR(__xludf.DUMMYFUNCTION("""COMPUTED_VALUE"""),136)</f>
        <v>136</v>
      </c>
      <c r="G76">
        <f ca="1">IFERROR(__xludf.DUMMYFUNCTION("""COMPUTED_VALUE"""),220)</f>
        <v>220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IFERROR(__xludf.DUMMYFUNCTION("""COMPUTED_VALUE"""),75)</f>
        <v>75</v>
      </c>
      <c r="C77" t="str">
        <f ca="1">IFERROR(__xludf.DUMMYFUNCTION("""COMPUTED_VALUE"""),"Brian Harman")</f>
        <v>Brian Harman</v>
      </c>
      <c r="D77">
        <f ca="1">IFERROR(__xludf.DUMMYFUNCTION("""COMPUTED_VALUE"""),24)</f>
        <v>24</v>
      </c>
      <c r="E77">
        <f ca="1">IFERROR(__xludf.DUMMYFUNCTION("""COMPUTED_VALUE"""),61.59)</f>
        <v>61.59</v>
      </c>
      <c r="F77">
        <f ca="1">IFERROR(__xludf.DUMMYFUNCTION("""COMPUTED_VALUE"""),202)</f>
        <v>202</v>
      </c>
      <c r="G77">
        <f ca="1">IFERROR(__xludf.DUMMYFUNCTION("""COMPUTED_VALUE"""),328)</f>
        <v>328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IFERROR(__xludf.DUMMYFUNCTION("""COMPUTED_VALUE"""),"T113")</f>
        <v>T113</v>
      </c>
      <c r="C78" t="str">
        <f ca="1">IFERROR(__xludf.DUMMYFUNCTION("""COMPUTED_VALUE"""),"Michael Thompson")</f>
        <v>Michael Thompson</v>
      </c>
      <c r="D78">
        <f ca="1">IFERROR(__xludf.DUMMYFUNCTION("""COMPUTED_VALUE"""),16)</f>
        <v>16</v>
      </c>
      <c r="E78">
        <f ca="1">IFERROR(__xludf.DUMMYFUNCTION("""COMPUTED_VALUE"""),61.57)</f>
        <v>61.57</v>
      </c>
      <c r="F78">
        <f ca="1">IFERROR(__xludf.DUMMYFUNCTION("""COMPUTED_VALUE"""),133)</f>
        <v>133</v>
      </c>
      <c r="G78">
        <f ca="1">IFERROR(__xludf.DUMMYFUNCTION("""COMPUTED_VALUE"""),216)</f>
        <v>216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IFERROR(__xludf.DUMMYFUNCTION("""COMPUTED_VALUE"""),81)</f>
        <v>81</v>
      </c>
      <c r="C79" t="str">
        <f ca="1">IFERROR(__xludf.DUMMYFUNCTION("""COMPUTED_VALUE"""),"Paul Casey")</f>
        <v>Paul Casey</v>
      </c>
      <c r="D79">
        <f ca="1">IFERROR(__xludf.DUMMYFUNCTION("""COMPUTED_VALUE"""),14)</f>
        <v>14</v>
      </c>
      <c r="E79">
        <f ca="1">IFERROR(__xludf.DUMMYFUNCTION("""COMPUTED_VALUE"""),61.46)</f>
        <v>61.46</v>
      </c>
      <c r="F79">
        <f ca="1">IFERROR(__xludf.DUMMYFUNCTION("""COMPUTED_VALUE"""),118)</f>
        <v>118</v>
      </c>
      <c r="G79">
        <f ca="1">IFERROR(__xludf.DUMMYFUNCTION("""COMPUTED_VALUE"""),192)</f>
        <v>192</v>
      </c>
    </row>
    <row r="80" spans="1:7" ht="12.75">
      <c r="A80">
        <f ca="1">IFERROR(__xludf.DUMMYFUNCTION("""COMPUTED_VALUE"""),79)</f>
        <v>79</v>
      </c>
      <c r="B80" t="str">
        <f ca="1">IFERROR(__xludf.DUMMYFUNCTION("""COMPUTED_VALUE"""),"")</f>
        <v/>
      </c>
      <c r="C80" t="str">
        <f ca="1">IFERROR(__xludf.DUMMYFUNCTION("""COMPUTED_VALUE"""),"Francesco Molinari")</f>
        <v>Francesco Molinari</v>
      </c>
      <c r="D80">
        <f ca="1">IFERROR(__xludf.DUMMYFUNCTION("""COMPUTED_VALUE"""),6)</f>
        <v>6</v>
      </c>
      <c r="E80">
        <f ca="1">IFERROR(__xludf.DUMMYFUNCTION("""COMPUTED_VALUE"""),61.25)</f>
        <v>61.25</v>
      </c>
      <c r="F80">
        <f ca="1">IFERROR(__xludf.DUMMYFUNCTION("""COMPUTED_VALUE"""),49)</f>
        <v>49</v>
      </c>
      <c r="G80">
        <f ca="1">IFERROR(__xludf.DUMMYFUNCTION("""COMPUTED_VALUE"""),80)</f>
        <v>80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IFERROR(__xludf.DUMMYFUNCTION("""COMPUTED_VALUE"""),"T36")</f>
        <v>T36</v>
      </c>
      <c r="C81" t="str">
        <f ca="1">IFERROR(__xludf.DUMMYFUNCTION("""COMPUTED_VALUE"""),"Sean O'Hair")</f>
        <v>Sean O'Hair</v>
      </c>
      <c r="D81">
        <f ca="1">IFERROR(__xludf.DUMMYFUNCTION("""COMPUTED_VALUE"""),14)</f>
        <v>14</v>
      </c>
      <c r="E81">
        <f ca="1">IFERROR(__xludf.DUMMYFUNCTION("""COMPUTED_VALUE"""),60.94)</f>
        <v>60.94</v>
      </c>
      <c r="F81">
        <f ca="1">IFERROR(__xludf.DUMMYFUNCTION("""COMPUTED_VALUE"""),117)</f>
        <v>117</v>
      </c>
      <c r="G81">
        <f ca="1">IFERROR(__xludf.DUMMYFUNCTION("""COMPUTED_VALUE"""),192)</f>
        <v>192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IFERROR(__xludf.DUMMYFUNCTION("""COMPUTED_VALUE"""),"T68")</f>
        <v>T68</v>
      </c>
      <c r="C82" t="str">
        <f ca="1">IFERROR(__xludf.DUMMYFUNCTION("""COMPUTED_VALUE"""),"Brandt Snedeker")</f>
        <v>Brandt Snedeker</v>
      </c>
      <c r="D82">
        <f ca="1">IFERROR(__xludf.DUMMYFUNCTION("""COMPUTED_VALUE"""),16)</f>
        <v>16</v>
      </c>
      <c r="E82">
        <f ca="1">IFERROR(__xludf.DUMMYFUNCTION("""COMPUTED_VALUE"""),60.91)</f>
        <v>60.91</v>
      </c>
      <c r="F82">
        <f ca="1">IFERROR(__xludf.DUMMYFUNCTION("""COMPUTED_VALUE"""),134)</f>
        <v>134</v>
      </c>
      <c r="G82">
        <f ca="1">IFERROR(__xludf.DUMMYFUNCTION("""COMPUTED_VALUE"""),220)</f>
        <v>220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IFERROR(__xludf.DUMMYFUNCTION("""COMPUTED_VALUE"""),82)</f>
        <v>82</v>
      </c>
      <c r="C83" t="str">
        <f ca="1">IFERROR(__xludf.DUMMYFUNCTION("""COMPUTED_VALUE"""),"Xinjun Zhang")</f>
        <v>Xinjun Zhang</v>
      </c>
      <c r="D83">
        <f ca="1">IFERROR(__xludf.DUMMYFUNCTION("""COMPUTED_VALUE"""),14)</f>
        <v>14</v>
      </c>
      <c r="E83">
        <f ca="1">IFERROR(__xludf.DUMMYFUNCTION("""COMPUTED_VALUE"""),60.82)</f>
        <v>60.82</v>
      </c>
      <c r="F83">
        <f ca="1">IFERROR(__xludf.DUMMYFUNCTION("""COMPUTED_VALUE"""),118)</f>
        <v>118</v>
      </c>
      <c r="G83">
        <f ca="1">IFERROR(__xludf.DUMMYFUNCTION("""COMPUTED_VALUE"""),194)</f>
        <v>194</v>
      </c>
    </row>
    <row r="84" spans="1:7" ht="12.75">
      <c r="A84" t="str">
        <f ca="1">IFERROR(__xludf.DUMMYFUNCTION("""COMPUTED_VALUE"""),"T83")</f>
        <v>T83</v>
      </c>
      <c r="B84" t="str">
        <f ca="1">IFERROR(__xludf.DUMMYFUNCTION("""COMPUTED_VALUE"""),"T85")</f>
        <v>T85</v>
      </c>
      <c r="C84" t="str">
        <f ca="1">IFERROR(__xludf.DUMMYFUNCTION("""COMPUTED_VALUE"""),"Seamus Power")</f>
        <v>Seamus Power</v>
      </c>
      <c r="D84">
        <f ca="1">IFERROR(__xludf.DUMMYFUNCTION("""COMPUTED_VALUE"""),8)</f>
        <v>8</v>
      </c>
      <c r="E84">
        <f ca="1">IFERROR(__xludf.DUMMYFUNCTION("""COMPUTED_VALUE"""),60.71)</f>
        <v>60.71</v>
      </c>
      <c r="F84">
        <f ca="1">IFERROR(__xludf.DUMMYFUNCTION("""COMPUTED_VALUE"""),68)</f>
        <v>68</v>
      </c>
      <c r="G84">
        <f ca="1">IFERROR(__xludf.DUMMYFUNCTION("""COMPUTED_VALUE"""),112)</f>
        <v>112</v>
      </c>
    </row>
    <row r="85" spans="1:7" ht="12.75">
      <c r="A85" t="str">
        <f ca="1">IFERROR(__xludf.DUMMYFUNCTION("""COMPUTED_VALUE"""),"T83")</f>
        <v>T83</v>
      </c>
      <c r="B85" t="str">
        <f ca="1">IFERROR(__xludf.DUMMYFUNCTION("""COMPUTED_VALUE"""),"T85")</f>
        <v>T85</v>
      </c>
      <c r="C85" t="str">
        <f ca="1">IFERROR(__xludf.DUMMYFUNCTION("""COMPUTED_VALUE"""),"Johnson Wagner")</f>
        <v>Johnson Wagner</v>
      </c>
      <c r="D85">
        <f ca="1">IFERROR(__xludf.DUMMYFUNCTION("""COMPUTED_VALUE"""),8)</f>
        <v>8</v>
      </c>
      <c r="E85">
        <f ca="1">IFERROR(__xludf.DUMMYFUNCTION("""COMPUTED_VALUE"""),60.71)</f>
        <v>60.71</v>
      </c>
      <c r="F85">
        <f ca="1">IFERROR(__xludf.DUMMYFUNCTION("""COMPUTED_VALUE"""),68)</f>
        <v>68</v>
      </c>
      <c r="G85">
        <f ca="1">IFERROR(__xludf.DUMMYFUNCTION("""COMPUTED_VALUE"""),112)</f>
        <v>112</v>
      </c>
    </row>
    <row r="86" spans="1:7" ht="12.75">
      <c r="A86" t="str">
        <f ca="1">IFERROR(__xludf.DUMMYFUNCTION("""COMPUTED_VALUE"""),"T83")</f>
        <v>T83</v>
      </c>
      <c r="B86" t="str">
        <f ca="1">IFERROR(__xludf.DUMMYFUNCTION("""COMPUTED_VALUE"""),"T85")</f>
        <v>T85</v>
      </c>
      <c r="C86" t="str">
        <f ca="1">IFERROR(__xludf.DUMMYFUNCTION("""COMPUTED_VALUE"""),"Sebastian Cappelen")</f>
        <v>Sebastian Cappelen</v>
      </c>
      <c r="D86">
        <f ca="1">IFERROR(__xludf.DUMMYFUNCTION("""COMPUTED_VALUE"""),8)</f>
        <v>8</v>
      </c>
      <c r="E86">
        <f ca="1">IFERROR(__xludf.DUMMYFUNCTION("""COMPUTED_VALUE"""),60.71)</f>
        <v>60.71</v>
      </c>
      <c r="F86">
        <f ca="1">IFERROR(__xludf.DUMMYFUNCTION("""COMPUTED_VALUE"""),68)</f>
        <v>68</v>
      </c>
      <c r="G86">
        <f ca="1">IFERROR(__xludf.DUMMYFUNCTION("""COMPUTED_VALUE"""),112)</f>
        <v>112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IFERROR(__xludf.DUMMYFUNCTION("""COMPUTED_VALUE"""),83)</f>
        <v>83</v>
      </c>
      <c r="C87" t="str">
        <f ca="1">IFERROR(__xludf.DUMMYFUNCTION("""COMPUTED_VALUE"""),"Tom Hoge")</f>
        <v>Tom Hoge</v>
      </c>
      <c r="D87">
        <f ca="1">IFERROR(__xludf.DUMMYFUNCTION("""COMPUTED_VALUE"""),22)</f>
        <v>22</v>
      </c>
      <c r="E87">
        <f ca="1">IFERROR(__xludf.DUMMYFUNCTION("""COMPUTED_VALUE"""),60.6)</f>
        <v>60.6</v>
      </c>
      <c r="F87">
        <f ca="1">IFERROR(__xludf.DUMMYFUNCTION("""COMPUTED_VALUE"""),183)</f>
        <v>183</v>
      </c>
      <c r="G87">
        <f ca="1">IFERROR(__xludf.DUMMYFUNCTION("""COMPUTED_VALUE"""),302)</f>
        <v>302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IFERROR(__xludf.DUMMYFUNCTION("""COMPUTED_VALUE"""),89)</f>
        <v>89</v>
      </c>
      <c r="C88" t="str">
        <f ca="1">IFERROR(__xludf.DUMMYFUNCTION("""COMPUTED_VALUE"""),"Adam Hadwin")</f>
        <v>Adam Hadwin</v>
      </c>
      <c r="D88">
        <f ca="1">IFERROR(__xludf.DUMMYFUNCTION("""COMPUTED_VALUE"""),16)</f>
        <v>16</v>
      </c>
      <c r="E88">
        <f ca="1">IFERROR(__xludf.DUMMYFUNCTION("""COMPUTED_VALUE"""),60.45)</f>
        <v>60.45</v>
      </c>
      <c r="F88">
        <f ca="1">IFERROR(__xludf.DUMMYFUNCTION("""COMPUTED_VALUE"""),133)</f>
        <v>133</v>
      </c>
      <c r="G88">
        <f ca="1">IFERROR(__xludf.DUMMYFUNCTION("""COMPUTED_VALUE"""),220)</f>
        <v>220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IFERROR(__xludf.DUMMYFUNCTION("""COMPUTED_VALUE"""),79)</f>
        <v>79</v>
      </c>
      <c r="C89" t="str">
        <f ca="1">IFERROR(__xludf.DUMMYFUNCTION("""COMPUTED_VALUE"""),"Kelly Kraft")</f>
        <v>Kelly Kraft</v>
      </c>
      <c r="D89">
        <f ca="1">IFERROR(__xludf.DUMMYFUNCTION("""COMPUTED_VALUE"""),14)</f>
        <v>14</v>
      </c>
      <c r="E89">
        <f ca="1">IFERROR(__xludf.DUMMYFUNCTION("""COMPUTED_VALUE"""),60.31)</f>
        <v>60.31</v>
      </c>
      <c r="F89">
        <f ca="1">IFERROR(__xludf.DUMMYFUNCTION("""COMPUTED_VALUE"""),117)</f>
        <v>117</v>
      </c>
      <c r="G89">
        <f ca="1">IFERROR(__xludf.DUMMYFUNCTION("""COMPUTED_VALUE"""),194)</f>
        <v>194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IFERROR(__xludf.DUMMYFUNCTION("""COMPUTED_VALUE"""),74)</f>
        <v>74</v>
      </c>
      <c r="C90" t="str">
        <f ca="1">IFERROR(__xludf.DUMMYFUNCTION("""COMPUTED_VALUE"""),"Carlos Ortiz")</f>
        <v>Carlos Ortiz</v>
      </c>
      <c r="D90">
        <f ca="1">IFERROR(__xludf.DUMMYFUNCTION("""COMPUTED_VALUE"""),20)</f>
        <v>20</v>
      </c>
      <c r="E90">
        <f ca="1">IFERROR(__xludf.DUMMYFUNCTION("""COMPUTED_VALUE"""),60.29)</f>
        <v>60.29</v>
      </c>
      <c r="F90">
        <f ca="1">IFERROR(__xludf.DUMMYFUNCTION("""COMPUTED_VALUE"""),164)</f>
        <v>164</v>
      </c>
      <c r="G90">
        <f ca="1">IFERROR(__xludf.DUMMYFUNCTION("""COMPUTED_VALUE"""),272)</f>
        <v>272</v>
      </c>
    </row>
    <row r="91" spans="1:7" ht="12.75">
      <c r="A91">
        <f ca="1">IFERROR(__xludf.DUMMYFUNCTION("""COMPUTED_VALUE"""),90)</f>
        <v>90</v>
      </c>
      <c r="B91" t="str">
        <f ca="1">IFERROR(__xludf.DUMMYFUNCTION("""COMPUTED_VALUE"""),"T90")</f>
        <v>T90</v>
      </c>
      <c r="C91" t="str">
        <f ca="1">IFERROR(__xludf.DUMMYFUNCTION("""COMPUTED_VALUE"""),"Shaun Norris")</f>
        <v>Shaun Norris</v>
      </c>
      <c r="D91">
        <f ca="1">IFERROR(__xludf.DUMMYFUNCTION("""COMPUTED_VALUE"""),6)</f>
        <v>6</v>
      </c>
      <c r="E91">
        <f ca="1">IFERROR(__xludf.DUMMYFUNCTION("""COMPUTED_VALUE"""),60)</f>
        <v>60</v>
      </c>
      <c r="F91">
        <f ca="1">IFERROR(__xludf.DUMMYFUNCTION("""COMPUTED_VALUE"""),48)</f>
        <v>48</v>
      </c>
      <c r="G91">
        <f ca="1">IFERROR(__xludf.DUMMYFUNCTION("""COMPUTED_VALUE"""),80)</f>
        <v>80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IFERROR(__xludf.DUMMYFUNCTION("""COMPUTED_VALUE"""),93)</f>
        <v>93</v>
      </c>
      <c r="C92" t="str">
        <f ca="1">IFERROR(__xludf.DUMMYFUNCTION("""COMPUTED_VALUE"""),"Harry Higgs")</f>
        <v>Harry Higgs</v>
      </c>
      <c r="D92">
        <f ca="1">IFERROR(__xludf.DUMMYFUNCTION("""COMPUTED_VALUE"""),14)</f>
        <v>14</v>
      </c>
      <c r="E92">
        <f ca="1">IFERROR(__xludf.DUMMYFUNCTION("""COMPUTED_VALUE"""),59.9)</f>
        <v>59.9</v>
      </c>
      <c r="F92">
        <f ca="1">IFERROR(__xludf.DUMMYFUNCTION("""COMPUTED_VALUE"""),115)</f>
        <v>115</v>
      </c>
      <c r="G92">
        <f ca="1">IFERROR(__xludf.DUMMYFUNCTION("""COMPUTED_VALUE"""),192)</f>
        <v>192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IFERROR(__xludf.DUMMYFUNCTION("""COMPUTED_VALUE"""),130)</f>
        <v>130</v>
      </c>
      <c r="C93" t="str">
        <f ca="1">IFERROR(__xludf.DUMMYFUNCTION("""COMPUTED_VALUE"""),"Hideki Matsuyama")</f>
        <v>Hideki Matsuyama</v>
      </c>
      <c r="D93">
        <f ca="1">IFERROR(__xludf.DUMMYFUNCTION("""COMPUTED_VALUE"""),18)</f>
        <v>18</v>
      </c>
      <c r="E93">
        <f ca="1">IFERROR(__xludf.DUMMYFUNCTION("""COMPUTED_VALUE"""),59.84)</f>
        <v>59.84</v>
      </c>
      <c r="F93">
        <f ca="1">IFERROR(__xludf.DUMMYFUNCTION("""COMPUTED_VALUE"""),146)</f>
        <v>146</v>
      </c>
      <c r="G93">
        <f ca="1">IFERROR(__xludf.DUMMYFUNCTION("""COMPUTED_VALUE"""),244)</f>
        <v>244</v>
      </c>
    </row>
    <row r="94" spans="1:7" ht="12.75">
      <c r="A94">
        <f ca="1">IFERROR(__xludf.DUMMYFUNCTION("""COMPUTED_VALUE"""),93)</f>
        <v>93</v>
      </c>
      <c r="B94" t="str">
        <f ca="1">IFERROR(__xludf.DUMMYFUNCTION("""COMPUTED_VALUE"""),"T90")</f>
        <v>T90</v>
      </c>
      <c r="C94" t="str">
        <f ca="1">IFERROR(__xludf.DUMMYFUNCTION("""COMPUTED_VALUE"""),"Emiliano Grillo")</f>
        <v>Emiliano Grillo</v>
      </c>
      <c r="D94">
        <f ca="1">IFERROR(__xludf.DUMMYFUNCTION("""COMPUTED_VALUE"""),22)</f>
        <v>22</v>
      </c>
      <c r="E94">
        <f ca="1">IFERROR(__xludf.DUMMYFUNCTION("""COMPUTED_VALUE"""),59.8)</f>
        <v>59.8</v>
      </c>
      <c r="F94">
        <f ca="1">IFERROR(__xludf.DUMMYFUNCTION("""COMPUTED_VALUE"""),183)</f>
        <v>183</v>
      </c>
      <c r="G94">
        <f ca="1">IFERROR(__xludf.DUMMYFUNCTION("""COMPUTED_VALUE"""),306)</f>
        <v>306</v>
      </c>
    </row>
    <row r="95" spans="1:7" ht="12.75">
      <c r="A95" t="str">
        <f ca="1">IFERROR(__xludf.DUMMYFUNCTION("""COMPUTED_VALUE"""),"T94")</f>
        <v>T94</v>
      </c>
      <c r="B95">
        <f ca="1">IFERROR(__xludf.DUMMYFUNCTION("""COMPUTED_VALUE"""),94)</f>
        <v>94</v>
      </c>
      <c r="C95" t="str">
        <f ca="1">IFERROR(__xludf.DUMMYFUNCTION("""COMPUTED_VALUE"""),"Rory McIlroy")</f>
        <v>Rory McIlroy</v>
      </c>
      <c r="D95">
        <f ca="1">IFERROR(__xludf.DUMMYFUNCTION("""COMPUTED_VALUE"""),12)</f>
        <v>12</v>
      </c>
      <c r="E95">
        <f ca="1">IFERROR(__xludf.DUMMYFUNCTION("""COMPUTED_VALUE"""),59.76)</f>
        <v>59.76</v>
      </c>
      <c r="F95">
        <f ca="1">IFERROR(__xludf.DUMMYFUNCTION("""COMPUTED_VALUE"""),98)</f>
        <v>98</v>
      </c>
      <c r="G95">
        <f ca="1">IFERROR(__xludf.DUMMYFUNCTION("""COMPUTED_VALUE"""),164)</f>
        <v>164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IFERROR(__xludf.DUMMYFUNCTION("""COMPUTED_VALUE"""),"T90")</f>
        <v>T90</v>
      </c>
      <c r="C96" t="str">
        <f ca="1">IFERROR(__xludf.DUMMYFUNCTION("""COMPUTED_VALUE"""),"Kevin Streelman")</f>
        <v>Kevin Streelman</v>
      </c>
      <c r="D96">
        <f ca="1">IFERROR(__xludf.DUMMYFUNCTION("""COMPUTED_VALUE"""),18)</f>
        <v>18</v>
      </c>
      <c r="E96">
        <f ca="1">IFERROR(__xludf.DUMMYFUNCTION("""COMPUTED_VALUE"""),59.76)</f>
        <v>59.76</v>
      </c>
      <c r="F96">
        <f ca="1">IFERROR(__xludf.DUMMYFUNCTION("""COMPUTED_VALUE"""),147)</f>
        <v>147</v>
      </c>
      <c r="G96">
        <f ca="1">IFERROR(__xludf.DUMMYFUNCTION("""COMPUTED_VALUE"""),246)</f>
        <v>246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IFERROR(__xludf.DUMMYFUNCTION("""COMPUTED_VALUE"""),80)</f>
        <v>80</v>
      </c>
      <c r="C97" t="str">
        <f ca="1">IFERROR(__xludf.DUMMYFUNCTION("""COMPUTED_VALUE"""),"Scott Piercy")</f>
        <v>Scott Piercy</v>
      </c>
      <c r="D97">
        <f ca="1">IFERROR(__xludf.DUMMYFUNCTION("""COMPUTED_VALUE"""),18)</f>
        <v>18</v>
      </c>
      <c r="E97">
        <f ca="1">IFERROR(__xludf.DUMMYFUNCTION("""COMPUTED_VALUE"""),59.68)</f>
        <v>59.68</v>
      </c>
      <c r="F97">
        <f ca="1">IFERROR(__xludf.DUMMYFUNCTION("""COMPUTED_VALUE"""),148)</f>
        <v>148</v>
      </c>
      <c r="G97">
        <f ca="1">IFERROR(__xludf.DUMMYFUNCTION("""COMPUTED_VALUE"""),248)</f>
        <v>248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IFERROR(__xludf.DUMMYFUNCTION("""COMPUTED_VALUE"""),96)</f>
        <v>96</v>
      </c>
      <c r="C98" t="str">
        <f ca="1">IFERROR(__xludf.DUMMYFUNCTION("""COMPUTED_VALUE"""),"Wes Roach")</f>
        <v>Wes Roach</v>
      </c>
      <c r="D98">
        <f ca="1">IFERROR(__xludf.DUMMYFUNCTION("""COMPUTED_VALUE"""),6)</f>
        <v>6</v>
      </c>
      <c r="E98">
        <f ca="1">IFERROR(__xludf.DUMMYFUNCTION("""COMPUTED_VALUE"""),59.52)</f>
        <v>59.52</v>
      </c>
      <c r="F98">
        <f ca="1">IFERROR(__xludf.DUMMYFUNCTION("""COMPUTED_VALUE"""),50)</f>
        <v>50</v>
      </c>
      <c r="G98">
        <f ca="1">IFERROR(__xludf.DUMMYFUNCTION("""COMPUTED_VALUE"""),84)</f>
        <v>84</v>
      </c>
    </row>
    <row r="99" spans="1:7" ht="12.75">
      <c r="A99">
        <f ca="1">IFERROR(__xludf.DUMMYFUNCTION("""COMPUTED_VALUE"""),98)</f>
        <v>98</v>
      </c>
      <c r="B99" t="str">
        <f ca="1">IFERROR(__xludf.DUMMYFUNCTION("""COMPUTED_VALUE"""),"T85")</f>
        <v>T85</v>
      </c>
      <c r="C99" t="str">
        <f ca="1">IFERROR(__xludf.DUMMYFUNCTION("""COMPUTED_VALUE"""),"Kyoung-Hoon Lee")</f>
        <v>Kyoung-Hoon Lee</v>
      </c>
      <c r="D99">
        <f ca="1">IFERROR(__xludf.DUMMYFUNCTION("""COMPUTED_VALUE"""),20)</f>
        <v>20</v>
      </c>
      <c r="E99">
        <f ca="1">IFERROR(__xludf.DUMMYFUNCTION("""COMPUTED_VALUE"""),59.35)</f>
        <v>59.35</v>
      </c>
      <c r="F99">
        <f ca="1">IFERROR(__xludf.DUMMYFUNCTION("""COMPUTED_VALUE"""),165)</f>
        <v>165</v>
      </c>
      <c r="G99">
        <f ca="1">IFERROR(__xludf.DUMMYFUNCTION("""COMPUTED_VALUE"""),278)</f>
        <v>278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IFERROR(__xludf.DUMMYFUNCTION("""COMPUTED_VALUE"""),"T98")</f>
        <v>T98</v>
      </c>
      <c r="C100" t="str">
        <f ca="1">IFERROR(__xludf.DUMMYFUNCTION("""COMPUTED_VALUE"""),"Peter Malnati")</f>
        <v>Peter Malnati</v>
      </c>
      <c r="D100">
        <f ca="1">IFERROR(__xludf.DUMMYFUNCTION("""COMPUTED_VALUE"""),18)</f>
        <v>18</v>
      </c>
      <c r="E100">
        <f ca="1">IFERROR(__xludf.DUMMYFUNCTION("""COMPUTED_VALUE"""),59.13)</f>
        <v>59.13</v>
      </c>
      <c r="F100">
        <f ca="1">IFERROR(__xludf.DUMMYFUNCTION("""COMPUTED_VALUE"""),149)</f>
        <v>149</v>
      </c>
      <c r="G100">
        <f ca="1">IFERROR(__xludf.DUMMYFUNCTION("""COMPUTED_VALUE"""),252)</f>
        <v>252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IFERROR(__xludf.DUMMYFUNCTION("""COMPUTED_VALUE"""),100)</f>
        <v>100</v>
      </c>
      <c r="C101" t="str">
        <f ca="1">IFERROR(__xludf.DUMMYFUNCTION("""COMPUTED_VALUE"""),"Sebastián Muñoz")</f>
        <v>Sebastián Muñoz</v>
      </c>
      <c r="D101">
        <f ca="1">IFERROR(__xludf.DUMMYFUNCTION("""COMPUTED_VALUE"""),20)</f>
        <v>20</v>
      </c>
      <c r="E101">
        <f ca="1">IFERROR(__xludf.DUMMYFUNCTION("""COMPUTED_VALUE"""),59.06)</f>
        <v>59.06</v>
      </c>
      <c r="F101">
        <f ca="1">IFERROR(__xludf.DUMMYFUNCTION("""COMPUTED_VALUE"""),163)</f>
        <v>163</v>
      </c>
      <c r="G101">
        <f ca="1">IFERROR(__xludf.DUMMYFUNCTION("""COMPUTED_VALUE"""),276)</f>
        <v>276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IFERROR(__xludf.DUMMYFUNCTION("""COMPUTED_VALUE"""),"T101")</f>
        <v>T101</v>
      </c>
      <c r="C102" t="str">
        <f ca="1">IFERROR(__xludf.DUMMYFUNCTION("""COMPUTED_VALUE"""),"Jeongwoo Ham")</f>
        <v>Jeongwoo Ham</v>
      </c>
      <c r="D102">
        <f ca="1">IFERROR(__xludf.DUMMYFUNCTION("""COMPUTED_VALUE"""),4)</f>
        <v>4</v>
      </c>
      <c r="E102">
        <f ca="1">IFERROR(__xludf.DUMMYFUNCTION("""COMPUTED_VALUE"""),58.93)</f>
        <v>58.93</v>
      </c>
      <c r="F102">
        <f ca="1">IFERROR(__xludf.DUMMYFUNCTION("""COMPUTED_VALUE"""),33)</f>
        <v>33</v>
      </c>
      <c r="G102">
        <f ca="1">IFERROR(__xludf.DUMMYFUNCTION("""COMPUTED_VALUE"""),56)</f>
        <v>56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IFERROR(__xludf.DUMMYFUNCTION("""COMPUTED_VALUE"""),"T101")</f>
        <v>T101</v>
      </c>
      <c r="C103" t="str">
        <f ca="1">IFERROR(__xludf.DUMMYFUNCTION("""COMPUTED_VALUE"""),"Thomas Detry")</f>
        <v>Thomas Detry</v>
      </c>
      <c r="D103">
        <f ca="1">IFERROR(__xludf.DUMMYFUNCTION("""COMPUTED_VALUE"""),8)</f>
        <v>8</v>
      </c>
      <c r="E103">
        <f ca="1">IFERROR(__xludf.DUMMYFUNCTION("""COMPUTED_VALUE"""),58.93)</f>
        <v>58.93</v>
      </c>
      <c r="F103">
        <f ca="1">IFERROR(__xludf.DUMMYFUNCTION("""COMPUTED_VALUE"""),66)</f>
        <v>66</v>
      </c>
      <c r="G103">
        <f ca="1">IFERROR(__xludf.DUMMYFUNCTION("""COMPUTED_VALUE"""),112)</f>
        <v>112</v>
      </c>
    </row>
    <row r="104" spans="1:7" ht="12.75">
      <c r="A104" t="str">
        <f ca="1">IFERROR(__xludf.DUMMYFUNCTION("""COMPUTED_VALUE"""),"T101")</f>
        <v>T101</v>
      </c>
      <c r="B104" t="str">
        <f ca="1">IFERROR(__xludf.DUMMYFUNCTION("""COMPUTED_VALUE"""),"T101")</f>
        <v>T101</v>
      </c>
      <c r="C104" t="str">
        <f ca="1">IFERROR(__xludf.DUMMYFUNCTION("""COMPUTED_VALUE"""),"Brian Gay")</f>
        <v>Brian Gay</v>
      </c>
      <c r="D104">
        <f ca="1">IFERROR(__xludf.DUMMYFUNCTION("""COMPUTED_VALUE"""),8)</f>
        <v>8</v>
      </c>
      <c r="E104">
        <f ca="1">IFERROR(__xludf.DUMMYFUNCTION("""COMPUTED_VALUE"""),58.93)</f>
        <v>58.93</v>
      </c>
      <c r="F104">
        <f ca="1">IFERROR(__xludf.DUMMYFUNCTION("""COMPUTED_VALUE"""),66)</f>
        <v>66</v>
      </c>
      <c r="G104">
        <f ca="1">IFERROR(__xludf.DUMMYFUNCTION("""COMPUTED_VALUE"""),112)</f>
        <v>112</v>
      </c>
    </row>
    <row r="105" spans="1:7" ht="12.75">
      <c r="A105" t="str">
        <f ca="1">IFERROR(__xludf.DUMMYFUNCTION("""COMPUTED_VALUE"""),"T101")</f>
        <v>T101</v>
      </c>
      <c r="B105" t="str">
        <f ca="1">IFERROR(__xludf.DUMMYFUNCTION("""COMPUTED_VALUE"""),"T101")</f>
        <v>T101</v>
      </c>
      <c r="C105" t="str">
        <f ca="1">IFERROR(__xludf.DUMMYFUNCTION("""COMPUTED_VALUE"""),"Fred Funk")</f>
        <v>Fred Funk</v>
      </c>
      <c r="D105">
        <f ca="1">IFERROR(__xludf.DUMMYFUNCTION("""COMPUTED_VALUE"""),4)</f>
        <v>4</v>
      </c>
      <c r="E105">
        <f ca="1">IFERROR(__xludf.DUMMYFUNCTION("""COMPUTED_VALUE"""),58.93)</f>
        <v>58.93</v>
      </c>
      <c r="F105">
        <f ca="1">IFERROR(__xludf.DUMMYFUNCTION("""COMPUTED_VALUE"""),33)</f>
        <v>33</v>
      </c>
      <c r="G105">
        <f ca="1">IFERROR(__xludf.DUMMYFUNCTION("""COMPUTED_VALUE"""),56)</f>
        <v>56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IFERROR(__xludf.DUMMYFUNCTION("""COMPUTED_VALUE"""),"T110")</f>
        <v>T110</v>
      </c>
      <c r="C106" t="str">
        <f ca="1">IFERROR(__xludf.DUMMYFUNCTION("""COMPUTED_VALUE"""),"Rickie Fowler")</f>
        <v>Rickie Fowler</v>
      </c>
      <c r="D106">
        <f ca="1">IFERROR(__xludf.DUMMYFUNCTION("""COMPUTED_VALUE"""),14)</f>
        <v>14</v>
      </c>
      <c r="E106">
        <f ca="1">IFERROR(__xludf.DUMMYFUNCTION("""COMPUTED_VALUE"""),58.85)</f>
        <v>58.85</v>
      </c>
      <c r="F106">
        <f ca="1">IFERROR(__xludf.DUMMYFUNCTION("""COMPUTED_VALUE"""),113)</f>
        <v>113</v>
      </c>
      <c r="G106">
        <f ca="1">IFERROR(__xludf.DUMMYFUNCTION("""COMPUTED_VALUE"""),192)</f>
        <v>192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IFERROR(__xludf.DUMMYFUNCTION("""COMPUTED_VALUE"""),"T131")</f>
        <v>T131</v>
      </c>
      <c r="C107" t="str">
        <f ca="1">IFERROR(__xludf.DUMMYFUNCTION("""COMPUTED_VALUE"""),"Chris Kirk")</f>
        <v>Chris Kirk</v>
      </c>
      <c r="D107">
        <f ca="1">IFERROR(__xludf.DUMMYFUNCTION("""COMPUTED_VALUE"""),10)</f>
        <v>10</v>
      </c>
      <c r="E107">
        <f ca="1">IFERROR(__xludf.DUMMYFUNCTION("""COMPUTED_VALUE"""),58.82)</f>
        <v>58.82</v>
      </c>
      <c r="F107">
        <f ca="1">IFERROR(__xludf.DUMMYFUNCTION("""COMPUTED_VALUE"""),80)</f>
        <v>80</v>
      </c>
      <c r="G107">
        <f ca="1">IFERROR(__xludf.DUMMYFUNCTION("""COMPUTED_VALUE"""),136)</f>
        <v>136</v>
      </c>
    </row>
    <row r="108" spans="1:7" ht="12.75">
      <c r="A108">
        <f ca="1">IFERROR(__xludf.DUMMYFUNCTION("""COMPUTED_VALUE"""),107)</f>
        <v>107</v>
      </c>
      <c r="B108" t="str">
        <f ca="1">IFERROR(__xludf.DUMMYFUNCTION("""COMPUTED_VALUE"""),"T101")</f>
        <v>T101</v>
      </c>
      <c r="C108" t="str">
        <f ca="1">IFERROR(__xludf.DUMMYFUNCTION("""COMPUTED_VALUE"""),"Stewart Cink")</f>
        <v>Stewart Cink</v>
      </c>
      <c r="D108">
        <f ca="1">IFERROR(__xludf.DUMMYFUNCTION("""COMPUTED_VALUE"""),18)</f>
        <v>18</v>
      </c>
      <c r="E108">
        <f ca="1">IFERROR(__xludf.DUMMYFUNCTION("""COMPUTED_VALUE"""),58.8)</f>
        <v>58.8</v>
      </c>
      <c r="F108">
        <f ca="1">IFERROR(__xludf.DUMMYFUNCTION("""COMPUTED_VALUE"""),147)</f>
        <v>147</v>
      </c>
      <c r="G108">
        <f ca="1">IFERROR(__xludf.DUMMYFUNCTION("""COMPUTED_VALUE"""),250)</f>
        <v>250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IFERROR(__xludf.DUMMYFUNCTION("""COMPUTED_VALUE"""),"T101")</f>
        <v>T101</v>
      </c>
      <c r="C109" t="str">
        <f ca="1">IFERROR(__xludf.DUMMYFUNCTION("""COMPUTED_VALUE"""),"Zach Johnson")</f>
        <v>Zach Johnson</v>
      </c>
      <c r="D109">
        <f ca="1">IFERROR(__xludf.DUMMYFUNCTION("""COMPUTED_VALUE"""),16)</f>
        <v>16</v>
      </c>
      <c r="E109">
        <f ca="1">IFERROR(__xludf.DUMMYFUNCTION("""COMPUTED_VALUE"""),58.64)</f>
        <v>58.64</v>
      </c>
      <c r="F109">
        <f ca="1">IFERROR(__xludf.DUMMYFUNCTION("""COMPUTED_VALUE"""),129)</f>
        <v>129</v>
      </c>
      <c r="G109">
        <f ca="1">IFERROR(__xludf.DUMMYFUNCTION("""COMPUTED_VALUE"""),220)</f>
        <v>220</v>
      </c>
    </row>
    <row r="110" spans="1:7" ht="12.75">
      <c r="A110">
        <f ca="1">IFERROR(__xludf.DUMMYFUNCTION("""COMPUTED_VALUE"""),109)</f>
        <v>109</v>
      </c>
      <c r="B110" t="str">
        <f ca="1">IFERROR(__xludf.DUMMYFUNCTION("""COMPUTED_VALUE"""),"T113")</f>
        <v>T113</v>
      </c>
      <c r="C110" t="str">
        <f ca="1">IFERROR(__xludf.DUMMYFUNCTION("""COMPUTED_VALUE"""),"Justin Thomas")</f>
        <v>Justin Thomas</v>
      </c>
      <c r="D110">
        <f ca="1">IFERROR(__xludf.DUMMYFUNCTION("""COMPUTED_VALUE"""),12)</f>
        <v>12</v>
      </c>
      <c r="E110">
        <f ca="1">IFERROR(__xludf.DUMMYFUNCTION("""COMPUTED_VALUE"""),58.54)</f>
        <v>58.54</v>
      </c>
      <c r="F110">
        <f ca="1">IFERROR(__xludf.DUMMYFUNCTION("""COMPUTED_VALUE"""),96)</f>
        <v>96</v>
      </c>
      <c r="G110">
        <f ca="1">IFERROR(__xludf.DUMMYFUNCTION("""COMPUTED_VALUE"""),164)</f>
        <v>164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IFERROR(__xludf.DUMMYFUNCTION("""COMPUTED_VALUE"""),"T101")</f>
        <v>T101</v>
      </c>
      <c r="C111" t="str">
        <f ca="1">IFERROR(__xludf.DUMMYFUNCTION("""COMPUTED_VALUE"""),"Hudson Swafford")</f>
        <v>Hudson Swafford</v>
      </c>
      <c r="D111">
        <f ca="1">IFERROR(__xludf.DUMMYFUNCTION("""COMPUTED_VALUE"""),18)</f>
        <v>18</v>
      </c>
      <c r="E111">
        <f ca="1">IFERROR(__xludf.DUMMYFUNCTION("""COMPUTED_VALUE"""),58.4)</f>
        <v>58.4</v>
      </c>
      <c r="F111">
        <f ca="1">IFERROR(__xludf.DUMMYFUNCTION("""COMPUTED_VALUE"""),146)</f>
        <v>146</v>
      </c>
      <c r="G111">
        <f ca="1">IFERROR(__xludf.DUMMYFUNCTION("""COMPUTED_VALUE"""),250)</f>
        <v>250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IFERROR(__xludf.DUMMYFUNCTION("""COMPUTED_VALUE"""),120)</f>
        <v>120</v>
      </c>
      <c r="C112" t="str">
        <f ca="1">IFERROR(__xludf.DUMMYFUNCTION("""COMPUTED_VALUE"""),"Viktor Hovland")</f>
        <v>Viktor Hovland</v>
      </c>
      <c r="D112">
        <f ca="1">IFERROR(__xludf.DUMMYFUNCTION("""COMPUTED_VALUE"""),16)</f>
        <v>16</v>
      </c>
      <c r="E112">
        <f ca="1">IFERROR(__xludf.DUMMYFUNCTION("""COMPUTED_VALUE"""),58.33)</f>
        <v>58.33</v>
      </c>
      <c r="F112">
        <f ca="1">IFERROR(__xludf.DUMMYFUNCTION("""COMPUTED_VALUE"""),126)</f>
        <v>126</v>
      </c>
      <c r="G112">
        <f ca="1">IFERROR(__xludf.DUMMYFUNCTION("""COMPUTED_VALUE"""),216)</f>
        <v>216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IFERROR(__xludf.DUMMYFUNCTION("""COMPUTED_VALUE"""),"T131")</f>
        <v>T131</v>
      </c>
      <c r="C113" t="str">
        <f ca="1">IFERROR(__xludf.DUMMYFUNCTION("""COMPUTED_VALUE"""),"Graeme McDowell")</f>
        <v>Graeme McDowell</v>
      </c>
      <c r="D113">
        <f ca="1">IFERROR(__xludf.DUMMYFUNCTION("""COMPUTED_VALUE"""),8)</f>
        <v>8</v>
      </c>
      <c r="E113">
        <f ca="1">IFERROR(__xludf.DUMMYFUNCTION("""COMPUTED_VALUE"""),58.33)</f>
        <v>58.33</v>
      </c>
      <c r="F113">
        <f ca="1">IFERROR(__xludf.DUMMYFUNCTION("""COMPUTED_VALUE"""),63)</f>
        <v>63</v>
      </c>
      <c r="G113">
        <f ca="1">IFERROR(__xludf.DUMMYFUNCTION("""COMPUTED_VALUE"""),108)</f>
        <v>108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IFERROR(__xludf.DUMMYFUNCTION("""COMPUTED_VALUE"""),"T115")</f>
        <v>T115</v>
      </c>
      <c r="C114" t="str">
        <f ca="1">IFERROR(__xludf.DUMMYFUNCTION("""COMPUTED_VALUE"""),"Tommy Gainey")</f>
        <v>Tommy Gainey</v>
      </c>
      <c r="D114">
        <f ca="1">IFERROR(__xludf.DUMMYFUNCTION("""COMPUTED_VALUE"""),6)</f>
        <v>6</v>
      </c>
      <c r="E114">
        <f ca="1">IFERROR(__xludf.DUMMYFUNCTION("""COMPUTED_VALUE"""),58.33)</f>
        <v>58.33</v>
      </c>
      <c r="F114">
        <f ca="1">IFERROR(__xludf.DUMMYFUNCTION("""COMPUTED_VALUE"""),49)</f>
        <v>49</v>
      </c>
      <c r="G114">
        <f ca="1">IFERROR(__xludf.DUMMYFUNCTION("""COMPUTED_VALUE"""),84)</f>
        <v>84</v>
      </c>
    </row>
    <row r="115" spans="1:7" ht="12.75">
      <c r="A115" t="str">
        <f ca="1">IFERROR(__xludf.DUMMYFUNCTION("""COMPUTED_VALUE"""),"T111")</f>
        <v>T111</v>
      </c>
      <c r="B115">
        <f ca="1">IFERROR(__xludf.DUMMYFUNCTION("""COMPUTED_VALUE"""),97)</f>
        <v>97</v>
      </c>
      <c r="C115" t="str">
        <f ca="1">IFERROR(__xludf.DUMMYFUNCTION("""COMPUTED_VALUE"""),"C.T. Pan")</f>
        <v>C.T. Pan</v>
      </c>
      <c r="D115">
        <f ca="1">IFERROR(__xludf.DUMMYFUNCTION("""COMPUTED_VALUE"""),20)</f>
        <v>20</v>
      </c>
      <c r="E115">
        <f ca="1">IFERROR(__xludf.DUMMYFUNCTION("""COMPUTED_VALUE"""),58.33)</f>
        <v>58.33</v>
      </c>
      <c r="F115">
        <f ca="1">IFERROR(__xludf.DUMMYFUNCTION("""COMPUTED_VALUE"""),161)</f>
        <v>161</v>
      </c>
      <c r="G115">
        <f ca="1">IFERROR(__xludf.DUMMYFUNCTION("""COMPUTED_VALUE"""),276)</f>
        <v>276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IFERROR(__xludf.DUMMYFUNCTION("""COMPUTED_VALUE"""),"T184")</f>
        <v>T184</v>
      </c>
      <c r="C116" t="str">
        <f ca="1">IFERROR(__xludf.DUMMYFUNCTION("""COMPUTED_VALUE"""),"Bo Hoag")</f>
        <v>Bo Hoag</v>
      </c>
      <c r="D116">
        <f ca="1">IFERROR(__xludf.DUMMYFUNCTION("""COMPUTED_VALUE"""),14)</f>
        <v>14</v>
      </c>
      <c r="E116">
        <f ca="1">IFERROR(__xludf.DUMMYFUNCTION("""COMPUTED_VALUE"""),58.25)</f>
        <v>58.25</v>
      </c>
      <c r="F116">
        <f ca="1">IFERROR(__xludf.DUMMYFUNCTION("""COMPUTED_VALUE"""),113)</f>
        <v>113</v>
      </c>
      <c r="G116">
        <f ca="1">IFERROR(__xludf.DUMMYFUNCTION("""COMPUTED_VALUE"""),194)</f>
        <v>194</v>
      </c>
    </row>
    <row r="117" spans="1:7" ht="12.75">
      <c r="A117">
        <f ca="1">IFERROR(__xludf.DUMMYFUNCTION("""COMPUTED_VALUE"""),116)</f>
        <v>116</v>
      </c>
      <c r="B117" t="str">
        <f ca="1">IFERROR(__xludf.DUMMYFUNCTION("""COMPUTED_VALUE"""),"T115")</f>
        <v>T115</v>
      </c>
      <c r="C117" t="str">
        <f ca="1">IFERROR(__xludf.DUMMYFUNCTION("""COMPUTED_VALUE"""),"Lanto Griffin")</f>
        <v>Lanto Griffin</v>
      </c>
      <c r="D117">
        <f ca="1">IFERROR(__xludf.DUMMYFUNCTION("""COMPUTED_VALUE"""),18)</f>
        <v>18</v>
      </c>
      <c r="E117">
        <f ca="1">IFERROR(__xludf.DUMMYFUNCTION("""COMPUTED_VALUE"""),58.2)</f>
        <v>58.2</v>
      </c>
      <c r="F117">
        <f ca="1">IFERROR(__xludf.DUMMYFUNCTION("""COMPUTED_VALUE"""),142)</f>
        <v>142</v>
      </c>
      <c r="G117">
        <f ca="1">IFERROR(__xludf.DUMMYFUNCTION("""COMPUTED_VALUE"""),244)</f>
        <v>244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IFERROR(__xludf.DUMMYFUNCTION("""COMPUTED_VALUE"""),117)</f>
        <v>117</v>
      </c>
      <c r="C118" t="str">
        <f ca="1">IFERROR(__xludf.DUMMYFUNCTION("""COMPUTED_VALUE"""),"Joaquin Niemann")</f>
        <v>Joaquin Niemann</v>
      </c>
      <c r="D118">
        <f ca="1">IFERROR(__xludf.DUMMYFUNCTION("""COMPUTED_VALUE"""),16)</f>
        <v>16</v>
      </c>
      <c r="E118">
        <f ca="1">IFERROR(__xludf.DUMMYFUNCTION("""COMPUTED_VALUE"""),58.18)</f>
        <v>58.18</v>
      </c>
      <c r="F118">
        <f ca="1">IFERROR(__xludf.DUMMYFUNCTION("""COMPUTED_VALUE"""),128)</f>
        <v>128</v>
      </c>
      <c r="G118">
        <f ca="1">IFERROR(__xludf.DUMMYFUNCTION("""COMPUTED_VALUE"""),220)</f>
        <v>220</v>
      </c>
    </row>
    <row r="119" spans="1:7" ht="12.75">
      <c r="A119" t="str">
        <f ca="1">IFERROR(__xludf.DUMMYFUNCTION("""COMPUTED_VALUE"""),"T118")</f>
        <v>T118</v>
      </c>
      <c r="B119" t="str">
        <f ca="1">IFERROR(__xludf.DUMMYFUNCTION("""COMPUTED_VALUE"""),"T118")</f>
        <v>T118</v>
      </c>
      <c r="C119" t="str">
        <f ca="1">IFERROR(__xludf.DUMMYFUNCTION("""COMPUTED_VALUE"""),"Tyler McCumber")</f>
        <v>Tyler McCumber</v>
      </c>
      <c r="D119">
        <f ca="1">IFERROR(__xludf.DUMMYFUNCTION("""COMPUTED_VALUE"""),14)</f>
        <v>14</v>
      </c>
      <c r="E119">
        <f ca="1">IFERROR(__xludf.DUMMYFUNCTION("""COMPUTED_VALUE"""),58.16)</f>
        <v>58.16</v>
      </c>
      <c r="F119">
        <f ca="1">IFERROR(__xludf.DUMMYFUNCTION("""COMPUTED_VALUE"""),114)</f>
        <v>114</v>
      </c>
      <c r="G119">
        <f ca="1">IFERROR(__xludf.DUMMYFUNCTION("""COMPUTED_VALUE"""),196)</f>
        <v>196</v>
      </c>
    </row>
    <row r="120" spans="1:7" ht="12.75">
      <c r="A120" t="str">
        <f ca="1">IFERROR(__xludf.DUMMYFUNCTION("""COMPUTED_VALUE"""),"T118")</f>
        <v>T118</v>
      </c>
      <c r="B120" t="str">
        <f ca="1">IFERROR(__xludf.DUMMYFUNCTION("""COMPUTED_VALUE"""),"T118")</f>
        <v>T118</v>
      </c>
      <c r="C120" t="str">
        <f ca="1">IFERROR(__xludf.DUMMYFUNCTION("""COMPUTED_VALUE"""),"Doug Ghim")</f>
        <v>Doug Ghim</v>
      </c>
      <c r="D120">
        <f ca="1">IFERROR(__xludf.DUMMYFUNCTION("""COMPUTED_VALUE"""),14)</f>
        <v>14</v>
      </c>
      <c r="E120">
        <f ca="1">IFERROR(__xludf.DUMMYFUNCTION("""COMPUTED_VALUE"""),58.16)</f>
        <v>58.16</v>
      </c>
      <c r="F120">
        <f ca="1">IFERROR(__xludf.DUMMYFUNCTION("""COMPUTED_VALUE"""),114)</f>
        <v>114</v>
      </c>
      <c r="G120">
        <f ca="1">IFERROR(__xludf.DUMMYFUNCTION("""COMPUTED_VALUE"""),196)</f>
        <v>196</v>
      </c>
    </row>
    <row r="121" spans="1:7" ht="12.75">
      <c r="A121">
        <f ca="1">IFERROR(__xludf.DUMMYFUNCTION("""COMPUTED_VALUE"""),120)</f>
        <v>120</v>
      </c>
      <c r="B121" t="str">
        <f ca="1">IFERROR(__xludf.DUMMYFUNCTION("""COMPUTED_VALUE"""),"T131")</f>
        <v>T131</v>
      </c>
      <c r="C121" t="str">
        <f ca="1">IFERROR(__xludf.DUMMYFUNCTION("""COMPUTED_VALUE"""),"Adam Schenk")</f>
        <v>Adam Schenk</v>
      </c>
      <c r="D121">
        <f ca="1">IFERROR(__xludf.DUMMYFUNCTION("""COMPUTED_VALUE"""),22)</f>
        <v>22</v>
      </c>
      <c r="E121">
        <f ca="1">IFERROR(__xludf.DUMMYFUNCTION("""COMPUTED_VALUE"""),57.84)</f>
        <v>57.84</v>
      </c>
      <c r="F121">
        <f ca="1">IFERROR(__xludf.DUMMYFUNCTION("""COMPUTED_VALUE"""),177)</f>
        <v>177</v>
      </c>
      <c r="G121">
        <f ca="1">IFERROR(__xludf.DUMMYFUNCTION("""COMPUTED_VALUE"""),306)</f>
        <v>306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IFERROR(__xludf.DUMMYFUNCTION("""COMPUTED_VALUE"""),"T122")</f>
        <v>T122</v>
      </c>
      <c r="C122" t="str">
        <f ca="1">IFERROR(__xludf.DUMMYFUNCTION("""COMPUTED_VALUE"""),"Robert Streb")</f>
        <v>Robert Streb</v>
      </c>
      <c r="D122">
        <f ca="1">IFERROR(__xludf.DUMMYFUNCTION("""COMPUTED_VALUE"""),12)</f>
        <v>12</v>
      </c>
      <c r="E122">
        <f ca="1">IFERROR(__xludf.DUMMYFUNCTION("""COMPUTED_VALUE"""),57.74)</f>
        <v>57.74</v>
      </c>
      <c r="F122">
        <f ca="1">IFERROR(__xludf.DUMMYFUNCTION("""COMPUTED_VALUE"""),97)</f>
        <v>97</v>
      </c>
      <c r="G122">
        <f ca="1">IFERROR(__xludf.DUMMYFUNCTION("""COMPUTED_VALUE"""),168)</f>
        <v>168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IFERROR(__xludf.DUMMYFUNCTION("""COMPUTED_VALUE"""),"T124")</f>
        <v>T124</v>
      </c>
      <c r="C123" t="str">
        <f ca="1">IFERROR(__xludf.DUMMYFUNCTION("""COMPUTED_VALUE"""),"Patton Kizzire")</f>
        <v>Patton Kizzire</v>
      </c>
      <c r="D123">
        <f ca="1">IFERROR(__xludf.DUMMYFUNCTION("""COMPUTED_VALUE"""),18)</f>
        <v>18</v>
      </c>
      <c r="E123">
        <f ca="1">IFERROR(__xludf.DUMMYFUNCTION("""COMPUTED_VALUE"""),57.66)</f>
        <v>57.66</v>
      </c>
      <c r="F123">
        <f ca="1">IFERROR(__xludf.DUMMYFUNCTION("""COMPUTED_VALUE"""),143)</f>
        <v>143</v>
      </c>
      <c r="G123">
        <f ca="1">IFERROR(__xludf.DUMMYFUNCTION("""COMPUTED_VALUE"""),248)</f>
        <v>248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IFERROR(__xludf.DUMMYFUNCTION("""COMPUTED_VALUE"""),"T124")</f>
        <v>T124</v>
      </c>
      <c r="C124" t="str">
        <f ca="1">IFERROR(__xludf.DUMMYFUNCTION("""COMPUTED_VALUE"""),"Pat Perez")</f>
        <v>Pat Perez</v>
      </c>
      <c r="D124">
        <f ca="1">IFERROR(__xludf.DUMMYFUNCTION("""COMPUTED_VALUE"""),16)</f>
        <v>16</v>
      </c>
      <c r="E124">
        <f ca="1">IFERROR(__xludf.DUMMYFUNCTION("""COMPUTED_VALUE"""),57.66)</f>
        <v>57.66</v>
      </c>
      <c r="F124">
        <f ca="1">IFERROR(__xludf.DUMMYFUNCTION("""COMPUTED_VALUE"""),128)</f>
        <v>128</v>
      </c>
      <c r="G124">
        <f ca="1">IFERROR(__xludf.DUMMYFUNCTION("""COMPUTED_VALUE"""),222)</f>
        <v>222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IFERROR(__xludf.DUMMYFUNCTION("""COMPUTED_VALUE"""),126)</f>
        <v>126</v>
      </c>
      <c r="C125" t="str">
        <f ca="1">IFERROR(__xludf.DUMMYFUNCTION("""COMPUTED_VALUE"""),"Cameron Percy")</f>
        <v>Cameron Percy</v>
      </c>
      <c r="D125">
        <f ca="1">IFERROR(__xludf.DUMMYFUNCTION("""COMPUTED_VALUE"""),16)</f>
        <v>16</v>
      </c>
      <c r="E125">
        <f ca="1">IFERROR(__xludf.DUMMYFUNCTION("""COMPUTED_VALUE"""),57.59)</f>
        <v>57.59</v>
      </c>
      <c r="F125">
        <f ca="1">IFERROR(__xludf.DUMMYFUNCTION("""COMPUTED_VALUE"""),129)</f>
        <v>129</v>
      </c>
      <c r="G125">
        <f ca="1">IFERROR(__xludf.DUMMYFUNCTION("""COMPUTED_VALUE"""),224)</f>
        <v>224</v>
      </c>
    </row>
    <row r="126" spans="1:7" ht="12.75">
      <c r="A126">
        <f ca="1">IFERROR(__xludf.DUMMYFUNCTION("""COMPUTED_VALUE"""),125)</f>
        <v>125</v>
      </c>
      <c r="B126" t="str">
        <f ca="1">IFERROR(__xludf.DUMMYFUNCTION("""COMPUTED_VALUE"""),"T159")</f>
        <v>T159</v>
      </c>
      <c r="C126" t="str">
        <f ca="1">IFERROR(__xludf.DUMMYFUNCTION("""COMPUTED_VALUE"""),"Si Woo Kim")</f>
        <v>Si Woo Kim</v>
      </c>
      <c r="D126">
        <f ca="1">IFERROR(__xludf.DUMMYFUNCTION("""COMPUTED_VALUE"""),20)</f>
        <v>20</v>
      </c>
      <c r="E126">
        <f ca="1">IFERROR(__xludf.DUMMYFUNCTION("""COMPUTED_VALUE"""),57.55)</f>
        <v>57.55</v>
      </c>
      <c r="F126">
        <f ca="1">IFERROR(__xludf.DUMMYFUNCTION("""COMPUTED_VALUE"""),160)</f>
        <v>160</v>
      </c>
      <c r="G126">
        <f ca="1">IFERROR(__xludf.DUMMYFUNCTION("""COMPUTED_VALUE"""),278)</f>
        <v>278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IFERROR(__xludf.DUMMYFUNCTION("""COMPUTED_VALUE"""),127)</f>
        <v>127</v>
      </c>
      <c r="C127" t="str">
        <f ca="1">IFERROR(__xludf.DUMMYFUNCTION("""COMPUTED_VALUE"""),"Chan Kim")</f>
        <v>Chan Kim</v>
      </c>
      <c r="D127">
        <f ca="1">IFERROR(__xludf.DUMMYFUNCTION("""COMPUTED_VALUE"""),6)</f>
        <v>6</v>
      </c>
      <c r="E127">
        <f ca="1">IFERROR(__xludf.DUMMYFUNCTION("""COMPUTED_VALUE"""),57.5)</f>
        <v>57.5</v>
      </c>
      <c r="F127">
        <f ca="1">IFERROR(__xludf.DUMMYFUNCTION("""COMPUTED_VALUE"""),46)</f>
        <v>46</v>
      </c>
      <c r="G127">
        <f ca="1">IFERROR(__xludf.DUMMYFUNCTION("""COMPUTED_VALUE"""),80)</f>
        <v>80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IFERROR(__xludf.DUMMYFUNCTION("""COMPUTED_VALUE"""),"T145")</f>
        <v>T145</v>
      </c>
      <c r="C128" t="str">
        <f ca="1">IFERROR(__xludf.DUMMYFUNCTION("""COMPUTED_VALUE"""),"Danny Lee")</f>
        <v>Danny Lee</v>
      </c>
      <c r="D128">
        <f ca="1">IFERROR(__xludf.DUMMYFUNCTION("""COMPUTED_VALUE"""),15)</f>
        <v>15</v>
      </c>
      <c r="E128">
        <f ca="1">IFERROR(__xludf.DUMMYFUNCTION("""COMPUTED_VALUE"""),57.35)</f>
        <v>57.35</v>
      </c>
      <c r="F128">
        <f ca="1">IFERROR(__xludf.DUMMYFUNCTION("""COMPUTED_VALUE"""),117)</f>
        <v>117</v>
      </c>
      <c r="G128">
        <f ca="1">IFERROR(__xludf.DUMMYFUNCTION("""COMPUTED_VALUE"""),204)</f>
        <v>204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IFERROR(__xludf.DUMMYFUNCTION("""COMPUTED_VALUE"""),"T128")</f>
        <v>T128</v>
      </c>
      <c r="C129" t="str">
        <f ca="1">IFERROR(__xludf.DUMMYFUNCTION("""COMPUTED_VALUE"""),"Billy Horschel")</f>
        <v>Billy Horschel</v>
      </c>
      <c r="D129">
        <f ca="1">IFERROR(__xludf.DUMMYFUNCTION("""COMPUTED_VALUE"""),12)</f>
        <v>12</v>
      </c>
      <c r="E129">
        <f ca="1">IFERROR(__xludf.DUMMYFUNCTION("""COMPUTED_VALUE"""),57.32)</f>
        <v>57.32</v>
      </c>
      <c r="F129">
        <f ca="1">IFERROR(__xludf.DUMMYFUNCTION("""COMPUTED_VALUE"""),94)</f>
        <v>94</v>
      </c>
      <c r="G129">
        <f ca="1">IFERROR(__xludf.DUMMYFUNCTION("""COMPUTED_VALUE"""),164)</f>
        <v>164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IFERROR(__xludf.DUMMYFUNCTION("""COMPUTED_VALUE"""),"T128")</f>
        <v>T128</v>
      </c>
      <c r="C130" t="str">
        <f ca="1">IFERROR(__xludf.DUMMYFUNCTION("""COMPUTED_VALUE"""),"Bubba Watson")</f>
        <v>Bubba Watson</v>
      </c>
      <c r="D130">
        <f ca="1">IFERROR(__xludf.DUMMYFUNCTION("""COMPUTED_VALUE"""),12)</f>
        <v>12</v>
      </c>
      <c r="E130">
        <f ca="1">IFERROR(__xludf.DUMMYFUNCTION("""COMPUTED_VALUE"""),57.32)</f>
        <v>57.32</v>
      </c>
      <c r="F130">
        <f ca="1">IFERROR(__xludf.DUMMYFUNCTION("""COMPUTED_VALUE"""),94)</f>
        <v>94</v>
      </c>
      <c r="G130">
        <f ca="1">IFERROR(__xludf.DUMMYFUNCTION("""COMPUTED_VALUE"""),164)</f>
        <v>164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IFERROR(__xludf.DUMMYFUNCTION("""COMPUTED_VALUE"""),112)</f>
        <v>112</v>
      </c>
      <c r="C131" t="str">
        <f ca="1">IFERROR(__xludf.DUMMYFUNCTION("""COMPUTED_VALUE"""),"Harold Varner III")</f>
        <v>Harold Varner III</v>
      </c>
      <c r="D131">
        <f ca="1">IFERROR(__xludf.DUMMYFUNCTION("""COMPUTED_VALUE"""),14)</f>
        <v>14</v>
      </c>
      <c r="E131">
        <f ca="1">IFERROR(__xludf.DUMMYFUNCTION("""COMPUTED_VALUE"""),57.29)</f>
        <v>57.29</v>
      </c>
      <c r="F131">
        <f ca="1">IFERROR(__xludf.DUMMYFUNCTION("""COMPUTED_VALUE"""),110)</f>
        <v>110</v>
      </c>
      <c r="G131">
        <f ca="1">IFERROR(__xludf.DUMMYFUNCTION("""COMPUTED_VALUE"""),192)</f>
        <v>192</v>
      </c>
    </row>
    <row r="132" spans="1:7" ht="12.75">
      <c r="A132" t="str">
        <f ca="1">IFERROR(__xludf.DUMMYFUNCTION("""COMPUTED_VALUE"""),"T131")</f>
        <v>T131</v>
      </c>
      <c r="B132" t="str">
        <f ca="1">IFERROR(__xludf.DUMMYFUNCTION("""COMPUTED_VALUE"""),"T131")</f>
        <v>T131</v>
      </c>
      <c r="C132" t="str">
        <f ca="1">IFERROR(__xludf.DUMMYFUNCTION("""COMPUTED_VALUE"""),"Josh Teater")</f>
        <v>Josh Teater</v>
      </c>
      <c r="D132">
        <f ca="1">IFERROR(__xludf.DUMMYFUNCTION("""COMPUTED_VALUE"""),6)</f>
        <v>6</v>
      </c>
      <c r="E132">
        <f ca="1">IFERROR(__xludf.DUMMYFUNCTION("""COMPUTED_VALUE"""),57.14)</f>
        <v>57.14</v>
      </c>
      <c r="F132">
        <f ca="1">IFERROR(__xludf.DUMMYFUNCTION("""COMPUTED_VALUE"""),48)</f>
        <v>48</v>
      </c>
      <c r="G132">
        <f ca="1">IFERROR(__xludf.DUMMYFUNCTION("""COMPUTED_VALUE"""),84)</f>
        <v>84</v>
      </c>
    </row>
    <row r="133" spans="1:7" ht="12.75">
      <c r="A133" t="str">
        <f ca="1">IFERROR(__xludf.DUMMYFUNCTION("""COMPUTED_VALUE"""),"T131")</f>
        <v>T131</v>
      </c>
      <c r="B133" t="str">
        <f ca="1">IFERROR(__xludf.DUMMYFUNCTION("""COMPUTED_VALUE"""),"T131")</f>
        <v>T131</v>
      </c>
      <c r="C133" t="str">
        <f ca="1">IFERROR(__xludf.DUMMYFUNCTION("""COMPUTED_VALUE"""),"Akshay Bhatia")</f>
        <v>Akshay Bhatia</v>
      </c>
      <c r="D133">
        <f ca="1">IFERROR(__xludf.DUMMYFUNCTION("""COMPUTED_VALUE"""),6)</f>
        <v>6</v>
      </c>
      <c r="E133">
        <f ca="1">IFERROR(__xludf.DUMMYFUNCTION("""COMPUTED_VALUE"""),57.14)</f>
        <v>57.14</v>
      </c>
      <c r="F133">
        <f ca="1">IFERROR(__xludf.DUMMYFUNCTION("""COMPUTED_VALUE"""),48)</f>
        <v>48</v>
      </c>
      <c r="G133">
        <f ca="1">IFERROR(__xludf.DUMMYFUNCTION("""COMPUTED_VALUE"""),84)</f>
        <v>84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IFERROR(__xludf.DUMMYFUNCTION("""COMPUTED_VALUE"""),"T101")</f>
        <v>T101</v>
      </c>
      <c r="C134" t="str">
        <f ca="1">IFERROR(__xludf.DUMMYFUNCTION("""COMPUTED_VALUE"""),"Kristoffer Ventura")</f>
        <v>Kristoffer Ventura</v>
      </c>
      <c r="D134">
        <f ca="1">IFERROR(__xludf.DUMMYFUNCTION("""COMPUTED_VALUE"""),20)</f>
        <v>20</v>
      </c>
      <c r="E134">
        <f ca="1">IFERROR(__xludf.DUMMYFUNCTION("""COMPUTED_VALUE"""),56.88)</f>
        <v>56.88</v>
      </c>
      <c r="F134">
        <f ca="1">IFERROR(__xludf.DUMMYFUNCTION("""COMPUTED_VALUE"""),157)</f>
        <v>157</v>
      </c>
      <c r="G134">
        <f ca="1">IFERROR(__xludf.DUMMYFUNCTION("""COMPUTED_VALUE"""),276)</f>
        <v>276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IFERROR(__xludf.DUMMYFUNCTION("""COMPUTED_VALUE"""),"T141")</f>
        <v>T141</v>
      </c>
      <c r="C135" t="str">
        <f ca="1">IFERROR(__xludf.DUMMYFUNCTION("""COMPUTED_VALUE"""),"Cameron Smith")</f>
        <v>Cameron Smith</v>
      </c>
      <c r="D135">
        <f ca="1">IFERROR(__xludf.DUMMYFUNCTION("""COMPUTED_VALUE"""),16)</f>
        <v>16</v>
      </c>
      <c r="E135">
        <f ca="1">IFERROR(__xludf.DUMMYFUNCTION("""COMPUTED_VALUE"""),56.82)</f>
        <v>56.82</v>
      </c>
      <c r="F135">
        <f ca="1">IFERROR(__xludf.DUMMYFUNCTION("""COMPUTED_VALUE"""),125)</f>
        <v>125</v>
      </c>
      <c r="G135">
        <f ca="1">IFERROR(__xludf.DUMMYFUNCTION("""COMPUTED_VALUE"""),220)</f>
        <v>220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IFERROR(__xludf.DUMMYFUNCTION("""COMPUTED_VALUE"""),"T141")</f>
        <v>T141</v>
      </c>
      <c r="C136" t="str">
        <f ca="1">IFERROR(__xludf.DUMMYFUNCTION("""COMPUTED_VALUE"""),"Patrick Cantlay")</f>
        <v>Patrick Cantlay</v>
      </c>
      <c r="D136">
        <f ca="1">IFERROR(__xludf.DUMMYFUNCTION("""COMPUTED_VALUE"""),16)</f>
        <v>16</v>
      </c>
      <c r="E136">
        <f ca="1">IFERROR(__xludf.DUMMYFUNCTION("""COMPUTED_VALUE"""),56.82)</f>
        <v>56.82</v>
      </c>
      <c r="F136">
        <f ca="1">IFERROR(__xludf.DUMMYFUNCTION("""COMPUTED_VALUE"""),125)</f>
        <v>125</v>
      </c>
      <c r="G136">
        <f ca="1">IFERROR(__xludf.DUMMYFUNCTION("""COMPUTED_VALUE"""),220)</f>
        <v>220</v>
      </c>
    </row>
    <row r="137" spans="1:7" ht="12.75">
      <c r="A137">
        <f ca="1">IFERROR(__xludf.DUMMYFUNCTION("""COMPUTED_VALUE"""),136)</f>
        <v>136</v>
      </c>
      <c r="B137" t="str">
        <f ca="1">IFERROR(__xludf.DUMMYFUNCTION("""COMPUTED_VALUE"""),"T101")</f>
        <v>T101</v>
      </c>
      <c r="C137" t="str">
        <f ca="1">IFERROR(__xludf.DUMMYFUNCTION("""COMPUTED_VALUE"""),"Graham DeLaet")</f>
        <v>Graham DeLaet</v>
      </c>
      <c r="D137">
        <f ca="1">IFERROR(__xludf.DUMMYFUNCTION("""COMPUTED_VALUE"""),9)</f>
        <v>9</v>
      </c>
      <c r="E137">
        <f ca="1">IFERROR(__xludf.DUMMYFUNCTION("""COMPUTED_VALUE"""),56.8)</f>
        <v>56.8</v>
      </c>
      <c r="F137">
        <f ca="1">IFERROR(__xludf.DUMMYFUNCTION("""COMPUTED_VALUE"""),71)</f>
        <v>71</v>
      </c>
      <c r="G137">
        <f ca="1">IFERROR(__xludf.DUMMYFUNCTION("""COMPUTED_VALUE"""),125)</f>
        <v>125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IFERROR(__xludf.DUMMYFUNCTION("""COMPUTED_VALUE"""),143)</f>
        <v>143</v>
      </c>
      <c r="C138" t="str">
        <f ca="1">IFERROR(__xludf.DUMMYFUNCTION("""COMPUTED_VALUE"""),"Ryan Palmer")</f>
        <v>Ryan Palmer</v>
      </c>
      <c r="D138">
        <f ca="1">IFERROR(__xludf.DUMMYFUNCTION("""COMPUTED_VALUE"""),14)</f>
        <v>14</v>
      </c>
      <c r="E138">
        <f ca="1">IFERROR(__xludf.DUMMYFUNCTION("""COMPUTED_VALUE"""),56.77)</f>
        <v>56.77</v>
      </c>
      <c r="F138">
        <f ca="1">IFERROR(__xludf.DUMMYFUNCTION("""COMPUTED_VALUE"""),109)</f>
        <v>109</v>
      </c>
      <c r="G138">
        <f ca="1">IFERROR(__xludf.DUMMYFUNCTION("""COMPUTED_VALUE"""),192)</f>
        <v>192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IFERROR(__xludf.DUMMYFUNCTION("""COMPUTED_VALUE"""),144)</f>
        <v>144</v>
      </c>
      <c r="C139" t="str">
        <f ca="1">IFERROR(__xludf.DUMMYFUNCTION("""COMPUTED_VALUE"""),"Will Zalatoris")</f>
        <v>Will Zalatoris</v>
      </c>
      <c r="D139">
        <f ca="1">IFERROR(__xludf.DUMMYFUNCTION("""COMPUTED_VALUE"""),18)</f>
        <v>18</v>
      </c>
      <c r="E139">
        <f ca="1">IFERROR(__xludf.DUMMYFUNCTION("""COMPUTED_VALUE"""),56.75)</f>
        <v>56.75</v>
      </c>
      <c r="F139">
        <f ca="1">IFERROR(__xludf.DUMMYFUNCTION("""COMPUTED_VALUE"""),143)</f>
        <v>143</v>
      </c>
      <c r="G139">
        <f ca="1">IFERROR(__xludf.DUMMYFUNCTION("""COMPUTED_VALUE"""),252)</f>
        <v>252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IFERROR(__xludf.DUMMYFUNCTION("""COMPUTED_VALUE"""),147)</f>
        <v>147</v>
      </c>
      <c r="C140" t="str">
        <f ca="1">IFERROR(__xludf.DUMMYFUNCTION("""COMPUTED_VALUE"""),"Cameron Champ")</f>
        <v>Cameron Champ</v>
      </c>
      <c r="D140">
        <f ca="1">IFERROR(__xludf.DUMMYFUNCTION("""COMPUTED_VALUE"""),12)</f>
        <v>12</v>
      </c>
      <c r="E140">
        <f ca="1">IFERROR(__xludf.DUMMYFUNCTION("""COMPUTED_VALUE"""),56.71)</f>
        <v>56.71</v>
      </c>
      <c r="F140">
        <f ca="1">IFERROR(__xludf.DUMMYFUNCTION("""COMPUTED_VALUE"""),93)</f>
        <v>93</v>
      </c>
      <c r="G140">
        <f ca="1">IFERROR(__xludf.DUMMYFUNCTION("""COMPUTED_VALUE"""),164)</f>
        <v>164</v>
      </c>
    </row>
    <row r="141" spans="1:7" ht="12.75">
      <c r="A141">
        <f ca="1">IFERROR(__xludf.DUMMYFUNCTION("""COMPUTED_VALUE"""),140)</f>
        <v>140</v>
      </c>
      <c r="B141" t="str">
        <f ca="1">IFERROR(__xludf.DUMMYFUNCTION("""COMPUTED_VALUE"""),"T110")</f>
        <v>T110</v>
      </c>
      <c r="C141" t="str">
        <f ca="1">IFERROR(__xludf.DUMMYFUNCTION("""COMPUTED_VALUE"""),"Mackenzie Hughes")</f>
        <v>Mackenzie Hughes</v>
      </c>
      <c r="D141">
        <f ca="1">IFERROR(__xludf.DUMMYFUNCTION("""COMPUTED_VALUE"""),18)</f>
        <v>18</v>
      </c>
      <c r="E141">
        <f ca="1">IFERROR(__xludf.DUMMYFUNCTION("""COMPUTED_VALUE"""),56.56)</f>
        <v>56.56</v>
      </c>
      <c r="F141">
        <f ca="1">IFERROR(__xludf.DUMMYFUNCTION("""COMPUTED_VALUE"""),138)</f>
        <v>138</v>
      </c>
      <c r="G141">
        <f ca="1">IFERROR(__xludf.DUMMYFUNCTION("""COMPUTED_VALUE"""),244)</f>
        <v>244</v>
      </c>
    </row>
    <row r="142" spans="1:7" ht="12.75">
      <c r="A142">
        <f ca="1">IFERROR(__xludf.DUMMYFUNCTION("""COMPUTED_VALUE"""),141)</f>
        <v>141</v>
      </c>
      <c r="B142" t="str">
        <f ca="1">IFERROR(__xludf.DUMMYFUNCTION("""COMPUTED_VALUE"""),"T148")</f>
        <v>T148</v>
      </c>
      <c r="C142" t="str">
        <f ca="1">IFERROR(__xludf.DUMMYFUNCTION("""COMPUTED_VALUE"""),"Louis Oosthuizen")</f>
        <v>Louis Oosthuizen</v>
      </c>
      <c r="D142">
        <f ca="1">IFERROR(__xludf.DUMMYFUNCTION("""COMPUTED_VALUE"""),12)</f>
        <v>12</v>
      </c>
      <c r="E142">
        <f ca="1">IFERROR(__xludf.DUMMYFUNCTION("""COMPUTED_VALUE"""),56.55)</f>
        <v>56.55</v>
      </c>
      <c r="F142">
        <f ca="1">IFERROR(__xludf.DUMMYFUNCTION("""COMPUTED_VALUE"""),95)</f>
        <v>95</v>
      </c>
      <c r="G142">
        <f ca="1">IFERROR(__xludf.DUMMYFUNCTION("""COMPUTED_VALUE"""),168)</f>
        <v>168</v>
      </c>
    </row>
    <row r="143" spans="1:7" ht="12.75">
      <c r="A143">
        <f ca="1">IFERROR(__xludf.DUMMYFUNCTION("""COMPUTED_VALUE"""),142)</f>
        <v>142</v>
      </c>
      <c r="B143" t="str">
        <f ca="1">IFERROR(__xludf.DUMMYFUNCTION("""COMPUTED_VALUE"""),"T180")</f>
        <v>T180</v>
      </c>
      <c r="C143" t="str">
        <f ca="1">IFERROR(__xludf.DUMMYFUNCTION("""COMPUTED_VALUE"""),"Charley Hoffman")</f>
        <v>Charley Hoffman</v>
      </c>
      <c r="D143">
        <f ca="1">IFERROR(__xludf.DUMMYFUNCTION("""COMPUTED_VALUE"""),20)</f>
        <v>20</v>
      </c>
      <c r="E143">
        <f ca="1">IFERROR(__xludf.DUMMYFUNCTION("""COMPUTED_VALUE"""),56.52)</f>
        <v>56.52</v>
      </c>
      <c r="F143">
        <f ca="1">IFERROR(__xludf.DUMMYFUNCTION("""COMPUTED_VALUE"""),156)</f>
        <v>156</v>
      </c>
      <c r="G143">
        <f ca="1">IFERROR(__xludf.DUMMYFUNCTION("""COMPUTED_VALUE"""),276)</f>
        <v>276</v>
      </c>
    </row>
    <row r="144" spans="1:7" ht="12.75">
      <c r="A144">
        <f ca="1">IFERROR(__xludf.DUMMYFUNCTION("""COMPUTED_VALUE"""),143)</f>
        <v>143</v>
      </c>
      <c r="B144">
        <f ca="1">IFERROR(__xludf.DUMMYFUNCTION("""COMPUTED_VALUE"""),95)</f>
        <v>95</v>
      </c>
      <c r="C144" t="str">
        <f ca="1">IFERROR(__xludf.DUMMYFUNCTION("""COMPUTED_VALUE"""),"Scott Harrington")</f>
        <v>Scott Harrington</v>
      </c>
      <c r="D144">
        <f ca="1">IFERROR(__xludf.DUMMYFUNCTION("""COMPUTED_VALUE"""),18)</f>
        <v>18</v>
      </c>
      <c r="E144">
        <f ca="1">IFERROR(__xludf.DUMMYFUNCTION("""COMPUTED_VALUE"""),56.45)</f>
        <v>56.45</v>
      </c>
      <c r="F144">
        <f ca="1">IFERROR(__xludf.DUMMYFUNCTION("""COMPUTED_VALUE"""),140)</f>
        <v>140</v>
      </c>
      <c r="G144">
        <f ca="1">IFERROR(__xludf.DUMMYFUNCTION("""COMPUTED_VALUE"""),248)</f>
        <v>248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IFERROR(__xludf.DUMMYFUNCTION("""COMPUTED_VALUE"""),"T131")</f>
        <v>T131</v>
      </c>
      <c r="C145" t="str">
        <f ca="1">IFERROR(__xludf.DUMMYFUNCTION("""COMPUTED_VALUE"""),"Kevin Stadler")</f>
        <v>Kevin Stadler</v>
      </c>
      <c r="D145">
        <f ca="1">IFERROR(__xludf.DUMMYFUNCTION("""COMPUTED_VALUE"""),8)</f>
        <v>8</v>
      </c>
      <c r="E145">
        <f ca="1">IFERROR(__xludf.DUMMYFUNCTION("""COMPUTED_VALUE"""),56.36)</f>
        <v>56.36</v>
      </c>
      <c r="F145">
        <f ca="1">IFERROR(__xludf.DUMMYFUNCTION("""COMPUTED_VALUE"""),62)</f>
        <v>62</v>
      </c>
      <c r="G145">
        <f ca="1">IFERROR(__xludf.DUMMYFUNCTION("""COMPUTED_VALUE"""),110)</f>
        <v>110</v>
      </c>
    </row>
    <row r="146" spans="1:7" ht="12.75">
      <c r="A146" t="str">
        <f ca="1">IFERROR(__xludf.DUMMYFUNCTION("""COMPUTED_VALUE"""),"T145")</f>
        <v>T145</v>
      </c>
      <c r="B146" t="str">
        <f ca="1">IFERROR(__xludf.DUMMYFUNCTION("""COMPUTED_VALUE"""),"T150")</f>
        <v>T150</v>
      </c>
      <c r="C146" t="str">
        <f ca="1">IFERROR(__xludf.DUMMYFUNCTION("""COMPUTED_VALUE"""),"Tiger Woods")</f>
        <v>Tiger Woods</v>
      </c>
      <c r="D146">
        <f ca="1">IFERROR(__xludf.DUMMYFUNCTION("""COMPUTED_VALUE"""),6)</f>
        <v>6</v>
      </c>
      <c r="E146">
        <f ca="1">IFERROR(__xludf.DUMMYFUNCTION("""COMPUTED_VALUE"""),56.25)</f>
        <v>56.25</v>
      </c>
      <c r="F146">
        <f ca="1">IFERROR(__xludf.DUMMYFUNCTION("""COMPUTED_VALUE"""),45)</f>
        <v>45</v>
      </c>
      <c r="G146">
        <f ca="1">IFERROR(__xludf.DUMMYFUNCTION("""COMPUTED_VALUE"""),80)</f>
        <v>80</v>
      </c>
    </row>
    <row r="147" spans="1:7" ht="12.75">
      <c r="A147" t="str">
        <f ca="1">IFERROR(__xludf.DUMMYFUNCTION("""COMPUTED_VALUE"""),"T145")</f>
        <v>T145</v>
      </c>
      <c r="B147" t="str">
        <f ca="1">IFERROR(__xludf.DUMMYFUNCTION("""COMPUTED_VALUE"""),"T150")</f>
        <v>T150</v>
      </c>
      <c r="C147" t="str">
        <f ca="1">IFERROR(__xludf.DUMMYFUNCTION("""COMPUTED_VALUE"""),"Matthias Schwab")</f>
        <v>Matthias Schwab</v>
      </c>
      <c r="D147">
        <f ca="1">IFERROR(__xludf.DUMMYFUNCTION("""COMPUTED_VALUE"""),8)</f>
        <v>8</v>
      </c>
      <c r="E147">
        <f ca="1">IFERROR(__xludf.DUMMYFUNCTION("""COMPUTED_VALUE"""),56.25)</f>
        <v>56.25</v>
      </c>
      <c r="F147">
        <f ca="1">IFERROR(__xludf.DUMMYFUNCTION("""COMPUTED_VALUE"""),63)</f>
        <v>63</v>
      </c>
      <c r="G147">
        <f ca="1">IFERROR(__xludf.DUMMYFUNCTION("""COMPUTED_VALUE"""),112)</f>
        <v>112</v>
      </c>
    </row>
    <row r="148" spans="1:7" ht="12.75">
      <c r="A148" t="str">
        <f ca="1">IFERROR(__xludf.DUMMYFUNCTION("""COMPUTED_VALUE"""),"T145")</f>
        <v>T145</v>
      </c>
      <c r="B148" t="str">
        <f ca="1">IFERROR(__xludf.DUMMYFUNCTION("""COMPUTED_VALUE"""),"T150")</f>
        <v>T150</v>
      </c>
      <c r="C148" t="str">
        <f ca="1">IFERROR(__xludf.DUMMYFUNCTION("""COMPUTED_VALUE"""),"Takumi Kanaya")</f>
        <v>Takumi Kanaya</v>
      </c>
      <c r="D148">
        <f ca="1">IFERROR(__xludf.DUMMYFUNCTION("""COMPUTED_VALUE"""),6)</f>
        <v>6</v>
      </c>
      <c r="E148">
        <f ca="1">IFERROR(__xludf.DUMMYFUNCTION("""COMPUTED_VALUE"""),56.25)</f>
        <v>56.25</v>
      </c>
      <c r="F148">
        <f ca="1">IFERROR(__xludf.DUMMYFUNCTION("""COMPUTED_VALUE"""),45)</f>
        <v>45</v>
      </c>
      <c r="G148">
        <f ca="1">IFERROR(__xludf.DUMMYFUNCTION("""COMPUTED_VALUE"""),80)</f>
        <v>80</v>
      </c>
    </row>
    <row r="149" spans="1:7" ht="12.75">
      <c r="A149" t="str">
        <f ca="1">IFERROR(__xludf.DUMMYFUNCTION("""COMPUTED_VALUE"""),"T145")</f>
        <v>T145</v>
      </c>
      <c r="B149" t="str">
        <f ca="1">IFERROR(__xludf.DUMMYFUNCTION("""COMPUTED_VALUE"""),"T98")</f>
        <v>T98</v>
      </c>
      <c r="C149" t="str">
        <f ca="1">IFERROR(__xludf.DUMMYFUNCTION("""COMPUTED_VALUE"""),"Sepp Straka")</f>
        <v>Sepp Straka</v>
      </c>
      <c r="D149">
        <f ca="1">IFERROR(__xludf.DUMMYFUNCTION("""COMPUTED_VALUE"""),22)</f>
        <v>22</v>
      </c>
      <c r="E149">
        <f ca="1">IFERROR(__xludf.DUMMYFUNCTION("""COMPUTED_VALUE"""),56.25)</f>
        <v>56.25</v>
      </c>
      <c r="F149">
        <f ca="1">IFERROR(__xludf.DUMMYFUNCTION("""COMPUTED_VALUE"""),171)</f>
        <v>171</v>
      </c>
      <c r="G149">
        <f ca="1">IFERROR(__xludf.DUMMYFUNCTION("""COMPUTED_VALUE"""),304)</f>
        <v>304</v>
      </c>
    </row>
    <row r="150" spans="1:7" ht="12.75">
      <c r="A150" t="str">
        <f ca="1">IFERROR(__xludf.DUMMYFUNCTION("""COMPUTED_VALUE"""),"T149")</f>
        <v>T149</v>
      </c>
      <c r="B150" t="str">
        <f ca="1">IFERROR(__xludf.DUMMYFUNCTION("""COMPUTED_VALUE"""),"T168")</f>
        <v>T168</v>
      </c>
      <c r="C150" t="str">
        <f ca="1">IFERROR(__xludf.DUMMYFUNCTION("""COMPUTED_VALUE"""),"Matt Jones")</f>
        <v>Matt Jones</v>
      </c>
      <c r="D150">
        <f ca="1">IFERROR(__xludf.DUMMYFUNCTION("""COMPUTED_VALUE"""),20)</f>
        <v>20</v>
      </c>
      <c r="E150">
        <f ca="1">IFERROR(__xludf.DUMMYFUNCTION("""COMPUTED_VALUE"""),56.16)</f>
        <v>56.16</v>
      </c>
      <c r="F150">
        <f ca="1">IFERROR(__xludf.DUMMYFUNCTION("""COMPUTED_VALUE"""),155)</f>
        <v>155</v>
      </c>
      <c r="G150">
        <f ca="1">IFERROR(__xludf.DUMMYFUNCTION("""COMPUTED_VALUE"""),276)</f>
        <v>276</v>
      </c>
    </row>
    <row r="151" spans="1:7" ht="12.75">
      <c r="A151" t="str">
        <f ca="1">IFERROR(__xludf.DUMMYFUNCTION("""COMPUTED_VALUE"""),"T149")</f>
        <v>T149</v>
      </c>
      <c r="B151" t="str">
        <f ca="1">IFERROR(__xludf.DUMMYFUNCTION("""COMPUTED_VALUE"""),"T168")</f>
        <v>T168</v>
      </c>
      <c r="C151" t="str">
        <f ca="1">IFERROR(__xludf.DUMMYFUNCTION("""COMPUTED_VALUE"""),"Troy Merritt")</f>
        <v>Troy Merritt</v>
      </c>
      <c r="D151">
        <f ca="1">IFERROR(__xludf.DUMMYFUNCTION("""COMPUTED_VALUE"""),20)</f>
        <v>20</v>
      </c>
      <c r="E151">
        <f ca="1">IFERROR(__xludf.DUMMYFUNCTION("""COMPUTED_VALUE"""),56.16)</f>
        <v>56.16</v>
      </c>
      <c r="F151">
        <f ca="1">IFERROR(__xludf.DUMMYFUNCTION("""COMPUTED_VALUE"""),155)</f>
        <v>155</v>
      </c>
      <c r="G151">
        <f ca="1">IFERROR(__xludf.DUMMYFUNCTION("""COMPUTED_VALUE"""),276)</f>
        <v>276</v>
      </c>
    </row>
    <row r="152" spans="1:7" ht="12.75">
      <c r="A152">
        <f ca="1">IFERROR(__xludf.DUMMYFUNCTION("""COMPUTED_VALUE"""),151)</f>
        <v>151</v>
      </c>
      <c r="B152" t="str">
        <f ca="1">IFERROR(__xludf.DUMMYFUNCTION("""COMPUTED_VALUE"""),"T145")</f>
        <v>T145</v>
      </c>
      <c r="C152" t="str">
        <f ca="1">IFERROR(__xludf.DUMMYFUNCTION("""COMPUTED_VALUE"""),"Jason Day")</f>
        <v>Jason Day</v>
      </c>
      <c r="D152">
        <f ca="1">IFERROR(__xludf.DUMMYFUNCTION("""COMPUTED_VALUE"""),17)</f>
        <v>17</v>
      </c>
      <c r="E152">
        <f ca="1">IFERROR(__xludf.DUMMYFUNCTION("""COMPUTED_VALUE"""),56.09)</f>
        <v>56.09</v>
      </c>
      <c r="F152">
        <f ca="1">IFERROR(__xludf.DUMMYFUNCTION("""COMPUTED_VALUE"""),129)</f>
        <v>129</v>
      </c>
      <c r="G152">
        <f ca="1">IFERROR(__xludf.DUMMYFUNCTION("""COMPUTED_VALUE"""),230)</f>
        <v>230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IFERROR(__xludf.DUMMYFUNCTION("""COMPUTED_VALUE"""),121)</f>
        <v>121</v>
      </c>
      <c r="C153" t="str">
        <f ca="1">IFERROR(__xludf.DUMMYFUNCTION("""COMPUTED_VALUE"""),"Dylan Frittelli")</f>
        <v>Dylan Frittelli</v>
      </c>
      <c r="D153">
        <f ca="1">IFERROR(__xludf.DUMMYFUNCTION("""COMPUTED_VALUE"""),16)</f>
        <v>16</v>
      </c>
      <c r="E153">
        <f ca="1">IFERROR(__xludf.DUMMYFUNCTION("""COMPUTED_VALUE"""),55.96)</f>
        <v>55.96</v>
      </c>
      <c r="F153">
        <f ca="1">IFERROR(__xludf.DUMMYFUNCTION("""COMPUTED_VALUE"""),122)</f>
        <v>122</v>
      </c>
      <c r="G153">
        <f ca="1">IFERROR(__xludf.DUMMYFUNCTION("""COMPUTED_VALUE"""),218)</f>
        <v>218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IFERROR(__xludf.DUMMYFUNCTION("""COMPUTED_VALUE"""),"T154")</f>
        <v>T154</v>
      </c>
      <c r="C154" t="str">
        <f ca="1">IFERROR(__xludf.DUMMYFUNCTION("""COMPUTED_VALUE"""),"Chris Stroud")</f>
        <v>Chris Stroud</v>
      </c>
      <c r="D154">
        <f ca="1">IFERROR(__xludf.DUMMYFUNCTION("""COMPUTED_VALUE"""),6)</f>
        <v>6</v>
      </c>
      <c r="E154">
        <f ca="1">IFERROR(__xludf.DUMMYFUNCTION("""COMPUTED_VALUE"""),55.95)</f>
        <v>55.95</v>
      </c>
      <c r="F154">
        <f ca="1">IFERROR(__xludf.DUMMYFUNCTION("""COMPUTED_VALUE"""),47)</f>
        <v>47</v>
      </c>
      <c r="G154">
        <f ca="1">IFERROR(__xludf.DUMMYFUNCTION("""COMPUTED_VALUE"""),84)</f>
        <v>84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IFERROR(__xludf.DUMMYFUNCTION("""COMPUTED_VALUE"""),156)</f>
        <v>156</v>
      </c>
      <c r="C155" t="str">
        <f ca="1">IFERROR(__xludf.DUMMYFUNCTION("""COMPUTED_VALUE"""),"Marc Leishman")</f>
        <v>Marc Leishman</v>
      </c>
      <c r="D155">
        <f ca="1">IFERROR(__xludf.DUMMYFUNCTION("""COMPUTED_VALUE"""),10)</f>
        <v>10</v>
      </c>
      <c r="E155">
        <f ca="1">IFERROR(__xludf.DUMMYFUNCTION("""COMPUTED_VALUE"""),55.88)</f>
        <v>55.88</v>
      </c>
      <c r="F155">
        <f ca="1">IFERROR(__xludf.DUMMYFUNCTION("""COMPUTED_VALUE"""),76)</f>
        <v>76</v>
      </c>
      <c r="G155">
        <f ca="1">IFERROR(__xludf.DUMMYFUNCTION("""COMPUTED_VALUE"""),136)</f>
        <v>136</v>
      </c>
    </row>
    <row r="156" spans="1:7" ht="12.75">
      <c r="A156" t="str">
        <f ca="1">IFERROR(__xludf.DUMMYFUNCTION("""COMPUTED_VALUE"""),"T155")</f>
        <v>T155</v>
      </c>
      <c r="B156">
        <f ca="1">IFERROR(__xludf.DUMMYFUNCTION("""COMPUTED_VALUE"""),157)</f>
        <v>157</v>
      </c>
      <c r="C156" t="str">
        <f ca="1">IFERROR(__xludf.DUMMYFUNCTION("""COMPUTED_VALUE"""),"D.J. Trahan")</f>
        <v>D.J. Trahan</v>
      </c>
      <c r="D156">
        <f ca="1">IFERROR(__xludf.DUMMYFUNCTION("""COMPUTED_VALUE"""),16)</f>
        <v>16</v>
      </c>
      <c r="E156">
        <f ca="1">IFERROR(__xludf.DUMMYFUNCTION("""COMPUTED_VALUE"""),55.8)</f>
        <v>55.8</v>
      </c>
      <c r="F156">
        <f ca="1">IFERROR(__xludf.DUMMYFUNCTION("""COMPUTED_VALUE"""),125)</f>
        <v>125</v>
      </c>
      <c r="G156">
        <f ca="1">IFERROR(__xludf.DUMMYFUNCTION("""COMPUTED_VALUE"""),224)</f>
        <v>224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IFERROR(__xludf.DUMMYFUNCTION("""COMPUTED_VALUE"""),"T131")</f>
        <v>T131</v>
      </c>
      <c r="C157" t="str">
        <f ca="1">IFERROR(__xludf.DUMMYFUNCTION("""COMPUTED_VALUE"""),"Grayson Murray")</f>
        <v>Grayson Murray</v>
      </c>
      <c r="D157">
        <f ca="1">IFERROR(__xludf.DUMMYFUNCTION("""COMPUTED_VALUE"""),10)</f>
        <v>10</v>
      </c>
      <c r="E157">
        <f ca="1">IFERROR(__xludf.DUMMYFUNCTION("""COMPUTED_VALUE"""),55.8)</f>
        <v>55.8</v>
      </c>
      <c r="F157">
        <f ca="1">IFERROR(__xludf.DUMMYFUNCTION("""COMPUTED_VALUE"""),77)</f>
        <v>77</v>
      </c>
      <c r="G157">
        <f ca="1">IFERROR(__xludf.DUMMYFUNCTION("""COMPUTED_VALUE"""),138)</f>
        <v>138</v>
      </c>
    </row>
    <row r="158" spans="1:7" ht="12.75">
      <c r="A158">
        <f ca="1">IFERROR(__xludf.DUMMYFUNCTION("""COMPUTED_VALUE"""),157)</f>
        <v>157</v>
      </c>
      <c r="B158" t="str">
        <f ca="1">IFERROR(__xludf.DUMMYFUNCTION("""COMPUTED_VALUE"""),"T122")</f>
        <v>T122</v>
      </c>
      <c r="C158" t="str">
        <f ca="1">IFERROR(__xludf.DUMMYFUNCTION("""COMPUTED_VALUE"""),"Keith Mitchell")</f>
        <v>Keith Mitchell</v>
      </c>
      <c r="D158">
        <f ca="1">IFERROR(__xludf.DUMMYFUNCTION("""COMPUTED_VALUE"""),14)</f>
        <v>14</v>
      </c>
      <c r="E158">
        <f ca="1">IFERROR(__xludf.DUMMYFUNCTION("""COMPUTED_VALUE"""),55.67)</f>
        <v>55.67</v>
      </c>
      <c r="F158">
        <f ca="1">IFERROR(__xludf.DUMMYFUNCTION("""COMPUTED_VALUE"""),108)</f>
        <v>108</v>
      </c>
      <c r="G158">
        <f ca="1">IFERROR(__xludf.DUMMYFUNCTION("""COMPUTED_VALUE"""),194)</f>
        <v>194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IFERROR(__xludf.DUMMYFUNCTION("""COMPUTED_VALUE"""),158)</f>
        <v>158</v>
      </c>
      <c r="C159" t="str">
        <f ca="1">IFERROR(__xludf.DUMMYFUNCTION("""COMPUTED_VALUE"""),"Vincent Whaley")</f>
        <v>Vincent Whaley</v>
      </c>
      <c r="D159">
        <f ca="1">IFERROR(__xludf.DUMMYFUNCTION("""COMPUTED_VALUE"""),14)</f>
        <v>14</v>
      </c>
      <c r="E159">
        <f ca="1">IFERROR(__xludf.DUMMYFUNCTION("""COMPUTED_VALUE"""),55.61)</f>
        <v>55.61</v>
      </c>
      <c r="F159">
        <f ca="1">IFERROR(__xludf.DUMMYFUNCTION("""COMPUTED_VALUE"""),109)</f>
        <v>109</v>
      </c>
      <c r="G159">
        <f ca="1">IFERROR(__xludf.DUMMYFUNCTION("""COMPUTED_VALUE"""),196)</f>
        <v>196</v>
      </c>
    </row>
    <row r="160" spans="1:7" ht="12.75">
      <c r="A160">
        <f ca="1">IFERROR(__xludf.DUMMYFUNCTION("""COMPUTED_VALUE"""),159)</f>
        <v>159</v>
      </c>
      <c r="B160" t="str">
        <f ca="1">IFERROR(__xludf.DUMMYFUNCTION("""COMPUTED_VALUE"""),"T159")</f>
        <v>T159</v>
      </c>
      <c r="C160" t="str">
        <f ca="1">IFERROR(__xludf.DUMMYFUNCTION("""COMPUTED_VALUE"""),"Shugo Imahira")</f>
        <v>Shugo Imahira</v>
      </c>
      <c r="D160">
        <f ca="1">IFERROR(__xludf.DUMMYFUNCTION("""COMPUTED_VALUE"""),8)</f>
        <v>8</v>
      </c>
      <c r="E160">
        <f ca="1">IFERROR(__xludf.DUMMYFUNCTION("""COMPUTED_VALUE"""),55.56)</f>
        <v>55.56</v>
      </c>
      <c r="F160">
        <f ca="1">IFERROR(__xludf.DUMMYFUNCTION("""COMPUTED_VALUE"""),60)</f>
        <v>60</v>
      </c>
      <c r="G160">
        <f ca="1">IFERROR(__xludf.DUMMYFUNCTION("""COMPUTED_VALUE"""),108)</f>
        <v>108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IFERROR(__xludf.DUMMYFUNCTION("""COMPUTED_VALUE"""),161)</f>
        <v>161</v>
      </c>
      <c r="C161" t="str">
        <f ca="1">IFERROR(__xludf.DUMMYFUNCTION("""COMPUTED_VALUE"""),"Richy Werenski")</f>
        <v>Richy Werenski</v>
      </c>
      <c r="D161">
        <f ca="1">IFERROR(__xludf.DUMMYFUNCTION("""COMPUTED_VALUE"""),16)</f>
        <v>16</v>
      </c>
      <c r="E161">
        <f ca="1">IFERROR(__xludf.DUMMYFUNCTION("""COMPUTED_VALUE"""),55.45)</f>
        <v>55.45</v>
      </c>
      <c r="F161">
        <f ca="1">IFERROR(__xludf.DUMMYFUNCTION("""COMPUTED_VALUE"""),122)</f>
        <v>122</v>
      </c>
      <c r="G161">
        <f ca="1">IFERROR(__xludf.DUMMYFUNCTION("""COMPUTED_VALUE"""),220)</f>
        <v>220</v>
      </c>
    </row>
    <row r="162" spans="1:7" ht="12.75">
      <c r="A162" t="str">
        <f ca="1">IFERROR(__xludf.DUMMYFUNCTION("""COMPUTED_VALUE"""),"T161")</f>
        <v>T161</v>
      </c>
      <c r="B162" t="str">
        <f ca="1">IFERROR(__xludf.DUMMYFUNCTION("""COMPUTED_VALUE"""),"T162")</f>
        <v>T162</v>
      </c>
      <c r="C162" t="str">
        <f ca="1">IFERROR(__xludf.DUMMYFUNCTION("""COMPUTED_VALUE"""),"Dominic Bozzelli")</f>
        <v>Dominic Bozzelli</v>
      </c>
      <c r="D162">
        <f ca="1">IFERROR(__xludf.DUMMYFUNCTION("""COMPUTED_VALUE"""),8)</f>
        <v>8</v>
      </c>
      <c r="E162">
        <f ca="1">IFERROR(__xludf.DUMMYFUNCTION("""COMPUTED_VALUE"""),55.36)</f>
        <v>55.36</v>
      </c>
      <c r="F162">
        <f ca="1">IFERROR(__xludf.DUMMYFUNCTION("""COMPUTED_VALUE"""),62)</f>
        <v>62</v>
      </c>
      <c r="G162">
        <f ca="1">IFERROR(__xludf.DUMMYFUNCTION("""COMPUTED_VALUE"""),112)</f>
        <v>112</v>
      </c>
    </row>
    <row r="163" spans="1:7" ht="12.75">
      <c r="A163" t="str">
        <f ca="1">IFERROR(__xludf.DUMMYFUNCTION("""COMPUTED_VALUE"""),"T161")</f>
        <v>T161</v>
      </c>
      <c r="B163" t="str">
        <f ca="1">IFERROR(__xludf.DUMMYFUNCTION("""COMPUTED_VALUE"""),"T162")</f>
        <v>T162</v>
      </c>
      <c r="C163" t="str">
        <f ca="1">IFERROR(__xludf.DUMMYFUNCTION("""COMPUTED_VALUE"""),"Eric Dugas")</f>
        <v>Eric Dugas</v>
      </c>
      <c r="D163">
        <f ca="1">IFERROR(__xludf.DUMMYFUNCTION("""COMPUTED_VALUE"""),4)</f>
        <v>4</v>
      </c>
      <c r="E163">
        <f ca="1">IFERROR(__xludf.DUMMYFUNCTION("""COMPUTED_VALUE"""),55.36)</f>
        <v>55.36</v>
      </c>
      <c r="F163">
        <f ca="1">IFERROR(__xludf.DUMMYFUNCTION("""COMPUTED_VALUE"""),31)</f>
        <v>31</v>
      </c>
      <c r="G163">
        <f ca="1">IFERROR(__xludf.DUMMYFUNCTION("""COMPUTED_VALUE"""),56)</f>
        <v>56</v>
      </c>
    </row>
    <row r="164" spans="1:7" ht="12.75">
      <c r="A164">
        <f ca="1">IFERROR(__xludf.DUMMYFUNCTION("""COMPUTED_VALUE"""),163)</f>
        <v>163</v>
      </c>
      <c r="B164" t="str">
        <f ca="1">IFERROR(__xludf.DUMMYFUNCTION("""COMPUTED_VALUE"""),"T190")</f>
        <v>T190</v>
      </c>
      <c r="C164" t="str">
        <f ca="1">IFERROR(__xludf.DUMMYFUNCTION("""COMPUTED_VALUE"""),"Scott Brown")</f>
        <v>Scott Brown</v>
      </c>
      <c r="D164">
        <f ca="1">IFERROR(__xludf.DUMMYFUNCTION("""COMPUTED_VALUE"""),14)</f>
        <v>14</v>
      </c>
      <c r="E164">
        <f ca="1">IFERROR(__xludf.DUMMYFUNCTION("""COMPUTED_VALUE"""),55.21)</f>
        <v>55.21</v>
      </c>
      <c r="F164">
        <f ca="1">IFERROR(__xludf.DUMMYFUNCTION("""COMPUTED_VALUE"""),106)</f>
        <v>106</v>
      </c>
      <c r="G164">
        <f ca="1">IFERROR(__xludf.DUMMYFUNCTION("""COMPUTED_VALUE"""),192)</f>
        <v>192</v>
      </c>
    </row>
    <row r="165" spans="1:7" ht="12.75">
      <c r="A165">
        <f ca="1">IFERROR(__xludf.DUMMYFUNCTION("""COMPUTED_VALUE"""),164)</f>
        <v>164</v>
      </c>
      <c r="B165" t="str">
        <f ca="1">IFERROR(__xludf.DUMMYFUNCTION("""COMPUTED_VALUE"""),"T168")</f>
        <v>T168</v>
      </c>
      <c r="C165" t="str">
        <f ca="1">IFERROR(__xludf.DUMMYFUNCTION("""COMPUTED_VALUE"""),"Sergio Garcia")</f>
        <v>Sergio Garcia</v>
      </c>
      <c r="D165">
        <f ca="1">IFERROR(__xludf.DUMMYFUNCTION("""COMPUTED_VALUE"""),18)</f>
        <v>18</v>
      </c>
      <c r="E165">
        <f ca="1">IFERROR(__xludf.DUMMYFUNCTION("""COMPUTED_VALUE"""),55.2)</f>
        <v>55.2</v>
      </c>
      <c r="F165">
        <f ca="1">IFERROR(__xludf.DUMMYFUNCTION("""COMPUTED_VALUE"""),138)</f>
        <v>138</v>
      </c>
      <c r="G165">
        <f ca="1">IFERROR(__xludf.DUMMYFUNCTION("""COMPUTED_VALUE"""),250)</f>
        <v>250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IFERROR(__xludf.DUMMYFUNCTION("""COMPUTED_VALUE"""),165)</f>
        <v>165</v>
      </c>
      <c r="C166" t="str">
        <f ca="1">IFERROR(__xludf.DUMMYFUNCTION("""COMPUTED_VALUE"""),"Michael Gligic")</f>
        <v>Michael Gligic</v>
      </c>
      <c r="D166">
        <f ca="1">IFERROR(__xludf.DUMMYFUNCTION("""COMPUTED_VALUE"""),18)</f>
        <v>18</v>
      </c>
      <c r="E166">
        <f ca="1">IFERROR(__xludf.DUMMYFUNCTION("""COMPUTED_VALUE"""),55.16)</f>
        <v>55.16</v>
      </c>
      <c r="F166">
        <f ca="1">IFERROR(__xludf.DUMMYFUNCTION("""COMPUTED_VALUE"""),139)</f>
        <v>139</v>
      </c>
      <c r="G166">
        <f ca="1">IFERROR(__xludf.DUMMYFUNCTION("""COMPUTED_VALUE"""),252)</f>
        <v>252</v>
      </c>
    </row>
    <row r="167" spans="1:7" ht="12.75">
      <c r="A167" t="str">
        <f ca="1">IFERROR(__xludf.DUMMYFUNCTION("""COMPUTED_VALUE"""),"T166")</f>
        <v>T166</v>
      </c>
      <c r="B167">
        <f ca="1">IFERROR(__xludf.DUMMYFUNCTION("""COMPUTED_VALUE"""),166)</f>
        <v>166</v>
      </c>
      <c r="C167" t="str">
        <f ca="1">IFERROR(__xludf.DUMMYFUNCTION("""COMPUTED_VALUE"""),"Tommy Fleetwood")</f>
        <v>Tommy Fleetwood</v>
      </c>
      <c r="D167">
        <f ca="1">IFERROR(__xludf.DUMMYFUNCTION("""COMPUTED_VALUE"""),10)</f>
        <v>10</v>
      </c>
      <c r="E167">
        <f ca="1">IFERROR(__xludf.DUMMYFUNCTION("""COMPUTED_VALUE"""),55.15)</f>
        <v>55.15</v>
      </c>
      <c r="F167">
        <f ca="1">IFERROR(__xludf.DUMMYFUNCTION("""COMPUTED_VALUE"""),75)</f>
        <v>75</v>
      </c>
      <c r="G167">
        <f ca="1">IFERROR(__xludf.DUMMYFUNCTION("""COMPUTED_VALUE"""),136)</f>
        <v>136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IFERROR(__xludf.DUMMYFUNCTION("""COMPUTED_VALUE"""),"T184")</f>
        <v>T184</v>
      </c>
      <c r="C168" t="str">
        <f ca="1">IFERROR(__xludf.DUMMYFUNCTION("""COMPUTED_VALUE"""),"Jason Dufner")</f>
        <v>Jason Dufner</v>
      </c>
      <c r="D168">
        <f ca="1">IFERROR(__xludf.DUMMYFUNCTION("""COMPUTED_VALUE"""),14)</f>
        <v>14</v>
      </c>
      <c r="E168">
        <f ca="1">IFERROR(__xludf.DUMMYFUNCTION("""COMPUTED_VALUE"""),55.15)</f>
        <v>55.15</v>
      </c>
      <c r="F168">
        <f ca="1">IFERROR(__xludf.DUMMYFUNCTION("""COMPUTED_VALUE"""),107)</f>
        <v>107</v>
      </c>
      <c r="G168">
        <f ca="1">IFERROR(__xludf.DUMMYFUNCTION("""COMPUTED_VALUE"""),194)</f>
        <v>194</v>
      </c>
    </row>
    <row r="169" spans="1:7" ht="12.75">
      <c r="A169">
        <f ca="1">IFERROR(__xludf.DUMMYFUNCTION("""COMPUTED_VALUE"""),168)</f>
        <v>168</v>
      </c>
      <c r="B169" t="str">
        <f ca="1">IFERROR(__xludf.DUMMYFUNCTION("""COMPUTED_VALUE"""),"T150")</f>
        <v>T150</v>
      </c>
      <c r="C169" t="str">
        <f ca="1">IFERROR(__xludf.DUMMYFUNCTION("""COMPUTED_VALUE"""),"Will Gordon")</f>
        <v>Will Gordon</v>
      </c>
      <c r="D169">
        <f ca="1">IFERROR(__xludf.DUMMYFUNCTION("""COMPUTED_VALUE"""),20)</f>
        <v>20</v>
      </c>
      <c r="E169">
        <f ca="1">IFERROR(__xludf.DUMMYFUNCTION("""COMPUTED_VALUE"""),55.07)</f>
        <v>55.07</v>
      </c>
      <c r="F169">
        <f ca="1">IFERROR(__xludf.DUMMYFUNCTION("""COMPUTED_VALUE"""),152)</f>
        <v>152</v>
      </c>
      <c r="G169">
        <f ca="1">IFERROR(__xludf.DUMMYFUNCTION("""COMPUTED_VALUE"""),276)</f>
        <v>276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IFERROR(__xludf.DUMMYFUNCTION("""COMPUTED_VALUE"""),"")</f>
        <v/>
      </c>
      <c r="C170" t="str">
        <f ca="1">IFERROR(__xludf.DUMMYFUNCTION("""COMPUTED_VALUE"""),"Greg Chalmers")</f>
        <v>Greg Chalmers</v>
      </c>
      <c r="D170">
        <f ca="1">IFERROR(__xludf.DUMMYFUNCTION("""COMPUTED_VALUE"""),6)</f>
        <v>6</v>
      </c>
      <c r="E170">
        <f ca="1">IFERROR(__xludf.DUMMYFUNCTION("""COMPUTED_VALUE"""),55)</f>
        <v>55</v>
      </c>
      <c r="F170">
        <f ca="1">IFERROR(__xludf.DUMMYFUNCTION("""COMPUTED_VALUE"""),44)</f>
        <v>44</v>
      </c>
      <c r="G170">
        <f ca="1">IFERROR(__xludf.DUMMYFUNCTION("""COMPUTED_VALUE"""),80)</f>
        <v>80</v>
      </c>
    </row>
    <row r="171" spans="1:7" ht="12.75">
      <c r="A171" t="str">
        <f ca="1">IFERROR(__xludf.DUMMYFUNCTION("""COMPUTED_VALUE"""),"T170")</f>
        <v>T170</v>
      </c>
      <c r="B171" t="str">
        <f ca="1">IFERROR(__xludf.DUMMYFUNCTION("""COMPUTED_VALUE"""),"T171")</f>
        <v>T171</v>
      </c>
      <c r="C171" t="str">
        <f ca="1">IFERROR(__xludf.DUMMYFUNCTION("""COMPUTED_VALUE"""),"Ricky Barnes")</f>
        <v>Ricky Barnes</v>
      </c>
      <c r="D171">
        <f ca="1">IFERROR(__xludf.DUMMYFUNCTION("""COMPUTED_VALUE"""),12)</f>
        <v>12</v>
      </c>
      <c r="E171">
        <f ca="1">IFERROR(__xludf.DUMMYFUNCTION("""COMPUTED_VALUE"""),54.76)</f>
        <v>54.76</v>
      </c>
      <c r="F171">
        <f ca="1">IFERROR(__xludf.DUMMYFUNCTION("""COMPUTED_VALUE"""),92)</f>
        <v>92</v>
      </c>
      <c r="G171">
        <f ca="1">IFERROR(__xludf.DUMMYFUNCTION("""COMPUTED_VALUE"""),168)</f>
        <v>168</v>
      </c>
    </row>
    <row r="172" spans="1:7" ht="12.75">
      <c r="A172" t="str">
        <f ca="1">IFERROR(__xludf.DUMMYFUNCTION("""COMPUTED_VALUE"""),"T170")</f>
        <v>T170</v>
      </c>
      <c r="B172" t="str">
        <f ca="1">IFERROR(__xludf.DUMMYFUNCTION("""COMPUTED_VALUE"""),"T171")</f>
        <v>T171</v>
      </c>
      <c r="C172" t="str">
        <f ca="1">IFERROR(__xludf.DUMMYFUNCTION("""COMPUTED_VALUE"""),"Kiradech Aphibarnrat")</f>
        <v>Kiradech Aphibarnrat</v>
      </c>
      <c r="D172">
        <f ca="1">IFERROR(__xludf.DUMMYFUNCTION("""COMPUTED_VALUE"""),12)</f>
        <v>12</v>
      </c>
      <c r="E172">
        <f ca="1">IFERROR(__xludf.DUMMYFUNCTION("""COMPUTED_VALUE"""),54.76)</f>
        <v>54.76</v>
      </c>
      <c r="F172">
        <f ca="1">IFERROR(__xludf.DUMMYFUNCTION("""COMPUTED_VALUE"""),92)</f>
        <v>92</v>
      </c>
      <c r="G172">
        <f ca="1">IFERROR(__xludf.DUMMYFUNCTION("""COMPUTED_VALUE"""),168)</f>
        <v>168</v>
      </c>
    </row>
    <row r="173" spans="1:7" ht="12.75">
      <c r="A173" t="str">
        <f ca="1">IFERROR(__xludf.DUMMYFUNCTION("""COMPUTED_VALUE"""),"T170")</f>
        <v>T170</v>
      </c>
      <c r="B173" t="str">
        <f ca="1">IFERROR(__xludf.DUMMYFUNCTION("""COMPUTED_VALUE"""),"T171")</f>
        <v>T171</v>
      </c>
      <c r="C173" t="str">
        <f ca="1">IFERROR(__xludf.DUMMYFUNCTION("""COMPUTED_VALUE"""),"William McGirt")</f>
        <v>William McGirt</v>
      </c>
      <c r="D173">
        <f ca="1">IFERROR(__xludf.DUMMYFUNCTION("""COMPUTED_VALUE"""),6)</f>
        <v>6</v>
      </c>
      <c r="E173">
        <f ca="1">IFERROR(__xludf.DUMMYFUNCTION("""COMPUTED_VALUE"""),54.76)</f>
        <v>54.76</v>
      </c>
      <c r="F173">
        <f ca="1">IFERROR(__xludf.DUMMYFUNCTION("""COMPUTED_VALUE"""),46)</f>
        <v>46</v>
      </c>
      <c r="G173">
        <f ca="1">IFERROR(__xludf.DUMMYFUNCTION("""COMPUTED_VALUE"""),84)</f>
        <v>84</v>
      </c>
    </row>
    <row r="174" spans="1:7" ht="12.75">
      <c r="A174" t="str">
        <f ca="1">IFERROR(__xludf.DUMMYFUNCTION("""COMPUTED_VALUE"""),"T170")</f>
        <v>T170</v>
      </c>
      <c r="B174" t="str">
        <f ca="1">IFERROR(__xludf.DUMMYFUNCTION("""COMPUTED_VALUE"""),"T171")</f>
        <v>T171</v>
      </c>
      <c r="C174" t="str">
        <f ca="1">IFERROR(__xludf.DUMMYFUNCTION("""COMPUTED_VALUE"""),"Rafael Campos")</f>
        <v>Rafael Campos</v>
      </c>
      <c r="D174">
        <f ca="1">IFERROR(__xludf.DUMMYFUNCTION("""COMPUTED_VALUE"""),6)</f>
        <v>6</v>
      </c>
      <c r="E174">
        <f ca="1">IFERROR(__xludf.DUMMYFUNCTION("""COMPUTED_VALUE"""),54.76)</f>
        <v>54.76</v>
      </c>
      <c r="F174">
        <f ca="1">IFERROR(__xludf.DUMMYFUNCTION("""COMPUTED_VALUE"""),46)</f>
        <v>46</v>
      </c>
      <c r="G174">
        <f ca="1">IFERROR(__xludf.DUMMYFUNCTION("""COMPUTED_VALUE"""),84)</f>
        <v>84</v>
      </c>
    </row>
    <row r="175" spans="1:7" ht="12.75">
      <c r="A175" t="str">
        <f ca="1">IFERROR(__xludf.DUMMYFUNCTION("""COMPUTED_VALUE"""),"T170")</f>
        <v>T170</v>
      </c>
      <c r="B175" t="str">
        <f ca="1">IFERROR(__xludf.DUMMYFUNCTION("""COMPUTED_VALUE"""),"T171")</f>
        <v>T171</v>
      </c>
      <c r="C175" t="str">
        <f ca="1">IFERROR(__xludf.DUMMYFUNCTION("""COMPUTED_VALUE"""),"Joseph Bramlett")</f>
        <v>Joseph Bramlett</v>
      </c>
      <c r="D175">
        <f ca="1">IFERROR(__xludf.DUMMYFUNCTION("""COMPUTED_VALUE"""),18)</f>
        <v>18</v>
      </c>
      <c r="E175">
        <f ca="1">IFERROR(__xludf.DUMMYFUNCTION("""COMPUTED_VALUE"""),54.76)</f>
        <v>54.76</v>
      </c>
      <c r="F175">
        <f ca="1">IFERROR(__xludf.DUMMYFUNCTION("""COMPUTED_VALUE"""),138)</f>
        <v>138</v>
      </c>
      <c r="G175">
        <f ca="1">IFERROR(__xludf.DUMMYFUNCTION("""COMPUTED_VALUE"""),252)</f>
        <v>252</v>
      </c>
    </row>
    <row r="176" spans="1:7" ht="12.75">
      <c r="A176" t="str">
        <f ca="1">IFERROR(__xludf.DUMMYFUNCTION("""COMPUTED_VALUE"""),"T170")</f>
        <v>T170</v>
      </c>
      <c r="B176" t="str">
        <f ca="1">IFERROR(__xludf.DUMMYFUNCTION("""COMPUTED_VALUE"""),"T171")</f>
        <v>T171</v>
      </c>
      <c r="C176" t="str">
        <f ca="1">IFERROR(__xludf.DUMMYFUNCTION("""COMPUTED_VALUE"""),"Roger Sloan")</f>
        <v>Roger Sloan</v>
      </c>
      <c r="D176">
        <f ca="1">IFERROR(__xludf.DUMMYFUNCTION("""COMPUTED_VALUE"""),12)</f>
        <v>12</v>
      </c>
      <c r="E176">
        <f ca="1">IFERROR(__xludf.DUMMYFUNCTION("""COMPUTED_VALUE"""),54.76)</f>
        <v>54.76</v>
      </c>
      <c r="F176">
        <f ca="1">IFERROR(__xludf.DUMMYFUNCTION("""COMPUTED_VALUE"""),92)</f>
        <v>92</v>
      </c>
      <c r="G176">
        <f ca="1">IFERROR(__xludf.DUMMYFUNCTION("""COMPUTED_VALUE"""),168)</f>
        <v>168</v>
      </c>
    </row>
    <row r="177" spans="1:7" ht="12.75">
      <c r="A177" t="str">
        <f ca="1">IFERROR(__xludf.DUMMYFUNCTION("""COMPUTED_VALUE"""),"T176")</f>
        <v>T176</v>
      </c>
      <c r="B177" t="str">
        <f ca="1">IFERROR(__xludf.DUMMYFUNCTION("""COMPUTED_VALUE"""),"T247")</f>
        <v>T247</v>
      </c>
      <c r="C177" t="str">
        <f ca="1">IFERROR(__xludf.DUMMYFUNCTION("""COMPUTED_VALUE"""),"Dustin Johnson")</f>
        <v>Dustin Johnson</v>
      </c>
      <c r="D177">
        <f ca="1">IFERROR(__xludf.DUMMYFUNCTION("""COMPUTED_VALUE"""),8)</f>
        <v>8</v>
      </c>
      <c r="E177">
        <f ca="1">IFERROR(__xludf.DUMMYFUNCTION("""COMPUTED_VALUE"""),54.63)</f>
        <v>54.63</v>
      </c>
      <c r="F177">
        <f ca="1">IFERROR(__xludf.DUMMYFUNCTION("""COMPUTED_VALUE"""),59)</f>
        <v>59</v>
      </c>
      <c r="G177">
        <f ca="1">IFERROR(__xludf.DUMMYFUNCTION("""COMPUTED_VALUE"""),108)</f>
        <v>108</v>
      </c>
    </row>
    <row r="178" spans="1:7" ht="12.75">
      <c r="A178" t="str">
        <f ca="1">IFERROR(__xludf.DUMMYFUNCTION("""COMPUTED_VALUE"""),"T176")</f>
        <v>T176</v>
      </c>
      <c r="B178" t="str">
        <f ca="1">IFERROR(__xludf.DUMMYFUNCTION("""COMPUTED_VALUE"""),"T131")</f>
        <v>T131</v>
      </c>
      <c r="C178" t="str">
        <f ca="1">IFERROR(__xludf.DUMMYFUNCTION("""COMPUTED_VALUE"""),"Isaiah Salinda")</f>
        <v>Isaiah Salinda</v>
      </c>
      <c r="D178">
        <f ca="1">IFERROR(__xludf.DUMMYFUNCTION("""COMPUTED_VALUE"""),8)</f>
        <v>8</v>
      </c>
      <c r="E178">
        <f ca="1">IFERROR(__xludf.DUMMYFUNCTION("""COMPUTED_VALUE"""),54.63)</f>
        <v>54.63</v>
      </c>
      <c r="F178">
        <f ca="1">IFERROR(__xludf.DUMMYFUNCTION("""COMPUTED_VALUE"""),59)</f>
        <v>59</v>
      </c>
      <c r="G178">
        <f ca="1">IFERROR(__xludf.DUMMYFUNCTION("""COMPUTED_VALUE"""),108)</f>
        <v>108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IFERROR(__xludf.DUMMYFUNCTION("""COMPUTED_VALUE"""),196)</f>
        <v>196</v>
      </c>
      <c r="C179" t="str">
        <f ca="1">IFERROR(__xludf.DUMMYFUNCTION("""COMPUTED_VALUE"""),"Jhonattan Vegas")</f>
        <v>Jhonattan Vegas</v>
      </c>
      <c r="D179">
        <f ca="1">IFERROR(__xludf.DUMMYFUNCTION("""COMPUTED_VALUE"""),16)</f>
        <v>16</v>
      </c>
      <c r="E179">
        <f ca="1">IFERROR(__xludf.DUMMYFUNCTION("""COMPUTED_VALUE"""),54.55)</f>
        <v>54.55</v>
      </c>
      <c r="F179">
        <f ca="1">IFERROR(__xludf.DUMMYFUNCTION("""COMPUTED_VALUE"""),120)</f>
        <v>120</v>
      </c>
      <c r="G179">
        <f ca="1">IFERROR(__xludf.DUMMYFUNCTION("""COMPUTED_VALUE"""),220)</f>
        <v>220</v>
      </c>
    </row>
    <row r="180" spans="1:7" ht="12.75">
      <c r="A180" t="str">
        <f ca="1">IFERROR(__xludf.DUMMYFUNCTION("""COMPUTED_VALUE"""),"T179")</f>
        <v>T179</v>
      </c>
      <c r="B180" t="str">
        <f ca="1">IFERROR(__xludf.DUMMYFUNCTION("""COMPUTED_VALUE"""),"T180")</f>
        <v>T180</v>
      </c>
      <c r="C180" t="str">
        <f ca="1">IFERROR(__xludf.DUMMYFUNCTION("""COMPUTED_VALUE"""),"Sangmoon Bae")</f>
        <v>Sangmoon Bae</v>
      </c>
      <c r="D180">
        <f ca="1">IFERROR(__xludf.DUMMYFUNCTION("""COMPUTED_VALUE"""),8)</f>
        <v>8</v>
      </c>
      <c r="E180">
        <f ca="1">IFERROR(__xludf.DUMMYFUNCTION("""COMPUTED_VALUE"""),54.46)</f>
        <v>54.46</v>
      </c>
      <c r="F180">
        <f ca="1">IFERROR(__xludf.DUMMYFUNCTION("""COMPUTED_VALUE"""),61)</f>
        <v>61</v>
      </c>
      <c r="G180">
        <f ca="1">IFERROR(__xludf.DUMMYFUNCTION("""COMPUTED_VALUE"""),112)</f>
        <v>112</v>
      </c>
    </row>
    <row r="181" spans="1:7" ht="12.75">
      <c r="A181" t="str">
        <f ca="1">IFERROR(__xludf.DUMMYFUNCTION("""COMPUTED_VALUE"""),"T179")</f>
        <v>T179</v>
      </c>
      <c r="B181" t="str">
        <f ca="1">IFERROR(__xludf.DUMMYFUNCTION("""COMPUTED_VALUE"""),"T180")</f>
        <v>T180</v>
      </c>
      <c r="C181" t="str">
        <f ca="1">IFERROR(__xludf.DUMMYFUNCTION("""COMPUTED_VALUE"""),"Wesley Bryan")</f>
        <v>Wesley Bryan</v>
      </c>
      <c r="D181">
        <f ca="1">IFERROR(__xludf.DUMMYFUNCTION("""COMPUTED_VALUE"""),8)</f>
        <v>8</v>
      </c>
      <c r="E181">
        <f ca="1">IFERROR(__xludf.DUMMYFUNCTION("""COMPUTED_VALUE"""),54.46)</f>
        <v>54.46</v>
      </c>
      <c r="F181">
        <f ca="1">IFERROR(__xludf.DUMMYFUNCTION("""COMPUTED_VALUE"""),61)</f>
        <v>61</v>
      </c>
      <c r="G181">
        <f ca="1">IFERROR(__xludf.DUMMYFUNCTION("""COMPUTED_VALUE"""),112)</f>
        <v>112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IFERROR(__xludf.DUMMYFUNCTION("""COMPUTED_VALUE"""),183)</f>
        <v>183</v>
      </c>
      <c r="C182" t="str">
        <f ca="1">IFERROR(__xludf.DUMMYFUNCTION("""COMPUTED_VALUE"""),"Jim Herman")</f>
        <v>Jim Herman</v>
      </c>
      <c r="D182">
        <f ca="1">IFERROR(__xludf.DUMMYFUNCTION("""COMPUTED_VALUE"""),12)</f>
        <v>12</v>
      </c>
      <c r="E182">
        <f ca="1">IFERROR(__xludf.DUMMYFUNCTION("""COMPUTED_VALUE"""),54.27)</f>
        <v>54.27</v>
      </c>
      <c r="F182">
        <f ca="1">IFERROR(__xludf.DUMMYFUNCTION("""COMPUTED_VALUE"""),89)</f>
        <v>89</v>
      </c>
      <c r="G182">
        <f ca="1">IFERROR(__xludf.DUMMYFUNCTION("""COMPUTED_VALUE"""),164)</f>
        <v>164</v>
      </c>
    </row>
    <row r="183" spans="1:7" ht="12.75">
      <c r="A183">
        <f ca="1">IFERROR(__xludf.DUMMYFUNCTION("""COMPUTED_VALUE"""),182)</f>
        <v>182</v>
      </c>
      <c r="B183" t="str">
        <f ca="1">IFERROR(__xludf.DUMMYFUNCTION("""COMPUTED_VALUE"""),"T131")</f>
        <v>T131</v>
      </c>
      <c r="C183" t="str">
        <f ca="1">IFERROR(__xludf.DUMMYFUNCTION("""COMPUTED_VALUE"""),"Cameron Davis")</f>
        <v>Cameron Davis</v>
      </c>
      <c r="D183">
        <f ca="1">IFERROR(__xludf.DUMMYFUNCTION("""COMPUTED_VALUE"""),16)</f>
        <v>16</v>
      </c>
      <c r="E183">
        <f ca="1">IFERROR(__xludf.DUMMYFUNCTION("""COMPUTED_VALUE"""),54.09)</f>
        <v>54.09</v>
      </c>
      <c r="F183">
        <f ca="1">IFERROR(__xludf.DUMMYFUNCTION("""COMPUTED_VALUE"""),119)</f>
        <v>119</v>
      </c>
      <c r="G183">
        <f ca="1">IFERROR(__xludf.DUMMYFUNCTION("""COMPUTED_VALUE"""),220)</f>
        <v>220</v>
      </c>
    </row>
    <row r="184" spans="1:7" ht="12.75">
      <c r="A184" t="str">
        <f ca="1">IFERROR(__xludf.DUMMYFUNCTION("""COMPUTED_VALUE"""),"T183")</f>
        <v>T183</v>
      </c>
      <c r="B184" t="str">
        <f ca="1">IFERROR(__xludf.DUMMYFUNCTION("""COMPUTED_VALUE"""),"T186")</f>
        <v>T186</v>
      </c>
      <c r="C184" t="str">
        <f ca="1">IFERROR(__xludf.DUMMYFUNCTION("""COMPUTED_VALUE"""),"Hank Lebioda")</f>
        <v>Hank Lebioda</v>
      </c>
      <c r="D184">
        <f ca="1">IFERROR(__xludf.DUMMYFUNCTION("""COMPUTED_VALUE"""),14)</f>
        <v>14</v>
      </c>
      <c r="E184">
        <f ca="1">IFERROR(__xludf.DUMMYFUNCTION("""COMPUTED_VALUE"""),54.08)</f>
        <v>54.08</v>
      </c>
      <c r="F184">
        <f ca="1">IFERROR(__xludf.DUMMYFUNCTION("""COMPUTED_VALUE"""),106)</f>
        <v>106</v>
      </c>
      <c r="G184">
        <f ca="1">IFERROR(__xludf.DUMMYFUNCTION("""COMPUTED_VALUE"""),196)</f>
        <v>196</v>
      </c>
    </row>
    <row r="185" spans="1:7" ht="12.75">
      <c r="A185" t="str">
        <f ca="1">IFERROR(__xludf.DUMMYFUNCTION("""COMPUTED_VALUE"""),"T183")</f>
        <v>T183</v>
      </c>
      <c r="B185" t="str">
        <f ca="1">IFERROR(__xludf.DUMMYFUNCTION("""COMPUTED_VALUE"""),"T186")</f>
        <v>T186</v>
      </c>
      <c r="C185" t="str">
        <f ca="1">IFERROR(__xludf.DUMMYFUNCTION("""COMPUTED_VALUE"""),"Mark Anderson")</f>
        <v>Mark Anderson</v>
      </c>
      <c r="D185">
        <f ca="1">IFERROR(__xludf.DUMMYFUNCTION("""COMPUTED_VALUE"""),14)</f>
        <v>14</v>
      </c>
      <c r="E185">
        <f ca="1">IFERROR(__xludf.DUMMYFUNCTION("""COMPUTED_VALUE"""),54.08)</f>
        <v>54.08</v>
      </c>
      <c r="F185">
        <f ca="1">IFERROR(__xludf.DUMMYFUNCTION("""COMPUTED_VALUE"""),106)</f>
        <v>106</v>
      </c>
      <c r="G185">
        <f ca="1">IFERROR(__xludf.DUMMYFUNCTION("""COMPUTED_VALUE"""),196)</f>
        <v>196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IFERROR(__xludf.DUMMYFUNCTION("""COMPUTED_VALUE"""),"T162")</f>
        <v>T162</v>
      </c>
      <c r="C186" t="str">
        <f ca="1">IFERROR(__xludf.DUMMYFUNCTION("""COMPUTED_VALUE"""),"Luke List")</f>
        <v>Luke List</v>
      </c>
      <c r="D186">
        <f ca="1">IFERROR(__xludf.DUMMYFUNCTION("""COMPUTED_VALUE"""),18)</f>
        <v>18</v>
      </c>
      <c r="E186">
        <f ca="1">IFERROR(__xludf.DUMMYFUNCTION("""COMPUTED_VALUE"""),54)</f>
        <v>54</v>
      </c>
      <c r="F186">
        <f ca="1">IFERROR(__xludf.DUMMYFUNCTION("""COMPUTED_VALUE"""),135)</f>
        <v>135</v>
      </c>
      <c r="G186">
        <f ca="1">IFERROR(__xludf.DUMMYFUNCTION("""COMPUTED_VALUE"""),250)</f>
        <v>250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IFERROR(__xludf.DUMMYFUNCTION("""COMPUTED_VALUE"""),188)</f>
        <v>188</v>
      </c>
      <c r="C187" t="str">
        <f ca="1">IFERROR(__xludf.DUMMYFUNCTION("""COMPUTED_VALUE"""),"Ryo Ishikawa")</f>
        <v>Ryo Ishikawa</v>
      </c>
      <c r="D187">
        <f ca="1">IFERROR(__xludf.DUMMYFUNCTION("""COMPUTED_VALUE"""),8)</f>
        <v>8</v>
      </c>
      <c r="E187">
        <f ca="1">IFERROR(__xludf.DUMMYFUNCTION("""COMPUTED_VALUE"""),53.7)</f>
        <v>53.7</v>
      </c>
      <c r="F187">
        <f ca="1">IFERROR(__xludf.DUMMYFUNCTION("""COMPUTED_VALUE"""),58)</f>
        <v>58</v>
      </c>
      <c r="G187">
        <f ca="1">IFERROR(__xludf.DUMMYFUNCTION("""COMPUTED_VALUE"""),108)</f>
        <v>108</v>
      </c>
    </row>
    <row r="188" spans="1:7" ht="12.75">
      <c r="A188">
        <f ca="1">IFERROR(__xludf.DUMMYFUNCTION("""COMPUTED_VALUE"""),187)</f>
        <v>187</v>
      </c>
      <c r="B188" t="str">
        <f ca="1">IFERROR(__xludf.DUMMYFUNCTION("""COMPUTED_VALUE"""),"T228")</f>
        <v>T228</v>
      </c>
      <c r="C188" t="str">
        <f ca="1">IFERROR(__xludf.DUMMYFUNCTION("""COMPUTED_VALUE"""),"Erik van Rooyen")</f>
        <v>Erik van Rooyen</v>
      </c>
      <c r="D188">
        <f ca="1">IFERROR(__xludf.DUMMYFUNCTION("""COMPUTED_VALUE"""),10)</f>
        <v>10</v>
      </c>
      <c r="E188">
        <f ca="1">IFERROR(__xludf.DUMMYFUNCTION("""COMPUTED_VALUE"""),53.68)</f>
        <v>53.68</v>
      </c>
      <c r="F188">
        <f ca="1">IFERROR(__xludf.DUMMYFUNCTION("""COMPUTED_VALUE"""),73)</f>
        <v>73</v>
      </c>
      <c r="G188">
        <f ca="1">IFERROR(__xludf.DUMMYFUNCTION("""COMPUTED_VALUE"""),136)</f>
        <v>136</v>
      </c>
    </row>
    <row r="189" spans="1:7" ht="12.75">
      <c r="A189">
        <f ca="1">IFERROR(__xludf.DUMMYFUNCTION("""COMPUTED_VALUE"""),188)</f>
        <v>188</v>
      </c>
      <c r="B189" t="str">
        <f ca="1">IFERROR(__xludf.DUMMYFUNCTION("""COMPUTED_VALUE"""),"T198")</f>
        <v>T198</v>
      </c>
      <c r="C189" t="str">
        <f ca="1">IFERROR(__xludf.DUMMYFUNCTION("""COMPUTED_VALUE"""),"Shane Lowry")</f>
        <v>Shane Lowry</v>
      </c>
      <c r="D189">
        <f ca="1">IFERROR(__xludf.DUMMYFUNCTION("""COMPUTED_VALUE"""),14)</f>
        <v>14</v>
      </c>
      <c r="E189">
        <f ca="1">IFERROR(__xludf.DUMMYFUNCTION("""COMPUTED_VALUE"""),53.65)</f>
        <v>53.65</v>
      </c>
      <c r="F189">
        <f ca="1">IFERROR(__xludf.DUMMYFUNCTION("""COMPUTED_VALUE"""),103)</f>
        <v>103</v>
      </c>
      <c r="G189">
        <f ca="1">IFERROR(__xludf.DUMMYFUNCTION("""COMPUTED_VALUE"""),192)</f>
        <v>192</v>
      </c>
    </row>
    <row r="190" spans="1:7" ht="12.75">
      <c r="A190" t="str">
        <f ca="1">IFERROR(__xludf.DUMMYFUNCTION("""COMPUTED_VALUE"""),"T189")</f>
        <v>T189</v>
      </c>
      <c r="B190" t="str">
        <f ca="1">IFERROR(__xludf.DUMMYFUNCTION("""COMPUTED_VALUE"""),"T131")</f>
        <v>T131</v>
      </c>
      <c r="C190" t="str">
        <f ca="1">IFERROR(__xludf.DUMMYFUNCTION("""COMPUTED_VALUE"""),"Ted Potter, Jr.")</f>
        <v>Ted Potter, Jr.</v>
      </c>
      <c r="D190">
        <f ca="1">IFERROR(__xludf.DUMMYFUNCTION("""COMPUTED_VALUE"""),8)</f>
        <v>8</v>
      </c>
      <c r="E190">
        <f ca="1">IFERROR(__xludf.DUMMYFUNCTION("""COMPUTED_VALUE"""),53.64)</f>
        <v>53.64</v>
      </c>
      <c r="F190">
        <f ca="1">IFERROR(__xludf.DUMMYFUNCTION("""COMPUTED_VALUE"""),59)</f>
        <v>59</v>
      </c>
      <c r="G190">
        <f ca="1">IFERROR(__xludf.DUMMYFUNCTION("""COMPUTED_VALUE"""),110)</f>
        <v>110</v>
      </c>
    </row>
    <row r="191" spans="1:7" ht="12.75">
      <c r="A191" t="str">
        <f ca="1">IFERROR(__xludf.DUMMYFUNCTION("""COMPUTED_VALUE"""),"T189")</f>
        <v>T189</v>
      </c>
      <c r="B191">
        <f ca="1">IFERROR(__xludf.DUMMYFUNCTION("""COMPUTED_VALUE"""),189)</f>
        <v>189</v>
      </c>
      <c r="C191" t="str">
        <f ca="1">IFERROR(__xludf.DUMMYFUNCTION("""COMPUTED_VALUE"""),"Matthew Wolff")</f>
        <v>Matthew Wolff</v>
      </c>
      <c r="D191">
        <f ca="1">IFERROR(__xludf.DUMMYFUNCTION("""COMPUTED_VALUE"""),16)</f>
        <v>16</v>
      </c>
      <c r="E191">
        <f ca="1">IFERROR(__xludf.DUMMYFUNCTION("""COMPUTED_VALUE"""),53.64)</f>
        <v>53.64</v>
      </c>
      <c r="F191">
        <f ca="1">IFERROR(__xludf.DUMMYFUNCTION("""COMPUTED_VALUE"""),118)</f>
        <v>118</v>
      </c>
      <c r="G191">
        <f ca="1">IFERROR(__xludf.DUMMYFUNCTION("""COMPUTED_VALUE"""),220)</f>
        <v>220</v>
      </c>
    </row>
    <row r="192" spans="1:7" ht="12.75">
      <c r="A192" t="str">
        <f ca="1">IFERROR(__xludf.DUMMYFUNCTION("""COMPUTED_VALUE"""),"T191")</f>
        <v>T191</v>
      </c>
      <c r="B192" t="str">
        <f ca="1">IFERROR(__xludf.DUMMYFUNCTION("""COMPUTED_VALUE"""),"T171")</f>
        <v>T171</v>
      </c>
      <c r="C192" t="str">
        <f ca="1">IFERROR(__xludf.DUMMYFUNCTION("""COMPUTED_VALUE"""),"Scott Stallings")</f>
        <v>Scott Stallings</v>
      </c>
      <c r="D192">
        <f ca="1">IFERROR(__xludf.DUMMYFUNCTION("""COMPUTED_VALUE"""),14)</f>
        <v>14</v>
      </c>
      <c r="E192">
        <f ca="1">IFERROR(__xludf.DUMMYFUNCTION("""COMPUTED_VALUE"""),53.61)</f>
        <v>53.61</v>
      </c>
      <c r="F192">
        <f ca="1">IFERROR(__xludf.DUMMYFUNCTION("""COMPUTED_VALUE"""),104)</f>
        <v>104</v>
      </c>
      <c r="G192">
        <f ca="1">IFERROR(__xludf.DUMMYFUNCTION("""COMPUTED_VALUE"""),194)</f>
        <v>194</v>
      </c>
    </row>
    <row r="193" spans="1:7" ht="12.75">
      <c r="A193" t="str">
        <f ca="1">IFERROR(__xludf.DUMMYFUNCTION("""COMPUTED_VALUE"""),"T191")</f>
        <v>T191</v>
      </c>
      <c r="B193" t="str">
        <f ca="1">IFERROR(__xludf.DUMMYFUNCTION("""COMPUTED_VALUE"""),"T154")</f>
        <v>T154</v>
      </c>
      <c r="C193" t="str">
        <f ca="1">IFERROR(__xludf.DUMMYFUNCTION("""COMPUTED_VALUE"""),"Luke Donald")</f>
        <v>Luke Donald</v>
      </c>
      <c r="D193">
        <f ca="1">IFERROR(__xludf.DUMMYFUNCTION("""COMPUTED_VALUE"""),14)</f>
        <v>14</v>
      </c>
      <c r="E193">
        <f ca="1">IFERROR(__xludf.DUMMYFUNCTION("""COMPUTED_VALUE"""),53.61)</f>
        <v>53.61</v>
      </c>
      <c r="F193">
        <f ca="1">IFERROR(__xludf.DUMMYFUNCTION("""COMPUTED_VALUE"""),104)</f>
        <v>104</v>
      </c>
      <c r="G193">
        <f ca="1">IFERROR(__xludf.DUMMYFUNCTION("""COMPUTED_VALUE"""),194)</f>
        <v>194</v>
      </c>
    </row>
    <row r="194" spans="1:7" ht="12.75">
      <c r="A194">
        <f ca="1">IFERROR(__xludf.DUMMYFUNCTION("""COMPUTED_VALUE"""),193)</f>
        <v>193</v>
      </c>
      <c r="B194" t="str">
        <f ca="1">IFERROR(__xludf.DUMMYFUNCTION("""COMPUTED_VALUE"""),"T171")</f>
        <v>T171</v>
      </c>
      <c r="C194" t="str">
        <f ca="1">IFERROR(__xludf.DUMMYFUNCTION("""COMPUTED_VALUE"""),"Rory Sabbatini")</f>
        <v>Rory Sabbatini</v>
      </c>
      <c r="D194">
        <f ca="1">IFERROR(__xludf.DUMMYFUNCTION("""COMPUTED_VALUE"""),13)</f>
        <v>13</v>
      </c>
      <c r="E194">
        <f ca="1">IFERROR(__xludf.DUMMYFUNCTION("""COMPUTED_VALUE"""),53.59)</f>
        <v>53.59</v>
      </c>
      <c r="F194">
        <f ca="1">IFERROR(__xludf.DUMMYFUNCTION("""COMPUTED_VALUE"""),97)</f>
        <v>97</v>
      </c>
      <c r="G194">
        <f ca="1">IFERROR(__xludf.DUMMYFUNCTION("""COMPUTED_VALUE"""),181)</f>
        <v>181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IFERROR(__xludf.DUMMYFUNCTION("""COMPUTED_VALUE"""),"T190")</f>
        <v>T190</v>
      </c>
      <c r="C195" t="str">
        <f ca="1">IFERROR(__xludf.DUMMYFUNCTION("""COMPUTED_VALUE"""),"Ian Poulter")</f>
        <v>Ian Poulter</v>
      </c>
      <c r="D195">
        <f ca="1">IFERROR(__xludf.DUMMYFUNCTION("""COMPUTED_VALUE"""),6)</f>
        <v>6</v>
      </c>
      <c r="E195">
        <f ca="1">IFERROR(__xludf.DUMMYFUNCTION("""COMPUTED_VALUE"""),53.57)</f>
        <v>53.57</v>
      </c>
      <c r="F195">
        <f ca="1">IFERROR(__xludf.DUMMYFUNCTION("""COMPUTED_VALUE"""),45)</f>
        <v>45</v>
      </c>
      <c r="G195">
        <f ca="1">IFERROR(__xludf.DUMMYFUNCTION("""COMPUTED_VALUE"""),84)</f>
        <v>84</v>
      </c>
    </row>
    <row r="196" spans="1:7" ht="12.75">
      <c r="A196" t="str">
        <f ca="1">IFERROR(__xludf.DUMMYFUNCTION("""COMPUTED_VALUE"""),"T194")</f>
        <v>T194</v>
      </c>
      <c r="B196" t="str">
        <f ca="1">IFERROR(__xludf.DUMMYFUNCTION("""COMPUTED_VALUE"""),"T190")</f>
        <v>T190</v>
      </c>
      <c r="C196" t="str">
        <f ca="1">IFERROR(__xludf.DUMMYFUNCTION("""COMPUTED_VALUE"""),"John Senden")</f>
        <v>John Senden</v>
      </c>
      <c r="D196">
        <f ca="1">IFERROR(__xludf.DUMMYFUNCTION("""COMPUTED_VALUE"""),8)</f>
        <v>8</v>
      </c>
      <c r="E196">
        <f ca="1">IFERROR(__xludf.DUMMYFUNCTION("""COMPUTED_VALUE"""),53.57)</f>
        <v>53.57</v>
      </c>
      <c r="F196">
        <f ca="1">IFERROR(__xludf.DUMMYFUNCTION("""COMPUTED_VALUE"""),60)</f>
        <v>60</v>
      </c>
      <c r="G196">
        <f ca="1">IFERROR(__xludf.DUMMYFUNCTION("""COMPUTED_VALUE"""),112)</f>
        <v>112</v>
      </c>
    </row>
    <row r="197" spans="1:7" ht="12.75">
      <c r="A197" t="str">
        <f ca="1">IFERROR(__xludf.DUMMYFUNCTION("""COMPUTED_VALUE"""),"T194")</f>
        <v>T194</v>
      </c>
      <c r="B197" t="str">
        <f ca="1">IFERROR(__xludf.DUMMYFUNCTION("""COMPUTED_VALUE"""),"T190")</f>
        <v>T190</v>
      </c>
      <c r="C197" t="str">
        <f ca="1">IFERROR(__xludf.DUMMYFUNCTION("""COMPUTED_VALUE"""),"Charles Howell III")</f>
        <v>Charles Howell III</v>
      </c>
      <c r="D197">
        <f ca="1">IFERROR(__xludf.DUMMYFUNCTION("""COMPUTED_VALUE"""),10)</f>
        <v>10</v>
      </c>
      <c r="E197">
        <f ca="1">IFERROR(__xludf.DUMMYFUNCTION("""COMPUTED_VALUE"""),53.57)</f>
        <v>53.57</v>
      </c>
      <c r="F197">
        <f ca="1">IFERROR(__xludf.DUMMYFUNCTION("""COMPUTED_VALUE"""),75)</f>
        <v>75</v>
      </c>
      <c r="G197">
        <f ca="1">IFERROR(__xludf.DUMMYFUNCTION("""COMPUTED_VALUE"""),140)</f>
        <v>140</v>
      </c>
    </row>
    <row r="198" spans="1:7" ht="12.75">
      <c r="A198">
        <f ca="1">IFERROR(__xludf.DUMMYFUNCTION("""COMPUTED_VALUE"""),197)</f>
        <v>197</v>
      </c>
      <c r="B198" t="str">
        <f ca="1">IFERROR(__xludf.DUMMYFUNCTION("""COMPUTED_VALUE"""),"T148")</f>
        <v>T148</v>
      </c>
      <c r="C198" t="str">
        <f ca="1">IFERROR(__xludf.DUMMYFUNCTION("""COMPUTED_VALUE"""),"Cameron Tringale")</f>
        <v>Cameron Tringale</v>
      </c>
      <c r="D198">
        <f ca="1">IFERROR(__xludf.DUMMYFUNCTION("""COMPUTED_VALUE"""),16)</f>
        <v>16</v>
      </c>
      <c r="E198">
        <f ca="1">IFERROR(__xludf.DUMMYFUNCTION("""COMPUTED_VALUE"""),53.18)</f>
        <v>53.18</v>
      </c>
      <c r="F198">
        <f ca="1">IFERROR(__xludf.DUMMYFUNCTION("""COMPUTED_VALUE"""),117)</f>
        <v>117</v>
      </c>
      <c r="G198">
        <f ca="1">IFERROR(__xludf.DUMMYFUNCTION("""COMPUTED_VALUE"""),220)</f>
        <v>220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IFERROR(__xludf.DUMMYFUNCTION("""COMPUTED_VALUE"""),195)</f>
        <v>195</v>
      </c>
      <c r="C199" t="str">
        <f ca="1">IFERROR(__xludf.DUMMYFUNCTION("""COMPUTED_VALUE"""),"Daniel Berger")</f>
        <v>Daniel Berger</v>
      </c>
      <c r="D199">
        <f ca="1">IFERROR(__xludf.DUMMYFUNCTION("""COMPUTED_VALUE"""),12)</f>
        <v>12</v>
      </c>
      <c r="E199">
        <f ca="1">IFERROR(__xludf.DUMMYFUNCTION("""COMPUTED_VALUE"""),53.05)</f>
        <v>53.05</v>
      </c>
      <c r="F199">
        <f ca="1">IFERROR(__xludf.DUMMYFUNCTION("""COMPUTED_VALUE"""),87)</f>
        <v>87</v>
      </c>
      <c r="G199">
        <f ca="1">IFERROR(__xludf.DUMMYFUNCTION("""COMPUTED_VALUE"""),164)</f>
        <v>164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IFERROR(__xludf.DUMMYFUNCTION("""COMPUTED_VALUE"""),197)</f>
        <v>197</v>
      </c>
      <c r="C200" t="str">
        <f ca="1">IFERROR(__xludf.DUMMYFUNCTION("""COMPUTED_VALUE"""),"Justin Rose")</f>
        <v>Justin Rose</v>
      </c>
      <c r="D200">
        <f ca="1">IFERROR(__xludf.DUMMYFUNCTION("""COMPUTED_VALUE"""),10)</f>
        <v>10</v>
      </c>
      <c r="E200">
        <f ca="1">IFERROR(__xludf.DUMMYFUNCTION("""COMPUTED_VALUE"""),52.94)</f>
        <v>52.94</v>
      </c>
      <c r="F200">
        <f ca="1">IFERROR(__xludf.DUMMYFUNCTION("""COMPUTED_VALUE"""),72)</f>
        <v>72</v>
      </c>
      <c r="G200">
        <f ca="1">IFERROR(__xludf.DUMMYFUNCTION("""COMPUTED_VALUE"""),136)</f>
        <v>136</v>
      </c>
    </row>
    <row r="201" spans="1:7" ht="12.75">
      <c r="A201">
        <f ca="1">IFERROR(__xludf.DUMMYFUNCTION("""COMPUTED_VALUE"""),200)</f>
        <v>200</v>
      </c>
      <c r="B201" t="str">
        <f ca="1">IFERROR(__xludf.DUMMYFUNCTION("""COMPUTED_VALUE"""),"T198")</f>
        <v>T198</v>
      </c>
      <c r="C201" t="str">
        <f ca="1">IFERROR(__xludf.DUMMYFUNCTION("""COMPUTED_VALUE"""),"Ryan Brehm")</f>
        <v>Ryan Brehm</v>
      </c>
      <c r="D201">
        <f ca="1">IFERROR(__xludf.DUMMYFUNCTION("""COMPUTED_VALUE"""),10)</f>
        <v>10</v>
      </c>
      <c r="E201">
        <f ca="1">IFERROR(__xludf.DUMMYFUNCTION("""COMPUTED_VALUE"""),52.86)</f>
        <v>52.86</v>
      </c>
      <c r="F201">
        <f ca="1">IFERROR(__xludf.DUMMYFUNCTION("""COMPUTED_VALUE"""),74)</f>
        <v>74</v>
      </c>
      <c r="G201">
        <f ca="1">IFERROR(__xludf.DUMMYFUNCTION("""COMPUTED_VALUE"""),140)</f>
        <v>140</v>
      </c>
    </row>
    <row r="202" spans="1:7" ht="12.75">
      <c r="A202">
        <f ca="1">IFERROR(__xludf.DUMMYFUNCTION("""COMPUTED_VALUE"""),201)</f>
        <v>201</v>
      </c>
      <c r="B202" t="str">
        <f ca="1">IFERROR(__xludf.DUMMYFUNCTION("""COMPUTED_VALUE"""),"T231")</f>
        <v>T231</v>
      </c>
      <c r="C202" t="str">
        <f ca="1">IFERROR(__xludf.DUMMYFUNCTION("""COMPUTED_VALUE"""),"Padraig Harrington")</f>
        <v>Padraig Harrington</v>
      </c>
      <c r="D202">
        <f ca="1">IFERROR(__xludf.DUMMYFUNCTION("""COMPUTED_VALUE"""),8)</f>
        <v>8</v>
      </c>
      <c r="E202">
        <f ca="1">IFERROR(__xludf.DUMMYFUNCTION("""COMPUTED_VALUE"""),52.78)</f>
        <v>52.78</v>
      </c>
      <c r="F202">
        <f ca="1">IFERROR(__xludf.DUMMYFUNCTION("""COMPUTED_VALUE"""),57)</f>
        <v>57</v>
      </c>
      <c r="G202">
        <f ca="1">IFERROR(__xludf.DUMMYFUNCTION("""COMPUTED_VALUE"""),108)</f>
        <v>108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IFERROR(__xludf.DUMMYFUNCTION("""COMPUTED_VALUE"""),167)</f>
        <v>167</v>
      </c>
      <c r="C203" t="str">
        <f ca="1">IFERROR(__xludf.DUMMYFUNCTION("""COMPUTED_VALUE"""),"Kevin Tway")</f>
        <v>Kevin Tway</v>
      </c>
      <c r="D203">
        <f ca="1">IFERROR(__xludf.DUMMYFUNCTION("""COMPUTED_VALUE"""),16)</f>
        <v>16</v>
      </c>
      <c r="E203">
        <f ca="1">IFERROR(__xludf.DUMMYFUNCTION("""COMPUTED_VALUE"""),52.7)</f>
        <v>52.7</v>
      </c>
      <c r="F203">
        <f ca="1">IFERROR(__xludf.DUMMYFUNCTION("""COMPUTED_VALUE"""),117)</f>
        <v>117</v>
      </c>
      <c r="G203">
        <f ca="1">IFERROR(__xludf.DUMMYFUNCTION("""COMPUTED_VALUE"""),222)</f>
        <v>222</v>
      </c>
    </row>
    <row r="204" spans="1:7" ht="12.75">
      <c r="A204" t="str">
        <f ca="1">IFERROR(__xludf.DUMMYFUNCTION("""COMPUTED_VALUE"""),"T203")</f>
        <v>T203</v>
      </c>
      <c r="B204" t="str">
        <f ca="1">IFERROR(__xludf.DUMMYFUNCTION("""COMPUTED_VALUE"""),"T201")</f>
        <v>T201</v>
      </c>
      <c r="C204" t="str">
        <f ca="1">IFERROR(__xludf.DUMMYFUNCTION("""COMPUTED_VALUE"""),"Bryson DeChambeau")</f>
        <v>Bryson DeChambeau</v>
      </c>
      <c r="D204">
        <f ca="1">IFERROR(__xludf.DUMMYFUNCTION("""COMPUTED_VALUE"""),8)</f>
        <v>8</v>
      </c>
      <c r="E204">
        <f ca="1">IFERROR(__xludf.DUMMYFUNCTION("""COMPUTED_VALUE"""),52.68)</f>
        <v>52.68</v>
      </c>
      <c r="F204">
        <f ca="1">IFERROR(__xludf.DUMMYFUNCTION("""COMPUTED_VALUE"""),59)</f>
        <v>59</v>
      </c>
      <c r="G204">
        <f ca="1">IFERROR(__xludf.DUMMYFUNCTION("""COMPUTED_VALUE"""),112)</f>
        <v>112</v>
      </c>
    </row>
    <row r="205" spans="1:7" ht="12.75">
      <c r="A205" t="str">
        <f ca="1">IFERROR(__xludf.DUMMYFUNCTION("""COMPUTED_VALUE"""),"T203")</f>
        <v>T203</v>
      </c>
      <c r="B205" t="str">
        <f ca="1">IFERROR(__xludf.DUMMYFUNCTION("""COMPUTED_VALUE"""),"T201")</f>
        <v>T201</v>
      </c>
      <c r="C205" t="str">
        <f ca="1">IFERROR(__xludf.DUMMYFUNCTION("""COMPUTED_VALUE"""),"Nelson Ledesma")</f>
        <v>Nelson Ledesma</v>
      </c>
      <c r="D205">
        <f ca="1">IFERROR(__xludf.DUMMYFUNCTION("""COMPUTED_VALUE"""),8)</f>
        <v>8</v>
      </c>
      <c r="E205">
        <f ca="1">IFERROR(__xludf.DUMMYFUNCTION("""COMPUTED_VALUE"""),52.68)</f>
        <v>52.68</v>
      </c>
      <c r="F205">
        <f ca="1">IFERROR(__xludf.DUMMYFUNCTION("""COMPUTED_VALUE"""),59)</f>
        <v>59</v>
      </c>
      <c r="G205">
        <f ca="1">IFERROR(__xludf.DUMMYFUNCTION("""COMPUTED_VALUE"""),112)</f>
        <v>112</v>
      </c>
    </row>
    <row r="206" spans="1:7" ht="12.75">
      <c r="A206">
        <f ca="1">IFERROR(__xludf.DUMMYFUNCTION("""COMPUTED_VALUE"""),205)</f>
        <v>205</v>
      </c>
      <c r="B206" t="str">
        <f ca="1">IFERROR(__xludf.DUMMYFUNCTION("""COMPUTED_VALUE"""),"T203")</f>
        <v>T203</v>
      </c>
      <c r="C206" t="str">
        <f ca="1">IFERROR(__xludf.DUMMYFUNCTION("""COMPUTED_VALUE"""),"Sung Kang")</f>
        <v>Sung Kang</v>
      </c>
      <c r="D206">
        <f ca="1">IFERROR(__xludf.DUMMYFUNCTION("""COMPUTED_VALUE"""),14)</f>
        <v>14</v>
      </c>
      <c r="E206">
        <f ca="1">IFERROR(__xludf.DUMMYFUNCTION("""COMPUTED_VALUE"""),52.58)</f>
        <v>52.58</v>
      </c>
      <c r="F206">
        <f ca="1">IFERROR(__xludf.DUMMYFUNCTION("""COMPUTED_VALUE"""),102)</f>
        <v>102</v>
      </c>
      <c r="G206">
        <f ca="1">IFERROR(__xludf.DUMMYFUNCTION("""COMPUTED_VALUE"""),194)</f>
        <v>194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IFERROR(__xludf.DUMMYFUNCTION("""COMPUTED_VALUE"""),227)</f>
        <v>227</v>
      </c>
      <c r="C207" t="str">
        <f ca="1">IFERROR(__xludf.DUMMYFUNCTION("""COMPUTED_VALUE"""),"Max Homa")</f>
        <v>Max Homa</v>
      </c>
      <c r="D207">
        <f ca="1">IFERROR(__xludf.DUMMYFUNCTION("""COMPUTED_VALUE"""),12)</f>
        <v>12</v>
      </c>
      <c r="E207">
        <f ca="1">IFERROR(__xludf.DUMMYFUNCTION("""COMPUTED_VALUE"""),52.44)</f>
        <v>52.44</v>
      </c>
      <c r="F207">
        <f ca="1">IFERROR(__xludf.DUMMYFUNCTION("""COMPUTED_VALUE"""),86)</f>
        <v>86</v>
      </c>
      <c r="G207">
        <f ca="1">IFERROR(__xludf.DUMMYFUNCTION("""COMPUTED_VALUE"""),164)</f>
        <v>164</v>
      </c>
    </row>
    <row r="208" spans="1:7" ht="12.75">
      <c r="A208">
        <f ca="1">IFERROR(__xludf.DUMMYFUNCTION("""COMPUTED_VALUE"""),207)</f>
        <v>207</v>
      </c>
      <c r="B208" t="str">
        <f ca="1">IFERROR(__xludf.DUMMYFUNCTION("""COMPUTED_VALUE"""),"T190")</f>
        <v>T190</v>
      </c>
      <c r="C208" t="str">
        <f ca="1">IFERROR(__xludf.DUMMYFUNCTION("""COMPUTED_VALUE"""),"Lucas Glover")</f>
        <v>Lucas Glover</v>
      </c>
      <c r="D208">
        <f ca="1">IFERROR(__xludf.DUMMYFUNCTION("""COMPUTED_VALUE"""),12)</f>
        <v>12</v>
      </c>
      <c r="E208">
        <f ca="1">IFERROR(__xludf.DUMMYFUNCTION("""COMPUTED_VALUE"""),52.41)</f>
        <v>52.41</v>
      </c>
      <c r="F208">
        <f ca="1">IFERROR(__xludf.DUMMYFUNCTION("""COMPUTED_VALUE"""),87)</f>
        <v>87</v>
      </c>
      <c r="G208">
        <f ca="1">IFERROR(__xludf.DUMMYFUNCTION("""COMPUTED_VALUE"""),166)</f>
        <v>166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IFERROR(__xludf.DUMMYFUNCTION("""COMPUTED_VALUE"""),207)</f>
        <v>207</v>
      </c>
      <c r="C209" t="str">
        <f ca="1">IFERROR(__xludf.DUMMYFUNCTION("""COMPUTED_VALUE"""),"Andrew Putnam")</f>
        <v>Andrew Putnam</v>
      </c>
      <c r="D209">
        <f ca="1">IFERROR(__xludf.DUMMYFUNCTION("""COMPUTED_VALUE"""),19)</f>
        <v>19</v>
      </c>
      <c r="E209">
        <f ca="1">IFERROR(__xludf.DUMMYFUNCTION("""COMPUTED_VALUE"""),52.27)</f>
        <v>52.27</v>
      </c>
      <c r="F209">
        <f ca="1">IFERROR(__xludf.DUMMYFUNCTION("""COMPUTED_VALUE"""),138)</f>
        <v>138</v>
      </c>
      <c r="G209">
        <f ca="1">IFERROR(__xludf.DUMMYFUNCTION("""COMPUTED_VALUE"""),264)</f>
        <v>264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IFERROR(__xludf.DUMMYFUNCTION("""COMPUTED_VALUE"""),"T203")</f>
        <v>T203</v>
      </c>
      <c r="C210" t="str">
        <f ca="1">IFERROR(__xludf.DUMMYFUNCTION("""COMPUTED_VALUE"""),"Seonghyeon Kim")</f>
        <v>Seonghyeon Kim</v>
      </c>
      <c r="D210">
        <f ca="1">IFERROR(__xludf.DUMMYFUNCTION("""COMPUTED_VALUE"""),4)</f>
        <v>4</v>
      </c>
      <c r="E210">
        <f ca="1">IFERROR(__xludf.DUMMYFUNCTION("""COMPUTED_VALUE"""),51.79)</f>
        <v>51.79</v>
      </c>
      <c r="F210">
        <f ca="1">IFERROR(__xludf.DUMMYFUNCTION("""COMPUTED_VALUE"""),29)</f>
        <v>29</v>
      </c>
      <c r="G210">
        <f ca="1">IFERROR(__xludf.DUMMYFUNCTION("""COMPUTED_VALUE"""),56)</f>
        <v>56</v>
      </c>
    </row>
    <row r="211" spans="1:7" ht="12.75">
      <c r="A211" t="str">
        <f ca="1">IFERROR(__xludf.DUMMYFUNCTION("""COMPUTED_VALUE"""),"T209")</f>
        <v>T209</v>
      </c>
      <c r="B211" t="str">
        <f ca="1">IFERROR(__xludf.DUMMYFUNCTION("""COMPUTED_VALUE"""),"T203")</f>
        <v>T203</v>
      </c>
      <c r="C211" t="str">
        <f ca="1">IFERROR(__xludf.DUMMYFUNCTION("""COMPUTED_VALUE"""),"Aaron Baddeley")</f>
        <v>Aaron Baddeley</v>
      </c>
      <c r="D211">
        <f ca="1">IFERROR(__xludf.DUMMYFUNCTION("""COMPUTED_VALUE"""),8)</f>
        <v>8</v>
      </c>
      <c r="E211">
        <f ca="1">IFERROR(__xludf.DUMMYFUNCTION("""COMPUTED_VALUE"""),51.79)</f>
        <v>51.79</v>
      </c>
      <c r="F211">
        <f ca="1">IFERROR(__xludf.DUMMYFUNCTION("""COMPUTED_VALUE"""),58)</f>
        <v>58</v>
      </c>
      <c r="G211">
        <f ca="1">IFERROR(__xludf.DUMMYFUNCTION("""COMPUTED_VALUE"""),112)</f>
        <v>112</v>
      </c>
    </row>
    <row r="212" spans="1:7" ht="12.75">
      <c r="A212" t="str">
        <f ca="1">IFERROR(__xludf.DUMMYFUNCTION("""COMPUTED_VALUE"""),"T209")</f>
        <v>T209</v>
      </c>
      <c r="B212" t="str">
        <f ca="1">IFERROR(__xludf.DUMMYFUNCTION("""COMPUTED_VALUE"""),"T203")</f>
        <v>T203</v>
      </c>
      <c r="C212" t="str">
        <f ca="1">IFERROR(__xludf.DUMMYFUNCTION("""COMPUTED_VALUE"""),"Anirban Lahiri")</f>
        <v>Anirban Lahiri</v>
      </c>
      <c r="D212">
        <f ca="1">IFERROR(__xludf.DUMMYFUNCTION("""COMPUTED_VALUE"""),16)</f>
        <v>16</v>
      </c>
      <c r="E212">
        <f ca="1">IFERROR(__xludf.DUMMYFUNCTION("""COMPUTED_VALUE"""),51.79)</f>
        <v>51.79</v>
      </c>
      <c r="F212">
        <f ca="1">IFERROR(__xludf.DUMMYFUNCTION("""COMPUTED_VALUE"""),116)</f>
        <v>116</v>
      </c>
      <c r="G212">
        <f ca="1">IFERROR(__xludf.DUMMYFUNCTION("""COMPUTED_VALUE"""),224)</f>
        <v>224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IFERROR(__xludf.DUMMYFUNCTION("""COMPUTED_VALUE"""),"T198")</f>
        <v>T198</v>
      </c>
      <c r="C213" t="str">
        <f ca="1">IFERROR(__xludf.DUMMYFUNCTION("""COMPUTED_VALUE"""),"Beau Hossler")</f>
        <v>Beau Hossler</v>
      </c>
      <c r="D213">
        <f ca="1">IFERROR(__xludf.DUMMYFUNCTION("""COMPUTED_VALUE"""),22)</f>
        <v>22</v>
      </c>
      <c r="E213">
        <f ca="1">IFERROR(__xludf.DUMMYFUNCTION("""COMPUTED_VALUE"""),51.63)</f>
        <v>51.63</v>
      </c>
      <c r="F213">
        <f ca="1">IFERROR(__xludf.DUMMYFUNCTION("""COMPUTED_VALUE"""),158)</f>
        <v>158</v>
      </c>
      <c r="G213">
        <f ca="1">IFERROR(__xludf.DUMMYFUNCTION("""COMPUTED_VALUE"""),306)</f>
        <v>306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IFERROR(__xludf.DUMMYFUNCTION("""COMPUTED_VALUE"""),208)</f>
        <v>208</v>
      </c>
      <c r="C214" t="str">
        <f ca="1">IFERROR(__xludf.DUMMYFUNCTION("""COMPUTED_VALUE"""),"Jonathan Byrd")</f>
        <v>Jonathan Byrd</v>
      </c>
      <c r="D214">
        <f ca="1">IFERROR(__xludf.DUMMYFUNCTION("""COMPUTED_VALUE"""),14)</f>
        <v>14</v>
      </c>
      <c r="E214">
        <f ca="1">IFERROR(__xludf.DUMMYFUNCTION("""COMPUTED_VALUE"""),51.53)</f>
        <v>51.53</v>
      </c>
      <c r="F214">
        <f ca="1">IFERROR(__xludf.DUMMYFUNCTION("""COMPUTED_VALUE"""),101)</f>
        <v>101</v>
      </c>
      <c r="G214">
        <f ca="1">IFERROR(__xludf.DUMMYFUNCTION("""COMPUTED_VALUE"""),196)</f>
        <v>196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IFERROR(__xludf.DUMMYFUNCTION("""COMPUTED_VALUE"""),179)</f>
        <v>179</v>
      </c>
      <c r="C215" t="str">
        <f ca="1">IFERROR(__xludf.DUMMYFUNCTION("""COMPUTED_VALUE"""),"Tony Finau")</f>
        <v>Tony Finau</v>
      </c>
      <c r="D215">
        <f ca="1">IFERROR(__xludf.DUMMYFUNCTION("""COMPUTED_VALUE"""),12)</f>
        <v>12</v>
      </c>
      <c r="E215">
        <f ca="1">IFERROR(__xludf.DUMMYFUNCTION("""COMPUTED_VALUE"""),51.25)</f>
        <v>51.25</v>
      </c>
      <c r="F215">
        <f ca="1">IFERROR(__xludf.DUMMYFUNCTION("""COMPUTED_VALUE"""),82)</f>
        <v>82</v>
      </c>
      <c r="G215">
        <f ca="1">IFERROR(__xludf.DUMMYFUNCTION("""COMPUTED_VALUE"""),160)</f>
        <v>160</v>
      </c>
    </row>
    <row r="216" spans="1:7" ht="12.75">
      <c r="A216">
        <f ca="1">IFERROR(__xludf.DUMMYFUNCTION("""COMPUTED_VALUE"""),215)</f>
        <v>215</v>
      </c>
      <c r="B216" t="str">
        <f ca="1">IFERROR(__xludf.DUMMYFUNCTION("""COMPUTED_VALUE"""),"T209")</f>
        <v>T209</v>
      </c>
      <c r="C216" t="str">
        <f ca="1">IFERROR(__xludf.DUMMYFUNCTION("""COMPUTED_VALUE"""),"Charl Schwartzel")</f>
        <v>Charl Schwartzel</v>
      </c>
      <c r="D216">
        <f ca="1">IFERROR(__xludf.DUMMYFUNCTION("""COMPUTED_VALUE"""),12)</f>
        <v>12</v>
      </c>
      <c r="E216">
        <f ca="1">IFERROR(__xludf.DUMMYFUNCTION("""COMPUTED_VALUE"""),51.2)</f>
        <v>51.2</v>
      </c>
      <c r="F216">
        <f ca="1">IFERROR(__xludf.DUMMYFUNCTION("""COMPUTED_VALUE"""),85)</f>
        <v>85</v>
      </c>
      <c r="G216">
        <f ca="1">IFERROR(__xludf.DUMMYFUNCTION("""COMPUTED_VALUE"""),166)</f>
        <v>166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IFERROR(__xludf.DUMMYFUNCTION("""COMPUTED_VALUE"""),211)</f>
        <v>211</v>
      </c>
      <c r="C217" t="str">
        <f ca="1">IFERROR(__xludf.DUMMYFUNCTION("""COMPUTED_VALUE"""),"Alex Cejka")</f>
        <v>Alex Cejka</v>
      </c>
      <c r="D217">
        <f ca="1">IFERROR(__xludf.DUMMYFUNCTION("""COMPUTED_VALUE"""),6)</f>
        <v>6</v>
      </c>
      <c r="E217">
        <f ca="1">IFERROR(__xludf.DUMMYFUNCTION("""COMPUTED_VALUE"""),51.19)</f>
        <v>51.19</v>
      </c>
      <c r="F217">
        <f ca="1">IFERROR(__xludf.DUMMYFUNCTION("""COMPUTED_VALUE"""),43)</f>
        <v>43</v>
      </c>
      <c r="G217">
        <f ca="1">IFERROR(__xludf.DUMMYFUNCTION("""COMPUTED_VALUE"""),84)</f>
        <v>84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IFERROR(__xludf.DUMMYFUNCTION("""COMPUTED_VALUE"""),212)</f>
        <v>212</v>
      </c>
      <c r="C218" t="str">
        <f ca="1">IFERROR(__xludf.DUMMYFUNCTION("""COMPUTED_VALUE"""),"Byeong Hun An")</f>
        <v>Byeong Hun An</v>
      </c>
      <c r="D218">
        <f ca="1">IFERROR(__xludf.DUMMYFUNCTION("""COMPUTED_VALUE"""),14)</f>
        <v>14</v>
      </c>
      <c r="E218">
        <f ca="1">IFERROR(__xludf.DUMMYFUNCTION("""COMPUTED_VALUE"""),51.04)</f>
        <v>51.04</v>
      </c>
      <c r="F218">
        <f ca="1">IFERROR(__xludf.DUMMYFUNCTION("""COMPUTED_VALUE"""),98)</f>
        <v>98</v>
      </c>
      <c r="G218">
        <f ca="1">IFERROR(__xludf.DUMMYFUNCTION("""COMPUTED_VALUE"""),192)</f>
        <v>192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IFERROR(__xludf.DUMMYFUNCTION("""COMPUTED_VALUE"""),"T224")</f>
        <v>T224</v>
      </c>
      <c r="C219" t="str">
        <f ca="1">IFERROR(__xludf.DUMMYFUNCTION("""COMPUTED_VALUE"""),"J.T. Poston")</f>
        <v>J.T. Poston</v>
      </c>
      <c r="D219">
        <f ca="1">IFERROR(__xludf.DUMMYFUNCTION("""COMPUTED_VALUE"""),18)</f>
        <v>18</v>
      </c>
      <c r="E219">
        <f ca="1">IFERROR(__xludf.DUMMYFUNCTION("""COMPUTED_VALUE"""),50.81)</f>
        <v>50.81</v>
      </c>
      <c r="F219">
        <f ca="1">IFERROR(__xludf.DUMMYFUNCTION("""COMPUTED_VALUE"""),126)</f>
        <v>126</v>
      </c>
      <c r="G219">
        <f ca="1">IFERROR(__xludf.DUMMYFUNCTION("""COMPUTED_VALUE"""),248)</f>
        <v>248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IFERROR(__xludf.DUMMYFUNCTION("""COMPUTED_VALUE"""),213)</f>
        <v>213</v>
      </c>
      <c r="C220" t="str">
        <f ca="1">IFERROR(__xludf.DUMMYFUNCTION("""COMPUTED_VALUE"""),"Bronson Burgoon")</f>
        <v>Bronson Burgoon</v>
      </c>
      <c r="D220">
        <f ca="1">IFERROR(__xludf.DUMMYFUNCTION("""COMPUTED_VALUE"""),10)</f>
        <v>10</v>
      </c>
      <c r="E220">
        <f ca="1">IFERROR(__xludf.DUMMYFUNCTION("""COMPUTED_VALUE"""),50.72)</f>
        <v>50.72</v>
      </c>
      <c r="F220">
        <f ca="1">IFERROR(__xludf.DUMMYFUNCTION("""COMPUTED_VALUE"""),70)</f>
        <v>70</v>
      </c>
      <c r="G220">
        <f ca="1">IFERROR(__xludf.DUMMYFUNCTION("""COMPUTED_VALUE"""),138)</f>
        <v>138</v>
      </c>
    </row>
    <row r="221" spans="1:7" ht="12.75">
      <c r="A221">
        <f ca="1">IFERROR(__xludf.DUMMYFUNCTION("""COMPUTED_VALUE"""),220)</f>
        <v>220</v>
      </c>
      <c r="B221" t="str">
        <f ca="1">IFERROR(__xludf.DUMMYFUNCTION("""COMPUTED_VALUE"""),"T209")</f>
        <v>T209</v>
      </c>
      <c r="C221" t="str">
        <f ca="1">IFERROR(__xludf.DUMMYFUNCTION("""COMPUTED_VALUE"""),"D.A. Points")</f>
        <v>D.A. Points</v>
      </c>
      <c r="D221">
        <f ca="1">IFERROR(__xludf.DUMMYFUNCTION("""COMPUTED_VALUE"""),12)</f>
        <v>12</v>
      </c>
      <c r="E221">
        <f ca="1">IFERROR(__xludf.DUMMYFUNCTION("""COMPUTED_VALUE"""),50.6)</f>
        <v>50.6</v>
      </c>
      <c r="F221">
        <f ca="1">IFERROR(__xludf.DUMMYFUNCTION("""COMPUTED_VALUE"""),84)</f>
        <v>84</v>
      </c>
      <c r="G221">
        <f ca="1">IFERROR(__xludf.DUMMYFUNCTION("""COMPUTED_VALUE"""),166)</f>
        <v>166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IFERROR(__xludf.DUMMYFUNCTION("""COMPUTED_VALUE"""),216)</f>
        <v>216</v>
      </c>
      <c r="C222" t="str">
        <f ca="1">IFERROR(__xludf.DUMMYFUNCTION("""COMPUTED_VALUE"""),"Rafa Cabrera Bello")</f>
        <v>Rafa Cabrera Bello</v>
      </c>
      <c r="D222">
        <f ca="1">IFERROR(__xludf.DUMMYFUNCTION("""COMPUTED_VALUE"""),14)</f>
        <v>14</v>
      </c>
      <c r="E222">
        <f ca="1">IFERROR(__xludf.DUMMYFUNCTION("""COMPUTED_VALUE"""),50.51)</f>
        <v>50.51</v>
      </c>
      <c r="F222">
        <f ca="1">IFERROR(__xludf.DUMMYFUNCTION("""COMPUTED_VALUE"""),99)</f>
        <v>99</v>
      </c>
      <c r="G222">
        <f ca="1">IFERROR(__xludf.DUMMYFUNCTION("""COMPUTED_VALUE"""),196)</f>
        <v>196</v>
      </c>
    </row>
    <row r="223" spans="1:7" ht="12.75">
      <c r="A223" t="str">
        <f ca="1">IFERROR(__xludf.DUMMYFUNCTION("""COMPUTED_VALUE"""),"T222")</f>
        <v>T222</v>
      </c>
      <c r="B223" t="str">
        <f ca="1">IFERROR(__xludf.DUMMYFUNCTION("""COMPUTED_VALUE"""),"T217")</f>
        <v>T217</v>
      </c>
      <c r="C223" t="str">
        <f ca="1">IFERROR(__xludf.DUMMYFUNCTION("""COMPUTED_VALUE"""),"Bill Haas")</f>
        <v>Bill Haas</v>
      </c>
      <c r="D223">
        <f ca="1">IFERROR(__xludf.DUMMYFUNCTION("""COMPUTED_VALUE"""),10)</f>
        <v>10</v>
      </c>
      <c r="E223">
        <f ca="1">IFERROR(__xludf.DUMMYFUNCTION("""COMPUTED_VALUE"""),50)</f>
        <v>50</v>
      </c>
      <c r="F223">
        <f ca="1">IFERROR(__xludf.DUMMYFUNCTION("""COMPUTED_VALUE"""),70)</f>
        <v>70</v>
      </c>
      <c r="G223">
        <f ca="1">IFERROR(__xludf.DUMMYFUNCTION("""COMPUTED_VALUE"""),140)</f>
        <v>140</v>
      </c>
    </row>
    <row r="224" spans="1:7" ht="12.75">
      <c r="A224" t="str">
        <f ca="1">IFERROR(__xludf.DUMMYFUNCTION("""COMPUTED_VALUE"""),"T222")</f>
        <v>T222</v>
      </c>
      <c r="B224" t="str">
        <f ca="1">IFERROR(__xludf.DUMMYFUNCTION("""COMPUTED_VALUE"""),"T217")</f>
        <v>T217</v>
      </c>
      <c r="C224" t="str">
        <f ca="1">IFERROR(__xludf.DUMMYFUNCTION("""COMPUTED_VALUE"""),"Lee Westwood")</f>
        <v>Lee Westwood</v>
      </c>
      <c r="D224">
        <f ca="1">IFERROR(__xludf.DUMMYFUNCTION("""COMPUTED_VALUE"""),6)</f>
        <v>6</v>
      </c>
      <c r="E224">
        <f ca="1">IFERROR(__xludf.DUMMYFUNCTION("""COMPUTED_VALUE"""),50)</f>
        <v>50</v>
      </c>
      <c r="F224">
        <f ca="1">IFERROR(__xludf.DUMMYFUNCTION("""COMPUTED_VALUE"""),41)</f>
        <v>41</v>
      </c>
      <c r="G224">
        <f ca="1">IFERROR(__xludf.DUMMYFUNCTION("""COMPUTED_VALUE"""),82)</f>
        <v>82</v>
      </c>
    </row>
    <row r="225" spans="1:7" ht="12.75">
      <c r="A225" t="str">
        <f ca="1">IFERROR(__xludf.DUMMYFUNCTION("""COMPUTED_VALUE"""),"T222")</f>
        <v>T222</v>
      </c>
      <c r="B225" t="str">
        <f ca="1">IFERROR(__xludf.DUMMYFUNCTION("""COMPUTED_VALUE"""),"T217")</f>
        <v>T217</v>
      </c>
      <c r="C225" t="str">
        <f ca="1">IFERROR(__xludf.DUMMYFUNCTION("""COMPUTED_VALUE"""),"Sahith Theegala")</f>
        <v>Sahith Theegala</v>
      </c>
      <c r="D225">
        <f ca="1">IFERROR(__xludf.DUMMYFUNCTION("""COMPUTED_VALUE"""),6)</f>
        <v>6</v>
      </c>
      <c r="E225">
        <f ca="1">IFERROR(__xludf.DUMMYFUNCTION("""COMPUTED_VALUE"""),50)</f>
        <v>50</v>
      </c>
      <c r="F225">
        <f ca="1">IFERROR(__xludf.DUMMYFUNCTION("""COMPUTED_VALUE"""),42)</f>
        <v>42</v>
      </c>
      <c r="G225">
        <f ca="1">IFERROR(__xludf.DUMMYFUNCTION("""COMPUTED_VALUE"""),84)</f>
        <v>84</v>
      </c>
    </row>
    <row r="226" spans="1:7" ht="12.75">
      <c r="A226" t="str">
        <f ca="1">IFERROR(__xludf.DUMMYFUNCTION("""COMPUTED_VALUE"""),"T222")</f>
        <v>T222</v>
      </c>
      <c r="B226" t="str">
        <f ca="1">IFERROR(__xludf.DUMMYFUNCTION("""COMPUTED_VALUE"""),"T217")</f>
        <v>T217</v>
      </c>
      <c r="C226" t="str">
        <f ca="1">IFERROR(__xludf.DUMMYFUNCTION("""COMPUTED_VALUE"""),"Xander Schauffele")</f>
        <v>Xander Schauffele</v>
      </c>
      <c r="D226">
        <f ca="1">IFERROR(__xludf.DUMMYFUNCTION("""COMPUTED_VALUE"""),12)</f>
        <v>12</v>
      </c>
      <c r="E226">
        <f ca="1">IFERROR(__xludf.DUMMYFUNCTION("""COMPUTED_VALUE"""),50)</f>
        <v>50</v>
      </c>
      <c r="F226">
        <f ca="1">IFERROR(__xludf.DUMMYFUNCTION("""COMPUTED_VALUE"""),82)</f>
        <v>82</v>
      </c>
      <c r="G226">
        <f ca="1">IFERROR(__xludf.DUMMYFUNCTION("""COMPUTED_VALUE"""),164)</f>
        <v>164</v>
      </c>
    </row>
    <row r="227" spans="1:7" ht="12.75">
      <c r="A227" t="str">
        <f ca="1">IFERROR(__xludf.DUMMYFUNCTION("""COMPUTED_VALUE"""),"T222")</f>
        <v>T222</v>
      </c>
      <c r="B227" t="str">
        <f ca="1">IFERROR(__xludf.DUMMYFUNCTION("""COMPUTED_VALUE"""),"T217")</f>
        <v>T217</v>
      </c>
      <c r="C227" t="str">
        <f ca="1">IFERROR(__xludf.DUMMYFUNCTION("""COMPUTED_VALUE"""),"Davis Riley")</f>
        <v>Davis Riley</v>
      </c>
      <c r="D227">
        <f ca="1">IFERROR(__xludf.DUMMYFUNCTION("""COMPUTED_VALUE"""),4)</f>
        <v>4</v>
      </c>
      <c r="E227">
        <f ca="1">IFERROR(__xludf.DUMMYFUNCTION("""COMPUTED_VALUE"""),50)</f>
        <v>50</v>
      </c>
      <c r="F227">
        <f ca="1">IFERROR(__xludf.DUMMYFUNCTION("""COMPUTED_VALUE"""),28)</f>
        <v>28</v>
      </c>
      <c r="G227">
        <f ca="1">IFERROR(__xludf.DUMMYFUNCTION("""COMPUTED_VALUE"""),56)</f>
        <v>56</v>
      </c>
    </row>
    <row r="228" spans="1:7" ht="12.75">
      <c r="A228" t="str">
        <f ca="1">IFERROR(__xludf.DUMMYFUNCTION("""COMPUTED_VALUE"""),"T222")</f>
        <v>T222</v>
      </c>
      <c r="B228" t="str">
        <f ca="1">IFERROR(__xludf.DUMMYFUNCTION("""COMPUTED_VALUE"""),"T217")</f>
        <v>T217</v>
      </c>
      <c r="C228" t="str">
        <f ca="1">IFERROR(__xludf.DUMMYFUNCTION("""COMPUTED_VALUE"""),"MJ Daffue")</f>
        <v>MJ Daffue</v>
      </c>
      <c r="D228">
        <f ca="1">IFERROR(__xludf.DUMMYFUNCTION("""COMPUTED_VALUE"""),10)</f>
        <v>10</v>
      </c>
      <c r="E228">
        <f ca="1">IFERROR(__xludf.DUMMYFUNCTION("""COMPUTED_VALUE"""),50)</f>
        <v>50</v>
      </c>
      <c r="F228">
        <f ca="1">IFERROR(__xludf.DUMMYFUNCTION("""COMPUTED_VALUE"""),70)</f>
        <v>70</v>
      </c>
      <c r="G228">
        <f ca="1">IFERROR(__xludf.DUMMYFUNCTION("""COMPUTED_VALUE"""),140)</f>
        <v>140</v>
      </c>
    </row>
    <row r="229" spans="1:7" ht="12.75">
      <c r="A229" t="str">
        <f ca="1">IFERROR(__xludf.DUMMYFUNCTION("""COMPUTED_VALUE"""),"T222")</f>
        <v>T222</v>
      </c>
      <c r="B229">
        <f ca="1">IFERROR(__xludf.DUMMYFUNCTION("""COMPUTED_VALUE"""),215)</f>
        <v>215</v>
      </c>
      <c r="C229" t="str">
        <f ca="1">IFERROR(__xludf.DUMMYFUNCTION("""COMPUTED_VALUE"""),"Maverick McNealy")</f>
        <v>Maverick McNealy</v>
      </c>
      <c r="D229">
        <f ca="1">IFERROR(__xludf.DUMMYFUNCTION("""COMPUTED_VALUE"""),16)</f>
        <v>16</v>
      </c>
      <c r="E229">
        <f ca="1">IFERROR(__xludf.DUMMYFUNCTION("""COMPUTED_VALUE"""),50)</f>
        <v>50</v>
      </c>
      <c r="F229">
        <f ca="1">IFERROR(__xludf.DUMMYFUNCTION("""COMPUTED_VALUE"""),110)</f>
        <v>110</v>
      </c>
      <c r="G229">
        <f ca="1">IFERROR(__xludf.DUMMYFUNCTION("""COMPUTED_VALUE"""),220)</f>
        <v>220</v>
      </c>
    </row>
    <row r="230" spans="1:7" ht="12.75">
      <c r="A230">
        <f ca="1">IFERROR(__xludf.DUMMYFUNCTION("""COMPUTED_VALUE"""),229)</f>
        <v>229</v>
      </c>
      <c r="B230" t="str">
        <f ca="1">IFERROR(__xludf.DUMMYFUNCTION("""COMPUTED_VALUE"""),"T217")</f>
        <v>T217</v>
      </c>
      <c r="C230" t="str">
        <f ca="1">IFERROR(__xludf.DUMMYFUNCTION("""COMPUTED_VALUE"""),"Robby Shelton")</f>
        <v>Robby Shelton</v>
      </c>
      <c r="D230">
        <f ca="1">IFERROR(__xludf.DUMMYFUNCTION("""COMPUTED_VALUE"""),14)</f>
        <v>14</v>
      </c>
      <c r="E230">
        <f ca="1">IFERROR(__xludf.DUMMYFUNCTION("""COMPUTED_VALUE"""),49.48)</f>
        <v>49.48</v>
      </c>
      <c r="F230">
        <f ca="1">IFERROR(__xludf.DUMMYFUNCTION("""COMPUTED_VALUE"""),96)</f>
        <v>96</v>
      </c>
      <c r="G230">
        <f ca="1">IFERROR(__xludf.DUMMYFUNCTION("""COMPUTED_VALUE"""),194)</f>
        <v>194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IFERROR(__xludf.DUMMYFUNCTION("""COMPUTED_VALUE"""),214)</f>
        <v>214</v>
      </c>
      <c r="C231" t="str">
        <f ca="1">IFERROR(__xludf.DUMMYFUNCTION("""COMPUTED_VALUE"""),"Tom Lewis")</f>
        <v>Tom Lewis</v>
      </c>
      <c r="D231">
        <f ca="1">IFERROR(__xludf.DUMMYFUNCTION("""COMPUTED_VALUE"""),12)</f>
        <v>12</v>
      </c>
      <c r="E231">
        <f ca="1">IFERROR(__xludf.DUMMYFUNCTION("""COMPUTED_VALUE"""),49.4)</f>
        <v>49.4</v>
      </c>
      <c r="F231">
        <f ca="1">IFERROR(__xludf.DUMMYFUNCTION("""COMPUTED_VALUE"""),82)</f>
        <v>82</v>
      </c>
      <c r="G231">
        <f ca="1">IFERROR(__xludf.DUMMYFUNCTION("""COMPUTED_VALUE"""),166)</f>
        <v>166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IFERROR(__xludf.DUMMYFUNCTION("""COMPUTED_VALUE"""),226)</f>
        <v>226</v>
      </c>
      <c r="C232" t="str">
        <f ca="1">IFERROR(__xludf.DUMMYFUNCTION("""COMPUTED_VALUE"""),"Aaron Wise")</f>
        <v>Aaron Wise</v>
      </c>
      <c r="D232">
        <f ca="1">IFERROR(__xludf.DUMMYFUNCTION("""COMPUTED_VALUE"""),16)</f>
        <v>16</v>
      </c>
      <c r="E232">
        <f ca="1">IFERROR(__xludf.DUMMYFUNCTION("""COMPUTED_VALUE"""),49.09)</f>
        <v>49.09</v>
      </c>
      <c r="F232">
        <f ca="1">IFERROR(__xludf.DUMMYFUNCTION("""COMPUTED_VALUE"""),108)</f>
        <v>108</v>
      </c>
      <c r="G232">
        <f ca="1">IFERROR(__xludf.DUMMYFUNCTION("""COMPUTED_VALUE"""),220)</f>
        <v>220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IFERROR(__xludf.DUMMYFUNCTION("""COMPUTED_VALUE"""),"T228")</f>
        <v>T228</v>
      </c>
      <c r="C233" t="str">
        <f ca="1">IFERROR(__xludf.DUMMYFUNCTION("""COMPUTED_VALUE"""),"Zack Sucher")</f>
        <v>Zack Sucher</v>
      </c>
      <c r="D233">
        <f ca="1">IFERROR(__xludf.DUMMYFUNCTION("""COMPUTED_VALUE"""),6)</f>
        <v>6</v>
      </c>
      <c r="E233">
        <f ca="1">IFERROR(__xludf.DUMMYFUNCTION("""COMPUTED_VALUE"""),48.81)</f>
        <v>48.81</v>
      </c>
      <c r="F233">
        <f ca="1">IFERROR(__xludf.DUMMYFUNCTION("""COMPUTED_VALUE"""),41)</f>
        <v>41</v>
      </c>
      <c r="G233">
        <f ca="1">IFERROR(__xludf.DUMMYFUNCTION("""COMPUTED_VALUE"""),84)</f>
        <v>84</v>
      </c>
    </row>
    <row r="234" spans="1:7" ht="12.75">
      <c r="A234">
        <f ca="1">IFERROR(__xludf.DUMMYFUNCTION("""COMPUTED_VALUE"""),233)</f>
        <v>233</v>
      </c>
      <c r="B234" t="str">
        <f ca="1">IFERROR(__xludf.DUMMYFUNCTION("""COMPUTED_VALUE"""),"T224")</f>
        <v>T224</v>
      </c>
      <c r="C234" t="str">
        <f ca="1">IFERROR(__xludf.DUMMYFUNCTION("""COMPUTED_VALUE"""),"Jamie Lovemark")</f>
        <v>Jamie Lovemark</v>
      </c>
      <c r="D234">
        <f ca="1">IFERROR(__xludf.DUMMYFUNCTION("""COMPUTED_VALUE"""),18)</f>
        <v>18</v>
      </c>
      <c r="E234">
        <f ca="1">IFERROR(__xludf.DUMMYFUNCTION("""COMPUTED_VALUE"""),48.79)</f>
        <v>48.79</v>
      </c>
      <c r="F234">
        <f ca="1">IFERROR(__xludf.DUMMYFUNCTION("""COMPUTED_VALUE"""),121)</f>
        <v>121</v>
      </c>
      <c r="G234">
        <f ca="1">IFERROR(__xludf.DUMMYFUNCTION("""COMPUTED_VALUE"""),248)</f>
        <v>248</v>
      </c>
    </row>
    <row r="235" spans="1:7" ht="12.75">
      <c r="A235">
        <f ca="1">IFERROR(__xludf.DUMMYFUNCTION("""COMPUTED_VALUE"""),234)</f>
        <v>234</v>
      </c>
      <c r="B235" t="str">
        <f ca="1">IFERROR(__xludf.DUMMYFUNCTION("""COMPUTED_VALUE"""),"")</f>
        <v/>
      </c>
      <c r="C235" t="str">
        <f ca="1">IFERROR(__xludf.DUMMYFUNCTION("""COMPUTED_VALUE"""),"Justin Harding")</f>
        <v>Justin Harding</v>
      </c>
      <c r="D235">
        <f ca="1">IFERROR(__xludf.DUMMYFUNCTION("""COMPUTED_VALUE"""),6)</f>
        <v>6</v>
      </c>
      <c r="E235">
        <f ca="1">IFERROR(__xludf.DUMMYFUNCTION("""COMPUTED_VALUE"""),48.75)</f>
        <v>48.75</v>
      </c>
      <c r="F235">
        <f ca="1">IFERROR(__xludf.DUMMYFUNCTION("""COMPUTED_VALUE"""),39)</f>
        <v>39</v>
      </c>
      <c r="G235">
        <f ca="1">IFERROR(__xludf.DUMMYFUNCTION("""COMPUTED_VALUE"""),80)</f>
        <v>80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IFERROR(__xludf.DUMMYFUNCTION("""COMPUTED_VALUE"""),230)</f>
        <v>230</v>
      </c>
      <c r="C236" t="str">
        <f ca="1">IFERROR(__xludf.DUMMYFUNCTION("""COMPUTED_VALUE"""),"Nick Watney")</f>
        <v>Nick Watney</v>
      </c>
      <c r="D236">
        <f ca="1">IFERROR(__xludf.DUMMYFUNCTION("""COMPUTED_VALUE"""),10)</f>
        <v>10</v>
      </c>
      <c r="E236">
        <f ca="1">IFERROR(__xludf.DUMMYFUNCTION("""COMPUTED_VALUE"""),48.57)</f>
        <v>48.57</v>
      </c>
      <c r="F236">
        <f ca="1">IFERROR(__xludf.DUMMYFUNCTION("""COMPUTED_VALUE"""),68)</f>
        <v>68</v>
      </c>
      <c r="G236">
        <f ca="1">IFERROR(__xludf.DUMMYFUNCTION("""COMPUTED_VALUE"""),140)</f>
        <v>140</v>
      </c>
    </row>
    <row r="237" spans="1:7" ht="12.75">
      <c r="A237" t="str">
        <f ca="1">IFERROR(__xludf.DUMMYFUNCTION("""COMPUTED_VALUE"""),"T236")</f>
        <v>T236</v>
      </c>
      <c r="B237" t="str">
        <f ca="1">IFERROR(__xludf.DUMMYFUNCTION("""COMPUTED_VALUE"""),"T231")</f>
        <v>T231</v>
      </c>
      <c r="C237" t="str">
        <f ca="1">IFERROR(__xludf.DUMMYFUNCTION("""COMPUTED_VALUE"""),"George McNeill")</f>
        <v>George McNeill</v>
      </c>
      <c r="D237">
        <f ca="1">IFERROR(__xludf.DUMMYFUNCTION("""COMPUTED_VALUE"""),8)</f>
        <v>8</v>
      </c>
      <c r="E237">
        <f ca="1">IFERROR(__xludf.DUMMYFUNCTION("""COMPUTED_VALUE"""),48.21)</f>
        <v>48.21</v>
      </c>
      <c r="F237">
        <f ca="1">IFERROR(__xludf.DUMMYFUNCTION("""COMPUTED_VALUE"""),54)</f>
        <v>54</v>
      </c>
      <c r="G237">
        <f ca="1">IFERROR(__xludf.DUMMYFUNCTION("""COMPUTED_VALUE"""),112)</f>
        <v>112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IFERROR(__xludf.DUMMYFUNCTION("""COMPUTED_VALUE"""),"T231")</f>
        <v>T231</v>
      </c>
      <c r="C238" t="str">
        <f ca="1">IFERROR(__xludf.DUMMYFUNCTION("""COMPUTED_VALUE"""),"Tae Hee Lee")</f>
        <v>Tae Hee Lee</v>
      </c>
      <c r="D238">
        <f ca="1">IFERROR(__xludf.DUMMYFUNCTION("""COMPUTED_VALUE"""),4)</f>
        <v>4</v>
      </c>
      <c r="E238">
        <f ca="1">IFERROR(__xludf.DUMMYFUNCTION("""COMPUTED_VALUE"""),48.21)</f>
        <v>48.21</v>
      </c>
      <c r="F238">
        <f ca="1">IFERROR(__xludf.DUMMYFUNCTION("""COMPUTED_VALUE"""),27)</f>
        <v>27</v>
      </c>
      <c r="G238">
        <f ca="1">IFERROR(__xludf.DUMMYFUNCTION("""COMPUTED_VALUE"""),56)</f>
        <v>56</v>
      </c>
    </row>
    <row r="239" spans="1:7" ht="12.75">
      <c r="A239" t="str">
        <f ca="1">IFERROR(__xludf.DUMMYFUNCTION("""COMPUTED_VALUE"""),"T236")</f>
        <v>T236</v>
      </c>
      <c r="B239" t="str">
        <f ca="1">IFERROR(__xludf.DUMMYFUNCTION("""COMPUTED_VALUE"""),"T231")</f>
        <v>T231</v>
      </c>
      <c r="C239" t="str">
        <f ca="1">IFERROR(__xludf.DUMMYFUNCTION("""COMPUTED_VALUE"""),"Jaekyeong Lee")</f>
        <v>Jaekyeong Lee</v>
      </c>
      <c r="D239">
        <f ca="1">IFERROR(__xludf.DUMMYFUNCTION("""COMPUTED_VALUE"""),4)</f>
        <v>4</v>
      </c>
      <c r="E239">
        <f ca="1">IFERROR(__xludf.DUMMYFUNCTION("""COMPUTED_VALUE"""),48.21)</f>
        <v>48.21</v>
      </c>
      <c r="F239">
        <f ca="1">IFERROR(__xludf.DUMMYFUNCTION("""COMPUTED_VALUE"""),27)</f>
        <v>27</v>
      </c>
      <c r="G239">
        <f ca="1">IFERROR(__xludf.DUMMYFUNCTION("""COMPUTED_VALUE"""),56)</f>
        <v>56</v>
      </c>
    </row>
    <row r="240" spans="1:7" ht="12.75">
      <c r="A240" t="str">
        <f ca="1">IFERROR(__xludf.DUMMYFUNCTION("""COMPUTED_VALUE"""),"T236")</f>
        <v>T236</v>
      </c>
      <c r="B240" t="str">
        <f ca="1">IFERROR(__xludf.DUMMYFUNCTION("""COMPUTED_VALUE"""),"T231")</f>
        <v>T231</v>
      </c>
      <c r="C240" t="str">
        <f ca="1">IFERROR(__xludf.DUMMYFUNCTION("""COMPUTED_VALUE"""),"John Pak")</f>
        <v>John Pak</v>
      </c>
      <c r="D240">
        <f ca="1">IFERROR(__xludf.DUMMYFUNCTION("""COMPUTED_VALUE"""),4)</f>
        <v>4</v>
      </c>
      <c r="E240">
        <f ca="1">IFERROR(__xludf.DUMMYFUNCTION("""COMPUTED_VALUE"""),48.21)</f>
        <v>48.21</v>
      </c>
      <c r="F240">
        <f ca="1">IFERROR(__xludf.DUMMYFUNCTION("""COMPUTED_VALUE"""),27)</f>
        <v>27</v>
      </c>
      <c r="G240">
        <f ca="1">IFERROR(__xludf.DUMMYFUNCTION("""COMPUTED_VALUE"""),56)</f>
        <v>56</v>
      </c>
    </row>
    <row r="241" spans="1:7" ht="12.75">
      <c r="A241">
        <f ca="1">IFERROR(__xludf.DUMMYFUNCTION("""COMPUTED_VALUE"""),240)</f>
        <v>240</v>
      </c>
      <c r="B241" t="str">
        <f ca="1">IFERROR(__xludf.DUMMYFUNCTION("""COMPUTED_VALUE"""),"")</f>
        <v/>
      </c>
      <c r="C241" t="str">
        <f ca="1">IFERROR(__xludf.DUMMYFUNCTION("""COMPUTED_VALUE"""),"Dawie van der Walt")</f>
        <v>Dawie van der Walt</v>
      </c>
      <c r="D241">
        <f ca="1">IFERROR(__xludf.DUMMYFUNCTION("""COMPUTED_VALUE"""),4)</f>
        <v>4</v>
      </c>
      <c r="E241">
        <f ca="1">IFERROR(__xludf.DUMMYFUNCTION("""COMPUTED_VALUE"""),48.08)</f>
        <v>48.08</v>
      </c>
      <c r="F241">
        <f ca="1">IFERROR(__xludf.DUMMYFUNCTION("""COMPUTED_VALUE"""),25)</f>
        <v>25</v>
      </c>
      <c r="G241">
        <f ca="1">IFERROR(__xludf.DUMMYFUNCTION("""COMPUTED_VALUE"""),52)</f>
        <v>52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IFERROR(__xludf.DUMMYFUNCTION("""COMPUTED_VALUE"""),"T238")</f>
        <v>T238</v>
      </c>
      <c r="C242" t="str">
        <f ca="1">IFERROR(__xludf.DUMMYFUNCTION("""COMPUTED_VALUE"""),"Robert Garrigus")</f>
        <v>Robert Garrigus</v>
      </c>
      <c r="D242">
        <f ca="1">IFERROR(__xludf.DUMMYFUNCTION("""COMPUTED_VALUE"""),3)</f>
        <v>3</v>
      </c>
      <c r="E242">
        <f ca="1">IFERROR(__xludf.DUMMYFUNCTION("""COMPUTED_VALUE"""),47.62)</f>
        <v>47.62</v>
      </c>
      <c r="F242">
        <f ca="1">IFERROR(__xludf.DUMMYFUNCTION("""COMPUTED_VALUE"""),20)</f>
        <v>20</v>
      </c>
      <c r="G242">
        <f ca="1">IFERROR(__xludf.DUMMYFUNCTION("""COMPUTED_VALUE"""),42)</f>
        <v>42</v>
      </c>
    </row>
    <row r="243" spans="1:7" ht="12.75">
      <c r="A243">
        <f ca="1">IFERROR(__xludf.DUMMYFUNCTION("""COMPUTED_VALUE"""),242)</f>
        <v>242</v>
      </c>
      <c r="B243" t="str">
        <f ca="1">IFERROR(__xludf.DUMMYFUNCTION("""COMPUTED_VALUE"""),"T231")</f>
        <v>T231</v>
      </c>
      <c r="C243" t="str">
        <f ca="1">IFERROR(__xludf.DUMMYFUNCTION("""COMPUTED_VALUE"""),"Camilo Villegas")</f>
        <v>Camilo Villegas</v>
      </c>
      <c r="D243">
        <f ca="1">IFERROR(__xludf.DUMMYFUNCTION("""COMPUTED_VALUE"""),14)</f>
        <v>14</v>
      </c>
      <c r="E243">
        <f ca="1">IFERROR(__xludf.DUMMYFUNCTION("""COMPUTED_VALUE"""),47.42)</f>
        <v>47.42</v>
      </c>
      <c r="F243">
        <f ca="1">IFERROR(__xludf.DUMMYFUNCTION("""COMPUTED_VALUE"""),92)</f>
        <v>92</v>
      </c>
      <c r="G243">
        <f ca="1">IFERROR(__xludf.DUMMYFUNCTION("""COMPUTED_VALUE"""),194)</f>
        <v>194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IFERROR(__xludf.DUMMYFUNCTION("""COMPUTED_VALUE"""),"T241")</f>
        <v>T241</v>
      </c>
      <c r="C244" t="str">
        <f ca="1">IFERROR(__xludf.DUMMYFUNCTION("""COMPUTED_VALUE"""),"Chesson Hadley")</f>
        <v>Chesson Hadley</v>
      </c>
      <c r="D244">
        <f ca="1">IFERROR(__xludf.DUMMYFUNCTION("""COMPUTED_VALUE"""),16)</f>
        <v>16</v>
      </c>
      <c r="E244">
        <f ca="1">IFERROR(__xludf.DUMMYFUNCTION("""COMPUTED_VALUE"""),47.32)</f>
        <v>47.32</v>
      </c>
      <c r="F244">
        <f ca="1">IFERROR(__xludf.DUMMYFUNCTION("""COMPUTED_VALUE"""),106)</f>
        <v>106</v>
      </c>
      <c r="G244">
        <f ca="1">IFERROR(__xludf.DUMMYFUNCTION("""COMPUTED_VALUE"""),224)</f>
        <v>224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IFERROR(__xludf.DUMMYFUNCTION("""COMPUTED_VALUE"""),237)</f>
        <v>237</v>
      </c>
      <c r="C245" t="str">
        <f ca="1">IFERROR(__xludf.DUMMYFUNCTION("""COMPUTED_VALUE"""),"Branden Grace")</f>
        <v>Branden Grace</v>
      </c>
      <c r="D245">
        <f ca="1">IFERROR(__xludf.DUMMYFUNCTION("""COMPUTED_VALUE"""),16)</f>
        <v>16</v>
      </c>
      <c r="E245">
        <f ca="1">IFERROR(__xludf.DUMMYFUNCTION("""COMPUTED_VALUE"""),47.3)</f>
        <v>47.3</v>
      </c>
      <c r="F245">
        <f ca="1">IFERROR(__xludf.DUMMYFUNCTION("""COMPUTED_VALUE"""),105)</f>
        <v>105</v>
      </c>
      <c r="G245">
        <f ca="1">IFERROR(__xludf.DUMMYFUNCTION("""COMPUTED_VALUE"""),222)</f>
        <v>222</v>
      </c>
    </row>
    <row r="246" spans="1:7" ht="12.75">
      <c r="A246" t="str">
        <f ca="1">IFERROR(__xludf.DUMMYFUNCTION("""COMPUTED_VALUE"""),"T245")</f>
        <v>T245</v>
      </c>
      <c r="B246" t="str">
        <f ca="1">IFERROR(__xludf.DUMMYFUNCTION("""COMPUTED_VALUE"""),"T265")</f>
        <v>T265</v>
      </c>
      <c r="C246" t="str">
        <f ca="1">IFERROR(__xludf.DUMMYFUNCTION("""COMPUTED_VALUE"""),"Brooks Koepka")</f>
        <v>Brooks Koepka</v>
      </c>
      <c r="D246">
        <f ca="1">IFERROR(__xludf.DUMMYFUNCTION("""COMPUTED_VALUE"""),8)</f>
        <v>8</v>
      </c>
      <c r="E246">
        <f ca="1">IFERROR(__xludf.DUMMYFUNCTION("""COMPUTED_VALUE"""),47.22)</f>
        <v>47.22</v>
      </c>
      <c r="F246">
        <f ca="1">IFERROR(__xludf.DUMMYFUNCTION("""COMPUTED_VALUE"""),51)</f>
        <v>51</v>
      </c>
      <c r="G246">
        <f ca="1">IFERROR(__xludf.DUMMYFUNCTION("""COMPUTED_VALUE"""),108)</f>
        <v>108</v>
      </c>
    </row>
    <row r="247" spans="1:7" ht="12.75">
      <c r="A247" t="str">
        <f ca="1">IFERROR(__xludf.DUMMYFUNCTION("""COMPUTED_VALUE"""),"T245")</f>
        <v>T245</v>
      </c>
      <c r="B247">
        <f ca="1">IFERROR(__xludf.DUMMYFUNCTION("""COMPUTED_VALUE"""),243)</f>
        <v>243</v>
      </c>
      <c r="C247" t="str">
        <f ca="1">IFERROR(__xludf.DUMMYFUNCTION("""COMPUTED_VALUE"""),"Patrick Reed")</f>
        <v>Patrick Reed</v>
      </c>
      <c r="D247">
        <f ca="1">IFERROR(__xludf.DUMMYFUNCTION("""COMPUTED_VALUE"""),8)</f>
        <v>8</v>
      </c>
      <c r="E247">
        <f ca="1">IFERROR(__xludf.DUMMYFUNCTION("""COMPUTED_VALUE"""),47.22)</f>
        <v>47.22</v>
      </c>
      <c r="F247">
        <f ca="1">IFERROR(__xludf.DUMMYFUNCTION("""COMPUTED_VALUE"""),51)</f>
        <v>51</v>
      </c>
      <c r="G247">
        <f ca="1">IFERROR(__xludf.DUMMYFUNCTION("""COMPUTED_VALUE"""),108)</f>
        <v>108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IFERROR(__xludf.DUMMYFUNCTION("""COMPUTED_VALUE"""),244)</f>
        <v>244</v>
      </c>
      <c r="C248" t="str">
        <f ca="1">IFERROR(__xludf.DUMMYFUNCTION("""COMPUTED_VALUE"""),"Ben Taylor")</f>
        <v>Ben Taylor</v>
      </c>
      <c r="D248">
        <f ca="1">IFERROR(__xludf.DUMMYFUNCTION("""COMPUTED_VALUE"""),10)</f>
        <v>10</v>
      </c>
      <c r="E248">
        <f ca="1">IFERROR(__xludf.DUMMYFUNCTION("""COMPUTED_VALUE"""),47.14)</f>
        <v>47.14</v>
      </c>
      <c r="F248">
        <f ca="1">IFERROR(__xludf.DUMMYFUNCTION("""COMPUTED_VALUE"""),66)</f>
        <v>66</v>
      </c>
      <c r="G248">
        <f ca="1">IFERROR(__xludf.DUMMYFUNCTION("""COMPUTED_VALUE"""),140)</f>
        <v>140</v>
      </c>
    </row>
    <row r="249" spans="1:7" ht="12.75">
      <c r="A249">
        <f ca="1">IFERROR(__xludf.DUMMYFUNCTION("""COMPUTED_VALUE"""),248)</f>
        <v>248</v>
      </c>
      <c r="B249" t="str">
        <f ca="1">IFERROR(__xludf.DUMMYFUNCTION("""COMPUTED_VALUE"""),"T247")</f>
        <v>T247</v>
      </c>
      <c r="C249" t="str">
        <f ca="1">IFERROR(__xludf.DUMMYFUNCTION("""COMPUTED_VALUE"""),"Michael Kim")</f>
        <v>Michael Kim</v>
      </c>
      <c r="D249">
        <f ca="1">IFERROR(__xludf.DUMMYFUNCTION("""COMPUTED_VALUE"""),12)</f>
        <v>12</v>
      </c>
      <c r="E249">
        <f ca="1">IFERROR(__xludf.DUMMYFUNCTION("""COMPUTED_VALUE"""),46.99)</f>
        <v>46.99</v>
      </c>
      <c r="F249">
        <f ca="1">IFERROR(__xludf.DUMMYFUNCTION("""COMPUTED_VALUE"""),78)</f>
        <v>78</v>
      </c>
      <c r="G249">
        <f ca="1">IFERROR(__xludf.DUMMYFUNCTION("""COMPUTED_VALUE"""),166)</f>
        <v>166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IFERROR(__xludf.DUMMYFUNCTION("""COMPUTED_VALUE"""),"T238")</f>
        <v>T238</v>
      </c>
      <c r="C250" t="str">
        <f ca="1">IFERROR(__xludf.DUMMYFUNCTION("""COMPUTED_VALUE"""),"Hunter Mahan")</f>
        <v>Hunter Mahan</v>
      </c>
      <c r="D250">
        <f ca="1">IFERROR(__xludf.DUMMYFUNCTION("""COMPUTED_VALUE"""),14)</f>
        <v>14</v>
      </c>
      <c r="E250">
        <f ca="1">IFERROR(__xludf.DUMMYFUNCTION("""COMPUTED_VALUE"""),46.91)</f>
        <v>46.91</v>
      </c>
      <c r="F250">
        <f ca="1">IFERROR(__xludf.DUMMYFUNCTION("""COMPUTED_VALUE"""),91)</f>
        <v>91</v>
      </c>
      <c r="G250">
        <f ca="1">IFERROR(__xludf.DUMMYFUNCTION("""COMPUTED_VALUE"""),194)</f>
        <v>194</v>
      </c>
    </row>
    <row r="251" spans="1:7" ht="12.75">
      <c r="A251" t="str">
        <f ca="1">IFERROR(__xludf.DUMMYFUNCTION("""COMPUTED_VALUE"""),"T250")</f>
        <v>T250</v>
      </c>
      <c r="B251" t="str">
        <f ca="1">IFERROR(__xludf.DUMMYFUNCTION("""COMPUTED_VALUE"""),"T247")</f>
        <v>T247</v>
      </c>
      <c r="C251" t="str">
        <f ca="1">IFERROR(__xludf.DUMMYFUNCTION("""COMPUTED_VALUE"""),"Ryan Blaum")</f>
        <v>Ryan Blaum</v>
      </c>
      <c r="D251">
        <f ca="1">IFERROR(__xludf.DUMMYFUNCTION("""COMPUTED_VALUE"""),8)</f>
        <v>8</v>
      </c>
      <c r="E251">
        <f ca="1">IFERROR(__xludf.DUMMYFUNCTION("""COMPUTED_VALUE"""),46.43)</f>
        <v>46.43</v>
      </c>
      <c r="F251">
        <f ca="1">IFERROR(__xludf.DUMMYFUNCTION("""COMPUTED_VALUE"""),52)</f>
        <v>52</v>
      </c>
      <c r="G251">
        <f ca="1">IFERROR(__xludf.DUMMYFUNCTION("""COMPUTED_VALUE"""),112)</f>
        <v>112</v>
      </c>
    </row>
    <row r="252" spans="1:7" ht="12.75">
      <c r="A252" t="str">
        <f ca="1">IFERROR(__xludf.DUMMYFUNCTION("""COMPUTED_VALUE"""),"T250")</f>
        <v>T250</v>
      </c>
      <c r="B252" t="str">
        <f ca="1">IFERROR(__xludf.DUMMYFUNCTION("""COMPUTED_VALUE"""),"T247")</f>
        <v>T247</v>
      </c>
      <c r="C252" t="str">
        <f ca="1">IFERROR(__xludf.DUMMYFUNCTION("""COMPUTED_VALUE"""),"Hanbyeol Kim")</f>
        <v>Hanbyeol Kim</v>
      </c>
      <c r="D252">
        <f ca="1">IFERROR(__xludf.DUMMYFUNCTION("""COMPUTED_VALUE"""),4)</f>
        <v>4</v>
      </c>
      <c r="E252">
        <f ca="1">IFERROR(__xludf.DUMMYFUNCTION("""COMPUTED_VALUE"""),46.43)</f>
        <v>46.43</v>
      </c>
      <c r="F252">
        <f ca="1">IFERROR(__xludf.DUMMYFUNCTION("""COMPUTED_VALUE"""),26)</f>
        <v>26</v>
      </c>
      <c r="G252">
        <f ca="1">IFERROR(__xludf.DUMMYFUNCTION("""COMPUTED_VALUE"""),56)</f>
        <v>56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IFERROR(__xludf.DUMMYFUNCTION("""COMPUTED_VALUE"""),240)</f>
        <v>240</v>
      </c>
      <c r="C253" t="str">
        <f ca="1">IFERROR(__xludf.DUMMYFUNCTION("""COMPUTED_VALUE"""),"Alex Noren")</f>
        <v>Alex Noren</v>
      </c>
      <c r="D253">
        <f ca="1">IFERROR(__xludf.DUMMYFUNCTION("""COMPUTED_VALUE"""),14)</f>
        <v>14</v>
      </c>
      <c r="E253">
        <f ca="1">IFERROR(__xludf.DUMMYFUNCTION("""COMPUTED_VALUE"""),46.32)</f>
        <v>46.32</v>
      </c>
      <c r="F253">
        <f ca="1">IFERROR(__xludf.DUMMYFUNCTION("""COMPUTED_VALUE"""),88)</f>
        <v>88</v>
      </c>
      <c r="G253">
        <f ca="1">IFERROR(__xludf.DUMMYFUNCTION("""COMPUTED_VALUE"""),190)</f>
        <v>190</v>
      </c>
    </row>
    <row r="254" spans="1:7" ht="12.75">
      <c r="A254">
        <f ca="1">IFERROR(__xludf.DUMMYFUNCTION("""COMPUTED_VALUE"""),253)</f>
        <v>253</v>
      </c>
      <c r="B254" t="str">
        <f ca="1">IFERROR(__xludf.DUMMYFUNCTION("""COMPUTED_VALUE"""),"T247")</f>
        <v>T247</v>
      </c>
      <c r="C254" t="str">
        <f ca="1">IFERROR(__xludf.DUMMYFUNCTION("""COMPUTED_VALUE"""),"Adam Scott")</f>
        <v>Adam Scott</v>
      </c>
      <c r="D254">
        <f ca="1">IFERROR(__xludf.DUMMYFUNCTION("""COMPUTED_VALUE"""),8)</f>
        <v>8</v>
      </c>
      <c r="E254">
        <f ca="1">IFERROR(__xludf.DUMMYFUNCTION("""COMPUTED_VALUE"""),46.3)</f>
        <v>46.3</v>
      </c>
      <c r="F254">
        <f ca="1">IFERROR(__xludf.DUMMYFUNCTION("""COMPUTED_VALUE"""),50)</f>
        <v>50</v>
      </c>
      <c r="G254">
        <f ca="1">IFERROR(__xludf.DUMMYFUNCTION("""COMPUTED_VALUE"""),108)</f>
        <v>108</v>
      </c>
    </row>
    <row r="255" spans="1:7" ht="12.75">
      <c r="A255">
        <f ca="1">IFERROR(__xludf.DUMMYFUNCTION("""COMPUTED_VALUE"""),254)</f>
        <v>254</v>
      </c>
      <c r="B255" t="str">
        <f ca="1">IFERROR(__xludf.DUMMYFUNCTION("""COMPUTED_VALUE"""),"")</f>
        <v/>
      </c>
      <c r="C255" t="str">
        <f ca="1">IFERROR(__xludf.DUMMYFUNCTION("""COMPUTED_VALUE"""),"Erik Barnes")</f>
        <v>Erik Barnes</v>
      </c>
      <c r="D255">
        <f ca="1">IFERROR(__xludf.DUMMYFUNCTION("""COMPUTED_VALUE"""),4)</f>
        <v>4</v>
      </c>
      <c r="E255">
        <f ca="1">IFERROR(__xludf.DUMMYFUNCTION("""COMPUTED_VALUE"""),46.15)</f>
        <v>46.15</v>
      </c>
      <c r="F255">
        <f ca="1">IFERROR(__xludf.DUMMYFUNCTION("""COMPUTED_VALUE"""),24)</f>
        <v>24</v>
      </c>
      <c r="G255">
        <f ca="1">IFERROR(__xludf.DUMMYFUNCTION("""COMPUTED_VALUE"""),52)</f>
        <v>52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IFERROR(__xludf.DUMMYFUNCTION("""COMPUTED_VALUE"""),246)</f>
        <v>246</v>
      </c>
      <c r="C256" t="str">
        <f ca="1">IFERROR(__xludf.DUMMYFUNCTION("""COMPUTED_VALUE"""),"Patrick Rodgers")</f>
        <v>Patrick Rodgers</v>
      </c>
      <c r="D256">
        <f ca="1">IFERROR(__xludf.DUMMYFUNCTION("""COMPUTED_VALUE"""),18)</f>
        <v>18</v>
      </c>
      <c r="E256">
        <f ca="1">IFERROR(__xludf.DUMMYFUNCTION("""COMPUTED_VALUE"""),46)</f>
        <v>46</v>
      </c>
      <c r="F256">
        <f ca="1">IFERROR(__xludf.DUMMYFUNCTION("""COMPUTED_VALUE"""),115)</f>
        <v>115</v>
      </c>
      <c r="G256">
        <f ca="1">IFERROR(__xludf.DUMMYFUNCTION("""COMPUTED_VALUE"""),250)</f>
        <v>250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IFERROR(__xludf.DUMMYFUNCTION("""COMPUTED_VALUE"""),253)</f>
        <v>253</v>
      </c>
      <c r="C257" t="str">
        <f ca="1">IFERROR(__xludf.DUMMYFUNCTION("""COMPUTED_VALUE"""),"Wyndham Clark")</f>
        <v>Wyndham Clark</v>
      </c>
      <c r="D257">
        <f ca="1">IFERROR(__xludf.DUMMYFUNCTION("""COMPUTED_VALUE"""),16)</f>
        <v>16</v>
      </c>
      <c r="E257">
        <f ca="1">IFERROR(__xludf.DUMMYFUNCTION("""COMPUTED_VALUE"""),45.95)</f>
        <v>45.95</v>
      </c>
      <c r="F257">
        <f ca="1">IFERROR(__xludf.DUMMYFUNCTION("""COMPUTED_VALUE"""),102)</f>
        <v>102</v>
      </c>
      <c r="G257">
        <f ca="1">IFERROR(__xludf.DUMMYFUNCTION("""COMPUTED_VALUE"""),222)</f>
        <v>222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IFERROR(__xludf.DUMMYFUNCTION("""COMPUTED_VALUE"""),245)</f>
        <v>245</v>
      </c>
      <c r="C258" t="str">
        <f ca="1">IFERROR(__xludf.DUMMYFUNCTION("""COMPUTED_VALUE"""),"Jordan Spieth")</f>
        <v>Jordan Spieth</v>
      </c>
      <c r="D258">
        <f ca="1">IFERROR(__xludf.DUMMYFUNCTION("""COMPUTED_VALUE"""),14)</f>
        <v>14</v>
      </c>
      <c r="E258">
        <f ca="1">IFERROR(__xludf.DUMMYFUNCTION("""COMPUTED_VALUE"""),45.79)</f>
        <v>45.79</v>
      </c>
      <c r="F258">
        <f ca="1">IFERROR(__xludf.DUMMYFUNCTION("""COMPUTED_VALUE"""),87)</f>
        <v>87</v>
      </c>
      <c r="G258">
        <f ca="1">IFERROR(__xludf.DUMMYFUNCTION("""COMPUTED_VALUE"""),190)</f>
        <v>190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IFERROR(__xludf.DUMMYFUNCTION("""COMPUTED_VALUE"""),252)</f>
        <v>252</v>
      </c>
      <c r="C259" t="str">
        <f ca="1">IFERROR(__xludf.DUMMYFUNCTION("""COMPUTED_VALUE"""),"Matt Every")</f>
        <v>Matt Every</v>
      </c>
      <c r="D259">
        <f ca="1">IFERROR(__xludf.DUMMYFUNCTION("""COMPUTED_VALUE"""),8)</f>
        <v>8</v>
      </c>
      <c r="E259">
        <f ca="1">IFERROR(__xludf.DUMMYFUNCTION("""COMPUTED_VALUE"""),45.54)</f>
        <v>45.54</v>
      </c>
      <c r="F259">
        <f ca="1">IFERROR(__xludf.DUMMYFUNCTION("""COMPUTED_VALUE"""),51)</f>
        <v>51</v>
      </c>
      <c r="G259">
        <f ca="1">IFERROR(__xludf.DUMMYFUNCTION("""COMPUTED_VALUE"""),112)</f>
        <v>112</v>
      </c>
    </row>
    <row r="260" spans="1:7" ht="12.75">
      <c r="A260" t="str">
        <f ca="1">IFERROR(__xludf.DUMMYFUNCTION("""COMPUTED_VALUE"""),"T259")</f>
        <v>T259</v>
      </c>
      <c r="B260" t="str">
        <f ca="1">IFERROR(__xludf.DUMMYFUNCTION("""COMPUTED_VALUE"""),"T256")</f>
        <v>T256</v>
      </c>
      <c r="C260" t="str">
        <f ca="1">IFERROR(__xludf.DUMMYFUNCTION("""COMPUTED_VALUE"""),"Kevin Chappell")</f>
        <v>Kevin Chappell</v>
      </c>
      <c r="D260">
        <f ca="1">IFERROR(__xludf.DUMMYFUNCTION("""COMPUTED_VALUE"""),16)</f>
        <v>16</v>
      </c>
      <c r="E260">
        <f ca="1">IFERROR(__xludf.DUMMYFUNCTION("""COMPUTED_VALUE"""),45)</f>
        <v>45</v>
      </c>
      <c r="F260">
        <f ca="1">IFERROR(__xludf.DUMMYFUNCTION("""COMPUTED_VALUE"""),99)</f>
        <v>99</v>
      </c>
      <c r="G260">
        <f ca="1">IFERROR(__xludf.DUMMYFUNCTION("""COMPUTED_VALUE"""),220)</f>
        <v>220</v>
      </c>
    </row>
    <row r="261" spans="1:7" ht="12.75">
      <c r="A261" t="str">
        <f ca="1">IFERROR(__xludf.DUMMYFUNCTION("""COMPUTED_VALUE"""),"T259")</f>
        <v>T259</v>
      </c>
      <c r="B261">
        <f ca="1">IFERROR(__xludf.DUMMYFUNCTION("""COMPUTED_VALUE"""),255)</f>
        <v>255</v>
      </c>
      <c r="C261" t="str">
        <f ca="1">IFERROR(__xludf.DUMMYFUNCTION("""COMPUTED_VALUE"""),"Brandon Hagy")</f>
        <v>Brandon Hagy</v>
      </c>
      <c r="D261">
        <f ca="1">IFERROR(__xludf.DUMMYFUNCTION("""COMPUTED_VALUE"""),10)</f>
        <v>10</v>
      </c>
      <c r="E261">
        <f ca="1">IFERROR(__xludf.DUMMYFUNCTION("""COMPUTED_VALUE"""),45)</f>
        <v>45</v>
      </c>
      <c r="F261">
        <f ca="1">IFERROR(__xludf.DUMMYFUNCTION("""COMPUTED_VALUE"""),63)</f>
        <v>63</v>
      </c>
      <c r="G261">
        <f ca="1">IFERROR(__xludf.DUMMYFUNCTION("""COMPUTED_VALUE"""),140)</f>
        <v>140</v>
      </c>
    </row>
    <row r="262" spans="1:7" ht="12.75">
      <c r="A262" t="str">
        <f ca="1">IFERROR(__xludf.DUMMYFUNCTION("""COMPUTED_VALUE"""),"T261")</f>
        <v>T261</v>
      </c>
      <c r="B262" t="str">
        <f ca="1">IFERROR(__xludf.DUMMYFUNCTION("""COMPUTED_VALUE"""),"T256")</f>
        <v>T256</v>
      </c>
      <c r="C262" t="str">
        <f ca="1">IFERROR(__xludf.DUMMYFUNCTION("""COMPUTED_VALUE"""),"Matt Wallace")</f>
        <v>Matt Wallace</v>
      </c>
      <c r="D262">
        <f ca="1">IFERROR(__xludf.DUMMYFUNCTION("""COMPUTED_VALUE"""),4)</f>
        <v>4</v>
      </c>
      <c r="E262">
        <f ca="1">IFERROR(__xludf.DUMMYFUNCTION("""COMPUTED_VALUE"""),44.64)</f>
        <v>44.64</v>
      </c>
      <c r="F262">
        <f ca="1">IFERROR(__xludf.DUMMYFUNCTION("""COMPUTED_VALUE"""),25)</f>
        <v>25</v>
      </c>
      <c r="G262">
        <f ca="1">IFERROR(__xludf.DUMMYFUNCTION("""COMPUTED_VALUE"""),56)</f>
        <v>56</v>
      </c>
    </row>
    <row r="263" spans="1:7" ht="12.75">
      <c r="A263" t="str">
        <f ca="1">IFERROR(__xludf.DUMMYFUNCTION("""COMPUTED_VALUE"""),"T261")</f>
        <v>T261</v>
      </c>
      <c r="B263" t="str">
        <f ca="1">IFERROR(__xludf.DUMMYFUNCTION("""COMPUTED_VALUE"""),"T256")</f>
        <v>T256</v>
      </c>
      <c r="C263" t="str">
        <f ca="1">IFERROR(__xludf.DUMMYFUNCTION("""COMPUTED_VALUE"""),"Matthew Borchert")</f>
        <v>Matthew Borchert</v>
      </c>
      <c r="D263">
        <f ca="1">IFERROR(__xludf.DUMMYFUNCTION("""COMPUTED_VALUE"""),4)</f>
        <v>4</v>
      </c>
      <c r="E263">
        <f ca="1">IFERROR(__xludf.DUMMYFUNCTION("""COMPUTED_VALUE"""),44.64)</f>
        <v>44.64</v>
      </c>
      <c r="F263">
        <f ca="1">IFERROR(__xludf.DUMMYFUNCTION("""COMPUTED_VALUE"""),25)</f>
        <v>25</v>
      </c>
      <c r="G263">
        <f ca="1">IFERROR(__xludf.DUMMYFUNCTION("""COMPUTED_VALUE"""),56)</f>
        <v>56</v>
      </c>
    </row>
    <row r="264" spans="1:7" ht="12.75">
      <c r="A264" t="str">
        <f ca="1">IFERROR(__xludf.DUMMYFUNCTION("""COMPUTED_VALUE"""),"T261")</f>
        <v>T261</v>
      </c>
      <c r="B264" t="str">
        <f ca="1">IFERROR(__xludf.DUMMYFUNCTION("""COMPUTED_VALUE"""),"T256")</f>
        <v>T256</v>
      </c>
      <c r="C264" t="str">
        <f ca="1">IFERROR(__xludf.DUMMYFUNCTION("""COMPUTED_VALUE"""),"Jay McLuen")</f>
        <v>Jay McLuen</v>
      </c>
      <c r="D264">
        <f ca="1">IFERROR(__xludf.DUMMYFUNCTION("""COMPUTED_VALUE"""),4)</f>
        <v>4</v>
      </c>
      <c r="E264">
        <f ca="1">IFERROR(__xludf.DUMMYFUNCTION("""COMPUTED_VALUE"""),44.64)</f>
        <v>44.64</v>
      </c>
      <c r="F264">
        <f ca="1">IFERROR(__xludf.DUMMYFUNCTION("""COMPUTED_VALUE"""),25)</f>
        <v>25</v>
      </c>
      <c r="G264">
        <f ca="1">IFERROR(__xludf.DUMMYFUNCTION("""COMPUTED_VALUE"""),56)</f>
        <v>56</v>
      </c>
    </row>
    <row r="265" spans="1:7" ht="12.75">
      <c r="A265" t="str">
        <f ca="1">IFERROR(__xludf.DUMMYFUNCTION("""COMPUTED_VALUE"""),"T261")</f>
        <v>T261</v>
      </c>
      <c r="B265" t="str">
        <f ca="1">IFERROR(__xludf.DUMMYFUNCTION("""COMPUTED_VALUE"""),"T256")</f>
        <v>T256</v>
      </c>
      <c r="C265" t="str">
        <f ca="1">IFERROR(__xludf.DUMMYFUNCTION("""COMPUTED_VALUE"""),"Parker McLachlin")</f>
        <v>Parker McLachlin</v>
      </c>
      <c r="D265">
        <f ca="1">IFERROR(__xludf.DUMMYFUNCTION("""COMPUTED_VALUE"""),4)</f>
        <v>4</v>
      </c>
      <c r="E265">
        <f ca="1">IFERROR(__xludf.DUMMYFUNCTION("""COMPUTED_VALUE"""),44.64)</f>
        <v>44.64</v>
      </c>
      <c r="F265">
        <f ca="1">IFERROR(__xludf.DUMMYFUNCTION("""COMPUTED_VALUE"""),25)</f>
        <v>25</v>
      </c>
      <c r="G265">
        <f ca="1">IFERROR(__xludf.DUMMYFUNCTION("""COMPUTED_VALUE"""),56)</f>
        <v>56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IFERROR(__xludf.DUMMYFUNCTION("""COMPUTED_VALUE"""),254)</f>
        <v>254</v>
      </c>
      <c r="C266" t="str">
        <f ca="1">IFERROR(__xludf.DUMMYFUNCTION("""COMPUTED_VALUE"""),"Danny Willett")</f>
        <v>Danny Willett</v>
      </c>
      <c r="D266">
        <f ca="1">IFERROR(__xludf.DUMMYFUNCTION("""COMPUTED_VALUE"""),7)</f>
        <v>7</v>
      </c>
      <c r="E266">
        <f ca="1">IFERROR(__xludf.DUMMYFUNCTION("""COMPUTED_VALUE"""),43.3)</f>
        <v>43.3</v>
      </c>
      <c r="F266">
        <f ca="1">IFERROR(__xludf.DUMMYFUNCTION("""COMPUTED_VALUE"""),42)</f>
        <v>42</v>
      </c>
      <c r="G266">
        <f ca="1">IFERROR(__xludf.DUMMYFUNCTION("""COMPUTED_VALUE"""),97)</f>
        <v>97</v>
      </c>
    </row>
    <row r="267" spans="1:7" ht="12.75">
      <c r="A267" t="str">
        <f ca="1">IFERROR(__xludf.DUMMYFUNCTION("""COMPUTED_VALUE"""),"T266")</f>
        <v>T266</v>
      </c>
      <c r="B267" t="str">
        <f ca="1">IFERROR(__xludf.DUMMYFUNCTION("""COMPUTED_VALUE"""),"T261")</f>
        <v>T261</v>
      </c>
      <c r="C267" t="str">
        <f ca="1">IFERROR(__xludf.DUMMYFUNCTION("""COMPUTED_VALUE"""),"Peter Uihlein")</f>
        <v>Peter Uihlein</v>
      </c>
      <c r="D267">
        <f ca="1">IFERROR(__xludf.DUMMYFUNCTION("""COMPUTED_VALUE"""),8)</f>
        <v>8</v>
      </c>
      <c r="E267">
        <f ca="1">IFERROR(__xludf.DUMMYFUNCTION("""COMPUTED_VALUE"""),42.86)</f>
        <v>42.86</v>
      </c>
      <c r="F267">
        <f ca="1">IFERROR(__xludf.DUMMYFUNCTION("""COMPUTED_VALUE"""),48)</f>
        <v>48</v>
      </c>
      <c r="G267">
        <f ca="1">IFERROR(__xludf.DUMMYFUNCTION("""COMPUTED_VALUE"""),112)</f>
        <v>112</v>
      </c>
    </row>
    <row r="268" spans="1:7" ht="12.75">
      <c r="A268" t="str">
        <f ca="1">IFERROR(__xludf.DUMMYFUNCTION("""COMPUTED_VALUE"""),"T266")</f>
        <v>T266</v>
      </c>
      <c r="B268" t="str">
        <f ca="1">IFERROR(__xludf.DUMMYFUNCTION("""COMPUTED_VALUE"""),"T261")</f>
        <v>T261</v>
      </c>
      <c r="C268" t="str">
        <f ca="1">IFERROR(__xludf.DUMMYFUNCTION("""COMPUTED_VALUE"""),"Michael Miller")</f>
        <v>Michael Miller</v>
      </c>
      <c r="D268">
        <f ca="1">IFERROR(__xludf.DUMMYFUNCTION("""COMPUTED_VALUE"""),4)</f>
        <v>4</v>
      </c>
      <c r="E268">
        <f ca="1">IFERROR(__xludf.DUMMYFUNCTION("""COMPUTED_VALUE"""),42.86)</f>
        <v>42.86</v>
      </c>
      <c r="F268">
        <f ca="1">IFERROR(__xludf.DUMMYFUNCTION("""COMPUTED_VALUE"""),24)</f>
        <v>24</v>
      </c>
      <c r="G268">
        <f ca="1">IFERROR(__xludf.DUMMYFUNCTION("""COMPUTED_VALUE"""),56)</f>
        <v>56</v>
      </c>
    </row>
    <row r="269" spans="1:7" ht="12.75">
      <c r="A269" t="str">
        <f ca="1">IFERROR(__xludf.DUMMYFUNCTION("""COMPUTED_VALUE"""),"T266")</f>
        <v>T266</v>
      </c>
      <c r="B269" t="str">
        <f ca="1">IFERROR(__xludf.DUMMYFUNCTION("""COMPUTED_VALUE"""),"T261")</f>
        <v>T261</v>
      </c>
      <c r="C269" t="str">
        <f ca="1">IFERROR(__xludf.DUMMYFUNCTION("""COMPUTED_VALUE"""),"Shawn Stefani")</f>
        <v>Shawn Stefani</v>
      </c>
      <c r="D269">
        <f ca="1">IFERROR(__xludf.DUMMYFUNCTION("""COMPUTED_VALUE"""),5)</f>
        <v>5</v>
      </c>
      <c r="E269">
        <f ca="1">IFERROR(__xludf.DUMMYFUNCTION("""COMPUTED_VALUE"""),42.86)</f>
        <v>42.86</v>
      </c>
      <c r="F269">
        <f ca="1">IFERROR(__xludf.DUMMYFUNCTION("""COMPUTED_VALUE"""),30)</f>
        <v>30</v>
      </c>
      <c r="G269">
        <f ca="1">IFERROR(__xludf.DUMMYFUNCTION("""COMPUTED_VALUE"""),70)</f>
        <v>70</v>
      </c>
    </row>
    <row r="270" spans="1:7" ht="12.75">
      <c r="A270">
        <f ca="1">IFERROR(__xludf.DUMMYFUNCTION("""COMPUTED_VALUE"""),269)</f>
        <v>269</v>
      </c>
      <c r="B270" t="str">
        <f ca="1">IFERROR(__xludf.DUMMYFUNCTION("""COMPUTED_VALUE"""),"T241")</f>
        <v>T241</v>
      </c>
      <c r="C270" t="str">
        <f ca="1">IFERROR(__xludf.DUMMYFUNCTION("""COMPUTED_VALUE"""),"Martin Trainer")</f>
        <v>Martin Trainer</v>
      </c>
      <c r="D270">
        <f ca="1">IFERROR(__xludf.DUMMYFUNCTION("""COMPUTED_VALUE"""),10)</f>
        <v>10</v>
      </c>
      <c r="E270">
        <f ca="1">IFERROR(__xludf.DUMMYFUNCTION("""COMPUTED_VALUE"""),42.75)</f>
        <v>42.75</v>
      </c>
      <c r="F270">
        <f ca="1">IFERROR(__xludf.DUMMYFUNCTION("""COMPUTED_VALUE"""),59)</f>
        <v>59</v>
      </c>
      <c r="G270">
        <f ca="1">IFERROR(__xludf.DUMMYFUNCTION("""COMPUTED_VALUE"""),138)</f>
        <v>138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IFERROR(__xludf.DUMMYFUNCTION("""COMPUTED_VALUE"""),264)</f>
        <v>264</v>
      </c>
      <c r="C271" t="str">
        <f ca="1">IFERROR(__xludf.DUMMYFUNCTION("""COMPUTED_VALUE"""),"Rhein Gibson")</f>
        <v>Rhein Gibson</v>
      </c>
      <c r="D271">
        <f ca="1">IFERROR(__xludf.DUMMYFUNCTION("""COMPUTED_VALUE"""),10)</f>
        <v>10</v>
      </c>
      <c r="E271">
        <f ca="1">IFERROR(__xludf.DUMMYFUNCTION("""COMPUTED_VALUE"""),42.14)</f>
        <v>42.14</v>
      </c>
      <c r="F271">
        <f ca="1">IFERROR(__xludf.DUMMYFUNCTION("""COMPUTED_VALUE"""),59)</f>
        <v>59</v>
      </c>
      <c r="G271">
        <f ca="1">IFERROR(__xludf.DUMMYFUNCTION("""COMPUTED_VALUE"""),140)</f>
        <v>140</v>
      </c>
    </row>
    <row r="272" spans="1:7" ht="12.75">
      <c r="A272" t="str">
        <f ca="1">IFERROR(__xludf.DUMMYFUNCTION("""COMPUTED_VALUE"""),"T271")</f>
        <v>T271</v>
      </c>
      <c r="B272" t="str">
        <f ca="1">IFERROR(__xludf.DUMMYFUNCTION("""COMPUTED_VALUE"""),"T265")</f>
        <v>T265</v>
      </c>
      <c r="C272" t="str">
        <f ca="1">IFERROR(__xludf.DUMMYFUNCTION("""COMPUTED_VALUE"""),"Steve Lewton")</f>
        <v>Steve Lewton</v>
      </c>
      <c r="D272">
        <f ca="1">IFERROR(__xludf.DUMMYFUNCTION("""COMPUTED_VALUE"""),4)</f>
        <v>4</v>
      </c>
      <c r="E272">
        <f ca="1">IFERROR(__xludf.DUMMYFUNCTION("""COMPUTED_VALUE"""),41.07)</f>
        <v>41.07</v>
      </c>
      <c r="F272">
        <f ca="1">IFERROR(__xludf.DUMMYFUNCTION("""COMPUTED_VALUE"""),23)</f>
        <v>23</v>
      </c>
      <c r="G272">
        <f ca="1">IFERROR(__xludf.DUMMYFUNCTION("""COMPUTED_VALUE"""),56)</f>
        <v>56</v>
      </c>
    </row>
    <row r="273" spans="1:7" ht="12.75">
      <c r="A273" t="str">
        <f ca="1">IFERROR(__xludf.DUMMYFUNCTION("""COMPUTED_VALUE"""),"T271")</f>
        <v>T271</v>
      </c>
      <c r="B273" t="str">
        <f ca="1">IFERROR(__xludf.DUMMYFUNCTION("""COMPUTED_VALUE"""),"T265")</f>
        <v>T265</v>
      </c>
      <c r="C273" t="str">
        <f ca="1">IFERROR(__xludf.DUMMYFUNCTION("""COMPUTED_VALUE"""),"Andy Zhang")</f>
        <v>Andy Zhang</v>
      </c>
      <c r="D273">
        <f ca="1">IFERROR(__xludf.DUMMYFUNCTION("""COMPUTED_VALUE"""),4)</f>
        <v>4</v>
      </c>
      <c r="E273">
        <f ca="1">IFERROR(__xludf.DUMMYFUNCTION("""COMPUTED_VALUE"""),41.07)</f>
        <v>41.07</v>
      </c>
      <c r="F273">
        <f ca="1">IFERROR(__xludf.DUMMYFUNCTION("""COMPUTED_VALUE"""),23)</f>
        <v>23</v>
      </c>
      <c r="G273">
        <f ca="1">IFERROR(__xludf.DUMMYFUNCTION("""COMPUTED_VALUE"""),56)</f>
        <v>56</v>
      </c>
    </row>
    <row r="274" spans="1:7" ht="12.75">
      <c r="A274" t="str">
        <f ca="1">IFERROR(__xludf.DUMMYFUNCTION("""COMPUTED_VALUE"""),"T271")</f>
        <v>T271</v>
      </c>
      <c r="B274" t="str">
        <f ca="1">IFERROR(__xludf.DUMMYFUNCTION("""COMPUTED_VALUE"""),"T265")</f>
        <v>T265</v>
      </c>
      <c r="C274" t="str">
        <f ca="1">IFERROR(__xludf.DUMMYFUNCTION("""COMPUTED_VALUE"""),"Christiaan Bezuidenhout")</f>
        <v>Christiaan Bezuidenhout</v>
      </c>
      <c r="D274">
        <f ca="1">IFERROR(__xludf.DUMMYFUNCTION("""COMPUTED_VALUE"""),4)</f>
        <v>4</v>
      </c>
      <c r="E274">
        <f ca="1">IFERROR(__xludf.DUMMYFUNCTION("""COMPUTED_VALUE"""),41.07)</f>
        <v>41.07</v>
      </c>
      <c r="F274">
        <f ca="1">IFERROR(__xludf.DUMMYFUNCTION("""COMPUTED_VALUE"""),23)</f>
        <v>23</v>
      </c>
      <c r="G274">
        <f ca="1">IFERROR(__xludf.DUMMYFUNCTION("""COMPUTED_VALUE"""),56)</f>
        <v>56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IFERROR(__xludf.DUMMYFUNCTION("""COMPUTED_VALUE"""),269)</f>
        <v>269</v>
      </c>
      <c r="C275" t="str">
        <f ca="1">IFERROR(__xludf.DUMMYFUNCTION("""COMPUTED_VALUE"""),"J.B. Holmes")</f>
        <v>J.B. Holmes</v>
      </c>
      <c r="D275">
        <f ca="1">IFERROR(__xludf.DUMMYFUNCTION("""COMPUTED_VALUE"""),10)</f>
        <v>10</v>
      </c>
      <c r="E275">
        <f ca="1">IFERROR(__xludf.DUMMYFUNCTION("""COMPUTED_VALUE"""),40.71)</f>
        <v>40.71</v>
      </c>
      <c r="F275">
        <f ca="1">IFERROR(__xludf.DUMMYFUNCTION("""COMPUTED_VALUE"""),57)</f>
        <v>57</v>
      </c>
      <c r="G275">
        <f ca="1">IFERROR(__xludf.DUMMYFUNCTION("""COMPUTED_VALUE"""),140)</f>
        <v>140</v>
      </c>
    </row>
    <row r="276" spans="1:7" ht="12.75">
      <c r="A276">
        <f ca="1">IFERROR(__xludf.DUMMYFUNCTION("""COMPUTED_VALUE"""),275)</f>
        <v>275</v>
      </c>
      <c r="B276" t="str">
        <f ca="1">IFERROR(__xludf.DUMMYFUNCTION("""COMPUTED_VALUE"""),"T270")</f>
        <v>T270</v>
      </c>
      <c r="C276" t="str">
        <f ca="1">IFERROR(__xludf.DUMMYFUNCTION("""COMPUTED_VALUE"""),"Ollie Schniederjans")</f>
        <v>Ollie Schniederjans</v>
      </c>
      <c r="D276">
        <f ca="1">IFERROR(__xludf.DUMMYFUNCTION("""COMPUTED_VALUE"""),6)</f>
        <v>6</v>
      </c>
      <c r="E276">
        <f ca="1">IFERROR(__xludf.DUMMYFUNCTION("""COMPUTED_VALUE"""),40.24)</f>
        <v>40.24</v>
      </c>
      <c r="F276">
        <f ca="1">IFERROR(__xludf.DUMMYFUNCTION("""COMPUTED_VALUE"""),33)</f>
        <v>33</v>
      </c>
      <c r="G276">
        <f ca="1">IFERROR(__xludf.DUMMYFUNCTION("""COMPUTED_VALUE"""),82)</f>
        <v>82</v>
      </c>
    </row>
    <row r="277" spans="1:7" ht="12.75">
      <c r="A277" t="str">
        <f ca="1">IFERROR(__xludf.DUMMYFUNCTION("""COMPUTED_VALUE"""),"T276")</f>
        <v>T276</v>
      </c>
      <c r="B277" t="str">
        <f ca="1">IFERROR(__xludf.DUMMYFUNCTION("""COMPUTED_VALUE"""),"T270")</f>
        <v>T270</v>
      </c>
      <c r="C277" t="str">
        <f ca="1">IFERROR(__xludf.DUMMYFUNCTION("""COMPUTED_VALUE"""),"Rasmus Hojgaard")</f>
        <v>Rasmus Hojgaard</v>
      </c>
      <c r="D277">
        <f ca="1">IFERROR(__xludf.DUMMYFUNCTION("""COMPUTED_VALUE"""),6)</f>
        <v>6</v>
      </c>
      <c r="E277">
        <f ca="1">IFERROR(__xludf.DUMMYFUNCTION("""COMPUTED_VALUE"""),39.29)</f>
        <v>39.29</v>
      </c>
      <c r="F277">
        <f ca="1">IFERROR(__xludf.DUMMYFUNCTION("""COMPUTED_VALUE"""),33)</f>
        <v>33</v>
      </c>
      <c r="G277">
        <f ca="1">IFERROR(__xludf.DUMMYFUNCTION("""COMPUTED_VALUE"""),84)</f>
        <v>84</v>
      </c>
    </row>
    <row r="278" spans="1:7" ht="12.75">
      <c r="A278" t="str">
        <f ca="1">IFERROR(__xludf.DUMMYFUNCTION("""COMPUTED_VALUE"""),"T276")</f>
        <v>T276</v>
      </c>
      <c r="B278" t="str">
        <f ca="1">IFERROR(__xludf.DUMMYFUNCTION("""COMPUTED_VALUE"""),"T270")</f>
        <v>T270</v>
      </c>
      <c r="C278" t="str">
        <f ca="1">IFERROR(__xludf.DUMMYFUNCTION("""COMPUTED_VALUE"""),"Thomas Pieters")</f>
        <v>Thomas Pieters</v>
      </c>
      <c r="D278">
        <f ca="1">IFERROR(__xludf.DUMMYFUNCTION("""COMPUTED_VALUE"""),4)</f>
        <v>4</v>
      </c>
      <c r="E278">
        <f ca="1">IFERROR(__xludf.DUMMYFUNCTION("""COMPUTED_VALUE"""),39.29)</f>
        <v>39.29</v>
      </c>
      <c r="F278">
        <f ca="1">IFERROR(__xludf.DUMMYFUNCTION("""COMPUTED_VALUE"""),22)</f>
        <v>22</v>
      </c>
      <c r="G278">
        <f ca="1">IFERROR(__xludf.DUMMYFUNCTION("""COMPUTED_VALUE"""),56)</f>
        <v>56</v>
      </c>
    </row>
    <row r="279" spans="1:7" ht="12.75">
      <c r="A279" t="str">
        <f ca="1">IFERROR(__xludf.DUMMYFUNCTION("""COMPUTED_VALUE"""),"T276")</f>
        <v>T276</v>
      </c>
      <c r="B279" t="str">
        <f ca="1">IFERROR(__xludf.DUMMYFUNCTION("""COMPUTED_VALUE"""),"T270")</f>
        <v>T270</v>
      </c>
      <c r="C279" t="str">
        <f ca="1">IFERROR(__xludf.DUMMYFUNCTION("""COMPUTED_VALUE"""),"Bernd Wiesberger")</f>
        <v>Bernd Wiesberger</v>
      </c>
      <c r="D279">
        <f ca="1">IFERROR(__xludf.DUMMYFUNCTION("""COMPUTED_VALUE"""),4)</f>
        <v>4</v>
      </c>
      <c r="E279">
        <f ca="1">IFERROR(__xludf.DUMMYFUNCTION("""COMPUTED_VALUE"""),39.29)</f>
        <v>39.29</v>
      </c>
      <c r="F279">
        <f ca="1">IFERROR(__xludf.DUMMYFUNCTION("""COMPUTED_VALUE"""),22)</f>
        <v>22</v>
      </c>
      <c r="G279">
        <f ca="1">IFERROR(__xludf.DUMMYFUNCTION("""COMPUTED_VALUE"""),56)</f>
        <v>56</v>
      </c>
    </row>
    <row r="280" spans="1:7" ht="12.75">
      <c r="A280">
        <f ca="1">IFERROR(__xludf.DUMMYFUNCTION("""COMPUTED_VALUE"""),279)</f>
        <v>279</v>
      </c>
      <c r="B280">
        <f ca="1">IFERROR(__xludf.DUMMYFUNCTION("""COMPUTED_VALUE"""),274)</f>
        <v>274</v>
      </c>
      <c r="C280" t="str">
        <f ca="1">IFERROR(__xludf.DUMMYFUNCTION("""COMPUTED_VALUE"""),"Gary Woodland")</f>
        <v>Gary Woodland</v>
      </c>
      <c r="D280">
        <f ca="1">IFERROR(__xludf.DUMMYFUNCTION("""COMPUTED_VALUE"""),6)</f>
        <v>6</v>
      </c>
      <c r="E280">
        <f ca="1">IFERROR(__xludf.DUMMYFUNCTION("""COMPUTED_VALUE"""),38.1)</f>
        <v>38.1</v>
      </c>
      <c r="F280">
        <f ca="1">IFERROR(__xludf.DUMMYFUNCTION("""COMPUTED_VALUE"""),32)</f>
        <v>32</v>
      </c>
      <c r="G280">
        <f ca="1">IFERROR(__xludf.DUMMYFUNCTION("""COMPUTED_VALUE"""),84)</f>
        <v>84</v>
      </c>
    </row>
    <row r="281" spans="1:7" ht="12.75">
      <c r="A281">
        <f ca="1">IFERROR(__xludf.DUMMYFUNCTION("""COMPUTED_VALUE"""),280)</f>
        <v>280</v>
      </c>
      <c r="B281">
        <f ca="1">IFERROR(__xludf.DUMMYFUNCTION("""COMPUTED_VALUE"""),276)</f>
        <v>276</v>
      </c>
      <c r="C281" t="str">
        <f ca="1">IFERROR(__xludf.DUMMYFUNCTION("""COMPUTED_VALUE"""),"Phil Mickelson")</f>
        <v>Phil Mickelson</v>
      </c>
      <c r="D281">
        <f ca="1">IFERROR(__xludf.DUMMYFUNCTION("""COMPUTED_VALUE"""),12)</f>
        <v>12</v>
      </c>
      <c r="E281">
        <f ca="1">IFERROR(__xludf.DUMMYFUNCTION("""COMPUTED_VALUE"""),36.42)</f>
        <v>36.42</v>
      </c>
      <c r="F281">
        <f ca="1">IFERROR(__xludf.DUMMYFUNCTION("""COMPUTED_VALUE"""),59)</f>
        <v>59</v>
      </c>
      <c r="G281">
        <f ca="1">IFERROR(__xludf.DUMMYFUNCTION("""COMPUTED_VALUE"""),162)</f>
        <v>162</v>
      </c>
    </row>
    <row r="282" spans="1:7" ht="12.75">
      <c r="A282" t="str">
        <f ca="1">IFERROR(__xludf.DUMMYFUNCTION("""COMPUTED_VALUE"""),"T281")</f>
        <v>T281</v>
      </c>
      <c r="B282" t="str">
        <f ca="1">IFERROR(__xludf.DUMMYFUNCTION("""COMPUTED_VALUE"""),"T277")</f>
        <v>T277</v>
      </c>
      <c r="C282" t="str">
        <f ca="1">IFERROR(__xludf.DUMMYFUNCTION("""COMPUTED_VALUE"""),"Stephan Jaeger")</f>
        <v>Stephan Jaeger</v>
      </c>
      <c r="D282">
        <f ca="1">IFERROR(__xludf.DUMMYFUNCTION("""COMPUTED_VALUE"""),4)</f>
        <v>4</v>
      </c>
      <c r="E282">
        <f ca="1">IFERROR(__xludf.DUMMYFUNCTION("""COMPUTED_VALUE"""),35.71)</f>
        <v>35.71</v>
      </c>
      <c r="F282">
        <f ca="1">IFERROR(__xludf.DUMMYFUNCTION("""COMPUTED_VALUE"""),20)</f>
        <v>20</v>
      </c>
      <c r="G282">
        <f ca="1">IFERROR(__xludf.DUMMYFUNCTION("""COMPUTED_VALUE"""),56)</f>
        <v>56</v>
      </c>
    </row>
    <row r="283" spans="1:7" ht="12.75">
      <c r="A283" t="str">
        <f ca="1">IFERROR(__xludf.DUMMYFUNCTION("""COMPUTED_VALUE"""),"T281")</f>
        <v>T281</v>
      </c>
      <c r="B283" t="str">
        <f ca="1">IFERROR(__xludf.DUMMYFUNCTION("""COMPUTED_VALUE"""),"T277")</f>
        <v>T277</v>
      </c>
      <c r="C283" t="str">
        <f ca="1">IFERROR(__xludf.DUMMYFUNCTION("""COMPUTED_VALUE"""),"Lucas Herbert")</f>
        <v>Lucas Herbert</v>
      </c>
      <c r="D283">
        <f ca="1">IFERROR(__xludf.DUMMYFUNCTION("""COMPUTED_VALUE"""),4)</f>
        <v>4</v>
      </c>
      <c r="E283">
        <f ca="1">IFERROR(__xludf.DUMMYFUNCTION("""COMPUTED_VALUE"""),35.71)</f>
        <v>35.71</v>
      </c>
      <c r="F283">
        <f ca="1">IFERROR(__xludf.DUMMYFUNCTION("""COMPUTED_VALUE"""),20)</f>
        <v>20</v>
      </c>
      <c r="G283">
        <f ca="1">IFERROR(__xludf.DUMMYFUNCTION("""COMPUTED_VALUE"""),56)</f>
        <v>56</v>
      </c>
    </row>
    <row r="284" spans="1:7" ht="12.75">
      <c r="A284" t="str">
        <f ca="1">IFERROR(__xludf.DUMMYFUNCTION("""COMPUTED_VALUE"""),"T281")</f>
        <v>T281</v>
      </c>
      <c r="B284" t="str">
        <f ca="1">IFERROR(__xludf.DUMMYFUNCTION("""COMPUTED_VALUE"""),"T277")</f>
        <v>T277</v>
      </c>
      <c r="C284" t="str">
        <f ca="1">IFERROR(__xludf.DUMMYFUNCTION("""COMPUTED_VALUE"""),"Taylor Pendrith")</f>
        <v>Taylor Pendrith</v>
      </c>
      <c r="D284">
        <f ca="1">IFERROR(__xludf.DUMMYFUNCTION("""COMPUTED_VALUE"""),4)</f>
        <v>4</v>
      </c>
      <c r="E284">
        <f ca="1">IFERROR(__xludf.DUMMYFUNCTION("""COMPUTED_VALUE"""),35.71)</f>
        <v>35.71</v>
      </c>
      <c r="F284">
        <f ca="1">IFERROR(__xludf.DUMMYFUNCTION("""COMPUTED_VALUE"""),20)</f>
        <v>20</v>
      </c>
      <c r="G284">
        <f ca="1">IFERROR(__xludf.DUMMYFUNCTION("""COMPUTED_VALUE"""),56)</f>
        <v>56</v>
      </c>
    </row>
    <row r="285" spans="1:7" ht="12.75">
      <c r="A285">
        <f ca="1">IFERROR(__xludf.DUMMYFUNCTION("""COMPUTED_VALUE"""),284)</f>
        <v>284</v>
      </c>
      <c r="B285">
        <f ca="1">IFERROR(__xludf.DUMMYFUNCTION("""COMPUTED_VALUE"""),275)</f>
        <v>275</v>
      </c>
      <c r="C285" t="str">
        <f ca="1">IFERROR(__xludf.DUMMYFUNCTION("""COMPUTED_VALUE"""),"Jimmy Walker")</f>
        <v>Jimmy Walker</v>
      </c>
      <c r="D285">
        <f ca="1">IFERROR(__xludf.DUMMYFUNCTION("""COMPUTED_VALUE"""),10)</f>
        <v>10</v>
      </c>
      <c r="E285">
        <f ca="1">IFERROR(__xludf.DUMMYFUNCTION("""COMPUTED_VALUE"""),35.51)</f>
        <v>35.51</v>
      </c>
      <c r="F285">
        <f ca="1">IFERROR(__xludf.DUMMYFUNCTION("""COMPUTED_VALUE"""),49)</f>
        <v>49</v>
      </c>
      <c r="G285">
        <f ca="1">IFERROR(__xludf.DUMMYFUNCTION("""COMPUTED_VALUE"""),138)</f>
        <v>138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IFERROR(__xludf.DUMMYFUNCTION("""COMPUTED_VALUE"""),280)</f>
        <v>280</v>
      </c>
      <c r="C286" t="str">
        <f ca="1">IFERROR(__xludf.DUMMYFUNCTION("""COMPUTED_VALUE"""),"Kurt Kitayama")</f>
        <v>Kurt Kitayama</v>
      </c>
      <c r="D286">
        <f ca="1">IFERROR(__xludf.DUMMYFUNCTION("""COMPUTED_VALUE"""),4)</f>
        <v>4</v>
      </c>
      <c r="E286">
        <f ca="1">IFERROR(__xludf.DUMMYFUNCTION("""COMPUTED_VALUE"""),33.93)</f>
        <v>33.93</v>
      </c>
      <c r="F286">
        <f ca="1">IFERROR(__xludf.DUMMYFUNCTION("""COMPUTED_VALUE"""),19)</f>
        <v>19</v>
      </c>
      <c r="G286">
        <f ca="1">IFERROR(__xludf.DUMMYFUNCTION("""COMPUTED_VALUE"""),56)</f>
        <v>56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IFERROR(__xludf.DUMMYFUNCTION("""COMPUTED_VALUE"""),281)</f>
        <v>281</v>
      </c>
      <c r="C287" t="str">
        <f ca="1">IFERROR(__xludf.DUMMYFUNCTION("""COMPUTED_VALUE"""),"Luke Schniederjans")</f>
        <v>Luke Schniederjans</v>
      </c>
      <c r="D287">
        <f ca="1">IFERROR(__xludf.DUMMYFUNCTION("""COMPUTED_VALUE"""),4)</f>
        <v>4</v>
      </c>
      <c r="E287">
        <f ca="1">IFERROR(__xludf.DUMMYFUNCTION("""COMPUTED_VALUE"""),32.14)</f>
        <v>32.14</v>
      </c>
      <c r="F287">
        <f ca="1">IFERROR(__xludf.DUMMYFUNCTION("""COMPUTED_VALUE"""),18)</f>
        <v>18</v>
      </c>
      <c r="G287">
        <f ca="1">IFERROR(__xludf.DUMMYFUNCTION("""COMPUTED_VALUE"""),56)</f>
        <v>56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IFERROR(__xludf.DUMMYFUNCTION("""COMPUTED_VALUE"""),282)</f>
        <v>282</v>
      </c>
      <c r="C288" t="str">
        <f ca="1">IFERROR(__xludf.DUMMYFUNCTION("""COMPUTED_VALUE"""),"Romain Langasque")</f>
        <v>Romain Langasque</v>
      </c>
      <c r="D288">
        <f ca="1">IFERROR(__xludf.DUMMYFUNCTION("""COMPUTED_VALUE"""),4)</f>
        <v>4</v>
      </c>
      <c r="E288">
        <f ca="1">IFERROR(__xludf.DUMMYFUNCTION("""COMPUTED_VALUE"""),30.36)</f>
        <v>30.36</v>
      </c>
      <c r="F288">
        <f ca="1">IFERROR(__xludf.DUMMYFUNCTION("""COMPUTED_VALUE"""),17)</f>
        <v>17</v>
      </c>
      <c r="G288">
        <f ca="1">IFERROR(__xludf.DUMMYFUNCTION("""COMPUTED_VALUE"""),56)</f>
        <v>56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IFERROR(__xludf.DUMMYFUNCTION("""COMPUTED_VALUE"""),"Renato Paratore")</f>
        <v>Renato Paratore</v>
      </c>
      <c r="D289">
        <f ca="1">IFERROR(__xludf.DUMMYFUNCTION("""COMPUTED_VALUE"""),4)</f>
        <v>4</v>
      </c>
      <c r="E289">
        <f ca="1">IFERROR(__xludf.DUMMYFUNCTION("""COMPUTED_VALUE"""),23.21)</f>
        <v>23.21</v>
      </c>
      <c r="F289">
        <f ca="1">IFERROR(__xludf.DUMMYFUNCTION("""COMPUTED_VALUE"""),13)</f>
        <v>13</v>
      </c>
      <c r="G289">
        <f ca="1">IFERROR(__xludf.DUMMYFUNCTION("""COMPUTED_VALUE"""),56)</f>
        <v>56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IFERROR(__xludf.DUMMYFUNCTION("""COMPUTED_VALUE"""),"Robert MacIntyre")</f>
        <v>Robert MacIntyre</v>
      </c>
      <c r="D290">
        <f ca="1">IFERROR(__xludf.DUMMYFUNCTION("""COMPUTED_VALUE"""),4)</f>
        <v>4</v>
      </c>
      <c r="E290">
        <f ca="1">IFERROR(__xludf.DUMMYFUNCTION("""COMPUTED_VALUE"""),19.64)</f>
        <v>19.64</v>
      </c>
      <c r="F290">
        <f ca="1">IFERROR(__xludf.DUMMYFUNCTION("""COMPUTED_VALUE"""),11)</f>
        <v>11</v>
      </c>
      <c r="G290">
        <f ca="1">IFERROR(__xludf.DUMMYFUNCTION("""COMPUTED_VALUE"""),56)</f>
        <v>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IFERROR(__xludf.DUMMYFUNCTION("importhtml(""http://www.pgatour.com/stats/stat.213.html"",""table"",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IFERROR(__xludf.DUMMYFUNCTION("""COMPUTED_VALUE"""),"FAIRWAYS HIT")</f>
        <v>FAIRWAYS HIT</v>
      </c>
      <c r="G1" t="str">
        <f ca="1">IFERROR(__xludf.DUMMYFUNCTION("""COMPUTED_VALUE"""),"POSSIBLE FAIRWAYS")</f>
        <v>POSSIBLE FAIRWAYS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IFERROR(__xludf.DUMMYFUNCTION("""COMPUTED_VALUE"""),"Gunn Charoenkul")</f>
        <v>Gunn Charoenkul</v>
      </c>
      <c r="D2">
        <f ca="1">IFERROR(__xludf.DUMMYFUNCTION("""COMPUTED_VALUE"""),4)</f>
        <v>4</v>
      </c>
      <c r="E2">
        <f ca="1">IFERROR(__xludf.DUMMYFUNCTION("""COMPUTED_VALUE"""),80.77)</f>
        <v>80.77</v>
      </c>
      <c r="F2">
        <f ca="1">IFERROR(__xludf.DUMMYFUNCTION("""COMPUTED_VALUE"""),42)</f>
        <v>42</v>
      </c>
      <c r="G2">
        <f ca="1">IFERROR(__xludf.DUMMYFUNCTION("""COMPUTED_VALUE"""),52)</f>
        <v>52</v>
      </c>
      <c r="H2">
        <f ca="1">IFERROR(__xludf.DUMMYFUNCTION("""COMPUTED_VALUE"""),-0.26)</f>
        <v>-0.26</v>
      </c>
    </row>
    <row r="3" spans="1:8" ht="15.75" customHeight="1">
      <c r="A3" t="str">
        <f ca="1">IFERROR(__xludf.DUMMYFUNCTION("""COMPUTED_VALUE"""),"T2")</f>
        <v>T2</v>
      </c>
      <c r="B3" t="str">
        <f ca="1">IFERROR(__xludf.DUMMYFUNCTION("""COMPUTED_VALUE"""),"T2")</f>
        <v>T2</v>
      </c>
      <c r="C3" t="str">
        <f ca="1">IFERROR(__xludf.DUMMYFUNCTION("""COMPUTED_VALUE"""),"Rikuya Hoshino")</f>
        <v>Rikuya Hoshino</v>
      </c>
      <c r="D3">
        <f ca="1">IFERROR(__xludf.DUMMYFUNCTION("""COMPUTED_VALUE"""),4)</f>
        <v>4</v>
      </c>
      <c r="E3">
        <f ca="1">IFERROR(__xludf.DUMMYFUNCTION("""COMPUTED_VALUE"""),78.85)</f>
        <v>78.849999999999994</v>
      </c>
      <c r="F3">
        <f ca="1">IFERROR(__xludf.DUMMYFUNCTION("""COMPUTED_VALUE"""),41)</f>
        <v>41</v>
      </c>
      <c r="G3">
        <f ca="1">IFERROR(__xludf.DUMMYFUNCTION("""COMPUTED_VALUE"""),52)</f>
        <v>52</v>
      </c>
      <c r="H3">
        <f ca="1">IFERROR(__xludf.DUMMYFUNCTION("""COMPUTED_VALUE"""),-0.15)</f>
        <v>-0.15</v>
      </c>
    </row>
    <row r="4" spans="1:8" ht="15.75" customHeight="1">
      <c r="A4" t="str">
        <f ca="1">IFERROR(__xludf.DUMMYFUNCTION("""COMPUTED_VALUE"""),"T2")</f>
        <v>T2</v>
      </c>
      <c r="B4" t="str">
        <f ca="1">IFERROR(__xludf.DUMMYFUNCTION("""COMPUTED_VALUE"""),"T2")</f>
        <v>T2</v>
      </c>
      <c r="C4" t="str">
        <f ca="1">IFERROR(__xludf.DUMMYFUNCTION("""COMPUTED_VALUE"""),"Naoki Sekito")</f>
        <v>Naoki Sekito</v>
      </c>
      <c r="D4">
        <f ca="1">IFERROR(__xludf.DUMMYFUNCTION("""COMPUTED_VALUE"""),4)</f>
        <v>4</v>
      </c>
      <c r="E4">
        <f ca="1">IFERROR(__xludf.DUMMYFUNCTION("""COMPUTED_VALUE"""),78.85)</f>
        <v>78.849999999999994</v>
      </c>
      <c r="F4">
        <f ca="1">IFERROR(__xludf.DUMMYFUNCTION("""COMPUTED_VALUE"""),41)</f>
        <v>41</v>
      </c>
      <c r="G4">
        <f ca="1">IFERROR(__xludf.DUMMYFUNCTION("""COMPUTED_VALUE"""),52)</f>
        <v>52</v>
      </c>
      <c r="H4">
        <f ca="1">IFERROR(__xludf.DUMMYFUNCTION("""COMPUTED_VALUE"""),-0.2)</f>
        <v>-0.2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IFERROR(__xludf.DUMMYFUNCTION("""COMPUTED_VALUE"""),"Johnson Wagner")</f>
        <v>Johnson Wagner</v>
      </c>
      <c r="D5">
        <f ca="1">IFERROR(__xludf.DUMMYFUNCTION("""COMPUTED_VALUE"""),8)</f>
        <v>8</v>
      </c>
      <c r="E5">
        <f ca="1">IFERROR(__xludf.DUMMYFUNCTION("""COMPUTED_VALUE"""),75)</f>
        <v>75</v>
      </c>
      <c r="F5">
        <f ca="1">IFERROR(__xludf.DUMMYFUNCTION("""COMPUTED_VALUE"""),21)</f>
        <v>21</v>
      </c>
      <c r="G5">
        <f ca="1">IFERROR(__xludf.DUMMYFUNCTION("""COMPUTED_VALUE"""),28)</f>
        <v>28</v>
      </c>
      <c r="H5">
        <f ca="1">IFERROR(__xludf.DUMMYFUNCTION("""COMPUTED_VALUE"""),-0.14)</f>
        <v>-0.14000000000000001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IFERROR(__xludf.DUMMYFUNCTION("""COMPUTED_VALUE"""),8)</f>
        <v>8</v>
      </c>
      <c r="C6" t="str">
        <f ca="1">IFERROR(__xludf.DUMMYFUNCTION("""COMPUTED_VALUE"""),"Brad Kennedy")</f>
        <v>Brad Kennedy</v>
      </c>
      <c r="D6">
        <f ca="1">IFERROR(__xludf.DUMMYFUNCTION("""COMPUTED_VALUE"""),4)</f>
        <v>4</v>
      </c>
      <c r="E6">
        <f ca="1">IFERROR(__xludf.DUMMYFUNCTION("""COMPUTED_VALUE"""),73.08)</f>
        <v>73.08</v>
      </c>
      <c r="F6">
        <f ca="1">IFERROR(__xludf.DUMMYFUNCTION("""COMPUTED_VALUE"""),38)</f>
        <v>38</v>
      </c>
      <c r="G6">
        <f ca="1">IFERROR(__xludf.DUMMYFUNCTION("""COMPUTED_VALUE"""),52)</f>
        <v>52</v>
      </c>
      <c r="H6">
        <f ca="1">IFERROR(__xludf.DUMMYFUNCTION("""COMPUTED_VALUE"""),-0.26)</f>
        <v>-0.26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IFERROR(__xludf.DUMMYFUNCTION("""COMPUTED_VALUE"""),5)</f>
        <v>5</v>
      </c>
      <c r="C7" t="str">
        <f ca="1">IFERROR(__xludf.DUMMYFUNCTION("""COMPUTED_VALUE"""),"Satoshi Kodaira")</f>
        <v>Satoshi Kodaira</v>
      </c>
      <c r="D7">
        <f ca="1">IFERROR(__xludf.DUMMYFUNCTION("""COMPUTED_VALUE"""),12)</f>
        <v>12</v>
      </c>
      <c r="E7">
        <f ca="1">IFERROR(__xludf.DUMMYFUNCTION("""COMPUTED_VALUE"""),72.96)</f>
        <v>72.959999999999994</v>
      </c>
      <c r="F7">
        <f ca="1">IFERROR(__xludf.DUMMYFUNCTION("""COMPUTED_VALUE"""),116)</f>
        <v>116</v>
      </c>
      <c r="G7">
        <f ca="1">IFERROR(__xludf.DUMMYFUNCTION("""COMPUTED_VALUE"""),159)</f>
        <v>159</v>
      </c>
      <c r="H7">
        <f ca="1">IFERROR(__xludf.DUMMYFUNCTION("""COMPUTED_VALUE"""),-0.22)</f>
        <v>-0.22</v>
      </c>
    </row>
    <row r="8" spans="1:8" ht="15.75" customHeight="1">
      <c r="A8" t="str">
        <f ca="1">IFERROR(__xludf.DUMMYFUNCTION("""COMPUTED_VALUE"""),"T7")</f>
        <v>T7</v>
      </c>
      <c r="B8" t="str">
        <f ca="1">IFERROR(__xludf.DUMMYFUNCTION("""COMPUTED_VALUE"""),"T11")</f>
        <v>T11</v>
      </c>
      <c r="C8" t="str">
        <f ca="1">IFERROR(__xludf.DUMMYFUNCTION("""COMPUTED_VALUE"""),"Chez Reavie")</f>
        <v>Chez Reavie</v>
      </c>
      <c r="D8">
        <f ca="1">IFERROR(__xludf.DUMMYFUNCTION("""COMPUTED_VALUE"""),14)</f>
        <v>14</v>
      </c>
      <c r="E8">
        <f ca="1">IFERROR(__xludf.DUMMYFUNCTION("""COMPUTED_VALUE"""),71.43)</f>
        <v>71.430000000000007</v>
      </c>
      <c r="F8">
        <f ca="1">IFERROR(__xludf.DUMMYFUNCTION("""COMPUTED_VALUE"""),140)</f>
        <v>140</v>
      </c>
      <c r="G8">
        <f ca="1">IFERROR(__xludf.DUMMYFUNCTION("""COMPUTED_VALUE"""),196)</f>
        <v>196</v>
      </c>
      <c r="H8">
        <f ca="1">IFERROR(__xludf.DUMMYFUNCTION("""COMPUTED_VALUE"""),-0.21)</f>
        <v>-0.21</v>
      </c>
    </row>
    <row r="9" spans="1:8" ht="15.75" customHeight="1">
      <c r="A9" t="str">
        <f ca="1">IFERROR(__xludf.DUMMYFUNCTION("""COMPUTED_VALUE"""),"T7")</f>
        <v>T7</v>
      </c>
      <c r="B9" t="str">
        <f ca="1">IFERROR(__xludf.DUMMYFUNCTION("""COMPUTED_VALUE"""),"T11")</f>
        <v>T11</v>
      </c>
      <c r="C9" t="str">
        <f ca="1">IFERROR(__xludf.DUMMYFUNCTION("""COMPUTED_VALUE"""),"Michael Gellerman")</f>
        <v>Michael Gellerman</v>
      </c>
      <c r="D9">
        <f ca="1">IFERROR(__xludf.DUMMYFUNCTION("""COMPUTED_VALUE"""),5)</f>
        <v>5</v>
      </c>
      <c r="E9">
        <f ca="1">IFERROR(__xludf.DUMMYFUNCTION("""COMPUTED_VALUE"""),71.43)</f>
        <v>71.430000000000007</v>
      </c>
      <c r="F9">
        <f ca="1">IFERROR(__xludf.DUMMYFUNCTION("""COMPUTED_VALUE"""),20)</f>
        <v>20</v>
      </c>
      <c r="G9">
        <f ca="1">IFERROR(__xludf.DUMMYFUNCTION("""COMPUTED_VALUE"""),28)</f>
        <v>28</v>
      </c>
      <c r="H9">
        <f ca="1">IFERROR(__xludf.DUMMYFUNCTION("""COMPUTED_VALUE"""),-0.1)</f>
        <v>-0.1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IFERROR(__xludf.DUMMYFUNCTION("""COMPUTED_VALUE"""),13)</f>
        <v>13</v>
      </c>
      <c r="C10" t="str">
        <f ca="1">IFERROR(__xludf.DUMMYFUNCTION("""COMPUTED_VALUE"""),"Matt Kuchar")</f>
        <v>Matt Kuchar</v>
      </c>
      <c r="D10">
        <f ca="1">IFERROR(__xludf.DUMMYFUNCTION("""COMPUTED_VALUE"""),14)</f>
        <v>14</v>
      </c>
      <c r="E10">
        <f ca="1">IFERROR(__xludf.DUMMYFUNCTION("""COMPUTED_VALUE"""),71.35)</f>
        <v>71.349999999999994</v>
      </c>
      <c r="F10">
        <f ca="1">IFERROR(__xludf.DUMMYFUNCTION("""COMPUTED_VALUE"""),137)</f>
        <v>137</v>
      </c>
      <c r="G10">
        <f ca="1">IFERROR(__xludf.DUMMYFUNCTION("""COMPUTED_VALUE"""),192)</f>
        <v>192</v>
      </c>
      <c r="H10">
        <f ca="1">IFERROR(__xludf.DUMMYFUNCTION("""COMPUTED_VALUE"""),-0.2)</f>
        <v>-0.2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IFERROR(__xludf.DUMMYFUNCTION("""COMPUTED_VALUE"""),14)</f>
        <v>14</v>
      </c>
      <c r="C11" t="str">
        <f ca="1">IFERROR(__xludf.DUMMYFUNCTION("""COMPUTED_VALUE"""),"Russell Henley")</f>
        <v>Russell Henley</v>
      </c>
      <c r="D11">
        <f ca="1">IFERROR(__xludf.DUMMYFUNCTION("""COMPUTED_VALUE"""),16)</f>
        <v>16</v>
      </c>
      <c r="E11">
        <f ca="1">IFERROR(__xludf.DUMMYFUNCTION("""COMPUTED_VALUE"""),71.3)</f>
        <v>71.3</v>
      </c>
      <c r="F11">
        <f ca="1">IFERROR(__xludf.DUMMYFUNCTION("""COMPUTED_VALUE"""),154)</f>
        <v>154</v>
      </c>
      <c r="G11">
        <f ca="1">IFERROR(__xludf.DUMMYFUNCTION("""COMPUTED_VALUE"""),216)</f>
        <v>216</v>
      </c>
      <c r="H11">
        <f ca="1">IFERROR(__xludf.DUMMYFUNCTION("""COMPUTED_VALUE"""),-0.29)</f>
        <v>-0.28999999999999998</v>
      </c>
    </row>
    <row r="12" spans="1:8" ht="15.75" customHeight="1">
      <c r="A12" t="str">
        <f ca="1">IFERROR(__xludf.DUMMYFUNCTION("""COMPUTED_VALUE"""),"T11")</f>
        <v>T11</v>
      </c>
      <c r="B12">
        <f ca="1">IFERROR(__xludf.DUMMYFUNCTION("""COMPUTED_VALUE"""),9)</f>
        <v>9</v>
      </c>
      <c r="C12" t="str">
        <f ca="1">IFERROR(__xludf.DUMMYFUNCTION("""COMPUTED_VALUE"""),"James Hahn")</f>
        <v>James Hahn</v>
      </c>
      <c r="D12">
        <f ca="1">IFERROR(__xludf.DUMMYFUNCTION("""COMPUTED_VALUE"""),16)</f>
        <v>16</v>
      </c>
      <c r="E12">
        <f ca="1">IFERROR(__xludf.DUMMYFUNCTION("""COMPUTED_VALUE"""),70.73)</f>
        <v>70.73</v>
      </c>
      <c r="F12">
        <f ca="1">IFERROR(__xludf.DUMMYFUNCTION("""COMPUTED_VALUE"""),116)</f>
        <v>116</v>
      </c>
      <c r="G12">
        <f ca="1">IFERROR(__xludf.DUMMYFUNCTION("""COMPUTED_VALUE"""),164)</f>
        <v>164</v>
      </c>
      <c r="H12">
        <f ca="1">IFERROR(__xludf.DUMMYFUNCTION("""COMPUTED_VALUE"""),-0.3)</f>
        <v>-0.3</v>
      </c>
    </row>
    <row r="13" spans="1:8" ht="15.75" customHeight="1">
      <c r="A13" t="str">
        <f ca="1">IFERROR(__xludf.DUMMYFUNCTION("""COMPUTED_VALUE"""),"T11")</f>
        <v>T11</v>
      </c>
      <c r="B13">
        <f ca="1">IFERROR(__xludf.DUMMYFUNCTION("""COMPUTED_VALUE"""),15)</f>
        <v>15</v>
      </c>
      <c r="C13" t="str">
        <f ca="1">IFERROR(__xludf.DUMMYFUNCTION("""COMPUTED_VALUE"""),"Webb Simpson")</f>
        <v>Webb Simpson</v>
      </c>
      <c r="D13">
        <f ca="1">IFERROR(__xludf.DUMMYFUNCTION("""COMPUTED_VALUE"""),12)</f>
        <v>12</v>
      </c>
      <c r="E13">
        <f ca="1">IFERROR(__xludf.DUMMYFUNCTION("""COMPUTED_VALUE"""),70.73)</f>
        <v>70.73</v>
      </c>
      <c r="F13">
        <f ca="1">IFERROR(__xludf.DUMMYFUNCTION("""COMPUTED_VALUE"""),116)</f>
        <v>116</v>
      </c>
      <c r="G13">
        <f ca="1">IFERROR(__xludf.DUMMYFUNCTION("""COMPUTED_VALUE"""),164)</f>
        <v>164</v>
      </c>
      <c r="H13">
        <f ca="1">IFERROR(__xludf.DUMMYFUNCTION("""COMPUTED_VALUE"""),-0.24)</f>
        <v>-0.24</v>
      </c>
    </row>
    <row r="14" spans="1:8" ht="15.75" customHeight="1">
      <c r="A14">
        <f ca="1">IFERROR(__xludf.DUMMYFUNCTION("""COMPUTED_VALUE"""),13)</f>
        <v>13</v>
      </c>
      <c r="B14">
        <f ca="1">IFERROR(__xludf.DUMMYFUNCTION("""COMPUTED_VALUE"""),17)</f>
        <v>17</v>
      </c>
      <c r="C14" t="str">
        <f ca="1">IFERROR(__xludf.DUMMYFUNCTION("""COMPUTED_VALUE"""),"Matthew Fitzpatrick")</f>
        <v>Matthew Fitzpatrick</v>
      </c>
      <c r="D14">
        <f ca="1">IFERROR(__xludf.DUMMYFUNCTION("""COMPUTED_VALUE"""),10)</f>
        <v>10</v>
      </c>
      <c r="E14">
        <f ca="1">IFERROR(__xludf.DUMMYFUNCTION("""COMPUTED_VALUE"""),69.85)</f>
        <v>69.849999999999994</v>
      </c>
      <c r="F14">
        <f ca="1">IFERROR(__xludf.DUMMYFUNCTION("""COMPUTED_VALUE"""),95)</f>
        <v>95</v>
      </c>
      <c r="G14">
        <f ca="1">IFERROR(__xludf.DUMMYFUNCTION("""COMPUTED_VALUE"""),136)</f>
        <v>136</v>
      </c>
      <c r="H14">
        <f ca="1">IFERROR(__xludf.DUMMYFUNCTION("""COMPUTED_VALUE"""),-0.22)</f>
        <v>-0.22</v>
      </c>
    </row>
    <row r="15" spans="1:8" ht="15.75" customHeight="1">
      <c r="A15">
        <f ca="1">IFERROR(__xludf.DUMMYFUNCTION("""COMPUTED_VALUE"""),14)</f>
        <v>14</v>
      </c>
      <c r="B15" t="str">
        <f ca="1">IFERROR(__xludf.DUMMYFUNCTION("""COMPUTED_VALUE"""),"T18")</f>
        <v>T18</v>
      </c>
      <c r="C15" t="str">
        <f ca="1">IFERROR(__xludf.DUMMYFUNCTION("""COMPUTED_VALUE"""),"Jim Furyk")</f>
        <v>Jim Furyk</v>
      </c>
      <c r="D15">
        <f ca="1">IFERROR(__xludf.DUMMYFUNCTION("""COMPUTED_VALUE"""),4)</f>
        <v>4</v>
      </c>
      <c r="E15">
        <f ca="1">IFERROR(__xludf.DUMMYFUNCTION("""COMPUTED_VALUE"""),69.64)</f>
        <v>69.64</v>
      </c>
      <c r="F15">
        <f ca="1">IFERROR(__xludf.DUMMYFUNCTION("""COMPUTED_VALUE"""),39)</f>
        <v>39</v>
      </c>
      <c r="G15">
        <f ca="1">IFERROR(__xludf.DUMMYFUNCTION("""COMPUTED_VALUE"""),56)</f>
        <v>56</v>
      </c>
      <c r="H15">
        <f ca="1">IFERROR(__xludf.DUMMYFUNCTION("""COMPUTED_VALUE"""),-0.23)</f>
        <v>-0.23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IFERROR(__xludf.DUMMYFUNCTION("""COMPUTED_VALUE"""),20)</f>
        <v>20</v>
      </c>
      <c r="C16" t="str">
        <f ca="1">IFERROR(__xludf.DUMMYFUNCTION("""COMPUTED_VALUE"""),"Abraham Ancer")</f>
        <v>Abraham Ancer</v>
      </c>
      <c r="D16">
        <f ca="1">IFERROR(__xludf.DUMMYFUNCTION("""COMPUTED_VALUE"""),16)</f>
        <v>16</v>
      </c>
      <c r="E16">
        <f ca="1">IFERROR(__xludf.DUMMYFUNCTION("""COMPUTED_VALUE"""),69.55)</f>
        <v>69.55</v>
      </c>
      <c r="F16">
        <f ca="1">IFERROR(__xludf.DUMMYFUNCTION("""COMPUTED_VALUE"""),153)</f>
        <v>153</v>
      </c>
      <c r="G16">
        <f ca="1">IFERROR(__xludf.DUMMYFUNCTION("""COMPUTED_VALUE"""),220)</f>
        <v>220</v>
      </c>
      <c r="H16">
        <f ca="1">IFERROR(__xludf.DUMMYFUNCTION("""COMPUTED_VALUE"""),-0.2)</f>
        <v>-0.2</v>
      </c>
    </row>
    <row r="17" spans="1:8" ht="15.75" customHeight="1">
      <c r="A17">
        <f ca="1">IFERROR(__xludf.DUMMYFUNCTION("""COMPUTED_VALUE"""),16)</f>
        <v>16</v>
      </c>
      <c r="B17" t="str">
        <f ca="1">IFERROR(__xludf.DUMMYFUNCTION("""COMPUTED_VALUE"""),"T18")</f>
        <v>T18</v>
      </c>
      <c r="C17" t="str">
        <f ca="1">IFERROR(__xludf.DUMMYFUNCTION("""COMPUTED_VALUE"""),"Vaughn Taylor")</f>
        <v>Vaughn Taylor</v>
      </c>
      <c r="D17">
        <f ca="1">IFERROR(__xludf.DUMMYFUNCTION("""COMPUTED_VALUE"""),12)</f>
        <v>12</v>
      </c>
      <c r="E17">
        <f ca="1">IFERROR(__xludf.DUMMYFUNCTION("""COMPUTED_VALUE"""),69.51)</f>
        <v>69.510000000000005</v>
      </c>
      <c r="F17">
        <f ca="1">IFERROR(__xludf.DUMMYFUNCTION("""COMPUTED_VALUE"""),57)</f>
        <v>57</v>
      </c>
      <c r="G17">
        <f ca="1">IFERROR(__xludf.DUMMYFUNCTION("""COMPUTED_VALUE"""),82)</f>
        <v>82</v>
      </c>
      <c r="H17">
        <f ca="1">IFERROR(__xludf.DUMMYFUNCTION("""COMPUTED_VALUE"""),-0.11)</f>
        <v>-0.11</v>
      </c>
    </row>
    <row r="18" spans="1:8" ht="15.75" customHeight="1">
      <c r="A18">
        <f ca="1">IFERROR(__xludf.DUMMYFUNCTION("""COMPUTED_VALUE"""),17)</f>
        <v>17</v>
      </c>
      <c r="B18">
        <f ca="1">IFERROR(__xludf.DUMMYFUNCTION("""COMPUTED_VALUE"""),4)</f>
        <v>4</v>
      </c>
      <c r="C18" t="str">
        <f ca="1">IFERROR(__xludf.DUMMYFUNCTION("""COMPUTED_VALUE"""),"John Huh")</f>
        <v>John Huh</v>
      </c>
      <c r="D18">
        <f ca="1">IFERROR(__xludf.DUMMYFUNCTION("""COMPUTED_VALUE"""),8)</f>
        <v>8</v>
      </c>
      <c r="E18">
        <f ca="1">IFERROR(__xludf.DUMMYFUNCTION("""COMPUTED_VALUE"""),69.44)</f>
        <v>69.44</v>
      </c>
      <c r="F18">
        <f ca="1">IFERROR(__xludf.DUMMYFUNCTION("""COMPUTED_VALUE"""),75)</f>
        <v>75</v>
      </c>
      <c r="G18">
        <f ca="1">IFERROR(__xludf.DUMMYFUNCTION("""COMPUTED_VALUE"""),108)</f>
        <v>108</v>
      </c>
      <c r="H18">
        <f ca="1">IFERROR(__xludf.DUMMYFUNCTION("""COMPUTED_VALUE"""),-0.17)</f>
        <v>-0.17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IFERROR(__xludf.DUMMYFUNCTION("""COMPUTED_VALUE"""),16)</f>
        <v>16</v>
      </c>
      <c r="C19" t="str">
        <f ca="1">IFERROR(__xludf.DUMMYFUNCTION("""COMPUTED_VALUE"""),"Henrik Norlander")</f>
        <v>Henrik Norlander</v>
      </c>
      <c r="D19">
        <f ca="1">IFERROR(__xludf.DUMMYFUNCTION("""COMPUTED_VALUE"""),16)</f>
        <v>16</v>
      </c>
      <c r="E19">
        <f ca="1">IFERROR(__xludf.DUMMYFUNCTION("""COMPUTED_VALUE"""),69.09)</f>
        <v>69.09</v>
      </c>
      <c r="F19">
        <f ca="1">IFERROR(__xludf.DUMMYFUNCTION("""COMPUTED_VALUE"""),114)</f>
        <v>114</v>
      </c>
      <c r="G19">
        <f ca="1">IFERROR(__xludf.DUMMYFUNCTION("""COMPUTED_VALUE"""),165)</f>
        <v>165</v>
      </c>
      <c r="H19">
        <f ca="1">IFERROR(__xludf.DUMMYFUNCTION("""COMPUTED_VALUE"""),-0.27)</f>
        <v>-0.27</v>
      </c>
    </row>
    <row r="20" spans="1:8" ht="15.75" customHeight="1">
      <c r="A20">
        <f ca="1">IFERROR(__xludf.DUMMYFUNCTION("""COMPUTED_VALUE"""),19)</f>
        <v>19</v>
      </c>
      <c r="B20">
        <f ca="1">IFERROR(__xludf.DUMMYFUNCTION("""COMPUTED_VALUE"""),10)</f>
        <v>10</v>
      </c>
      <c r="C20" t="str">
        <f ca="1">IFERROR(__xludf.DUMMYFUNCTION("""COMPUTED_VALUE"""),"Tyler Duncan")</f>
        <v>Tyler Duncan</v>
      </c>
      <c r="D20">
        <f ca="1">IFERROR(__xludf.DUMMYFUNCTION("""COMPUTED_VALUE"""),18)</f>
        <v>18</v>
      </c>
      <c r="E20">
        <f ca="1">IFERROR(__xludf.DUMMYFUNCTION("""COMPUTED_VALUE"""),68.98)</f>
        <v>68.98</v>
      </c>
      <c r="F20">
        <f ca="1">IFERROR(__xludf.DUMMYFUNCTION("""COMPUTED_VALUE"""),169)</f>
        <v>169</v>
      </c>
      <c r="G20">
        <f ca="1">IFERROR(__xludf.DUMMYFUNCTION("""COMPUTED_VALUE"""),245)</f>
        <v>245</v>
      </c>
      <c r="H20">
        <f ca="1">IFERROR(__xludf.DUMMYFUNCTION("""COMPUTED_VALUE"""),-0.15)</f>
        <v>-0.15</v>
      </c>
    </row>
    <row r="21" spans="1:8" ht="15.75" customHeight="1">
      <c r="A21">
        <f ca="1">IFERROR(__xludf.DUMMYFUNCTION("""COMPUTED_VALUE"""),20)</f>
        <v>20</v>
      </c>
      <c r="B21">
        <f ca="1">IFERROR(__xludf.DUMMYFUNCTION("""COMPUTED_VALUE"""),22)</f>
        <v>22</v>
      </c>
      <c r="C21" t="str">
        <f ca="1">IFERROR(__xludf.DUMMYFUNCTION("""COMPUTED_VALUE"""),"Brendon Todd")</f>
        <v>Brendon Todd</v>
      </c>
      <c r="D21">
        <f ca="1">IFERROR(__xludf.DUMMYFUNCTION("""COMPUTED_VALUE"""),14)</f>
        <v>14</v>
      </c>
      <c r="E21">
        <f ca="1">IFERROR(__xludf.DUMMYFUNCTION("""COMPUTED_VALUE"""),68.9)</f>
        <v>68.900000000000006</v>
      </c>
      <c r="F21">
        <f ca="1">IFERROR(__xludf.DUMMYFUNCTION("""COMPUTED_VALUE"""),113)</f>
        <v>113</v>
      </c>
      <c r="G21">
        <f ca="1">IFERROR(__xludf.DUMMYFUNCTION("""COMPUTED_VALUE"""),164)</f>
        <v>164</v>
      </c>
      <c r="H21">
        <f ca="1">IFERROR(__xludf.DUMMYFUNCTION("""COMPUTED_VALUE"""),-0.17)</f>
        <v>-0.17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IFERROR(__xludf.DUMMYFUNCTION("""COMPUTED_VALUE"""),21)</f>
        <v>21</v>
      </c>
      <c r="C22" t="str">
        <f ca="1">IFERROR(__xludf.DUMMYFUNCTION("""COMPUTED_VALUE"""),"Andrew Landry")</f>
        <v>Andrew Landry</v>
      </c>
      <c r="D22">
        <f ca="1">IFERROR(__xludf.DUMMYFUNCTION("""COMPUTED_VALUE"""),14)</f>
        <v>14</v>
      </c>
      <c r="E22">
        <f ca="1">IFERROR(__xludf.DUMMYFUNCTION("""COMPUTED_VALUE"""),68.25)</f>
        <v>68.25</v>
      </c>
      <c r="F22">
        <f ca="1">IFERROR(__xludf.DUMMYFUNCTION("""COMPUTED_VALUE"""),129)</f>
        <v>129</v>
      </c>
      <c r="G22">
        <f ca="1">IFERROR(__xludf.DUMMYFUNCTION("""COMPUTED_VALUE"""),189)</f>
        <v>189</v>
      </c>
      <c r="H22">
        <f ca="1">IFERROR(__xludf.DUMMYFUNCTION("""COMPUTED_VALUE"""),-0.22)</f>
        <v>-0.22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IFERROR(__xludf.DUMMYFUNCTION("""COMPUTED_VALUE"""),23)</f>
        <v>23</v>
      </c>
      <c r="C23" t="str">
        <f ca="1">IFERROR(__xludf.DUMMYFUNCTION("""COMPUTED_VALUE"""),"Ryan Armour")</f>
        <v>Ryan Armour</v>
      </c>
      <c r="D23">
        <f ca="1">IFERROR(__xludf.DUMMYFUNCTION("""COMPUTED_VALUE"""),16)</f>
        <v>16</v>
      </c>
      <c r="E23">
        <f ca="1">IFERROR(__xludf.DUMMYFUNCTION("""COMPUTED_VALUE"""),68.12)</f>
        <v>68.12</v>
      </c>
      <c r="F23">
        <f ca="1">IFERROR(__xludf.DUMMYFUNCTION("""COMPUTED_VALUE"""),94)</f>
        <v>94</v>
      </c>
      <c r="G23">
        <f ca="1">IFERROR(__xludf.DUMMYFUNCTION("""COMPUTED_VALUE"""),138)</f>
        <v>138</v>
      </c>
      <c r="H23">
        <f ca="1">IFERROR(__xludf.DUMMYFUNCTION("""COMPUTED_VALUE"""),-0.06)</f>
        <v>-0.06</v>
      </c>
    </row>
    <row r="24" spans="1:8" ht="15.75" customHeight="1">
      <c r="A24">
        <f ca="1">IFERROR(__xludf.DUMMYFUNCTION("""COMPUTED_VALUE"""),23)</f>
        <v>23</v>
      </c>
      <c r="B24">
        <f ca="1">IFERROR(__xludf.DUMMYFUNCTION("""COMPUTED_VALUE"""),7)</f>
        <v>7</v>
      </c>
      <c r="C24" t="str">
        <f ca="1">IFERROR(__xludf.DUMMYFUNCTION("""COMPUTED_VALUE"""),"Bo Van Pelt")</f>
        <v>Bo Van Pelt</v>
      </c>
      <c r="D24">
        <f ca="1">IFERROR(__xludf.DUMMYFUNCTION("""COMPUTED_VALUE"""),10)</f>
        <v>10</v>
      </c>
      <c r="E24">
        <f ca="1">IFERROR(__xludf.DUMMYFUNCTION("""COMPUTED_VALUE"""),67.9)</f>
        <v>67.900000000000006</v>
      </c>
      <c r="F24">
        <f ca="1">IFERROR(__xludf.DUMMYFUNCTION("""COMPUTED_VALUE"""),55)</f>
        <v>55</v>
      </c>
      <c r="G24">
        <f ca="1">IFERROR(__xludf.DUMMYFUNCTION("""COMPUTED_VALUE"""),81)</f>
        <v>81</v>
      </c>
      <c r="H24">
        <f ca="1">IFERROR(__xludf.DUMMYFUNCTION("""COMPUTED_VALUE"""),-0.07)</f>
        <v>-7.0000000000000007E-2</v>
      </c>
    </row>
    <row r="25" spans="1:8" ht="15.75" customHeight="1">
      <c r="A25">
        <f ca="1">IFERROR(__xludf.DUMMYFUNCTION("""COMPUTED_VALUE"""),24)</f>
        <v>24</v>
      </c>
      <c r="B25" t="str">
        <f ca="1">IFERROR(__xludf.DUMMYFUNCTION("""COMPUTED_VALUE"""),"T25")</f>
        <v>T25</v>
      </c>
      <c r="C25" t="str">
        <f ca="1">IFERROR(__xludf.DUMMYFUNCTION("""COMPUTED_VALUE"""),"J.J. Spaun")</f>
        <v>J.J. Spaun</v>
      </c>
      <c r="D25">
        <f ca="1">IFERROR(__xludf.DUMMYFUNCTION("""COMPUTED_VALUE"""),10)</f>
        <v>10</v>
      </c>
      <c r="E25">
        <f ca="1">IFERROR(__xludf.DUMMYFUNCTION("""COMPUTED_VALUE"""),67.86)</f>
        <v>67.86</v>
      </c>
      <c r="F25">
        <f ca="1">IFERROR(__xludf.DUMMYFUNCTION("""COMPUTED_VALUE"""),57)</f>
        <v>57</v>
      </c>
      <c r="G25">
        <f ca="1">IFERROR(__xludf.DUMMYFUNCTION("""COMPUTED_VALUE"""),84)</f>
        <v>84</v>
      </c>
      <c r="H25">
        <f ca="1">IFERROR(__xludf.DUMMYFUNCTION("""COMPUTED_VALUE"""),-0.18)</f>
        <v>-0.18</v>
      </c>
    </row>
    <row r="26" spans="1:8" ht="15.75" customHeight="1">
      <c r="A26">
        <f ca="1">IFERROR(__xludf.DUMMYFUNCTION("""COMPUTED_VALUE"""),25)</f>
        <v>25</v>
      </c>
      <c r="B26" t="str">
        <f ca="1">IFERROR(__xludf.DUMMYFUNCTION("""COMPUTED_VALUE"""),"T25")</f>
        <v>T25</v>
      </c>
      <c r="C26" t="str">
        <f ca="1">IFERROR(__xludf.DUMMYFUNCTION("""COMPUTED_VALUE"""),"Martin Laird")</f>
        <v>Martin Laird</v>
      </c>
      <c r="D26">
        <f ca="1">IFERROR(__xludf.DUMMYFUNCTION("""COMPUTED_VALUE"""),16)</f>
        <v>16</v>
      </c>
      <c r="E26">
        <f ca="1">IFERROR(__xludf.DUMMYFUNCTION("""COMPUTED_VALUE"""),67.47)</f>
        <v>67.47</v>
      </c>
      <c r="F26">
        <f ca="1">IFERROR(__xludf.DUMMYFUNCTION("""COMPUTED_VALUE"""),112)</f>
        <v>112</v>
      </c>
      <c r="G26">
        <f ca="1">IFERROR(__xludf.DUMMYFUNCTION("""COMPUTED_VALUE"""),166)</f>
        <v>166</v>
      </c>
      <c r="H26">
        <f ca="1">IFERROR(__xludf.DUMMYFUNCTION("""COMPUTED_VALUE"""),-0.28)</f>
        <v>-0.28000000000000003</v>
      </c>
    </row>
    <row r="27" spans="1:8" ht="15.75" customHeight="1">
      <c r="A27">
        <f ca="1">IFERROR(__xludf.DUMMYFUNCTION("""COMPUTED_VALUE"""),26)</f>
        <v>26</v>
      </c>
      <c r="B27">
        <f ca="1">IFERROR(__xludf.DUMMYFUNCTION("""COMPUTED_VALUE"""),27)</f>
        <v>27</v>
      </c>
      <c r="C27" t="str">
        <f ca="1">IFERROR(__xludf.DUMMYFUNCTION("""COMPUTED_VALUE"""),"Scottie Scheffler")</f>
        <v>Scottie Scheffler</v>
      </c>
      <c r="D27">
        <f ca="1">IFERROR(__xludf.DUMMYFUNCTION("""COMPUTED_VALUE"""),18)</f>
        <v>18</v>
      </c>
      <c r="E27">
        <f ca="1">IFERROR(__xludf.DUMMYFUNCTION("""COMPUTED_VALUE"""),67.21)</f>
        <v>67.209999999999994</v>
      </c>
      <c r="F27">
        <f ca="1">IFERROR(__xludf.DUMMYFUNCTION("""COMPUTED_VALUE"""),164)</f>
        <v>164</v>
      </c>
      <c r="G27">
        <f ca="1">IFERROR(__xludf.DUMMYFUNCTION("""COMPUTED_VALUE"""),244)</f>
        <v>244</v>
      </c>
      <c r="H27">
        <f ca="1">IFERROR(__xludf.DUMMYFUNCTION("""COMPUTED_VALUE"""),-0.24)</f>
        <v>-0.24</v>
      </c>
    </row>
    <row r="28" spans="1:8" ht="15.75" customHeight="1">
      <c r="A28">
        <f ca="1">IFERROR(__xludf.DUMMYFUNCTION("""COMPUTED_VALUE"""),27)</f>
        <v>27</v>
      </c>
      <c r="B28">
        <f ca="1">IFERROR(__xludf.DUMMYFUNCTION("""COMPUTED_VALUE"""),28)</f>
        <v>28</v>
      </c>
      <c r="C28" t="str">
        <f ca="1">IFERROR(__xludf.DUMMYFUNCTION("""COMPUTED_VALUE"""),"Kevin Kisner")</f>
        <v>Kevin Kisner</v>
      </c>
      <c r="D28">
        <f ca="1">IFERROR(__xludf.DUMMYFUNCTION("""COMPUTED_VALUE"""),10)</f>
        <v>10</v>
      </c>
      <c r="E28">
        <f ca="1">IFERROR(__xludf.DUMMYFUNCTION("""COMPUTED_VALUE"""),66.91)</f>
        <v>66.91</v>
      </c>
      <c r="F28">
        <f ca="1">IFERROR(__xludf.DUMMYFUNCTION("""COMPUTED_VALUE"""),91)</f>
        <v>91</v>
      </c>
      <c r="G28">
        <f ca="1">IFERROR(__xludf.DUMMYFUNCTION("""COMPUTED_VALUE"""),136)</f>
        <v>136</v>
      </c>
      <c r="H28">
        <f ca="1">IFERROR(__xludf.DUMMYFUNCTION("""COMPUTED_VALUE"""),-0.22)</f>
        <v>-0.22</v>
      </c>
    </row>
    <row r="29" spans="1:8" ht="15.75" customHeight="1">
      <c r="A29" t="str">
        <f ca="1">IFERROR(__xludf.DUMMYFUNCTION("""COMPUTED_VALUE"""),"T28")</f>
        <v>T28</v>
      </c>
      <c r="B29" t="str">
        <f ca="1">IFERROR(__xludf.DUMMYFUNCTION("""COMPUTED_VALUE"""),"T43")</f>
        <v>T43</v>
      </c>
      <c r="C29" t="str">
        <f ca="1">IFERROR(__xludf.DUMMYFUNCTION("""COMPUTED_VALUE"""),"Brice Garnett")</f>
        <v>Brice Garnett</v>
      </c>
      <c r="D29">
        <f ca="1">IFERROR(__xludf.DUMMYFUNCTION("""COMPUTED_VALUE"""),22)</f>
        <v>22</v>
      </c>
      <c r="E29">
        <f ca="1">IFERROR(__xludf.DUMMYFUNCTION("""COMPUTED_VALUE"""),66.67)</f>
        <v>66.67</v>
      </c>
      <c r="F29">
        <f ca="1">IFERROR(__xludf.DUMMYFUNCTION("""COMPUTED_VALUE"""),128)</f>
        <v>128</v>
      </c>
      <c r="G29">
        <f ca="1">IFERROR(__xludf.DUMMYFUNCTION("""COMPUTED_VALUE"""),192)</f>
        <v>192</v>
      </c>
      <c r="H29">
        <f ca="1">IFERROR(__xludf.DUMMYFUNCTION("""COMPUTED_VALUE"""),-0.21)</f>
        <v>-0.21</v>
      </c>
    </row>
    <row r="30" spans="1:8" ht="15.75" customHeight="1">
      <c r="A30" t="str">
        <f ca="1">IFERROR(__xludf.DUMMYFUNCTION("""COMPUTED_VALUE"""),"T28")</f>
        <v>T28</v>
      </c>
      <c r="B30">
        <f ca="1">IFERROR(__xludf.DUMMYFUNCTION("""COMPUTED_VALUE"""),29)</f>
        <v>29</v>
      </c>
      <c r="C30" t="str">
        <f ca="1">IFERROR(__xludf.DUMMYFUNCTION("""COMPUTED_VALUE"""),"Kevin Na")</f>
        <v>Kevin Na</v>
      </c>
      <c r="D30">
        <f ca="1">IFERROR(__xludf.DUMMYFUNCTION("""COMPUTED_VALUE"""),14)</f>
        <v>14</v>
      </c>
      <c r="E30">
        <f ca="1">IFERROR(__xludf.DUMMYFUNCTION("""COMPUTED_VALUE"""),66.67)</f>
        <v>66.67</v>
      </c>
      <c r="F30">
        <f ca="1">IFERROR(__xludf.DUMMYFUNCTION("""COMPUTED_VALUE"""),128)</f>
        <v>128</v>
      </c>
      <c r="G30">
        <f ca="1">IFERROR(__xludf.DUMMYFUNCTION("""COMPUTED_VALUE"""),192)</f>
        <v>192</v>
      </c>
      <c r="H30">
        <f ca="1">IFERROR(__xludf.DUMMYFUNCTION("""COMPUTED_VALUE"""),-0.29)</f>
        <v>-0.28999999999999998</v>
      </c>
    </row>
    <row r="31" spans="1:8" ht="12.75">
      <c r="A31">
        <f ca="1">IFERROR(__xludf.DUMMYFUNCTION("""COMPUTED_VALUE"""),30)</f>
        <v>30</v>
      </c>
      <c r="B31">
        <f ca="1">IFERROR(__xludf.DUMMYFUNCTION("""COMPUTED_VALUE"""),30)</f>
        <v>30</v>
      </c>
      <c r="C31" t="str">
        <f ca="1">IFERROR(__xludf.DUMMYFUNCTION("""COMPUTED_VALUE"""),"Joel Dahmen")</f>
        <v>Joel Dahmen</v>
      </c>
      <c r="D31">
        <f ca="1">IFERROR(__xludf.DUMMYFUNCTION("""COMPUTED_VALUE"""),18)</f>
        <v>18</v>
      </c>
      <c r="E31">
        <f ca="1">IFERROR(__xludf.DUMMYFUNCTION("""COMPUTED_VALUE"""),66.53)</f>
        <v>66.53</v>
      </c>
      <c r="F31">
        <f ca="1">IFERROR(__xludf.DUMMYFUNCTION("""COMPUTED_VALUE"""),165)</f>
        <v>165</v>
      </c>
      <c r="G31">
        <f ca="1">IFERROR(__xludf.DUMMYFUNCTION("""COMPUTED_VALUE"""),248)</f>
        <v>248</v>
      </c>
      <c r="H31">
        <f ca="1">IFERROR(__xludf.DUMMYFUNCTION("""COMPUTED_VALUE"""),-0.22)</f>
        <v>-0.22</v>
      </c>
    </row>
    <row r="32" spans="1:8" ht="12.75">
      <c r="A32">
        <f ca="1">IFERROR(__xludf.DUMMYFUNCTION("""COMPUTED_VALUE"""),31)</f>
        <v>31</v>
      </c>
      <c r="B32">
        <f ca="1">IFERROR(__xludf.DUMMYFUNCTION("""COMPUTED_VALUE"""),32)</f>
        <v>32</v>
      </c>
      <c r="C32" t="str">
        <f ca="1">IFERROR(__xludf.DUMMYFUNCTION("""COMPUTED_VALUE"""),"Jazz Janewattananond")</f>
        <v>Jazz Janewattananond</v>
      </c>
      <c r="D32">
        <f ca="1">IFERROR(__xludf.DUMMYFUNCTION("""COMPUTED_VALUE"""),6)</f>
        <v>6</v>
      </c>
      <c r="E32">
        <f ca="1">IFERROR(__xludf.DUMMYFUNCTION("""COMPUTED_VALUE"""),66.25)</f>
        <v>66.25</v>
      </c>
      <c r="F32">
        <f ca="1">IFERROR(__xludf.DUMMYFUNCTION("""COMPUTED_VALUE"""),53)</f>
        <v>53</v>
      </c>
      <c r="G32">
        <f ca="1">IFERROR(__xludf.DUMMYFUNCTION("""COMPUTED_VALUE"""),80)</f>
        <v>80</v>
      </c>
      <c r="H32">
        <f ca="1">IFERROR(__xludf.DUMMYFUNCTION("""COMPUTED_VALUE"""),-0.08)</f>
        <v>-0.08</v>
      </c>
    </row>
    <row r="33" spans="1:8" ht="12.75">
      <c r="A33">
        <f ca="1">IFERROR(__xludf.DUMMYFUNCTION("""COMPUTED_VALUE"""),32)</f>
        <v>32</v>
      </c>
      <c r="B33">
        <f ca="1">IFERROR(__xludf.DUMMYFUNCTION("""COMPUTED_VALUE"""),35)</f>
        <v>35</v>
      </c>
      <c r="C33" t="str">
        <f ca="1">IFERROR(__xludf.DUMMYFUNCTION("""COMPUTED_VALUE"""),"Nick Taylor")</f>
        <v>Nick Taylor</v>
      </c>
      <c r="D33">
        <f ca="1">IFERROR(__xludf.DUMMYFUNCTION("""COMPUTED_VALUE"""),12)</f>
        <v>12</v>
      </c>
      <c r="E33">
        <f ca="1">IFERROR(__xludf.DUMMYFUNCTION("""COMPUTED_VALUE"""),65.64)</f>
        <v>65.64</v>
      </c>
      <c r="F33">
        <f ca="1">IFERROR(__xludf.DUMMYFUNCTION("""COMPUTED_VALUE"""),107)</f>
        <v>107</v>
      </c>
      <c r="G33">
        <f ca="1">IFERROR(__xludf.DUMMYFUNCTION("""COMPUTED_VALUE"""),163)</f>
        <v>163</v>
      </c>
      <c r="H33">
        <f ca="1">IFERROR(__xludf.DUMMYFUNCTION("""COMPUTED_VALUE"""),-0.17)</f>
        <v>-0.17</v>
      </c>
    </row>
    <row r="34" spans="1:8" ht="12.75">
      <c r="A34">
        <f ca="1">IFERROR(__xludf.DUMMYFUNCTION("""COMPUTED_VALUE"""),33)</f>
        <v>33</v>
      </c>
      <c r="B34">
        <f ca="1">IFERROR(__xludf.DUMMYFUNCTION("""COMPUTED_VALUE"""),68)</f>
        <v>68</v>
      </c>
      <c r="C34" t="str">
        <f ca="1">IFERROR(__xludf.DUMMYFUNCTION("""COMPUTED_VALUE"""),"Doc Redman")</f>
        <v>Doc Redman</v>
      </c>
      <c r="D34">
        <f ca="1">IFERROR(__xludf.DUMMYFUNCTION("""COMPUTED_VALUE"""),18)</f>
        <v>18</v>
      </c>
      <c r="E34">
        <f ca="1">IFERROR(__xludf.DUMMYFUNCTION("""COMPUTED_VALUE"""),65.63)</f>
        <v>65.63</v>
      </c>
      <c r="F34">
        <f ca="1">IFERROR(__xludf.DUMMYFUNCTION("""COMPUTED_VALUE"""),126)</f>
        <v>126</v>
      </c>
      <c r="G34">
        <f ca="1">IFERROR(__xludf.DUMMYFUNCTION("""COMPUTED_VALUE"""),192)</f>
        <v>192</v>
      </c>
      <c r="H34">
        <f ca="1">IFERROR(__xludf.DUMMYFUNCTION("""COMPUTED_VALUE"""),-0.13)</f>
        <v>-0.13</v>
      </c>
    </row>
    <row r="35" spans="1:8" ht="12.75">
      <c r="A35">
        <f ca="1">IFERROR(__xludf.DUMMYFUNCTION("""COMPUTED_VALUE"""),34)</f>
        <v>34</v>
      </c>
      <c r="B35">
        <f ca="1">IFERROR(__xludf.DUMMYFUNCTION("""COMPUTED_VALUE"""),36)</f>
        <v>36</v>
      </c>
      <c r="C35" t="str">
        <f ca="1">IFERROR(__xludf.DUMMYFUNCTION("""COMPUTED_VALUE"""),"Mikumu Horikawa")</f>
        <v>Mikumu Horikawa</v>
      </c>
      <c r="D35">
        <f ca="1">IFERROR(__xludf.DUMMYFUNCTION("""COMPUTED_VALUE"""),4)</f>
        <v>4</v>
      </c>
      <c r="E35">
        <f ca="1">IFERROR(__xludf.DUMMYFUNCTION("""COMPUTED_VALUE"""),65.38)</f>
        <v>65.38</v>
      </c>
      <c r="F35">
        <f ca="1">IFERROR(__xludf.DUMMYFUNCTION("""COMPUTED_VALUE"""),34)</f>
        <v>34</v>
      </c>
      <c r="G35">
        <f ca="1">IFERROR(__xludf.DUMMYFUNCTION("""COMPUTED_VALUE"""),52)</f>
        <v>52</v>
      </c>
      <c r="H35">
        <f ca="1">IFERROR(__xludf.DUMMYFUNCTION("""COMPUTED_VALUE"""),-0.12)</f>
        <v>-0.12</v>
      </c>
    </row>
    <row r="36" spans="1:8" ht="12.75">
      <c r="A36">
        <f ca="1">IFERROR(__xludf.DUMMYFUNCTION("""COMPUTED_VALUE"""),35)</f>
        <v>35</v>
      </c>
      <c r="B36">
        <f ca="1">IFERROR(__xludf.DUMMYFUNCTION("""COMPUTED_VALUE"""),37)</f>
        <v>37</v>
      </c>
      <c r="C36" t="str">
        <f ca="1">IFERROR(__xludf.DUMMYFUNCTION("""COMPUTED_VALUE"""),"Collin Morikawa")</f>
        <v>Collin Morikawa</v>
      </c>
      <c r="D36">
        <f ca="1">IFERROR(__xludf.DUMMYFUNCTION("""COMPUTED_VALUE"""),12)</f>
        <v>12</v>
      </c>
      <c r="E36">
        <f ca="1">IFERROR(__xludf.DUMMYFUNCTION("""COMPUTED_VALUE"""),65.24)</f>
        <v>65.239999999999995</v>
      </c>
      <c r="F36">
        <f ca="1">IFERROR(__xludf.DUMMYFUNCTION("""COMPUTED_VALUE"""),107)</f>
        <v>107</v>
      </c>
      <c r="G36">
        <f ca="1">IFERROR(__xludf.DUMMYFUNCTION("""COMPUTED_VALUE"""),164)</f>
        <v>164</v>
      </c>
      <c r="H36">
        <f ca="1">IFERROR(__xludf.DUMMYFUNCTION("""COMPUTED_VALUE"""),-0.23)</f>
        <v>-0.23</v>
      </c>
    </row>
    <row r="37" spans="1:8" ht="12.75">
      <c r="A37">
        <f ca="1">IFERROR(__xludf.DUMMYFUNCTION("""COMPUTED_VALUE"""),36)</f>
        <v>36</v>
      </c>
      <c r="B37">
        <f ca="1">IFERROR(__xludf.DUMMYFUNCTION("""COMPUTED_VALUE"""),57)</f>
        <v>57</v>
      </c>
      <c r="C37" t="str">
        <f ca="1">IFERROR(__xludf.DUMMYFUNCTION("""COMPUTED_VALUE"""),"Corey Conners")</f>
        <v>Corey Conners</v>
      </c>
      <c r="D37">
        <f ca="1">IFERROR(__xludf.DUMMYFUNCTION("""COMPUTED_VALUE"""),20)</f>
        <v>20</v>
      </c>
      <c r="E37">
        <f ca="1">IFERROR(__xludf.DUMMYFUNCTION("""COMPUTED_VALUE"""),65.16)</f>
        <v>65.16</v>
      </c>
      <c r="F37">
        <f ca="1">IFERROR(__xludf.DUMMYFUNCTION("""COMPUTED_VALUE"""),159)</f>
        <v>159</v>
      </c>
      <c r="G37">
        <f ca="1">IFERROR(__xludf.DUMMYFUNCTION("""COMPUTED_VALUE"""),244)</f>
        <v>244</v>
      </c>
      <c r="H37">
        <f ca="1">IFERROR(__xludf.DUMMYFUNCTION("""COMPUTED_VALUE"""),-0.23)</f>
        <v>-0.23</v>
      </c>
    </row>
    <row r="38" spans="1:8" ht="12.75">
      <c r="A38" t="str">
        <f ca="1">IFERROR(__xludf.DUMMYFUNCTION("""COMPUTED_VALUE"""),"T37")</f>
        <v>T37</v>
      </c>
      <c r="B38" t="str">
        <f ca="1">IFERROR(__xludf.DUMMYFUNCTION("""COMPUTED_VALUE"""),"T38")</f>
        <v>T38</v>
      </c>
      <c r="C38" t="str">
        <f ca="1">IFERROR(__xludf.DUMMYFUNCTION("""COMPUTED_VALUE"""),"Harris English")</f>
        <v>Harris English</v>
      </c>
      <c r="D38">
        <f ca="1">IFERROR(__xludf.DUMMYFUNCTION("""COMPUTED_VALUE"""),14)</f>
        <v>14</v>
      </c>
      <c r="E38">
        <f ca="1">IFERROR(__xludf.DUMMYFUNCTION("""COMPUTED_VALUE"""),65.1)</f>
        <v>65.099999999999994</v>
      </c>
      <c r="F38">
        <f ca="1">IFERROR(__xludf.DUMMYFUNCTION("""COMPUTED_VALUE"""),125)</f>
        <v>125</v>
      </c>
      <c r="G38">
        <f ca="1">IFERROR(__xludf.DUMMYFUNCTION("""COMPUTED_VALUE"""),192)</f>
        <v>192</v>
      </c>
      <c r="H38">
        <f ca="1">IFERROR(__xludf.DUMMYFUNCTION("""COMPUTED_VALUE"""),-0.33)</f>
        <v>-0.33</v>
      </c>
    </row>
    <row r="39" spans="1:8" ht="12.75">
      <c r="A39" t="str">
        <f ca="1">IFERROR(__xludf.DUMMYFUNCTION("""COMPUTED_VALUE"""),"T37")</f>
        <v>T37</v>
      </c>
      <c r="B39" t="str">
        <f ca="1">IFERROR(__xludf.DUMMYFUNCTION("""COMPUTED_VALUE"""),"T59")</f>
        <v>T59</v>
      </c>
      <c r="C39" t="str">
        <f ca="1">IFERROR(__xludf.DUMMYFUNCTION("""COMPUTED_VALUE"""),"Austin Cook")</f>
        <v>Austin Cook</v>
      </c>
      <c r="D39">
        <f ca="1">IFERROR(__xludf.DUMMYFUNCTION("""COMPUTED_VALUE"""),14)</f>
        <v>14</v>
      </c>
      <c r="E39">
        <f ca="1">IFERROR(__xludf.DUMMYFUNCTION("""COMPUTED_VALUE"""),65.1)</f>
        <v>65.099999999999994</v>
      </c>
      <c r="F39">
        <f ca="1">IFERROR(__xludf.DUMMYFUNCTION("""COMPUTED_VALUE"""),125)</f>
        <v>125</v>
      </c>
      <c r="G39">
        <f ca="1">IFERROR(__xludf.DUMMYFUNCTION("""COMPUTED_VALUE"""),192)</f>
        <v>192</v>
      </c>
      <c r="H39">
        <f ca="1">IFERROR(__xludf.DUMMYFUNCTION("""COMPUTED_VALUE"""),-0.26)</f>
        <v>-0.26</v>
      </c>
    </row>
    <row r="40" spans="1:8" ht="12.75">
      <c r="A40" t="str">
        <f ca="1">IFERROR(__xludf.DUMMYFUNCTION("""COMPUTED_VALUE"""),"T37")</f>
        <v>T37</v>
      </c>
      <c r="B40" t="str">
        <f ca="1">IFERROR(__xludf.DUMMYFUNCTION("""COMPUTED_VALUE"""),"T38")</f>
        <v>T38</v>
      </c>
      <c r="C40" t="str">
        <f ca="1">IFERROR(__xludf.DUMMYFUNCTION("""COMPUTED_VALUE"""),"Jason Kokrak")</f>
        <v>Jason Kokrak</v>
      </c>
      <c r="D40">
        <f ca="1">IFERROR(__xludf.DUMMYFUNCTION("""COMPUTED_VALUE"""),14)</f>
        <v>14</v>
      </c>
      <c r="E40">
        <f ca="1">IFERROR(__xludf.DUMMYFUNCTION("""COMPUTED_VALUE"""),65.1)</f>
        <v>65.099999999999994</v>
      </c>
      <c r="F40">
        <f ca="1">IFERROR(__xludf.DUMMYFUNCTION("""COMPUTED_VALUE"""),125)</f>
        <v>125</v>
      </c>
      <c r="G40">
        <f ca="1">IFERROR(__xludf.DUMMYFUNCTION("""COMPUTED_VALUE"""),192)</f>
        <v>192</v>
      </c>
      <c r="H40">
        <f ca="1">IFERROR(__xludf.DUMMYFUNCTION("""COMPUTED_VALUE"""),-0.31)</f>
        <v>-0.31</v>
      </c>
    </row>
    <row r="41" spans="1:8" ht="12.75">
      <c r="A41">
        <f ca="1">IFERROR(__xludf.DUMMYFUNCTION("""COMPUTED_VALUE"""),40)</f>
        <v>40</v>
      </c>
      <c r="B41">
        <f ca="1">IFERROR(__xludf.DUMMYFUNCTION("""COMPUTED_VALUE"""),24)</f>
        <v>24</v>
      </c>
      <c r="C41" t="str">
        <f ca="1">IFERROR(__xludf.DUMMYFUNCTION("""COMPUTED_VALUE"""),"Sungjae Im")</f>
        <v>Sungjae Im</v>
      </c>
      <c r="D41">
        <f ca="1">IFERROR(__xludf.DUMMYFUNCTION("""COMPUTED_VALUE"""),24)</f>
        <v>24</v>
      </c>
      <c r="E41">
        <f ca="1">IFERROR(__xludf.DUMMYFUNCTION("""COMPUTED_VALUE"""),64.83)</f>
        <v>64.83</v>
      </c>
      <c r="F41">
        <f ca="1">IFERROR(__xludf.DUMMYFUNCTION("""COMPUTED_VALUE"""),212)</f>
        <v>212</v>
      </c>
      <c r="G41">
        <f ca="1">IFERROR(__xludf.DUMMYFUNCTION("""COMPUTED_VALUE"""),327)</f>
        <v>327</v>
      </c>
      <c r="H41">
        <f ca="1">IFERROR(__xludf.DUMMYFUNCTION("""COMPUTED_VALUE"""),-0.23)</f>
        <v>-0.23</v>
      </c>
    </row>
    <row r="42" spans="1:8" ht="12.75">
      <c r="A42">
        <f ca="1">IFERROR(__xludf.DUMMYFUNCTION("""COMPUTED_VALUE"""),41)</f>
        <v>41</v>
      </c>
      <c r="B42" t="str">
        <f ca="1">IFERROR(__xludf.DUMMYFUNCTION("""COMPUTED_VALUE"""),"T52")</f>
        <v>T52</v>
      </c>
      <c r="C42" t="str">
        <f ca="1">IFERROR(__xludf.DUMMYFUNCTION("""COMPUTED_VALUE"""),"Adam Long")</f>
        <v>Adam Long</v>
      </c>
      <c r="D42">
        <f ca="1">IFERROR(__xludf.DUMMYFUNCTION("""COMPUTED_VALUE"""),22)</f>
        <v>22</v>
      </c>
      <c r="E42">
        <f ca="1">IFERROR(__xludf.DUMMYFUNCTION("""COMPUTED_VALUE"""),64.61)</f>
        <v>64.61</v>
      </c>
      <c r="F42">
        <f ca="1">IFERROR(__xludf.DUMMYFUNCTION("""COMPUTED_VALUE"""),157)</f>
        <v>157</v>
      </c>
      <c r="G42">
        <f ca="1">IFERROR(__xludf.DUMMYFUNCTION("""COMPUTED_VALUE"""),243)</f>
        <v>243</v>
      </c>
      <c r="H42">
        <f ca="1">IFERROR(__xludf.DUMMYFUNCTION("""COMPUTED_VALUE"""),-0.17)</f>
        <v>-0.17</v>
      </c>
    </row>
    <row r="43" spans="1:8" ht="12.75">
      <c r="A43">
        <f ca="1">IFERROR(__xludf.DUMMYFUNCTION("""COMPUTED_VALUE"""),42)</f>
        <v>42</v>
      </c>
      <c r="B43">
        <f ca="1">IFERROR(__xludf.DUMMYFUNCTION("""COMPUTED_VALUE"""),33)</f>
        <v>33</v>
      </c>
      <c r="C43" t="str">
        <f ca="1">IFERROR(__xludf.DUMMYFUNCTION("""COMPUTED_VALUE"""),"Tyrrell Hatton")</f>
        <v>Tyrrell Hatton</v>
      </c>
      <c r="D43">
        <f ca="1">IFERROR(__xludf.DUMMYFUNCTION("""COMPUTED_VALUE"""),14)</f>
        <v>14</v>
      </c>
      <c r="E43">
        <f ca="1">IFERROR(__xludf.DUMMYFUNCTION("""COMPUTED_VALUE"""),64.36)</f>
        <v>64.36</v>
      </c>
      <c r="F43">
        <f ca="1">IFERROR(__xludf.DUMMYFUNCTION("""COMPUTED_VALUE"""),121)</f>
        <v>121</v>
      </c>
      <c r="G43">
        <f ca="1">IFERROR(__xludf.DUMMYFUNCTION("""COMPUTED_VALUE"""),188)</f>
        <v>188</v>
      </c>
      <c r="H43">
        <f ca="1">IFERROR(__xludf.DUMMYFUNCTION("""COMPUTED_VALUE"""),-0.26)</f>
        <v>-0.26</v>
      </c>
    </row>
    <row r="44" spans="1:8" ht="12.75">
      <c r="A44" t="str">
        <f ca="1">IFERROR(__xludf.DUMMYFUNCTION("""COMPUTED_VALUE"""),"T43")</f>
        <v>T43</v>
      </c>
      <c r="B44" t="str">
        <f ca="1">IFERROR(__xludf.DUMMYFUNCTION("""COMPUTED_VALUE"""),"T43")</f>
        <v>T43</v>
      </c>
      <c r="C44" t="str">
        <f ca="1">IFERROR(__xludf.DUMMYFUNCTION("""COMPUTED_VALUE"""),"Bud Cauley")</f>
        <v>Bud Cauley</v>
      </c>
      <c r="D44">
        <f ca="1">IFERROR(__xludf.DUMMYFUNCTION("""COMPUTED_VALUE"""),4)</f>
        <v>4</v>
      </c>
      <c r="E44">
        <f ca="1">IFERROR(__xludf.DUMMYFUNCTION("""COMPUTED_VALUE"""),64.29)</f>
        <v>64.290000000000006</v>
      </c>
      <c r="F44">
        <f ca="1">IFERROR(__xludf.DUMMYFUNCTION("""COMPUTED_VALUE"""),36)</f>
        <v>36</v>
      </c>
      <c r="G44">
        <f ca="1">IFERROR(__xludf.DUMMYFUNCTION("""COMPUTED_VALUE"""),56)</f>
        <v>56</v>
      </c>
      <c r="H44">
        <f ca="1">IFERROR(__xludf.DUMMYFUNCTION("""COMPUTED_VALUE"""),-0.33)</f>
        <v>-0.33</v>
      </c>
    </row>
    <row r="45" spans="1:8" ht="12.75">
      <c r="A45" t="str">
        <f ca="1">IFERROR(__xludf.DUMMYFUNCTION("""COMPUTED_VALUE"""),"T43")</f>
        <v>T43</v>
      </c>
      <c r="B45" t="str">
        <f ca="1">IFERROR(__xludf.DUMMYFUNCTION("""COMPUTED_VALUE"""),"T43")</f>
        <v>T43</v>
      </c>
      <c r="C45" t="str">
        <f ca="1">IFERROR(__xludf.DUMMYFUNCTION("""COMPUTED_VALUE"""),"Wes Roach")</f>
        <v>Wes Roach</v>
      </c>
      <c r="D45">
        <f ca="1">IFERROR(__xludf.DUMMYFUNCTION("""COMPUTED_VALUE"""),6)</f>
        <v>6</v>
      </c>
      <c r="E45">
        <f ca="1">IFERROR(__xludf.DUMMYFUNCTION("""COMPUTED_VALUE"""),64.29)</f>
        <v>64.290000000000006</v>
      </c>
      <c r="F45">
        <f ca="1">IFERROR(__xludf.DUMMYFUNCTION("""COMPUTED_VALUE"""),18)</f>
        <v>18</v>
      </c>
      <c r="G45">
        <f ca="1">IFERROR(__xludf.DUMMYFUNCTION("""COMPUTED_VALUE"""),28)</f>
        <v>28</v>
      </c>
      <c r="H45">
        <f ca="1">IFERROR(__xludf.DUMMYFUNCTION("""COMPUTED_VALUE"""),-0.28)</f>
        <v>-0.28000000000000003</v>
      </c>
    </row>
    <row r="46" spans="1:8" ht="12.75">
      <c r="A46" t="str">
        <f ca="1">IFERROR(__xludf.DUMMYFUNCTION("""COMPUTED_VALUE"""),"T43")</f>
        <v>T43</v>
      </c>
      <c r="B46" t="str">
        <f ca="1">IFERROR(__xludf.DUMMYFUNCTION("""COMPUTED_VALUE"""),"T43")</f>
        <v>T43</v>
      </c>
      <c r="C46" t="str">
        <f ca="1">IFERROR(__xludf.DUMMYFUNCTION("""COMPUTED_VALUE"""),"Justin Suh")</f>
        <v>Justin Suh</v>
      </c>
      <c r="D46">
        <f ca="1">IFERROR(__xludf.DUMMYFUNCTION("""COMPUTED_VALUE"""),10)</f>
        <v>10</v>
      </c>
      <c r="E46">
        <f ca="1">IFERROR(__xludf.DUMMYFUNCTION("""COMPUTED_VALUE"""),64.29)</f>
        <v>64.290000000000006</v>
      </c>
      <c r="F46">
        <f ca="1">IFERROR(__xludf.DUMMYFUNCTION("""COMPUTED_VALUE"""),36)</f>
        <v>36</v>
      </c>
      <c r="G46">
        <f ca="1">IFERROR(__xludf.DUMMYFUNCTION("""COMPUTED_VALUE"""),56)</f>
        <v>56</v>
      </c>
      <c r="H46">
        <f ca="1">IFERROR(__xludf.DUMMYFUNCTION("""COMPUTED_VALUE"""),-0.42)</f>
        <v>-0.42</v>
      </c>
    </row>
    <row r="47" spans="1:8" ht="12.75">
      <c r="A47" t="str">
        <f ca="1">IFERROR(__xludf.DUMMYFUNCTION("""COMPUTED_VALUE"""),"T43")</f>
        <v>T43</v>
      </c>
      <c r="B47" t="str">
        <f ca="1">IFERROR(__xludf.DUMMYFUNCTION("""COMPUTED_VALUE"""),"T43")</f>
        <v>T43</v>
      </c>
      <c r="C47" t="str">
        <f ca="1">IFERROR(__xludf.DUMMYFUNCTION("""COMPUTED_VALUE"""),"George Markham")</f>
        <v>George Markham</v>
      </c>
      <c r="D47">
        <f ca="1">IFERROR(__xludf.DUMMYFUNCTION("""COMPUTED_VALUE"""),4)</f>
        <v>4</v>
      </c>
      <c r="E47">
        <f ca="1">IFERROR(__xludf.DUMMYFUNCTION("""COMPUTED_VALUE"""),64.29)</f>
        <v>64.290000000000006</v>
      </c>
      <c r="F47">
        <f ca="1">IFERROR(__xludf.DUMMYFUNCTION("""COMPUTED_VALUE"""),36)</f>
        <v>36</v>
      </c>
      <c r="G47">
        <f ca="1">IFERROR(__xludf.DUMMYFUNCTION("""COMPUTED_VALUE"""),56)</f>
        <v>56</v>
      </c>
      <c r="H47">
        <f ca="1">IFERROR(__xludf.DUMMYFUNCTION("""COMPUTED_VALUE"""),-0.25)</f>
        <v>-0.25</v>
      </c>
    </row>
    <row r="48" spans="1:8" ht="12.75">
      <c r="A48">
        <f ca="1">IFERROR(__xludf.DUMMYFUNCTION("""COMPUTED_VALUE"""),47)</f>
        <v>47</v>
      </c>
      <c r="B48">
        <f ca="1">IFERROR(__xludf.DUMMYFUNCTION("""COMPUTED_VALUE"""),70)</f>
        <v>70</v>
      </c>
      <c r="C48" t="str">
        <f ca="1">IFERROR(__xludf.DUMMYFUNCTION("""COMPUTED_VALUE"""),"Michael Thompson")</f>
        <v>Michael Thompson</v>
      </c>
      <c r="D48">
        <f ca="1">IFERROR(__xludf.DUMMYFUNCTION("""COMPUTED_VALUE"""),16)</f>
        <v>16</v>
      </c>
      <c r="E48">
        <f ca="1">IFERROR(__xludf.DUMMYFUNCTION("""COMPUTED_VALUE"""),64.19)</f>
        <v>64.19</v>
      </c>
      <c r="F48">
        <f ca="1">IFERROR(__xludf.DUMMYFUNCTION("""COMPUTED_VALUE"""),138)</f>
        <v>138</v>
      </c>
      <c r="G48">
        <f ca="1">IFERROR(__xludf.DUMMYFUNCTION("""COMPUTED_VALUE"""),215)</f>
        <v>215</v>
      </c>
      <c r="H48">
        <f ca="1">IFERROR(__xludf.DUMMYFUNCTION("""COMPUTED_VALUE"""),-0.09)</f>
        <v>-0.09</v>
      </c>
    </row>
    <row r="49" spans="1:8" ht="12.75">
      <c r="A49">
        <f ca="1">IFERROR(__xludf.DUMMYFUNCTION("""COMPUTED_VALUE"""),48)</f>
        <v>48</v>
      </c>
      <c r="B49">
        <f ca="1">IFERROR(__xludf.DUMMYFUNCTION("""COMPUTED_VALUE"""),51)</f>
        <v>51</v>
      </c>
      <c r="C49" t="str">
        <f ca="1">IFERROR(__xludf.DUMMYFUNCTION("""COMPUTED_VALUE"""),"Robert Streb")</f>
        <v>Robert Streb</v>
      </c>
      <c r="D49">
        <f ca="1">IFERROR(__xludf.DUMMYFUNCTION("""COMPUTED_VALUE"""),12)</f>
        <v>12</v>
      </c>
      <c r="E49">
        <f ca="1">IFERROR(__xludf.DUMMYFUNCTION("""COMPUTED_VALUE"""),64.15)</f>
        <v>64.150000000000006</v>
      </c>
      <c r="F49">
        <f ca="1">IFERROR(__xludf.DUMMYFUNCTION("""COMPUTED_VALUE"""),34)</f>
        <v>34</v>
      </c>
      <c r="G49">
        <f ca="1">IFERROR(__xludf.DUMMYFUNCTION("""COMPUTED_VALUE"""),53)</f>
        <v>53</v>
      </c>
      <c r="H49">
        <f ca="1">IFERROR(__xludf.DUMMYFUNCTION("""COMPUTED_VALUE"""),-0.09)</f>
        <v>-0.09</v>
      </c>
    </row>
    <row r="50" spans="1:8" ht="12.75">
      <c r="A50">
        <f ca="1">IFERROR(__xludf.DUMMYFUNCTION("""COMPUTED_VALUE"""),49)</f>
        <v>49</v>
      </c>
      <c r="B50" t="str">
        <f ca="1">IFERROR(__xludf.DUMMYFUNCTION("""COMPUTED_VALUE"""),"T52")</f>
        <v>T52</v>
      </c>
      <c r="C50" t="str">
        <f ca="1">IFERROR(__xludf.DUMMYFUNCTION("""COMPUTED_VALUE"""),"Brendan Steele")</f>
        <v>Brendan Steele</v>
      </c>
      <c r="D50">
        <f ca="1">IFERROR(__xludf.DUMMYFUNCTION("""COMPUTED_VALUE"""),14)</f>
        <v>14</v>
      </c>
      <c r="E50">
        <f ca="1">IFERROR(__xludf.DUMMYFUNCTION("""COMPUTED_VALUE"""),64.06)</f>
        <v>64.06</v>
      </c>
      <c r="F50">
        <f ca="1">IFERROR(__xludf.DUMMYFUNCTION("""COMPUTED_VALUE"""),123)</f>
        <v>123</v>
      </c>
      <c r="G50">
        <f ca="1">IFERROR(__xludf.DUMMYFUNCTION("""COMPUTED_VALUE"""),192)</f>
        <v>192</v>
      </c>
      <c r="H50">
        <f ca="1">IFERROR(__xludf.DUMMYFUNCTION("""COMPUTED_VALUE"""),-0.26)</f>
        <v>-0.26</v>
      </c>
    </row>
    <row r="51" spans="1:8" ht="12.75">
      <c r="A51">
        <f ca="1">IFERROR(__xludf.DUMMYFUNCTION("""COMPUTED_VALUE"""),50)</f>
        <v>50</v>
      </c>
      <c r="B51" t="str">
        <f ca="1">IFERROR(__xludf.DUMMYFUNCTION("""COMPUTED_VALUE"""),"T54")</f>
        <v>T54</v>
      </c>
      <c r="C51" t="str">
        <f ca="1">IFERROR(__xludf.DUMMYFUNCTION("""COMPUTED_VALUE"""),"K.J. Choi")</f>
        <v>K.J. Choi</v>
      </c>
      <c r="D51">
        <f ca="1">IFERROR(__xludf.DUMMYFUNCTION("""COMPUTED_VALUE"""),6)</f>
        <v>6</v>
      </c>
      <c r="E51">
        <f ca="1">IFERROR(__xludf.DUMMYFUNCTION("""COMPUTED_VALUE"""),63.86)</f>
        <v>63.86</v>
      </c>
      <c r="F51">
        <f ca="1">IFERROR(__xludf.DUMMYFUNCTION("""COMPUTED_VALUE"""),53)</f>
        <v>53</v>
      </c>
      <c r="G51">
        <f ca="1">IFERROR(__xludf.DUMMYFUNCTION("""COMPUTED_VALUE"""),83)</f>
        <v>83</v>
      </c>
      <c r="H51">
        <f ca="1">IFERROR(__xludf.DUMMYFUNCTION("""COMPUTED_VALUE"""),-0.09)</f>
        <v>-0.09</v>
      </c>
    </row>
    <row r="52" spans="1:8" ht="12.75">
      <c r="A52" t="str">
        <f ca="1">IFERROR(__xludf.DUMMYFUNCTION("""COMPUTED_VALUE"""),"T51")</f>
        <v>T51</v>
      </c>
      <c r="B52">
        <f ca="1">IFERROR(__xludf.DUMMYFUNCTION("""COMPUTED_VALUE"""),42)</f>
        <v>42</v>
      </c>
      <c r="C52" t="str">
        <f ca="1">IFERROR(__xludf.DUMMYFUNCTION("""COMPUTED_VALUE"""),"Brian Harman")</f>
        <v>Brian Harman</v>
      </c>
      <c r="D52">
        <f ca="1">IFERROR(__xludf.DUMMYFUNCTION("""COMPUTED_VALUE"""),24)</f>
        <v>24</v>
      </c>
      <c r="E52">
        <f ca="1">IFERROR(__xludf.DUMMYFUNCTION("""COMPUTED_VALUE"""),63.41)</f>
        <v>63.41</v>
      </c>
      <c r="F52">
        <f ca="1">IFERROR(__xludf.DUMMYFUNCTION("""COMPUTED_VALUE"""),208)</f>
        <v>208</v>
      </c>
      <c r="G52">
        <f ca="1">IFERROR(__xludf.DUMMYFUNCTION("""COMPUTED_VALUE"""),328)</f>
        <v>328</v>
      </c>
      <c r="H52">
        <f ca="1">IFERROR(__xludf.DUMMYFUNCTION("""COMPUTED_VALUE"""),-0.22)</f>
        <v>-0.22</v>
      </c>
    </row>
    <row r="53" spans="1:8" ht="12.75">
      <c r="A53" t="str">
        <f ca="1">IFERROR(__xludf.DUMMYFUNCTION("""COMPUTED_VALUE"""),"T51")</f>
        <v>T51</v>
      </c>
      <c r="B53" t="str">
        <f ca="1">IFERROR(__xludf.DUMMYFUNCTION("""COMPUTED_VALUE"""),"T43")</f>
        <v>T43</v>
      </c>
      <c r="C53" t="str">
        <f ca="1">IFERROR(__xludf.DUMMYFUNCTION("""COMPUTED_VALUE"""),"Brian Stuard")</f>
        <v>Brian Stuard</v>
      </c>
      <c r="D53">
        <f ca="1">IFERROR(__xludf.DUMMYFUNCTION("""COMPUTED_VALUE"""),18)</f>
        <v>18</v>
      </c>
      <c r="E53">
        <f ca="1">IFERROR(__xludf.DUMMYFUNCTION("""COMPUTED_VALUE"""),63.41)</f>
        <v>63.41</v>
      </c>
      <c r="F53">
        <f ca="1">IFERROR(__xludf.DUMMYFUNCTION("""COMPUTED_VALUE"""),104)</f>
        <v>104</v>
      </c>
      <c r="G53">
        <f ca="1">IFERROR(__xludf.DUMMYFUNCTION("""COMPUTED_VALUE"""),164)</f>
        <v>164</v>
      </c>
      <c r="H53">
        <f ca="1">IFERROR(__xludf.DUMMYFUNCTION("""COMPUTED_VALUE"""),-0.22)</f>
        <v>-0.22</v>
      </c>
    </row>
    <row r="54" spans="1:8" ht="12.75">
      <c r="A54">
        <f ca="1">IFERROR(__xludf.DUMMYFUNCTION("""COMPUTED_VALUE"""),53)</f>
        <v>53</v>
      </c>
      <c r="B54">
        <f ca="1">IFERROR(__xludf.DUMMYFUNCTION("""COMPUTED_VALUE"""),58)</f>
        <v>58</v>
      </c>
      <c r="C54" t="str">
        <f ca="1">IFERROR(__xludf.DUMMYFUNCTION("""COMPUTED_VALUE"""),"Kyle Stanley")</f>
        <v>Kyle Stanley</v>
      </c>
      <c r="D54">
        <f ca="1">IFERROR(__xludf.DUMMYFUNCTION("""COMPUTED_VALUE"""),16)</f>
        <v>16</v>
      </c>
      <c r="E54">
        <f ca="1">IFERROR(__xludf.DUMMYFUNCTION("""COMPUTED_VALUE"""),63.39)</f>
        <v>63.39</v>
      </c>
      <c r="F54">
        <f ca="1">IFERROR(__xludf.DUMMYFUNCTION("""COMPUTED_VALUE"""),71)</f>
        <v>71</v>
      </c>
      <c r="G54">
        <f ca="1">IFERROR(__xludf.DUMMYFUNCTION("""COMPUTED_VALUE"""),112)</f>
        <v>112</v>
      </c>
      <c r="H54">
        <f ca="1">IFERROR(__xludf.DUMMYFUNCTION("""COMPUTED_VALUE"""),-0.13)</f>
        <v>-0.13</v>
      </c>
    </row>
    <row r="55" spans="1:8" ht="12.75">
      <c r="A55">
        <f ca="1">IFERROR(__xludf.DUMMYFUNCTION("""COMPUTED_VALUE"""),54)</f>
        <v>54</v>
      </c>
      <c r="B55" t="str">
        <f ca="1">IFERROR(__xludf.DUMMYFUNCTION("""COMPUTED_VALUE"""),"T40")</f>
        <v>T40</v>
      </c>
      <c r="C55" t="str">
        <f ca="1">IFERROR(__xludf.DUMMYFUNCTION("""COMPUTED_VALUE"""),"Mark Hubbard")</f>
        <v>Mark Hubbard</v>
      </c>
      <c r="D55">
        <f ca="1">IFERROR(__xludf.DUMMYFUNCTION("""COMPUTED_VALUE"""),20)</f>
        <v>20</v>
      </c>
      <c r="E55">
        <f ca="1">IFERROR(__xludf.DUMMYFUNCTION("""COMPUTED_VALUE"""),62.87)</f>
        <v>62.87</v>
      </c>
      <c r="F55">
        <f ca="1">IFERROR(__xludf.DUMMYFUNCTION("""COMPUTED_VALUE"""),171)</f>
        <v>171</v>
      </c>
      <c r="G55">
        <f ca="1">IFERROR(__xludf.DUMMYFUNCTION("""COMPUTED_VALUE"""),272)</f>
        <v>272</v>
      </c>
      <c r="H55">
        <f ca="1">IFERROR(__xludf.DUMMYFUNCTION("""COMPUTED_VALUE"""),-0.16)</f>
        <v>-0.16</v>
      </c>
    </row>
    <row r="56" spans="1:8" ht="12.75">
      <c r="A56">
        <f ca="1">IFERROR(__xludf.DUMMYFUNCTION("""COMPUTED_VALUE"""),55)</f>
        <v>55</v>
      </c>
      <c r="B56">
        <f ca="1">IFERROR(__xludf.DUMMYFUNCTION("""COMPUTED_VALUE"""),61)</f>
        <v>61</v>
      </c>
      <c r="C56" t="str">
        <f ca="1">IFERROR(__xludf.DUMMYFUNCTION("""COMPUTED_VALUE"""),"Paul Casey")</f>
        <v>Paul Casey</v>
      </c>
      <c r="D56">
        <f ca="1">IFERROR(__xludf.DUMMYFUNCTION("""COMPUTED_VALUE"""),14)</f>
        <v>14</v>
      </c>
      <c r="E56">
        <f ca="1">IFERROR(__xludf.DUMMYFUNCTION("""COMPUTED_VALUE"""),62.83)</f>
        <v>62.83</v>
      </c>
      <c r="F56">
        <f ca="1">IFERROR(__xludf.DUMMYFUNCTION("""COMPUTED_VALUE"""),120)</f>
        <v>120</v>
      </c>
      <c r="G56">
        <f ca="1">IFERROR(__xludf.DUMMYFUNCTION("""COMPUTED_VALUE"""),191)</f>
        <v>191</v>
      </c>
      <c r="H56">
        <f ca="1">IFERROR(__xludf.DUMMYFUNCTION("""COMPUTED_VALUE"""),-0.14)</f>
        <v>-0.14000000000000001</v>
      </c>
    </row>
    <row r="57" spans="1:8" ht="12.75">
      <c r="A57">
        <f ca="1">IFERROR(__xludf.DUMMYFUNCTION("""COMPUTED_VALUE"""),56)</f>
        <v>56</v>
      </c>
      <c r="B57">
        <f ca="1">IFERROR(__xludf.DUMMYFUNCTION("""COMPUTED_VALUE"""),62)</f>
        <v>62</v>
      </c>
      <c r="C57" t="str">
        <f ca="1">IFERROR(__xludf.DUMMYFUNCTION("""COMPUTED_VALUE"""),"Jon Rahm")</f>
        <v>Jon Rahm</v>
      </c>
      <c r="D57">
        <f ca="1">IFERROR(__xludf.DUMMYFUNCTION("""COMPUTED_VALUE"""),12)</f>
        <v>12</v>
      </c>
      <c r="E57">
        <f ca="1">IFERROR(__xludf.DUMMYFUNCTION("""COMPUTED_VALUE"""),62.8)</f>
        <v>62.8</v>
      </c>
      <c r="F57">
        <f ca="1">IFERROR(__xludf.DUMMYFUNCTION("""COMPUTED_VALUE"""),103)</f>
        <v>103</v>
      </c>
      <c r="G57">
        <f ca="1">IFERROR(__xludf.DUMMYFUNCTION("""COMPUTED_VALUE"""),164)</f>
        <v>164</v>
      </c>
      <c r="H57">
        <f ca="1">IFERROR(__xludf.DUMMYFUNCTION("""COMPUTED_VALUE"""),-0.27)</f>
        <v>-0.27</v>
      </c>
    </row>
    <row r="58" spans="1:8" ht="12.75">
      <c r="A58">
        <f ca="1">IFERROR(__xludf.DUMMYFUNCTION("""COMPUTED_VALUE"""),57)</f>
        <v>57</v>
      </c>
      <c r="B58">
        <f ca="1">IFERROR(__xludf.DUMMYFUNCTION("""COMPUTED_VALUE"""),63)</f>
        <v>63</v>
      </c>
      <c r="C58" t="str">
        <f ca="1">IFERROR(__xludf.DUMMYFUNCTION("""COMPUTED_VALUE"""),"Keegan Bradley")</f>
        <v>Keegan Bradley</v>
      </c>
      <c r="D58">
        <f ca="1">IFERROR(__xludf.DUMMYFUNCTION("""COMPUTED_VALUE"""),16)</f>
        <v>16</v>
      </c>
      <c r="E58">
        <f ca="1">IFERROR(__xludf.DUMMYFUNCTION("""COMPUTED_VALUE"""),62.61)</f>
        <v>62.61</v>
      </c>
      <c r="F58">
        <f ca="1">IFERROR(__xludf.DUMMYFUNCTION("""COMPUTED_VALUE"""),139)</f>
        <v>139</v>
      </c>
      <c r="G58">
        <f ca="1">IFERROR(__xludf.DUMMYFUNCTION("""COMPUTED_VALUE"""),222)</f>
        <v>222</v>
      </c>
      <c r="H58">
        <f ca="1">IFERROR(__xludf.DUMMYFUNCTION("""COMPUTED_VALUE"""),-0.24)</f>
        <v>-0.24</v>
      </c>
    </row>
    <row r="59" spans="1:8" ht="12.75">
      <c r="A59" t="str">
        <f ca="1">IFERROR(__xludf.DUMMYFUNCTION("""COMPUTED_VALUE"""),"T58")</f>
        <v>T58</v>
      </c>
      <c r="B59" t="str">
        <f ca="1">IFERROR(__xludf.DUMMYFUNCTION("""COMPUTED_VALUE"""),"T65")</f>
        <v>T65</v>
      </c>
      <c r="C59" t="str">
        <f ca="1">IFERROR(__xludf.DUMMYFUNCTION("""COMPUTED_VALUE"""),"Chris Baker")</f>
        <v>Chris Baker</v>
      </c>
      <c r="D59">
        <f ca="1">IFERROR(__xludf.DUMMYFUNCTION("""COMPUTED_VALUE"""),8)</f>
        <v>8</v>
      </c>
      <c r="E59">
        <f ca="1">IFERROR(__xludf.DUMMYFUNCTION("""COMPUTED_VALUE"""),62.5)</f>
        <v>62.5</v>
      </c>
      <c r="F59">
        <f ca="1">IFERROR(__xludf.DUMMYFUNCTION("""COMPUTED_VALUE"""),35)</f>
        <v>35</v>
      </c>
      <c r="G59">
        <f ca="1">IFERROR(__xludf.DUMMYFUNCTION("""COMPUTED_VALUE"""),56)</f>
        <v>56</v>
      </c>
      <c r="H59">
        <f ca="1">IFERROR(__xludf.DUMMYFUNCTION("""COMPUTED_VALUE"""),-0.09)</f>
        <v>-0.09</v>
      </c>
    </row>
    <row r="60" spans="1:8" ht="12.75">
      <c r="A60" t="str">
        <f ca="1">IFERROR(__xludf.DUMMYFUNCTION("""COMPUTED_VALUE"""),"T58")</f>
        <v>T58</v>
      </c>
      <c r="B60" t="str">
        <f ca="1">IFERROR(__xludf.DUMMYFUNCTION("""COMPUTED_VALUE"""),"T65")</f>
        <v>T65</v>
      </c>
      <c r="C60" t="str">
        <f ca="1">IFERROR(__xludf.DUMMYFUNCTION("""COMPUTED_VALUE"""),"Shaun Norris")</f>
        <v>Shaun Norris</v>
      </c>
      <c r="D60">
        <f ca="1">IFERROR(__xludf.DUMMYFUNCTION("""COMPUTED_VALUE"""),6)</f>
        <v>6</v>
      </c>
      <c r="E60">
        <f ca="1">IFERROR(__xludf.DUMMYFUNCTION("""COMPUTED_VALUE"""),62.5)</f>
        <v>62.5</v>
      </c>
      <c r="F60">
        <f ca="1">IFERROR(__xludf.DUMMYFUNCTION("""COMPUTED_VALUE"""),50)</f>
        <v>50</v>
      </c>
      <c r="G60">
        <f ca="1">IFERROR(__xludf.DUMMYFUNCTION("""COMPUTED_VALUE"""),80)</f>
        <v>80</v>
      </c>
      <c r="H60">
        <f ca="1">IFERROR(__xludf.DUMMYFUNCTION("""COMPUTED_VALUE"""),-0.32)</f>
        <v>-0.32</v>
      </c>
    </row>
    <row r="61" spans="1:8" ht="12.75">
      <c r="A61">
        <f ca="1">IFERROR(__xludf.DUMMYFUNCTION("""COMPUTED_VALUE"""),60)</f>
        <v>60</v>
      </c>
      <c r="B61" t="str">
        <f ca="1">IFERROR(__xludf.DUMMYFUNCTION("""COMPUTED_VALUE"""),"T40")</f>
        <v>T40</v>
      </c>
      <c r="C61" t="str">
        <f ca="1">IFERROR(__xludf.DUMMYFUNCTION("""COMPUTED_VALUE"""),"Talor Gooch")</f>
        <v>Talor Gooch</v>
      </c>
      <c r="D61">
        <f ca="1">IFERROR(__xludf.DUMMYFUNCTION("""COMPUTED_VALUE"""),20)</f>
        <v>20</v>
      </c>
      <c r="E61">
        <f ca="1">IFERROR(__xludf.DUMMYFUNCTION("""COMPUTED_VALUE"""),62.36)</f>
        <v>62.36</v>
      </c>
      <c r="F61">
        <f ca="1">IFERROR(__xludf.DUMMYFUNCTION("""COMPUTED_VALUE"""),169)</f>
        <v>169</v>
      </c>
      <c r="G61">
        <f ca="1">IFERROR(__xludf.DUMMYFUNCTION("""COMPUTED_VALUE"""),271)</f>
        <v>271</v>
      </c>
      <c r="H61">
        <f ca="1">IFERROR(__xludf.DUMMYFUNCTION("""COMPUTED_VALUE"""),-0.27)</f>
        <v>-0.27</v>
      </c>
    </row>
    <row r="62" spans="1:8" ht="12.75">
      <c r="A62">
        <f ca="1">IFERROR(__xludf.DUMMYFUNCTION("""COMPUTED_VALUE"""),61)</f>
        <v>61</v>
      </c>
      <c r="B62" t="str">
        <f ca="1">IFERROR(__xludf.DUMMYFUNCTION("""COMPUTED_VALUE"""),"T124")</f>
        <v>T124</v>
      </c>
      <c r="C62" t="str">
        <f ca="1">IFERROR(__xludf.DUMMYFUNCTION("""COMPUTED_VALUE"""),"Bo Hoag")</f>
        <v>Bo Hoag</v>
      </c>
      <c r="D62">
        <f ca="1">IFERROR(__xludf.DUMMYFUNCTION("""COMPUTED_VALUE"""),14)</f>
        <v>14</v>
      </c>
      <c r="E62">
        <f ca="1">IFERROR(__xludf.DUMMYFUNCTION("""COMPUTED_VALUE"""),62.32)</f>
        <v>62.32</v>
      </c>
      <c r="F62">
        <f ca="1">IFERROR(__xludf.DUMMYFUNCTION("""COMPUTED_VALUE"""),86)</f>
        <v>86</v>
      </c>
      <c r="G62">
        <f ca="1">IFERROR(__xludf.DUMMYFUNCTION("""COMPUTED_VALUE"""),138)</f>
        <v>138</v>
      </c>
      <c r="H62">
        <f ca="1">IFERROR(__xludf.DUMMYFUNCTION("""COMPUTED_VALUE"""),-0.09)</f>
        <v>-0.09</v>
      </c>
    </row>
    <row r="63" spans="1:8" ht="12.75">
      <c r="A63">
        <f ca="1">IFERROR(__xludf.DUMMYFUNCTION("""COMPUTED_VALUE"""),62)</f>
        <v>62</v>
      </c>
      <c r="B63">
        <f ca="1">IFERROR(__xludf.DUMMYFUNCTION("""COMPUTED_VALUE"""),31)</f>
        <v>31</v>
      </c>
      <c r="C63" t="str">
        <f ca="1">IFERROR(__xludf.DUMMYFUNCTION("""COMPUTED_VALUE"""),"Fabián Gómez")</f>
        <v>Fabián Gómez</v>
      </c>
      <c r="D63">
        <f ca="1">IFERROR(__xludf.DUMMYFUNCTION("""COMPUTED_VALUE"""),16)</f>
        <v>16</v>
      </c>
      <c r="E63">
        <f ca="1">IFERROR(__xludf.DUMMYFUNCTION("""COMPUTED_VALUE"""),62.22)</f>
        <v>62.22</v>
      </c>
      <c r="F63">
        <f ca="1">IFERROR(__xludf.DUMMYFUNCTION("""COMPUTED_VALUE"""),84)</f>
        <v>84</v>
      </c>
      <c r="G63">
        <f ca="1">IFERROR(__xludf.DUMMYFUNCTION("""COMPUTED_VALUE"""),135)</f>
        <v>135</v>
      </c>
      <c r="H63">
        <f ca="1">IFERROR(__xludf.DUMMYFUNCTION("""COMPUTED_VALUE"""),-0.2)</f>
        <v>-0.2</v>
      </c>
    </row>
    <row r="64" spans="1:8" ht="12.75">
      <c r="A64" t="str">
        <f ca="1">IFERROR(__xludf.DUMMYFUNCTION("""COMPUTED_VALUE"""),"T63")</f>
        <v>T63</v>
      </c>
      <c r="B64">
        <f ca="1">IFERROR(__xludf.DUMMYFUNCTION("""COMPUTED_VALUE"""),34)</f>
        <v>34</v>
      </c>
      <c r="C64" t="str">
        <f ca="1">IFERROR(__xludf.DUMMYFUNCTION("""COMPUTED_VALUE"""),"Scott Piercy")</f>
        <v>Scott Piercy</v>
      </c>
      <c r="D64">
        <f ca="1">IFERROR(__xludf.DUMMYFUNCTION("""COMPUTED_VALUE"""),18)</f>
        <v>18</v>
      </c>
      <c r="E64">
        <f ca="1">IFERROR(__xludf.DUMMYFUNCTION("""COMPUTED_VALUE"""),61.98)</f>
        <v>61.98</v>
      </c>
      <c r="F64">
        <f ca="1">IFERROR(__xludf.DUMMYFUNCTION("""COMPUTED_VALUE"""),119)</f>
        <v>119</v>
      </c>
      <c r="G64">
        <f ca="1">IFERROR(__xludf.DUMMYFUNCTION("""COMPUTED_VALUE"""),192)</f>
        <v>192</v>
      </c>
      <c r="H64">
        <f ca="1">IFERROR(__xludf.DUMMYFUNCTION("""COMPUTED_VALUE"""),-0.24)</f>
        <v>-0.24</v>
      </c>
    </row>
    <row r="65" spans="1:8" ht="12.75">
      <c r="A65" t="str">
        <f ca="1">IFERROR(__xludf.DUMMYFUNCTION("""COMPUTED_VALUE"""),"T63")</f>
        <v>T63</v>
      </c>
      <c r="B65" t="str">
        <f ca="1">IFERROR(__xludf.DUMMYFUNCTION("""COMPUTED_VALUE"""),"T59")</f>
        <v>T59</v>
      </c>
      <c r="C65" t="str">
        <f ca="1">IFERROR(__xludf.DUMMYFUNCTION("""COMPUTED_VALUE"""),"Denny McCarthy")</f>
        <v>Denny McCarthy</v>
      </c>
      <c r="D65">
        <f ca="1">IFERROR(__xludf.DUMMYFUNCTION("""COMPUTED_VALUE"""),22)</f>
        <v>22</v>
      </c>
      <c r="E65">
        <f ca="1">IFERROR(__xludf.DUMMYFUNCTION("""COMPUTED_VALUE"""),61.98)</f>
        <v>61.98</v>
      </c>
      <c r="F65">
        <f ca="1">IFERROR(__xludf.DUMMYFUNCTION("""COMPUTED_VALUE"""),119)</f>
        <v>119</v>
      </c>
      <c r="G65">
        <f ca="1">IFERROR(__xludf.DUMMYFUNCTION("""COMPUTED_VALUE"""),192)</f>
        <v>192</v>
      </c>
      <c r="H65">
        <f ca="1">IFERROR(__xludf.DUMMYFUNCTION("""COMPUTED_VALUE"""),-0.26)</f>
        <v>-0.26</v>
      </c>
    </row>
    <row r="66" spans="1:8" ht="12.75">
      <c r="A66" t="str">
        <f ca="1">IFERROR(__xludf.DUMMYFUNCTION("""COMPUTED_VALUE"""),"T65")</f>
        <v>T65</v>
      </c>
      <c r="B66">
        <f ca="1">IFERROR(__xludf.DUMMYFUNCTION("""COMPUTED_VALUE"""),71)</f>
        <v>71</v>
      </c>
      <c r="C66" t="str">
        <f ca="1">IFERROR(__xludf.DUMMYFUNCTION("""COMPUTED_VALUE"""),"David Hearn")</f>
        <v>David Hearn</v>
      </c>
      <c r="D66">
        <f ca="1">IFERROR(__xludf.DUMMYFUNCTION("""COMPUTED_VALUE"""),16)</f>
        <v>16</v>
      </c>
      <c r="E66">
        <f ca="1">IFERROR(__xludf.DUMMYFUNCTION("""COMPUTED_VALUE"""),61.82)</f>
        <v>61.82</v>
      </c>
      <c r="F66">
        <f ca="1">IFERROR(__xludf.DUMMYFUNCTION("""COMPUTED_VALUE"""),68)</f>
        <v>68</v>
      </c>
      <c r="G66">
        <f ca="1">IFERROR(__xludf.DUMMYFUNCTION("""COMPUTED_VALUE"""),110)</f>
        <v>110</v>
      </c>
      <c r="H66">
        <f ca="1">IFERROR(__xludf.DUMMYFUNCTION("""COMPUTED_VALUE"""),-0.26)</f>
        <v>-0.26</v>
      </c>
    </row>
    <row r="67" spans="1:8" ht="12.75">
      <c r="A67" t="str">
        <f ca="1">IFERROR(__xludf.DUMMYFUNCTION("""COMPUTED_VALUE"""),"T65")</f>
        <v>T65</v>
      </c>
      <c r="B67">
        <f ca="1">IFERROR(__xludf.DUMMYFUNCTION("""COMPUTED_VALUE"""),72)</f>
        <v>72</v>
      </c>
      <c r="C67" t="str">
        <f ca="1">IFERROR(__xludf.DUMMYFUNCTION("""COMPUTED_VALUE"""),"Adam Hadwin")</f>
        <v>Adam Hadwin</v>
      </c>
      <c r="D67">
        <f ca="1">IFERROR(__xludf.DUMMYFUNCTION("""COMPUTED_VALUE"""),16)</f>
        <v>16</v>
      </c>
      <c r="E67">
        <f ca="1">IFERROR(__xludf.DUMMYFUNCTION("""COMPUTED_VALUE"""),61.82)</f>
        <v>61.82</v>
      </c>
      <c r="F67">
        <f ca="1">IFERROR(__xludf.DUMMYFUNCTION("""COMPUTED_VALUE"""),136)</f>
        <v>136</v>
      </c>
      <c r="G67">
        <f ca="1">IFERROR(__xludf.DUMMYFUNCTION("""COMPUTED_VALUE"""),220)</f>
        <v>220</v>
      </c>
      <c r="H67">
        <f ca="1">IFERROR(__xludf.DUMMYFUNCTION("""COMPUTED_VALUE"""),-0.24)</f>
        <v>-0.24</v>
      </c>
    </row>
    <row r="68" spans="1:8" ht="12.75">
      <c r="A68">
        <f ca="1">IFERROR(__xludf.DUMMYFUNCTION("""COMPUTED_VALUE"""),67)</f>
        <v>67</v>
      </c>
      <c r="B68">
        <f ca="1">IFERROR(__xludf.DUMMYFUNCTION("""COMPUTED_VALUE"""),98)</f>
        <v>98</v>
      </c>
      <c r="C68" t="str">
        <f ca="1">IFERROR(__xludf.DUMMYFUNCTION("""COMPUTED_VALUE"""),"Hideki Matsuyama")</f>
        <v>Hideki Matsuyama</v>
      </c>
      <c r="D68">
        <f ca="1">IFERROR(__xludf.DUMMYFUNCTION("""COMPUTED_VALUE"""),18)</f>
        <v>18</v>
      </c>
      <c r="E68">
        <f ca="1">IFERROR(__xludf.DUMMYFUNCTION("""COMPUTED_VALUE"""),61.73)</f>
        <v>61.73</v>
      </c>
      <c r="F68">
        <f ca="1">IFERROR(__xludf.DUMMYFUNCTION("""COMPUTED_VALUE"""),150)</f>
        <v>150</v>
      </c>
      <c r="G68">
        <f ca="1">IFERROR(__xludf.DUMMYFUNCTION("""COMPUTED_VALUE"""),243)</f>
        <v>243</v>
      </c>
      <c r="H68">
        <f ca="1">IFERROR(__xludf.DUMMYFUNCTION("""COMPUTED_VALUE"""),-0.25)</f>
        <v>-0.25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IFERROR(__xludf.DUMMYFUNCTION("""COMPUTED_VALUE"""),"T73")</f>
        <v>T73</v>
      </c>
      <c r="C69" t="str">
        <f ca="1">IFERROR(__xludf.DUMMYFUNCTION("""COMPUTED_VALUE"""),"Joohyung Kim")</f>
        <v>Joohyung Kim</v>
      </c>
      <c r="D69">
        <f ca="1">IFERROR(__xludf.DUMMYFUNCTION("""COMPUTED_VALUE"""),12)</f>
        <v>12</v>
      </c>
      <c r="E69">
        <f ca="1">IFERROR(__xludf.DUMMYFUNCTION("""COMPUTED_VALUE"""),61.61)</f>
        <v>61.61</v>
      </c>
      <c r="F69">
        <f ca="1">IFERROR(__xludf.DUMMYFUNCTION("""COMPUTED_VALUE"""),69)</f>
        <v>69</v>
      </c>
      <c r="G69">
        <f ca="1">IFERROR(__xludf.DUMMYFUNCTION("""COMPUTED_VALUE"""),112)</f>
        <v>112</v>
      </c>
      <c r="H69">
        <f ca="1">IFERROR(__xludf.DUMMYFUNCTION("""COMPUTED_VALUE"""),-0.14)</f>
        <v>-0.14000000000000001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IFERROR(__xludf.DUMMYFUNCTION("""COMPUTED_VALUE"""),"T73")</f>
        <v>T73</v>
      </c>
      <c r="C70" t="str">
        <f ca="1">IFERROR(__xludf.DUMMYFUNCTION("""COMPUTED_VALUE"""),"Chase Seiffert")</f>
        <v>Chase Seiffert</v>
      </c>
      <c r="D70">
        <f ca="1">IFERROR(__xludf.DUMMYFUNCTION("""COMPUTED_VALUE"""),14)</f>
        <v>14</v>
      </c>
      <c r="E70">
        <f ca="1">IFERROR(__xludf.DUMMYFUNCTION("""COMPUTED_VALUE"""),61.61)</f>
        <v>61.61</v>
      </c>
      <c r="F70">
        <f ca="1">IFERROR(__xludf.DUMMYFUNCTION("""COMPUTED_VALUE"""),69)</f>
        <v>69</v>
      </c>
      <c r="G70">
        <f ca="1">IFERROR(__xludf.DUMMYFUNCTION("""COMPUTED_VALUE"""),112)</f>
        <v>112</v>
      </c>
      <c r="H70">
        <f ca="1">IFERROR(__xludf.DUMMYFUNCTION("""COMPUTED_VALUE"""),-0.26)</f>
        <v>-0.26</v>
      </c>
    </row>
    <row r="71" spans="1:8" ht="12.75">
      <c r="A71">
        <f ca="1">IFERROR(__xludf.DUMMYFUNCTION("""COMPUTED_VALUE"""),70)</f>
        <v>70</v>
      </c>
      <c r="B71" t="str">
        <f ca="1">IFERROR(__xludf.DUMMYFUNCTION("""COMPUTED_VALUE"""),"T54")</f>
        <v>T54</v>
      </c>
      <c r="C71" t="str">
        <f ca="1">IFERROR(__xludf.DUMMYFUNCTION("""COMPUTED_VALUE"""),"Brandt Snedeker")</f>
        <v>Brandt Snedeker</v>
      </c>
      <c r="D71">
        <f ca="1">IFERROR(__xludf.DUMMYFUNCTION("""COMPUTED_VALUE"""),16)</f>
        <v>16</v>
      </c>
      <c r="E71">
        <f ca="1">IFERROR(__xludf.DUMMYFUNCTION("""COMPUTED_VALUE"""),61.47)</f>
        <v>61.47</v>
      </c>
      <c r="F71">
        <f ca="1">IFERROR(__xludf.DUMMYFUNCTION("""COMPUTED_VALUE"""),134)</f>
        <v>134</v>
      </c>
      <c r="G71">
        <f ca="1">IFERROR(__xludf.DUMMYFUNCTION("""COMPUTED_VALUE"""),218)</f>
        <v>218</v>
      </c>
      <c r="H71">
        <f ca="1">IFERROR(__xludf.DUMMYFUNCTION("""COMPUTED_VALUE"""),-0.19)</f>
        <v>-0.19</v>
      </c>
    </row>
    <row r="72" spans="1:8" ht="12.75">
      <c r="A72">
        <f ca="1">IFERROR(__xludf.DUMMYFUNCTION("""COMPUTED_VALUE"""),71)</f>
        <v>71</v>
      </c>
      <c r="B72">
        <f ca="1">IFERROR(__xludf.DUMMYFUNCTION("""COMPUTED_VALUE"""),69)</f>
        <v>69</v>
      </c>
      <c r="C72" t="str">
        <f ca="1">IFERROR(__xludf.DUMMYFUNCTION("""COMPUTED_VALUE"""),"Stewart Cink")</f>
        <v>Stewart Cink</v>
      </c>
      <c r="D72">
        <f ca="1">IFERROR(__xludf.DUMMYFUNCTION("""COMPUTED_VALUE"""),18)</f>
        <v>18</v>
      </c>
      <c r="E72">
        <f ca="1">IFERROR(__xludf.DUMMYFUNCTION("""COMPUTED_VALUE"""),61.46)</f>
        <v>61.46</v>
      </c>
      <c r="F72">
        <f ca="1">IFERROR(__xludf.DUMMYFUNCTION("""COMPUTED_VALUE"""),118)</f>
        <v>118</v>
      </c>
      <c r="G72">
        <f ca="1">IFERROR(__xludf.DUMMYFUNCTION("""COMPUTED_VALUE"""),192)</f>
        <v>192</v>
      </c>
      <c r="H72">
        <f ca="1">IFERROR(__xludf.DUMMYFUNCTION("""COMPUTED_VALUE"""),-0.27)</f>
        <v>-0.27</v>
      </c>
    </row>
    <row r="73" spans="1:8" ht="12.75">
      <c r="A73">
        <f ca="1">IFERROR(__xludf.DUMMYFUNCTION("""COMPUTED_VALUE"""),72)</f>
        <v>72</v>
      </c>
      <c r="B73">
        <f ca="1">IFERROR(__xludf.DUMMYFUNCTION("""COMPUTED_VALUE"""),75)</f>
        <v>75</v>
      </c>
      <c r="C73" t="str">
        <f ca="1">IFERROR(__xludf.DUMMYFUNCTION("""COMPUTED_VALUE"""),"Rory McIlroy")</f>
        <v>Rory McIlroy</v>
      </c>
      <c r="D73">
        <f ca="1">IFERROR(__xludf.DUMMYFUNCTION("""COMPUTED_VALUE"""),12)</f>
        <v>12</v>
      </c>
      <c r="E73">
        <f ca="1">IFERROR(__xludf.DUMMYFUNCTION("""COMPUTED_VALUE"""),61.35)</f>
        <v>61.35</v>
      </c>
      <c r="F73">
        <f ca="1">IFERROR(__xludf.DUMMYFUNCTION("""COMPUTED_VALUE"""),100)</f>
        <v>100</v>
      </c>
      <c r="G73">
        <f ca="1">IFERROR(__xludf.DUMMYFUNCTION("""COMPUTED_VALUE"""),163)</f>
        <v>163</v>
      </c>
      <c r="H73">
        <f ca="1">IFERROR(__xludf.DUMMYFUNCTION("""COMPUTED_VALUE"""),-0.27)</f>
        <v>-0.27</v>
      </c>
    </row>
    <row r="74" spans="1:8" ht="12.75">
      <c r="A74">
        <f ca="1">IFERROR(__xludf.DUMMYFUNCTION("""COMPUTED_VALUE"""),73)</f>
        <v>73</v>
      </c>
      <c r="B74" t="str">
        <f ca="1">IFERROR(__xludf.DUMMYFUNCTION("""COMPUTED_VALUE"""),"")</f>
        <v/>
      </c>
      <c r="C74" t="str">
        <f ca="1">IFERROR(__xludf.DUMMYFUNCTION("""COMPUTED_VALUE"""),"Francesco Molinari")</f>
        <v>Francesco Molinari</v>
      </c>
      <c r="D74">
        <f ca="1">IFERROR(__xludf.DUMMYFUNCTION("""COMPUTED_VALUE"""),6)</f>
        <v>6</v>
      </c>
      <c r="E74">
        <f ca="1">IFERROR(__xludf.DUMMYFUNCTION("""COMPUTED_VALUE"""),61.25)</f>
        <v>61.25</v>
      </c>
      <c r="F74">
        <f ca="1">IFERROR(__xludf.DUMMYFUNCTION("""COMPUTED_VALUE"""),49)</f>
        <v>49</v>
      </c>
      <c r="G74">
        <f ca="1">IFERROR(__xludf.DUMMYFUNCTION("""COMPUTED_VALUE"""),80)</f>
        <v>80</v>
      </c>
      <c r="H74">
        <f ca="1">IFERROR(__xludf.DUMMYFUNCTION("""COMPUTED_VALUE"""),-0.2)</f>
        <v>-0.2</v>
      </c>
    </row>
    <row r="75" spans="1:8" ht="12.75">
      <c r="A75">
        <f ca="1">IFERROR(__xludf.DUMMYFUNCTION("""COMPUTED_VALUE"""),74)</f>
        <v>74</v>
      </c>
      <c r="B75">
        <f ca="1">IFERROR(__xludf.DUMMYFUNCTION("""COMPUTED_VALUE"""),77)</f>
        <v>77</v>
      </c>
      <c r="C75" t="str">
        <f ca="1">IFERROR(__xludf.DUMMYFUNCTION("""COMPUTED_VALUE"""),"Shugo Imahira")</f>
        <v>Shugo Imahira</v>
      </c>
      <c r="D75">
        <f ca="1">IFERROR(__xludf.DUMMYFUNCTION("""COMPUTED_VALUE"""),8)</f>
        <v>8</v>
      </c>
      <c r="E75">
        <f ca="1">IFERROR(__xludf.DUMMYFUNCTION("""COMPUTED_VALUE"""),61.11)</f>
        <v>61.11</v>
      </c>
      <c r="F75">
        <f ca="1">IFERROR(__xludf.DUMMYFUNCTION("""COMPUTED_VALUE"""),66)</f>
        <v>66</v>
      </c>
      <c r="G75">
        <f ca="1">IFERROR(__xludf.DUMMYFUNCTION("""COMPUTED_VALUE"""),108)</f>
        <v>108</v>
      </c>
      <c r="H75" t="str">
        <f ca="1">IFERROR(__xludf.DUMMYFUNCTION("""COMPUTED_VALUE"""),"+0.02")</f>
        <v>+0.02</v>
      </c>
    </row>
    <row r="76" spans="1:8" ht="12.75">
      <c r="A76">
        <f ca="1">IFERROR(__xludf.DUMMYFUNCTION("""COMPUTED_VALUE"""),75)</f>
        <v>75</v>
      </c>
      <c r="B76" t="str">
        <f ca="1">IFERROR(__xludf.DUMMYFUNCTION("""COMPUTED_VALUE"""),"T43")</f>
        <v>T43</v>
      </c>
      <c r="C76" t="str">
        <f ca="1">IFERROR(__xludf.DUMMYFUNCTION("""COMPUTED_VALUE"""),"Harold Varner III")</f>
        <v>Harold Varner III</v>
      </c>
      <c r="D76">
        <f ca="1">IFERROR(__xludf.DUMMYFUNCTION("""COMPUTED_VALUE"""),14)</f>
        <v>14</v>
      </c>
      <c r="E76">
        <f ca="1">IFERROR(__xludf.DUMMYFUNCTION("""COMPUTED_VALUE"""),60.98)</f>
        <v>60.98</v>
      </c>
      <c r="F76">
        <f ca="1">IFERROR(__xludf.DUMMYFUNCTION("""COMPUTED_VALUE"""),100)</f>
        <v>100</v>
      </c>
      <c r="G76">
        <f ca="1">IFERROR(__xludf.DUMMYFUNCTION("""COMPUTED_VALUE"""),164)</f>
        <v>164</v>
      </c>
      <c r="H76">
        <f ca="1">IFERROR(__xludf.DUMMYFUNCTION("""COMPUTED_VALUE"""),-0.33)</f>
        <v>-0.33</v>
      </c>
    </row>
    <row r="77" spans="1:8" ht="12.75">
      <c r="A77">
        <f ca="1">IFERROR(__xludf.DUMMYFUNCTION("""COMPUTED_VALUE"""),76)</f>
        <v>76</v>
      </c>
      <c r="B77" t="str">
        <f ca="1">IFERROR(__xludf.DUMMYFUNCTION("""COMPUTED_VALUE"""),"T89")</f>
        <v>T89</v>
      </c>
      <c r="C77" t="str">
        <f ca="1">IFERROR(__xludf.DUMMYFUNCTION("""COMPUTED_VALUE"""),"Matthew NeSmith")</f>
        <v>Matthew NeSmith</v>
      </c>
      <c r="D77">
        <f ca="1">IFERROR(__xludf.DUMMYFUNCTION("""COMPUTED_VALUE"""),16)</f>
        <v>16</v>
      </c>
      <c r="E77">
        <f ca="1">IFERROR(__xludf.DUMMYFUNCTION("""COMPUTED_VALUE"""),60.84)</f>
        <v>60.84</v>
      </c>
      <c r="F77">
        <f ca="1">IFERROR(__xludf.DUMMYFUNCTION("""COMPUTED_VALUE"""),101)</f>
        <v>101</v>
      </c>
      <c r="G77">
        <f ca="1">IFERROR(__xludf.DUMMYFUNCTION("""COMPUTED_VALUE"""),166)</f>
        <v>166</v>
      </c>
      <c r="H77">
        <f ca="1">IFERROR(__xludf.DUMMYFUNCTION("""COMPUTED_VALUE"""),-0.33)</f>
        <v>-0.33</v>
      </c>
    </row>
    <row r="78" spans="1:8" ht="12.75">
      <c r="A78">
        <f ca="1">IFERROR(__xludf.DUMMYFUNCTION("""COMPUTED_VALUE"""),77)</f>
        <v>77</v>
      </c>
      <c r="B78">
        <f ca="1">IFERROR(__xludf.DUMMYFUNCTION("""COMPUTED_VALUE"""),78)</f>
        <v>78</v>
      </c>
      <c r="C78" t="str">
        <f ca="1">IFERROR(__xludf.DUMMYFUNCTION("""COMPUTED_VALUE"""),"Viktor Hovland")</f>
        <v>Viktor Hovland</v>
      </c>
      <c r="D78">
        <f ca="1">IFERROR(__xludf.DUMMYFUNCTION("""COMPUTED_VALUE"""),16)</f>
        <v>16</v>
      </c>
      <c r="E78">
        <f ca="1">IFERROR(__xludf.DUMMYFUNCTION("""COMPUTED_VALUE"""),60.65)</f>
        <v>60.65</v>
      </c>
      <c r="F78">
        <f ca="1">IFERROR(__xludf.DUMMYFUNCTION("""COMPUTED_VALUE"""),131)</f>
        <v>131</v>
      </c>
      <c r="G78">
        <f ca="1">IFERROR(__xludf.DUMMYFUNCTION("""COMPUTED_VALUE"""),216)</f>
        <v>216</v>
      </c>
      <c r="H78">
        <f ca="1">IFERROR(__xludf.DUMMYFUNCTION("""COMPUTED_VALUE"""),-0.27)</f>
        <v>-0.27</v>
      </c>
    </row>
    <row r="79" spans="1:8" ht="12.75">
      <c r="A79">
        <f ca="1">IFERROR(__xludf.DUMMYFUNCTION("""COMPUTED_VALUE"""),78)</f>
        <v>78</v>
      </c>
      <c r="B79">
        <f ca="1">IFERROR(__xludf.DUMMYFUNCTION("""COMPUTED_VALUE"""),76)</f>
        <v>76</v>
      </c>
      <c r="C79" t="str">
        <f ca="1">IFERROR(__xludf.DUMMYFUNCTION("""COMPUTED_VALUE"""),"Tom Hoge")</f>
        <v>Tom Hoge</v>
      </c>
      <c r="D79">
        <f ca="1">IFERROR(__xludf.DUMMYFUNCTION("""COMPUTED_VALUE"""),22)</f>
        <v>22</v>
      </c>
      <c r="E79">
        <f ca="1">IFERROR(__xludf.DUMMYFUNCTION("""COMPUTED_VALUE"""),60.6)</f>
        <v>60.6</v>
      </c>
      <c r="F79">
        <f ca="1">IFERROR(__xludf.DUMMYFUNCTION("""COMPUTED_VALUE"""),183)</f>
        <v>183</v>
      </c>
      <c r="G79">
        <f ca="1">IFERROR(__xludf.DUMMYFUNCTION("""COMPUTED_VALUE"""),302)</f>
        <v>302</v>
      </c>
      <c r="H79">
        <f ca="1">IFERROR(__xludf.DUMMYFUNCTION("""COMPUTED_VALUE"""),-0.3)</f>
        <v>-0.3</v>
      </c>
    </row>
    <row r="80" spans="1:8" ht="12.75">
      <c r="A80">
        <f ca="1">IFERROR(__xludf.DUMMYFUNCTION("""COMPUTED_VALUE"""),79)</f>
        <v>79</v>
      </c>
      <c r="B80" t="str">
        <f ca="1">IFERROR(__xludf.DUMMYFUNCTION("""COMPUTED_VALUE"""),"T84")</f>
        <v>T84</v>
      </c>
      <c r="C80" t="str">
        <f ca="1">IFERROR(__xludf.DUMMYFUNCTION("""COMPUTED_VALUE"""),"Russell Knox")</f>
        <v>Russell Knox</v>
      </c>
      <c r="D80">
        <f ca="1">IFERROR(__xludf.DUMMYFUNCTION("""COMPUTED_VALUE"""),16)</f>
        <v>16</v>
      </c>
      <c r="E80">
        <f ca="1">IFERROR(__xludf.DUMMYFUNCTION("""COMPUTED_VALUE"""),60.49)</f>
        <v>60.49</v>
      </c>
      <c r="F80">
        <f ca="1">IFERROR(__xludf.DUMMYFUNCTION("""COMPUTED_VALUE"""),98)</f>
        <v>98</v>
      </c>
      <c r="G80">
        <f ca="1">IFERROR(__xludf.DUMMYFUNCTION("""COMPUTED_VALUE"""),162)</f>
        <v>162</v>
      </c>
      <c r="H80">
        <f ca="1">IFERROR(__xludf.DUMMYFUNCTION("""COMPUTED_VALUE"""),-0.28)</f>
        <v>-0.28000000000000003</v>
      </c>
    </row>
    <row r="81" spans="1:8" ht="12.75">
      <c r="A81">
        <f ca="1">IFERROR(__xludf.DUMMYFUNCTION("""COMPUTED_VALUE"""),80)</f>
        <v>80</v>
      </c>
      <c r="B81">
        <f ca="1">IFERROR(__xludf.DUMMYFUNCTION("""COMPUTED_VALUE"""),80)</f>
        <v>80</v>
      </c>
      <c r="C81" t="str">
        <f ca="1">IFERROR(__xludf.DUMMYFUNCTION("""COMPUTED_VALUE"""),"Rob Oppenheim")</f>
        <v>Rob Oppenheim</v>
      </c>
      <c r="D81">
        <f ca="1">IFERROR(__xludf.DUMMYFUNCTION("""COMPUTED_VALUE"""),16)</f>
        <v>16</v>
      </c>
      <c r="E81">
        <f ca="1">IFERROR(__xludf.DUMMYFUNCTION("""COMPUTED_VALUE"""),60.43)</f>
        <v>60.43</v>
      </c>
      <c r="F81">
        <f ca="1">IFERROR(__xludf.DUMMYFUNCTION("""COMPUTED_VALUE"""),84)</f>
        <v>84</v>
      </c>
      <c r="G81">
        <f ca="1">IFERROR(__xludf.DUMMYFUNCTION("""COMPUTED_VALUE"""),139)</f>
        <v>139</v>
      </c>
      <c r="H81">
        <f ca="1">IFERROR(__xludf.DUMMYFUNCTION("""COMPUTED_VALUE"""),-0.36)</f>
        <v>-0.36</v>
      </c>
    </row>
    <row r="82" spans="1:8" ht="12.75">
      <c r="A82">
        <f ca="1">IFERROR(__xludf.DUMMYFUNCTION("""COMPUTED_VALUE"""),81)</f>
        <v>81</v>
      </c>
      <c r="B82">
        <f ca="1">IFERROR(__xludf.DUMMYFUNCTION("""COMPUTED_VALUE"""),87)</f>
        <v>87</v>
      </c>
      <c r="C82" t="str">
        <f ca="1">IFERROR(__xludf.DUMMYFUNCTION("""COMPUTED_VALUE"""),"Danny Lee")</f>
        <v>Danny Lee</v>
      </c>
      <c r="D82">
        <f ca="1">IFERROR(__xludf.DUMMYFUNCTION("""COMPUTED_VALUE"""),15)</f>
        <v>15</v>
      </c>
      <c r="E82">
        <f ca="1">IFERROR(__xludf.DUMMYFUNCTION("""COMPUTED_VALUE"""),60.4)</f>
        <v>60.4</v>
      </c>
      <c r="F82">
        <f ca="1">IFERROR(__xludf.DUMMYFUNCTION("""COMPUTED_VALUE"""),122)</f>
        <v>122</v>
      </c>
      <c r="G82">
        <f ca="1">IFERROR(__xludf.DUMMYFUNCTION("""COMPUTED_VALUE"""),202)</f>
        <v>202</v>
      </c>
      <c r="H82">
        <f ca="1">IFERROR(__xludf.DUMMYFUNCTION("""COMPUTED_VALUE"""),-0.11)</f>
        <v>-0.11</v>
      </c>
    </row>
    <row r="83" spans="1:8" ht="12.75">
      <c r="A83" t="str">
        <f ca="1">IFERROR(__xludf.DUMMYFUNCTION("""COMPUTED_VALUE"""),"T82")</f>
        <v>T82</v>
      </c>
      <c r="B83" t="str">
        <f ca="1">IFERROR(__xludf.DUMMYFUNCTION("""COMPUTED_VALUE"""),"T82")</f>
        <v>T82</v>
      </c>
      <c r="C83" t="str">
        <f ca="1">IFERROR(__xludf.DUMMYFUNCTION("""COMPUTED_VALUE"""),"Billy Horschel")</f>
        <v>Billy Horschel</v>
      </c>
      <c r="D83">
        <f ca="1">IFERROR(__xludf.DUMMYFUNCTION("""COMPUTED_VALUE"""),12)</f>
        <v>12</v>
      </c>
      <c r="E83">
        <f ca="1">IFERROR(__xludf.DUMMYFUNCTION("""COMPUTED_VALUE"""),60.37)</f>
        <v>60.37</v>
      </c>
      <c r="F83">
        <f ca="1">IFERROR(__xludf.DUMMYFUNCTION("""COMPUTED_VALUE"""),99)</f>
        <v>99</v>
      </c>
      <c r="G83">
        <f ca="1">IFERROR(__xludf.DUMMYFUNCTION("""COMPUTED_VALUE"""),164)</f>
        <v>164</v>
      </c>
      <c r="H83">
        <f ca="1">IFERROR(__xludf.DUMMYFUNCTION("""COMPUTED_VALUE"""),-0.1)</f>
        <v>-0.1</v>
      </c>
    </row>
    <row r="84" spans="1:8" ht="12.75">
      <c r="A84" t="str">
        <f ca="1">IFERROR(__xludf.DUMMYFUNCTION("""COMPUTED_VALUE"""),"T82")</f>
        <v>T82</v>
      </c>
      <c r="B84" t="str">
        <f ca="1">IFERROR(__xludf.DUMMYFUNCTION("""COMPUTED_VALUE"""),"T82")</f>
        <v>T82</v>
      </c>
      <c r="C84" t="str">
        <f ca="1">IFERROR(__xludf.DUMMYFUNCTION("""COMPUTED_VALUE"""),"Justin Thomas")</f>
        <v>Justin Thomas</v>
      </c>
      <c r="D84">
        <f ca="1">IFERROR(__xludf.DUMMYFUNCTION("""COMPUTED_VALUE"""),12)</f>
        <v>12</v>
      </c>
      <c r="E84">
        <f ca="1">IFERROR(__xludf.DUMMYFUNCTION("""COMPUTED_VALUE"""),60.37)</f>
        <v>60.37</v>
      </c>
      <c r="F84">
        <f ca="1">IFERROR(__xludf.DUMMYFUNCTION("""COMPUTED_VALUE"""),99)</f>
        <v>99</v>
      </c>
      <c r="G84">
        <f ca="1">IFERROR(__xludf.DUMMYFUNCTION("""COMPUTED_VALUE"""),164)</f>
        <v>164</v>
      </c>
      <c r="H84">
        <f ca="1">IFERROR(__xludf.DUMMYFUNCTION("""COMPUTED_VALUE"""),-0.38)</f>
        <v>-0.38</v>
      </c>
    </row>
    <row r="85" spans="1:8" ht="12.75">
      <c r="A85">
        <f ca="1">IFERROR(__xludf.DUMMYFUNCTION("""COMPUTED_VALUE"""),84)</f>
        <v>84</v>
      </c>
      <c r="B85" t="str">
        <f ca="1">IFERROR(__xludf.DUMMYFUNCTION("""COMPUTED_VALUE"""),"T84")</f>
        <v>T84</v>
      </c>
      <c r="C85" t="str">
        <f ca="1">IFERROR(__xludf.DUMMYFUNCTION("""COMPUTED_VALUE"""),"Sebastián Muñoz")</f>
        <v>Sebastián Muñoz</v>
      </c>
      <c r="D85">
        <f ca="1">IFERROR(__xludf.DUMMYFUNCTION("""COMPUTED_VALUE"""),20)</f>
        <v>20</v>
      </c>
      <c r="E85">
        <f ca="1">IFERROR(__xludf.DUMMYFUNCTION("""COMPUTED_VALUE"""),60.36)</f>
        <v>60.36</v>
      </c>
      <c r="F85">
        <f ca="1">IFERROR(__xludf.DUMMYFUNCTION("""COMPUTED_VALUE"""),166)</f>
        <v>166</v>
      </c>
      <c r="G85">
        <f ca="1">IFERROR(__xludf.DUMMYFUNCTION("""COMPUTED_VALUE"""),275)</f>
        <v>275</v>
      </c>
      <c r="H85">
        <f ca="1">IFERROR(__xludf.DUMMYFUNCTION("""COMPUTED_VALUE"""),-0.31)</f>
        <v>-0.31</v>
      </c>
    </row>
    <row r="86" spans="1:8" ht="12.75">
      <c r="A86">
        <f ca="1">IFERROR(__xludf.DUMMYFUNCTION("""COMPUTED_VALUE"""),85)</f>
        <v>85</v>
      </c>
      <c r="B86">
        <f ca="1">IFERROR(__xludf.DUMMYFUNCTION("""COMPUTED_VALUE"""),64)</f>
        <v>64</v>
      </c>
      <c r="C86" t="str">
        <f ca="1">IFERROR(__xludf.DUMMYFUNCTION("""COMPUTED_VALUE"""),"Carlos Ortiz")</f>
        <v>Carlos Ortiz</v>
      </c>
      <c r="D86">
        <f ca="1">IFERROR(__xludf.DUMMYFUNCTION("""COMPUTED_VALUE"""),20)</f>
        <v>20</v>
      </c>
      <c r="E86">
        <f ca="1">IFERROR(__xludf.DUMMYFUNCTION("""COMPUTED_VALUE"""),60.29)</f>
        <v>60.29</v>
      </c>
      <c r="F86">
        <f ca="1">IFERROR(__xludf.DUMMYFUNCTION("""COMPUTED_VALUE"""),164)</f>
        <v>164</v>
      </c>
      <c r="G86">
        <f ca="1">IFERROR(__xludf.DUMMYFUNCTION("""COMPUTED_VALUE"""),272)</f>
        <v>272</v>
      </c>
      <c r="H86">
        <f ca="1">IFERROR(__xludf.DUMMYFUNCTION("""COMPUTED_VALUE"""),-0.27)</f>
        <v>-0.27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IFERROR(__xludf.DUMMYFUNCTION("""COMPUTED_VALUE"""),"T89")</f>
        <v>T89</v>
      </c>
      <c r="C87" t="str">
        <f ca="1">IFERROR(__xludf.DUMMYFUNCTION("""COMPUTED_VALUE"""),"Doug Ghim")</f>
        <v>Doug Ghim</v>
      </c>
      <c r="D87">
        <f ca="1">IFERROR(__xludf.DUMMYFUNCTION("""COMPUTED_VALUE"""),14)</f>
        <v>14</v>
      </c>
      <c r="E87">
        <f ca="1">IFERROR(__xludf.DUMMYFUNCTION("""COMPUTED_VALUE"""),60)</f>
        <v>60</v>
      </c>
      <c r="F87">
        <f ca="1">IFERROR(__xludf.DUMMYFUNCTION("""COMPUTED_VALUE"""),66)</f>
        <v>66</v>
      </c>
      <c r="G87">
        <f ca="1">IFERROR(__xludf.DUMMYFUNCTION("""COMPUTED_VALUE"""),110)</f>
        <v>110</v>
      </c>
      <c r="H87">
        <f ca="1">IFERROR(__xludf.DUMMYFUNCTION("""COMPUTED_VALUE"""),-0.24)</f>
        <v>-0.24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IFERROR(__xludf.DUMMYFUNCTION("""COMPUTED_VALUE"""),"T89")</f>
        <v>T89</v>
      </c>
      <c r="C88" t="str">
        <f ca="1">IFERROR(__xludf.DUMMYFUNCTION("""COMPUTED_VALUE"""),"Tiger Woods")</f>
        <v>Tiger Woods</v>
      </c>
      <c r="D88">
        <f ca="1">IFERROR(__xludf.DUMMYFUNCTION("""COMPUTED_VALUE"""),6)</f>
        <v>6</v>
      </c>
      <c r="E88">
        <f ca="1">IFERROR(__xludf.DUMMYFUNCTION("""COMPUTED_VALUE"""),60)</f>
        <v>60</v>
      </c>
      <c r="F88">
        <f ca="1">IFERROR(__xludf.DUMMYFUNCTION("""COMPUTED_VALUE"""),48)</f>
        <v>48</v>
      </c>
      <c r="G88">
        <f ca="1">IFERROR(__xludf.DUMMYFUNCTION("""COMPUTED_VALUE"""),80)</f>
        <v>80</v>
      </c>
      <c r="H88">
        <f ca="1">IFERROR(__xludf.DUMMYFUNCTION("""COMPUTED_VALUE"""),-0.21)</f>
        <v>-0.21</v>
      </c>
    </row>
    <row r="89" spans="1:8" ht="12.75">
      <c r="A89" t="str">
        <f ca="1">IFERROR(__xludf.DUMMYFUNCTION("""COMPUTED_VALUE"""),"T88")</f>
        <v>T88</v>
      </c>
      <c r="B89" t="str">
        <f ca="1">IFERROR(__xludf.DUMMYFUNCTION("""COMPUTED_VALUE"""),"T94")</f>
        <v>T94</v>
      </c>
      <c r="C89" t="str">
        <f ca="1">IFERROR(__xludf.DUMMYFUNCTION("""COMPUTED_VALUE"""),"Rickie Fowler")</f>
        <v>Rickie Fowler</v>
      </c>
      <c r="D89">
        <f ca="1">IFERROR(__xludf.DUMMYFUNCTION("""COMPUTED_VALUE"""),14)</f>
        <v>14</v>
      </c>
      <c r="E89">
        <f ca="1">IFERROR(__xludf.DUMMYFUNCTION("""COMPUTED_VALUE"""),59.9)</f>
        <v>59.9</v>
      </c>
      <c r="F89">
        <f ca="1">IFERROR(__xludf.DUMMYFUNCTION("""COMPUTED_VALUE"""),115)</f>
        <v>115</v>
      </c>
      <c r="G89">
        <f ca="1">IFERROR(__xludf.DUMMYFUNCTION("""COMPUTED_VALUE"""),192)</f>
        <v>192</v>
      </c>
      <c r="H89">
        <f ca="1">IFERROR(__xludf.DUMMYFUNCTION("""COMPUTED_VALUE"""),-0.21)</f>
        <v>-0.21</v>
      </c>
    </row>
    <row r="90" spans="1:8" ht="12.75">
      <c r="A90" t="str">
        <f ca="1">IFERROR(__xludf.DUMMYFUNCTION("""COMPUTED_VALUE"""),"T88")</f>
        <v>T88</v>
      </c>
      <c r="B90" t="str">
        <f ca="1">IFERROR(__xludf.DUMMYFUNCTION("""COMPUTED_VALUE"""),"T94")</f>
        <v>T94</v>
      </c>
      <c r="C90" t="str">
        <f ca="1">IFERROR(__xludf.DUMMYFUNCTION("""COMPUTED_VALUE"""),"Harry Higgs")</f>
        <v>Harry Higgs</v>
      </c>
      <c r="D90">
        <f ca="1">IFERROR(__xludf.DUMMYFUNCTION("""COMPUTED_VALUE"""),14)</f>
        <v>14</v>
      </c>
      <c r="E90">
        <f ca="1">IFERROR(__xludf.DUMMYFUNCTION("""COMPUTED_VALUE"""),59.9)</f>
        <v>59.9</v>
      </c>
      <c r="F90">
        <f ca="1">IFERROR(__xludf.DUMMYFUNCTION("""COMPUTED_VALUE"""),115)</f>
        <v>115</v>
      </c>
      <c r="G90">
        <f ca="1">IFERROR(__xludf.DUMMYFUNCTION("""COMPUTED_VALUE"""),192)</f>
        <v>192</v>
      </c>
      <c r="H90">
        <f ca="1">IFERROR(__xludf.DUMMYFUNCTION("""COMPUTED_VALUE"""),-0.32)</f>
        <v>-0.32</v>
      </c>
    </row>
    <row r="91" spans="1:8" ht="12.75">
      <c r="A91">
        <f ca="1">IFERROR(__xludf.DUMMYFUNCTION("""COMPUTED_VALUE"""),90)</f>
        <v>90</v>
      </c>
      <c r="B91">
        <f ca="1">IFERROR(__xludf.DUMMYFUNCTION("""COMPUTED_VALUE"""),81)</f>
        <v>81</v>
      </c>
      <c r="C91" t="str">
        <f ca="1">IFERROR(__xludf.DUMMYFUNCTION("""COMPUTED_VALUE"""),"Lanto Griffin")</f>
        <v>Lanto Griffin</v>
      </c>
      <c r="D91">
        <f ca="1">IFERROR(__xludf.DUMMYFUNCTION("""COMPUTED_VALUE"""),18)</f>
        <v>18</v>
      </c>
      <c r="E91">
        <f ca="1">IFERROR(__xludf.DUMMYFUNCTION("""COMPUTED_VALUE"""),59.84)</f>
        <v>59.84</v>
      </c>
      <c r="F91">
        <f ca="1">IFERROR(__xludf.DUMMYFUNCTION("""COMPUTED_VALUE"""),146)</f>
        <v>146</v>
      </c>
      <c r="G91">
        <f ca="1">IFERROR(__xludf.DUMMYFUNCTION("""COMPUTED_VALUE"""),244)</f>
        <v>244</v>
      </c>
      <c r="H91">
        <f ca="1">IFERROR(__xludf.DUMMYFUNCTION("""COMPUTED_VALUE"""),-0.25)</f>
        <v>-0.25</v>
      </c>
    </row>
    <row r="92" spans="1:8" ht="12.75">
      <c r="A92">
        <f ca="1">IFERROR(__xludf.DUMMYFUNCTION("""COMPUTED_VALUE"""),91)</f>
        <v>91</v>
      </c>
      <c r="B92">
        <f ca="1">IFERROR(__xludf.DUMMYFUNCTION("""COMPUTED_VALUE"""),96)</f>
        <v>96</v>
      </c>
      <c r="C92" t="str">
        <f ca="1">IFERROR(__xludf.DUMMYFUNCTION("""COMPUTED_VALUE"""),"Joaquin Niemann")</f>
        <v>Joaquin Niemann</v>
      </c>
      <c r="D92">
        <f ca="1">IFERROR(__xludf.DUMMYFUNCTION("""COMPUTED_VALUE"""),16)</f>
        <v>16</v>
      </c>
      <c r="E92">
        <f ca="1">IFERROR(__xludf.DUMMYFUNCTION("""COMPUTED_VALUE"""),59.82)</f>
        <v>59.82</v>
      </c>
      <c r="F92">
        <f ca="1">IFERROR(__xludf.DUMMYFUNCTION("""COMPUTED_VALUE"""),131)</f>
        <v>131</v>
      </c>
      <c r="G92">
        <f ca="1">IFERROR(__xludf.DUMMYFUNCTION("""COMPUTED_VALUE"""),219)</f>
        <v>219</v>
      </c>
      <c r="H92">
        <f ca="1">IFERROR(__xludf.DUMMYFUNCTION("""COMPUTED_VALUE"""),-0.29)</f>
        <v>-0.28999999999999998</v>
      </c>
    </row>
    <row r="93" spans="1:8" ht="12.75">
      <c r="A93" t="str">
        <f ca="1">IFERROR(__xludf.DUMMYFUNCTION("""COMPUTED_VALUE"""),"T92")</f>
        <v>T92</v>
      </c>
      <c r="B93" t="str">
        <f ca="1">IFERROR(__xludf.DUMMYFUNCTION("""COMPUTED_VALUE"""),"T43")</f>
        <v>T43</v>
      </c>
      <c r="C93" t="str">
        <f ca="1">IFERROR(__xludf.DUMMYFUNCTION("""COMPUTED_VALUE"""),"Henrik Stenson")</f>
        <v>Henrik Stenson</v>
      </c>
      <c r="D93">
        <f ca="1">IFERROR(__xludf.DUMMYFUNCTION("""COMPUTED_VALUE"""),11)</f>
        <v>11</v>
      </c>
      <c r="E93">
        <f ca="1">IFERROR(__xludf.DUMMYFUNCTION("""COMPUTED_VALUE"""),59.76)</f>
        <v>59.76</v>
      </c>
      <c r="F93">
        <f ca="1">IFERROR(__xludf.DUMMYFUNCTION("""COMPUTED_VALUE"""),49)</f>
        <v>49</v>
      </c>
      <c r="G93">
        <f ca="1">IFERROR(__xludf.DUMMYFUNCTION("""COMPUTED_VALUE"""),82)</f>
        <v>82</v>
      </c>
      <c r="H93" t="str">
        <f ca="1">IFERROR(__xludf.DUMMYFUNCTION("""COMPUTED_VALUE"""),"+0.02")</f>
        <v>+0.02</v>
      </c>
    </row>
    <row r="94" spans="1:8" ht="12.75">
      <c r="A94" t="str">
        <f ca="1">IFERROR(__xludf.DUMMYFUNCTION("""COMPUTED_VALUE"""),"T92")</f>
        <v>T92</v>
      </c>
      <c r="B94">
        <f ca="1">IFERROR(__xludf.DUMMYFUNCTION("""COMPUTED_VALUE"""),97)</f>
        <v>97</v>
      </c>
      <c r="C94" t="str">
        <f ca="1">IFERROR(__xludf.DUMMYFUNCTION("""COMPUTED_VALUE"""),"Bubba Watson")</f>
        <v>Bubba Watson</v>
      </c>
      <c r="D94">
        <f ca="1">IFERROR(__xludf.DUMMYFUNCTION("""COMPUTED_VALUE"""),12)</f>
        <v>12</v>
      </c>
      <c r="E94">
        <f ca="1">IFERROR(__xludf.DUMMYFUNCTION("""COMPUTED_VALUE"""),59.76)</f>
        <v>59.76</v>
      </c>
      <c r="F94">
        <f ca="1">IFERROR(__xludf.DUMMYFUNCTION("""COMPUTED_VALUE"""),98)</f>
        <v>98</v>
      </c>
      <c r="G94">
        <f ca="1">IFERROR(__xludf.DUMMYFUNCTION("""COMPUTED_VALUE"""),164)</f>
        <v>164</v>
      </c>
      <c r="H94">
        <f ca="1">IFERROR(__xludf.DUMMYFUNCTION("""COMPUTED_VALUE"""),-0.27)</f>
        <v>-0.27</v>
      </c>
    </row>
    <row r="95" spans="1:8" ht="12.75">
      <c r="A95" t="str">
        <f ca="1">IFERROR(__xludf.DUMMYFUNCTION("""COMPUTED_VALUE"""),"T92")</f>
        <v>T92</v>
      </c>
      <c r="B95" t="str">
        <f ca="1">IFERROR(__xludf.DUMMYFUNCTION("""COMPUTED_VALUE"""),"T65")</f>
        <v>T65</v>
      </c>
      <c r="C95" t="str">
        <f ca="1">IFERROR(__xludf.DUMMYFUNCTION("""COMPUTED_VALUE"""),"Kevin Stadler")</f>
        <v>Kevin Stadler</v>
      </c>
      <c r="D95">
        <f ca="1">IFERROR(__xludf.DUMMYFUNCTION("""COMPUTED_VALUE"""),8)</f>
        <v>8</v>
      </c>
      <c r="E95">
        <f ca="1">IFERROR(__xludf.DUMMYFUNCTION("""COMPUTED_VALUE"""),59.76)</f>
        <v>59.76</v>
      </c>
      <c r="F95">
        <f ca="1">IFERROR(__xludf.DUMMYFUNCTION("""COMPUTED_VALUE"""),49)</f>
        <v>49</v>
      </c>
      <c r="G95">
        <f ca="1">IFERROR(__xludf.DUMMYFUNCTION("""COMPUTED_VALUE"""),82)</f>
        <v>82</v>
      </c>
      <c r="H95">
        <f ca="1">IFERROR(__xludf.DUMMYFUNCTION("""COMPUTED_VALUE"""),-0.04)</f>
        <v>-0.04</v>
      </c>
    </row>
    <row r="96" spans="1:8" ht="12.75">
      <c r="A96" t="str">
        <f ca="1">IFERROR(__xludf.DUMMYFUNCTION("""COMPUTED_VALUE"""),"T92")</f>
        <v>T92</v>
      </c>
      <c r="B96" t="str">
        <f ca="1">IFERROR(__xludf.DUMMYFUNCTION("""COMPUTED_VALUE"""),"T89")</f>
        <v>T89</v>
      </c>
      <c r="C96" t="str">
        <f ca="1">IFERROR(__xludf.DUMMYFUNCTION("""COMPUTED_VALUE"""),"Kevin Streelman")</f>
        <v>Kevin Streelman</v>
      </c>
      <c r="D96">
        <f ca="1">IFERROR(__xludf.DUMMYFUNCTION("""COMPUTED_VALUE"""),18)</f>
        <v>18</v>
      </c>
      <c r="E96">
        <f ca="1">IFERROR(__xludf.DUMMYFUNCTION("""COMPUTED_VALUE"""),59.76)</f>
        <v>59.76</v>
      </c>
      <c r="F96">
        <f ca="1">IFERROR(__xludf.DUMMYFUNCTION("""COMPUTED_VALUE"""),147)</f>
        <v>147</v>
      </c>
      <c r="G96">
        <f ca="1">IFERROR(__xludf.DUMMYFUNCTION("""COMPUTED_VALUE"""),246)</f>
        <v>246</v>
      </c>
      <c r="H96">
        <f ca="1">IFERROR(__xludf.DUMMYFUNCTION("""COMPUTED_VALUE"""),-0.29)</f>
        <v>-0.28999999999999998</v>
      </c>
    </row>
    <row r="97" spans="1:8" ht="12.75">
      <c r="A97">
        <f ca="1">IFERROR(__xludf.DUMMYFUNCTION("""COMPUTED_VALUE"""),96)</f>
        <v>96</v>
      </c>
      <c r="B97" t="str">
        <f ca="1">IFERROR(__xludf.DUMMYFUNCTION("""COMPUTED_VALUE"""),"T54")</f>
        <v>T54</v>
      </c>
      <c r="C97" t="str">
        <f ca="1">IFERROR(__xludf.DUMMYFUNCTION("""COMPUTED_VALUE"""),"Sam Ryder")</f>
        <v>Sam Ryder</v>
      </c>
      <c r="D97">
        <f ca="1">IFERROR(__xludf.DUMMYFUNCTION("""COMPUTED_VALUE"""),12)</f>
        <v>12</v>
      </c>
      <c r="E97">
        <f ca="1">IFERROR(__xludf.DUMMYFUNCTION("""COMPUTED_VALUE"""),59.63)</f>
        <v>59.63</v>
      </c>
      <c r="F97">
        <f ca="1">IFERROR(__xludf.DUMMYFUNCTION("""COMPUTED_VALUE"""),65)</f>
        <v>65</v>
      </c>
      <c r="G97">
        <f ca="1">IFERROR(__xludf.DUMMYFUNCTION("""COMPUTED_VALUE"""),109)</f>
        <v>109</v>
      </c>
      <c r="H97">
        <f ca="1">IFERROR(__xludf.DUMMYFUNCTION("""COMPUTED_VALUE"""),-0.11)</f>
        <v>-0.11</v>
      </c>
    </row>
    <row r="98" spans="1:8" ht="12.75">
      <c r="A98" t="str">
        <f ca="1">IFERROR(__xludf.DUMMYFUNCTION("""COMPUTED_VALUE"""),"T97")</f>
        <v>T97</v>
      </c>
      <c r="B98">
        <f ca="1">IFERROR(__xludf.DUMMYFUNCTION("""COMPUTED_VALUE"""),99)</f>
        <v>99</v>
      </c>
      <c r="C98" t="str">
        <f ca="1">IFERROR(__xludf.DUMMYFUNCTION("""COMPUTED_VALUE"""),"Patrick Cantlay")</f>
        <v>Patrick Cantlay</v>
      </c>
      <c r="D98">
        <f ca="1">IFERROR(__xludf.DUMMYFUNCTION("""COMPUTED_VALUE"""),16)</f>
        <v>16</v>
      </c>
      <c r="E98">
        <f ca="1">IFERROR(__xludf.DUMMYFUNCTION("""COMPUTED_VALUE"""),59.55)</f>
        <v>59.55</v>
      </c>
      <c r="F98">
        <f ca="1">IFERROR(__xludf.DUMMYFUNCTION("""COMPUTED_VALUE"""),131)</f>
        <v>131</v>
      </c>
      <c r="G98">
        <f ca="1">IFERROR(__xludf.DUMMYFUNCTION("""COMPUTED_VALUE"""),220)</f>
        <v>220</v>
      </c>
      <c r="H98">
        <f ca="1">IFERROR(__xludf.DUMMYFUNCTION("""COMPUTED_VALUE"""),-0.25)</f>
        <v>-0.25</v>
      </c>
    </row>
    <row r="99" spans="1:8" ht="12.75">
      <c r="A99" t="str">
        <f ca="1">IFERROR(__xludf.DUMMYFUNCTION("""COMPUTED_VALUE"""),"T97")</f>
        <v>T97</v>
      </c>
      <c r="B99">
        <f ca="1">IFERROR(__xludf.DUMMYFUNCTION("""COMPUTED_VALUE"""),88)</f>
        <v>88</v>
      </c>
      <c r="C99" t="str">
        <f ca="1">IFERROR(__xludf.DUMMYFUNCTION("""COMPUTED_VALUE"""),"Zach Johnson")</f>
        <v>Zach Johnson</v>
      </c>
      <c r="D99">
        <f ca="1">IFERROR(__xludf.DUMMYFUNCTION("""COMPUTED_VALUE"""),16)</f>
        <v>16</v>
      </c>
      <c r="E99">
        <f ca="1">IFERROR(__xludf.DUMMYFUNCTION("""COMPUTED_VALUE"""),59.55)</f>
        <v>59.55</v>
      </c>
      <c r="F99">
        <f ca="1">IFERROR(__xludf.DUMMYFUNCTION("""COMPUTED_VALUE"""),131)</f>
        <v>131</v>
      </c>
      <c r="G99">
        <f ca="1">IFERROR(__xludf.DUMMYFUNCTION("""COMPUTED_VALUE"""),220)</f>
        <v>220</v>
      </c>
      <c r="H99">
        <f ca="1">IFERROR(__xludf.DUMMYFUNCTION("""COMPUTED_VALUE"""),-0.22)</f>
        <v>-0.22</v>
      </c>
    </row>
    <row r="100" spans="1:8" ht="12.75">
      <c r="A100">
        <f ca="1">IFERROR(__xludf.DUMMYFUNCTION("""COMPUTED_VALUE"""),99)</f>
        <v>99</v>
      </c>
      <c r="B100">
        <f ca="1">IFERROR(__xludf.DUMMYFUNCTION("""COMPUTED_VALUE"""),100)</f>
        <v>100</v>
      </c>
      <c r="C100" t="str">
        <f ca="1">IFERROR(__xludf.DUMMYFUNCTION("""COMPUTED_VALUE"""),"Louis Oosthuizen")</f>
        <v>Louis Oosthuizen</v>
      </c>
      <c r="D100">
        <f ca="1">IFERROR(__xludf.DUMMYFUNCTION("""COMPUTED_VALUE"""),12)</f>
        <v>12</v>
      </c>
      <c r="E100">
        <f ca="1">IFERROR(__xludf.DUMMYFUNCTION("""COMPUTED_VALUE"""),59.52)</f>
        <v>59.52</v>
      </c>
      <c r="F100">
        <f ca="1">IFERROR(__xludf.DUMMYFUNCTION("""COMPUTED_VALUE"""),100)</f>
        <v>100</v>
      </c>
      <c r="G100">
        <f ca="1">IFERROR(__xludf.DUMMYFUNCTION("""COMPUTED_VALUE"""),168)</f>
        <v>168</v>
      </c>
      <c r="H100">
        <f ca="1">IFERROR(__xludf.DUMMYFUNCTION("""COMPUTED_VALUE"""),-0.24)</f>
        <v>-0.24</v>
      </c>
    </row>
    <row r="101" spans="1:8" ht="12.75">
      <c r="A101">
        <f ca="1">IFERROR(__xludf.DUMMYFUNCTION("""COMPUTED_VALUE"""),100)</f>
        <v>100</v>
      </c>
      <c r="B101" t="str">
        <f ca="1">IFERROR(__xludf.DUMMYFUNCTION("""COMPUTED_VALUE"""),"T101")</f>
        <v>T101</v>
      </c>
      <c r="C101" t="str">
        <f ca="1">IFERROR(__xludf.DUMMYFUNCTION("""COMPUTED_VALUE"""),"Bryson DeChambeau")</f>
        <v>Bryson DeChambeau</v>
      </c>
      <c r="D101">
        <f ca="1">IFERROR(__xludf.DUMMYFUNCTION("""COMPUTED_VALUE"""),8)</f>
        <v>8</v>
      </c>
      <c r="E101">
        <f ca="1">IFERROR(__xludf.DUMMYFUNCTION("""COMPUTED_VALUE"""),59.46)</f>
        <v>59.46</v>
      </c>
      <c r="F101">
        <f ca="1">IFERROR(__xludf.DUMMYFUNCTION("""COMPUTED_VALUE"""),66)</f>
        <v>66</v>
      </c>
      <c r="G101">
        <f ca="1">IFERROR(__xludf.DUMMYFUNCTION("""COMPUTED_VALUE"""),111)</f>
        <v>111</v>
      </c>
      <c r="H101">
        <f ca="1">IFERROR(__xludf.DUMMYFUNCTION("""COMPUTED_VALUE"""),-0.32)</f>
        <v>-0.32</v>
      </c>
    </row>
    <row r="102" spans="1:8" ht="12.75">
      <c r="A102">
        <f ca="1">IFERROR(__xludf.DUMMYFUNCTION("""COMPUTED_VALUE"""),101)</f>
        <v>101</v>
      </c>
      <c r="B102">
        <f ca="1">IFERROR(__xludf.DUMMYFUNCTION("""COMPUTED_VALUE"""),104)</f>
        <v>104</v>
      </c>
      <c r="C102" t="str">
        <f ca="1">IFERROR(__xludf.DUMMYFUNCTION("""COMPUTED_VALUE"""),"Sam Burns")</f>
        <v>Sam Burns</v>
      </c>
      <c r="D102">
        <f ca="1">IFERROR(__xludf.DUMMYFUNCTION("""COMPUTED_VALUE"""),18)</f>
        <v>18</v>
      </c>
      <c r="E102">
        <f ca="1">IFERROR(__xludf.DUMMYFUNCTION("""COMPUTED_VALUE"""),59.38)</f>
        <v>59.38</v>
      </c>
      <c r="F102">
        <f ca="1">IFERROR(__xludf.DUMMYFUNCTION("""COMPUTED_VALUE"""),114)</f>
        <v>114</v>
      </c>
      <c r="G102">
        <f ca="1">IFERROR(__xludf.DUMMYFUNCTION("""COMPUTED_VALUE"""),192)</f>
        <v>192</v>
      </c>
      <c r="H102">
        <f ca="1">IFERROR(__xludf.DUMMYFUNCTION("""COMPUTED_VALUE"""),-0.33)</f>
        <v>-0.33</v>
      </c>
    </row>
    <row r="103" spans="1:8" ht="12.75">
      <c r="A103">
        <f ca="1">IFERROR(__xludf.DUMMYFUNCTION("""COMPUTED_VALUE"""),102)</f>
        <v>102</v>
      </c>
      <c r="B103" t="str">
        <f ca="1">IFERROR(__xludf.DUMMYFUNCTION("""COMPUTED_VALUE"""),"T143")</f>
        <v>T143</v>
      </c>
      <c r="C103" t="str">
        <f ca="1">IFERROR(__xludf.DUMMYFUNCTION("""COMPUTED_VALUE"""),"Dustin Johnson")</f>
        <v>Dustin Johnson</v>
      </c>
      <c r="D103">
        <f ca="1">IFERROR(__xludf.DUMMYFUNCTION("""COMPUTED_VALUE"""),8)</f>
        <v>8</v>
      </c>
      <c r="E103">
        <f ca="1">IFERROR(__xludf.DUMMYFUNCTION("""COMPUTED_VALUE"""),59.26)</f>
        <v>59.26</v>
      </c>
      <c r="F103">
        <f ca="1">IFERROR(__xludf.DUMMYFUNCTION("""COMPUTED_VALUE"""),64)</f>
        <v>64</v>
      </c>
      <c r="G103">
        <f ca="1">IFERROR(__xludf.DUMMYFUNCTION("""COMPUTED_VALUE"""),108)</f>
        <v>108</v>
      </c>
      <c r="H103">
        <f ca="1">IFERROR(__xludf.DUMMYFUNCTION("""COMPUTED_VALUE"""),-0.17)</f>
        <v>-0.17</v>
      </c>
    </row>
    <row r="104" spans="1:8" ht="12.75">
      <c r="A104">
        <f ca="1">IFERROR(__xludf.DUMMYFUNCTION("""COMPUTED_VALUE"""),103)</f>
        <v>103</v>
      </c>
      <c r="B104">
        <f ca="1">IFERROR(__xludf.DUMMYFUNCTION("""COMPUTED_VALUE"""),105)</f>
        <v>105</v>
      </c>
      <c r="C104" t="str">
        <f ca="1">IFERROR(__xludf.DUMMYFUNCTION("""COMPUTED_VALUE"""),"Tim Wilkinson")</f>
        <v>Tim Wilkinson</v>
      </c>
      <c r="D104">
        <f ca="1">IFERROR(__xludf.DUMMYFUNCTION("""COMPUTED_VALUE"""),12)</f>
        <v>12</v>
      </c>
      <c r="E104">
        <f ca="1">IFERROR(__xludf.DUMMYFUNCTION("""COMPUTED_VALUE"""),59.04)</f>
        <v>59.04</v>
      </c>
      <c r="F104">
        <f ca="1">IFERROR(__xludf.DUMMYFUNCTION("""COMPUTED_VALUE"""),49)</f>
        <v>49</v>
      </c>
      <c r="G104">
        <f ca="1">IFERROR(__xludf.DUMMYFUNCTION("""COMPUTED_VALUE"""),83)</f>
        <v>83</v>
      </c>
      <c r="H104">
        <f ca="1">IFERROR(__xludf.DUMMYFUNCTION("""COMPUTED_VALUE"""),-0.2)</f>
        <v>-0.2</v>
      </c>
    </row>
    <row r="105" spans="1:8" ht="12.75">
      <c r="A105" t="str">
        <f ca="1">IFERROR(__xludf.DUMMYFUNCTION("""COMPUTED_VALUE"""),"T104")</f>
        <v>T104</v>
      </c>
      <c r="B105" t="str">
        <f ca="1">IFERROR(__xludf.DUMMYFUNCTION("""COMPUTED_VALUE"""),"T107")</f>
        <v>T107</v>
      </c>
      <c r="C105" t="str">
        <f ca="1">IFERROR(__xludf.DUMMYFUNCTION("""COMPUTED_VALUE"""),"Brian Gay")</f>
        <v>Brian Gay</v>
      </c>
      <c r="D105">
        <f ca="1">IFERROR(__xludf.DUMMYFUNCTION("""COMPUTED_VALUE"""),8)</f>
        <v>8</v>
      </c>
      <c r="E105">
        <f ca="1">IFERROR(__xludf.DUMMYFUNCTION("""COMPUTED_VALUE"""),58.93)</f>
        <v>58.93</v>
      </c>
      <c r="F105">
        <f ca="1">IFERROR(__xludf.DUMMYFUNCTION("""COMPUTED_VALUE"""),33)</f>
        <v>33</v>
      </c>
      <c r="G105">
        <f ca="1">IFERROR(__xludf.DUMMYFUNCTION("""COMPUTED_VALUE"""),56)</f>
        <v>56</v>
      </c>
      <c r="H105">
        <f ca="1">IFERROR(__xludf.DUMMYFUNCTION("""COMPUTED_VALUE"""),-0.15)</f>
        <v>-0.15</v>
      </c>
    </row>
    <row r="106" spans="1:8" ht="12.75">
      <c r="A106" t="str">
        <f ca="1">IFERROR(__xludf.DUMMYFUNCTION("""COMPUTED_VALUE"""),"T104")</f>
        <v>T104</v>
      </c>
      <c r="B106" t="str">
        <f ca="1">IFERROR(__xludf.DUMMYFUNCTION("""COMPUTED_VALUE"""),"T107")</f>
        <v>T107</v>
      </c>
      <c r="C106" t="str">
        <f ca="1">IFERROR(__xludf.DUMMYFUNCTION("""COMPUTED_VALUE"""),"Jeongwoo Ham")</f>
        <v>Jeongwoo Ham</v>
      </c>
      <c r="D106">
        <f ca="1">IFERROR(__xludf.DUMMYFUNCTION("""COMPUTED_VALUE"""),4)</f>
        <v>4</v>
      </c>
      <c r="E106">
        <f ca="1">IFERROR(__xludf.DUMMYFUNCTION("""COMPUTED_VALUE"""),58.93)</f>
        <v>58.93</v>
      </c>
      <c r="F106">
        <f ca="1">IFERROR(__xludf.DUMMYFUNCTION("""COMPUTED_VALUE"""),33)</f>
        <v>33</v>
      </c>
      <c r="G106">
        <f ca="1">IFERROR(__xludf.DUMMYFUNCTION("""COMPUTED_VALUE"""),56)</f>
        <v>56</v>
      </c>
      <c r="H106">
        <f ca="1">IFERROR(__xludf.DUMMYFUNCTION("""COMPUTED_VALUE"""),-0.15)</f>
        <v>-0.15</v>
      </c>
    </row>
    <row r="107" spans="1:8" ht="12.75">
      <c r="A107">
        <f ca="1">IFERROR(__xludf.DUMMYFUNCTION("""COMPUTED_VALUE"""),106)</f>
        <v>106</v>
      </c>
      <c r="B107">
        <f ca="1">IFERROR(__xludf.DUMMYFUNCTION("""COMPUTED_VALUE"""),79)</f>
        <v>79</v>
      </c>
      <c r="C107" t="str">
        <f ca="1">IFERROR(__xludf.DUMMYFUNCTION("""COMPUTED_VALUE"""),"Kyoung-Hoon Lee")</f>
        <v>Kyoung-Hoon Lee</v>
      </c>
      <c r="D107">
        <f ca="1">IFERROR(__xludf.DUMMYFUNCTION("""COMPUTED_VALUE"""),20)</f>
        <v>20</v>
      </c>
      <c r="E107">
        <f ca="1">IFERROR(__xludf.DUMMYFUNCTION("""COMPUTED_VALUE"""),58.76)</f>
        <v>58.76</v>
      </c>
      <c r="F107">
        <f ca="1">IFERROR(__xludf.DUMMYFUNCTION("""COMPUTED_VALUE"""),114)</f>
        <v>114</v>
      </c>
      <c r="G107">
        <f ca="1">IFERROR(__xludf.DUMMYFUNCTION("""COMPUTED_VALUE"""),194)</f>
        <v>194</v>
      </c>
      <c r="H107">
        <f ca="1">IFERROR(__xludf.DUMMYFUNCTION("""COMPUTED_VALUE"""),-0.11)</f>
        <v>-0.11</v>
      </c>
    </row>
    <row r="108" spans="1:8" ht="12.75">
      <c r="A108">
        <f ca="1">IFERROR(__xludf.DUMMYFUNCTION("""COMPUTED_VALUE"""),107)</f>
        <v>107</v>
      </c>
      <c r="B108">
        <f ca="1">IFERROR(__xludf.DUMMYFUNCTION("""COMPUTED_VALUE"""),116)</f>
        <v>116</v>
      </c>
      <c r="C108" t="str">
        <f ca="1">IFERROR(__xludf.DUMMYFUNCTION("""COMPUTED_VALUE"""),"Jason Dufner")</f>
        <v>Jason Dufner</v>
      </c>
      <c r="D108">
        <f ca="1">IFERROR(__xludf.DUMMYFUNCTION("""COMPUTED_VALUE"""),14)</f>
        <v>14</v>
      </c>
      <c r="E108">
        <f ca="1">IFERROR(__xludf.DUMMYFUNCTION("""COMPUTED_VALUE"""),58.7)</f>
        <v>58.7</v>
      </c>
      <c r="F108">
        <f ca="1">IFERROR(__xludf.DUMMYFUNCTION("""COMPUTED_VALUE"""),81)</f>
        <v>81</v>
      </c>
      <c r="G108">
        <f ca="1">IFERROR(__xludf.DUMMYFUNCTION("""COMPUTED_VALUE"""),138)</f>
        <v>138</v>
      </c>
      <c r="H108">
        <f ca="1">IFERROR(__xludf.DUMMYFUNCTION("""COMPUTED_VALUE"""),-0.21)</f>
        <v>-0.21</v>
      </c>
    </row>
    <row r="109" spans="1:8" ht="12.75">
      <c r="A109">
        <f ca="1">IFERROR(__xludf.DUMMYFUNCTION("""COMPUTED_VALUE"""),108)</f>
        <v>108</v>
      </c>
      <c r="B109" t="str">
        <f ca="1">IFERROR(__xludf.DUMMYFUNCTION("""COMPUTED_VALUE"""),"T89")</f>
        <v>T89</v>
      </c>
      <c r="C109" t="str">
        <f ca="1">IFERROR(__xludf.DUMMYFUNCTION("""COMPUTED_VALUE"""),"Nate Lashley")</f>
        <v>Nate Lashley</v>
      </c>
      <c r="D109">
        <f ca="1">IFERROR(__xludf.DUMMYFUNCTION("""COMPUTED_VALUE"""),16)</f>
        <v>16</v>
      </c>
      <c r="E109">
        <f ca="1">IFERROR(__xludf.DUMMYFUNCTION("""COMPUTED_VALUE"""),58.64)</f>
        <v>58.64</v>
      </c>
      <c r="F109">
        <f ca="1">IFERROR(__xludf.DUMMYFUNCTION("""COMPUTED_VALUE"""),95)</f>
        <v>95</v>
      </c>
      <c r="G109">
        <f ca="1">IFERROR(__xludf.DUMMYFUNCTION("""COMPUTED_VALUE"""),162)</f>
        <v>162</v>
      </c>
      <c r="H109">
        <f ca="1">IFERROR(__xludf.DUMMYFUNCTION("""COMPUTED_VALUE"""),-0.24)</f>
        <v>-0.24</v>
      </c>
    </row>
    <row r="110" spans="1:8" ht="12.75">
      <c r="A110">
        <f ca="1">IFERROR(__xludf.DUMMYFUNCTION("""COMPUTED_VALUE"""),109)</f>
        <v>109</v>
      </c>
      <c r="B110">
        <f ca="1">IFERROR(__xludf.DUMMYFUNCTION("""COMPUTED_VALUE"""),112)</f>
        <v>112</v>
      </c>
      <c r="C110" t="str">
        <f ca="1">IFERROR(__xludf.DUMMYFUNCTION("""COMPUTED_VALUE"""),"Cameron Smith")</f>
        <v>Cameron Smith</v>
      </c>
      <c r="D110">
        <f ca="1">IFERROR(__xludf.DUMMYFUNCTION("""COMPUTED_VALUE"""),16)</f>
        <v>16</v>
      </c>
      <c r="E110">
        <f ca="1">IFERROR(__xludf.DUMMYFUNCTION("""COMPUTED_VALUE"""),58.45)</f>
        <v>58.45</v>
      </c>
      <c r="F110">
        <f ca="1">IFERROR(__xludf.DUMMYFUNCTION("""COMPUTED_VALUE"""),128)</f>
        <v>128</v>
      </c>
      <c r="G110">
        <f ca="1">IFERROR(__xludf.DUMMYFUNCTION("""COMPUTED_VALUE"""),219)</f>
        <v>219</v>
      </c>
      <c r="H110">
        <f ca="1">IFERROR(__xludf.DUMMYFUNCTION("""COMPUTED_VALUE"""),-0.3)</f>
        <v>-0.3</v>
      </c>
    </row>
    <row r="111" spans="1:8" ht="12.75">
      <c r="A111">
        <f ca="1">IFERROR(__xludf.DUMMYFUNCTION("""COMPUTED_VALUE"""),110)</f>
        <v>110</v>
      </c>
      <c r="B111">
        <f ca="1">IFERROR(__xludf.DUMMYFUNCTION("""COMPUTED_VALUE"""),86)</f>
        <v>86</v>
      </c>
      <c r="C111" t="str">
        <f ca="1">IFERROR(__xludf.DUMMYFUNCTION("""COMPUTED_VALUE"""),"Will Gordon")</f>
        <v>Will Gordon</v>
      </c>
      <c r="D111">
        <f ca="1">IFERROR(__xludf.DUMMYFUNCTION("""COMPUTED_VALUE"""),20)</f>
        <v>20</v>
      </c>
      <c r="E111">
        <f ca="1">IFERROR(__xludf.DUMMYFUNCTION("""COMPUTED_VALUE"""),58.06)</f>
        <v>58.06</v>
      </c>
      <c r="F111">
        <f ca="1">IFERROR(__xludf.DUMMYFUNCTION("""COMPUTED_VALUE"""),108)</f>
        <v>108</v>
      </c>
      <c r="G111">
        <f ca="1">IFERROR(__xludf.DUMMYFUNCTION("""COMPUTED_VALUE"""),186)</f>
        <v>186</v>
      </c>
      <c r="H111">
        <f ca="1">IFERROR(__xludf.DUMMYFUNCTION("""COMPUTED_VALUE"""),-0.29)</f>
        <v>-0.28999999999999998</v>
      </c>
    </row>
    <row r="112" spans="1:8" ht="12.75">
      <c r="A112">
        <f ca="1">IFERROR(__xludf.DUMMYFUNCTION("""COMPUTED_VALUE"""),111)</f>
        <v>111</v>
      </c>
      <c r="B112">
        <f ca="1">IFERROR(__xludf.DUMMYFUNCTION("""COMPUTED_VALUE"""),129)</f>
        <v>129</v>
      </c>
      <c r="C112" t="str">
        <f ca="1">IFERROR(__xludf.DUMMYFUNCTION("""COMPUTED_VALUE"""),"Adam Schenk")</f>
        <v>Adam Schenk</v>
      </c>
      <c r="D112">
        <f ca="1">IFERROR(__xludf.DUMMYFUNCTION("""COMPUTED_VALUE"""),22)</f>
        <v>22</v>
      </c>
      <c r="E112">
        <f ca="1">IFERROR(__xludf.DUMMYFUNCTION("""COMPUTED_VALUE"""),58.03)</f>
        <v>58.03</v>
      </c>
      <c r="F112">
        <f ca="1">IFERROR(__xludf.DUMMYFUNCTION("""COMPUTED_VALUE"""),112)</f>
        <v>112</v>
      </c>
      <c r="G112">
        <f ca="1">IFERROR(__xludf.DUMMYFUNCTION("""COMPUTED_VALUE"""),193)</f>
        <v>193</v>
      </c>
      <c r="H112">
        <f ca="1">IFERROR(__xludf.DUMMYFUNCTION("""COMPUTED_VALUE"""),-0.17)</f>
        <v>-0.17</v>
      </c>
    </row>
    <row r="113" spans="1:8" ht="12.75">
      <c r="A113">
        <f ca="1">IFERROR(__xludf.DUMMYFUNCTION("""COMPUTED_VALUE"""),112)</f>
        <v>112</v>
      </c>
      <c r="B113" t="str">
        <f ca="1">IFERROR(__xludf.DUMMYFUNCTION("""COMPUTED_VALUE"""),"T135")</f>
        <v>T135</v>
      </c>
      <c r="C113" t="str">
        <f ca="1">IFERROR(__xludf.DUMMYFUNCTION("""COMPUTED_VALUE"""),"Si Woo Kim")</f>
        <v>Si Woo Kim</v>
      </c>
      <c r="D113">
        <f ca="1">IFERROR(__xludf.DUMMYFUNCTION("""COMPUTED_VALUE"""),20)</f>
        <v>20</v>
      </c>
      <c r="E113">
        <f ca="1">IFERROR(__xludf.DUMMYFUNCTION("""COMPUTED_VALUE"""),57.91)</f>
        <v>57.91</v>
      </c>
      <c r="F113">
        <f ca="1">IFERROR(__xludf.DUMMYFUNCTION("""COMPUTED_VALUE"""),161)</f>
        <v>161</v>
      </c>
      <c r="G113">
        <f ca="1">IFERROR(__xludf.DUMMYFUNCTION("""COMPUTED_VALUE"""),278)</f>
        <v>278</v>
      </c>
      <c r="H113">
        <f ca="1">IFERROR(__xludf.DUMMYFUNCTION("""COMPUTED_VALUE"""),-0.25)</f>
        <v>-0.25</v>
      </c>
    </row>
    <row r="114" spans="1:8" ht="12.75">
      <c r="A114">
        <f ca="1">IFERROR(__xludf.DUMMYFUNCTION("""COMPUTED_VALUE"""),113)</f>
        <v>113</v>
      </c>
      <c r="B114">
        <f ca="1">IFERROR(__xludf.DUMMYFUNCTION("""COMPUTED_VALUE"""),117)</f>
        <v>117</v>
      </c>
      <c r="C114" t="str">
        <f ca="1">IFERROR(__xludf.DUMMYFUNCTION("""COMPUTED_VALUE"""),"Will Zalatoris")</f>
        <v>Will Zalatoris</v>
      </c>
      <c r="D114">
        <f ca="1">IFERROR(__xludf.DUMMYFUNCTION("""COMPUTED_VALUE"""),18)</f>
        <v>18</v>
      </c>
      <c r="E114">
        <f ca="1">IFERROR(__xludf.DUMMYFUNCTION("""COMPUTED_VALUE"""),57.86)</f>
        <v>57.86</v>
      </c>
      <c r="F114">
        <f ca="1">IFERROR(__xludf.DUMMYFUNCTION("""COMPUTED_VALUE"""),81)</f>
        <v>81</v>
      </c>
      <c r="G114">
        <f ca="1">IFERROR(__xludf.DUMMYFUNCTION("""COMPUTED_VALUE"""),140)</f>
        <v>140</v>
      </c>
      <c r="H114">
        <f ca="1">IFERROR(__xludf.DUMMYFUNCTION("""COMPUTED_VALUE"""),-0.19)</f>
        <v>-0.19</v>
      </c>
    </row>
    <row r="115" spans="1:8" ht="12.75">
      <c r="A115">
        <f ca="1">IFERROR(__xludf.DUMMYFUNCTION("""COMPUTED_VALUE"""),114)</f>
        <v>114</v>
      </c>
      <c r="B115">
        <f ca="1">IFERROR(__xludf.DUMMYFUNCTION("""COMPUTED_VALUE"""),106)</f>
        <v>106</v>
      </c>
      <c r="C115" t="str">
        <f ca="1">IFERROR(__xludf.DUMMYFUNCTION("""COMPUTED_VALUE"""),"Jason Day")</f>
        <v>Jason Day</v>
      </c>
      <c r="D115">
        <f ca="1">IFERROR(__xludf.DUMMYFUNCTION("""COMPUTED_VALUE"""),17)</f>
        <v>17</v>
      </c>
      <c r="E115">
        <f ca="1">IFERROR(__xludf.DUMMYFUNCTION("""COMPUTED_VALUE"""),57.83)</f>
        <v>57.83</v>
      </c>
      <c r="F115">
        <f ca="1">IFERROR(__xludf.DUMMYFUNCTION("""COMPUTED_VALUE"""),133)</f>
        <v>133</v>
      </c>
      <c r="G115">
        <f ca="1">IFERROR(__xludf.DUMMYFUNCTION("""COMPUTED_VALUE"""),230)</f>
        <v>230</v>
      </c>
      <c r="H115">
        <f ca="1">IFERROR(__xludf.DUMMYFUNCTION("""COMPUTED_VALUE"""),-0.23)</f>
        <v>-0.23</v>
      </c>
    </row>
    <row r="116" spans="1:8" ht="12.75">
      <c r="A116">
        <f ca="1">IFERROR(__xludf.DUMMYFUNCTION("""COMPUTED_VALUE"""),115)</f>
        <v>115</v>
      </c>
      <c r="B116" t="str">
        <f ca="1">IFERROR(__xludf.DUMMYFUNCTION("""COMPUTED_VALUE"""),"")</f>
        <v/>
      </c>
      <c r="C116" t="str">
        <f ca="1">IFERROR(__xludf.DUMMYFUNCTION("""COMPUTED_VALUE"""),"Padraig Harrington")</f>
        <v>Padraig Harrington</v>
      </c>
      <c r="D116">
        <f ca="1">IFERROR(__xludf.DUMMYFUNCTION("""COMPUTED_VALUE"""),8)</f>
        <v>8</v>
      </c>
      <c r="E116">
        <f ca="1">IFERROR(__xludf.DUMMYFUNCTION("""COMPUTED_VALUE"""),57.69)</f>
        <v>57.69</v>
      </c>
      <c r="F116">
        <f ca="1">IFERROR(__xludf.DUMMYFUNCTION("""COMPUTED_VALUE"""),30)</f>
        <v>30</v>
      </c>
      <c r="G116">
        <f ca="1">IFERROR(__xludf.DUMMYFUNCTION("""COMPUTED_VALUE"""),52)</f>
        <v>52</v>
      </c>
      <c r="H116">
        <f ca="1">IFERROR(__xludf.DUMMYFUNCTION("""COMPUTED_VALUE"""),-0.1)</f>
        <v>-0.1</v>
      </c>
    </row>
    <row r="117" spans="1:8" ht="12.75">
      <c r="A117">
        <f ca="1">IFERROR(__xludf.DUMMYFUNCTION("""COMPUTED_VALUE"""),116)</f>
        <v>116</v>
      </c>
      <c r="B117">
        <f ca="1">IFERROR(__xludf.DUMMYFUNCTION("""COMPUTED_VALUE"""),119)</f>
        <v>119</v>
      </c>
      <c r="C117" t="str">
        <f ca="1">IFERROR(__xludf.DUMMYFUNCTION("""COMPUTED_VALUE"""),"Cameron Champ")</f>
        <v>Cameron Champ</v>
      </c>
      <c r="D117">
        <f ca="1">IFERROR(__xludf.DUMMYFUNCTION("""COMPUTED_VALUE"""),12)</f>
        <v>12</v>
      </c>
      <c r="E117">
        <f ca="1">IFERROR(__xludf.DUMMYFUNCTION("""COMPUTED_VALUE"""),57.67)</f>
        <v>57.67</v>
      </c>
      <c r="F117">
        <f ca="1">IFERROR(__xludf.DUMMYFUNCTION("""COMPUTED_VALUE"""),94)</f>
        <v>94</v>
      </c>
      <c r="G117">
        <f ca="1">IFERROR(__xludf.DUMMYFUNCTION("""COMPUTED_VALUE"""),163)</f>
        <v>163</v>
      </c>
      <c r="H117">
        <f ca="1">IFERROR(__xludf.DUMMYFUNCTION("""COMPUTED_VALUE"""),-0.32)</f>
        <v>-0.32</v>
      </c>
    </row>
    <row r="118" spans="1:8" ht="12.75">
      <c r="A118">
        <f ca="1">IFERROR(__xludf.DUMMYFUNCTION("""COMPUTED_VALUE"""),117)</f>
        <v>117</v>
      </c>
      <c r="B118">
        <f ca="1">IFERROR(__xludf.DUMMYFUNCTION("""COMPUTED_VALUE"""),111)</f>
        <v>111</v>
      </c>
      <c r="C118" t="str">
        <f ca="1">IFERROR(__xludf.DUMMYFUNCTION("""COMPUTED_VALUE"""),"Hudson Swafford")</f>
        <v>Hudson Swafford</v>
      </c>
      <c r="D118">
        <f ca="1">IFERROR(__xludf.DUMMYFUNCTION("""COMPUTED_VALUE"""),18)</f>
        <v>18</v>
      </c>
      <c r="E118">
        <f ca="1">IFERROR(__xludf.DUMMYFUNCTION("""COMPUTED_VALUE"""),57.66)</f>
        <v>57.66</v>
      </c>
      <c r="F118">
        <f ca="1">IFERROR(__xludf.DUMMYFUNCTION("""COMPUTED_VALUE"""),79)</f>
        <v>79</v>
      </c>
      <c r="G118">
        <f ca="1">IFERROR(__xludf.DUMMYFUNCTION("""COMPUTED_VALUE"""),137)</f>
        <v>137</v>
      </c>
      <c r="H118">
        <f ca="1">IFERROR(__xludf.DUMMYFUNCTION("""COMPUTED_VALUE"""),-0.23)</f>
        <v>-0.23</v>
      </c>
    </row>
    <row r="119" spans="1:8" ht="12.75">
      <c r="A119">
        <f ca="1">IFERROR(__xludf.DUMMYFUNCTION("""COMPUTED_VALUE"""),118)</f>
        <v>118</v>
      </c>
      <c r="B119">
        <f ca="1">IFERROR(__xludf.DUMMYFUNCTION("""COMPUTED_VALUE"""),121)</f>
        <v>121</v>
      </c>
      <c r="C119" t="str">
        <f ca="1">IFERROR(__xludf.DUMMYFUNCTION("""COMPUTED_VALUE"""),"Chan Kim")</f>
        <v>Chan Kim</v>
      </c>
      <c r="D119">
        <f ca="1">IFERROR(__xludf.DUMMYFUNCTION("""COMPUTED_VALUE"""),6)</f>
        <v>6</v>
      </c>
      <c r="E119">
        <f ca="1">IFERROR(__xludf.DUMMYFUNCTION("""COMPUTED_VALUE"""),57.5)</f>
        <v>57.5</v>
      </c>
      <c r="F119">
        <f ca="1">IFERROR(__xludf.DUMMYFUNCTION("""COMPUTED_VALUE"""),46)</f>
        <v>46</v>
      </c>
      <c r="G119">
        <f ca="1">IFERROR(__xludf.DUMMYFUNCTION("""COMPUTED_VALUE"""),80)</f>
        <v>80</v>
      </c>
      <c r="H119">
        <f ca="1">IFERROR(__xludf.DUMMYFUNCTION("""COMPUTED_VALUE"""),-0.13)</f>
        <v>-0.13</v>
      </c>
    </row>
    <row r="120" spans="1:8" ht="12.75">
      <c r="A120">
        <f ca="1">IFERROR(__xludf.DUMMYFUNCTION("""COMPUTED_VALUE"""),119)</f>
        <v>119</v>
      </c>
      <c r="B120" t="str">
        <f ca="1">IFERROR(__xludf.DUMMYFUNCTION("""COMPUTED_VALUE"""),"T107")</f>
        <v>T107</v>
      </c>
      <c r="C120" t="str">
        <f ca="1">IFERROR(__xludf.DUMMYFUNCTION("""COMPUTED_VALUE"""),"Rory Sabbatini")</f>
        <v>Rory Sabbatini</v>
      </c>
      <c r="D120">
        <f ca="1">IFERROR(__xludf.DUMMYFUNCTION("""COMPUTED_VALUE"""),13)</f>
        <v>13</v>
      </c>
      <c r="E120">
        <f ca="1">IFERROR(__xludf.DUMMYFUNCTION("""COMPUTED_VALUE"""),57.46)</f>
        <v>57.46</v>
      </c>
      <c r="F120">
        <f ca="1">IFERROR(__xludf.DUMMYFUNCTION("""COMPUTED_VALUE"""),104)</f>
        <v>104</v>
      </c>
      <c r="G120">
        <f ca="1">IFERROR(__xludf.DUMMYFUNCTION("""COMPUTED_VALUE"""),181)</f>
        <v>181</v>
      </c>
      <c r="H120">
        <f ca="1">IFERROR(__xludf.DUMMYFUNCTION("""COMPUTED_VALUE"""),-0.18)</f>
        <v>-0.18</v>
      </c>
    </row>
    <row r="121" spans="1:8" ht="12.75">
      <c r="A121">
        <f ca="1">IFERROR(__xludf.DUMMYFUNCTION("""COMPUTED_VALUE"""),120)</f>
        <v>120</v>
      </c>
      <c r="B121" t="str">
        <f ca="1">IFERROR(__xludf.DUMMYFUNCTION("""COMPUTED_VALUE"""),"T170")</f>
        <v>T170</v>
      </c>
      <c r="C121" t="str">
        <f ca="1">IFERROR(__xludf.DUMMYFUNCTION("""COMPUTED_VALUE"""),"Chris Kirk")</f>
        <v>Chris Kirk</v>
      </c>
      <c r="D121">
        <f ca="1">IFERROR(__xludf.DUMMYFUNCTION("""COMPUTED_VALUE"""),10)</f>
        <v>10</v>
      </c>
      <c r="E121">
        <f ca="1">IFERROR(__xludf.DUMMYFUNCTION("""COMPUTED_VALUE"""),57.41)</f>
        <v>57.41</v>
      </c>
      <c r="F121">
        <f ca="1">IFERROR(__xludf.DUMMYFUNCTION("""COMPUTED_VALUE"""),62)</f>
        <v>62</v>
      </c>
      <c r="G121">
        <f ca="1">IFERROR(__xludf.DUMMYFUNCTION("""COMPUTED_VALUE"""),108)</f>
        <v>108</v>
      </c>
      <c r="H121">
        <f ca="1">IFERROR(__xludf.DUMMYFUNCTION("""COMPUTED_VALUE"""),-0.19)</f>
        <v>-0.19</v>
      </c>
    </row>
    <row r="122" spans="1:8" ht="12.75">
      <c r="A122">
        <f ca="1">IFERROR(__xludf.DUMMYFUNCTION("""COMPUTED_VALUE"""),121)</f>
        <v>121</v>
      </c>
      <c r="B122" t="str">
        <f ca="1">IFERROR(__xludf.DUMMYFUNCTION("""COMPUTED_VALUE"""),"T156")</f>
        <v>T156</v>
      </c>
      <c r="C122" t="str">
        <f ca="1">IFERROR(__xludf.DUMMYFUNCTION("""COMPUTED_VALUE"""),"Erik van Rooyen")</f>
        <v>Erik van Rooyen</v>
      </c>
      <c r="D122">
        <f ca="1">IFERROR(__xludf.DUMMYFUNCTION("""COMPUTED_VALUE"""),10)</f>
        <v>10</v>
      </c>
      <c r="E122">
        <f ca="1">IFERROR(__xludf.DUMMYFUNCTION("""COMPUTED_VALUE"""),57.35)</f>
        <v>57.35</v>
      </c>
      <c r="F122">
        <f ca="1">IFERROR(__xludf.DUMMYFUNCTION("""COMPUTED_VALUE"""),78)</f>
        <v>78</v>
      </c>
      <c r="G122">
        <f ca="1">IFERROR(__xludf.DUMMYFUNCTION("""COMPUTED_VALUE"""),136)</f>
        <v>136</v>
      </c>
      <c r="H122">
        <f ca="1">IFERROR(__xludf.DUMMYFUNCTION("""COMPUTED_VALUE"""),-0.18)</f>
        <v>-0.18</v>
      </c>
    </row>
    <row r="123" spans="1:8" ht="12.75">
      <c r="A123">
        <f ca="1">IFERROR(__xludf.DUMMYFUNCTION("""COMPUTED_VALUE"""),122)</f>
        <v>122</v>
      </c>
      <c r="B123" t="str">
        <f ca="1">IFERROR(__xludf.DUMMYFUNCTION("""COMPUTED_VALUE"""),"T124")</f>
        <v>T124</v>
      </c>
      <c r="C123" t="str">
        <f ca="1">IFERROR(__xludf.DUMMYFUNCTION("""COMPUTED_VALUE"""),"Pat Perez")</f>
        <v>Pat Perez</v>
      </c>
      <c r="D123">
        <f ca="1">IFERROR(__xludf.DUMMYFUNCTION("""COMPUTED_VALUE"""),16)</f>
        <v>16</v>
      </c>
      <c r="E123">
        <f ca="1">IFERROR(__xludf.DUMMYFUNCTION("""COMPUTED_VALUE"""),57.25)</f>
        <v>57.25</v>
      </c>
      <c r="F123">
        <f ca="1">IFERROR(__xludf.DUMMYFUNCTION("""COMPUTED_VALUE"""),79)</f>
        <v>79</v>
      </c>
      <c r="G123">
        <f ca="1">IFERROR(__xludf.DUMMYFUNCTION("""COMPUTED_VALUE"""),138)</f>
        <v>138</v>
      </c>
      <c r="H123">
        <f ca="1">IFERROR(__xludf.DUMMYFUNCTION("""COMPUTED_VALUE"""),-0.14)</f>
        <v>-0.14000000000000001</v>
      </c>
    </row>
    <row r="124" spans="1:8" ht="12.75">
      <c r="A124">
        <f ca="1">IFERROR(__xludf.DUMMYFUNCTION("""COMPUTED_VALUE"""),123)</f>
        <v>123</v>
      </c>
      <c r="B124" t="str">
        <f ca="1">IFERROR(__xludf.DUMMYFUNCTION("""COMPUTED_VALUE"""),"T124")</f>
        <v>T124</v>
      </c>
      <c r="C124" t="str">
        <f ca="1">IFERROR(__xludf.DUMMYFUNCTION("""COMPUTED_VALUE"""),"Emiliano Grillo")</f>
        <v>Emiliano Grillo</v>
      </c>
      <c r="D124">
        <f ca="1">IFERROR(__xludf.DUMMYFUNCTION("""COMPUTED_VALUE"""),22)</f>
        <v>22</v>
      </c>
      <c r="E124">
        <f ca="1">IFERROR(__xludf.DUMMYFUNCTION("""COMPUTED_VALUE"""),57.22)</f>
        <v>57.22</v>
      </c>
      <c r="F124">
        <f ca="1">IFERROR(__xludf.DUMMYFUNCTION("""COMPUTED_VALUE"""),111)</f>
        <v>111</v>
      </c>
      <c r="G124">
        <f ca="1">IFERROR(__xludf.DUMMYFUNCTION("""COMPUTED_VALUE"""),194)</f>
        <v>194</v>
      </c>
      <c r="H124">
        <f ca="1">IFERROR(__xludf.DUMMYFUNCTION("""COMPUTED_VALUE"""),-0.23)</f>
        <v>-0.23</v>
      </c>
    </row>
    <row r="125" spans="1:8" ht="12.75">
      <c r="A125">
        <f ca="1">IFERROR(__xludf.DUMMYFUNCTION("""COMPUTED_VALUE"""),124)</f>
        <v>124</v>
      </c>
      <c r="B125" t="str">
        <f ca="1">IFERROR(__xludf.DUMMYFUNCTION("""COMPUTED_VALUE"""),"T101")</f>
        <v>T101</v>
      </c>
      <c r="C125" t="str">
        <f ca="1">IFERROR(__xludf.DUMMYFUNCTION("""COMPUTED_VALUE"""),"Scott Stallings")</f>
        <v>Scott Stallings</v>
      </c>
      <c r="D125">
        <f ca="1">IFERROR(__xludf.DUMMYFUNCTION("""COMPUTED_VALUE"""),14)</f>
        <v>14</v>
      </c>
      <c r="E125">
        <f ca="1">IFERROR(__xludf.DUMMYFUNCTION("""COMPUTED_VALUE"""),56.93)</f>
        <v>56.93</v>
      </c>
      <c r="F125">
        <f ca="1">IFERROR(__xludf.DUMMYFUNCTION("""COMPUTED_VALUE"""),78)</f>
        <v>78</v>
      </c>
      <c r="G125">
        <f ca="1">IFERROR(__xludf.DUMMYFUNCTION("""COMPUTED_VALUE"""),137)</f>
        <v>137</v>
      </c>
      <c r="H125">
        <f ca="1">IFERROR(__xludf.DUMMYFUNCTION("""COMPUTED_VALUE"""),-0.22)</f>
        <v>-0.22</v>
      </c>
    </row>
    <row r="126" spans="1:8" ht="12.75">
      <c r="A126">
        <f ca="1">IFERROR(__xludf.DUMMYFUNCTION("""COMPUTED_VALUE"""),125)</f>
        <v>125</v>
      </c>
      <c r="B126">
        <f ca="1">IFERROR(__xludf.DUMMYFUNCTION("""COMPUTED_VALUE"""),130)</f>
        <v>130</v>
      </c>
      <c r="C126" t="str">
        <f ca="1">IFERROR(__xludf.DUMMYFUNCTION("""COMPUTED_VALUE"""),"Ryan Palmer")</f>
        <v>Ryan Palmer</v>
      </c>
      <c r="D126">
        <f ca="1">IFERROR(__xludf.DUMMYFUNCTION("""COMPUTED_VALUE"""),14)</f>
        <v>14</v>
      </c>
      <c r="E126">
        <f ca="1">IFERROR(__xludf.DUMMYFUNCTION("""COMPUTED_VALUE"""),56.77)</f>
        <v>56.77</v>
      </c>
      <c r="F126">
        <f ca="1">IFERROR(__xludf.DUMMYFUNCTION("""COMPUTED_VALUE"""),109)</f>
        <v>109</v>
      </c>
      <c r="G126">
        <f ca="1">IFERROR(__xludf.DUMMYFUNCTION("""COMPUTED_VALUE"""),192)</f>
        <v>192</v>
      </c>
      <c r="H126">
        <f ca="1">IFERROR(__xludf.DUMMYFUNCTION("""COMPUTED_VALUE"""),-0.32)</f>
        <v>-0.32</v>
      </c>
    </row>
    <row r="127" spans="1:8" ht="12.75">
      <c r="A127" t="str">
        <f ca="1">IFERROR(__xludf.DUMMYFUNCTION("""COMPUTED_VALUE"""),"T126")</f>
        <v>T126</v>
      </c>
      <c r="B127" t="str">
        <f ca="1">IFERROR(__xludf.DUMMYFUNCTION("""COMPUTED_VALUE"""),"T156")</f>
        <v>T156</v>
      </c>
      <c r="C127" t="str">
        <f ca="1">IFERROR(__xludf.DUMMYFUNCTION("""COMPUTED_VALUE"""),"Troy Merritt")</f>
        <v>Troy Merritt</v>
      </c>
      <c r="D127">
        <f ca="1">IFERROR(__xludf.DUMMYFUNCTION("""COMPUTED_VALUE"""),20)</f>
        <v>20</v>
      </c>
      <c r="E127">
        <f ca="1">IFERROR(__xludf.DUMMYFUNCTION("""COMPUTED_VALUE"""),56.36)</f>
        <v>56.36</v>
      </c>
      <c r="F127">
        <f ca="1">IFERROR(__xludf.DUMMYFUNCTION("""COMPUTED_VALUE"""),124)</f>
        <v>124</v>
      </c>
      <c r="G127">
        <f ca="1">IFERROR(__xludf.DUMMYFUNCTION("""COMPUTED_VALUE"""),220)</f>
        <v>220</v>
      </c>
      <c r="H127">
        <f ca="1">IFERROR(__xludf.DUMMYFUNCTION("""COMPUTED_VALUE"""),-0.13)</f>
        <v>-0.13</v>
      </c>
    </row>
    <row r="128" spans="1:8" ht="12.75">
      <c r="A128" t="str">
        <f ca="1">IFERROR(__xludf.DUMMYFUNCTION("""COMPUTED_VALUE"""),"T126")</f>
        <v>T126</v>
      </c>
      <c r="B128" t="str">
        <f ca="1">IFERROR(__xludf.DUMMYFUNCTION("""COMPUTED_VALUE"""),"T131")</f>
        <v>T131</v>
      </c>
      <c r="C128" t="str">
        <f ca="1">IFERROR(__xludf.DUMMYFUNCTION("""COMPUTED_VALUE"""),"Richy Werenski")</f>
        <v>Richy Werenski</v>
      </c>
      <c r="D128">
        <f ca="1">IFERROR(__xludf.DUMMYFUNCTION("""COMPUTED_VALUE"""),16)</f>
        <v>16</v>
      </c>
      <c r="E128">
        <f ca="1">IFERROR(__xludf.DUMMYFUNCTION("""COMPUTED_VALUE"""),56.36)</f>
        <v>56.36</v>
      </c>
      <c r="F128">
        <f ca="1">IFERROR(__xludf.DUMMYFUNCTION("""COMPUTED_VALUE"""),124)</f>
        <v>124</v>
      </c>
      <c r="G128">
        <f ca="1">IFERROR(__xludf.DUMMYFUNCTION("""COMPUTED_VALUE"""),220)</f>
        <v>220</v>
      </c>
      <c r="H128">
        <f ca="1">IFERROR(__xludf.DUMMYFUNCTION("""COMPUTED_VALUE"""),-0.25)</f>
        <v>-0.25</v>
      </c>
    </row>
    <row r="129" spans="1:8" ht="12.75">
      <c r="A129" t="str">
        <f ca="1">IFERROR(__xludf.DUMMYFUNCTION("""COMPUTED_VALUE"""),"T128")</f>
        <v>T128</v>
      </c>
      <c r="B129" t="str">
        <f ca="1">IFERROR(__xludf.DUMMYFUNCTION("""COMPUTED_VALUE"""),"T133")</f>
        <v>T133</v>
      </c>
      <c r="C129" t="str">
        <f ca="1">IFERROR(__xludf.DUMMYFUNCTION("""COMPUTED_VALUE"""),"Takumi Kanaya")</f>
        <v>Takumi Kanaya</v>
      </c>
      <c r="D129">
        <f ca="1">IFERROR(__xludf.DUMMYFUNCTION("""COMPUTED_VALUE"""),6)</f>
        <v>6</v>
      </c>
      <c r="E129">
        <f ca="1">IFERROR(__xludf.DUMMYFUNCTION("""COMPUTED_VALUE"""),56.25)</f>
        <v>56.25</v>
      </c>
      <c r="F129">
        <f ca="1">IFERROR(__xludf.DUMMYFUNCTION("""COMPUTED_VALUE"""),45)</f>
        <v>45</v>
      </c>
      <c r="G129">
        <f ca="1">IFERROR(__xludf.DUMMYFUNCTION("""COMPUTED_VALUE"""),80)</f>
        <v>80</v>
      </c>
      <c r="H129">
        <f ca="1">IFERROR(__xludf.DUMMYFUNCTION("""COMPUTED_VALUE"""),-0.36)</f>
        <v>-0.36</v>
      </c>
    </row>
    <row r="130" spans="1:8" ht="12.75">
      <c r="A130" t="str">
        <f ca="1">IFERROR(__xludf.DUMMYFUNCTION("""COMPUTED_VALUE"""),"T128")</f>
        <v>T128</v>
      </c>
      <c r="B130" t="str">
        <f ca="1">IFERROR(__xludf.DUMMYFUNCTION("""COMPUTED_VALUE"""),"T204")</f>
        <v>T204</v>
      </c>
      <c r="C130" t="str">
        <f ca="1">IFERROR(__xludf.DUMMYFUNCTION("""COMPUTED_VALUE"""),"Graeme McDowell")</f>
        <v>Graeme McDowell</v>
      </c>
      <c r="D130">
        <f ca="1">IFERROR(__xludf.DUMMYFUNCTION("""COMPUTED_VALUE"""),8)</f>
        <v>8</v>
      </c>
      <c r="E130">
        <f ca="1">IFERROR(__xludf.DUMMYFUNCTION("""COMPUTED_VALUE"""),56.25)</f>
        <v>56.25</v>
      </c>
      <c r="F130">
        <f ca="1">IFERROR(__xludf.DUMMYFUNCTION("""COMPUTED_VALUE"""),45)</f>
        <v>45</v>
      </c>
      <c r="G130">
        <f ca="1">IFERROR(__xludf.DUMMYFUNCTION("""COMPUTED_VALUE"""),80)</f>
        <v>80</v>
      </c>
      <c r="H130" t="str">
        <f ca="1">IFERROR(__xludf.DUMMYFUNCTION("""COMPUTED_VALUE"""),"+0.18")</f>
        <v>+0.18</v>
      </c>
    </row>
    <row r="131" spans="1:8" ht="12.75">
      <c r="A131">
        <f ca="1">IFERROR(__xludf.DUMMYFUNCTION("""COMPUTED_VALUE"""),130)</f>
        <v>130</v>
      </c>
      <c r="B131">
        <f ca="1">IFERROR(__xludf.DUMMYFUNCTION("""COMPUTED_VALUE"""),181)</f>
        <v>181</v>
      </c>
      <c r="C131" t="str">
        <f ca="1">IFERROR(__xludf.DUMMYFUNCTION("""COMPUTED_VALUE"""),"Charley Hoffman")</f>
        <v>Charley Hoffman</v>
      </c>
      <c r="D131">
        <f ca="1">IFERROR(__xludf.DUMMYFUNCTION("""COMPUTED_VALUE"""),20)</f>
        <v>20</v>
      </c>
      <c r="E131">
        <f ca="1">IFERROR(__xludf.DUMMYFUNCTION("""COMPUTED_VALUE"""),56.02)</f>
        <v>56.02</v>
      </c>
      <c r="F131">
        <f ca="1">IFERROR(__xludf.DUMMYFUNCTION("""COMPUTED_VALUE"""),107)</f>
        <v>107</v>
      </c>
      <c r="G131">
        <f ca="1">IFERROR(__xludf.DUMMYFUNCTION("""COMPUTED_VALUE"""),191)</f>
        <v>191</v>
      </c>
      <c r="H131">
        <f ca="1">IFERROR(__xludf.DUMMYFUNCTION("""COMPUTED_VALUE"""),-0.21)</f>
        <v>-0.21</v>
      </c>
    </row>
    <row r="132" spans="1:8" ht="12.75">
      <c r="A132">
        <f ca="1">IFERROR(__xludf.DUMMYFUNCTION("""COMPUTED_VALUE"""),131)</f>
        <v>131</v>
      </c>
      <c r="B132">
        <f ca="1">IFERROR(__xludf.DUMMYFUNCTION("""COMPUTED_VALUE"""),138)</f>
        <v>138</v>
      </c>
      <c r="C132" t="str">
        <f ca="1">IFERROR(__xludf.DUMMYFUNCTION("""COMPUTED_VALUE"""),"Sergio Garcia")</f>
        <v>Sergio Garcia</v>
      </c>
      <c r="D132">
        <f ca="1">IFERROR(__xludf.DUMMYFUNCTION("""COMPUTED_VALUE"""),18)</f>
        <v>18</v>
      </c>
      <c r="E132">
        <f ca="1">IFERROR(__xludf.DUMMYFUNCTION("""COMPUTED_VALUE"""),56)</f>
        <v>56</v>
      </c>
      <c r="F132">
        <f ca="1">IFERROR(__xludf.DUMMYFUNCTION("""COMPUTED_VALUE"""),140)</f>
        <v>140</v>
      </c>
      <c r="G132">
        <f ca="1">IFERROR(__xludf.DUMMYFUNCTION("""COMPUTED_VALUE"""),250)</f>
        <v>250</v>
      </c>
      <c r="H132">
        <f ca="1">IFERROR(__xludf.DUMMYFUNCTION("""COMPUTED_VALUE"""),-0.17)</f>
        <v>-0.17</v>
      </c>
    </row>
    <row r="133" spans="1:8" ht="12.75">
      <c r="A133">
        <f ca="1">IFERROR(__xludf.DUMMYFUNCTION("""COMPUTED_VALUE"""),132)</f>
        <v>132</v>
      </c>
      <c r="B133">
        <f ca="1">IFERROR(__xludf.DUMMYFUNCTION("""COMPUTED_VALUE"""),118)</f>
        <v>118</v>
      </c>
      <c r="C133" t="str">
        <f ca="1">IFERROR(__xludf.DUMMYFUNCTION("""COMPUTED_VALUE"""),"Dylan Frittelli")</f>
        <v>Dylan Frittelli</v>
      </c>
      <c r="D133">
        <f ca="1">IFERROR(__xludf.DUMMYFUNCTION("""COMPUTED_VALUE"""),16)</f>
        <v>16</v>
      </c>
      <c r="E133">
        <f ca="1">IFERROR(__xludf.DUMMYFUNCTION("""COMPUTED_VALUE"""),55.96)</f>
        <v>55.96</v>
      </c>
      <c r="F133">
        <f ca="1">IFERROR(__xludf.DUMMYFUNCTION("""COMPUTED_VALUE"""),122)</f>
        <v>122</v>
      </c>
      <c r="G133">
        <f ca="1">IFERROR(__xludf.DUMMYFUNCTION("""COMPUTED_VALUE"""),218)</f>
        <v>218</v>
      </c>
      <c r="H133">
        <f ca="1">IFERROR(__xludf.DUMMYFUNCTION("""COMPUTED_VALUE"""),-0.27)</f>
        <v>-0.27</v>
      </c>
    </row>
    <row r="134" spans="1:8" ht="12.75">
      <c r="A134">
        <f ca="1">IFERROR(__xludf.DUMMYFUNCTION("""COMPUTED_VALUE"""),133)</f>
        <v>133</v>
      </c>
      <c r="B134">
        <f ca="1">IFERROR(__xludf.DUMMYFUNCTION("""COMPUTED_VALUE"""),137)</f>
        <v>137</v>
      </c>
      <c r="C134" t="str">
        <f ca="1">IFERROR(__xludf.DUMMYFUNCTION("""COMPUTED_VALUE"""),"Tommy Fleetwood")</f>
        <v>Tommy Fleetwood</v>
      </c>
      <c r="D134">
        <f ca="1">IFERROR(__xludf.DUMMYFUNCTION("""COMPUTED_VALUE"""),10)</f>
        <v>10</v>
      </c>
      <c r="E134">
        <f ca="1">IFERROR(__xludf.DUMMYFUNCTION("""COMPUTED_VALUE"""),55.88)</f>
        <v>55.88</v>
      </c>
      <c r="F134">
        <f ca="1">IFERROR(__xludf.DUMMYFUNCTION("""COMPUTED_VALUE"""),76)</f>
        <v>76</v>
      </c>
      <c r="G134">
        <f ca="1">IFERROR(__xludf.DUMMYFUNCTION("""COMPUTED_VALUE"""),136)</f>
        <v>136</v>
      </c>
      <c r="H134">
        <f ca="1">IFERROR(__xludf.DUMMYFUNCTION("""COMPUTED_VALUE"""),-0.28)</f>
        <v>-0.28000000000000003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IFERROR(__xludf.DUMMYFUNCTION("""COMPUTED_VALUE"""),"T139")</f>
        <v>T139</v>
      </c>
      <c r="C135" t="str">
        <f ca="1">IFERROR(__xludf.DUMMYFUNCTION("""COMPUTED_VALUE"""),"Ryan Brehm")</f>
        <v>Ryan Brehm</v>
      </c>
      <c r="D135">
        <f ca="1">IFERROR(__xludf.DUMMYFUNCTION("""COMPUTED_VALUE"""),10)</f>
        <v>10</v>
      </c>
      <c r="E135">
        <f ca="1">IFERROR(__xludf.DUMMYFUNCTION("""COMPUTED_VALUE"""),55.56)</f>
        <v>55.56</v>
      </c>
      <c r="F135">
        <f ca="1">IFERROR(__xludf.DUMMYFUNCTION("""COMPUTED_VALUE"""),15)</f>
        <v>15</v>
      </c>
      <c r="G135">
        <f ca="1">IFERROR(__xludf.DUMMYFUNCTION("""COMPUTED_VALUE"""),27)</f>
        <v>27</v>
      </c>
      <c r="H135">
        <f ca="1">IFERROR(__xludf.DUMMYFUNCTION("""COMPUTED_VALUE"""),-0.2)</f>
        <v>-0.2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IFERROR(__xludf.DUMMYFUNCTION("""COMPUTED_VALUE"""),"T139")</f>
        <v>T139</v>
      </c>
      <c r="C136" t="str">
        <f ca="1">IFERROR(__xludf.DUMMYFUNCTION("""COMPUTED_VALUE"""),"Ryo Ishikawa")</f>
        <v>Ryo Ishikawa</v>
      </c>
      <c r="D136">
        <f ca="1">IFERROR(__xludf.DUMMYFUNCTION("""COMPUTED_VALUE"""),8)</f>
        <v>8</v>
      </c>
      <c r="E136">
        <f ca="1">IFERROR(__xludf.DUMMYFUNCTION("""COMPUTED_VALUE"""),55.56)</f>
        <v>55.56</v>
      </c>
      <c r="F136">
        <f ca="1">IFERROR(__xludf.DUMMYFUNCTION("""COMPUTED_VALUE"""),60)</f>
        <v>60</v>
      </c>
      <c r="G136">
        <f ca="1">IFERROR(__xludf.DUMMYFUNCTION("""COMPUTED_VALUE"""),108)</f>
        <v>108</v>
      </c>
      <c r="H136">
        <f ca="1">IFERROR(__xludf.DUMMYFUNCTION("""COMPUTED_VALUE"""),-0.08)</f>
        <v>-0.08</v>
      </c>
    </row>
    <row r="137" spans="1:8" ht="12.75">
      <c r="A137" t="str">
        <f ca="1">IFERROR(__xludf.DUMMYFUNCTION("""COMPUTED_VALUE"""),"T134")</f>
        <v>T134</v>
      </c>
      <c r="B137" t="str">
        <f ca="1">IFERROR(__xludf.DUMMYFUNCTION("""COMPUTED_VALUE"""),"T139")</f>
        <v>T139</v>
      </c>
      <c r="C137" t="str">
        <f ca="1">IFERROR(__xludf.DUMMYFUNCTION("""COMPUTED_VALUE"""),"Seamus Power")</f>
        <v>Seamus Power</v>
      </c>
      <c r="D137">
        <f ca="1">IFERROR(__xludf.DUMMYFUNCTION("""COMPUTED_VALUE"""),8)</f>
        <v>8</v>
      </c>
      <c r="E137">
        <f ca="1">IFERROR(__xludf.DUMMYFUNCTION("""COMPUTED_VALUE"""),55.56)</f>
        <v>55.56</v>
      </c>
      <c r="F137">
        <f ca="1">IFERROR(__xludf.DUMMYFUNCTION("""COMPUTED_VALUE"""),15)</f>
        <v>15</v>
      </c>
      <c r="G137">
        <f ca="1">IFERROR(__xludf.DUMMYFUNCTION("""COMPUTED_VALUE"""),27)</f>
        <v>27</v>
      </c>
      <c r="H137">
        <f ca="1">IFERROR(__xludf.DUMMYFUNCTION("""COMPUTED_VALUE"""),-0.4)</f>
        <v>-0.4</v>
      </c>
    </row>
    <row r="138" spans="1:8" ht="12.75">
      <c r="A138" t="str">
        <f ca="1">IFERROR(__xludf.DUMMYFUNCTION("""COMPUTED_VALUE"""),"T134")</f>
        <v>T134</v>
      </c>
      <c r="B138" t="str">
        <f ca="1">IFERROR(__xludf.DUMMYFUNCTION("""COMPUTED_VALUE"""),"T191")</f>
        <v>T191</v>
      </c>
      <c r="C138" t="str">
        <f ca="1">IFERROR(__xludf.DUMMYFUNCTION("""COMPUTED_VALUE"""),"Max Homa")</f>
        <v>Max Homa</v>
      </c>
      <c r="D138">
        <f ca="1">IFERROR(__xludf.DUMMYFUNCTION("""COMPUTED_VALUE"""),12)</f>
        <v>12</v>
      </c>
      <c r="E138">
        <f ca="1">IFERROR(__xludf.DUMMYFUNCTION("""COMPUTED_VALUE"""),55.56)</f>
        <v>55.56</v>
      </c>
      <c r="F138">
        <f ca="1">IFERROR(__xludf.DUMMYFUNCTION("""COMPUTED_VALUE"""),60)</f>
        <v>60</v>
      </c>
      <c r="G138">
        <f ca="1">IFERROR(__xludf.DUMMYFUNCTION("""COMPUTED_VALUE"""),108)</f>
        <v>108</v>
      </c>
      <c r="H138" t="str">
        <f ca="1">IFERROR(__xludf.DUMMYFUNCTION("""COMPUTED_VALUE"""),"+0.10")</f>
        <v>+0.10</v>
      </c>
    </row>
    <row r="139" spans="1:8" ht="12.75">
      <c r="A139" t="str">
        <f ca="1">IFERROR(__xludf.DUMMYFUNCTION("""COMPUTED_VALUE"""),"T134")</f>
        <v>T134</v>
      </c>
      <c r="B139">
        <f ca="1">IFERROR(__xludf.DUMMYFUNCTION("""COMPUTED_VALUE"""),113)</f>
        <v>113</v>
      </c>
      <c r="C139" t="str">
        <f ca="1">IFERROR(__xludf.DUMMYFUNCTION("""COMPUTED_VALUE"""),"Kristoffer Ventura")</f>
        <v>Kristoffer Ventura</v>
      </c>
      <c r="D139">
        <f ca="1">IFERROR(__xludf.DUMMYFUNCTION("""COMPUTED_VALUE"""),20)</f>
        <v>20</v>
      </c>
      <c r="E139">
        <f ca="1">IFERROR(__xludf.DUMMYFUNCTION("""COMPUTED_VALUE"""),55.56)</f>
        <v>55.56</v>
      </c>
      <c r="F139">
        <f ca="1">IFERROR(__xludf.DUMMYFUNCTION("""COMPUTED_VALUE"""),105)</f>
        <v>105</v>
      </c>
      <c r="G139">
        <f ca="1">IFERROR(__xludf.DUMMYFUNCTION("""COMPUTED_VALUE"""),189)</f>
        <v>189</v>
      </c>
      <c r="H139">
        <f ca="1">IFERROR(__xludf.DUMMYFUNCTION("""COMPUTED_VALUE"""),-0.3)</f>
        <v>-0.3</v>
      </c>
    </row>
    <row r="140" spans="1:8" ht="12.75">
      <c r="A140">
        <f ca="1">IFERROR(__xludf.DUMMYFUNCTION("""COMPUTED_VALUE"""),139)</f>
        <v>139</v>
      </c>
      <c r="B140">
        <f ca="1">IFERROR(__xludf.DUMMYFUNCTION("""COMPUTED_VALUE"""),153)</f>
        <v>153</v>
      </c>
      <c r="C140" t="str">
        <f ca="1">IFERROR(__xludf.DUMMYFUNCTION("""COMPUTED_VALUE"""),"Xinjun Zhang")</f>
        <v>Xinjun Zhang</v>
      </c>
      <c r="D140">
        <f ca="1">IFERROR(__xludf.DUMMYFUNCTION("""COMPUTED_VALUE"""),14)</f>
        <v>14</v>
      </c>
      <c r="E140">
        <f ca="1">IFERROR(__xludf.DUMMYFUNCTION("""COMPUTED_VALUE"""),55.47)</f>
        <v>55.47</v>
      </c>
      <c r="F140">
        <f ca="1">IFERROR(__xludf.DUMMYFUNCTION("""COMPUTED_VALUE"""),76)</f>
        <v>76</v>
      </c>
      <c r="G140">
        <f ca="1">IFERROR(__xludf.DUMMYFUNCTION("""COMPUTED_VALUE"""),137)</f>
        <v>137</v>
      </c>
      <c r="H140">
        <f ca="1">IFERROR(__xludf.DUMMYFUNCTION("""COMPUTED_VALUE"""),-0.13)</f>
        <v>-0.13</v>
      </c>
    </row>
    <row r="141" spans="1:8" ht="12.75">
      <c r="A141">
        <f ca="1">IFERROR(__xludf.DUMMYFUNCTION("""COMPUTED_VALUE"""),140)</f>
        <v>140</v>
      </c>
      <c r="B141" t="str">
        <f ca="1">IFERROR(__xludf.DUMMYFUNCTION("""COMPUTED_VALUE"""),"T124")</f>
        <v>T124</v>
      </c>
      <c r="C141" t="str">
        <f ca="1">IFERROR(__xludf.DUMMYFUNCTION("""COMPUTED_VALUE"""),"Kelly Kraft")</f>
        <v>Kelly Kraft</v>
      </c>
      <c r="D141">
        <f ca="1">IFERROR(__xludf.DUMMYFUNCTION("""COMPUTED_VALUE"""),14)</f>
        <v>14</v>
      </c>
      <c r="E141">
        <f ca="1">IFERROR(__xludf.DUMMYFUNCTION("""COMPUTED_VALUE"""),55.45)</f>
        <v>55.45</v>
      </c>
      <c r="F141">
        <f ca="1">IFERROR(__xludf.DUMMYFUNCTION("""COMPUTED_VALUE"""),61)</f>
        <v>61</v>
      </c>
      <c r="G141">
        <f ca="1">IFERROR(__xludf.DUMMYFUNCTION("""COMPUTED_VALUE"""),110)</f>
        <v>110</v>
      </c>
      <c r="H141">
        <f ca="1">IFERROR(__xludf.DUMMYFUNCTION("""COMPUTED_VALUE"""),-0.16)</f>
        <v>-0.16</v>
      </c>
    </row>
    <row r="142" spans="1:8" ht="12.75">
      <c r="A142">
        <f ca="1">IFERROR(__xludf.DUMMYFUNCTION("""COMPUTED_VALUE"""),141)</f>
        <v>141</v>
      </c>
      <c r="B142">
        <f ca="1">IFERROR(__xludf.DUMMYFUNCTION("""COMPUTED_VALUE"""),142)</f>
        <v>142</v>
      </c>
      <c r="C142" t="str">
        <f ca="1">IFERROR(__xludf.DUMMYFUNCTION("""COMPUTED_VALUE"""),"Zac Blair")</f>
        <v>Zac Blair</v>
      </c>
      <c r="D142">
        <f ca="1">IFERROR(__xludf.DUMMYFUNCTION("""COMPUTED_VALUE"""),10)</f>
        <v>10</v>
      </c>
      <c r="E142">
        <f ca="1">IFERROR(__xludf.DUMMYFUNCTION("""COMPUTED_VALUE"""),55.42)</f>
        <v>55.42</v>
      </c>
      <c r="F142">
        <f ca="1">IFERROR(__xludf.DUMMYFUNCTION("""COMPUTED_VALUE"""),46)</f>
        <v>46</v>
      </c>
      <c r="G142">
        <f ca="1">IFERROR(__xludf.DUMMYFUNCTION("""COMPUTED_VALUE"""),83)</f>
        <v>83</v>
      </c>
      <c r="H142">
        <f ca="1">IFERROR(__xludf.DUMMYFUNCTION("""COMPUTED_VALUE"""),-0.13)</f>
        <v>-0.13</v>
      </c>
    </row>
    <row r="143" spans="1:8" ht="12.75">
      <c r="A143" t="str">
        <f ca="1">IFERROR(__xludf.DUMMYFUNCTION("""COMPUTED_VALUE"""),"T142")</f>
        <v>T142</v>
      </c>
      <c r="B143" t="str">
        <f ca="1">IFERROR(__xludf.DUMMYFUNCTION("""COMPUTED_VALUE"""),"T143")</f>
        <v>T143</v>
      </c>
      <c r="C143" t="str">
        <f ca="1">IFERROR(__xludf.DUMMYFUNCTION("""COMPUTED_VALUE"""),"Nelson Ledesma")</f>
        <v>Nelson Ledesma</v>
      </c>
      <c r="D143">
        <f ca="1">IFERROR(__xludf.DUMMYFUNCTION("""COMPUTED_VALUE"""),8)</f>
        <v>8</v>
      </c>
      <c r="E143">
        <f ca="1">IFERROR(__xludf.DUMMYFUNCTION("""COMPUTED_VALUE"""),55.36)</f>
        <v>55.36</v>
      </c>
      <c r="F143">
        <f ca="1">IFERROR(__xludf.DUMMYFUNCTION("""COMPUTED_VALUE"""),31)</f>
        <v>31</v>
      </c>
      <c r="G143">
        <f ca="1">IFERROR(__xludf.DUMMYFUNCTION("""COMPUTED_VALUE"""),56)</f>
        <v>56</v>
      </c>
      <c r="H143">
        <f ca="1">IFERROR(__xludf.DUMMYFUNCTION("""COMPUTED_VALUE"""),-0.45)</f>
        <v>-0.45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IFERROR(__xludf.DUMMYFUNCTION("""COMPUTED_VALUE"""),"T143")</f>
        <v>T143</v>
      </c>
      <c r="C144" t="str">
        <f ca="1">IFERROR(__xludf.DUMMYFUNCTION("""COMPUTED_VALUE"""),"Akshay Bhatia")</f>
        <v>Akshay Bhatia</v>
      </c>
      <c r="D144">
        <f ca="1">IFERROR(__xludf.DUMMYFUNCTION("""COMPUTED_VALUE"""),6)</f>
        <v>6</v>
      </c>
      <c r="E144">
        <f ca="1">IFERROR(__xludf.DUMMYFUNCTION("""COMPUTED_VALUE"""),55.36)</f>
        <v>55.36</v>
      </c>
      <c r="F144">
        <f ca="1">IFERROR(__xludf.DUMMYFUNCTION("""COMPUTED_VALUE"""),31)</f>
        <v>31</v>
      </c>
      <c r="G144">
        <f ca="1">IFERROR(__xludf.DUMMYFUNCTION("""COMPUTED_VALUE"""),56)</f>
        <v>56</v>
      </c>
      <c r="H144">
        <f ca="1">IFERROR(__xludf.DUMMYFUNCTION("""COMPUTED_VALUE"""),-0.52)</f>
        <v>-0.52</v>
      </c>
    </row>
    <row r="145" spans="1:8" ht="12.75">
      <c r="A145" t="str">
        <f ca="1">IFERROR(__xludf.DUMMYFUNCTION("""COMPUTED_VALUE"""),"T142")</f>
        <v>T142</v>
      </c>
      <c r="B145" t="str">
        <f ca="1">IFERROR(__xludf.DUMMYFUNCTION("""COMPUTED_VALUE"""),"T143")</f>
        <v>T143</v>
      </c>
      <c r="C145" t="str">
        <f ca="1">IFERROR(__xludf.DUMMYFUNCTION("""COMPUTED_VALUE"""),"Michael Gligic")</f>
        <v>Michael Gligic</v>
      </c>
      <c r="D145">
        <f ca="1">IFERROR(__xludf.DUMMYFUNCTION("""COMPUTED_VALUE"""),18)</f>
        <v>18</v>
      </c>
      <c r="E145">
        <f ca="1">IFERROR(__xludf.DUMMYFUNCTION("""COMPUTED_VALUE"""),55.36)</f>
        <v>55.36</v>
      </c>
      <c r="F145">
        <f ca="1">IFERROR(__xludf.DUMMYFUNCTION("""COMPUTED_VALUE"""),93)</f>
        <v>93</v>
      </c>
      <c r="G145">
        <f ca="1">IFERROR(__xludf.DUMMYFUNCTION("""COMPUTED_VALUE"""),168)</f>
        <v>168</v>
      </c>
      <c r="H145">
        <f ca="1">IFERROR(__xludf.DUMMYFUNCTION("""COMPUTED_VALUE"""),-0.33)</f>
        <v>-0.33</v>
      </c>
    </row>
    <row r="146" spans="1:8" ht="12.75">
      <c r="A146">
        <f ca="1">IFERROR(__xludf.DUMMYFUNCTION("""COMPUTED_VALUE"""),145)</f>
        <v>145</v>
      </c>
      <c r="B146">
        <f ca="1">IFERROR(__xludf.DUMMYFUNCTION("""COMPUTED_VALUE"""),148)</f>
        <v>148</v>
      </c>
      <c r="C146" t="str">
        <f ca="1">IFERROR(__xludf.DUMMYFUNCTION("""COMPUTED_VALUE"""),"Matthew Wolff")</f>
        <v>Matthew Wolff</v>
      </c>
      <c r="D146">
        <f ca="1">IFERROR(__xludf.DUMMYFUNCTION("""COMPUTED_VALUE"""),16)</f>
        <v>16</v>
      </c>
      <c r="E146">
        <f ca="1">IFERROR(__xludf.DUMMYFUNCTION("""COMPUTED_VALUE"""),55.3)</f>
        <v>55.3</v>
      </c>
      <c r="F146">
        <f ca="1">IFERROR(__xludf.DUMMYFUNCTION("""COMPUTED_VALUE"""),120)</f>
        <v>120</v>
      </c>
      <c r="G146">
        <f ca="1">IFERROR(__xludf.DUMMYFUNCTION("""COMPUTED_VALUE"""),217)</f>
        <v>217</v>
      </c>
      <c r="H146">
        <f ca="1">IFERROR(__xludf.DUMMYFUNCTION("""COMPUTED_VALUE"""),-0.43)</f>
        <v>-0.43</v>
      </c>
    </row>
    <row r="147" spans="1:8" ht="12.75">
      <c r="A147" t="str">
        <f ca="1">IFERROR(__xludf.DUMMYFUNCTION("""COMPUTED_VALUE"""),"T146")</f>
        <v>T146</v>
      </c>
      <c r="B147">
        <f ca="1">IFERROR(__xludf.DUMMYFUNCTION("""COMPUTED_VALUE"""),149)</f>
        <v>149</v>
      </c>
      <c r="C147" t="str">
        <f ca="1">IFERROR(__xludf.DUMMYFUNCTION("""COMPUTED_VALUE"""),"Daniel Berger")</f>
        <v>Daniel Berger</v>
      </c>
      <c r="D147">
        <f ca="1">IFERROR(__xludf.DUMMYFUNCTION("""COMPUTED_VALUE"""),12)</f>
        <v>12</v>
      </c>
      <c r="E147">
        <f ca="1">IFERROR(__xludf.DUMMYFUNCTION("""COMPUTED_VALUE"""),55.21)</f>
        <v>55.21</v>
      </c>
      <c r="F147">
        <f ca="1">IFERROR(__xludf.DUMMYFUNCTION("""COMPUTED_VALUE"""),90)</f>
        <v>90</v>
      </c>
      <c r="G147">
        <f ca="1">IFERROR(__xludf.DUMMYFUNCTION("""COMPUTED_VALUE"""),163)</f>
        <v>163</v>
      </c>
      <c r="H147">
        <f ca="1">IFERROR(__xludf.DUMMYFUNCTION("""COMPUTED_VALUE"""),-0.17)</f>
        <v>-0.17</v>
      </c>
    </row>
    <row r="148" spans="1:8" ht="12.75">
      <c r="A148" t="str">
        <f ca="1">IFERROR(__xludf.DUMMYFUNCTION("""COMPUTED_VALUE"""),"T146")</f>
        <v>T146</v>
      </c>
      <c r="B148">
        <f ca="1">IFERROR(__xludf.DUMMYFUNCTION("""COMPUTED_VALUE"""),152)</f>
        <v>152</v>
      </c>
      <c r="C148" t="str">
        <f ca="1">IFERROR(__xludf.DUMMYFUNCTION("""COMPUTED_VALUE"""),"Shane Lowry")</f>
        <v>Shane Lowry</v>
      </c>
      <c r="D148">
        <f ca="1">IFERROR(__xludf.DUMMYFUNCTION("""COMPUTED_VALUE"""),14)</f>
        <v>14</v>
      </c>
      <c r="E148">
        <f ca="1">IFERROR(__xludf.DUMMYFUNCTION("""COMPUTED_VALUE"""),55.21)</f>
        <v>55.21</v>
      </c>
      <c r="F148">
        <f ca="1">IFERROR(__xludf.DUMMYFUNCTION("""COMPUTED_VALUE"""),106)</f>
        <v>106</v>
      </c>
      <c r="G148">
        <f ca="1">IFERROR(__xludf.DUMMYFUNCTION("""COMPUTED_VALUE"""),192)</f>
        <v>192</v>
      </c>
      <c r="H148">
        <f ca="1">IFERROR(__xludf.DUMMYFUNCTION("""COMPUTED_VALUE"""),-0.14)</f>
        <v>-0.14000000000000001</v>
      </c>
    </row>
    <row r="149" spans="1:8" ht="12.75">
      <c r="A149">
        <f ca="1">IFERROR(__xludf.DUMMYFUNCTION("""COMPUTED_VALUE"""),148)</f>
        <v>148</v>
      </c>
      <c r="B149">
        <f ca="1">IFERROR(__xludf.DUMMYFUNCTION("""COMPUTED_VALUE"""),150)</f>
        <v>150</v>
      </c>
      <c r="C149" t="str">
        <f ca="1">IFERROR(__xludf.DUMMYFUNCTION("""COMPUTED_VALUE"""),"Marc Leishman")</f>
        <v>Marc Leishman</v>
      </c>
      <c r="D149">
        <f ca="1">IFERROR(__xludf.DUMMYFUNCTION("""COMPUTED_VALUE"""),10)</f>
        <v>10</v>
      </c>
      <c r="E149">
        <f ca="1">IFERROR(__xludf.DUMMYFUNCTION("""COMPUTED_VALUE"""),55.15)</f>
        <v>55.15</v>
      </c>
      <c r="F149">
        <f ca="1">IFERROR(__xludf.DUMMYFUNCTION("""COMPUTED_VALUE"""),75)</f>
        <v>75</v>
      </c>
      <c r="G149">
        <f ca="1">IFERROR(__xludf.DUMMYFUNCTION("""COMPUTED_VALUE"""),136)</f>
        <v>136</v>
      </c>
      <c r="H149">
        <f ca="1">IFERROR(__xludf.DUMMYFUNCTION("""COMPUTED_VALUE"""),-0.19)</f>
        <v>-0.19</v>
      </c>
    </row>
    <row r="150" spans="1:8" ht="12.75">
      <c r="A150">
        <f ca="1">IFERROR(__xludf.DUMMYFUNCTION("""COMPUTED_VALUE"""),149)</f>
        <v>149</v>
      </c>
      <c r="B150" t="str">
        <f ca="1">IFERROR(__xludf.DUMMYFUNCTION("""COMPUTED_VALUE"""),"T107")</f>
        <v>T107</v>
      </c>
      <c r="C150" t="str">
        <f ca="1">IFERROR(__xludf.DUMMYFUNCTION("""COMPUTED_VALUE"""),"Graham DeLaet")</f>
        <v>Graham DeLaet</v>
      </c>
      <c r="D150">
        <f ca="1">IFERROR(__xludf.DUMMYFUNCTION("""COMPUTED_VALUE"""),9)</f>
        <v>9</v>
      </c>
      <c r="E150">
        <f ca="1">IFERROR(__xludf.DUMMYFUNCTION("""COMPUTED_VALUE"""),55.07)</f>
        <v>55.07</v>
      </c>
      <c r="F150">
        <f ca="1">IFERROR(__xludf.DUMMYFUNCTION("""COMPUTED_VALUE"""),38)</f>
        <v>38</v>
      </c>
      <c r="G150">
        <f ca="1">IFERROR(__xludf.DUMMYFUNCTION("""COMPUTED_VALUE"""),69)</f>
        <v>69</v>
      </c>
      <c r="H150">
        <f ca="1">IFERROR(__xludf.DUMMYFUNCTION("""COMPUTED_VALUE"""),-0.03)</f>
        <v>-0.03</v>
      </c>
    </row>
    <row r="151" spans="1:8" ht="12.75">
      <c r="A151">
        <f ca="1">IFERROR(__xludf.DUMMYFUNCTION("""COMPUTED_VALUE"""),150)</f>
        <v>150</v>
      </c>
      <c r="B151" t="str">
        <f ca="1">IFERROR(__xludf.DUMMYFUNCTION("""COMPUTED_VALUE"""),"")</f>
        <v/>
      </c>
      <c r="C151" t="str">
        <f ca="1">IFERROR(__xludf.DUMMYFUNCTION("""COMPUTED_VALUE"""),"Greg Chalmers")</f>
        <v>Greg Chalmers</v>
      </c>
      <c r="D151">
        <f ca="1">IFERROR(__xludf.DUMMYFUNCTION("""COMPUTED_VALUE"""),6)</f>
        <v>6</v>
      </c>
      <c r="E151">
        <f ca="1">IFERROR(__xludf.DUMMYFUNCTION("""COMPUTED_VALUE"""),55)</f>
        <v>55</v>
      </c>
      <c r="F151">
        <f ca="1">IFERROR(__xludf.DUMMYFUNCTION("""COMPUTED_VALUE"""),44)</f>
        <v>44</v>
      </c>
      <c r="G151">
        <f ca="1">IFERROR(__xludf.DUMMYFUNCTION("""COMPUTED_VALUE"""),80)</f>
        <v>80</v>
      </c>
      <c r="H151">
        <f ca="1">IFERROR(__xludf.DUMMYFUNCTION("""COMPUTED_VALUE"""),-0.14)</f>
        <v>-0.14000000000000001</v>
      </c>
    </row>
    <row r="152" spans="1:8" ht="12.75">
      <c r="A152">
        <f ca="1">IFERROR(__xludf.DUMMYFUNCTION("""COMPUTED_VALUE"""),151)</f>
        <v>151</v>
      </c>
      <c r="B152">
        <f ca="1">IFERROR(__xludf.DUMMYFUNCTION("""COMPUTED_VALUE"""),154)</f>
        <v>154</v>
      </c>
      <c r="C152" t="str">
        <f ca="1">IFERROR(__xludf.DUMMYFUNCTION("""COMPUTED_VALUE"""),"Jim Herman")</f>
        <v>Jim Herman</v>
      </c>
      <c r="D152">
        <f ca="1">IFERROR(__xludf.DUMMYFUNCTION("""COMPUTED_VALUE"""),12)</f>
        <v>12</v>
      </c>
      <c r="E152">
        <f ca="1">IFERROR(__xludf.DUMMYFUNCTION("""COMPUTED_VALUE"""),54.88)</f>
        <v>54.88</v>
      </c>
      <c r="F152">
        <f ca="1">IFERROR(__xludf.DUMMYFUNCTION("""COMPUTED_VALUE"""),90)</f>
        <v>90</v>
      </c>
      <c r="G152">
        <f ca="1">IFERROR(__xludf.DUMMYFUNCTION("""COMPUTED_VALUE"""),164)</f>
        <v>164</v>
      </c>
      <c r="H152">
        <f ca="1">IFERROR(__xludf.DUMMYFUNCTION("""COMPUTED_VALUE"""),-0.16)</f>
        <v>-0.16</v>
      </c>
    </row>
    <row r="153" spans="1:8" ht="12.75">
      <c r="A153">
        <f ca="1">IFERROR(__xludf.DUMMYFUNCTION("""COMPUTED_VALUE"""),152)</f>
        <v>152</v>
      </c>
      <c r="B153">
        <f ca="1">IFERROR(__xludf.DUMMYFUNCTION("""COMPUTED_VALUE"""),115)</f>
        <v>115</v>
      </c>
      <c r="C153" t="str">
        <f ca="1">IFERROR(__xludf.DUMMYFUNCTION("""COMPUTED_VALUE"""),"Cameron Davis")</f>
        <v>Cameron Davis</v>
      </c>
      <c r="D153">
        <f ca="1">IFERROR(__xludf.DUMMYFUNCTION("""COMPUTED_VALUE"""),16)</f>
        <v>16</v>
      </c>
      <c r="E153">
        <f ca="1">IFERROR(__xludf.DUMMYFUNCTION("""COMPUTED_VALUE"""),54.84)</f>
        <v>54.84</v>
      </c>
      <c r="F153">
        <f ca="1">IFERROR(__xludf.DUMMYFUNCTION("""COMPUTED_VALUE"""),119)</f>
        <v>119</v>
      </c>
      <c r="G153">
        <f ca="1">IFERROR(__xludf.DUMMYFUNCTION("""COMPUTED_VALUE"""),217)</f>
        <v>217</v>
      </c>
      <c r="H153">
        <f ca="1">IFERROR(__xludf.DUMMYFUNCTION("""COMPUTED_VALUE"""),-0.29)</f>
        <v>-0.28999999999999998</v>
      </c>
    </row>
    <row r="154" spans="1:8" ht="12.75">
      <c r="A154">
        <f ca="1">IFERROR(__xludf.DUMMYFUNCTION("""COMPUTED_VALUE"""),153)</f>
        <v>153</v>
      </c>
      <c r="B154">
        <f ca="1">IFERROR(__xludf.DUMMYFUNCTION("""COMPUTED_VALUE"""),151)</f>
        <v>151</v>
      </c>
      <c r="C154" t="str">
        <f ca="1">IFERROR(__xludf.DUMMYFUNCTION("""COMPUTED_VALUE"""),"C.T. Pan")</f>
        <v>C.T. Pan</v>
      </c>
      <c r="D154">
        <f ca="1">IFERROR(__xludf.DUMMYFUNCTION("""COMPUTED_VALUE"""),20)</f>
        <v>20</v>
      </c>
      <c r="E154">
        <f ca="1">IFERROR(__xludf.DUMMYFUNCTION("""COMPUTED_VALUE"""),54.79)</f>
        <v>54.79</v>
      </c>
      <c r="F154">
        <f ca="1">IFERROR(__xludf.DUMMYFUNCTION("""COMPUTED_VALUE"""),120)</f>
        <v>120</v>
      </c>
      <c r="G154">
        <f ca="1">IFERROR(__xludf.DUMMYFUNCTION("""COMPUTED_VALUE"""),219)</f>
        <v>219</v>
      </c>
      <c r="H154">
        <f ca="1">IFERROR(__xludf.DUMMYFUNCTION("""COMPUTED_VALUE"""),-0.21)</f>
        <v>-0.21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IFERROR(__xludf.DUMMYFUNCTION("""COMPUTED_VALUE"""),"T156")</f>
        <v>T156</v>
      </c>
      <c r="C155" t="str">
        <f ca="1">IFERROR(__xludf.DUMMYFUNCTION("""COMPUTED_VALUE"""),"William McGirt")</f>
        <v>William McGirt</v>
      </c>
      <c r="D155">
        <f ca="1">IFERROR(__xludf.DUMMYFUNCTION("""COMPUTED_VALUE"""),6)</f>
        <v>6</v>
      </c>
      <c r="E155">
        <f ca="1">IFERROR(__xludf.DUMMYFUNCTION("""COMPUTED_VALUE"""),54.76)</f>
        <v>54.76</v>
      </c>
      <c r="F155">
        <f ca="1">IFERROR(__xludf.DUMMYFUNCTION("""COMPUTED_VALUE"""),46)</f>
        <v>46</v>
      </c>
      <c r="G155">
        <f ca="1">IFERROR(__xludf.DUMMYFUNCTION("""COMPUTED_VALUE"""),84)</f>
        <v>84</v>
      </c>
      <c r="H155">
        <f ca="1">IFERROR(__xludf.DUMMYFUNCTION("""COMPUTED_VALUE"""),-0.13)</f>
        <v>-0.13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IFERROR(__xludf.DUMMYFUNCTION("""COMPUTED_VALUE"""),"T156")</f>
        <v>T156</v>
      </c>
      <c r="C156" t="str">
        <f ca="1">IFERROR(__xludf.DUMMYFUNCTION("""COMPUTED_VALUE"""),"Mark Anderson")</f>
        <v>Mark Anderson</v>
      </c>
      <c r="D156">
        <f ca="1">IFERROR(__xludf.DUMMYFUNCTION("""COMPUTED_VALUE"""),14)</f>
        <v>14</v>
      </c>
      <c r="E156">
        <f ca="1">IFERROR(__xludf.DUMMYFUNCTION("""COMPUTED_VALUE"""),54.76)</f>
        <v>54.76</v>
      </c>
      <c r="F156">
        <f ca="1">IFERROR(__xludf.DUMMYFUNCTION("""COMPUTED_VALUE"""),46)</f>
        <v>46</v>
      </c>
      <c r="G156">
        <f ca="1">IFERROR(__xludf.DUMMYFUNCTION("""COMPUTED_VALUE"""),84)</f>
        <v>84</v>
      </c>
      <c r="H156">
        <f ca="1">IFERROR(__xludf.DUMMYFUNCTION("""COMPUTED_VALUE"""),-0.11)</f>
        <v>-0.11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IFERROR(__xludf.DUMMYFUNCTION("""COMPUTED_VALUE"""),"T156")</f>
        <v>T156</v>
      </c>
      <c r="C157" t="str">
        <f ca="1">IFERROR(__xludf.DUMMYFUNCTION("""COMPUTED_VALUE"""),"Ian Poulter")</f>
        <v>Ian Poulter</v>
      </c>
      <c r="D157">
        <f ca="1">IFERROR(__xludf.DUMMYFUNCTION("""COMPUTED_VALUE"""),6)</f>
        <v>6</v>
      </c>
      <c r="E157">
        <f ca="1">IFERROR(__xludf.DUMMYFUNCTION("""COMPUTED_VALUE"""),54.76)</f>
        <v>54.76</v>
      </c>
      <c r="F157">
        <f ca="1">IFERROR(__xludf.DUMMYFUNCTION("""COMPUTED_VALUE"""),46)</f>
        <v>46</v>
      </c>
      <c r="G157">
        <f ca="1">IFERROR(__xludf.DUMMYFUNCTION("""COMPUTED_VALUE"""),84)</f>
        <v>84</v>
      </c>
      <c r="H157">
        <f ca="1">IFERROR(__xludf.DUMMYFUNCTION("""COMPUTED_VALUE"""),-0.13)</f>
        <v>-0.13</v>
      </c>
    </row>
    <row r="158" spans="1:8" ht="12.75">
      <c r="A158">
        <f ca="1">IFERROR(__xludf.DUMMYFUNCTION("""COMPUTED_VALUE"""),157)</f>
        <v>157</v>
      </c>
      <c r="B158">
        <f ca="1">IFERROR(__xludf.DUMMYFUNCTION("""COMPUTED_VALUE"""),103)</f>
        <v>103</v>
      </c>
      <c r="C158" t="str">
        <f ca="1">IFERROR(__xludf.DUMMYFUNCTION("""COMPUTED_VALUE"""),"Cameron Tringale")</f>
        <v>Cameron Tringale</v>
      </c>
      <c r="D158">
        <f ca="1">IFERROR(__xludf.DUMMYFUNCTION("""COMPUTED_VALUE"""),16)</f>
        <v>16</v>
      </c>
      <c r="E158">
        <f ca="1">IFERROR(__xludf.DUMMYFUNCTION("""COMPUTED_VALUE"""),54.74)</f>
        <v>54.74</v>
      </c>
      <c r="F158">
        <f ca="1">IFERROR(__xludf.DUMMYFUNCTION("""COMPUTED_VALUE"""),104)</f>
        <v>104</v>
      </c>
      <c r="G158">
        <f ca="1">IFERROR(__xludf.DUMMYFUNCTION("""COMPUTED_VALUE"""),190)</f>
        <v>190</v>
      </c>
      <c r="H158">
        <f ca="1">IFERROR(__xludf.DUMMYFUNCTION("""COMPUTED_VALUE"""),-0.25)</f>
        <v>-0.25</v>
      </c>
    </row>
    <row r="159" spans="1:8" ht="12.75">
      <c r="A159">
        <f ca="1">IFERROR(__xludf.DUMMYFUNCTION("""COMPUTED_VALUE"""),158)</f>
        <v>158</v>
      </c>
      <c r="B159" t="str">
        <f ca="1">IFERROR(__xludf.DUMMYFUNCTION("""COMPUTED_VALUE"""),"T162")</f>
        <v>T162</v>
      </c>
      <c r="C159" t="str">
        <f ca="1">IFERROR(__xludf.DUMMYFUNCTION("""COMPUTED_VALUE"""),"Peter Malnati")</f>
        <v>Peter Malnati</v>
      </c>
      <c r="D159">
        <f ca="1">IFERROR(__xludf.DUMMYFUNCTION("""COMPUTED_VALUE"""),18)</f>
        <v>18</v>
      </c>
      <c r="E159">
        <f ca="1">IFERROR(__xludf.DUMMYFUNCTION("""COMPUTED_VALUE"""),54.68)</f>
        <v>54.68</v>
      </c>
      <c r="F159">
        <f ca="1">IFERROR(__xludf.DUMMYFUNCTION("""COMPUTED_VALUE"""),76)</f>
        <v>76</v>
      </c>
      <c r="G159">
        <f ca="1">IFERROR(__xludf.DUMMYFUNCTION("""COMPUTED_VALUE"""),139)</f>
        <v>139</v>
      </c>
      <c r="H159">
        <f ca="1">IFERROR(__xludf.DUMMYFUNCTION("""COMPUTED_VALUE"""),-0.42)</f>
        <v>-0.42</v>
      </c>
    </row>
    <row r="160" spans="1:8" ht="12.75">
      <c r="A160">
        <f ca="1">IFERROR(__xludf.DUMMYFUNCTION("""COMPUTED_VALUE"""),159)</f>
        <v>159</v>
      </c>
      <c r="B160">
        <f ca="1">IFERROR(__xludf.DUMMYFUNCTION("""COMPUTED_VALUE"""),123)</f>
        <v>123</v>
      </c>
      <c r="C160" t="str">
        <f ca="1">IFERROR(__xludf.DUMMYFUNCTION("""COMPUTED_VALUE"""),"Luke List")</f>
        <v>Luke List</v>
      </c>
      <c r="D160">
        <f ca="1">IFERROR(__xludf.DUMMYFUNCTION("""COMPUTED_VALUE"""),18)</f>
        <v>18</v>
      </c>
      <c r="E160">
        <f ca="1">IFERROR(__xludf.DUMMYFUNCTION("""COMPUTED_VALUE"""),54.41)</f>
        <v>54.41</v>
      </c>
      <c r="F160">
        <f ca="1">IFERROR(__xludf.DUMMYFUNCTION("""COMPUTED_VALUE"""),74)</f>
        <v>74</v>
      </c>
      <c r="G160">
        <f ca="1">IFERROR(__xludf.DUMMYFUNCTION("""COMPUTED_VALUE"""),136)</f>
        <v>136</v>
      </c>
      <c r="H160">
        <f ca="1">IFERROR(__xludf.DUMMYFUNCTION("""COMPUTED_VALUE"""),-0.23)</f>
        <v>-0.23</v>
      </c>
    </row>
    <row r="161" spans="1:8" ht="12.75">
      <c r="A161" t="str">
        <f ca="1">IFERROR(__xludf.DUMMYFUNCTION("""COMPUTED_VALUE"""),"T160")</f>
        <v>T160</v>
      </c>
      <c r="B161">
        <f ca="1">IFERROR(__xludf.DUMMYFUNCTION("""COMPUTED_VALUE"""),166)</f>
        <v>166</v>
      </c>
      <c r="C161" t="str">
        <f ca="1">IFERROR(__xludf.DUMMYFUNCTION("""COMPUTED_VALUE"""),"Patrick Reed")</f>
        <v>Patrick Reed</v>
      </c>
      <c r="D161">
        <f ca="1">IFERROR(__xludf.DUMMYFUNCTION("""COMPUTED_VALUE"""),8)</f>
        <v>8</v>
      </c>
      <c r="E161">
        <f ca="1">IFERROR(__xludf.DUMMYFUNCTION("""COMPUTED_VALUE"""),54.21)</f>
        <v>54.21</v>
      </c>
      <c r="F161">
        <f ca="1">IFERROR(__xludf.DUMMYFUNCTION("""COMPUTED_VALUE"""),58)</f>
        <v>58</v>
      </c>
      <c r="G161">
        <f ca="1">IFERROR(__xludf.DUMMYFUNCTION("""COMPUTED_VALUE"""),107)</f>
        <v>107</v>
      </c>
      <c r="H161">
        <f ca="1">IFERROR(__xludf.DUMMYFUNCTION("""COMPUTED_VALUE"""),-0.34)</f>
        <v>-0.34</v>
      </c>
    </row>
    <row r="162" spans="1:8" ht="12.75">
      <c r="A162" t="str">
        <f ca="1">IFERROR(__xludf.DUMMYFUNCTION("""COMPUTED_VALUE"""),"T160")</f>
        <v>T160</v>
      </c>
      <c r="B162" t="str">
        <f ca="1">IFERROR(__xludf.DUMMYFUNCTION("""COMPUTED_VALUE"""),"T131")</f>
        <v>T131</v>
      </c>
      <c r="C162" t="str">
        <f ca="1">IFERROR(__xludf.DUMMYFUNCTION("""COMPUTED_VALUE"""),"Isaiah Salinda")</f>
        <v>Isaiah Salinda</v>
      </c>
      <c r="D162">
        <f ca="1">IFERROR(__xludf.DUMMYFUNCTION("""COMPUTED_VALUE"""),8)</f>
        <v>8</v>
      </c>
      <c r="E162">
        <f ca="1">IFERROR(__xludf.DUMMYFUNCTION("""COMPUTED_VALUE"""),54.21)</f>
        <v>54.21</v>
      </c>
      <c r="F162">
        <f ca="1">IFERROR(__xludf.DUMMYFUNCTION("""COMPUTED_VALUE"""),58)</f>
        <v>58</v>
      </c>
      <c r="G162">
        <f ca="1">IFERROR(__xludf.DUMMYFUNCTION("""COMPUTED_VALUE"""),107)</f>
        <v>107</v>
      </c>
      <c r="H162">
        <f ca="1">IFERROR(__xludf.DUMMYFUNCTION("""COMPUTED_VALUE"""),-0.31)</f>
        <v>-0.31</v>
      </c>
    </row>
    <row r="163" spans="1:8" ht="12.75">
      <c r="A163" t="str">
        <f ca="1">IFERROR(__xludf.DUMMYFUNCTION("""COMPUTED_VALUE"""),"T160")</f>
        <v>T160</v>
      </c>
      <c r="B163">
        <f ca="1">IFERROR(__xludf.DUMMYFUNCTION("""COMPUTED_VALUE"""),164)</f>
        <v>164</v>
      </c>
      <c r="C163" t="str">
        <f ca="1">IFERROR(__xludf.DUMMYFUNCTION("""COMPUTED_VALUE"""),"Kramer Hickok")</f>
        <v>Kramer Hickok</v>
      </c>
      <c r="D163">
        <f ca="1">IFERROR(__xludf.DUMMYFUNCTION("""COMPUTED_VALUE"""),16)</f>
        <v>16</v>
      </c>
      <c r="E163">
        <f ca="1">IFERROR(__xludf.DUMMYFUNCTION("""COMPUTED_VALUE"""),54.21)</f>
        <v>54.21</v>
      </c>
      <c r="F163">
        <f ca="1">IFERROR(__xludf.DUMMYFUNCTION("""COMPUTED_VALUE"""),58)</f>
        <v>58</v>
      </c>
      <c r="G163">
        <f ca="1">IFERROR(__xludf.DUMMYFUNCTION("""COMPUTED_VALUE"""),107)</f>
        <v>107</v>
      </c>
      <c r="H163">
        <f ca="1">IFERROR(__xludf.DUMMYFUNCTION("""COMPUTED_VALUE"""),-0.12)</f>
        <v>-0.12</v>
      </c>
    </row>
    <row r="164" spans="1:8" ht="12.75">
      <c r="A164">
        <f ca="1">IFERROR(__xludf.DUMMYFUNCTION("""COMPUTED_VALUE"""),163)</f>
        <v>163</v>
      </c>
      <c r="B164">
        <f ca="1">IFERROR(__xludf.DUMMYFUNCTION("""COMPUTED_VALUE"""),167)</f>
        <v>167</v>
      </c>
      <c r="C164" t="str">
        <f ca="1">IFERROR(__xludf.DUMMYFUNCTION("""COMPUTED_VALUE"""),"Justin Rose")</f>
        <v>Justin Rose</v>
      </c>
      <c r="D164">
        <f ca="1">IFERROR(__xludf.DUMMYFUNCTION("""COMPUTED_VALUE"""),10)</f>
        <v>10</v>
      </c>
      <c r="E164">
        <f ca="1">IFERROR(__xludf.DUMMYFUNCTION("""COMPUTED_VALUE"""),54.07)</f>
        <v>54.07</v>
      </c>
      <c r="F164">
        <f ca="1">IFERROR(__xludf.DUMMYFUNCTION("""COMPUTED_VALUE"""),73)</f>
        <v>73</v>
      </c>
      <c r="G164">
        <f ca="1">IFERROR(__xludf.DUMMYFUNCTION("""COMPUTED_VALUE"""),135)</f>
        <v>135</v>
      </c>
      <c r="H164">
        <f ca="1">IFERROR(__xludf.DUMMYFUNCTION("""COMPUTED_VALUE"""),-0.29)</f>
        <v>-0.28999999999999998</v>
      </c>
    </row>
    <row r="165" spans="1:8" ht="12.75">
      <c r="A165" t="str">
        <f ca="1">IFERROR(__xludf.DUMMYFUNCTION("""COMPUTED_VALUE"""),"T164")</f>
        <v>T164</v>
      </c>
      <c r="B165">
        <f ca="1">IFERROR(__xludf.DUMMYFUNCTION("""COMPUTED_VALUE"""),120)</f>
        <v>120</v>
      </c>
      <c r="C165" t="str">
        <f ca="1">IFERROR(__xludf.DUMMYFUNCTION("""COMPUTED_VALUE"""),"Luke Donald")</f>
        <v>Luke Donald</v>
      </c>
      <c r="D165">
        <f ca="1">IFERROR(__xludf.DUMMYFUNCTION("""COMPUTED_VALUE"""),14)</f>
        <v>14</v>
      </c>
      <c r="E165">
        <f ca="1">IFERROR(__xludf.DUMMYFUNCTION("""COMPUTED_VALUE"""),54.01)</f>
        <v>54.01</v>
      </c>
      <c r="F165">
        <f ca="1">IFERROR(__xludf.DUMMYFUNCTION("""COMPUTED_VALUE"""),74)</f>
        <v>74</v>
      </c>
      <c r="G165">
        <f ca="1">IFERROR(__xludf.DUMMYFUNCTION("""COMPUTED_VALUE"""),137)</f>
        <v>137</v>
      </c>
      <c r="H165">
        <f ca="1">IFERROR(__xludf.DUMMYFUNCTION("""COMPUTED_VALUE"""),-0.18)</f>
        <v>-0.18</v>
      </c>
    </row>
    <row r="166" spans="1:8" ht="12.75">
      <c r="A166" t="str">
        <f ca="1">IFERROR(__xludf.DUMMYFUNCTION("""COMPUTED_VALUE"""),"T164")</f>
        <v>T164</v>
      </c>
      <c r="B166">
        <f ca="1">IFERROR(__xludf.DUMMYFUNCTION("""COMPUTED_VALUE"""),168)</f>
        <v>168</v>
      </c>
      <c r="C166" t="str">
        <f ca="1">IFERROR(__xludf.DUMMYFUNCTION("""COMPUTED_VALUE"""),"Joseph Bramlett")</f>
        <v>Joseph Bramlett</v>
      </c>
      <c r="D166">
        <f ca="1">IFERROR(__xludf.DUMMYFUNCTION("""COMPUTED_VALUE"""),18)</f>
        <v>18</v>
      </c>
      <c r="E166">
        <f ca="1">IFERROR(__xludf.DUMMYFUNCTION("""COMPUTED_VALUE"""),54.01)</f>
        <v>54.01</v>
      </c>
      <c r="F166">
        <f ca="1">IFERROR(__xludf.DUMMYFUNCTION("""COMPUTED_VALUE"""),74)</f>
        <v>74</v>
      </c>
      <c r="G166">
        <f ca="1">IFERROR(__xludf.DUMMYFUNCTION("""COMPUTED_VALUE"""),137)</f>
        <v>137</v>
      </c>
      <c r="H166">
        <f ca="1">IFERROR(__xludf.DUMMYFUNCTION("""COMPUTED_VALUE"""),-0.27)</f>
        <v>-0.27</v>
      </c>
    </row>
    <row r="167" spans="1:8" ht="12.75">
      <c r="A167">
        <f ca="1">IFERROR(__xludf.DUMMYFUNCTION("""COMPUTED_VALUE"""),166)</f>
        <v>166</v>
      </c>
      <c r="B167">
        <f ca="1">IFERROR(__xludf.DUMMYFUNCTION("""COMPUTED_VALUE"""),114)</f>
        <v>114</v>
      </c>
      <c r="C167" t="str">
        <f ca="1">IFERROR(__xludf.DUMMYFUNCTION("""COMPUTED_VALUE"""),"Sepp Straka")</f>
        <v>Sepp Straka</v>
      </c>
      <c r="D167">
        <f ca="1">IFERROR(__xludf.DUMMYFUNCTION("""COMPUTED_VALUE"""),22)</f>
        <v>22</v>
      </c>
      <c r="E167">
        <f ca="1">IFERROR(__xludf.DUMMYFUNCTION("""COMPUTED_VALUE"""),53.93)</f>
        <v>53.93</v>
      </c>
      <c r="F167">
        <f ca="1">IFERROR(__xludf.DUMMYFUNCTION("""COMPUTED_VALUE"""),103)</f>
        <v>103</v>
      </c>
      <c r="G167">
        <f ca="1">IFERROR(__xludf.DUMMYFUNCTION("""COMPUTED_VALUE"""),191)</f>
        <v>191</v>
      </c>
      <c r="H167">
        <f ca="1">IFERROR(__xludf.DUMMYFUNCTION("""COMPUTED_VALUE"""),-0.38)</f>
        <v>-0.38</v>
      </c>
    </row>
    <row r="168" spans="1:8" ht="12.75">
      <c r="A168">
        <f ca="1">IFERROR(__xludf.DUMMYFUNCTION("""COMPUTED_VALUE"""),167)</f>
        <v>167</v>
      </c>
      <c r="B168" t="str">
        <f ca="1">IFERROR(__xludf.DUMMYFUNCTION("""COMPUTED_VALUE"""),"T189")</f>
        <v>T189</v>
      </c>
      <c r="C168" t="str">
        <f ca="1">IFERROR(__xludf.DUMMYFUNCTION("""COMPUTED_VALUE"""),"Patton Kizzire")</f>
        <v>Patton Kizzire</v>
      </c>
      <c r="D168">
        <f ca="1">IFERROR(__xludf.DUMMYFUNCTION("""COMPUTED_VALUE"""),18)</f>
        <v>18</v>
      </c>
      <c r="E168">
        <f ca="1">IFERROR(__xludf.DUMMYFUNCTION("""COMPUTED_VALUE"""),53.68)</f>
        <v>53.68</v>
      </c>
      <c r="F168">
        <f ca="1">IFERROR(__xludf.DUMMYFUNCTION("""COMPUTED_VALUE"""),102)</f>
        <v>102</v>
      </c>
      <c r="G168">
        <f ca="1">IFERROR(__xludf.DUMMYFUNCTION("""COMPUTED_VALUE"""),190)</f>
        <v>190</v>
      </c>
      <c r="H168">
        <f ca="1">IFERROR(__xludf.DUMMYFUNCTION("""COMPUTED_VALUE"""),-0.25)</f>
        <v>-0.25</v>
      </c>
    </row>
    <row r="169" spans="1:8" ht="12.75">
      <c r="A169">
        <f ca="1">IFERROR(__xludf.DUMMYFUNCTION("""COMPUTED_VALUE"""),168)</f>
        <v>168</v>
      </c>
      <c r="B169" t="str">
        <f ca="1">IFERROR(__xludf.DUMMYFUNCTION("""COMPUTED_VALUE"""),"T143")</f>
        <v>T143</v>
      </c>
      <c r="C169" t="str">
        <f ca="1">IFERROR(__xludf.DUMMYFUNCTION("""COMPUTED_VALUE"""),"Lee Westwood")</f>
        <v>Lee Westwood</v>
      </c>
      <c r="D169">
        <f ca="1">IFERROR(__xludf.DUMMYFUNCTION("""COMPUTED_VALUE"""),6)</f>
        <v>6</v>
      </c>
      <c r="E169">
        <f ca="1">IFERROR(__xludf.DUMMYFUNCTION("""COMPUTED_VALUE"""),53.66)</f>
        <v>53.66</v>
      </c>
      <c r="F169">
        <f ca="1">IFERROR(__xludf.DUMMYFUNCTION("""COMPUTED_VALUE"""),44)</f>
        <v>44</v>
      </c>
      <c r="G169">
        <f ca="1">IFERROR(__xludf.DUMMYFUNCTION("""COMPUTED_VALUE"""),82)</f>
        <v>82</v>
      </c>
      <c r="H169">
        <f ca="1">IFERROR(__xludf.DUMMYFUNCTION("""COMPUTED_VALUE"""),-0.16)</f>
        <v>-0.16</v>
      </c>
    </row>
    <row r="170" spans="1:8" ht="12.75">
      <c r="A170" t="str">
        <f ca="1">IFERROR(__xludf.DUMMYFUNCTION("""COMPUTED_VALUE"""),"T169")</f>
        <v>T169</v>
      </c>
      <c r="B170">
        <f ca="1">IFERROR(__xludf.DUMMYFUNCTION("""COMPUTED_VALUE"""),169)</f>
        <v>169</v>
      </c>
      <c r="C170" t="str">
        <f ca="1">IFERROR(__xludf.DUMMYFUNCTION("""COMPUTED_VALUE"""),"D.J. Trahan")</f>
        <v>D.J. Trahan</v>
      </c>
      <c r="D170">
        <f ca="1">IFERROR(__xludf.DUMMYFUNCTION("""COMPUTED_VALUE"""),16)</f>
        <v>16</v>
      </c>
      <c r="E170">
        <f ca="1">IFERROR(__xludf.DUMMYFUNCTION("""COMPUTED_VALUE"""),53.64)</f>
        <v>53.64</v>
      </c>
      <c r="F170">
        <f ca="1">IFERROR(__xludf.DUMMYFUNCTION("""COMPUTED_VALUE"""),59)</f>
        <v>59</v>
      </c>
      <c r="G170">
        <f ca="1">IFERROR(__xludf.DUMMYFUNCTION("""COMPUTED_VALUE"""),110)</f>
        <v>110</v>
      </c>
      <c r="H170">
        <f ca="1">IFERROR(__xludf.DUMMYFUNCTION("""COMPUTED_VALUE"""),-0.29)</f>
        <v>-0.28999999999999998</v>
      </c>
    </row>
    <row r="171" spans="1:8" ht="12.75">
      <c r="A171" t="str">
        <f ca="1">IFERROR(__xludf.DUMMYFUNCTION("""COMPUTED_VALUE"""),"T169")</f>
        <v>T169</v>
      </c>
      <c r="B171" t="str">
        <f ca="1">IFERROR(__xludf.DUMMYFUNCTION("""COMPUTED_VALUE"""),"T124")</f>
        <v>T124</v>
      </c>
      <c r="C171" t="str">
        <f ca="1">IFERROR(__xludf.DUMMYFUNCTION("""COMPUTED_VALUE"""),"Ted Potter, Jr.")</f>
        <v>Ted Potter, Jr.</v>
      </c>
      <c r="D171">
        <f ca="1">IFERROR(__xludf.DUMMYFUNCTION("""COMPUTED_VALUE"""),8)</f>
        <v>8</v>
      </c>
      <c r="E171">
        <f ca="1">IFERROR(__xludf.DUMMYFUNCTION("""COMPUTED_VALUE"""),53.64)</f>
        <v>53.64</v>
      </c>
      <c r="F171">
        <f ca="1">IFERROR(__xludf.DUMMYFUNCTION("""COMPUTED_VALUE"""),59)</f>
        <v>59</v>
      </c>
      <c r="G171">
        <f ca="1">IFERROR(__xludf.DUMMYFUNCTION("""COMPUTED_VALUE"""),110)</f>
        <v>110</v>
      </c>
      <c r="H171">
        <f ca="1">IFERROR(__xludf.DUMMYFUNCTION("""COMPUTED_VALUE"""),-0.07)</f>
        <v>-7.0000000000000007E-2</v>
      </c>
    </row>
    <row r="172" spans="1:8" ht="12.75">
      <c r="A172" t="str">
        <f ca="1">IFERROR(__xludf.DUMMYFUNCTION("""COMPUTED_VALUE"""),"T169")</f>
        <v>T169</v>
      </c>
      <c r="B172" t="str">
        <f ca="1">IFERROR(__xludf.DUMMYFUNCTION("""COMPUTED_VALUE"""),"T156")</f>
        <v>T156</v>
      </c>
      <c r="C172" t="str">
        <f ca="1">IFERROR(__xludf.DUMMYFUNCTION("""COMPUTED_VALUE"""),"Bronson Burgoon")</f>
        <v>Bronson Burgoon</v>
      </c>
      <c r="D172">
        <f ca="1">IFERROR(__xludf.DUMMYFUNCTION("""COMPUTED_VALUE"""),10)</f>
        <v>10</v>
      </c>
      <c r="E172">
        <f ca="1">IFERROR(__xludf.DUMMYFUNCTION("""COMPUTED_VALUE"""),53.64)</f>
        <v>53.64</v>
      </c>
      <c r="F172">
        <f ca="1">IFERROR(__xludf.DUMMYFUNCTION("""COMPUTED_VALUE"""),59)</f>
        <v>59</v>
      </c>
      <c r="G172">
        <f ca="1">IFERROR(__xludf.DUMMYFUNCTION("""COMPUTED_VALUE"""),110)</f>
        <v>110</v>
      </c>
      <c r="H172">
        <f ca="1">IFERROR(__xludf.DUMMYFUNCTION("""COMPUTED_VALUE"""),-0.14)</f>
        <v>-0.14000000000000001</v>
      </c>
    </row>
    <row r="173" spans="1:8" ht="12.75">
      <c r="A173" t="str">
        <f ca="1">IFERROR(__xludf.DUMMYFUNCTION("""COMPUTED_VALUE"""),"T172")</f>
        <v>T172</v>
      </c>
      <c r="B173" t="str">
        <f ca="1">IFERROR(__xludf.DUMMYFUNCTION("""COMPUTED_VALUE"""),"T170")</f>
        <v>T170</v>
      </c>
      <c r="C173" t="str">
        <f ca="1">IFERROR(__xludf.DUMMYFUNCTION("""COMPUTED_VALUE"""),"Chris Stroud")</f>
        <v>Chris Stroud</v>
      </c>
      <c r="D173">
        <f ca="1">IFERROR(__xludf.DUMMYFUNCTION("""COMPUTED_VALUE"""),6)</f>
        <v>6</v>
      </c>
      <c r="E173">
        <f ca="1">IFERROR(__xludf.DUMMYFUNCTION("""COMPUTED_VALUE"""),53.57)</f>
        <v>53.57</v>
      </c>
      <c r="F173">
        <f ca="1">IFERROR(__xludf.DUMMYFUNCTION("""COMPUTED_VALUE"""),30)</f>
        <v>30</v>
      </c>
      <c r="G173">
        <f ca="1">IFERROR(__xludf.DUMMYFUNCTION("""COMPUTED_VALUE"""),56)</f>
        <v>56</v>
      </c>
      <c r="H173">
        <f ca="1">IFERROR(__xludf.DUMMYFUNCTION("""COMPUTED_VALUE"""),-0.23)</f>
        <v>-0.23</v>
      </c>
    </row>
    <row r="174" spans="1:8" ht="12.75">
      <c r="A174" t="str">
        <f ca="1">IFERROR(__xludf.DUMMYFUNCTION("""COMPUTED_VALUE"""),"T172")</f>
        <v>T172</v>
      </c>
      <c r="B174" t="str">
        <f ca="1">IFERROR(__xludf.DUMMYFUNCTION("""COMPUTED_VALUE"""),"T170")</f>
        <v>T170</v>
      </c>
      <c r="C174" t="str">
        <f ca="1">IFERROR(__xludf.DUMMYFUNCTION("""COMPUTED_VALUE"""),"Rafael Campos")</f>
        <v>Rafael Campos</v>
      </c>
      <c r="D174">
        <f ca="1">IFERROR(__xludf.DUMMYFUNCTION("""COMPUTED_VALUE"""),6)</f>
        <v>6</v>
      </c>
      <c r="E174">
        <f ca="1">IFERROR(__xludf.DUMMYFUNCTION("""COMPUTED_VALUE"""),53.57)</f>
        <v>53.57</v>
      </c>
      <c r="F174">
        <f ca="1">IFERROR(__xludf.DUMMYFUNCTION("""COMPUTED_VALUE"""),15)</f>
        <v>15</v>
      </c>
      <c r="G174">
        <f ca="1">IFERROR(__xludf.DUMMYFUNCTION("""COMPUTED_VALUE"""),28)</f>
        <v>28</v>
      </c>
      <c r="H174">
        <f ca="1">IFERROR(__xludf.DUMMYFUNCTION("""COMPUTED_VALUE"""),-0.33)</f>
        <v>-0.33</v>
      </c>
    </row>
    <row r="175" spans="1:8" ht="12.75">
      <c r="A175" t="str">
        <f ca="1">IFERROR(__xludf.DUMMYFUNCTION("""COMPUTED_VALUE"""),"T172")</f>
        <v>T172</v>
      </c>
      <c r="B175" t="str">
        <f ca="1">IFERROR(__xludf.DUMMYFUNCTION("""COMPUTED_VALUE"""),"T170")</f>
        <v>T170</v>
      </c>
      <c r="C175" t="str">
        <f ca="1">IFERROR(__xludf.DUMMYFUNCTION("""COMPUTED_VALUE"""),"Charles Howell III")</f>
        <v>Charles Howell III</v>
      </c>
      <c r="D175">
        <f ca="1">IFERROR(__xludf.DUMMYFUNCTION("""COMPUTED_VALUE"""),10)</f>
        <v>10</v>
      </c>
      <c r="E175">
        <f ca="1">IFERROR(__xludf.DUMMYFUNCTION("""COMPUTED_VALUE"""),53.57)</f>
        <v>53.57</v>
      </c>
      <c r="F175">
        <f ca="1">IFERROR(__xludf.DUMMYFUNCTION("""COMPUTED_VALUE"""),60)</f>
        <v>60</v>
      </c>
      <c r="G175">
        <f ca="1">IFERROR(__xludf.DUMMYFUNCTION("""COMPUTED_VALUE"""),112)</f>
        <v>112</v>
      </c>
      <c r="H175">
        <f ca="1">IFERROR(__xludf.DUMMYFUNCTION("""COMPUTED_VALUE"""),-0.33)</f>
        <v>-0.33</v>
      </c>
    </row>
    <row r="176" spans="1:8" ht="12.75">
      <c r="A176" t="str">
        <f ca="1">IFERROR(__xludf.DUMMYFUNCTION("""COMPUTED_VALUE"""),"T172")</f>
        <v>T172</v>
      </c>
      <c r="B176" t="str">
        <f ca="1">IFERROR(__xludf.DUMMYFUNCTION("""COMPUTED_VALUE"""),"T170")</f>
        <v>T170</v>
      </c>
      <c r="C176" t="str">
        <f ca="1">IFERROR(__xludf.DUMMYFUNCTION("""COMPUTED_VALUE"""),"Rafa Cabrera Bello")</f>
        <v>Rafa Cabrera Bello</v>
      </c>
      <c r="D176">
        <f ca="1">IFERROR(__xludf.DUMMYFUNCTION("""COMPUTED_VALUE"""),14)</f>
        <v>14</v>
      </c>
      <c r="E176">
        <f ca="1">IFERROR(__xludf.DUMMYFUNCTION("""COMPUTED_VALUE"""),53.57)</f>
        <v>53.57</v>
      </c>
      <c r="F176">
        <f ca="1">IFERROR(__xludf.DUMMYFUNCTION("""COMPUTED_VALUE"""),90)</f>
        <v>90</v>
      </c>
      <c r="G176">
        <f ca="1">IFERROR(__xludf.DUMMYFUNCTION("""COMPUTED_VALUE"""),168)</f>
        <v>168</v>
      </c>
      <c r="H176">
        <f ca="1">IFERROR(__xludf.DUMMYFUNCTION("""COMPUTED_VALUE"""),-0.2)</f>
        <v>-0.2</v>
      </c>
    </row>
    <row r="177" spans="1:8" ht="12.75">
      <c r="A177" t="str">
        <f ca="1">IFERROR(__xludf.DUMMYFUNCTION("""COMPUTED_VALUE"""),"T172")</f>
        <v>T172</v>
      </c>
      <c r="B177" t="str">
        <f ca="1">IFERROR(__xludf.DUMMYFUNCTION("""COMPUTED_VALUE"""),"T170")</f>
        <v>T170</v>
      </c>
      <c r="C177" t="str">
        <f ca="1">IFERROR(__xludf.DUMMYFUNCTION("""COMPUTED_VALUE"""),"John Pak")</f>
        <v>John Pak</v>
      </c>
      <c r="D177">
        <f ca="1">IFERROR(__xludf.DUMMYFUNCTION("""COMPUTED_VALUE"""),4)</f>
        <v>4</v>
      </c>
      <c r="E177">
        <f ca="1">IFERROR(__xludf.DUMMYFUNCTION("""COMPUTED_VALUE"""),53.57)</f>
        <v>53.57</v>
      </c>
      <c r="F177">
        <f ca="1">IFERROR(__xludf.DUMMYFUNCTION("""COMPUTED_VALUE"""),30)</f>
        <v>30</v>
      </c>
      <c r="G177">
        <f ca="1">IFERROR(__xludf.DUMMYFUNCTION("""COMPUTED_VALUE"""),56)</f>
        <v>56</v>
      </c>
      <c r="H177" t="str">
        <f ca="1">IFERROR(__xludf.DUMMYFUNCTION("""COMPUTED_VALUE"""),"+0.13")</f>
        <v>+0.13</v>
      </c>
    </row>
    <row r="178" spans="1:8" ht="12.75">
      <c r="A178" t="str">
        <f ca="1">IFERROR(__xludf.DUMMYFUNCTION("""COMPUTED_VALUE"""),"T172")</f>
        <v>T172</v>
      </c>
      <c r="B178" t="str">
        <f ca="1">IFERROR(__xludf.DUMMYFUNCTION("""COMPUTED_VALUE"""),"T170")</f>
        <v>T170</v>
      </c>
      <c r="C178" t="str">
        <f ca="1">IFERROR(__xludf.DUMMYFUNCTION("""COMPUTED_VALUE"""),"Wesley Bryan")</f>
        <v>Wesley Bryan</v>
      </c>
      <c r="D178">
        <f ca="1">IFERROR(__xludf.DUMMYFUNCTION("""COMPUTED_VALUE"""),8)</f>
        <v>8</v>
      </c>
      <c r="E178">
        <f ca="1">IFERROR(__xludf.DUMMYFUNCTION("""COMPUTED_VALUE"""),53.57)</f>
        <v>53.57</v>
      </c>
      <c r="F178">
        <f ca="1">IFERROR(__xludf.DUMMYFUNCTION("""COMPUTED_VALUE"""),45)</f>
        <v>45</v>
      </c>
      <c r="G178">
        <f ca="1">IFERROR(__xludf.DUMMYFUNCTION("""COMPUTED_VALUE"""),84)</f>
        <v>84</v>
      </c>
      <c r="H178">
        <f ca="1">IFERROR(__xludf.DUMMYFUNCTION("""COMPUTED_VALUE"""),-0.31)</f>
        <v>-0.31</v>
      </c>
    </row>
    <row r="179" spans="1:8" ht="12.75">
      <c r="A179">
        <f ca="1">IFERROR(__xludf.DUMMYFUNCTION("""COMPUTED_VALUE"""),178)</f>
        <v>178</v>
      </c>
      <c r="B179">
        <f ca="1">IFERROR(__xludf.DUMMYFUNCTION("""COMPUTED_VALUE"""),155)</f>
        <v>155</v>
      </c>
      <c r="C179" t="str">
        <f ca="1">IFERROR(__xludf.DUMMYFUNCTION("""COMPUTED_VALUE"""),"Mackenzie Hughes")</f>
        <v>Mackenzie Hughes</v>
      </c>
      <c r="D179">
        <f ca="1">IFERROR(__xludf.DUMMYFUNCTION("""COMPUTED_VALUE"""),18)</f>
        <v>18</v>
      </c>
      <c r="E179">
        <f ca="1">IFERROR(__xludf.DUMMYFUNCTION("""COMPUTED_VALUE"""),53.51)</f>
        <v>53.51</v>
      </c>
      <c r="F179">
        <f ca="1">IFERROR(__xludf.DUMMYFUNCTION("""COMPUTED_VALUE"""),99)</f>
        <v>99</v>
      </c>
      <c r="G179">
        <f ca="1">IFERROR(__xludf.DUMMYFUNCTION("""COMPUTED_VALUE"""),185)</f>
        <v>185</v>
      </c>
      <c r="H179">
        <f ca="1">IFERROR(__xludf.DUMMYFUNCTION("""COMPUTED_VALUE"""),-0.27)</f>
        <v>-0.27</v>
      </c>
    </row>
    <row r="180" spans="1:8" ht="12.75">
      <c r="A180">
        <f ca="1">IFERROR(__xludf.DUMMYFUNCTION("""COMPUTED_VALUE"""),179)</f>
        <v>179</v>
      </c>
      <c r="B180" t="str">
        <f ca="1">IFERROR(__xludf.DUMMYFUNCTION("""COMPUTED_VALUE"""),"T162")</f>
        <v>T162</v>
      </c>
      <c r="C180" t="str">
        <f ca="1">IFERROR(__xludf.DUMMYFUNCTION("""COMPUTED_VALUE"""),"Lucas Glover")</f>
        <v>Lucas Glover</v>
      </c>
      <c r="D180">
        <f ca="1">IFERROR(__xludf.DUMMYFUNCTION("""COMPUTED_VALUE"""),12)</f>
        <v>12</v>
      </c>
      <c r="E180">
        <f ca="1">IFERROR(__xludf.DUMMYFUNCTION("""COMPUTED_VALUE"""),53.33)</f>
        <v>53.33</v>
      </c>
      <c r="F180">
        <f ca="1">IFERROR(__xludf.DUMMYFUNCTION("""COMPUTED_VALUE"""),88)</f>
        <v>88</v>
      </c>
      <c r="G180">
        <f ca="1">IFERROR(__xludf.DUMMYFUNCTION("""COMPUTED_VALUE"""),165)</f>
        <v>165</v>
      </c>
      <c r="H180">
        <f ca="1">IFERROR(__xludf.DUMMYFUNCTION("""COMPUTED_VALUE"""),-0.14)</f>
        <v>-0.14000000000000001</v>
      </c>
    </row>
    <row r="181" spans="1:8" ht="12.75">
      <c r="A181">
        <f ca="1">IFERROR(__xludf.DUMMYFUNCTION("""COMPUTED_VALUE"""),180)</f>
        <v>180</v>
      </c>
      <c r="B181">
        <f ca="1">IFERROR(__xludf.DUMMYFUNCTION("""COMPUTED_VALUE"""),177)</f>
        <v>177</v>
      </c>
      <c r="C181" t="str">
        <f ca="1">IFERROR(__xludf.DUMMYFUNCTION("""COMPUTED_VALUE"""),"Cameron Percy")</f>
        <v>Cameron Percy</v>
      </c>
      <c r="D181">
        <f ca="1">IFERROR(__xludf.DUMMYFUNCTION("""COMPUTED_VALUE"""),16)</f>
        <v>16</v>
      </c>
      <c r="E181">
        <f ca="1">IFERROR(__xludf.DUMMYFUNCTION("""COMPUTED_VALUE"""),53.15)</f>
        <v>53.15</v>
      </c>
      <c r="F181">
        <f ca="1">IFERROR(__xludf.DUMMYFUNCTION("""COMPUTED_VALUE"""),59)</f>
        <v>59</v>
      </c>
      <c r="G181">
        <f ca="1">IFERROR(__xludf.DUMMYFUNCTION("""COMPUTED_VALUE"""),111)</f>
        <v>111</v>
      </c>
      <c r="H181">
        <f ca="1">IFERROR(__xludf.DUMMYFUNCTION("""COMPUTED_VALUE"""),-0.34)</f>
        <v>-0.34</v>
      </c>
    </row>
    <row r="182" spans="1:8" ht="12.75">
      <c r="A182">
        <f ca="1">IFERROR(__xludf.DUMMYFUNCTION("""COMPUTED_VALUE"""),181)</f>
        <v>181</v>
      </c>
      <c r="B182">
        <f ca="1">IFERROR(__xludf.DUMMYFUNCTION("""COMPUTED_VALUE"""),122)</f>
        <v>122</v>
      </c>
      <c r="C182" t="str">
        <f ca="1">IFERROR(__xludf.DUMMYFUNCTION("""COMPUTED_VALUE"""),"Tony Finau")</f>
        <v>Tony Finau</v>
      </c>
      <c r="D182">
        <f ca="1">IFERROR(__xludf.DUMMYFUNCTION("""COMPUTED_VALUE"""),12)</f>
        <v>12</v>
      </c>
      <c r="E182">
        <f ca="1">IFERROR(__xludf.DUMMYFUNCTION("""COMPUTED_VALUE"""),53.13)</f>
        <v>53.13</v>
      </c>
      <c r="F182">
        <f ca="1">IFERROR(__xludf.DUMMYFUNCTION("""COMPUTED_VALUE"""),85)</f>
        <v>85</v>
      </c>
      <c r="G182">
        <f ca="1">IFERROR(__xludf.DUMMYFUNCTION("""COMPUTED_VALUE"""),160)</f>
        <v>160</v>
      </c>
      <c r="H182">
        <f ca="1">IFERROR(__xludf.DUMMYFUNCTION("""COMPUTED_VALUE"""),-0.27)</f>
        <v>-0.27</v>
      </c>
    </row>
    <row r="183" spans="1:8" ht="12.75">
      <c r="A183">
        <f ca="1">IFERROR(__xludf.DUMMYFUNCTION("""COMPUTED_VALUE"""),182)</f>
        <v>182</v>
      </c>
      <c r="B183">
        <f ca="1">IFERROR(__xludf.DUMMYFUNCTION("""COMPUTED_VALUE"""),211)</f>
        <v>211</v>
      </c>
      <c r="C183" t="str">
        <f ca="1">IFERROR(__xludf.DUMMYFUNCTION("""COMPUTED_VALUE"""),"Matt Jones")</f>
        <v>Matt Jones</v>
      </c>
      <c r="D183">
        <f ca="1">IFERROR(__xludf.DUMMYFUNCTION("""COMPUTED_VALUE"""),20)</f>
        <v>20</v>
      </c>
      <c r="E183">
        <f ca="1">IFERROR(__xludf.DUMMYFUNCTION("""COMPUTED_VALUE"""),53.09)</f>
        <v>53.09</v>
      </c>
      <c r="F183">
        <f ca="1">IFERROR(__xludf.DUMMYFUNCTION("""COMPUTED_VALUE"""),86)</f>
        <v>86</v>
      </c>
      <c r="G183">
        <f ca="1">IFERROR(__xludf.DUMMYFUNCTION("""COMPUTED_VALUE"""),162)</f>
        <v>162</v>
      </c>
      <c r="H183">
        <f ca="1">IFERROR(__xludf.DUMMYFUNCTION("""COMPUTED_VALUE"""),-0.12)</f>
        <v>-0.12</v>
      </c>
    </row>
    <row r="184" spans="1:8" ht="12.75">
      <c r="A184">
        <f ca="1">IFERROR(__xludf.DUMMYFUNCTION("""COMPUTED_VALUE"""),183)</f>
        <v>183</v>
      </c>
      <c r="B184">
        <f ca="1">IFERROR(__xludf.DUMMYFUNCTION("""COMPUTED_VALUE"""),178)</f>
        <v>178</v>
      </c>
      <c r="C184" t="str">
        <f ca="1">IFERROR(__xludf.DUMMYFUNCTION("""COMPUTED_VALUE"""),"Xander Schauffele")</f>
        <v>Xander Schauffele</v>
      </c>
      <c r="D184">
        <f ca="1">IFERROR(__xludf.DUMMYFUNCTION("""COMPUTED_VALUE"""),12)</f>
        <v>12</v>
      </c>
      <c r="E184">
        <f ca="1">IFERROR(__xludf.DUMMYFUNCTION("""COMPUTED_VALUE"""),53.05)</f>
        <v>53.05</v>
      </c>
      <c r="F184">
        <f ca="1">IFERROR(__xludf.DUMMYFUNCTION("""COMPUTED_VALUE"""),87)</f>
        <v>87</v>
      </c>
      <c r="G184">
        <f ca="1">IFERROR(__xludf.DUMMYFUNCTION("""COMPUTED_VALUE"""),164)</f>
        <v>164</v>
      </c>
      <c r="H184">
        <f ca="1">IFERROR(__xludf.DUMMYFUNCTION("""COMPUTED_VALUE"""),-0.37)</f>
        <v>-0.37</v>
      </c>
    </row>
    <row r="185" spans="1:8" ht="12.75">
      <c r="A185">
        <f ca="1">IFERROR(__xludf.DUMMYFUNCTION("""COMPUTED_VALUE"""),184)</f>
        <v>184</v>
      </c>
      <c r="B185">
        <f ca="1">IFERROR(__xludf.DUMMYFUNCTION("""COMPUTED_VALUE"""),183)</f>
        <v>183</v>
      </c>
      <c r="C185" t="str">
        <f ca="1">IFERROR(__xludf.DUMMYFUNCTION("""COMPUTED_VALUE"""),"J.T. Poston")</f>
        <v>J.T. Poston</v>
      </c>
      <c r="D185">
        <f ca="1">IFERROR(__xludf.DUMMYFUNCTION("""COMPUTED_VALUE"""),18)</f>
        <v>18</v>
      </c>
      <c r="E185">
        <f ca="1">IFERROR(__xludf.DUMMYFUNCTION("""COMPUTED_VALUE"""),53.04)</f>
        <v>53.04</v>
      </c>
      <c r="F185">
        <f ca="1">IFERROR(__xludf.DUMMYFUNCTION("""COMPUTED_VALUE"""),131)</f>
        <v>131</v>
      </c>
      <c r="G185">
        <f ca="1">IFERROR(__xludf.DUMMYFUNCTION("""COMPUTED_VALUE"""),247)</f>
        <v>247</v>
      </c>
      <c r="H185">
        <f ca="1">IFERROR(__xludf.DUMMYFUNCTION("""COMPUTED_VALUE"""),-0.18)</f>
        <v>-0.18</v>
      </c>
    </row>
    <row r="186" spans="1:8" ht="12.75">
      <c r="A186">
        <f ca="1">IFERROR(__xludf.DUMMYFUNCTION("""COMPUTED_VALUE"""),185)</f>
        <v>185</v>
      </c>
      <c r="B186">
        <f ca="1">IFERROR(__xludf.DUMMYFUNCTION("""COMPUTED_VALUE"""),179)</f>
        <v>179</v>
      </c>
      <c r="C186" t="str">
        <f ca="1">IFERROR(__xludf.DUMMYFUNCTION("""COMPUTED_VALUE"""),"Byeong Hun An")</f>
        <v>Byeong Hun An</v>
      </c>
      <c r="D186">
        <f ca="1">IFERROR(__xludf.DUMMYFUNCTION("""COMPUTED_VALUE"""),14)</f>
        <v>14</v>
      </c>
      <c r="E186">
        <f ca="1">IFERROR(__xludf.DUMMYFUNCTION("""COMPUTED_VALUE"""),52.88)</f>
        <v>52.88</v>
      </c>
      <c r="F186">
        <f ca="1">IFERROR(__xludf.DUMMYFUNCTION("""COMPUTED_VALUE"""),101)</f>
        <v>101</v>
      </c>
      <c r="G186">
        <f ca="1">IFERROR(__xludf.DUMMYFUNCTION("""COMPUTED_VALUE"""),191)</f>
        <v>191</v>
      </c>
      <c r="H186">
        <f ca="1">IFERROR(__xludf.DUMMYFUNCTION("""COMPUTED_VALUE"""),-0.22)</f>
        <v>-0.22</v>
      </c>
    </row>
    <row r="187" spans="1:8" ht="12.75">
      <c r="A187">
        <f ca="1">IFERROR(__xludf.DUMMYFUNCTION("""COMPUTED_VALUE"""),186)</f>
        <v>186</v>
      </c>
      <c r="B187">
        <f ca="1">IFERROR(__xludf.DUMMYFUNCTION("""COMPUTED_VALUE"""),180)</f>
        <v>180</v>
      </c>
      <c r="C187" t="str">
        <f ca="1">IFERROR(__xludf.DUMMYFUNCTION("""COMPUTED_VALUE"""),"Davis Riley")</f>
        <v>Davis Riley</v>
      </c>
      <c r="D187">
        <f ca="1">IFERROR(__xludf.DUMMYFUNCTION("""COMPUTED_VALUE"""),4)</f>
        <v>4</v>
      </c>
      <c r="E187">
        <f ca="1">IFERROR(__xludf.DUMMYFUNCTION("""COMPUTED_VALUE"""),52.73)</f>
        <v>52.73</v>
      </c>
      <c r="F187">
        <f ca="1">IFERROR(__xludf.DUMMYFUNCTION("""COMPUTED_VALUE"""),29)</f>
        <v>29</v>
      </c>
      <c r="G187">
        <f ca="1">IFERROR(__xludf.DUMMYFUNCTION("""COMPUTED_VALUE"""),55)</f>
        <v>55</v>
      </c>
      <c r="H187">
        <f ca="1">IFERROR(__xludf.DUMMYFUNCTION("""COMPUTED_VALUE"""),-0.24)</f>
        <v>-0.24</v>
      </c>
    </row>
    <row r="188" spans="1:8" ht="12.75">
      <c r="A188">
        <f ca="1">IFERROR(__xludf.DUMMYFUNCTION("""COMPUTED_VALUE"""),187)</f>
        <v>187</v>
      </c>
      <c r="B188" t="str">
        <f ca="1">IFERROR(__xludf.DUMMYFUNCTION("""COMPUTED_VALUE"""),"T191")</f>
        <v>T191</v>
      </c>
      <c r="C188" t="str">
        <f ca="1">IFERROR(__xludf.DUMMYFUNCTION("""COMPUTED_VALUE"""),"Sung Kang")</f>
        <v>Sung Kang</v>
      </c>
      <c r="D188">
        <f ca="1">IFERROR(__xludf.DUMMYFUNCTION("""COMPUTED_VALUE"""),14)</f>
        <v>14</v>
      </c>
      <c r="E188">
        <f ca="1">IFERROR(__xludf.DUMMYFUNCTION("""COMPUTED_VALUE"""),52.58)</f>
        <v>52.58</v>
      </c>
      <c r="F188">
        <f ca="1">IFERROR(__xludf.DUMMYFUNCTION("""COMPUTED_VALUE"""),102)</f>
        <v>102</v>
      </c>
      <c r="G188">
        <f ca="1">IFERROR(__xludf.DUMMYFUNCTION("""COMPUTED_VALUE"""),194)</f>
        <v>194</v>
      </c>
      <c r="H188" t="str">
        <f ca="1">IFERROR(__xludf.DUMMYFUNCTION("""COMPUTED_VALUE"""),"E")</f>
        <v>E</v>
      </c>
    </row>
    <row r="189" spans="1:8" ht="12.75">
      <c r="A189">
        <f ca="1">IFERROR(__xludf.DUMMYFUNCTION("""COMPUTED_VALUE"""),188)</f>
        <v>188</v>
      </c>
      <c r="B189" t="str">
        <f ca="1">IFERROR(__xludf.DUMMYFUNCTION("""COMPUTED_VALUE"""),"T133")</f>
        <v>T133</v>
      </c>
      <c r="C189" t="str">
        <f ca="1">IFERROR(__xludf.DUMMYFUNCTION("""COMPUTED_VALUE"""),"Scott Harrington")</f>
        <v>Scott Harrington</v>
      </c>
      <c r="D189">
        <f ca="1">IFERROR(__xludf.DUMMYFUNCTION("""COMPUTED_VALUE"""),18)</f>
        <v>18</v>
      </c>
      <c r="E189">
        <f ca="1">IFERROR(__xludf.DUMMYFUNCTION("""COMPUTED_VALUE"""),52.44)</f>
        <v>52.44</v>
      </c>
      <c r="F189">
        <f ca="1">IFERROR(__xludf.DUMMYFUNCTION("""COMPUTED_VALUE"""),86)</f>
        <v>86</v>
      </c>
      <c r="G189">
        <f ca="1">IFERROR(__xludf.DUMMYFUNCTION("""COMPUTED_VALUE"""),164)</f>
        <v>164</v>
      </c>
      <c r="H189">
        <f ca="1">IFERROR(__xludf.DUMMYFUNCTION("""COMPUTED_VALUE"""),-0.33)</f>
        <v>-0.33</v>
      </c>
    </row>
    <row r="190" spans="1:8" ht="12.75">
      <c r="A190">
        <f ca="1">IFERROR(__xludf.DUMMYFUNCTION("""COMPUTED_VALUE"""),189)</f>
        <v>189</v>
      </c>
      <c r="B190">
        <f ca="1">IFERROR(__xludf.DUMMYFUNCTION("""COMPUTED_VALUE"""),182)</f>
        <v>182</v>
      </c>
      <c r="C190" t="str">
        <f ca="1">IFERROR(__xludf.DUMMYFUNCTION("""COMPUTED_VALUE"""),"Bill Haas")</f>
        <v>Bill Haas</v>
      </c>
      <c r="D190">
        <f ca="1">IFERROR(__xludf.DUMMYFUNCTION("""COMPUTED_VALUE"""),10)</f>
        <v>10</v>
      </c>
      <c r="E190">
        <f ca="1">IFERROR(__xludf.DUMMYFUNCTION("""COMPUTED_VALUE"""),52.38)</f>
        <v>52.38</v>
      </c>
      <c r="F190">
        <f ca="1">IFERROR(__xludf.DUMMYFUNCTION("""COMPUTED_VALUE"""),44)</f>
        <v>44</v>
      </c>
      <c r="G190">
        <f ca="1">IFERROR(__xludf.DUMMYFUNCTION("""COMPUTED_VALUE"""),84)</f>
        <v>84</v>
      </c>
      <c r="H190">
        <f ca="1">IFERROR(__xludf.DUMMYFUNCTION("""COMPUTED_VALUE"""),-0.2)</f>
        <v>-0.2</v>
      </c>
    </row>
    <row r="191" spans="1:8" ht="12.75">
      <c r="A191">
        <f ca="1">IFERROR(__xludf.DUMMYFUNCTION("""COMPUTED_VALUE"""),190)</f>
        <v>190</v>
      </c>
      <c r="B191">
        <f ca="1">IFERROR(__xludf.DUMMYFUNCTION("""COMPUTED_VALUE"""),184)</f>
        <v>184</v>
      </c>
      <c r="C191" t="str">
        <f ca="1">IFERROR(__xludf.DUMMYFUNCTION("""COMPUTED_VALUE"""),"Vincent Whaley")</f>
        <v>Vincent Whaley</v>
      </c>
      <c r="D191">
        <f ca="1">IFERROR(__xludf.DUMMYFUNCTION("""COMPUTED_VALUE"""),14)</f>
        <v>14</v>
      </c>
      <c r="E191">
        <f ca="1">IFERROR(__xludf.DUMMYFUNCTION("""COMPUTED_VALUE"""),52.29)</f>
        <v>52.29</v>
      </c>
      <c r="F191">
        <f ca="1">IFERROR(__xludf.DUMMYFUNCTION("""COMPUTED_VALUE"""),57)</f>
        <v>57</v>
      </c>
      <c r="G191">
        <f ca="1">IFERROR(__xludf.DUMMYFUNCTION("""COMPUTED_VALUE"""),109)</f>
        <v>109</v>
      </c>
      <c r="H191">
        <f ca="1">IFERROR(__xludf.DUMMYFUNCTION("""COMPUTED_VALUE"""),-0.28)</f>
        <v>-0.28000000000000003</v>
      </c>
    </row>
    <row r="192" spans="1:8" ht="12.75">
      <c r="A192">
        <f ca="1">IFERROR(__xludf.DUMMYFUNCTION("""COMPUTED_VALUE"""),191)</f>
        <v>191</v>
      </c>
      <c r="B192" t="str">
        <f ca="1">IFERROR(__xludf.DUMMYFUNCTION("""COMPUTED_VALUE"""),"T135")</f>
        <v>T135</v>
      </c>
      <c r="C192" t="str">
        <f ca="1">IFERROR(__xludf.DUMMYFUNCTION("""COMPUTED_VALUE"""),"Sean O'Hair")</f>
        <v>Sean O'Hair</v>
      </c>
      <c r="D192">
        <f ca="1">IFERROR(__xludf.DUMMYFUNCTION("""COMPUTED_VALUE"""),14)</f>
        <v>14</v>
      </c>
      <c r="E192">
        <f ca="1">IFERROR(__xludf.DUMMYFUNCTION("""COMPUTED_VALUE"""),52.21)</f>
        <v>52.21</v>
      </c>
      <c r="F192">
        <f ca="1">IFERROR(__xludf.DUMMYFUNCTION("""COMPUTED_VALUE"""),71)</f>
        <v>71</v>
      </c>
      <c r="G192">
        <f ca="1">IFERROR(__xludf.DUMMYFUNCTION("""COMPUTED_VALUE"""),136)</f>
        <v>136</v>
      </c>
      <c r="H192">
        <f ca="1">IFERROR(__xludf.DUMMYFUNCTION("""COMPUTED_VALUE"""),-0.06)</f>
        <v>-0.06</v>
      </c>
    </row>
    <row r="193" spans="1:8" ht="12.75">
      <c r="A193">
        <f ca="1">IFERROR(__xludf.DUMMYFUNCTION("""COMPUTED_VALUE"""),192)</f>
        <v>192</v>
      </c>
      <c r="B193">
        <f ca="1">IFERROR(__xludf.DUMMYFUNCTION("""COMPUTED_VALUE"""),165)</f>
        <v>165</v>
      </c>
      <c r="C193" t="str">
        <f ca="1">IFERROR(__xludf.DUMMYFUNCTION("""COMPUTED_VALUE"""),"Beau Hossler")</f>
        <v>Beau Hossler</v>
      </c>
      <c r="D193">
        <f ca="1">IFERROR(__xludf.DUMMYFUNCTION("""COMPUTED_VALUE"""),22)</f>
        <v>22</v>
      </c>
      <c r="E193">
        <f ca="1">IFERROR(__xludf.DUMMYFUNCTION("""COMPUTED_VALUE"""),52.08)</f>
        <v>52.08</v>
      </c>
      <c r="F193">
        <f ca="1">IFERROR(__xludf.DUMMYFUNCTION("""COMPUTED_VALUE"""),100)</f>
        <v>100</v>
      </c>
      <c r="G193">
        <f ca="1">IFERROR(__xludf.DUMMYFUNCTION("""COMPUTED_VALUE"""),192)</f>
        <v>192</v>
      </c>
      <c r="H193">
        <f ca="1">IFERROR(__xludf.DUMMYFUNCTION("""COMPUTED_VALUE"""),-0.31)</f>
        <v>-0.31</v>
      </c>
    </row>
    <row r="194" spans="1:8" ht="12.75">
      <c r="A194" t="str">
        <f ca="1">IFERROR(__xludf.DUMMYFUNCTION("""COMPUTED_VALUE"""),"T193")</f>
        <v>T193</v>
      </c>
      <c r="B194">
        <f ca="1">IFERROR(__xludf.DUMMYFUNCTION("""COMPUTED_VALUE"""),185)</f>
        <v>185</v>
      </c>
      <c r="C194" t="str">
        <f ca="1">IFERROR(__xludf.DUMMYFUNCTION("""COMPUTED_VALUE"""),"Alex Cejka")</f>
        <v>Alex Cejka</v>
      </c>
      <c r="D194">
        <f ca="1">IFERROR(__xludf.DUMMYFUNCTION("""COMPUTED_VALUE"""),6)</f>
        <v>6</v>
      </c>
      <c r="E194">
        <f ca="1">IFERROR(__xludf.DUMMYFUNCTION("""COMPUTED_VALUE"""),51.85)</f>
        <v>51.85</v>
      </c>
      <c r="F194">
        <f ca="1">IFERROR(__xludf.DUMMYFUNCTION("""COMPUTED_VALUE"""),14)</f>
        <v>14</v>
      </c>
      <c r="G194">
        <f ca="1">IFERROR(__xludf.DUMMYFUNCTION("""COMPUTED_VALUE"""),27)</f>
        <v>27</v>
      </c>
      <c r="H194" t="str">
        <f ca="1">IFERROR(__xludf.DUMMYFUNCTION("""COMPUTED_VALUE"""),"E")</f>
        <v>E</v>
      </c>
    </row>
    <row r="195" spans="1:8" ht="12.75">
      <c r="A195" t="str">
        <f ca="1">IFERROR(__xludf.DUMMYFUNCTION("""COMPUTED_VALUE"""),"T193")</f>
        <v>T193</v>
      </c>
      <c r="B195" t="str">
        <f ca="1">IFERROR(__xludf.DUMMYFUNCTION("""COMPUTED_VALUE"""),"T222")</f>
        <v>T222</v>
      </c>
      <c r="C195" t="str">
        <f ca="1">IFERROR(__xludf.DUMMYFUNCTION("""COMPUTED_VALUE"""),"Jhonattan Vegas")</f>
        <v>Jhonattan Vegas</v>
      </c>
      <c r="D195">
        <f ca="1">IFERROR(__xludf.DUMMYFUNCTION("""COMPUTED_VALUE"""),16)</f>
        <v>16</v>
      </c>
      <c r="E195">
        <f ca="1">IFERROR(__xludf.DUMMYFUNCTION("""COMPUTED_VALUE"""),51.85)</f>
        <v>51.85</v>
      </c>
      <c r="F195">
        <f ca="1">IFERROR(__xludf.DUMMYFUNCTION("""COMPUTED_VALUE"""),70)</f>
        <v>70</v>
      </c>
      <c r="G195">
        <f ca="1">IFERROR(__xludf.DUMMYFUNCTION("""COMPUTED_VALUE"""),135)</f>
        <v>135</v>
      </c>
      <c r="H195">
        <f ca="1">IFERROR(__xludf.DUMMYFUNCTION("""COMPUTED_VALUE"""),-0.19)</f>
        <v>-0.19</v>
      </c>
    </row>
    <row r="196" spans="1:8" ht="12.75">
      <c r="A196" t="str">
        <f ca="1">IFERROR(__xludf.DUMMYFUNCTION("""COMPUTED_VALUE"""),"T195")</f>
        <v>T195</v>
      </c>
      <c r="B196" t="str">
        <f ca="1">IFERROR(__xludf.DUMMYFUNCTION("""COMPUTED_VALUE"""),"T191")</f>
        <v>T191</v>
      </c>
      <c r="C196" t="str">
        <f ca="1">IFERROR(__xludf.DUMMYFUNCTION("""COMPUTED_VALUE"""),"Christiaan Bezuidenhout")</f>
        <v>Christiaan Bezuidenhout</v>
      </c>
      <c r="D196">
        <f ca="1">IFERROR(__xludf.DUMMYFUNCTION("""COMPUTED_VALUE"""),4)</f>
        <v>4</v>
      </c>
      <c r="E196">
        <f ca="1">IFERROR(__xludf.DUMMYFUNCTION("""COMPUTED_VALUE"""),51.79)</f>
        <v>51.79</v>
      </c>
      <c r="F196">
        <f ca="1">IFERROR(__xludf.DUMMYFUNCTION("""COMPUTED_VALUE"""),29)</f>
        <v>29</v>
      </c>
      <c r="G196">
        <f ca="1">IFERROR(__xludf.DUMMYFUNCTION("""COMPUTED_VALUE"""),56)</f>
        <v>56</v>
      </c>
      <c r="H196" t="str">
        <f ca="1">IFERROR(__xludf.DUMMYFUNCTION("""COMPUTED_VALUE"""),"E")</f>
        <v>E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IFERROR(__xludf.DUMMYFUNCTION("""COMPUTED_VALUE"""),"T191")</f>
        <v>T191</v>
      </c>
      <c r="C197" t="str">
        <f ca="1">IFERROR(__xludf.DUMMYFUNCTION("""COMPUTED_VALUE"""),"Seonghyeon Kim")</f>
        <v>Seonghyeon Kim</v>
      </c>
      <c r="D197">
        <f ca="1">IFERROR(__xludf.DUMMYFUNCTION("""COMPUTED_VALUE"""),4)</f>
        <v>4</v>
      </c>
      <c r="E197">
        <f ca="1">IFERROR(__xludf.DUMMYFUNCTION("""COMPUTED_VALUE"""),51.79)</f>
        <v>51.79</v>
      </c>
      <c r="F197">
        <f ca="1">IFERROR(__xludf.DUMMYFUNCTION("""COMPUTED_VALUE"""),29)</f>
        <v>29</v>
      </c>
      <c r="G197">
        <f ca="1">IFERROR(__xludf.DUMMYFUNCTION("""COMPUTED_VALUE"""),56)</f>
        <v>56</v>
      </c>
      <c r="H197">
        <f ca="1">IFERROR(__xludf.DUMMYFUNCTION("""COMPUTED_VALUE"""),-0.17)</f>
        <v>-0.17</v>
      </c>
    </row>
    <row r="198" spans="1:8" ht="12.75">
      <c r="A198" t="str">
        <f ca="1">IFERROR(__xludf.DUMMYFUNCTION("""COMPUTED_VALUE"""),"T195")</f>
        <v>T195</v>
      </c>
      <c r="B198" t="str">
        <f ca="1">IFERROR(__xludf.DUMMYFUNCTION("""COMPUTED_VALUE"""),"T191")</f>
        <v>T191</v>
      </c>
      <c r="C198" t="str">
        <f ca="1">IFERROR(__xludf.DUMMYFUNCTION("""COMPUTED_VALUE"""),"Matt Wallace")</f>
        <v>Matt Wallace</v>
      </c>
      <c r="D198">
        <f ca="1">IFERROR(__xludf.DUMMYFUNCTION("""COMPUTED_VALUE"""),4)</f>
        <v>4</v>
      </c>
      <c r="E198">
        <f ca="1">IFERROR(__xludf.DUMMYFUNCTION("""COMPUTED_VALUE"""),51.79)</f>
        <v>51.79</v>
      </c>
      <c r="F198">
        <f ca="1">IFERROR(__xludf.DUMMYFUNCTION("""COMPUTED_VALUE"""),29)</f>
        <v>29</v>
      </c>
      <c r="G198">
        <f ca="1">IFERROR(__xludf.DUMMYFUNCTION("""COMPUTED_VALUE"""),56)</f>
        <v>56</v>
      </c>
      <c r="H198">
        <f ca="1">IFERROR(__xludf.DUMMYFUNCTION("""COMPUTED_VALUE"""),-0.03)</f>
        <v>-0.03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IFERROR(__xludf.DUMMYFUNCTION("""COMPUTED_VALUE"""),"T189")</f>
        <v>T189</v>
      </c>
      <c r="C199" t="str">
        <f ca="1">IFERROR(__xludf.DUMMYFUNCTION("""COMPUTED_VALUE"""),"Charl Schwartzel")</f>
        <v>Charl Schwartzel</v>
      </c>
      <c r="D199">
        <f ca="1">IFERROR(__xludf.DUMMYFUNCTION("""COMPUTED_VALUE"""),12)</f>
        <v>12</v>
      </c>
      <c r="E199">
        <f ca="1">IFERROR(__xludf.DUMMYFUNCTION("""COMPUTED_VALUE"""),51.52)</f>
        <v>51.52</v>
      </c>
      <c r="F199">
        <f ca="1">IFERROR(__xludf.DUMMYFUNCTION("""COMPUTED_VALUE"""),85)</f>
        <v>85</v>
      </c>
      <c r="G199">
        <f ca="1">IFERROR(__xludf.DUMMYFUNCTION("""COMPUTED_VALUE"""),165)</f>
        <v>165</v>
      </c>
      <c r="H199">
        <f ca="1">IFERROR(__xludf.DUMMYFUNCTION("""COMPUTED_VALUE"""),-0.25)</f>
        <v>-0.25</v>
      </c>
    </row>
    <row r="200" spans="1:8" ht="12.75">
      <c r="A200">
        <f ca="1">IFERROR(__xludf.DUMMYFUNCTION("""COMPUTED_VALUE"""),199)</f>
        <v>199</v>
      </c>
      <c r="B200">
        <f ca="1">IFERROR(__xludf.DUMMYFUNCTION("""COMPUTED_VALUE"""),196)</f>
        <v>196</v>
      </c>
      <c r="C200" t="str">
        <f ca="1">IFERROR(__xludf.DUMMYFUNCTION("""COMPUTED_VALUE"""),"MJ Daffue")</f>
        <v>MJ Daffue</v>
      </c>
      <c r="D200">
        <f ca="1">IFERROR(__xludf.DUMMYFUNCTION("""COMPUTED_VALUE"""),10)</f>
        <v>10</v>
      </c>
      <c r="E200">
        <f ca="1">IFERROR(__xludf.DUMMYFUNCTION("""COMPUTED_VALUE"""),51.47)</f>
        <v>51.47</v>
      </c>
      <c r="F200">
        <f ca="1">IFERROR(__xludf.DUMMYFUNCTION("""COMPUTED_VALUE"""),70)</f>
        <v>70</v>
      </c>
      <c r="G200">
        <f ca="1">IFERROR(__xludf.DUMMYFUNCTION("""COMPUTED_VALUE"""),136)</f>
        <v>136</v>
      </c>
      <c r="H200">
        <f ca="1">IFERROR(__xludf.DUMMYFUNCTION("""COMPUTED_VALUE"""),-0.27)</f>
        <v>-0.27</v>
      </c>
    </row>
    <row r="201" spans="1:8" ht="12.75">
      <c r="A201">
        <f ca="1">IFERROR(__xludf.DUMMYFUNCTION("""COMPUTED_VALUE"""),200)</f>
        <v>200</v>
      </c>
      <c r="B201" t="str">
        <f ca="1">IFERROR(__xludf.DUMMYFUNCTION("""COMPUTED_VALUE"""),"T187")</f>
        <v>T187</v>
      </c>
      <c r="C201" t="str">
        <f ca="1">IFERROR(__xludf.DUMMYFUNCTION("""COMPUTED_VALUE"""),"Grayson Murray")</f>
        <v>Grayson Murray</v>
      </c>
      <c r="D201">
        <f ca="1">IFERROR(__xludf.DUMMYFUNCTION("""COMPUTED_VALUE"""),10)</f>
        <v>10</v>
      </c>
      <c r="E201">
        <f ca="1">IFERROR(__xludf.DUMMYFUNCTION("""COMPUTED_VALUE"""),51.38)</f>
        <v>51.38</v>
      </c>
      <c r="F201">
        <f ca="1">IFERROR(__xludf.DUMMYFUNCTION("""COMPUTED_VALUE"""),56)</f>
        <v>56</v>
      </c>
      <c r="G201">
        <f ca="1">IFERROR(__xludf.DUMMYFUNCTION("""COMPUTED_VALUE"""),109)</f>
        <v>109</v>
      </c>
      <c r="H201">
        <f ca="1">IFERROR(__xludf.DUMMYFUNCTION("""COMPUTED_VALUE"""),-0.23)</f>
        <v>-0.23</v>
      </c>
    </row>
    <row r="202" spans="1:8" ht="12.75">
      <c r="A202">
        <f ca="1">IFERROR(__xludf.DUMMYFUNCTION("""COMPUTED_VALUE"""),201)</f>
        <v>201</v>
      </c>
      <c r="B202">
        <f ca="1">IFERROR(__xludf.DUMMYFUNCTION("""COMPUTED_VALUE"""),203)</f>
        <v>203</v>
      </c>
      <c r="C202" t="str">
        <f ca="1">IFERROR(__xludf.DUMMYFUNCTION("""COMPUTED_VALUE"""),"Andrew Putnam")</f>
        <v>Andrew Putnam</v>
      </c>
      <c r="D202">
        <f ca="1">IFERROR(__xludf.DUMMYFUNCTION("""COMPUTED_VALUE"""),19)</f>
        <v>19</v>
      </c>
      <c r="E202">
        <f ca="1">IFERROR(__xludf.DUMMYFUNCTION("""COMPUTED_VALUE"""),51.21)</f>
        <v>51.21</v>
      </c>
      <c r="F202">
        <f ca="1">IFERROR(__xludf.DUMMYFUNCTION("""COMPUTED_VALUE"""),106)</f>
        <v>106</v>
      </c>
      <c r="G202">
        <f ca="1">IFERROR(__xludf.DUMMYFUNCTION("""COMPUTED_VALUE"""),207)</f>
        <v>207</v>
      </c>
      <c r="H202">
        <f ca="1">IFERROR(__xludf.DUMMYFUNCTION("""COMPUTED_VALUE"""),-0.2)</f>
        <v>-0.2</v>
      </c>
    </row>
    <row r="203" spans="1:8" ht="12.75">
      <c r="A203">
        <f ca="1">IFERROR(__xludf.DUMMYFUNCTION("""COMPUTED_VALUE"""),202)</f>
        <v>202</v>
      </c>
      <c r="B203">
        <f ca="1">IFERROR(__xludf.DUMMYFUNCTION("""COMPUTED_VALUE"""),199)</f>
        <v>199</v>
      </c>
      <c r="C203" t="str">
        <f ca="1">IFERROR(__xludf.DUMMYFUNCTION("""COMPUTED_VALUE"""),"Roger Sloan")</f>
        <v>Roger Sloan</v>
      </c>
      <c r="D203">
        <f ca="1">IFERROR(__xludf.DUMMYFUNCTION("""COMPUTED_VALUE"""),12)</f>
        <v>12</v>
      </c>
      <c r="E203">
        <f ca="1">IFERROR(__xludf.DUMMYFUNCTION("""COMPUTED_VALUE"""),51.19)</f>
        <v>51.19</v>
      </c>
      <c r="F203">
        <f ca="1">IFERROR(__xludf.DUMMYFUNCTION("""COMPUTED_VALUE"""),43)</f>
        <v>43</v>
      </c>
      <c r="G203">
        <f ca="1">IFERROR(__xludf.DUMMYFUNCTION("""COMPUTED_VALUE"""),84)</f>
        <v>84</v>
      </c>
      <c r="H203">
        <f ca="1">IFERROR(__xludf.DUMMYFUNCTION("""COMPUTED_VALUE"""),-0.23)</f>
        <v>-0.23</v>
      </c>
    </row>
    <row r="204" spans="1:8" ht="12.75">
      <c r="A204">
        <f ca="1">IFERROR(__xludf.DUMMYFUNCTION("""COMPUTED_VALUE"""),203)</f>
        <v>203</v>
      </c>
      <c r="B204">
        <f ca="1">IFERROR(__xludf.DUMMYFUNCTION("""COMPUTED_VALUE"""),231)</f>
        <v>231</v>
      </c>
      <c r="C204" t="str">
        <f ca="1">IFERROR(__xludf.DUMMYFUNCTION("""COMPUTED_VALUE"""),"Scott Brown")</f>
        <v>Scott Brown</v>
      </c>
      <c r="D204">
        <f ca="1">IFERROR(__xludf.DUMMYFUNCTION("""COMPUTED_VALUE"""),14)</f>
        <v>14</v>
      </c>
      <c r="E204">
        <f ca="1">IFERROR(__xludf.DUMMYFUNCTION("""COMPUTED_VALUE"""),51.11)</f>
        <v>51.11</v>
      </c>
      <c r="F204">
        <f ca="1">IFERROR(__xludf.DUMMYFUNCTION("""COMPUTED_VALUE"""),69)</f>
        <v>69</v>
      </c>
      <c r="G204">
        <f ca="1">IFERROR(__xludf.DUMMYFUNCTION("""COMPUTED_VALUE"""),135)</f>
        <v>135</v>
      </c>
      <c r="H204">
        <f ca="1">IFERROR(__xludf.DUMMYFUNCTION("""COMPUTED_VALUE"""),-0.14)</f>
        <v>-0.14000000000000001</v>
      </c>
    </row>
    <row r="205" spans="1:8" ht="12.75">
      <c r="A205">
        <f ca="1">IFERROR(__xludf.DUMMYFUNCTION("""COMPUTED_VALUE"""),204)</f>
        <v>204</v>
      </c>
      <c r="B205">
        <f ca="1">IFERROR(__xludf.DUMMYFUNCTION("""COMPUTED_VALUE"""),201)</f>
        <v>201</v>
      </c>
      <c r="C205" t="str">
        <f ca="1">IFERROR(__xludf.DUMMYFUNCTION("""COMPUTED_VALUE"""),"Sahith Theegala")</f>
        <v>Sahith Theegala</v>
      </c>
      <c r="D205">
        <f ca="1">IFERROR(__xludf.DUMMYFUNCTION("""COMPUTED_VALUE"""),6)</f>
        <v>6</v>
      </c>
      <c r="E205">
        <f ca="1">IFERROR(__xludf.DUMMYFUNCTION("""COMPUTED_VALUE"""),50.6)</f>
        <v>50.6</v>
      </c>
      <c r="F205">
        <f ca="1">IFERROR(__xludf.DUMMYFUNCTION("""COMPUTED_VALUE"""),42)</f>
        <v>42</v>
      </c>
      <c r="G205">
        <f ca="1">IFERROR(__xludf.DUMMYFUNCTION("""COMPUTED_VALUE"""),83)</f>
        <v>83</v>
      </c>
      <c r="H205">
        <f ca="1">IFERROR(__xludf.DUMMYFUNCTION("""COMPUTED_VALUE"""),-0.26)</f>
        <v>-0.26</v>
      </c>
    </row>
    <row r="206" spans="1:8" ht="12.75">
      <c r="A206">
        <f ca="1">IFERROR(__xludf.DUMMYFUNCTION("""COMPUTED_VALUE"""),205)</f>
        <v>205</v>
      </c>
      <c r="B206" t="str">
        <f ca="1">IFERROR(__xludf.DUMMYFUNCTION("""COMPUTED_VALUE"""),"T197")</f>
        <v>T197</v>
      </c>
      <c r="C206" t="str">
        <f ca="1">IFERROR(__xludf.DUMMYFUNCTION("""COMPUTED_VALUE"""),"Aaron Wise")</f>
        <v>Aaron Wise</v>
      </c>
      <c r="D206">
        <f ca="1">IFERROR(__xludf.DUMMYFUNCTION("""COMPUTED_VALUE"""),16)</f>
        <v>16</v>
      </c>
      <c r="E206">
        <f ca="1">IFERROR(__xludf.DUMMYFUNCTION("""COMPUTED_VALUE"""),50.31)</f>
        <v>50.31</v>
      </c>
      <c r="F206">
        <f ca="1">IFERROR(__xludf.DUMMYFUNCTION("""COMPUTED_VALUE"""),82)</f>
        <v>82</v>
      </c>
      <c r="G206">
        <f ca="1">IFERROR(__xludf.DUMMYFUNCTION("""COMPUTED_VALUE"""),163)</f>
        <v>163</v>
      </c>
      <c r="H206">
        <f ca="1">IFERROR(__xludf.DUMMYFUNCTION("""COMPUTED_VALUE"""),-0.22)</f>
        <v>-0.22</v>
      </c>
    </row>
    <row r="207" spans="1:8" ht="12.75">
      <c r="A207" t="str">
        <f ca="1">IFERROR(__xludf.DUMMYFUNCTION("""COMPUTED_VALUE"""),"T206")</f>
        <v>T206</v>
      </c>
      <c r="B207" t="str">
        <f ca="1">IFERROR(__xludf.DUMMYFUNCTION("""COMPUTED_VALUE"""),"T204")</f>
        <v>T204</v>
      </c>
      <c r="C207" t="str">
        <f ca="1">IFERROR(__xludf.DUMMYFUNCTION("""COMPUTED_VALUE"""),"Josh Teater")</f>
        <v>Josh Teater</v>
      </c>
      <c r="D207">
        <f ca="1">IFERROR(__xludf.DUMMYFUNCTION("""COMPUTED_VALUE"""),6)</f>
        <v>6</v>
      </c>
      <c r="E207">
        <f ca="1">IFERROR(__xludf.DUMMYFUNCTION("""COMPUTED_VALUE"""),50)</f>
        <v>50</v>
      </c>
      <c r="F207">
        <f ca="1">IFERROR(__xludf.DUMMYFUNCTION("""COMPUTED_VALUE"""),14)</f>
        <v>14</v>
      </c>
      <c r="G207">
        <f ca="1">IFERROR(__xludf.DUMMYFUNCTION("""COMPUTED_VALUE"""),28)</f>
        <v>28</v>
      </c>
      <c r="H207">
        <f ca="1">IFERROR(__xludf.DUMMYFUNCTION("""COMPUTED_VALUE"""),-0.36)</f>
        <v>-0.36</v>
      </c>
    </row>
    <row r="208" spans="1:8" ht="12.75">
      <c r="A208" t="str">
        <f ca="1">IFERROR(__xludf.DUMMYFUNCTION("""COMPUTED_VALUE"""),"T206")</f>
        <v>T206</v>
      </c>
      <c r="B208">
        <f ca="1">IFERROR(__xludf.DUMMYFUNCTION("""COMPUTED_VALUE"""),186)</f>
        <v>186</v>
      </c>
      <c r="C208" t="str">
        <f ca="1">IFERROR(__xludf.DUMMYFUNCTION("""COMPUTED_VALUE"""),"Alex Noren")</f>
        <v>Alex Noren</v>
      </c>
      <c r="D208">
        <f ca="1">IFERROR(__xludf.DUMMYFUNCTION("""COMPUTED_VALUE"""),14)</f>
        <v>14</v>
      </c>
      <c r="E208">
        <f ca="1">IFERROR(__xludf.DUMMYFUNCTION("""COMPUTED_VALUE"""),50)</f>
        <v>50</v>
      </c>
      <c r="F208">
        <f ca="1">IFERROR(__xludf.DUMMYFUNCTION("""COMPUTED_VALUE"""),95)</f>
        <v>95</v>
      </c>
      <c r="G208">
        <f ca="1">IFERROR(__xludf.DUMMYFUNCTION("""COMPUTED_VALUE"""),190)</f>
        <v>190</v>
      </c>
      <c r="H208">
        <f ca="1">IFERROR(__xludf.DUMMYFUNCTION("""COMPUTED_VALUE"""),-0.11)</f>
        <v>-0.11</v>
      </c>
    </row>
    <row r="209" spans="1:8" ht="12.75">
      <c r="A209" t="str">
        <f ca="1">IFERROR(__xludf.DUMMYFUNCTION("""COMPUTED_VALUE"""),"T206")</f>
        <v>T206</v>
      </c>
      <c r="B209" t="str">
        <f ca="1">IFERROR(__xludf.DUMMYFUNCTION("""COMPUTED_VALUE"""),"T204")</f>
        <v>T204</v>
      </c>
      <c r="C209" t="str">
        <f ca="1">IFERROR(__xludf.DUMMYFUNCTION("""COMPUTED_VALUE"""),"Aaron Baddeley")</f>
        <v>Aaron Baddeley</v>
      </c>
      <c r="D209">
        <f ca="1">IFERROR(__xludf.DUMMYFUNCTION("""COMPUTED_VALUE"""),8)</f>
        <v>8</v>
      </c>
      <c r="E209">
        <f ca="1">IFERROR(__xludf.DUMMYFUNCTION("""COMPUTED_VALUE"""),50)</f>
        <v>50</v>
      </c>
      <c r="F209">
        <f ca="1">IFERROR(__xludf.DUMMYFUNCTION("""COMPUTED_VALUE"""),27)</f>
        <v>27</v>
      </c>
      <c r="G209">
        <f ca="1">IFERROR(__xludf.DUMMYFUNCTION("""COMPUTED_VALUE"""),54)</f>
        <v>54</v>
      </c>
      <c r="H209">
        <f ca="1">IFERROR(__xludf.DUMMYFUNCTION("""COMPUTED_VALUE"""),-0.15)</f>
        <v>-0.15</v>
      </c>
    </row>
    <row r="210" spans="1:8" ht="12.75">
      <c r="A210">
        <f ca="1">IFERROR(__xludf.DUMMYFUNCTION("""COMPUTED_VALUE"""),209)</f>
        <v>209</v>
      </c>
      <c r="B210">
        <f ca="1">IFERROR(__xludf.DUMMYFUNCTION("""COMPUTED_VALUE"""),202)</f>
        <v>202</v>
      </c>
      <c r="C210" t="str">
        <f ca="1">IFERROR(__xludf.DUMMYFUNCTION("""COMPUTED_VALUE"""),"Robby Shelton")</f>
        <v>Robby Shelton</v>
      </c>
      <c r="D210">
        <f ca="1">IFERROR(__xludf.DUMMYFUNCTION("""COMPUTED_VALUE"""),14)</f>
        <v>14</v>
      </c>
      <c r="E210">
        <f ca="1">IFERROR(__xludf.DUMMYFUNCTION("""COMPUTED_VALUE"""),49.74)</f>
        <v>49.74</v>
      </c>
      <c r="F210">
        <f ca="1">IFERROR(__xludf.DUMMYFUNCTION("""COMPUTED_VALUE"""),96)</f>
        <v>96</v>
      </c>
      <c r="G210">
        <f ca="1">IFERROR(__xludf.DUMMYFUNCTION("""COMPUTED_VALUE"""),193)</f>
        <v>193</v>
      </c>
      <c r="H210">
        <f ca="1">IFERROR(__xludf.DUMMYFUNCTION("""COMPUTED_VALUE"""),-0.13)</f>
        <v>-0.13</v>
      </c>
    </row>
    <row r="211" spans="1:8" ht="12.75">
      <c r="A211">
        <f ca="1">IFERROR(__xludf.DUMMYFUNCTION("""COMPUTED_VALUE"""),210)</f>
        <v>210</v>
      </c>
      <c r="B211" t="str">
        <f ca="1">IFERROR(__xludf.DUMMYFUNCTION("""COMPUTED_VALUE"""),"T197")</f>
        <v>T197</v>
      </c>
      <c r="C211" t="str">
        <f ca="1">IFERROR(__xludf.DUMMYFUNCTION("""COMPUTED_VALUE"""),"Tom Lewis")</f>
        <v>Tom Lewis</v>
      </c>
      <c r="D211">
        <f ca="1">IFERROR(__xludf.DUMMYFUNCTION("""COMPUTED_VALUE"""),12)</f>
        <v>12</v>
      </c>
      <c r="E211">
        <f ca="1">IFERROR(__xludf.DUMMYFUNCTION("""COMPUTED_VALUE"""),49.64)</f>
        <v>49.64</v>
      </c>
      <c r="F211">
        <f ca="1">IFERROR(__xludf.DUMMYFUNCTION("""COMPUTED_VALUE"""),68)</f>
        <v>68</v>
      </c>
      <c r="G211">
        <f ca="1">IFERROR(__xludf.DUMMYFUNCTION("""COMPUTED_VALUE"""),137)</f>
        <v>137</v>
      </c>
      <c r="H211">
        <f ca="1">IFERROR(__xludf.DUMMYFUNCTION("""COMPUTED_VALUE"""),-0.15)</f>
        <v>-0.15</v>
      </c>
    </row>
    <row r="212" spans="1:8" ht="12.75">
      <c r="A212" t="str">
        <f ca="1">IFERROR(__xludf.DUMMYFUNCTION("""COMPUTED_VALUE"""),"T211")</f>
        <v>T211</v>
      </c>
      <c r="B212">
        <f ca="1">IFERROR(__xludf.DUMMYFUNCTION("""COMPUTED_VALUE"""),209)</f>
        <v>209</v>
      </c>
      <c r="C212" t="str">
        <f ca="1">IFERROR(__xludf.DUMMYFUNCTION("""COMPUTED_VALUE"""),"Chesson Hadley")</f>
        <v>Chesson Hadley</v>
      </c>
      <c r="D212">
        <f ca="1">IFERROR(__xludf.DUMMYFUNCTION("""COMPUTED_VALUE"""),16)</f>
        <v>16</v>
      </c>
      <c r="E212">
        <f ca="1">IFERROR(__xludf.DUMMYFUNCTION("""COMPUTED_VALUE"""),49.4)</f>
        <v>49.4</v>
      </c>
      <c r="F212">
        <f ca="1">IFERROR(__xludf.DUMMYFUNCTION("""COMPUTED_VALUE"""),83)</f>
        <v>83</v>
      </c>
      <c r="G212">
        <f ca="1">IFERROR(__xludf.DUMMYFUNCTION("""COMPUTED_VALUE"""),168)</f>
        <v>168</v>
      </c>
      <c r="H212">
        <f ca="1">IFERROR(__xludf.DUMMYFUNCTION("""COMPUTED_VALUE"""),-0.23)</f>
        <v>-0.23</v>
      </c>
    </row>
    <row r="213" spans="1:8" ht="12.75">
      <c r="A213" t="str">
        <f ca="1">IFERROR(__xludf.DUMMYFUNCTION("""COMPUTED_VALUE"""),"T211")</f>
        <v>T211</v>
      </c>
      <c r="B213">
        <f ca="1">IFERROR(__xludf.DUMMYFUNCTION("""COMPUTED_VALUE"""),210)</f>
        <v>210</v>
      </c>
      <c r="C213" t="str">
        <f ca="1">IFERROR(__xludf.DUMMYFUNCTION("""COMPUTED_VALUE"""),"Wyndham Clark")</f>
        <v>Wyndham Clark</v>
      </c>
      <c r="D213">
        <f ca="1">IFERROR(__xludf.DUMMYFUNCTION("""COMPUTED_VALUE"""),16)</f>
        <v>16</v>
      </c>
      <c r="E213">
        <f ca="1">IFERROR(__xludf.DUMMYFUNCTION("""COMPUTED_VALUE"""),49.4)</f>
        <v>49.4</v>
      </c>
      <c r="F213">
        <f ca="1">IFERROR(__xludf.DUMMYFUNCTION("""COMPUTED_VALUE"""),82)</f>
        <v>82</v>
      </c>
      <c r="G213">
        <f ca="1">IFERROR(__xludf.DUMMYFUNCTION("""COMPUTED_VALUE"""),166)</f>
        <v>166</v>
      </c>
      <c r="H213">
        <f ca="1">IFERROR(__xludf.DUMMYFUNCTION("""COMPUTED_VALUE"""),-0.27)</f>
        <v>-0.27</v>
      </c>
    </row>
    <row r="214" spans="1:8" ht="12.75">
      <c r="A214">
        <f ca="1">IFERROR(__xludf.DUMMYFUNCTION("""COMPUTED_VALUE"""),213)</f>
        <v>213</v>
      </c>
      <c r="B214">
        <f ca="1">IFERROR(__xludf.DUMMYFUNCTION("""COMPUTED_VALUE"""),200)</f>
        <v>200</v>
      </c>
      <c r="C214" t="str">
        <f ca="1">IFERROR(__xludf.DUMMYFUNCTION("""COMPUTED_VALUE"""),"Camilo Villegas")</f>
        <v>Camilo Villegas</v>
      </c>
      <c r="D214">
        <f ca="1">IFERROR(__xludf.DUMMYFUNCTION("""COMPUTED_VALUE"""),14)</f>
        <v>14</v>
      </c>
      <c r="E214">
        <f ca="1">IFERROR(__xludf.DUMMYFUNCTION("""COMPUTED_VALUE"""),49.26)</f>
        <v>49.26</v>
      </c>
      <c r="F214">
        <f ca="1">IFERROR(__xludf.DUMMYFUNCTION("""COMPUTED_VALUE"""),67)</f>
        <v>67</v>
      </c>
      <c r="G214">
        <f ca="1">IFERROR(__xludf.DUMMYFUNCTION("""COMPUTED_VALUE"""),136)</f>
        <v>136</v>
      </c>
      <c r="H214">
        <f ca="1">IFERROR(__xludf.DUMMYFUNCTION("""COMPUTED_VALUE"""),-0.18)</f>
        <v>-0.18</v>
      </c>
    </row>
    <row r="215" spans="1:8" ht="12.75">
      <c r="A215">
        <f ca="1">IFERROR(__xludf.DUMMYFUNCTION("""COMPUTED_VALUE"""),214)</f>
        <v>214</v>
      </c>
      <c r="B215" t="str">
        <f ca="1">IFERROR(__xludf.DUMMYFUNCTION("""COMPUTED_VALUE"""),"")</f>
        <v/>
      </c>
      <c r="C215" t="str">
        <f ca="1">IFERROR(__xludf.DUMMYFUNCTION("""COMPUTED_VALUE"""),"Dawie van der Walt")</f>
        <v>Dawie van der Walt</v>
      </c>
      <c r="D215">
        <f ca="1">IFERROR(__xludf.DUMMYFUNCTION("""COMPUTED_VALUE"""),4)</f>
        <v>4</v>
      </c>
      <c r="E215">
        <f ca="1">IFERROR(__xludf.DUMMYFUNCTION("""COMPUTED_VALUE"""),49.02)</f>
        <v>49.02</v>
      </c>
      <c r="F215">
        <f ca="1">IFERROR(__xludf.DUMMYFUNCTION("""COMPUTED_VALUE"""),25)</f>
        <v>25</v>
      </c>
      <c r="G215">
        <f ca="1">IFERROR(__xludf.DUMMYFUNCTION("""COMPUTED_VALUE"""),51)</f>
        <v>51</v>
      </c>
      <c r="H215">
        <f ca="1">IFERROR(__xludf.DUMMYFUNCTION("""COMPUTED_VALUE"""),-0.16)</f>
        <v>-0.16</v>
      </c>
    </row>
    <row r="216" spans="1:8" ht="12.75">
      <c r="A216">
        <f ca="1">IFERROR(__xludf.DUMMYFUNCTION("""COMPUTED_VALUE"""),215)</f>
        <v>215</v>
      </c>
      <c r="B216" t="str">
        <f ca="1">IFERROR(__xludf.DUMMYFUNCTION("""COMPUTED_VALUE"""),"")</f>
        <v/>
      </c>
      <c r="C216" t="str">
        <f ca="1">IFERROR(__xludf.DUMMYFUNCTION("""COMPUTED_VALUE"""),"Justin Harding")</f>
        <v>Justin Harding</v>
      </c>
      <c r="D216">
        <f ca="1">IFERROR(__xludf.DUMMYFUNCTION("""COMPUTED_VALUE"""),6)</f>
        <v>6</v>
      </c>
      <c r="E216">
        <f ca="1">IFERROR(__xludf.DUMMYFUNCTION("""COMPUTED_VALUE"""),48.75)</f>
        <v>48.75</v>
      </c>
      <c r="F216">
        <f ca="1">IFERROR(__xludf.DUMMYFUNCTION("""COMPUTED_VALUE"""),39)</f>
        <v>39</v>
      </c>
      <c r="G216">
        <f ca="1">IFERROR(__xludf.DUMMYFUNCTION("""COMPUTED_VALUE"""),80)</f>
        <v>80</v>
      </c>
      <c r="H216">
        <f ca="1">IFERROR(__xludf.DUMMYFUNCTION("""COMPUTED_VALUE"""),-0.1)</f>
        <v>-0.1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IFERROR(__xludf.DUMMYFUNCTION("""COMPUTED_VALUE"""),213)</f>
        <v>213</v>
      </c>
      <c r="C217" t="str">
        <f ca="1">IFERROR(__xludf.DUMMYFUNCTION("""COMPUTED_VALUE"""),"Tyler McCumber")</f>
        <v>Tyler McCumber</v>
      </c>
      <c r="D217">
        <f ca="1">IFERROR(__xludf.DUMMYFUNCTION("""COMPUTED_VALUE"""),14)</f>
        <v>14</v>
      </c>
      <c r="E217">
        <f ca="1">IFERROR(__xludf.DUMMYFUNCTION("""COMPUTED_VALUE"""),48.65)</f>
        <v>48.65</v>
      </c>
      <c r="F217">
        <f ca="1">IFERROR(__xludf.DUMMYFUNCTION("""COMPUTED_VALUE"""),54)</f>
        <v>54</v>
      </c>
      <c r="G217">
        <f ca="1">IFERROR(__xludf.DUMMYFUNCTION("""COMPUTED_VALUE"""),111)</f>
        <v>111</v>
      </c>
      <c r="H217">
        <f ca="1">IFERROR(__xludf.DUMMYFUNCTION("""COMPUTED_VALUE"""),-0.2)</f>
        <v>-0.2</v>
      </c>
    </row>
    <row r="218" spans="1:8" ht="12.75">
      <c r="A218">
        <f ca="1">IFERROR(__xludf.DUMMYFUNCTION("""COMPUTED_VALUE"""),217)</f>
        <v>217</v>
      </c>
      <c r="B218" t="str">
        <f ca="1">IFERROR(__xludf.DUMMYFUNCTION("""COMPUTED_VALUE"""),"T204")</f>
        <v>T204</v>
      </c>
      <c r="C218" t="str">
        <f ca="1">IFERROR(__xludf.DUMMYFUNCTION("""COMPUTED_VALUE"""),"Adam Scott")</f>
        <v>Adam Scott</v>
      </c>
      <c r="D218">
        <f ca="1">IFERROR(__xludf.DUMMYFUNCTION("""COMPUTED_VALUE"""),8)</f>
        <v>8</v>
      </c>
      <c r="E218">
        <f ca="1">IFERROR(__xludf.DUMMYFUNCTION("""COMPUTED_VALUE"""),48.6)</f>
        <v>48.6</v>
      </c>
      <c r="F218">
        <f ca="1">IFERROR(__xludf.DUMMYFUNCTION("""COMPUTED_VALUE"""),52)</f>
        <v>52</v>
      </c>
      <c r="G218">
        <f ca="1">IFERROR(__xludf.DUMMYFUNCTION("""COMPUTED_VALUE"""),107)</f>
        <v>107</v>
      </c>
      <c r="H218">
        <f ca="1">IFERROR(__xludf.DUMMYFUNCTION("""COMPUTED_VALUE"""),-0.23)</f>
        <v>-0.23</v>
      </c>
    </row>
    <row r="219" spans="1:8" ht="12.75">
      <c r="A219">
        <f ca="1">IFERROR(__xludf.DUMMYFUNCTION("""COMPUTED_VALUE"""),218)</f>
        <v>218</v>
      </c>
      <c r="B219" t="str">
        <f ca="1">IFERROR(__xludf.DUMMYFUNCTION("""COMPUTED_VALUE"""),"T204")</f>
        <v>T204</v>
      </c>
      <c r="C219" t="str">
        <f ca="1">IFERROR(__xludf.DUMMYFUNCTION("""COMPUTED_VALUE"""),"Hunter Mahan")</f>
        <v>Hunter Mahan</v>
      </c>
      <c r="D219">
        <f ca="1">IFERROR(__xludf.DUMMYFUNCTION("""COMPUTED_VALUE"""),14)</f>
        <v>14</v>
      </c>
      <c r="E219">
        <f ca="1">IFERROR(__xludf.DUMMYFUNCTION("""COMPUTED_VALUE"""),48.55)</f>
        <v>48.55</v>
      </c>
      <c r="F219">
        <f ca="1">IFERROR(__xludf.DUMMYFUNCTION("""COMPUTED_VALUE"""),67)</f>
        <v>67</v>
      </c>
      <c r="G219">
        <f ca="1">IFERROR(__xludf.DUMMYFUNCTION("""COMPUTED_VALUE"""),138)</f>
        <v>138</v>
      </c>
      <c r="H219">
        <f ca="1">IFERROR(__xludf.DUMMYFUNCTION("""COMPUTED_VALUE"""),-0.03)</f>
        <v>-0.03</v>
      </c>
    </row>
    <row r="220" spans="1:8" ht="12.75">
      <c r="A220" t="str">
        <f ca="1">IFERROR(__xludf.DUMMYFUNCTION("""COMPUTED_VALUE"""),"T219")</f>
        <v>T219</v>
      </c>
      <c r="B220" t="str">
        <f ca="1">IFERROR(__xludf.DUMMYFUNCTION("""COMPUTED_VALUE"""),"T214")</f>
        <v>T214</v>
      </c>
      <c r="C220" t="str">
        <f ca="1">IFERROR(__xludf.DUMMYFUNCTION("""COMPUTED_VALUE"""),"Bernd Wiesberger")</f>
        <v>Bernd Wiesberger</v>
      </c>
      <c r="D220">
        <f ca="1">IFERROR(__xludf.DUMMYFUNCTION("""COMPUTED_VALUE"""),4)</f>
        <v>4</v>
      </c>
      <c r="E220">
        <f ca="1">IFERROR(__xludf.DUMMYFUNCTION("""COMPUTED_VALUE"""),48.21)</f>
        <v>48.21</v>
      </c>
      <c r="F220">
        <f ca="1">IFERROR(__xludf.DUMMYFUNCTION("""COMPUTED_VALUE"""),27)</f>
        <v>27</v>
      </c>
      <c r="G220">
        <f ca="1">IFERROR(__xludf.DUMMYFUNCTION("""COMPUTED_VALUE"""),56)</f>
        <v>56</v>
      </c>
      <c r="H220" t="str">
        <f ca="1">IFERROR(__xludf.DUMMYFUNCTION("""COMPUTED_VALUE"""),"+0.15")</f>
        <v>+0.15</v>
      </c>
    </row>
    <row r="221" spans="1:8" ht="12.75">
      <c r="A221" t="str">
        <f ca="1">IFERROR(__xludf.DUMMYFUNCTION("""COMPUTED_VALUE"""),"T219")</f>
        <v>T219</v>
      </c>
      <c r="B221" t="str">
        <f ca="1">IFERROR(__xludf.DUMMYFUNCTION("""COMPUTED_VALUE"""),"T214")</f>
        <v>T214</v>
      </c>
      <c r="C221" t="str">
        <f ca="1">IFERROR(__xludf.DUMMYFUNCTION("""COMPUTED_VALUE"""),"Sebastian Cappelen")</f>
        <v>Sebastian Cappelen</v>
      </c>
      <c r="D221">
        <f ca="1">IFERROR(__xludf.DUMMYFUNCTION("""COMPUTED_VALUE"""),8)</f>
        <v>8</v>
      </c>
      <c r="E221">
        <f ca="1">IFERROR(__xludf.DUMMYFUNCTION("""COMPUTED_VALUE"""),48.21)</f>
        <v>48.21</v>
      </c>
      <c r="F221">
        <f ca="1">IFERROR(__xludf.DUMMYFUNCTION("""COMPUTED_VALUE"""),27)</f>
        <v>27</v>
      </c>
      <c r="G221">
        <f ca="1">IFERROR(__xludf.DUMMYFUNCTION("""COMPUTED_VALUE"""),56)</f>
        <v>56</v>
      </c>
      <c r="H221">
        <f ca="1">IFERROR(__xludf.DUMMYFUNCTION("""COMPUTED_VALUE"""),-0.22)</f>
        <v>-0.22</v>
      </c>
    </row>
    <row r="222" spans="1:8" ht="12.75">
      <c r="A222" t="str">
        <f ca="1">IFERROR(__xludf.DUMMYFUNCTION("""COMPUTED_VALUE"""),"T219")</f>
        <v>T219</v>
      </c>
      <c r="B222" t="str">
        <f ca="1">IFERROR(__xludf.DUMMYFUNCTION("""COMPUTED_VALUE"""),"T214")</f>
        <v>T214</v>
      </c>
      <c r="C222" t="str">
        <f ca="1">IFERROR(__xludf.DUMMYFUNCTION("""COMPUTED_VALUE"""),"Jaekyeong Lee")</f>
        <v>Jaekyeong Lee</v>
      </c>
      <c r="D222">
        <f ca="1">IFERROR(__xludf.DUMMYFUNCTION("""COMPUTED_VALUE"""),4)</f>
        <v>4</v>
      </c>
      <c r="E222">
        <f ca="1">IFERROR(__xludf.DUMMYFUNCTION("""COMPUTED_VALUE"""),48.21)</f>
        <v>48.21</v>
      </c>
      <c r="F222">
        <f ca="1">IFERROR(__xludf.DUMMYFUNCTION("""COMPUTED_VALUE"""),27)</f>
        <v>27</v>
      </c>
      <c r="G222">
        <f ca="1">IFERROR(__xludf.DUMMYFUNCTION("""COMPUTED_VALUE"""),56)</f>
        <v>56</v>
      </c>
      <c r="H222">
        <f ca="1">IFERROR(__xludf.DUMMYFUNCTION("""COMPUTED_VALUE"""),-0.41)</f>
        <v>-0.41</v>
      </c>
    </row>
    <row r="223" spans="1:8" ht="12.75">
      <c r="A223" t="str">
        <f ca="1">IFERROR(__xludf.DUMMYFUNCTION("""COMPUTED_VALUE"""),"T219")</f>
        <v>T219</v>
      </c>
      <c r="B223" t="str">
        <f ca="1">IFERROR(__xludf.DUMMYFUNCTION("""COMPUTED_VALUE"""),"T214")</f>
        <v>T214</v>
      </c>
      <c r="C223" t="str">
        <f ca="1">IFERROR(__xludf.DUMMYFUNCTION("""COMPUTED_VALUE"""),"Tae Hee Lee")</f>
        <v>Tae Hee Lee</v>
      </c>
      <c r="D223">
        <f ca="1">IFERROR(__xludf.DUMMYFUNCTION("""COMPUTED_VALUE"""),4)</f>
        <v>4</v>
      </c>
      <c r="E223">
        <f ca="1">IFERROR(__xludf.DUMMYFUNCTION("""COMPUTED_VALUE"""),48.21)</f>
        <v>48.21</v>
      </c>
      <c r="F223">
        <f ca="1">IFERROR(__xludf.DUMMYFUNCTION("""COMPUTED_VALUE"""),27)</f>
        <v>27</v>
      </c>
      <c r="G223">
        <f ca="1">IFERROR(__xludf.DUMMYFUNCTION("""COMPUTED_VALUE"""),56)</f>
        <v>56</v>
      </c>
      <c r="H223" t="str">
        <f ca="1">IFERROR(__xludf.DUMMYFUNCTION("""COMPUTED_VALUE"""),"+0.04")</f>
        <v>+0.04</v>
      </c>
    </row>
    <row r="224" spans="1:8" ht="12.75">
      <c r="A224" t="str">
        <f ca="1">IFERROR(__xludf.DUMMYFUNCTION("""COMPUTED_VALUE"""),"T223")</f>
        <v>T223</v>
      </c>
      <c r="B224">
        <f ca="1">IFERROR(__xludf.DUMMYFUNCTION("""COMPUTED_VALUE"""),219)</f>
        <v>219</v>
      </c>
      <c r="C224" t="str">
        <f ca="1">IFERROR(__xludf.DUMMYFUNCTION("""COMPUTED_VALUE"""),"Maverick McNealy")</f>
        <v>Maverick McNealy</v>
      </c>
      <c r="D224">
        <f ca="1">IFERROR(__xludf.DUMMYFUNCTION("""COMPUTED_VALUE"""),16)</f>
        <v>16</v>
      </c>
      <c r="E224">
        <f ca="1">IFERROR(__xludf.DUMMYFUNCTION("""COMPUTED_VALUE"""),48.15)</f>
        <v>48.15</v>
      </c>
      <c r="F224">
        <f ca="1">IFERROR(__xludf.DUMMYFUNCTION("""COMPUTED_VALUE"""),78)</f>
        <v>78</v>
      </c>
      <c r="G224">
        <f ca="1">IFERROR(__xludf.DUMMYFUNCTION("""COMPUTED_VALUE"""),162)</f>
        <v>162</v>
      </c>
      <c r="H224">
        <f ca="1">IFERROR(__xludf.DUMMYFUNCTION("""COMPUTED_VALUE"""),-0.23)</f>
        <v>-0.23</v>
      </c>
    </row>
    <row r="225" spans="1:8" ht="12.75">
      <c r="A225" t="str">
        <f ca="1">IFERROR(__xludf.DUMMYFUNCTION("""COMPUTED_VALUE"""),"T223")</f>
        <v>T223</v>
      </c>
      <c r="B225">
        <f ca="1">IFERROR(__xludf.DUMMYFUNCTION("""COMPUTED_VALUE"""),220)</f>
        <v>220</v>
      </c>
      <c r="C225" t="str">
        <f ca="1">IFERROR(__xludf.DUMMYFUNCTION("""COMPUTED_VALUE"""),"Zack Sucher")</f>
        <v>Zack Sucher</v>
      </c>
      <c r="D225">
        <f ca="1">IFERROR(__xludf.DUMMYFUNCTION("""COMPUTED_VALUE"""),6)</f>
        <v>6</v>
      </c>
      <c r="E225">
        <f ca="1">IFERROR(__xludf.DUMMYFUNCTION("""COMPUTED_VALUE"""),48.15)</f>
        <v>48.15</v>
      </c>
      <c r="F225">
        <f ca="1">IFERROR(__xludf.DUMMYFUNCTION("""COMPUTED_VALUE"""),13)</f>
        <v>13</v>
      </c>
      <c r="G225">
        <f ca="1">IFERROR(__xludf.DUMMYFUNCTION("""COMPUTED_VALUE"""),27)</f>
        <v>27</v>
      </c>
      <c r="H225">
        <f ca="1">IFERROR(__xludf.DUMMYFUNCTION("""COMPUTED_VALUE"""),-0.08)</f>
        <v>-0.08</v>
      </c>
    </row>
    <row r="226" spans="1:8" ht="12.75">
      <c r="A226" t="str">
        <f ca="1">IFERROR(__xludf.DUMMYFUNCTION("""COMPUTED_VALUE"""),"T225")</f>
        <v>T225</v>
      </c>
      <c r="B226" t="str">
        <f ca="1">IFERROR(__xludf.DUMMYFUNCTION("""COMPUTED_VALUE"""),"T187")</f>
        <v>T187</v>
      </c>
      <c r="C226" t="str">
        <f ca="1">IFERROR(__xludf.DUMMYFUNCTION("""COMPUTED_VALUE"""),"Kevin Tway")</f>
        <v>Kevin Tway</v>
      </c>
      <c r="D226">
        <f ca="1">IFERROR(__xludf.DUMMYFUNCTION("""COMPUTED_VALUE"""),16)</f>
        <v>16</v>
      </c>
      <c r="E226">
        <f ca="1">IFERROR(__xludf.DUMMYFUNCTION("""COMPUTED_VALUE"""),47.71)</f>
        <v>47.71</v>
      </c>
      <c r="F226">
        <f ca="1">IFERROR(__xludf.DUMMYFUNCTION("""COMPUTED_VALUE"""),52)</f>
        <v>52</v>
      </c>
      <c r="G226">
        <f ca="1">IFERROR(__xludf.DUMMYFUNCTION("""COMPUTED_VALUE"""),109)</f>
        <v>109</v>
      </c>
      <c r="H226">
        <f ca="1">IFERROR(__xludf.DUMMYFUNCTION("""COMPUTED_VALUE"""),-0.12)</f>
        <v>-0.12</v>
      </c>
    </row>
    <row r="227" spans="1:8" ht="12.75">
      <c r="A227" t="str">
        <f ca="1">IFERROR(__xludf.DUMMYFUNCTION("""COMPUTED_VALUE"""),"T225")</f>
        <v>T225</v>
      </c>
      <c r="B227">
        <f ca="1">IFERROR(__xludf.DUMMYFUNCTION("""COMPUTED_VALUE"""),218)</f>
        <v>218</v>
      </c>
      <c r="C227" t="str">
        <f ca="1">IFERROR(__xludf.DUMMYFUNCTION("""COMPUTED_VALUE"""),"D.A. Points")</f>
        <v>D.A. Points</v>
      </c>
      <c r="D227">
        <f ca="1">IFERROR(__xludf.DUMMYFUNCTION("""COMPUTED_VALUE"""),12)</f>
        <v>12</v>
      </c>
      <c r="E227">
        <f ca="1">IFERROR(__xludf.DUMMYFUNCTION("""COMPUTED_VALUE"""),47.71)</f>
        <v>47.71</v>
      </c>
      <c r="F227">
        <f ca="1">IFERROR(__xludf.DUMMYFUNCTION("""COMPUTED_VALUE"""),52)</f>
        <v>52</v>
      </c>
      <c r="G227">
        <f ca="1">IFERROR(__xludf.DUMMYFUNCTION("""COMPUTED_VALUE"""),109)</f>
        <v>109</v>
      </c>
      <c r="H227">
        <f ca="1">IFERROR(__xludf.DUMMYFUNCTION("""COMPUTED_VALUE"""),-0.12)</f>
        <v>-0.12</v>
      </c>
    </row>
    <row r="228" spans="1:8" ht="12.75">
      <c r="A228">
        <f ca="1">IFERROR(__xludf.DUMMYFUNCTION("""COMPUTED_VALUE"""),227)</f>
        <v>227</v>
      </c>
      <c r="B228">
        <f ca="1">IFERROR(__xludf.DUMMYFUNCTION("""COMPUTED_VALUE"""),212)</f>
        <v>212</v>
      </c>
      <c r="C228" t="str">
        <f ca="1">IFERROR(__xludf.DUMMYFUNCTION("""COMPUTED_VALUE"""),"Jordan Spieth")</f>
        <v>Jordan Spieth</v>
      </c>
      <c r="D228">
        <f ca="1">IFERROR(__xludf.DUMMYFUNCTION("""COMPUTED_VALUE"""),14)</f>
        <v>14</v>
      </c>
      <c r="E228">
        <f ca="1">IFERROR(__xludf.DUMMYFUNCTION("""COMPUTED_VALUE"""),47.59)</f>
        <v>47.59</v>
      </c>
      <c r="F228">
        <f ca="1">IFERROR(__xludf.DUMMYFUNCTION("""COMPUTED_VALUE"""),89)</f>
        <v>89</v>
      </c>
      <c r="G228">
        <f ca="1">IFERROR(__xludf.DUMMYFUNCTION("""COMPUTED_VALUE"""),187)</f>
        <v>187</v>
      </c>
      <c r="H228">
        <f ca="1">IFERROR(__xludf.DUMMYFUNCTION("""COMPUTED_VALUE"""),-0.27)</f>
        <v>-0.27</v>
      </c>
    </row>
    <row r="229" spans="1:8" ht="12.75">
      <c r="A229">
        <f ca="1">IFERROR(__xludf.DUMMYFUNCTION("""COMPUTED_VALUE"""),228)</f>
        <v>228</v>
      </c>
      <c r="B229">
        <f ca="1">IFERROR(__xludf.DUMMYFUNCTION("""COMPUTED_VALUE"""),221)</f>
        <v>221</v>
      </c>
      <c r="C229" t="str">
        <f ca="1">IFERROR(__xludf.DUMMYFUNCTION("""COMPUTED_VALUE"""),"Nick Watney")</f>
        <v>Nick Watney</v>
      </c>
      <c r="D229">
        <f ca="1">IFERROR(__xludf.DUMMYFUNCTION("""COMPUTED_VALUE"""),10)</f>
        <v>10</v>
      </c>
      <c r="E229">
        <f ca="1">IFERROR(__xludf.DUMMYFUNCTION("""COMPUTED_VALUE"""),47.27)</f>
        <v>47.27</v>
      </c>
      <c r="F229">
        <f ca="1">IFERROR(__xludf.DUMMYFUNCTION("""COMPUTED_VALUE"""),52)</f>
        <v>52</v>
      </c>
      <c r="G229">
        <f ca="1">IFERROR(__xludf.DUMMYFUNCTION("""COMPUTED_VALUE"""),110)</f>
        <v>110</v>
      </c>
      <c r="H229">
        <f ca="1">IFERROR(__xludf.DUMMYFUNCTION("""COMPUTED_VALUE"""),-0.27)</f>
        <v>-0.27</v>
      </c>
    </row>
    <row r="230" spans="1:8" ht="12.75">
      <c r="A230">
        <f ca="1">IFERROR(__xludf.DUMMYFUNCTION("""COMPUTED_VALUE"""),229)</f>
        <v>229</v>
      </c>
      <c r="B230" t="str">
        <f ca="1">IFERROR(__xludf.DUMMYFUNCTION("""COMPUTED_VALUE"""),"T248")</f>
        <v>T248</v>
      </c>
      <c r="C230" t="str">
        <f ca="1">IFERROR(__xludf.DUMMYFUNCTION("""COMPUTED_VALUE"""),"Brooks Koepka")</f>
        <v>Brooks Koepka</v>
      </c>
      <c r="D230">
        <f ca="1">IFERROR(__xludf.DUMMYFUNCTION("""COMPUTED_VALUE"""),8)</f>
        <v>8</v>
      </c>
      <c r="E230">
        <f ca="1">IFERROR(__xludf.DUMMYFUNCTION("""COMPUTED_VALUE"""),47.22)</f>
        <v>47.22</v>
      </c>
      <c r="F230">
        <f ca="1">IFERROR(__xludf.DUMMYFUNCTION("""COMPUTED_VALUE"""),51)</f>
        <v>51</v>
      </c>
      <c r="G230">
        <f ca="1">IFERROR(__xludf.DUMMYFUNCTION("""COMPUTED_VALUE"""),108)</f>
        <v>108</v>
      </c>
      <c r="H230">
        <f ca="1">IFERROR(__xludf.DUMMYFUNCTION("""COMPUTED_VALUE"""),-0.39)</f>
        <v>-0.39</v>
      </c>
    </row>
    <row r="231" spans="1:8" ht="12.75">
      <c r="A231">
        <f ca="1">IFERROR(__xludf.DUMMYFUNCTION("""COMPUTED_VALUE"""),230)</f>
        <v>230</v>
      </c>
      <c r="B231" t="str">
        <f ca="1">IFERROR(__xludf.DUMMYFUNCTION("""COMPUTED_VALUE"""),"T222")</f>
        <v>T222</v>
      </c>
      <c r="C231" t="str">
        <f ca="1">IFERROR(__xludf.DUMMYFUNCTION("""COMPUTED_VALUE"""),"Jonathan Byrd")</f>
        <v>Jonathan Byrd</v>
      </c>
      <c r="D231">
        <f ca="1">IFERROR(__xludf.DUMMYFUNCTION("""COMPUTED_VALUE"""),14)</f>
        <v>14</v>
      </c>
      <c r="E231">
        <f ca="1">IFERROR(__xludf.DUMMYFUNCTION("""COMPUTED_VALUE"""),46.99)</f>
        <v>46.99</v>
      </c>
      <c r="F231">
        <f ca="1">IFERROR(__xludf.DUMMYFUNCTION("""COMPUTED_VALUE"""),39)</f>
        <v>39</v>
      </c>
      <c r="G231">
        <f ca="1">IFERROR(__xludf.DUMMYFUNCTION("""COMPUTED_VALUE"""),83)</f>
        <v>83</v>
      </c>
      <c r="H231">
        <f ca="1">IFERROR(__xludf.DUMMYFUNCTION("""COMPUTED_VALUE"""),-0.13)</f>
        <v>-0.13</v>
      </c>
    </row>
    <row r="232" spans="1:8" ht="12.75">
      <c r="A232">
        <f ca="1">IFERROR(__xludf.DUMMYFUNCTION("""COMPUTED_VALUE"""),231)</f>
        <v>231</v>
      </c>
      <c r="B232">
        <f ca="1">IFERROR(__xludf.DUMMYFUNCTION("""COMPUTED_VALUE"""),224)</f>
        <v>224</v>
      </c>
      <c r="C232" t="str">
        <f ca="1">IFERROR(__xludf.DUMMYFUNCTION("""COMPUTED_VALUE"""),"Anirban Lahiri")</f>
        <v>Anirban Lahiri</v>
      </c>
      <c r="D232">
        <f ca="1">IFERROR(__xludf.DUMMYFUNCTION("""COMPUTED_VALUE"""),16)</f>
        <v>16</v>
      </c>
      <c r="E232">
        <f ca="1">IFERROR(__xludf.DUMMYFUNCTION("""COMPUTED_VALUE"""),46.79)</f>
        <v>46.79</v>
      </c>
      <c r="F232">
        <f ca="1">IFERROR(__xludf.DUMMYFUNCTION("""COMPUTED_VALUE"""),51)</f>
        <v>51</v>
      </c>
      <c r="G232">
        <f ca="1">IFERROR(__xludf.DUMMYFUNCTION("""COMPUTED_VALUE"""),109)</f>
        <v>109</v>
      </c>
      <c r="H232">
        <f ca="1">IFERROR(__xludf.DUMMYFUNCTION("""COMPUTED_VALUE"""),-0.29)</f>
        <v>-0.28999999999999998</v>
      </c>
    </row>
    <row r="233" spans="1:8" ht="12.75">
      <c r="A233" t="str">
        <f ca="1">IFERROR(__xludf.DUMMYFUNCTION("""COMPUTED_VALUE"""),"T232")</f>
        <v>T232</v>
      </c>
      <c r="B233" t="str">
        <f ca="1">IFERROR(__xludf.DUMMYFUNCTION("""COMPUTED_VALUE"""),"T225")</f>
        <v>T225</v>
      </c>
      <c r="C233" t="str">
        <f ca="1">IFERROR(__xludf.DUMMYFUNCTION("""COMPUTED_VALUE"""),"Ryan Blaum")</f>
        <v>Ryan Blaum</v>
      </c>
      <c r="D233">
        <f ca="1">IFERROR(__xludf.DUMMYFUNCTION("""COMPUTED_VALUE"""),8)</f>
        <v>8</v>
      </c>
      <c r="E233">
        <f ca="1">IFERROR(__xludf.DUMMYFUNCTION("""COMPUTED_VALUE"""),46.43)</f>
        <v>46.43</v>
      </c>
      <c r="F233">
        <f ca="1">IFERROR(__xludf.DUMMYFUNCTION("""COMPUTED_VALUE"""),26)</f>
        <v>26</v>
      </c>
      <c r="G233">
        <f ca="1">IFERROR(__xludf.DUMMYFUNCTION("""COMPUTED_VALUE"""),56)</f>
        <v>56</v>
      </c>
      <c r="H233">
        <f ca="1">IFERROR(__xludf.DUMMYFUNCTION("""COMPUTED_VALUE"""),-0.42)</f>
        <v>-0.42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IFERROR(__xludf.DUMMYFUNCTION("""COMPUTED_VALUE"""),"T225")</f>
        <v>T225</v>
      </c>
      <c r="C234" t="str">
        <f ca="1">IFERROR(__xludf.DUMMYFUNCTION("""COMPUTED_VALUE"""),"John Senden")</f>
        <v>John Senden</v>
      </c>
      <c r="D234">
        <f ca="1">IFERROR(__xludf.DUMMYFUNCTION("""COMPUTED_VALUE"""),8)</f>
        <v>8</v>
      </c>
      <c r="E234">
        <f ca="1">IFERROR(__xludf.DUMMYFUNCTION("""COMPUTED_VALUE"""),46.43)</f>
        <v>46.43</v>
      </c>
      <c r="F234">
        <f ca="1">IFERROR(__xludf.DUMMYFUNCTION("""COMPUTED_VALUE"""),13)</f>
        <v>13</v>
      </c>
      <c r="G234">
        <f ca="1">IFERROR(__xludf.DUMMYFUNCTION("""COMPUTED_VALUE"""),28)</f>
        <v>28</v>
      </c>
      <c r="H234" t="str">
        <f ca="1">IFERROR(__xludf.DUMMYFUNCTION("""COMPUTED_VALUE"""),"E")</f>
        <v>E</v>
      </c>
    </row>
    <row r="235" spans="1:8" ht="12.75">
      <c r="A235" t="str">
        <f ca="1">IFERROR(__xludf.DUMMYFUNCTION("""COMPUTED_VALUE"""),"T232")</f>
        <v>T232</v>
      </c>
      <c r="B235" t="str">
        <f ca="1">IFERROR(__xludf.DUMMYFUNCTION("""COMPUTED_VALUE"""),"T225")</f>
        <v>T225</v>
      </c>
      <c r="C235" t="str">
        <f ca="1">IFERROR(__xludf.DUMMYFUNCTION("""COMPUTED_VALUE"""),"Lucas Herbert")</f>
        <v>Lucas Herbert</v>
      </c>
      <c r="D235">
        <f ca="1">IFERROR(__xludf.DUMMYFUNCTION("""COMPUTED_VALUE"""),4)</f>
        <v>4</v>
      </c>
      <c r="E235">
        <f ca="1">IFERROR(__xludf.DUMMYFUNCTION("""COMPUTED_VALUE"""),46.43)</f>
        <v>46.43</v>
      </c>
      <c r="F235">
        <f ca="1">IFERROR(__xludf.DUMMYFUNCTION("""COMPUTED_VALUE"""),26)</f>
        <v>26</v>
      </c>
      <c r="G235">
        <f ca="1">IFERROR(__xludf.DUMMYFUNCTION("""COMPUTED_VALUE"""),56)</f>
        <v>56</v>
      </c>
      <c r="H235">
        <f ca="1">IFERROR(__xludf.DUMMYFUNCTION("""COMPUTED_VALUE"""),-0.12)</f>
        <v>-0.12</v>
      </c>
    </row>
    <row r="236" spans="1:8" ht="12.75">
      <c r="A236" t="str">
        <f ca="1">IFERROR(__xludf.DUMMYFUNCTION("""COMPUTED_VALUE"""),"T232")</f>
        <v>T232</v>
      </c>
      <c r="B236" t="str">
        <f ca="1">IFERROR(__xludf.DUMMYFUNCTION("""COMPUTED_VALUE"""),"T225")</f>
        <v>T225</v>
      </c>
      <c r="C236" t="str">
        <f ca="1">IFERROR(__xludf.DUMMYFUNCTION("""COMPUTED_VALUE"""),"Dominic Bozzelli")</f>
        <v>Dominic Bozzelli</v>
      </c>
      <c r="D236">
        <f ca="1">IFERROR(__xludf.DUMMYFUNCTION("""COMPUTED_VALUE"""),8)</f>
        <v>8</v>
      </c>
      <c r="E236">
        <f ca="1">IFERROR(__xludf.DUMMYFUNCTION("""COMPUTED_VALUE"""),46.43)</f>
        <v>46.43</v>
      </c>
      <c r="F236">
        <f ca="1">IFERROR(__xludf.DUMMYFUNCTION("""COMPUTED_VALUE"""),13)</f>
        <v>13</v>
      </c>
      <c r="G236">
        <f ca="1">IFERROR(__xludf.DUMMYFUNCTION("""COMPUTED_VALUE"""),28)</f>
        <v>28</v>
      </c>
      <c r="H236" t="str">
        <f ca="1">IFERROR(__xludf.DUMMYFUNCTION("""COMPUTED_VALUE"""),"E")</f>
        <v>E</v>
      </c>
    </row>
    <row r="237" spans="1:8" ht="12.75">
      <c r="A237" t="str">
        <f ca="1">IFERROR(__xludf.DUMMYFUNCTION("""COMPUTED_VALUE"""),"T232")</f>
        <v>T232</v>
      </c>
      <c r="B237" t="str">
        <f ca="1">IFERROR(__xludf.DUMMYFUNCTION("""COMPUTED_VALUE"""),"T225")</f>
        <v>T225</v>
      </c>
      <c r="C237" t="str">
        <f ca="1">IFERROR(__xludf.DUMMYFUNCTION("""COMPUTED_VALUE"""),"Thomas Detry")</f>
        <v>Thomas Detry</v>
      </c>
      <c r="D237">
        <f ca="1">IFERROR(__xludf.DUMMYFUNCTION("""COMPUTED_VALUE"""),8)</f>
        <v>8</v>
      </c>
      <c r="E237">
        <f ca="1">IFERROR(__xludf.DUMMYFUNCTION("""COMPUTED_VALUE"""),46.43)</f>
        <v>46.43</v>
      </c>
      <c r="F237">
        <f ca="1">IFERROR(__xludf.DUMMYFUNCTION("""COMPUTED_VALUE"""),26)</f>
        <v>26</v>
      </c>
      <c r="G237">
        <f ca="1">IFERROR(__xludf.DUMMYFUNCTION("""COMPUTED_VALUE"""),56)</f>
        <v>56</v>
      </c>
      <c r="H237">
        <f ca="1">IFERROR(__xludf.DUMMYFUNCTION("""COMPUTED_VALUE"""),-0.04)</f>
        <v>-0.04</v>
      </c>
    </row>
    <row r="238" spans="1:8" ht="12.75">
      <c r="A238" t="str">
        <f ca="1">IFERROR(__xludf.DUMMYFUNCTION("""COMPUTED_VALUE"""),"T232")</f>
        <v>T232</v>
      </c>
      <c r="B238" t="str">
        <f ca="1">IFERROR(__xludf.DUMMYFUNCTION("""COMPUTED_VALUE"""),"T225")</f>
        <v>T225</v>
      </c>
      <c r="C238" t="str">
        <f ca="1">IFERROR(__xludf.DUMMYFUNCTION("""COMPUTED_VALUE"""),"Hanbyeol Kim")</f>
        <v>Hanbyeol Kim</v>
      </c>
      <c r="D238">
        <f ca="1">IFERROR(__xludf.DUMMYFUNCTION("""COMPUTED_VALUE"""),4)</f>
        <v>4</v>
      </c>
      <c r="E238">
        <f ca="1">IFERROR(__xludf.DUMMYFUNCTION("""COMPUTED_VALUE"""),46.43)</f>
        <v>46.43</v>
      </c>
      <c r="F238">
        <f ca="1">IFERROR(__xludf.DUMMYFUNCTION("""COMPUTED_VALUE"""),26)</f>
        <v>26</v>
      </c>
      <c r="G238">
        <f ca="1">IFERROR(__xludf.DUMMYFUNCTION("""COMPUTED_VALUE"""),56)</f>
        <v>56</v>
      </c>
      <c r="H238">
        <f ca="1">IFERROR(__xludf.DUMMYFUNCTION("""COMPUTED_VALUE"""),-0.27)</f>
        <v>-0.27</v>
      </c>
    </row>
    <row r="239" spans="1:8" ht="12.75">
      <c r="A239">
        <f ca="1">IFERROR(__xludf.DUMMYFUNCTION("""COMPUTED_VALUE"""),238)</f>
        <v>238</v>
      </c>
      <c r="B239" t="str">
        <f ca="1">IFERROR(__xludf.DUMMYFUNCTION("""COMPUTED_VALUE"""),"T233")</f>
        <v>T233</v>
      </c>
      <c r="C239" t="str">
        <f ca="1">IFERROR(__xludf.DUMMYFUNCTION("""COMPUTED_VALUE"""),"Michael Kim")</f>
        <v>Michael Kim</v>
      </c>
      <c r="D239">
        <f ca="1">IFERROR(__xludf.DUMMYFUNCTION("""COMPUTED_VALUE"""),12)</f>
        <v>12</v>
      </c>
      <c r="E239">
        <f ca="1">IFERROR(__xludf.DUMMYFUNCTION("""COMPUTED_VALUE"""),46.3)</f>
        <v>46.3</v>
      </c>
      <c r="F239">
        <f ca="1">IFERROR(__xludf.DUMMYFUNCTION("""COMPUTED_VALUE"""),50)</f>
        <v>50</v>
      </c>
      <c r="G239">
        <f ca="1">IFERROR(__xludf.DUMMYFUNCTION("""COMPUTED_VALUE"""),108)</f>
        <v>108</v>
      </c>
      <c r="H239">
        <f ca="1">IFERROR(__xludf.DUMMYFUNCTION("""COMPUTED_VALUE"""),-0.24)</f>
        <v>-0.24</v>
      </c>
    </row>
    <row r="240" spans="1:8" ht="12.75">
      <c r="A240">
        <f ca="1">IFERROR(__xludf.DUMMYFUNCTION("""COMPUTED_VALUE"""),239)</f>
        <v>239</v>
      </c>
      <c r="B240" t="str">
        <f ca="1">IFERROR(__xludf.DUMMYFUNCTION("""COMPUTED_VALUE"""),"")</f>
        <v/>
      </c>
      <c r="C240" t="str">
        <f ca="1">IFERROR(__xludf.DUMMYFUNCTION("""COMPUTED_VALUE"""),"Erik Barnes")</f>
        <v>Erik Barnes</v>
      </c>
      <c r="D240">
        <f ca="1">IFERROR(__xludf.DUMMYFUNCTION("""COMPUTED_VALUE"""),4)</f>
        <v>4</v>
      </c>
      <c r="E240">
        <f ca="1">IFERROR(__xludf.DUMMYFUNCTION("""COMPUTED_VALUE"""),46.15)</f>
        <v>46.15</v>
      </c>
      <c r="F240">
        <f ca="1">IFERROR(__xludf.DUMMYFUNCTION("""COMPUTED_VALUE"""),24)</f>
        <v>24</v>
      </c>
      <c r="G240">
        <f ca="1">IFERROR(__xludf.DUMMYFUNCTION("""COMPUTED_VALUE"""),52)</f>
        <v>52</v>
      </c>
      <c r="H240">
        <f ca="1">IFERROR(__xludf.DUMMYFUNCTION("""COMPUTED_VALUE"""),-0.21)</f>
        <v>-0.21</v>
      </c>
    </row>
    <row r="241" spans="1:8" ht="12.75">
      <c r="A241">
        <f ca="1">IFERROR(__xludf.DUMMYFUNCTION("""COMPUTED_VALUE"""),240)</f>
        <v>240</v>
      </c>
      <c r="B241" t="str">
        <f ca="1">IFERROR(__xludf.DUMMYFUNCTION("""COMPUTED_VALUE"""),"T233")</f>
        <v>T233</v>
      </c>
      <c r="C241" t="str">
        <f ca="1">IFERROR(__xludf.DUMMYFUNCTION("""COMPUTED_VALUE"""),"Hank Lebioda")</f>
        <v>Hank Lebioda</v>
      </c>
      <c r="D241">
        <f ca="1">IFERROR(__xludf.DUMMYFUNCTION("""COMPUTED_VALUE"""),14)</f>
        <v>14</v>
      </c>
      <c r="E241">
        <f ca="1">IFERROR(__xludf.DUMMYFUNCTION("""COMPUTED_VALUE"""),45.12)</f>
        <v>45.12</v>
      </c>
      <c r="F241">
        <f ca="1">IFERROR(__xludf.DUMMYFUNCTION("""COMPUTED_VALUE"""),37)</f>
        <v>37</v>
      </c>
      <c r="G241">
        <f ca="1">IFERROR(__xludf.DUMMYFUNCTION("""COMPUTED_VALUE"""),82)</f>
        <v>82</v>
      </c>
      <c r="H241">
        <f ca="1">IFERROR(__xludf.DUMMYFUNCTION("""COMPUTED_VALUE"""),-0.22)</f>
        <v>-0.22</v>
      </c>
    </row>
    <row r="242" spans="1:8" ht="12.75">
      <c r="A242">
        <f ca="1">IFERROR(__xludf.DUMMYFUNCTION("""COMPUTED_VALUE"""),241)</f>
        <v>241</v>
      </c>
      <c r="B242" t="str">
        <f ca="1">IFERROR(__xludf.DUMMYFUNCTION("""COMPUTED_VALUE"""),"T235")</f>
        <v>T235</v>
      </c>
      <c r="C242" t="str">
        <f ca="1">IFERROR(__xludf.DUMMYFUNCTION("""COMPUTED_VALUE"""),"Jay McLuen")</f>
        <v>Jay McLuen</v>
      </c>
      <c r="D242">
        <f ca="1">IFERROR(__xludf.DUMMYFUNCTION("""COMPUTED_VALUE"""),4)</f>
        <v>4</v>
      </c>
      <c r="E242">
        <f ca="1">IFERROR(__xludf.DUMMYFUNCTION("""COMPUTED_VALUE"""),44.64)</f>
        <v>44.64</v>
      </c>
      <c r="F242">
        <f ca="1">IFERROR(__xludf.DUMMYFUNCTION("""COMPUTED_VALUE"""),25)</f>
        <v>25</v>
      </c>
      <c r="G242">
        <f ca="1">IFERROR(__xludf.DUMMYFUNCTION("""COMPUTED_VALUE"""),56)</f>
        <v>56</v>
      </c>
      <c r="H242">
        <f ca="1">IFERROR(__xludf.DUMMYFUNCTION("""COMPUTED_VALUE"""),-0.12)</f>
        <v>-0.12</v>
      </c>
    </row>
    <row r="243" spans="1:8" ht="12.75">
      <c r="A243">
        <f ca="1">IFERROR(__xludf.DUMMYFUNCTION("""COMPUTED_VALUE"""),242)</f>
        <v>242</v>
      </c>
      <c r="B243" t="str">
        <f ca="1">IFERROR(__xludf.DUMMYFUNCTION("""COMPUTED_VALUE"""),"T235")</f>
        <v>T235</v>
      </c>
      <c r="C243" t="str">
        <f ca="1">IFERROR(__xludf.DUMMYFUNCTION("""COMPUTED_VALUE"""),"Branden Grace")</f>
        <v>Branden Grace</v>
      </c>
      <c r="D243">
        <f ca="1">IFERROR(__xludf.DUMMYFUNCTION("""COMPUTED_VALUE"""),16)</f>
        <v>16</v>
      </c>
      <c r="E243">
        <f ca="1">IFERROR(__xludf.DUMMYFUNCTION("""COMPUTED_VALUE"""),44.2)</f>
        <v>44.2</v>
      </c>
      <c r="F243">
        <f ca="1">IFERROR(__xludf.DUMMYFUNCTION("""COMPUTED_VALUE"""),61)</f>
        <v>61</v>
      </c>
      <c r="G243">
        <f ca="1">IFERROR(__xludf.DUMMYFUNCTION("""COMPUTED_VALUE"""),138)</f>
        <v>138</v>
      </c>
      <c r="H243">
        <f ca="1">IFERROR(__xludf.DUMMYFUNCTION("""COMPUTED_VALUE"""),-0.11)</f>
        <v>-0.11</v>
      </c>
    </row>
    <row r="244" spans="1:8" ht="12.75">
      <c r="A244">
        <f ca="1">IFERROR(__xludf.DUMMYFUNCTION("""COMPUTED_VALUE"""),243)</f>
        <v>243</v>
      </c>
      <c r="B244">
        <f ca="1">IFERROR(__xludf.DUMMYFUNCTION("""COMPUTED_VALUE"""),239)</f>
        <v>239</v>
      </c>
      <c r="C244" t="str">
        <f ca="1">IFERROR(__xludf.DUMMYFUNCTION("""COMPUTED_VALUE"""),"Jamie Lovemark")</f>
        <v>Jamie Lovemark</v>
      </c>
      <c r="D244">
        <f ca="1">IFERROR(__xludf.DUMMYFUNCTION("""COMPUTED_VALUE"""),18)</f>
        <v>18</v>
      </c>
      <c r="E244">
        <f ca="1">IFERROR(__xludf.DUMMYFUNCTION("""COMPUTED_VALUE"""),44.17)</f>
        <v>44.17</v>
      </c>
      <c r="F244">
        <f ca="1">IFERROR(__xludf.DUMMYFUNCTION("""COMPUTED_VALUE"""),72)</f>
        <v>72</v>
      </c>
      <c r="G244">
        <f ca="1">IFERROR(__xludf.DUMMYFUNCTION("""COMPUTED_VALUE"""),163)</f>
        <v>163</v>
      </c>
      <c r="H244">
        <f ca="1">IFERROR(__xludf.DUMMYFUNCTION("""COMPUTED_VALUE"""),-0.15)</f>
        <v>-0.15</v>
      </c>
    </row>
    <row r="245" spans="1:8" ht="12.75">
      <c r="A245">
        <f ca="1">IFERROR(__xludf.DUMMYFUNCTION("""COMPUTED_VALUE"""),244)</f>
        <v>244</v>
      </c>
      <c r="B245" t="str">
        <f ca="1">IFERROR(__xludf.DUMMYFUNCTION("""COMPUTED_VALUE"""),"")</f>
        <v/>
      </c>
      <c r="C245" t="str">
        <f ca="1">IFERROR(__xludf.DUMMYFUNCTION("""COMPUTED_VALUE"""),"Ollie Schniederjans")</f>
        <v>Ollie Schniederjans</v>
      </c>
      <c r="D245">
        <f ca="1">IFERROR(__xludf.DUMMYFUNCTION("""COMPUTED_VALUE"""),6)</f>
        <v>6</v>
      </c>
      <c r="E245">
        <f ca="1">IFERROR(__xludf.DUMMYFUNCTION("""COMPUTED_VALUE"""),44)</f>
        <v>44</v>
      </c>
      <c r="F245">
        <f ca="1">IFERROR(__xludf.DUMMYFUNCTION("""COMPUTED_VALUE"""),11)</f>
        <v>11</v>
      </c>
      <c r="G245">
        <f ca="1">IFERROR(__xludf.DUMMYFUNCTION("""COMPUTED_VALUE"""),25)</f>
        <v>25</v>
      </c>
      <c r="H245">
        <f ca="1">IFERROR(__xludf.DUMMYFUNCTION("""COMPUTED_VALUE"""),-0.18)</f>
        <v>-0.18</v>
      </c>
    </row>
    <row r="246" spans="1:8" ht="12.75">
      <c r="A246" t="str">
        <f ca="1">IFERROR(__xludf.DUMMYFUNCTION("""COMPUTED_VALUE"""),"T245")</f>
        <v>T245</v>
      </c>
      <c r="B246" t="str">
        <f ca="1">IFERROR(__xludf.DUMMYFUNCTION("""COMPUTED_VALUE"""),"T237")</f>
        <v>T237</v>
      </c>
      <c r="C246" t="str">
        <f ca="1">IFERROR(__xludf.DUMMYFUNCTION("""COMPUTED_VALUE"""),"Ben Taylor")</f>
        <v>Ben Taylor</v>
      </c>
      <c r="D246">
        <f ca="1">IFERROR(__xludf.DUMMYFUNCTION("""COMPUTED_VALUE"""),10)</f>
        <v>10</v>
      </c>
      <c r="E246">
        <f ca="1">IFERROR(__xludf.DUMMYFUNCTION("""COMPUTED_VALUE"""),43.64)</f>
        <v>43.64</v>
      </c>
      <c r="F246">
        <f ca="1">IFERROR(__xludf.DUMMYFUNCTION("""COMPUTED_VALUE"""),24)</f>
        <v>24</v>
      </c>
      <c r="G246">
        <f ca="1">IFERROR(__xludf.DUMMYFUNCTION("""COMPUTED_VALUE"""),55)</f>
        <v>55</v>
      </c>
      <c r="H246">
        <f ca="1">IFERROR(__xludf.DUMMYFUNCTION("""COMPUTED_VALUE"""),-0.33)</f>
        <v>-0.33</v>
      </c>
    </row>
    <row r="247" spans="1:8" ht="12.75">
      <c r="A247" t="str">
        <f ca="1">IFERROR(__xludf.DUMMYFUNCTION("""COMPUTED_VALUE"""),"T245")</f>
        <v>T245</v>
      </c>
      <c r="B247" t="str">
        <f ca="1">IFERROR(__xludf.DUMMYFUNCTION("""COMPUTED_VALUE"""),"T237")</f>
        <v>T237</v>
      </c>
      <c r="C247" t="str">
        <f ca="1">IFERROR(__xludf.DUMMYFUNCTION("""COMPUTED_VALUE"""),"Ricky Barnes")</f>
        <v>Ricky Barnes</v>
      </c>
      <c r="D247">
        <f ca="1">IFERROR(__xludf.DUMMYFUNCTION("""COMPUTED_VALUE"""),12)</f>
        <v>12</v>
      </c>
      <c r="E247">
        <f ca="1">IFERROR(__xludf.DUMMYFUNCTION("""COMPUTED_VALUE"""),43.64)</f>
        <v>43.64</v>
      </c>
      <c r="F247">
        <f ca="1">IFERROR(__xludf.DUMMYFUNCTION("""COMPUTED_VALUE"""),24)</f>
        <v>24</v>
      </c>
      <c r="G247">
        <f ca="1">IFERROR(__xludf.DUMMYFUNCTION("""COMPUTED_VALUE"""),55)</f>
        <v>55</v>
      </c>
      <c r="H247">
        <f ca="1">IFERROR(__xludf.DUMMYFUNCTION("""COMPUTED_VALUE"""),-0.33)</f>
        <v>-0.33</v>
      </c>
    </row>
    <row r="248" spans="1:8" ht="12.75">
      <c r="A248">
        <f ca="1">IFERROR(__xludf.DUMMYFUNCTION("""COMPUTED_VALUE"""),247)</f>
        <v>247</v>
      </c>
      <c r="B248">
        <f ca="1">IFERROR(__xludf.DUMMYFUNCTION("""COMPUTED_VALUE"""),244)</f>
        <v>244</v>
      </c>
      <c r="C248" t="str">
        <f ca="1">IFERROR(__xludf.DUMMYFUNCTION("""COMPUTED_VALUE"""),"Kevin Chappell")</f>
        <v>Kevin Chappell</v>
      </c>
      <c r="D248">
        <f ca="1">IFERROR(__xludf.DUMMYFUNCTION("""COMPUTED_VALUE"""),16)</f>
        <v>16</v>
      </c>
      <c r="E248">
        <f ca="1">IFERROR(__xludf.DUMMYFUNCTION("""COMPUTED_VALUE"""),43.32)</f>
        <v>43.32</v>
      </c>
      <c r="F248">
        <f ca="1">IFERROR(__xludf.DUMMYFUNCTION("""COMPUTED_VALUE"""),81)</f>
        <v>81</v>
      </c>
      <c r="G248">
        <f ca="1">IFERROR(__xludf.DUMMYFUNCTION("""COMPUTED_VALUE"""),187)</f>
        <v>187</v>
      </c>
      <c r="H248">
        <f ca="1">IFERROR(__xludf.DUMMYFUNCTION("""COMPUTED_VALUE"""),-0.21)</f>
        <v>-0.21</v>
      </c>
    </row>
    <row r="249" spans="1:8" ht="12.75">
      <c r="A249">
        <f ca="1">IFERROR(__xludf.DUMMYFUNCTION("""COMPUTED_VALUE"""),248)</f>
        <v>248</v>
      </c>
      <c r="B249" t="str">
        <f ca="1">IFERROR(__xludf.DUMMYFUNCTION("""COMPUTED_VALUE"""),"T240")</f>
        <v>T240</v>
      </c>
      <c r="C249" t="str">
        <f ca="1">IFERROR(__xludf.DUMMYFUNCTION("""COMPUTED_VALUE"""),"Shawn Stefani")</f>
        <v>Shawn Stefani</v>
      </c>
      <c r="D249">
        <f ca="1">IFERROR(__xludf.DUMMYFUNCTION("""COMPUTED_VALUE"""),5)</f>
        <v>5</v>
      </c>
      <c r="E249">
        <f ca="1">IFERROR(__xludf.DUMMYFUNCTION("""COMPUTED_VALUE"""),42.86)</f>
        <v>42.86</v>
      </c>
      <c r="F249">
        <f ca="1">IFERROR(__xludf.DUMMYFUNCTION("""COMPUTED_VALUE"""),12)</f>
        <v>12</v>
      </c>
      <c r="G249">
        <f ca="1">IFERROR(__xludf.DUMMYFUNCTION("""COMPUTED_VALUE"""),28)</f>
        <v>28</v>
      </c>
      <c r="H249">
        <f ca="1">IFERROR(__xludf.DUMMYFUNCTION("""COMPUTED_VALUE"""),-0.33)</f>
        <v>-0.33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IFERROR(__xludf.DUMMYFUNCTION("""COMPUTED_VALUE"""),242)</f>
        <v>242</v>
      </c>
      <c r="C250" t="str">
        <f ca="1">IFERROR(__xludf.DUMMYFUNCTION("""COMPUTED_VALUE"""),"Steve Lewton")</f>
        <v>Steve Lewton</v>
      </c>
      <c r="D250">
        <f ca="1">IFERROR(__xludf.DUMMYFUNCTION("""COMPUTED_VALUE"""),4)</f>
        <v>4</v>
      </c>
      <c r="E250">
        <f ca="1">IFERROR(__xludf.DUMMYFUNCTION("""COMPUTED_VALUE"""),42.59)</f>
        <v>42.59</v>
      </c>
      <c r="F250">
        <f ca="1">IFERROR(__xludf.DUMMYFUNCTION("""COMPUTED_VALUE"""),23)</f>
        <v>23</v>
      </c>
      <c r="G250">
        <f ca="1">IFERROR(__xludf.DUMMYFUNCTION("""COMPUTED_VALUE"""),54)</f>
        <v>54</v>
      </c>
      <c r="H250">
        <f ca="1">IFERROR(__xludf.DUMMYFUNCTION("""COMPUTED_VALUE"""),-0.22)</f>
        <v>-0.22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IFERROR(__xludf.DUMMYFUNCTION("""COMPUTED_VALUE"""),245)</f>
        <v>245</v>
      </c>
      <c r="C251" t="str">
        <f ca="1">IFERROR(__xludf.DUMMYFUNCTION("""COMPUTED_VALUE"""),"J.B. Holmes")</f>
        <v>J.B. Holmes</v>
      </c>
      <c r="D251">
        <f ca="1">IFERROR(__xludf.DUMMYFUNCTION("""COMPUTED_VALUE"""),10)</f>
        <v>10</v>
      </c>
      <c r="E251">
        <f ca="1">IFERROR(__xludf.DUMMYFUNCTION("""COMPUTED_VALUE"""),41.91)</f>
        <v>41.91</v>
      </c>
      <c r="F251">
        <f ca="1">IFERROR(__xludf.DUMMYFUNCTION("""COMPUTED_VALUE"""),57)</f>
        <v>57</v>
      </c>
      <c r="G251">
        <f ca="1">IFERROR(__xludf.DUMMYFUNCTION("""COMPUTED_VALUE"""),136)</f>
        <v>136</v>
      </c>
      <c r="H251">
        <f ca="1">IFERROR(__xludf.DUMMYFUNCTION("""COMPUTED_VALUE"""),-0.16)</f>
        <v>-0.16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IFERROR(__xludf.DUMMYFUNCTION("""COMPUTED_VALUE"""),246)</f>
        <v>246</v>
      </c>
      <c r="C252" t="str">
        <f ca="1">IFERROR(__xludf.DUMMYFUNCTION("""COMPUTED_VALUE"""),"Andy Zhang")</f>
        <v>Andy Zhang</v>
      </c>
      <c r="D252">
        <f ca="1">IFERROR(__xludf.DUMMYFUNCTION("""COMPUTED_VALUE"""),4)</f>
        <v>4</v>
      </c>
      <c r="E252">
        <f ca="1">IFERROR(__xludf.DUMMYFUNCTION("""COMPUTED_VALUE"""),41.82)</f>
        <v>41.82</v>
      </c>
      <c r="F252">
        <f ca="1">IFERROR(__xludf.DUMMYFUNCTION("""COMPUTED_VALUE"""),23)</f>
        <v>23</v>
      </c>
      <c r="G252">
        <f ca="1">IFERROR(__xludf.DUMMYFUNCTION("""COMPUTED_VALUE"""),55)</f>
        <v>55</v>
      </c>
      <c r="H252">
        <f ca="1">IFERROR(__xludf.DUMMYFUNCTION("""COMPUTED_VALUE"""),-0.39)</f>
        <v>-0.39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IFERROR(__xludf.DUMMYFUNCTION("""COMPUTED_VALUE"""),243)</f>
        <v>243</v>
      </c>
      <c r="C253" t="str">
        <f ca="1">IFERROR(__xludf.DUMMYFUNCTION("""COMPUTED_VALUE"""),"Patrick Rodgers")</f>
        <v>Patrick Rodgers</v>
      </c>
      <c r="D253">
        <f ca="1">IFERROR(__xludf.DUMMYFUNCTION("""COMPUTED_VALUE"""),18)</f>
        <v>18</v>
      </c>
      <c r="E253">
        <f ca="1">IFERROR(__xludf.DUMMYFUNCTION("""COMPUTED_VALUE"""),41.61)</f>
        <v>41.61</v>
      </c>
      <c r="F253">
        <f ca="1">IFERROR(__xludf.DUMMYFUNCTION("""COMPUTED_VALUE"""),57)</f>
        <v>57</v>
      </c>
      <c r="G253">
        <f ca="1">IFERROR(__xludf.DUMMYFUNCTION("""COMPUTED_VALUE"""),137)</f>
        <v>137</v>
      </c>
      <c r="H253">
        <f ca="1">IFERROR(__xludf.DUMMYFUNCTION("""COMPUTED_VALUE"""),-0.26)</f>
        <v>-0.26</v>
      </c>
    </row>
    <row r="254" spans="1:8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IFERROR(__xludf.DUMMYFUNCTION("""COMPUTED_VALUE"""),"Brandon Hagy")</f>
        <v>Brandon Hagy</v>
      </c>
      <c r="D254">
        <f ca="1">IFERROR(__xludf.DUMMYFUNCTION("""COMPUTED_VALUE"""),10)</f>
        <v>10</v>
      </c>
      <c r="E254">
        <f ca="1">IFERROR(__xludf.DUMMYFUNCTION("""COMPUTED_VALUE"""),41.46)</f>
        <v>41.46</v>
      </c>
      <c r="F254">
        <f ca="1">IFERROR(__xludf.DUMMYFUNCTION("""COMPUTED_VALUE"""),34)</f>
        <v>34</v>
      </c>
      <c r="G254">
        <f ca="1">IFERROR(__xludf.DUMMYFUNCTION("""COMPUTED_VALUE"""),82)</f>
        <v>82</v>
      </c>
      <c r="H254">
        <f ca="1">IFERROR(__xludf.DUMMYFUNCTION("""COMPUTED_VALUE"""),-0.24)</f>
        <v>-0.24</v>
      </c>
    </row>
    <row r="255" spans="1:8" ht="12.75">
      <c r="A255" t="str">
        <f ca="1">IFERROR(__xludf.DUMMYFUNCTION("""COMPUTED_VALUE"""),"T254")</f>
        <v>T254</v>
      </c>
      <c r="B255" t="str">
        <f ca="1">IFERROR(__xludf.DUMMYFUNCTION("""COMPUTED_VALUE"""),"T248")</f>
        <v>T248</v>
      </c>
      <c r="C255" t="str">
        <f ca="1">IFERROR(__xludf.DUMMYFUNCTION("""COMPUTED_VALUE"""),"Stephan Jaeger")</f>
        <v>Stephan Jaeger</v>
      </c>
      <c r="D255">
        <f ca="1">IFERROR(__xludf.DUMMYFUNCTION("""COMPUTED_VALUE"""),4)</f>
        <v>4</v>
      </c>
      <c r="E255">
        <f ca="1">IFERROR(__xludf.DUMMYFUNCTION("""COMPUTED_VALUE"""),41.07)</f>
        <v>41.07</v>
      </c>
      <c r="F255">
        <f ca="1">IFERROR(__xludf.DUMMYFUNCTION("""COMPUTED_VALUE"""),23)</f>
        <v>23</v>
      </c>
      <c r="G255">
        <f ca="1">IFERROR(__xludf.DUMMYFUNCTION("""COMPUTED_VALUE"""),56)</f>
        <v>56</v>
      </c>
      <c r="H255">
        <f ca="1">IFERROR(__xludf.DUMMYFUNCTION("""COMPUTED_VALUE"""),-0.04)</f>
        <v>-0.04</v>
      </c>
    </row>
    <row r="256" spans="1:8" ht="12.75">
      <c r="A256" t="str">
        <f ca="1">IFERROR(__xludf.DUMMYFUNCTION("""COMPUTED_VALUE"""),"T254")</f>
        <v>T254</v>
      </c>
      <c r="B256" t="str">
        <f ca="1">IFERROR(__xludf.DUMMYFUNCTION("""COMPUTED_VALUE"""),"T248")</f>
        <v>T248</v>
      </c>
      <c r="C256" t="str">
        <f ca="1">IFERROR(__xludf.DUMMYFUNCTION("""COMPUTED_VALUE"""),"Matthias Schwab")</f>
        <v>Matthias Schwab</v>
      </c>
      <c r="D256">
        <f ca="1">IFERROR(__xludf.DUMMYFUNCTION("""COMPUTED_VALUE"""),8)</f>
        <v>8</v>
      </c>
      <c r="E256">
        <f ca="1">IFERROR(__xludf.DUMMYFUNCTION("""COMPUTED_VALUE"""),41.07)</f>
        <v>41.07</v>
      </c>
      <c r="F256">
        <f ca="1">IFERROR(__xludf.DUMMYFUNCTION("""COMPUTED_VALUE"""),23)</f>
        <v>23</v>
      </c>
      <c r="G256">
        <f ca="1">IFERROR(__xludf.DUMMYFUNCTION("""COMPUTED_VALUE"""),56)</f>
        <v>56</v>
      </c>
      <c r="H256" t="str">
        <f ca="1">IFERROR(__xludf.DUMMYFUNCTION("""COMPUTED_VALUE"""),"E")</f>
        <v>E</v>
      </c>
    </row>
    <row r="257" spans="1:8" ht="12.75">
      <c r="A257" t="str">
        <f ca="1">IFERROR(__xludf.DUMMYFUNCTION("""COMPUTED_VALUE"""),"T254")</f>
        <v>T254</v>
      </c>
      <c r="B257" t="str">
        <f ca="1">IFERROR(__xludf.DUMMYFUNCTION("""COMPUTED_VALUE"""),"T248")</f>
        <v>T248</v>
      </c>
      <c r="C257" t="str">
        <f ca="1">IFERROR(__xludf.DUMMYFUNCTION("""COMPUTED_VALUE"""),"Thomas Pieters")</f>
        <v>Thomas Pieters</v>
      </c>
      <c r="D257">
        <f ca="1">IFERROR(__xludf.DUMMYFUNCTION("""COMPUTED_VALUE"""),4)</f>
        <v>4</v>
      </c>
      <c r="E257">
        <f ca="1">IFERROR(__xludf.DUMMYFUNCTION("""COMPUTED_VALUE"""),41.07)</f>
        <v>41.07</v>
      </c>
      <c r="F257">
        <f ca="1">IFERROR(__xludf.DUMMYFUNCTION("""COMPUTED_VALUE"""),23)</f>
        <v>23</v>
      </c>
      <c r="G257">
        <f ca="1">IFERROR(__xludf.DUMMYFUNCTION("""COMPUTED_VALUE"""),56)</f>
        <v>56</v>
      </c>
      <c r="H257">
        <f ca="1">IFERROR(__xludf.DUMMYFUNCTION("""COMPUTED_VALUE"""),-0.17)</f>
        <v>-0.17</v>
      </c>
    </row>
    <row r="258" spans="1:8" ht="12.75">
      <c r="A258" t="str">
        <f ca="1">IFERROR(__xludf.DUMMYFUNCTION("""COMPUTED_VALUE"""),"T254")</f>
        <v>T254</v>
      </c>
      <c r="B258" t="str">
        <f ca="1">IFERROR(__xludf.DUMMYFUNCTION("""COMPUTED_VALUE"""),"T248")</f>
        <v>T248</v>
      </c>
      <c r="C258" t="str">
        <f ca="1">IFERROR(__xludf.DUMMYFUNCTION("""COMPUTED_VALUE"""),"Matt Every")</f>
        <v>Matt Every</v>
      </c>
      <c r="D258">
        <f ca="1">IFERROR(__xludf.DUMMYFUNCTION("""COMPUTED_VALUE"""),8)</f>
        <v>8</v>
      </c>
      <c r="E258">
        <f ca="1">IFERROR(__xludf.DUMMYFUNCTION("""COMPUTED_VALUE"""),41.07)</f>
        <v>41.07</v>
      </c>
      <c r="F258">
        <f ca="1">IFERROR(__xludf.DUMMYFUNCTION("""COMPUTED_VALUE"""),23)</f>
        <v>23</v>
      </c>
      <c r="G258">
        <f ca="1">IFERROR(__xludf.DUMMYFUNCTION("""COMPUTED_VALUE"""),56)</f>
        <v>56</v>
      </c>
      <c r="H258">
        <f ca="1">IFERROR(__xludf.DUMMYFUNCTION("""COMPUTED_VALUE"""),-0.17)</f>
        <v>-0.17</v>
      </c>
    </row>
    <row r="259" spans="1:8" ht="12.75">
      <c r="A259" t="str">
        <f ca="1">IFERROR(__xludf.DUMMYFUNCTION("""COMPUTED_VALUE"""),"T254")</f>
        <v>T254</v>
      </c>
      <c r="B259" t="str">
        <f ca="1">IFERROR(__xludf.DUMMYFUNCTION("""COMPUTED_VALUE"""),"T248")</f>
        <v>T248</v>
      </c>
      <c r="C259" t="str">
        <f ca="1">IFERROR(__xludf.DUMMYFUNCTION("""COMPUTED_VALUE"""),"Kiradech Aphibarnrat")</f>
        <v>Kiradech Aphibarnrat</v>
      </c>
      <c r="D259">
        <f ca="1">IFERROR(__xludf.DUMMYFUNCTION("""COMPUTED_VALUE"""),12)</f>
        <v>12</v>
      </c>
      <c r="E259">
        <f ca="1">IFERROR(__xludf.DUMMYFUNCTION("""COMPUTED_VALUE"""),41.07)</f>
        <v>41.07</v>
      </c>
      <c r="F259">
        <f ca="1">IFERROR(__xludf.DUMMYFUNCTION("""COMPUTED_VALUE"""),23)</f>
        <v>23</v>
      </c>
      <c r="G259">
        <f ca="1">IFERROR(__xludf.DUMMYFUNCTION("""COMPUTED_VALUE"""),56)</f>
        <v>56</v>
      </c>
      <c r="H259">
        <f ca="1">IFERROR(__xludf.DUMMYFUNCTION("""COMPUTED_VALUE"""),-0.09)</f>
        <v>-0.09</v>
      </c>
    </row>
    <row r="260" spans="1:8" ht="12.75">
      <c r="A260">
        <f ca="1">IFERROR(__xludf.DUMMYFUNCTION("""COMPUTED_VALUE"""),259)</f>
        <v>259</v>
      </c>
      <c r="B260" t="str">
        <f ca="1">IFERROR(__xludf.DUMMYFUNCTION("""COMPUTED_VALUE"""),"T255")</f>
        <v>T255</v>
      </c>
      <c r="C260" t="str">
        <f ca="1">IFERROR(__xludf.DUMMYFUNCTION("""COMPUTED_VALUE"""),"Keith Mitchell")</f>
        <v>Keith Mitchell</v>
      </c>
      <c r="D260">
        <f ca="1">IFERROR(__xludf.DUMMYFUNCTION("""COMPUTED_VALUE"""),14)</f>
        <v>14</v>
      </c>
      <c r="E260">
        <f ca="1">IFERROR(__xludf.DUMMYFUNCTION("""COMPUTED_VALUE"""),40.24)</f>
        <v>40.24</v>
      </c>
      <c r="F260">
        <f ca="1">IFERROR(__xludf.DUMMYFUNCTION("""COMPUTED_VALUE"""),33)</f>
        <v>33</v>
      </c>
      <c r="G260">
        <f ca="1">IFERROR(__xludf.DUMMYFUNCTION("""COMPUTED_VALUE"""),82)</f>
        <v>82</v>
      </c>
      <c r="H260">
        <f ca="1">IFERROR(__xludf.DUMMYFUNCTION("""COMPUTED_VALUE"""),-0.12)</f>
        <v>-0.12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IFERROR(__xludf.DUMMYFUNCTION("""COMPUTED_VALUE"""),232)</f>
        <v>232</v>
      </c>
      <c r="C261" t="str">
        <f ca="1">IFERROR(__xludf.DUMMYFUNCTION("""COMPUTED_VALUE"""),"Martin Trainer")</f>
        <v>Martin Trainer</v>
      </c>
      <c r="D261">
        <f ca="1">IFERROR(__xludf.DUMMYFUNCTION("""COMPUTED_VALUE"""),10)</f>
        <v>10</v>
      </c>
      <c r="E261">
        <f ca="1">IFERROR(__xludf.DUMMYFUNCTION("""COMPUTED_VALUE"""),40)</f>
        <v>40</v>
      </c>
      <c r="F261">
        <f ca="1">IFERROR(__xludf.DUMMYFUNCTION("""COMPUTED_VALUE"""),44)</f>
        <v>44</v>
      </c>
      <c r="G261">
        <f ca="1">IFERROR(__xludf.DUMMYFUNCTION("""COMPUTED_VALUE"""),110)</f>
        <v>110</v>
      </c>
      <c r="H261">
        <f ca="1">IFERROR(__xludf.DUMMYFUNCTION("""COMPUTED_VALUE"""),-0.14)</f>
        <v>-0.14000000000000001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IFERROR(__xludf.DUMMYFUNCTION("""COMPUTED_VALUE"""),254)</f>
        <v>254</v>
      </c>
      <c r="C262" t="str">
        <f ca="1">IFERROR(__xludf.DUMMYFUNCTION("""COMPUTED_VALUE"""),"Phil Mickelson")</f>
        <v>Phil Mickelson</v>
      </c>
      <c r="D262">
        <f ca="1">IFERROR(__xludf.DUMMYFUNCTION("""COMPUTED_VALUE"""),12)</f>
        <v>12</v>
      </c>
      <c r="E262">
        <f ca="1">IFERROR(__xludf.DUMMYFUNCTION("""COMPUTED_VALUE"""),39.87)</f>
        <v>39.869999999999997</v>
      </c>
      <c r="F262">
        <f ca="1">IFERROR(__xludf.DUMMYFUNCTION("""COMPUTED_VALUE"""),63)</f>
        <v>63</v>
      </c>
      <c r="G262">
        <f ca="1">IFERROR(__xludf.DUMMYFUNCTION("""COMPUTED_VALUE"""),158)</f>
        <v>158</v>
      </c>
      <c r="H262">
        <f ca="1">IFERROR(__xludf.DUMMYFUNCTION("""COMPUTED_VALUE"""),-0.1)</f>
        <v>-0.1</v>
      </c>
    </row>
    <row r="263" spans="1:8" ht="12.75">
      <c r="A263" t="str">
        <f ca="1">IFERROR(__xludf.DUMMYFUNCTION("""COMPUTED_VALUE"""),"T262")</f>
        <v>T262</v>
      </c>
      <c r="B263" t="str">
        <f ca="1">IFERROR(__xludf.DUMMYFUNCTION("""COMPUTED_VALUE"""),"T255")</f>
        <v>T255</v>
      </c>
      <c r="C263" t="str">
        <f ca="1">IFERROR(__xludf.DUMMYFUNCTION("""COMPUTED_VALUE"""),"Romain Langasque")</f>
        <v>Romain Langasque</v>
      </c>
      <c r="D263">
        <f ca="1">IFERROR(__xludf.DUMMYFUNCTION("""COMPUTED_VALUE"""),4)</f>
        <v>4</v>
      </c>
      <c r="E263">
        <f ca="1">IFERROR(__xludf.DUMMYFUNCTION("""COMPUTED_VALUE"""),39.29)</f>
        <v>39.29</v>
      </c>
      <c r="F263">
        <f ca="1">IFERROR(__xludf.DUMMYFUNCTION("""COMPUTED_VALUE"""),22)</f>
        <v>22</v>
      </c>
      <c r="G263">
        <f ca="1">IFERROR(__xludf.DUMMYFUNCTION("""COMPUTED_VALUE"""),56)</f>
        <v>56</v>
      </c>
      <c r="H263" t="str">
        <f ca="1">IFERROR(__xludf.DUMMYFUNCTION("""COMPUTED_VALUE"""),"+0.14")</f>
        <v>+0.14</v>
      </c>
    </row>
    <row r="264" spans="1:8" ht="12.75">
      <c r="A264" t="str">
        <f ca="1">IFERROR(__xludf.DUMMYFUNCTION("""COMPUTED_VALUE"""),"T262")</f>
        <v>T262</v>
      </c>
      <c r="B264" t="str">
        <f ca="1">IFERROR(__xludf.DUMMYFUNCTION("""COMPUTED_VALUE"""),"T255")</f>
        <v>T255</v>
      </c>
      <c r="C264" t="str">
        <f ca="1">IFERROR(__xludf.DUMMYFUNCTION("""COMPUTED_VALUE"""),"Taylor Pendrith")</f>
        <v>Taylor Pendrith</v>
      </c>
      <c r="D264">
        <f ca="1">IFERROR(__xludf.DUMMYFUNCTION("""COMPUTED_VALUE"""),4)</f>
        <v>4</v>
      </c>
      <c r="E264">
        <f ca="1">IFERROR(__xludf.DUMMYFUNCTION("""COMPUTED_VALUE"""),39.29)</f>
        <v>39.29</v>
      </c>
      <c r="F264">
        <f ca="1">IFERROR(__xludf.DUMMYFUNCTION("""COMPUTED_VALUE"""),22)</f>
        <v>22</v>
      </c>
      <c r="G264">
        <f ca="1">IFERROR(__xludf.DUMMYFUNCTION("""COMPUTED_VALUE"""),56)</f>
        <v>56</v>
      </c>
      <c r="H264">
        <f ca="1">IFERROR(__xludf.DUMMYFUNCTION("""COMPUTED_VALUE"""),-0.05)</f>
        <v>-0.05</v>
      </c>
    </row>
    <row r="265" spans="1:8" ht="12.75">
      <c r="A265">
        <f ca="1">IFERROR(__xludf.DUMMYFUNCTION("""COMPUTED_VALUE"""),264)</f>
        <v>264</v>
      </c>
      <c r="B265" t="str">
        <f ca="1">IFERROR(__xludf.DUMMYFUNCTION("""COMPUTED_VALUE"""),"T240")</f>
        <v>T240</v>
      </c>
      <c r="C265" t="str">
        <f ca="1">IFERROR(__xludf.DUMMYFUNCTION("""COMPUTED_VALUE"""),"Danny Willett")</f>
        <v>Danny Willett</v>
      </c>
      <c r="D265">
        <f ca="1">IFERROR(__xludf.DUMMYFUNCTION("""COMPUTED_VALUE"""),7)</f>
        <v>7</v>
      </c>
      <c r="E265">
        <f ca="1">IFERROR(__xludf.DUMMYFUNCTION("""COMPUTED_VALUE"""),39.02)</f>
        <v>39.020000000000003</v>
      </c>
      <c r="F265">
        <f ca="1">IFERROR(__xludf.DUMMYFUNCTION("""COMPUTED_VALUE"""),16)</f>
        <v>16</v>
      </c>
      <c r="G265">
        <f ca="1">IFERROR(__xludf.DUMMYFUNCTION("""COMPUTED_VALUE"""),41)</f>
        <v>41</v>
      </c>
      <c r="H265" t="str">
        <f ca="1">IFERROR(__xludf.DUMMYFUNCTION("""COMPUTED_VALUE"""),"+0.06")</f>
        <v>+0.06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IFERROR(__xludf.DUMMYFUNCTION("""COMPUTED_VALUE"""),258)</f>
        <v>258</v>
      </c>
      <c r="C266" t="str">
        <f ca="1">IFERROR(__xludf.DUMMYFUNCTION("""COMPUTED_VALUE"""),"Gary Woodland")</f>
        <v>Gary Woodland</v>
      </c>
      <c r="D266">
        <f ca="1">IFERROR(__xludf.DUMMYFUNCTION("""COMPUTED_VALUE"""),6)</f>
        <v>6</v>
      </c>
      <c r="E266">
        <f ca="1">IFERROR(__xludf.DUMMYFUNCTION("""COMPUTED_VALUE"""),38.55)</f>
        <v>38.549999999999997</v>
      </c>
      <c r="F266">
        <f ca="1">IFERROR(__xludf.DUMMYFUNCTION("""COMPUTED_VALUE"""),32)</f>
        <v>32</v>
      </c>
      <c r="G266">
        <f ca="1">IFERROR(__xludf.DUMMYFUNCTION("""COMPUTED_VALUE"""),83)</f>
        <v>83</v>
      </c>
      <c r="H266">
        <f ca="1">IFERROR(__xludf.DUMMYFUNCTION("""COMPUTED_VALUE"""),-0.28)</f>
        <v>-0.28000000000000003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IFERROR(__xludf.DUMMYFUNCTION("""COMPUTED_VALUE"""),260)</f>
        <v>260</v>
      </c>
      <c r="C267" t="str">
        <f ca="1">IFERROR(__xludf.DUMMYFUNCTION("""COMPUTED_VALUE"""),"Rhein Gibson")</f>
        <v>Rhein Gibson</v>
      </c>
      <c r="D267">
        <f ca="1">IFERROR(__xludf.DUMMYFUNCTION("""COMPUTED_VALUE"""),10)</f>
        <v>10</v>
      </c>
      <c r="E267">
        <f ca="1">IFERROR(__xludf.DUMMYFUNCTION("""COMPUTED_VALUE"""),37.25)</f>
        <v>37.25</v>
      </c>
      <c r="F267">
        <f ca="1">IFERROR(__xludf.DUMMYFUNCTION("""COMPUTED_VALUE"""),19)</f>
        <v>19</v>
      </c>
      <c r="G267">
        <f ca="1">IFERROR(__xludf.DUMMYFUNCTION("""COMPUTED_VALUE"""),51)</f>
        <v>51</v>
      </c>
      <c r="H267">
        <f ca="1">IFERROR(__xludf.DUMMYFUNCTION("""COMPUTED_VALUE"""),-0.47)</f>
        <v>-0.47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IFERROR(__xludf.DUMMYFUNCTION("""COMPUTED_VALUE"""),"Jimmy Walker")</f>
        <v>Jimmy Walker</v>
      </c>
      <c r="D268">
        <f ca="1">IFERROR(__xludf.DUMMYFUNCTION("""COMPUTED_VALUE"""),10)</f>
        <v>10</v>
      </c>
      <c r="E268">
        <f ca="1">IFERROR(__xludf.DUMMYFUNCTION("""COMPUTED_VALUE"""),36.3)</f>
        <v>36.299999999999997</v>
      </c>
      <c r="F268">
        <f ca="1">IFERROR(__xludf.DUMMYFUNCTION("""COMPUTED_VALUE"""),49)</f>
        <v>49</v>
      </c>
      <c r="G268">
        <f ca="1">IFERROR(__xludf.DUMMYFUNCTION("""COMPUTED_VALUE"""),135)</f>
        <v>135</v>
      </c>
      <c r="H268">
        <f ca="1">IFERROR(__xludf.DUMMYFUNCTION("""COMPUTED_VALUE"""),-0.1)</f>
        <v>-0.1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IFERROR(__xludf.DUMMYFUNCTION("""COMPUTED_VALUE"""),"Sangmoon Bae")</f>
        <v>Sangmoon Bae</v>
      </c>
      <c r="D269">
        <f ca="1">IFERROR(__xludf.DUMMYFUNCTION("""COMPUTED_VALUE"""),8)</f>
        <v>8</v>
      </c>
      <c r="E269">
        <f ca="1">IFERROR(__xludf.DUMMYFUNCTION("""COMPUTED_VALUE"""),35.71)</f>
        <v>35.71</v>
      </c>
      <c r="F269">
        <f ca="1">IFERROR(__xludf.DUMMYFUNCTION("""COMPUTED_VALUE"""),10)</f>
        <v>10</v>
      </c>
      <c r="G269">
        <f ca="1">IFERROR(__xludf.DUMMYFUNCTION("""COMPUTED_VALUE"""),28)</f>
        <v>28</v>
      </c>
      <c r="H269">
        <f ca="1">IFERROR(__xludf.DUMMYFUNCTION("""COMPUTED_VALUE"""),-0.1)</f>
        <v>-0.1</v>
      </c>
    </row>
    <row r="270" spans="1:8" ht="12.75">
      <c r="A270" t="str">
        <f ca="1">IFERROR(__xludf.DUMMYFUNCTION("""COMPUTED_VALUE"""),"T269")</f>
        <v>T269</v>
      </c>
      <c r="B270" t="str">
        <f ca="1">IFERROR(__xludf.DUMMYFUNCTION("""COMPUTED_VALUE"""),"T262")</f>
        <v>T262</v>
      </c>
      <c r="C270" t="str">
        <f ca="1">IFERROR(__xludf.DUMMYFUNCTION("""COMPUTED_VALUE"""),"Peter Uihlein")</f>
        <v>Peter Uihlein</v>
      </c>
      <c r="D270">
        <f ca="1">IFERROR(__xludf.DUMMYFUNCTION("""COMPUTED_VALUE"""),8)</f>
        <v>8</v>
      </c>
      <c r="E270">
        <f ca="1">IFERROR(__xludf.DUMMYFUNCTION("""COMPUTED_VALUE"""),33.33)</f>
        <v>33.33</v>
      </c>
      <c r="F270">
        <f ca="1">IFERROR(__xludf.DUMMYFUNCTION("""COMPUTED_VALUE"""),9)</f>
        <v>9</v>
      </c>
      <c r="G270">
        <f ca="1">IFERROR(__xludf.DUMMYFUNCTION("""COMPUTED_VALUE"""),27)</f>
        <v>27</v>
      </c>
      <c r="H270" t="str">
        <f ca="1">IFERROR(__xludf.DUMMYFUNCTION("""COMPUTED_VALUE"""),"+0.11")</f>
        <v>+0.11</v>
      </c>
    </row>
    <row r="271" spans="1:8" ht="12.75">
      <c r="A271" t="str">
        <f ca="1">IFERROR(__xludf.DUMMYFUNCTION("""COMPUTED_VALUE"""),"T269")</f>
        <v>T269</v>
      </c>
      <c r="B271" t="str">
        <f ca="1">IFERROR(__xludf.DUMMYFUNCTION("""COMPUTED_VALUE"""),"T262")</f>
        <v>T262</v>
      </c>
      <c r="C271" t="str">
        <f ca="1">IFERROR(__xludf.DUMMYFUNCTION("""COMPUTED_VALUE"""),"George McNeill")</f>
        <v>George McNeill</v>
      </c>
      <c r="D271">
        <f ca="1">IFERROR(__xludf.DUMMYFUNCTION("""COMPUTED_VALUE"""),8)</f>
        <v>8</v>
      </c>
      <c r="E271">
        <f ca="1">IFERROR(__xludf.DUMMYFUNCTION("""COMPUTED_VALUE"""),33.33)</f>
        <v>33.33</v>
      </c>
      <c r="F271">
        <f ca="1">IFERROR(__xludf.DUMMYFUNCTION("""COMPUTED_VALUE"""),9)</f>
        <v>9</v>
      </c>
      <c r="G271">
        <f ca="1">IFERROR(__xludf.DUMMYFUNCTION("""COMPUTED_VALUE"""),27)</f>
        <v>27</v>
      </c>
      <c r="H271">
        <f ca="1">IFERROR(__xludf.DUMMYFUNCTION("""COMPUTED_VALUE"""),-0.11)</f>
        <v>-0.11</v>
      </c>
    </row>
    <row r="272" spans="1:8" ht="12.75">
      <c r="A272" t="str">
        <f ca="1">IFERROR(__xludf.DUMMYFUNCTION("""COMPUTED_VALUE"""),"T271")</f>
        <v>T271</v>
      </c>
      <c r="B272" t="str">
        <f ca="1">IFERROR(__xludf.DUMMYFUNCTION("""COMPUTED_VALUE"""),"T264")</f>
        <v>T264</v>
      </c>
      <c r="C272" t="str">
        <f ca="1">IFERROR(__xludf.DUMMYFUNCTION("""COMPUTED_VALUE"""),"Rasmus Hojgaard")</f>
        <v>Rasmus Hojgaard</v>
      </c>
      <c r="D272">
        <f ca="1">IFERROR(__xludf.DUMMYFUNCTION("""COMPUTED_VALUE"""),6)</f>
        <v>6</v>
      </c>
      <c r="E272">
        <f ca="1">IFERROR(__xludf.DUMMYFUNCTION("""COMPUTED_VALUE"""),32.14)</f>
        <v>32.14</v>
      </c>
      <c r="F272">
        <f ca="1">IFERROR(__xludf.DUMMYFUNCTION("""COMPUTED_VALUE"""),9)</f>
        <v>9</v>
      </c>
      <c r="G272">
        <f ca="1">IFERROR(__xludf.DUMMYFUNCTION("""COMPUTED_VALUE"""),28)</f>
        <v>28</v>
      </c>
      <c r="H272" t="str">
        <f ca="1">IFERROR(__xludf.DUMMYFUNCTION("""COMPUTED_VALUE"""),"+0.33")</f>
        <v>+0.33</v>
      </c>
    </row>
    <row r="273" spans="1:8" ht="12.75">
      <c r="A273" t="str">
        <f ca="1">IFERROR(__xludf.DUMMYFUNCTION("""COMPUTED_VALUE"""),"T271")</f>
        <v>T271</v>
      </c>
      <c r="B273" t="str">
        <f ca="1">IFERROR(__xludf.DUMMYFUNCTION("""COMPUTED_VALUE"""),"T264")</f>
        <v>T264</v>
      </c>
      <c r="C273" t="str">
        <f ca="1">IFERROR(__xludf.DUMMYFUNCTION("""COMPUTED_VALUE"""),"Luke Schniederjans")</f>
        <v>Luke Schniederjans</v>
      </c>
      <c r="D273">
        <f ca="1">IFERROR(__xludf.DUMMYFUNCTION("""COMPUTED_VALUE"""),4)</f>
        <v>4</v>
      </c>
      <c r="E273">
        <f ca="1">IFERROR(__xludf.DUMMYFUNCTION("""COMPUTED_VALUE"""),32.14)</f>
        <v>32.14</v>
      </c>
      <c r="F273">
        <f ca="1">IFERROR(__xludf.DUMMYFUNCTION("""COMPUTED_VALUE"""),9)</f>
        <v>9</v>
      </c>
      <c r="G273">
        <f ca="1">IFERROR(__xludf.DUMMYFUNCTION("""COMPUTED_VALUE"""),28)</f>
        <v>28</v>
      </c>
      <c r="H273">
        <f ca="1">IFERROR(__xludf.DUMMYFUNCTION("""COMPUTED_VALUE"""),-0.33)</f>
        <v>-0.33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IFERROR(__xludf.DUMMYFUNCTION("""COMPUTED_VALUE"""),"Parker McLachlin")</f>
        <v>Parker McLachlin</v>
      </c>
      <c r="D274">
        <f ca="1">IFERROR(__xludf.DUMMYFUNCTION("""COMPUTED_VALUE"""),4)</f>
        <v>4</v>
      </c>
      <c r="E274">
        <f ca="1">IFERROR(__xludf.DUMMYFUNCTION("""COMPUTED_VALUE"""),32)</f>
        <v>32</v>
      </c>
      <c r="F274">
        <f ca="1">IFERROR(__xludf.DUMMYFUNCTION("""COMPUTED_VALUE"""),8)</f>
        <v>8</v>
      </c>
      <c r="G274">
        <f ca="1">IFERROR(__xludf.DUMMYFUNCTION("""COMPUTED_VALUE"""),25)</f>
        <v>25</v>
      </c>
      <c r="H274" t="str">
        <f ca="1">IFERROR(__xludf.DUMMYFUNCTION("""COMPUTED_VALUE"""),"+0.25")</f>
        <v>+0.25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IFERROR(__xludf.DUMMYFUNCTION("""COMPUTED_VALUE"""),"Renato Paratore")</f>
        <v>Renato Paratore</v>
      </c>
      <c r="D275">
        <f ca="1">IFERROR(__xludf.DUMMYFUNCTION("""COMPUTED_VALUE"""),4)</f>
        <v>4</v>
      </c>
      <c r="E275">
        <f ca="1">IFERROR(__xludf.DUMMYFUNCTION("""COMPUTED_VALUE"""),30.36)</f>
        <v>30.36</v>
      </c>
      <c r="F275">
        <f ca="1">IFERROR(__xludf.DUMMYFUNCTION("""COMPUTED_VALUE"""),17)</f>
        <v>17</v>
      </c>
      <c r="G275">
        <f ca="1">IFERROR(__xludf.DUMMYFUNCTION("""COMPUTED_VALUE"""),56)</f>
        <v>56</v>
      </c>
      <c r="H275" t="str">
        <f ca="1">IFERROR(__xludf.DUMMYFUNCTION("""COMPUTED_VALUE"""),"E")</f>
        <v>E</v>
      </c>
    </row>
    <row r="276" spans="1:8" ht="12.75">
      <c r="A276" t="str">
        <f ca="1">IFERROR(__xludf.DUMMYFUNCTION("""COMPUTED_VALUE"""),"T275")</f>
        <v>T275</v>
      </c>
      <c r="B276" t="str">
        <f ca="1">IFERROR(__xludf.DUMMYFUNCTION("""COMPUTED_VALUE"""),"T268")</f>
        <v>T268</v>
      </c>
      <c r="C276" t="str">
        <f ca="1">IFERROR(__xludf.DUMMYFUNCTION("""COMPUTED_VALUE"""),"Robert MacIntyre")</f>
        <v>Robert MacIntyre</v>
      </c>
      <c r="D276">
        <f ca="1">IFERROR(__xludf.DUMMYFUNCTION("""COMPUTED_VALUE"""),4)</f>
        <v>4</v>
      </c>
      <c r="E276">
        <f ca="1">IFERROR(__xludf.DUMMYFUNCTION("""COMPUTED_VALUE"""),28.57)</f>
        <v>28.57</v>
      </c>
      <c r="F276">
        <f ca="1">IFERROR(__xludf.DUMMYFUNCTION("""COMPUTED_VALUE"""),16)</f>
        <v>16</v>
      </c>
      <c r="G276">
        <f ca="1">IFERROR(__xludf.DUMMYFUNCTION("""COMPUTED_VALUE"""),56)</f>
        <v>56</v>
      </c>
      <c r="H276" t="str">
        <f ca="1">IFERROR(__xludf.DUMMYFUNCTION("""COMPUTED_VALUE"""),"E")</f>
        <v>E</v>
      </c>
    </row>
    <row r="277" spans="1:8" ht="12.75">
      <c r="A277" t="str">
        <f ca="1">IFERROR(__xludf.DUMMYFUNCTION("""COMPUTED_VALUE"""),"T275")</f>
        <v>T275</v>
      </c>
      <c r="B277" t="str">
        <f ca="1">IFERROR(__xludf.DUMMYFUNCTION("""COMPUTED_VALUE"""),"T268")</f>
        <v>T268</v>
      </c>
      <c r="C277" t="str">
        <f ca="1">IFERROR(__xludf.DUMMYFUNCTION("""COMPUTED_VALUE"""),"Kurt Kitayama")</f>
        <v>Kurt Kitayama</v>
      </c>
      <c r="D277">
        <f ca="1">IFERROR(__xludf.DUMMYFUNCTION("""COMPUTED_VALUE"""),4)</f>
        <v>4</v>
      </c>
      <c r="E277">
        <f ca="1">IFERROR(__xludf.DUMMYFUNCTION("""COMPUTED_VALUE"""),28.57)</f>
        <v>28.57</v>
      </c>
      <c r="F277">
        <f ca="1">IFERROR(__xludf.DUMMYFUNCTION("""COMPUTED_VALUE"""),8)</f>
        <v>8</v>
      </c>
      <c r="G277">
        <f ca="1">IFERROR(__xludf.DUMMYFUNCTION("""COMPUTED_VALUE"""),28)</f>
        <v>28</v>
      </c>
      <c r="H277" t="str">
        <f ca="1">IFERROR(__xludf.DUMMYFUNCTION("""COMPUTED_VALUE"""),"E")</f>
        <v>E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IFERROR(__xludf.DUMMYFUNCTION("importhtml(""http://www.pgatour.com/stats/stat.02438.html"",""table"",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IFERROR(__xludf.DUMMYFUNCTION("""COMPUTED_VALUE"""),"# HIT")</f>
        <v># HIT</v>
      </c>
      <c r="G1" t="str">
        <f ca="1">IFERROR(__xludf.DUMMYFUNCTION("""COMPUTED_VALUE"""),"TOTAL ATTEMPTS")</f>
        <v>TOTAL ATTEMPTS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IFERROR(__xludf.DUMMYFUNCTION("""COMPUTED_VALUE"""),"T1")</f>
        <v>T1</v>
      </c>
      <c r="C2" t="str">
        <f ca="1">IFERROR(__xludf.DUMMYFUNCTION("""COMPUTED_VALUE"""),"Alex Smalley")</f>
        <v>Alex Smalley</v>
      </c>
      <c r="D2">
        <f ca="1">IFERROR(__xludf.DUMMYFUNCTION("""COMPUTED_VALUE"""),4)</f>
        <v>4</v>
      </c>
      <c r="E2">
        <f ca="1">IFERROR(__xludf.DUMMYFUNCTION("""COMPUTED_VALUE"""),94.64)</f>
        <v>94.64</v>
      </c>
      <c r="F2">
        <f ca="1">IFERROR(__xludf.DUMMYFUNCTION("""COMPUTED_VALUE"""),53)</f>
        <v>53</v>
      </c>
      <c r="G2">
        <f ca="1">IFERROR(__xludf.DUMMYFUNCTION("""COMPUTED_VALUE"""),56)</f>
        <v>56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IFERROR(__xludf.DUMMYFUNCTION("""COMPUTED_VALUE"""),4)</f>
        <v>4</v>
      </c>
      <c r="C3" t="str">
        <f ca="1">IFERROR(__xludf.DUMMYFUNCTION("""COMPUTED_VALUE"""),"Naoki Sekito")</f>
        <v>Naoki Sekito</v>
      </c>
      <c r="D3">
        <f ca="1">IFERROR(__xludf.DUMMYFUNCTION("""COMPUTED_VALUE"""),4)</f>
        <v>4</v>
      </c>
      <c r="E3">
        <f ca="1">IFERROR(__xludf.DUMMYFUNCTION("""COMPUTED_VALUE"""),92.31)</f>
        <v>92.31</v>
      </c>
      <c r="F3">
        <f ca="1">IFERROR(__xludf.DUMMYFUNCTION("""COMPUTED_VALUE"""),48)</f>
        <v>48</v>
      </c>
      <c r="G3">
        <f ca="1">IFERROR(__xludf.DUMMYFUNCTION("""COMPUTED_VALUE"""),52)</f>
        <v>52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IFERROR(__xludf.DUMMYFUNCTION("""COMPUTED_VALUE"""),"James Hahn")</f>
        <v>James Hahn</v>
      </c>
      <c r="D4">
        <f ca="1">IFERROR(__xludf.DUMMYFUNCTION("""COMPUTED_VALUE"""),16)</f>
        <v>16</v>
      </c>
      <c r="E4">
        <f ca="1">IFERROR(__xludf.DUMMYFUNCTION("""COMPUTED_VALUE"""),91.82)</f>
        <v>91.82</v>
      </c>
      <c r="F4">
        <f ca="1">IFERROR(__xludf.DUMMYFUNCTION("""COMPUTED_VALUE"""),202)</f>
        <v>202</v>
      </c>
      <c r="G4">
        <f ca="1">IFERROR(__xludf.DUMMYFUNCTION("""COMPUTED_VALUE"""),220)</f>
        <v>220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IFERROR(__xludf.DUMMYFUNCTION("""COMPUTED_VALUE"""),8)</f>
        <v>8</v>
      </c>
      <c r="C5" t="str">
        <f ca="1">IFERROR(__xludf.DUMMYFUNCTION("""COMPUTED_VALUE"""),"Mikumu Horikawa")</f>
        <v>Mikumu Horikawa</v>
      </c>
      <c r="D5">
        <f ca="1">IFERROR(__xludf.DUMMYFUNCTION("""COMPUTED_VALUE"""),4)</f>
        <v>4</v>
      </c>
      <c r="E5">
        <f ca="1">IFERROR(__xludf.DUMMYFUNCTION("""COMPUTED_VALUE"""),90.38)</f>
        <v>90.38</v>
      </c>
      <c r="F5">
        <f ca="1">IFERROR(__xludf.DUMMYFUNCTION("""COMPUTED_VALUE"""),47)</f>
        <v>47</v>
      </c>
      <c r="G5">
        <f ca="1">IFERROR(__xludf.DUMMYFUNCTION("""COMPUTED_VALUE"""),52)</f>
        <v>52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IFERROR(__xludf.DUMMYFUNCTION("""COMPUTED_VALUE"""),7)</f>
        <v>7</v>
      </c>
      <c r="C6" t="str">
        <f ca="1">IFERROR(__xludf.DUMMYFUNCTION("""COMPUTED_VALUE"""),"Austin Cook")</f>
        <v>Austin Cook</v>
      </c>
      <c r="D6">
        <f ca="1">IFERROR(__xludf.DUMMYFUNCTION("""COMPUTED_VALUE"""),14)</f>
        <v>14</v>
      </c>
      <c r="E6">
        <f ca="1">IFERROR(__xludf.DUMMYFUNCTION("""COMPUTED_VALUE"""),90.1)</f>
        <v>90.1</v>
      </c>
      <c r="F6">
        <f ca="1">IFERROR(__xludf.DUMMYFUNCTION("""COMPUTED_VALUE"""),173)</f>
        <v>173</v>
      </c>
      <c r="G6">
        <f ca="1">IFERROR(__xludf.DUMMYFUNCTION("""COMPUTED_VALUE"""),192)</f>
        <v>192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IFERROR(__xludf.DUMMYFUNCTION("""COMPUTED_VALUE"""),9)</f>
        <v>9</v>
      </c>
      <c r="C7" t="str">
        <f ca="1">IFERROR(__xludf.DUMMYFUNCTION("""COMPUTED_VALUE"""),"Brian Stuard")</f>
        <v>Brian Stuard</v>
      </c>
      <c r="D7">
        <f ca="1">IFERROR(__xludf.DUMMYFUNCTION("""COMPUTED_VALUE"""),18)</f>
        <v>18</v>
      </c>
      <c r="E7">
        <f ca="1">IFERROR(__xludf.DUMMYFUNCTION("""COMPUTED_VALUE"""),89.92)</f>
        <v>89.92</v>
      </c>
      <c r="F7">
        <f ca="1">IFERROR(__xludf.DUMMYFUNCTION("""COMPUTED_VALUE"""),223)</f>
        <v>223</v>
      </c>
      <c r="G7">
        <f ca="1">IFERROR(__xludf.DUMMYFUNCTION("""COMPUTED_VALUE"""),248)</f>
        <v>248</v>
      </c>
    </row>
    <row r="8" spans="1:7" ht="15.75" customHeight="1">
      <c r="A8" t="str">
        <f ca="1">IFERROR(__xludf.DUMMYFUNCTION("""COMPUTED_VALUE"""),"T7")</f>
        <v>T7</v>
      </c>
      <c r="B8" t="str">
        <f ca="1">IFERROR(__xludf.DUMMYFUNCTION("""COMPUTED_VALUE"""),"T13")</f>
        <v>T13</v>
      </c>
      <c r="C8" t="str">
        <f ca="1">IFERROR(__xludf.DUMMYFUNCTION("""COMPUTED_VALUE"""),"Jim Furyk")</f>
        <v>Jim Furyk</v>
      </c>
      <c r="D8">
        <f ca="1">IFERROR(__xludf.DUMMYFUNCTION("""COMPUTED_VALUE"""),4)</f>
        <v>4</v>
      </c>
      <c r="E8">
        <f ca="1">IFERROR(__xludf.DUMMYFUNCTION("""COMPUTED_VALUE"""),89.29)</f>
        <v>89.29</v>
      </c>
      <c r="F8">
        <f ca="1">IFERROR(__xludf.DUMMYFUNCTION("""COMPUTED_VALUE"""),50)</f>
        <v>50</v>
      </c>
      <c r="G8">
        <f ca="1">IFERROR(__xludf.DUMMYFUNCTION("""COMPUTED_VALUE"""),56)</f>
        <v>56</v>
      </c>
    </row>
    <row r="9" spans="1:7" ht="15.75" customHeight="1">
      <c r="A9" t="str">
        <f ca="1">IFERROR(__xludf.DUMMYFUNCTION("""COMPUTED_VALUE"""),"T7")</f>
        <v>T7</v>
      </c>
      <c r="B9" t="str">
        <f ca="1">IFERROR(__xludf.DUMMYFUNCTION("""COMPUTED_VALUE"""),"T13")</f>
        <v>T13</v>
      </c>
      <c r="C9" t="str">
        <f ca="1">IFERROR(__xludf.DUMMYFUNCTION("""COMPUTED_VALUE"""),"Michael Miller")</f>
        <v>Michael Miller</v>
      </c>
      <c r="D9">
        <f ca="1">IFERROR(__xludf.DUMMYFUNCTION("""COMPUTED_VALUE"""),4)</f>
        <v>4</v>
      </c>
      <c r="E9">
        <f ca="1">IFERROR(__xludf.DUMMYFUNCTION("""COMPUTED_VALUE"""),89.29)</f>
        <v>89.29</v>
      </c>
      <c r="F9">
        <f ca="1">IFERROR(__xludf.DUMMYFUNCTION("""COMPUTED_VALUE"""),50)</f>
        <v>50</v>
      </c>
      <c r="G9">
        <f ca="1">IFERROR(__xludf.DUMMYFUNCTION("""COMPUTED_VALUE"""),56)</f>
        <v>56</v>
      </c>
    </row>
    <row r="10" spans="1:7" ht="15.75" customHeight="1">
      <c r="A10" t="str">
        <f ca="1">IFERROR(__xludf.DUMMYFUNCTION("""COMPUTED_VALUE"""),"T7")</f>
        <v>T7</v>
      </c>
      <c r="B10" t="str">
        <f ca="1">IFERROR(__xludf.DUMMYFUNCTION("""COMPUTED_VALUE"""),"T13")</f>
        <v>T13</v>
      </c>
      <c r="C10" t="str">
        <f ca="1">IFERROR(__xludf.DUMMYFUNCTION("""COMPUTED_VALUE"""),"Wesley Bryan")</f>
        <v>Wesley Bryan</v>
      </c>
      <c r="D10">
        <f ca="1">IFERROR(__xludf.DUMMYFUNCTION("""COMPUTED_VALUE"""),8)</f>
        <v>8</v>
      </c>
      <c r="E10">
        <f ca="1">IFERROR(__xludf.DUMMYFUNCTION("""COMPUTED_VALUE"""),89.29)</f>
        <v>89.29</v>
      </c>
      <c r="F10">
        <f ca="1">IFERROR(__xludf.DUMMYFUNCTION("""COMPUTED_VALUE"""),100)</f>
        <v>100</v>
      </c>
      <c r="G10">
        <f ca="1">IFERROR(__xludf.DUMMYFUNCTION("""COMPUTED_VALUE"""),112)</f>
        <v>112</v>
      </c>
    </row>
    <row r="11" spans="1:7" ht="15.75" customHeight="1">
      <c r="A11" t="str">
        <f ca="1">IFERROR(__xludf.DUMMYFUNCTION("""COMPUTED_VALUE"""),"T7")</f>
        <v>T7</v>
      </c>
      <c r="B11" t="str">
        <f ca="1">IFERROR(__xludf.DUMMYFUNCTION("""COMPUTED_VALUE"""),"T13")</f>
        <v>T13</v>
      </c>
      <c r="C11" t="str">
        <f ca="1">IFERROR(__xludf.DUMMYFUNCTION("""COMPUTED_VALUE"""),"Stephen Stallings Jr.")</f>
        <v>Stephen Stallings Jr.</v>
      </c>
      <c r="D11">
        <f ca="1">IFERROR(__xludf.DUMMYFUNCTION("""COMPUTED_VALUE"""),4)</f>
        <v>4</v>
      </c>
      <c r="E11">
        <f ca="1">IFERROR(__xludf.DUMMYFUNCTION("""COMPUTED_VALUE"""),89.29)</f>
        <v>89.29</v>
      </c>
      <c r="F11">
        <f ca="1">IFERROR(__xludf.DUMMYFUNCTION("""COMPUTED_VALUE"""),50)</f>
        <v>50</v>
      </c>
      <c r="G11">
        <f ca="1">IFERROR(__xludf.DUMMYFUNCTION("""COMPUTED_VALUE"""),56)</f>
        <v>56</v>
      </c>
    </row>
    <row r="12" spans="1:7" ht="15.75" customHeight="1">
      <c r="A12" t="str">
        <f ca="1">IFERROR(__xludf.DUMMYFUNCTION("""COMPUTED_VALUE"""),"T7")</f>
        <v>T7</v>
      </c>
      <c r="B12" t="str">
        <f ca="1">IFERROR(__xludf.DUMMYFUNCTION("""COMPUTED_VALUE"""),"T13")</f>
        <v>T13</v>
      </c>
      <c r="C12" t="str">
        <f ca="1">IFERROR(__xludf.DUMMYFUNCTION("""COMPUTED_VALUE"""),"George Markham")</f>
        <v>George Markham</v>
      </c>
      <c r="D12">
        <f ca="1">IFERROR(__xludf.DUMMYFUNCTION("""COMPUTED_VALUE"""),4)</f>
        <v>4</v>
      </c>
      <c r="E12">
        <f ca="1">IFERROR(__xludf.DUMMYFUNCTION("""COMPUTED_VALUE"""),89.29)</f>
        <v>89.29</v>
      </c>
      <c r="F12">
        <f ca="1">IFERROR(__xludf.DUMMYFUNCTION("""COMPUTED_VALUE"""),50)</f>
        <v>50</v>
      </c>
      <c r="G12">
        <f ca="1">IFERROR(__xludf.DUMMYFUNCTION("""COMPUTED_VALUE"""),56)</f>
        <v>56</v>
      </c>
    </row>
    <row r="13" spans="1:7" ht="15.75" customHeight="1">
      <c r="A13" t="str">
        <f ca="1">IFERROR(__xludf.DUMMYFUNCTION("""COMPUTED_VALUE"""),"T7")</f>
        <v>T7</v>
      </c>
      <c r="B13" t="str">
        <f ca="1">IFERROR(__xludf.DUMMYFUNCTION("""COMPUTED_VALUE"""),"T13")</f>
        <v>T13</v>
      </c>
      <c r="C13" t="str">
        <f ca="1">IFERROR(__xludf.DUMMYFUNCTION("""COMPUTED_VALUE"""),"Chris Baker")</f>
        <v>Chris Baker</v>
      </c>
      <c r="D13">
        <f ca="1">IFERROR(__xludf.DUMMYFUNCTION("""COMPUTED_VALUE"""),8)</f>
        <v>8</v>
      </c>
      <c r="E13">
        <f ca="1">IFERROR(__xludf.DUMMYFUNCTION("""COMPUTED_VALUE"""),89.29)</f>
        <v>89.29</v>
      </c>
      <c r="F13">
        <f ca="1">IFERROR(__xludf.DUMMYFUNCTION("""COMPUTED_VALUE"""),100)</f>
        <v>100</v>
      </c>
      <c r="G13">
        <f ca="1">IFERROR(__xludf.DUMMYFUNCTION("""COMPUTED_VALUE"""),112)</f>
        <v>112</v>
      </c>
    </row>
    <row r="14" spans="1:7" ht="15.75" customHeight="1">
      <c r="A14" t="str">
        <f ca="1">IFERROR(__xludf.DUMMYFUNCTION("""COMPUTED_VALUE"""),"T7")</f>
        <v>T7</v>
      </c>
      <c r="B14" t="str">
        <f ca="1">IFERROR(__xludf.DUMMYFUNCTION("""COMPUTED_VALUE"""),"T13")</f>
        <v>T13</v>
      </c>
      <c r="C14" t="str">
        <f ca="1">IFERROR(__xludf.DUMMYFUNCTION("""COMPUTED_VALUE"""),"Bud Cauley")</f>
        <v>Bud Cauley</v>
      </c>
      <c r="D14">
        <f ca="1">IFERROR(__xludf.DUMMYFUNCTION("""COMPUTED_VALUE"""),4)</f>
        <v>4</v>
      </c>
      <c r="E14">
        <f ca="1">IFERROR(__xludf.DUMMYFUNCTION("""COMPUTED_VALUE"""),89.29)</f>
        <v>89.29</v>
      </c>
      <c r="F14">
        <f ca="1">IFERROR(__xludf.DUMMYFUNCTION("""COMPUTED_VALUE"""),50)</f>
        <v>50</v>
      </c>
      <c r="G14">
        <f ca="1">IFERROR(__xludf.DUMMYFUNCTION("""COMPUTED_VALUE"""),56)</f>
        <v>56</v>
      </c>
    </row>
    <row r="15" spans="1:7" ht="15.75" customHeight="1">
      <c r="A15">
        <f ca="1">IFERROR(__xludf.DUMMYFUNCTION("""COMPUTED_VALUE"""),14)</f>
        <v>14</v>
      </c>
      <c r="B15" t="str">
        <f ca="1">IFERROR(__xludf.DUMMYFUNCTION("""COMPUTED_VALUE"""),"T5")</f>
        <v>T5</v>
      </c>
      <c r="C15" t="str">
        <f ca="1">IFERROR(__xludf.DUMMYFUNCTION("""COMPUTED_VALUE"""),"Martin Laird")</f>
        <v>Martin Laird</v>
      </c>
      <c r="D15">
        <f ca="1">IFERROR(__xludf.DUMMYFUNCTION("""COMPUTED_VALUE"""),16)</f>
        <v>16</v>
      </c>
      <c r="E15">
        <f ca="1">IFERROR(__xludf.DUMMYFUNCTION("""COMPUTED_VALUE"""),89.19)</f>
        <v>89.19</v>
      </c>
      <c r="F15">
        <f ca="1">IFERROR(__xludf.DUMMYFUNCTION("""COMPUTED_VALUE"""),198)</f>
        <v>198</v>
      </c>
      <c r="G15">
        <f ca="1">IFERROR(__xludf.DUMMYFUNCTION("""COMPUTED_VALUE"""),222)</f>
        <v>222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IFERROR(__xludf.DUMMYFUNCTION("""COMPUTED_VALUE"""),24)</f>
        <v>24</v>
      </c>
      <c r="C16" t="str">
        <f ca="1">IFERROR(__xludf.DUMMYFUNCTION("""COMPUTED_VALUE"""),"Denny McCarthy")</f>
        <v>Denny McCarthy</v>
      </c>
      <c r="D16">
        <f ca="1">IFERROR(__xludf.DUMMYFUNCTION("""COMPUTED_VALUE"""),22)</f>
        <v>22</v>
      </c>
      <c r="E16">
        <f ca="1">IFERROR(__xludf.DUMMYFUNCTION("""COMPUTED_VALUE"""),89.14)</f>
        <v>89.14</v>
      </c>
      <c r="F16">
        <f ca="1">IFERROR(__xludf.DUMMYFUNCTION("""COMPUTED_VALUE"""),271)</f>
        <v>271</v>
      </c>
      <c r="G16">
        <f ca="1">IFERROR(__xludf.DUMMYFUNCTION("""COMPUTED_VALUE"""),304)</f>
        <v>304</v>
      </c>
    </row>
    <row r="17" spans="1:7" ht="15.75" customHeight="1">
      <c r="A17" t="str">
        <f ca="1">IFERROR(__xludf.DUMMYFUNCTION("""COMPUTED_VALUE"""),"T16")</f>
        <v>T16</v>
      </c>
      <c r="B17">
        <f ca="1">IFERROR(__xludf.DUMMYFUNCTION("""COMPUTED_VALUE"""),10)</f>
        <v>10</v>
      </c>
      <c r="C17" t="str">
        <f ca="1">IFERROR(__xludf.DUMMYFUNCTION("""COMPUTED_VALUE"""),"Russell Henley")</f>
        <v>Russell Henley</v>
      </c>
      <c r="D17">
        <f ca="1">IFERROR(__xludf.DUMMYFUNCTION("""COMPUTED_VALUE"""),16)</f>
        <v>16</v>
      </c>
      <c r="E17">
        <f ca="1">IFERROR(__xludf.DUMMYFUNCTION("""COMPUTED_VALUE"""),88.89)</f>
        <v>88.89</v>
      </c>
      <c r="F17">
        <f ca="1">IFERROR(__xludf.DUMMYFUNCTION("""COMPUTED_VALUE"""),192)</f>
        <v>192</v>
      </c>
      <c r="G17">
        <f ca="1">IFERROR(__xludf.DUMMYFUNCTION("""COMPUTED_VALUE"""),216)</f>
        <v>216</v>
      </c>
    </row>
    <row r="18" spans="1:7" ht="15.75" customHeight="1">
      <c r="A18" t="str">
        <f ca="1">IFERROR(__xludf.DUMMYFUNCTION("""COMPUTED_VALUE"""),"T16")</f>
        <v>T16</v>
      </c>
      <c r="B18" t="str">
        <f ca="1">IFERROR(__xludf.DUMMYFUNCTION("""COMPUTED_VALUE"""),"T1")</f>
        <v>T1</v>
      </c>
      <c r="C18" t="str">
        <f ca="1">IFERROR(__xludf.DUMMYFUNCTION("""COMPUTED_VALUE"""),"John Huh")</f>
        <v>John Huh</v>
      </c>
      <c r="D18">
        <f ca="1">IFERROR(__xludf.DUMMYFUNCTION("""COMPUTED_VALUE"""),8)</f>
        <v>8</v>
      </c>
      <c r="E18">
        <f ca="1">IFERROR(__xludf.DUMMYFUNCTION("""COMPUTED_VALUE"""),88.89)</f>
        <v>88.89</v>
      </c>
      <c r="F18">
        <f ca="1">IFERROR(__xludf.DUMMYFUNCTION("""COMPUTED_VALUE"""),96)</f>
        <v>96</v>
      </c>
      <c r="G18">
        <f ca="1">IFERROR(__xludf.DUMMYFUNCTION("""COMPUTED_VALUE"""),108)</f>
        <v>108</v>
      </c>
    </row>
    <row r="19" spans="1:7" ht="15.75" customHeight="1">
      <c r="A19">
        <f ca="1">IFERROR(__xludf.DUMMYFUNCTION("""COMPUTED_VALUE"""),18)</f>
        <v>18</v>
      </c>
      <c r="B19" t="str">
        <f ca="1">IFERROR(__xludf.DUMMYFUNCTION("""COMPUTED_VALUE"""),"T5")</f>
        <v>T5</v>
      </c>
      <c r="C19" t="str">
        <f ca="1">IFERROR(__xludf.DUMMYFUNCTION("""COMPUTED_VALUE"""),"Sam Burns")</f>
        <v>Sam Burns</v>
      </c>
      <c r="D19">
        <f ca="1">IFERROR(__xludf.DUMMYFUNCTION("""COMPUTED_VALUE"""),18)</f>
        <v>18</v>
      </c>
      <c r="E19">
        <f ca="1">IFERROR(__xludf.DUMMYFUNCTION("""COMPUTED_VALUE"""),88.71)</f>
        <v>88.71</v>
      </c>
      <c r="F19">
        <f ca="1">IFERROR(__xludf.DUMMYFUNCTION("""COMPUTED_VALUE"""),220)</f>
        <v>220</v>
      </c>
      <c r="G19">
        <f ca="1">IFERROR(__xludf.DUMMYFUNCTION("""COMPUTED_VALUE"""),248)</f>
        <v>248</v>
      </c>
    </row>
    <row r="20" spans="1:7" ht="15.75" customHeight="1">
      <c r="A20">
        <f ca="1">IFERROR(__xludf.DUMMYFUNCTION("""COMPUTED_VALUE"""),19)</f>
        <v>19</v>
      </c>
      <c r="B20" t="str">
        <f ca="1">IFERROR(__xludf.DUMMYFUNCTION("""COMPUTED_VALUE"""),"T27")</f>
        <v>T27</v>
      </c>
      <c r="C20" t="str">
        <f ca="1">IFERROR(__xludf.DUMMYFUNCTION("""COMPUTED_VALUE"""),"Justin Suh")</f>
        <v>Justin Suh</v>
      </c>
      <c r="D20">
        <f ca="1">IFERROR(__xludf.DUMMYFUNCTION("""COMPUTED_VALUE"""),10)</f>
        <v>10</v>
      </c>
      <c r="E20">
        <f ca="1">IFERROR(__xludf.DUMMYFUNCTION("""COMPUTED_VALUE"""),88.57)</f>
        <v>88.57</v>
      </c>
      <c r="F20">
        <f ca="1">IFERROR(__xludf.DUMMYFUNCTION("""COMPUTED_VALUE"""),124)</f>
        <v>124</v>
      </c>
      <c r="G20">
        <f ca="1">IFERROR(__xludf.DUMMYFUNCTION("""COMPUTED_VALUE"""),140)</f>
        <v>140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IFERROR(__xludf.DUMMYFUNCTION("""COMPUTED_VALUE"""),"T27")</f>
        <v>T27</v>
      </c>
      <c r="C21" t="str">
        <f ca="1">IFERROR(__xludf.DUMMYFUNCTION("""COMPUTED_VALUE"""),"Adam Schenk")</f>
        <v>Adam Schenk</v>
      </c>
      <c r="D21">
        <f ca="1">IFERROR(__xludf.DUMMYFUNCTION("""COMPUTED_VALUE"""),22)</f>
        <v>22</v>
      </c>
      <c r="E21">
        <f ca="1">IFERROR(__xludf.DUMMYFUNCTION("""COMPUTED_VALUE"""),88.56)</f>
        <v>88.56</v>
      </c>
      <c r="F21">
        <f ca="1">IFERROR(__xludf.DUMMYFUNCTION("""COMPUTED_VALUE"""),271)</f>
        <v>271</v>
      </c>
      <c r="G21">
        <f ca="1">IFERROR(__xludf.DUMMYFUNCTION("""COMPUTED_VALUE"""),306)</f>
        <v>306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IFERROR(__xludf.DUMMYFUNCTION("""COMPUTED_VALUE"""),29)</f>
        <v>29</v>
      </c>
      <c r="C22" t="str">
        <f ca="1">IFERROR(__xludf.DUMMYFUNCTION("""COMPUTED_VALUE"""),"Gunn Charoenkul")</f>
        <v>Gunn Charoenkul</v>
      </c>
      <c r="D22">
        <f ca="1">IFERROR(__xludf.DUMMYFUNCTION("""COMPUTED_VALUE"""),4)</f>
        <v>4</v>
      </c>
      <c r="E22">
        <f ca="1">IFERROR(__xludf.DUMMYFUNCTION("""COMPUTED_VALUE"""),88.46)</f>
        <v>88.46</v>
      </c>
      <c r="F22">
        <f ca="1">IFERROR(__xludf.DUMMYFUNCTION("""COMPUTED_VALUE"""),46)</f>
        <v>46</v>
      </c>
      <c r="G22">
        <f ca="1">IFERROR(__xludf.DUMMYFUNCTION("""COMPUTED_VALUE"""),52)</f>
        <v>52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IFERROR(__xludf.DUMMYFUNCTION("""COMPUTED_VALUE"""),"T13")</f>
        <v>T13</v>
      </c>
      <c r="C23" t="str">
        <f ca="1">IFERROR(__xludf.DUMMYFUNCTION("""COMPUTED_VALUE"""),"Stewart Cink")</f>
        <v>Stewart Cink</v>
      </c>
      <c r="D23">
        <f ca="1">IFERROR(__xludf.DUMMYFUNCTION("""COMPUTED_VALUE"""),18)</f>
        <v>18</v>
      </c>
      <c r="E23">
        <f ca="1">IFERROR(__xludf.DUMMYFUNCTION("""COMPUTED_VALUE"""),88.4)</f>
        <v>88.4</v>
      </c>
      <c r="F23">
        <f ca="1">IFERROR(__xludf.DUMMYFUNCTION("""COMPUTED_VALUE"""),221)</f>
        <v>221</v>
      </c>
      <c r="G23">
        <f ca="1">IFERROR(__xludf.DUMMYFUNCTION("""COMPUTED_VALUE"""),250)</f>
        <v>250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IFERROR(__xludf.DUMMYFUNCTION("""COMPUTED_VALUE"""),30)</f>
        <v>30</v>
      </c>
      <c r="C24" t="str">
        <f ca="1">IFERROR(__xludf.DUMMYFUNCTION("""COMPUTED_VALUE"""),"Chase Seiffert")</f>
        <v>Chase Seiffert</v>
      </c>
      <c r="D24">
        <f ca="1">IFERROR(__xludf.DUMMYFUNCTION("""COMPUTED_VALUE"""),14)</f>
        <v>14</v>
      </c>
      <c r="E24">
        <f ca="1">IFERROR(__xludf.DUMMYFUNCTION("""COMPUTED_VALUE"""),88.27)</f>
        <v>88.27</v>
      </c>
      <c r="F24">
        <f ca="1">IFERROR(__xludf.DUMMYFUNCTION("""COMPUTED_VALUE"""),173)</f>
        <v>173</v>
      </c>
      <c r="G24">
        <f ca="1">IFERROR(__xludf.DUMMYFUNCTION("""COMPUTED_VALUE"""),196)</f>
        <v>196</v>
      </c>
    </row>
    <row r="25" spans="1:7" ht="15.75" customHeight="1">
      <c r="A25" t="str">
        <f ca="1">IFERROR(__xludf.DUMMYFUNCTION("""COMPUTED_VALUE"""),"T24")</f>
        <v>T24</v>
      </c>
      <c r="B25" t="str">
        <f ca="1">IFERROR(__xludf.DUMMYFUNCTION("""COMPUTED_VALUE"""),"T31")</f>
        <v>T31</v>
      </c>
      <c r="C25" t="str">
        <f ca="1">IFERROR(__xludf.DUMMYFUNCTION("""COMPUTED_VALUE"""),"Sahith Theegala")</f>
        <v>Sahith Theegala</v>
      </c>
      <c r="D25">
        <f ca="1">IFERROR(__xludf.DUMMYFUNCTION("""COMPUTED_VALUE"""),6)</f>
        <v>6</v>
      </c>
      <c r="E25">
        <f ca="1">IFERROR(__xludf.DUMMYFUNCTION("""COMPUTED_VALUE"""),88.1)</f>
        <v>88.1</v>
      </c>
      <c r="F25">
        <f ca="1">IFERROR(__xludf.DUMMYFUNCTION("""COMPUTED_VALUE"""),74)</f>
        <v>74</v>
      </c>
      <c r="G25">
        <f ca="1">IFERROR(__xludf.DUMMYFUNCTION("""COMPUTED_VALUE"""),84)</f>
        <v>84</v>
      </c>
    </row>
    <row r="26" spans="1:7" ht="15.75" customHeight="1">
      <c r="A26" t="str">
        <f ca="1">IFERROR(__xludf.DUMMYFUNCTION("""COMPUTED_VALUE"""),"T24")</f>
        <v>T24</v>
      </c>
      <c r="B26" t="str">
        <f ca="1">IFERROR(__xludf.DUMMYFUNCTION("""COMPUTED_VALUE"""),"T31")</f>
        <v>T31</v>
      </c>
      <c r="C26" t="str">
        <f ca="1">IFERROR(__xludf.DUMMYFUNCTION("""COMPUTED_VALUE"""),"Ben Martin")</f>
        <v>Ben Martin</v>
      </c>
      <c r="D26">
        <f ca="1">IFERROR(__xludf.DUMMYFUNCTION("""COMPUTED_VALUE"""),6)</f>
        <v>6</v>
      </c>
      <c r="E26">
        <f ca="1">IFERROR(__xludf.DUMMYFUNCTION("""COMPUTED_VALUE"""),88.1)</f>
        <v>88.1</v>
      </c>
      <c r="F26">
        <f ca="1">IFERROR(__xludf.DUMMYFUNCTION("""COMPUTED_VALUE"""),74)</f>
        <v>74</v>
      </c>
      <c r="G26">
        <f ca="1">IFERROR(__xludf.DUMMYFUNCTION("""COMPUTED_VALUE"""),84)</f>
        <v>84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IFERROR(__xludf.DUMMYFUNCTION("""COMPUTED_VALUE"""),33)</f>
        <v>33</v>
      </c>
      <c r="C27" t="str">
        <f ca="1">IFERROR(__xludf.DUMMYFUNCTION("""COMPUTED_VALUE"""),"Harry Higgs")</f>
        <v>Harry Higgs</v>
      </c>
      <c r="D27">
        <f ca="1">IFERROR(__xludf.DUMMYFUNCTION("""COMPUTED_VALUE"""),14)</f>
        <v>14</v>
      </c>
      <c r="E27">
        <f ca="1">IFERROR(__xludf.DUMMYFUNCTION("""COMPUTED_VALUE"""),88.02)</f>
        <v>88.02</v>
      </c>
      <c r="F27">
        <f ca="1">IFERROR(__xludf.DUMMYFUNCTION("""COMPUTED_VALUE"""),169)</f>
        <v>169</v>
      </c>
      <c r="G27">
        <f ca="1">IFERROR(__xludf.DUMMYFUNCTION("""COMPUTED_VALUE"""),192)</f>
        <v>192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IFERROR(__xludf.DUMMYFUNCTION("""COMPUTED_VALUE"""),"T34")</f>
        <v>T34</v>
      </c>
      <c r="C28" t="str">
        <f ca="1">IFERROR(__xludf.DUMMYFUNCTION("""COMPUTED_VALUE"""),"J.J. Spaun")</f>
        <v>J.J. Spaun</v>
      </c>
      <c r="D28">
        <f ca="1">IFERROR(__xludf.DUMMYFUNCTION("""COMPUTED_VALUE"""),10)</f>
        <v>10</v>
      </c>
      <c r="E28">
        <f ca="1">IFERROR(__xludf.DUMMYFUNCTION("""COMPUTED_VALUE"""),87.86)</f>
        <v>87.86</v>
      </c>
      <c r="F28">
        <f ca="1">IFERROR(__xludf.DUMMYFUNCTION("""COMPUTED_VALUE"""),123)</f>
        <v>123</v>
      </c>
      <c r="G28">
        <f ca="1">IFERROR(__xludf.DUMMYFUNCTION("""COMPUTED_VALUE"""),140)</f>
        <v>140</v>
      </c>
    </row>
    <row r="29" spans="1:7" ht="15.75" customHeight="1">
      <c r="A29" t="str">
        <f ca="1">IFERROR(__xludf.DUMMYFUNCTION("""COMPUTED_VALUE"""),"T28")</f>
        <v>T28</v>
      </c>
      <c r="B29" t="str">
        <f ca="1">IFERROR(__xludf.DUMMYFUNCTION("""COMPUTED_VALUE"""),"T25")</f>
        <v>T25</v>
      </c>
      <c r="C29" t="str">
        <f ca="1">IFERROR(__xludf.DUMMYFUNCTION("""COMPUTED_VALUE"""),"Doc Redman")</f>
        <v>Doc Redman</v>
      </c>
      <c r="D29">
        <f ca="1">IFERROR(__xludf.DUMMYFUNCTION("""COMPUTED_VALUE"""),18)</f>
        <v>18</v>
      </c>
      <c r="E29">
        <f ca="1">IFERROR(__xludf.DUMMYFUNCTION("""COMPUTED_VALUE"""),87.5)</f>
        <v>87.5</v>
      </c>
      <c r="F29">
        <f ca="1">IFERROR(__xludf.DUMMYFUNCTION("""COMPUTED_VALUE"""),217)</f>
        <v>217</v>
      </c>
      <c r="G29">
        <f ca="1">IFERROR(__xludf.DUMMYFUNCTION("""COMPUTED_VALUE"""),248)</f>
        <v>248</v>
      </c>
    </row>
    <row r="30" spans="1:7" ht="15.75" customHeight="1">
      <c r="A30" t="str">
        <f ca="1">IFERROR(__xludf.DUMMYFUNCTION("""COMPUTED_VALUE"""),"T28")</f>
        <v>T28</v>
      </c>
      <c r="B30" t="str">
        <f ca="1">IFERROR(__xludf.DUMMYFUNCTION("""COMPUTED_VALUE"""),"T39")</f>
        <v>T39</v>
      </c>
      <c r="C30" t="str">
        <f ca="1">IFERROR(__xludf.DUMMYFUNCTION("""COMPUTED_VALUE"""),"Willy Pumarol")</f>
        <v>Willy Pumarol</v>
      </c>
      <c r="D30">
        <f ca="1">IFERROR(__xludf.DUMMYFUNCTION("""COMPUTED_VALUE"""),4)</f>
        <v>4</v>
      </c>
      <c r="E30">
        <f ca="1">IFERROR(__xludf.DUMMYFUNCTION("""COMPUTED_VALUE"""),87.5)</f>
        <v>87.5</v>
      </c>
      <c r="F30">
        <f ca="1">IFERROR(__xludf.DUMMYFUNCTION("""COMPUTED_VALUE"""),49)</f>
        <v>49</v>
      </c>
      <c r="G30">
        <f ca="1">IFERROR(__xludf.DUMMYFUNCTION("""COMPUTED_VALUE"""),56)</f>
        <v>56</v>
      </c>
    </row>
    <row r="31" spans="1:7" ht="12.75">
      <c r="A31" t="str">
        <f ca="1">IFERROR(__xludf.DUMMYFUNCTION("""COMPUTED_VALUE"""),"T28")</f>
        <v>T28</v>
      </c>
      <c r="B31" t="str">
        <f ca="1">IFERROR(__xludf.DUMMYFUNCTION("""COMPUTED_VALUE"""),"T39")</f>
        <v>T39</v>
      </c>
      <c r="C31" t="str">
        <f ca="1">IFERROR(__xludf.DUMMYFUNCTION("""COMPUTED_VALUE"""),"Johnson Wagner")</f>
        <v>Johnson Wagner</v>
      </c>
      <c r="D31">
        <f ca="1">IFERROR(__xludf.DUMMYFUNCTION("""COMPUTED_VALUE"""),8)</f>
        <v>8</v>
      </c>
      <c r="E31">
        <f ca="1">IFERROR(__xludf.DUMMYFUNCTION("""COMPUTED_VALUE"""),87.5)</f>
        <v>87.5</v>
      </c>
      <c r="F31">
        <f ca="1">IFERROR(__xludf.DUMMYFUNCTION("""COMPUTED_VALUE"""),98)</f>
        <v>98</v>
      </c>
      <c r="G31">
        <f ca="1">IFERROR(__xludf.DUMMYFUNCTION("""COMPUTED_VALUE"""),112)</f>
        <v>112</v>
      </c>
    </row>
    <row r="32" spans="1:7" ht="12.75">
      <c r="A32">
        <f ca="1">IFERROR(__xludf.DUMMYFUNCTION("""COMPUTED_VALUE"""),31)</f>
        <v>31</v>
      </c>
      <c r="B32" t="str">
        <f ca="1">IFERROR(__xludf.DUMMYFUNCTION("""COMPUTED_VALUE"""),"T25")</f>
        <v>T25</v>
      </c>
      <c r="C32" t="str">
        <f ca="1">IFERROR(__xludf.DUMMYFUNCTION("""COMPUTED_VALUE"""),"Matthew NeSmith")</f>
        <v>Matthew NeSmith</v>
      </c>
      <c r="D32">
        <f ca="1">IFERROR(__xludf.DUMMYFUNCTION("""COMPUTED_VALUE"""),16)</f>
        <v>16</v>
      </c>
      <c r="E32">
        <f ca="1">IFERROR(__xludf.DUMMYFUNCTION("""COMPUTED_VALUE"""),87.39)</f>
        <v>87.39</v>
      </c>
      <c r="F32">
        <f ca="1">IFERROR(__xludf.DUMMYFUNCTION("""COMPUTED_VALUE"""),194)</f>
        <v>194</v>
      </c>
      <c r="G32">
        <f ca="1">IFERROR(__xludf.DUMMYFUNCTION("""COMPUTED_VALUE"""),222)</f>
        <v>222</v>
      </c>
    </row>
    <row r="33" spans="1:7" ht="12.75">
      <c r="A33">
        <f ca="1">IFERROR(__xludf.DUMMYFUNCTION("""COMPUTED_VALUE"""),32)</f>
        <v>32</v>
      </c>
      <c r="B33" t="str">
        <f ca="1">IFERROR(__xludf.DUMMYFUNCTION("""COMPUTED_VALUE"""),"T48")</f>
        <v>T48</v>
      </c>
      <c r="C33" t="str">
        <f ca="1">IFERROR(__xludf.DUMMYFUNCTION("""COMPUTED_VALUE"""),"Ryan Armour")</f>
        <v>Ryan Armour</v>
      </c>
      <c r="D33">
        <f ca="1">IFERROR(__xludf.DUMMYFUNCTION("""COMPUTED_VALUE"""),16)</f>
        <v>16</v>
      </c>
      <c r="E33">
        <f ca="1">IFERROR(__xludf.DUMMYFUNCTION("""COMPUTED_VALUE"""),86.94)</f>
        <v>86.94</v>
      </c>
      <c r="F33">
        <f ca="1">IFERROR(__xludf.DUMMYFUNCTION("""COMPUTED_VALUE"""),193)</f>
        <v>193</v>
      </c>
      <c r="G33">
        <f ca="1">IFERROR(__xludf.DUMMYFUNCTION("""COMPUTED_VALUE"""),222)</f>
        <v>222</v>
      </c>
    </row>
    <row r="34" spans="1:7" ht="12.75">
      <c r="A34">
        <f ca="1">IFERROR(__xludf.DUMMYFUNCTION("""COMPUTED_VALUE"""),33)</f>
        <v>33</v>
      </c>
      <c r="B34" t="str">
        <f ca="1">IFERROR(__xludf.DUMMYFUNCTION("""COMPUTED_VALUE"""),"T39")</f>
        <v>T39</v>
      </c>
      <c r="C34" t="str">
        <f ca="1">IFERROR(__xludf.DUMMYFUNCTION("""COMPUTED_VALUE"""),"Emiliano Grillo")</f>
        <v>Emiliano Grillo</v>
      </c>
      <c r="D34">
        <f ca="1">IFERROR(__xludf.DUMMYFUNCTION("""COMPUTED_VALUE"""),22)</f>
        <v>22</v>
      </c>
      <c r="E34">
        <f ca="1">IFERROR(__xludf.DUMMYFUNCTION("""COMPUTED_VALUE"""),86.93)</f>
        <v>86.93</v>
      </c>
      <c r="F34">
        <f ca="1">IFERROR(__xludf.DUMMYFUNCTION("""COMPUTED_VALUE"""),266)</f>
        <v>266</v>
      </c>
      <c r="G34">
        <f ca="1">IFERROR(__xludf.DUMMYFUNCTION("""COMPUTED_VALUE"""),306)</f>
        <v>306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IFERROR(__xludf.DUMMYFUNCTION("""COMPUTED_VALUE"""),47)</f>
        <v>47</v>
      </c>
      <c r="C35" t="str">
        <f ca="1">IFERROR(__xludf.DUMMYFUNCTION("""COMPUTED_VALUE"""),"Matthew Fitzpatrick")</f>
        <v>Matthew Fitzpatrick</v>
      </c>
      <c r="D35">
        <f ca="1">IFERROR(__xludf.DUMMYFUNCTION("""COMPUTED_VALUE"""),10)</f>
        <v>10</v>
      </c>
      <c r="E35">
        <f ca="1">IFERROR(__xludf.DUMMYFUNCTION("""COMPUTED_VALUE"""),86.76)</f>
        <v>86.76</v>
      </c>
      <c r="F35">
        <f ca="1">IFERROR(__xludf.DUMMYFUNCTION("""COMPUTED_VALUE"""),118)</f>
        <v>118</v>
      </c>
      <c r="G35">
        <f ca="1">IFERROR(__xludf.DUMMYFUNCTION("""COMPUTED_VALUE"""),136)</f>
        <v>136</v>
      </c>
    </row>
    <row r="36" spans="1:7" ht="12.75">
      <c r="A36" t="str">
        <f ca="1">IFERROR(__xludf.DUMMYFUNCTION("""COMPUTED_VALUE"""),"T35")</f>
        <v>T35</v>
      </c>
      <c r="B36" t="str">
        <f ca="1">IFERROR(__xludf.DUMMYFUNCTION("""COMPUTED_VALUE"""),"T48")</f>
        <v>T48</v>
      </c>
      <c r="C36" t="str">
        <f ca="1">IFERROR(__xludf.DUMMYFUNCTION("""COMPUTED_VALUE"""),"Chez Reavie")</f>
        <v>Chez Reavie</v>
      </c>
      <c r="D36">
        <f ca="1">IFERROR(__xludf.DUMMYFUNCTION("""COMPUTED_VALUE"""),14)</f>
        <v>14</v>
      </c>
      <c r="E36">
        <f ca="1">IFERROR(__xludf.DUMMYFUNCTION("""COMPUTED_VALUE"""),86.73)</f>
        <v>86.73</v>
      </c>
      <c r="F36">
        <f ca="1">IFERROR(__xludf.DUMMYFUNCTION("""COMPUTED_VALUE"""),170)</f>
        <v>170</v>
      </c>
      <c r="G36">
        <f ca="1">IFERROR(__xludf.DUMMYFUNCTION("""COMPUTED_VALUE"""),196)</f>
        <v>196</v>
      </c>
    </row>
    <row r="37" spans="1:7" ht="12.75">
      <c r="A37" t="str">
        <f ca="1">IFERROR(__xludf.DUMMYFUNCTION("""COMPUTED_VALUE"""),"T35")</f>
        <v>T35</v>
      </c>
      <c r="B37" t="str">
        <f ca="1">IFERROR(__xludf.DUMMYFUNCTION("""COMPUTED_VALUE"""),"T48")</f>
        <v>T48</v>
      </c>
      <c r="C37" t="str">
        <f ca="1">IFERROR(__xludf.DUMMYFUNCTION("""COMPUTED_VALUE"""),"Jonathan Byrd")</f>
        <v>Jonathan Byrd</v>
      </c>
      <c r="D37">
        <f ca="1">IFERROR(__xludf.DUMMYFUNCTION("""COMPUTED_VALUE"""),14)</f>
        <v>14</v>
      </c>
      <c r="E37">
        <f ca="1">IFERROR(__xludf.DUMMYFUNCTION("""COMPUTED_VALUE"""),86.73)</f>
        <v>86.73</v>
      </c>
      <c r="F37">
        <f ca="1">IFERROR(__xludf.DUMMYFUNCTION("""COMPUTED_VALUE"""),170)</f>
        <v>170</v>
      </c>
      <c r="G37">
        <f ca="1">IFERROR(__xludf.DUMMYFUNCTION("""COMPUTED_VALUE"""),196)</f>
        <v>196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IFERROR(__xludf.DUMMYFUNCTION("""COMPUTED_VALUE"""),51)</f>
        <v>51</v>
      </c>
      <c r="C38" t="str">
        <f ca="1">IFERROR(__xludf.DUMMYFUNCTION("""COMPUTED_VALUE"""),"Sebastian Cappelen")</f>
        <v>Sebastian Cappelen</v>
      </c>
      <c r="D38">
        <f ca="1">IFERROR(__xludf.DUMMYFUNCTION("""COMPUTED_VALUE"""),8)</f>
        <v>8</v>
      </c>
      <c r="E38">
        <f ca="1">IFERROR(__xludf.DUMMYFUNCTION("""COMPUTED_VALUE"""),86.61)</f>
        <v>86.61</v>
      </c>
      <c r="F38">
        <f ca="1">IFERROR(__xludf.DUMMYFUNCTION("""COMPUTED_VALUE"""),97)</f>
        <v>97</v>
      </c>
      <c r="G38">
        <f ca="1">IFERROR(__xludf.DUMMYFUNCTION("""COMPUTED_VALUE"""),112)</f>
        <v>112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IFERROR(__xludf.DUMMYFUNCTION("""COMPUTED_VALUE"""),12)</f>
        <v>12</v>
      </c>
      <c r="C39" t="str">
        <f ca="1">IFERROR(__xludf.DUMMYFUNCTION("""COMPUTED_VALUE"""),"Scott Stallings")</f>
        <v>Scott Stallings</v>
      </c>
      <c r="D39">
        <f ca="1">IFERROR(__xludf.DUMMYFUNCTION("""COMPUTED_VALUE"""),14)</f>
        <v>14</v>
      </c>
      <c r="E39">
        <f ca="1">IFERROR(__xludf.DUMMYFUNCTION("""COMPUTED_VALUE"""),86.6)</f>
        <v>86.6</v>
      </c>
      <c r="F39">
        <f ca="1">IFERROR(__xludf.DUMMYFUNCTION("""COMPUTED_VALUE"""),168)</f>
        <v>168</v>
      </c>
      <c r="G39">
        <f ca="1">IFERROR(__xludf.DUMMYFUNCTION("""COMPUTED_VALUE"""),194)</f>
        <v>194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IFERROR(__xludf.DUMMYFUNCTION("""COMPUTED_VALUE"""),52)</f>
        <v>52</v>
      </c>
      <c r="C40" t="str">
        <f ca="1">IFERROR(__xludf.DUMMYFUNCTION("""COMPUTED_VALUE"""),"Brad Kennedy")</f>
        <v>Brad Kennedy</v>
      </c>
      <c r="D40">
        <f ca="1">IFERROR(__xludf.DUMMYFUNCTION("""COMPUTED_VALUE"""),4)</f>
        <v>4</v>
      </c>
      <c r="E40">
        <f ca="1">IFERROR(__xludf.DUMMYFUNCTION("""COMPUTED_VALUE"""),86.54)</f>
        <v>86.54</v>
      </c>
      <c r="F40">
        <f ca="1">IFERROR(__xludf.DUMMYFUNCTION("""COMPUTED_VALUE"""),45)</f>
        <v>45</v>
      </c>
      <c r="G40">
        <f ca="1">IFERROR(__xludf.DUMMYFUNCTION("""COMPUTED_VALUE"""),52)</f>
        <v>52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IFERROR(__xludf.DUMMYFUNCTION("""COMPUTED_VALUE"""),"T36")</f>
        <v>T36</v>
      </c>
      <c r="C41" t="str">
        <f ca="1">IFERROR(__xludf.DUMMYFUNCTION("""COMPUTED_VALUE"""),"Henrik Norlander")</f>
        <v>Henrik Norlander</v>
      </c>
      <c r="D41">
        <f ca="1">IFERROR(__xludf.DUMMYFUNCTION("""COMPUTED_VALUE"""),16)</f>
        <v>16</v>
      </c>
      <c r="E41">
        <f ca="1">IFERROR(__xludf.DUMMYFUNCTION("""COMPUTED_VALUE"""),86.49)</f>
        <v>86.49</v>
      </c>
      <c r="F41">
        <f ca="1">IFERROR(__xludf.DUMMYFUNCTION("""COMPUTED_VALUE"""),192)</f>
        <v>192</v>
      </c>
      <c r="G41">
        <f ca="1">IFERROR(__xludf.DUMMYFUNCTION("""COMPUTED_VALUE"""),222)</f>
        <v>222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IFERROR(__xludf.DUMMYFUNCTION("""COMPUTED_VALUE"""),23)</f>
        <v>23</v>
      </c>
      <c r="C42" t="str">
        <f ca="1">IFERROR(__xludf.DUMMYFUNCTION("""COMPUTED_VALUE"""),"Scottie Scheffler")</f>
        <v>Scottie Scheffler</v>
      </c>
      <c r="D42">
        <f ca="1">IFERROR(__xludf.DUMMYFUNCTION("""COMPUTED_VALUE"""),18)</f>
        <v>18</v>
      </c>
      <c r="E42">
        <f ca="1">IFERROR(__xludf.DUMMYFUNCTION("""COMPUTED_VALUE"""),86.48)</f>
        <v>86.48</v>
      </c>
      <c r="F42">
        <f ca="1">IFERROR(__xludf.DUMMYFUNCTION("""COMPUTED_VALUE"""),211)</f>
        <v>211</v>
      </c>
      <c r="G42">
        <f ca="1">IFERROR(__xludf.DUMMYFUNCTION("""COMPUTED_VALUE"""),244)</f>
        <v>244</v>
      </c>
    </row>
    <row r="43" spans="1:7" ht="12.75">
      <c r="A43" t="str">
        <f ca="1">IFERROR(__xludf.DUMMYFUNCTION("""COMPUTED_VALUE"""),"T42")</f>
        <v>T42</v>
      </c>
      <c r="B43" t="str">
        <f ca="1">IFERROR(__xludf.DUMMYFUNCTION("""COMPUTED_VALUE"""),"T53")</f>
        <v>T53</v>
      </c>
      <c r="C43" t="str">
        <f ca="1">IFERROR(__xludf.DUMMYFUNCTION("""COMPUTED_VALUE"""),"Matt Kuchar")</f>
        <v>Matt Kuchar</v>
      </c>
      <c r="D43">
        <f ca="1">IFERROR(__xludf.DUMMYFUNCTION("""COMPUTED_VALUE"""),14)</f>
        <v>14</v>
      </c>
      <c r="E43">
        <f ca="1">IFERROR(__xludf.DUMMYFUNCTION("""COMPUTED_VALUE"""),86.46)</f>
        <v>86.46</v>
      </c>
      <c r="F43">
        <f ca="1">IFERROR(__xludf.DUMMYFUNCTION("""COMPUTED_VALUE"""),166)</f>
        <v>166</v>
      </c>
      <c r="G43">
        <f ca="1">IFERROR(__xludf.DUMMYFUNCTION("""COMPUTED_VALUE"""),192)</f>
        <v>192</v>
      </c>
    </row>
    <row r="44" spans="1:7" ht="12.75">
      <c r="A44" t="str">
        <f ca="1">IFERROR(__xludf.DUMMYFUNCTION("""COMPUTED_VALUE"""),"T42")</f>
        <v>T42</v>
      </c>
      <c r="B44" t="str">
        <f ca="1">IFERROR(__xludf.DUMMYFUNCTION("""COMPUTED_VALUE"""),"T53")</f>
        <v>T53</v>
      </c>
      <c r="C44" t="str">
        <f ca="1">IFERROR(__xludf.DUMMYFUNCTION("""COMPUTED_VALUE"""),"Ryan Palmer")</f>
        <v>Ryan Palmer</v>
      </c>
      <c r="D44">
        <f ca="1">IFERROR(__xludf.DUMMYFUNCTION("""COMPUTED_VALUE"""),14)</f>
        <v>14</v>
      </c>
      <c r="E44">
        <f ca="1">IFERROR(__xludf.DUMMYFUNCTION("""COMPUTED_VALUE"""),86.46)</f>
        <v>86.46</v>
      </c>
      <c r="F44">
        <f ca="1">IFERROR(__xludf.DUMMYFUNCTION("""COMPUTED_VALUE"""),166)</f>
        <v>166</v>
      </c>
      <c r="G44">
        <f ca="1">IFERROR(__xludf.DUMMYFUNCTION("""COMPUTED_VALUE"""),192)</f>
        <v>192</v>
      </c>
    </row>
    <row r="45" spans="1:7" ht="12.75">
      <c r="A45">
        <f ca="1">IFERROR(__xludf.DUMMYFUNCTION("""COMPUTED_VALUE"""),44)</f>
        <v>44</v>
      </c>
      <c r="B45" t="str">
        <f ca="1">IFERROR(__xludf.DUMMYFUNCTION("""COMPUTED_VALUE"""),"T39")</f>
        <v>T39</v>
      </c>
      <c r="C45" t="str">
        <f ca="1">IFERROR(__xludf.DUMMYFUNCTION("""COMPUTED_VALUE"""),"Russell Knox")</f>
        <v>Russell Knox</v>
      </c>
      <c r="D45">
        <f ca="1">IFERROR(__xludf.DUMMYFUNCTION("""COMPUTED_VALUE"""),16)</f>
        <v>16</v>
      </c>
      <c r="E45">
        <f ca="1">IFERROR(__xludf.DUMMYFUNCTION("""COMPUTED_VALUE"""),86.36)</f>
        <v>86.36</v>
      </c>
      <c r="F45">
        <f ca="1">IFERROR(__xludf.DUMMYFUNCTION("""COMPUTED_VALUE"""),190)</f>
        <v>190</v>
      </c>
      <c r="G45">
        <f ca="1">IFERROR(__xludf.DUMMYFUNCTION("""COMPUTED_VALUE"""),220)</f>
        <v>220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IFERROR(__xludf.DUMMYFUNCTION("""COMPUTED_VALUE"""),56)</f>
        <v>56</v>
      </c>
      <c r="C46" t="str">
        <f ca="1">IFERROR(__xludf.DUMMYFUNCTION("""COMPUTED_VALUE"""),"Ricky Barnes")</f>
        <v>Ricky Barnes</v>
      </c>
      <c r="D46">
        <f ca="1">IFERROR(__xludf.DUMMYFUNCTION("""COMPUTED_VALUE"""),12)</f>
        <v>12</v>
      </c>
      <c r="E46">
        <f ca="1">IFERROR(__xludf.DUMMYFUNCTION("""COMPUTED_VALUE"""),86.31)</f>
        <v>86.31</v>
      </c>
      <c r="F46">
        <f ca="1">IFERROR(__xludf.DUMMYFUNCTION("""COMPUTED_VALUE"""),145)</f>
        <v>145</v>
      </c>
      <c r="G46">
        <f ca="1">IFERROR(__xludf.DUMMYFUNCTION("""COMPUTED_VALUE"""),168)</f>
        <v>168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IFERROR(__xludf.DUMMYFUNCTION("""COMPUTED_VALUE"""),11)</f>
        <v>11</v>
      </c>
      <c r="C47" t="str">
        <f ca="1">IFERROR(__xludf.DUMMYFUNCTION("""COMPUTED_VALUE"""),"Bo Van Pelt")</f>
        <v>Bo Van Pelt</v>
      </c>
      <c r="D47">
        <f ca="1">IFERROR(__xludf.DUMMYFUNCTION("""COMPUTED_VALUE"""),10)</f>
        <v>10</v>
      </c>
      <c r="E47">
        <f ca="1">IFERROR(__xludf.DUMMYFUNCTION("""COMPUTED_VALUE"""),86.23)</f>
        <v>86.23</v>
      </c>
      <c r="F47">
        <f ca="1">IFERROR(__xludf.DUMMYFUNCTION("""COMPUTED_VALUE"""),119)</f>
        <v>119</v>
      </c>
      <c r="G47">
        <f ca="1">IFERROR(__xludf.DUMMYFUNCTION("""COMPUTED_VALUE"""),138)</f>
        <v>138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IFERROR(__xludf.DUMMYFUNCTION("""COMPUTED_VALUE"""),58)</f>
        <v>58</v>
      </c>
      <c r="C48" t="str">
        <f ca="1">IFERROR(__xludf.DUMMYFUNCTION("""COMPUTED_VALUE"""),"Bubba Watson")</f>
        <v>Bubba Watson</v>
      </c>
      <c r="D48">
        <f ca="1">IFERROR(__xludf.DUMMYFUNCTION("""COMPUTED_VALUE"""),12)</f>
        <v>12</v>
      </c>
      <c r="E48">
        <f ca="1">IFERROR(__xludf.DUMMYFUNCTION("""COMPUTED_VALUE"""),85.98)</f>
        <v>85.98</v>
      </c>
      <c r="F48">
        <f ca="1">IFERROR(__xludf.DUMMYFUNCTION("""COMPUTED_VALUE"""),141)</f>
        <v>141</v>
      </c>
      <c r="G48">
        <f ca="1">IFERROR(__xludf.DUMMYFUNCTION("""COMPUTED_VALUE"""),164)</f>
        <v>164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IFERROR(__xludf.DUMMYFUNCTION("""COMPUTED_VALUE"""),59)</f>
        <v>59</v>
      </c>
      <c r="C49" t="str">
        <f ca="1">IFERROR(__xludf.DUMMYFUNCTION("""COMPUTED_VALUE"""),"Brendan Steele")</f>
        <v>Brendan Steele</v>
      </c>
      <c r="D49">
        <f ca="1">IFERROR(__xludf.DUMMYFUNCTION("""COMPUTED_VALUE"""),14)</f>
        <v>14</v>
      </c>
      <c r="E49">
        <f ca="1">IFERROR(__xludf.DUMMYFUNCTION("""COMPUTED_VALUE"""),85.94)</f>
        <v>85.94</v>
      </c>
      <c r="F49">
        <f ca="1">IFERROR(__xludf.DUMMYFUNCTION("""COMPUTED_VALUE"""),165)</f>
        <v>165</v>
      </c>
      <c r="G49">
        <f ca="1">IFERROR(__xludf.DUMMYFUNCTION("""COMPUTED_VALUE"""),192)</f>
        <v>192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IFERROR(__xludf.DUMMYFUNCTION("""COMPUTED_VALUE"""),60)</f>
        <v>60</v>
      </c>
      <c r="C50" t="str">
        <f ca="1">IFERROR(__xludf.DUMMYFUNCTION("""COMPUTED_VALUE"""),"Joel Dahmen")</f>
        <v>Joel Dahmen</v>
      </c>
      <c r="D50">
        <f ca="1">IFERROR(__xludf.DUMMYFUNCTION("""COMPUTED_VALUE"""),18)</f>
        <v>18</v>
      </c>
      <c r="E50">
        <f ca="1">IFERROR(__xludf.DUMMYFUNCTION("""COMPUTED_VALUE"""),85.89)</f>
        <v>85.89</v>
      </c>
      <c r="F50">
        <f ca="1">IFERROR(__xludf.DUMMYFUNCTION("""COMPUTED_VALUE"""),213)</f>
        <v>213</v>
      </c>
      <c r="G50">
        <f ca="1">IFERROR(__xludf.DUMMYFUNCTION("""COMPUTED_VALUE"""),248)</f>
        <v>248</v>
      </c>
    </row>
    <row r="51" spans="1:7" ht="12.75">
      <c r="A51" t="str">
        <f ca="1">IFERROR(__xludf.DUMMYFUNCTION("""COMPUTED_VALUE"""),"T50")</f>
        <v>T50</v>
      </c>
      <c r="B51" t="str">
        <f ca="1">IFERROR(__xludf.DUMMYFUNCTION("""COMPUTED_VALUE"""),"T61")</f>
        <v>T61</v>
      </c>
      <c r="C51" t="str">
        <f ca="1">IFERROR(__xludf.DUMMYFUNCTION("""COMPUTED_VALUE"""),"Mark Anderson")</f>
        <v>Mark Anderson</v>
      </c>
      <c r="D51">
        <f ca="1">IFERROR(__xludf.DUMMYFUNCTION("""COMPUTED_VALUE"""),14)</f>
        <v>14</v>
      </c>
      <c r="E51">
        <f ca="1">IFERROR(__xludf.DUMMYFUNCTION("""COMPUTED_VALUE"""),85.71)</f>
        <v>85.71</v>
      </c>
      <c r="F51">
        <f ca="1">IFERROR(__xludf.DUMMYFUNCTION("""COMPUTED_VALUE"""),168)</f>
        <v>168</v>
      </c>
      <c r="G51">
        <f ca="1">IFERROR(__xludf.DUMMYFUNCTION("""COMPUTED_VALUE"""),196)</f>
        <v>196</v>
      </c>
    </row>
    <row r="52" spans="1:7" ht="12.75">
      <c r="A52" t="str">
        <f ca="1">IFERROR(__xludf.DUMMYFUNCTION("""COMPUTED_VALUE"""),"T50")</f>
        <v>T50</v>
      </c>
      <c r="B52" t="str">
        <f ca="1">IFERROR(__xludf.DUMMYFUNCTION("""COMPUTED_VALUE"""),"T61")</f>
        <v>T61</v>
      </c>
      <c r="C52" t="str">
        <f ca="1">IFERROR(__xludf.DUMMYFUNCTION("""COMPUTED_VALUE"""),"Kyle Stanley")</f>
        <v>Kyle Stanley</v>
      </c>
      <c r="D52">
        <f ca="1">IFERROR(__xludf.DUMMYFUNCTION("""COMPUTED_VALUE"""),16)</f>
        <v>16</v>
      </c>
      <c r="E52">
        <f ca="1">IFERROR(__xludf.DUMMYFUNCTION("""COMPUTED_VALUE"""),85.71)</f>
        <v>85.71</v>
      </c>
      <c r="F52">
        <f ca="1">IFERROR(__xludf.DUMMYFUNCTION("""COMPUTED_VALUE"""),192)</f>
        <v>192</v>
      </c>
      <c r="G52">
        <f ca="1">IFERROR(__xludf.DUMMYFUNCTION("""COMPUTED_VALUE"""),224)</f>
        <v>224</v>
      </c>
    </row>
    <row r="53" spans="1:7" ht="12.75">
      <c r="A53" t="str">
        <f ca="1">IFERROR(__xludf.DUMMYFUNCTION("""COMPUTED_VALUE"""),"T50")</f>
        <v>T50</v>
      </c>
      <c r="B53" t="str">
        <f ca="1">IFERROR(__xludf.DUMMYFUNCTION("""COMPUTED_VALUE"""),"T61")</f>
        <v>T61</v>
      </c>
      <c r="C53" t="str">
        <f ca="1">IFERROR(__xludf.DUMMYFUNCTION("""COMPUTED_VALUE"""),"Seamus Power")</f>
        <v>Seamus Power</v>
      </c>
      <c r="D53">
        <f ca="1">IFERROR(__xludf.DUMMYFUNCTION("""COMPUTED_VALUE"""),8)</f>
        <v>8</v>
      </c>
      <c r="E53">
        <f ca="1">IFERROR(__xludf.DUMMYFUNCTION("""COMPUTED_VALUE"""),85.71)</f>
        <v>85.71</v>
      </c>
      <c r="F53">
        <f ca="1">IFERROR(__xludf.DUMMYFUNCTION("""COMPUTED_VALUE"""),96)</f>
        <v>96</v>
      </c>
      <c r="G53">
        <f ca="1">IFERROR(__xludf.DUMMYFUNCTION("""COMPUTED_VALUE"""),112)</f>
        <v>112</v>
      </c>
    </row>
    <row r="54" spans="1:7" ht="12.75">
      <c r="A54" t="str">
        <f ca="1">IFERROR(__xludf.DUMMYFUNCTION("""COMPUTED_VALUE"""),"T50")</f>
        <v>T50</v>
      </c>
      <c r="B54" t="str">
        <f ca="1">IFERROR(__xludf.DUMMYFUNCTION("""COMPUTED_VALUE"""),"T61")</f>
        <v>T61</v>
      </c>
      <c r="C54" t="str">
        <f ca="1">IFERROR(__xludf.DUMMYFUNCTION("""COMPUTED_VALUE"""),"William McGirt")</f>
        <v>William McGirt</v>
      </c>
      <c r="D54">
        <f ca="1">IFERROR(__xludf.DUMMYFUNCTION("""COMPUTED_VALUE"""),6)</f>
        <v>6</v>
      </c>
      <c r="E54">
        <f ca="1">IFERROR(__xludf.DUMMYFUNCTION("""COMPUTED_VALUE"""),85.71)</f>
        <v>85.71</v>
      </c>
      <c r="F54">
        <f ca="1">IFERROR(__xludf.DUMMYFUNCTION("""COMPUTED_VALUE"""),72)</f>
        <v>72</v>
      </c>
      <c r="G54">
        <f ca="1">IFERROR(__xludf.DUMMYFUNCTION("""COMPUTED_VALUE"""),84)</f>
        <v>84</v>
      </c>
    </row>
    <row r="55" spans="1:7" ht="12.75">
      <c r="A55" t="str">
        <f ca="1">IFERROR(__xludf.DUMMYFUNCTION("""COMPUTED_VALUE"""),"T50")</f>
        <v>T50</v>
      </c>
      <c r="B55" t="str">
        <f ca="1">IFERROR(__xludf.DUMMYFUNCTION("""COMPUTED_VALUE"""),"T61")</f>
        <v>T61</v>
      </c>
      <c r="C55" t="str">
        <f ca="1">IFERROR(__xludf.DUMMYFUNCTION("""COMPUTED_VALUE"""),"D.J. Trahan")</f>
        <v>D.J. Trahan</v>
      </c>
      <c r="D55">
        <f ca="1">IFERROR(__xludf.DUMMYFUNCTION("""COMPUTED_VALUE"""),16)</f>
        <v>16</v>
      </c>
      <c r="E55">
        <f ca="1">IFERROR(__xludf.DUMMYFUNCTION("""COMPUTED_VALUE"""),85.71)</f>
        <v>85.71</v>
      </c>
      <c r="F55">
        <f ca="1">IFERROR(__xludf.DUMMYFUNCTION("""COMPUTED_VALUE"""),192)</f>
        <v>192</v>
      </c>
      <c r="G55">
        <f ca="1">IFERROR(__xludf.DUMMYFUNCTION("""COMPUTED_VALUE"""),224)</f>
        <v>224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IFERROR(__xludf.DUMMYFUNCTION("""COMPUTED_VALUE"""),38)</f>
        <v>38</v>
      </c>
      <c r="C56" t="str">
        <f ca="1">IFERROR(__xludf.DUMMYFUNCTION("""COMPUTED_VALUE"""),"Carlos Ortiz")</f>
        <v>Carlos Ortiz</v>
      </c>
      <c r="D56">
        <f ca="1">IFERROR(__xludf.DUMMYFUNCTION("""COMPUTED_VALUE"""),20)</f>
        <v>20</v>
      </c>
      <c r="E56">
        <f ca="1">IFERROR(__xludf.DUMMYFUNCTION("""COMPUTED_VALUE"""),85.66)</f>
        <v>85.66</v>
      </c>
      <c r="F56">
        <f ca="1">IFERROR(__xludf.DUMMYFUNCTION("""COMPUTED_VALUE"""),233)</f>
        <v>233</v>
      </c>
      <c r="G56">
        <f ca="1">IFERROR(__xludf.DUMMYFUNCTION("""COMPUTED_VALUE"""),272)</f>
        <v>272</v>
      </c>
    </row>
    <row r="57" spans="1:7" ht="12.75">
      <c r="A57">
        <f ca="1">IFERROR(__xludf.DUMMYFUNCTION("""COMPUTED_VALUE"""),56)</f>
        <v>56</v>
      </c>
      <c r="B57" t="str">
        <f ca="1">IFERROR(__xludf.DUMMYFUNCTION("""COMPUTED_VALUE"""),"T36")</f>
        <v>T36</v>
      </c>
      <c r="C57" t="str">
        <f ca="1">IFERROR(__xludf.DUMMYFUNCTION("""COMPUTED_VALUE"""),"Pat Perez")</f>
        <v>Pat Perez</v>
      </c>
      <c r="D57">
        <f ca="1">IFERROR(__xludf.DUMMYFUNCTION("""COMPUTED_VALUE"""),16)</f>
        <v>16</v>
      </c>
      <c r="E57">
        <f ca="1">IFERROR(__xludf.DUMMYFUNCTION("""COMPUTED_VALUE"""),85.59)</f>
        <v>85.59</v>
      </c>
      <c r="F57">
        <f ca="1">IFERROR(__xludf.DUMMYFUNCTION("""COMPUTED_VALUE"""),190)</f>
        <v>190</v>
      </c>
      <c r="G57">
        <f ca="1">IFERROR(__xludf.DUMMYFUNCTION("""COMPUTED_VALUE"""),222)</f>
        <v>222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IFERROR(__xludf.DUMMYFUNCTION("""COMPUTED_VALUE"""),"T97")</f>
        <v>T97</v>
      </c>
      <c r="C58" t="str">
        <f ca="1">IFERROR(__xludf.DUMMYFUNCTION("""COMPUTED_VALUE"""),"Bo Hoag")</f>
        <v>Bo Hoag</v>
      </c>
      <c r="D58">
        <f ca="1">IFERROR(__xludf.DUMMYFUNCTION("""COMPUTED_VALUE"""),14)</f>
        <v>14</v>
      </c>
      <c r="E58">
        <f ca="1">IFERROR(__xludf.DUMMYFUNCTION("""COMPUTED_VALUE"""),85.57)</f>
        <v>85.57</v>
      </c>
      <c r="F58">
        <f ca="1">IFERROR(__xludf.DUMMYFUNCTION("""COMPUTED_VALUE"""),166)</f>
        <v>166</v>
      </c>
      <c r="G58">
        <f ca="1">IFERROR(__xludf.DUMMYFUNCTION("""COMPUTED_VALUE"""),194)</f>
        <v>194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IFERROR(__xludf.DUMMYFUNCTION("""COMPUTED_VALUE"""),72)</f>
        <v>72</v>
      </c>
      <c r="C59" t="str">
        <f ca="1">IFERROR(__xludf.DUMMYFUNCTION("""COMPUTED_VALUE"""),"Brice Garnett")</f>
        <v>Brice Garnett</v>
      </c>
      <c r="D59">
        <f ca="1">IFERROR(__xludf.DUMMYFUNCTION("""COMPUTED_VALUE"""),22)</f>
        <v>22</v>
      </c>
      <c r="E59">
        <f ca="1">IFERROR(__xludf.DUMMYFUNCTION("""COMPUTED_VALUE"""),85.53)</f>
        <v>85.53</v>
      </c>
      <c r="F59">
        <f ca="1">IFERROR(__xludf.DUMMYFUNCTION("""COMPUTED_VALUE"""),260)</f>
        <v>260</v>
      </c>
      <c r="G59">
        <f ca="1">IFERROR(__xludf.DUMMYFUNCTION("""COMPUTED_VALUE"""),304)</f>
        <v>304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IFERROR(__xludf.DUMMYFUNCTION("""COMPUTED_VALUE"""),"T39")</f>
        <v>T39</v>
      </c>
      <c r="C60" t="str">
        <f ca="1">IFERROR(__xludf.DUMMYFUNCTION("""COMPUTED_VALUE"""),"Kristoffer Ventura")</f>
        <v>Kristoffer Ventura</v>
      </c>
      <c r="D60">
        <f ca="1">IFERROR(__xludf.DUMMYFUNCTION("""COMPUTED_VALUE"""),20)</f>
        <v>20</v>
      </c>
      <c r="E60">
        <f ca="1">IFERROR(__xludf.DUMMYFUNCTION("""COMPUTED_VALUE"""),85.51)</f>
        <v>85.51</v>
      </c>
      <c r="F60">
        <f ca="1">IFERROR(__xludf.DUMMYFUNCTION("""COMPUTED_VALUE"""),236)</f>
        <v>236</v>
      </c>
      <c r="G60">
        <f ca="1">IFERROR(__xludf.DUMMYFUNCTION("""COMPUTED_VALUE"""),276)</f>
        <v>276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IFERROR(__xludf.DUMMYFUNCTION("""COMPUTED_VALUE"""),57)</f>
        <v>57</v>
      </c>
      <c r="C61" t="str">
        <f ca="1">IFERROR(__xludf.DUMMYFUNCTION("""COMPUTED_VALUE"""),"Patton Kizzire")</f>
        <v>Patton Kizzire</v>
      </c>
      <c r="D61">
        <f ca="1">IFERROR(__xludf.DUMMYFUNCTION("""COMPUTED_VALUE"""),18)</f>
        <v>18</v>
      </c>
      <c r="E61">
        <f ca="1">IFERROR(__xludf.DUMMYFUNCTION("""COMPUTED_VALUE"""),85.48)</f>
        <v>85.48</v>
      </c>
      <c r="F61">
        <f ca="1">IFERROR(__xludf.DUMMYFUNCTION("""COMPUTED_VALUE"""),212)</f>
        <v>212</v>
      </c>
      <c r="G61">
        <f ca="1">IFERROR(__xludf.DUMMYFUNCTION("""COMPUTED_VALUE"""),248)</f>
        <v>248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IFERROR(__xludf.DUMMYFUNCTION("""COMPUTED_VALUE"""),71)</f>
        <v>71</v>
      </c>
      <c r="C62" t="str">
        <f ca="1">IFERROR(__xludf.DUMMYFUNCTION("""COMPUTED_VALUE"""),"Jon Rahm")</f>
        <v>Jon Rahm</v>
      </c>
      <c r="D62">
        <f ca="1">IFERROR(__xludf.DUMMYFUNCTION("""COMPUTED_VALUE"""),12)</f>
        <v>12</v>
      </c>
      <c r="E62">
        <f ca="1">IFERROR(__xludf.DUMMYFUNCTION("""COMPUTED_VALUE"""),85.37)</f>
        <v>85.37</v>
      </c>
      <c r="F62">
        <f ca="1">IFERROR(__xludf.DUMMYFUNCTION("""COMPUTED_VALUE"""),140)</f>
        <v>140</v>
      </c>
      <c r="G62">
        <f ca="1">IFERROR(__xludf.DUMMYFUNCTION("""COMPUTED_VALUE"""),164)</f>
        <v>164</v>
      </c>
    </row>
    <row r="63" spans="1:7" ht="12.75">
      <c r="A63">
        <f ca="1">IFERROR(__xludf.DUMMYFUNCTION("""COMPUTED_VALUE"""),62)</f>
        <v>62</v>
      </c>
      <c r="B63" t="str">
        <f ca="1">IFERROR(__xludf.DUMMYFUNCTION("""COMPUTED_VALUE"""),"T73")</f>
        <v>T73</v>
      </c>
      <c r="C63" t="str">
        <f ca="1">IFERROR(__xludf.DUMMYFUNCTION("""COMPUTED_VALUE"""),"Cameron Percy")</f>
        <v>Cameron Percy</v>
      </c>
      <c r="D63">
        <f ca="1">IFERROR(__xludf.DUMMYFUNCTION("""COMPUTED_VALUE"""),16)</f>
        <v>16</v>
      </c>
      <c r="E63">
        <f ca="1">IFERROR(__xludf.DUMMYFUNCTION("""COMPUTED_VALUE"""),85.27)</f>
        <v>85.27</v>
      </c>
      <c r="F63">
        <f ca="1">IFERROR(__xludf.DUMMYFUNCTION("""COMPUTED_VALUE"""),191)</f>
        <v>191</v>
      </c>
      <c r="G63">
        <f ca="1">IFERROR(__xludf.DUMMYFUNCTION("""COMPUTED_VALUE"""),224)</f>
        <v>224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IFERROR(__xludf.DUMMYFUNCTION("""COMPUTED_VALUE"""),75)</f>
        <v>75</v>
      </c>
      <c r="C64" t="str">
        <f ca="1">IFERROR(__xludf.DUMMYFUNCTION("""COMPUTED_VALUE"""),"Doug Ghim")</f>
        <v>Doug Ghim</v>
      </c>
      <c r="D64">
        <f ca="1">IFERROR(__xludf.DUMMYFUNCTION("""COMPUTED_VALUE"""),14)</f>
        <v>14</v>
      </c>
      <c r="E64">
        <f ca="1">IFERROR(__xludf.DUMMYFUNCTION("""COMPUTED_VALUE"""),85.2)</f>
        <v>85.2</v>
      </c>
      <c r="F64">
        <f ca="1">IFERROR(__xludf.DUMMYFUNCTION("""COMPUTED_VALUE"""),167)</f>
        <v>167</v>
      </c>
      <c r="G64">
        <f ca="1">IFERROR(__xludf.DUMMYFUNCTION("""COMPUTED_VALUE"""),196)</f>
        <v>196</v>
      </c>
    </row>
    <row r="65" spans="1:7" ht="12.75">
      <c r="A65">
        <f ca="1">IFERROR(__xludf.DUMMYFUNCTION("""COMPUTED_VALUE"""),64)</f>
        <v>64</v>
      </c>
      <c r="B65" t="str">
        <f ca="1">IFERROR(__xludf.DUMMYFUNCTION("""COMPUTED_VALUE"""),"T77")</f>
        <v>T77</v>
      </c>
      <c r="C65" t="str">
        <f ca="1">IFERROR(__xludf.DUMMYFUNCTION("""COMPUTED_VALUE"""),"Tim Wilkinson")</f>
        <v>Tim Wilkinson</v>
      </c>
      <c r="D65">
        <f ca="1">IFERROR(__xludf.DUMMYFUNCTION("""COMPUTED_VALUE"""),12)</f>
        <v>12</v>
      </c>
      <c r="E65">
        <f ca="1">IFERROR(__xludf.DUMMYFUNCTION("""COMPUTED_VALUE"""),85.12)</f>
        <v>85.12</v>
      </c>
      <c r="F65">
        <f ca="1">IFERROR(__xludf.DUMMYFUNCTION("""COMPUTED_VALUE"""),143)</f>
        <v>143</v>
      </c>
      <c r="G65">
        <f ca="1">IFERROR(__xludf.DUMMYFUNCTION("""COMPUTED_VALUE"""),168)</f>
        <v>168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IFERROR(__xludf.DUMMYFUNCTION("""COMPUTED_VALUE"""),44)</f>
        <v>44</v>
      </c>
      <c r="C66" t="str">
        <f ca="1">IFERROR(__xludf.DUMMYFUNCTION("""COMPUTED_VALUE"""),"Scott Piercy")</f>
        <v>Scott Piercy</v>
      </c>
      <c r="D66">
        <f ca="1">IFERROR(__xludf.DUMMYFUNCTION("""COMPUTED_VALUE"""),18)</f>
        <v>18</v>
      </c>
      <c r="E66">
        <f ca="1">IFERROR(__xludf.DUMMYFUNCTION("""COMPUTED_VALUE"""),85.08)</f>
        <v>85.08</v>
      </c>
      <c r="F66">
        <f ca="1">IFERROR(__xludf.DUMMYFUNCTION("""COMPUTED_VALUE"""),211)</f>
        <v>211</v>
      </c>
      <c r="G66">
        <f ca="1">IFERROR(__xludf.DUMMYFUNCTION("""COMPUTED_VALUE"""),248)</f>
        <v>248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IFERROR(__xludf.DUMMYFUNCTION("""COMPUTED_VALUE"""),46)</f>
        <v>46</v>
      </c>
      <c r="C67" t="str">
        <f ca="1">IFERROR(__xludf.DUMMYFUNCTION("""COMPUTED_VALUE"""),"Xinjun Zhang")</f>
        <v>Xinjun Zhang</v>
      </c>
      <c r="D67">
        <f ca="1">IFERROR(__xludf.DUMMYFUNCTION("""COMPUTED_VALUE"""),14)</f>
        <v>14</v>
      </c>
      <c r="E67">
        <f ca="1">IFERROR(__xludf.DUMMYFUNCTION("""COMPUTED_VALUE"""),85.05)</f>
        <v>85.05</v>
      </c>
      <c r="F67">
        <f ca="1">IFERROR(__xludf.DUMMYFUNCTION("""COMPUTED_VALUE"""),165)</f>
        <v>165</v>
      </c>
      <c r="G67">
        <f ca="1">IFERROR(__xludf.DUMMYFUNCTION("""COMPUTED_VALUE"""),194)</f>
        <v>194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IFERROR(__xludf.DUMMYFUNCTION("""COMPUTED_VALUE"""),81)</f>
        <v>81</v>
      </c>
      <c r="C68" t="str">
        <f ca="1">IFERROR(__xludf.DUMMYFUNCTION("""COMPUTED_VALUE"""),"Will Zalatoris")</f>
        <v>Will Zalatoris</v>
      </c>
      <c r="D68">
        <f ca="1">IFERROR(__xludf.DUMMYFUNCTION("""COMPUTED_VALUE"""),18)</f>
        <v>18</v>
      </c>
      <c r="E68">
        <f ca="1">IFERROR(__xludf.DUMMYFUNCTION("""COMPUTED_VALUE"""),84.92)</f>
        <v>84.92</v>
      </c>
      <c r="F68">
        <f ca="1">IFERROR(__xludf.DUMMYFUNCTION("""COMPUTED_VALUE"""),214)</f>
        <v>214</v>
      </c>
      <c r="G68">
        <f ca="1">IFERROR(__xludf.DUMMYFUNCTION("""COMPUTED_VALUE"""),252)</f>
        <v>252</v>
      </c>
    </row>
    <row r="69" spans="1:7" ht="12.75">
      <c r="A69" t="str">
        <f ca="1">IFERROR(__xludf.DUMMYFUNCTION("""COMPUTED_VALUE"""),"T68")</f>
        <v>T68</v>
      </c>
      <c r="B69" t="str">
        <f ca="1">IFERROR(__xludf.DUMMYFUNCTION("""COMPUTED_VALUE"""),"T82")</f>
        <v>T82</v>
      </c>
      <c r="C69" t="str">
        <f ca="1">IFERROR(__xludf.DUMMYFUNCTION("""COMPUTED_VALUE"""),"Nelson Ledesma")</f>
        <v>Nelson Ledesma</v>
      </c>
      <c r="D69">
        <f ca="1">IFERROR(__xludf.DUMMYFUNCTION("""COMPUTED_VALUE"""),8)</f>
        <v>8</v>
      </c>
      <c r="E69">
        <f ca="1">IFERROR(__xludf.DUMMYFUNCTION("""COMPUTED_VALUE"""),84.82)</f>
        <v>84.82</v>
      </c>
      <c r="F69">
        <f ca="1">IFERROR(__xludf.DUMMYFUNCTION("""COMPUTED_VALUE"""),95)</f>
        <v>95</v>
      </c>
      <c r="G69">
        <f ca="1">IFERROR(__xludf.DUMMYFUNCTION("""COMPUTED_VALUE"""),112)</f>
        <v>112</v>
      </c>
    </row>
    <row r="70" spans="1:7" ht="12.75">
      <c r="A70" t="str">
        <f ca="1">IFERROR(__xludf.DUMMYFUNCTION("""COMPUTED_VALUE"""),"T68")</f>
        <v>T68</v>
      </c>
      <c r="B70" t="str">
        <f ca="1">IFERROR(__xludf.DUMMYFUNCTION("""COMPUTED_VALUE"""),"T82")</f>
        <v>T82</v>
      </c>
      <c r="C70" t="str">
        <f ca="1">IFERROR(__xludf.DUMMYFUNCTION("""COMPUTED_VALUE"""),"Rob Oppenheim")</f>
        <v>Rob Oppenheim</v>
      </c>
      <c r="D70">
        <f ca="1">IFERROR(__xludf.DUMMYFUNCTION("""COMPUTED_VALUE"""),16)</f>
        <v>16</v>
      </c>
      <c r="E70">
        <f ca="1">IFERROR(__xludf.DUMMYFUNCTION("""COMPUTED_VALUE"""),84.82)</f>
        <v>84.82</v>
      </c>
      <c r="F70">
        <f ca="1">IFERROR(__xludf.DUMMYFUNCTION("""COMPUTED_VALUE"""),190)</f>
        <v>190</v>
      </c>
      <c r="G70">
        <f ca="1">IFERROR(__xludf.DUMMYFUNCTION("""COMPUTED_VALUE"""),224)</f>
        <v>224</v>
      </c>
    </row>
    <row r="71" spans="1:7" ht="12.75">
      <c r="A71" t="str">
        <f ca="1">IFERROR(__xludf.DUMMYFUNCTION("""COMPUTED_VALUE"""),"T70")</f>
        <v>T70</v>
      </c>
      <c r="B71" t="str">
        <f ca="1">IFERROR(__xludf.DUMMYFUNCTION("""COMPUTED_VALUE"""),"T84")</f>
        <v>T84</v>
      </c>
      <c r="C71" t="str">
        <f ca="1">IFERROR(__xludf.DUMMYFUNCTION("""COMPUTED_VALUE"""),"Webb Simpson")</f>
        <v>Webb Simpson</v>
      </c>
      <c r="D71">
        <f ca="1">IFERROR(__xludf.DUMMYFUNCTION("""COMPUTED_VALUE"""),12)</f>
        <v>12</v>
      </c>
      <c r="E71">
        <f ca="1">IFERROR(__xludf.DUMMYFUNCTION("""COMPUTED_VALUE"""),84.76)</f>
        <v>84.76</v>
      </c>
      <c r="F71">
        <f ca="1">IFERROR(__xludf.DUMMYFUNCTION("""COMPUTED_VALUE"""),139)</f>
        <v>139</v>
      </c>
      <c r="G71">
        <f ca="1">IFERROR(__xludf.DUMMYFUNCTION("""COMPUTED_VALUE"""),164)</f>
        <v>164</v>
      </c>
    </row>
    <row r="72" spans="1:7" ht="12.75">
      <c r="A72" t="str">
        <f ca="1">IFERROR(__xludf.DUMMYFUNCTION("""COMPUTED_VALUE"""),"T70")</f>
        <v>T70</v>
      </c>
      <c r="B72" t="str">
        <f ca="1">IFERROR(__xludf.DUMMYFUNCTION("""COMPUTED_VALUE"""),"T84")</f>
        <v>T84</v>
      </c>
      <c r="C72" t="str">
        <f ca="1">IFERROR(__xludf.DUMMYFUNCTION("""COMPUTED_VALUE"""),"Collin Morikawa")</f>
        <v>Collin Morikawa</v>
      </c>
      <c r="D72">
        <f ca="1">IFERROR(__xludf.DUMMYFUNCTION("""COMPUTED_VALUE"""),12)</f>
        <v>12</v>
      </c>
      <c r="E72">
        <f ca="1">IFERROR(__xludf.DUMMYFUNCTION("""COMPUTED_VALUE"""),84.76)</f>
        <v>84.76</v>
      </c>
      <c r="F72">
        <f ca="1">IFERROR(__xludf.DUMMYFUNCTION("""COMPUTED_VALUE"""),139)</f>
        <v>139</v>
      </c>
      <c r="G72">
        <f ca="1">IFERROR(__xludf.DUMMYFUNCTION("""COMPUTED_VALUE"""),164)</f>
        <v>164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IFERROR(__xludf.DUMMYFUNCTION("""COMPUTED_VALUE"""),87)</f>
        <v>87</v>
      </c>
      <c r="C73" t="str">
        <f ca="1">IFERROR(__xludf.DUMMYFUNCTION("""COMPUTED_VALUE"""),"Rikuya Hoshino")</f>
        <v>Rikuya Hoshino</v>
      </c>
      <c r="D73">
        <f ca="1">IFERROR(__xludf.DUMMYFUNCTION("""COMPUTED_VALUE"""),4)</f>
        <v>4</v>
      </c>
      <c r="E73">
        <f ca="1">IFERROR(__xludf.DUMMYFUNCTION("""COMPUTED_VALUE"""),84.62)</f>
        <v>84.62</v>
      </c>
      <c r="F73">
        <f ca="1">IFERROR(__xludf.DUMMYFUNCTION("""COMPUTED_VALUE"""),44)</f>
        <v>44</v>
      </c>
      <c r="G73">
        <f ca="1">IFERROR(__xludf.DUMMYFUNCTION("""COMPUTED_VALUE"""),52)</f>
        <v>52</v>
      </c>
    </row>
    <row r="74" spans="1:7" ht="12.75">
      <c r="A74">
        <f ca="1">IFERROR(__xludf.DUMMYFUNCTION("""COMPUTED_VALUE"""),73)</f>
        <v>73</v>
      </c>
      <c r="B74" t="str">
        <f ca="1">IFERROR(__xludf.DUMMYFUNCTION("""COMPUTED_VALUE"""),"T79")</f>
        <v>T79</v>
      </c>
      <c r="C74" t="str">
        <f ca="1">IFERROR(__xludf.DUMMYFUNCTION("""COMPUTED_VALUE"""),"Corey Conners")</f>
        <v>Corey Conners</v>
      </c>
      <c r="D74">
        <f ca="1">IFERROR(__xludf.DUMMYFUNCTION("""COMPUTED_VALUE"""),20)</f>
        <v>20</v>
      </c>
      <c r="E74">
        <f ca="1">IFERROR(__xludf.DUMMYFUNCTION("""COMPUTED_VALUE"""),84.56)</f>
        <v>84.56</v>
      </c>
      <c r="F74">
        <f ca="1">IFERROR(__xludf.DUMMYFUNCTION("""COMPUTED_VALUE"""),230)</f>
        <v>230</v>
      </c>
      <c r="G74">
        <f ca="1">IFERROR(__xludf.DUMMYFUNCTION("""COMPUTED_VALUE"""),272)</f>
        <v>272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IFERROR(__xludf.DUMMYFUNCTION("""COMPUTED_VALUE"""),"T88")</f>
        <v>T88</v>
      </c>
      <c r="C75" t="str">
        <f ca="1">IFERROR(__xludf.DUMMYFUNCTION("""COMPUTED_VALUE"""),"Akshay Bhatia")</f>
        <v>Akshay Bhatia</v>
      </c>
      <c r="D75">
        <f ca="1">IFERROR(__xludf.DUMMYFUNCTION("""COMPUTED_VALUE"""),6)</f>
        <v>6</v>
      </c>
      <c r="E75">
        <f ca="1">IFERROR(__xludf.DUMMYFUNCTION("""COMPUTED_VALUE"""),84.52)</f>
        <v>84.52</v>
      </c>
      <c r="F75">
        <f ca="1">IFERROR(__xludf.DUMMYFUNCTION("""COMPUTED_VALUE"""),71)</f>
        <v>71</v>
      </c>
      <c r="G75">
        <f ca="1">IFERROR(__xludf.DUMMYFUNCTION("""COMPUTED_VALUE"""),84)</f>
        <v>84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IFERROR(__xludf.DUMMYFUNCTION("""COMPUTED_VALUE"""),"T34")</f>
        <v>T34</v>
      </c>
      <c r="C76" t="str">
        <f ca="1">IFERROR(__xludf.DUMMYFUNCTION("""COMPUTED_VALUE"""),"Sam Ryder")</f>
        <v>Sam Ryder</v>
      </c>
      <c r="D76">
        <f ca="1">IFERROR(__xludf.DUMMYFUNCTION("""COMPUTED_VALUE"""),12)</f>
        <v>12</v>
      </c>
      <c r="E76">
        <f ca="1">IFERROR(__xludf.DUMMYFUNCTION("""COMPUTED_VALUE"""),84.34)</f>
        <v>84.34</v>
      </c>
      <c r="F76">
        <f ca="1">IFERROR(__xludf.DUMMYFUNCTION("""COMPUTED_VALUE"""),140)</f>
        <v>140</v>
      </c>
      <c r="G76">
        <f ca="1">IFERROR(__xludf.DUMMYFUNCTION("""COMPUTED_VALUE"""),166)</f>
        <v>166</v>
      </c>
    </row>
    <row r="77" spans="1:7" ht="12.75">
      <c r="A77" t="str">
        <f ca="1">IFERROR(__xludf.DUMMYFUNCTION("""COMPUTED_VALUE"""),"T76")</f>
        <v>T76</v>
      </c>
      <c r="B77" t="str">
        <f ca="1">IFERROR(__xludf.DUMMYFUNCTION("""COMPUTED_VALUE"""),"T91")</f>
        <v>T91</v>
      </c>
      <c r="C77" t="str">
        <f ca="1">IFERROR(__xludf.DUMMYFUNCTION("""COMPUTED_VALUE"""),"MJ Daffue")</f>
        <v>MJ Daffue</v>
      </c>
      <c r="D77">
        <f ca="1">IFERROR(__xludf.DUMMYFUNCTION("""COMPUTED_VALUE"""),10)</f>
        <v>10</v>
      </c>
      <c r="E77">
        <f ca="1">IFERROR(__xludf.DUMMYFUNCTION("""COMPUTED_VALUE"""),84.29)</f>
        <v>84.29</v>
      </c>
      <c r="F77">
        <f ca="1">IFERROR(__xludf.DUMMYFUNCTION("""COMPUTED_VALUE"""),118)</f>
        <v>118</v>
      </c>
      <c r="G77">
        <f ca="1">IFERROR(__xludf.DUMMYFUNCTION("""COMPUTED_VALUE"""),140)</f>
        <v>140</v>
      </c>
    </row>
    <row r="78" spans="1:7" ht="12.75">
      <c r="A78" t="str">
        <f ca="1">IFERROR(__xludf.DUMMYFUNCTION("""COMPUTED_VALUE"""),"T76")</f>
        <v>T76</v>
      </c>
      <c r="B78" t="str">
        <f ca="1">IFERROR(__xludf.DUMMYFUNCTION("""COMPUTED_VALUE"""),"T91")</f>
        <v>T91</v>
      </c>
      <c r="C78" t="str">
        <f ca="1">IFERROR(__xludf.DUMMYFUNCTION("""COMPUTED_VALUE"""),"Nick Watney")</f>
        <v>Nick Watney</v>
      </c>
      <c r="D78">
        <f ca="1">IFERROR(__xludf.DUMMYFUNCTION("""COMPUTED_VALUE"""),10)</f>
        <v>10</v>
      </c>
      <c r="E78">
        <f ca="1">IFERROR(__xludf.DUMMYFUNCTION("""COMPUTED_VALUE"""),84.29)</f>
        <v>84.29</v>
      </c>
      <c r="F78">
        <f ca="1">IFERROR(__xludf.DUMMYFUNCTION("""COMPUTED_VALUE"""),118)</f>
        <v>118</v>
      </c>
      <c r="G78">
        <f ca="1">IFERROR(__xludf.DUMMYFUNCTION("""COMPUTED_VALUE"""),140)</f>
        <v>140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IFERROR(__xludf.DUMMYFUNCTION("""COMPUTED_VALUE"""),93)</f>
        <v>93</v>
      </c>
      <c r="C79" t="str">
        <f ca="1">IFERROR(__xludf.DUMMYFUNCTION("""COMPUTED_VALUE"""),"Tyler McCumber")</f>
        <v>Tyler McCumber</v>
      </c>
      <c r="D79">
        <f ca="1">IFERROR(__xludf.DUMMYFUNCTION("""COMPUTED_VALUE"""),14)</f>
        <v>14</v>
      </c>
      <c r="E79">
        <f ca="1">IFERROR(__xludf.DUMMYFUNCTION("""COMPUTED_VALUE"""),84.18)</f>
        <v>84.18</v>
      </c>
      <c r="F79">
        <f ca="1">IFERROR(__xludf.DUMMYFUNCTION("""COMPUTED_VALUE"""),165)</f>
        <v>165</v>
      </c>
      <c r="G79">
        <f ca="1">IFERROR(__xludf.DUMMYFUNCTION("""COMPUTED_VALUE"""),196)</f>
        <v>196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IFERROR(__xludf.DUMMYFUNCTION("""COMPUTED_VALUE"""),"T95")</f>
        <v>T95</v>
      </c>
      <c r="C80" t="str">
        <f ca="1">IFERROR(__xludf.DUMMYFUNCTION("""COMPUTED_VALUE"""),"Abraham Ancer")</f>
        <v>Abraham Ancer</v>
      </c>
      <c r="D80">
        <f ca="1">IFERROR(__xludf.DUMMYFUNCTION("""COMPUTED_VALUE"""),16)</f>
        <v>16</v>
      </c>
      <c r="E80">
        <f ca="1">IFERROR(__xludf.DUMMYFUNCTION("""COMPUTED_VALUE"""),84.09)</f>
        <v>84.09</v>
      </c>
      <c r="F80">
        <f ca="1">IFERROR(__xludf.DUMMYFUNCTION("""COMPUTED_VALUE"""),185)</f>
        <v>185</v>
      </c>
      <c r="G80">
        <f ca="1">IFERROR(__xludf.DUMMYFUNCTION("""COMPUTED_VALUE"""),220)</f>
        <v>220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IFERROR(__xludf.DUMMYFUNCTION("""COMPUTED_VALUE"""),"T61")</f>
        <v>T61</v>
      </c>
      <c r="C81" t="str">
        <f ca="1">IFERROR(__xludf.DUMMYFUNCTION("""COMPUTED_VALUE"""),"Nate Lashley")</f>
        <v>Nate Lashley</v>
      </c>
      <c r="D81">
        <f ca="1">IFERROR(__xludf.DUMMYFUNCTION("""COMPUTED_VALUE"""),16)</f>
        <v>16</v>
      </c>
      <c r="E81">
        <f ca="1">IFERROR(__xludf.DUMMYFUNCTION("""COMPUTED_VALUE"""),84.09)</f>
        <v>84.09</v>
      </c>
      <c r="F81">
        <f ca="1">IFERROR(__xludf.DUMMYFUNCTION("""COMPUTED_VALUE"""),185)</f>
        <v>185</v>
      </c>
      <c r="G81">
        <f ca="1">IFERROR(__xludf.DUMMYFUNCTION("""COMPUTED_VALUE"""),220)</f>
        <v>220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IFERROR(__xludf.DUMMYFUNCTION("""COMPUTED_VALUE"""),"T97")</f>
        <v>T97</v>
      </c>
      <c r="C82" t="str">
        <f ca="1">IFERROR(__xludf.DUMMYFUNCTION("""COMPUTED_VALUE"""),"Sergio Garcia")</f>
        <v>Sergio Garcia</v>
      </c>
      <c r="D82">
        <f ca="1">IFERROR(__xludf.DUMMYFUNCTION("""COMPUTED_VALUE"""),18)</f>
        <v>18</v>
      </c>
      <c r="E82">
        <f ca="1">IFERROR(__xludf.DUMMYFUNCTION("""COMPUTED_VALUE"""),84)</f>
        <v>84</v>
      </c>
      <c r="F82">
        <f ca="1">IFERROR(__xludf.DUMMYFUNCTION("""COMPUTED_VALUE"""),210)</f>
        <v>210</v>
      </c>
      <c r="G82">
        <f ca="1">IFERROR(__xludf.DUMMYFUNCTION("""COMPUTED_VALUE"""),250)</f>
        <v>250</v>
      </c>
    </row>
    <row r="83" spans="1:7" ht="12.75">
      <c r="A83" t="str">
        <f ca="1">IFERROR(__xludf.DUMMYFUNCTION("""COMPUTED_VALUE"""),"T82")</f>
        <v>T82</v>
      </c>
      <c r="B83" t="str">
        <f ca="1">IFERROR(__xludf.DUMMYFUNCTION("""COMPUTED_VALUE"""),"T97")</f>
        <v>T97</v>
      </c>
      <c r="C83" t="str">
        <f ca="1">IFERROR(__xludf.DUMMYFUNCTION("""COMPUTED_VALUE"""),"Brian Gay")</f>
        <v>Brian Gay</v>
      </c>
      <c r="D83">
        <f ca="1">IFERROR(__xludf.DUMMYFUNCTION("""COMPUTED_VALUE"""),8)</f>
        <v>8</v>
      </c>
      <c r="E83">
        <f ca="1">IFERROR(__xludf.DUMMYFUNCTION("""COMPUTED_VALUE"""),83.93)</f>
        <v>83.93</v>
      </c>
      <c r="F83">
        <f ca="1">IFERROR(__xludf.DUMMYFUNCTION("""COMPUTED_VALUE"""),94)</f>
        <v>94</v>
      </c>
      <c r="G83">
        <f ca="1">IFERROR(__xludf.DUMMYFUNCTION("""COMPUTED_VALUE"""),112)</f>
        <v>112</v>
      </c>
    </row>
    <row r="84" spans="1:7" ht="12.75">
      <c r="A84" t="str">
        <f ca="1">IFERROR(__xludf.DUMMYFUNCTION("""COMPUTED_VALUE"""),"T82")</f>
        <v>T82</v>
      </c>
      <c r="B84" t="str">
        <f ca="1">IFERROR(__xludf.DUMMYFUNCTION("""COMPUTED_VALUE"""),"T97")</f>
        <v>T97</v>
      </c>
      <c r="C84" t="str">
        <f ca="1">IFERROR(__xludf.DUMMYFUNCTION("""COMPUTED_VALUE"""),"J.J. Henry")</f>
        <v>J.J. Henry</v>
      </c>
      <c r="D84">
        <f ca="1">IFERROR(__xludf.DUMMYFUNCTION("""COMPUTED_VALUE"""),4)</f>
        <v>4</v>
      </c>
      <c r="E84">
        <f ca="1">IFERROR(__xludf.DUMMYFUNCTION("""COMPUTED_VALUE"""),83.93)</f>
        <v>83.93</v>
      </c>
      <c r="F84">
        <f ca="1">IFERROR(__xludf.DUMMYFUNCTION("""COMPUTED_VALUE"""),47)</f>
        <v>47</v>
      </c>
      <c r="G84">
        <f ca="1">IFERROR(__xludf.DUMMYFUNCTION("""COMPUTED_VALUE"""),56)</f>
        <v>56</v>
      </c>
    </row>
    <row r="85" spans="1:7" ht="12.75">
      <c r="A85" t="str">
        <f ca="1">IFERROR(__xludf.DUMMYFUNCTION("""COMPUTED_VALUE"""),"T82")</f>
        <v>T82</v>
      </c>
      <c r="B85" t="str">
        <f ca="1">IFERROR(__xludf.DUMMYFUNCTION("""COMPUTED_VALUE"""),"T97")</f>
        <v>T97</v>
      </c>
      <c r="C85" t="str">
        <f ca="1">IFERROR(__xludf.DUMMYFUNCTION("""COMPUTED_VALUE"""),"Anirban Lahiri")</f>
        <v>Anirban Lahiri</v>
      </c>
      <c r="D85">
        <f ca="1">IFERROR(__xludf.DUMMYFUNCTION("""COMPUTED_VALUE"""),16)</f>
        <v>16</v>
      </c>
      <c r="E85">
        <f ca="1">IFERROR(__xludf.DUMMYFUNCTION("""COMPUTED_VALUE"""),83.93)</f>
        <v>83.93</v>
      </c>
      <c r="F85">
        <f ca="1">IFERROR(__xludf.DUMMYFUNCTION("""COMPUTED_VALUE"""),188)</f>
        <v>188</v>
      </c>
      <c r="G85">
        <f ca="1">IFERROR(__xludf.DUMMYFUNCTION("""COMPUTED_VALUE"""),224)</f>
        <v>224</v>
      </c>
    </row>
    <row r="86" spans="1:7" ht="12.75">
      <c r="A86" t="str">
        <f ca="1">IFERROR(__xludf.DUMMYFUNCTION("""COMPUTED_VALUE"""),"T82")</f>
        <v>T82</v>
      </c>
      <c r="B86" t="str">
        <f ca="1">IFERROR(__xludf.DUMMYFUNCTION("""COMPUTED_VALUE"""),"T97")</f>
        <v>T97</v>
      </c>
      <c r="C86" t="str">
        <f ca="1">IFERROR(__xludf.DUMMYFUNCTION("""COMPUTED_VALUE"""),"Joohyung Kim")</f>
        <v>Joohyung Kim</v>
      </c>
      <c r="D86">
        <f ca="1">IFERROR(__xludf.DUMMYFUNCTION("""COMPUTED_VALUE"""),12)</f>
        <v>12</v>
      </c>
      <c r="E86">
        <f ca="1">IFERROR(__xludf.DUMMYFUNCTION("""COMPUTED_VALUE"""),83.93)</f>
        <v>83.93</v>
      </c>
      <c r="F86">
        <f ca="1">IFERROR(__xludf.DUMMYFUNCTION("""COMPUTED_VALUE"""),141)</f>
        <v>141</v>
      </c>
      <c r="G86">
        <f ca="1">IFERROR(__xludf.DUMMYFUNCTION("""COMPUTED_VALUE"""),168)</f>
        <v>168</v>
      </c>
    </row>
    <row r="87" spans="1:7" ht="12.75">
      <c r="A87" t="str">
        <f ca="1">IFERROR(__xludf.DUMMYFUNCTION("""COMPUTED_VALUE"""),"T82")</f>
        <v>T82</v>
      </c>
      <c r="B87" t="str">
        <f ca="1">IFERROR(__xludf.DUMMYFUNCTION("""COMPUTED_VALUE"""),"T97")</f>
        <v>T97</v>
      </c>
      <c r="C87" t="str">
        <f ca="1">IFERROR(__xludf.DUMMYFUNCTION("""COMPUTED_VALUE"""),"Roberto Díaz")</f>
        <v>Roberto Díaz</v>
      </c>
      <c r="D87">
        <f ca="1">IFERROR(__xludf.DUMMYFUNCTION("""COMPUTED_VALUE"""),4)</f>
        <v>4</v>
      </c>
      <c r="E87">
        <f ca="1">IFERROR(__xludf.DUMMYFUNCTION("""COMPUTED_VALUE"""),83.93)</f>
        <v>83.93</v>
      </c>
      <c r="F87">
        <f ca="1">IFERROR(__xludf.DUMMYFUNCTION("""COMPUTED_VALUE"""),47)</f>
        <v>47</v>
      </c>
      <c r="G87">
        <f ca="1">IFERROR(__xludf.DUMMYFUNCTION("""COMPUTED_VALUE"""),56)</f>
        <v>56</v>
      </c>
    </row>
    <row r="88" spans="1:7" ht="12.75">
      <c r="A88">
        <f ca="1">IFERROR(__xludf.DUMMYFUNCTION("""COMPUTED_VALUE"""),87)</f>
        <v>87</v>
      </c>
      <c r="B88" t="str">
        <f ca="1">IFERROR(__xludf.DUMMYFUNCTION("""COMPUTED_VALUE"""),"T13")</f>
        <v>T13</v>
      </c>
      <c r="C88" t="str">
        <f ca="1">IFERROR(__xludf.DUMMYFUNCTION("""COMPUTED_VALUE"""),"Sean O'Hair")</f>
        <v>Sean O'Hair</v>
      </c>
      <c r="D88">
        <f ca="1">IFERROR(__xludf.DUMMYFUNCTION("""COMPUTED_VALUE"""),14)</f>
        <v>14</v>
      </c>
      <c r="E88">
        <f ca="1">IFERROR(__xludf.DUMMYFUNCTION("""COMPUTED_VALUE"""),83.85)</f>
        <v>83.85</v>
      </c>
      <c r="F88">
        <f ca="1">IFERROR(__xludf.DUMMYFUNCTION("""COMPUTED_VALUE"""),161)</f>
        <v>161</v>
      </c>
      <c r="G88">
        <f ca="1">IFERROR(__xludf.DUMMYFUNCTION("""COMPUTED_VALUE"""),192)</f>
        <v>192</v>
      </c>
    </row>
    <row r="89" spans="1:7" ht="12.75">
      <c r="A89">
        <f ca="1">IFERROR(__xludf.DUMMYFUNCTION("""COMPUTED_VALUE"""),88)</f>
        <v>88</v>
      </c>
      <c r="B89" t="str">
        <f ca="1">IFERROR(__xludf.DUMMYFUNCTION("""COMPUTED_VALUE"""),"T61")</f>
        <v>T61</v>
      </c>
      <c r="C89" t="str">
        <f ca="1">IFERROR(__xludf.DUMMYFUNCTION("""COMPUTED_VALUE"""),"David Hearn")</f>
        <v>David Hearn</v>
      </c>
      <c r="D89">
        <f ca="1">IFERROR(__xludf.DUMMYFUNCTION("""COMPUTED_VALUE"""),16)</f>
        <v>16</v>
      </c>
      <c r="E89">
        <f ca="1">IFERROR(__xludf.DUMMYFUNCTION("""COMPUTED_VALUE"""),83.78)</f>
        <v>83.78</v>
      </c>
      <c r="F89">
        <f ca="1">IFERROR(__xludf.DUMMYFUNCTION("""COMPUTED_VALUE"""),186)</f>
        <v>186</v>
      </c>
      <c r="G89">
        <f ca="1">IFERROR(__xludf.DUMMYFUNCTION("""COMPUTED_VALUE"""),222)</f>
        <v>222</v>
      </c>
    </row>
    <row r="90" spans="1:7" ht="12.75">
      <c r="A90" t="str">
        <f ca="1">IFERROR(__xludf.DUMMYFUNCTION("""COMPUTED_VALUE"""),"T89")</f>
        <v>T89</v>
      </c>
      <c r="B90">
        <f ca="1">IFERROR(__xludf.DUMMYFUNCTION("""COMPUTED_VALUE"""),104)</f>
        <v>104</v>
      </c>
      <c r="C90" t="str">
        <f ca="1">IFERROR(__xludf.DUMMYFUNCTION("""COMPUTED_VALUE"""),"Shaun Norris")</f>
        <v>Shaun Norris</v>
      </c>
      <c r="D90">
        <f ca="1">IFERROR(__xludf.DUMMYFUNCTION("""COMPUTED_VALUE"""),6)</f>
        <v>6</v>
      </c>
      <c r="E90">
        <f ca="1">IFERROR(__xludf.DUMMYFUNCTION("""COMPUTED_VALUE"""),83.75)</f>
        <v>83.75</v>
      </c>
      <c r="F90">
        <f ca="1">IFERROR(__xludf.DUMMYFUNCTION("""COMPUTED_VALUE"""),67)</f>
        <v>67</v>
      </c>
      <c r="G90">
        <f ca="1">IFERROR(__xludf.DUMMYFUNCTION("""COMPUTED_VALUE"""),80)</f>
        <v>80</v>
      </c>
    </row>
    <row r="91" spans="1:7" ht="12.75">
      <c r="A91" t="str">
        <f ca="1">IFERROR(__xludf.DUMMYFUNCTION("""COMPUTED_VALUE"""),"T89")</f>
        <v>T89</v>
      </c>
      <c r="B91">
        <f ca="1">IFERROR(__xludf.DUMMYFUNCTION("""COMPUTED_VALUE"""),45)</f>
        <v>45</v>
      </c>
      <c r="C91" t="str">
        <f ca="1">IFERROR(__xludf.DUMMYFUNCTION("""COMPUTED_VALUE"""),"Satoshi Kodaira")</f>
        <v>Satoshi Kodaira</v>
      </c>
      <c r="D91">
        <f ca="1">IFERROR(__xludf.DUMMYFUNCTION("""COMPUTED_VALUE"""),12)</f>
        <v>12</v>
      </c>
      <c r="E91">
        <f ca="1">IFERROR(__xludf.DUMMYFUNCTION("""COMPUTED_VALUE"""),83.75)</f>
        <v>83.75</v>
      </c>
      <c r="F91">
        <f ca="1">IFERROR(__xludf.DUMMYFUNCTION("""COMPUTED_VALUE"""),134)</f>
        <v>134</v>
      </c>
      <c r="G91">
        <f ca="1">IFERROR(__xludf.DUMMYFUNCTION("""COMPUTED_VALUE"""),160)</f>
        <v>160</v>
      </c>
    </row>
    <row r="92" spans="1:7" ht="12.75">
      <c r="A92" t="str">
        <f ca="1">IFERROR(__xludf.DUMMYFUNCTION("""COMPUTED_VALUE"""),"T91")</f>
        <v>T91</v>
      </c>
      <c r="B92" t="str">
        <f ca="1">IFERROR(__xludf.DUMMYFUNCTION("""COMPUTED_VALUE"""),"T105")</f>
        <v>T105</v>
      </c>
      <c r="C92" t="str">
        <f ca="1">IFERROR(__xludf.DUMMYFUNCTION("""COMPUTED_VALUE"""),"Michael Gligic")</f>
        <v>Michael Gligic</v>
      </c>
      <c r="D92">
        <f ca="1">IFERROR(__xludf.DUMMYFUNCTION("""COMPUTED_VALUE"""),18)</f>
        <v>18</v>
      </c>
      <c r="E92">
        <f ca="1">IFERROR(__xludf.DUMMYFUNCTION("""COMPUTED_VALUE"""),83.73)</f>
        <v>83.73</v>
      </c>
      <c r="F92">
        <f ca="1">IFERROR(__xludf.DUMMYFUNCTION("""COMPUTED_VALUE"""),211)</f>
        <v>211</v>
      </c>
      <c r="G92">
        <f ca="1">IFERROR(__xludf.DUMMYFUNCTION("""COMPUTED_VALUE"""),252)</f>
        <v>252</v>
      </c>
    </row>
    <row r="93" spans="1:7" ht="12.75">
      <c r="A93" t="str">
        <f ca="1">IFERROR(__xludf.DUMMYFUNCTION("""COMPUTED_VALUE"""),"T91")</f>
        <v>T91</v>
      </c>
      <c r="B93" t="str">
        <f ca="1">IFERROR(__xludf.DUMMYFUNCTION("""COMPUTED_VALUE"""),"T61")</f>
        <v>T61</v>
      </c>
      <c r="C93" t="str">
        <f ca="1">IFERROR(__xludf.DUMMYFUNCTION("""COMPUTED_VALUE"""),"Charl Schwartzel")</f>
        <v>Charl Schwartzel</v>
      </c>
      <c r="D93">
        <f ca="1">IFERROR(__xludf.DUMMYFUNCTION("""COMPUTED_VALUE"""),12)</f>
        <v>12</v>
      </c>
      <c r="E93">
        <f ca="1">IFERROR(__xludf.DUMMYFUNCTION("""COMPUTED_VALUE"""),83.73)</f>
        <v>83.73</v>
      </c>
      <c r="F93">
        <f ca="1">IFERROR(__xludf.DUMMYFUNCTION("""COMPUTED_VALUE"""),139)</f>
        <v>139</v>
      </c>
      <c r="G93">
        <f ca="1">IFERROR(__xludf.DUMMYFUNCTION("""COMPUTED_VALUE"""),166)</f>
        <v>166</v>
      </c>
    </row>
    <row r="94" spans="1:7" ht="12.75">
      <c r="A94" t="str">
        <f ca="1">IFERROR(__xludf.DUMMYFUNCTION("""COMPUTED_VALUE"""),"T91")</f>
        <v>T91</v>
      </c>
      <c r="B94" t="str">
        <f ca="1">IFERROR(__xludf.DUMMYFUNCTION("""COMPUTED_VALUE"""),"T108")</f>
        <v>T108</v>
      </c>
      <c r="C94" t="str">
        <f ca="1">IFERROR(__xludf.DUMMYFUNCTION("""COMPUTED_VALUE"""),"Vaughn Taylor")</f>
        <v>Vaughn Taylor</v>
      </c>
      <c r="D94">
        <f ca="1">IFERROR(__xludf.DUMMYFUNCTION("""COMPUTED_VALUE"""),12)</f>
        <v>12</v>
      </c>
      <c r="E94">
        <f ca="1">IFERROR(__xludf.DUMMYFUNCTION("""COMPUTED_VALUE"""),83.73)</f>
        <v>83.73</v>
      </c>
      <c r="F94">
        <f ca="1">IFERROR(__xludf.DUMMYFUNCTION("""COMPUTED_VALUE"""),139)</f>
        <v>139</v>
      </c>
      <c r="G94">
        <f ca="1">IFERROR(__xludf.DUMMYFUNCTION("""COMPUTED_VALUE"""),166)</f>
        <v>166</v>
      </c>
    </row>
    <row r="95" spans="1:7" ht="12.75">
      <c r="A95" t="str">
        <f ca="1">IFERROR(__xludf.DUMMYFUNCTION("""COMPUTED_VALUE"""),"T91")</f>
        <v>T91</v>
      </c>
      <c r="B95" t="str">
        <f ca="1">IFERROR(__xludf.DUMMYFUNCTION("""COMPUTED_VALUE"""),"T105")</f>
        <v>T105</v>
      </c>
      <c r="C95" t="str">
        <f ca="1">IFERROR(__xludf.DUMMYFUNCTION("""COMPUTED_VALUE"""),"Peter Malnati")</f>
        <v>Peter Malnati</v>
      </c>
      <c r="D95">
        <f ca="1">IFERROR(__xludf.DUMMYFUNCTION("""COMPUTED_VALUE"""),18)</f>
        <v>18</v>
      </c>
      <c r="E95">
        <f ca="1">IFERROR(__xludf.DUMMYFUNCTION("""COMPUTED_VALUE"""),83.73)</f>
        <v>83.73</v>
      </c>
      <c r="F95">
        <f ca="1">IFERROR(__xludf.DUMMYFUNCTION("""COMPUTED_VALUE"""),211)</f>
        <v>211</v>
      </c>
      <c r="G95">
        <f ca="1">IFERROR(__xludf.DUMMYFUNCTION("""COMPUTED_VALUE"""),252)</f>
        <v>252</v>
      </c>
    </row>
    <row r="96" spans="1:7" ht="12.75">
      <c r="A96">
        <f ca="1">IFERROR(__xludf.DUMMYFUNCTION("""COMPUTED_VALUE"""),95)</f>
        <v>95</v>
      </c>
      <c r="B96" t="str">
        <f ca="1">IFERROR(__xludf.DUMMYFUNCTION("""COMPUTED_VALUE"""),"T110")</f>
        <v>T110</v>
      </c>
      <c r="C96" t="str">
        <f ca="1">IFERROR(__xludf.DUMMYFUNCTION("""COMPUTED_VALUE"""),"Hudson Swafford")</f>
        <v>Hudson Swafford</v>
      </c>
      <c r="D96">
        <f ca="1">IFERROR(__xludf.DUMMYFUNCTION("""COMPUTED_VALUE"""),18)</f>
        <v>18</v>
      </c>
      <c r="E96">
        <f ca="1">IFERROR(__xludf.DUMMYFUNCTION("""COMPUTED_VALUE"""),83.6)</f>
        <v>83.6</v>
      </c>
      <c r="F96">
        <f ca="1">IFERROR(__xludf.DUMMYFUNCTION("""COMPUTED_VALUE"""),209)</f>
        <v>209</v>
      </c>
      <c r="G96">
        <f ca="1">IFERROR(__xludf.DUMMYFUNCTION("""COMPUTED_VALUE"""),250)</f>
        <v>250</v>
      </c>
    </row>
    <row r="97" spans="1:7" ht="12.75">
      <c r="A97">
        <f ca="1">IFERROR(__xludf.DUMMYFUNCTION("""COMPUTED_VALUE"""),96)</f>
        <v>96</v>
      </c>
      <c r="B97" t="str">
        <f ca="1">IFERROR(__xludf.DUMMYFUNCTION("""COMPUTED_VALUE"""),"T108")</f>
        <v>T108</v>
      </c>
      <c r="C97" t="str">
        <f ca="1">IFERROR(__xludf.DUMMYFUNCTION("""COMPUTED_VALUE"""),"Zac Blair")</f>
        <v>Zac Blair</v>
      </c>
      <c r="D97">
        <f ca="1">IFERROR(__xludf.DUMMYFUNCTION("""COMPUTED_VALUE"""),10)</f>
        <v>10</v>
      </c>
      <c r="E97">
        <f ca="1">IFERROR(__xludf.DUMMYFUNCTION("""COMPUTED_VALUE"""),83.57)</f>
        <v>83.57</v>
      </c>
      <c r="F97">
        <f ca="1">IFERROR(__xludf.DUMMYFUNCTION("""COMPUTED_VALUE"""),117)</f>
        <v>117</v>
      </c>
      <c r="G97">
        <f ca="1">IFERROR(__xludf.DUMMYFUNCTION("""COMPUTED_VALUE"""),140)</f>
        <v>140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IFERROR(__xludf.DUMMYFUNCTION("""COMPUTED_VALUE"""),"T112")</f>
        <v>T112</v>
      </c>
      <c r="C98" t="str">
        <f ca="1">IFERROR(__xludf.DUMMYFUNCTION("""COMPUTED_VALUE"""),"Joseph Bramlett")</f>
        <v>Joseph Bramlett</v>
      </c>
      <c r="D98">
        <f ca="1">IFERROR(__xludf.DUMMYFUNCTION("""COMPUTED_VALUE"""),18)</f>
        <v>18</v>
      </c>
      <c r="E98">
        <f ca="1">IFERROR(__xludf.DUMMYFUNCTION("""COMPUTED_VALUE"""),83.33)</f>
        <v>83.33</v>
      </c>
      <c r="F98">
        <f ca="1">IFERROR(__xludf.DUMMYFUNCTION("""COMPUTED_VALUE"""),210)</f>
        <v>210</v>
      </c>
      <c r="G98">
        <f ca="1">IFERROR(__xludf.DUMMYFUNCTION("""COMPUTED_VALUE"""),252)</f>
        <v>252</v>
      </c>
    </row>
    <row r="99" spans="1:7" ht="12.75">
      <c r="A99" t="str">
        <f ca="1">IFERROR(__xludf.DUMMYFUNCTION("""COMPUTED_VALUE"""),"T97")</f>
        <v>T97</v>
      </c>
      <c r="B99" t="str">
        <f ca="1">IFERROR(__xludf.DUMMYFUNCTION("""COMPUTED_VALUE"""),"T112")</f>
        <v>T112</v>
      </c>
      <c r="C99" t="str">
        <f ca="1">IFERROR(__xludf.DUMMYFUNCTION("""COMPUTED_VALUE"""),"Roger Sloan")</f>
        <v>Roger Sloan</v>
      </c>
      <c r="D99">
        <f ca="1">IFERROR(__xludf.DUMMYFUNCTION("""COMPUTED_VALUE"""),12)</f>
        <v>12</v>
      </c>
      <c r="E99">
        <f ca="1">IFERROR(__xludf.DUMMYFUNCTION("""COMPUTED_VALUE"""),83.33)</f>
        <v>83.33</v>
      </c>
      <c r="F99">
        <f ca="1">IFERROR(__xludf.DUMMYFUNCTION("""COMPUTED_VALUE"""),140)</f>
        <v>140</v>
      </c>
      <c r="G99">
        <f ca="1">IFERROR(__xludf.DUMMYFUNCTION("""COMPUTED_VALUE"""),168)</f>
        <v>168</v>
      </c>
    </row>
    <row r="100" spans="1:7" ht="12.75">
      <c r="A100" t="str">
        <f ca="1">IFERROR(__xludf.DUMMYFUNCTION("""COMPUTED_VALUE"""),"T97")</f>
        <v>T97</v>
      </c>
      <c r="B100" t="str">
        <f ca="1">IFERROR(__xludf.DUMMYFUNCTION("""COMPUTED_VALUE"""),"T112")</f>
        <v>T112</v>
      </c>
      <c r="C100" t="str">
        <f ca="1">IFERROR(__xludf.DUMMYFUNCTION("""COMPUTED_VALUE"""),"K.J. Choi")</f>
        <v>K.J. Choi</v>
      </c>
      <c r="D100">
        <f ca="1">IFERROR(__xludf.DUMMYFUNCTION("""COMPUTED_VALUE"""),6)</f>
        <v>6</v>
      </c>
      <c r="E100">
        <f ca="1">IFERROR(__xludf.DUMMYFUNCTION("""COMPUTED_VALUE"""),83.33)</f>
        <v>83.33</v>
      </c>
      <c r="F100">
        <f ca="1">IFERROR(__xludf.DUMMYFUNCTION("""COMPUTED_VALUE"""),70)</f>
        <v>70</v>
      </c>
      <c r="G100">
        <f ca="1">IFERROR(__xludf.DUMMYFUNCTION("""COMPUTED_VALUE"""),84)</f>
        <v>84</v>
      </c>
    </row>
    <row r="101" spans="1:7" ht="12.75">
      <c r="A101" t="str">
        <f ca="1">IFERROR(__xludf.DUMMYFUNCTION("""COMPUTED_VALUE"""),"T97")</f>
        <v>T97</v>
      </c>
      <c r="B101" t="str">
        <f ca="1">IFERROR(__xludf.DUMMYFUNCTION("""COMPUTED_VALUE"""),"T112")</f>
        <v>T112</v>
      </c>
      <c r="C101" t="str">
        <f ca="1">IFERROR(__xludf.DUMMYFUNCTION("""COMPUTED_VALUE"""),"Robert Garrigus")</f>
        <v>Robert Garrigus</v>
      </c>
      <c r="D101">
        <f ca="1">IFERROR(__xludf.DUMMYFUNCTION("""COMPUTED_VALUE"""),3)</f>
        <v>3</v>
      </c>
      <c r="E101">
        <f ca="1">IFERROR(__xludf.DUMMYFUNCTION("""COMPUTED_VALUE"""),83.33)</f>
        <v>83.33</v>
      </c>
      <c r="F101">
        <f ca="1">IFERROR(__xludf.DUMMYFUNCTION("""COMPUTED_VALUE"""),35)</f>
        <v>35</v>
      </c>
      <c r="G101">
        <f ca="1">IFERROR(__xludf.DUMMYFUNCTION("""COMPUTED_VALUE"""),42)</f>
        <v>42</v>
      </c>
    </row>
    <row r="102" spans="1:7" ht="12.75">
      <c r="A102">
        <f ca="1">IFERROR(__xludf.DUMMYFUNCTION("""COMPUTED_VALUE"""),101)</f>
        <v>101</v>
      </c>
      <c r="B102" t="str">
        <f ca="1">IFERROR(__xludf.DUMMYFUNCTION("""COMPUTED_VALUE"""),"T77")</f>
        <v>T77</v>
      </c>
      <c r="C102" t="str">
        <f ca="1">IFERROR(__xludf.DUMMYFUNCTION("""COMPUTED_VALUE"""),"Kramer Hickok")</f>
        <v>Kramer Hickok</v>
      </c>
      <c r="D102">
        <f ca="1">IFERROR(__xludf.DUMMYFUNCTION("""COMPUTED_VALUE"""),16)</f>
        <v>16</v>
      </c>
      <c r="E102">
        <f ca="1">IFERROR(__xludf.DUMMYFUNCTION("""COMPUTED_VALUE"""),83.18)</f>
        <v>83.18</v>
      </c>
      <c r="F102">
        <f ca="1">IFERROR(__xludf.DUMMYFUNCTION("""COMPUTED_VALUE"""),183)</f>
        <v>183</v>
      </c>
      <c r="G102">
        <f ca="1">IFERROR(__xludf.DUMMYFUNCTION("""COMPUTED_VALUE"""),220)</f>
        <v>220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IFERROR(__xludf.DUMMYFUNCTION("""COMPUTED_VALUE"""),"T120")</f>
        <v>T120</v>
      </c>
      <c r="C103" t="str">
        <f ca="1">IFERROR(__xludf.DUMMYFUNCTION("""COMPUTED_VALUE"""),"Vincent Whaley")</f>
        <v>Vincent Whaley</v>
      </c>
      <c r="D103">
        <f ca="1">IFERROR(__xludf.DUMMYFUNCTION("""COMPUTED_VALUE"""),14)</f>
        <v>14</v>
      </c>
      <c r="E103">
        <f ca="1">IFERROR(__xludf.DUMMYFUNCTION("""COMPUTED_VALUE"""),83.16)</f>
        <v>83.16</v>
      </c>
      <c r="F103">
        <f ca="1">IFERROR(__xludf.DUMMYFUNCTION("""COMPUTED_VALUE"""),163)</f>
        <v>163</v>
      </c>
      <c r="G103">
        <f ca="1">IFERROR(__xludf.DUMMYFUNCTION("""COMPUTED_VALUE"""),196)</f>
        <v>196</v>
      </c>
    </row>
    <row r="104" spans="1:7" ht="12.75">
      <c r="A104">
        <f ca="1">IFERROR(__xludf.DUMMYFUNCTION("""COMPUTED_VALUE"""),103)</f>
        <v>103</v>
      </c>
      <c r="B104">
        <f ca="1">IFERROR(__xludf.DUMMYFUNCTION("""COMPUTED_VALUE"""),55)</f>
        <v>55</v>
      </c>
      <c r="C104" t="str">
        <f ca="1">IFERROR(__xludf.DUMMYFUNCTION("""COMPUTED_VALUE"""),"Talor Gooch")</f>
        <v>Talor Gooch</v>
      </c>
      <c r="D104">
        <f ca="1">IFERROR(__xludf.DUMMYFUNCTION("""COMPUTED_VALUE"""),20)</f>
        <v>20</v>
      </c>
      <c r="E104">
        <f ca="1">IFERROR(__xludf.DUMMYFUNCTION("""COMPUTED_VALUE"""),83.09)</f>
        <v>83.09</v>
      </c>
      <c r="F104">
        <f ca="1">IFERROR(__xludf.DUMMYFUNCTION("""COMPUTED_VALUE"""),226)</f>
        <v>226</v>
      </c>
      <c r="G104">
        <f ca="1">IFERROR(__xludf.DUMMYFUNCTION("""COMPUTED_VALUE"""),272)</f>
        <v>272</v>
      </c>
    </row>
    <row r="105" spans="1:7" ht="12.75">
      <c r="A105">
        <f ca="1">IFERROR(__xludf.DUMMYFUNCTION("""COMPUTED_VALUE"""),104)</f>
        <v>104</v>
      </c>
      <c r="B105" t="str">
        <f ca="1">IFERROR(__xludf.DUMMYFUNCTION("""COMPUTED_VALUE"""),"T123")</f>
        <v>T123</v>
      </c>
      <c r="C105" t="str">
        <f ca="1">IFERROR(__xludf.DUMMYFUNCTION("""COMPUTED_VALUE"""),"Sangmoon Bae")</f>
        <v>Sangmoon Bae</v>
      </c>
      <c r="D105">
        <f ca="1">IFERROR(__xludf.DUMMYFUNCTION("""COMPUTED_VALUE"""),8)</f>
        <v>8</v>
      </c>
      <c r="E105">
        <f ca="1">IFERROR(__xludf.DUMMYFUNCTION("""COMPUTED_VALUE"""),83.04)</f>
        <v>83.04</v>
      </c>
      <c r="F105">
        <f ca="1">IFERROR(__xludf.DUMMYFUNCTION("""COMPUTED_VALUE"""),93)</f>
        <v>93</v>
      </c>
      <c r="G105">
        <f ca="1">IFERROR(__xludf.DUMMYFUNCTION("""COMPUTED_VALUE"""),112)</f>
        <v>112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IFERROR(__xludf.DUMMYFUNCTION("""COMPUTED_VALUE"""),"T112")</f>
        <v>T112</v>
      </c>
      <c r="C106" t="str">
        <f ca="1">IFERROR(__xludf.DUMMYFUNCTION("""COMPUTED_VALUE"""),"Camilo Villegas")</f>
        <v>Camilo Villegas</v>
      </c>
      <c r="D106">
        <f ca="1">IFERROR(__xludf.DUMMYFUNCTION("""COMPUTED_VALUE"""),14)</f>
        <v>14</v>
      </c>
      <c r="E106">
        <f ca="1">IFERROR(__xludf.DUMMYFUNCTION("""COMPUTED_VALUE"""),82.99)</f>
        <v>82.99</v>
      </c>
      <c r="F106">
        <f ca="1">IFERROR(__xludf.DUMMYFUNCTION("""COMPUTED_VALUE"""),161)</f>
        <v>161</v>
      </c>
      <c r="G106">
        <f ca="1">IFERROR(__xludf.DUMMYFUNCTION("""COMPUTED_VALUE"""),194)</f>
        <v>194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IFERROR(__xludf.DUMMYFUNCTION("""COMPUTED_VALUE"""),"T79")</f>
        <v>T79</v>
      </c>
      <c r="C107" t="str">
        <f ca="1">IFERROR(__xludf.DUMMYFUNCTION("""COMPUTED_VALUE"""),"Tyler Duncan")</f>
        <v>Tyler Duncan</v>
      </c>
      <c r="D107">
        <f ca="1">IFERROR(__xludf.DUMMYFUNCTION("""COMPUTED_VALUE"""),18)</f>
        <v>18</v>
      </c>
      <c r="E107">
        <f ca="1">IFERROR(__xludf.DUMMYFUNCTION("""COMPUTED_VALUE"""),82.93)</f>
        <v>82.93</v>
      </c>
      <c r="F107">
        <f ca="1">IFERROR(__xludf.DUMMYFUNCTION("""COMPUTED_VALUE"""),204)</f>
        <v>204</v>
      </c>
      <c r="G107">
        <f ca="1">IFERROR(__xludf.DUMMYFUNCTION("""COMPUTED_VALUE"""),246)</f>
        <v>246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IFERROR(__xludf.DUMMYFUNCTION("""COMPUTED_VALUE"""),125)</f>
        <v>125</v>
      </c>
      <c r="C108" t="str">
        <f ca="1">IFERROR(__xludf.DUMMYFUNCTION("""COMPUTED_VALUE"""),"Viktor Hovland")</f>
        <v>Viktor Hovland</v>
      </c>
      <c r="D108">
        <f ca="1">IFERROR(__xludf.DUMMYFUNCTION("""COMPUTED_VALUE"""),16)</f>
        <v>16</v>
      </c>
      <c r="E108">
        <f ca="1">IFERROR(__xludf.DUMMYFUNCTION("""COMPUTED_VALUE"""),82.87)</f>
        <v>82.87</v>
      </c>
      <c r="F108">
        <f ca="1">IFERROR(__xludf.DUMMYFUNCTION("""COMPUTED_VALUE"""),179)</f>
        <v>179</v>
      </c>
      <c r="G108">
        <f ca="1">IFERROR(__xludf.DUMMYFUNCTION("""COMPUTED_VALUE"""),216)</f>
        <v>216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IFERROR(__xludf.DUMMYFUNCTION("""COMPUTED_VALUE"""),"T126")</f>
        <v>T126</v>
      </c>
      <c r="C109" t="str">
        <f ca="1">IFERROR(__xludf.DUMMYFUNCTION("""COMPUTED_VALUE"""),"Michael Gellerman")</f>
        <v>Michael Gellerman</v>
      </c>
      <c r="D109">
        <f ca="1">IFERROR(__xludf.DUMMYFUNCTION("""COMPUTED_VALUE"""),5)</f>
        <v>5</v>
      </c>
      <c r="E109">
        <f ca="1">IFERROR(__xludf.DUMMYFUNCTION("""COMPUTED_VALUE"""),82.86)</f>
        <v>82.86</v>
      </c>
      <c r="F109">
        <f ca="1">IFERROR(__xludf.DUMMYFUNCTION("""COMPUTED_VALUE"""),58)</f>
        <v>58</v>
      </c>
      <c r="G109">
        <f ca="1">IFERROR(__xludf.DUMMYFUNCTION("""COMPUTED_VALUE"""),70)</f>
        <v>70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IFERROR(__xludf.DUMMYFUNCTION("""COMPUTED_VALUE"""),128)</f>
        <v>128</v>
      </c>
      <c r="C110" t="str">
        <f ca="1">IFERROR(__xludf.DUMMYFUNCTION("""COMPUTED_VALUE"""),"Jason Kokrak")</f>
        <v>Jason Kokrak</v>
      </c>
      <c r="D110">
        <f ca="1">IFERROR(__xludf.DUMMYFUNCTION("""COMPUTED_VALUE"""),14)</f>
        <v>14</v>
      </c>
      <c r="E110">
        <f ca="1">IFERROR(__xludf.DUMMYFUNCTION("""COMPUTED_VALUE"""),82.81)</f>
        <v>82.81</v>
      </c>
      <c r="F110">
        <f ca="1">IFERROR(__xludf.DUMMYFUNCTION("""COMPUTED_VALUE"""),159)</f>
        <v>159</v>
      </c>
      <c r="G110">
        <f ca="1">IFERROR(__xludf.DUMMYFUNCTION("""COMPUTED_VALUE"""),192)</f>
        <v>192</v>
      </c>
    </row>
    <row r="111" spans="1:7" ht="12.75">
      <c r="A111" t="str">
        <f ca="1">IFERROR(__xludf.DUMMYFUNCTION("""COMPUTED_VALUE"""),"T110")</f>
        <v>T110</v>
      </c>
      <c r="B111" t="str">
        <f ca="1">IFERROR(__xludf.DUMMYFUNCTION("""COMPUTED_VALUE"""),"T88")</f>
        <v>T88</v>
      </c>
      <c r="C111" t="str">
        <f ca="1">IFERROR(__xludf.DUMMYFUNCTION("""COMPUTED_VALUE"""),"Zach Johnson")</f>
        <v>Zach Johnson</v>
      </c>
      <c r="D111">
        <f ca="1">IFERROR(__xludf.DUMMYFUNCTION("""COMPUTED_VALUE"""),16)</f>
        <v>16</v>
      </c>
      <c r="E111">
        <f ca="1">IFERROR(__xludf.DUMMYFUNCTION("""COMPUTED_VALUE"""),82.73)</f>
        <v>82.73</v>
      </c>
      <c r="F111">
        <f ca="1">IFERROR(__xludf.DUMMYFUNCTION("""COMPUTED_VALUE"""),182)</f>
        <v>182</v>
      </c>
      <c r="G111">
        <f ca="1">IFERROR(__xludf.DUMMYFUNCTION("""COMPUTED_VALUE"""),220)</f>
        <v>220</v>
      </c>
    </row>
    <row r="112" spans="1:7" ht="12.75">
      <c r="A112" t="str">
        <f ca="1">IFERROR(__xludf.DUMMYFUNCTION("""COMPUTED_VALUE"""),"T110")</f>
        <v>T110</v>
      </c>
      <c r="B112">
        <f ca="1">IFERROR(__xludf.DUMMYFUNCTION("""COMPUTED_VALUE"""),131)</f>
        <v>131</v>
      </c>
      <c r="C112" t="str">
        <f ca="1">IFERROR(__xludf.DUMMYFUNCTION("""COMPUTED_VALUE"""),"Joaquin Niemann")</f>
        <v>Joaquin Niemann</v>
      </c>
      <c r="D112">
        <f ca="1">IFERROR(__xludf.DUMMYFUNCTION("""COMPUTED_VALUE"""),16)</f>
        <v>16</v>
      </c>
      <c r="E112">
        <f ca="1">IFERROR(__xludf.DUMMYFUNCTION("""COMPUTED_VALUE"""),82.73)</f>
        <v>82.73</v>
      </c>
      <c r="F112">
        <f ca="1">IFERROR(__xludf.DUMMYFUNCTION("""COMPUTED_VALUE"""),182)</f>
        <v>182</v>
      </c>
      <c r="G112">
        <f ca="1">IFERROR(__xludf.DUMMYFUNCTION("""COMPUTED_VALUE"""),220)</f>
        <v>220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IFERROR(__xludf.DUMMYFUNCTION("""COMPUTED_VALUE"""),"T134")</f>
        <v>T134</v>
      </c>
      <c r="C113" t="str">
        <f ca="1">IFERROR(__xludf.DUMMYFUNCTION("""COMPUTED_VALUE"""),"Jazz Janewattananond")</f>
        <v>Jazz Janewattananond</v>
      </c>
      <c r="D113">
        <f ca="1">IFERROR(__xludf.DUMMYFUNCTION("""COMPUTED_VALUE"""),6)</f>
        <v>6</v>
      </c>
      <c r="E113">
        <f ca="1">IFERROR(__xludf.DUMMYFUNCTION("""COMPUTED_VALUE"""),82.5)</f>
        <v>82.5</v>
      </c>
      <c r="F113">
        <f ca="1">IFERROR(__xludf.DUMMYFUNCTION("""COMPUTED_VALUE"""),66)</f>
        <v>66</v>
      </c>
      <c r="G113">
        <f ca="1">IFERROR(__xludf.DUMMYFUNCTION("""COMPUTED_VALUE"""),80)</f>
        <v>80</v>
      </c>
    </row>
    <row r="114" spans="1:7" ht="12.75">
      <c r="A114" t="str">
        <f ca="1">IFERROR(__xludf.DUMMYFUNCTION("""COMPUTED_VALUE"""),"T112")</f>
        <v>T112</v>
      </c>
      <c r="B114" t="str">
        <f ca="1">IFERROR(__xludf.DUMMYFUNCTION("""COMPUTED_VALUE"""),"T134")</f>
        <v>T134</v>
      </c>
      <c r="C114" t="str">
        <f ca="1">IFERROR(__xludf.DUMMYFUNCTION("""COMPUTED_VALUE"""),"Chan Kim")</f>
        <v>Chan Kim</v>
      </c>
      <c r="D114">
        <f ca="1">IFERROR(__xludf.DUMMYFUNCTION("""COMPUTED_VALUE"""),6)</f>
        <v>6</v>
      </c>
      <c r="E114">
        <f ca="1">IFERROR(__xludf.DUMMYFUNCTION("""COMPUTED_VALUE"""),82.5)</f>
        <v>82.5</v>
      </c>
      <c r="F114">
        <f ca="1">IFERROR(__xludf.DUMMYFUNCTION("""COMPUTED_VALUE"""),66)</f>
        <v>66</v>
      </c>
      <c r="G114">
        <f ca="1">IFERROR(__xludf.DUMMYFUNCTION("""COMPUTED_VALUE"""),80)</f>
        <v>80</v>
      </c>
    </row>
    <row r="115" spans="1:7" ht="12.75">
      <c r="A115" t="str">
        <f ca="1">IFERROR(__xludf.DUMMYFUNCTION("""COMPUTED_VALUE"""),"T112")</f>
        <v>T112</v>
      </c>
      <c r="B115" t="str">
        <f ca="1">IFERROR(__xludf.DUMMYFUNCTION("""COMPUTED_VALUE"""),"")</f>
        <v/>
      </c>
      <c r="C115" t="str">
        <f ca="1">IFERROR(__xludf.DUMMYFUNCTION("""COMPUTED_VALUE"""),"Francesco Molinari")</f>
        <v>Francesco Molinari</v>
      </c>
      <c r="D115">
        <f ca="1">IFERROR(__xludf.DUMMYFUNCTION("""COMPUTED_VALUE"""),6)</f>
        <v>6</v>
      </c>
      <c r="E115">
        <f ca="1">IFERROR(__xludf.DUMMYFUNCTION("""COMPUTED_VALUE"""),82.5)</f>
        <v>82.5</v>
      </c>
      <c r="F115">
        <f ca="1">IFERROR(__xludf.DUMMYFUNCTION("""COMPUTED_VALUE"""),66)</f>
        <v>66</v>
      </c>
      <c r="G115">
        <f ca="1">IFERROR(__xludf.DUMMYFUNCTION("""COMPUTED_VALUE"""),80)</f>
        <v>80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IFERROR(__xludf.DUMMYFUNCTION("""COMPUTED_VALUE"""),"T136")</f>
        <v>T136</v>
      </c>
      <c r="C116" t="str">
        <f ca="1">IFERROR(__xludf.DUMMYFUNCTION("""COMPUTED_VALUE"""),"Tyrrell Hatton")</f>
        <v>Tyrrell Hatton</v>
      </c>
      <c r="D116">
        <f ca="1">IFERROR(__xludf.DUMMYFUNCTION("""COMPUTED_VALUE"""),14)</f>
        <v>14</v>
      </c>
      <c r="E116">
        <f ca="1">IFERROR(__xludf.DUMMYFUNCTION("""COMPUTED_VALUE"""),82.45)</f>
        <v>82.45</v>
      </c>
      <c r="F116">
        <f ca="1">IFERROR(__xludf.DUMMYFUNCTION("""COMPUTED_VALUE"""),155)</f>
        <v>155</v>
      </c>
      <c r="G116">
        <f ca="1">IFERROR(__xludf.DUMMYFUNCTION("""COMPUTED_VALUE"""),188)</f>
        <v>188</v>
      </c>
    </row>
    <row r="117" spans="1:7" ht="12.75">
      <c r="A117" t="str">
        <f ca="1">IFERROR(__xludf.DUMMYFUNCTION("""COMPUTED_VALUE"""),"T116")</f>
        <v>T116</v>
      </c>
      <c r="B117" t="str">
        <f ca="1">IFERROR(__xludf.DUMMYFUNCTION("""COMPUTED_VALUE"""),"T120")</f>
        <v>T120</v>
      </c>
      <c r="C117" t="str">
        <f ca="1">IFERROR(__xludf.DUMMYFUNCTION("""COMPUTED_VALUE"""),"Keegan Bradley")</f>
        <v>Keegan Bradley</v>
      </c>
      <c r="D117">
        <f ca="1">IFERROR(__xludf.DUMMYFUNCTION("""COMPUTED_VALUE"""),16)</f>
        <v>16</v>
      </c>
      <c r="E117">
        <f ca="1">IFERROR(__xludf.DUMMYFUNCTION("""COMPUTED_VALUE"""),82.43)</f>
        <v>82.43</v>
      </c>
      <c r="F117">
        <f ca="1">IFERROR(__xludf.DUMMYFUNCTION("""COMPUTED_VALUE"""),183)</f>
        <v>183</v>
      </c>
      <c r="G117">
        <f ca="1">IFERROR(__xludf.DUMMYFUNCTION("""COMPUTED_VALUE"""),222)</f>
        <v>222</v>
      </c>
    </row>
    <row r="118" spans="1:7" ht="12.75">
      <c r="A118" t="str">
        <f ca="1">IFERROR(__xludf.DUMMYFUNCTION("""COMPUTED_VALUE"""),"T116")</f>
        <v>T116</v>
      </c>
      <c r="B118" t="str">
        <f ca="1">IFERROR(__xludf.DUMMYFUNCTION("""COMPUTED_VALUE"""),"T120")</f>
        <v>T120</v>
      </c>
      <c r="C118" t="str">
        <f ca="1">IFERROR(__xludf.DUMMYFUNCTION("""COMPUTED_VALUE"""),"Kevin Tway")</f>
        <v>Kevin Tway</v>
      </c>
      <c r="D118">
        <f ca="1">IFERROR(__xludf.DUMMYFUNCTION("""COMPUTED_VALUE"""),16)</f>
        <v>16</v>
      </c>
      <c r="E118">
        <f ca="1">IFERROR(__xludf.DUMMYFUNCTION("""COMPUTED_VALUE"""),82.43)</f>
        <v>82.43</v>
      </c>
      <c r="F118">
        <f ca="1">IFERROR(__xludf.DUMMYFUNCTION("""COMPUTED_VALUE"""),183)</f>
        <v>183</v>
      </c>
      <c r="G118">
        <f ca="1">IFERROR(__xludf.DUMMYFUNCTION("""COMPUTED_VALUE"""),222)</f>
        <v>222</v>
      </c>
    </row>
    <row r="119" spans="1:7" ht="12.75">
      <c r="A119">
        <f ca="1">IFERROR(__xludf.DUMMYFUNCTION("""COMPUTED_VALUE"""),118)</f>
        <v>118</v>
      </c>
      <c r="B119" t="str">
        <f ca="1">IFERROR(__xludf.DUMMYFUNCTION("""COMPUTED_VALUE"""),"T237")</f>
        <v>T237</v>
      </c>
      <c r="C119" t="str">
        <f ca="1">IFERROR(__xludf.DUMMYFUNCTION("""COMPUTED_VALUE"""),"Dustin Johnson")</f>
        <v>Dustin Johnson</v>
      </c>
      <c r="D119">
        <f ca="1">IFERROR(__xludf.DUMMYFUNCTION("""COMPUTED_VALUE"""),8)</f>
        <v>8</v>
      </c>
      <c r="E119">
        <f ca="1">IFERROR(__xludf.DUMMYFUNCTION("""COMPUTED_VALUE"""),82.41)</f>
        <v>82.41</v>
      </c>
      <c r="F119">
        <f ca="1">IFERROR(__xludf.DUMMYFUNCTION("""COMPUTED_VALUE"""),89)</f>
        <v>89</v>
      </c>
      <c r="G119">
        <f ca="1">IFERROR(__xludf.DUMMYFUNCTION("""COMPUTED_VALUE"""),108)</f>
        <v>108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IFERROR(__xludf.DUMMYFUNCTION("""COMPUTED_VALUE"""),"T73")</f>
        <v>T73</v>
      </c>
      <c r="C120" t="str">
        <f ca="1">IFERROR(__xludf.DUMMYFUNCTION("""COMPUTED_VALUE"""),"Patrick Rodgers")</f>
        <v>Patrick Rodgers</v>
      </c>
      <c r="D120">
        <f ca="1">IFERROR(__xludf.DUMMYFUNCTION("""COMPUTED_VALUE"""),18)</f>
        <v>18</v>
      </c>
      <c r="E120">
        <f ca="1">IFERROR(__xludf.DUMMYFUNCTION("""COMPUTED_VALUE"""),82.4)</f>
        <v>82.4</v>
      </c>
      <c r="F120">
        <f ca="1">IFERROR(__xludf.DUMMYFUNCTION("""COMPUTED_VALUE"""),206)</f>
        <v>206</v>
      </c>
      <c r="G120">
        <f ca="1">IFERROR(__xludf.DUMMYFUNCTION("""COMPUTED_VALUE"""),250)</f>
        <v>250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IFERROR(__xludf.DUMMYFUNCTION("""COMPUTED_VALUE"""),139)</f>
        <v>139</v>
      </c>
      <c r="C121" t="str">
        <f ca="1">IFERROR(__xludf.DUMMYFUNCTION("""COMPUTED_VALUE"""),"Hideki Matsuyama")</f>
        <v>Hideki Matsuyama</v>
      </c>
      <c r="D121">
        <f ca="1">IFERROR(__xludf.DUMMYFUNCTION("""COMPUTED_VALUE"""),18)</f>
        <v>18</v>
      </c>
      <c r="E121">
        <f ca="1">IFERROR(__xludf.DUMMYFUNCTION("""COMPUTED_VALUE"""),82.38)</f>
        <v>82.38</v>
      </c>
      <c r="F121">
        <f ca="1">IFERROR(__xludf.DUMMYFUNCTION("""COMPUTED_VALUE"""),201)</f>
        <v>201</v>
      </c>
      <c r="G121">
        <f ca="1">IFERROR(__xludf.DUMMYFUNCTION("""COMPUTED_VALUE"""),244)</f>
        <v>244</v>
      </c>
    </row>
    <row r="122" spans="1:7" ht="12.75">
      <c r="A122" t="str">
        <f ca="1">IFERROR(__xludf.DUMMYFUNCTION("""COMPUTED_VALUE"""),"T121")</f>
        <v>T121</v>
      </c>
      <c r="B122" t="str">
        <f ca="1">IFERROR(__xludf.DUMMYFUNCTION("""COMPUTED_VALUE"""),"T61")</f>
        <v>T61</v>
      </c>
      <c r="C122" t="str">
        <f ca="1">IFERROR(__xludf.DUMMYFUNCTION("""COMPUTED_VALUE"""),"Chris Kirk")</f>
        <v>Chris Kirk</v>
      </c>
      <c r="D122">
        <f ca="1">IFERROR(__xludf.DUMMYFUNCTION("""COMPUTED_VALUE"""),10)</f>
        <v>10</v>
      </c>
      <c r="E122">
        <f ca="1">IFERROR(__xludf.DUMMYFUNCTION("""COMPUTED_VALUE"""),82.35)</f>
        <v>82.35</v>
      </c>
      <c r="F122">
        <f ca="1">IFERROR(__xludf.DUMMYFUNCTION("""COMPUTED_VALUE"""),112)</f>
        <v>112</v>
      </c>
      <c r="G122">
        <f ca="1">IFERROR(__xludf.DUMMYFUNCTION("""COMPUTED_VALUE"""),136)</f>
        <v>136</v>
      </c>
    </row>
    <row r="123" spans="1:7" ht="12.75">
      <c r="A123" t="str">
        <f ca="1">IFERROR(__xludf.DUMMYFUNCTION("""COMPUTED_VALUE"""),"T121")</f>
        <v>T121</v>
      </c>
      <c r="B123" t="str">
        <f ca="1">IFERROR(__xludf.DUMMYFUNCTION("""COMPUTED_VALUE"""),"T136")</f>
        <v>T136</v>
      </c>
      <c r="C123" t="str">
        <f ca="1">IFERROR(__xludf.DUMMYFUNCTION("""COMPUTED_VALUE"""),"Kevin Kisner")</f>
        <v>Kevin Kisner</v>
      </c>
      <c r="D123">
        <f ca="1">IFERROR(__xludf.DUMMYFUNCTION("""COMPUTED_VALUE"""),10)</f>
        <v>10</v>
      </c>
      <c r="E123">
        <f ca="1">IFERROR(__xludf.DUMMYFUNCTION("""COMPUTED_VALUE"""),82.35)</f>
        <v>82.35</v>
      </c>
      <c r="F123">
        <f ca="1">IFERROR(__xludf.DUMMYFUNCTION("""COMPUTED_VALUE"""),112)</f>
        <v>112</v>
      </c>
      <c r="G123">
        <f ca="1">IFERROR(__xludf.DUMMYFUNCTION("""COMPUTED_VALUE"""),136)</f>
        <v>136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IFERROR(__xludf.DUMMYFUNCTION("""COMPUTED_VALUE"""),76)</f>
        <v>76</v>
      </c>
      <c r="C124" t="str">
        <f ca="1">IFERROR(__xludf.DUMMYFUNCTION("""COMPUTED_VALUE"""),"Sungjae Im")</f>
        <v>Sungjae Im</v>
      </c>
      <c r="D124">
        <f ca="1">IFERROR(__xludf.DUMMYFUNCTION("""COMPUTED_VALUE"""),24)</f>
        <v>24</v>
      </c>
      <c r="E124">
        <f ca="1">IFERROR(__xludf.DUMMYFUNCTION("""COMPUTED_VALUE"""),82.32)</f>
        <v>82.32</v>
      </c>
      <c r="F124">
        <f ca="1">IFERROR(__xludf.DUMMYFUNCTION("""COMPUTED_VALUE"""),270)</f>
        <v>270</v>
      </c>
      <c r="G124">
        <f ca="1">IFERROR(__xludf.DUMMYFUNCTION("""COMPUTED_VALUE"""),328)</f>
        <v>328</v>
      </c>
    </row>
    <row r="125" spans="1:7" ht="12.75">
      <c r="A125">
        <f ca="1">IFERROR(__xludf.DUMMYFUNCTION("""COMPUTED_VALUE"""),124)</f>
        <v>124</v>
      </c>
      <c r="B125" t="str">
        <f ca="1">IFERROR(__xludf.DUMMYFUNCTION("""COMPUTED_VALUE"""),"T126")</f>
        <v>T126</v>
      </c>
      <c r="C125" t="str">
        <f ca="1">IFERROR(__xludf.DUMMYFUNCTION("""COMPUTED_VALUE"""),"Harold Varner III")</f>
        <v>Harold Varner III</v>
      </c>
      <c r="D125">
        <f ca="1">IFERROR(__xludf.DUMMYFUNCTION("""COMPUTED_VALUE"""),14)</f>
        <v>14</v>
      </c>
      <c r="E125">
        <f ca="1">IFERROR(__xludf.DUMMYFUNCTION("""COMPUTED_VALUE"""),82.29)</f>
        <v>82.29</v>
      </c>
      <c r="F125">
        <f ca="1">IFERROR(__xludf.DUMMYFUNCTION("""COMPUTED_VALUE"""),158)</f>
        <v>158</v>
      </c>
      <c r="G125">
        <f ca="1">IFERROR(__xludf.DUMMYFUNCTION("""COMPUTED_VALUE"""),192)</f>
        <v>192</v>
      </c>
    </row>
    <row r="126" spans="1:7" ht="12.75">
      <c r="A126">
        <f ca="1">IFERROR(__xludf.DUMMYFUNCTION("""COMPUTED_VALUE"""),125)</f>
        <v>125</v>
      </c>
      <c r="B126" t="str">
        <f ca="1">IFERROR(__xludf.DUMMYFUNCTION("""COMPUTED_VALUE"""),"T141")</f>
        <v>T141</v>
      </c>
      <c r="C126" t="str">
        <f ca="1">IFERROR(__xludf.DUMMYFUNCTION("""COMPUTED_VALUE"""),"Aaron Wise")</f>
        <v>Aaron Wise</v>
      </c>
      <c r="D126">
        <f ca="1">IFERROR(__xludf.DUMMYFUNCTION("""COMPUTED_VALUE"""),16)</f>
        <v>16</v>
      </c>
      <c r="E126">
        <f ca="1">IFERROR(__xludf.DUMMYFUNCTION("""COMPUTED_VALUE"""),82.27)</f>
        <v>82.27</v>
      </c>
      <c r="F126">
        <f ca="1">IFERROR(__xludf.DUMMYFUNCTION("""COMPUTED_VALUE"""),181)</f>
        <v>181</v>
      </c>
      <c r="G126">
        <f ca="1">IFERROR(__xludf.DUMMYFUNCTION("""COMPUTED_VALUE"""),220)</f>
        <v>220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IFERROR(__xludf.DUMMYFUNCTION("""COMPUTED_VALUE"""),156)</f>
        <v>156</v>
      </c>
      <c r="C127" t="str">
        <f ca="1">IFERROR(__xludf.DUMMYFUNCTION("""COMPUTED_VALUE"""),"Charley Hoffman")</f>
        <v>Charley Hoffman</v>
      </c>
      <c r="D127">
        <f ca="1">IFERROR(__xludf.DUMMYFUNCTION("""COMPUTED_VALUE"""),20)</f>
        <v>20</v>
      </c>
      <c r="E127">
        <f ca="1">IFERROR(__xludf.DUMMYFUNCTION("""COMPUTED_VALUE"""),82.25)</f>
        <v>82.25</v>
      </c>
      <c r="F127">
        <f ca="1">IFERROR(__xludf.DUMMYFUNCTION("""COMPUTED_VALUE"""),227)</f>
        <v>227</v>
      </c>
      <c r="G127">
        <f ca="1">IFERROR(__xludf.DUMMYFUNCTION("""COMPUTED_VALUE"""),276)</f>
        <v>276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IFERROR(__xludf.DUMMYFUNCTION("""COMPUTED_VALUE"""),"T61")</f>
        <v>T61</v>
      </c>
      <c r="C128" t="str">
        <f ca="1">IFERROR(__xludf.DUMMYFUNCTION("""COMPUTED_VALUE"""),"Henrik Stenson")</f>
        <v>Henrik Stenson</v>
      </c>
      <c r="D128">
        <f ca="1">IFERROR(__xludf.DUMMYFUNCTION("""COMPUTED_VALUE"""),11)</f>
        <v>11</v>
      </c>
      <c r="E128">
        <f ca="1">IFERROR(__xludf.DUMMYFUNCTION("""COMPUTED_VALUE"""),82.24)</f>
        <v>82.24</v>
      </c>
      <c r="F128">
        <f ca="1">IFERROR(__xludf.DUMMYFUNCTION("""COMPUTED_VALUE"""),125)</f>
        <v>125</v>
      </c>
      <c r="G128">
        <f ca="1">IFERROR(__xludf.DUMMYFUNCTION("""COMPUTED_VALUE"""),152)</f>
        <v>152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IFERROR(__xludf.DUMMYFUNCTION("""COMPUTED_VALUE"""),"T141")</f>
        <v>T141</v>
      </c>
      <c r="C129" t="str">
        <f ca="1">IFERROR(__xludf.DUMMYFUNCTION("""COMPUTED_VALUE"""),"Arjun Atwal")</f>
        <v>Arjun Atwal</v>
      </c>
      <c r="D129">
        <f ca="1">IFERROR(__xludf.DUMMYFUNCTION("""COMPUTED_VALUE"""),6)</f>
        <v>6</v>
      </c>
      <c r="E129">
        <f ca="1">IFERROR(__xludf.DUMMYFUNCTION("""COMPUTED_VALUE"""),82.14)</f>
        <v>82.14</v>
      </c>
      <c r="F129">
        <f ca="1">IFERROR(__xludf.DUMMYFUNCTION("""COMPUTED_VALUE"""),69)</f>
        <v>69</v>
      </c>
      <c r="G129">
        <f ca="1">IFERROR(__xludf.DUMMYFUNCTION("""COMPUTED_VALUE"""),84)</f>
        <v>84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IFERROR(__xludf.DUMMYFUNCTION("""COMPUTED_VALUE"""),"T141")</f>
        <v>T141</v>
      </c>
      <c r="C130" t="str">
        <f ca="1">IFERROR(__xludf.DUMMYFUNCTION("""COMPUTED_VALUE"""),"John Senden")</f>
        <v>John Senden</v>
      </c>
      <c r="D130">
        <f ca="1">IFERROR(__xludf.DUMMYFUNCTION("""COMPUTED_VALUE"""),8)</f>
        <v>8</v>
      </c>
      <c r="E130">
        <f ca="1">IFERROR(__xludf.DUMMYFUNCTION("""COMPUTED_VALUE"""),82.14)</f>
        <v>82.14</v>
      </c>
      <c r="F130">
        <f ca="1">IFERROR(__xludf.DUMMYFUNCTION("""COMPUTED_VALUE"""),92)</f>
        <v>92</v>
      </c>
      <c r="G130">
        <f ca="1">IFERROR(__xludf.DUMMYFUNCTION("""COMPUTED_VALUE"""),112)</f>
        <v>112</v>
      </c>
    </row>
    <row r="131" spans="1:7" ht="12.75">
      <c r="A131" t="str">
        <f ca="1">IFERROR(__xludf.DUMMYFUNCTION("""COMPUTED_VALUE"""),"T128")</f>
        <v>T128</v>
      </c>
      <c r="B131" t="str">
        <f ca="1">IFERROR(__xludf.DUMMYFUNCTION("""COMPUTED_VALUE"""),"T141")</f>
        <v>T141</v>
      </c>
      <c r="C131" t="str">
        <f ca="1">IFERROR(__xludf.DUMMYFUNCTION("""COMPUTED_VALUE"""),"J.B. Holmes")</f>
        <v>J.B. Holmes</v>
      </c>
      <c r="D131">
        <f ca="1">IFERROR(__xludf.DUMMYFUNCTION("""COMPUTED_VALUE"""),10)</f>
        <v>10</v>
      </c>
      <c r="E131">
        <f ca="1">IFERROR(__xludf.DUMMYFUNCTION("""COMPUTED_VALUE"""),82.14)</f>
        <v>82.14</v>
      </c>
      <c r="F131">
        <f ca="1">IFERROR(__xludf.DUMMYFUNCTION("""COMPUTED_VALUE"""),115)</f>
        <v>115</v>
      </c>
      <c r="G131">
        <f ca="1">IFERROR(__xludf.DUMMYFUNCTION("""COMPUTED_VALUE"""),140)</f>
        <v>140</v>
      </c>
    </row>
    <row r="132" spans="1:7" ht="12.75">
      <c r="A132" t="str">
        <f ca="1">IFERROR(__xludf.DUMMYFUNCTION("""COMPUTED_VALUE"""),"T128")</f>
        <v>T128</v>
      </c>
      <c r="B132" t="str">
        <f ca="1">IFERROR(__xludf.DUMMYFUNCTION("""COMPUTED_VALUE"""),"T141")</f>
        <v>T141</v>
      </c>
      <c r="C132" t="str">
        <f ca="1">IFERROR(__xludf.DUMMYFUNCTION("""COMPUTED_VALUE"""),"Jay McLuen")</f>
        <v>Jay McLuen</v>
      </c>
      <c r="D132">
        <f ca="1">IFERROR(__xludf.DUMMYFUNCTION("""COMPUTED_VALUE"""),4)</f>
        <v>4</v>
      </c>
      <c r="E132">
        <f ca="1">IFERROR(__xludf.DUMMYFUNCTION("""COMPUTED_VALUE"""),82.14)</f>
        <v>82.14</v>
      </c>
      <c r="F132">
        <f ca="1">IFERROR(__xludf.DUMMYFUNCTION("""COMPUTED_VALUE"""),46)</f>
        <v>46</v>
      </c>
      <c r="G132">
        <f ca="1">IFERROR(__xludf.DUMMYFUNCTION("""COMPUTED_VALUE"""),56)</f>
        <v>56</v>
      </c>
    </row>
    <row r="133" spans="1:7" ht="12.75">
      <c r="A133" t="str">
        <f ca="1">IFERROR(__xludf.DUMMYFUNCTION("""COMPUTED_VALUE"""),"T128")</f>
        <v>T128</v>
      </c>
      <c r="B133" t="str">
        <f ca="1">IFERROR(__xludf.DUMMYFUNCTION("""COMPUTED_VALUE"""),"T141")</f>
        <v>T141</v>
      </c>
      <c r="C133" t="str">
        <f ca="1">IFERROR(__xludf.DUMMYFUNCTION("""COMPUTED_VALUE"""),"Chris Stroud")</f>
        <v>Chris Stroud</v>
      </c>
      <c r="D133">
        <f ca="1">IFERROR(__xludf.DUMMYFUNCTION("""COMPUTED_VALUE"""),6)</f>
        <v>6</v>
      </c>
      <c r="E133">
        <f ca="1">IFERROR(__xludf.DUMMYFUNCTION("""COMPUTED_VALUE"""),82.14)</f>
        <v>82.14</v>
      </c>
      <c r="F133">
        <f ca="1">IFERROR(__xludf.DUMMYFUNCTION("""COMPUTED_VALUE"""),69)</f>
        <v>69</v>
      </c>
      <c r="G133">
        <f ca="1">IFERROR(__xludf.DUMMYFUNCTION("""COMPUTED_VALUE"""),84)</f>
        <v>84</v>
      </c>
    </row>
    <row r="134" spans="1:7" ht="12.75">
      <c r="A134" t="str">
        <f ca="1">IFERROR(__xludf.DUMMYFUNCTION("""COMPUTED_VALUE"""),"T128")</f>
        <v>T128</v>
      </c>
      <c r="B134" t="str">
        <f ca="1">IFERROR(__xludf.DUMMYFUNCTION("""COMPUTED_VALUE"""),"T141")</f>
        <v>T141</v>
      </c>
      <c r="C134" t="str">
        <f ca="1">IFERROR(__xludf.DUMMYFUNCTION("""COMPUTED_VALUE"""),"Robert Streb")</f>
        <v>Robert Streb</v>
      </c>
      <c r="D134">
        <f ca="1">IFERROR(__xludf.DUMMYFUNCTION("""COMPUTED_VALUE"""),12)</f>
        <v>12</v>
      </c>
      <c r="E134">
        <f ca="1">IFERROR(__xludf.DUMMYFUNCTION("""COMPUTED_VALUE"""),82.14)</f>
        <v>82.14</v>
      </c>
      <c r="F134">
        <f ca="1">IFERROR(__xludf.DUMMYFUNCTION("""COMPUTED_VALUE"""),138)</f>
        <v>138</v>
      </c>
      <c r="G134">
        <f ca="1">IFERROR(__xludf.DUMMYFUNCTION("""COMPUTED_VALUE"""),168)</f>
        <v>168</v>
      </c>
    </row>
    <row r="135" spans="1:7" ht="12.75">
      <c r="A135">
        <f ca="1">IFERROR(__xludf.DUMMYFUNCTION("""COMPUTED_VALUE"""),134)</f>
        <v>134</v>
      </c>
      <c r="B135" t="str">
        <f ca="1">IFERROR(__xludf.DUMMYFUNCTION("""COMPUTED_VALUE"""),"T95")</f>
        <v>T95</v>
      </c>
      <c r="C135" t="str">
        <f ca="1">IFERROR(__xludf.DUMMYFUNCTION("""COMPUTED_VALUE"""),"Kevin Streelman")</f>
        <v>Kevin Streelman</v>
      </c>
      <c r="D135">
        <f ca="1">IFERROR(__xludf.DUMMYFUNCTION("""COMPUTED_VALUE"""),18)</f>
        <v>18</v>
      </c>
      <c r="E135">
        <f ca="1">IFERROR(__xludf.DUMMYFUNCTION("""COMPUTED_VALUE"""),82.11)</f>
        <v>82.11</v>
      </c>
      <c r="F135">
        <f ca="1">IFERROR(__xludf.DUMMYFUNCTION("""COMPUTED_VALUE"""),202)</f>
        <v>202</v>
      </c>
      <c r="G135">
        <f ca="1">IFERROR(__xludf.DUMMYFUNCTION("""COMPUTED_VALUE"""),246)</f>
        <v>246</v>
      </c>
    </row>
    <row r="136" spans="1:7" ht="12.75">
      <c r="A136">
        <f ca="1">IFERROR(__xludf.DUMMYFUNCTION("""COMPUTED_VALUE"""),135)</f>
        <v>135</v>
      </c>
      <c r="B136" t="str">
        <f ca="1">IFERROR(__xludf.DUMMYFUNCTION("""COMPUTED_VALUE"""),"T105")</f>
        <v>T105</v>
      </c>
      <c r="C136" t="str">
        <f ca="1">IFERROR(__xludf.DUMMYFUNCTION("""COMPUTED_VALUE"""),"Sepp Straka")</f>
        <v>Sepp Straka</v>
      </c>
      <c r="D136">
        <f ca="1">IFERROR(__xludf.DUMMYFUNCTION("""COMPUTED_VALUE"""),22)</f>
        <v>22</v>
      </c>
      <c r="E136">
        <f ca="1">IFERROR(__xludf.DUMMYFUNCTION("""COMPUTED_VALUE"""),81.91)</f>
        <v>81.91</v>
      </c>
      <c r="F136">
        <f ca="1">IFERROR(__xludf.DUMMYFUNCTION("""COMPUTED_VALUE"""),249)</f>
        <v>249</v>
      </c>
      <c r="G136">
        <f ca="1">IFERROR(__xludf.DUMMYFUNCTION("""COMPUTED_VALUE"""),304)</f>
        <v>304</v>
      </c>
    </row>
    <row r="137" spans="1:7" ht="12.75">
      <c r="A137">
        <f ca="1">IFERROR(__xludf.DUMMYFUNCTION("""COMPUTED_VALUE"""),136)</f>
        <v>136</v>
      </c>
      <c r="B137" t="str">
        <f ca="1">IFERROR(__xludf.DUMMYFUNCTION("""COMPUTED_VALUE"""),"T123")</f>
        <v>T123</v>
      </c>
      <c r="C137" t="str">
        <f ca="1">IFERROR(__xludf.DUMMYFUNCTION("""COMPUTED_VALUE"""),"Grayson Murray")</f>
        <v>Grayson Murray</v>
      </c>
      <c r="D137">
        <f ca="1">IFERROR(__xludf.DUMMYFUNCTION("""COMPUTED_VALUE"""),10)</f>
        <v>10</v>
      </c>
      <c r="E137">
        <f ca="1">IFERROR(__xludf.DUMMYFUNCTION("""COMPUTED_VALUE"""),81.88)</f>
        <v>81.88</v>
      </c>
      <c r="F137">
        <f ca="1">IFERROR(__xludf.DUMMYFUNCTION("""COMPUTED_VALUE"""),113)</f>
        <v>113</v>
      </c>
      <c r="G137">
        <f ca="1">IFERROR(__xludf.DUMMYFUNCTION("""COMPUTED_VALUE"""),138)</f>
        <v>138</v>
      </c>
    </row>
    <row r="138" spans="1:7" ht="12.75">
      <c r="A138">
        <f ca="1">IFERROR(__xludf.DUMMYFUNCTION("""COMPUTED_VALUE"""),137)</f>
        <v>137</v>
      </c>
      <c r="B138" t="str">
        <f ca="1">IFERROR(__xludf.DUMMYFUNCTION("""COMPUTED_VALUE"""),"T136")</f>
        <v>T136</v>
      </c>
      <c r="C138" t="str">
        <f ca="1">IFERROR(__xludf.DUMMYFUNCTION("""COMPUTED_VALUE"""),"Andrew Putnam")</f>
        <v>Andrew Putnam</v>
      </c>
      <c r="D138">
        <f ca="1">IFERROR(__xludf.DUMMYFUNCTION("""COMPUTED_VALUE"""),19)</f>
        <v>19</v>
      </c>
      <c r="E138">
        <f ca="1">IFERROR(__xludf.DUMMYFUNCTION("""COMPUTED_VALUE"""),81.82)</f>
        <v>81.819999999999993</v>
      </c>
      <c r="F138">
        <f ca="1">IFERROR(__xludf.DUMMYFUNCTION("""COMPUTED_VALUE"""),216)</f>
        <v>216</v>
      </c>
      <c r="G138">
        <f ca="1">IFERROR(__xludf.DUMMYFUNCTION("""COMPUTED_VALUE"""),264)</f>
        <v>264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IFERROR(__xludf.DUMMYFUNCTION("""COMPUTED_VALUE"""),152)</f>
        <v>152</v>
      </c>
      <c r="C139" t="str">
        <f ca="1">IFERROR(__xludf.DUMMYFUNCTION("""COMPUTED_VALUE"""),"Paul Casey")</f>
        <v>Paul Casey</v>
      </c>
      <c r="D139">
        <f ca="1">IFERROR(__xludf.DUMMYFUNCTION("""COMPUTED_VALUE"""),14)</f>
        <v>14</v>
      </c>
      <c r="E139">
        <f ca="1">IFERROR(__xludf.DUMMYFUNCTION("""COMPUTED_VALUE"""),81.77)</f>
        <v>81.77</v>
      </c>
      <c r="F139">
        <f ca="1">IFERROR(__xludf.DUMMYFUNCTION("""COMPUTED_VALUE"""),157)</f>
        <v>157</v>
      </c>
      <c r="G139">
        <f ca="1">IFERROR(__xludf.DUMMYFUNCTION("""COMPUTED_VALUE"""),192)</f>
        <v>192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IFERROR(__xludf.DUMMYFUNCTION("""COMPUTED_VALUE"""),"T154")</f>
        <v>T154</v>
      </c>
      <c r="C140" t="str">
        <f ca="1">IFERROR(__xludf.DUMMYFUNCTION("""COMPUTED_VALUE"""),"Nick Taylor")</f>
        <v>Nick Taylor</v>
      </c>
      <c r="D140">
        <f ca="1">IFERROR(__xludf.DUMMYFUNCTION("""COMPUTED_VALUE"""),12)</f>
        <v>12</v>
      </c>
      <c r="E140">
        <f ca="1">IFERROR(__xludf.DUMMYFUNCTION("""COMPUTED_VALUE"""),81.71)</f>
        <v>81.709999999999994</v>
      </c>
      <c r="F140">
        <f ca="1">IFERROR(__xludf.DUMMYFUNCTION("""COMPUTED_VALUE"""),134)</f>
        <v>134</v>
      </c>
      <c r="G140">
        <f ca="1">IFERROR(__xludf.DUMMYFUNCTION("""COMPUTED_VALUE"""),164)</f>
        <v>164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IFERROR(__xludf.DUMMYFUNCTION("""COMPUTED_VALUE"""),"T154")</f>
        <v>T154</v>
      </c>
      <c r="C141" t="str">
        <f ca="1">IFERROR(__xludf.DUMMYFUNCTION("""COMPUTED_VALUE"""),"Cameron Champ")</f>
        <v>Cameron Champ</v>
      </c>
      <c r="D141">
        <f ca="1">IFERROR(__xludf.DUMMYFUNCTION("""COMPUTED_VALUE"""),12)</f>
        <v>12</v>
      </c>
      <c r="E141">
        <f ca="1">IFERROR(__xludf.DUMMYFUNCTION("""COMPUTED_VALUE"""),81.71)</f>
        <v>81.709999999999994</v>
      </c>
      <c r="F141">
        <f ca="1">IFERROR(__xludf.DUMMYFUNCTION("""COMPUTED_VALUE"""),134)</f>
        <v>134</v>
      </c>
      <c r="G141">
        <f ca="1">IFERROR(__xludf.DUMMYFUNCTION("""COMPUTED_VALUE"""),164)</f>
        <v>164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IFERROR(__xludf.DUMMYFUNCTION("""COMPUTED_VALUE"""),153)</f>
        <v>153</v>
      </c>
      <c r="C142" t="str">
        <f ca="1">IFERROR(__xludf.DUMMYFUNCTION("""COMPUTED_VALUE"""),"Si Woo Kim")</f>
        <v>Si Woo Kim</v>
      </c>
      <c r="D142">
        <f ca="1">IFERROR(__xludf.DUMMYFUNCTION("""COMPUTED_VALUE"""),20)</f>
        <v>20</v>
      </c>
      <c r="E142">
        <f ca="1">IFERROR(__xludf.DUMMYFUNCTION("""COMPUTED_VALUE"""),81.65)</f>
        <v>81.650000000000006</v>
      </c>
      <c r="F142">
        <f ca="1">IFERROR(__xludf.DUMMYFUNCTION("""COMPUTED_VALUE"""),227)</f>
        <v>227</v>
      </c>
      <c r="G142">
        <f ca="1">IFERROR(__xludf.DUMMYFUNCTION("""COMPUTED_VALUE"""),278)</f>
        <v>278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IFERROR(__xludf.DUMMYFUNCTION("""COMPUTED_VALUE"""),94)</f>
        <v>94</v>
      </c>
      <c r="C143" t="str">
        <f ca="1">IFERROR(__xludf.DUMMYFUNCTION("""COMPUTED_VALUE"""),"Andrew Landry")</f>
        <v>Andrew Landry</v>
      </c>
      <c r="D143">
        <f ca="1">IFERROR(__xludf.DUMMYFUNCTION("""COMPUTED_VALUE"""),14)</f>
        <v>14</v>
      </c>
      <c r="E143">
        <f ca="1">IFERROR(__xludf.DUMMYFUNCTION("""COMPUTED_VALUE"""),81.58)</f>
        <v>81.58</v>
      </c>
      <c r="F143">
        <f ca="1">IFERROR(__xludf.DUMMYFUNCTION("""COMPUTED_VALUE"""),155)</f>
        <v>155</v>
      </c>
      <c r="G143">
        <f ca="1">IFERROR(__xludf.DUMMYFUNCTION("""COMPUTED_VALUE"""),190)</f>
        <v>190</v>
      </c>
    </row>
    <row r="144" spans="1:7" ht="12.75">
      <c r="A144">
        <f ca="1">IFERROR(__xludf.DUMMYFUNCTION("""COMPUTED_VALUE"""),143)</f>
        <v>143</v>
      </c>
      <c r="B144" t="str">
        <f ca="1">IFERROR(__xludf.DUMMYFUNCTION("""COMPUTED_VALUE"""),"T132")</f>
        <v>T132</v>
      </c>
      <c r="C144" t="str">
        <f ca="1">IFERROR(__xludf.DUMMYFUNCTION("""COMPUTED_VALUE"""),"Wyndham Clark")</f>
        <v>Wyndham Clark</v>
      </c>
      <c r="D144">
        <f ca="1">IFERROR(__xludf.DUMMYFUNCTION("""COMPUTED_VALUE"""),16)</f>
        <v>16</v>
      </c>
      <c r="E144">
        <f ca="1">IFERROR(__xludf.DUMMYFUNCTION("""COMPUTED_VALUE"""),81.53)</f>
        <v>81.53</v>
      </c>
      <c r="F144">
        <f ca="1">IFERROR(__xludf.DUMMYFUNCTION("""COMPUTED_VALUE"""),181)</f>
        <v>181</v>
      </c>
      <c r="G144">
        <f ca="1">IFERROR(__xludf.DUMMYFUNCTION("""COMPUTED_VALUE"""),222)</f>
        <v>222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IFERROR(__xludf.DUMMYFUNCTION("""COMPUTED_VALUE"""),"T13")</f>
        <v>T13</v>
      </c>
      <c r="C145" t="str">
        <f ca="1">IFERROR(__xludf.DUMMYFUNCTION("""COMPUTED_VALUE"""),"Isaiah Salinda")</f>
        <v>Isaiah Salinda</v>
      </c>
      <c r="D145">
        <f ca="1">IFERROR(__xludf.DUMMYFUNCTION("""COMPUTED_VALUE"""),8)</f>
        <v>8</v>
      </c>
      <c r="E145">
        <f ca="1">IFERROR(__xludf.DUMMYFUNCTION("""COMPUTED_VALUE"""),81.48)</f>
        <v>81.48</v>
      </c>
      <c r="F145">
        <f ca="1">IFERROR(__xludf.DUMMYFUNCTION("""COMPUTED_VALUE"""),88)</f>
        <v>88</v>
      </c>
      <c r="G145">
        <f ca="1">IFERROR(__xludf.DUMMYFUNCTION("""COMPUTED_VALUE"""),108)</f>
        <v>108</v>
      </c>
    </row>
    <row r="146" spans="1:7" ht="12.75">
      <c r="A146">
        <f ca="1">IFERROR(__xludf.DUMMYFUNCTION("""COMPUTED_VALUE"""),145)</f>
        <v>145</v>
      </c>
      <c r="B146" t="str">
        <f ca="1">IFERROR(__xludf.DUMMYFUNCTION("""COMPUTED_VALUE"""),"T88")</f>
        <v>T88</v>
      </c>
      <c r="C146" t="str">
        <f ca="1">IFERROR(__xludf.DUMMYFUNCTION("""COMPUTED_VALUE"""),"Kelly Kraft")</f>
        <v>Kelly Kraft</v>
      </c>
      <c r="D146">
        <f ca="1">IFERROR(__xludf.DUMMYFUNCTION("""COMPUTED_VALUE"""),14)</f>
        <v>14</v>
      </c>
      <c r="E146">
        <f ca="1">IFERROR(__xludf.DUMMYFUNCTION("""COMPUTED_VALUE"""),81.44)</f>
        <v>81.44</v>
      </c>
      <c r="F146">
        <f ca="1">IFERROR(__xludf.DUMMYFUNCTION("""COMPUTED_VALUE"""),158)</f>
        <v>158</v>
      </c>
      <c r="G146">
        <f ca="1">IFERROR(__xludf.DUMMYFUNCTION("""COMPUTED_VALUE"""),194)</f>
        <v>194</v>
      </c>
    </row>
    <row r="147" spans="1:7" ht="12.75">
      <c r="A147" t="str">
        <f ca="1">IFERROR(__xludf.DUMMYFUNCTION("""COMPUTED_VALUE"""),"T146")</f>
        <v>T146</v>
      </c>
      <c r="B147" t="str">
        <f ca="1">IFERROR(__xludf.DUMMYFUNCTION("""COMPUTED_VALUE"""),"T161")</f>
        <v>T161</v>
      </c>
      <c r="C147" t="str">
        <f ca="1">IFERROR(__xludf.DUMMYFUNCTION("""COMPUTED_VALUE"""),"Bryson DeChambeau")</f>
        <v>Bryson DeChambeau</v>
      </c>
      <c r="D147">
        <f ca="1">IFERROR(__xludf.DUMMYFUNCTION("""COMPUTED_VALUE"""),8)</f>
        <v>8</v>
      </c>
      <c r="E147">
        <f ca="1">IFERROR(__xludf.DUMMYFUNCTION("""COMPUTED_VALUE"""),81.25)</f>
        <v>81.25</v>
      </c>
      <c r="F147">
        <f ca="1">IFERROR(__xludf.DUMMYFUNCTION("""COMPUTED_VALUE"""),91)</f>
        <v>91</v>
      </c>
      <c r="G147">
        <f ca="1">IFERROR(__xludf.DUMMYFUNCTION("""COMPUTED_VALUE"""),112)</f>
        <v>112</v>
      </c>
    </row>
    <row r="148" spans="1:7" ht="12.75">
      <c r="A148" t="str">
        <f ca="1">IFERROR(__xludf.DUMMYFUNCTION("""COMPUTED_VALUE"""),"T146")</f>
        <v>T146</v>
      </c>
      <c r="B148" t="str">
        <f ca="1">IFERROR(__xludf.DUMMYFUNCTION("""COMPUTED_VALUE"""),"T161")</f>
        <v>T161</v>
      </c>
      <c r="C148" t="str">
        <f ca="1">IFERROR(__xludf.DUMMYFUNCTION("""COMPUTED_VALUE"""),"Brendon Todd")</f>
        <v>Brendon Todd</v>
      </c>
      <c r="D148">
        <f ca="1">IFERROR(__xludf.DUMMYFUNCTION("""COMPUTED_VALUE"""),14)</f>
        <v>14</v>
      </c>
      <c r="E148">
        <f ca="1">IFERROR(__xludf.DUMMYFUNCTION("""COMPUTED_VALUE"""),81.25)</f>
        <v>81.25</v>
      </c>
      <c r="F148">
        <f ca="1">IFERROR(__xludf.DUMMYFUNCTION("""COMPUTED_VALUE"""),156)</f>
        <v>156</v>
      </c>
      <c r="G148">
        <f ca="1">IFERROR(__xludf.DUMMYFUNCTION("""COMPUTED_VALUE"""),192)</f>
        <v>192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IFERROR(__xludf.DUMMYFUNCTION("""COMPUTED_VALUE"""),"T110")</f>
        <v>T110</v>
      </c>
      <c r="C149" t="str">
        <f ca="1">IFERROR(__xludf.DUMMYFUNCTION("""COMPUTED_VALUE"""),"C.T. Pan")</f>
        <v>C.T. Pan</v>
      </c>
      <c r="D149">
        <f ca="1">IFERROR(__xludf.DUMMYFUNCTION("""COMPUTED_VALUE"""),20)</f>
        <v>20</v>
      </c>
      <c r="E149">
        <f ca="1">IFERROR(__xludf.DUMMYFUNCTION("""COMPUTED_VALUE"""),81.16)</f>
        <v>81.16</v>
      </c>
      <c r="F149">
        <f ca="1">IFERROR(__xludf.DUMMYFUNCTION("""COMPUTED_VALUE"""),224)</f>
        <v>224</v>
      </c>
      <c r="G149">
        <f ca="1">IFERROR(__xludf.DUMMYFUNCTION("""COMPUTED_VALUE"""),276)</f>
        <v>276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IFERROR(__xludf.DUMMYFUNCTION("""COMPUTED_VALUE"""),"T169")</f>
        <v>T169</v>
      </c>
      <c r="C150" t="str">
        <f ca="1">IFERROR(__xludf.DUMMYFUNCTION("""COMPUTED_VALUE"""),"Matt Jones")</f>
        <v>Matt Jones</v>
      </c>
      <c r="D150">
        <f ca="1">IFERROR(__xludf.DUMMYFUNCTION("""COMPUTED_VALUE"""),20)</f>
        <v>20</v>
      </c>
      <c r="E150">
        <f ca="1">IFERROR(__xludf.DUMMYFUNCTION("""COMPUTED_VALUE"""),81.16)</f>
        <v>81.16</v>
      </c>
      <c r="F150">
        <f ca="1">IFERROR(__xludf.DUMMYFUNCTION("""COMPUTED_VALUE"""),224)</f>
        <v>224</v>
      </c>
      <c r="G150">
        <f ca="1">IFERROR(__xludf.DUMMYFUNCTION("""COMPUTED_VALUE"""),276)</f>
        <v>276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IFERROR(__xludf.DUMMYFUNCTION("""COMPUTED_VALUE"""),164)</f>
        <v>164</v>
      </c>
      <c r="C151" t="str">
        <f ca="1">IFERROR(__xludf.DUMMYFUNCTION("""COMPUTED_VALUE"""),"Hank Lebioda")</f>
        <v>Hank Lebioda</v>
      </c>
      <c r="D151">
        <f ca="1">IFERROR(__xludf.DUMMYFUNCTION("""COMPUTED_VALUE"""),14)</f>
        <v>14</v>
      </c>
      <c r="E151">
        <f ca="1">IFERROR(__xludf.DUMMYFUNCTION("""COMPUTED_VALUE"""),81.12)</f>
        <v>81.12</v>
      </c>
      <c r="F151">
        <f ca="1">IFERROR(__xludf.DUMMYFUNCTION("""COMPUTED_VALUE"""),159)</f>
        <v>159</v>
      </c>
      <c r="G151">
        <f ca="1">IFERROR(__xludf.DUMMYFUNCTION("""COMPUTED_VALUE"""),196)</f>
        <v>196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IFERROR(__xludf.DUMMYFUNCTION("""COMPUTED_VALUE"""),159)</f>
        <v>159</v>
      </c>
      <c r="C152" t="str">
        <f ca="1">IFERROR(__xludf.DUMMYFUNCTION("""COMPUTED_VALUE"""),"Brian Harman")</f>
        <v>Brian Harman</v>
      </c>
      <c r="D152">
        <f ca="1">IFERROR(__xludf.DUMMYFUNCTION("""COMPUTED_VALUE"""),24)</f>
        <v>24</v>
      </c>
      <c r="E152">
        <f ca="1">IFERROR(__xludf.DUMMYFUNCTION("""COMPUTED_VALUE"""),81.1)</f>
        <v>81.099999999999994</v>
      </c>
      <c r="F152">
        <f ca="1">IFERROR(__xludf.DUMMYFUNCTION("""COMPUTED_VALUE"""),266)</f>
        <v>266</v>
      </c>
      <c r="G152">
        <f ca="1">IFERROR(__xludf.DUMMYFUNCTION("""COMPUTED_VALUE"""),328)</f>
        <v>328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IFERROR(__xludf.DUMMYFUNCTION("""COMPUTED_VALUE"""),86)</f>
        <v>86</v>
      </c>
      <c r="C153" t="str">
        <f ca="1">IFERROR(__xludf.DUMMYFUNCTION("""COMPUTED_VALUE"""),"Scott Harrington")</f>
        <v>Scott Harrington</v>
      </c>
      <c r="D153">
        <f ca="1">IFERROR(__xludf.DUMMYFUNCTION("""COMPUTED_VALUE"""),18)</f>
        <v>18</v>
      </c>
      <c r="E153">
        <f ca="1">IFERROR(__xludf.DUMMYFUNCTION("""COMPUTED_VALUE"""),81.05)</f>
        <v>81.05</v>
      </c>
      <c r="F153">
        <f ca="1">IFERROR(__xludf.DUMMYFUNCTION("""COMPUTED_VALUE"""),201)</f>
        <v>201</v>
      </c>
      <c r="G153">
        <f ca="1">IFERROR(__xludf.DUMMYFUNCTION("""COMPUTED_VALUE"""),248)</f>
        <v>248</v>
      </c>
    </row>
    <row r="154" spans="1:7" ht="12.75">
      <c r="A154" t="str">
        <f ca="1">IFERROR(__xludf.DUMMYFUNCTION("""COMPUTED_VALUE"""),"T153")</f>
        <v>T153</v>
      </c>
      <c r="B154" t="str">
        <f ca="1">IFERROR(__xludf.DUMMYFUNCTION("""COMPUTED_VALUE"""),"T165")</f>
        <v>T165</v>
      </c>
      <c r="C154" t="str">
        <f ca="1">IFERROR(__xludf.DUMMYFUNCTION("""COMPUTED_VALUE"""),"Josh Teater")</f>
        <v>Josh Teater</v>
      </c>
      <c r="D154">
        <f ca="1">IFERROR(__xludf.DUMMYFUNCTION("""COMPUTED_VALUE"""),6)</f>
        <v>6</v>
      </c>
      <c r="E154">
        <f ca="1">IFERROR(__xludf.DUMMYFUNCTION("""COMPUTED_VALUE"""),80.95)</f>
        <v>80.95</v>
      </c>
      <c r="F154">
        <f ca="1">IFERROR(__xludf.DUMMYFUNCTION("""COMPUTED_VALUE"""),68)</f>
        <v>68</v>
      </c>
      <c r="G154">
        <f ca="1">IFERROR(__xludf.DUMMYFUNCTION("""COMPUTED_VALUE"""),84)</f>
        <v>84</v>
      </c>
    </row>
    <row r="155" spans="1:7" ht="12.75">
      <c r="A155" t="str">
        <f ca="1">IFERROR(__xludf.DUMMYFUNCTION("""COMPUTED_VALUE"""),"T153")</f>
        <v>T153</v>
      </c>
      <c r="B155" t="str">
        <f ca="1">IFERROR(__xludf.DUMMYFUNCTION("""COMPUTED_VALUE"""),"T165")</f>
        <v>T165</v>
      </c>
      <c r="C155" t="str">
        <f ca="1">IFERROR(__xludf.DUMMYFUNCTION("""COMPUTED_VALUE"""),"Zack Sucher")</f>
        <v>Zack Sucher</v>
      </c>
      <c r="D155">
        <f ca="1">IFERROR(__xludf.DUMMYFUNCTION("""COMPUTED_VALUE"""),6)</f>
        <v>6</v>
      </c>
      <c r="E155">
        <f ca="1">IFERROR(__xludf.DUMMYFUNCTION("""COMPUTED_VALUE"""),80.95)</f>
        <v>80.95</v>
      </c>
      <c r="F155">
        <f ca="1">IFERROR(__xludf.DUMMYFUNCTION("""COMPUTED_VALUE"""),68)</f>
        <v>68</v>
      </c>
      <c r="G155">
        <f ca="1">IFERROR(__xludf.DUMMYFUNCTION("""COMPUTED_VALUE"""),84)</f>
        <v>84</v>
      </c>
    </row>
    <row r="156" spans="1:7" ht="12.75">
      <c r="A156" t="str">
        <f ca="1">IFERROR(__xludf.DUMMYFUNCTION("""COMPUTED_VALUE"""),"T155")</f>
        <v>T155</v>
      </c>
      <c r="B156">
        <f ca="1">IFERROR(__xludf.DUMMYFUNCTION("""COMPUTED_VALUE"""),168)</f>
        <v>168</v>
      </c>
      <c r="C156" t="str">
        <f ca="1">IFERROR(__xludf.DUMMYFUNCTION("""COMPUTED_VALUE"""),"Patrick Cantlay")</f>
        <v>Patrick Cantlay</v>
      </c>
      <c r="D156">
        <f ca="1">IFERROR(__xludf.DUMMYFUNCTION("""COMPUTED_VALUE"""),16)</f>
        <v>16</v>
      </c>
      <c r="E156">
        <f ca="1">IFERROR(__xludf.DUMMYFUNCTION("""COMPUTED_VALUE"""),80.91)</f>
        <v>80.91</v>
      </c>
      <c r="F156">
        <f ca="1">IFERROR(__xludf.DUMMYFUNCTION("""COMPUTED_VALUE"""),178)</f>
        <v>178</v>
      </c>
      <c r="G156">
        <f ca="1">IFERROR(__xludf.DUMMYFUNCTION("""COMPUTED_VALUE"""),220)</f>
        <v>220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IFERROR(__xludf.DUMMYFUNCTION("""COMPUTED_VALUE"""),"T129")</f>
        <v>T129</v>
      </c>
      <c r="C157" t="str">
        <f ca="1">IFERROR(__xludf.DUMMYFUNCTION("""COMPUTED_VALUE"""),"Brandt Snedeker")</f>
        <v>Brandt Snedeker</v>
      </c>
      <c r="D157">
        <f ca="1">IFERROR(__xludf.DUMMYFUNCTION("""COMPUTED_VALUE"""),16)</f>
        <v>16</v>
      </c>
      <c r="E157">
        <f ca="1">IFERROR(__xludf.DUMMYFUNCTION("""COMPUTED_VALUE"""),80.91)</f>
        <v>80.91</v>
      </c>
      <c r="F157">
        <f ca="1">IFERROR(__xludf.DUMMYFUNCTION("""COMPUTED_VALUE"""),178)</f>
        <v>178</v>
      </c>
      <c r="G157">
        <f ca="1">IFERROR(__xludf.DUMMYFUNCTION("""COMPUTED_VALUE"""),220)</f>
        <v>220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IFERROR(__xludf.DUMMYFUNCTION("""COMPUTED_VALUE"""),"T112")</f>
        <v>T112</v>
      </c>
      <c r="C158" t="str">
        <f ca="1">IFERROR(__xludf.DUMMYFUNCTION("""COMPUTED_VALUE"""),"Fabián Gómez")</f>
        <v>Fabián Gómez</v>
      </c>
      <c r="D158">
        <f ca="1">IFERROR(__xludf.DUMMYFUNCTION("""COMPUTED_VALUE"""),16)</f>
        <v>16</v>
      </c>
      <c r="E158">
        <f ca="1">IFERROR(__xludf.DUMMYFUNCTION("""COMPUTED_VALUE"""),80.91)</f>
        <v>80.91</v>
      </c>
      <c r="F158">
        <f ca="1">IFERROR(__xludf.DUMMYFUNCTION("""COMPUTED_VALUE"""),178)</f>
        <v>178</v>
      </c>
      <c r="G158">
        <f ca="1">IFERROR(__xludf.DUMMYFUNCTION("""COMPUTED_VALUE"""),220)</f>
        <v>220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IFERROR(__xludf.DUMMYFUNCTION("""COMPUTED_VALUE"""),140)</f>
        <v>140</v>
      </c>
      <c r="C159" t="str">
        <f ca="1">IFERROR(__xludf.DUMMYFUNCTION("""COMPUTED_VALUE"""),"Mark Hubbard")</f>
        <v>Mark Hubbard</v>
      </c>
      <c r="D159">
        <f ca="1">IFERROR(__xludf.DUMMYFUNCTION("""COMPUTED_VALUE"""),20)</f>
        <v>20</v>
      </c>
      <c r="E159">
        <f ca="1">IFERROR(__xludf.DUMMYFUNCTION("""COMPUTED_VALUE"""),80.88)</f>
        <v>80.88</v>
      </c>
      <c r="F159">
        <f ca="1">IFERROR(__xludf.DUMMYFUNCTION("""COMPUTED_VALUE"""),220)</f>
        <v>220</v>
      </c>
      <c r="G159">
        <f ca="1">IFERROR(__xludf.DUMMYFUNCTION("""COMPUTED_VALUE"""),272)</f>
        <v>272</v>
      </c>
    </row>
    <row r="160" spans="1:7" ht="12.75">
      <c r="A160">
        <f ca="1">IFERROR(__xludf.DUMMYFUNCTION("""COMPUTED_VALUE"""),159)</f>
        <v>159</v>
      </c>
      <c r="B160" t="str">
        <f ca="1">IFERROR(__xludf.DUMMYFUNCTION("""COMPUTED_VALUE"""),"T141")</f>
        <v>T141</v>
      </c>
      <c r="C160" t="str">
        <f ca="1">IFERROR(__xludf.DUMMYFUNCTION("""COMPUTED_VALUE"""),"Luke List")</f>
        <v>Luke List</v>
      </c>
      <c r="D160">
        <f ca="1">IFERROR(__xludf.DUMMYFUNCTION("""COMPUTED_VALUE"""),18)</f>
        <v>18</v>
      </c>
      <c r="E160">
        <f ca="1">IFERROR(__xludf.DUMMYFUNCTION("""COMPUTED_VALUE"""),80.8)</f>
        <v>80.8</v>
      </c>
      <c r="F160">
        <f ca="1">IFERROR(__xludf.DUMMYFUNCTION("""COMPUTED_VALUE"""),202)</f>
        <v>202</v>
      </c>
      <c r="G160">
        <f ca="1">IFERROR(__xludf.DUMMYFUNCTION("""COMPUTED_VALUE"""),250)</f>
        <v>250</v>
      </c>
    </row>
    <row r="161" spans="1:7" ht="12.75">
      <c r="A161" t="str">
        <f ca="1">IFERROR(__xludf.DUMMYFUNCTION("""COMPUTED_VALUE"""),"T160")</f>
        <v>T160</v>
      </c>
      <c r="B161" t="str">
        <f ca="1">IFERROR(__xludf.DUMMYFUNCTION("""COMPUTED_VALUE"""),"T171")</f>
        <v>T171</v>
      </c>
      <c r="C161" t="str">
        <f ca="1">IFERROR(__xludf.DUMMYFUNCTION("""COMPUTED_VALUE"""),"Kevin Na")</f>
        <v>Kevin Na</v>
      </c>
      <c r="D161">
        <f ca="1">IFERROR(__xludf.DUMMYFUNCTION("""COMPUTED_VALUE"""),14)</f>
        <v>14</v>
      </c>
      <c r="E161">
        <f ca="1">IFERROR(__xludf.DUMMYFUNCTION("""COMPUTED_VALUE"""),80.73)</f>
        <v>80.73</v>
      </c>
      <c r="F161">
        <f ca="1">IFERROR(__xludf.DUMMYFUNCTION("""COMPUTED_VALUE"""),155)</f>
        <v>155</v>
      </c>
      <c r="G161">
        <f ca="1">IFERROR(__xludf.DUMMYFUNCTION("""COMPUTED_VALUE"""),192)</f>
        <v>192</v>
      </c>
    </row>
    <row r="162" spans="1:7" ht="12.75">
      <c r="A162" t="str">
        <f ca="1">IFERROR(__xludf.DUMMYFUNCTION("""COMPUTED_VALUE"""),"T160")</f>
        <v>T160</v>
      </c>
      <c r="B162" t="str">
        <f ca="1">IFERROR(__xludf.DUMMYFUNCTION("""COMPUTED_VALUE"""),"T171")</f>
        <v>T171</v>
      </c>
      <c r="C162" t="str">
        <f ca="1">IFERROR(__xludf.DUMMYFUNCTION("""COMPUTED_VALUE"""),"Rickie Fowler")</f>
        <v>Rickie Fowler</v>
      </c>
      <c r="D162">
        <f ca="1">IFERROR(__xludf.DUMMYFUNCTION("""COMPUTED_VALUE"""),14)</f>
        <v>14</v>
      </c>
      <c r="E162">
        <f ca="1">IFERROR(__xludf.DUMMYFUNCTION("""COMPUTED_VALUE"""),80.73)</f>
        <v>80.73</v>
      </c>
      <c r="F162">
        <f ca="1">IFERROR(__xludf.DUMMYFUNCTION("""COMPUTED_VALUE"""),155)</f>
        <v>155</v>
      </c>
      <c r="G162">
        <f ca="1">IFERROR(__xludf.DUMMYFUNCTION("""COMPUTED_VALUE"""),192)</f>
        <v>192</v>
      </c>
    </row>
    <row r="163" spans="1:7" ht="12.75">
      <c r="A163" t="str">
        <f ca="1">IFERROR(__xludf.DUMMYFUNCTION("""COMPUTED_VALUE"""),"T160")</f>
        <v>T160</v>
      </c>
      <c r="B163" t="str">
        <f ca="1">IFERROR(__xludf.DUMMYFUNCTION("""COMPUTED_VALUE"""),"T171")</f>
        <v>T171</v>
      </c>
      <c r="C163" t="str">
        <f ca="1">IFERROR(__xludf.DUMMYFUNCTION("""COMPUTED_VALUE"""),"Harris English")</f>
        <v>Harris English</v>
      </c>
      <c r="D163">
        <f ca="1">IFERROR(__xludf.DUMMYFUNCTION("""COMPUTED_VALUE"""),14)</f>
        <v>14</v>
      </c>
      <c r="E163">
        <f ca="1">IFERROR(__xludf.DUMMYFUNCTION("""COMPUTED_VALUE"""),80.73)</f>
        <v>80.73</v>
      </c>
      <c r="F163">
        <f ca="1">IFERROR(__xludf.DUMMYFUNCTION("""COMPUTED_VALUE"""),155)</f>
        <v>155</v>
      </c>
      <c r="G163">
        <f ca="1">IFERROR(__xludf.DUMMYFUNCTION("""COMPUTED_VALUE"""),192)</f>
        <v>192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IFERROR(__xludf.DUMMYFUNCTION("""COMPUTED_VALUE"""),176)</f>
        <v>176</v>
      </c>
      <c r="C164" t="str">
        <f ca="1">IFERROR(__xludf.DUMMYFUNCTION("""COMPUTED_VALUE"""),"Jim Herman")</f>
        <v>Jim Herman</v>
      </c>
      <c r="D164">
        <f ca="1">IFERROR(__xludf.DUMMYFUNCTION("""COMPUTED_VALUE"""),12)</f>
        <v>12</v>
      </c>
      <c r="E164">
        <f ca="1">IFERROR(__xludf.DUMMYFUNCTION("""COMPUTED_VALUE"""),80.49)</f>
        <v>80.489999999999995</v>
      </c>
      <c r="F164">
        <f ca="1">IFERROR(__xludf.DUMMYFUNCTION("""COMPUTED_VALUE"""),132)</f>
        <v>132</v>
      </c>
      <c r="G164">
        <f ca="1">IFERROR(__xludf.DUMMYFUNCTION("""COMPUTED_VALUE"""),164)</f>
        <v>164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IFERROR(__xludf.DUMMYFUNCTION("""COMPUTED_VALUE"""),151)</f>
        <v>151</v>
      </c>
      <c r="C165" t="str">
        <f ca="1">IFERROR(__xludf.DUMMYFUNCTION("""COMPUTED_VALUE"""),"Tom Hoge")</f>
        <v>Tom Hoge</v>
      </c>
      <c r="D165">
        <f ca="1">IFERROR(__xludf.DUMMYFUNCTION("""COMPUTED_VALUE"""),22)</f>
        <v>22</v>
      </c>
      <c r="E165">
        <f ca="1">IFERROR(__xludf.DUMMYFUNCTION("""COMPUTED_VALUE"""),80.46)</f>
        <v>80.459999999999994</v>
      </c>
      <c r="F165">
        <f ca="1">IFERROR(__xludf.DUMMYFUNCTION("""COMPUTED_VALUE"""),243)</f>
        <v>243</v>
      </c>
      <c r="G165">
        <f ca="1">IFERROR(__xludf.DUMMYFUNCTION("""COMPUTED_VALUE"""),302)</f>
        <v>302</v>
      </c>
    </row>
    <row r="166" spans="1:7" ht="12.75">
      <c r="A166">
        <f ca="1">IFERROR(__xludf.DUMMYFUNCTION("""COMPUTED_VALUE"""),165)</f>
        <v>165</v>
      </c>
      <c r="B166" t="str">
        <f ca="1">IFERROR(__xludf.DUMMYFUNCTION("""COMPUTED_VALUE"""),"T190")</f>
        <v>T190</v>
      </c>
      <c r="C166" t="str">
        <f ca="1">IFERROR(__xludf.DUMMYFUNCTION("""COMPUTED_VALUE"""),"Jhonattan Vegas")</f>
        <v>Jhonattan Vegas</v>
      </c>
      <c r="D166">
        <f ca="1">IFERROR(__xludf.DUMMYFUNCTION("""COMPUTED_VALUE"""),16)</f>
        <v>16</v>
      </c>
      <c r="E166">
        <f ca="1">IFERROR(__xludf.DUMMYFUNCTION("""COMPUTED_VALUE"""),80.45)</f>
        <v>80.45</v>
      </c>
      <c r="F166">
        <f ca="1">IFERROR(__xludf.DUMMYFUNCTION("""COMPUTED_VALUE"""),177)</f>
        <v>177</v>
      </c>
      <c r="G166">
        <f ca="1">IFERROR(__xludf.DUMMYFUNCTION("""COMPUTED_VALUE"""),220)</f>
        <v>220</v>
      </c>
    </row>
    <row r="167" spans="1:7" ht="12.75">
      <c r="A167">
        <f ca="1">IFERROR(__xludf.DUMMYFUNCTION("""COMPUTED_VALUE"""),166)</f>
        <v>166</v>
      </c>
      <c r="B167" t="str">
        <f ca="1">IFERROR(__xludf.DUMMYFUNCTION("""COMPUTED_VALUE"""),"T157")</f>
        <v>T157</v>
      </c>
      <c r="C167" t="str">
        <f ca="1">IFERROR(__xludf.DUMMYFUNCTION("""COMPUTED_VALUE"""),"Jason Dufner")</f>
        <v>Jason Dufner</v>
      </c>
      <c r="D167">
        <f ca="1">IFERROR(__xludf.DUMMYFUNCTION("""COMPUTED_VALUE"""),14)</f>
        <v>14</v>
      </c>
      <c r="E167">
        <f ca="1">IFERROR(__xludf.DUMMYFUNCTION("""COMPUTED_VALUE"""),80.41)</f>
        <v>80.41</v>
      </c>
      <c r="F167">
        <f ca="1">IFERROR(__xludf.DUMMYFUNCTION("""COMPUTED_VALUE"""),156)</f>
        <v>156</v>
      </c>
      <c r="G167">
        <f ca="1">IFERROR(__xludf.DUMMYFUNCTION("""COMPUTED_VALUE"""),194)</f>
        <v>194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IFERROR(__xludf.DUMMYFUNCTION("""COMPUTED_VALUE"""),"T177")</f>
        <v>T177</v>
      </c>
      <c r="C168" t="str">
        <f ca="1">IFERROR(__xludf.DUMMYFUNCTION("""COMPUTED_VALUE"""),"Aaron Baddeley")</f>
        <v>Aaron Baddeley</v>
      </c>
      <c r="D168">
        <f ca="1">IFERROR(__xludf.DUMMYFUNCTION("""COMPUTED_VALUE"""),8)</f>
        <v>8</v>
      </c>
      <c r="E168">
        <f ca="1">IFERROR(__xludf.DUMMYFUNCTION("""COMPUTED_VALUE"""),80.36)</f>
        <v>80.36</v>
      </c>
      <c r="F168">
        <f ca="1">IFERROR(__xludf.DUMMYFUNCTION("""COMPUTED_VALUE"""),90)</f>
        <v>90</v>
      </c>
      <c r="G168">
        <f ca="1">IFERROR(__xludf.DUMMYFUNCTION("""COMPUTED_VALUE"""),112)</f>
        <v>112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IFERROR(__xludf.DUMMYFUNCTION("""COMPUTED_VALUE"""),180)</f>
        <v>180</v>
      </c>
      <c r="C169" t="str">
        <f ca="1">IFERROR(__xludf.DUMMYFUNCTION("""COMPUTED_VALUE"""),"Sebastián Muñoz")</f>
        <v>Sebastián Muñoz</v>
      </c>
      <c r="D169">
        <f ca="1">IFERROR(__xludf.DUMMYFUNCTION("""COMPUTED_VALUE"""),20)</f>
        <v>20</v>
      </c>
      <c r="E169">
        <f ca="1">IFERROR(__xludf.DUMMYFUNCTION("""COMPUTED_VALUE"""),80.07)</f>
        <v>80.069999999999993</v>
      </c>
      <c r="F169">
        <f ca="1">IFERROR(__xludf.DUMMYFUNCTION("""COMPUTED_VALUE"""),221)</f>
        <v>221</v>
      </c>
      <c r="G169">
        <f ca="1">IFERROR(__xludf.DUMMYFUNCTION("""COMPUTED_VALUE"""),276)</f>
        <v>276</v>
      </c>
    </row>
    <row r="170" spans="1:7" ht="12.75">
      <c r="A170" t="str">
        <f ca="1">IFERROR(__xludf.DUMMYFUNCTION("""COMPUTED_VALUE"""),"T169")</f>
        <v>T169</v>
      </c>
      <c r="B170" t="str">
        <f ca="1">IFERROR(__xludf.DUMMYFUNCTION("""COMPUTED_VALUE"""),"T112")</f>
        <v>T112</v>
      </c>
      <c r="C170" t="str">
        <f ca="1">IFERROR(__xludf.DUMMYFUNCTION("""COMPUTED_VALUE"""),"Cameron Davis")</f>
        <v>Cameron Davis</v>
      </c>
      <c r="D170">
        <f ca="1">IFERROR(__xludf.DUMMYFUNCTION("""COMPUTED_VALUE"""),16)</f>
        <v>16</v>
      </c>
      <c r="E170">
        <f ca="1">IFERROR(__xludf.DUMMYFUNCTION("""COMPUTED_VALUE"""),80)</f>
        <v>80</v>
      </c>
      <c r="F170">
        <f ca="1">IFERROR(__xludf.DUMMYFUNCTION("""COMPUTED_VALUE"""),176)</f>
        <v>176</v>
      </c>
      <c r="G170">
        <f ca="1">IFERROR(__xludf.DUMMYFUNCTION("""COMPUTED_VALUE"""),220)</f>
        <v>220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IFERROR(__xludf.DUMMYFUNCTION("""COMPUTED_VALUE"""),"T181")</f>
        <v>T181</v>
      </c>
      <c r="C171" t="str">
        <f ca="1">IFERROR(__xludf.DUMMYFUNCTION("""COMPUTED_VALUE"""),"Brandon Hagy")</f>
        <v>Brandon Hagy</v>
      </c>
      <c r="D171">
        <f ca="1">IFERROR(__xludf.DUMMYFUNCTION("""COMPUTED_VALUE"""),10)</f>
        <v>10</v>
      </c>
      <c r="E171">
        <f ca="1">IFERROR(__xludf.DUMMYFUNCTION("""COMPUTED_VALUE"""),80)</f>
        <v>80</v>
      </c>
      <c r="F171">
        <f ca="1">IFERROR(__xludf.DUMMYFUNCTION("""COMPUTED_VALUE"""),112)</f>
        <v>112</v>
      </c>
      <c r="G171">
        <f ca="1">IFERROR(__xludf.DUMMYFUNCTION("""COMPUTED_VALUE"""),140)</f>
        <v>140</v>
      </c>
    </row>
    <row r="172" spans="1:7" ht="12.75">
      <c r="A172" t="str">
        <f ca="1">IFERROR(__xludf.DUMMYFUNCTION("""COMPUTED_VALUE"""),"T169")</f>
        <v>T169</v>
      </c>
      <c r="B172">
        <f ca="1">IFERROR(__xludf.DUMMYFUNCTION("""COMPUTED_VALUE"""),185)</f>
        <v>185</v>
      </c>
      <c r="C172" t="str">
        <f ca="1">IFERROR(__xludf.DUMMYFUNCTION("""COMPUTED_VALUE"""),"Adam Long")</f>
        <v>Adam Long</v>
      </c>
      <c r="D172">
        <f ca="1">IFERROR(__xludf.DUMMYFUNCTION("""COMPUTED_VALUE"""),22)</f>
        <v>22</v>
      </c>
      <c r="E172">
        <f ca="1">IFERROR(__xludf.DUMMYFUNCTION("""COMPUTED_VALUE"""),80)</f>
        <v>80</v>
      </c>
      <c r="F172">
        <f ca="1">IFERROR(__xludf.DUMMYFUNCTION("""COMPUTED_VALUE"""),240)</f>
        <v>240</v>
      </c>
      <c r="G172">
        <f ca="1">IFERROR(__xludf.DUMMYFUNCTION("""COMPUTED_VALUE"""),300)</f>
        <v>300</v>
      </c>
    </row>
    <row r="173" spans="1:7" ht="12.75">
      <c r="A173" t="str">
        <f ca="1">IFERROR(__xludf.DUMMYFUNCTION("""COMPUTED_VALUE"""),"T169")</f>
        <v>T169</v>
      </c>
      <c r="B173" t="str">
        <f ca="1">IFERROR(__xludf.DUMMYFUNCTION("""COMPUTED_VALUE"""),"T181")</f>
        <v>T181</v>
      </c>
      <c r="C173" t="str">
        <f ca="1">IFERROR(__xludf.DUMMYFUNCTION("""COMPUTED_VALUE"""),"Cameron Smith")</f>
        <v>Cameron Smith</v>
      </c>
      <c r="D173">
        <f ca="1">IFERROR(__xludf.DUMMYFUNCTION("""COMPUTED_VALUE"""),16)</f>
        <v>16</v>
      </c>
      <c r="E173">
        <f ca="1">IFERROR(__xludf.DUMMYFUNCTION("""COMPUTED_VALUE"""),80)</f>
        <v>80</v>
      </c>
      <c r="F173">
        <f ca="1">IFERROR(__xludf.DUMMYFUNCTION("""COMPUTED_VALUE"""),176)</f>
        <v>176</v>
      </c>
      <c r="G173">
        <f ca="1">IFERROR(__xludf.DUMMYFUNCTION("""COMPUTED_VALUE"""),220)</f>
        <v>220</v>
      </c>
    </row>
    <row r="174" spans="1:7" ht="12.75">
      <c r="A174" t="str">
        <f ca="1">IFERROR(__xludf.DUMMYFUNCTION("""COMPUTED_VALUE"""),"T169")</f>
        <v>T169</v>
      </c>
      <c r="B174" t="str">
        <f ca="1">IFERROR(__xludf.DUMMYFUNCTION("""COMPUTED_VALUE"""),"T141")</f>
        <v>T141</v>
      </c>
      <c r="C174" t="str">
        <f ca="1">IFERROR(__xludf.DUMMYFUNCTION("""COMPUTED_VALUE"""),"Cameron Tringale")</f>
        <v>Cameron Tringale</v>
      </c>
      <c r="D174">
        <f ca="1">IFERROR(__xludf.DUMMYFUNCTION("""COMPUTED_VALUE"""),16)</f>
        <v>16</v>
      </c>
      <c r="E174">
        <f ca="1">IFERROR(__xludf.DUMMYFUNCTION("""COMPUTED_VALUE"""),80)</f>
        <v>80</v>
      </c>
      <c r="F174">
        <f ca="1">IFERROR(__xludf.DUMMYFUNCTION("""COMPUTED_VALUE"""),176)</f>
        <v>176</v>
      </c>
      <c r="G174">
        <f ca="1">IFERROR(__xludf.DUMMYFUNCTION("""COMPUTED_VALUE"""),220)</f>
        <v>220</v>
      </c>
    </row>
    <row r="175" spans="1:7" ht="12.75">
      <c r="A175" t="str">
        <f ca="1">IFERROR(__xludf.DUMMYFUNCTION("""COMPUTED_VALUE"""),"T169")</f>
        <v>T169</v>
      </c>
      <c r="B175" t="str">
        <f ca="1">IFERROR(__xludf.DUMMYFUNCTION("""COMPUTED_VALUE"""),"T181")</f>
        <v>T181</v>
      </c>
      <c r="C175" t="str">
        <f ca="1">IFERROR(__xludf.DUMMYFUNCTION("""COMPUTED_VALUE"""),"Ryan Brehm")</f>
        <v>Ryan Brehm</v>
      </c>
      <c r="D175">
        <f ca="1">IFERROR(__xludf.DUMMYFUNCTION("""COMPUTED_VALUE"""),10)</f>
        <v>10</v>
      </c>
      <c r="E175">
        <f ca="1">IFERROR(__xludf.DUMMYFUNCTION("""COMPUTED_VALUE"""),80)</f>
        <v>80</v>
      </c>
      <c r="F175">
        <f ca="1">IFERROR(__xludf.DUMMYFUNCTION("""COMPUTED_VALUE"""),112)</f>
        <v>112</v>
      </c>
      <c r="G175">
        <f ca="1">IFERROR(__xludf.DUMMYFUNCTION("""COMPUTED_VALUE"""),140)</f>
        <v>140</v>
      </c>
    </row>
    <row r="176" spans="1:7" ht="12.75">
      <c r="A176" t="str">
        <f ca="1">IFERROR(__xludf.DUMMYFUNCTION("""COMPUTED_VALUE"""),"T169")</f>
        <v>T169</v>
      </c>
      <c r="B176" t="str">
        <f ca="1">IFERROR(__xludf.DUMMYFUNCTION("""COMPUTED_VALUE"""),"T141")</f>
        <v>T141</v>
      </c>
      <c r="C176" t="str">
        <f ca="1">IFERROR(__xludf.DUMMYFUNCTION("""COMPUTED_VALUE"""),"Ted Potter, Jr.")</f>
        <v>Ted Potter, Jr.</v>
      </c>
      <c r="D176">
        <f ca="1">IFERROR(__xludf.DUMMYFUNCTION("""COMPUTED_VALUE"""),8)</f>
        <v>8</v>
      </c>
      <c r="E176">
        <f ca="1">IFERROR(__xludf.DUMMYFUNCTION("""COMPUTED_VALUE"""),80)</f>
        <v>80</v>
      </c>
      <c r="F176">
        <f ca="1">IFERROR(__xludf.DUMMYFUNCTION("""COMPUTED_VALUE"""),88)</f>
        <v>88</v>
      </c>
      <c r="G176">
        <f ca="1">IFERROR(__xludf.DUMMYFUNCTION("""COMPUTED_VALUE"""),110)</f>
        <v>110</v>
      </c>
    </row>
    <row r="177" spans="1:7" ht="12.75">
      <c r="A177">
        <f ca="1">IFERROR(__xludf.DUMMYFUNCTION("""COMPUTED_VALUE"""),176)</f>
        <v>176</v>
      </c>
      <c r="B177" t="str">
        <f ca="1">IFERROR(__xludf.DUMMYFUNCTION("""COMPUTED_VALUE"""),"T112")</f>
        <v>T112</v>
      </c>
      <c r="C177" t="str">
        <f ca="1">IFERROR(__xludf.DUMMYFUNCTION("""COMPUTED_VALUE"""),"Keith Mitchell")</f>
        <v>Keith Mitchell</v>
      </c>
      <c r="D177">
        <f ca="1">IFERROR(__xludf.DUMMYFUNCTION("""COMPUTED_VALUE"""),14)</f>
        <v>14</v>
      </c>
      <c r="E177">
        <f ca="1">IFERROR(__xludf.DUMMYFUNCTION("""COMPUTED_VALUE"""),79.9)</f>
        <v>79.900000000000006</v>
      </c>
      <c r="F177">
        <f ca="1">IFERROR(__xludf.DUMMYFUNCTION("""COMPUTED_VALUE"""),155)</f>
        <v>155</v>
      </c>
      <c r="G177">
        <f ca="1">IFERROR(__xludf.DUMMYFUNCTION("""COMPUTED_VALUE"""),194)</f>
        <v>194</v>
      </c>
    </row>
    <row r="178" spans="1:7" ht="12.75">
      <c r="A178">
        <f ca="1">IFERROR(__xludf.DUMMYFUNCTION("""COMPUTED_VALUE"""),177)</f>
        <v>177</v>
      </c>
      <c r="B178" t="str">
        <f ca="1">IFERROR(__xludf.DUMMYFUNCTION("""COMPUTED_VALUE"""),"T165")</f>
        <v>T165</v>
      </c>
      <c r="C178" t="str">
        <f ca="1">IFERROR(__xludf.DUMMYFUNCTION("""COMPUTED_VALUE"""),"Kyoung-Hoon Lee")</f>
        <v>Kyoung-Hoon Lee</v>
      </c>
      <c r="D178">
        <f ca="1">IFERROR(__xludf.DUMMYFUNCTION("""COMPUTED_VALUE"""),20)</f>
        <v>20</v>
      </c>
      <c r="E178">
        <f ca="1">IFERROR(__xludf.DUMMYFUNCTION("""COMPUTED_VALUE"""),79.86)</f>
        <v>79.86</v>
      </c>
      <c r="F178">
        <f ca="1">IFERROR(__xludf.DUMMYFUNCTION("""COMPUTED_VALUE"""),222)</f>
        <v>222</v>
      </c>
      <c r="G178">
        <f ca="1">IFERROR(__xludf.DUMMYFUNCTION("""COMPUTED_VALUE"""),278)</f>
        <v>278</v>
      </c>
    </row>
    <row r="179" spans="1:7" ht="12.75">
      <c r="A179">
        <f ca="1">IFERROR(__xludf.DUMMYFUNCTION("""COMPUTED_VALUE"""),178)</f>
        <v>178</v>
      </c>
      <c r="B179" t="str">
        <f ca="1">IFERROR(__xludf.DUMMYFUNCTION("""COMPUTED_VALUE"""),"T132")</f>
        <v>T132</v>
      </c>
      <c r="C179" t="str">
        <f ca="1">IFERROR(__xludf.DUMMYFUNCTION("""COMPUTED_VALUE"""),"Jamie Lovemark")</f>
        <v>Jamie Lovemark</v>
      </c>
      <c r="D179">
        <f ca="1">IFERROR(__xludf.DUMMYFUNCTION("""COMPUTED_VALUE"""),18)</f>
        <v>18</v>
      </c>
      <c r="E179">
        <f ca="1">IFERROR(__xludf.DUMMYFUNCTION("""COMPUTED_VALUE"""),79.84)</f>
        <v>79.84</v>
      </c>
      <c r="F179">
        <f ca="1">IFERROR(__xludf.DUMMYFUNCTION("""COMPUTED_VALUE"""),198)</f>
        <v>198</v>
      </c>
      <c r="G179">
        <f ca="1">IFERROR(__xludf.DUMMYFUNCTION("""COMPUTED_VALUE"""),248)</f>
        <v>248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IFERROR(__xludf.DUMMYFUNCTION("""COMPUTED_VALUE"""),160)</f>
        <v>160</v>
      </c>
      <c r="C180" t="str">
        <f ca="1">IFERROR(__xludf.DUMMYFUNCTION("""COMPUTED_VALUE"""),"Beau Hossler")</f>
        <v>Beau Hossler</v>
      </c>
      <c r="D180">
        <f ca="1">IFERROR(__xludf.DUMMYFUNCTION("""COMPUTED_VALUE"""),22)</f>
        <v>22</v>
      </c>
      <c r="E180">
        <f ca="1">IFERROR(__xludf.DUMMYFUNCTION("""COMPUTED_VALUE"""),79.74)</f>
        <v>79.739999999999995</v>
      </c>
      <c r="F180">
        <f ca="1">IFERROR(__xludf.DUMMYFUNCTION("""COMPUTED_VALUE"""),244)</f>
        <v>244</v>
      </c>
      <c r="G180">
        <f ca="1">IFERROR(__xludf.DUMMYFUNCTION("""COMPUTED_VALUE"""),306)</f>
        <v>306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IFERROR(__xludf.DUMMYFUNCTION("""COMPUTED_VALUE"""),"T169")</f>
        <v>T169</v>
      </c>
      <c r="C181" t="str">
        <f ca="1">IFERROR(__xludf.DUMMYFUNCTION("""COMPUTED_VALUE"""),"Will Gordon")</f>
        <v>Will Gordon</v>
      </c>
      <c r="D181">
        <f ca="1">IFERROR(__xludf.DUMMYFUNCTION("""COMPUTED_VALUE"""),20)</f>
        <v>20</v>
      </c>
      <c r="E181">
        <f ca="1">IFERROR(__xludf.DUMMYFUNCTION("""COMPUTED_VALUE"""),79.71)</f>
        <v>79.709999999999994</v>
      </c>
      <c r="F181">
        <f ca="1">IFERROR(__xludf.DUMMYFUNCTION("""COMPUTED_VALUE"""),220)</f>
        <v>220</v>
      </c>
      <c r="G181">
        <f ca="1">IFERROR(__xludf.DUMMYFUNCTION("""COMPUTED_VALUE"""),276)</f>
        <v>276</v>
      </c>
    </row>
    <row r="182" spans="1:7" ht="12.75">
      <c r="A182">
        <f ca="1">IFERROR(__xludf.DUMMYFUNCTION("""COMPUTED_VALUE"""),181)</f>
        <v>181</v>
      </c>
      <c r="B182" t="str">
        <f ca="1">IFERROR(__xludf.DUMMYFUNCTION("""COMPUTED_VALUE"""),"T177")</f>
        <v>T177</v>
      </c>
      <c r="C182" t="str">
        <f ca="1">IFERROR(__xludf.DUMMYFUNCTION("""COMPUTED_VALUE"""),"Padraig Harrington")</f>
        <v>Padraig Harrington</v>
      </c>
      <c r="D182">
        <f ca="1">IFERROR(__xludf.DUMMYFUNCTION("""COMPUTED_VALUE"""),8)</f>
        <v>8</v>
      </c>
      <c r="E182">
        <f ca="1">IFERROR(__xludf.DUMMYFUNCTION("""COMPUTED_VALUE"""),79.63)</f>
        <v>79.63</v>
      </c>
      <c r="F182">
        <f ca="1">IFERROR(__xludf.DUMMYFUNCTION("""COMPUTED_VALUE"""),86)</f>
        <v>86</v>
      </c>
      <c r="G182">
        <f ca="1">IFERROR(__xludf.DUMMYFUNCTION("""COMPUTED_VALUE"""),108)</f>
        <v>108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IFERROR(__xludf.DUMMYFUNCTION("""COMPUTED_VALUE"""),"T186")</f>
        <v>T186</v>
      </c>
      <c r="C183" t="str">
        <f ca="1">IFERROR(__xludf.DUMMYFUNCTION("""COMPUTED_VALUE"""),"George McNeill")</f>
        <v>George McNeill</v>
      </c>
      <c r="D183">
        <f ca="1">IFERROR(__xludf.DUMMYFUNCTION("""COMPUTED_VALUE"""),8)</f>
        <v>8</v>
      </c>
      <c r="E183">
        <f ca="1">IFERROR(__xludf.DUMMYFUNCTION("""COMPUTED_VALUE"""),79.46)</f>
        <v>79.459999999999994</v>
      </c>
      <c r="F183">
        <f ca="1">IFERROR(__xludf.DUMMYFUNCTION("""COMPUTED_VALUE"""),89)</f>
        <v>89</v>
      </c>
      <c r="G183">
        <f ca="1">IFERROR(__xludf.DUMMYFUNCTION("""COMPUTED_VALUE"""),112)</f>
        <v>112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IFERROR(__xludf.DUMMYFUNCTION("""COMPUTED_VALUE"""),"T186")</f>
        <v>T186</v>
      </c>
      <c r="C184" t="str">
        <f ca="1">IFERROR(__xludf.DUMMYFUNCTION("""COMPUTED_VALUE"""),"Chesson Hadley")</f>
        <v>Chesson Hadley</v>
      </c>
      <c r="D184">
        <f ca="1">IFERROR(__xludf.DUMMYFUNCTION("""COMPUTED_VALUE"""),16)</f>
        <v>16</v>
      </c>
      <c r="E184">
        <f ca="1">IFERROR(__xludf.DUMMYFUNCTION("""COMPUTED_VALUE"""),79.46)</f>
        <v>79.459999999999994</v>
      </c>
      <c r="F184">
        <f ca="1">IFERROR(__xludf.DUMMYFUNCTION("""COMPUTED_VALUE"""),178)</f>
        <v>178</v>
      </c>
      <c r="G184">
        <f ca="1">IFERROR(__xludf.DUMMYFUNCTION("""COMPUTED_VALUE"""),224)</f>
        <v>224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IFERROR(__xludf.DUMMYFUNCTION("""COMPUTED_VALUE"""),179)</f>
        <v>179</v>
      </c>
      <c r="C185" t="str">
        <f ca="1">IFERROR(__xludf.DUMMYFUNCTION("""COMPUTED_VALUE"""),"Danny Lee")</f>
        <v>Danny Lee</v>
      </c>
      <c r="D185">
        <f ca="1">IFERROR(__xludf.DUMMYFUNCTION("""COMPUTED_VALUE"""),15)</f>
        <v>15</v>
      </c>
      <c r="E185">
        <f ca="1">IFERROR(__xludf.DUMMYFUNCTION("""COMPUTED_VALUE"""),79.41)</f>
        <v>79.41</v>
      </c>
      <c r="F185">
        <f ca="1">IFERROR(__xludf.DUMMYFUNCTION("""COMPUTED_VALUE"""),162)</f>
        <v>162</v>
      </c>
      <c r="G185">
        <f ca="1">IFERROR(__xludf.DUMMYFUNCTION("""COMPUTED_VALUE"""),204)</f>
        <v>204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IFERROR(__xludf.DUMMYFUNCTION("""COMPUTED_VALUE"""),"T161")</f>
        <v>T161</v>
      </c>
      <c r="C186" t="str">
        <f ca="1">IFERROR(__xludf.DUMMYFUNCTION("""COMPUTED_VALUE"""),"Graham DeLaet")</f>
        <v>Graham DeLaet</v>
      </c>
      <c r="D186">
        <f ca="1">IFERROR(__xludf.DUMMYFUNCTION("""COMPUTED_VALUE"""),9)</f>
        <v>9</v>
      </c>
      <c r="E186">
        <f ca="1">IFERROR(__xludf.DUMMYFUNCTION("""COMPUTED_VALUE"""),79.2)</f>
        <v>79.2</v>
      </c>
      <c r="F186">
        <f ca="1">IFERROR(__xludf.DUMMYFUNCTION("""COMPUTED_VALUE"""),99)</f>
        <v>99</v>
      </c>
      <c r="G186">
        <f ca="1">IFERROR(__xludf.DUMMYFUNCTION("""COMPUTED_VALUE"""),125)</f>
        <v>125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IFERROR(__xludf.DUMMYFUNCTION("""COMPUTED_VALUE"""),"T171")</f>
        <v>T171</v>
      </c>
      <c r="C187" t="str">
        <f ca="1">IFERROR(__xludf.DUMMYFUNCTION("""COMPUTED_VALUE"""),"Dylan Frittelli")</f>
        <v>Dylan Frittelli</v>
      </c>
      <c r="D187">
        <f ca="1">IFERROR(__xludf.DUMMYFUNCTION("""COMPUTED_VALUE"""),16)</f>
        <v>16</v>
      </c>
      <c r="E187">
        <f ca="1">IFERROR(__xludf.DUMMYFUNCTION("""COMPUTED_VALUE"""),78.9)</f>
        <v>78.900000000000006</v>
      </c>
      <c r="F187">
        <f ca="1">IFERROR(__xludf.DUMMYFUNCTION("""COMPUTED_VALUE"""),172)</f>
        <v>172</v>
      </c>
      <c r="G187">
        <f ca="1">IFERROR(__xludf.DUMMYFUNCTION("""COMPUTED_VALUE"""),218)</f>
        <v>218</v>
      </c>
    </row>
    <row r="188" spans="1:7" ht="12.75">
      <c r="A188">
        <f ca="1">IFERROR(__xludf.DUMMYFUNCTION("""COMPUTED_VALUE"""),187)</f>
        <v>187</v>
      </c>
      <c r="B188" t="str">
        <f ca="1">IFERROR(__xludf.DUMMYFUNCTION("""COMPUTED_VALUE"""),"T157")</f>
        <v>T157</v>
      </c>
      <c r="C188" t="str">
        <f ca="1">IFERROR(__xludf.DUMMYFUNCTION("""COMPUTED_VALUE"""),"Robby Shelton")</f>
        <v>Robby Shelton</v>
      </c>
      <c r="D188">
        <f ca="1">IFERROR(__xludf.DUMMYFUNCTION("""COMPUTED_VALUE"""),14)</f>
        <v>14</v>
      </c>
      <c r="E188">
        <f ca="1">IFERROR(__xludf.DUMMYFUNCTION("""COMPUTED_VALUE"""),78.87)</f>
        <v>78.87</v>
      </c>
      <c r="F188">
        <f ca="1">IFERROR(__xludf.DUMMYFUNCTION("""COMPUTED_VALUE"""),153)</f>
        <v>153</v>
      </c>
      <c r="G188">
        <f ca="1">IFERROR(__xludf.DUMMYFUNCTION("""COMPUTED_VALUE"""),194)</f>
        <v>194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IFERROR(__xludf.DUMMYFUNCTION("""COMPUTED_VALUE"""),194)</f>
        <v>194</v>
      </c>
      <c r="C189" t="str">
        <f ca="1">IFERROR(__xludf.DUMMYFUNCTION("""COMPUTED_VALUE"""),"Takumi Kanaya")</f>
        <v>Takumi Kanaya</v>
      </c>
      <c r="D189">
        <f ca="1">IFERROR(__xludf.DUMMYFUNCTION("""COMPUTED_VALUE"""),6)</f>
        <v>6</v>
      </c>
      <c r="E189">
        <f ca="1">IFERROR(__xludf.DUMMYFUNCTION("""COMPUTED_VALUE"""),78.75)</f>
        <v>78.75</v>
      </c>
      <c r="F189">
        <f ca="1">IFERROR(__xludf.DUMMYFUNCTION("""COMPUTED_VALUE"""),63)</f>
        <v>63</v>
      </c>
      <c r="G189">
        <f ca="1">IFERROR(__xludf.DUMMYFUNCTION("""COMPUTED_VALUE"""),80)</f>
        <v>80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IFERROR(__xludf.DUMMYFUNCTION("""COMPUTED_VALUE"""),196)</f>
        <v>196</v>
      </c>
      <c r="C190" t="str">
        <f ca="1">IFERROR(__xludf.DUMMYFUNCTION("""COMPUTED_VALUE"""),"Billy Horschel")</f>
        <v>Billy Horschel</v>
      </c>
      <c r="D190">
        <f ca="1">IFERROR(__xludf.DUMMYFUNCTION("""COMPUTED_VALUE"""),12)</f>
        <v>12</v>
      </c>
      <c r="E190">
        <f ca="1">IFERROR(__xludf.DUMMYFUNCTION("""COMPUTED_VALUE"""),78.66)</f>
        <v>78.66</v>
      </c>
      <c r="F190">
        <f ca="1">IFERROR(__xludf.DUMMYFUNCTION("""COMPUTED_VALUE"""),129)</f>
        <v>129</v>
      </c>
      <c r="G190">
        <f ca="1">IFERROR(__xludf.DUMMYFUNCTION("""COMPUTED_VALUE"""),164)</f>
        <v>164</v>
      </c>
    </row>
    <row r="191" spans="1:7" ht="12.75">
      <c r="A191">
        <f ca="1">IFERROR(__xludf.DUMMYFUNCTION("""COMPUTED_VALUE"""),190)</f>
        <v>190</v>
      </c>
      <c r="B191" t="str">
        <f ca="1">IFERROR(__xludf.DUMMYFUNCTION("""COMPUTED_VALUE"""),"T190")</f>
        <v>T190</v>
      </c>
      <c r="C191" t="str">
        <f ca="1">IFERROR(__xludf.DUMMYFUNCTION("""COMPUTED_VALUE"""),"Maverick McNealy")</f>
        <v>Maverick McNealy</v>
      </c>
      <c r="D191">
        <f ca="1">IFERROR(__xludf.DUMMYFUNCTION("""COMPUTED_VALUE"""),16)</f>
        <v>16</v>
      </c>
      <c r="E191">
        <f ca="1">IFERROR(__xludf.DUMMYFUNCTION("""COMPUTED_VALUE"""),78.64)</f>
        <v>78.64</v>
      </c>
      <c r="F191">
        <f ca="1">IFERROR(__xludf.DUMMYFUNCTION("""COMPUTED_VALUE"""),173)</f>
        <v>173</v>
      </c>
      <c r="G191">
        <f ca="1">IFERROR(__xludf.DUMMYFUNCTION("""COMPUTED_VALUE"""),220)</f>
        <v>220</v>
      </c>
    </row>
    <row r="192" spans="1:7" ht="12.75">
      <c r="A192" t="str">
        <f ca="1">IFERROR(__xludf.DUMMYFUNCTION("""COMPUTED_VALUE"""),"T191")</f>
        <v>T191</v>
      </c>
      <c r="B192" t="str">
        <f ca="1">IFERROR(__xludf.DUMMYFUNCTION("""COMPUTED_VALUE"""),"T197")</f>
        <v>T197</v>
      </c>
      <c r="C192" t="str">
        <f ca="1">IFERROR(__xludf.DUMMYFUNCTION("""COMPUTED_VALUE"""),"Dominic Bozzelli")</f>
        <v>Dominic Bozzelli</v>
      </c>
      <c r="D192">
        <f ca="1">IFERROR(__xludf.DUMMYFUNCTION("""COMPUTED_VALUE"""),8)</f>
        <v>8</v>
      </c>
      <c r="E192">
        <f ca="1">IFERROR(__xludf.DUMMYFUNCTION("""COMPUTED_VALUE"""),78.57)</f>
        <v>78.569999999999993</v>
      </c>
      <c r="F192">
        <f ca="1">IFERROR(__xludf.DUMMYFUNCTION("""COMPUTED_VALUE"""),88)</f>
        <v>88</v>
      </c>
      <c r="G192">
        <f ca="1">IFERROR(__xludf.DUMMYFUNCTION("""COMPUTED_VALUE"""),112)</f>
        <v>112</v>
      </c>
    </row>
    <row r="193" spans="1:7" ht="12.75">
      <c r="A193" t="str">
        <f ca="1">IFERROR(__xludf.DUMMYFUNCTION("""COMPUTED_VALUE"""),"T191")</f>
        <v>T191</v>
      </c>
      <c r="B193" t="str">
        <f ca="1">IFERROR(__xludf.DUMMYFUNCTION("""COMPUTED_VALUE"""),"T197")</f>
        <v>T197</v>
      </c>
      <c r="C193" t="str">
        <f ca="1">IFERROR(__xludf.DUMMYFUNCTION("""COMPUTED_VALUE"""),"Matthias Schwab")</f>
        <v>Matthias Schwab</v>
      </c>
      <c r="D193">
        <f ca="1">IFERROR(__xludf.DUMMYFUNCTION("""COMPUTED_VALUE"""),8)</f>
        <v>8</v>
      </c>
      <c r="E193">
        <f ca="1">IFERROR(__xludf.DUMMYFUNCTION("""COMPUTED_VALUE"""),78.57)</f>
        <v>78.569999999999993</v>
      </c>
      <c r="F193">
        <f ca="1">IFERROR(__xludf.DUMMYFUNCTION("""COMPUTED_VALUE"""),88)</f>
        <v>88</v>
      </c>
      <c r="G193">
        <f ca="1">IFERROR(__xludf.DUMMYFUNCTION("""COMPUTED_VALUE"""),112)</f>
        <v>112</v>
      </c>
    </row>
    <row r="194" spans="1:7" ht="12.75">
      <c r="A194" t="str">
        <f ca="1">IFERROR(__xludf.DUMMYFUNCTION("""COMPUTED_VALUE"""),"T191")</f>
        <v>T191</v>
      </c>
      <c r="B194" t="str">
        <f ca="1">IFERROR(__xludf.DUMMYFUNCTION("""COMPUTED_VALUE"""),"T197")</f>
        <v>T197</v>
      </c>
      <c r="C194" t="str">
        <f ca="1">IFERROR(__xludf.DUMMYFUNCTION("""COMPUTED_VALUE"""),"Thomas Detry")</f>
        <v>Thomas Detry</v>
      </c>
      <c r="D194">
        <f ca="1">IFERROR(__xludf.DUMMYFUNCTION("""COMPUTED_VALUE"""),8)</f>
        <v>8</v>
      </c>
      <c r="E194">
        <f ca="1">IFERROR(__xludf.DUMMYFUNCTION("""COMPUTED_VALUE"""),78.57)</f>
        <v>78.569999999999993</v>
      </c>
      <c r="F194">
        <f ca="1">IFERROR(__xludf.DUMMYFUNCTION("""COMPUTED_VALUE"""),88)</f>
        <v>88</v>
      </c>
      <c r="G194">
        <f ca="1">IFERROR(__xludf.DUMMYFUNCTION("""COMPUTED_VALUE"""),112)</f>
        <v>112</v>
      </c>
    </row>
    <row r="195" spans="1:7" ht="12.75">
      <c r="A195" t="str">
        <f ca="1">IFERROR(__xludf.DUMMYFUNCTION("""COMPUTED_VALUE"""),"T191")</f>
        <v>T191</v>
      </c>
      <c r="B195" t="str">
        <f ca="1">IFERROR(__xludf.DUMMYFUNCTION("""COMPUTED_VALUE"""),"T197")</f>
        <v>T197</v>
      </c>
      <c r="C195" t="str">
        <f ca="1">IFERROR(__xludf.DUMMYFUNCTION("""COMPUTED_VALUE"""),"Matthew Borchert")</f>
        <v>Matthew Borchert</v>
      </c>
      <c r="D195">
        <f ca="1">IFERROR(__xludf.DUMMYFUNCTION("""COMPUTED_VALUE"""),4)</f>
        <v>4</v>
      </c>
      <c r="E195">
        <f ca="1">IFERROR(__xludf.DUMMYFUNCTION("""COMPUTED_VALUE"""),78.57)</f>
        <v>78.569999999999993</v>
      </c>
      <c r="F195">
        <f ca="1">IFERROR(__xludf.DUMMYFUNCTION("""COMPUTED_VALUE"""),44)</f>
        <v>44</v>
      </c>
      <c r="G195">
        <f ca="1">IFERROR(__xludf.DUMMYFUNCTION("""COMPUTED_VALUE"""),56)</f>
        <v>56</v>
      </c>
    </row>
    <row r="196" spans="1:7" ht="12.75">
      <c r="A196" t="str">
        <f ca="1">IFERROR(__xludf.DUMMYFUNCTION("""COMPUTED_VALUE"""),"T191")</f>
        <v>T191</v>
      </c>
      <c r="B196" t="str">
        <f ca="1">IFERROR(__xludf.DUMMYFUNCTION("""COMPUTED_VALUE"""),"T197")</f>
        <v>T197</v>
      </c>
      <c r="C196" t="str">
        <f ca="1">IFERROR(__xludf.DUMMYFUNCTION("""COMPUTED_VALUE"""),"Tommy Gainey")</f>
        <v>Tommy Gainey</v>
      </c>
      <c r="D196">
        <f ca="1">IFERROR(__xludf.DUMMYFUNCTION("""COMPUTED_VALUE"""),6)</f>
        <v>6</v>
      </c>
      <c r="E196">
        <f ca="1">IFERROR(__xludf.DUMMYFUNCTION("""COMPUTED_VALUE"""),78.57)</f>
        <v>78.569999999999993</v>
      </c>
      <c r="F196">
        <f ca="1">IFERROR(__xludf.DUMMYFUNCTION("""COMPUTED_VALUE"""),66)</f>
        <v>66</v>
      </c>
      <c r="G196">
        <f ca="1">IFERROR(__xludf.DUMMYFUNCTION("""COMPUTED_VALUE"""),84)</f>
        <v>84</v>
      </c>
    </row>
    <row r="197" spans="1:7" ht="12.75">
      <c r="A197" t="str">
        <f ca="1">IFERROR(__xludf.DUMMYFUNCTION("""COMPUTED_VALUE"""),"T191")</f>
        <v>T191</v>
      </c>
      <c r="B197" t="str">
        <f ca="1">IFERROR(__xludf.DUMMYFUNCTION("""COMPUTED_VALUE"""),"T197")</f>
        <v>T197</v>
      </c>
      <c r="C197" t="str">
        <f ca="1">IFERROR(__xludf.DUMMYFUNCTION("""COMPUTED_VALUE"""),"Louis Oosthuizen")</f>
        <v>Louis Oosthuizen</v>
      </c>
      <c r="D197">
        <f ca="1">IFERROR(__xludf.DUMMYFUNCTION("""COMPUTED_VALUE"""),12)</f>
        <v>12</v>
      </c>
      <c r="E197">
        <f ca="1">IFERROR(__xludf.DUMMYFUNCTION("""COMPUTED_VALUE"""),78.57)</f>
        <v>78.569999999999993</v>
      </c>
      <c r="F197">
        <f ca="1">IFERROR(__xludf.DUMMYFUNCTION("""COMPUTED_VALUE"""),132)</f>
        <v>132</v>
      </c>
      <c r="G197">
        <f ca="1">IFERROR(__xludf.DUMMYFUNCTION("""COMPUTED_VALUE"""),168)</f>
        <v>168</v>
      </c>
    </row>
    <row r="198" spans="1:7" ht="12.75">
      <c r="A198">
        <f ca="1">IFERROR(__xludf.DUMMYFUNCTION("""COMPUTED_VALUE"""),197)</f>
        <v>197</v>
      </c>
      <c r="B198" t="str">
        <f ca="1">IFERROR(__xludf.DUMMYFUNCTION("""COMPUTED_VALUE"""),"T129")</f>
        <v>T129</v>
      </c>
      <c r="C198" t="str">
        <f ca="1">IFERROR(__xludf.DUMMYFUNCTION("""COMPUTED_VALUE"""),"Luke Donald")</f>
        <v>Luke Donald</v>
      </c>
      <c r="D198">
        <f ca="1">IFERROR(__xludf.DUMMYFUNCTION("""COMPUTED_VALUE"""),14)</f>
        <v>14</v>
      </c>
      <c r="E198">
        <f ca="1">IFERROR(__xludf.DUMMYFUNCTION("""COMPUTED_VALUE"""),78.35)</f>
        <v>78.349999999999994</v>
      </c>
      <c r="F198">
        <f ca="1">IFERROR(__xludf.DUMMYFUNCTION("""COMPUTED_VALUE"""),152)</f>
        <v>152</v>
      </c>
      <c r="G198">
        <f ca="1">IFERROR(__xludf.DUMMYFUNCTION("""COMPUTED_VALUE"""),194)</f>
        <v>194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IFERROR(__xludf.DUMMYFUNCTION("""COMPUTED_VALUE"""),205)</f>
        <v>205</v>
      </c>
      <c r="C199" t="str">
        <f ca="1">IFERROR(__xludf.DUMMYFUNCTION("""COMPUTED_VALUE"""),"Jason Day")</f>
        <v>Jason Day</v>
      </c>
      <c r="D199">
        <f ca="1">IFERROR(__xludf.DUMMYFUNCTION("""COMPUTED_VALUE"""),17)</f>
        <v>17</v>
      </c>
      <c r="E199">
        <f ca="1">IFERROR(__xludf.DUMMYFUNCTION("""COMPUTED_VALUE"""),78.26)</f>
        <v>78.260000000000005</v>
      </c>
      <c r="F199">
        <f ca="1">IFERROR(__xludf.DUMMYFUNCTION("""COMPUTED_VALUE"""),180)</f>
        <v>180</v>
      </c>
      <c r="G199">
        <f ca="1">IFERROR(__xludf.DUMMYFUNCTION("""COMPUTED_VALUE"""),230)</f>
        <v>230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IFERROR(__xludf.DUMMYFUNCTION("""COMPUTED_VALUE"""),204)</f>
        <v>204</v>
      </c>
      <c r="C200" t="str">
        <f ca="1">IFERROR(__xludf.DUMMYFUNCTION("""COMPUTED_VALUE"""),"Matthew Wolff")</f>
        <v>Matthew Wolff</v>
      </c>
      <c r="D200">
        <f ca="1">IFERROR(__xludf.DUMMYFUNCTION("""COMPUTED_VALUE"""),16)</f>
        <v>16</v>
      </c>
      <c r="E200">
        <f ca="1">IFERROR(__xludf.DUMMYFUNCTION("""COMPUTED_VALUE"""),78.18)</f>
        <v>78.180000000000007</v>
      </c>
      <c r="F200">
        <f ca="1">IFERROR(__xludf.DUMMYFUNCTION("""COMPUTED_VALUE"""),172)</f>
        <v>172</v>
      </c>
      <c r="G200">
        <f ca="1">IFERROR(__xludf.DUMMYFUNCTION("""COMPUTED_VALUE"""),220)</f>
        <v>220</v>
      </c>
    </row>
    <row r="201" spans="1:7" ht="12.75">
      <c r="A201">
        <f ca="1">IFERROR(__xludf.DUMMYFUNCTION("""COMPUTED_VALUE"""),200)</f>
        <v>200</v>
      </c>
      <c r="B201" t="str">
        <f ca="1">IFERROR(__xludf.DUMMYFUNCTION("""COMPUTED_VALUE"""),"T220")</f>
        <v>T220</v>
      </c>
      <c r="C201" t="str">
        <f ca="1">IFERROR(__xludf.DUMMYFUNCTION("""COMPUTED_VALUE"""),"Shane Lowry")</f>
        <v>Shane Lowry</v>
      </c>
      <c r="D201">
        <f ca="1">IFERROR(__xludf.DUMMYFUNCTION("""COMPUTED_VALUE"""),14)</f>
        <v>14</v>
      </c>
      <c r="E201">
        <f ca="1">IFERROR(__xludf.DUMMYFUNCTION("""COMPUTED_VALUE"""),78.13)</f>
        <v>78.13</v>
      </c>
      <c r="F201">
        <f ca="1">IFERROR(__xludf.DUMMYFUNCTION("""COMPUTED_VALUE"""),150)</f>
        <v>150</v>
      </c>
      <c r="G201">
        <f ca="1">IFERROR(__xludf.DUMMYFUNCTION("""COMPUTED_VALUE"""),192)</f>
        <v>192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IFERROR(__xludf.DUMMYFUNCTION("""COMPUTED_VALUE"""),207)</f>
        <v>207</v>
      </c>
      <c r="C202" t="str">
        <f ca="1">IFERROR(__xludf.DUMMYFUNCTION("""COMPUTED_VALUE"""),"Justin Thomas")</f>
        <v>Justin Thomas</v>
      </c>
      <c r="D202">
        <f ca="1">IFERROR(__xludf.DUMMYFUNCTION("""COMPUTED_VALUE"""),12)</f>
        <v>12</v>
      </c>
      <c r="E202">
        <f ca="1">IFERROR(__xludf.DUMMYFUNCTION("""COMPUTED_VALUE"""),78.05)</f>
        <v>78.05</v>
      </c>
      <c r="F202">
        <f ca="1">IFERROR(__xludf.DUMMYFUNCTION("""COMPUTED_VALUE"""),128)</f>
        <v>128</v>
      </c>
      <c r="G202">
        <f ca="1">IFERROR(__xludf.DUMMYFUNCTION("""COMPUTED_VALUE"""),164)</f>
        <v>164</v>
      </c>
    </row>
    <row r="203" spans="1:7" ht="12.75">
      <c r="A203" t="str">
        <f ca="1">IFERROR(__xludf.DUMMYFUNCTION("""COMPUTED_VALUE"""),"T202")</f>
        <v>T202</v>
      </c>
      <c r="B203" t="str">
        <f ca="1">IFERROR(__xludf.DUMMYFUNCTION("""COMPUTED_VALUE"""),"T209")</f>
        <v>T209</v>
      </c>
      <c r="C203" t="str">
        <f ca="1">IFERROR(__xludf.DUMMYFUNCTION("""COMPUTED_VALUE"""),"Justin Rose")</f>
        <v>Justin Rose</v>
      </c>
      <c r="D203">
        <f ca="1">IFERROR(__xludf.DUMMYFUNCTION("""COMPUTED_VALUE"""),10)</f>
        <v>10</v>
      </c>
      <c r="E203">
        <f ca="1">IFERROR(__xludf.DUMMYFUNCTION("""COMPUTED_VALUE"""),77.94)</f>
        <v>77.94</v>
      </c>
      <c r="F203">
        <f ca="1">IFERROR(__xludf.DUMMYFUNCTION("""COMPUTED_VALUE"""),106)</f>
        <v>106</v>
      </c>
      <c r="G203">
        <f ca="1">IFERROR(__xludf.DUMMYFUNCTION("""COMPUTED_VALUE"""),136)</f>
        <v>136</v>
      </c>
    </row>
    <row r="204" spans="1:7" ht="12.75">
      <c r="A204" t="str">
        <f ca="1">IFERROR(__xludf.DUMMYFUNCTION("""COMPUTED_VALUE"""),"T202")</f>
        <v>T202</v>
      </c>
      <c r="B204" t="str">
        <f ca="1">IFERROR(__xludf.DUMMYFUNCTION("""COMPUTED_VALUE"""),"T209")</f>
        <v>T209</v>
      </c>
      <c r="C204" t="str">
        <f ca="1">IFERROR(__xludf.DUMMYFUNCTION("""COMPUTED_VALUE"""),"Marc Leishman")</f>
        <v>Marc Leishman</v>
      </c>
      <c r="D204">
        <f ca="1">IFERROR(__xludf.DUMMYFUNCTION("""COMPUTED_VALUE"""),10)</f>
        <v>10</v>
      </c>
      <c r="E204">
        <f ca="1">IFERROR(__xludf.DUMMYFUNCTION("""COMPUTED_VALUE"""),77.94)</f>
        <v>77.94</v>
      </c>
      <c r="F204">
        <f ca="1">IFERROR(__xludf.DUMMYFUNCTION("""COMPUTED_VALUE"""),106)</f>
        <v>106</v>
      </c>
      <c r="G204">
        <f ca="1">IFERROR(__xludf.DUMMYFUNCTION("""COMPUTED_VALUE"""),136)</f>
        <v>136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IFERROR(__xludf.DUMMYFUNCTION("""COMPUTED_VALUE"""),215)</f>
        <v>215</v>
      </c>
      <c r="C205" t="str">
        <f ca="1">IFERROR(__xludf.DUMMYFUNCTION("""COMPUTED_VALUE"""),"Lanto Griffin")</f>
        <v>Lanto Griffin</v>
      </c>
      <c r="D205">
        <f ca="1">IFERROR(__xludf.DUMMYFUNCTION("""COMPUTED_VALUE"""),18)</f>
        <v>18</v>
      </c>
      <c r="E205">
        <f ca="1">IFERROR(__xludf.DUMMYFUNCTION("""COMPUTED_VALUE"""),77.87)</f>
        <v>77.87</v>
      </c>
      <c r="F205">
        <f ca="1">IFERROR(__xludf.DUMMYFUNCTION("""COMPUTED_VALUE"""),190)</f>
        <v>190</v>
      </c>
      <c r="G205">
        <f ca="1">IFERROR(__xludf.DUMMYFUNCTION("""COMPUTED_VALUE"""),244)</f>
        <v>244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IFERROR(__xludf.DUMMYFUNCTION("""COMPUTED_VALUE"""),"T211")</f>
        <v>T211</v>
      </c>
      <c r="C206" t="str">
        <f ca="1">IFERROR(__xludf.DUMMYFUNCTION("""COMPUTED_VALUE"""),"Ben Taylor")</f>
        <v>Ben Taylor</v>
      </c>
      <c r="D206">
        <f ca="1">IFERROR(__xludf.DUMMYFUNCTION("""COMPUTED_VALUE"""),10)</f>
        <v>10</v>
      </c>
      <c r="E206">
        <f ca="1">IFERROR(__xludf.DUMMYFUNCTION("""COMPUTED_VALUE"""),77.86)</f>
        <v>77.86</v>
      </c>
      <c r="F206">
        <f ca="1">IFERROR(__xludf.DUMMYFUNCTION("""COMPUTED_VALUE"""),109)</f>
        <v>109</v>
      </c>
      <c r="G206">
        <f ca="1">IFERROR(__xludf.DUMMYFUNCTION("""COMPUTED_VALUE"""),140)</f>
        <v>140</v>
      </c>
    </row>
    <row r="207" spans="1:7" ht="12.75">
      <c r="A207" t="str">
        <f ca="1">IFERROR(__xludf.DUMMYFUNCTION("""COMPUTED_VALUE"""),"T205")</f>
        <v>T205</v>
      </c>
      <c r="B207" t="str">
        <f ca="1">IFERROR(__xludf.DUMMYFUNCTION("""COMPUTED_VALUE"""),"T211")</f>
        <v>T211</v>
      </c>
      <c r="C207" t="str">
        <f ca="1">IFERROR(__xludf.DUMMYFUNCTION("""COMPUTED_VALUE"""),"Bill Haas")</f>
        <v>Bill Haas</v>
      </c>
      <c r="D207">
        <f ca="1">IFERROR(__xludf.DUMMYFUNCTION("""COMPUTED_VALUE"""),10)</f>
        <v>10</v>
      </c>
      <c r="E207">
        <f ca="1">IFERROR(__xludf.DUMMYFUNCTION("""COMPUTED_VALUE"""),77.86)</f>
        <v>77.86</v>
      </c>
      <c r="F207">
        <f ca="1">IFERROR(__xludf.DUMMYFUNCTION("""COMPUTED_VALUE"""),109)</f>
        <v>109</v>
      </c>
      <c r="G207">
        <f ca="1">IFERROR(__xludf.DUMMYFUNCTION("""COMPUTED_VALUE"""),140)</f>
        <v>140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IFERROR(__xludf.DUMMYFUNCTION("""COMPUTED_VALUE"""),193)</f>
        <v>193</v>
      </c>
      <c r="C208" t="str">
        <f ca="1">IFERROR(__xludf.DUMMYFUNCTION("""COMPUTED_VALUE"""),"J.T. Poston")</f>
        <v>J.T. Poston</v>
      </c>
      <c r="D208">
        <f ca="1">IFERROR(__xludf.DUMMYFUNCTION("""COMPUTED_VALUE"""),18)</f>
        <v>18</v>
      </c>
      <c r="E208">
        <f ca="1">IFERROR(__xludf.DUMMYFUNCTION("""COMPUTED_VALUE"""),77.82)</f>
        <v>77.819999999999993</v>
      </c>
      <c r="F208">
        <f ca="1">IFERROR(__xludf.DUMMYFUNCTION("""COMPUTED_VALUE"""),193)</f>
        <v>193</v>
      </c>
      <c r="G208">
        <f ca="1">IFERROR(__xludf.DUMMYFUNCTION("""COMPUTED_VALUE"""),248)</f>
        <v>248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IFERROR(__xludf.DUMMYFUNCTION("""COMPUTED_VALUE"""),213)</f>
        <v>213</v>
      </c>
      <c r="C209" t="str">
        <f ca="1">IFERROR(__xludf.DUMMYFUNCTION("""COMPUTED_VALUE"""),"Shugo Imahira")</f>
        <v>Shugo Imahira</v>
      </c>
      <c r="D209">
        <f ca="1">IFERROR(__xludf.DUMMYFUNCTION("""COMPUTED_VALUE"""),8)</f>
        <v>8</v>
      </c>
      <c r="E209">
        <f ca="1">IFERROR(__xludf.DUMMYFUNCTION("""COMPUTED_VALUE"""),77.78)</f>
        <v>77.78</v>
      </c>
      <c r="F209">
        <f ca="1">IFERROR(__xludf.DUMMYFUNCTION("""COMPUTED_VALUE"""),84)</f>
        <v>84</v>
      </c>
      <c r="G209">
        <f ca="1">IFERROR(__xludf.DUMMYFUNCTION("""COMPUTED_VALUE"""),108)</f>
        <v>108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IFERROR(__xludf.DUMMYFUNCTION("""COMPUTED_VALUE"""),"T190")</f>
        <v>T190</v>
      </c>
      <c r="C210" t="str">
        <f ca="1">IFERROR(__xludf.DUMMYFUNCTION("""COMPUTED_VALUE"""),"Kevin Chappell")</f>
        <v>Kevin Chappell</v>
      </c>
      <c r="D210">
        <f ca="1">IFERROR(__xludf.DUMMYFUNCTION("""COMPUTED_VALUE"""),16)</f>
        <v>16</v>
      </c>
      <c r="E210">
        <f ca="1">IFERROR(__xludf.DUMMYFUNCTION("""COMPUTED_VALUE"""),77.73)</f>
        <v>77.73</v>
      </c>
      <c r="F210">
        <f ca="1">IFERROR(__xludf.DUMMYFUNCTION("""COMPUTED_VALUE"""),171)</f>
        <v>171</v>
      </c>
      <c r="G210">
        <f ca="1">IFERROR(__xludf.DUMMYFUNCTION("""COMPUTED_VALUE"""),220)</f>
        <v>220</v>
      </c>
    </row>
    <row r="211" spans="1:7" ht="12.75">
      <c r="A211" t="str">
        <f ca="1">IFERROR(__xludf.DUMMYFUNCTION("""COMPUTED_VALUE"""),"T209")</f>
        <v>T209</v>
      </c>
      <c r="B211">
        <f ca="1">IFERROR(__xludf.DUMMYFUNCTION("""COMPUTED_VALUE"""),214)</f>
        <v>214</v>
      </c>
      <c r="C211" t="str">
        <f ca="1">IFERROR(__xludf.DUMMYFUNCTION("""COMPUTED_VALUE"""),"Richy Werenski")</f>
        <v>Richy Werenski</v>
      </c>
      <c r="D211">
        <f ca="1">IFERROR(__xludf.DUMMYFUNCTION("""COMPUTED_VALUE"""),16)</f>
        <v>16</v>
      </c>
      <c r="E211">
        <f ca="1">IFERROR(__xludf.DUMMYFUNCTION("""COMPUTED_VALUE"""),77.73)</f>
        <v>77.73</v>
      </c>
      <c r="F211">
        <f ca="1">IFERROR(__xludf.DUMMYFUNCTION("""COMPUTED_VALUE"""),171)</f>
        <v>171</v>
      </c>
      <c r="G211">
        <f ca="1">IFERROR(__xludf.DUMMYFUNCTION("""COMPUTED_VALUE"""),220)</f>
        <v>220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IFERROR(__xludf.DUMMYFUNCTION("""COMPUTED_VALUE"""),189)</f>
        <v>189</v>
      </c>
      <c r="C212" t="str">
        <f ca="1">IFERROR(__xludf.DUMMYFUNCTION("""COMPUTED_VALUE"""),"Lucas Glover")</f>
        <v>Lucas Glover</v>
      </c>
      <c r="D212">
        <f ca="1">IFERROR(__xludf.DUMMYFUNCTION("""COMPUTED_VALUE"""),12)</f>
        <v>12</v>
      </c>
      <c r="E212">
        <f ca="1">IFERROR(__xludf.DUMMYFUNCTION("""COMPUTED_VALUE"""),77.71)</f>
        <v>77.709999999999994</v>
      </c>
      <c r="F212">
        <f ca="1">IFERROR(__xludf.DUMMYFUNCTION("""COMPUTED_VALUE"""),129)</f>
        <v>129</v>
      </c>
      <c r="G212">
        <f ca="1">IFERROR(__xludf.DUMMYFUNCTION("""COMPUTED_VALUE"""),166)</f>
        <v>166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IFERROR(__xludf.DUMMYFUNCTION("""COMPUTED_VALUE"""),216)</f>
        <v>216</v>
      </c>
      <c r="C213" t="str">
        <f ca="1">IFERROR(__xludf.DUMMYFUNCTION("""COMPUTED_VALUE"""),"Rafa Cabrera Bello")</f>
        <v>Rafa Cabrera Bello</v>
      </c>
      <c r="D213">
        <f ca="1">IFERROR(__xludf.DUMMYFUNCTION("""COMPUTED_VALUE"""),14)</f>
        <v>14</v>
      </c>
      <c r="E213">
        <f ca="1">IFERROR(__xludf.DUMMYFUNCTION("""COMPUTED_VALUE"""),77.55)</f>
        <v>77.55</v>
      </c>
      <c r="F213">
        <f ca="1">IFERROR(__xludf.DUMMYFUNCTION("""COMPUTED_VALUE"""),152)</f>
        <v>152</v>
      </c>
      <c r="G213">
        <f ca="1">IFERROR(__xludf.DUMMYFUNCTION("""COMPUTED_VALUE"""),196)</f>
        <v>196</v>
      </c>
    </row>
    <row r="214" spans="1:7" ht="12.75">
      <c r="A214" t="str">
        <f ca="1">IFERROR(__xludf.DUMMYFUNCTION("""COMPUTED_VALUE"""),"T213")</f>
        <v>T213</v>
      </c>
      <c r="B214" t="str">
        <f ca="1">IFERROR(__xludf.DUMMYFUNCTION("""COMPUTED_VALUE"""),"T233")</f>
        <v>T233</v>
      </c>
      <c r="C214" t="str">
        <f ca="1">IFERROR(__xludf.DUMMYFUNCTION("""COMPUTED_VALUE"""),"Troy Merritt")</f>
        <v>Troy Merritt</v>
      </c>
      <c r="D214">
        <f ca="1">IFERROR(__xludf.DUMMYFUNCTION("""COMPUTED_VALUE"""),20)</f>
        <v>20</v>
      </c>
      <c r="E214">
        <f ca="1">IFERROR(__xludf.DUMMYFUNCTION("""COMPUTED_VALUE"""),77.54)</f>
        <v>77.540000000000006</v>
      </c>
      <c r="F214">
        <f ca="1">IFERROR(__xludf.DUMMYFUNCTION("""COMPUTED_VALUE"""),214)</f>
        <v>214</v>
      </c>
      <c r="G214">
        <f ca="1">IFERROR(__xludf.DUMMYFUNCTION("""COMPUTED_VALUE"""),276)</f>
        <v>276</v>
      </c>
    </row>
    <row r="215" spans="1:7" ht="12.75">
      <c r="A215" t="str">
        <f ca="1">IFERROR(__xludf.DUMMYFUNCTION("""COMPUTED_VALUE"""),"T213")</f>
        <v>T213</v>
      </c>
      <c r="B215" t="str">
        <f ca="1">IFERROR(__xludf.DUMMYFUNCTION("""COMPUTED_VALUE"""),"T186")</f>
        <v>T186</v>
      </c>
      <c r="C215" t="str">
        <f ca="1">IFERROR(__xludf.DUMMYFUNCTION("""COMPUTED_VALUE"""),"Bronson Burgoon")</f>
        <v>Bronson Burgoon</v>
      </c>
      <c r="D215">
        <f ca="1">IFERROR(__xludf.DUMMYFUNCTION("""COMPUTED_VALUE"""),10)</f>
        <v>10</v>
      </c>
      <c r="E215">
        <f ca="1">IFERROR(__xludf.DUMMYFUNCTION("""COMPUTED_VALUE"""),77.54)</f>
        <v>77.540000000000006</v>
      </c>
      <c r="F215">
        <f ca="1">IFERROR(__xludf.DUMMYFUNCTION("""COMPUTED_VALUE"""),107)</f>
        <v>107</v>
      </c>
      <c r="G215">
        <f ca="1">IFERROR(__xludf.DUMMYFUNCTION("""COMPUTED_VALUE"""),138)</f>
        <v>138</v>
      </c>
    </row>
    <row r="216" spans="1:7" ht="12.75">
      <c r="A216">
        <f ca="1">IFERROR(__xludf.DUMMYFUNCTION("""COMPUTED_VALUE"""),215)</f>
        <v>215</v>
      </c>
      <c r="B216" t="str">
        <f ca="1">IFERROR(__xludf.DUMMYFUNCTION("""COMPUTED_VALUE"""),"")</f>
        <v/>
      </c>
      <c r="C216" t="str">
        <f ca="1">IFERROR(__xludf.DUMMYFUNCTION("""COMPUTED_VALUE"""),"Greg Chalmers")</f>
        <v>Greg Chalmers</v>
      </c>
      <c r="D216">
        <f ca="1">IFERROR(__xludf.DUMMYFUNCTION("""COMPUTED_VALUE"""),6)</f>
        <v>6</v>
      </c>
      <c r="E216">
        <f ca="1">IFERROR(__xludf.DUMMYFUNCTION("""COMPUTED_VALUE"""),77.5)</f>
        <v>77.5</v>
      </c>
      <c r="F216">
        <f ca="1">IFERROR(__xludf.DUMMYFUNCTION("""COMPUTED_VALUE"""),62)</f>
        <v>62</v>
      </c>
      <c r="G216">
        <f ca="1">IFERROR(__xludf.DUMMYFUNCTION("""COMPUTED_VALUE"""),80)</f>
        <v>80</v>
      </c>
    </row>
    <row r="217" spans="1:7" ht="12.75">
      <c r="A217">
        <f ca="1">IFERROR(__xludf.DUMMYFUNCTION("""COMPUTED_VALUE"""),216)</f>
        <v>216</v>
      </c>
      <c r="B217" t="str">
        <f ca="1">IFERROR(__xludf.DUMMYFUNCTION("""COMPUTED_VALUE"""),"T171")</f>
        <v>T171</v>
      </c>
      <c r="C217" t="str">
        <f ca="1">IFERROR(__xludf.DUMMYFUNCTION("""COMPUTED_VALUE"""),"Mackenzie Hughes")</f>
        <v>Mackenzie Hughes</v>
      </c>
      <c r="D217">
        <f ca="1">IFERROR(__xludf.DUMMYFUNCTION("""COMPUTED_VALUE"""),18)</f>
        <v>18</v>
      </c>
      <c r="E217">
        <f ca="1">IFERROR(__xludf.DUMMYFUNCTION("""COMPUTED_VALUE"""),77.46)</f>
        <v>77.459999999999994</v>
      </c>
      <c r="F217">
        <f ca="1">IFERROR(__xludf.DUMMYFUNCTION("""COMPUTED_VALUE"""),189)</f>
        <v>189</v>
      </c>
      <c r="G217">
        <f ca="1">IFERROR(__xludf.DUMMYFUNCTION("""COMPUTED_VALUE"""),244)</f>
        <v>244</v>
      </c>
    </row>
    <row r="218" spans="1:7" ht="12.75">
      <c r="A218" t="str">
        <f ca="1">IFERROR(__xludf.DUMMYFUNCTION("""COMPUTED_VALUE"""),"T217")</f>
        <v>T217</v>
      </c>
      <c r="B218" t="str">
        <f ca="1">IFERROR(__xludf.DUMMYFUNCTION("""COMPUTED_VALUE"""),"T217")</f>
        <v>T217</v>
      </c>
      <c r="C218" t="str">
        <f ca="1">IFERROR(__xludf.DUMMYFUNCTION("""COMPUTED_VALUE"""),"Xander Schauffele")</f>
        <v>Xander Schauffele</v>
      </c>
      <c r="D218">
        <f ca="1">IFERROR(__xludf.DUMMYFUNCTION("""COMPUTED_VALUE"""),12)</f>
        <v>12</v>
      </c>
      <c r="E218">
        <f ca="1">IFERROR(__xludf.DUMMYFUNCTION("""COMPUTED_VALUE"""),77.44)</f>
        <v>77.44</v>
      </c>
      <c r="F218">
        <f ca="1">IFERROR(__xludf.DUMMYFUNCTION("""COMPUTED_VALUE"""),127)</f>
        <v>127</v>
      </c>
      <c r="G218">
        <f ca="1">IFERROR(__xludf.DUMMYFUNCTION("""COMPUTED_VALUE"""),164)</f>
        <v>164</v>
      </c>
    </row>
    <row r="219" spans="1:7" ht="12.75">
      <c r="A219" t="str">
        <f ca="1">IFERROR(__xludf.DUMMYFUNCTION("""COMPUTED_VALUE"""),"T217")</f>
        <v>T217</v>
      </c>
      <c r="B219" t="str">
        <f ca="1">IFERROR(__xludf.DUMMYFUNCTION("""COMPUTED_VALUE"""),"T217")</f>
        <v>T217</v>
      </c>
      <c r="C219" t="str">
        <f ca="1">IFERROR(__xludf.DUMMYFUNCTION("""COMPUTED_VALUE"""),"Rory McIlroy")</f>
        <v>Rory McIlroy</v>
      </c>
      <c r="D219">
        <f ca="1">IFERROR(__xludf.DUMMYFUNCTION("""COMPUTED_VALUE"""),12)</f>
        <v>12</v>
      </c>
      <c r="E219">
        <f ca="1">IFERROR(__xludf.DUMMYFUNCTION("""COMPUTED_VALUE"""),77.44)</f>
        <v>77.44</v>
      </c>
      <c r="F219">
        <f ca="1">IFERROR(__xludf.DUMMYFUNCTION("""COMPUTED_VALUE"""),127)</f>
        <v>127</v>
      </c>
      <c r="G219">
        <f ca="1">IFERROR(__xludf.DUMMYFUNCTION("""COMPUTED_VALUE"""),164)</f>
        <v>164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IFERROR(__xludf.DUMMYFUNCTION("""COMPUTED_VALUE"""),219)</f>
        <v>219</v>
      </c>
      <c r="C220" t="str">
        <f ca="1">IFERROR(__xludf.DUMMYFUNCTION("""COMPUTED_VALUE"""),"Erik van Rooyen")</f>
        <v>Erik van Rooyen</v>
      </c>
      <c r="D220">
        <f ca="1">IFERROR(__xludf.DUMMYFUNCTION("""COMPUTED_VALUE"""),10)</f>
        <v>10</v>
      </c>
      <c r="E220">
        <f ca="1">IFERROR(__xludf.DUMMYFUNCTION("""COMPUTED_VALUE"""),77.21)</f>
        <v>77.209999999999994</v>
      </c>
      <c r="F220">
        <f ca="1">IFERROR(__xludf.DUMMYFUNCTION("""COMPUTED_VALUE"""),105)</f>
        <v>105</v>
      </c>
      <c r="G220">
        <f ca="1">IFERROR(__xludf.DUMMYFUNCTION("""COMPUTED_VALUE"""),136)</f>
        <v>136</v>
      </c>
    </row>
    <row r="221" spans="1:7" ht="12.75">
      <c r="A221">
        <f ca="1">IFERROR(__xludf.DUMMYFUNCTION("""COMPUTED_VALUE"""),220)</f>
        <v>220</v>
      </c>
      <c r="B221" t="str">
        <f ca="1">IFERROR(__xludf.DUMMYFUNCTION("""COMPUTED_VALUE"""),"T220")</f>
        <v>T220</v>
      </c>
      <c r="C221" t="str">
        <f ca="1">IFERROR(__xludf.DUMMYFUNCTION("""COMPUTED_VALUE"""),"Charles Howell III")</f>
        <v>Charles Howell III</v>
      </c>
      <c r="D221">
        <f ca="1">IFERROR(__xludf.DUMMYFUNCTION("""COMPUTED_VALUE"""),10)</f>
        <v>10</v>
      </c>
      <c r="E221">
        <f ca="1">IFERROR(__xludf.DUMMYFUNCTION("""COMPUTED_VALUE"""),77.14)</f>
        <v>77.14</v>
      </c>
      <c r="F221">
        <f ca="1">IFERROR(__xludf.DUMMYFUNCTION("""COMPUTED_VALUE"""),108)</f>
        <v>108</v>
      </c>
      <c r="G221">
        <f ca="1">IFERROR(__xludf.DUMMYFUNCTION("""COMPUTED_VALUE"""),140)</f>
        <v>140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IFERROR(__xludf.DUMMYFUNCTION("""COMPUTED_VALUE"""),222)</f>
        <v>222</v>
      </c>
      <c r="C222" t="str">
        <f ca="1">IFERROR(__xludf.DUMMYFUNCTION("""COMPUTED_VALUE"""),"Byeong Hun An")</f>
        <v>Byeong Hun An</v>
      </c>
      <c r="D222">
        <f ca="1">IFERROR(__xludf.DUMMYFUNCTION("""COMPUTED_VALUE"""),14)</f>
        <v>14</v>
      </c>
      <c r="E222">
        <f ca="1">IFERROR(__xludf.DUMMYFUNCTION("""COMPUTED_VALUE"""),77.08)</f>
        <v>77.08</v>
      </c>
      <c r="F222">
        <f ca="1">IFERROR(__xludf.DUMMYFUNCTION("""COMPUTED_VALUE"""),148)</f>
        <v>148</v>
      </c>
      <c r="G222">
        <f ca="1">IFERROR(__xludf.DUMMYFUNCTION("""COMPUTED_VALUE"""),192)</f>
        <v>192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IFERROR(__xludf.DUMMYFUNCTION("""COMPUTED_VALUE"""),195)</f>
        <v>195</v>
      </c>
      <c r="C223" t="str">
        <f ca="1">IFERROR(__xludf.DUMMYFUNCTION("""COMPUTED_VALUE"""),"Tony Finau")</f>
        <v>Tony Finau</v>
      </c>
      <c r="D223">
        <f ca="1">IFERROR(__xludf.DUMMYFUNCTION("""COMPUTED_VALUE"""),12)</f>
        <v>12</v>
      </c>
      <c r="E223">
        <f ca="1">IFERROR(__xludf.DUMMYFUNCTION("""COMPUTED_VALUE"""),76.88)</f>
        <v>76.88</v>
      </c>
      <c r="F223">
        <f ca="1">IFERROR(__xludf.DUMMYFUNCTION("""COMPUTED_VALUE"""),123)</f>
        <v>123</v>
      </c>
      <c r="G223">
        <f ca="1">IFERROR(__xludf.DUMMYFUNCTION("""COMPUTED_VALUE"""),160)</f>
        <v>160</v>
      </c>
    </row>
    <row r="224" spans="1:7" ht="12.75">
      <c r="A224">
        <f ca="1">IFERROR(__xludf.DUMMYFUNCTION("""COMPUTED_VALUE"""),223)</f>
        <v>223</v>
      </c>
      <c r="B224" t="str">
        <f ca="1">IFERROR(__xludf.DUMMYFUNCTION("""COMPUTED_VALUE"""),"T237")</f>
        <v>T237</v>
      </c>
      <c r="C224" t="str">
        <f ca="1">IFERROR(__xludf.DUMMYFUNCTION("""COMPUTED_VALUE"""),"Brooks Koepka")</f>
        <v>Brooks Koepka</v>
      </c>
      <c r="D224">
        <f ca="1">IFERROR(__xludf.DUMMYFUNCTION("""COMPUTED_VALUE"""),8)</f>
        <v>8</v>
      </c>
      <c r="E224">
        <f ca="1">IFERROR(__xludf.DUMMYFUNCTION("""COMPUTED_VALUE"""),76.85)</f>
        <v>76.849999999999994</v>
      </c>
      <c r="F224">
        <f ca="1">IFERROR(__xludf.DUMMYFUNCTION("""COMPUTED_VALUE"""),83)</f>
        <v>83</v>
      </c>
      <c r="G224">
        <f ca="1">IFERROR(__xludf.DUMMYFUNCTION("""COMPUTED_VALUE"""),108)</f>
        <v>108</v>
      </c>
    </row>
    <row r="225" spans="1:7" ht="12.75">
      <c r="A225" t="str">
        <f ca="1">IFERROR(__xludf.DUMMYFUNCTION("""COMPUTED_VALUE"""),"T224")</f>
        <v>T224</v>
      </c>
      <c r="B225" t="str">
        <f ca="1">IFERROR(__xludf.DUMMYFUNCTION("""COMPUTED_VALUE"""),"T224")</f>
        <v>T224</v>
      </c>
      <c r="C225" t="str">
        <f ca="1">IFERROR(__xludf.DUMMYFUNCTION("""COMPUTED_VALUE"""),"Max Homa")</f>
        <v>Max Homa</v>
      </c>
      <c r="D225">
        <f ca="1">IFERROR(__xludf.DUMMYFUNCTION("""COMPUTED_VALUE"""),12)</f>
        <v>12</v>
      </c>
      <c r="E225">
        <f ca="1">IFERROR(__xludf.DUMMYFUNCTION("""COMPUTED_VALUE"""),76.83)</f>
        <v>76.83</v>
      </c>
      <c r="F225">
        <f ca="1">IFERROR(__xludf.DUMMYFUNCTION("""COMPUTED_VALUE"""),126)</f>
        <v>126</v>
      </c>
      <c r="G225">
        <f ca="1">IFERROR(__xludf.DUMMYFUNCTION("""COMPUTED_VALUE"""),164)</f>
        <v>164</v>
      </c>
    </row>
    <row r="226" spans="1:7" ht="12.75">
      <c r="A226" t="str">
        <f ca="1">IFERROR(__xludf.DUMMYFUNCTION("""COMPUTED_VALUE"""),"T224")</f>
        <v>T224</v>
      </c>
      <c r="B226">
        <f ca="1">IFERROR(__xludf.DUMMYFUNCTION("""COMPUTED_VALUE"""),223)</f>
        <v>223</v>
      </c>
      <c r="C226" t="str">
        <f ca="1">IFERROR(__xludf.DUMMYFUNCTION("""COMPUTED_VALUE"""),"Daniel Berger")</f>
        <v>Daniel Berger</v>
      </c>
      <c r="D226">
        <f ca="1">IFERROR(__xludf.DUMMYFUNCTION("""COMPUTED_VALUE"""),12)</f>
        <v>12</v>
      </c>
      <c r="E226">
        <f ca="1">IFERROR(__xludf.DUMMYFUNCTION("""COMPUTED_VALUE"""),76.83)</f>
        <v>76.83</v>
      </c>
      <c r="F226">
        <f ca="1">IFERROR(__xludf.DUMMYFUNCTION("""COMPUTED_VALUE"""),126)</f>
        <v>126</v>
      </c>
      <c r="G226">
        <f ca="1">IFERROR(__xludf.DUMMYFUNCTION("""COMPUTED_VALUE"""),164)</f>
        <v>164</v>
      </c>
    </row>
    <row r="227" spans="1:7" ht="12.75">
      <c r="A227">
        <f ca="1">IFERROR(__xludf.DUMMYFUNCTION("""COMPUTED_VALUE"""),226)</f>
        <v>226</v>
      </c>
      <c r="B227" t="str">
        <f ca="1">IFERROR(__xludf.DUMMYFUNCTION("""COMPUTED_VALUE"""),"T224")</f>
        <v>T224</v>
      </c>
      <c r="C227" t="str">
        <f ca="1">IFERROR(__xludf.DUMMYFUNCTION("""COMPUTED_VALUE"""),"Sung Kang")</f>
        <v>Sung Kang</v>
      </c>
      <c r="D227">
        <f ca="1">IFERROR(__xludf.DUMMYFUNCTION("""COMPUTED_VALUE"""),14)</f>
        <v>14</v>
      </c>
      <c r="E227">
        <f ca="1">IFERROR(__xludf.DUMMYFUNCTION("""COMPUTED_VALUE"""),76.8)</f>
        <v>76.8</v>
      </c>
      <c r="F227">
        <f ca="1">IFERROR(__xludf.DUMMYFUNCTION("""COMPUTED_VALUE"""),149)</f>
        <v>149</v>
      </c>
      <c r="G227">
        <f ca="1">IFERROR(__xludf.DUMMYFUNCTION("""COMPUTED_VALUE"""),194)</f>
        <v>194</v>
      </c>
    </row>
    <row r="228" spans="1:7" ht="12.75">
      <c r="A228" t="str">
        <f ca="1">IFERROR(__xludf.DUMMYFUNCTION("""COMPUTED_VALUE"""),"T227")</f>
        <v>T227</v>
      </c>
      <c r="B228" t="str">
        <f ca="1">IFERROR(__xludf.DUMMYFUNCTION("""COMPUTED_VALUE"""),"T224")</f>
        <v>T224</v>
      </c>
      <c r="C228" t="str">
        <f ca="1">IFERROR(__xludf.DUMMYFUNCTION("""COMPUTED_VALUE"""),"Kiradech Aphibarnrat")</f>
        <v>Kiradech Aphibarnrat</v>
      </c>
      <c r="D228">
        <f ca="1">IFERROR(__xludf.DUMMYFUNCTION("""COMPUTED_VALUE"""),12)</f>
        <v>12</v>
      </c>
      <c r="E228">
        <f ca="1">IFERROR(__xludf.DUMMYFUNCTION("""COMPUTED_VALUE"""),76.79)</f>
        <v>76.790000000000006</v>
      </c>
      <c r="F228">
        <f ca="1">IFERROR(__xludf.DUMMYFUNCTION("""COMPUTED_VALUE"""),129)</f>
        <v>129</v>
      </c>
      <c r="G228">
        <f ca="1">IFERROR(__xludf.DUMMYFUNCTION("""COMPUTED_VALUE"""),168)</f>
        <v>168</v>
      </c>
    </row>
    <row r="229" spans="1:7" ht="12.75">
      <c r="A229" t="str">
        <f ca="1">IFERROR(__xludf.DUMMYFUNCTION("""COMPUTED_VALUE"""),"T227")</f>
        <v>T227</v>
      </c>
      <c r="B229" t="str">
        <f ca="1">IFERROR(__xludf.DUMMYFUNCTION("""COMPUTED_VALUE"""),"T224")</f>
        <v>T224</v>
      </c>
      <c r="C229" t="str">
        <f ca="1">IFERROR(__xludf.DUMMYFUNCTION("""COMPUTED_VALUE"""),"Matt Wallace")</f>
        <v>Matt Wallace</v>
      </c>
      <c r="D229">
        <f ca="1">IFERROR(__xludf.DUMMYFUNCTION("""COMPUTED_VALUE"""),4)</f>
        <v>4</v>
      </c>
      <c r="E229">
        <f ca="1">IFERROR(__xludf.DUMMYFUNCTION("""COMPUTED_VALUE"""),76.79)</f>
        <v>76.790000000000006</v>
      </c>
      <c r="F229">
        <f ca="1">IFERROR(__xludf.DUMMYFUNCTION("""COMPUTED_VALUE"""),43)</f>
        <v>43</v>
      </c>
      <c r="G229">
        <f ca="1">IFERROR(__xludf.DUMMYFUNCTION("""COMPUTED_VALUE"""),56)</f>
        <v>56</v>
      </c>
    </row>
    <row r="230" spans="1:7" ht="12.75">
      <c r="A230" t="str">
        <f ca="1">IFERROR(__xludf.DUMMYFUNCTION("""COMPUTED_VALUE"""),"T227")</f>
        <v>T227</v>
      </c>
      <c r="B230" t="str">
        <f ca="1">IFERROR(__xludf.DUMMYFUNCTION("""COMPUTED_VALUE"""),"T224")</f>
        <v>T224</v>
      </c>
      <c r="C230" t="str">
        <f ca="1">IFERROR(__xludf.DUMMYFUNCTION("""COMPUTED_VALUE"""),"Andy Zhang")</f>
        <v>Andy Zhang</v>
      </c>
      <c r="D230">
        <f ca="1">IFERROR(__xludf.DUMMYFUNCTION("""COMPUTED_VALUE"""),4)</f>
        <v>4</v>
      </c>
      <c r="E230">
        <f ca="1">IFERROR(__xludf.DUMMYFUNCTION("""COMPUTED_VALUE"""),76.79)</f>
        <v>76.790000000000006</v>
      </c>
      <c r="F230">
        <f ca="1">IFERROR(__xludf.DUMMYFUNCTION("""COMPUTED_VALUE"""),43)</f>
        <v>43</v>
      </c>
      <c r="G230">
        <f ca="1">IFERROR(__xludf.DUMMYFUNCTION("""COMPUTED_VALUE"""),56)</f>
        <v>56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IFERROR(__xludf.DUMMYFUNCTION("""COMPUTED_VALUE"""),252)</f>
        <v>252</v>
      </c>
      <c r="C231" t="str">
        <f ca="1">IFERROR(__xludf.DUMMYFUNCTION("""COMPUTED_VALUE"""),"Michael Thompson")</f>
        <v>Michael Thompson</v>
      </c>
      <c r="D231">
        <f ca="1">IFERROR(__xludf.DUMMYFUNCTION("""COMPUTED_VALUE"""),16)</f>
        <v>16</v>
      </c>
      <c r="E231">
        <f ca="1">IFERROR(__xludf.DUMMYFUNCTION("""COMPUTED_VALUE"""),76.39)</f>
        <v>76.39</v>
      </c>
      <c r="F231">
        <f ca="1">IFERROR(__xludf.DUMMYFUNCTION("""COMPUTED_VALUE"""),165)</f>
        <v>165</v>
      </c>
      <c r="G231">
        <f ca="1">IFERROR(__xludf.DUMMYFUNCTION("""COMPUTED_VALUE"""),216)</f>
        <v>216</v>
      </c>
    </row>
    <row r="232" spans="1:7" ht="12.75">
      <c r="A232">
        <f ca="1">IFERROR(__xludf.DUMMYFUNCTION("""COMPUTED_VALUE"""),231)</f>
        <v>231</v>
      </c>
      <c r="B232" t="str">
        <f ca="1">IFERROR(__xludf.DUMMYFUNCTION("""COMPUTED_VALUE"""),"")</f>
        <v/>
      </c>
      <c r="C232" t="str">
        <f ca="1">IFERROR(__xludf.DUMMYFUNCTION("""COMPUTED_VALUE"""),"Justin Harding")</f>
        <v>Justin Harding</v>
      </c>
      <c r="D232">
        <f ca="1">IFERROR(__xludf.DUMMYFUNCTION("""COMPUTED_VALUE"""),6)</f>
        <v>6</v>
      </c>
      <c r="E232">
        <f ca="1">IFERROR(__xludf.DUMMYFUNCTION("""COMPUTED_VALUE"""),76.25)</f>
        <v>76.25</v>
      </c>
      <c r="F232">
        <f ca="1">IFERROR(__xludf.DUMMYFUNCTION("""COMPUTED_VALUE"""),61)</f>
        <v>61</v>
      </c>
      <c r="G232">
        <f ca="1">IFERROR(__xludf.DUMMYFUNCTION("""COMPUTED_VALUE"""),80)</f>
        <v>80</v>
      </c>
    </row>
    <row r="233" spans="1:7" ht="12.75">
      <c r="A233" t="str">
        <f ca="1">IFERROR(__xludf.DUMMYFUNCTION("""COMPUTED_VALUE"""),"T232")</f>
        <v>T232</v>
      </c>
      <c r="B233" t="str">
        <f ca="1">IFERROR(__xludf.DUMMYFUNCTION("""COMPUTED_VALUE"""),"T230")</f>
        <v>T230</v>
      </c>
      <c r="C233" t="str">
        <f ca="1">IFERROR(__xludf.DUMMYFUNCTION("""COMPUTED_VALUE"""),"Alex Cejka")</f>
        <v>Alex Cejka</v>
      </c>
      <c r="D233">
        <f ca="1">IFERROR(__xludf.DUMMYFUNCTION("""COMPUTED_VALUE"""),6)</f>
        <v>6</v>
      </c>
      <c r="E233">
        <f ca="1">IFERROR(__xludf.DUMMYFUNCTION("""COMPUTED_VALUE"""),76.19)</f>
        <v>76.19</v>
      </c>
      <c r="F233">
        <f ca="1">IFERROR(__xludf.DUMMYFUNCTION("""COMPUTED_VALUE"""),64)</f>
        <v>64</v>
      </c>
      <c r="G233">
        <f ca="1">IFERROR(__xludf.DUMMYFUNCTION("""COMPUTED_VALUE"""),84)</f>
        <v>84</v>
      </c>
    </row>
    <row r="234" spans="1:7" ht="12.75">
      <c r="A234" t="str">
        <f ca="1">IFERROR(__xludf.DUMMYFUNCTION("""COMPUTED_VALUE"""),"T232")</f>
        <v>T232</v>
      </c>
      <c r="B234" t="str">
        <f ca="1">IFERROR(__xludf.DUMMYFUNCTION("""COMPUTED_VALUE"""),"T230")</f>
        <v>T230</v>
      </c>
      <c r="C234" t="str">
        <f ca="1">IFERROR(__xludf.DUMMYFUNCTION("""COMPUTED_VALUE"""),"Wes Roach")</f>
        <v>Wes Roach</v>
      </c>
      <c r="D234">
        <f ca="1">IFERROR(__xludf.DUMMYFUNCTION("""COMPUTED_VALUE"""),6)</f>
        <v>6</v>
      </c>
      <c r="E234">
        <f ca="1">IFERROR(__xludf.DUMMYFUNCTION("""COMPUTED_VALUE"""),76.19)</f>
        <v>76.19</v>
      </c>
      <c r="F234">
        <f ca="1">IFERROR(__xludf.DUMMYFUNCTION("""COMPUTED_VALUE"""),64)</f>
        <v>64</v>
      </c>
      <c r="G234">
        <f ca="1">IFERROR(__xludf.DUMMYFUNCTION("""COMPUTED_VALUE"""),84)</f>
        <v>84</v>
      </c>
    </row>
    <row r="235" spans="1:7" ht="12.75">
      <c r="A235">
        <f ca="1">IFERROR(__xludf.DUMMYFUNCTION("""COMPUTED_VALUE"""),234)</f>
        <v>234</v>
      </c>
      <c r="B235" t="str">
        <f ca="1">IFERROR(__xludf.DUMMYFUNCTION("""COMPUTED_VALUE"""),"T181")</f>
        <v>T181</v>
      </c>
      <c r="C235" t="str">
        <f ca="1">IFERROR(__xludf.DUMMYFUNCTION("""COMPUTED_VALUE"""),"D.A. Points")</f>
        <v>D.A. Points</v>
      </c>
      <c r="D235">
        <f ca="1">IFERROR(__xludf.DUMMYFUNCTION("""COMPUTED_VALUE"""),12)</f>
        <v>12</v>
      </c>
      <c r="E235">
        <f ca="1">IFERROR(__xludf.DUMMYFUNCTION("""COMPUTED_VALUE"""),75.9)</f>
        <v>75.900000000000006</v>
      </c>
      <c r="F235">
        <f ca="1">IFERROR(__xludf.DUMMYFUNCTION("""COMPUTED_VALUE"""),126)</f>
        <v>126</v>
      </c>
      <c r="G235">
        <f ca="1">IFERROR(__xludf.DUMMYFUNCTION("""COMPUTED_VALUE"""),166)</f>
        <v>166</v>
      </c>
    </row>
    <row r="236" spans="1:7" ht="12.75">
      <c r="A236">
        <f ca="1">IFERROR(__xludf.DUMMYFUNCTION("""COMPUTED_VALUE"""),235)</f>
        <v>235</v>
      </c>
      <c r="B236" t="str">
        <f ca="1">IFERROR(__xludf.DUMMYFUNCTION("""COMPUTED_VALUE"""),"T233")</f>
        <v>T233</v>
      </c>
      <c r="C236" t="str">
        <f ca="1">IFERROR(__xludf.DUMMYFUNCTION("""COMPUTED_VALUE"""),"Ryan Blaum")</f>
        <v>Ryan Blaum</v>
      </c>
      <c r="D236">
        <f ca="1">IFERROR(__xludf.DUMMYFUNCTION("""COMPUTED_VALUE"""),8)</f>
        <v>8</v>
      </c>
      <c r="E236">
        <f ca="1">IFERROR(__xludf.DUMMYFUNCTION("""COMPUTED_VALUE"""),75.89)</f>
        <v>75.89</v>
      </c>
      <c r="F236">
        <f ca="1">IFERROR(__xludf.DUMMYFUNCTION("""COMPUTED_VALUE"""),85)</f>
        <v>85</v>
      </c>
      <c r="G236">
        <f ca="1">IFERROR(__xludf.DUMMYFUNCTION("""COMPUTED_VALUE"""),112)</f>
        <v>112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IFERROR(__xludf.DUMMYFUNCTION("""COMPUTED_VALUE"""),208)</f>
        <v>208</v>
      </c>
      <c r="C237" t="str">
        <f ca="1">IFERROR(__xludf.DUMMYFUNCTION("""COMPUTED_VALUE"""),"Hunter Mahan")</f>
        <v>Hunter Mahan</v>
      </c>
      <c r="D237">
        <f ca="1">IFERROR(__xludf.DUMMYFUNCTION("""COMPUTED_VALUE"""),14)</f>
        <v>14</v>
      </c>
      <c r="E237">
        <f ca="1">IFERROR(__xludf.DUMMYFUNCTION("""COMPUTED_VALUE"""),75.77)</f>
        <v>75.77</v>
      </c>
      <c r="F237">
        <f ca="1">IFERROR(__xludf.DUMMYFUNCTION("""COMPUTED_VALUE"""),147)</f>
        <v>147</v>
      </c>
      <c r="G237">
        <f ca="1">IFERROR(__xludf.DUMMYFUNCTION("""COMPUTED_VALUE"""),194)</f>
        <v>194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IFERROR(__xludf.DUMMYFUNCTION("""COMPUTED_VALUE"""),235)</f>
        <v>235</v>
      </c>
      <c r="C238" t="str">
        <f ca="1">IFERROR(__xludf.DUMMYFUNCTION("""COMPUTED_VALUE"""),"Rory Sabbatini")</f>
        <v>Rory Sabbatini</v>
      </c>
      <c r="D238">
        <f ca="1">IFERROR(__xludf.DUMMYFUNCTION("""COMPUTED_VALUE"""),13)</f>
        <v>13</v>
      </c>
      <c r="E238">
        <f ca="1">IFERROR(__xludf.DUMMYFUNCTION("""COMPUTED_VALUE"""),75.69)</f>
        <v>75.69</v>
      </c>
      <c r="F238">
        <f ca="1">IFERROR(__xludf.DUMMYFUNCTION("""COMPUTED_VALUE"""),137)</f>
        <v>137</v>
      </c>
      <c r="G238">
        <f ca="1">IFERROR(__xludf.DUMMYFUNCTION("""COMPUTED_VALUE"""),181)</f>
        <v>181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IFERROR(__xludf.DUMMYFUNCTION("""COMPUTED_VALUE"""),236)</f>
        <v>236</v>
      </c>
      <c r="C239" t="str">
        <f ca="1">IFERROR(__xludf.DUMMYFUNCTION("""COMPUTED_VALUE"""),"Adam Hadwin")</f>
        <v>Adam Hadwin</v>
      </c>
      <c r="D239">
        <f ca="1">IFERROR(__xludf.DUMMYFUNCTION("""COMPUTED_VALUE"""),16)</f>
        <v>16</v>
      </c>
      <c r="E239">
        <f ca="1">IFERROR(__xludf.DUMMYFUNCTION("""COMPUTED_VALUE"""),75.45)</f>
        <v>75.45</v>
      </c>
      <c r="F239">
        <f ca="1">IFERROR(__xludf.DUMMYFUNCTION("""COMPUTED_VALUE"""),166)</f>
        <v>166</v>
      </c>
      <c r="G239">
        <f ca="1">IFERROR(__xludf.DUMMYFUNCTION("""COMPUTED_VALUE"""),220)</f>
        <v>220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IFERROR(__xludf.DUMMYFUNCTION("""COMPUTED_VALUE"""),206)</f>
        <v>206</v>
      </c>
      <c r="C240" t="str">
        <f ca="1">IFERROR(__xludf.DUMMYFUNCTION("""COMPUTED_VALUE"""),"Branden Grace")</f>
        <v>Branden Grace</v>
      </c>
      <c r="D240">
        <f ca="1">IFERROR(__xludf.DUMMYFUNCTION("""COMPUTED_VALUE"""),16)</f>
        <v>16</v>
      </c>
      <c r="E240">
        <f ca="1">IFERROR(__xludf.DUMMYFUNCTION("""COMPUTED_VALUE"""),75.23)</f>
        <v>75.23</v>
      </c>
      <c r="F240">
        <f ca="1">IFERROR(__xludf.DUMMYFUNCTION("""COMPUTED_VALUE"""),167)</f>
        <v>167</v>
      </c>
      <c r="G240">
        <f ca="1">IFERROR(__xludf.DUMMYFUNCTION("""COMPUTED_VALUE"""),222)</f>
        <v>222</v>
      </c>
    </row>
    <row r="241" spans="1:7" ht="12.75">
      <c r="A241" t="str">
        <f ca="1">IFERROR(__xludf.DUMMYFUNCTION("""COMPUTED_VALUE"""),"T240")</f>
        <v>T240</v>
      </c>
      <c r="B241" t="str">
        <f ca="1">IFERROR(__xludf.DUMMYFUNCTION("""COMPUTED_VALUE"""),"T237")</f>
        <v>T237</v>
      </c>
      <c r="C241" t="str">
        <f ca="1">IFERROR(__xludf.DUMMYFUNCTION("""COMPUTED_VALUE"""),"Bernd Wiesberger")</f>
        <v>Bernd Wiesberger</v>
      </c>
      <c r="D241">
        <f ca="1">IFERROR(__xludf.DUMMYFUNCTION("""COMPUTED_VALUE"""),4)</f>
        <v>4</v>
      </c>
      <c r="E241">
        <f ca="1">IFERROR(__xludf.DUMMYFUNCTION("""COMPUTED_VALUE"""),75)</f>
        <v>75</v>
      </c>
      <c r="F241">
        <f ca="1">IFERROR(__xludf.DUMMYFUNCTION("""COMPUTED_VALUE"""),42)</f>
        <v>42</v>
      </c>
      <c r="G241">
        <f ca="1">IFERROR(__xludf.DUMMYFUNCTION("""COMPUTED_VALUE"""),56)</f>
        <v>56</v>
      </c>
    </row>
    <row r="242" spans="1:7" ht="12.75">
      <c r="A242" t="str">
        <f ca="1">IFERROR(__xludf.DUMMYFUNCTION("""COMPUTED_VALUE"""),"T240")</f>
        <v>T240</v>
      </c>
      <c r="B242">
        <f ca="1">IFERROR(__xludf.DUMMYFUNCTION("""COMPUTED_VALUE"""),229)</f>
        <v>229</v>
      </c>
      <c r="C242" t="str">
        <f ca="1">IFERROR(__xludf.DUMMYFUNCTION("""COMPUTED_VALUE"""),"Scott Brown")</f>
        <v>Scott Brown</v>
      </c>
      <c r="D242">
        <f ca="1">IFERROR(__xludf.DUMMYFUNCTION("""COMPUTED_VALUE"""),14)</f>
        <v>14</v>
      </c>
      <c r="E242">
        <f ca="1">IFERROR(__xludf.DUMMYFUNCTION("""COMPUTED_VALUE"""),75)</f>
        <v>75</v>
      </c>
      <c r="F242">
        <f ca="1">IFERROR(__xludf.DUMMYFUNCTION("""COMPUTED_VALUE"""),144)</f>
        <v>144</v>
      </c>
      <c r="G242">
        <f ca="1">IFERROR(__xludf.DUMMYFUNCTION("""COMPUTED_VALUE"""),192)</f>
        <v>192</v>
      </c>
    </row>
    <row r="243" spans="1:7" ht="12.75">
      <c r="A243" t="str">
        <f ca="1">IFERROR(__xludf.DUMMYFUNCTION("""COMPUTED_VALUE"""),"T240")</f>
        <v>T240</v>
      </c>
      <c r="B243" t="str">
        <f ca="1">IFERROR(__xludf.DUMMYFUNCTION("""COMPUTED_VALUE"""),"")</f>
        <v/>
      </c>
      <c r="C243" t="str">
        <f ca="1">IFERROR(__xludf.DUMMYFUNCTION("""COMPUTED_VALUE"""),"Dawie van der Walt")</f>
        <v>Dawie van der Walt</v>
      </c>
      <c r="D243">
        <f ca="1">IFERROR(__xludf.DUMMYFUNCTION("""COMPUTED_VALUE"""),4)</f>
        <v>4</v>
      </c>
      <c r="E243">
        <f ca="1">IFERROR(__xludf.DUMMYFUNCTION("""COMPUTED_VALUE"""),75)</f>
        <v>75</v>
      </c>
      <c r="F243">
        <f ca="1">IFERROR(__xludf.DUMMYFUNCTION("""COMPUTED_VALUE"""),39)</f>
        <v>39</v>
      </c>
      <c r="G243">
        <f ca="1">IFERROR(__xludf.DUMMYFUNCTION("""COMPUTED_VALUE"""),52)</f>
        <v>52</v>
      </c>
    </row>
    <row r="244" spans="1:7" ht="12.75">
      <c r="A244" t="str">
        <f ca="1">IFERROR(__xludf.DUMMYFUNCTION("""COMPUTED_VALUE"""),"T240")</f>
        <v>T240</v>
      </c>
      <c r="B244" t="str">
        <f ca="1">IFERROR(__xludf.DUMMYFUNCTION("""COMPUTED_VALUE"""),"T237")</f>
        <v>T237</v>
      </c>
      <c r="C244" t="str">
        <f ca="1">IFERROR(__xludf.DUMMYFUNCTION("""COMPUTED_VALUE"""),"Tommy Fleetwood")</f>
        <v>Tommy Fleetwood</v>
      </c>
      <c r="D244">
        <f ca="1">IFERROR(__xludf.DUMMYFUNCTION("""COMPUTED_VALUE"""),10)</f>
        <v>10</v>
      </c>
      <c r="E244">
        <f ca="1">IFERROR(__xludf.DUMMYFUNCTION("""COMPUTED_VALUE"""),75)</f>
        <v>75</v>
      </c>
      <c r="F244">
        <f ca="1">IFERROR(__xludf.DUMMYFUNCTION("""COMPUTED_VALUE"""),102)</f>
        <v>102</v>
      </c>
      <c r="G244">
        <f ca="1">IFERROR(__xludf.DUMMYFUNCTION("""COMPUTED_VALUE"""),136)</f>
        <v>136</v>
      </c>
    </row>
    <row r="245" spans="1:7" ht="12.75">
      <c r="A245" t="str">
        <f ca="1">IFERROR(__xludf.DUMMYFUNCTION("""COMPUTED_VALUE"""),"T240")</f>
        <v>T240</v>
      </c>
      <c r="B245" t="str">
        <f ca="1">IFERROR(__xludf.DUMMYFUNCTION("""COMPUTED_VALUE"""),"T237")</f>
        <v>T237</v>
      </c>
      <c r="C245" t="str">
        <f ca="1">IFERROR(__xludf.DUMMYFUNCTION("""COMPUTED_VALUE"""),"Steve Lewton")</f>
        <v>Steve Lewton</v>
      </c>
      <c r="D245">
        <f ca="1">IFERROR(__xludf.DUMMYFUNCTION("""COMPUTED_VALUE"""),4)</f>
        <v>4</v>
      </c>
      <c r="E245">
        <f ca="1">IFERROR(__xludf.DUMMYFUNCTION("""COMPUTED_VALUE"""),75)</f>
        <v>75</v>
      </c>
      <c r="F245">
        <f ca="1">IFERROR(__xludf.DUMMYFUNCTION("""COMPUTED_VALUE"""),42)</f>
        <v>42</v>
      </c>
      <c r="G245">
        <f ca="1">IFERROR(__xludf.DUMMYFUNCTION("""COMPUTED_VALUE"""),56)</f>
        <v>56</v>
      </c>
    </row>
    <row r="246" spans="1:7" ht="12.75">
      <c r="A246" t="str">
        <f ca="1">IFERROR(__xludf.DUMMYFUNCTION("""COMPUTED_VALUE"""),"T240")</f>
        <v>T240</v>
      </c>
      <c r="B246" t="str">
        <f ca="1">IFERROR(__xludf.DUMMYFUNCTION("""COMPUTED_VALUE"""),"T237")</f>
        <v>T237</v>
      </c>
      <c r="C246" t="str">
        <f ca="1">IFERROR(__xludf.DUMMYFUNCTION("""COMPUTED_VALUE"""),"Patrick Reed")</f>
        <v>Patrick Reed</v>
      </c>
      <c r="D246">
        <f ca="1">IFERROR(__xludf.DUMMYFUNCTION("""COMPUTED_VALUE"""),8)</f>
        <v>8</v>
      </c>
      <c r="E246">
        <f ca="1">IFERROR(__xludf.DUMMYFUNCTION("""COMPUTED_VALUE"""),75)</f>
        <v>75</v>
      </c>
      <c r="F246">
        <f ca="1">IFERROR(__xludf.DUMMYFUNCTION("""COMPUTED_VALUE"""),81)</f>
        <v>81</v>
      </c>
      <c r="G246">
        <f ca="1">IFERROR(__xludf.DUMMYFUNCTION("""COMPUTED_VALUE"""),108)</f>
        <v>108</v>
      </c>
    </row>
    <row r="247" spans="1:7" ht="12.75">
      <c r="A247" t="str">
        <f ca="1">IFERROR(__xludf.DUMMYFUNCTION("""COMPUTED_VALUE"""),"T240")</f>
        <v>T240</v>
      </c>
      <c r="B247" t="str">
        <f ca="1">IFERROR(__xludf.DUMMYFUNCTION("""COMPUTED_VALUE"""),"T237")</f>
        <v>T237</v>
      </c>
      <c r="C247" t="str">
        <f ca="1">IFERROR(__xludf.DUMMYFUNCTION("""COMPUTED_VALUE"""),"Davis Riley")</f>
        <v>Davis Riley</v>
      </c>
      <c r="D247">
        <f ca="1">IFERROR(__xludf.DUMMYFUNCTION("""COMPUTED_VALUE"""),4)</f>
        <v>4</v>
      </c>
      <c r="E247">
        <f ca="1">IFERROR(__xludf.DUMMYFUNCTION("""COMPUTED_VALUE"""),75)</f>
        <v>75</v>
      </c>
      <c r="F247">
        <f ca="1">IFERROR(__xludf.DUMMYFUNCTION("""COMPUTED_VALUE"""),42)</f>
        <v>42</v>
      </c>
      <c r="G247">
        <f ca="1">IFERROR(__xludf.DUMMYFUNCTION("""COMPUTED_VALUE"""),56)</f>
        <v>56</v>
      </c>
    </row>
    <row r="248" spans="1:7" ht="12.75">
      <c r="A248">
        <f ca="1">IFERROR(__xludf.DUMMYFUNCTION("""COMPUTED_VALUE"""),247)</f>
        <v>247</v>
      </c>
      <c r="B248" t="str">
        <f ca="1">IFERROR(__xludf.DUMMYFUNCTION("""COMPUTED_VALUE"""),"T230")</f>
        <v>T230</v>
      </c>
      <c r="C248" t="str">
        <f ca="1">IFERROR(__xludf.DUMMYFUNCTION("""COMPUTED_VALUE"""),"Kevin Stadler")</f>
        <v>Kevin Stadler</v>
      </c>
      <c r="D248">
        <f ca="1">IFERROR(__xludf.DUMMYFUNCTION("""COMPUTED_VALUE"""),8)</f>
        <v>8</v>
      </c>
      <c r="E248">
        <f ca="1">IFERROR(__xludf.DUMMYFUNCTION("""COMPUTED_VALUE"""),74.55)</f>
        <v>74.55</v>
      </c>
      <c r="F248">
        <f ca="1">IFERROR(__xludf.DUMMYFUNCTION("""COMPUTED_VALUE"""),82)</f>
        <v>82</v>
      </c>
      <c r="G248">
        <f ca="1">IFERROR(__xludf.DUMMYFUNCTION("""COMPUTED_VALUE"""),110)</f>
        <v>110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IFERROR(__xludf.DUMMYFUNCTION("""COMPUTED_VALUE"""),248)</f>
        <v>248</v>
      </c>
      <c r="C249" t="str">
        <f ca="1">IFERROR(__xludf.DUMMYFUNCTION("""COMPUTED_VALUE"""),"Peter Uihlein")</f>
        <v>Peter Uihlein</v>
      </c>
      <c r="D249">
        <f ca="1">IFERROR(__xludf.DUMMYFUNCTION("""COMPUTED_VALUE"""),8)</f>
        <v>8</v>
      </c>
      <c r="E249">
        <f ca="1">IFERROR(__xludf.DUMMYFUNCTION("""COMPUTED_VALUE"""),74.11)</f>
        <v>74.11</v>
      </c>
      <c r="F249">
        <f ca="1">IFERROR(__xludf.DUMMYFUNCTION("""COMPUTED_VALUE"""),83)</f>
        <v>83</v>
      </c>
      <c r="G249">
        <f ca="1">IFERROR(__xludf.DUMMYFUNCTION("""COMPUTED_VALUE"""),112)</f>
        <v>112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IFERROR(__xludf.DUMMYFUNCTION("""COMPUTED_VALUE"""),247)</f>
        <v>247</v>
      </c>
      <c r="C250" t="str">
        <f ca="1">IFERROR(__xludf.DUMMYFUNCTION("""COMPUTED_VALUE"""),"Phil Mickelson")</f>
        <v>Phil Mickelson</v>
      </c>
      <c r="D250">
        <f ca="1">IFERROR(__xludf.DUMMYFUNCTION("""COMPUTED_VALUE"""),12)</f>
        <v>12</v>
      </c>
      <c r="E250">
        <f ca="1">IFERROR(__xludf.DUMMYFUNCTION("""COMPUTED_VALUE"""),74.07)</f>
        <v>74.069999999999993</v>
      </c>
      <c r="F250">
        <f ca="1">IFERROR(__xludf.DUMMYFUNCTION("""COMPUTED_VALUE"""),120)</f>
        <v>120</v>
      </c>
      <c r="G250">
        <f ca="1">IFERROR(__xludf.DUMMYFUNCTION("""COMPUTED_VALUE"""),162)</f>
        <v>162</v>
      </c>
    </row>
    <row r="251" spans="1:7" ht="12.75">
      <c r="A251" t="str">
        <f ca="1">IFERROR(__xludf.DUMMYFUNCTION("""COMPUTED_VALUE"""),"T250")</f>
        <v>T250</v>
      </c>
      <c r="B251" t="str">
        <f ca="1">IFERROR(__xludf.DUMMYFUNCTION("""COMPUTED_VALUE"""),"T249")</f>
        <v>T249</v>
      </c>
      <c r="C251" t="str">
        <f ca="1">IFERROR(__xludf.DUMMYFUNCTION("""COMPUTED_VALUE"""),"Ian Poulter")</f>
        <v>Ian Poulter</v>
      </c>
      <c r="D251">
        <f ca="1">IFERROR(__xludf.DUMMYFUNCTION("""COMPUTED_VALUE"""),6)</f>
        <v>6</v>
      </c>
      <c r="E251">
        <f ca="1">IFERROR(__xludf.DUMMYFUNCTION("""COMPUTED_VALUE"""),73.81)</f>
        <v>73.81</v>
      </c>
      <c r="F251">
        <f ca="1">IFERROR(__xludf.DUMMYFUNCTION("""COMPUTED_VALUE"""),62)</f>
        <v>62</v>
      </c>
      <c r="G251">
        <f ca="1">IFERROR(__xludf.DUMMYFUNCTION("""COMPUTED_VALUE"""),84)</f>
        <v>84</v>
      </c>
    </row>
    <row r="252" spans="1:7" ht="12.75">
      <c r="A252" t="str">
        <f ca="1">IFERROR(__xludf.DUMMYFUNCTION("""COMPUTED_VALUE"""),"T250")</f>
        <v>T250</v>
      </c>
      <c r="B252" t="str">
        <f ca="1">IFERROR(__xludf.DUMMYFUNCTION("""COMPUTED_VALUE"""),"T249")</f>
        <v>T249</v>
      </c>
      <c r="C252" t="str">
        <f ca="1">IFERROR(__xludf.DUMMYFUNCTION("""COMPUTED_VALUE"""),"Rafael Campos")</f>
        <v>Rafael Campos</v>
      </c>
      <c r="D252">
        <f ca="1">IFERROR(__xludf.DUMMYFUNCTION("""COMPUTED_VALUE"""),6)</f>
        <v>6</v>
      </c>
      <c r="E252">
        <f ca="1">IFERROR(__xludf.DUMMYFUNCTION("""COMPUTED_VALUE"""),73.81)</f>
        <v>73.81</v>
      </c>
      <c r="F252">
        <f ca="1">IFERROR(__xludf.DUMMYFUNCTION("""COMPUTED_VALUE"""),62)</f>
        <v>62</v>
      </c>
      <c r="G252">
        <f ca="1">IFERROR(__xludf.DUMMYFUNCTION("""COMPUTED_VALUE"""),84)</f>
        <v>84</v>
      </c>
    </row>
    <row r="253" spans="1:7" ht="12.75">
      <c r="A253" t="str">
        <f ca="1">IFERROR(__xludf.DUMMYFUNCTION("""COMPUTED_VALUE"""),"T250")</f>
        <v>T250</v>
      </c>
      <c r="B253" t="str">
        <f ca="1">IFERROR(__xludf.DUMMYFUNCTION("""COMPUTED_VALUE"""),"T249")</f>
        <v>T249</v>
      </c>
      <c r="C253" t="str">
        <f ca="1">IFERROR(__xludf.DUMMYFUNCTION("""COMPUTED_VALUE"""),"Rasmus Hojgaard")</f>
        <v>Rasmus Hojgaard</v>
      </c>
      <c r="D253">
        <f ca="1">IFERROR(__xludf.DUMMYFUNCTION("""COMPUTED_VALUE"""),6)</f>
        <v>6</v>
      </c>
      <c r="E253">
        <f ca="1">IFERROR(__xludf.DUMMYFUNCTION("""COMPUTED_VALUE"""),73.81)</f>
        <v>73.81</v>
      </c>
      <c r="F253">
        <f ca="1">IFERROR(__xludf.DUMMYFUNCTION("""COMPUTED_VALUE"""),62)</f>
        <v>62</v>
      </c>
      <c r="G253">
        <f ca="1">IFERROR(__xludf.DUMMYFUNCTION("""COMPUTED_VALUE"""),84)</f>
        <v>84</v>
      </c>
    </row>
    <row r="254" spans="1:7" ht="12.75">
      <c r="A254" t="str">
        <f ca="1">IFERROR(__xludf.DUMMYFUNCTION("""COMPUTED_VALUE"""),"T253")</f>
        <v>T253</v>
      </c>
      <c r="B254" t="str">
        <f ca="1">IFERROR(__xludf.DUMMYFUNCTION("""COMPUTED_VALUE"""),"T253")</f>
        <v>T253</v>
      </c>
      <c r="C254" t="str">
        <f ca="1">IFERROR(__xludf.DUMMYFUNCTION("""COMPUTED_VALUE"""),"Jeongwoo Ham")</f>
        <v>Jeongwoo Ham</v>
      </c>
      <c r="D254">
        <f ca="1">IFERROR(__xludf.DUMMYFUNCTION("""COMPUTED_VALUE"""),4)</f>
        <v>4</v>
      </c>
      <c r="E254">
        <f ca="1">IFERROR(__xludf.DUMMYFUNCTION("""COMPUTED_VALUE"""),73.21)</f>
        <v>73.209999999999994</v>
      </c>
      <c r="F254">
        <f ca="1">IFERROR(__xludf.DUMMYFUNCTION("""COMPUTED_VALUE"""),41)</f>
        <v>41</v>
      </c>
      <c r="G254">
        <f ca="1">IFERROR(__xludf.DUMMYFUNCTION("""COMPUTED_VALUE"""),56)</f>
        <v>56</v>
      </c>
    </row>
    <row r="255" spans="1:7" ht="12.75">
      <c r="A255" t="str">
        <f ca="1">IFERROR(__xludf.DUMMYFUNCTION("""COMPUTED_VALUE"""),"T253")</f>
        <v>T253</v>
      </c>
      <c r="B255" t="str">
        <f ca="1">IFERROR(__xludf.DUMMYFUNCTION("""COMPUTED_VALUE"""),"T253")</f>
        <v>T253</v>
      </c>
      <c r="C255" t="str">
        <f ca="1">IFERROR(__xludf.DUMMYFUNCTION("""COMPUTED_VALUE"""),"Matt Every")</f>
        <v>Matt Every</v>
      </c>
      <c r="D255">
        <f ca="1">IFERROR(__xludf.DUMMYFUNCTION("""COMPUTED_VALUE"""),8)</f>
        <v>8</v>
      </c>
      <c r="E255">
        <f ca="1">IFERROR(__xludf.DUMMYFUNCTION("""COMPUTED_VALUE"""),73.21)</f>
        <v>73.209999999999994</v>
      </c>
      <c r="F255">
        <f ca="1">IFERROR(__xludf.DUMMYFUNCTION("""COMPUTED_VALUE"""),82)</f>
        <v>82</v>
      </c>
      <c r="G255">
        <f ca="1">IFERROR(__xludf.DUMMYFUNCTION("""COMPUTED_VALUE"""),112)</f>
        <v>112</v>
      </c>
    </row>
    <row r="256" spans="1:7" ht="12.75">
      <c r="A256">
        <f ca="1">IFERROR(__xludf.DUMMYFUNCTION("""COMPUTED_VALUE"""),255)</f>
        <v>255</v>
      </c>
      <c r="B256" t="str">
        <f ca="1">IFERROR(__xludf.DUMMYFUNCTION("""COMPUTED_VALUE"""),"T197")</f>
        <v>T197</v>
      </c>
      <c r="C256" t="str">
        <f ca="1">IFERROR(__xludf.DUMMYFUNCTION("""COMPUTED_VALUE"""),"Ollie Schniederjans")</f>
        <v>Ollie Schniederjans</v>
      </c>
      <c r="D256">
        <f ca="1">IFERROR(__xludf.DUMMYFUNCTION("""COMPUTED_VALUE"""),6)</f>
        <v>6</v>
      </c>
      <c r="E256">
        <f ca="1">IFERROR(__xludf.DUMMYFUNCTION("""COMPUTED_VALUE"""),73.17)</f>
        <v>73.17</v>
      </c>
      <c r="F256">
        <f ca="1">IFERROR(__xludf.DUMMYFUNCTION("""COMPUTED_VALUE"""),60)</f>
        <v>60</v>
      </c>
      <c r="G256">
        <f ca="1">IFERROR(__xludf.DUMMYFUNCTION("""COMPUTED_VALUE"""),82)</f>
        <v>82</v>
      </c>
    </row>
    <row r="257" spans="1:7" ht="12.75">
      <c r="A257">
        <f ca="1">IFERROR(__xludf.DUMMYFUNCTION("""COMPUTED_VALUE"""),256)</f>
        <v>256</v>
      </c>
      <c r="B257" t="str">
        <f ca="1">IFERROR(__xludf.DUMMYFUNCTION("""COMPUTED_VALUE"""),"T256")</f>
        <v>T256</v>
      </c>
      <c r="C257" t="str">
        <f ca="1">IFERROR(__xludf.DUMMYFUNCTION("""COMPUTED_VALUE"""),"Rhein Gibson")</f>
        <v>Rhein Gibson</v>
      </c>
      <c r="D257">
        <f ca="1">IFERROR(__xludf.DUMMYFUNCTION("""COMPUTED_VALUE"""),10)</f>
        <v>10</v>
      </c>
      <c r="E257">
        <f ca="1">IFERROR(__xludf.DUMMYFUNCTION("""COMPUTED_VALUE"""),72.86)</f>
        <v>72.86</v>
      </c>
      <c r="F257">
        <f ca="1">IFERROR(__xludf.DUMMYFUNCTION("""COMPUTED_VALUE"""),102)</f>
        <v>102</v>
      </c>
      <c r="G257">
        <f ca="1">IFERROR(__xludf.DUMMYFUNCTION("""COMPUTED_VALUE"""),140)</f>
        <v>140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IFERROR(__xludf.DUMMYFUNCTION("""COMPUTED_VALUE"""),258)</f>
        <v>258</v>
      </c>
      <c r="C258" t="str">
        <f ca="1">IFERROR(__xludf.DUMMYFUNCTION("""COMPUTED_VALUE"""),"Tiger Woods")</f>
        <v>Tiger Woods</v>
      </c>
      <c r="D258">
        <f ca="1">IFERROR(__xludf.DUMMYFUNCTION("""COMPUTED_VALUE"""),6)</f>
        <v>6</v>
      </c>
      <c r="E258">
        <f ca="1">IFERROR(__xludf.DUMMYFUNCTION("""COMPUTED_VALUE"""),72.5)</f>
        <v>72.5</v>
      </c>
      <c r="F258">
        <f ca="1">IFERROR(__xludf.DUMMYFUNCTION("""COMPUTED_VALUE"""),58)</f>
        <v>58</v>
      </c>
      <c r="G258">
        <f ca="1">IFERROR(__xludf.DUMMYFUNCTION("""COMPUTED_VALUE"""),80)</f>
        <v>80</v>
      </c>
    </row>
    <row r="259" spans="1:7" ht="12.75">
      <c r="A259">
        <f ca="1">IFERROR(__xludf.DUMMYFUNCTION("""COMPUTED_VALUE"""),258)</f>
        <v>258</v>
      </c>
      <c r="B259" t="str">
        <f ca="1">IFERROR(__xludf.DUMMYFUNCTION("""COMPUTED_VALUE"""),"T256")</f>
        <v>T256</v>
      </c>
      <c r="C259" t="str">
        <f ca="1">IFERROR(__xludf.DUMMYFUNCTION("""COMPUTED_VALUE"""),"Michael Kim")</f>
        <v>Michael Kim</v>
      </c>
      <c r="D259">
        <f ca="1">IFERROR(__xludf.DUMMYFUNCTION("""COMPUTED_VALUE"""),12)</f>
        <v>12</v>
      </c>
      <c r="E259">
        <f ca="1">IFERROR(__xludf.DUMMYFUNCTION("""COMPUTED_VALUE"""),72.29)</f>
        <v>72.290000000000006</v>
      </c>
      <c r="F259">
        <f ca="1">IFERROR(__xludf.DUMMYFUNCTION("""COMPUTED_VALUE"""),120)</f>
        <v>120</v>
      </c>
      <c r="G259">
        <f ca="1">IFERROR(__xludf.DUMMYFUNCTION("""COMPUTED_VALUE"""),166)</f>
        <v>166</v>
      </c>
    </row>
    <row r="260" spans="1:7" ht="12.75">
      <c r="A260">
        <f ca="1">IFERROR(__xludf.DUMMYFUNCTION("""COMPUTED_VALUE"""),259)</f>
        <v>259</v>
      </c>
      <c r="B260" t="str">
        <f ca="1">IFERROR(__xludf.DUMMYFUNCTION("""COMPUTED_VALUE"""),"T253")</f>
        <v>T253</v>
      </c>
      <c r="C260" t="str">
        <f ca="1">IFERROR(__xludf.DUMMYFUNCTION("""COMPUTED_VALUE"""),"Graeme McDowell")</f>
        <v>Graeme McDowell</v>
      </c>
      <c r="D260">
        <f ca="1">IFERROR(__xludf.DUMMYFUNCTION("""COMPUTED_VALUE"""),8)</f>
        <v>8</v>
      </c>
      <c r="E260">
        <f ca="1">IFERROR(__xludf.DUMMYFUNCTION("""COMPUTED_VALUE"""),72.22)</f>
        <v>72.22</v>
      </c>
      <c r="F260">
        <f ca="1">IFERROR(__xludf.DUMMYFUNCTION("""COMPUTED_VALUE"""),78)</f>
        <v>78</v>
      </c>
      <c r="G260">
        <f ca="1">IFERROR(__xludf.DUMMYFUNCTION("""COMPUTED_VALUE"""),108)</f>
        <v>108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IFERROR(__xludf.DUMMYFUNCTION("""COMPUTED_VALUE"""),246)</f>
        <v>246</v>
      </c>
      <c r="C261" t="str">
        <f ca="1">IFERROR(__xludf.DUMMYFUNCTION("""COMPUTED_VALUE"""),"Jordan Spieth")</f>
        <v>Jordan Spieth</v>
      </c>
      <c r="D261">
        <f ca="1">IFERROR(__xludf.DUMMYFUNCTION("""COMPUTED_VALUE"""),14)</f>
        <v>14</v>
      </c>
      <c r="E261">
        <f ca="1">IFERROR(__xludf.DUMMYFUNCTION("""COMPUTED_VALUE"""),72.11)</f>
        <v>72.11</v>
      </c>
      <c r="F261">
        <f ca="1">IFERROR(__xludf.DUMMYFUNCTION("""COMPUTED_VALUE"""),137)</f>
        <v>137</v>
      </c>
      <c r="G261">
        <f ca="1">IFERROR(__xludf.DUMMYFUNCTION("""COMPUTED_VALUE"""),190)</f>
        <v>190</v>
      </c>
    </row>
    <row r="262" spans="1:7" ht="12.75">
      <c r="A262" t="str">
        <f ca="1">IFERROR(__xludf.DUMMYFUNCTION("""COMPUTED_VALUE"""),"T261")</f>
        <v>T261</v>
      </c>
      <c r="B262" t="str">
        <f ca="1">IFERROR(__xludf.DUMMYFUNCTION("""COMPUTED_VALUE"""),"T260")</f>
        <v>T260</v>
      </c>
      <c r="C262" t="str">
        <f ca="1">IFERROR(__xludf.DUMMYFUNCTION("""COMPUTED_VALUE"""),"Shawn Stefani")</f>
        <v>Shawn Stefani</v>
      </c>
      <c r="D262">
        <f ca="1">IFERROR(__xludf.DUMMYFUNCTION("""COMPUTED_VALUE"""),5)</f>
        <v>5</v>
      </c>
      <c r="E262">
        <f ca="1">IFERROR(__xludf.DUMMYFUNCTION("""COMPUTED_VALUE"""),71.43)</f>
        <v>71.430000000000007</v>
      </c>
      <c r="F262">
        <f ca="1">IFERROR(__xludf.DUMMYFUNCTION("""COMPUTED_VALUE"""),50)</f>
        <v>50</v>
      </c>
      <c r="G262">
        <f ca="1">IFERROR(__xludf.DUMMYFUNCTION("""COMPUTED_VALUE"""),70)</f>
        <v>70</v>
      </c>
    </row>
    <row r="263" spans="1:7" ht="12.75">
      <c r="A263" t="str">
        <f ca="1">IFERROR(__xludf.DUMMYFUNCTION("""COMPUTED_VALUE"""),"T261")</f>
        <v>T261</v>
      </c>
      <c r="B263" t="str">
        <f ca="1">IFERROR(__xludf.DUMMYFUNCTION("""COMPUTED_VALUE"""),"T260")</f>
        <v>T260</v>
      </c>
      <c r="C263" t="str">
        <f ca="1">IFERROR(__xludf.DUMMYFUNCTION("""COMPUTED_VALUE"""),"Seonghyeon Kim")</f>
        <v>Seonghyeon Kim</v>
      </c>
      <c r="D263">
        <f ca="1">IFERROR(__xludf.DUMMYFUNCTION("""COMPUTED_VALUE"""),4)</f>
        <v>4</v>
      </c>
      <c r="E263">
        <f ca="1">IFERROR(__xludf.DUMMYFUNCTION("""COMPUTED_VALUE"""),71.43)</f>
        <v>71.430000000000007</v>
      </c>
      <c r="F263">
        <f ca="1">IFERROR(__xludf.DUMMYFUNCTION("""COMPUTED_VALUE"""),40)</f>
        <v>40</v>
      </c>
      <c r="G263">
        <f ca="1">IFERROR(__xludf.DUMMYFUNCTION("""COMPUTED_VALUE"""),56)</f>
        <v>56</v>
      </c>
    </row>
    <row r="264" spans="1:7" ht="12.75">
      <c r="A264" t="str">
        <f ca="1">IFERROR(__xludf.DUMMYFUNCTION("""COMPUTED_VALUE"""),"T261")</f>
        <v>T261</v>
      </c>
      <c r="B264" t="str">
        <f ca="1">IFERROR(__xludf.DUMMYFUNCTION("""COMPUTED_VALUE"""),"T260")</f>
        <v>T260</v>
      </c>
      <c r="C264" t="str">
        <f ca="1">IFERROR(__xludf.DUMMYFUNCTION("""COMPUTED_VALUE"""),"Eric Dugas")</f>
        <v>Eric Dugas</v>
      </c>
      <c r="D264">
        <f ca="1">IFERROR(__xludf.DUMMYFUNCTION("""COMPUTED_VALUE"""),4)</f>
        <v>4</v>
      </c>
      <c r="E264">
        <f ca="1">IFERROR(__xludf.DUMMYFUNCTION("""COMPUTED_VALUE"""),71.43)</f>
        <v>71.430000000000007</v>
      </c>
      <c r="F264">
        <f ca="1">IFERROR(__xludf.DUMMYFUNCTION("""COMPUTED_VALUE"""),40)</f>
        <v>40</v>
      </c>
      <c r="G264">
        <f ca="1">IFERROR(__xludf.DUMMYFUNCTION("""COMPUTED_VALUE"""),56)</f>
        <v>56</v>
      </c>
    </row>
    <row r="265" spans="1:7" ht="12.75">
      <c r="A265">
        <f ca="1">IFERROR(__xludf.DUMMYFUNCTION("""COMPUTED_VALUE"""),264)</f>
        <v>264</v>
      </c>
      <c r="B265" t="str">
        <f ca="1">IFERROR(__xludf.DUMMYFUNCTION("""COMPUTED_VALUE"""),"T260")</f>
        <v>T260</v>
      </c>
      <c r="C265" t="str">
        <f ca="1">IFERROR(__xludf.DUMMYFUNCTION("""COMPUTED_VALUE"""),"Danny Willett")</f>
        <v>Danny Willett</v>
      </c>
      <c r="D265">
        <f ca="1">IFERROR(__xludf.DUMMYFUNCTION("""COMPUTED_VALUE"""),7)</f>
        <v>7</v>
      </c>
      <c r="E265">
        <f ca="1">IFERROR(__xludf.DUMMYFUNCTION("""COMPUTED_VALUE"""),71.13)</f>
        <v>71.13</v>
      </c>
      <c r="F265">
        <f ca="1">IFERROR(__xludf.DUMMYFUNCTION("""COMPUTED_VALUE"""),69)</f>
        <v>69</v>
      </c>
      <c r="G265">
        <f ca="1">IFERROR(__xludf.DUMMYFUNCTION("""COMPUTED_VALUE"""),97)</f>
        <v>97</v>
      </c>
    </row>
    <row r="266" spans="1:7" ht="12.75">
      <c r="A266">
        <f ca="1">IFERROR(__xludf.DUMMYFUNCTION("""COMPUTED_VALUE"""),265)</f>
        <v>265</v>
      </c>
      <c r="B266" t="str">
        <f ca="1">IFERROR(__xludf.DUMMYFUNCTION("""COMPUTED_VALUE"""),"T237")</f>
        <v>T237</v>
      </c>
      <c r="C266" t="str">
        <f ca="1">IFERROR(__xludf.DUMMYFUNCTION("""COMPUTED_VALUE"""),"Jimmy Walker")</f>
        <v>Jimmy Walker</v>
      </c>
      <c r="D266">
        <f ca="1">IFERROR(__xludf.DUMMYFUNCTION("""COMPUTED_VALUE"""),10)</f>
        <v>10</v>
      </c>
      <c r="E266">
        <f ca="1">IFERROR(__xludf.DUMMYFUNCTION("""COMPUTED_VALUE"""),70.29)</f>
        <v>70.290000000000006</v>
      </c>
      <c r="F266">
        <f ca="1">IFERROR(__xludf.DUMMYFUNCTION("""COMPUTED_VALUE"""),97)</f>
        <v>97</v>
      </c>
      <c r="G266">
        <f ca="1">IFERROR(__xludf.DUMMYFUNCTION("""COMPUTED_VALUE"""),138)</f>
        <v>138</v>
      </c>
    </row>
    <row r="267" spans="1:7" ht="12.75">
      <c r="A267" t="str">
        <f ca="1">IFERROR(__xludf.DUMMYFUNCTION("""COMPUTED_VALUE"""),"T266")</f>
        <v>T266</v>
      </c>
      <c r="B267" t="str">
        <f ca="1">IFERROR(__xludf.DUMMYFUNCTION("""COMPUTED_VALUE"""),"T264")</f>
        <v>T264</v>
      </c>
      <c r="C267" t="str">
        <f ca="1">IFERROR(__xludf.DUMMYFUNCTION("""COMPUTED_VALUE"""),"Parker McLachlin")</f>
        <v>Parker McLachlin</v>
      </c>
      <c r="D267">
        <f ca="1">IFERROR(__xludf.DUMMYFUNCTION("""COMPUTED_VALUE"""),4)</f>
        <v>4</v>
      </c>
      <c r="E267">
        <f ca="1">IFERROR(__xludf.DUMMYFUNCTION("""COMPUTED_VALUE"""),69.64)</f>
        <v>69.64</v>
      </c>
      <c r="F267">
        <f ca="1">IFERROR(__xludf.DUMMYFUNCTION("""COMPUTED_VALUE"""),39)</f>
        <v>39</v>
      </c>
      <c r="G267">
        <f ca="1">IFERROR(__xludf.DUMMYFUNCTION("""COMPUTED_VALUE"""),56)</f>
        <v>56</v>
      </c>
    </row>
    <row r="268" spans="1:7" ht="12.75">
      <c r="A268" t="str">
        <f ca="1">IFERROR(__xludf.DUMMYFUNCTION("""COMPUTED_VALUE"""),"T266")</f>
        <v>T266</v>
      </c>
      <c r="B268" t="str">
        <f ca="1">IFERROR(__xludf.DUMMYFUNCTION("""COMPUTED_VALUE"""),"T264")</f>
        <v>T264</v>
      </c>
      <c r="C268" t="str">
        <f ca="1">IFERROR(__xludf.DUMMYFUNCTION("""COMPUTED_VALUE"""),"Tae Hee Lee")</f>
        <v>Tae Hee Lee</v>
      </c>
      <c r="D268">
        <f ca="1">IFERROR(__xludf.DUMMYFUNCTION("""COMPUTED_VALUE"""),4)</f>
        <v>4</v>
      </c>
      <c r="E268">
        <f ca="1">IFERROR(__xludf.DUMMYFUNCTION("""COMPUTED_VALUE"""),69.64)</f>
        <v>69.64</v>
      </c>
      <c r="F268">
        <f ca="1">IFERROR(__xludf.DUMMYFUNCTION("""COMPUTED_VALUE"""),39)</f>
        <v>39</v>
      </c>
      <c r="G268">
        <f ca="1">IFERROR(__xludf.DUMMYFUNCTION("""COMPUTED_VALUE"""),56)</f>
        <v>56</v>
      </c>
    </row>
    <row r="269" spans="1:7" ht="12.75">
      <c r="A269">
        <f ca="1">IFERROR(__xludf.DUMMYFUNCTION("""COMPUTED_VALUE"""),268)</f>
        <v>268</v>
      </c>
      <c r="B269" t="str">
        <f ca="1">IFERROR(__xludf.DUMMYFUNCTION("""COMPUTED_VALUE"""),"T237")</f>
        <v>T237</v>
      </c>
      <c r="C269" t="str">
        <f ca="1">IFERROR(__xludf.DUMMYFUNCTION("""COMPUTED_VALUE"""),"Martin Trainer")</f>
        <v>Martin Trainer</v>
      </c>
      <c r="D269">
        <f ca="1">IFERROR(__xludf.DUMMYFUNCTION("""COMPUTED_VALUE"""),10)</f>
        <v>10</v>
      </c>
      <c r="E269">
        <f ca="1">IFERROR(__xludf.DUMMYFUNCTION("""COMPUTED_VALUE"""),69.57)</f>
        <v>69.569999999999993</v>
      </c>
      <c r="F269">
        <f ca="1">IFERROR(__xludf.DUMMYFUNCTION("""COMPUTED_VALUE"""),96)</f>
        <v>96</v>
      </c>
      <c r="G269">
        <f ca="1">IFERROR(__xludf.DUMMYFUNCTION("""COMPUTED_VALUE"""),138)</f>
        <v>138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IFERROR(__xludf.DUMMYFUNCTION("""COMPUTED_VALUE"""),259)</f>
        <v>259</v>
      </c>
      <c r="C270" t="str">
        <f ca="1">IFERROR(__xludf.DUMMYFUNCTION("""COMPUTED_VALUE"""),"Tom Lewis")</f>
        <v>Tom Lewis</v>
      </c>
      <c r="D270">
        <f ca="1">IFERROR(__xludf.DUMMYFUNCTION("""COMPUTED_VALUE"""),12)</f>
        <v>12</v>
      </c>
      <c r="E270">
        <f ca="1">IFERROR(__xludf.DUMMYFUNCTION("""COMPUTED_VALUE"""),69.28)</f>
        <v>69.28</v>
      </c>
      <c r="F270">
        <f ca="1">IFERROR(__xludf.DUMMYFUNCTION("""COMPUTED_VALUE"""),115)</f>
        <v>115</v>
      </c>
      <c r="G270">
        <f ca="1">IFERROR(__xludf.DUMMYFUNCTION("""COMPUTED_VALUE"""),166)</f>
        <v>166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IFERROR(__xludf.DUMMYFUNCTION("""COMPUTED_VALUE"""),267)</f>
        <v>267</v>
      </c>
      <c r="C271" t="str">
        <f ca="1">IFERROR(__xludf.DUMMYFUNCTION("""COMPUTED_VALUE"""),"Alex Noren")</f>
        <v>Alex Noren</v>
      </c>
      <c r="D271">
        <f ca="1">IFERROR(__xludf.DUMMYFUNCTION("""COMPUTED_VALUE"""),14)</f>
        <v>14</v>
      </c>
      <c r="E271">
        <f ca="1">IFERROR(__xludf.DUMMYFUNCTION("""COMPUTED_VALUE"""),68.95)</f>
        <v>68.95</v>
      </c>
      <c r="F271">
        <f ca="1">IFERROR(__xludf.DUMMYFUNCTION("""COMPUTED_VALUE"""),131)</f>
        <v>131</v>
      </c>
      <c r="G271">
        <f ca="1">IFERROR(__xludf.DUMMYFUNCTION("""COMPUTED_VALUE"""),190)</f>
        <v>190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IFERROR(__xludf.DUMMYFUNCTION("""COMPUTED_VALUE"""),268)</f>
        <v>268</v>
      </c>
      <c r="C272" t="str">
        <f ca="1">IFERROR(__xludf.DUMMYFUNCTION("""COMPUTED_VALUE"""),"Ryo Ishikawa")</f>
        <v>Ryo Ishikawa</v>
      </c>
      <c r="D272">
        <f ca="1">IFERROR(__xludf.DUMMYFUNCTION("""COMPUTED_VALUE"""),8)</f>
        <v>8</v>
      </c>
      <c r="E272">
        <f ca="1">IFERROR(__xludf.DUMMYFUNCTION("""COMPUTED_VALUE"""),68.52)</f>
        <v>68.52</v>
      </c>
      <c r="F272">
        <f ca="1">IFERROR(__xludf.DUMMYFUNCTION("""COMPUTED_VALUE"""),74)</f>
        <v>74</v>
      </c>
      <c r="G272">
        <f ca="1">IFERROR(__xludf.DUMMYFUNCTION("""COMPUTED_VALUE"""),108)</f>
        <v>108</v>
      </c>
    </row>
    <row r="273" spans="1:7" ht="12.75">
      <c r="A273" t="str">
        <f ca="1">IFERROR(__xludf.DUMMYFUNCTION("""COMPUTED_VALUE"""),"T272")</f>
        <v>T272</v>
      </c>
      <c r="B273" t="str">
        <f ca="1">IFERROR(__xludf.DUMMYFUNCTION("""COMPUTED_VALUE"""),"T269")</f>
        <v>T269</v>
      </c>
      <c r="C273" t="str">
        <f ca="1">IFERROR(__xludf.DUMMYFUNCTION("""COMPUTED_VALUE"""),"Fred Funk")</f>
        <v>Fred Funk</v>
      </c>
      <c r="D273">
        <f ca="1">IFERROR(__xludf.DUMMYFUNCTION("""COMPUTED_VALUE"""),4)</f>
        <v>4</v>
      </c>
      <c r="E273">
        <f ca="1">IFERROR(__xludf.DUMMYFUNCTION("""COMPUTED_VALUE"""),67.86)</f>
        <v>67.86</v>
      </c>
      <c r="F273">
        <f ca="1">IFERROR(__xludf.DUMMYFUNCTION("""COMPUTED_VALUE"""),38)</f>
        <v>38</v>
      </c>
      <c r="G273">
        <f ca="1">IFERROR(__xludf.DUMMYFUNCTION("""COMPUTED_VALUE"""),56)</f>
        <v>56</v>
      </c>
    </row>
    <row r="274" spans="1:7" ht="12.75">
      <c r="A274" t="str">
        <f ca="1">IFERROR(__xludf.DUMMYFUNCTION("""COMPUTED_VALUE"""),"T272")</f>
        <v>T272</v>
      </c>
      <c r="B274" t="str">
        <f ca="1">IFERROR(__xludf.DUMMYFUNCTION("""COMPUTED_VALUE"""),"T269")</f>
        <v>T269</v>
      </c>
      <c r="C274" t="str">
        <f ca="1">IFERROR(__xludf.DUMMYFUNCTION("""COMPUTED_VALUE"""),"Thomas Pieters")</f>
        <v>Thomas Pieters</v>
      </c>
      <c r="D274">
        <f ca="1">IFERROR(__xludf.DUMMYFUNCTION("""COMPUTED_VALUE"""),4)</f>
        <v>4</v>
      </c>
      <c r="E274">
        <f ca="1">IFERROR(__xludf.DUMMYFUNCTION("""COMPUTED_VALUE"""),67.86)</f>
        <v>67.86</v>
      </c>
      <c r="F274">
        <f ca="1">IFERROR(__xludf.DUMMYFUNCTION("""COMPUTED_VALUE"""),38)</f>
        <v>38</v>
      </c>
      <c r="G274">
        <f ca="1">IFERROR(__xludf.DUMMYFUNCTION("""COMPUTED_VALUE"""),56)</f>
        <v>56</v>
      </c>
    </row>
    <row r="275" spans="1:7" ht="12.75">
      <c r="A275" t="str">
        <f ca="1">IFERROR(__xludf.DUMMYFUNCTION("""COMPUTED_VALUE"""),"T272")</f>
        <v>T272</v>
      </c>
      <c r="B275" t="str">
        <f ca="1">IFERROR(__xludf.DUMMYFUNCTION("""COMPUTED_VALUE"""),"T269")</f>
        <v>T269</v>
      </c>
      <c r="C275" t="str">
        <f ca="1">IFERROR(__xludf.DUMMYFUNCTION("""COMPUTED_VALUE"""),"John Pak")</f>
        <v>John Pak</v>
      </c>
      <c r="D275">
        <f ca="1">IFERROR(__xludf.DUMMYFUNCTION("""COMPUTED_VALUE"""),4)</f>
        <v>4</v>
      </c>
      <c r="E275">
        <f ca="1">IFERROR(__xludf.DUMMYFUNCTION("""COMPUTED_VALUE"""),67.86)</f>
        <v>67.86</v>
      </c>
      <c r="F275">
        <f ca="1">IFERROR(__xludf.DUMMYFUNCTION("""COMPUTED_VALUE"""),38)</f>
        <v>38</v>
      </c>
      <c r="G275">
        <f ca="1">IFERROR(__xludf.DUMMYFUNCTION("""COMPUTED_VALUE"""),56)</f>
        <v>56</v>
      </c>
    </row>
    <row r="276" spans="1:7" ht="12.75">
      <c r="A276" t="str">
        <f ca="1">IFERROR(__xludf.DUMMYFUNCTION("""COMPUTED_VALUE"""),"T272")</f>
        <v>T272</v>
      </c>
      <c r="B276" t="str">
        <f ca="1">IFERROR(__xludf.DUMMYFUNCTION("""COMPUTED_VALUE"""),"T269")</f>
        <v>T269</v>
      </c>
      <c r="C276" t="str">
        <f ca="1">IFERROR(__xludf.DUMMYFUNCTION("""COMPUTED_VALUE"""),"Hanbyeol Kim")</f>
        <v>Hanbyeol Kim</v>
      </c>
      <c r="D276">
        <f ca="1">IFERROR(__xludf.DUMMYFUNCTION("""COMPUTED_VALUE"""),4)</f>
        <v>4</v>
      </c>
      <c r="E276">
        <f ca="1">IFERROR(__xludf.DUMMYFUNCTION("""COMPUTED_VALUE"""),67.86)</f>
        <v>67.86</v>
      </c>
      <c r="F276">
        <f ca="1">IFERROR(__xludf.DUMMYFUNCTION("""COMPUTED_VALUE"""),38)</f>
        <v>38</v>
      </c>
      <c r="G276">
        <f ca="1">IFERROR(__xludf.DUMMYFUNCTION("""COMPUTED_VALUE"""),56)</f>
        <v>56</v>
      </c>
    </row>
    <row r="277" spans="1:7" ht="12.75">
      <c r="A277">
        <f ca="1">IFERROR(__xludf.DUMMYFUNCTION("""COMPUTED_VALUE"""),276)</f>
        <v>276</v>
      </c>
      <c r="B277" t="str">
        <f ca="1">IFERROR(__xludf.DUMMYFUNCTION("""COMPUTED_VALUE"""),"")</f>
        <v/>
      </c>
      <c r="C277" t="str">
        <f ca="1">IFERROR(__xludf.DUMMYFUNCTION("""COMPUTED_VALUE"""),"Erik Barnes")</f>
        <v>Erik Barnes</v>
      </c>
      <c r="D277">
        <f ca="1">IFERROR(__xludf.DUMMYFUNCTION("""COMPUTED_VALUE"""),4)</f>
        <v>4</v>
      </c>
      <c r="E277">
        <f ca="1">IFERROR(__xludf.DUMMYFUNCTION("""COMPUTED_VALUE"""),67.31)</f>
        <v>67.31</v>
      </c>
      <c r="F277">
        <f ca="1">IFERROR(__xludf.DUMMYFUNCTION("""COMPUTED_VALUE"""),35)</f>
        <v>35</v>
      </c>
      <c r="G277">
        <f ca="1">IFERROR(__xludf.DUMMYFUNCTION("""COMPUTED_VALUE"""),52)</f>
        <v>52</v>
      </c>
    </row>
    <row r="278" spans="1:7" ht="12.75">
      <c r="A278">
        <f ca="1">IFERROR(__xludf.DUMMYFUNCTION("""COMPUTED_VALUE"""),277)</f>
        <v>277</v>
      </c>
      <c r="B278" t="str">
        <f ca="1">IFERROR(__xludf.DUMMYFUNCTION("""COMPUTED_VALUE"""),"T264")</f>
        <v>T264</v>
      </c>
      <c r="C278" t="str">
        <f ca="1">IFERROR(__xludf.DUMMYFUNCTION("""COMPUTED_VALUE"""),"Lee Westwood")</f>
        <v>Lee Westwood</v>
      </c>
      <c r="D278">
        <f ca="1">IFERROR(__xludf.DUMMYFUNCTION("""COMPUTED_VALUE"""),6)</f>
        <v>6</v>
      </c>
      <c r="E278">
        <f ca="1">IFERROR(__xludf.DUMMYFUNCTION("""COMPUTED_VALUE"""),67.07)</f>
        <v>67.069999999999993</v>
      </c>
      <c r="F278">
        <f ca="1">IFERROR(__xludf.DUMMYFUNCTION("""COMPUTED_VALUE"""),55)</f>
        <v>55</v>
      </c>
      <c r="G278">
        <f ca="1">IFERROR(__xludf.DUMMYFUNCTION("""COMPUTED_VALUE"""),82)</f>
        <v>82</v>
      </c>
    </row>
    <row r="279" spans="1:7" ht="12.75">
      <c r="A279">
        <f ca="1">IFERROR(__xludf.DUMMYFUNCTION("""COMPUTED_VALUE"""),278)</f>
        <v>278</v>
      </c>
      <c r="B279">
        <f ca="1">IFERROR(__xludf.DUMMYFUNCTION("""COMPUTED_VALUE"""),273)</f>
        <v>273</v>
      </c>
      <c r="C279" t="str">
        <f ca="1">IFERROR(__xludf.DUMMYFUNCTION("""COMPUTED_VALUE"""),"Jaekyeong Lee")</f>
        <v>Jaekyeong Lee</v>
      </c>
      <c r="D279">
        <f ca="1">IFERROR(__xludf.DUMMYFUNCTION("""COMPUTED_VALUE"""),4)</f>
        <v>4</v>
      </c>
      <c r="E279">
        <f ca="1">IFERROR(__xludf.DUMMYFUNCTION("""COMPUTED_VALUE"""),66.07)</f>
        <v>66.069999999999993</v>
      </c>
      <c r="F279">
        <f ca="1">IFERROR(__xludf.DUMMYFUNCTION("""COMPUTED_VALUE"""),37)</f>
        <v>37</v>
      </c>
      <c r="G279">
        <f ca="1">IFERROR(__xludf.DUMMYFUNCTION("""COMPUTED_VALUE"""),56)</f>
        <v>56</v>
      </c>
    </row>
    <row r="280" spans="1:7" ht="12.75">
      <c r="A280">
        <f ca="1">IFERROR(__xludf.DUMMYFUNCTION("""COMPUTED_VALUE"""),279)</f>
        <v>279</v>
      </c>
      <c r="B280">
        <f ca="1">IFERROR(__xludf.DUMMYFUNCTION("""COMPUTED_VALUE"""),274)</f>
        <v>274</v>
      </c>
      <c r="C280" t="str">
        <f ca="1">IFERROR(__xludf.DUMMYFUNCTION("""COMPUTED_VALUE"""),"Romain Langasque")</f>
        <v>Romain Langasque</v>
      </c>
      <c r="D280">
        <f ca="1">IFERROR(__xludf.DUMMYFUNCTION("""COMPUTED_VALUE"""),4)</f>
        <v>4</v>
      </c>
      <c r="E280">
        <f ca="1">IFERROR(__xludf.DUMMYFUNCTION("""COMPUTED_VALUE"""),64.29)</f>
        <v>64.290000000000006</v>
      </c>
      <c r="F280">
        <f ca="1">IFERROR(__xludf.DUMMYFUNCTION("""COMPUTED_VALUE"""),36)</f>
        <v>36</v>
      </c>
      <c r="G280">
        <f ca="1">IFERROR(__xludf.DUMMYFUNCTION("""COMPUTED_VALUE"""),56)</f>
        <v>56</v>
      </c>
    </row>
    <row r="281" spans="1:7" ht="12.75">
      <c r="A281">
        <f ca="1">IFERROR(__xludf.DUMMYFUNCTION("""COMPUTED_VALUE"""),280)</f>
        <v>280</v>
      </c>
      <c r="B281" t="str">
        <f ca="1">IFERROR(__xludf.DUMMYFUNCTION("""COMPUTED_VALUE"""),"T279")</f>
        <v>T279</v>
      </c>
      <c r="C281" t="str">
        <f ca="1">IFERROR(__xludf.DUMMYFUNCTION("""COMPUTED_VALUE"""),"Adam Scott")</f>
        <v>Adam Scott</v>
      </c>
      <c r="D281">
        <f ca="1">IFERROR(__xludf.DUMMYFUNCTION("""COMPUTED_VALUE"""),8)</f>
        <v>8</v>
      </c>
      <c r="E281">
        <f ca="1">IFERROR(__xludf.DUMMYFUNCTION("""COMPUTED_VALUE"""),63.89)</f>
        <v>63.89</v>
      </c>
      <c r="F281">
        <f ca="1">IFERROR(__xludf.DUMMYFUNCTION("""COMPUTED_VALUE"""),69)</f>
        <v>69</v>
      </c>
      <c r="G281">
        <f ca="1">IFERROR(__xludf.DUMMYFUNCTION("""COMPUTED_VALUE"""),108)</f>
        <v>108</v>
      </c>
    </row>
    <row r="282" spans="1:7" ht="12.75">
      <c r="A282">
        <f ca="1">IFERROR(__xludf.DUMMYFUNCTION("""COMPUTED_VALUE"""),281)</f>
        <v>281</v>
      </c>
      <c r="B282">
        <f ca="1">IFERROR(__xludf.DUMMYFUNCTION("""COMPUTED_VALUE"""),275)</f>
        <v>275</v>
      </c>
      <c r="C282" t="str">
        <f ca="1">IFERROR(__xludf.DUMMYFUNCTION("""COMPUTED_VALUE"""),"Luke Schniederjans")</f>
        <v>Luke Schniederjans</v>
      </c>
      <c r="D282">
        <f ca="1">IFERROR(__xludf.DUMMYFUNCTION("""COMPUTED_VALUE"""),4)</f>
        <v>4</v>
      </c>
      <c r="E282">
        <f ca="1">IFERROR(__xludf.DUMMYFUNCTION("""COMPUTED_VALUE"""),62.5)</f>
        <v>62.5</v>
      </c>
      <c r="F282">
        <f ca="1">IFERROR(__xludf.DUMMYFUNCTION("""COMPUTED_VALUE"""),35)</f>
        <v>35</v>
      </c>
      <c r="G282">
        <f ca="1">IFERROR(__xludf.DUMMYFUNCTION("""COMPUTED_VALUE"""),56)</f>
        <v>56</v>
      </c>
    </row>
    <row r="283" spans="1:7" ht="12.75">
      <c r="A283">
        <f ca="1">IFERROR(__xludf.DUMMYFUNCTION("""COMPUTED_VALUE"""),282)</f>
        <v>282</v>
      </c>
      <c r="B283">
        <f ca="1">IFERROR(__xludf.DUMMYFUNCTION("""COMPUTED_VALUE"""),276)</f>
        <v>276</v>
      </c>
      <c r="C283" t="str">
        <f ca="1">IFERROR(__xludf.DUMMYFUNCTION("""COMPUTED_VALUE"""),"Gary Woodland")</f>
        <v>Gary Woodland</v>
      </c>
      <c r="D283">
        <f ca="1">IFERROR(__xludf.DUMMYFUNCTION("""COMPUTED_VALUE"""),6)</f>
        <v>6</v>
      </c>
      <c r="E283">
        <f ca="1">IFERROR(__xludf.DUMMYFUNCTION("""COMPUTED_VALUE"""),61.9)</f>
        <v>61.9</v>
      </c>
      <c r="F283">
        <f ca="1">IFERROR(__xludf.DUMMYFUNCTION("""COMPUTED_VALUE"""),52)</f>
        <v>52</v>
      </c>
      <c r="G283">
        <f ca="1">IFERROR(__xludf.DUMMYFUNCTION("""COMPUTED_VALUE"""),84)</f>
        <v>84</v>
      </c>
    </row>
    <row r="284" spans="1:7" ht="12.75">
      <c r="A284" t="str">
        <f ca="1">IFERROR(__xludf.DUMMYFUNCTION("""COMPUTED_VALUE"""),"T283")</f>
        <v>T283</v>
      </c>
      <c r="B284" t="str">
        <f ca="1">IFERROR(__xludf.DUMMYFUNCTION("""COMPUTED_VALUE"""),"T277")</f>
        <v>T277</v>
      </c>
      <c r="C284" t="str">
        <f ca="1">IFERROR(__xludf.DUMMYFUNCTION("""COMPUTED_VALUE"""),"Kurt Kitayama")</f>
        <v>Kurt Kitayama</v>
      </c>
      <c r="D284">
        <f ca="1">IFERROR(__xludf.DUMMYFUNCTION("""COMPUTED_VALUE"""),4)</f>
        <v>4</v>
      </c>
      <c r="E284">
        <f ca="1">IFERROR(__xludf.DUMMYFUNCTION("""COMPUTED_VALUE"""),60.71)</f>
        <v>60.71</v>
      </c>
      <c r="F284">
        <f ca="1">IFERROR(__xludf.DUMMYFUNCTION("""COMPUTED_VALUE"""),34)</f>
        <v>34</v>
      </c>
      <c r="G284">
        <f ca="1">IFERROR(__xludf.DUMMYFUNCTION("""COMPUTED_VALUE"""),56)</f>
        <v>56</v>
      </c>
    </row>
    <row r="285" spans="1:7" ht="12.75">
      <c r="A285" t="str">
        <f ca="1">IFERROR(__xludf.DUMMYFUNCTION("""COMPUTED_VALUE"""),"T283")</f>
        <v>T283</v>
      </c>
      <c r="B285" t="str">
        <f ca="1">IFERROR(__xludf.DUMMYFUNCTION("""COMPUTED_VALUE"""),"T277")</f>
        <v>T277</v>
      </c>
      <c r="C285" t="str">
        <f ca="1">IFERROR(__xludf.DUMMYFUNCTION("""COMPUTED_VALUE"""),"Lucas Herbert")</f>
        <v>Lucas Herbert</v>
      </c>
      <c r="D285">
        <f ca="1">IFERROR(__xludf.DUMMYFUNCTION("""COMPUTED_VALUE"""),4)</f>
        <v>4</v>
      </c>
      <c r="E285">
        <f ca="1">IFERROR(__xludf.DUMMYFUNCTION("""COMPUTED_VALUE"""),60.71)</f>
        <v>60.71</v>
      </c>
      <c r="F285">
        <f ca="1">IFERROR(__xludf.DUMMYFUNCTION("""COMPUTED_VALUE"""),34)</f>
        <v>34</v>
      </c>
      <c r="G285">
        <f ca="1">IFERROR(__xludf.DUMMYFUNCTION("""COMPUTED_VALUE"""),56)</f>
        <v>56</v>
      </c>
    </row>
    <row r="286" spans="1:7" ht="12.75">
      <c r="A286">
        <f ca="1">IFERROR(__xludf.DUMMYFUNCTION("""COMPUTED_VALUE"""),285)</f>
        <v>285</v>
      </c>
      <c r="B286" t="str">
        <f ca="1">IFERROR(__xludf.DUMMYFUNCTION("""COMPUTED_VALUE"""),"T279")</f>
        <v>T279</v>
      </c>
      <c r="C286" t="str">
        <f ca="1">IFERROR(__xludf.DUMMYFUNCTION("""COMPUTED_VALUE"""),"Stephan Jaeger")</f>
        <v>Stephan Jaeger</v>
      </c>
      <c r="D286">
        <f ca="1">IFERROR(__xludf.DUMMYFUNCTION("""COMPUTED_VALUE"""),4)</f>
        <v>4</v>
      </c>
      <c r="E286">
        <f ca="1">IFERROR(__xludf.DUMMYFUNCTION("""COMPUTED_VALUE"""),58.93)</f>
        <v>58.93</v>
      </c>
      <c r="F286">
        <f ca="1">IFERROR(__xludf.DUMMYFUNCTION("""COMPUTED_VALUE"""),33)</f>
        <v>33</v>
      </c>
      <c r="G286">
        <f ca="1">IFERROR(__xludf.DUMMYFUNCTION("""COMPUTED_VALUE"""),56)</f>
        <v>56</v>
      </c>
    </row>
    <row r="287" spans="1:7" ht="12.75">
      <c r="A287" t="str">
        <f ca="1">IFERROR(__xludf.DUMMYFUNCTION("""COMPUTED_VALUE"""),"T286")</f>
        <v>T286</v>
      </c>
      <c r="B287" t="str">
        <f ca="1">IFERROR(__xludf.DUMMYFUNCTION("""COMPUTED_VALUE"""),"T281")</f>
        <v>T281</v>
      </c>
      <c r="C287" t="str">
        <f ca="1">IFERROR(__xludf.DUMMYFUNCTION("""COMPUTED_VALUE"""),"Renato Paratore")</f>
        <v>Renato Paratore</v>
      </c>
      <c r="D287">
        <f ca="1">IFERROR(__xludf.DUMMYFUNCTION("""COMPUTED_VALUE"""),4)</f>
        <v>4</v>
      </c>
      <c r="E287">
        <f ca="1">IFERROR(__xludf.DUMMYFUNCTION("""COMPUTED_VALUE"""),57.14)</f>
        <v>57.14</v>
      </c>
      <c r="F287">
        <f ca="1">IFERROR(__xludf.DUMMYFUNCTION("""COMPUTED_VALUE"""),32)</f>
        <v>32</v>
      </c>
      <c r="G287">
        <f ca="1">IFERROR(__xludf.DUMMYFUNCTION("""COMPUTED_VALUE"""),56)</f>
        <v>56</v>
      </c>
    </row>
    <row r="288" spans="1:7" ht="12.75">
      <c r="A288" t="str">
        <f ca="1">IFERROR(__xludf.DUMMYFUNCTION("""COMPUTED_VALUE"""),"T286")</f>
        <v>T286</v>
      </c>
      <c r="B288" t="str">
        <f ca="1">IFERROR(__xludf.DUMMYFUNCTION("""COMPUTED_VALUE"""),"T281")</f>
        <v>T281</v>
      </c>
      <c r="C288" t="str">
        <f ca="1">IFERROR(__xludf.DUMMYFUNCTION("""COMPUTED_VALUE"""),"Christiaan Bezuidenhout")</f>
        <v>Christiaan Bezuidenhout</v>
      </c>
      <c r="D288">
        <f ca="1">IFERROR(__xludf.DUMMYFUNCTION("""COMPUTED_VALUE"""),4)</f>
        <v>4</v>
      </c>
      <c r="E288">
        <f ca="1">IFERROR(__xludf.DUMMYFUNCTION("""COMPUTED_VALUE"""),57.14)</f>
        <v>57.14</v>
      </c>
      <c r="F288">
        <f ca="1">IFERROR(__xludf.DUMMYFUNCTION("""COMPUTED_VALUE"""),32)</f>
        <v>32</v>
      </c>
      <c r="G288">
        <f ca="1">IFERROR(__xludf.DUMMYFUNCTION("""COMPUTED_VALUE"""),56)</f>
        <v>56</v>
      </c>
    </row>
    <row r="289" spans="1:7" ht="12.75">
      <c r="A289" t="str">
        <f ca="1">IFERROR(__xludf.DUMMYFUNCTION("""COMPUTED_VALUE"""),"T286")</f>
        <v>T286</v>
      </c>
      <c r="B289" t="str">
        <f ca="1">IFERROR(__xludf.DUMMYFUNCTION("""COMPUTED_VALUE"""),"T281")</f>
        <v>T281</v>
      </c>
      <c r="C289" t="str">
        <f ca="1">IFERROR(__xludf.DUMMYFUNCTION("""COMPUTED_VALUE"""),"Taylor Pendrith")</f>
        <v>Taylor Pendrith</v>
      </c>
      <c r="D289">
        <f ca="1">IFERROR(__xludf.DUMMYFUNCTION("""COMPUTED_VALUE"""),4)</f>
        <v>4</v>
      </c>
      <c r="E289">
        <f ca="1">IFERROR(__xludf.DUMMYFUNCTION("""COMPUTED_VALUE"""),57.14)</f>
        <v>57.14</v>
      </c>
      <c r="F289">
        <f ca="1">IFERROR(__xludf.DUMMYFUNCTION("""COMPUTED_VALUE"""),32)</f>
        <v>32</v>
      </c>
      <c r="G289">
        <f ca="1">IFERROR(__xludf.DUMMYFUNCTION("""COMPUTED_VALUE"""),56)</f>
        <v>56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IFERROR(__xludf.DUMMYFUNCTION("""COMPUTED_VALUE"""),"Robert MacIntyre")</f>
        <v>Robert MacIntyre</v>
      </c>
      <c r="D290">
        <f ca="1">IFERROR(__xludf.DUMMYFUNCTION("""COMPUTED_VALUE"""),4)</f>
        <v>4</v>
      </c>
      <c r="E290">
        <f ca="1">IFERROR(__xludf.DUMMYFUNCTION("""COMPUTED_VALUE"""),55.36)</f>
        <v>55.36</v>
      </c>
      <c r="F290">
        <f ca="1">IFERROR(__xludf.DUMMYFUNCTION("""COMPUTED_VALUE"""),31)</f>
        <v>31</v>
      </c>
      <c r="G290">
        <f ca="1">IFERROR(__xludf.DUMMYFUNCTION("""COMPUTED_VALUE"""),56)</f>
        <v>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277"/>
  <sheetViews>
    <sheetView workbookViewId="0"/>
  </sheetViews>
  <sheetFormatPr defaultColWidth="14.42578125" defaultRowHeight="15.75" customHeight="1"/>
  <sheetData>
    <row r="1" spans="1:9" ht="15.75" customHeight="1">
      <c r="A1" t="str">
        <f ca="1">IFERROR(__xludf.DUMMYFUNCTION("importhtml(""http://www.pgatour.com/stats/stat.02674.html"",""table"",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IFERROR(__xludf.DUMMYFUNCTION("""COMPUTED_VALUE"""),"SG:OTT")</f>
        <v>SG:OTT</v>
      </c>
      <c r="G1" t="str">
        <f ca="1">IFERROR(__xludf.DUMMYFUNCTION("""COMPUTED_VALUE"""),"SG:APR")</f>
        <v>SG:APR</v>
      </c>
      <c r="H1" t="str">
        <f ca="1">IFERROR(__xludf.DUMMYFUNCTION("""COMPUTED_VALUE"""),"SG:ARG")</f>
        <v>SG:ARG</v>
      </c>
      <c r="I1" t="str">
        <f ca="1">IFERROR(__xludf.DUMMYFUNCTION("""COMPUTED_VALUE"""),"MEASURED ROUNDS")</f>
        <v>MEASURED ROUNDS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IFERROR(__xludf.DUMMYFUNCTION("""COMPUTED_VALUE"""),3.25)</f>
        <v>3.25</v>
      </c>
      <c r="F2">
        <f ca="1">IFERROR(__xludf.DUMMYFUNCTION("""COMPUTED_VALUE"""),1.297)</f>
        <v>1.2969999999999999</v>
      </c>
      <c r="G2">
        <f ca="1">IFERROR(__xludf.DUMMYFUNCTION("""COMPUTED_VALUE"""),1.331)</f>
        <v>1.331</v>
      </c>
      <c r="H2">
        <f ca="1">IFERROR(__xludf.DUMMYFUNCTION("""COMPUTED_VALUE"""),0.622)</f>
        <v>0.622</v>
      </c>
      <c r="I2">
        <f ca="1">IFERROR(__xludf.DUMMYFUNCTION("""COMPUTED_VALUE"""),8)</f>
        <v>8</v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IFERROR(__xludf.DUMMYFUNCTION("""COMPUTED_VALUE"""),"Dustin Johnson")</f>
        <v>Dustin Johnson</v>
      </c>
      <c r="D3">
        <f ca="1">IFERROR(__xludf.DUMMYFUNCTION("""COMPUTED_VALUE"""),8)</f>
        <v>8</v>
      </c>
      <c r="E3">
        <f ca="1">IFERROR(__xludf.DUMMYFUNCTION("""COMPUTED_VALUE"""),2.64)</f>
        <v>2.64</v>
      </c>
      <c r="F3">
        <f ca="1">IFERROR(__xludf.DUMMYFUNCTION("""COMPUTED_VALUE"""),0.879)</f>
        <v>0.879</v>
      </c>
      <c r="G3">
        <f ca="1">IFERROR(__xludf.DUMMYFUNCTION("""COMPUTED_VALUE"""),1.315)</f>
        <v>1.3149999999999999</v>
      </c>
      <c r="H3">
        <f ca="1">IFERROR(__xludf.DUMMYFUNCTION("""COMPUTED_VALUE"""),0.446)</f>
        <v>0.44600000000000001</v>
      </c>
      <c r="I3">
        <f ca="1">IFERROR(__xludf.DUMMYFUNCTION("""COMPUTED_VALUE"""),8)</f>
        <v>8</v>
      </c>
    </row>
    <row r="4" spans="1:9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IFERROR(__xludf.DUMMYFUNCTION("""COMPUTED_VALUE"""),"Thomas Pieters")</f>
        <v>Thomas Pieters</v>
      </c>
      <c r="D4">
        <f ca="1">IFERROR(__xludf.DUMMYFUNCTION("""COMPUTED_VALUE"""),4)</f>
        <v>4</v>
      </c>
      <c r="E4">
        <f ca="1">IFERROR(__xludf.DUMMYFUNCTION("""COMPUTED_VALUE"""),2.638)</f>
        <v>2.6379999999999999</v>
      </c>
      <c r="F4">
        <f ca="1">IFERROR(__xludf.DUMMYFUNCTION("""COMPUTED_VALUE"""),0.728)</f>
        <v>0.72799999999999998</v>
      </c>
      <c r="G4">
        <f ca="1">IFERROR(__xludf.DUMMYFUNCTION("""COMPUTED_VALUE"""),1.347)</f>
        <v>1.347</v>
      </c>
      <c r="H4">
        <f ca="1">IFERROR(__xludf.DUMMYFUNCTION("""COMPUTED_VALUE"""),0.562)</f>
        <v>0.56200000000000006</v>
      </c>
      <c r="I4">
        <f ca="1">IFERROR(__xludf.DUMMYFUNCTION("""COMPUTED_VALUE"""),4)</f>
        <v>4</v>
      </c>
    </row>
    <row r="5" spans="1:9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IFERROR(__xludf.DUMMYFUNCTION("""COMPUTED_VALUE"""),"Bubba Watson")</f>
        <v>Bubba Watson</v>
      </c>
      <c r="D5">
        <f ca="1">IFERROR(__xludf.DUMMYFUNCTION("""COMPUTED_VALUE"""),12)</f>
        <v>12</v>
      </c>
      <c r="E5">
        <f ca="1">IFERROR(__xludf.DUMMYFUNCTION("""COMPUTED_VALUE"""),2.484)</f>
        <v>2.484</v>
      </c>
      <c r="F5">
        <f ca="1">IFERROR(__xludf.DUMMYFUNCTION("""COMPUTED_VALUE"""),0.947)</f>
        <v>0.94699999999999995</v>
      </c>
      <c r="G5">
        <f ca="1">IFERROR(__xludf.DUMMYFUNCTION("""COMPUTED_VALUE"""),1.191)</f>
        <v>1.1910000000000001</v>
      </c>
      <c r="H5">
        <f ca="1">IFERROR(__xludf.DUMMYFUNCTION("""COMPUTED_VALUE"""),0.345)</f>
        <v>0.34499999999999997</v>
      </c>
      <c r="I5">
        <f ca="1">IFERROR(__xludf.DUMMYFUNCTION("""COMPUTED_VALUE"""),12)</f>
        <v>12</v>
      </c>
    </row>
    <row r="6" spans="1:9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IFERROR(__xludf.DUMMYFUNCTION("""COMPUTED_VALUE"""),"Bud Cauley")</f>
        <v>Bud Cauley</v>
      </c>
      <c r="D6">
        <f ca="1">IFERROR(__xludf.DUMMYFUNCTION("""COMPUTED_VALUE"""),4)</f>
        <v>4</v>
      </c>
      <c r="E6">
        <f ca="1">IFERROR(__xludf.DUMMYFUNCTION("""COMPUTED_VALUE"""),2.271)</f>
        <v>2.2709999999999999</v>
      </c>
      <c r="F6">
        <f ca="1">IFERROR(__xludf.DUMMYFUNCTION("""COMPUTED_VALUE"""),0.905)</f>
        <v>0.90500000000000003</v>
      </c>
      <c r="G6">
        <f ca="1">IFERROR(__xludf.DUMMYFUNCTION("""COMPUTED_VALUE"""),0.517)</f>
        <v>0.51700000000000002</v>
      </c>
      <c r="H6">
        <f ca="1">IFERROR(__xludf.DUMMYFUNCTION("""COMPUTED_VALUE"""),0.848)</f>
        <v>0.84799999999999998</v>
      </c>
      <c r="I6">
        <f ca="1">IFERROR(__xludf.DUMMYFUNCTION("""COMPUTED_VALUE"""),4)</f>
        <v>4</v>
      </c>
    </row>
    <row r="7" spans="1:9" ht="15.75" customHeight="1">
      <c r="A7">
        <f ca="1">IFERROR(__xludf.DUMMYFUNCTION("""COMPUTED_VALUE"""),6)</f>
        <v>6</v>
      </c>
      <c r="B7">
        <f ca="1">IFERROR(__xludf.DUMMYFUNCTION("""COMPUTED_VALUE"""),10)</f>
        <v>10</v>
      </c>
      <c r="C7" t="str">
        <f ca="1">IFERROR(__xludf.DUMMYFUNCTION("""COMPUTED_VALUE"""),"Will Zalatoris")</f>
        <v>Will Zalatoris</v>
      </c>
      <c r="D7">
        <f ca="1">IFERROR(__xludf.DUMMYFUNCTION("""COMPUTED_VALUE"""),18)</f>
        <v>18</v>
      </c>
      <c r="E7">
        <f ca="1">IFERROR(__xludf.DUMMYFUNCTION("""COMPUTED_VALUE"""),1.902)</f>
        <v>1.9019999999999999</v>
      </c>
      <c r="F7">
        <f ca="1">IFERROR(__xludf.DUMMYFUNCTION("""COMPUTED_VALUE"""),0.733)</f>
        <v>0.73299999999999998</v>
      </c>
      <c r="G7">
        <f ca="1">IFERROR(__xludf.DUMMYFUNCTION("""COMPUTED_VALUE"""),1.153)</f>
        <v>1.153</v>
      </c>
      <c r="H7">
        <f ca="1">IFERROR(__xludf.DUMMYFUNCTION("""COMPUTED_VALUE"""),0.017)</f>
        <v>1.7000000000000001E-2</v>
      </c>
      <c r="I7">
        <f ca="1">IFERROR(__xludf.DUMMYFUNCTION("""COMPUTED_VALUE"""),10)</f>
        <v>10</v>
      </c>
    </row>
    <row r="8" spans="1:9" ht="15.75" customHeight="1">
      <c r="A8">
        <f ca="1">IFERROR(__xludf.DUMMYFUNCTION("""COMPUTED_VALUE"""),7)</f>
        <v>7</v>
      </c>
      <c r="B8">
        <f ca="1">IFERROR(__xludf.DUMMYFUNCTION("""COMPUTED_VALUE"""),11)</f>
        <v>11</v>
      </c>
      <c r="C8" t="str">
        <f ca="1">IFERROR(__xludf.DUMMYFUNCTION("""COMPUTED_VALUE"""),"J.J. Spaun")</f>
        <v>J.J. Spaun</v>
      </c>
      <c r="D8">
        <f ca="1">IFERROR(__xludf.DUMMYFUNCTION("""COMPUTED_VALUE"""),10)</f>
        <v>10</v>
      </c>
      <c r="E8">
        <f ca="1">IFERROR(__xludf.DUMMYFUNCTION("""COMPUTED_VALUE"""),1.857)</f>
        <v>1.857</v>
      </c>
      <c r="F8">
        <f ca="1">IFERROR(__xludf.DUMMYFUNCTION("""COMPUTED_VALUE"""),0.634)</f>
        <v>0.63400000000000001</v>
      </c>
      <c r="G8">
        <f ca="1">IFERROR(__xludf.DUMMYFUNCTION("""COMPUTED_VALUE"""),1.255)</f>
        <v>1.2549999999999999</v>
      </c>
      <c r="H8">
        <f ca="1">IFERROR(__xludf.DUMMYFUNCTION("""COMPUTED_VALUE"""),-0.033)</f>
        <v>-3.3000000000000002E-2</v>
      </c>
      <c r="I8">
        <f ca="1">IFERROR(__xludf.DUMMYFUNCTION("""COMPUTED_VALUE"""),6)</f>
        <v>6</v>
      </c>
    </row>
    <row r="9" spans="1:9" ht="15.75" customHeight="1">
      <c r="A9">
        <f ca="1">IFERROR(__xludf.DUMMYFUNCTION("""COMPUTED_VALUE"""),8)</f>
        <v>8</v>
      </c>
      <c r="B9">
        <f ca="1">IFERROR(__xludf.DUMMYFUNCTION("""COMPUTED_VALUE"""),12)</f>
        <v>12</v>
      </c>
      <c r="C9" t="str">
        <f ca="1">IFERROR(__xludf.DUMMYFUNCTION("""COMPUTED_VALUE"""),"Jon Rahm")</f>
        <v>Jon Rahm</v>
      </c>
      <c r="D9">
        <f ca="1">IFERROR(__xludf.DUMMYFUNCTION("""COMPUTED_VALUE"""),12)</f>
        <v>12</v>
      </c>
      <c r="E9">
        <f ca="1">IFERROR(__xludf.DUMMYFUNCTION("""COMPUTED_VALUE"""),1.853)</f>
        <v>1.853</v>
      </c>
      <c r="F9">
        <f ca="1">IFERROR(__xludf.DUMMYFUNCTION("""COMPUTED_VALUE"""),1.138)</f>
        <v>1.1379999999999999</v>
      </c>
      <c r="G9">
        <f ca="1">IFERROR(__xludf.DUMMYFUNCTION("""COMPUTED_VALUE"""),0.643)</f>
        <v>0.64300000000000002</v>
      </c>
      <c r="H9">
        <f ca="1">IFERROR(__xludf.DUMMYFUNCTION("""COMPUTED_VALUE"""),0.071)</f>
        <v>7.0999999999999994E-2</v>
      </c>
      <c r="I9">
        <f ca="1">IFERROR(__xludf.DUMMYFUNCTION("""COMPUTED_VALUE"""),12)</f>
        <v>12</v>
      </c>
    </row>
    <row r="10" spans="1:9" ht="15.75" customHeight="1">
      <c r="A10">
        <f ca="1">IFERROR(__xludf.DUMMYFUNCTION("""COMPUTED_VALUE"""),9)</f>
        <v>9</v>
      </c>
      <c r="B10">
        <f ca="1">IFERROR(__xludf.DUMMYFUNCTION("""COMPUTED_VALUE"""),8)</f>
        <v>8</v>
      </c>
      <c r="C10" t="str">
        <f ca="1">IFERROR(__xludf.DUMMYFUNCTION("""COMPUTED_VALUE"""),"Russell Henley")</f>
        <v>Russell Henley</v>
      </c>
      <c r="D10">
        <f ca="1">IFERROR(__xludf.DUMMYFUNCTION("""COMPUTED_VALUE"""),16)</f>
        <v>16</v>
      </c>
      <c r="E10">
        <f ca="1">IFERROR(__xludf.DUMMYFUNCTION("""COMPUTED_VALUE"""),1.805)</f>
        <v>1.8049999999999999</v>
      </c>
      <c r="F10">
        <f ca="1">IFERROR(__xludf.DUMMYFUNCTION("""COMPUTED_VALUE"""),0.319)</f>
        <v>0.31900000000000001</v>
      </c>
      <c r="G10">
        <f ca="1">IFERROR(__xludf.DUMMYFUNCTION("""COMPUTED_VALUE"""),1.251)</f>
        <v>1.2509999999999999</v>
      </c>
      <c r="H10">
        <f ca="1">IFERROR(__xludf.DUMMYFUNCTION("""COMPUTED_VALUE"""),0.235)</f>
        <v>0.23499999999999999</v>
      </c>
      <c r="I10">
        <f ca="1">IFERROR(__xludf.DUMMYFUNCTION("""COMPUTED_VALUE"""),16)</f>
        <v>16</v>
      </c>
    </row>
    <row r="11" spans="1:9" ht="15.75" customHeight="1">
      <c r="A11">
        <f ca="1">IFERROR(__xludf.DUMMYFUNCTION("""COMPUTED_VALUE"""),10)</f>
        <v>10</v>
      </c>
      <c r="B11">
        <f ca="1">IFERROR(__xludf.DUMMYFUNCTION("""COMPUTED_VALUE"""),15)</f>
        <v>15</v>
      </c>
      <c r="C11" t="str">
        <f ca="1">IFERROR(__xludf.DUMMYFUNCTION("""COMPUTED_VALUE"""),"Nelson Ledesma")</f>
        <v>Nelson Ledesma</v>
      </c>
      <c r="D11">
        <f ca="1">IFERROR(__xludf.DUMMYFUNCTION("""COMPUTED_VALUE"""),8)</f>
        <v>8</v>
      </c>
      <c r="E11">
        <f ca="1">IFERROR(__xludf.DUMMYFUNCTION("""COMPUTED_VALUE"""),1.674)</f>
        <v>1.6739999999999999</v>
      </c>
      <c r="F11">
        <f ca="1">IFERROR(__xludf.DUMMYFUNCTION("""COMPUTED_VALUE"""),0.375)</f>
        <v>0.375</v>
      </c>
      <c r="G11">
        <f ca="1">IFERROR(__xludf.DUMMYFUNCTION("""COMPUTED_VALUE"""),1.488)</f>
        <v>1.488</v>
      </c>
      <c r="H11">
        <f ca="1">IFERROR(__xludf.DUMMYFUNCTION("""COMPUTED_VALUE"""),-0.189)</f>
        <v>-0.189</v>
      </c>
      <c r="I11">
        <f ca="1">IFERROR(__xludf.DUMMYFUNCTION("""COMPUTED_VALUE"""),4)</f>
        <v>4</v>
      </c>
    </row>
    <row r="12" spans="1:9" ht="15.75" customHeight="1">
      <c r="A12">
        <f ca="1">IFERROR(__xludf.DUMMYFUNCTION("""COMPUTED_VALUE"""),11)</f>
        <v>11</v>
      </c>
      <c r="B12">
        <f ca="1">IFERROR(__xludf.DUMMYFUNCTION("""COMPUTED_VALUE"""),7)</f>
        <v>7</v>
      </c>
      <c r="C12" t="str">
        <f ca="1">IFERROR(__xludf.DUMMYFUNCTION("""COMPUTED_VALUE"""),"Tony Finau")</f>
        <v>Tony Finau</v>
      </c>
      <c r="D12">
        <f ca="1">IFERROR(__xludf.DUMMYFUNCTION("""COMPUTED_VALUE"""),12)</f>
        <v>12</v>
      </c>
      <c r="E12">
        <f ca="1">IFERROR(__xludf.DUMMYFUNCTION("""COMPUTED_VALUE"""),1.611)</f>
        <v>1.611</v>
      </c>
      <c r="F12">
        <f ca="1">IFERROR(__xludf.DUMMYFUNCTION("""COMPUTED_VALUE"""),0.34)</f>
        <v>0.34</v>
      </c>
      <c r="G12">
        <f ca="1">IFERROR(__xludf.DUMMYFUNCTION("""COMPUTED_VALUE"""),0.932)</f>
        <v>0.93200000000000005</v>
      </c>
      <c r="H12">
        <f ca="1">IFERROR(__xludf.DUMMYFUNCTION("""COMPUTED_VALUE"""),0.338)</f>
        <v>0.33800000000000002</v>
      </c>
      <c r="I12">
        <f ca="1">IFERROR(__xludf.DUMMYFUNCTION("""COMPUTED_VALUE"""),12)</f>
        <v>12</v>
      </c>
    </row>
    <row r="13" spans="1:9" ht="15.75" customHeight="1">
      <c r="A13">
        <f ca="1">IFERROR(__xludf.DUMMYFUNCTION("""COMPUTED_VALUE"""),12)</f>
        <v>12</v>
      </c>
      <c r="B13">
        <f ca="1">IFERROR(__xludf.DUMMYFUNCTION("""COMPUTED_VALUE"""),16)</f>
        <v>16</v>
      </c>
      <c r="C13" t="str">
        <f ca="1">IFERROR(__xludf.DUMMYFUNCTION("""COMPUTED_VALUE"""),"Xander Schauffele")</f>
        <v>Xander Schauffele</v>
      </c>
      <c r="D13">
        <f ca="1">IFERROR(__xludf.DUMMYFUNCTION("""COMPUTED_VALUE"""),12)</f>
        <v>12</v>
      </c>
      <c r="E13">
        <f ca="1">IFERROR(__xludf.DUMMYFUNCTION("""COMPUTED_VALUE"""),1.567)</f>
        <v>1.5669999999999999</v>
      </c>
      <c r="F13">
        <f ca="1">IFERROR(__xludf.DUMMYFUNCTION("""COMPUTED_VALUE"""),0.249)</f>
        <v>0.249</v>
      </c>
      <c r="G13">
        <f ca="1">IFERROR(__xludf.DUMMYFUNCTION("""COMPUTED_VALUE"""),0.625)</f>
        <v>0.625</v>
      </c>
      <c r="H13">
        <f ca="1">IFERROR(__xludf.DUMMYFUNCTION("""COMPUTED_VALUE"""),0.694)</f>
        <v>0.69399999999999995</v>
      </c>
      <c r="I13">
        <f ca="1">IFERROR(__xludf.DUMMYFUNCTION("""COMPUTED_VALUE"""),12)</f>
        <v>12</v>
      </c>
    </row>
    <row r="14" spans="1:9" ht="15.75" customHeight="1">
      <c r="A14">
        <f ca="1">IFERROR(__xludf.DUMMYFUNCTION("""COMPUTED_VALUE"""),13)</f>
        <v>13</v>
      </c>
      <c r="B14">
        <f ca="1">IFERROR(__xludf.DUMMYFUNCTION("""COMPUTED_VALUE"""),17)</f>
        <v>17</v>
      </c>
      <c r="C14" t="str">
        <f ca="1">IFERROR(__xludf.DUMMYFUNCTION("""COMPUTED_VALUE"""),"Josh Teater")</f>
        <v>Josh Teater</v>
      </c>
      <c r="D14">
        <f ca="1">IFERROR(__xludf.DUMMYFUNCTION("""COMPUTED_VALUE"""),6)</f>
        <v>6</v>
      </c>
      <c r="E14">
        <f ca="1">IFERROR(__xludf.DUMMYFUNCTION("""COMPUTED_VALUE"""),1.55)</f>
        <v>1.55</v>
      </c>
      <c r="F14">
        <f ca="1">IFERROR(__xludf.DUMMYFUNCTION("""COMPUTED_VALUE"""),0.436)</f>
        <v>0.436</v>
      </c>
      <c r="G14">
        <f ca="1">IFERROR(__xludf.DUMMYFUNCTION("""COMPUTED_VALUE"""),0.503)</f>
        <v>0.503</v>
      </c>
      <c r="H14">
        <f ca="1">IFERROR(__xludf.DUMMYFUNCTION("""COMPUTED_VALUE"""),0.61)</f>
        <v>0.61</v>
      </c>
      <c r="I14">
        <f ca="1">IFERROR(__xludf.DUMMYFUNCTION("""COMPUTED_VALUE"""),2)</f>
        <v>2</v>
      </c>
    </row>
    <row r="15" spans="1:9" ht="15.75" customHeight="1">
      <c r="A15">
        <f ca="1">IFERROR(__xludf.DUMMYFUNCTION("""COMPUTED_VALUE"""),14)</f>
        <v>14</v>
      </c>
      <c r="B15">
        <f ca="1">IFERROR(__xludf.DUMMYFUNCTION("""COMPUTED_VALUE"""),25)</f>
        <v>25</v>
      </c>
      <c r="C15" t="str">
        <f ca="1">IFERROR(__xludf.DUMMYFUNCTION("""COMPUTED_VALUE"""),"Hideki Matsuyama")</f>
        <v>Hideki Matsuyama</v>
      </c>
      <c r="D15">
        <f ca="1">IFERROR(__xludf.DUMMYFUNCTION("""COMPUTED_VALUE"""),18)</f>
        <v>18</v>
      </c>
      <c r="E15">
        <f ca="1">IFERROR(__xludf.DUMMYFUNCTION("""COMPUTED_VALUE"""),1.549)</f>
        <v>1.5489999999999999</v>
      </c>
      <c r="F15">
        <f ca="1">IFERROR(__xludf.DUMMYFUNCTION("""COMPUTED_VALUE"""),0.392)</f>
        <v>0.39200000000000002</v>
      </c>
      <c r="G15">
        <f ca="1">IFERROR(__xludf.DUMMYFUNCTION("""COMPUTED_VALUE"""),0.634)</f>
        <v>0.63400000000000001</v>
      </c>
      <c r="H15">
        <f ca="1">IFERROR(__xludf.DUMMYFUNCTION("""COMPUTED_VALUE"""),0.522)</f>
        <v>0.52200000000000002</v>
      </c>
      <c r="I15">
        <f ca="1">IFERROR(__xludf.DUMMYFUNCTION("""COMPUTED_VALUE"""),18)</f>
        <v>18</v>
      </c>
    </row>
    <row r="16" spans="1:9" ht="15.75" customHeight="1">
      <c r="A16">
        <f ca="1">IFERROR(__xludf.DUMMYFUNCTION("""COMPUTED_VALUE"""),15)</f>
        <v>15</v>
      </c>
      <c r="B16">
        <f ca="1">IFERROR(__xludf.DUMMYFUNCTION("""COMPUTED_VALUE"""),18)</f>
        <v>18</v>
      </c>
      <c r="C16" t="str">
        <f ca="1">IFERROR(__xludf.DUMMYFUNCTION("""COMPUTED_VALUE"""),"Ricky Barnes")</f>
        <v>Ricky Barnes</v>
      </c>
      <c r="D16">
        <f ca="1">IFERROR(__xludf.DUMMYFUNCTION("""COMPUTED_VALUE"""),12)</f>
        <v>12</v>
      </c>
      <c r="E16">
        <f ca="1">IFERROR(__xludf.DUMMYFUNCTION("""COMPUTED_VALUE"""),1.529)</f>
        <v>1.5289999999999999</v>
      </c>
      <c r="F16">
        <f ca="1">IFERROR(__xludf.DUMMYFUNCTION("""COMPUTED_VALUE"""),-0.604)</f>
        <v>-0.60399999999999998</v>
      </c>
      <c r="G16">
        <f ca="1">IFERROR(__xludf.DUMMYFUNCTION("""COMPUTED_VALUE"""),1.874)</f>
        <v>1.8740000000000001</v>
      </c>
      <c r="H16">
        <f ca="1">IFERROR(__xludf.DUMMYFUNCTION("""COMPUTED_VALUE"""),0.259)</f>
        <v>0.25900000000000001</v>
      </c>
      <c r="I16">
        <f ca="1">IFERROR(__xludf.DUMMYFUNCTION("""COMPUTED_VALUE"""),4)</f>
        <v>4</v>
      </c>
    </row>
    <row r="17" spans="1:9" ht="15.75" customHeight="1">
      <c r="A17">
        <f ca="1">IFERROR(__xludf.DUMMYFUNCTION("""COMPUTED_VALUE"""),16)</f>
        <v>16</v>
      </c>
      <c r="B17">
        <f ca="1">IFERROR(__xludf.DUMMYFUNCTION("""COMPUTED_VALUE"""),13)</f>
        <v>13</v>
      </c>
      <c r="C17" t="str">
        <f ca="1">IFERROR(__xludf.DUMMYFUNCTION("""COMPUTED_VALUE"""),"Camilo Villegas")</f>
        <v>Camilo Villegas</v>
      </c>
      <c r="D17">
        <f ca="1">IFERROR(__xludf.DUMMYFUNCTION("""COMPUTED_VALUE"""),14)</f>
        <v>14</v>
      </c>
      <c r="E17">
        <f ca="1">IFERROR(__xludf.DUMMYFUNCTION("""COMPUTED_VALUE"""),1.51)</f>
        <v>1.51</v>
      </c>
      <c r="F17">
        <f ca="1">IFERROR(__xludf.DUMMYFUNCTION("""COMPUTED_VALUE"""),0.051)</f>
        <v>5.0999999999999997E-2</v>
      </c>
      <c r="G17">
        <f ca="1">IFERROR(__xludf.DUMMYFUNCTION("""COMPUTED_VALUE"""),1.082)</f>
        <v>1.0820000000000001</v>
      </c>
      <c r="H17">
        <f ca="1">IFERROR(__xludf.DUMMYFUNCTION("""COMPUTED_VALUE"""),0.378)</f>
        <v>0.378</v>
      </c>
      <c r="I17">
        <f ca="1">IFERROR(__xludf.DUMMYFUNCTION("""COMPUTED_VALUE"""),10)</f>
        <v>10</v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IFERROR(__xludf.DUMMYFUNCTION("""COMPUTED_VALUE"""),46)</f>
        <v>46</v>
      </c>
      <c r="C18" t="str">
        <f ca="1">IFERROR(__xludf.DUMMYFUNCTION("""COMPUTED_VALUE"""),"Harold Varner III")</f>
        <v>Harold Varner III</v>
      </c>
      <c r="D18">
        <f ca="1">IFERROR(__xludf.DUMMYFUNCTION("""COMPUTED_VALUE"""),14)</f>
        <v>14</v>
      </c>
      <c r="E18">
        <f ca="1">IFERROR(__xludf.DUMMYFUNCTION("""COMPUTED_VALUE"""),1.498)</f>
        <v>1.498</v>
      </c>
      <c r="F18">
        <f ca="1">IFERROR(__xludf.DUMMYFUNCTION("""COMPUTED_VALUE"""),0.104)</f>
        <v>0.104</v>
      </c>
      <c r="G18">
        <f ca="1">IFERROR(__xludf.DUMMYFUNCTION("""COMPUTED_VALUE"""),0.843)</f>
        <v>0.84299999999999997</v>
      </c>
      <c r="H18">
        <f ca="1">IFERROR(__xludf.DUMMYFUNCTION("""COMPUTED_VALUE"""),0.55)</f>
        <v>0.55000000000000004</v>
      </c>
      <c r="I18">
        <f ca="1">IFERROR(__xludf.DUMMYFUNCTION("""COMPUTED_VALUE"""),12)</f>
        <v>12</v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IFERROR(__xludf.DUMMYFUNCTION("""COMPUTED_VALUE"""),19)</f>
        <v>19</v>
      </c>
      <c r="C19" t="str">
        <f ca="1">IFERROR(__xludf.DUMMYFUNCTION("""COMPUTED_VALUE"""),"Justin Thomas")</f>
        <v>Justin Thomas</v>
      </c>
      <c r="D19">
        <f ca="1">IFERROR(__xludf.DUMMYFUNCTION("""COMPUTED_VALUE"""),12)</f>
        <v>12</v>
      </c>
      <c r="E19">
        <f ca="1">IFERROR(__xludf.DUMMYFUNCTION("""COMPUTED_VALUE"""),1.473)</f>
        <v>1.4730000000000001</v>
      </c>
      <c r="F19">
        <f ca="1">IFERROR(__xludf.DUMMYFUNCTION("""COMPUTED_VALUE"""),0.241)</f>
        <v>0.24099999999999999</v>
      </c>
      <c r="G19">
        <f ca="1">IFERROR(__xludf.DUMMYFUNCTION("""COMPUTED_VALUE"""),0.637)</f>
        <v>0.63700000000000001</v>
      </c>
      <c r="H19">
        <f ca="1">IFERROR(__xludf.DUMMYFUNCTION("""COMPUTED_VALUE"""),0.596)</f>
        <v>0.59599999999999997</v>
      </c>
      <c r="I19">
        <f ca="1">IFERROR(__xludf.DUMMYFUNCTION("""COMPUTED_VALUE"""),12)</f>
        <v>12</v>
      </c>
    </row>
    <row r="20" spans="1:9" ht="15.75" customHeight="1">
      <c r="A20">
        <f ca="1">IFERROR(__xludf.DUMMYFUNCTION("""COMPUTED_VALUE"""),19)</f>
        <v>19</v>
      </c>
      <c r="B20">
        <f ca="1">IFERROR(__xludf.DUMMYFUNCTION("""COMPUTED_VALUE"""),21)</f>
        <v>21</v>
      </c>
      <c r="C20" t="str">
        <f ca="1">IFERROR(__xludf.DUMMYFUNCTION("""COMPUTED_VALUE"""),"Doug Ghim")</f>
        <v>Doug Ghim</v>
      </c>
      <c r="D20">
        <f ca="1">IFERROR(__xludf.DUMMYFUNCTION("""COMPUTED_VALUE"""),14)</f>
        <v>14</v>
      </c>
      <c r="E20">
        <f ca="1">IFERROR(__xludf.DUMMYFUNCTION("""COMPUTED_VALUE"""),1.429)</f>
        <v>1.429</v>
      </c>
      <c r="F20">
        <f ca="1">IFERROR(__xludf.DUMMYFUNCTION("""COMPUTED_VALUE"""),0.064)</f>
        <v>6.4000000000000001E-2</v>
      </c>
      <c r="G20">
        <f ca="1">IFERROR(__xludf.DUMMYFUNCTION("""COMPUTED_VALUE"""),0.736)</f>
        <v>0.73599999999999999</v>
      </c>
      <c r="H20">
        <f ca="1">IFERROR(__xludf.DUMMYFUNCTION("""COMPUTED_VALUE"""),0.629)</f>
        <v>0.629</v>
      </c>
      <c r="I20">
        <f ca="1">IFERROR(__xludf.DUMMYFUNCTION("""COMPUTED_VALUE"""),8)</f>
        <v>8</v>
      </c>
    </row>
    <row r="21" spans="1:9" ht="15.75" customHeight="1">
      <c r="A21">
        <f ca="1">IFERROR(__xludf.DUMMYFUNCTION("""COMPUTED_VALUE"""),20)</f>
        <v>20</v>
      </c>
      <c r="B21">
        <f ca="1">IFERROR(__xludf.DUMMYFUNCTION("""COMPUTED_VALUE"""),23)</f>
        <v>23</v>
      </c>
      <c r="C21" t="str">
        <f ca="1">IFERROR(__xludf.DUMMYFUNCTION("""COMPUTED_VALUE"""),"Akshay Bhatia")</f>
        <v>Akshay Bhatia</v>
      </c>
      <c r="D21">
        <f ca="1">IFERROR(__xludf.DUMMYFUNCTION("""COMPUTED_VALUE"""),6)</f>
        <v>6</v>
      </c>
      <c r="E21">
        <f ca="1">IFERROR(__xludf.DUMMYFUNCTION("""COMPUTED_VALUE"""),1.397)</f>
        <v>1.397</v>
      </c>
      <c r="F21">
        <f ca="1">IFERROR(__xludf.DUMMYFUNCTION("""COMPUTED_VALUE"""),0.346)</f>
        <v>0.34599999999999997</v>
      </c>
      <c r="G21">
        <f ca="1">IFERROR(__xludf.DUMMYFUNCTION("""COMPUTED_VALUE"""),0.329)</f>
        <v>0.32900000000000001</v>
      </c>
      <c r="H21">
        <f ca="1">IFERROR(__xludf.DUMMYFUNCTION("""COMPUTED_VALUE"""),0.722)</f>
        <v>0.72199999999999998</v>
      </c>
      <c r="I21">
        <f ca="1">IFERROR(__xludf.DUMMYFUNCTION("""COMPUTED_VALUE"""),4)</f>
        <v>4</v>
      </c>
    </row>
    <row r="22" spans="1:9" ht="15.75" customHeight="1">
      <c r="A22">
        <f ca="1">IFERROR(__xludf.DUMMYFUNCTION("""COMPUTED_VALUE"""),21)</f>
        <v>21</v>
      </c>
      <c r="B22" t="str">
        <f ca="1">IFERROR(__xludf.DUMMYFUNCTION("""COMPUTED_VALUE"""),"")</f>
        <v/>
      </c>
      <c r="C22" t="str">
        <f ca="1">IFERROR(__xludf.DUMMYFUNCTION("""COMPUTED_VALUE"""),"Padraig Harrington")</f>
        <v>Padraig Harrington</v>
      </c>
      <c r="D22">
        <f ca="1">IFERROR(__xludf.DUMMYFUNCTION("""COMPUTED_VALUE"""),8)</f>
        <v>8</v>
      </c>
      <c r="E22">
        <f ca="1">IFERROR(__xludf.DUMMYFUNCTION("""COMPUTED_VALUE"""),1.395)</f>
        <v>1.395</v>
      </c>
      <c r="F22">
        <f ca="1">IFERROR(__xludf.DUMMYFUNCTION("""COMPUTED_VALUE"""),0.592)</f>
        <v>0.59199999999999997</v>
      </c>
      <c r="G22">
        <f ca="1">IFERROR(__xludf.DUMMYFUNCTION("""COMPUTED_VALUE"""),0.915)</f>
        <v>0.91500000000000004</v>
      </c>
      <c r="H22">
        <f ca="1">IFERROR(__xludf.DUMMYFUNCTION("""COMPUTED_VALUE"""),-0.112)</f>
        <v>-0.112</v>
      </c>
      <c r="I22">
        <f ca="1">IFERROR(__xludf.DUMMYFUNCTION("""COMPUTED_VALUE"""),4)</f>
        <v>4</v>
      </c>
    </row>
    <row r="23" spans="1:9" ht="15.75" customHeight="1">
      <c r="A23">
        <f ca="1">IFERROR(__xludf.DUMMYFUNCTION("""COMPUTED_VALUE"""),22)</f>
        <v>22</v>
      </c>
      <c r="B23">
        <f ca="1">IFERROR(__xludf.DUMMYFUNCTION("""COMPUTED_VALUE"""),20)</f>
        <v>20</v>
      </c>
      <c r="C23" t="str">
        <f ca="1">IFERROR(__xludf.DUMMYFUNCTION("""COMPUTED_VALUE"""),"Martin Laird")</f>
        <v>Martin Laird</v>
      </c>
      <c r="D23">
        <f ca="1">IFERROR(__xludf.DUMMYFUNCTION("""COMPUTED_VALUE"""),16)</f>
        <v>16</v>
      </c>
      <c r="E23">
        <f ca="1">IFERROR(__xludf.DUMMYFUNCTION("""COMPUTED_VALUE"""),1.365)</f>
        <v>1.365</v>
      </c>
      <c r="F23">
        <f ca="1">IFERROR(__xludf.DUMMYFUNCTION("""COMPUTED_VALUE"""),0.229)</f>
        <v>0.22900000000000001</v>
      </c>
      <c r="G23">
        <f ca="1">IFERROR(__xludf.DUMMYFUNCTION("""COMPUTED_VALUE"""),1.158)</f>
        <v>1.1579999999999999</v>
      </c>
      <c r="H23">
        <f ca="1">IFERROR(__xludf.DUMMYFUNCTION("""COMPUTED_VALUE"""),-0.022)</f>
        <v>-2.1999999999999999E-2</v>
      </c>
      <c r="I23">
        <f ca="1">IFERROR(__xludf.DUMMYFUNCTION("""COMPUTED_VALUE"""),12)</f>
        <v>12</v>
      </c>
    </row>
    <row r="24" spans="1:9" ht="15.75" customHeight="1">
      <c r="A24">
        <f ca="1">IFERROR(__xludf.DUMMYFUNCTION("""COMPUTED_VALUE"""),23)</f>
        <v>23</v>
      </c>
      <c r="B24">
        <f ca="1">IFERROR(__xludf.DUMMYFUNCTION("""COMPUTED_VALUE"""),26)</f>
        <v>26</v>
      </c>
      <c r="C24" t="str">
        <f ca="1">IFERROR(__xludf.DUMMYFUNCTION("""COMPUTED_VALUE"""),"Collin Morikawa")</f>
        <v>Collin Morikawa</v>
      </c>
      <c r="D24">
        <f ca="1">IFERROR(__xludf.DUMMYFUNCTION("""COMPUTED_VALUE"""),12)</f>
        <v>12</v>
      </c>
      <c r="E24">
        <f ca="1">IFERROR(__xludf.DUMMYFUNCTION("""COMPUTED_VALUE"""),1.331)</f>
        <v>1.331</v>
      </c>
      <c r="F24">
        <f ca="1">IFERROR(__xludf.DUMMYFUNCTION("""COMPUTED_VALUE"""),0.034)</f>
        <v>3.4000000000000002E-2</v>
      </c>
      <c r="G24">
        <f ca="1">IFERROR(__xludf.DUMMYFUNCTION("""COMPUTED_VALUE"""),0.692)</f>
        <v>0.69199999999999995</v>
      </c>
      <c r="H24">
        <f ca="1">IFERROR(__xludf.DUMMYFUNCTION("""COMPUTED_VALUE"""),0.604)</f>
        <v>0.60399999999999998</v>
      </c>
      <c r="I24">
        <f ca="1">IFERROR(__xludf.DUMMYFUNCTION("""COMPUTED_VALUE"""),12)</f>
        <v>12</v>
      </c>
    </row>
    <row r="25" spans="1:9" ht="15.75" customHeight="1">
      <c r="A25">
        <f ca="1">IFERROR(__xludf.DUMMYFUNCTION("""COMPUTED_VALUE"""),24)</f>
        <v>24</v>
      </c>
      <c r="B25">
        <f ca="1">IFERROR(__xludf.DUMMYFUNCTION("""COMPUTED_VALUE"""),22)</f>
        <v>22</v>
      </c>
      <c r="C25" t="str">
        <f ca="1">IFERROR(__xludf.DUMMYFUNCTION("""COMPUTED_VALUE"""),"Viktor Hovland")</f>
        <v>Viktor Hovland</v>
      </c>
      <c r="D25">
        <f ca="1">IFERROR(__xludf.DUMMYFUNCTION("""COMPUTED_VALUE"""),16)</f>
        <v>16</v>
      </c>
      <c r="E25">
        <f ca="1">IFERROR(__xludf.DUMMYFUNCTION("""COMPUTED_VALUE"""),1.327)</f>
        <v>1.327</v>
      </c>
      <c r="F25">
        <f ca="1">IFERROR(__xludf.DUMMYFUNCTION("""COMPUTED_VALUE"""),0.767)</f>
        <v>0.76700000000000002</v>
      </c>
      <c r="G25">
        <f ca="1">IFERROR(__xludf.DUMMYFUNCTION("""COMPUTED_VALUE"""),0.184)</f>
        <v>0.184</v>
      </c>
      <c r="H25">
        <f ca="1">IFERROR(__xludf.DUMMYFUNCTION("""COMPUTED_VALUE"""),0.376)</f>
        <v>0.376</v>
      </c>
      <c r="I25">
        <f ca="1">IFERROR(__xludf.DUMMYFUNCTION("""COMPUTED_VALUE"""),16)</f>
        <v>16</v>
      </c>
    </row>
    <row r="26" spans="1:9" ht="15.75" customHeight="1">
      <c r="A26">
        <f ca="1">IFERROR(__xludf.DUMMYFUNCTION("""COMPUTED_VALUE"""),25)</f>
        <v>25</v>
      </c>
      <c r="B26">
        <f ca="1">IFERROR(__xludf.DUMMYFUNCTION("""COMPUTED_VALUE"""),27)</f>
        <v>27</v>
      </c>
      <c r="C26" t="str">
        <f ca="1">IFERROR(__xludf.DUMMYFUNCTION("""COMPUTED_VALUE"""),"Keegan Bradley")</f>
        <v>Keegan Bradley</v>
      </c>
      <c r="D26">
        <f ca="1">IFERROR(__xludf.DUMMYFUNCTION("""COMPUTED_VALUE"""),16)</f>
        <v>16</v>
      </c>
      <c r="E26">
        <f ca="1">IFERROR(__xludf.DUMMYFUNCTION("""COMPUTED_VALUE"""),1.3)</f>
        <v>1.3</v>
      </c>
      <c r="F26">
        <f ca="1">IFERROR(__xludf.DUMMYFUNCTION("""COMPUTED_VALUE"""),0.299)</f>
        <v>0.29899999999999999</v>
      </c>
      <c r="G26">
        <f ca="1">IFERROR(__xludf.DUMMYFUNCTION("""COMPUTED_VALUE"""),0.863)</f>
        <v>0.86299999999999999</v>
      </c>
      <c r="H26">
        <f ca="1">IFERROR(__xludf.DUMMYFUNCTION("""COMPUTED_VALUE"""),0.137)</f>
        <v>0.13700000000000001</v>
      </c>
      <c r="I26">
        <f ca="1">IFERROR(__xludf.DUMMYFUNCTION("""COMPUTED_VALUE"""),16)</f>
        <v>16</v>
      </c>
    </row>
    <row r="27" spans="1:9" ht="15.75" customHeight="1">
      <c r="A27">
        <f ca="1">IFERROR(__xludf.DUMMYFUNCTION("""COMPUTED_VALUE"""),26)</f>
        <v>26</v>
      </c>
      <c r="B27">
        <f ca="1">IFERROR(__xludf.DUMMYFUNCTION("""COMPUTED_VALUE"""),28)</f>
        <v>28</v>
      </c>
      <c r="C27" t="str">
        <f ca="1">IFERROR(__xludf.DUMMYFUNCTION("""COMPUTED_VALUE"""),"Byeong Hun An")</f>
        <v>Byeong Hun An</v>
      </c>
      <c r="D27">
        <f ca="1">IFERROR(__xludf.DUMMYFUNCTION("""COMPUTED_VALUE"""),14)</f>
        <v>14</v>
      </c>
      <c r="E27">
        <f ca="1">IFERROR(__xludf.DUMMYFUNCTION("""COMPUTED_VALUE"""),1.294)</f>
        <v>1.294</v>
      </c>
      <c r="F27">
        <f ca="1">IFERROR(__xludf.DUMMYFUNCTION("""COMPUTED_VALUE"""),0.006)</f>
        <v>6.0000000000000001E-3</v>
      </c>
      <c r="G27">
        <f ca="1">IFERROR(__xludf.DUMMYFUNCTION("""COMPUTED_VALUE"""),0.704)</f>
        <v>0.70399999999999996</v>
      </c>
      <c r="H27">
        <f ca="1">IFERROR(__xludf.DUMMYFUNCTION("""COMPUTED_VALUE"""),0.583)</f>
        <v>0.58299999999999996</v>
      </c>
      <c r="I27">
        <f ca="1">IFERROR(__xludf.DUMMYFUNCTION("""COMPUTED_VALUE"""),14)</f>
        <v>14</v>
      </c>
    </row>
    <row r="28" spans="1:9" ht="15.75" customHeight="1">
      <c r="A28">
        <f ca="1">IFERROR(__xludf.DUMMYFUNCTION("""COMPUTED_VALUE"""),27)</f>
        <v>27</v>
      </c>
      <c r="B28">
        <f ca="1">IFERROR(__xludf.DUMMYFUNCTION("""COMPUTED_VALUE"""),29)</f>
        <v>29</v>
      </c>
      <c r="C28" t="str">
        <f ca="1">IFERROR(__xludf.DUMMYFUNCTION("""COMPUTED_VALUE"""),"Taylor Pendrith")</f>
        <v>Taylor Pendrith</v>
      </c>
      <c r="D28">
        <f ca="1">IFERROR(__xludf.DUMMYFUNCTION("""COMPUTED_VALUE"""),4)</f>
        <v>4</v>
      </c>
      <c r="E28">
        <f ca="1">IFERROR(__xludf.DUMMYFUNCTION("""COMPUTED_VALUE"""),1.284)</f>
        <v>1.284</v>
      </c>
      <c r="F28">
        <f ca="1">IFERROR(__xludf.DUMMYFUNCTION("""COMPUTED_VALUE"""),1.071)</f>
        <v>1.071</v>
      </c>
      <c r="G28">
        <f ca="1">IFERROR(__xludf.DUMMYFUNCTION("""COMPUTED_VALUE"""),-0.398)</f>
        <v>-0.39800000000000002</v>
      </c>
      <c r="H28">
        <f ca="1">IFERROR(__xludf.DUMMYFUNCTION("""COMPUTED_VALUE"""),0.611)</f>
        <v>0.61099999999999999</v>
      </c>
      <c r="I28">
        <f ca="1">IFERROR(__xludf.DUMMYFUNCTION("""COMPUTED_VALUE"""),4)</f>
        <v>4</v>
      </c>
    </row>
    <row r="29" spans="1:9" ht="15.75" customHeight="1">
      <c r="A29">
        <f ca="1">IFERROR(__xludf.DUMMYFUNCTION("""COMPUTED_VALUE"""),28)</f>
        <v>28</v>
      </c>
      <c r="B29">
        <f ca="1">IFERROR(__xludf.DUMMYFUNCTION("""COMPUTED_VALUE"""),31)</f>
        <v>31</v>
      </c>
      <c r="C29" t="str">
        <f ca="1">IFERROR(__xludf.DUMMYFUNCTION("""COMPUTED_VALUE"""),"Patrick Cantlay")</f>
        <v>Patrick Cantlay</v>
      </c>
      <c r="D29">
        <f ca="1">IFERROR(__xludf.DUMMYFUNCTION("""COMPUTED_VALUE"""),16)</f>
        <v>16</v>
      </c>
      <c r="E29">
        <f ca="1">IFERROR(__xludf.DUMMYFUNCTION("""COMPUTED_VALUE"""),1.23)</f>
        <v>1.23</v>
      </c>
      <c r="F29">
        <f ca="1">IFERROR(__xludf.DUMMYFUNCTION("""COMPUTED_VALUE"""),0.342)</f>
        <v>0.34200000000000003</v>
      </c>
      <c r="G29">
        <f ca="1">IFERROR(__xludf.DUMMYFUNCTION("""COMPUTED_VALUE"""),0.267)</f>
        <v>0.26700000000000002</v>
      </c>
      <c r="H29">
        <f ca="1">IFERROR(__xludf.DUMMYFUNCTION("""COMPUTED_VALUE"""),0.621)</f>
        <v>0.621</v>
      </c>
      <c r="I29">
        <f ca="1">IFERROR(__xludf.DUMMYFUNCTION("""COMPUTED_VALUE"""),16)</f>
        <v>16</v>
      </c>
    </row>
    <row r="30" spans="1:9" ht="15.75" customHeight="1">
      <c r="A30">
        <f ca="1">IFERROR(__xludf.DUMMYFUNCTION("""COMPUTED_VALUE"""),29)</f>
        <v>29</v>
      </c>
      <c r="B30">
        <f ca="1">IFERROR(__xludf.DUMMYFUNCTION("""COMPUTED_VALUE"""),73)</f>
        <v>73</v>
      </c>
      <c r="C30" t="str">
        <f ca="1">IFERROR(__xludf.DUMMYFUNCTION("""COMPUTED_VALUE"""),"Sam Burns")</f>
        <v>Sam Burns</v>
      </c>
      <c r="D30">
        <f ca="1">IFERROR(__xludf.DUMMYFUNCTION("""COMPUTED_VALUE"""),18)</f>
        <v>18</v>
      </c>
      <c r="E30">
        <f ca="1">IFERROR(__xludf.DUMMYFUNCTION("""COMPUTED_VALUE"""),1.227)</f>
        <v>1.2270000000000001</v>
      </c>
      <c r="F30">
        <f ca="1">IFERROR(__xludf.DUMMYFUNCTION("""COMPUTED_VALUE"""),1.026)</f>
        <v>1.026</v>
      </c>
      <c r="G30">
        <f ca="1">IFERROR(__xludf.DUMMYFUNCTION("""COMPUTED_VALUE"""),0.499)</f>
        <v>0.499</v>
      </c>
      <c r="H30">
        <f ca="1">IFERROR(__xludf.DUMMYFUNCTION("""COMPUTED_VALUE"""),-0.298)</f>
        <v>-0.29799999999999999</v>
      </c>
      <c r="I30">
        <f ca="1">IFERROR(__xludf.DUMMYFUNCTION("""COMPUTED_VALUE"""),14)</f>
        <v>14</v>
      </c>
    </row>
    <row r="31" spans="1:9" ht="12.75">
      <c r="A31">
        <f ca="1">IFERROR(__xludf.DUMMYFUNCTION("""COMPUTED_VALUE"""),30)</f>
        <v>30</v>
      </c>
      <c r="B31">
        <f ca="1">IFERROR(__xludf.DUMMYFUNCTION("""COMPUTED_VALUE"""),32)</f>
        <v>32</v>
      </c>
      <c r="C31" t="str">
        <f ca="1">IFERROR(__xludf.DUMMYFUNCTION("""COMPUTED_VALUE"""),"Justin Suh")</f>
        <v>Justin Suh</v>
      </c>
      <c r="D31">
        <f ca="1">IFERROR(__xludf.DUMMYFUNCTION("""COMPUTED_VALUE"""),10)</f>
        <v>10</v>
      </c>
      <c r="E31">
        <f ca="1">IFERROR(__xludf.DUMMYFUNCTION("""COMPUTED_VALUE"""),1.221)</f>
        <v>1.2210000000000001</v>
      </c>
      <c r="F31">
        <f ca="1">IFERROR(__xludf.DUMMYFUNCTION("""COMPUTED_VALUE"""),0.107)</f>
        <v>0.107</v>
      </c>
      <c r="G31">
        <f ca="1">IFERROR(__xludf.DUMMYFUNCTION("""COMPUTED_VALUE"""),1.616)</f>
        <v>1.6160000000000001</v>
      </c>
      <c r="H31">
        <f ca="1">IFERROR(__xludf.DUMMYFUNCTION("""COMPUTED_VALUE"""),-0.502)</f>
        <v>-0.502</v>
      </c>
      <c r="I31">
        <f ca="1">IFERROR(__xludf.DUMMYFUNCTION("""COMPUTED_VALUE"""),4)</f>
        <v>4</v>
      </c>
    </row>
    <row r="32" spans="1:9" ht="12.75">
      <c r="A32">
        <f ca="1">IFERROR(__xludf.DUMMYFUNCTION("""COMPUTED_VALUE"""),31)</f>
        <v>31</v>
      </c>
      <c r="B32">
        <f ca="1">IFERROR(__xludf.DUMMYFUNCTION("""COMPUTED_VALUE"""),33)</f>
        <v>33</v>
      </c>
      <c r="C32" t="str">
        <f ca="1">IFERROR(__xludf.DUMMYFUNCTION("""COMPUTED_VALUE"""),"Mark Anderson")</f>
        <v>Mark Anderson</v>
      </c>
      <c r="D32">
        <f ca="1">IFERROR(__xludf.DUMMYFUNCTION("""COMPUTED_VALUE"""),14)</f>
        <v>14</v>
      </c>
      <c r="E32">
        <f ca="1">IFERROR(__xludf.DUMMYFUNCTION("""COMPUTED_VALUE"""),1.181)</f>
        <v>1.181</v>
      </c>
      <c r="F32">
        <f ca="1">IFERROR(__xludf.DUMMYFUNCTION("""COMPUTED_VALUE"""),-0.08)</f>
        <v>-0.08</v>
      </c>
      <c r="G32">
        <f ca="1">IFERROR(__xludf.DUMMYFUNCTION("""COMPUTED_VALUE"""),0.969)</f>
        <v>0.96899999999999997</v>
      </c>
      <c r="H32">
        <f ca="1">IFERROR(__xludf.DUMMYFUNCTION("""COMPUTED_VALUE"""),0.292)</f>
        <v>0.29199999999999998</v>
      </c>
      <c r="I32">
        <f ca="1">IFERROR(__xludf.DUMMYFUNCTION("""COMPUTED_VALUE"""),6)</f>
        <v>6</v>
      </c>
    </row>
    <row r="33" spans="1:9" ht="12.75">
      <c r="A33">
        <f ca="1">IFERROR(__xludf.DUMMYFUNCTION("""COMPUTED_VALUE"""),32)</f>
        <v>32</v>
      </c>
      <c r="B33">
        <f ca="1">IFERROR(__xludf.DUMMYFUNCTION("""COMPUTED_VALUE"""),34)</f>
        <v>34</v>
      </c>
      <c r="C33" t="str">
        <f ca="1">IFERROR(__xludf.DUMMYFUNCTION("""COMPUTED_VALUE"""),"Ryan Brehm")</f>
        <v>Ryan Brehm</v>
      </c>
      <c r="D33">
        <f ca="1">IFERROR(__xludf.DUMMYFUNCTION("""COMPUTED_VALUE"""),10)</f>
        <v>10</v>
      </c>
      <c r="E33">
        <f ca="1">IFERROR(__xludf.DUMMYFUNCTION("""COMPUTED_VALUE"""),1.167)</f>
        <v>1.167</v>
      </c>
      <c r="F33">
        <f ca="1">IFERROR(__xludf.DUMMYFUNCTION("""COMPUTED_VALUE"""),0.958)</f>
        <v>0.95799999999999996</v>
      </c>
      <c r="G33">
        <f ca="1">IFERROR(__xludf.DUMMYFUNCTION("""COMPUTED_VALUE"""),0.541)</f>
        <v>0.54100000000000004</v>
      </c>
      <c r="H33">
        <f ca="1">IFERROR(__xludf.DUMMYFUNCTION("""COMPUTED_VALUE"""),-0.333)</f>
        <v>-0.33300000000000002</v>
      </c>
      <c r="I33">
        <f ca="1">IFERROR(__xludf.DUMMYFUNCTION("""COMPUTED_VALUE"""),2)</f>
        <v>2</v>
      </c>
    </row>
    <row r="34" spans="1:9" ht="12.75">
      <c r="A34">
        <f ca="1">IFERROR(__xludf.DUMMYFUNCTION("""COMPUTED_VALUE"""),33)</f>
        <v>33</v>
      </c>
      <c r="B34">
        <f ca="1">IFERROR(__xludf.DUMMYFUNCTION("""COMPUTED_VALUE"""),35)</f>
        <v>35</v>
      </c>
      <c r="C34" t="str">
        <f ca="1">IFERROR(__xludf.DUMMYFUNCTION("""COMPUTED_VALUE"""),"Cameron Champ")</f>
        <v>Cameron Champ</v>
      </c>
      <c r="D34">
        <f ca="1">IFERROR(__xludf.DUMMYFUNCTION("""COMPUTED_VALUE"""),12)</f>
        <v>12</v>
      </c>
      <c r="E34">
        <f ca="1">IFERROR(__xludf.DUMMYFUNCTION("""COMPUTED_VALUE"""),1.133)</f>
        <v>1.133</v>
      </c>
      <c r="F34">
        <f ca="1">IFERROR(__xludf.DUMMYFUNCTION("""COMPUTED_VALUE"""),0.514)</f>
        <v>0.51400000000000001</v>
      </c>
      <c r="G34">
        <f ca="1">IFERROR(__xludf.DUMMYFUNCTION("""COMPUTED_VALUE"""),0.484)</f>
        <v>0.48399999999999999</v>
      </c>
      <c r="H34">
        <f ca="1">IFERROR(__xludf.DUMMYFUNCTION("""COMPUTED_VALUE"""),0.134)</f>
        <v>0.13400000000000001</v>
      </c>
      <c r="I34">
        <f ca="1">IFERROR(__xludf.DUMMYFUNCTION("""COMPUTED_VALUE"""),12)</f>
        <v>12</v>
      </c>
    </row>
    <row r="35" spans="1:9" ht="12.75">
      <c r="A35">
        <f ca="1">IFERROR(__xludf.DUMMYFUNCTION("""COMPUTED_VALUE"""),34)</f>
        <v>34</v>
      </c>
      <c r="B35">
        <f ca="1">IFERROR(__xludf.DUMMYFUNCTION("""COMPUTED_VALUE"""),36)</f>
        <v>36</v>
      </c>
      <c r="C35" t="str">
        <f ca="1">IFERROR(__xludf.DUMMYFUNCTION("""COMPUTED_VALUE"""),"D.J. Trahan")</f>
        <v>D.J. Trahan</v>
      </c>
      <c r="D35">
        <f ca="1">IFERROR(__xludf.DUMMYFUNCTION("""COMPUTED_VALUE"""),16)</f>
        <v>16</v>
      </c>
      <c r="E35">
        <f ca="1">IFERROR(__xludf.DUMMYFUNCTION("""COMPUTED_VALUE"""),1.124)</f>
        <v>1.1240000000000001</v>
      </c>
      <c r="F35">
        <f ca="1">IFERROR(__xludf.DUMMYFUNCTION("""COMPUTED_VALUE"""),0.038)</f>
        <v>3.7999999999999999E-2</v>
      </c>
      <c r="G35">
        <f ca="1">IFERROR(__xludf.DUMMYFUNCTION("""COMPUTED_VALUE"""),0.758)</f>
        <v>0.75800000000000001</v>
      </c>
      <c r="H35">
        <f ca="1">IFERROR(__xludf.DUMMYFUNCTION("""COMPUTED_VALUE"""),0.328)</f>
        <v>0.32800000000000001</v>
      </c>
      <c r="I35">
        <f ca="1">IFERROR(__xludf.DUMMYFUNCTION("""COMPUTED_VALUE"""),8)</f>
        <v>8</v>
      </c>
    </row>
    <row r="36" spans="1:9" ht="12.75">
      <c r="A36">
        <f ca="1">IFERROR(__xludf.DUMMYFUNCTION("""COMPUTED_VALUE"""),35)</f>
        <v>35</v>
      </c>
      <c r="B36">
        <f ca="1">IFERROR(__xludf.DUMMYFUNCTION("""COMPUTED_VALUE"""),6)</f>
        <v>6</v>
      </c>
      <c r="C36" t="str">
        <f ca="1">IFERROR(__xludf.DUMMYFUNCTION("""COMPUTED_VALUE"""),"John Huh")</f>
        <v>John Huh</v>
      </c>
      <c r="D36">
        <f ca="1">IFERROR(__xludf.DUMMYFUNCTION("""COMPUTED_VALUE"""),8)</f>
        <v>8</v>
      </c>
      <c r="E36">
        <f ca="1">IFERROR(__xludf.DUMMYFUNCTION("""COMPUTED_VALUE"""),1.123)</f>
        <v>1.123</v>
      </c>
      <c r="F36">
        <f ca="1">IFERROR(__xludf.DUMMYFUNCTION("""COMPUTED_VALUE"""),0.04)</f>
        <v>0.04</v>
      </c>
      <c r="G36">
        <f ca="1">IFERROR(__xludf.DUMMYFUNCTION("""COMPUTED_VALUE"""),0.945)</f>
        <v>0.94499999999999995</v>
      </c>
      <c r="H36">
        <f ca="1">IFERROR(__xludf.DUMMYFUNCTION("""COMPUTED_VALUE"""),0.138)</f>
        <v>0.13800000000000001</v>
      </c>
      <c r="I36">
        <f ca="1">IFERROR(__xludf.DUMMYFUNCTION("""COMPUTED_VALUE"""),8)</f>
        <v>8</v>
      </c>
    </row>
    <row r="37" spans="1:9" ht="12.75">
      <c r="A37">
        <f ca="1">IFERROR(__xludf.DUMMYFUNCTION("""COMPUTED_VALUE"""),36)</f>
        <v>36</v>
      </c>
      <c r="B37" t="str">
        <f ca="1">IFERROR(__xludf.DUMMYFUNCTION("""COMPUTED_VALUE"""),"")</f>
        <v/>
      </c>
      <c r="C37" t="str">
        <f ca="1">IFERROR(__xludf.DUMMYFUNCTION("""COMPUTED_VALUE"""),"Francesco Molinari")</f>
        <v>Francesco Molinari</v>
      </c>
      <c r="D37">
        <f ca="1">IFERROR(__xludf.DUMMYFUNCTION("""COMPUTED_VALUE"""),6)</f>
        <v>6</v>
      </c>
      <c r="E37">
        <f ca="1">IFERROR(__xludf.DUMMYFUNCTION("""COMPUTED_VALUE"""),1.097)</f>
        <v>1.097</v>
      </c>
      <c r="F37">
        <f ca="1">IFERROR(__xludf.DUMMYFUNCTION("""COMPUTED_VALUE"""),0.148)</f>
        <v>0.14799999999999999</v>
      </c>
      <c r="G37">
        <f ca="1">IFERROR(__xludf.DUMMYFUNCTION("""COMPUTED_VALUE"""),0.306)</f>
        <v>0.30599999999999999</v>
      </c>
      <c r="H37">
        <f ca="1">IFERROR(__xludf.DUMMYFUNCTION("""COMPUTED_VALUE"""),0.643)</f>
        <v>0.64300000000000002</v>
      </c>
      <c r="I37">
        <f ca="1">IFERROR(__xludf.DUMMYFUNCTION("""COMPUTED_VALUE"""),6)</f>
        <v>6</v>
      </c>
    </row>
    <row r="38" spans="1:9" ht="12.75">
      <c r="A38">
        <f ca="1">IFERROR(__xludf.DUMMYFUNCTION("""COMPUTED_VALUE"""),37)</f>
        <v>37</v>
      </c>
      <c r="B38">
        <f ca="1">IFERROR(__xludf.DUMMYFUNCTION("""COMPUTED_VALUE"""),38)</f>
        <v>38</v>
      </c>
      <c r="C38" t="str">
        <f ca="1">IFERROR(__xludf.DUMMYFUNCTION("""COMPUTED_VALUE"""),"Joaquin Niemann")</f>
        <v>Joaquin Niemann</v>
      </c>
      <c r="D38">
        <f ca="1">IFERROR(__xludf.DUMMYFUNCTION("""COMPUTED_VALUE"""),16)</f>
        <v>16</v>
      </c>
      <c r="E38">
        <f ca="1">IFERROR(__xludf.DUMMYFUNCTION("""COMPUTED_VALUE"""),1.079)</f>
        <v>1.079</v>
      </c>
      <c r="F38">
        <f ca="1">IFERROR(__xludf.DUMMYFUNCTION("""COMPUTED_VALUE"""),0.779)</f>
        <v>0.77900000000000003</v>
      </c>
      <c r="G38">
        <f ca="1">IFERROR(__xludf.DUMMYFUNCTION("""COMPUTED_VALUE"""),0.325)</f>
        <v>0.32500000000000001</v>
      </c>
      <c r="H38">
        <f ca="1">IFERROR(__xludf.DUMMYFUNCTION("""COMPUTED_VALUE"""),-0.025)</f>
        <v>-2.5000000000000001E-2</v>
      </c>
      <c r="I38">
        <f ca="1">IFERROR(__xludf.DUMMYFUNCTION("""COMPUTED_VALUE"""),16)</f>
        <v>16</v>
      </c>
    </row>
    <row r="39" spans="1:9" ht="12.75">
      <c r="A39">
        <f ca="1">IFERROR(__xludf.DUMMYFUNCTION("""COMPUTED_VALUE"""),38)</f>
        <v>38</v>
      </c>
      <c r="B39">
        <f ca="1">IFERROR(__xludf.DUMMYFUNCTION("""COMPUTED_VALUE"""),41)</f>
        <v>41</v>
      </c>
      <c r="C39" t="str">
        <f ca="1">IFERROR(__xludf.DUMMYFUNCTION("""COMPUTED_VALUE"""),"Matthew Fitzpatrick")</f>
        <v>Matthew Fitzpatrick</v>
      </c>
      <c r="D39">
        <f ca="1">IFERROR(__xludf.DUMMYFUNCTION("""COMPUTED_VALUE"""),10)</f>
        <v>10</v>
      </c>
      <c r="E39">
        <f ca="1">IFERROR(__xludf.DUMMYFUNCTION("""COMPUTED_VALUE"""),1.035)</f>
        <v>1.0349999999999999</v>
      </c>
      <c r="F39">
        <f ca="1">IFERROR(__xludf.DUMMYFUNCTION("""COMPUTED_VALUE"""),0.228)</f>
        <v>0.22800000000000001</v>
      </c>
      <c r="G39">
        <f ca="1">IFERROR(__xludf.DUMMYFUNCTION("""COMPUTED_VALUE"""),0.85)</f>
        <v>0.85</v>
      </c>
      <c r="H39">
        <f ca="1">IFERROR(__xludf.DUMMYFUNCTION("""COMPUTED_VALUE"""),-0.043)</f>
        <v>-4.2999999999999997E-2</v>
      </c>
      <c r="I39">
        <f ca="1">IFERROR(__xludf.DUMMYFUNCTION("""COMPUTED_VALUE"""),10)</f>
        <v>10</v>
      </c>
    </row>
    <row r="40" spans="1:9" ht="12.75">
      <c r="A40">
        <f ca="1">IFERROR(__xludf.DUMMYFUNCTION("""COMPUTED_VALUE"""),39)</f>
        <v>39</v>
      </c>
      <c r="B40">
        <f ca="1">IFERROR(__xludf.DUMMYFUNCTION("""COMPUTED_VALUE"""),42)</f>
        <v>42</v>
      </c>
      <c r="C40" t="str">
        <f ca="1">IFERROR(__xludf.DUMMYFUNCTION("""COMPUTED_VALUE"""),"Webb Simpson")</f>
        <v>Webb Simpson</v>
      </c>
      <c r="D40">
        <f ca="1">IFERROR(__xludf.DUMMYFUNCTION("""COMPUTED_VALUE"""),12)</f>
        <v>12</v>
      </c>
      <c r="E40">
        <f ca="1">IFERROR(__xludf.DUMMYFUNCTION("""COMPUTED_VALUE"""),1.026)</f>
        <v>1.026</v>
      </c>
      <c r="F40">
        <f ca="1">IFERROR(__xludf.DUMMYFUNCTION("""COMPUTED_VALUE"""),0.507)</f>
        <v>0.50700000000000001</v>
      </c>
      <c r="G40">
        <f ca="1">IFERROR(__xludf.DUMMYFUNCTION("""COMPUTED_VALUE"""),-0.109)</f>
        <v>-0.109</v>
      </c>
      <c r="H40">
        <f ca="1">IFERROR(__xludf.DUMMYFUNCTION("""COMPUTED_VALUE"""),0.628)</f>
        <v>0.628</v>
      </c>
      <c r="I40">
        <f ca="1">IFERROR(__xludf.DUMMYFUNCTION("""COMPUTED_VALUE"""),12)</f>
        <v>12</v>
      </c>
    </row>
    <row r="41" spans="1:9" ht="12.75">
      <c r="A41">
        <f ca="1">IFERROR(__xludf.DUMMYFUNCTION("""COMPUTED_VALUE"""),40)</f>
        <v>40</v>
      </c>
      <c r="B41">
        <f ca="1">IFERROR(__xludf.DUMMYFUNCTION("""COMPUTED_VALUE"""),44)</f>
        <v>44</v>
      </c>
      <c r="C41" t="str">
        <f ca="1">IFERROR(__xludf.DUMMYFUNCTION("""COMPUTED_VALUE"""),"Rory McIlroy")</f>
        <v>Rory McIlroy</v>
      </c>
      <c r="D41">
        <f ca="1">IFERROR(__xludf.DUMMYFUNCTION("""COMPUTED_VALUE"""),12)</f>
        <v>12</v>
      </c>
      <c r="E41">
        <f ca="1">IFERROR(__xludf.DUMMYFUNCTION("""COMPUTED_VALUE"""),1.012)</f>
        <v>1.012</v>
      </c>
      <c r="F41">
        <f ca="1">IFERROR(__xludf.DUMMYFUNCTION("""COMPUTED_VALUE"""),1.281)</f>
        <v>1.2809999999999999</v>
      </c>
      <c r="G41">
        <f ca="1">IFERROR(__xludf.DUMMYFUNCTION("""COMPUTED_VALUE"""),-0.212)</f>
        <v>-0.21199999999999999</v>
      </c>
      <c r="H41">
        <f ca="1">IFERROR(__xludf.DUMMYFUNCTION("""COMPUTED_VALUE"""),-0.057)</f>
        <v>-5.7000000000000002E-2</v>
      </c>
      <c r="I41">
        <f ca="1">IFERROR(__xludf.DUMMYFUNCTION("""COMPUTED_VALUE"""),12)</f>
        <v>12</v>
      </c>
    </row>
    <row r="42" spans="1:9" ht="12.75">
      <c r="A42">
        <f ca="1">IFERROR(__xludf.DUMMYFUNCTION("""COMPUTED_VALUE"""),41)</f>
        <v>41</v>
      </c>
      <c r="B42">
        <f ca="1">IFERROR(__xludf.DUMMYFUNCTION("""COMPUTED_VALUE"""),45)</f>
        <v>45</v>
      </c>
      <c r="C42" t="str">
        <f ca="1">IFERROR(__xludf.DUMMYFUNCTION("""COMPUTED_VALUE"""),"Jim Furyk")</f>
        <v>Jim Furyk</v>
      </c>
      <c r="D42">
        <f ca="1">IFERROR(__xludf.DUMMYFUNCTION("""COMPUTED_VALUE"""),4)</f>
        <v>4</v>
      </c>
      <c r="E42">
        <f ca="1">IFERROR(__xludf.DUMMYFUNCTION("""COMPUTED_VALUE"""),0.993)</f>
        <v>0.99299999999999999</v>
      </c>
      <c r="F42">
        <f ca="1">IFERROR(__xludf.DUMMYFUNCTION("""COMPUTED_VALUE"""),-0.162)</f>
        <v>-0.16200000000000001</v>
      </c>
      <c r="G42">
        <f ca="1">IFERROR(__xludf.DUMMYFUNCTION("""COMPUTED_VALUE"""),1.031)</f>
        <v>1.0309999999999999</v>
      </c>
      <c r="H42">
        <f ca="1">IFERROR(__xludf.DUMMYFUNCTION("""COMPUTED_VALUE"""),0.123)</f>
        <v>0.123</v>
      </c>
      <c r="I42">
        <f ca="1">IFERROR(__xludf.DUMMYFUNCTION("""COMPUTED_VALUE"""),4)</f>
        <v>4</v>
      </c>
    </row>
    <row r="43" spans="1:9" ht="12.75">
      <c r="A43">
        <f ca="1">IFERROR(__xludf.DUMMYFUNCTION("""COMPUTED_VALUE"""),42)</f>
        <v>42</v>
      </c>
      <c r="B43">
        <f ca="1">IFERROR(__xludf.DUMMYFUNCTION("""COMPUTED_VALUE"""),48)</f>
        <v>48</v>
      </c>
      <c r="C43" t="str">
        <f ca="1">IFERROR(__xludf.DUMMYFUNCTION("""COMPUTED_VALUE"""),"Harris English")</f>
        <v>Harris English</v>
      </c>
      <c r="D43">
        <f ca="1">IFERROR(__xludf.DUMMYFUNCTION("""COMPUTED_VALUE"""),14)</f>
        <v>14</v>
      </c>
      <c r="E43">
        <f ca="1">IFERROR(__xludf.DUMMYFUNCTION("""COMPUTED_VALUE"""),0.938)</f>
        <v>0.93799999999999994</v>
      </c>
      <c r="F43">
        <f ca="1">IFERROR(__xludf.DUMMYFUNCTION("""COMPUTED_VALUE"""),0.433)</f>
        <v>0.433</v>
      </c>
      <c r="G43">
        <f ca="1">IFERROR(__xludf.DUMMYFUNCTION("""COMPUTED_VALUE"""),-0.043)</f>
        <v>-4.2999999999999997E-2</v>
      </c>
      <c r="H43">
        <f ca="1">IFERROR(__xludf.DUMMYFUNCTION("""COMPUTED_VALUE"""),0.548)</f>
        <v>0.54800000000000004</v>
      </c>
      <c r="I43">
        <f ca="1">IFERROR(__xludf.DUMMYFUNCTION("""COMPUTED_VALUE"""),14)</f>
        <v>14</v>
      </c>
    </row>
    <row r="44" spans="1:9" ht="12.75">
      <c r="A44">
        <f ca="1">IFERROR(__xludf.DUMMYFUNCTION("""COMPUTED_VALUE"""),43)</f>
        <v>43</v>
      </c>
      <c r="B44">
        <f ca="1">IFERROR(__xludf.DUMMYFUNCTION("""COMPUTED_VALUE"""),49)</f>
        <v>49</v>
      </c>
      <c r="C44" t="str">
        <f ca="1">IFERROR(__xludf.DUMMYFUNCTION("""COMPUTED_VALUE"""),"Ryan Palmer")</f>
        <v>Ryan Palmer</v>
      </c>
      <c r="D44">
        <f ca="1">IFERROR(__xludf.DUMMYFUNCTION("""COMPUTED_VALUE"""),14)</f>
        <v>14</v>
      </c>
      <c r="E44">
        <f ca="1">IFERROR(__xludf.DUMMYFUNCTION("""COMPUTED_VALUE"""),0.929)</f>
        <v>0.92900000000000005</v>
      </c>
      <c r="F44">
        <f ca="1">IFERROR(__xludf.DUMMYFUNCTION("""COMPUTED_VALUE"""),0.433)</f>
        <v>0.433</v>
      </c>
      <c r="G44">
        <f ca="1">IFERROR(__xludf.DUMMYFUNCTION("""COMPUTED_VALUE"""),0.379)</f>
        <v>0.379</v>
      </c>
      <c r="H44">
        <f ca="1">IFERROR(__xludf.DUMMYFUNCTION("""COMPUTED_VALUE"""),0.117)</f>
        <v>0.11700000000000001</v>
      </c>
      <c r="I44">
        <f ca="1">IFERROR(__xludf.DUMMYFUNCTION("""COMPUTED_VALUE"""),14)</f>
        <v>14</v>
      </c>
    </row>
    <row r="45" spans="1:9" ht="12.75">
      <c r="A45">
        <f ca="1">IFERROR(__xludf.DUMMYFUNCTION("""COMPUTED_VALUE"""),44)</f>
        <v>44</v>
      </c>
      <c r="B45">
        <f ca="1">IFERROR(__xludf.DUMMYFUNCTION("""COMPUTED_VALUE"""),62)</f>
        <v>62</v>
      </c>
      <c r="C45" t="str">
        <f ca="1">IFERROR(__xludf.DUMMYFUNCTION("""COMPUTED_VALUE"""),"Brooks Koepka")</f>
        <v>Brooks Koepka</v>
      </c>
      <c r="D45">
        <f ca="1">IFERROR(__xludf.DUMMYFUNCTION("""COMPUTED_VALUE"""),8)</f>
        <v>8</v>
      </c>
      <c r="E45">
        <f ca="1">IFERROR(__xludf.DUMMYFUNCTION("""COMPUTED_VALUE"""),0.921)</f>
        <v>0.92100000000000004</v>
      </c>
      <c r="F45">
        <f ca="1">IFERROR(__xludf.DUMMYFUNCTION("""COMPUTED_VALUE"""),0.078)</f>
        <v>7.8E-2</v>
      </c>
      <c r="G45">
        <f ca="1">IFERROR(__xludf.DUMMYFUNCTION("""COMPUTED_VALUE"""),0.303)</f>
        <v>0.30299999999999999</v>
      </c>
      <c r="H45">
        <f ca="1">IFERROR(__xludf.DUMMYFUNCTION("""COMPUTED_VALUE"""),0.539)</f>
        <v>0.53900000000000003</v>
      </c>
      <c r="I45">
        <f ca="1">IFERROR(__xludf.DUMMYFUNCTION("""COMPUTED_VALUE"""),8)</f>
        <v>8</v>
      </c>
    </row>
    <row r="46" spans="1:9" ht="12.75">
      <c r="A46">
        <f ca="1">IFERROR(__xludf.DUMMYFUNCTION("""COMPUTED_VALUE"""),45)</f>
        <v>45</v>
      </c>
      <c r="B46">
        <f ca="1">IFERROR(__xludf.DUMMYFUNCTION("""COMPUTED_VALUE"""),50)</f>
        <v>50</v>
      </c>
      <c r="C46" t="str">
        <f ca="1">IFERROR(__xludf.DUMMYFUNCTION("""COMPUTED_VALUE"""),"Chez Reavie")</f>
        <v>Chez Reavie</v>
      </c>
      <c r="D46">
        <f ca="1">IFERROR(__xludf.DUMMYFUNCTION("""COMPUTED_VALUE"""),14)</f>
        <v>14</v>
      </c>
      <c r="E46">
        <f ca="1">IFERROR(__xludf.DUMMYFUNCTION("""COMPUTED_VALUE"""),0.902)</f>
        <v>0.90200000000000002</v>
      </c>
      <c r="F46">
        <f ca="1">IFERROR(__xludf.DUMMYFUNCTION("""COMPUTED_VALUE"""),-0.066)</f>
        <v>-6.6000000000000003E-2</v>
      </c>
      <c r="G46">
        <f ca="1">IFERROR(__xludf.DUMMYFUNCTION("""COMPUTED_VALUE"""),0.898)</f>
        <v>0.89800000000000002</v>
      </c>
      <c r="H46">
        <f ca="1">IFERROR(__xludf.DUMMYFUNCTION("""COMPUTED_VALUE"""),0.07)</f>
        <v>7.0000000000000007E-2</v>
      </c>
      <c r="I46">
        <f ca="1">IFERROR(__xludf.DUMMYFUNCTION("""COMPUTED_VALUE"""),14)</f>
        <v>14</v>
      </c>
    </row>
    <row r="47" spans="1:9" ht="12.75">
      <c r="A47" t="str">
        <f ca="1">IFERROR(__xludf.DUMMYFUNCTION("""COMPUTED_VALUE"""),"T46")</f>
        <v>T46</v>
      </c>
      <c r="B47">
        <f ca="1">IFERROR(__xludf.DUMMYFUNCTION("""COMPUTED_VALUE"""),47)</f>
        <v>47</v>
      </c>
      <c r="C47" t="str">
        <f ca="1">IFERROR(__xludf.DUMMYFUNCTION("""COMPUTED_VALUE"""),"Emiliano Grillo")</f>
        <v>Emiliano Grillo</v>
      </c>
      <c r="D47">
        <f ca="1">IFERROR(__xludf.DUMMYFUNCTION("""COMPUTED_VALUE"""),22)</f>
        <v>22</v>
      </c>
      <c r="E47">
        <f ca="1">IFERROR(__xludf.DUMMYFUNCTION("""COMPUTED_VALUE"""),0.897)</f>
        <v>0.89700000000000002</v>
      </c>
      <c r="F47">
        <f ca="1">IFERROR(__xludf.DUMMYFUNCTION("""COMPUTED_VALUE"""),0.168)</f>
        <v>0.16800000000000001</v>
      </c>
      <c r="G47">
        <f ca="1">IFERROR(__xludf.DUMMYFUNCTION("""COMPUTED_VALUE"""),0.95)</f>
        <v>0.95</v>
      </c>
      <c r="H47">
        <f ca="1">IFERROR(__xludf.DUMMYFUNCTION("""COMPUTED_VALUE"""),-0.221)</f>
        <v>-0.221</v>
      </c>
      <c r="I47">
        <f ca="1">IFERROR(__xludf.DUMMYFUNCTION("""COMPUTED_VALUE"""),14)</f>
        <v>14</v>
      </c>
    </row>
    <row r="48" spans="1:9" ht="12.75">
      <c r="A48" t="str">
        <f ca="1">IFERROR(__xludf.DUMMYFUNCTION("""COMPUTED_VALUE"""),"T46")</f>
        <v>T46</v>
      </c>
      <c r="B48">
        <f ca="1">IFERROR(__xludf.DUMMYFUNCTION("""COMPUTED_VALUE"""),30)</f>
        <v>30</v>
      </c>
      <c r="C48" t="str">
        <f ca="1">IFERROR(__xludf.DUMMYFUNCTION("""COMPUTED_VALUE"""),"Austin Cook")</f>
        <v>Austin Cook</v>
      </c>
      <c r="D48">
        <f ca="1">IFERROR(__xludf.DUMMYFUNCTION("""COMPUTED_VALUE"""),14)</f>
        <v>14</v>
      </c>
      <c r="E48">
        <f ca="1">IFERROR(__xludf.DUMMYFUNCTION("""COMPUTED_VALUE"""),0.897)</f>
        <v>0.89700000000000002</v>
      </c>
      <c r="F48">
        <f ca="1">IFERROR(__xludf.DUMMYFUNCTION("""COMPUTED_VALUE"""),0.313)</f>
        <v>0.313</v>
      </c>
      <c r="G48">
        <f ca="1">IFERROR(__xludf.DUMMYFUNCTION("""COMPUTED_VALUE"""),0.587)</f>
        <v>0.58699999999999997</v>
      </c>
      <c r="H48">
        <f ca="1">IFERROR(__xludf.DUMMYFUNCTION("""COMPUTED_VALUE"""),-0.003)</f>
        <v>-3.0000000000000001E-3</v>
      </c>
      <c r="I48">
        <f ca="1">IFERROR(__xludf.DUMMYFUNCTION("""COMPUTED_VALUE"""),14)</f>
        <v>14</v>
      </c>
    </row>
    <row r="49" spans="1:9" ht="12.75">
      <c r="A49">
        <f ca="1">IFERROR(__xludf.DUMMYFUNCTION("""COMPUTED_VALUE"""),48)</f>
        <v>48</v>
      </c>
      <c r="B49">
        <f ca="1">IFERROR(__xludf.DUMMYFUNCTION("""COMPUTED_VALUE"""),56)</f>
        <v>56</v>
      </c>
      <c r="C49" t="str">
        <f ca="1">IFERROR(__xludf.DUMMYFUNCTION("""COMPUTED_VALUE"""),"Sepp Straka")</f>
        <v>Sepp Straka</v>
      </c>
      <c r="D49">
        <f ca="1">IFERROR(__xludf.DUMMYFUNCTION("""COMPUTED_VALUE"""),22)</f>
        <v>22</v>
      </c>
      <c r="E49">
        <f ca="1">IFERROR(__xludf.DUMMYFUNCTION("""COMPUTED_VALUE"""),0.896)</f>
        <v>0.89600000000000002</v>
      </c>
      <c r="F49">
        <f ca="1">IFERROR(__xludf.DUMMYFUNCTION("""COMPUTED_VALUE"""),0.225)</f>
        <v>0.22500000000000001</v>
      </c>
      <c r="G49">
        <f ca="1">IFERROR(__xludf.DUMMYFUNCTION("""COMPUTED_VALUE"""),0.651)</f>
        <v>0.65100000000000002</v>
      </c>
      <c r="H49">
        <f ca="1">IFERROR(__xludf.DUMMYFUNCTION("""COMPUTED_VALUE"""),0.02)</f>
        <v>0.02</v>
      </c>
      <c r="I49">
        <f ca="1">IFERROR(__xludf.DUMMYFUNCTION("""COMPUTED_VALUE"""),14)</f>
        <v>14</v>
      </c>
    </row>
    <row r="50" spans="1:9" ht="12.75">
      <c r="A50">
        <f ca="1">IFERROR(__xludf.DUMMYFUNCTION("""COMPUTED_VALUE"""),49)</f>
        <v>49</v>
      </c>
      <c r="B50">
        <f ca="1">IFERROR(__xludf.DUMMYFUNCTION("""COMPUTED_VALUE"""),43)</f>
        <v>43</v>
      </c>
      <c r="C50" t="str">
        <f ca="1">IFERROR(__xludf.DUMMYFUNCTION("""COMPUTED_VALUE"""),"Sergio Garcia")</f>
        <v>Sergio Garcia</v>
      </c>
      <c r="D50">
        <f ca="1">IFERROR(__xludf.DUMMYFUNCTION("""COMPUTED_VALUE"""),18)</f>
        <v>18</v>
      </c>
      <c r="E50">
        <f ca="1">IFERROR(__xludf.DUMMYFUNCTION("""COMPUTED_VALUE"""),0.889)</f>
        <v>0.88900000000000001</v>
      </c>
      <c r="F50">
        <f ca="1">IFERROR(__xludf.DUMMYFUNCTION("""COMPUTED_VALUE"""),0.976)</f>
        <v>0.97599999999999998</v>
      </c>
      <c r="G50">
        <f ca="1">IFERROR(__xludf.DUMMYFUNCTION("""COMPUTED_VALUE"""),-0.014)</f>
        <v>-1.4E-2</v>
      </c>
      <c r="H50">
        <f ca="1">IFERROR(__xludf.DUMMYFUNCTION("""COMPUTED_VALUE"""),-0.073)</f>
        <v>-7.2999999999999995E-2</v>
      </c>
      <c r="I50">
        <f ca="1">IFERROR(__xludf.DUMMYFUNCTION("""COMPUTED_VALUE"""),18)</f>
        <v>18</v>
      </c>
    </row>
    <row r="51" spans="1:9" ht="12.75">
      <c r="A51">
        <f ca="1">IFERROR(__xludf.DUMMYFUNCTION("""COMPUTED_VALUE"""),50)</f>
        <v>50</v>
      </c>
      <c r="B51">
        <f ca="1">IFERROR(__xludf.DUMMYFUNCTION("""COMPUTED_VALUE"""),9)</f>
        <v>9</v>
      </c>
      <c r="C51" t="str">
        <f ca="1">IFERROR(__xludf.DUMMYFUNCTION("""COMPUTED_VALUE"""),"Lee Westwood")</f>
        <v>Lee Westwood</v>
      </c>
      <c r="D51">
        <f ca="1">IFERROR(__xludf.DUMMYFUNCTION("""COMPUTED_VALUE"""),6)</f>
        <v>6</v>
      </c>
      <c r="E51">
        <f ca="1">IFERROR(__xludf.DUMMYFUNCTION("""COMPUTED_VALUE"""),0.87)</f>
        <v>0.87</v>
      </c>
      <c r="F51">
        <f ca="1">IFERROR(__xludf.DUMMYFUNCTION("""COMPUTED_VALUE"""),0.585)</f>
        <v>0.58499999999999996</v>
      </c>
      <c r="G51">
        <f ca="1">IFERROR(__xludf.DUMMYFUNCTION("""COMPUTED_VALUE"""),0.041)</f>
        <v>4.1000000000000002E-2</v>
      </c>
      <c r="H51">
        <f ca="1">IFERROR(__xludf.DUMMYFUNCTION("""COMPUTED_VALUE"""),0.244)</f>
        <v>0.24399999999999999</v>
      </c>
      <c r="I51">
        <f ca="1">IFERROR(__xludf.DUMMYFUNCTION("""COMPUTED_VALUE"""),6)</f>
        <v>6</v>
      </c>
    </row>
    <row r="52" spans="1:9" ht="12.75">
      <c r="A52">
        <f ca="1">IFERROR(__xludf.DUMMYFUNCTION("""COMPUTED_VALUE"""),51)</f>
        <v>51</v>
      </c>
      <c r="B52" t="str">
        <f ca="1">IFERROR(__xludf.DUMMYFUNCTION("""COMPUTED_VALUE"""),"T81")</f>
        <v>T81</v>
      </c>
      <c r="C52" t="str">
        <f ca="1">IFERROR(__xludf.DUMMYFUNCTION("""COMPUTED_VALUE"""),"Aaron Wise")</f>
        <v>Aaron Wise</v>
      </c>
      <c r="D52">
        <f ca="1">IFERROR(__xludf.DUMMYFUNCTION("""COMPUTED_VALUE"""),16)</f>
        <v>16</v>
      </c>
      <c r="E52">
        <f ca="1">IFERROR(__xludf.DUMMYFUNCTION("""COMPUTED_VALUE"""),0.856)</f>
        <v>0.85599999999999998</v>
      </c>
      <c r="F52">
        <f ca="1">IFERROR(__xludf.DUMMYFUNCTION("""COMPUTED_VALUE"""),0.076)</f>
        <v>7.5999999999999998E-2</v>
      </c>
      <c r="G52">
        <f ca="1">IFERROR(__xludf.DUMMYFUNCTION("""COMPUTED_VALUE"""),0.433)</f>
        <v>0.433</v>
      </c>
      <c r="H52">
        <f ca="1">IFERROR(__xludf.DUMMYFUNCTION("""COMPUTED_VALUE"""),0.347)</f>
        <v>0.34699999999999998</v>
      </c>
      <c r="I52">
        <f ca="1">IFERROR(__xludf.DUMMYFUNCTION("""COMPUTED_VALUE"""),12)</f>
        <v>12</v>
      </c>
    </row>
    <row r="53" spans="1:9" ht="12.75">
      <c r="A53">
        <f ca="1">IFERROR(__xludf.DUMMYFUNCTION("""COMPUTED_VALUE"""),52)</f>
        <v>52</v>
      </c>
      <c r="B53">
        <f ca="1">IFERROR(__xludf.DUMMYFUNCTION("""COMPUTED_VALUE"""),53)</f>
        <v>53</v>
      </c>
      <c r="C53" t="str">
        <f ca="1">IFERROR(__xludf.DUMMYFUNCTION("""COMPUTED_VALUE"""),"Wesley Bryan")</f>
        <v>Wesley Bryan</v>
      </c>
      <c r="D53">
        <f ca="1">IFERROR(__xludf.DUMMYFUNCTION("""COMPUTED_VALUE"""),8)</f>
        <v>8</v>
      </c>
      <c r="E53">
        <f ca="1">IFERROR(__xludf.DUMMYFUNCTION("""COMPUTED_VALUE"""),0.85)</f>
        <v>0.85</v>
      </c>
      <c r="F53">
        <f ca="1">IFERROR(__xludf.DUMMYFUNCTION("""COMPUTED_VALUE"""),0.267)</f>
        <v>0.26700000000000002</v>
      </c>
      <c r="G53">
        <f ca="1">IFERROR(__xludf.DUMMYFUNCTION("""COMPUTED_VALUE"""),0.642)</f>
        <v>0.64200000000000002</v>
      </c>
      <c r="H53">
        <f ca="1">IFERROR(__xludf.DUMMYFUNCTION("""COMPUTED_VALUE"""),-0.059)</f>
        <v>-5.8999999999999997E-2</v>
      </c>
      <c r="I53">
        <f ca="1">IFERROR(__xludf.DUMMYFUNCTION("""COMPUTED_VALUE"""),6)</f>
        <v>6</v>
      </c>
    </row>
    <row r="54" spans="1:9" ht="12.75">
      <c r="A54" t="str">
        <f ca="1">IFERROR(__xludf.DUMMYFUNCTION("""COMPUTED_VALUE"""),"T53")</f>
        <v>T53</v>
      </c>
      <c r="B54">
        <f ca="1">IFERROR(__xludf.DUMMYFUNCTION("""COMPUTED_VALUE"""),37)</f>
        <v>37</v>
      </c>
      <c r="C54" t="str">
        <f ca="1">IFERROR(__xludf.DUMMYFUNCTION("""COMPUTED_VALUE"""),"Matthew NeSmith")</f>
        <v>Matthew NeSmith</v>
      </c>
      <c r="D54">
        <f ca="1">IFERROR(__xludf.DUMMYFUNCTION("""COMPUTED_VALUE"""),16)</f>
        <v>16</v>
      </c>
      <c r="E54">
        <f ca="1">IFERROR(__xludf.DUMMYFUNCTION("""COMPUTED_VALUE"""),0.84)</f>
        <v>0.84</v>
      </c>
      <c r="F54">
        <f ca="1">IFERROR(__xludf.DUMMYFUNCTION("""COMPUTED_VALUE"""),0.392)</f>
        <v>0.39200000000000002</v>
      </c>
      <c r="G54">
        <f ca="1">IFERROR(__xludf.DUMMYFUNCTION("""COMPUTED_VALUE"""),1.003)</f>
        <v>1.0029999999999999</v>
      </c>
      <c r="H54">
        <f ca="1">IFERROR(__xludf.DUMMYFUNCTION("""COMPUTED_VALUE"""),-0.555)</f>
        <v>-0.55500000000000005</v>
      </c>
      <c r="I54">
        <f ca="1">IFERROR(__xludf.DUMMYFUNCTION("""COMPUTED_VALUE"""),12)</f>
        <v>12</v>
      </c>
    </row>
    <row r="55" spans="1:9" ht="12.75">
      <c r="A55" t="str">
        <f ca="1">IFERROR(__xludf.DUMMYFUNCTION("""COMPUTED_VALUE"""),"T53")</f>
        <v>T53</v>
      </c>
      <c r="B55">
        <f ca="1">IFERROR(__xludf.DUMMYFUNCTION("""COMPUTED_VALUE"""),87)</f>
        <v>87</v>
      </c>
      <c r="C55" t="str">
        <f ca="1">IFERROR(__xludf.DUMMYFUNCTION("""COMPUTED_VALUE"""),"Carlos Ortiz")</f>
        <v>Carlos Ortiz</v>
      </c>
      <c r="D55">
        <f ca="1">IFERROR(__xludf.DUMMYFUNCTION("""COMPUTED_VALUE"""),20)</f>
        <v>20</v>
      </c>
      <c r="E55">
        <f ca="1">IFERROR(__xludf.DUMMYFUNCTION("""COMPUTED_VALUE"""),0.84)</f>
        <v>0.84</v>
      </c>
      <c r="F55">
        <f ca="1">IFERROR(__xludf.DUMMYFUNCTION("""COMPUTED_VALUE"""),0.272)</f>
        <v>0.27200000000000002</v>
      </c>
      <c r="G55">
        <f ca="1">IFERROR(__xludf.DUMMYFUNCTION("""COMPUTED_VALUE"""),0.201)</f>
        <v>0.20100000000000001</v>
      </c>
      <c r="H55">
        <f ca="1">IFERROR(__xludf.DUMMYFUNCTION("""COMPUTED_VALUE"""),0.367)</f>
        <v>0.36699999999999999</v>
      </c>
      <c r="I55">
        <f ca="1">IFERROR(__xludf.DUMMYFUNCTION("""COMPUTED_VALUE"""),20)</f>
        <v>20</v>
      </c>
    </row>
    <row r="56" spans="1:9" ht="12.75">
      <c r="A56">
        <f ca="1">IFERROR(__xludf.DUMMYFUNCTION("""COMPUTED_VALUE"""),55)</f>
        <v>55</v>
      </c>
      <c r="B56">
        <f ca="1">IFERROR(__xludf.DUMMYFUNCTION("""COMPUTED_VALUE"""),60)</f>
        <v>60</v>
      </c>
      <c r="C56" t="str">
        <f ca="1">IFERROR(__xludf.DUMMYFUNCTION("""COMPUTED_VALUE"""),"Tyrrell Hatton")</f>
        <v>Tyrrell Hatton</v>
      </c>
      <c r="D56">
        <f ca="1">IFERROR(__xludf.DUMMYFUNCTION("""COMPUTED_VALUE"""),14)</f>
        <v>14</v>
      </c>
      <c r="E56">
        <f ca="1">IFERROR(__xludf.DUMMYFUNCTION("""COMPUTED_VALUE"""),0.839)</f>
        <v>0.83899999999999997</v>
      </c>
      <c r="F56">
        <f ca="1">IFERROR(__xludf.DUMMYFUNCTION("""COMPUTED_VALUE"""),0.484)</f>
        <v>0.48399999999999999</v>
      </c>
      <c r="G56">
        <f ca="1">IFERROR(__xludf.DUMMYFUNCTION("""COMPUTED_VALUE"""),0.767)</f>
        <v>0.76700000000000002</v>
      </c>
      <c r="H56">
        <f ca="1">IFERROR(__xludf.DUMMYFUNCTION("""COMPUTED_VALUE"""),-0.412)</f>
        <v>-0.41199999999999998</v>
      </c>
      <c r="I56">
        <f ca="1">IFERROR(__xludf.DUMMYFUNCTION("""COMPUTED_VALUE"""),14)</f>
        <v>14</v>
      </c>
    </row>
    <row r="57" spans="1:9" ht="12.75">
      <c r="A57">
        <f ca="1">IFERROR(__xludf.DUMMYFUNCTION("""COMPUTED_VALUE"""),56)</f>
        <v>56</v>
      </c>
      <c r="B57">
        <f ca="1">IFERROR(__xludf.DUMMYFUNCTION("""COMPUTED_VALUE"""),63)</f>
        <v>63</v>
      </c>
      <c r="C57" t="str">
        <f ca="1">IFERROR(__xludf.DUMMYFUNCTION("""COMPUTED_VALUE"""),"Scott Piercy")</f>
        <v>Scott Piercy</v>
      </c>
      <c r="D57">
        <f ca="1">IFERROR(__xludf.DUMMYFUNCTION("""COMPUTED_VALUE"""),18)</f>
        <v>18</v>
      </c>
      <c r="E57">
        <f ca="1">IFERROR(__xludf.DUMMYFUNCTION("""COMPUTED_VALUE"""),0.837)</f>
        <v>0.83699999999999997</v>
      </c>
      <c r="F57">
        <f ca="1">IFERROR(__xludf.DUMMYFUNCTION("""COMPUTED_VALUE"""),0.287)</f>
        <v>0.28699999999999998</v>
      </c>
      <c r="G57">
        <f ca="1">IFERROR(__xludf.DUMMYFUNCTION("""COMPUTED_VALUE"""),0.725)</f>
        <v>0.72499999999999998</v>
      </c>
      <c r="H57">
        <f ca="1">IFERROR(__xludf.DUMMYFUNCTION("""COMPUTED_VALUE"""),-0.175)</f>
        <v>-0.17499999999999999</v>
      </c>
      <c r="I57">
        <f ca="1">IFERROR(__xludf.DUMMYFUNCTION("""COMPUTED_VALUE"""),14)</f>
        <v>14</v>
      </c>
    </row>
    <row r="58" spans="1:9" ht="12.75">
      <c r="A58">
        <f ca="1">IFERROR(__xludf.DUMMYFUNCTION("""COMPUTED_VALUE"""),57)</f>
        <v>57</v>
      </c>
      <c r="B58">
        <f ca="1">IFERROR(__xludf.DUMMYFUNCTION("""COMPUTED_VALUE"""),14)</f>
        <v>14</v>
      </c>
      <c r="C58" t="str">
        <f ca="1">IFERROR(__xludf.DUMMYFUNCTION("""COMPUTED_VALUE"""),"James Hahn")</f>
        <v>James Hahn</v>
      </c>
      <c r="D58">
        <f ca="1">IFERROR(__xludf.DUMMYFUNCTION("""COMPUTED_VALUE"""),16)</f>
        <v>16</v>
      </c>
      <c r="E58">
        <f ca="1">IFERROR(__xludf.DUMMYFUNCTION("""COMPUTED_VALUE"""),0.818)</f>
        <v>0.81799999999999995</v>
      </c>
      <c r="F58">
        <f ca="1">IFERROR(__xludf.DUMMYFUNCTION("""COMPUTED_VALUE"""),0.331)</f>
        <v>0.33100000000000002</v>
      </c>
      <c r="G58">
        <f ca="1">IFERROR(__xludf.DUMMYFUNCTION("""COMPUTED_VALUE"""),0.416)</f>
        <v>0.41599999999999998</v>
      </c>
      <c r="H58">
        <f ca="1">IFERROR(__xludf.DUMMYFUNCTION("""COMPUTED_VALUE"""),0.071)</f>
        <v>7.0999999999999994E-2</v>
      </c>
      <c r="I58">
        <f ca="1">IFERROR(__xludf.DUMMYFUNCTION("""COMPUTED_VALUE"""),12)</f>
        <v>12</v>
      </c>
    </row>
    <row r="59" spans="1:9" ht="12.75">
      <c r="A59">
        <f ca="1">IFERROR(__xludf.DUMMYFUNCTION("""COMPUTED_VALUE"""),58)</f>
        <v>58</v>
      </c>
      <c r="B59">
        <f ca="1">IFERROR(__xludf.DUMMYFUNCTION("""COMPUTED_VALUE"""),57)</f>
        <v>57</v>
      </c>
      <c r="C59" t="str">
        <f ca="1">IFERROR(__xludf.DUMMYFUNCTION("""COMPUTED_VALUE"""),"Roger Sloan")</f>
        <v>Roger Sloan</v>
      </c>
      <c r="D59">
        <f ca="1">IFERROR(__xludf.DUMMYFUNCTION("""COMPUTED_VALUE"""),12)</f>
        <v>12</v>
      </c>
      <c r="E59">
        <f ca="1">IFERROR(__xludf.DUMMYFUNCTION("""COMPUTED_VALUE"""),0.799)</f>
        <v>0.79900000000000004</v>
      </c>
      <c r="F59">
        <f ca="1">IFERROR(__xludf.DUMMYFUNCTION("""COMPUTED_VALUE"""),0.139)</f>
        <v>0.13900000000000001</v>
      </c>
      <c r="G59">
        <f ca="1">IFERROR(__xludf.DUMMYFUNCTION("""COMPUTED_VALUE"""),0.34)</f>
        <v>0.34</v>
      </c>
      <c r="H59">
        <f ca="1">IFERROR(__xludf.DUMMYFUNCTION("""COMPUTED_VALUE"""),0.32)</f>
        <v>0.32</v>
      </c>
      <c r="I59">
        <f ca="1">IFERROR(__xludf.DUMMYFUNCTION("""COMPUTED_VALUE"""),6)</f>
        <v>6</v>
      </c>
    </row>
    <row r="60" spans="1:9" ht="12.75">
      <c r="A60">
        <f ca="1">IFERROR(__xludf.DUMMYFUNCTION("""COMPUTED_VALUE"""),59)</f>
        <v>59</v>
      </c>
      <c r="B60">
        <f ca="1">IFERROR(__xludf.DUMMYFUNCTION("""COMPUTED_VALUE"""),59)</f>
        <v>59</v>
      </c>
      <c r="C60" t="str">
        <f ca="1">IFERROR(__xludf.DUMMYFUNCTION("""COMPUTED_VALUE"""),"Patrick Reed")</f>
        <v>Patrick Reed</v>
      </c>
      <c r="D60">
        <f ca="1">IFERROR(__xludf.DUMMYFUNCTION("""COMPUTED_VALUE"""),8)</f>
        <v>8</v>
      </c>
      <c r="E60">
        <f ca="1">IFERROR(__xludf.DUMMYFUNCTION("""COMPUTED_VALUE"""),0.792)</f>
        <v>0.79200000000000004</v>
      </c>
      <c r="F60">
        <f ca="1">IFERROR(__xludf.DUMMYFUNCTION("""COMPUTED_VALUE"""),-0.158)</f>
        <v>-0.158</v>
      </c>
      <c r="G60">
        <f ca="1">IFERROR(__xludf.DUMMYFUNCTION("""COMPUTED_VALUE"""),0.934)</f>
        <v>0.93400000000000005</v>
      </c>
      <c r="H60">
        <f ca="1">IFERROR(__xludf.DUMMYFUNCTION("""COMPUTED_VALUE"""),0.016)</f>
        <v>1.6E-2</v>
      </c>
      <c r="I60">
        <f ca="1">IFERROR(__xludf.DUMMYFUNCTION("""COMPUTED_VALUE"""),8)</f>
        <v>8</v>
      </c>
    </row>
    <row r="61" spans="1:9" ht="12.75">
      <c r="A61" t="str">
        <f ca="1">IFERROR(__xludf.DUMMYFUNCTION("""COMPUTED_VALUE"""),"T60")</f>
        <v>T60</v>
      </c>
      <c r="B61">
        <f ca="1">IFERROR(__xludf.DUMMYFUNCTION("""COMPUTED_VALUE"""),64)</f>
        <v>64</v>
      </c>
      <c r="C61" t="str">
        <f ca="1">IFERROR(__xludf.DUMMYFUNCTION("""COMPUTED_VALUE"""),"Russell Knox")</f>
        <v>Russell Knox</v>
      </c>
      <c r="D61">
        <f ca="1">IFERROR(__xludf.DUMMYFUNCTION("""COMPUTED_VALUE"""),16)</f>
        <v>16</v>
      </c>
      <c r="E61">
        <f ca="1">IFERROR(__xludf.DUMMYFUNCTION("""COMPUTED_VALUE"""),0.787)</f>
        <v>0.78700000000000003</v>
      </c>
      <c r="F61">
        <f ca="1">IFERROR(__xludf.DUMMYFUNCTION("""COMPUTED_VALUE"""),0.05)</f>
        <v>0.05</v>
      </c>
      <c r="G61">
        <f ca="1">IFERROR(__xludf.DUMMYFUNCTION("""COMPUTED_VALUE"""),0.522)</f>
        <v>0.52200000000000002</v>
      </c>
      <c r="H61">
        <f ca="1">IFERROR(__xludf.DUMMYFUNCTION("""COMPUTED_VALUE"""),0.214)</f>
        <v>0.214</v>
      </c>
      <c r="I61">
        <f ca="1">IFERROR(__xludf.DUMMYFUNCTION("""COMPUTED_VALUE"""),12)</f>
        <v>12</v>
      </c>
    </row>
    <row r="62" spans="1:9" ht="12.75">
      <c r="A62" t="str">
        <f ca="1">IFERROR(__xludf.DUMMYFUNCTION("""COMPUTED_VALUE"""),"T60")</f>
        <v>T60</v>
      </c>
      <c r="B62">
        <f ca="1">IFERROR(__xludf.DUMMYFUNCTION("""COMPUTED_VALUE"""),61)</f>
        <v>61</v>
      </c>
      <c r="C62" t="str">
        <f ca="1">IFERROR(__xludf.DUMMYFUNCTION("""COMPUTED_VALUE"""),"Louis Oosthuizen")</f>
        <v>Louis Oosthuizen</v>
      </c>
      <c r="D62">
        <f ca="1">IFERROR(__xludf.DUMMYFUNCTION("""COMPUTED_VALUE"""),12)</f>
        <v>12</v>
      </c>
      <c r="E62">
        <f ca="1">IFERROR(__xludf.DUMMYFUNCTION("""COMPUTED_VALUE"""),0.787)</f>
        <v>0.78700000000000003</v>
      </c>
      <c r="F62">
        <f ca="1">IFERROR(__xludf.DUMMYFUNCTION("""COMPUTED_VALUE"""),0.091)</f>
        <v>9.0999999999999998E-2</v>
      </c>
      <c r="G62">
        <f ca="1">IFERROR(__xludf.DUMMYFUNCTION("""COMPUTED_VALUE"""),0.317)</f>
        <v>0.317</v>
      </c>
      <c r="H62">
        <f ca="1">IFERROR(__xludf.DUMMYFUNCTION("""COMPUTED_VALUE"""),0.378)</f>
        <v>0.378</v>
      </c>
      <c r="I62">
        <f ca="1">IFERROR(__xludf.DUMMYFUNCTION("""COMPUTED_VALUE"""),12)</f>
        <v>12</v>
      </c>
    </row>
    <row r="63" spans="1:9" ht="12.75">
      <c r="A63">
        <f ca="1">IFERROR(__xludf.DUMMYFUNCTION("""COMPUTED_VALUE"""),62)</f>
        <v>62</v>
      </c>
      <c r="B63">
        <f ca="1">IFERROR(__xludf.DUMMYFUNCTION("""COMPUTED_VALUE"""),128)</f>
        <v>128</v>
      </c>
      <c r="C63" t="str">
        <f ca="1">IFERROR(__xludf.DUMMYFUNCTION("""COMPUTED_VALUE"""),"Shane Lowry")</f>
        <v>Shane Lowry</v>
      </c>
      <c r="D63">
        <f ca="1">IFERROR(__xludf.DUMMYFUNCTION("""COMPUTED_VALUE"""),14)</f>
        <v>14</v>
      </c>
      <c r="E63">
        <f ca="1">IFERROR(__xludf.DUMMYFUNCTION("""COMPUTED_VALUE"""),0.75)</f>
        <v>0.75</v>
      </c>
      <c r="F63">
        <f ca="1">IFERROR(__xludf.DUMMYFUNCTION("""COMPUTED_VALUE"""),0.229)</f>
        <v>0.22900000000000001</v>
      </c>
      <c r="G63">
        <f ca="1">IFERROR(__xludf.DUMMYFUNCTION("""COMPUTED_VALUE"""),0.533)</f>
        <v>0.53300000000000003</v>
      </c>
      <c r="H63">
        <f ca="1">IFERROR(__xludf.DUMMYFUNCTION("""COMPUTED_VALUE"""),-0.012)</f>
        <v>-1.2E-2</v>
      </c>
      <c r="I63">
        <f ca="1">IFERROR(__xludf.DUMMYFUNCTION("""COMPUTED_VALUE"""),14)</f>
        <v>14</v>
      </c>
    </row>
    <row r="64" spans="1:9" ht="12.75">
      <c r="A64">
        <f ca="1">IFERROR(__xludf.DUMMYFUNCTION("""COMPUTED_VALUE"""),63)</f>
        <v>63</v>
      </c>
      <c r="B64">
        <f ca="1">IFERROR(__xludf.DUMMYFUNCTION("""COMPUTED_VALUE"""),66)</f>
        <v>66</v>
      </c>
      <c r="C64" t="str">
        <f ca="1">IFERROR(__xludf.DUMMYFUNCTION("""COMPUTED_VALUE"""),"Tyler McCumber")</f>
        <v>Tyler McCumber</v>
      </c>
      <c r="D64">
        <f ca="1">IFERROR(__xludf.DUMMYFUNCTION("""COMPUTED_VALUE"""),14)</f>
        <v>14</v>
      </c>
      <c r="E64">
        <f ca="1">IFERROR(__xludf.DUMMYFUNCTION("""COMPUTED_VALUE"""),0.749)</f>
        <v>0.749</v>
      </c>
      <c r="F64">
        <f ca="1">IFERROR(__xludf.DUMMYFUNCTION("""COMPUTED_VALUE"""),0.59)</f>
        <v>0.59</v>
      </c>
      <c r="G64">
        <f ca="1">IFERROR(__xludf.DUMMYFUNCTION("""COMPUTED_VALUE"""),0.213)</f>
        <v>0.21299999999999999</v>
      </c>
      <c r="H64">
        <f ca="1">IFERROR(__xludf.DUMMYFUNCTION("""COMPUTED_VALUE"""),-0.054)</f>
        <v>-5.3999999999999999E-2</v>
      </c>
      <c r="I64">
        <f ca="1">IFERROR(__xludf.DUMMYFUNCTION("""COMPUTED_VALUE"""),8)</f>
        <v>8</v>
      </c>
    </row>
    <row r="65" spans="1:9" ht="12.75">
      <c r="A65">
        <f ca="1">IFERROR(__xludf.DUMMYFUNCTION("""COMPUTED_VALUE"""),64)</f>
        <v>64</v>
      </c>
      <c r="B65">
        <f ca="1">IFERROR(__xludf.DUMMYFUNCTION("""COMPUTED_VALUE"""),78)</f>
        <v>78</v>
      </c>
      <c r="C65" t="str">
        <f ca="1">IFERROR(__xludf.DUMMYFUNCTION("""COMPUTED_VALUE"""),"Talor Gooch")</f>
        <v>Talor Gooch</v>
      </c>
      <c r="D65">
        <f ca="1">IFERROR(__xludf.DUMMYFUNCTION("""COMPUTED_VALUE"""),20)</f>
        <v>20</v>
      </c>
      <c r="E65">
        <f ca="1">IFERROR(__xludf.DUMMYFUNCTION("""COMPUTED_VALUE"""),0.747)</f>
        <v>0.747</v>
      </c>
      <c r="F65">
        <f ca="1">IFERROR(__xludf.DUMMYFUNCTION("""COMPUTED_VALUE"""),0.118)</f>
        <v>0.11799999999999999</v>
      </c>
      <c r="G65">
        <f ca="1">IFERROR(__xludf.DUMMYFUNCTION("""COMPUTED_VALUE"""),0.137)</f>
        <v>0.13700000000000001</v>
      </c>
      <c r="H65">
        <f ca="1">IFERROR(__xludf.DUMMYFUNCTION("""COMPUTED_VALUE"""),0.491)</f>
        <v>0.49099999999999999</v>
      </c>
      <c r="I65">
        <f ca="1">IFERROR(__xludf.DUMMYFUNCTION("""COMPUTED_VALUE"""),20)</f>
        <v>20</v>
      </c>
    </row>
    <row r="66" spans="1:9" ht="12.75">
      <c r="A66">
        <f ca="1">IFERROR(__xludf.DUMMYFUNCTION("""COMPUTED_VALUE"""),65)</f>
        <v>65</v>
      </c>
      <c r="B66">
        <f ca="1">IFERROR(__xludf.DUMMYFUNCTION("""COMPUTED_VALUE"""),39)</f>
        <v>39</v>
      </c>
      <c r="C66" t="str">
        <f ca="1">IFERROR(__xludf.DUMMYFUNCTION("""COMPUTED_VALUE"""),"Sungjae Im")</f>
        <v>Sungjae Im</v>
      </c>
      <c r="D66">
        <f ca="1">IFERROR(__xludf.DUMMYFUNCTION("""COMPUTED_VALUE"""),24)</f>
        <v>24</v>
      </c>
      <c r="E66">
        <f ca="1">IFERROR(__xludf.DUMMYFUNCTION("""COMPUTED_VALUE"""),0.745)</f>
        <v>0.745</v>
      </c>
      <c r="F66">
        <f ca="1">IFERROR(__xludf.DUMMYFUNCTION("""COMPUTED_VALUE"""),0.582)</f>
        <v>0.58199999999999996</v>
      </c>
      <c r="G66">
        <f ca="1">IFERROR(__xludf.DUMMYFUNCTION("""COMPUTED_VALUE"""),0.532)</f>
        <v>0.53200000000000003</v>
      </c>
      <c r="H66">
        <f ca="1">IFERROR(__xludf.DUMMYFUNCTION("""COMPUTED_VALUE"""),-0.368)</f>
        <v>-0.36799999999999999</v>
      </c>
      <c r="I66">
        <f ca="1">IFERROR(__xludf.DUMMYFUNCTION("""COMPUTED_VALUE"""),24)</f>
        <v>24</v>
      </c>
    </row>
    <row r="67" spans="1:9" ht="12.75">
      <c r="A67">
        <f ca="1">IFERROR(__xludf.DUMMYFUNCTION("""COMPUTED_VALUE"""),66)</f>
        <v>66</v>
      </c>
      <c r="B67">
        <f ca="1">IFERROR(__xludf.DUMMYFUNCTION("""COMPUTED_VALUE"""),52)</f>
        <v>52</v>
      </c>
      <c r="C67" t="str">
        <f ca="1">IFERROR(__xludf.DUMMYFUNCTION("""COMPUTED_VALUE"""),"Si Woo Kim")</f>
        <v>Si Woo Kim</v>
      </c>
      <c r="D67">
        <f ca="1">IFERROR(__xludf.DUMMYFUNCTION("""COMPUTED_VALUE"""),20)</f>
        <v>20</v>
      </c>
      <c r="E67">
        <f ca="1">IFERROR(__xludf.DUMMYFUNCTION("""COMPUTED_VALUE"""),0.721)</f>
        <v>0.72099999999999997</v>
      </c>
      <c r="F67">
        <f ca="1">IFERROR(__xludf.DUMMYFUNCTION("""COMPUTED_VALUE"""),0.427)</f>
        <v>0.42699999999999999</v>
      </c>
      <c r="G67">
        <f ca="1">IFERROR(__xludf.DUMMYFUNCTION("""COMPUTED_VALUE"""),-0.235)</f>
        <v>-0.23499999999999999</v>
      </c>
      <c r="H67">
        <f ca="1">IFERROR(__xludf.DUMMYFUNCTION("""COMPUTED_VALUE"""),0.529)</f>
        <v>0.52900000000000003</v>
      </c>
      <c r="I67">
        <f ca="1">IFERROR(__xludf.DUMMYFUNCTION("""COMPUTED_VALUE"""),20)</f>
        <v>20</v>
      </c>
    </row>
    <row r="68" spans="1:9" ht="12.75">
      <c r="A68">
        <f ca="1">IFERROR(__xludf.DUMMYFUNCTION("""COMPUTED_VALUE"""),67)</f>
        <v>67</v>
      </c>
      <c r="B68">
        <f ca="1">IFERROR(__xludf.DUMMYFUNCTION("""COMPUTED_VALUE"""),69)</f>
        <v>69</v>
      </c>
      <c r="C68" t="str">
        <f ca="1">IFERROR(__xludf.DUMMYFUNCTION("""COMPUTED_VALUE"""),"Sebastián Muñoz")</f>
        <v>Sebastián Muñoz</v>
      </c>
      <c r="D68">
        <f ca="1">IFERROR(__xludf.DUMMYFUNCTION("""COMPUTED_VALUE"""),20)</f>
        <v>20</v>
      </c>
      <c r="E68">
        <f ca="1">IFERROR(__xludf.DUMMYFUNCTION("""COMPUTED_VALUE"""),0.701)</f>
        <v>0.70099999999999996</v>
      </c>
      <c r="F68">
        <f ca="1">IFERROR(__xludf.DUMMYFUNCTION("""COMPUTED_VALUE"""),-0.011)</f>
        <v>-1.0999999999999999E-2</v>
      </c>
      <c r="G68">
        <f ca="1">IFERROR(__xludf.DUMMYFUNCTION("""COMPUTED_VALUE"""),0.434)</f>
        <v>0.434</v>
      </c>
      <c r="H68">
        <f ca="1">IFERROR(__xludf.DUMMYFUNCTION("""COMPUTED_VALUE"""),0.278)</f>
        <v>0.27800000000000002</v>
      </c>
      <c r="I68">
        <f ca="1">IFERROR(__xludf.DUMMYFUNCTION("""COMPUTED_VALUE"""),20)</f>
        <v>20</v>
      </c>
    </row>
    <row r="69" spans="1:9" ht="12.75">
      <c r="A69">
        <f ca="1">IFERROR(__xludf.DUMMYFUNCTION("""COMPUTED_VALUE"""),68)</f>
        <v>68</v>
      </c>
      <c r="B69">
        <f ca="1">IFERROR(__xludf.DUMMYFUNCTION("""COMPUTED_VALUE"""),67)</f>
        <v>67</v>
      </c>
      <c r="C69" t="str">
        <f ca="1">IFERROR(__xludf.DUMMYFUNCTION("""COMPUTED_VALUE"""),"Erik van Rooyen")</f>
        <v>Erik van Rooyen</v>
      </c>
      <c r="D69">
        <f ca="1">IFERROR(__xludf.DUMMYFUNCTION("""COMPUTED_VALUE"""),10)</f>
        <v>10</v>
      </c>
      <c r="E69">
        <f ca="1">IFERROR(__xludf.DUMMYFUNCTION("""COMPUTED_VALUE"""),0.688)</f>
        <v>0.68799999999999994</v>
      </c>
      <c r="F69">
        <f ca="1">IFERROR(__xludf.DUMMYFUNCTION("""COMPUTED_VALUE"""),0.128)</f>
        <v>0.128</v>
      </c>
      <c r="G69">
        <f ca="1">IFERROR(__xludf.DUMMYFUNCTION("""COMPUTED_VALUE"""),0.541)</f>
        <v>0.54100000000000004</v>
      </c>
      <c r="H69">
        <f ca="1">IFERROR(__xludf.DUMMYFUNCTION("""COMPUTED_VALUE"""),0.019)</f>
        <v>1.9E-2</v>
      </c>
      <c r="I69">
        <f ca="1">IFERROR(__xludf.DUMMYFUNCTION("""COMPUTED_VALUE"""),10)</f>
        <v>10</v>
      </c>
    </row>
    <row r="70" spans="1:9" ht="12.75">
      <c r="A70">
        <f ca="1">IFERROR(__xludf.DUMMYFUNCTION("""COMPUTED_VALUE"""),69)</f>
        <v>69</v>
      </c>
      <c r="B70">
        <f ca="1">IFERROR(__xludf.DUMMYFUNCTION("""COMPUTED_VALUE"""),40)</f>
        <v>40</v>
      </c>
      <c r="C70" t="str">
        <f ca="1">IFERROR(__xludf.DUMMYFUNCTION("""COMPUTED_VALUE"""),"Xinjun Zhang")</f>
        <v>Xinjun Zhang</v>
      </c>
      <c r="D70">
        <f ca="1">IFERROR(__xludf.DUMMYFUNCTION("""COMPUTED_VALUE"""),14)</f>
        <v>14</v>
      </c>
      <c r="E70">
        <f ca="1">IFERROR(__xludf.DUMMYFUNCTION("""COMPUTED_VALUE"""),0.679)</f>
        <v>0.67900000000000005</v>
      </c>
      <c r="F70">
        <f ca="1">IFERROR(__xludf.DUMMYFUNCTION("""COMPUTED_VALUE"""),0.041)</f>
        <v>4.1000000000000002E-2</v>
      </c>
      <c r="G70">
        <f ca="1">IFERROR(__xludf.DUMMYFUNCTION("""COMPUTED_VALUE"""),0.739)</f>
        <v>0.73899999999999999</v>
      </c>
      <c r="H70">
        <f ca="1">IFERROR(__xludf.DUMMYFUNCTION("""COMPUTED_VALUE"""),-0.101)</f>
        <v>-0.10100000000000001</v>
      </c>
      <c r="I70">
        <f ca="1">IFERROR(__xludf.DUMMYFUNCTION("""COMPUTED_VALUE"""),10)</f>
        <v>10</v>
      </c>
    </row>
    <row r="71" spans="1:9" ht="12.75">
      <c r="A71">
        <f ca="1">IFERROR(__xludf.DUMMYFUNCTION("""COMPUTED_VALUE"""),70)</f>
        <v>70</v>
      </c>
      <c r="B71">
        <f ca="1">IFERROR(__xludf.DUMMYFUNCTION("""COMPUTED_VALUE"""),95)</f>
        <v>95</v>
      </c>
      <c r="C71" t="str">
        <f ca="1">IFERROR(__xludf.DUMMYFUNCTION("""COMPUTED_VALUE"""),"Corey Conners")</f>
        <v>Corey Conners</v>
      </c>
      <c r="D71">
        <f ca="1">IFERROR(__xludf.DUMMYFUNCTION("""COMPUTED_VALUE"""),20)</f>
        <v>20</v>
      </c>
      <c r="E71">
        <f ca="1">IFERROR(__xludf.DUMMYFUNCTION("""COMPUTED_VALUE"""),0.645)</f>
        <v>0.64500000000000002</v>
      </c>
      <c r="F71">
        <f ca="1">IFERROR(__xludf.DUMMYFUNCTION("""COMPUTED_VALUE"""),0.453)</f>
        <v>0.45300000000000001</v>
      </c>
      <c r="G71">
        <f ca="1">IFERROR(__xludf.DUMMYFUNCTION("""COMPUTED_VALUE"""),0.288)</f>
        <v>0.28799999999999998</v>
      </c>
      <c r="H71">
        <f ca="1">IFERROR(__xludf.DUMMYFUNCTION("""COMPUTED_VALUE"""),-0.095)</f>
        <v>-9.5000000000000001E-2</v>
      </c>
      <c r="I71">
        <f ca="1">IFERROR(__xludf.DUMMYFUNCTION("""COMPUTED_VALUE"""),18)</f>
        <v>18</v>
      </c>
    </row>
    <row r="72" spans="1:9" ht="12.75">
      <c r="A72">
        <f ca="1">IFERROR(__xludf.DUMMYFUNCTION("""COMPUTED_VALUE"""),71)</f>
        <v>71</v>
      </c>
      <c r="B72">
        <f ca="1">IFERROR(__xludf.DUMMYFUNCTION("""COMPUTED_VALUE"""),71)</f>
        <v>71</v>
      </c>
      <c r="C72" t="str">
        <f ca="1">IFERROR(__xludf.DUMMYFUNCTION("""COMPUTED_VALUE"""),"Kurt Kitayama")</f>
        <v>Kurt Kitayama</v>
      </c>
      <c r="D72">
        <f ca="1">IFERROR(__xludf.DUMMYFUNCTION("""COMPUTED_VALUE"""),4)</f>
        <v>4</v>
      </c>
      <c r="E72">
        <f ca="1">IFERROR(__xludf.DUMMYFUNCTION("""COMPUTED_VALUE"""),0.641)</f>
        <v>0.64100000000000001</v>
      </c>
      <c r="F72">
        <f ca="1">IFERROR(__xludf.DUMMYFUNCTION("""COMPUTED_VALUE"""),0.41)</f>
        <v>0.41</v>
      </c>
      <c r="G72">
        <f ca="1">IFERROR(__xludf.DUMMYFUNCTION("""COMPUTED_VALUE"""),0.334)</f>
        <v>0.33400000000000002</v>
      </c>
      <c r="H72">
        <f ca="1">IFERROR(__xludf.DUMMYFUNCTION("""COMPUTED_VALUE"""),-0.103)</f>
        <v>-0.10299999999999999</v>
      </c>
      <c r="I72">
        <f ca="1">IFERROR(__xludf.DUMMYFUNCTION("""COMPUTED_VALUE"""),2)</f>
        <v>2</v>
      </c>
    </row>
    <row r="73" spans="1:9" ht="12.75">
      <c r="A73">
        <f ca="1">IFERROR(__xludf.DUMMYFUNCTION("""COMPUTED_VALUE"""),72)</f>
        <v>72</v>
      </c>
      <c r="B73">
        <f ca="1">IFERROR(__xludf.DUMMYFUNCTION("""COMPUTED_VALUE"""),54)</f>
        <v>54</v>
      </c>
      <c r="C73" t="str">
        <f ca="1">IFERROR(__xludf.DUMMYFUNCTION("""COMPUTED_VALUE"""),"Kevin Tway")</f>
        <v>Kevin Tway</v>
      </c>
      <c r="D73">
        <f ca="1">IFERROR(__xludf.DUMMYFUNCTION("""COMPUTED_VALUE"""),16)</f>
        <v>16</v>
      </c>
      <c r="E73">
        <f ca="1">IFERROR(__xludf.DUMMYFUNCTION("""COMPUTED_VALUE"""),0.617)</f>
        <v>0.61699999999999999</v>
      </c>
      <c r="F73">
        <f ca="1">IFERROR(__xludf.DUMMYFUNCTION("""COMPUTED_VALUE"""),0.066)</f>
        <v>6.6000000000000003E-2</v>
      </c>
      <c r="G73">
        <f ca="1">IFERROR(__xludf.DUMMYFUNCTION("""COMPUTED_VALUE"""),0.246)</f>
        <v>0.246</v>
      </c>
      <c r="H73">
        <f ca="1">IFERROR(__xludf.DUMMYFUNCTION("""COMPUTED_VALUE"""),0.304)</f>
        <v>0.30399999999999999</v>
      </c>
      <c r="I73">
        <f ca="1">IFERROR(__xludf.DUMMYFUNCTION("""COMPUTED_VALUE"""),8)</f>
        <v>8</v>
      </c>
    </row>
    <row r="74" spans="1:9" ht="12.75">
      <c r="A74">
        <f ca="1">IFERROR(__xludf.DUMMYFUNCTION("""COMPUTED_VALUE"""),73)</f>
        <v>73</v>
      </c>
      <c r="B74">
        <f ca="1">IFERROR(__xludf.DUMMYFUNCTION("""COMPUTED_VALUE"""),72)</f>
        <v>72</v>
      </c>
      <c r="C74" t="str">
        <f ca="1">IFERROR(__xludf.DUMMYFUNCTION("""COMPUTED_VALUE"""),"Anirban Lahiri")</f>
        <v>Anirban Lahiri</v>
      </c>
      <c r="D74">
        <f ca="1">IFERROR(__xludf.DUMMYFUNCTION("""COMPUTED_VALUE"""),16)</f>
        <v>16</v>
      </c>
      <c r="E74">
        <f ca="1">IFERROR(__xludf.DUMMYFUNCTION("""COMPUTED_VALUE"""),0.604)</f>
        <v>0.60399999999999998</v>
      </c>
      <c r="F74">
        <f ca="1">IFERROR(__xludf.DUMMYFUNCTION("""COMPUTED_VALUE"""),0.144)</f>
        <v>0.14399999999999999</v>
      </c>
      <c r="G74">
        <f ca="1">IFERROR(__xludf.DUMMYFUNCTION("""COMPUTED_VALUE"""),0.049)</f>
        <v>4.9000000000000002E-2</v>
      </c>
      <c r="H74">
        <f ca="1">IFERROR(__xludf.DUMMYFUNCTION("""COMPUTED_VALUE"""),0.41)</f>
        <v>0.41</v>
      </c>
      <c r="I74">
        <f ca="1">IFERROR(__xludf.DUMMYFUNCTION("""COMPUTED_VALUE"""),8)</f>
        <v>8</v>
      </c>
    </row>
    <row r="75" spans="1:9" ht="12.75">
      <c r="A75">
        <f ca="1">IFERROR(__xludf.DUMMYFUNCTION("""COMPUTED_VALUE"""),74)</f>
        <v>74</v>
      </c>
      <c r="B75">
        <f ca="1">IFERROR(__xludf.DUMMYFUNCTION("""COMPUTED_VALUE"""),70)</f>
        <v>70</v>
      </c>
      <c r="C75" t="str">
        <f ca="1">IFERROR(__xludf.DUMMYFUNCTION("""COMPUTED_VALUE"""),"Stewart Cink")</f>
        <v>Stewart Cink</v>
      </c>
      <c r="D75">
        <f ca="1">IFERROR(__xludf.DUMMYFUNCTION("""COMPUTED_VALUE"""),18)</f>
        <v>18</v>
      </c>
      <c r="E75">
        <f ca="1">IFERROR(__xludf.DUMMYFUNCTION("""COMPUTED_VALUE"""),0.599)</f>
        <v>0.59899999999999998</v>
      </c>
      <c r="F75">
        <f ca="1">IFERROR(__xludf.DUMMYFUNCTION("""COMPUTED_VALUE"""),0.18)</f>
        <v>0.18</v>
      </c>
      <c r="G75">
        <f ca="1">IFERROR(__xludf.DUMMYFUNCTION("""COMPUTED_VALUE"""),0.07)</f>
        <v>7.0000000000000007E-2</v>
      </c>
      <c r="H75">
        <f ca="1">IFERROR(__xludf.DUMMYFUNCTION("""COMPUTED_VALUE"""),0.349)</f>
        <v>0.34899999999999998</v>
      </c>
      <c r="I75">
        <f ca="1">IFERROR(__xludf.DUMMYFUNCTION("""COMPUTED_VALUE"""),14)</f>
        <v>14</v>
      </c>
    </row>
    <row r="76" spans="1:9" ht="12.75">
      <c r="A76">
        <f ca="1">IFERROR(__xludf.DUMMYFUNCTION("""COMPUTED_VALUE"""),75)</f>
        <v>75</v>
      </c>
      <c r="B76">
        <f ca="1">IFERROR(__xludf.DUMMYFUNCTION("""COMPUTED_VALUE"""),75)</f>
        <v>75</v>
      </c>
      <c r="C76" t="str">
        <f ca="1">IFERROR(__xludf.DUMMYFUNCTION("""COMPUTED_VALUE"""),"Jason Kokrak")</f>
        <v>Jason Kokrak</v>
      </c>
      <c r="D76">
        <f ca="1">IFERROR(__xludf.DUMMYFUNCTION("""COMPUTED_VALUE"""),14)</f>
        <v>14</v>
      </c>
      <c r="E76">
        <f ca="1">IFERROR(__xludf.DUMMYFUNCTION("""COMPUTED_VALUE"""),0.588)</f>
        <v>0.58799999999999997</v>
      </c>
      <c r="F76">
        <f ca="1">IFERROR(__xludf.DUMMYFUNCTION("""COMPUTED_VALUE"""),0.562)</f>
        <v>0.56200000000000006</v>
      </c>
      <c r="G76">
        <f ca="1">IFERROR(__xludf.DUMMYFUNCTION("""COMPUTED_VALUE"""),0.054)</f>
        <v>5.3999999999999999E-2</v>
      </c>
      <c r="H76">
        <f ca="1">IFERROR(__xludf.DUMMYFUNCTION("""COMPUTED_VALUE"""),-0.028)</f>
        <v>-2.8000000000000001E-2</v>
      </c>
      <c r="I76">
        <f ca="1">IFERROR(__xludf.DUMMYFUNCTION("""COMPUTED_VALUE"""),14)</f>
        <v>14</v>
      </c>
    </row>
    <row r="77" spans="1:9" ht="12.75">
      <c r="A77">
        <f ca="1">IFERROR(__xludf.DUMMYFUNCTION("""COMPUTED_VALUE"""),76)</f>
        <v>76</v>
      </c>
      <c r="B77">
        <f ca="1">IFERROR(__xludf.DUMMYFUNCTION("""COMPUTED_VALUE"""),76)</f>
        <v>76</v>
      </c>
      <c r="C77" t="str">
        <f ca="1">IFERROR(__xludf.DUMMYFUNCTION("""COMPUTED_VALUE"""),"Matt Wallace")</f>
        <v>Matt Wallace</v>
      </c>
      <c r="D77">
        <f ca="1">IFERROR(__xludf.DUMMYFUNCTION("""COMPUTED_VALUE"""),4)</f>
        <v>4</v>
      </c>
      <c r="E77">
        <f ca="1">IFERROR(__xludf.DUMMYFUNCTION("""COMPUTED_VALUE"""),0.587)</f>
        <v>0.58699999999999997</v>
      </c>
      <c r="F77">
        <f ca="1">IFERROR(__xludf.DUMMYFUNCTION("""COMPUTED_VALUE"""),0.082)</f>
        <v>8.2000000000000003E-2</v>
      </c>
      <c r="G77">
        <f ca="1">IFERROR(__xludf.DUMMYFUNCTION("""COMPUTED_VALUE"""),1.1)</f>
        <v>1.1000000000000001</v>
      </c>
      <c r="H77">
        <f ca="1">IFERROR(__xludf.DUMMYFUNCTION("""COMPUTED_VALUE"""),-0.595)</f>
        <v>-0.59499999999999997</v>
      </c>
      <c r="I77">
        <f ca="1">IFERROR(__xludf.DUMMYFUNCTION("""COMPUTED_VALUE"""),4)</f>
        <v>4</v>
      </c>
    </row>
    <row r="78" spans="1:9" ht="12.75">
      <c r="A78">
        <f ca="1">IFERROR(__xludf.DUMMYFUNCTION("""COMPUTED_VALUE"""),77)</f>
        <v>77</v>
      </c>
      <c r="B78" t="str">
        <f ca="1">IFERROR(__xludf.DUMMYFUNCTION("""COMPUTED_VALUE"""),"")</f>
        <v/>
      </c>
      <c r="C78" t="str">
        <f ca="1">IFERROR(__xludf.DUMMYFUNCTION("""COMPUTED_VALUE"""),"Erik Barnes")</f>
        <v>Erik Barnes</v>
      </c>
      <c r="D78">
        <f ca="1">IFERROR(__xludf.DUMMYFUNCTION("""COMPUTED_VALUE"""),4)</f>
        <v>4</v>
      </c>
      <c r="E78">
        <f ca="1">IFERROR(__xludf.DUMMYFUNCTION("""COMPUTED_VALUE"""),0.581)</f>
        <v>0.58099999999999996</v>
      </c>
      <c r="F78">
        <f ca="1">IFERROR(__xludf.DUMMYFUNCTION("""COMPUTED_VALUE"""),0.406)</f>
        <v>0.40600000000000003</v>
      </c>
      <c r="G78">
        <f ca="1">IFERROR(__xludf.DUMMYFUNCTION("""COMPUTED_VALUE"""),0.367)</f>
        <v>0.36699999999999999</v>
      </c>
      <c r="H78">
        <f ca="1">IFERROR(__xludf.DUMMYFUNCTION("""COMPUTED_VALUE"""),-0.193)</f>
        <v>-0.193</v>
      </c>
      <c r="I78">
        <f ca="1">IFERROR(__xludf.DUMMYFUNCTION("""COMPUTED_VALUE"""),4)</f>
        <v>4</v>
      </c>
    </row>
    <row r="79" spans="1:9" ht="12.75">
      <c r="A79">
        <f ca="1">IFERROR(__xludf.DUMMYFUNCTION("""COMPUTED_VALUE"""),78)</f>
        <v>78</v>
      </c>
      <c r="B79">
        <f ca="1">IFERROR(__xludf.DUMMYFUNCTION("""COMPUTED_VALUE"""),77)</f>
        <v>77</v>
      </c>
      <c r="C79" t="str">
        <f ca="1">IFERROR(__xludf.DUMMYFUNCTION("""COMPUTED_VALUE"""),"Harry Higgs")</f>
        <v>Harry Higgs</v>
      </c>
      <c r="D79">
        <f ca="1">IFERROR(__xludf.DUMMYFUNCTION("""COMPUTED_VALUE"""),14)</f>
        <v>14</v>
      </c>
      <c r="E79">
        <f ca="1">IFERROR(__xludf.DUMMYFUNCTION("""COMPUTED_VALUE"""),0.573)</f>
        <v>0.57299999999999995</v>
      </c>
      <c r="F79">
        <f ca="1">IFERROR(__xludf.DUMMYFUNCTION("""COMPUTED_VALUE"""),0.7)</f>
        <v>0.7</v>
      </c>
      <c r="G79">
        <f ca="1">IFERROR(__xludf.DUMMYFUNCTION("""COMPUTED_VALUE"""),-0.176)</f>
        <v>-0.17599999999999999</v>
      </c>
      <c r="H79">
        <f ca="1">IFERROR(__xludf.DUMMYFUNCTION("""COMPUTED_VALUE"""),0.048)</f>
        <v>4.8000000000000001E-2</v>
      </c>
      <c r="I79">
        <f ca="1">IFERROR(__xludf.DUMMYFUNCTION("""COMPUTED_VALUE"""),14)</f>
        <v>14</v>
      </c>
    </row>
    <row r="80" spans="1:9" ht="12.75">
      <c r="A80">
        <f ca="1">IFERROR(__xludf.DUMMYFUNCTION("""COMPUTED_VALUE"""),79)</f>
        <v>79</v>
      </c>
      <c r="B80">
        <f ca="1">IFERROR(__xludf.DUMMYFUNCTION("""COMPUTED_VALUE"""),80)</f>
        <v>80</v>
      </c>
      <c r="C80" t="str">
        <f ca="1">IFERROR(__xludf.DUMMYFUNCTION("""COMPUTED_VALUE"""),"Brian Stuard")</f>
        <v>Brian Stuard</v>
      </c>
      <c r="D80">
        <f ca="1">IFERROR(__xludf.DUMMYFUNCTION("""COMPUTED_VALUE"""),18)</f>
        <v>18</v>
      </c>
      <c r="E80">
        <f ca="1">IFERROR(__xludf.DUMMYFUNCTION("""COMPUTED_VALUE"""),0.554)</f>
        <v>0.55400000000000005</v>
      </c>
      <c r="F80">
        <f ca="1">IFERROR(__xludf.DUMMYFUNCTION("""COMPUTED_VALUE"""),-0.153)</f>
        <v>-0.153</v>
      </c>
      <c r="G80">
        <f ca="1">IFERROR(__xludf.DUMMYFUNCTION("""COMPUTED_VALUE"""),0.454)</f>
        <v>0.45400000000000001</v>
      </c>
      <c r="H80">
        <f ca="1">IFERROR(__xludf.DUMMYFUNCTION("""COMPUTED_VALUE"""),0.253)</f>
        <v>0.253</v>
      </c>
      <c r="I80">
        <f ca="1">IFERROR(__xludf.DUMMYFUNCTION("""COMPUTED_VALUE"""),12)</f>
        <v>12</v>
      </c>
    </row>
    <row r="81" spans="1:9" ht="12.75">
      <c r="A81">
        <f ca="1">IFERROR(__xludf.DUMMYFUNCTION("""COMPUTED_VALUE"""),80)</f>
        <v>80</v>
      </c>
      <c r="B81">
        <f ca="1">IFERROR(__xludf.DUMMYFUNCTION("""COMPUTED_VALUE"""),79)</f>
        <v>79</v>
      </c>
      <c r="C81" t="str">
        <f ca="1">IFERROR(__xludf.DUMMYFUNCTION("""COMPUTED_VALUE"""),"John Pak")</f>
        <v>John Pak</v>
      </c>
      <c r="D81">
        <f ca="1">IFERROR(__xludf.DUMMYFUNCTION("""COMPUTED_VALUE"""),4)</f>
        <v>4</v>
      </c>
      <c r="E81">
        <f ca="1">IFERROR(__xludf.DUMMYFUNCTION("""COMPUTED_VALUE"""),0.518)</f>
        <v>0.51800000000000002</v>
      </c>
      <c r="F81">
        <f ca="1">IFERROR(__xludf.DUMMYFUNCTION("""COMPUTED_VALUE"""),0.275)</f>
        <v>0.27500000000000002</v>
      </c>
      <c r="G81">
        <f ca="1">IFERROR(__xludf.DUMMYFUNCTION("""COMPUTED_VALUE"""),0.311)</f>
        <v>0.311</v>
      </c>
      <c r="H81">
        <f ca="1">IFERROR(__xludf.DUMMYFUNCTION("""COMPUTED_VALUE"""),-0.068)</f>
        <v>-6.8000000000000005E-2</v>
      </c>
      <c r="I81">
        <f ca="1">IFERROR(__xludf.DUMMYFUNCTION("""COMPUTED_VALUE"""),4)</f>
        <v>4</v>
      </c>
    </row>
    <row r="82" spans="1:9" ht="12.75">
      <c r="A82">
        <f ca="1">IFERROR(__xludf.DUMMYFUNCTION("""COMPUTED_VALUE"""),81)</f>
        <v>81</v>
      </c>
      <c r="B82">
        <f ca="1">IFERROR(__xludf.DUMMYFUNCTION("""COMPUTED_VALUE"""),84)</f>
        <v>84</v>
      </c>
      <c r="C82" t="str">
        <f ca="1">IFERROR(__xludf.DUMMYFUNCTION("""COMPUTED_VALUE"""),"Lucas Glover")</f>
        <v>Lucas Glover</v>
      </c>
      <c r="D82">
        <f ca="1">IFERROR(__xludf.DUMMYFUNCTION("""COMPUTED_VALUE"""),12)</f>
        <v>12</v>
      </c>
      <c r="E82">
        <f ca="1">IFERROR(__xludf.DUMMYFUNCTION("""COMPUTED_VALUE"""),0.516)</f>
        <v>0.51600000000000001</v>
      </c>
      <c r="F82">
        <f ca="1">IFERROR(__xludf.DUMMYFUNCTION("""COMPUTED_VALUE"""),0.126)</f>
        <v>0.126</v>
      </c>
      <c r="G82">
        <f ca="1">IFERROR(__xludf.DUMMYFUNCTION("""COMPUTED_VALUE"""),0.12)</f>
        <v>0.12</v>
      </c>
      <c r="H82">
        <f ca="1">IFERROR(__xludf.DUMMYFUNCTION("""COMPUTED_VALUE"""),0.27)</f>
        <v>0.27</v>
      </c>
      <c r="I82">
        <f ca="1">IFERROR(__xludf.DUMMYFUNCTION("""COMPUTED_VALUE"""),12)</f>
        <v>12</v>
      </c>
    </row>
    <row r="83" spans="1:9" ht="12.75">
      <c r="A83">
        <f ca="1">IFERROR(__xludf.DUMMYFUNCTION("""COMPUTED_VALUE"""),82)</f>
        <v>82</v>
      </c>
      <c r="B83">
        <f ca="1">IFERROR(__xludf.DUMMYFUNCTION("""COMPUTED_VALUE"""),83)</f>
        <v>83</v>
      </c>
      <c r="C83" t="str">
        <f ca="1">IFERROR(__xludf.DUMMYFUNCTION("""COMPUTED_VALUE"""),"Peter Malnati")</f>
        <v>Peter Malnati</v>
      </c>
      <c r="D83">
        <f ca="1">IFERROR(__xludf.DUMMYFUNCTION("""COMPUTED_VALUE"""),18)</f>
        <v>18</v>
      </c>
      <c r="E83">
        <f ca="1">IFERROR(__xludf.DUMMYFUNCTION("""COMPUTED_VALUE"""),0.509)</f>
        <v>0.50900000000000001</v>
      </c>
      <c r="F83">
        <f ca="1">IFERROR(__xludf.DUMMYFUNCTION("""COMPUTED_VALUE"""),-0.366)</f>
        <v>-0.36599999999999999</v>
      </c>
      <c r="G83">
        <f ca="1">IFERROR(__xludf.DUMMYFUNCTION("""COMPUTED_VALUE"""),0.742)</f>
        <v>0.74199999999999999</v>
      </c>
      <c r="H83">
        <f ca="1">IFERROR(__xludf.DUMMYFUNCTION("""COMPUTED_VALUE"""),0.133)</f>
        <v>0.13300000000000001</v>
      </c>
      <c r="I83">
        <f ca="1">IFERROR(__xludf.DUMMYFUNCTION("""COMPUTED_VALUE"""),10)</f>
        <v>10</v>
      </c>
    </row>
    <row r="84" spans="1:9" ht="12.75">
      <c r="A84">
        <f ca="1">IFERROR(__xludf.DUMMYFUNCTION("""COMPUTED_VALUE"""),83)</f>
        <v>83</v>
      </c>
      <c r="B84">
        <f ca="1">IFERROR(__xludf.DUMMYFUNCTION("""COMPUTED_VALUE"""),51)</f>
        <v>51</v>
      </c>
      <c r="C84" t="str">
        <f ca="1">IFERROR(__xludf.DUMMYFUNCTION("""COMPUTED_VALUE"""),"Zach Johnson")</f>
        <v>Zach Johnson</v>
      </c>
      <c r="D84">
        <f ca="1">IFERROR(__xludf.DUMMYFUNCTION("""COMPUTED_VALUE"""),16)</f>
        <v>16</v>
      </c>
      <c r="E84">
        <f ca="1">IFERROR(__xludf.DUMMYFUNCTION("""COMPUTED_VALUE"""),0.507)</f>
        <v>0.50700000000000001</v>
      </c>
      <c r="F84">
        <f ca="1">IFERROR(__xludf.DUMMYFUNCTION("""COMPUTED_VALUE"""),-0.185)</f>
        <v>-0.185</v>
      </c>
      <c r="G84">
        <f ca="1">IFERROR(__xludf.DUMMYFUNCTION("""COMPUTED_VALUE"""),0.676)</f>
        <v>0.67600000000000005</v>
      </c>
      <c r="H84">
        <f ca="1">IFERROR(__xludf.DUMMYFUNCTION("""COMPUTED_VALUE"""),0.016)</f>
        <v>1.6E-2</v>
      </c>
      <c r="I84">
        <f ca="1">IFERROR(__xludf.DUMMYFUNCTION("""COMPUTED_VALUE"""),16)</f>
        <v>16</v>
      </c>
    </row>
    <row r="85" spans="1:9" ht="12.75">
      <c r="A85">
        <f ca="1">IFERROR(__xludf.DUMMYFUNCTION("""COMPUTED_VALUE"""),84)</f>
        <v>84</v>
      </c>
      <c r="B85" t="str">
        <f ca="1">IFERROR(__xludf.DUMMYFUNCTION("""COMPUTED_VALUE"""),"T126")</f>
        <v>T126</v>
      </c>
      <c r="C85" t="str">
        <f ca="1">IFERROR(__xludf.DUMMYFUNCTION("""COMPUTED_VALUE"""),"Jason Day")</f>
        <v>Jason Day</v>
      </c>
      <c r="D85">
        <f ca="1">IFERROR(__xludf.DUMMYFUNCTION("""COMPUTED_VALUE"""),17)</f>
        <v>17</v>
      </c>
      <c r="E85">
        <f ca="1">IFERROR(__xludf.DUMMYFUNCTION("""COMPUTED_VALUE"""),0.495)</f>
        <v>0.495</v>
      </c>
      <c r="F85">
        <f ca="1">IFERROR(__xludf.DUMMYFUNCTION("""COMPUTED_VALUE"""),0.426)</f>
        <v>0.42599999999999999</v>
      </c>
      <c r="G85">
        <f ca="1">IFERROR(__xludf.DUMMYFUNCTION("""COMPUTED_VALUE"""),-0.027)</f>
        <v>-2.7E-2</v>
      </c>
      <c r="H85">
        <f ca="1">IFERROR(__xludf.DUMMYFUNCTION("""COMPUTED_VALUE"""),0.095)</f>
        <v>9.5000000000000001E-2</v>
      </c>
      <c r="I85">
        <f ca="1">IFERROR(__xludf.DUMMYFUNCTION("""COMPUTED_VALUE"""),17)</f>
        <v>17</v>
      </c>
    </row>
    <row r="86" spans="1:9" ht="12.75">
      <c r="A86">
        <f ca="1">IFERROR(__xludf.DUMMYFUNCTION("""COMPUTED_VALUE"""),85)</f>
        <v>85</v>
      </c>
      <c r="B86">
        <f ca="1">IFERROR(__xludf.DUMMYFUNCTION("""COMPUTED_VALUE"""),24)</f>
        <v>24</v>
      </c>
      <c r="C86" t="str">
        <f ca="1">IFERROR(__xludf.DUMMYFUNCTION("""COMPUTED_VALUE"""),"Doc Redman")</f>
        <v>Doc Redman</v>
      </c>
      <c r="D86">
        <f ca="1">IFERROR(__xludf.DUMMYFUNCTION("""COMPUTED_VALUE"""),18)</f>
        <v>18</v>
      </c>
      <c r="E86">
        <f ca="1">IFERROR(__xludf.DUMMYFUNCTION("""COMPUTED_VALUE"""),0.486)</f>
        <v>0.48599999999999999</v>
      </c>
      <c r="F86">
        <f ca="1">IFERROR(__xludf.DUMMYFUNCTION("""COMPUTED_VALUE"""),0.539)</f>
        <v>0.53900000000000003</v>
      </c>
      <c r="G86">
        <f ca="1">IFERROR(__xludf.DUMMYFUNCTION("""COMPUTED_VALUE"""),0.547)</f>
        <v>0.54700000000000004</v>
      </c>
      <c r="H86">
        <f ca="1">IFERROR(__xludf.DUMMYFUNCTION("""COMPUTED_VALUE"""),-0.599)</f>
        <v>-0.59899999999999998</v>
      </c>
      <c r="I86">
        <f ca="1">IFERROR(__xludf.DUMMYFUNCTION("""COMPUTED_VALUE"""),14)</f>
        <v>14</v>
      </c>
    </row>
    <row r="87" spans="1:9" ht="12.75">
      <c r="A87">
        <f ca="1">IFERROR(__xludf.DUMMYFUNCTION("""COMPUTED_VALUE"""),86)</f>
        <v>86</v>
      </c>
      <c r="B87">
        <f ca="1">IFERROR(__xludf.DUMMYFUNCTION("""COMPUTED_VALUE"""),74)</f>
        <v>74</v>
      </c>
      <c r="C87" t="str">
        <f ca="1">IFERROR(__xludf.DUMMYFUNCTION("""COMPUTED_VALUE"""),"Luke List")</f>
        <v>Luke List</v>
      </c>
      <c r="D87">
        <f ca="1">IFERROR(__xludf.DUMMYFUNCTION("""COMPUTED_VALUE"""),18)</f>
        <v>18</v>
      </c>
      <c r="E87">
        <f ca="1">IFERROR(__xludf.DUMMYFUNCTION("""COMPUTED_VALUE"""),0.482)</f>
        <v>0.48199999999999998</v>
      </c>
      <c r="F87">
        <f ca="1">IFERROR(__xludf.DUMMYFUNCTION("""COMPUTED_VALUE"""),0.7)</f>
        <v>0.7</v>
      </c>
      <c r="G87">
        <f ca="1">IFERROR(__xludf.DUMMYFUNCTION("""COMPUTED_VALUE"""),-0.182)</f>
        <v>-0.182</v>
      </c>
      <c r="H87">
        <f ca="1">IFERROR(__xludf.DUMMYFUNCTION("""COMPUTED_VALUE"""),-0.036)</f>
        <v>-3.5999999999999997E-2</v>
      </c>
      <c r="I87">
        <f ca="1">IFERROR(__xludf.DUMMYFUNCTION("""COMPUTED_VALUE"""),10)</f>
        <v>10</v>
      </c>
    </row>
    <row r="88" spans="1:9" ht="12.75">
      <c r="A88">
        <f ca="1">IFERROR(__xludf.DUMMYFUNCTION("""COMPUTED_VALUE"""),87)</f>
        <v>87</v>
      </c>
      <c r="B88">
        <f ca="1">IFERROR(__xludf.DUMMYFUNCTION("""COMPUTED_VALUE"""),121)</f>
        <v>121</v>
      </c>
      <c r="C88" t="str">
        <f ca="1">IFERROR(__xludf.DUMMYFUNCTION("""COMPUTED_VALUE"""),"Chris Kirk")</f>
        <v>Chris Kirk</v>
      </c>
      <c r="D88">
        <f ca="1">IFERROR(__xludf.DUMMYFUNCTION("""COMPUTED_VALUE"""),10)</f>
        <v>10</v>
      </c>
      <c r="E88">
        <f ca="1">IFERROR(__xludf.DUMMYFUNCTION("""COMPUTED_VALUE"""),0.476)</f>
        <v>0.47599999999999998</v>
      </c>
      <c r="F88">
        <f ca="1">IFERROR(__xludf.DUMMYFUNCTION("""COMPUTED_VALUE"""),-0.276)</f>
        <v>-0.27600000000000002</v>
      </c>
      <c r="G88">
        <f ca="1">IFERROR(__xludf.DUMMYFUNCTION("""COMPUTED_VALUE"""),0.679)</f>
        <v>0.67900000000000005</v>
      </c>
      <c r="H88">
        <f ca="1">IFERROR(__xludf.DUMMYFUNCTION("""COMPUTED_VALUE"""),0.074)</f>
        <v>7.3999999999999996E-2</v>
      </c>
      <c r="I88">
        <f ca="1">IFERROR(__xludf.DUMMYFUNCTION("""COMPUTED_VALUE"""),8)</f>
        <v>8</v>
      </c>
    </row>
    <row r="89" spans="1:9" ht="12.75">
      <c r="A89">
        <f ca="1">IFERROR(__xludf.DUMMYFUNCTION("""COMPUTED_VALUE"""),88)</f>
        <v>88</v>
      </c>
      <c r="B89">
        <f ca="1">IFERROR(__xludf.DUMMYFUNCTION("""COMPUTED_VALUE"""),89)</f>
        <v>89</v>
      </c>
      <c r="C89" t="str">
        <f ca="1">IFERROR(__xludf.DUMMYFUNCTION("""COMPUTED_VALUE"""),"Rob Oppenheim")</f>
        <v>Rob Oppenheim</v>
      </c>
      <c r="D89">
        <f ca="1">IFERROR(__xludf.DUMMYFUNCTION("""COMPUTED_VALUE"""),16)</f>
        <v>16</v>
      </c>
      <c r="E89">
        <f ca="1">IFERROR(__xludf.DUMMYFUNCTION("""COMPUTED_VALUE"""),0.452)</f>
        <v>0.45200000000000001</v>
      </c>
      <c r="F89">
        <f ca="1">IFERROR(__xludf.DUMMYFUNCTION("""COMPUTED_VALUE"""),-0.274)</f>
        <v>-0.27400000000000002</v>
      </c>
      <c r="G89">
        <f ca="1">IFERROR(__xludf.DUMMYFUNCTION("""COMPUTED_VALUE"""),0.61)</f>
        <v>0.61</v>
      </c>
      <c r="H89">
        <f ca="1">IFERROR(__xludf.DUMMYFUNCTION("""COMPUTED_VALUE"""),0.115)</f>
        <v>0.115</v>
      </c>
      <c r="I89">
        <f ca="1">IFERROR(__xludf.DUMMYFUNCTION("""COMPUTED_VALUE"""),10)</f>
        <v>10</v>
      </c>
    </row>
    <row r="90" spans="1:9" ht="12.75">
      <c r="A90">
        <f ca="1">IFERROR(__xludf.DUMMYFUNCTION("""COMPUTED_VALUE"""),89)</f>
        <v>89</v>
      </c>
      <c r="B90">
        <f ca="1">IFERROR(__xludf.DUMMYFUNCTION("""COMPUTED_VALUE"""),86)</f>
        <v>86</v>
      </c>
      <c r="C90" t="str">
        <f ca="1">IFERROR(__xludf.DUMMYFUNCTION("""COMPUTED_VALUE"""),"Kevin Streelman")</f>
        <v>Kevin Streelman</v>
      </c>
      <c r="D90">
        <f ca="1">IFERROR(__xludf.DUMMYFUNCTION("""COMPUTED_VALUE"""),18)</f>
        <v>18</v>
      </c>
      <c r="E90">
        <f ca="1">IFERROR(__xludf.DUMMYFUNCTION("""COMPUTED_VALUE"""),0.443)</f>
        <v>0.443</v>
      </c>
      <c r="F90">
        <f ca="1">IFERROR(__xludf.DUMMYFUNCTION("""COMPUTED_VALUE"""),0.29)</f>
        <v>0.28999999999999998</v>
      </c>
      <c r="G90">
        <f ca="1">IFERROR(__xludf.DUMMYFUNCTION("""COMPUTED_VALUE"""),0.068)</f>
        <v>6.8000000000000005E-2</v>
      </c>
      <c r="H90">
        <f ca="1">IFERROR(__xludf.DUMMYFUNCTION("""COMPUTED_VALUE"""),0.085)</f>
        <v>8.5000000000000006E-2</v>
      </c>
      <c r="I90">
        <f ca="1">IFERROR(__xludf.DUMMYFUNCTION("""COMPUTED_VALUE"""),18)</f>
        <v>18</v>
      </c>
    </row>
    <row r="91" spans="1:9" ht="12.75">
      <c r="A91">
        <f ca="1">IFERROR(__xludf.DUMMYFUNCTION("""COMPUTED_VALUE"""),90)</f>
        <v>90</v>
      </c>
      <c r="B91">
        <f ca="1">IFERROR(__xludf.DUMMYFUNCTION("""COMPUTED_VALUE"""),90)</f>
        <v>90</v>
      </c>
      <c r="C91" t="str">
        <f ca="1">IFERROR(__xludf.DUMMYFUNCTION("""COMPUTED_VALUE"""),"Joseph Bramlett")</f>
        <v>Joseph Bramlett</v>
      </c>
      <c r="D91">
        <f ca="1">IFERROR(__xludf.DUMMYFUNCTION("""COMPUTED_VALUE"""),18)</f>
        <v>18</v>
      </c>
      <c r="E91">
        <f ca="1">IFERROR(__xludf.DUMMYFUNCTION("""COMPUTED_VALUE"""),0.439)</f>
        <v>0.439</v>
      </c>
      <c r="F91">
        <f ca="1">IFERROR(__xludf.DUMMYFUNCTION("""COMPUTED_VALUE"""),0.302)</f>
        <v>0.30199999999999999</v>
      </c>
      <c r="G91">
        <f ca="1">IFERROR(__xludf.DUMMYFUNCTION("""COMPUTED_VALUE"""),-0.282)</f>
        <v>-0.28199999999999997</v>
      </c>
      <c r="H91">
        <f ca="1">IFERROR(__xludf.DUMMYFUNCTION("""COMPUTED_VALUE"""),0.419)</f>
        <v>0.41899999999999998</v>
      </c>
      <c r="I91">
        <f ca="1">IFERROR(__xludf.DUMMYFUNCTION("""COMPUTED_VALUE"""),10)</f>
        <v>10</v>
      </c>
    </row>
    <row r="92" spans="1:9" ht="12.75">
      <c r="A92">
        <f ca="1">IFERROR(__xludf.DUMMYFUNCTION("""COMPUTED_VALUE"""),91)</f>
        <v>91</v>
      </c>
      <c r="B92">
        <f ca="1">IFERROR(__xludf.DUMMYFUNCTION("""COMPUTED_VALUE"""),91)</f>
        <v>91</v>
      </c>
      <c r="C92" t="str">
        <f ca="1">IFERROR(__xludf.DUMMYFUNCTION("""COMPUTED_VALUE"""),"Wes Roach")</f>
        <v>Wes Roach</v>
      </c>
      <c r="D92">
        <f ca="1">IFERROR(__xludf.DUMMYFUNCTION("""COMPUTED_VALUE"""),6)</f>
        <v>6</v>
      </c>
      <c r="E92">
        <f ca="1">IFERROR(__xludf.DUMMYFUNCTION("""COMPUTED_VALUE"""),0.438)</f>
        <v>0.438</v>
      </c>
      <c r="F92">
        <f ca="1">IFERROR(__xludf.DUMMYFUNCTION("""COMPUTED_VALUE"""),-0.307)</f>
        <v>-0.307</v>
      </c>
      <c r="G92">
        <f ca="1">IFERROR(__xludf.DUMMYFUNCTION("""COMPUTED_VALUE"""),0.21)</f>
        <v>0.21</v>
      </c>
      <c r="H92">
        <f ca="1">IFERROR(__xludf.DUMMYFUNCTION("""COMPUTED_VALUE"""),0.534)</f>
        <v>0.53400000000000003</v>
      </c>
      <c r="I92">
        <f ca="1">IFERROR(__xludf.DUMMYFUNCTION("""COMPUTED_VALUE"""),2)</f>
        <v>2</v>
      </c>
    </row>
    <row r="93" spans="1:9" ht="12.75">
      <c r="A93">
        <f ca="1">IFERROR(__xludf.DUMMYFUNCTION("""COMPUTED_VALUE"""),92)</f>
        <v>92</v>
      </c>
      <c r="B93">
        <f ca="1">IFERROR(__xludf.DUMMYFUNCTION("""COMPUTED_VALUE"""),93)</f>
        <v>93</v>
      </c>
      <c r="C93" t="str">
        <f ca="1">IFERROR(__xludf.DUMMYFUNCTION("""COMPUTED_VALUE"""),"Cameron Smith")</f>
        <v>Cameron Smith</v>
      </c>
      <c r="D93">
        <f ca="1">IFERROR(__xludf.DUMMYFUNCTION("""COMPUTED_VALUE"""),16)</f>
        <v>16</v>
      </c>
      <c r="E93">
        <f ca="1">IFERROR(__xludf.DUMMYFUNCTION("""COMPUTED_VALUE"""),0.423)</f>
        <v>0.42299999999999999</v>
      </c>
      <c r="F93">
        <f ca="1">IFERROR(__xludf.DUMMYFUNCTION("""COMPUTED_VALUE"""),-0.079)</f>
        <v>-7.9000000000000001E-2</v>
      </c>
      <c r="G93">
        <f ca="1">IFERROR(__xludf.DUMMYFUNCTION("""COMPUTED_VALUE"""),0.349)</f>
        <v>0.34899999999999998</v>
      </c>
      <c r="H93">
        <f ca="1">IFERROR(__xludf.DUMMYFUNCTION("""COMPUTED_VALUE"""),0.152)</f>
        <v>0.152</v>
      </c>
      <c r="I93">
        <f ca="1">IFERROR(__xludf.DUMMYFUNCTION("""COMPUTED_VALUE"""),16)</f>
        <v>16</v>
      </c>
    </row>
    <row r="94" spans="1:9" ht="12.75">
      <c r="A94">
        <f ca="1">IFERROR(__xludf.DUMMYFUNCTION("""COMPUTED_VALUE"""),93)</f>
        <v>93</v>
      </c>
      <c r="B94" t="str">
        <f ca="1">IFERROR(__xludf.DUMMYFUNCTION("""COMPUTED_VALUE"""),"T81")</f>
        <v>T81</v>
      </c>
      <c r="C94" t="str">
        <f ca="1">IFERROR(__xludf.DUMMYFUNCTION("""COMPUTED_VALUE"""),"Scottie Scheffler")</f>
        <v>Scottie Scheffler</v>
      </c>
      <c r="D94">
        <f ca="1">IFERROR(__xludf.DUMMYFUNCTION("""COMPUTED_VALUE"""),18)</f>
        <v>18</v>
      </c>
      <c r="E94">
        <f ca="1">IFERROR(__xludf.DUMMYFUNCTION("""COMPUTED_VALUE"""),0.42)</f>
        <v>0.42</v>
      </c>
      <c r="F94">
        <f ca="1">IFERROR(__xludf.DUMMYFUNCTION("""COMPUTED_VALUE"""),0.887)</f>
        <v>0.88700000000000001</v>
      </c>
      <c r="G94">
        <f ca="1">IFERROR(__xludf.DUMMYFUNCTION("""COMPUTED_VALUE"""),-0.634)</f>
        <v>-0.63400000000000001</v>
      </c>
      <c r="H94">
        <f ca="1">IFERROR(__xludf.DUMMYFUNCTION("""COMPUTED_VALUE"""),0.167)</f>
        <v>0.16700000000000001</v>
      </c>
      <c r="I94">
        <f ca="1">IFERROR(__xludf.DUMMYFUNCTION("""COMPUTED_VALUE"""),18)</f>
        <v>18</v>
      </c>
    </row>
    <row r="95" spans="1:9" ht="12.75">
      <c r="A95">
        <f ca="1">IFERROR(__xludf.DUMMYFUNCTION("""COMPUTED_VALUE"""),94)</f>
        <v>94</v>
      </c>
      <c r="B95">
        <f ca="1">IFERROR(__xludf.DUMMYFUNCTION("""COMPUTED_VALUE"""),94)</f>
        <v>94</v>
      </c>
      <c r="C95" t="str">
        <f ca="1">IFERROR(__xludf.DUMMYFUNCTION("""COMPUTED_VALUE"""),"Matthew Wolff")</f>
        <v>Matthew Wolff</v>
      </c>
      <c r="D95">
        <f ca="1">IFERROR(__xludf.DUMMYFUNCTION("""COMPUTED_VALUE"""),16)</f>
        <v>16</v>
      </c>
      <c r="E95">
        <f ca="1">IFERROR(__xludf.DUMMYFUNCTION("""COMPUTED_VALUE"""),0.417)</f>
        <v>0.41699999999999998</v>
      </c>
      <c r="F95">
        <f ca="1">IFERROR(__xludf.DUMMYFUNCTION("""COMPUTED_VALUE"""),-0.216)</f>
        <v>-0.216</v>
      </c>
      <c r="G95">
        <f ca="1">IFERROR(__xludf.DUMMYFUNCTION("""COMPUTED_VALUE"""),1.056)</f>
        <v>1.056</v>
      </c>
      <c r="H95">
        <f ca="1">IFERROR(__xludf.DUMMYFUNCTION("""COMPUTED_VALUE"""),-0.423)</f>
        <v>-0.42299999999999999</v>
      </c>
      <c r="I95">
        <f ca="1">IFERROR(__xludf.DUMMYFUNCTION("""COMPUTED_VALUE"""),16)</f>
        <v>16</v>
      </c>
    </row>
    <row r="96" spans="1:9" ht="12.75">
      <c r="A96">
        <f ca="1">IFERROR(__xludf.DUMMYFUNCTION("""COMPUTED_VALUE"""),95)</f>
        <v>95</v>
      </c>
      <c r="B96">
        <f ca="1">IFERROR(__xludf.DUMMYFUNCTION("""COMPUTED_VALUE"""),110)</f>
        <v>110</v>
      </c>
      <c r="C96" t="str">
        <f ca="1">IFERROR(__xludf.DUMMYFUNCTION("""COMPUTED_VALUE"""),"Henrik Norlander")</f>
        <v>Henrik Norlander</v>
      </c>
      <c r="D96">
        <f ca="1">IFERROR(__xludf.DUMMYFUNCTION("""COMPUTED_VALUE"""),16)</f>
        <v>16</v>
      </c>
      <c r="E96">
        <f ca="1">IFERROR(__xludf.DUMMYFUNCTION("""COMPUTED_VALUE"""),0.396)</f>
        <v>0.39600000000000002</v>
      </c>
      <c r="F96">
        <f ca="1">IFERROR(__xludf.DUMMYFUNCTION("""COMPUTED_VALUE"""),0.518)</f>
        <v>0.51800000000000002</v>
      </c>
      <c r="G96">
        <f ca="1">IFERROR(__xludf.DUMMYFUNCTION("""COMPUTED_VALUE"""),0.255)</f>
        <v>0.255</v>
      </c>
      <c r="H96">
        <f ca="1">IFERROR(__xludf.DUMMYFUNCTION("""COMPUTED_VALUE"""),-0.377)</f>
        <v>-0.377</v>
      </c>
      <c r="I96">
        <f ca="1">IFERROR(__xludf.DUMMYFUNCTION("""COMPUTED_VALUE"""),12)</f>
        <v>12</v>
      </c>
    </row>
    <row r="97" spans="1:9" ht="12.75">
      <c r="A97">
        <f ca="1">IFERROR(__xludf.DUMMYFUNCTION("""COMPUTED_VALUE"""),96)</f>
        <v>96</v>
      </c>
      <c r="B97">
        <f ca="1">IFERROR(__xludf.DUMMYFUNCTION("""COMPUTED_VALUE"""),99)</f>
        <v>99</v>
      </c>
      <c r="C97" t="str">
        <f ca="1">IFERROR(__xludf.DUMMYFUNCTION("""COMPUTED_VALUE"""),"Joel Dahmen")</f>
        <v>Joel Dahmen</v>
      </c>
      <c r="D97">
        <f ca="1">IFERROR(__xludf.DUMMYFUNCTION("""COMPUTED_VALUE"""),18)</f>
        <v>18</v>
      </c>
      <c r="E97">
        <f ca="1">IFERROR(__xludf.DUMMYFUNCTION("""COMPUTED_VALUE"""),0.395)</f>
        <v>0.39500000000000002</v>
      </c>
      <c r="F97">
        <f ca="1">IFERROR(__xludf.DUMMYFUNCTION("""COMPUTED_VALUE"""),0.117)</f>
        <v>0.11700000000000001</v>
      </c>
      <c r="G97">
        <f ca="1">IFERROR(__xludf.DUMMYFUNCTION("""COMPUTED_VALUE"""),0.211)</f>
        <v>0.21099999999999999</v>
      </c>
      <c r="H97">
        <f ca="1">IFERROR(__xludf.DUMMYFUNCTION("""COMPUTED_VALUE"""),0.067)</f>
        <v>6.7000000000000004E-2</v>
      </c>
      <c r="I97">
        <f ca="1">IFERROR(__xludf.DUMMYFUNCTION("""COMPUTED_VALUE"""),18)</f>
        <v>18</v>
      </c>
    </row>
    <row r="98" spans="1:9" ht="12.75">
      <c r="A98">
        <f ca="1">IFERROR(__xludf.DUMMYFUNCTION("""COMPUTED_VALUE"""),97)</f>
        <v>97</v>
      </c>
      <c r="B98">
        <f ca="1">IFERROR(__xludf.DUMMYFUNCTION("""COMPUTED_VALUE"""),100)</f>
        <v>100</v>
      </c>
      <c r="C98" t="str">
        <f ca="1">IFERROR(__xludf.DUMMYFUNCTION("""COMPUTED_VALUE"""),"Gunn Charoenkul")</f>
        <v>Gunn Charoenkul</v>
      </c>
      <c r="D98">
        <f ca="1">IFERROR(__xludf.DUMMYFUNCTION("""COMPUTED_VALUE"""),4)</f>
        <v>4</v>
      </c>
      <c r="E98">
        <f ca="1">IFERROR(__xludf.DUMMYFUNCTION("""COMPUTED_VALUE"""),0.392)</f>
        <v>0.39200000000000002</v>
      </c>
      <c r="F98">
        <f ca="1">IFERROR(__xludf.DUMMYFUNCTION("""COMPUTED_VALUE"""),-0.522)</f>
        <v>-0.52200000000000002</v>
      </c>
      <c r="G98">
        <f ca="1">IFERROR(__xludf.DUMMYFUNCTION("""COMPUTED_VALUE"""),0.149)</f>
        <v>0.14899999999999999</v>
      </c>
      <c r="H98">
        <f ca="1">IFERROR(__xludf.DUMMYFUNCTION("""COMPUTED_VALUE"""),0.765)</f>
        <v>0.76500000000000001</v>
      </c>
      <c r="I98">
        <f ca="1">IFERROR(__xludf.DUMMYFUNCTION("""COMPUTED_VALUE"""),4)</f>
        <v>4</v>
      </c>
    </row>
    <row r="99" spans="1:9" ht="12.75">
      <c r="A99">
        <f ca="1">IFERROR(__xludf.DUMMYFUNCTION("""COMPUTED_VALUE"""),98)</f>
        <v>98</v>
      </c>
      <c r="B99" t="str">
        <f ca="1">IFERROR(__xludf.DUMMYFUNCTION("""COMPUTED_VALUE"""),"T101")</f>
        <v>T101</v>
      </c>
      <c r="C99" t="str">
        <f ca="1">IFERROR(__xludf.DUMMYFUNCTION("""COMPUTED_VALUE"""),"Chan Kim")</f>
        <v>Chan Kim</v>
      </c>
      <c r="D99">
        <f ca="1">IFERROR(__xludf.DUMMYFUNCTION("""COMPUTED_VALUE"""),6)</f>
        <v>6</v>
      </c>
      <c r="E99">
        <f ca="1">IFERROR(__xludf.DUMMYFUNCTION("""COMPUTED_VALUE"""),0.386)</f>
        <v>0.38600000000000001</v>
      </c>
      <c r="F99">
        <f ca="1">IFERROR(__xludf.DUMMYFUNCTION("""COMPUTED_VALUE"""),0.54)</f>
        <v>0.54</v>
      </c>
      <c r="G99">
        <f ca="1">IFERROR(__xludf.DUMMYFUNCTION("""COMPUTED_VALUE"""),0.042)</f>
        <v>4.2000000000000003E-2</v>
      </c>
      <c r="H99">
        <f ca="1">IFERROR(__xludf.DUMMYFUNCTION("""COMPUTED_VALUE"""),-0.197)</f>
        <v>-0.19700000000000001</v>
      </c>
      <c r="I99">
        <f ca="1">IFERROR(__xludf.DUMMYFUNCTION("""COMPUTED_VALUE"""),6)</f>
        <v>6</v>
      </c>
    </row>
    <row r="100" spans="1:9" ht="12.75">
      <c r="A100">
        <f ca="1">IFERROR(__xludf.DUMMYFUNCTION("""COMPUTED_VALUE"""),99)</f>
        <v>99</v>
      </c>
      <c r="B100">
        <f ca="1">IFERROR(__xludf.DUMMYFUNCTION("""COMPUTED_VALUE"""),103)</f>
        <v>103</v>
      </c>
      <c r="C100" t="str">
        <f ca="1">IFERROR(__xludf.DUMMYFUNCTION("""COMPUTED_VALUE"""),"Bernd Wiesberger")</f>
        <v>Bernd Wiesberger</v>
      </c>
      <c r="D100">
        <f ca="1">IFERROR(__xludf.DUMMYFUNCTION("""COMPUTED_VALUE"""),4)</f>
        <v>4</v>
      </c>
      <c r="E100">
        <f ca="1">IFERROR(__xludf.DUMMYFUNCTION("""COMPUTED_VALUE"""),0.381)</f>
        <v>0.38100000000000001</v>
      </c>
      <c r="F100">
        <f ca="1">IFERROR(__xludf.DUMMYFUNCTION("""COMPUTED_VALUE"""),-0.357)</f>
        <v>-0.35699999999999998</v>
      </c>
      <c r="G100">
        <f ca="1">IFERROR(__xludf.DUMMYFUNCTION("""COMPUTED_VALUE"""),0.316)</f>
        <v>0.316</v>
      </c>
      <c r="H100">
        <f ca="1">IFERROR(__xludf.DUMMYFUNCTION("""COMPUTED_VALUE"""),0.422)</f>
        <v>0.42199999999999999</v>
      </c>
      <c r="I100">
        <f ca="1">IFERROR(__xludf.DUMMYFUNCTION("""COMPUTED_VALUE"""),4)</f>
        <v>4</v>
      </c>
    </row>
    <row r="101" spans="1:9" ht="12.75">
      <c r="A101">
        <f ca="1">IFERROR(__xludf.DUMMYFUNCTION("""COMPUTED_VALUE"""),100)</f>
        <v>100</v>
      </c>
      <c r="B101">
        <f ca="1">IFERROR(__xludf.DUMMYFUNCTION("""COMPUTED_VALUE"""),104)</f>
        <v>104</v>
      </c>
      <c r="C101" t="str">
        <f ca="1">IFERROR(__xludf.DUMMYFUNCTION("""COMPUTED_VALUE"""),"Abraham Ancer")</f>
        <v>Abraham Ancer</v>
      </c>
      <c r="D101">
        <f ca="1">IFERROR(__xludf.DUMMYFUNCTION("""COMPUTED_VALUE"""),16)</f>
        <v>16</v>
      </c>
      <c r="E101">
        <f ca="1">IFERROR(__xludf.DUMMYFUNCTION("""COMPUTED_VALUE"""),0.379)</f>
        <v>0.379</v>
      </c>
      <c r="F101">
        <f ca="1">IFERROR(__xludf.DUMMYFUNCTION("""COMPUTED_VALUE"""),0.186)</f>
        <v>0.186</v>
      </c>
      <c r="G101">
        <f ca="1">IFERROR(__xludf.DUMMYFUNCTION("""COMPUTED_VALUE"""),-0.063)</f>
        <v>-6.3E-2</v>
      </c>
      <c r="H101">
        <f ca="1">IFERROR(__xludf.DUMMYFUNCTION("""COMPUTED_VALUE"""),0.256)</f>
        <v>0.25600000000000001</v>
      </c>
      <c r="I101">
        <f ca="1">IFERROR(__xludf.DUMMYFUNCTION("""COMPUTED_VALUE"""),16)</f>
        <v>16</v>
      </c>
    </row>
    <row r="102" spans="1:9" ht="12.75">
      <c r="A102">
        <f ca="1">IFERROR(__xludf.DUMMYFUNCTION("""COMPUTED_VALUE"""),101)</f>
        <v>101</v>
      </c>
      <c r="B102">
        <f ca="1">IFERROR(__xludf.DUMMYFUNCTION("""COMPUTED_VALUE"""),124)</f>
        <v>124</v>
      </c>
      <c r="C102" t="str">
        <f ca="1">IFERROR(__xludf.DUMMYFUNCTION("""COMPUTED_VALUE"""),"Robby Shelton")</f>
        <v>Robby Shelton</v>
      </c>
      <c r="D102">
        <f ca="1">IFERROR(__xludf.DUMMYFUNCTION("""COMPUTED_VALUE"""),14)</f>
        <v>14</v>
      </c>
      <c r="E102">
        <f ca="1">IFERROR(__xludf.DUMMYFUNCTION("""COMPUTED_VALUE"""),0.376)</f>
        <v>0.376</v>
      </c>
      <c r="F102">
        <f ca="1">IFERROR(__xludf.DUMMYFUNCTION("""COMPUTED_VALUE"""),-0.195)</f>
        <v>-0.19500000000000001</v>
      </c>
      <c r="G102">
        <f ca="1">IFERROR(__xludf.DUMMYFUNCTION("""COMPUTED_VALUE"""),0.173)</f>
        <v>0.17299999999999999</v>
      </c>
      <c r="H102">
        <f ca="1">IFERROR(__xludf.DUMMYFUNCTION("""COMPUTED_VALUE"""),0.398)</f>
        <v>0.39800000000000002</v>
      </c>
      <c r="I102">
        <f ca="1">IFERROR(__xludf.DUMMYFUNCTION("""COMPUTED_VALUE"""),14)</f>
        <v>14</v>
      </c>
    </row>
    <row r="103" spans="1:9" ht="12.75">
      <c r="A103">
        <f ca="1">IFERROR(__xludf.DUMMYFUNCTION("""COMPUTED_VALUE"""),102)</f>
        <v>102</v>
      </c>
      <c r="B103">
        <f ca="1">IFERROR(__xludf.DUMMYFUNCTION("""COMPUTED_VALUE"""),105)</f>
        <v>105</v>
      </c>
      <c r="C103" t="str">
        <f ca="1">IFERROR(__xludf.DUMMYFUNCTION("""COMPUTED_VALUE"""),"Michael Gligic")</f>
        <v>Michael Gligic</v>
      </c>
      <c r="D103">
        <f ca="1">IFERROR(__xludf.DUMMYFUNCTION("""COMPUTED_VALUE"""),18)</f>
        <v>18</v>
      </c>
      <c r="E103">
        <f ca="1">IFERROR(__xludf.DUMMYFUNCTION("""COMPUTED_VALUE"""),0.37)</f>
        <v>0.37</v>
      </c>
      <c r="F103">
        <f ca="1">IFERROR(__xludf.DUMMYFUNCTION("""COMPUTED_VALUE"""),0.432)</f>
        <v>0.432</v>
      </c>
      <c r="G103">
        <f ca="1">IFERROR(__xludf.DUMMYFUNCTION("""COMPUTED_VALUE"""),-0.057)</f>
        <v>-5.7000000000000002E-2</v>
      </c>
      <c r="H103">
        <f ca="1">IFERROR(__xludf.DUMMYFUNCTION("""COMPUTED_VALUE"""),-0.005)</f>
        <v>-5.0000000000000001E-3</v>
      </c>
      <c r="I103">
        <f ca="1">IFERROR(__xludf.DUMMYFUNCTION("""COMPUTED_VALUE"""),12)</f>
        <v>12</v>
      </c>
    </row>
    <row r="104" spans="1:9" ht="12.75">
      <c r="A104">
        <f ca="1">IFERROR(__xludf.DUMMYFUNCTION("""COMPUTED_VALUE"""),103)</f>
        <v>103</v>
      </c>
      <c r="B104">
        <f ca="1">IFERROR(__xludf.DUMMYFUNCTION("""COMPUTED_VALUE"""),58)</f>
        <v>58</v>
      </c>
      <c r="C104" t="str">
        <f ca="1">IFERROR(__xludf.DUMMYFUNCTION("""COMPUTED_VALUE"""),"Scott Stallings")</f>
        <v>Scott Stallings</v>
      </c>
      <c r="D104">
        <f ca="1">IFERROR(__xludf.DUMMYFUNCTION("""COMPUTED_VALUE"""),14)</f>
        <v>14</v>
      </c>
      <c r="E104">
        <f ca="1">IFERROR(__xludf.DUMMYFUNCTION("""COMPUTED_VALUE"""),0.365)</f>
        <v>0.36499999999999999</v>
      </c>
      <c r="F104">
        <f ca="1">IFERROR(__xludf.DUMMYFUNCTION("""COMPUTED_VALUE"""),-0.123)</f>
        <v>-0.123</v>
      </c>
      <c r="G104">
        <f ca="1">IFERROR(__xludf.DUMMYFUNCTION("""COMPUTED_VALUE"""),0.847)</f>
        <v>0.84699999999999998</v>
      </c>
      <c r="H104">
        <f ca="1">IFERROR(__xludf.DUMMYFUNCTION("""COMPUTED_VALUE"""),-0.359)</f>
        <v>-0.35899999999999999</v>
      </c>
      <c r="I104">
        <f ca="1">IFERROR(__xludf.DUMMYFUNCTION("""COMPUTED_VALUE"""),10)</f>
        <v>10</v>
      </c>
    </row>
    <row r="105" spans="1:9" ht="12.75">
      <c r="A105">
        <f ca="1">IFERROR(__xludf.DUMMYFUNCTION("""COMPUTED_VALUE"""),104)</f>
        <v>104</v>
      </c>
      <c r="B105">
        <f ca="1">IFERROR(__xludf.DUMMYFUNCTION("""COMPUTED_VALUE"""),138)</f>
        <v>138</v>
      </c>
      <c r="C105" t="str">
        <f ca="1">IFERROR(__xludf.DUMMYFUNCTION("""COMPUTED_VALUE"""),"Charley Hoffman")</f>
        <v>Charley Hoffman</v>
      </c>
      <c r="D105">
        <f ca="1">IFERROR(__xludf.DUMMYFUNCTION("""COMPUTED_VALUE"""),20)</f>
        <v>20</v>
      </c>
      <c r="E105">
        <f ca="1">IFERROR(__xludf.DUMMYFUNCTION("""COMPUTED_VALUE"""),0.354)</f>
        <v>0.35399999999999998</v>
      </c>
      <c r="F105">
        <f ca="1">IFERROR(__xludf.DUMMYFUNCTION("""COMPUTED_VALUE"""),0.642)</f>
        <v>0.64200000000000002</v>
      </c>
      <c r="G105">
        <f ca="1">IFERROR(__xludf.DUMMYFUNCTION("""COMPUTED_VALUE"""),-0.117)</f>
        <v>-0.11700000000000001</v>
      </c>
      <c r="H105">
        <f ca="1">IFERROR(__xludf.DUMMYFUNCTION("""COMPUTED_VALUE"""),-0.171)</f>
        <v>-0.17100000000000001</v>
      </c>
      <c r="I105">
        <f ca="1">IFERROR(__xludf.DUMMYFUNCTION("""COMPUTED_VALUE"""),14)</f>
        <v>14</v>
      </c>
    </row>
    <row r="106" spans="1:9" ht="12.75">
      <c r="A106">
        <f ca="1">IFERROR(__xludf.DUMMYFUNCTION("""COMPUTED_VALUE"""),105)</f>
        <v>105</v>
      </c>
      <c r="B106">
        <f ca="1">IFERROR(__xludf.DUMMYFUNCTION("""COMPUTED_VALUE"""),107)</f>
        <v>107</v>
      </c>
      <c r="C106" t="str">
        <f ca="1">IFERROR(__xludf.DUMMYFUNCTION("""COMPUTED_VALUE"""),"Chris Baker")</f>
        <v>Chris Baker</v>
      </c>
      <c r="D106">
        <f ca="1">IFERROR(__xludf.DUMMYFUNCTION("""COMPUTED_VALUE"""),8)</f>
        <v>8</v>
      </c>
      <c r="E106">
        <f ca="1">IFERROR(__xludf.DUMMYFUNCTION("""COMPUTED_VALUE"""),0.347)</f>
        <v>0.34699999999999998</v>
      </c>
      <c r="F106">
        <f ca="1">IFERROR(__xludf.DUMMYFUNCTION("""COMPUTED_VALUE"""),0.447)</f>
        <v>0.44700000000000001</v>
      </c>
      <c r="G106">
        <f ca="1">IFERROR(__xludf.DUMMYFUNCTION("""COMPUTED_VALUE"""),-0.109)</f>
        <v>-0.109</v>
      </c>
      <c r="H106">
        <f ca="1">IFERROR(__xludf.DUMMYFUNCTION("""COMPUTED_VALUE"""),0.009)</f>
        <v>8.9999999999999993E-3</v>
      </c>
      <c r="I106">
        <f ca="1">IFERROR(__xludf.DUMMYFUNCTION("""COMPUTED_VALUE"""),4)</f>
        <v>4</v>
      </c>
    </row>
    <row r="107" spans="1:9" ht="12.75">
      <c r="A107">
        <f ca="1">IFERROR(__xludf.DUMMYFUNCTION("""COMPUTED_VALUE"""),106)</f>
        <v>106</v>
      </c>
      <c r="B107">
        <f ca="1">IFERROR(__xludf.DUMMYFUNCTION("""COMPUTED_VALUE"""),108)</f>
        <v>108</v>
      </c>
      <c r="C107" t="str">
        <f ca="1">IFERROR(__xludf.DUMMYFUNCTION("""COMPUTED_VALUE"""),"Vincent Whaley")</f>
        <v>Vincent Whaley</v>
      </c>
      <c r="D107">
        <f ca="1">IFERROR(__xludf.DUMMYFUNCTION("""COMPUTED_VALUE"""),14)</f>
        <v>14</v>
      </c>
      <c r="E107">
        <f ca="1">IFERROR(__xludf.DUMMYFUNCTION("""COMPUTED_VALUE"""),0.346)</f>
        <v>0.34599999999999997</v>
      </c>
      <c r="F107">
        <f ca="1">IFERROR(__xludf.DUMMYFUNCTION("""COMPUTED_VALUE"""),0.367)</f>
        <v>0.36699999999999999</v>
      </c>
      <c r="G107">
        <f ca="1">IFERROR(__xludf.DUMMYFUNCTION("""COMPUTED_VALUE"""),-0.26)</f>
        <v>-0.26</v>
      </c>
      <c r="H107">
        <f ca="1">IFERROR(__xludf.DUMMYFUNCTION("""COMPUTED_VALUE"""),0.239)</f>
        <v>0.23899999999999999</v>
      </c>
      <c r="I107">
        <f ca="1">IFERROR(__xludf.DUMMYFUNCTION("""COMPUTED_VALUE"""),8)</f>
        <v>8</v>
      </c>
    </row>
    <row r="108" spans="1:9" ht="12.75">
      <c r="A108">
        <f ca="1">IFERROR(__xludf.DUMMYFUNCTION("""COMPUTED_VALUE"""),107)</f>
        <v>107</v>
      </c>
      <c r="B108">
        <f ca="1">IFERROR(__xludf.DUMMYFUNCTION("""COMPUTED_VALUE"""),109)</f>
        <v>109</v>
      </c>
      <c r="C108" t="str">
        <f ca="1">IFERROR(__xludf.DUMMYFUNCTION("""COMPUTED_VALUE"""),"Romain Langasque")</f>
        <v>Romain Langasque</v>
      </c>
      <c r="D108">
        <f ca="1">IFERROR(__xludf.DUMMYFUNCTION("""COMPUTED_VALUE"""),4)</f>
        <v>4</v>
      </c>
      <c r="E108">
        <f ca="1">IFERROR(__xludf.DUMMYFUNCTION("""COMPUTED_VALUE"""),0.333)</f>
        <v>0.33300000000000002</v>
      </c>
      <c r="F108">
        <f ca="1">IFERROR(__xludf.DUMMYFUNCTION("""COMPUTED_VALUE"""),0.034)</f>
        <v>3.4000000000000002E-2</v>
      </c>
      <c r="G108">
        <f ca="1">IFERROR(__xludf.DUMMYFUNCTION("""COMPUTED_VALUE"""),0.989)</f>
        <v>0.98899999999999999</v>
      </c>
      <c r="H108">
        <f ca="1">IFERROR(__xludf.DUMMYFUNCTION("""COMPUTED_VALUE"""),-0.69)</f>
        <v>-0.69</v>
      </c>
      <c r="I108">
        <f ca="1">IFERROR(__xludf.DUMMYFUNCTION("""COMPUTED_VALUE"""),4)</f>
        <v>4</v>
      </c>
    </row>
    <row r="109" spans="1:9" ht="12.75">
      <c r="A109">
        <f ca="1">IFERROR(__xludf.DUMMYFUNCTION("""COMPUTED_VALUE"""),108)</f>
        <v>108</v>
      </c>
      <c r="B109">
        <f ca="1">IFERROR(__xludf.DUMMYFUNCTION("""COMPUTED_VALUE"""),115)</f>
        <v>115</v>
      </c>
      <c r="C109" t="str">
        <f ca="1">IFERROR(__xludf.DUMMYFUNCTION("""COMPUTED_VALUE"""),"Charl Schwartzel")</f>
        <v>Charl Schwartzel</v>
      </c>
      <c r="D109">
        <f ca="1">IFERROR(__xludf.DUMMYFUNCTION("""COMPUTED_VALUE"""),12)</f>
        <v>12</v>
      </c>
      <c r="E109">
        <f ca="1">IFERROR(__xludf.DUMMYFUNCTION("""COMPUTED_VALUE"""),0.318)</f>
        <v>0.318</v>
      </c>
      <c r="F109">
        <f ca="1">IFERROR(__xludf.DUMMYFUNCTION("""COMPUTED_VALUE"""),-0.167)</f>
        <v>-0.16700000000000001</v>
      </c>
      <c r="G109">
        <f ca="1">IFERROR(__xludf.DUMMYFUNCTION("""COMPUTED_VALUE"""),0.326)</f>
        <v>0.32600000000000001</v>
      </c>
      <c r="H109">
        <f ca="1">IFERROR(__xludf.DUMMYFUNCTION("""COMPUTED_VALUE"""),0.159)</f>
        <v>0.159</v>
      </c>
      <c r="I109">
        <f ca="1">IFERROR(__xludf.DUMMYFUNCTION("""COMPUTED_VALUE"""),12)</f>
        <v>12</v>
      </c>
    </row>
    <row r="110" spans="1:9" ht="12.75">
      <c r="A110">
        <f ca="1">IFERROR(__xludf.DUMMYFUNCTION("""COMPUTED_VALUE"""),109)</f>
        <v>109</v>
      </c>
      <c r="B110">
        <f ca="1">IFERROR(__xludf.DUMMYFUNCTION("""COMPUTED_VALUE"""),88)</f>
        <v>88</v>
      </c>
      <c r="C110" t="str">
        <f ca="1">IFERROR(__xludf.DUMMYFUNCTION("""COMPUTED_VALUE"""),"Tom Hoge")</f>
        <v>Tom Hoge</v>
      </c>
      <c r="D110">
        <f ca="1">IFERROR(__xludf.DUMMYFUNCTION("""COMPUTED_VALUE"""),22)</f>
        <v>22</v>
      </c>
      <c r="E110">
        <f ca="1">IFERROR(__xludf.DUMMYFUNCTION("""COMPUTED_VALUE"""),0.31)</f>
        <v>0.31</v>
      </c>
      <c r="F110">
        <f ca="1">IFERROR(__xludf.DUMMYFUNCTION("""COMPUTED_VALUE"""),-0.183)</f>
        <v>-0.183</v>
      </c>
      <c r="G110">
        <f ca="1">IFERROR(__xludf.DUMMYFUNCTION("""COMPUTED_VALUE"""),0.528)</f>
        <v>0.52800000000000002</v>
      </c>
      <c r="H110">
        <f ca="1">IFERROR(__xludf.DUMMYFUNCTION("""COMPUTED_VALUE"""),-0.035)</f>
        <v>-3.5000000000000003E-2</v>
      </c>
      <c r="I110">
        <f ca="1">IFERROR(__xludf.DUMMYFUNCTION("""COMPUTED_VALUE"""),22)</f>
        <v>22</v>
      </c>
    </row>
    <row r="111" spans="1:9" ht="12.75">
      <c r="A111">
        <f ca="1">IFERROR(__xludf.DUMMYFUNCTION("""COMPUTED_VALUE"""),110)</f>
        <v>110</v>
      </c>
      <c r="B111">
        <f ca="1">IFERROR(__xludf.DUMMYFUNCTION("""COMPUTED_VALUE"""),118)</f>
        <v>118</v>
      </c>
      <c r="C111" t="str">
        <f ca="1">IFERROR(__xludf.DUMMYFUNCTION("""COMPUTED_VALUE"""),"Brian Harman")</f>
        <v>Brian Harman</v>
      </c>
      <c r="D111">
        <f ca="1">IFERROR(__xludf.DUMMYFUNCTION("""COMPUTED_VALUE"""),24)</f>
        <v>24</v>
      </c>
      <c r="E111">
        <f ca="1">IFERROR(__xludf.DUMMYFUNCTION("""COMPUTED_VALUE"""),0.29)</f>
        <v>0.28999999999999998</v>
      </c>
      <c r="F111">
        <f ca="1">IFERROR(__xludf.DUMMYFUNCTION("""COMPUTED_VALUE"""),0.053)</f>
        <v>5.2999999999999999E-2</v>
      </c>
      <c r="G111">
        <f ca="1">IFERROR(__xludf.DUMMYFUNCTION("""COMPUTED_VALUE"""),0.208)</f>
        <v>0.20799999999999999</v>
      </c>
      <c r="H111">
        <f ca="1">IFERROR(__xludf.DUMMYFUNCTION("""COMPUTED_VALUE"""),0.029)</f>
        <v>2.9000000000000001E-2</v>
      </c>
      <c r="I111">
        <f ca="1">IFERROR(__xludf.DUMMYFUNCTION("""COMPUTED_VALUE"""),24)</f>
        <v>24</v>
      </c>
    </row>
    <row r="112" spans="1:9" ht="12.75">
      <c r="A112">
        <f ca="1">IFERROR(__xludf.DUMMYFUNCTION("""COMPUTED_VALUE"""),111)</f>
        <v>111</v>
      </c>
      <c r="B112">
        <f ca="1">IFERROR(__xludf.DUMMYFUNCTION("""COMPUTED_VALUE"""),111)</f>
        <v>111</v>
      </c>
      <c r="C112" t="str">
        <f ca="1">IFERROR(__xludf.DUMMYFUNCTION("""COMPUTED_VALUE"""),"Aaron Baddeley")</f>
        <v>Aaron Baddeley</v>
      </c>
      <c r="D112">
        <f ca="1">IFERROR(__xludf.DUMMYFUNCTION("""COMPUTED_VALUE"""),8)</f>
        <v>8</v>
      </c>
      <c r="E112">
        <f ca="1">IFERROR(__xludf.DUMMYFUNCTION("""COMPUTED_VALUE"""),0.289)</f>
        <v>0.28899999999999998</v>
      </c>
      <c r="F112">
        <f ca="1">IFERROR(__xludf.DUMMYFUNCTION("""COMPUTED_VALUE"""),-0.394)</f>
        <v>-0.39400000000000002</v>
      </c>
      <c r="G112">
        <f ca="1">IFERROR(__xludf.DUMMYFUNCTION("""COMPUTED_VALUE"""),0.296)</f>
        <v>0.29599999999999999</v>
      </c>
      <c r="H112">
        <f ca="1">IFERROR(__xludf.DUMMYFUNCTION("""COMPUTED_VALUE"""),0.387)</f>
        <v>0.38700000000000001</v>
      </c>
      <c r="I112">
        <f ca="1">IFERROR(__xludf.DUMMYFUNCTION("""COMPUTED_VALUE"""),4)</f>
        <v>4</v>
      </c>
    </row>
    <row r="113" spans="1:9" ht="12.75">
      <c r="A113">
        <f ca="1">IFERROR(__xludf.DUMMYFUNCTION("""COMPUTED_VALUE"""),112)</f>
        <v>112</v>
      </c>
      <c r="B113">
        <f ca="1">IFERROR(__xludf.DUMMYFUNCTION("""COMPUTED_VALUE"""),65)</f>
        <v>65</v>
      </c>
      <c r="C113" t="str">
        <f ca="1">IFERROR(__xludf.DUMMYFUNCTION("""COMPUTED_VALUE"""),"Pat Perez")</f>
        <v>Pat Perez</v>
      </c>
      <c r="D113">
        <f ca="1">IFERROR(__xludf.DUMMYFUNCTION("""COMPUTED_VALUE"""),16)</f>
        <v>16</v>
      </c>
      <c r="E113">
        <f ca="1">IFERROR(__xludf.DUMMYFUNCTION("""COMPUTED_VALUE"""),0.276)</f>
        <v>0.27600000000000002</v>
      </c>
      <c r="F113">
        <f ca="1">IFERROR(__xludf.DUMMYFUNCTION("""COMPUTED_VALUE"""),0.189)</f>
        <v>0.189</v>
      </c>
      <c r="G113">
        <f ca="1">IFERROR(__xludf.DUMMYFUNCTION("""COMPUTED_VALUE"""),0.143)</f>
        <v>0.14299999999999999</v>
      </c>
      <c r="H113">
        <f ca="1">IFERROR(__xludf.DUMMYFUNCTION("""COMPUTED_VALUE"""),-0.056)</f>
        <v>-5.6000000000000001E-2</v>
      </c>
      <c r="I113">
        <f ca="1">IFERROR(__xludf.DUMMYFUNCTION("""COMPUTED_VALUE"""),10)</f>
        <v>10</v>
      </c>
    </row>
    <row r="114" spans="1:9" ht="12.75">
      <c r="A114">
        <f ca="1">IFERROR(__xludf.DUMMYFUNCTION("""COMPUTED_VALUE"""),113)</f>
        <v>113</v>
      </c>
      <c r="B114">
        <f ca="1">IFERROR(__xludf.DUMMYFUNCTION("""COMPUTED_VALUE"""),176)</f>
        <v>176</v>
      </c>
      <c r="C114" t="str">
        <f ca="1">IFERROR(__xludf.DUMMYFUNCTION("""COMPUTED_VALUE"""),"Maverick McNealy")</f>
        <v>Maverick McNealy</v>
      </c>
      <c r="D114">
        <f ca="1">IFERROR(__xludf.DUMMYFUNCTION("""COMPUTED_VALUE"""),16)</f>
        <v>16</v>
      </c>
      <c r="E114">
        <f ca="1">IFERROR(__xludf.DUMMYFUNCTION("""COMPUTED_VALUE"""),0.26)</f>
        <v>0.26</v>
      </c>
      <c r="F114">
        <f ca="1">IFERROR(__xludf.DUMMYFUNCTION("""COMPUTED_VALUE"""),-0.102)</f>
        <v>-0.10199999999999999</v>
      </c>
      <c r="G114">
        <f ca="1">IFERROR(__xludf.DUMMYFUNCTION("""COMPUTED_VALUE"""),0.177)</f>
        <v>0.17699999999999999</v>
      </c>
      <c r="H114">
        <f ca="1">IFERROR(__xludf.DUMMYFUNCTION("""COMPUTED_VALUE"""),0.184)</f>
        <v>0.184</v>
      </c>
      <c r="I114">
        <f ca="1">IFERROR(__xludf.DUMMYFUNCTION("""COMPUTED_VALUE"""),12)</f>
        <v>12</v>
      </c>
    </row>
    <row r="115" spans="1:9" ht="12.75">
      <c r="A115">
        <f ca="1">IFERROR(__xludf.DUMMYFUNCTION("""COMPUTED_VALUE"""),114)</f>
        <v>114</v>
      </c>
      <c r="B115">
        <f ca="1">IFERROR(__xludf.DUMMYFUNCTION("""COMPUTED_VALUE"""),92)</f>
        <v>92</v>
      </c>
      <c r="C115" t="str">
        <f ca="1">IFERROR(__xludf.DUMMYFUNCTION("""COMPUTED_VALUE"""),"Adam Schenk")</f>
        <v>Adam Schenk</v>
      </c>
      <c r="D115">
        <f ca="1">IFERROR(__xludf.DUMMYFUNCTION("""COMPUTED_VALUE"""),22)</f>
        <v>22</v>
      </c>
      <c r="E115">
        <f ca="1">IFERROR(__xludf.DUMMYFUNCTION("""COMPUTED_VALUE"""),0.258)</f>
        <v>0.25800000000000001</v>
      </c>
      <c r="F115">
        <f ca="1">IFERROR(__xludf.DUMMYFUNCTION("""COMPUTED_VALUE"""),0.275)</f>
        <v>0.27500000000000002</v>
      </c>
      <c r="G115">
        <f ca="1">IFERROR(__xludf.DUMMYFUNCTION("""COMPUTED_VALUE"""),-0.2)</f>
        <v>-0.2</v>
      </c>
      <c r="H115">
        <f ca="1">IFERROR(__xludf.DUMMYFUNCTION("""COMPUTED_VALUE"""),0.183)</f>
        <v>0.183</v>
      </c>
      <c r="I115">
        <f ca="1">IFERROR(__xludf.DUMMYFUNCTION("""COMPUTED_VALUE"""),14)</f>
        <v>14</v>
      </c>
    </row>
    <row r="116" spans="1:9" ht="12.75">
      <c r="A116">
        <f ca="1">IFERROR(__xludf.DUMMYFUNCTION("""COMPUTED_VALUE"""),115)</f>
        <v>115</v>
      </c>
      <c r="B116">
        <f ca="1">IFERROR(__xludf.DUMMYFUNCTION("""COMPUTED_VALUE"""),106)</f>
        <v>106</v>
      </c>
      <c r="C116" t="str">
        <f ca="1">IFERROR(__xludf.DUMMYFUNCTION("""COMPUTED_VALUE"""),"Wyndham Clark")</f>
        <v>Wyndham Clark</v>
      </c>
      <c r="D116">
        <f ca="1">IFERROR(__xludf.DUMMYFUNCTION("""COMPUTED_VALUE"""),16)</f>
        <v>16</v>
      </c>
      <c r="E116">
        <f ca="1">IFERROR(__xludf.DUMMYFUNCTION("""COMPUTED_VALUE"""),0.256)</f>
        <v>0.25600000000000001</v>
      </c>
      <c r="F116">
        <f ca="1">IFERROR(__xludf.DUMMYFUNCTION("""COMPUTED_VALUE"""),0.441)</f>
        <v>0.441</v>
      </c>
      <c r="G116">
        <f ca="1">IFERROR(__xludf.DUMMYFUNCTION("""COMPUTED_VALUE"""),-0.415)</f>
        <v>-0.41499999999999998</v>
      </c>
      <c r="H116">
        <f ca="1">IFERROR(__xludf.DUMMYFUNCTION("""COMPUTED_VALUE"""),0.231)</f>
        <v>0.23100000000000001</v>
      </c>
      <c r="I116">
        <f ca="1">IFERROR(__xludf.DUMMYFUNCTION("""COMPUTED_VALUE"""),12)</f>
        <v>12</v>
      </c>
    </row>
    <row r="117" spans="1:9" ht="12.75">
      <c r="A117">
        <f ca="1">IFERROR(__xludf.DUMMYFUNCTION("""COMPUTED_VALUE"""),116)</f>
        <v>116</v>
      </c>
      <c r="B117">
        <f ca="1">IFERROR(__xludf.DUMMYFUNCTION("""COMPUTED_VALUE"""),114)</f>
        <v>114</v>
      </c>
      <c r="C117" t="str">
        <f ca="1">IFERROR(__xludf.DUMMYFUNCTION("""COMPUTED_VALUE"""),"Ted Potter, Jr.")</f>
        <v>Ted Potter, Jr.</v>
      </c>
      <c r="D117">
        <f ca="1">IFERROR(__xludf.DUMMYFUNCTION("""COMPUTED_VALUE"""),8)</f>
        <v>8</v>
      </c>
      <c r="E117">
        <f ca="1">IFERROR(__xludf.DUMMYFUNCTION("""COMPUTED_VALUE"""),0.216)</f>
        <v>0.216</v>
      </c>
      <c r="F117">
        <f ca="1">IFERROR(__xludf.DUMMYFUNCTION("""COMPUTED_VALUE"""),-0.078)</f>
        <v>-7.8E-2</v>
      </c>
      <c r="G117">
        <f ca="1">IFERROR(__xludf.DUMMYFUNCTION("""COMPUTED_VALUE"""),0.236)</f>
        <v>0.23599999999999999</v>
      </c>
      <c r="H117">
        <f ca="1">IFERROR(__xludf.DUMMYFUNCTION("""COMPUTED_VALUE"""),0.058)</f>
        <v>5.8000000000000003E-2</v>
      </c>
      <c r="I117">
        <f ca="1">IFERROR(__xludf.DUMMYFUNCTION("""COMPUTED_VALUE"""),8)</f>
        <v>8</v>
      </c>
    </row>
    <row r="118" spans="1:9" ht="12.75">
      <c r="A118">
        <f ca="1">IFERROR(__xludf.DUMMYFUNCTION("""COMPUTED_VALUE"""),117)</f>
        <v>117</v>
      </c>
      <c r="B118" t="str">
        <f ca="1">IFERROR(__xludf.DUMMYFUNCTION("""COMPUTED_VALUE"""),"T101")</f>
        <v>T101</v>
      </c>
      <c r="C118" t="str">
        <f ca="1">IFERROR(__xludf.DUMMYFUNCTION("""COMPUTED_VALUE"""),"Dylan Frittelli")</f>
        <v>Dylan Frittelli</v>
      </c>
      <c r="D118">
        <f ca="1">IFERROR(__xludf.DUMMYFUNCTION("""COMPUTED_VALUE"""),16)</f>
        <v>16</v>
      </c>
      <c r="E118">
        <f ca="1">IFERROR(__xludf.DUMMYFUNCTION("""COMPUTED_VALUE"""),0.202)</f>
        <v>0.20200000000000001</v>
      </c>
      <c r="F118">
        <f ca="1">IFERROR(__xludf.DUMMYFUNCTION("""COMPUTED_VALUE"""),0.373)</f>
        <v>0.373</v>
      </c>
      <c r="G118">
        <f ca="1">IFERROR(__xludf.DUMMYFUNCTION("""COMPUTED_VALUE"""),-0.496)</f>
        <v>-0.496</v>
      </c>
      <c r="H118">
        <f ca="1">IFERROR(__xludf.DUMMYFUNCTION("""COMPUTED_VALUE"""),0.326)</f>
        <v>0.32600000000000001</v>
      </c>
      <c r="I118">
        <f ca="1">IFERROR(__xludf.DUMMYFUNCTION("""COMPUTED_VALUE"""),16)</f>
        <v>16</v>
      </c>
    </row>
    <row r="119" spans="1:9" ht="12.75">
      <c r="A119">
        <f ca="1">IFERROR(__xludf.DUMMYFUNCTION("""COMPUTED_VALUE"""),118)</f>
        <v>118</v>
      </c>
      <c r="B119">
        <f ca="1">IFERROR(__xludf.DUMMYFUNCTION("""COMPUTED_VALUE"""),113)</f>
        <v>113</v>
      </c>
      <c r="C119" t="str">
        <f ca="1">IFERROR(__xludf.DUMMYFUNCTION("""COMPUTED_VALUE"""),"Patrick Rodgers")</f>
        <v>Patrick Rodgers</v>
      </c>
      <c r="D119">
        <f ca="1">IFERROR(__xludf.DUMMYFUNCTION("""COMPUTED_VALUE"""),18)</f>
        <v>18</v>
      </c>
      <c r="E119">
        <f ca="1">IFERROR(__xludf.DUMMYFUNCTION("""COMPUTED_VALUE"""),0.19)</f>
        <v>0.19</v>
      </c>
      <c r="F119">
        <f ca="1">IFERROR(__xludf.DUMMYFUNCTION("""COMPUTED_VALUE"""),0.365)</f>
        <v>0.36499999999999999</v>
      </c>
      <c r="G119">
        <f ca="1">IFERROR(__xludf.DUMMYFUNCTION("""COMPUTED_VALUE"""),-0.086)</f>
        <v>-8.5999999999999993E-2</v>
      </c>
      <c r="H119">
        <f ca="1">IFERROR(__xludf.DUMMYFUNCTION("""COMPUTED_VALUE"""),-0.089)</f>
        <v>-8.8999999999999996E-2</v>
      </c>
      <c r="I119">
        <f ca="1">IFERROR(__xludf.DUMMYFUNCTION("""COMPUTED_VALUE"""),10)</f>
        <v>10</v>
      </c>
    </row>
    <row r="120" spans="1:9" ht="12.75">
      <c r="A120">
        <f ca="1">IFERROR(__xludf.DUMMYFUNCTION("""COMPUTED_VALUE"""),119)</f>
        <v>119</v>
      </c>
      <c r="B120">
        <f ca="1">IFERROR(__xludf.DUMMYFUNCTION("""COMPUTED_VALUE"""),97)</f>
        <v>97</v>
      </c>
      <c r="C120" t="str">
        <f ca="1">IFERROR(__xludf.DUMMYFUNCTION("""COMPUTED_VALUE"""),"Tyler Duncan")</f>
        <v>Tyler Duncan</v>
      </c>
      <c r="D120">
        <f ca="1">IFERROR(__xludf.DUMMYFUNCTION("""COMPUTED_VALUE"""),18)</f>
        <v>18</v>
      </c>
      <c r="E120">
        <f ca="1">IFERROR(__xludf.DUMMYFUNCTION("""COMPUTED_VALUE"""),0.175)</f>
        <v>0.17499999999999999</v>
      </c>
      <c r="F120">
        <f ca="1">IFERROR(__xludf.DUMMYFUNCTION("""COMPUTED_VALUE"""),0.137)</f>
        <v>0.13700000000000001</v>
      </c>
      <c r="G120">
        <f ca="1">IFERROR(__xludf.DUMMYFUNCTION("""COMPUTED_VALUE"""),0.441)</f>
        <v>0.441</v>
      </c>
      <c r="H120">
        <f ca="1">IFERROR(__xludf.DUMMYFUNCTION("""COMPUTED_VALUE"""),-0.403)</f>
        <v>-0.40300000000000002</v>
      </c>
      <c r="I120">
        <f ca="1">IFERROR(__xludf.DUMMYFUNCTION("""COMPUTED_VALUE"""),18)</f>
        <v>18</v>
      </c>
    </row>
    <row r="121" spans="1:9" ht="12.75">
      <c r="A121">
        <f ca="1">IFERROR(__xludf.DUMMYFUNCTION("""COMPUTED_VALUE"""),120)</f>
        <v>120</v>
      </c>
      <c r="B121">
        <f ca="1">IFERROR(__xludf.DUMMYFUNCTION("""COMPUTED_VALUE"""),119)</f>
        <v>119</v>
      </c>
      <c r="C121" t="str">
        <f ca="1">IFERROR(__xludf.DUMMYFUNCTION("""COMPUTED_VALUE"""),"Paul Casey")</f>
        <v>Paul Casey</v>
      </c>
      <c r="D121">
        <f ca="1">IFERROR(__xludf.DUMMYFUNCTION("""COMPUTED_VALUE"""),14)</f>
        <v>14</v>
      </c>
      <c r="E121">
        <f ca="1">IFERROR(__xludf.DUMMYFUNCTION("""COMPUTED_VALUE"""),0.142)</f>
        <v>0.14199999999999999</v>
      </c>
      <c r="F121">
        <f ca="1">IFERROR(__xludf.DUMMYFUNCTION("""COMPUTED_VALUE"""),0.217)</f>
        <v>0.217</v>
      </c>
      <c r="G121">
        <f ca="1">IFERROR(__xludf.DUMMYFUNCTION("""COMPUTED_VALUE"""),0.08)</f>
        <v>0.08</v>
      </c>
      <c r="H121">
        <f ca="1">IFERROR(__xludf.DUMMYFUNCTION("""COMPUTED_VALUE"""),-0.156)</f>
        <v>-0.156</v>
      </c>
      <c r="I121">
        <f ca="1">IFERROR(__xludf.DUMMYFUNCTION("""COMPUTED_VALUE"""),14)</f>
        <v>14</v>
      </c>
    </row>
    <row r="122" spans="1:9" ht="12.75">
      <c r="A122">
        <f ca="1">IFERROR(__xludf.DUMMYFUNCTION("""COMPUTED_VALUE"""),121)</f>
        <v>121</v>
      </c>
      <c r="B122" t="str">
        <f ca="1">IFERROR(__xludf.DUMMYFUNCTION("""COMPUTED_VALUE"""),"")</f>
        <v/>
      </c>
      <c r="C122" t="str">
        <f ca="1">IFERROR(__xludf.DUMMYFUNCTION("""COMPUTED_VALUE"""),"Justin Harding")</f>
        <v>Justin Harding</v>
      </c>
      <c r="D122">
        <f ca="1">IFERROR(__xludf.DUMMYFUNCTION("""COMPUTED_VALUE"""),6)</f>
        <v>6</v>
      </c>
      <c r="E122">
        <f ca="1">IFERROR(__xludf.DUMMYFUNCTION("""COMPUTED_VALUE"""),0.123)</f>
        <v>0.123</v>
      </c>
      <c r="F122">
        <f ca="1">IFERROR(__xludf.DUMMYFUNCTION("""COMPUTED_VALUE"""),-0.27)</f>
        <v>-0.27</v>
      </c>
      <c r="G122">
        <f ca="1">IFERROR(__xludf.DUMMYFUNCTION("""COMPUTED_VALUE"""),0.382)</f>
        <v>0.38200000000000001</v>
      </c>
      <c r="H122">
        <f ca="1">IFERROR(__xludf.DUMMYFUNCTION("""COMPUTED_VALUE"""),0.011)</f>
        <v>1.0999999999999999E-2</v>
      </c>
      <c r="I122">
        <f ca="1">IFERROR(__xludf.DUMMYFUNCTION("""COMPUTED_VALUE"""),6)</f>
        <v>6</v>
      </c>
    </row>
    <row r="123" spans="1:9" ht="12.75">
      <c r="A123">
        <f ca="1">IFERROR(__xludf.DUMMYFUNCTION("""COMPUTED_VALUE"""),122)</f>
        <v>122</v>
      </c>
      <c r="B123">
        <f ca="1">IFERROR(__xludf.DUMMYFUNCTION("""COMPUTED_VALUE"""),120)</f>
        <v>120</v>
      </c>
      <c r="C123" t="str">
        <f ca="1">IFERROR(__xludf.DUMMYFUNCTION("""COMPUTED_VALUE"""),"Lanto Griffin")</f>
        <v>Lanto Griffin</v>
      </c>
      <c r="D123">
        <f ca="1">IFERROR(__xludf.DUMMYFUNCTION("""COMPUTED_VALUE"""),18)</f>
        <v>18</v>
      </c>
      <c r="E123">
        <f ca="1">IFERROR(__xludf.DUMMYFUNCTION("""COMPUTED_VALUE"""),0.119)</f>
        <v>0.11899999999999999</v>
      </c>
      <c r="F123">
        <f ca="1">IFERROR(__xludf.DUMMYFUNCTION("""COMPUTED_VALUE"""),-0.196)</f>
        <v>-0.19600000000000001</v>
      </c>
      <c r="G123">
        <f ca="1">IFERROR(__xludf.DUMMYFUNCTION("""COMPUTED_VALUE"""),0.603)</f>
        <v>0.60299999999999998</v>
      </c>
      <c r="H123">
        <f ca="1">IFERROR(__xludf.DUMMYFUNCTION("""COMPUTED_VALUE"""),-0.289)</f>
        <v>-0.28899999999999998</v>
      </c>
      <c r="I123">
        <f ca="1">IFERROR(__xludf.DUMMYFUNCTION("""COMPUTED_VALUE"""),18)</f>
        <v>18</v>
      </c>
    </row>
    <row r="124" spans="1:9" ht="12.75">
      <c r="A124">
        <f ca="1">IFERROR(__xludf.DUMMYFUNCTION("""COMPUTED_VALUE"""),123)</f>
        <v>123</v>
      </c>
      <c r="B124">
        <f ca="1">IFERROR(__xludf.DUMMYFUNCTION("""COMPUTED_VALUE"""),122)</f>
        <v>122</v>
      </c>
      <c r="C124" t="str">
        <f ca="1">IFERROR(__xludf.DUMMYFUNCTION("""COMPUTED_VALUE"""),"Andy Zhang")</f>
        <v>Andy Zhang</v>
      </c>
      <c r="D124">
        <f ca="1">IFERROR(__xludf.DUMMYFUNCTION("""COMPUTED_VALUE"""),4)</f>
        <v>4</v>
      </c>
      <c r="E124">
        <f ca="1">IFERROR(__xludf.DUMMYFUNCTION("""COMPUTED_VALUE"""),0.118)</f>
        <v>0.11799999999999999</v>
      </c>
      <c r="F124">
        <f ca="1">IFERROR(__xludf.DUMMYFUNCTION("""COMPUTED_VALUE"""),-0.615)</f>
        <v>-0.61499999999999999</v>
      </c>
      <c r="G124">
        <f ca="1">IFERROR(__xludf.DUMMYFUNCTION("""COMPUTED_VALUE"""),0.81)</f>
        <v>0.81</v>
      </c>
      <c r="H124">
        <f ca="1">IFERROR(__xludf.DUMMYFUNCTION("""COMPUTED_VALUE"""),-0.077)</f>
        <v>-7.6999999999999999E-2</v>
      </c>
      <c r="I124">
        <f ca="1">IFERROR(__xludf.DUMMYFUNCTION("""COMPUTED_VALUE"""),4)</f>
        <v>4</v>
      </c>
    </row>
    <row r="125" spans="1:9" ht="12.75">
      <c r="A125">
        <f ca="1">IFERROR(__xludf.DUMMYFUNCTION("""COMPUTED_VALUE"""),124)</f>
        <v>124</v>
      </c>
      <c r="B125">
        <f ca="1">IFERROR(__xludf.DUMMYFUNCTION("""COMPUTED_VALUE"""),154)</f>
        <v>154</v>
      </c>
      <c r="C125" t="str">
        <f ca="1">IFERROR(__xludf.DUMMYFUNCTION("""COMPUTED_VALUE"""),"Adam Scott")</f>
        <v>Adam Scott</v>
      </c>
      <c r="D125">
        <f ca="1">IFERROR(__xludf.DUMMYFUNCTION("""COMPUTED_VALUE"""),8)</f>
        <v>8</v>
      </c>
      <c r="E125">
        <f ca="1">IFERROR(__xludf.DUMMYFUNCTION("""COMPUTED_VALUE"""),0.11)</f>
        <v>0.11</v>
      </c>
      <c r="F125">
        <f ca="1">IFERROR(__xludf.DUMMYFUNCTION("""COMPUTED_VALUE"""),-0.067)</f>
        <v>-6.7000000000000004E-2</v>
      </c>
      <c r="G125">
        <f ca="1">IFERROR(__xludf.DUMMYFUNCTION("""COMPUTED_VALUE"""),0.338)</f>
        <v>0.33800000000000002</v>
      </c>
      <c r="H125">
        <f ca="1">IFERROR(__xludf.DUMMYFUNCTION("""COMPUTED_VALUE"""),-0.162)</f>
        <v>-0.16200000000000001</v>
      </c>
      <c r="I125">
        <f ca="1">IFERROR(__xludf.DUMMYFUNCTION("""COMPUTED_VALUE"""),8)</f>
        <v>8</v>
      </c>
    </row>
    <row r="126" spans="1:9" ht="12.75">
      <c r="A126">
        <f ca="1">IFERROR(__xludf.DUMMYFUNCTION("""COMPUTED_VALUE"""),125)</f>
        <v>125</v>
      </c>
      <c r="B126">
        <f ca="1">IFERROR(__xludf.DUMMYFUNCTION("""COMPUTED_VALUE"""),143)</f>
        <v>143</v>
      </c>
      <c r="C126" t="str">
        <f ca="1">IFERROR(__xludf.DUMMYFUNCTION("""COMPUTED_VALUE"""),"Denny McCarthy")</f>
        <v>Denny McCarthy</v>
      </c>
      <c r="D126">
        <f ca="1">IFERROR(__xludf.DUMMYFUNCTION("""COMPUTED_VALUE"""),22)</f>
        <v>22</v>
      </c>
      <c r="E126">
        <f ca="1">IFERROR(__xludf.DUMMYFUNCTION("""COMPUTED_VALUE"""),0.103)</f>
        <v>0.10299999999999999</v>
      </c>
      <c r="F126">
        <f ca="1">IFERROR(__xludf.DUMMYFUNCTION("""COMPUTED_VALUE"""),0.084)</f>
        <v>8.4000000000000005E-2</v>
      </c>
      <c r="G126">
        <f ca="1">IFERROR(__xludf.DUMMYFUNCTION("""COMPUTED_VALUE"""),-0.254)</f>
        <v>-0.254</v>
      </c>
      <c r="H126">
        <f ca="1">IFERROR(__xludf.DUMMYFUNCTION("""COMPUTED_VALUE"""),0.273)</f>
        <v>0.27300000000000002</v>
      </c>
      <c r="I126">
        <f ca="1">IFERROR(__xludf.DUMMYFUNCTION("""COMPUTED_VALUE"""),14)</f>
        <v>14</v>
      </c>
    </row>
    <row r="127" spans="1:9" ht="12.75">
      <c r="A127" t="str">
        <f ca="1">IFERROR(__xludf.DUMMYFUNCTION("""COMPUTED_VALUE"""),"T126")</f>
        <v>T126</v>
      </c>
      <c r="B127">
        <f ca="1">IFERROR(__xludf.DUMMYFUNCTION("""COMPUTED_VALUE"""),125)</f>
        <v>125</v>
      </c>
      <c r="C127" t="str">
        <f ca="1">IFERROR(__xludf.DUMMYFUNCTION("""COMPUTED_VALUE"""),"Kevin Na")</f>
        <v>Kevin Na</v>
      </c>
      <c r="D127">
        <f ca="1">IFERROR(__xludf.DUMMYFUNCTION("""COMPUTED_VALUE"""),14)</f>
        <v>14</v>
      </c>
      <c r="E127">
        <f ca="1">IFERROR(__xludf.DUMMYFUNCTION("""COMPUTED_VALUE"""),0.1)</f>
        <v>0.1</v>
      </c>
      <c r="F127">
        <f ca="1">IFERROR(__xludf.DUMMYFUNCTION("""COMPUTED_VALUE"""),0.044)</f>
        <v>4.3999999999999997E-2</v>
      </c>
      <c r="G127">
        <f ca="1">IFERROR(__xludf.DUMMYFUNCTION("""COMPUTED_VALUE"""),-0.307)</f>
        <v>-0.307</v>
      </c>
      <c r="H127">
        <f ca="1">IFERROR(__xludf.DUMMYFUNCTION("""COMPUTED_VALUE"""),0.363)</f>
        <v>0.36299999999999999</v>
      </c>
      <c r="I127">
        <f ca="1">IFERROR(__xludf.DUMMYFUNCTION("""COMPUTED_VALUE"""),14)</f>
        <v>14</v>
      </c>
    </row>
    <row r="128" spans="1:9" ht="12.75">
      <c r="A128" t="str">
        <f ca="1">IFERROR(__xludf.DUMMYFUNCTION("""COMPUTED_VALUE"""),"T126")</f>
        <v>T126</v>
      </c>
      <c r="B128">
        <f ca="1">IFERROR(__xludf.DUMMYFUNCTION("""COMPUTED_VALUE"""),192)</f>
        <v>192</v>
      </c>
      <c r="C128" t="str">
        <f ca="1">IFERROR(__xludf.DUMMYFUNCTION("""COMPUTED_VALUE"""),"Patton Kizzire")</f>
        <v>Patton Kizzire</v>
      </c>
      <c r="D128">
        <f ca="1">IFERROR(__xludf.DUMMYFUNCTION("""COMPUTED_VALUE"""),18)</f>
        <v>18</v>
      </c>
      <c r="E128">
        <f ca="1">IFERROR(__xludf.DUMMYFUNCTION("""COMPUTED_VALUE"""),0.1)</f>
        <v>0.1</v>
      </c>
      <c r="F128">
        <f ca="1">IFERROR(__xludf.DUMMYFUNCTION("""COMPUTED_VALUE"""),-0.024)</f>
        <v>-2.4E-2</v>
      </c>
      <c r="G128">
        <f ca="1">IFERROR(__xludf.DUMMYFUNCTION("""COMPUTED_VALUE"""),0.153)</f>
        <v>0.153</v>
      </c>
      <c r="H128">
        <f ca="1">IFERROR(__xludf.DUMMYFUNCTION("""COMPUTED_VALUE"""),-0.029)</f>
        <v>-2.9000000000000001E-2</v>
      </c>
      <c r="I128">
        <f ca="1">IFERROR(__xludf.DUMMYFUNCTION("""COMPUTED_VALUE"""),14)</f>
        <v>14</v>
      </c>
    </row>
    <row r="129" spans="1:9" ht="12.75">
      <c r="A129">
        <f ca="1">IFERROR(__xludf.DUMMYFUNCTION("""COMPUTED_VALUE"""),128)</f>
        <v>128</v>
      </c>
      <c r="B129">
        <f ca="1">IFERROR(__xludf.DUMMYFUNCTION("""COMPUTED_VALUE"""),55)</f>
        <v>55</v>
      </c>
      <c r="C129" t="str">
        <f ca="1">IFERROR(__xludf.DUMMYFUNCTION("""COMPUTED_VALUE"""),"Kristoffer Ventura")</f>
        <v>Kristoffer Ventura</v>
      </c>
      <c r="D129">
        <f ca="1">IFERROR(__xludf.DUMMYFUNCTION("""COMPUTED_VALUE"""),20)</f>
        <v>20</v>
      </c>
      <c r="E129">
        <f ca="1">IFERROR(__xludf.DUMMYFUNCTION("""COMPUTED_VALUE"""),0.091)</f>
        <v>9.0999999999999998E-2</v>
      </c>
      <c r="F129">
        <f ca="1">IFERROR(__xludf.DUMMYFUNCTION("""COMPUTED_VALUE"""),0.567)</f>
        <v>0.56699999999999995</v>
      </c>
      <c r="G129">
        <f ca="1">IFERROR(__xludf.DUMMYFUNCTION("""COMPUTED_VALUE"""),-0.545)</f>
        <v>-0.54500000000000004</v>
      </c>
      <c r="H129">
        <f ca="1">IFERROR(__xludf.DUMMYFUNCTION("""COMPUTED_VALUE"""),0.069)</f>
        <v>6.9000000000000006E-2</v>
      </c>
      <c r="I129">
        <f ca="1">IFERROR(__xludf.DUMMYFUNCTION("""COMPUTED_VALUE"""),14)</f>
        <v>14</v>
      </c>
    </row>
    <row r="130" spans="1:9" ht="12.75">
      <c r="A130">
        <f ca="1">IFERROR(__xludf.DUMMYFUNCTION("""COMPUTED_VALUE"""),129)</f>
        <v>129</v>
      </c>
      <c r="B130">
        <f ca="1">IFERROR(__xludf.DUMMYFUNCTION("""COMPUTED_VALUE"""),174)</f>
        <v>174</v>
      </c>
      <c r="C130" t="str">
        <f ca="1">IFERROR(__xludf.DUMMYFUNCTION("""COMPUTED_VALUE"""),"Jhonattan Vegas")</f>
        <v>Jhonattan Vegas</v>
      </c>
      <c r="D130">
        <f ca="1">IFERROR(__xludf.DUMMYFUNCTION("""COMPUTED_VALUE"""),16)</f>
        <v>16</v>
      </c>
      <c r="E130">
        <f ca="1">IFERROR(__xludf.DUMMYFUNCTION("""COMPUTED_VALUE"""),0.081)</f>
        <v>8.1000000000000003E-2</v>
      </c>
      <c r="F130">
        <f ca="1">IFERROR(__xludf.DUMMYFUNCTION("""COMPUTED_VALUE"""),0.536)</f>
        <v>0.53600000000000003</v>
      </c>
      <c r="G130">
        <f ca="1">IFERROR(__xludf.DUMMYFUNCTION("""COMPUTED_VALUE"""),-0.224)</f>
        <v>-0.224</v>
      </c>
      <c r="H130">
        <f ca="1">IFERROR(__xludf.DUMMYFUNCTION("""COMPUTED_VALUE"""),-0.231)</f>
        <v>-0.23100000000000001</v>
      </c>
      <c r="I130">
        <f ca="1">IFERROR(__xludf.DUMMYFUNCTION("""COMPUTED_VALUE"""),10)</f>
        <v>10</v>
      </c>
    </row>
    <row r="131" spans="1:9" ht="12.75">
      <c r="A131" t="str">
        <f ca="1">IFERROR(__xludf.DUMMYFUNCTION("""COMPUTED_VALUE"""),"T130")</f>
        <v>T130</v>
      </c>
      <c r="B131" t="str">
        <f ca="1">IFERROR(__xludf.DUMMYFUNCTION("""COMPUTED_VALUE"""),"")</f>
        <v/>
      </c>
      <c r="C131" t="str">
        <f ca="1">IFERROR(__xludf.DUMMYFUNCTION("""COMPUTED_VALUE"""),"Dawie van der Walt")</f>
        <v>Dawie van der Walt</v>
      </c>
      <c r="D131">
        <f ca="1">IFERROR(__xludf.DUMMYFUNCTION("""COMPUTED_VALUE"""),4)</f>
        <v>4</v>
      </c>
      <c r="E131">
        <f ca="1">IFERROR(__xludf.DUMMYFUNCTION("""COMPUTED_VALUE"""),0.077)</f>
        <v>7.6999999999999999E-2</v>
      </c>
      <c r="F131">
        <f ca="1">IFERROR(__xludf.DUMMYFUNCTION("""COMPUTED_VALUE"""),-0.122)</f>
        <v>-0.122</v>
      </c>
      <c r="G131">
        <f ca="1">IFERROR(__xludf.DUMMYFUNCTION("""COMPUTED_VALUE"""),0.346)</f>
        <v>0.34599999999999997</v>
      </c>
      <c r="H131">
        <f ca="1">IFERROR(__xludf.DUMMYFUNCTION("""COMPUTED_VALUE"""),-0.147)</f>
        <v>-0.14699999999999999</v>
      </c>
      <c r="I131">
        <f ca="1">IFERROR(__xludf.DUMMYFUNCTION("""COMPUTED_VALUE"""),4)</f>
        <v>4</v>
      </c>
    </row>
    <row r="132" spans="1:9" ht="12.75">
      <c r="A132" t="str">
        <f ca="1">IFERROR(__xludf.DUMMYFUNCTION("""COMPUTED_VALUE"""),"T130")</f>
        <v>T130</v>
      </c>
      <c r="B132">
        <f ca="1">IFERROR(__xludf.DUMMYFUNCTION("""COMPUTED_VALUE"""),68)</f>
        <v>68</v>
      </c>
      <c r="C132" t="str">
        <f ca="1">IFERROR(__xludf.DUMMYFUNCTION("""COMPUTED_VALUE"""),"Cameron Davis")</f>
        <v>Cameron Davis</v>
      </c>
      <c r="D132">
        <f ca="1">IFERROR(__xludf.DUMMYFUNCTION("""COMPUTED_VALUE"""),16)</f>
        <v>16</v>
      </c>
      <c r="E132">
        <f ca="1">IFERROR(__xludf.DUMMYFUNCTION("""COMPUTED_VALUE"""),0.077)</f>
        <v>7.6999999999999999E-2</v>
      </c>
      <c r="F132">
        <f ca="1">IFERROR(__xludf.DUMMYFUNCTION("""COMPUTED_VALUE"""),0.506)</f>
        <v>0.50600000000000001</v>
      </c>
      <c r="G132">
        <f ca="1">IFERROR(__xludf.DUMMYFUNCTION("""COMPUTED_VALUE"""),-0.099)</f>
        <v>-9.9000000000000005E-2</v>
      </c>
      <c r="H132">
        <f ca="1">IFERROR(__xludf.DUMMYFUNCTION("""COMPUTED_VALUE"""),-0.33)</f>
        <v>-0.33</v>
      </c>
      <c r="I132">
        <f ca="1">IFERROR(__xludf.DUMMYFUNCTION("""COMPUTED_VALUE"""),16)</f>
        <v>16</v>
      </c>
    </row>
    <row r="133" spans="1:9" ht="12.75">
      <c r="A133">
        <f ca="1">IFERROR(__xludf.DUMMYFUNCTION("""COMPUTED_VALUE"""),132)</f>
        <v>132</v>
      </c>
      <c r="B133" t="str">
        <f ca="1">IFERROR(__xludf.DUMMYFUNCTION("""COMPUTED_VALUE"""),"T126")</f>
        <v>T126</v>
      </c>
      <c r="C133" t="str">
        <f ca="1">IFERROR(__xludf.DUMMYFUNCTION("""COMPUTED_VALUE"""),"Renato Paratore")</f>
        <v>Renato Paratore</v>
      </c>
      <c r="D133">
        <f ca="1">IFERROR(__xludf.DUMMYFUNCTION("""COMPUTED_VALUE"""),4)</f>
        <v>4</v>
      </c>
      <c r="E133">
        <f ca="1">IFERROR(__xludf.DUMMYFUNCTION("""COMPUTED_VALUE"""),0.075)</f>
        <v>7.4999999999999997E-2</v>
      </c>
      <c r="F133">
        <f ca="1">IFERROR(__xludf.DUMMYFUNCTION("""COMPUTED_VALUE"""),-0.415)</f>
        <v>-0.41499999999999998</v>
      </c>
      <c r="G133">
        <f ca="1">IFERROR(__xludf.DUMMYFUNCTION("""COMPUTED_VALUE"""),-0.529)</f>
        <v>-0.52900000000000003</v>
      </c>
      <c r="H133">
        <f ca="1">IFERROR(__xludf.DUMMYFUNCTION("""COMPUTED_VALUE"""),1.018)</f>
        <v>1.018</v>
      </c>
      <c r="I133">
        <f ca="1">IFERROR(__xludf.DUMMYFUNCTION("""COMPUTED_VALUE"""),4)</f>
        <v>4</v>
      </c>
    </row>
    <row r="134" spans="1:9" ht="12.75">
      <c r="A134">
        <f ca="1">IFERROR(__xludf.DUMMYFUNCTION("""COMPUTED_VALUE"""),133)</f>
        <v>133</v>
      </c>
      <c r="B134">
        <f ca="1">IFERROR(__xludf.DUMMYFUNCTION("""COMPUTED_VALUE"""),112)</f>
        <v>112</v>
      </c>
      <c r="C134" t="str">
        <f ca="1">IFERROR(__xludf.DUMMYFUNCTION("""COMPUTED_VALUE"""),"Jason Dufner")</f>
        <v>Jason Dufner</v>
      </c>
      <c r="D134">
        <f ca="1">IFERROR(__xludf.DUMMYFUNCTION("""COMPUTED_VALUE"""),14)</f>
        <v>14</v>
      </c>
      <c r="E134">
        <f ca="1">IFERROR(__xludf.DUMMYFUNCTION("""COMPUTED_VALUE"""),0.027)</f>
        <v>2.7E-2</v>
      </c>
      <c r="F134">
        <f ca="1">IFERROR(__xludf.DUMMYFUNCTION("""COMPUTED_VALUE"""),0.145)</f>
        <v>0.14499999999999999</v>
      </c>
      <c r="G134">
        <f ca="1">IFERROR(__xludf.DUMMYFUNCTION("""COMPUTED_VALUE"""),-0.019)</f>
        <v>-1.9E-2</v>
      </c>
      <c r="H134">
        <f ca="1">IFERROR(__xludf.DUMMYFUNCTION("""COMPUTED_VALUE"""),-0.099)</f>
        <v>-9.9000000000000005E-2</v>
      </c>
      <c r="I134">
        <f ca="1">IFERROR(__xludf.DUMMYFUNCTION("""COMPUTED_VALUE"""),10)</f>
        <v>10</v>
      </c>
    </row>
    <row r="135" spans="1:9" ht="12.75">
      <c r="A135">
        <f ca="1">IFERROR(__xludf.DUMMYFUNCTION("""COMPUTED_VALUE"""),134)</f>
        <v>134</v>
      </c>
      <c r="B135">
        <f ca="1">IFERROR(__xludf.DUMMYFUNCTION("""COMPUTED_VALUE"""),170)</f>
        <v>170</v>
      </c>
      <c r="C135" t="str">
        <f ca="1">IFERROR(__xludf.DUMMYFUNCTION("""COMPUTED_VALUE"""),"Cameron Tringale")</f>
        <v>Cameron Tringale</v>
      </c>
      <c r="D135">
        <f ca="1">IFERROR(__xludf.DUMMYFUNCTION("""COMPUTED_VALUE"""),16)</f>
        <v>16</v>
      </c>
      <c r="E135">
        <f ca="1">IFERROR(__xludf.DUMMYFUNCTION("""COMPUTED_VALUE"""),0.023)</f>
        <v>2.3E-2</v>
      </c>
      <c r="F135">
        <f ca="1">IFERROR(__xludf.DUMMYFUNCTION("""COMPUTED_VALUE"""),0.102)</f>
        <v>0.10199999999999999</v>
      </c>
      <c r="G135">
        <f ca="1">IFERROR(__xludf.DUMMYFUNCTION("""COMPUTED_VALUE"""),-0.146)</f>
        <v>-0.14599999999999999</v>
      </c>
      <c r="H135">
        <f ca="1">IFERROR(__xludf.DUMMYFUNCTION("""COMPUTED_VALUE"""),0.067)</f>
        <v>6.7000000000000004E-2</v>
      </c>
      <c r="I135">
        <f ca="1">IFERROR(__xludf.DUMMYFUNCTION("""COMPUTED_VALUE"""),14)</f>
        <v>14</v>
      </c>
    </row>
    <row r="136" spans="1:9" ht="12.75">
      <c r="A136">
        <f ca="1">IFERROR(__xludf.DUMMYFUNCTION("""COMPUTED_VALUE"""),135)</f>
        <v>135</v>
      </c>
      <c r="B136">
        <f ca="1">IFERROR(__xludf.DUMMYFUNCTION("""COMPUTED_VALUE"""),130)</f>
        <v>130</v>
      </c>
      <c r="C136" t="str">
        <f ca="1">IFERROR(__xludf.DUMMYFUNCTION("""COMPUTED_VALUE"""),"Kevin Kisner")</f>
        <v>Kevin Kisner</v>
      </c>
      <c r="D136">
        <f ca="1">IFERROR(__xludf.DUMMYFUNCTION("""COMPUTED_VALUE"""),10)</f>
        <v>10</v>
      </c>
      <c r="E136">
        <f ca="1">IFERROR(__xludf.DUMMYFUNCTION("""COMPUTED_VALUE"""),0.019)</f>
        <v>1.9E-2</v>
      </c>
      <c r="F136">
        <f ca="1">IFERROR(__xludf.DUMMYFUNCTION("""COMPUTED_VALUE"""),-0.214)</f>
        <v>-0.214</v>
      </c>
      <c r="G136">
        <f ca="1">IFERROR(__xludf.DUMMYFUNCTION("""COMPUTED_VALUE"""),0.465)</f>
        <v>0.46500000000000002</v>
      </c>
      <c r="H136">
        <f ca="1">IFERROR(__xludf.DUMMYFUNCTION("""COMPUTED_VALUE"""),-0.232)</f>
        <v>-0.23200000000000001</v>
      </c>
      <c r="I136">
        <f ca="1">IFERROR(__xludf.DUMMYFUNCTION("""COMPUTED_VALUE"""),10)</f>
        <v>10</v>
      </c>
    </row>
    <row r="137" spans="1:9" ht="12.75">
      <c r="A137">
        <f ca="1">IFERROR(__xludf.DUMMYFUNCTION("""COMPUTED_VALUE"""),136)</f>
        <v>136</v>
      </c>
      <c r="B137">
        <f ca="1">IFERROR(__xludf.DUMMYFUNCTION("""COMPUTED_VALUE"""),116)</f>
        <v>116</v>
      </c>
      <c r="C137" t="str">
        <f ca="1">IFERROR(__xludf.DUMMYFUNCTION("""COMPUTED_VALUE"""),"Andrew Landry")</f>
        <v>Andrew Landry</v>
      </c>
      <c r="D137">
        <f ca="1">IFERROR(__xludf.DUMMYFUNCTION("""COMPUTED_VALUE"""),14)</f>
        <v>14</v>
      </c>
      <c r="E137">
        <f ca="1">IFERROR(__xludf.DUMMYFUNCTION("""COMPUTED_VALUE"""),0.011)</f>
        <v>1.0999999999999999E-2</v>
      </c>
      <c r="F137">
        <f ca="1">IFERROR(__xludf.DUMMYFUNCTION("""COMPUTED_VALUE"""),-0.093)</f>
        <v>-9.2999999999999999E-2</v>
      </c>
      <c r="G137">
        <f ca="1">IFERROR(__xludf.DUMMYFUNCTION("""COMPUTED_VALUE"""),0.078)</f>
        <v>7.8E-2</v>
      </c>
      <c r="H137">
        <f ca="1">IFERROR(__xludf.DUMMYFUNCTION("""COMPUTED_VALUE"""),0.025)</f>
        <v>2.5000000000000001E-2</v>
      </c>
      <c r="I137">
        <f ca="1">IFERROR(__xludf.DUMMYFUNCTION("""COMPUTED_VALUE"""),14)</f>
        <v>14</v>
      </c>
    </row>
    <row r="138" spans="1:9" ht="12.75">
      <c r="A138">
        <f ca="1">IFERROR(__xludf.DUMMYFUNCTION("""COMPUTED_VALUE"""),137)</f>
        <v>137</v>
      </c>
      <c r="B138">
        <f ca="1">IFERROR(__xludf.DUMMYFUNCTION("""COMPUTED_VALUE"""),98)</f>
        <v>98</v>
      </c>
      <c r="C138" t="str">
        <f ca="1">IFERROR(__xludf.DUMMYFUNCTION("""COMPUTED_VALUE"""),"Danny Lee")</f>
        <v>Danny Lee</v>
      </c>
      <c r="D138">
        <f ca="1">IFERROR(__xludf.DUMMYFUNCTION("""COMPUTED_VALUE"""),15)</f>
        <v>15</v>
      </c>
      <c r="E138">
        <f ca="1">IFERROR(__xludf.DUMMYFUNCTION("""COMPUTED_VALUE"""),-0.002)</f>
        <v>-2E-3</v>
      </c>
      <c r="F138">
        <f ca="1">IFERROR(__xludf.DUMMYFUNCTION("""COMPUTED_VALUE"""),0.082)</f>
        <v>8.2000000000000003E-2</v>
      </c>
      <c r="G138">
        <f ca="1">IFERROR(__xludf.DUMMYFUNCTION("""COMPUTED_VALUE"""),0.098)</f>
        <v>9.8000000000000004E-2</v>
      </c>
      <c r="H138">
        <f ca="1">IFERROR(__xludf.DUMMYFUNCTION("""COMPUTED_VALUE"""),-0.182)</f>
        <v>-0.182</v>
      </c>
      <c r="I138">
        <f ca="1">IFERROR(__xludf.DUMMYFUNCTION("""COMPUTED_VALUE"""),15)</f>
        <v>15</v>
      </c>
    </row>
    <row r="139" spans="1:9" ht="12.75">
      <c r="A139">
        <f ca="1">IFERROR(__xludf.DUMMYFUNCTION("""COMPUTED_VALUE"""),138)</f>
        <v>138</v>
      </c>
      <c r="B139">
        <f ca="1">IFERROR(__xludf.DUMMYFUNCTION("""COMPUTED_VALUE"""),132)</f>
        <v>132</v>
      </c>
      <c r="C139" t="str">
        <f ca="1">IFERROR(__xludf.DUMMYFUNCTION("""COMPUTED_VALUE"""),"Chase Seiffert")</f>
        <v>Chase Seiffert</v>
      </c>
      <c r="D139">
        <f ca="1">IFERROR(__xludf.DUMMYFUNCTION("""COMPUTED_VALUE"""),14)</f>
        <v>14</v>
      </c>
      <c r="E139">
        <f ca="1">IFERROR(__xludf.DUMMYFUNCTION("""COMPUTED_VALUE"""),-0.005)</f>
        <v>-5.0000000000000001E-3</v>
      </c>
      <c r="F139">
        <f ca="1">IFERROR(__xludf.DUMMYFUNCTION("""COMPUTED_VALUE"""),0.141)</f>
        <v>0.14099999999999999</v>
      </c>
      <c r="G139">
        <f ca="1">IFERROR(__xludf.DUMMYFUNCTION("""COMPUTED_VALUE"""),0.267)</f>
        <v>0.26700000000000002</v>
      </c>
      <c r="H139">
        <f ca="1">IFERROR(__xludf.DUMMYFUNCTION("""COMPUTED_VALUE"""),-0.413)</f>
        <v>-0.41299999999999998</v>
      </c>
      <c r="I139">
        <f ca="1">IFERROR(__xludf.DUMMYFUNCTION("""COMPUTED_VALUE"""),8)</f>
        <v>8</v>
      </c>
    </row>
    <row r="140" spans="1:9" ht="12.75">
      <c r="A140">
        <f ca="1">IFERROR(__xludf.DUMMYFUNCTION("""COMPUTED_VALUE"""),139)</f>
        <v>139</v>
      </c>
      <c r="B140">
        <f ca="1">IFERROR(__xludf.DUMMYFUNCTION("""COMPUTED_VALUE"""),133)</f>
        <v>133</v>
      </c>
      <c r="C140" t="str">
        <f ca="1">IFERROR(__xludf.DUMMYFUNCTION("""COMPUTED_VALUE"""),"Daniel Berger")</f>
        <v>Daniel Berger</v>
      </c>
      <c r="D140">
        <f ca="1">IFERROR(__xludf.DUMMYFUNCTION("""COMPUTED_VALUE"""),12)</f>
        <v>12</v>
      </c>
      <c r="E140">
        <f ca="1">IFERROR(__xludf.DUMMYFUNCTION("""COMPUTED_VALUE"""),-0.006)</f>
        <v>-6.0000000000000001E-3</v>
      </c>
      <c r="F140">
        <f ca="1">IFERROR(__xludf.DUMMYFUNCTION("""COMPUTED_VALUE"""),-0.074)</f>
        <v>-7.3999999999999996E-2</v>
      </c>
      <c r="G140">
        <f ca="1">IFERROR(__xludf.DUMMYFUNCTION("""COMPUTED_VALUE"""),0.454)</f>
        <v>0.45400000000000001</v>
      </c>
      <c r="H140">
        <f ca="1">IFERROR(__xludf.DUMMYFUNCTION("""COMPUTED_VALUE"""),-0.386)</f>
        <v>-0.38600000000000001</v>
      </c>
      <c r="I140">
        <f ca="1">IFERROR(__xludf.DUMMYFUNCTION("""COMPUTED_VALUE"""),12)</f>
        <v>12</v>
      </c>
    </row>
    <row r="141" spans="1:9" ht="12.75">
      <c r="A141">
        <f ca="1">IFERROR(__xludf.DUMMYFUNCTION("""COMPUTED_VALUE"""),140)</f>
        <v>140</v>
      </c>
      <c r="B141">
        <f ca="1">IFERROR(__xludf.DUMMYFUNCTION("""COMPUTED_VALUE"""),135)</f>
        <v>135</v>
      </c>
      <c r="C141" t="str">
        <f ca="1">IFERROR(__xludf.DUMMYFUNCTION("""COMPUTED_VALUE"""),"Thomas Detry")</f>
        <v>Thomas Detry</v>
      </c>
      <c r="D141">
        <f ca="1">IFERROR(__xludf.DUMMYFUNCTION("""COMPUTED_VALUE"""),8)</f>
        <v>8</v>
      </c>
      <c r="E141">
        <f ca="1">IFERROR(__xludf.DUMMYFUNCTION("""COMPUTED_VALUE"""),-0.018)</f>
        <v>-1.7999999999999999E-2</v>
      </c>
      <c r="F141">
        <f ca="1">IFERROR(__xludf.DUMMYFUNCTION("""COMPUTED_VALUE"""),-0.353)</f>
        <v>-0.35299999999999998</v>
      </c>
      <c r="G141">
        <f ca="1">IFERROR(__xludf.DUMMYFUNCTION("""COMPUTED_VALUE"""),-0.131)</f>
        <v>-0.13100000000000001</v>
      </c>
      <c r="H141">
        <f ca="1">IFERROR(__xludf.DUMMYFUNCTION("""COMPUTED_VALUE"""),0.465)</f>
        <v>0.46500000000000002</v>
      </c>
      <c r="I141">
        <f ca="1">IFERROR(__xludf.DUMMYFUNCTION("""COMPUTED_VALUE"""),4)</f>
        <v>4</v>
      </c>
    </row>
    <row r="142" spans="1:9" ht="12.75">
      <c r="A142">
        <f ca="1">IFERROR(__xludf.DUMMYFUNCTION("""COMPUTED_VALUE"""),141)</f>
        <v>141</v>
      </c>
      <c r="B142">
        <f ca="1">IFERROR(__xludf.DUMMYFUNCTION("""COMPUTED_VALUE"""),136)</f>
        <v>136</v>
      </c>
      <c r="C142" t="str">
        <f ca="1">IFERROR(__xludf.DUMMYFUNCTION("""COMPUTED_VALUE"""),"Stephan Jaeger")</f>
        <v>Stephan Jaeger</v>
      </c>
      <c r="D142">
        <f ca="1">IFERROR(__xludf.DUMMYFUNCTION("""COMPUTED_VALUE"""),4)</f>
        <v>4</v>
      </c>
      <c r="E142">
        <f ca="1">IFERROR(__xludf.DUMMYFUNCTION("""COMPUTED_VALUE"""),-0.024)</f>
        <v>-2.4E-2</v>
      </c>
      <c r="F142">
        <f ca="1">IFERROR(__xludf.DUMMYFUNCTION("""COMPUTED_VALUE"""),-0.596)</f>
        <v>-0.59599999999999997</v>
      </c>
      <c r="G142">
        <f ca="1">IFERROR(__xludf.DUMMYFUNCTION("""COMPUTED_VALUE"""),-0.546)</f>
        <v>-0.54600000000000004</v>
      </c>
      <c r="H142">
        <f ca="1">IFERROR(__xludf.DUMMYFUNCTION("""COMPUTED_VALUE"""),1.117)</f>
        <v>1.117</v>
      </c>
      <c r="I142">
        <f ca="1">IFERROR(__xludf.DUMMYFUNCTION("""COMPUTED_VALUE"""),4)</f>
        <v>4</v>
      </c>
    </row>
    <row r="143" spans="1:9" ht="12.75">
      <c r="A143">
        <f ca="1">IFERROR(__xludf.DUMMYFUNCTION("""COMPUTED_VALUE"""),142)</f>
        <v>142</v>
      </c>
      <c r="B143">
        <f ca="1">IFERROR(__xludf.DUMMYFUNCTION("""COMPUTED_VALUE"""),137)</f>
        <v>137</v>
      </c>
      <c r="C143" t="str">
        <f ca="1">IFERROR(__xludf.DUMMYFUNCTION("""COMPUTED_VALUE"""),"Sahith Theegala")</f>
        <v>Sahith Theegala</v>
      </c>
      <c r="D143">
        <f ca="1">IFERROR(__xludf.DUMMYFUNCTION("""COMPUTED_VALUE"""),6)</f>
        <v>6</v>
      </c>
      <c r="E143">
        <f ca="1">IFERROR(__xludf.DUMMYFUNCTION("""COMPUTED_VALUE"""),-0.031)</f>
        <v>-3.1E-2</v>
      </c>
      <c r="F143">
        <f ca="1">IFERROR(__xludf.DUMMYFUNCTION("""COMPUTED_VALUE"""),-0.069)</f>
        <v>-6.9000000000000006E-2</v>
      </c>
      <c r="G143">
        <f ca="1">IFERROR(__xludf.DUMMYFUNCTION("""COMPUTED_VALUE"""),0.213)</f>
        <v>0.21299999999999999</v>
      </c>
      <c r="H143">
        <f ca="1">IFERROR(__xludf.DUMMYFUNCTION("""COMPUTED_VALUE"""),-0.176)</f>
        <v>-0.17599999999999999</v>
      </c>
      <c r="I143">
        <f ca="1">IFERROR(__xludf.DUMMYFUNCTION("""COMPUTED_VALUE"""),6)</f>
        <v>6</v>
      </c>
    </row>
    <row r="144" spans="1:9" ht="12.75">
      <c r="A144">
        <f ca="1">IFERROR(__xludf.DUMMYFUNCTION("""COMPUTED_VALUE"""),143)</f>
        <v>143</v>
      </c>
      <c r="B144">
        <f ca="1">IFERROR(__xludf.DUMMYFUNCTION("""COMPUTED_VALUE"""),139)</f>
        <v>139</v>
      </c>
      <c r="C144" t="str">
        <f ca="1">IFERROR(__xludf.DUMMYFUNCTION("""COMPUTED_VALUE"""),"Kyle Stanley")</f>
        <v>Kyle Stanley</v>
      </c>
      <c r="D144">
        <f ca="1">IFERROR(__xludf.DUMMYFUNCTION("""COMPUTED_VALUE"""),16)</f>
        <v>16</v>
      </c>
      <c r="E144">
        <f ca="1">IFERROR(__xludf.DUMMYFUNCTION("""COMPUTED_VALUE"""),-0.037)</f>
        <v>-3.6999999999999998E-2</v>
      </c>
      <c r="F144">
        <f ca="1">IFERROR(__xludf.DUMMYFUNCTION("""COMPUTED_VALUE"""),0.013)</f>
        <v>1.2999999999999999E-2</v>
      </c>
      <c r="G144">
        <f ca="1">IFERROR(__xludf.DUMMYFUNCTION("""COMPUTED_VALUE"""),-0.166)</f>
        <v>-0.16600000000000001</v>
      </c>
      <c r="H144">
        <f ca="1">IFERROR(__xludf.DUMMYFUNCTION("""COMPUTED_VALUE"""),0.116)</f>
        <v>0.11600000000000001</v>
      </c>
      <c r="I144">
        <f ca="1">IFERROR(__xludf.DUMMYFUNCTION("""COMPUTED_VALUE"""),8)</f>
        <v>8</v>
      </c>
    </row>
    <row r="145" spans="1:9" ht="12.75">
      <c r="A145">
        <f ca="1">IFERROR(__xludf.DUMMYFUNCTION("""COMPUTED_VALUE"""),144)</f>
        <v>144</v>
      </c>
      <c r="B145">
        <f ca="1">IFERROR(__xludf.DUMMYFUNCTION("""COMPUTED_VALUE"""),140)</f>
        <v>140</v>
      </c>
      <c r="C145" t="str">
        <f ca="1">IFERROR(__xludf.DUMMYFUNCTION("""COMPUTED_VALUE"""),"Takumi Kanaya")</f>
        <v>Takumi Kanaya</v>
      </c>
      <c r="D145">
        <f ca="1">IFERROR(__xludf.DUMMYFUNCTION("""COMPUTED_VALUE"""),6)</f>
        <v>6</v>
      </c>
      <c r="E145">
        <f ca="1">IFERROR(__xludf.DUMMYFUNCTION("""COMPUTED_VALUE"""),-0.038)</f>
        <v>-3.7999999999999999E-2</v>
      </c>
      <c r="F145">
        <f ca="1">IFERROR(__xludf.DUMMYFUNCTION("""COMPUTED_VALUE"""),-0.351)</f>
        <v>-0.35099999999999998</v>
      </c>
      <c r="G145">
        <f ca="1">IFERROR(__xludf.DUMMYFUNCTION("""COMPUTED_VALUE"""),0.358)</f>
        <v>0.35799999999999998</v>
      </c>
      <c r="H145">
        <f ca="1">IFERROR(__xludf.DUMMYFUNCTION("""COMPUTED_VALUE"""),-0.044)</f>
        <v>-4.3999999999999997E-2</v>
      </c>
      <c r="I145">
        <f ca="1">IFERROR(__xludf.DUMMYFUNCTION("""COMPUTED_VALUE"""),6)</f>
        <v>6</v>
      </c>
    </row>
    <row r="146" spans="1:9" ht="12.75">
      <c r="A146">
        <f ca="1">IFERROR(__xludf.DUMMYFUNCTION("""COMPUTED_VALUE"""),145)</f>
        <v>145</v>
      </c>
      <c r="B146">
        <f ca="1">IFERROR(__xludf.DUMMYFUNCTION("""COMPUTED_VALUE"""),141)</f>
        <v>141</v>
      </c>
      <c r="C146" t="str">
        <f ca="1">IFERROR(__xludf.DUMMYFUNCTION("""COMPUTED_VALUE"""),"Brendan Steele")</f>
        <v>Brendan Steele</v>
      </c>
      <c r="D146">
        <f ca="1">IFERROR(__xludf.DUMMYFUNCTION("""COMPUTED_VALUE"""),14)</f>
        <v>14</v>
      </c>
      <c r="E146">
        <f ca="1">IFERROR(__xludf.DUMMYFUNCTION("""COMPUTED_VALUE"""),-0.04)</f>
        <v>-0.04</v>
      </c>
      <c r="F146">
        <f ca="1">IFERROR(__xludf.DUMMYFUNCTION("""COMPUTED_VALUE"""),-0.172)</f>
        <v>-0.17199999999999999</v>
      </c>
      <c r="G146">
        <f ca="1">IFERROR(__xludf.DUMMYFUNCTION("""COMPUTED_VALUE"""),-0.02)</f>
        <v>-0.02</v>
      </c>
      <c r="H146">
        <f ca="1">IFERROR(__xludf.DUMMYFUNCTION("""COMPUTED_VALUE"""),0.152)</f>
        <v>0.152</v>
      </c>
      <c r="I146">
        <f ca="1">IFERROR(__xludf.DUMMYFUNCTION("""COMPUTED_VALUE"""),14)</f>
        <v>14</v>
      </c>
    </row>
    <row r="147" spans="1:9" ht="12.75">
      <c r="A147">
        <f ca="1">IFERROR(__xludf.DUMMYFUNCTION("""COMPUTED_VALUE"""),146)</f>
        <v>146</v>
      </c>
      <c r="B147">
        <f ca="1">IFERROR(__xludf.DUMMYFUNCTION("""COMPUTED_VALUE"""),142)</f>
        <v>142</v>
      </c>
      <c r="C147" t="str">
        <f ca="1">IFERROR(__xludf.DUMMYFUNCTION("""COMPUTED_VALUE"""),"Ben Taylor")</f>
        <v>Ben Taylor</v>
      </c>
      <c r="D147">
        <f ca="1">IFERROR(__xludf.DUMMYFUNCTION("""COMPUTED_VALUE"""),10)</f>
        <v>10</v>
      </c>
      <c r="E147">
        <f ca="1">IFERROR(__xludf.DUMMYFUNCTION("""COMPUTED_VALUE"""),-0.054)</f>
        <v>-5.3999999999999999E-2</v>
      </c>
      <c r="F147">
        <f ca="1">IFERROR(__xludf.DUMMYFUNCTION("""COMPUTED_VALUE"""),-0.03)</f>
        <v>-0.03</v>
      </c>
      <c r="G147">
        <f ca="1">IFERROR(__xludf.DUMMYFUNCTION("""COMPUTED_VALUE"""),0.164)</f>
        <v>0.16400000000000001</v>
      </c>
      <c r="H147">
        <f ca="1">IFERROR(__xludf.DUMMYFUNCTION("""COMPUTED_VALUE"""),-0.188)</f>
        <v>-0.188</v>
      </c>
      <c r="I147">
        <f ca="1">IFERROR(__xludf.DUMMYFUNCTION("""COMPUTED_VALUE"""),4)</f>
        <v>4</v>
      </c>
    </row>
    <row r="148" spans="1:9" ht="12.75">
      <c r="A148">
        <f ca="1">IFERROR(__xludf.DUMMYFUNCTION("""COMPUTED_VALUE"""),147)</f>
        <v>147</v>
      </c>
      <c r="B148">
        <f ca="1">IFERROR(__xludf.DUMMYFUNCTION("""COMPUTED_VALUE"""),131)</f>
        <v>131</v>
      </c>
      <c r="C148" t="str">
        <f ca="1">IFERROR(__xludf.DUMMYFUNCTION("""COMPUTED_VALUE"""),"C.T. Pan")</f>
        <v>C.T. Pan</v>
      </c>
      <c r="D148">
        <f ca="1">IFERROR(__xludf.DUMMYFUNCTION("""COMPUTED_VALUE"""),20)</f>
        <v>20</v>
      </c>
      <c r="E148">
        <f ca="1">IFERROR(__xludf.DUMMYFUNCTION("""COMPUTED_VALUE"""),-0.089)</f>
        <v>-8.8999999999999996E-2</v>
      </c>
      <c r="F148">
        <f ca="1">IFERROR(__xludf.DUMMYFUNCTION("""COMPUTED_VALUE"""),-0.485)</f>
        <v>-0.48499999999999999</v>
      </c>
      <c r="G148">
        <f ca="1">IFERROR(__xludf.DUMMYFUNCTION("""COMPUTED_VALUE"""),0.212)</f>
        <v>0.21199999999999999</v>
      </c>
      <c r="H148">
        <f ca="1">IFERROR(__xludf.DUMMYFUNCTION("""COMPUTED_VALUE"""),0.184)</f>
        <v>0.184</v>
      </c>
      <c r="I148">
        <f ca="1">IFERROR(__xludf.DUMMYFUNCTION("""COMPUTED_VALUE"""),16)</f>
        <v>16</v>
      </c>
    </row>
    <row r="149" spans="1:9" ht="12.75">
      <c r="A149" t="str">
        <f ca="1">IFERROR(__xludf.DUMMYFUNCTION("""COMPUTED_VALUE"""),"T148")</f>
        <v>T148</v>
      </c>
      <c r="B149">
        <f ca="1">IFERROR(__xludf.DUMMYFUNCTION("""COMPUTED_VALUE"""),158)</f>
        <v>158</v>
      </c>
      <c r="C149" t="str">
        <f ca="1">IFERROR(__xludf.DUMMYFUNCTION("""COMPUTED_VALUE"""),"Troy Merritt")</f>
        <v>Troy Merritt</v>
      </c>
      <c r="D149">
        <f ca="1">IFERROR(__xludf.DUMMYFUNCTION("""COMPUTED_VALUE"""),20)</f>
        <v>20</v>
      </c>
      <c r="E149">
        <f ca="1">IFERROR(__xludf.DUMMYFUNCTION("""COMPUTED_VALUE"""),-0.091)</f>
        <v>-9.0999999999999998E-2</v>
      </c>
      <c r="F149">
        <f ca="1">IFERROR(__xludf.DUMMYFUNCTION("""COMPUTED_VALUE"""),-0.33)</f>
        <v>-0.33</v>
      </c>
      <c r="G149">
        <f ca="1">IFERROR(__xludf.DUMMYFUNCTION("""COMPUTED_VALUE"""),0.373)</f>
        <v>0.373</v>
      </c>
      <c r="H149">
        <f ca="1">IFERROR(__xludf.DUMMYFUNCTION("""COMPUTED_VALUE"""),-0.135)</f>
        <v>-0.13500000000000001</v>
      </c>
      <c r="I149">
        <f ca="1">IFERROR(__xludf.DUMMYFUNCTION("""COMPUTED_VALUE"""),16)</f>
        <v>16</v>
      </c>
    </row>
    <row r="150" spans="1:9" ht="12.75">
      <c r="A150" t="str">
        <f ca="1">IFERROR(__xludf.DUMMYFUNCTION("""COMPUTED_VALUE"""),"T148")</f>
        <v>T148</v>
      </c>
      <c r="B150">
        <f ca="1">IFERROR(__xludf.DUMMYFUNCTION("""COMPUTED_VALUE"""),156)</f>
        <v>156</v>
      </c>
      <c r="C150" t="str">
        <f ca="1">IFERROR(__xludf.DUMMYFUNCTION("""COMPUTED_VALUE"""),"Bo Hoag")</f>
        <v>Bo Hoag</v>
      </c>
      <c r="D150">
        <f ca="1">IFERROR(__xludf.DUMMYFUNCTION("""COMPUTED_VALUE"""),14)</f>
        <v>14</v>
      </c>
      <c r="E150">
        <f ca="1">IFERROR(__xludf.DUMMYFUNCTION("""COMPUTED_VALUE"""),-0.091)</f>
        <v>-9.0999999999999998E-2</v>
      </c>
      <c r="F150">
        <f ca="1">IFERROR(__xludf.DUMMYFUNCTION("""COMPUTED_VALUE"""),0.144)</f>
        <v>0.14399999999999999</v>
      </c>
      <c r="G150">
        <f ca="1">IFERROR(__xludf.DUMMYFUNCTION("""COMPUTED_VALUE"""),-0.756)</f>
        <v>-0.75600000000000001</v>
      </c>
      <c r="H150">
        <f ca="1">IFERROR(__xludf.DUMMYFUNCTION("""COMPUTED_VALUE"""),0.521)</f>
        <v>0.52100000000000002</v>
      </c>
      <c r="I150">
        <f ca="1">IFERROR(__xludf.DUMMYFUNCTION("""COMPUTED_VALUE"""),10)</f>
        <v>10</v>
      </c>
    </row>
    <row r="151" spans="1:9" ht="12.75">
      <c r="A151">
        <f ca="1">IFERROR(__xludf.DUMMYFUNCTION("""COMPUTED_VALUE"""),150)</f>
        <v>150</v>
      </c>
      <c r="B151">
        <f ca="1">IFERROR(__xludf.DUMMYFUNCTION("""COMPUTED_VALUE"""),144)</f>
        <v>144</v>
      </c>
      <c r="C151" t="str">
        <f ca="1">IFERROR(__xludf.DUMMYFUNCTION("""COMPUTED_VALUE"""),"Nick Watney")</f>
        <v>Nick Watney</v>
      </c>
      <c r="D151">
        <f ca="1">IFERROR(__xludf.DUMMYFUNCTION("""COMPUTED_VALUE"""),10)</f>
        <v>10</v>
      </c>
      <c r="E151">
        <f ca="1">IFERROR(__xludf.DUMMYFUNCTION("""COMPUTED_VALUE"""),-0.092)</f>
        <v>-9.1999999999999998E-2</v>
      </c>
      <c r="F151">
        <f ca="1">IFERROR(__xludf.DUMMYFUNCTION("""COMPUTED_VALUE"""),-0.395)</f>
        <v>-0.39500000000000002</v>
      </c>
      <c r="G151">
        <f ca="1">IFERROR(__xludf.DUMMYFUNCTION("""COMPUTED_VALUE"""),0.183)</f>
        <v>0.183</v>
      </c>
      <c r="H151">
        <f ca="1">IFERROR(__xludf.DUMMYFUNCTION("""COMPUTED_VALUE"""),0.121)</f>
        <v>0.121</v>
      </c>
      <c r="I151">
        <f ca="1">IFERROR(__xludf.DUMMYFUNCTION("""COMPUTED_VALUE"""),8)</f>
        <v>8</v>
      </c>
    </row>
    <row r="152" spans="1:9" ht="12.75">
      <c r="A152">
        <f ca="1">IFERROR(__xludf.DUMMYFUNCTION("""COMPUTED_VALUE"""),151)</f>
        <v>151</v>
      </c>
      <c r="B152">
        <f ca="1">IFERROR(__xludf.DUMMYFUNCTION("""COMPUTED_VALUE"""),145)</f>
        <v>145</v>
      </c>
      <c r="C152" t="str">
        <f ca="1">IFERROR(__xludf.DUMMYFUNCTION("""COMPUTED_VALUE"""),"Brandon Hagy")</f>
        <v>Brandon Hagy</v>
      </c>
      <c r="D152">
        <f ca="1">IFERROR(__xludf.DUMMYFUNCTION("""COMPUTED_VALUE"""),10)</f>
        <v>10</v>
      </c>
      <c r="E152">
        <f ca="1">IFERROR(__xludf.DUMMYFUNCTION("""COMPUTED_VALUE"""),-0.102)</f>
        <v>-0.10199999999999999</v>
      </c>
      <c r="F152">
        <f ca="1">IFERROR(__xludf.DUMMYFUNCTION("""COMPUTED_VALUE"""),0.216)</f>
        <v>0.216</v>
      </c>
      <c r="G152">
        <f ca="1">IFERROR(__xludf.DUMMYFUNCTION("""COMPUTED_VALUE"""),-0.775)</f>
        <v>-0.77500000000000002</v>
      </c>
      <c r="H152">
        <f ca="1">IFERROR(__xludf.DUMMYFUNCTION("""COMPUTED_VALUE"""),0.457)</f>
        <v>0.45700000000000002</v>
      </c>
      <c r="I152">
        <f ca="1">IFERROR(__xludf.DUMMYFUNCTION("""COMPUTED_VALUE"""),6)</f>
        <v>6</v>
      </c>
    </row>
    <row r="153" spans="1:9" ht="12.75">
      <c r="A153">
        <f ca="1">IFERROR(__xludf.DUMMYFUNCTION("""COMPUTED_VALUE"""),152)</f>
        <v>152</v>
      </c>
      <c r="B153">
        <f ca="1">IFERROR(__xludf.DUMMYFUNCTION("""COMPUTED_VALUE"""),146)</f>
        <v>146</v>
      </c>
      <c r="C153" t="str">
        <f ca="1">IFERROR(__xludf.DUMMYFUNCTION("""COMPUTED_VALUE"""),"Isaiah Salinda")</f>
        <v>Isaiah Salinda</v>
      </c>
      <c r="D153">
        <f ca="1">IFERROR(__xludf.DUMMYFUNCTION("""COMPUTED_VALUE"""),8)</f>
        <v>8</v>
      </c>
      <c r="E153">
        <f ca="1">IFERROR(__xludf.DUMMYFUNCTION("""COMPUTED_VALUE"""),-0.118)</f>
        <v>-0.11799999999999999</v>
      </c>
      <c r="F153">
        <f ca="1">IFERROR(__xludf.DUMMYFUNCTION("""COMPUTED_VALUE"""),0.155)</f>
        <v>0.155</v>
      </c>
      <c r="G153">
        <f ca="1">IFERROR(__xludf.DUMMYFUNCTION("""COMPUTED_VALUE"""),-0.095)</f>
        <v>-9.5000000000000001E-2</v>
      </c>
      <c r="H153">
        <f ca="1">IFERROR(__xludf.DUMMYFUNCTION("""COMPUTED_VALUE"""),-0.177)</f>
        <v>-0.17699999999999999</v>
      </c>
      <c r="I153">
        <f ca="1">IFERROR(__xludf.DUMMYFUNCTION("""COMPUTED_VALUE"""),8)</f>
        <v>8</v>
      </c>
    </row>
    <row r="154" spans="1:9" ht="12.75">
      <c r="A154">
        <f ca="1">IFERROR(__xludf.DUMMYFUNCTION("""COMPUTED_VALUE"""),153)</f>
        <v>153</v>
      </c>
      <c r="B154">
        <f ca="1">IFERROR(__xludf.DUMMYFUNCTION("""COMPUTED_VALUE"""),167)</f>
        <v>167</v>
      </c>
      <c r="C154" t="str">
        <f ca="1">IFERROR(__xludf.DUMMYFUNCTION("""COMPUTED_VALUE"""),"J.T. Poston")</f>
        <v>J.T. Poston</v>
      </c>
      <c r="D154">
        <f ca="1">IFERROR(__xludf.DUMMYFUNCTION("""COMPUTED_VALUE"""),18)</f>
        <v>18</v>
      </c>
      <c r="E154">
        <f ca="1">IFERROR(__xludf.DUMMYFUNCTION("""COMPUTED_VALUE"""),-0.131)</f>
        <v>-0.13100000000000001</v>
      </c>
      <c r="F154">
        <f ca="1">IFERROR(__xludf.DUMMYFUNCTION("""COMPUTED_VALUE"""),-0.518)</f>
        <v>-0.51800000000000002</v>
      </c>
      <c r="G154">
        <f ca="1">IFERROR(__xludf.DUMMYFUNCTION("""COMPUTED_VALUE"""),0.486)</f>
        <v>0.48599999999999999</v>
      </c>
      <c r="H154">
        <f ca="1">IFERROR(__xludf.DUMMYFUNCTION("""COMPUTED_VALUE"""),-0.098)</f>
        <v>-9.8000000000000004E-2</v>
      </c>
      <c r="I154">
        <f ca="1">IFERROR(__xludf.DUMMYFUNCTION("""COMPUTED_VALUE"""),18)</f>
        <v>18</v>
      </c>
    </row>
    <row r="155" spans="1:9" ht="12.75">
      <c r="A155">
        <f ca="1">IFERROR(__xludf.DUMMYFUNCTION("""COMPUTED_VALUE"""),154)</f>
        <v>154</v>
      </c>
      <c r="B155">
        <f ca="1">IFERROR(__xludf.DUMMYFUNCTION("""COMPUTED_VALUE"""),147)</f>
        <v>147</v>
      </c>
      <c r="C155" t="str">
        <f ca="1">IFERROR(__xludf.DUMMYFUNCTION("""COMPUTED_VALUE"""),"Ian Poulter")</f>
        <v>Ian Poulter</v>
      </c>
      <c r="D155">
        <f ca="1">IFERROR(__xludf.DUMMYFUNCTION("""COMPUTED_VALUE"""),6)</f>
        <v>6</v>
      </c>
      <c r="E155">
        <f ca="1">IFERROR(__xludf.DUMMYFUNCTION("""COMPUTED_VALUE"""),-0.16)</f>
        <v>-0.16</v>
      </c>
      <c r="F155">
        <f ca="1">IFERROR(__xludf.DUMMYFUNCTION("""COMPUTED_VALUE"""),-0.132)</f>
        <v>-0.13200000000000001</v>
      </c>
      <c r="G155">
        <f ca="1">IFERROR(__xludf.DUMMYFUNCTION("""COMPUTED_VALUE"""),-0.807)</f>
        <v>-0.80700000000000005</v>
      </c>
      <c r="H155">
        <f ca="1">IFERROR(__xludf.DUMMYFUNCTION("""COMPUTED_VALUE"""),0.779)</f>
        <v>0.77900000000000003</v>
      </c>
      <c r="I155">
        <f ca="1">IFERROR(__xludf.DUMMYFUNCTION("""COMPUTED_VALUE"""),6)</f>
        <v>6</v>
      </c>
    </row>
    <row r="156" spans="1:9" ht="12.75">
      <c r="A156">
        <f ca="1">IFERROR(__xludf.DUMMYFUNCTION("""COMPUTED_VALUE"""),155)</f>
        <v>155</v>
      </c>
      <c r="B156">
        <f ca="1">IFERROR(__xludf.DUMMYFUNCTION("""COMPUTED_VALUE"""),148)</f>
        <v>148</v>
      </c>
      <c r="C156" t="str">
        <f ca="1">IFERROR(__xludf.DUMMYFUNCTION("""COMPUTED_VALUE"""),"Ryan Blaum")</f>
        <v>Ryan Blaum</v>
      </c>
      <c r="D156">
        <f ca="1">IFERROR(__xludf.DUMMYFUNCTION("""COMPUTED_VALUE"""),8)</f>
        <v>8</v>
      </c>
      <c r="E156">
        <f ca="1">IFERROR(__xludf.DUMMYFUNCTION("""COMPUTED_VALUE"""),-0.164)</f>
        <v>-0.16400000000000001</v>
      </c>
      <c r="F156">
        <f ca="1">IFERROR(__xludf.DUMMYFUNCTION("""COMPUTED_VALUE"""),-0.499)</f>
        <v>-0.499</v>
      </c>
      <c r="G156">
        <f ca="1">IFERROR(__xludf.DUMMYFUNCTION("""COMPUTED_VALUE"""),1.025)</f>
        <v>1.0249999999999999</v>
      </c>
      <c r="H156">
        <f ca="1">IFERROR(__xludf.DUMMYFUNCTION("""COMPUTED_VALUE"""),-0.689)</f>
        <v>-0.68899999999999995</v>
      </c>
      <c r="I156">
        <f ca="1">IFERROR(__xludf.DUMMYFUNCTION("""COMPUTED_VALUE"""),4)</f>
        <v>4</v>
      </c>
    </row>
    <row r="157" spans="1:9" ht="12.75">
      <c r="A157">
        <f ca="1">IFERROR(__xludf.DUMMYFUNCTION("""COMPUTED_VALUE"""),156)</f>
        <v>156</v>
      </c>
      <c r="B157">
        <f ca="1">IFERROR(__xludf.DUMMYFUNCTION("""COMPUTED_VALUE"""),149)</f>
        <v>149</v>
      </c>
      <c r="C157" t="str">
        <f ca="1">IFERROR(__xludf.DUMMYFUNCTION("""COMPUTED_VALUE"""),"Adam Hadwin")</f>
        <v>Adam Hadwin</v>
      </c>
      <c r="D157">
        <f ca="1">IFERROR(__xludf.DUMMYFUNCTION("""COMPUTED_VALUE"""),16)</f>
        <v>16</v>
      </c>
      <c r="E157">
        <f ca="1">IFERROR(__xludf.DUMMYFUNCTION("""COMPUTED_VALUE"""),-0.165)</f>
        <v>-0.16500000000000001</v>
      </c>
      <c r="F157">
        <f ca="1">IFERROR(__xludf.DUMMYFUNCTION("""COMPUTED_VALUE"""),-0.011)</f>
        <v>-1.0999999999999999E-2</v>
      </c>
      <c r="G157">
        <f ca="1">IFERROR(__xludf.DUMMYFUNCTION("""COMPUTED_VALUE"""),-0.643)</f>
        <v>-0.64300000000000002</v>
      </c>
      <c r="H157">
        <f ca="1">IFERROR(__xludf.DUMMYFUNCTION("""COMPUTED_VALUE"""),0.489)</f>
        <v>0.48899999999999999</v>
      </c>
      <c r="I157">
        <f ca="1">IFERROR(__xludf.DUMMYFUNCTION("""COMPUTED_VALUE"""),16)</f>
        <v>16</v>
      </c>
    </row>
    <row r="158" spans="1:9" ht="12.75">
      <c r="A158">
        <f ca="1">IFERROR(__xludf.DUMMYFUNCTION("""COMPUTED_VALUE"""),157)</f>
        <v>157</v>
      </c>
      <c r="B158">
        <f ca="1">IFERROR(__xludf.DUMMYFUNCTION("""COMPUTED_VALUE"""),150)</f>
        <v>150</v>
      </c>
      <c r="C158" t="str">
        <f ca="1">IFERROR(__xludf.DUMMYFUNCTION("""COMPUTED_VALUE"""),"Cameron Percy")</f>
        <v>Cameron Percy</v>
      </c>
      <c r="D158">
        <f ca="1">IFERROR(__xludf.DUMMYFUNCTION("""COMPUTED_VALUE"""),16)</f>
        <v>16</v>
      </c>
      <c r="E158">
        <f ca="1">IFERROR(__xludf.DUMMYFUNCTION("""COMPUTED_VALUE"""),-0.167)</f>
        <v>-0.16700000000000001</v>
      </c>
      <c r="F158">
        <f ca="1">IFERROR(__xludf.DUMMYFUNCTION("""COMPUTED_VALUE"""),-0.413)</f>
        <v>-0.41299999999999998</v>
      </c>
      <c r="G158">
        <f ca="1">IFERROR(__xludf.DUMMYFUNCTION("""COMPUTED_VALUE"""),0.677)</f>
        <v>0.67700000000000005</v>
      </c>
      <c r="H158">
        <f ca="1">IFERROR(__xludf.DUMMYFUNCTION("""COMPUTED_VALUE"""),-0.431)</f>
        <v>-0.43099999999999999</v>
      </c>
      <c r="I158">
        <f ca="1">IFERROR(__xludf.DUMMYFUNCTION("""COMPUTED_VALUE"""),8)</f>
        <v>8</v>
      </c>
    </row>
    <row r="159" spans="1:9" ht="12.75">
      <c r="A159">
        <f ca="1">IFERROR(__xludf.DUMMYFUNCTION("""COMPUTED_VALUE"""),158)</f>
        <v>158</v>
      </c>
      <c r="B159">
        <f ca="1">IFERROR(__xludf.DUMMYFUNCTION("""COMPUTED_VALUE"""),151)</f>
        <v>151</v>
      </c>
      <c r="C159" t="str">
        <f ca="1">IFERROR(__xludf.DUMMYFUNCTION("""COMPUTED_VALUE"""),"Matt Kuchar")</f>
        <v>Matt Kuchar</v>
      </c>
      <c r="D159">
        <f ca="1">IFERROR(__xludf.DUMMYFUNCTION("""COMPUTED_VALUE"""),14)</f>
        <v>14</v>
      </c>
      <c r="E159">
        <f ca="1">IFERROR(__xludf.DUMMYFUNCTION("""COMPUTED_VALUE"""),-0.176)</f>
        <v>-0.17599999999999999</v>
      </c>
      <c r="F159">
        <f ca="1">IFERROR(__xludf.DUMMYFUNCTION("""COMPUTED_VALUE"""),-0.396)</f>
        <v>-0.39600000000000002</v>
      </c>
      <c r="G159">
        <f ca="1">IFERROR(__xludf.DUMMYFUNCTION("""COMPUTED_VALUE"""),0.265)</f>
        <v>0.26500000000000001</v>
      </c>
      <c r="H159">
        <f ca="1">IFERROR(__xludf.DUMMYFUNCTION("""COMPUTED_VALUE"""),-0.044)</f>
        <v>-4.3999999999999997E-2</v>
      </c>
      <c r="I159">
        <f ca="1">IFERROR(__xludf.DUMMYFUNCTION("""COMPUTED_VALUE"""),14)</f>
        <v>14</v>
      </c>
    </row>
    <row r="160" spans="1:9" ht="12.75">
      <c r="A160">
        <f ca="1">IFERROR(__xludf.DUMMYFUNCTION("""COMPUTED_VALUE"""),159)</f>
        <v>159</v>
      </c>
      <c r="B160">
        <f ca="1">IFERROR(__xludf.DUMMYFUNCTION("""COMPUTED_VALUE"""),152)</f>
        <v>152</v>
      </c>
      <c r="C160" t="str">
        <f ca="1">IFERROR(__xludf.DUMMYFUNCTION("""COMPUTED_VALUE"""),"Bill Haas")</f>
        <v>Bill Haas</v>
      </c>
      <c r="D160">
        <f ca="1">IFERROR(__xludf.DUMMYFUNCTION("""COMPUTED_VALUE"""),10)</f>
        <v>10</v>
      </c>
      <c r="E160">
        <f ca="1">IFERROR(__xludf.DUMMYFUNCTION("""COMPUTED_VALUE"""),-0.183)</f>
        <v>-0.183</v>
      </c>
      <c r="F160">
        <f ca="1">IFERROR(__xludf.DUMMYFUNCTION("""COMPUTED_VALUE"""),0.156)</f>
        <v>0.156</v>
      </c>
      <c r="G160">
        <f ca="1">IFERROR(__xludf.DUMMYFUNCTION("""COMPUTED_VALUE"""),-0.668)</f>
        <v>-0.66800000000000004</v>
      </c>
      <c r="H160">
        <f ca="1">IFERROR(__xludf.DUMMYFUNCTION("""COMPUTED_VALUE"""),0.33)</f>
        <v>0.33</v>
      </c>
      <c r="I160">
        <f ca="1">IFERROR(__xludf.DUMMYFUNCTION("""COMPUTED_VALUE"""),6)</f>
        <v>6</v>
      </c>
    </row>
    <row r="161" spans="1:9" ht="12.75">
      <c r="A161">
        <f ca="1">IFERROR(__xludf.DUMMYFUNCTION("""COMPUTED_VALUE"""),160)</f>
        <v>160</v>
      </c>
      <c r="B161">
        <f ca="1">IFERROR(__xludf.DUMMYFUNCTION("""COMPUTED_VALUE"""),165)</f>
        <v>165</v>
      </c>
      <c r="C161" t="str">
        <f ca="1">IFERROR(__xludf.DUMMYFUNCTION("""COMPUTED_VALUE"""),"Will Gordon")</f>
        <v>Will Gordon</v>
      </c>
      <c r="D161">
        <f ca="1">IFERROR(__xludf.DUMMYFUNCTION("""COMPUTED_VALUE"""),20)</f>
        <v>20</v>
      </c>
      <c r="E161">
        <f ca="1">IFERROR(__xludf.DUMMYFUNCTION("""COMPUTED_VALUE"""),-0.188)</f>
        <v>-0.188</v>
      </c>
      <c r="F161">
        <f ca="1">IFERROR(__xludf.DUMMYFUNCTION("""COMPUTED_VALUE"""),0.292)</f>
        <v>0.29199999999999998</v>
      </c>
      <c r="G161">
        <f ca="1">IFERROR(__xludf.DUMMYFUNCTION("""COMPUTED_VALUE"""),0.159)</f>
        <v>0.159</v>
      </c>
      <c r="H161">
        <f ca="1">IFERROR(__xludf.DUMMYFUNCTION("""COMPUTED_VALUE"""),-0.639)</f>
        <v>-0.63900000000000001</v>
      </c>
      <c r="I161">
        <f ca="1">IFERROR(__xludf.DUMMYFUNCTION("""COMPUTED_VALUE"""),14)</f>
        <v>14</v>
      </c>
    </row>
    <row r="162" spans="1:9" ht="12.75">
      <c r="A162">
        <f ca="1">IFERROR(__xludf.DUMMYFUNCTION("""COMPUTED_VALUE"""),161)</f>
        <v>161</v>
      </c>
      <c r="B162">
        <f ca="1">IFERROR(__xludf.DUMMYFUNCTION("""COMPUTED_VALUE"""),153)</f>
        <v>153</v>
      </c>
      <c r="C162" t="str">
        <f ca="1">IFERROR(__xludf.DUMMYFUNCTION("""COMPUTED_VALUE"""),"Lucas Herbert")</f>
        <v>Lucas Herbert</v>
      </c>
      <c r="D162">
        <f ca="1">IFERROR(__xludf.DUMMYFUNCTION("""COMPUTED_VALUE"""),4)</f>
        <v>4</v>
      </c>
      <c r="E162">
        <f ca="1">IFERROR(__xludf.DUMMYFUNCTION("""COMPUTED_VALUE"""),-0.193)</f>
        <v>-0.193</v>
      </c>
      <c r="F162">
        <f ca="1">IFERROR(__xludf.DUMMYFUNCTION("""COMPUTED_VALUE"""),-0.247)</f>
        <v>-0.247</v>
      </c>
      <c r="G162">
        <f ca="1">IFERROR(__xludf.DUMMYFUNCTION("""COMPUTED_VALUE"""),-0.213)</f>
        <v>-0.21299999999999999</v>
      </c>
      <c r="H162">
        <f ca="1">IFERROR(__xludf.DUMMYFUNCTION("""COMPUTED_VALUE"""),0.267)</f>
        <v>0.26700000000000002</v>
      </c>
      <c r="I162">
        <f ca="1">IFERROR(__xludf.DUMMYFUNCTION("""COMPUTED_VALUE"""),4)</f>
        <v>4</v>
      </c>
    </row>
    <row r="163" spans="1:9" ht="12.75">
      <c r="A163">
        <f ca="1">IFERROR(__xludf.DUMMYFUNCTION("""COMPUTED_VALUE"""),162)</f>
        <v>162</v>
      </c>
      <c r="B163" t="str">
        <f ca="1">IFERROR(__xludf.DUMMYFUNCTION("""COMPUTED_VALUE"""),"T163")</f>
        <v>T163</v>
      </c>
      <c r="C163" t="str">
        <f ca="1">IFERROR(__xludf.DUMMYFUNCTION("""COMPUTED_VALUE"""),"Sean O'Hair")</f>
        <v>Sean O'Hair</v>
      </c>
      <c r="D163">
        <f ca="1">IFERROR(__xludf.DUMMYFUNCTION("""COMPUTED_VALUE"""),14)</f>
        <v>14</v>
      </c>
      <c r="E163">
        <f ca="1">IFERROR(__xludf.DUMMYFUNCTION("""COMPUTED_VALUE"""),-0.217)</f>
        <v>-0.217</v>
      </c>
      <c r="F163">
        <f ca="1">IFERROR(__xludf.DUMMYFUNCTION("""COMPUTED_VALUE"""),0.019)</f>
        <v>1.9E-2</v>
      </c>
      <c r="G163">
        <f ca="1">IFERROR(__xludf.DUMMYFUNCTION("""COMPUTED_VALUE"""),0.014)</f>
        <v>1.4E-2</v>
      </c>
      <c r="H163">
        <f ca="1">IFERROR(__xludf.DUMMYFUNCTION("""COMPUTED_VALUE"""),-0.25)</f>
        <v>-0.25</v>
      </c>
      <c r="I163">
        <f ca="1">IFERROR(__xludf.DUMMYFUNCTION("""COMPUTED_VALUE"""),10)</f>
        <v>10</v>
      </c>
    </row>
    <row r="164" spans="1:9" ht="12.75">
      <c r="A164">
        <f ca="1">IFERROR(__xludf.DUMMYFUNCTION("""COMPUTED_VALUE"""),163)</f>
        <v>163</v>
      </c>
      <c r="B164">
        <f ca="1">IFERROR(__xludf.DUMMYFUNCTION("""COMPUTED_VALUE"""),155)</f>
        <v>155</v>
      </c>
      <c r="C164" t="str">
        <f ca="1">IFERROR(__xludf.DUMMYFUNCTION("""COMPUTED_VALUE"""),"William McGirt")</f>
        <v>William McGirt</v>
      </c>
      <c r="D164">
        <f ca="1">IFERROR(__xludf.DUMMYFUNCTION("""COMPUTED_VALUE"""),6)</f>
        <v>6</v>
      </c>
      <c r="E164">
        <f ca="1">IFERROR(__xludf.DUMMYFUNCTION("""COMPUTED_VALUE"""),-0.227)</f>
        <v>-0.22700000000000001</v>
      </c>
      <c r="F164">
        <f ca="1">IFERROR(__xludf.DUMMYFUNCTION("""COMPUTED_VALUE"""),0.016)</f>
        <v>1.6E-2</v>
      </c>
      <c r="G164">
        <f ca="1">IFERROR(__xludf.DUMMYFUNCTION("""COMPUTED_VALUE"""),0.461)</f>
        <v>0.46100000000000002</v>
      </c>
      <c r="H164">
        <f ca="1">IFERROR(__xludf.DUMMYFUNCTION("""COMPUTED_VALUE"""),-0.703)</f>
        <v>-0.70299999999999996</v>
      </c>
      <c r="I164">
        <f ca="1">IFERROR(__xludf.DUMMYFUNCTION("""COMPUTED_VALUE"""),6)</f>
        <v>6</v>
      </c>
    </row>
    <row r="165" spans="1:9" ht="12.75">
      <c r="A165">
        <f ca="1">IFERROR(__xludf.DUMMYFUNCTION("""COMPUTED_VALUE"""),164)</f>
        <v>164</v>
      </c>
      <c r="B165">
        <f ca="1">IFERROR(__xludf.DUMMYFUNCTION("""COMPUTED_VALUE"""),159)</f>
        <v>159</v>
      </c>
      <c r="C165" t="str">
        <f ca="1">IFERROR(__xludf.DUMMYFUNCTION("""COMPUTED_VALUE"""),"Tim Wilkinson")</f>
        <v>Tim Wilkinson</v>
      </c>
      <c r="D165">
        <f ca="1">IFERROR(__xludf.DUMMYFUNCTION("""COMPUTED_VALUE"""),12)</f>
        <v>12</v>
      </c>
      <c r="E165">
        <f ca="1">IFERROR(__xludf.DUMMYFUNCTION("""COMPUTED_VALUE"""),-0.284)</f>
        <v>-0.28399999999999997</v>
      </c>
      <c r="F165">
        <f ca="1">IFERROR(__xludf.DUMMYFUNCTION("""COMPUTED_VALUE"""),-0.298)</f>
        <v>-0.29799999999999999</v>
      </c>
      <c r="G165">
        <f ca="1">IFERROR(__xludf.DUMMYFUNCTION("""COMPUTED_VALUE"""),-0.502)</f>
        <v>-0.502</v>
      </c>
      <c r="H165">
        <f ca="1">IFERROR(__xludf.DUMMYFUNCTION("""COMPUTED_VALUE"""),0.516)</f>
        <v>0.51600000000000001</v>
      </c>
      <c r="I165">
        <f ca="1">IFERROR(__xludf.DUMMYFUNCTION("""COMPUTED_VALUE"""),6)</f>
        <v>6</v>
      </c>
    </row>
    <row r="166" spans="1:9" ht="12.75">
      <c r="A166">
        <f ca="1">IFERROR(__xludf.DUMMYFUNCTION("""COMPUTED_VALUE"""),165)</f>
        <v>165</v>
      </c>
      <c r="B166">
        <f ca="1">IFERROR(__xludf.DUMMYFUNCTION("""COMPUTED_VALUE"""),160)</f>
        <v>160</v>
      </c>
      <c r="C166" t="str">
        <f ca="1">IFERROR(__xludf.DUMMYFUNCTION("""COMPUTED_VALUE"""),"Billy Horschel")</f>
        <v>Billy Horschel</v>
      </c>
      <c r="D166">
        <f ca="1">IFERROR(__xludf.DUMMYFUNCTION("""COMPUTED_VALUE"""),12)</f>
        <v>12</v>
      </c>
      <c r="E166">
        <f ca="1">IFERROR(__xludf.DUMMYFUNCTION("""COMPUTED_VALUE"""),-0.293)</f>
        <v>-0.29299999999999998</v>
      </c>
      <c r="F166">
        <f ca="1">IFERROR(__xludf.DUMMYFUNCTION("""COMPUTED_VALUE"""),0.223)</f>
        <v>0.223</v>
      </c>
      <c r="G166">
        <f ca="1">IFERROR(__xludf.DUMMYFUNCTION("""COMPUTED_VALUE"""),-0.579)</f>
        <v>-0.57899999999999996</v>
      </c>
      <c r="H166">
        <f ca="1">IFERROR(__xludf.DUMMYFUNCTION("""COMPUTED_VALUE"""),0.064)</f>
        <v>6.4000000000000001E-2</v>
      </c>
      <c r="I166">
        <f ca="1">IFERROR(__xludf.DUMMYFUNCTION("""COMPUTED_VALUE"""),12)</f>
        <v>12</v>
      </c>
    </row>
    <row r="167" spans="1:9" ht="12.75">
      <c r="A167">
        <f ca="1">IFERROR(__xludf.DUMMYFUNCTION("""COMPUTED_VALUE"""),166)</f>
        <v>166</v>
      </c>
      <c r="B167">
        <f ca="1">IFERROR(__xludf.DUMMYFUNCTION("""COMPUTED_VALUE"""),161)</f>
        <v>161</v>
      </c>
      <c r="C167" t="str">
        <f ca="1">IFERROR(__xludf.DUMMYFUNCTION("""COMPUTED_VALUE"""),"Rickie Fowler")</f>
        <v>Rickie Fowler</v>
      </c>
      <c r="D167">
        <f ca="1">IFERROR(__xludf.DUMMYFUNCTION("""COMPUTED_VALUE"""),14)</f>
        <v>14</v>
      </c>
      <c r="E167">
        <f ca="1">IFERROR(__xludf.DUMMYFUNCTION("""COMPUTED_VALUE"""),-0.308)</f>
        <v>-0.308</v>
      </c>
      <c r="F167">
        <f ca="1">IFERROR(__xludf.DUMMYFUNCTION("""COMPUTED_VALUE"""),0.269)</f>
        <v>0.26900000000000002</v>
      </c>
      <c r="G167">
        <f ca="1">IFERROR(__xludf.DUMMYFUNCTION("""COMPUTED_VALUE"""),-0.51)</f>
        <v>-0.51</v>
      </c>
      <c r="H167">
        <f ca="1">IFERROR(__xludf.DUMMYFUNCTION("""COMPUTED_VALUE"""),-0.067)</f>
        <v>-6.7000000000000004E-2</v>
      </c>
      <c r="I167">
        <f ca="1">IFERROR(__xludf.DUMMYFUNCTION("""COMPUTED_VALUE"""),14)</f>
        <v>14</v>
      </c>
    </row>
    <row r="168" spans="1:9" ht="12.75">
      <c r="A168" t="str">
        <f ca="1">IFERROR(__xludf.DUMMYFUNCTION("""COMPUTED_VALUE"""),"T167")</f>
        <v>T167</v>
      </c>
      <c r="B168">
        <f ca="1">IFERROR(__xludf.DUMMYFUNCTION("""COMPUTED_VALUE"""),123)</f>
        <v>123</v>
      </c>
      <c r="C168" t="str">
        <f ca="1">IFERROR(__xludf.DUMMYFUNCTION("""COMPUTED_VALUE"""),"Branden Grace")</f>
        <v>Branden Grace</v>
      </c>
      <c r="D168">
        <f ca="1">IFERROR(__xludf.DUMMYFUNCTION("""COMPUTED_VALUE"""),16)</f>
        <v>16</v>
      </c>
      <c r="E168">
        <f ca="1">IFERROR(__xludf.DUMMYFUNCTION("""COMPUTED_VALUE"""),-0.314)</f>
        <v>-0.314</v>
      </c>
      <c r="F168">
        <f ca="1">IFERROR(__xludf.DUMMYFUNCTION("""COMPUTED_VALUE"""),-0.132)</f>
        <v>-0.13200000000000001</v>
      </c>
      <c r="G168">
        <f ca="1">IFERROR(__xludf.DUMMYFUNCTION("""COMPUTED_VALUE"""),-0.118)</f>
        <v>-0.11799999999999999</v>
      </c>
      <c r="H168">
        <f ca="1">IFERROR(__xludf.DUMMYFUNCTION("""COMPUTED_VALUE"""),-0.065)</f>
        <v>-6.5000000000000002E-2</v>
      </c>
      <c r="I168">
        <f ca="1">IFERROR(__xludf.DUMMYFUNCTION("""COMPUTED_VALUE"""),10)</f>
        <v>10</v>
      </c>
    </row>
    <row r="169" spans="1:9" ht="12.75">
      <c r="A169" t="str">
        <f ca="1">IFERROR(__xludf.DUMMYFUNCTION("""COMPUTED_VALUE"""),"T167")</f>
        <v>T167</v>
      </c>
      <c r="B169" t="str">
        <f ca="1">IFERROR(__xludf.DUMMYFUNCTION("""COMPUTED_VALUE"""),"T183")</f>
        <v>T183</v>
      </c>
      <c r="C169" t="str">
        <f ca="1">IFERROR(__xludf.DUMMYFUNCTION("""COMPUTED_VALUE"""),"Fabián Gómez")</f>
        <v>Fabián Gómez</v>
      </c>
      <c r="D169">
        <f ca="1">IFERROR(__xludf.DUMMYFUNCTION("""COMPUTED_VALUE"""),16)</f>
        <v>16</v>
      </c>
      <c r="E169">
        <f ca="1">IFERROR(__xludf.DUMMYFUNCTION("""COMPUTED_VALUE"""),-0.314)</f>
        <v>-0.314</v>
      </c>
      <c r="F169">
        <f ca="1">IFERROR(__xludf.DUMMYFUNCTION("""COMPUTED_VALUE"""),-0.387)</f>
        <v>-0.38700000000000001</v>
      </c>
      <c r="G169">
        <f ca="1">IFERROR(__xludf.DUMMYFUNCTION("""COMPUTED_VALUE"""),-0.781)</f>
        <v>-0.78100000000000003</v>
      </c>
      <c r="H169">
        <f ca="1">IFERROR(__xludf.DUMMYFUNCTION("""COMPUTED_VALUE"""),0.853)</f>
        <v>0.85299999999999998</v>
      </c>
      <c r="I169">
        <f ca="1">IFERROR(__xludf.DUMMYFUNCTION("""COMPUTED_VALUE"""),10)</f>
        <v>10</v>
      </c>
    </row>
    <row r="170" spans="1:9" ht="12.75">
      <c r="A170">
        <f ca="1">IFERROR(__xludf.DUMMYFUNCTION("""COMPUTED_VALUE"""),169)</f>
        <v>169</v>
      </c>
      <c r="B170">
        <f ca="1">IFERROR(__xludf.DUMMYFUNCTION("""COMPUTED_VALUE"""),215)</f>
        <v>215</v>
      </c>
      <c r="C170" t="str">
        <f ca="1">IFERROR(__xludf.DUMMYFUNCTION("""COMPUTED_VALUE"""),"Nate Lashley")</f>
        <v>Nate Lashley</v>
      </c>
      <c r="D170">
        <f ca="1">IFERROR(__xludf.DUMMYFUNCTION("""COMPUTED_VALUE"""),16)</f>
        <v>16</v>
      </c>
      <c r="E170">
        <f ca="1">IFERROR(__xludf.DUMMYFUNCTION("""COMPUTED_VALUE"""),-0.317)</f>
        <v>-0.317</v>
      </c>
      <c r="F170">
        <f ca="1">IFERROR(__xludf.DUMMYFUNCTION("""COMPUTED_VALUE"""),-0.382)</f>
        <v>-0.38200000000000001</v>
      </c>
      <c r="G170">
        <f ca="1">IFERROR(__xludf.DUMMYFUNCTION("""COMPUTED_VALUE"""),-0.511)</f>
        <v>-0.51100000000000001</v>
      </c>
      <c r="H170">
        <f ca="1">IFERROR(__xludf.DUMMYFUNCTION("""COMPUTED_VALUE"""),0.577)</f>
        <v>0.57699999999999996</v>
      </c>
      <c r="I170">
        <f ca="1">IFERROR(__xludf.DUMMYFUNCTION("""COMPUTED_VALUE"""),12)</f>
        <v>12</v>
      </c>
    </row>
    <row r="171" spans="1:9" ht="12.75">
      <c r="A171">
        <f ca="1">IFERROR(__xludf.DUMMYFUNCTION("""COMPUTED_VALUE"""),170)</f>
        <v>170</v>
      </c>
      <c r="B171">
        <f ca="1">IFERROR(__xludf.DUMMYFUNCTION("""COMPUTED_VALUE"""),85)</f>
        <v>85</v>
      </c>
      <c r="C171" t="str">
        <f ca="1">IFERROR(__xludf.DUMMYFUNCTION("""COMPUTED_VALUE"""),"Henrik Stenson")</f>
        <v>Henrik Stenson</v>
      </c>
      <c r="D171">
        <f ca="1">IFERROR(__xludf.DUMMYFUNCTION("""COMPUTED_VALUE"""),11)</f>
        <v>11</v>
      </c>
      <c r="E171">
        <f ca="1">IFERROR(__xludf.DUMMYFUNCTION("""COMPUTED_VALUE"""),-0.32)</f>
        <v>-0.32</v>
      </c>
      <c r="F171">
        <f ca="1">IFERROR(__xludf.DUMMYFUNCTION("""COMPUTED_VALUE"""),-0.512)</f>
        <v>-0.51200000000000001</v>
      </c>
      <c r="G171">
        <f ca="1">IFERROR(__xludf.DUMMYFUNCTION("""COMPUTED_VALUE"""),0.081)</f>
        <v>8.1000000000000003E-2</v>
      </c>
      <c r="H171">
        <f ca="1">IFERROR(__xludf.DUMMYFUNCTION("""COMPUTED_VALUE"""),0.111)</f>
        <v>0.111</v>
      </c>
      <c r="I171">
        <f ca="1">IFERROR(__xludf.DUMMYFUNCTION("""COMPUTED_VALUE"""),6)</f>
        <v>6</v>
      </c>
    </row>
    <row r="172" spans="1:9" ht="12.75">
      <c r="A172">
        <f ca="1">IFERROR(__xludf.DUMMYFUNCTION("""COMPUTED_VALUE"""),171)</f>
        <v>171</v>
      </c>
      <c r="B172">
        <f ca="1">IFERROR(__xludf.DUMMYFUNCTION("""COMPUTED_VALUE"""),162)</f>
        <v>162</v>
      </c>
      <c r="C172" t="str">
        <f ca="1">IFERROR(__xludf.DUMMYFUNCTION("""COMPUTED_VALUE"""),"Robert MacIntyre")</f>
        <v>Robert MacIntyre</v>
      </c>
      <c r="D172">
        <f ca="1">IFERROR(__xludf.DUMMYFUNCTION("""COMPUTED_VALUE"""),4)</f>
        <v>4</v>
      </c>
      <c r="E172">
        <f ca="1">IFERROR(__xludf.DUMMYFUNCTION("""COMPUTED_VALUE"""),-0.325)</f>
        <v>-0.32500000000000001</v>
      </c>
      <c r="F172">
        <f ca="1">IFERROR(__xludf.DUMMYFUNCTION("""COMPUTED_VALUE"""),0.088)</f>
        <v>8.7999999999999995E-2</v>
      </c>
      <c r="G172">
        <f ca="1">IFERROR(__xludf.DUMMYFUNCTION("""COMPUTED_VALUE"""),0.09)</f>
        <v>0.09</v>
      </c>
      <c r="H172">
        <f ca="1">IFERROR(__xludf.DUMMYFUNCTION("""COMPUTED_VALUE"""),-0.502)</f>
        <v>-0.502</v>
      </c>
      <c r="I172">
        <f ca="1">IFERROR(__xludf.DUMMYFUNCTION("""COMPUTED_VALUE"""),4)</f>
        <v>4</v>
      </c>
    </row>
    <row r="173" spans="1:9" ht="12.75">
      <c r="A173">
        <f ca="1">IFERROR(__xludf.DUMMYFUNCTION("""COMPUTED_VALUE"""),172)</f>
        <v>172</v>
      </c>
      <c r="B173">
        <f ca="1">IFERROR(__xludf.DUMMYFUNCTION("""COMPUTED_VALUE"""),129)</f>
        <v>129</v>
      </c>
      <c r="C173" t="str">
        <f ca="1">IFERROR(__xludf.DUMMYFUNCTION("""COMPUTED_VALUE"""),"Scott Harrington")</f>
        <v>Scott Harrington</v>
      </c>
      <c r="D173">
        <f ca="1">IFERROR(__xludf.DUMMYFUNCTION("""COMPUTED_VALUE"""),18)</f>
        <v>18</v>
      </c>
      <c r="E173">
        <f ca="1">IFERROR(__xludf.DUMMYFUNCTION("""COMPUTED_VALUE"""),-0.347)</f>
        <v>-0.34699999999999998</v>
      </c>
      <c r="F173">
        <f ca="1">IFERROR(__xludf.DUMMYFUNCTION("""COMPUTED_VALUE"""),0.008)</f>
        <v>8.0000000000000002E-3</v>
      </c>
      <c r="G173">
        <f ca="1">IFERROR(__xludf.DUMMYFUNCTION("""COMPUTED_VALUE"""),-0.398)</f>
        <v>-0.39800000000000002</v>
      </c>
      <c r="H173">
        <f ca="1">IFERROR(__xludf.DUMMYFUNCTION("""COMPUTED_VALUE"""),0.043)</f>
        <v>4.2999999999999997E-2</v>
      </c>
      <c r="I173">
        <f ca="1">IFERROR(__xludf.DUMMYFUNCTION("""COMPUTED_VALUE"""),12)</f>
        <v>12</v>
      </c>
    </row>
    <row r="174" spans="1:9" ht="12.75">
      <c r="A174">
        <f ca="1">IFERROR(__xludf.DUMMYFUNCTION("""COMPUTED_VALUE"""),173)</f>
        <v>173</v>
      </c>
      <c r="B174" t="str">
        <f ca="1">IFERROR(__xludf.DUMMYFUNCTION("""COMPUTED_VALUE"""),"T163")</f>
        <v>T163</v>
      </c>
      <c r="C174" t="str">
        <f ca="1">IFERROR(__xludf.DUMMYFUNCTION("""COMPUTED_VALUE"""),"Jamie Lovemark")</f>
        <v>Jamie Lovemark</v>
      </c>
      <c r="D174">
        <f ca="1">IFERROR(__xludf.DUMMYFUNCTION("""COMPUTED_VALUE"""),18)</f>
        <v>18</v>
      </c>
      <c r="E174">
        <f ca="1">IFERROR(__xludf.DUMMYFUNCTION("""COMPUTED_VALUE"""),-0.371)</f>
        <v>-0.371</v>
      </c>
      <c r="F174">
        <f ca="1">IFERROR(__xludf.DUMMYFUNCTION("""COMPUTED_VALUE"""),0.194)</f>
        <v>0.19400000000000001</v>
      </c>
      <c r="G174">
        <f ca="1">IFERROR(__xludf.DUMMYFUNCTION("""COMPUTED_VALUE"""),-0.986)</f>
        <v>-0.98599999999999999</v>
      </c>
      <c r="H174">
        <f ca="1">IFERROR(__xludf.DUMMYFUNCTION("""COMPUTED_VALUE"""),0.421)</f>
        <v>0.42099999999999999</v>
      </c>
      <c r="I174">
        <f ca="1">IFERROR(__xludf.DUMMYFUNCTION("""COMPUTED_VALUE"""),12)</f>
        <v>12</v>
      </c>
    </row>
    <row r="175" spans="1:9" ht="12.75">
      <c r="A175">
        <f ca="1">IFERROR(__xludf.DUMMYFUNCTION("""COMPUTED_VALUE"""),174)</f>
        <v>174</v>
      </c>
      <c r="B175">
        <f ca="1">IFERROR(__xludf.DUMMYFUNCTION("""COMPUTED_VALUE"""),177)</f>
        <v>177</v>
      </c>
      <c r="C175" t="str">
        <f ca="1">IFERROR(__xludf.DUMMYFUNCTION("""COMPUTED_VALUE"""),"Mark Hubbard")</f>
        <v>Mark Hubbard</v>
      </c>
      <c r="D175">
        <f ca="1">IFERROR(__xludf.DUMMYFUNCTION("""COMPUTED_VALUE"""),20)</f>
        <v>20</v>
      </c>
      <c r="E175">
        <f ca="1">IFERROR(__xludf.DUMMYFUNCTION("""COMPUTED_VALUE"""),-0.378)</f>
        <v>-0.378</v>
      </c>
      <c r="F175">
        <f ca="1">IFERROR(__xludf.DUMMYFUNCTION("""COMPUTED_VALUE"""),-0.352)</f>
        <v>-0.35199999999999998</v>
      </c>
      <c r="G175">
        <f ca="1">IFERROR(__xludf.DUMMYFUNCTION("""COMPUTED_VALUE"""),-0.176)</f>
        <v>-0.17599999999999999</v>
      </c>
      <c r="H175">
        <f ca="1">IFERROR(__xludf.DUMMYFUNCTION("""COMPUTED_VALUE"""),0.151)</f>
        <v>0.151</v>
      </c>
      <c r="I175">
        <f ca="1">IFERROR(__xludf.DUMMYFUNCTION("""COMPUTED_VALUE"""),20)</f>
        <v>20</v>
      </c>
    </row>
    <row r="176" spans="1:9" ht="12.75">
      <c r="A176">
        <f ca="1">IFERROR(__xludf.DUMMYFUNCTION("""COMPUTED_VALUE"""),175)</f>
        <v>175</v>
      </c>
      <c r="B176">
        <f ca="1">IFERROR(__xludf.DUMMYFUNCTION("""COMPUTED_VALUE"""),172)</f>
        <v>172</v>
      </c>
      <c r="C176" t="str">
        <f ca="1">IFERROR(__xludf.DUMMYFUNCTION("""COMPUTED_VALUE"""),"Brandt Snedeker")</f>
        <v>Brandt Snedeker</v>
      </c>
      <c r="D176">
        <f ca="1">IFERROR(__xludf.DUMMYFUNCTION("""COMPUTED_VALUE"""),16)</f>
        <v>16</v>
      </c>
      <c r="E176">
        <f ca="1">IFERROR(__xludf.DUMMYFUNCTION("""COMPUTED_VALUE"""),-0.379)</f>
        <v>-0.379</v>
      </c>
      <c r="F176">
        <f ca="1">IFERROR(__xludf.DUMMYFUNCTION("""COMPUTED_VALUE"""),-0.384)</f>
        <v>-0.38400000000000001</v>
      </c>
      <c r="G176">
        <f ca="1">IFERROR(__xludf.DUMMYFUNCTION("""COMPUTED_VALUE"""),-0.117)</f>
        <v>-0.11700000000000001</v>
      </c>
      <c r="H176">
        <f ca="1">IFERROR(__xludf.DUMMYFUNCTION("""COMPUTED_VALUE"""),0.121)</f>
        <v>0.121</v>
      </c>
      <c r="I176">
        <f ca="1">IFERROR(__xludf.DUMMYFUNCTION("""COMPUTED_VALUE"""),16)</f>
        <v>16</v>
      </c>
    </row>
    <row r="177" spans="1:9" ht="12.75">
      <c r="A177">
        <f ca="1">IFERROR(__xludf.DUMMYFUNCTION("""COMPUTED_VALUE"""),176)</f>
        <v>176</v>
      </c>
      <c r="B177">
        <f ca="1">IFERROR(__xludf.DUMMYFUNCTION("""COMPUTED_VALUE"""),168)</f>
        <v>168</v>
      </c>
      <c r="C177" t="str">
        <f ca="1">IFERROR(__xludf.DUMMYFUNCTION("""COMPUTED_VALUE"""),"Shaun Norris")</f>
        <v>Shaun Norris</v>
      </c>
      <c r="D177">
        <f ca="1">IFERROR(__xludf.DUMMYFUNCTION("""COMPUTED_VALUE"""),6)</f>
        <v>6</v>
      </c>
      <c r="E177">
        <f ca="1">IFERROR(__xludf.DUMMYFUNCTION("""COMPUTED_VALUE"""),-0.39)</f>
        <v>-0.39</v>
      </c>
      <c r="F177">
        <f ca="1">IFERROR(__xludf.DUMMYFUNCTION("""COMPUTED_VALUE"""),-0.083)</f>
        <v>-8.3000000000000004E-2</v>
      </c>
      <c r="G177">
        <f ca="1">IFERROR(__xludf.DUMMYFUNCTION("""COMPUTED_VALUE"""),0.461)</f>
        <v>0.46100000000000002</v>
      </c>
      <c r="H177">
        <f ca="1">IFERROR(__xludf.DUMMYFUNCTION("""COMPUTED_VALUE"""),-0.768)</f>
        <v>-0.76800000000000002</v>
      </c>
      <c r="I177">
        <f ca="1">IFERROR(__xludf.DUMMYFUNCTION("""COMPUTED_VALUE"""),6)</f>
        <v>6</v>
      </c>
    </row>
    <row r="178" spans="1:9" ht="12.75">
      <c r="A178">
        <f ca="1">IFERROR(__xludf.DUMMYFUNCTION("""COMPUTED_VALUE"""),177)</f>
        <v>177</v>
      </c>
      <c r="B178">
        <f ca="1">IFERROR(__xludf.DUMMYFUNCTION("""COMPUTED_VALUE"""),169)</f>
        <v>169</v>
      </c>
      <c r="C178" t="str">
        <f ca="1">IFERROR(__xludf.DUMMYFUNCTION("""COMPUTED_VALUE"""),"Sebastian Cappelen")</f>
        <v>Sebastian Cappelen</v>
      </c>
      <c r="D178">
        <f ca="1">IFERROR(__xludf.DUMMYFUNCTION("""COMPUTED_VALUE"""),8)</f>
        <v>8</v>
      </c>
      <c r="E178">
        <f ca="1">IFERROR(__xludf.DUMMYFUNCTION("""COMPUTED_VALUE"""),-0.392)</f>
        <v>-0.39200000000000002</v>
      </c>
      <c r="F178">
        <f ca="1">IFERROR(__xludf.DUMMYFUNCTION("""COMPUTED_VALUE"""),0.163)</f>
        <v>0.16300000000000001</v>
      </c>
      <c r="G178">
        <f ca="1">IFERROR(__xludf.DUMMYFUNCTION("""COMPUTED_VALUE"""),-0.179)</f>
        <v>-0.17899999999999999</v>
      </c>
      <c r="H178">
        <f ca="1">IFERROR(__xludf.DUMMYFUNCTION("""COMPUTED_VALUE"""),-0.376)</f>
        <v>-0.376</v>
      </c>
      <c r="I178">
        <f ca="1">IFERROR(__xludf.DUMMYFUNCTION("""COMPUTED_VALUE"""),4)</f>
        <v>4</v>
      </c>
    </row>
    <row r="179" spans="1:9" ht="12.75">
      <c r="A179">
        <f ca="1">IFERROR(__xludf.DUMMYFUNCTION("""COMPUTED_VALUE"""),178)</f>
        <v>178</v>
      </c>
      <c r="B179" t="str">
        <f ca="1">IFERROR(__xludf.DUMMYFUNCTION("""COMPUTED_VALUE"""),"")</f>
        <v/>
      </c>
      <c r="C179" t="str">
        <f ca="1">IFERROR(__xludf.DUMMYFUNCTION("""COMPUTED_VALUE"""),"Greg Chalmers")</f>
        <v>Greg Chalmers</v>
      </c>
      <c r="D179">
        <f ca="1">IFERROR(__xludf.DUMMYFUNCTION("""COMPUTED_VALUE"""),6)</f>
        <v>6</v>
      </c>
      <c r="E179">
        <f ca="1">IFERROR(__xludf.DUMMYFUNCTION("""COMPUTED_VALUE"""),-0.394)</f>
        <v>-0.39400000000000002</v>
      </c>
      <c r="F179">
        <f ca="1">IFERROR(__xludf.DUMMYFUNCTION("""COMPUTED_VALUE"""),-0.557)</f>
        <v>-0.55700000000000005</v>
      </c>
      <c r="G179">
        <f ca="1">IFERROR(__xludf.DUMMYFUNCTION("""COMPUTED_VALUE"""),0)</f>
        <v>0</v>
      </c>
      <c r="H179">
        <f ca="1">IFERROR(__xludf.DUMMYFUNCTION("""COMPUTED_VALUE"""),0.164)</f>
        <v>0.16400000000000001</v>
      </c>
      <c r="I179">
        <f ca="1">IFERROR(__xludf.DUMMYFUNCTION("""COMPUTED_VALUE"""),6)</f>
        <v>6</v>
      </c>
    </row>
    <row r="180" spans="1:9" ht="12.75">
      <c r="A180">
        <f ca="1">IFERROR(__xludf.DUMMYFUNCTION("""COMPUTED_VALUE"""),179)</f>
        <v>179</v>
      </c>
      <c r="B180">
        <f ca="1">IFERROR(__xludf.DUMMYFUNCTION("""COMPUTED_VALUE"""),240)</f>
        <v>240</v>
      </c>
      <c r="C180" t="str">
        <f ca="1">IFERROR(__xludf.DUMMYFUNCTION("""COMPUTED_VALUE"""),"Kramer Hickok")</f>
        <v>Kramer Hickok</v>
      </c>
      <c r="D180">
        <f ca="1">IFERROR(__xludf.DUMMYFUNCTION("""COMPUTED_VALUE"""),16)</f>
        <v>16</v>
      </c>
      <c r="E180">
        <f ca="1">IFERROR(__xludf.DUMMYFUNCTION("""COMPUTED_VALUE"""),-0.401)</f>
        <v>-0.40100000000000002</v>
      </c>
      <c r="F180">
        <f ca="1">IFERROR(__xludf.DUMMYFUNCTION("""COMPUTED_VALUE"""),-0.672)</f>
        <v>-0.67200000000000004</v>
      </c>
      <c r="G180">
        <f ca="1">IFERROR(__xludf.DUMMYFUNCTION("""COMPUTED_VALUE"""),0.552)</f>
        <v>0.55200000000000005</v>
      </c>
      <c r="H180">
        <f ca="1">IFERROR(__xludf.DUMMYFUNCTION("""COMPUTED_VALUE"""),-0.281)</f>
        <v>-0.28100000000000003</v>
      </c>
      <c r="I180">
        <f ca="1">IFERROR(__xludf.DUMMYFUNCTION("""COMPUTED_VALUE"""),8)</f>
        <v>8</v>
      </c>
    </row>
    <row r="181" spans="1:9" ht="12.75">
      <c r="A181">
        <f ca="1">IFERROR(__xludf.DUMMYFUNCTION("""COMPUTED_VALUE"""),180)</f>
        <v>180</v>
      </c>
      <c r="B181">
        <f ca="1">IFERROR(__xludf.DUMMYFUNCTION("""COMPUTED_VALUE"""),171)</f>
        <v>171</v>
      </c>
      <c r="C181" t="str">
        <f ca="1">IFERROR(__xludf.DUMMYFUNCTION("""COMPUTED_VALUE"""),"Hank Lebioda")</f>
        <v>Hank Lebioda</v>
      </c>
      <c r="D181">
        <f ca="1">IFERROR(__xludf.DUMMYFUNCTION("""COMPUTED_VALUE"""),14)</f>
        <v>14</v>
      </c>
      <c r="E181">
        <f ca="1">IFERROR(__xludf.DUMMYFUNCTION("""COMPUTED_VALUE"""),-0.409)</f>
        <v>-0.40899999999999997</v>
      </c>
      <c r="F181">
        <f ca="1">IFERROR(__xludf.DUMMYFUNCTION("""COMPUTED_VALUE"""),-0.455)</f>
        <v>-0.45500000000000002</v>
      </c>
      <c r="G181">
        <f ca="1">IFERROR(__xludf.DUMMYFUNCTION("""COMPUTED_VALUE"""),-0.466)</f>
        <v>-0.46600000000000003</v>
      </c>
      <c r="H181">
        <f ca="1">IFERROR(__xludf.DUMMYFUNCTION("""COMPUTED_VALUE"""),0.513)</f>
        <v>0.51300000000000001</v>
      </c>
      <c r="I181">
        <f ca="1">IFERROR(__xludf.DUMMYFUNCTION("""COMPUTED_VALUE"""),6)</f>
        <v>6</v>
      </c>
    </row>
    <row r="182" spans="1:9" ht="12.75">
      <c r="A182">
        <f ca="1">IFERROR(__xludf.DUMMYFUNCTION("""COMPUTED_VALUE"""),181)</f>
        <v>181</v>
      </c>
      <c r="B182">
        <f ca="1">IFERROR(__xludf.DUMMYFUNCTION("""COMPUTED_VALUE"""),173)</f>
        <v>173</v>
      </c>
      <c r="C182" t="str">
        <f ca="1">IFERROR(__xludf.DUMMYFUNCTION("""COMPUTED_VALUE"""),"Charles Howell III")</f>
        <v>Charles Howell III</v>
      </c>
      <c r="D182">
        <f ca="1">IFERROR(__xludf.DUMMYFUNCTION("""COMPUTED_VALUE"""),10)</f>
        <v>10</v>
      </c>
      <c r="E182">
        <f ca="1">IFERROR(__xludf.DUMMYFUNCTION("""COMPUTED_VALUE"""),-0.451)</f>
        <v>-0.45100000000000001</v>
      </c>
      <c r="F182">
        <f ca="1">IFERROR(__xludf.DUMMYFUNCTION("""COMPUTED_VALUE"""),0.041)</f>
        <v>4.1000000000000002E-2</v>
      </c>
      <c r="G182">
        <f ca="1">IFERROR(__xludf.DUMMYFUNCTION("""COMPUTED_VALUE"""),-0.958)</f>
        <v>-0.95799999999999996</v>
      </c>
      <c r="H182">
        <f ca="1">IFERROR(__xludf.DUMMYFUNCTION("""COMPUTED_VALUE"""),0.466)</f>
        <v>0.46600000000000003</v>
      </c>
      <c r="I182">
        <f ca="1">IFERROR(__xludf.DUMMYFUNCTION("""COMPUTED_VALUE"""),8)</f>
        <v>8</v>
      </c>
    </row>
    <row r="183" spans="1:9" ht="12.75">
      <c r="A183">
        <f ca="1">IFERROR(__xludf.DUMMYFUNCTION("""COMPUTED_VALUE"""),182)</f>
        <v>182</v>
      </c>
      <c r="B183">
        <f ca="1">IFERROR(__xludf.DUMMYFUNCTION("""COMPUTED_VALUE"""),175)</f>
        <v>175</v>
      </c>
      <c r="C183" t="str">
        <f ca="1">IFERROR(__xludf.DUMMYFUNCTION("""COMPUTED_VALUE"""),"MJ Daffue")</f>
        <v>MJ Daffue</v>
      </c>
      <c r="D183">
        <f ca="1">IFERROR(__xludf.DUMMYFUNCTION("""COMPUTED_VALUE"""),10)</f>
        <v>10</v>
      </c>
      <c r="E183">
        <f ca="1">IFERROR(__xludf.DUMMYFUNCTION("""COMPUTED_VALUE"""),-0.515)</f>
        <v>-0.51500000000000001</v>
      </c>
      <c r="F183">
        <f ca="1">IFERROR(__xludf.DUMMYFUNCTION("""COMPUTED_VALUE"""),-0.046)</f>
        <v>-4.5999999999999999E-2</v>
      </c>
      <c r="G183">
        <f ca="1">IFERROR(__xludf.DUMMYFUNCTION("""COMPUTED_VALUE"""),-0.043)</f>
        <v>-4.2999999999999997E-2</v>
      </c>
      <c r="H183">
        <f ca="1">IFERROR(__xludf.DUMMYFUNCTION("""COMPUTED_VALUE"""),-0.426)</f>
        <v>-0.42599999999999999</v>
      </c>
      <c r="I183">
        <f ca="1">IFERROR(__xludf.DUMMYFUNCTION("""COMPUTED_VALUE"""),10)</f>
        <v>10</v>
      </c>
    </row>
    <row r="184" spans="1:9" ht="12.75">
      <c r="A184" t="str">
        <f ca="1">IFERROR(__xludf.DUMMYFUNCTION("""COMPUTED_VALUE"""),"T183")</f>
        <v>T183</v>
      </c>
      <c r="B184" t="str">
        <f ca="1">IFERROR(__xludf.DUMMYFUNCTION("""COMPUTED_VALUE"""),"T178")</f>
        <v>T178</v>
      </c>
      <c r="C184" t="str">
        <f ca="1">IFERROR(__xludf.DUMMYFUNCTION("""COMPUTED_VALUE"""),"Christiaan Bezuidenhout")</f>
        <v>Christiaan Bezuidenhout</v>
      </c>
      <c r="D184">
        <f ca="1">IFERROR(__xludf.DUMMYFUNCTION("""COMPUTED_VALUE"""),4)</f>
        <v>4</v>
      </c>
      <c r="E184">
        <f ca="1">IFERROR(__xludf.DUMMYFUNCTION("""COMPUTED_VALUE"""),-0.545)</f>
        <v>-0.54500000000000004</v>
      </c>
      <c r="F184">
        <f ca="1">IFERROR(__xludf.DUMMYFUNCTION("""COMPUTED_VALUE"""),-0.943)</f>
        <v>-0.94299999999999995</v>
      </c>
      <c r="G184">
        <f ca="1">IFERROR(__xludf.DUMMYFUNCTION("""COMPUTED_VALUE"""),-0.785)</f>
        <v>-0.78500000000000003</v>
      </c>
      <c r="H184">
        <f ca="1">IFERROR(__xludf.DUMMYFUNCTION("""COMPUTED_VALUE"""),1.183)</f>
        <v>1.1830000000000001</v>
      </c>
      <c r="I184">
        <f ca="1">IFERROR(__xludf.DUMMYFUNCTION("""COMPUTED_VALUE"""),4)</f>
        <v>4</v>
      </c>
    </row>
    <row r="185" spans="1:9" ht="12.75">
      <c r="A185" t="str">
        <f ca="1">IFERROR(__xludf.DUMMYFUNCTION("""COMPUTED_VALUE"""),"T183")</f>
        <v>T183</v>
      </c>
      <c r="B185" t="str">
        <f ca="1">IFERROR(__xludf.DUMMYFUNCTION("""COMPUTED_VALUE"""),"T178")</f>
        <v>T178</v>
      </c>
      <c r="C185" t="str">
        <f ca="1">IFERROR(__xludf.DUMMYFUNCTION("""COMPUTED_VALUE"""),"Justin Rose")</f>
        <v>Justin Rose</v>
      </c>
      <c r="D185">
        <f ca="1">IFERROR(__xludf.DUMMYFUNCTION("""COMPUTED_VALUE"""),10)</f>
        <v>10</v>
      </c>
      <c r="E185">
        <f ca="1">IFERROR(__xludf.DUMMYFUNCTION("""COMPUTED_VALUE"""),-0.545)</f>
        <v>-0.54500000000000004</v>
      </c>
      <c r="F185">
        <f ca="1">IFERROR(__xludf.DUMMYFUNCTION("""COMPUTED_VALUE"""),-0.314)</f>
        <v>-0.314</v>
      </c>
      <c r="G185">
        <f ca="1">IFERROR(__xludf.DUMMYFUNCTION("""COMPUTED_VALUE"""),-0.183)</f>
        <v>-0.183</v>
      </c>
      <c r="H185">
        <f ca="1">IFERROR(__xludf.DUMMYFUNCTION("""COMPUTED_VALUE"""),-0.048)</f>
        <v>-4.8000000000000001E-2</v>
      </c>
      <c r="I185">
        <f ca="1">IFERROR(__xludf.DUMMYFUNCTION("""COMPUTED_VALUE"""),10)</f>
        <v>10</v>
      </c>
    </row>
    <row r="186" spans="1:9" ht="12.75">
      <c r="A186">
        <f ca="1">IFERROR(__xludf.DUMMYFUNCTION("""COMPUTED_VALUE"""),185)</f>
        <v>185</v>
      </c>
      <c r="B186">
        <f ca="1">IFERROR(__xludf.DUMMYFUNCTION("""COMPUTED_VALUE"""),180)</f>
        <v>180</v>
      </c>
      <c r="C186" t="str">
        <f ca="1">IFERROR(__xludf.DUMMYFUNCTION("""COMPUTED_VALUE"""),"J.B. Holmes")</f>
        <v>J.B. Holmes</v>
      </c>
      <c r="D186">
        <f ca="1">IFERROR(__xludf.DUMMYFUNCTION("""COMPUTED_VALUE"""),10)</f>
        <v>10</v>
      </c>
      <c r="E186">
        <f ca="1">IFERROR(__xludf.DUMMYFUNCTION("""COMPUTED_VALUE"""),-0.548)</f>
        <v>-0.54800000000000004</v>
      </c>
      <c r="F186">
        <f ca="1">IFERROR(__xludf.DUMMYFUNCTION("""COMPUTED_VALUE"""),-0.145)</f>
        <v>-0.14499999999999999</v>
      </c>
      <c r="G186">
        <f ca="1">IFERROR(__xludf.DUMMYFUNCTION("""COMPUTED_VALUE"""),-0.55)</f>
        <v>-0.55000000000000004</v>
      </c>
      <c r="H186">
        <f ca="1">IFERROR(__xludf.DUMMYFUNCTION("""COMPUTED_VALUE"""),0.147)</f>
        <v>0.14699999999999999</v>
      </c>
      <c r="I186">
        <f ca="1">IFERROR(__xludf.DUMMYFUNCTION("""COMPUTED_VALUE"""),10)</f>
        <v>10</v>
      </c>
    </row>
    <row r="187" spans="1:9" ht="12.75">
      <c r="A187">
        <f ca="1">IFERROR(__xludf.DUMMYFUNCTION("""COMPUTED_VALUE"""),186)</f>
        <v>186</v>
      </c>
      <c r="B187">
        <f ca="1">IFERROR(__xludf.DUMMYFUNCTION("""COMPUTED_VALUE"""),223)</f>
        <v>223</v>
      </c>
      <c r="C187" t="str">
        <f ca="1">IFERROR(__xludf.DUMMYFUNCTION("""COMPUTED_VALUE"""),"Adam Long")</f>
        <v>Adam Long</v>
      </c>
      <c r="D187">
        <f ca="1">IFERROR(__xludf.DUMMYFUNCTION("""COMPUTED_VALUE"""),22)</f>
        <v>22</v>
      </c>
      <c r="E187">
        <f ca="1">IFERROR(__xludf.DUMMYFUNCTION("""COMPUTED_VALUE"""),-0.551)</f>
        <v>-0.55100000000000005</v>
      </c>
      <c r="F187">
        <f ca="1">IFERROR(__xludf.DUMMYFUNCTION("""COMPUTED_VALUE"""),0.033)</f>
        <v>3.3000000000000002E-2</v>
      </c>
      <c r="G187">
        <f ca="1">IFERROR(__xludf.DUMMYFUNCTION("""COMPUTED_VALUE"""),-0.24)</f>
        <v>-0.24</v>
      </c>
      <c r="H187">
        <f ca="1">IFERROR(__xludf.DUMMYFUNCTION("""COMPUTED_VALUE"""),-0.344)</f>
        <v>-0.34399999999999997</v>
      </c>
      <c r="I187">
        <f ca="1">IFERROR(__xludf.DUMMYFUNCTION("""COMPUTED_VALUE"""),18)</f>
        <v>18</v>
      </c>
    </row>
    <row r="188" spans="1:9" ht="12.75">
      <c r="A188">
        <f ca="1">IFERROR(__xludf.DUMMYFUNCTION("""COMPUTED_VALUE"""),187)</f>
        <v>187</v>
      </c>
      <c r="B188">
        <f ca="1">IFERROR(__xludf.DUMMYFUNCTION("""COMPUTED_VALUE"""),182)</f>
        <v>182</v>
      </c>
      <c r="C188" t="str">
        <f ca="1">IFERROR(__xludf.DUMMYFUNCTION("""COMPUTED_VALUE"""),"Marc Leishman")</f>
        <v>Marc Leishman</v>
      </c>
      <c r="D188">
        <f ca="1">IFERROR(__xludf.DUMMYFUNCTION("""COMPUTED_VALUE"""),10)</f>
        <v>10</v>
      </c>
      <c r="E188">
        <f ca="1">IFERROR(__xludf.DUMMYFUNCTION("""COMPUTED_VALUE"""),-0.58)</f>
        <v>-0.57999999999999996</v>
      </c>
      <c r="F188">
        <f ca="1">IFERROR(__xludf.DUMMYFUNCTION("""COMPUTED_VALUE"""),-0.108)</f>
        <v>-0.108</v>
      </c>
      <c r="G188">
        <f ca="1">IFERROR(__xludf.DUMMYFUNCTION("""COMPUTED_VALUE"""),-0.211)</f>
        <v>-0.21099999999999999</v>
      </c>
      <c r="H188">
        <f ca="1">IFERROR(__xludf.DUMMYFUNCTION("""COMPUTED_VALUE"""),-0.26)</f>
        <v>-0.26</v>
      </c>
      <c r="I188">
        <f ca="1">IFERROR(__xludf.DUMMYFUNCTION("""COMPUTED_VALUE"""),10)</f>
        <v>10</v>
      </c>
    </row>
    <row r="189" spans="1:9" ht="12.75">
      <c r="A189">
        <f ca="1">IFERROR(__xludf.DUMMYFUNCTION("""COMPUTED_VALUE"""),188)</f>
        <v>188</v>
      </c>
      <c r="B189">
        <f ca="1">IFERROR(__xludf.DUMMYFUNCTION("""COMPUTED_VALUE"""),199)</f>
        <v>199</v>
      </c>
      <c r="C189" t="str">
        <f ca="1">IFERROR(__xludf.DUMMYFUNCTION("""COMPUTED_VALUE"""),"Vaughn Taylor")</f>
        <v>Vaughn Taylor</v>
      </c>
      <c r="D189">
        <f ca="1">IFERROR(__xludf.DUMMYFUNCTION("""COMPUTED_VALUE"""),12)</f>
        <v>12</v>
      </c>
      <c r="E189">
        <f ca="1">IFERROR(__xludf.DUMMYFUNCTION("""COMPUTED_VALUE"""),-0.582)</f>
        <v>-0.58199999999999996</v>
      </c>
      <c r="F189">
        <f ca="1">IFERROR(__xludf.DUMMYFUNCTION("""COMPUTED_VALUE"""),-0.168)</f>
        <v>-0.16800000000000001</v>
      </c>
      <c r="G189">
        <f ca="1">IFERROR(__xludf.DUMMYFUNCTION("""COMPUTED_VALUE"""),-0.07)</f>
        <v>-7.0000000000000007E-2</v>
      </c>
      <c r="H189">
        <f ca="1">IFERROR(__xludf.DUMMYFUNCTION("""COMPUTED_VALUE"""),-0.344)</f>
        <v>-0.34399999999999997</v>
      </c>
      <c r="I189">
        <f ca="1">IFERROR(__xludf.DUMMYFUNCTION("""COMPUTED_VALUE"""),6)</f>
        <v>6</v>
      </c>
    </row>
    <row r="190" spans="1:9" ht="12.75">
      <c r="A190">
        <f ca="1">IFERROR(__xludf.DUMMYFUNCTION("""COMPUTED_VALUE"""),189)</f>
        <v>189</v>
      </c>
      <c r="B190" t="str">
        <f ca="1">IFERROR(__xludf.DUMMYFUNCTION("""COMPUTED_VALUE"""),"T183")</f>
        <v>T183</v>
      </c>
      <c r="C190" t="str">
        <f ca="1">IFERROR(__xludf.DUMMYFUNCTION("""COMPUTED_VALUE"""),"Brad Kennedy")</f>
        <v>Brad Kennedy</v>
      </c>
      <c r="D190">
        <f ca="1">IFERROR(__xludf.DUMMYFUNCTION("""COMPUTED_VALUE"""),4)</f>
        <v>4</v>
      </c>
      <c r="E190">
        <f ca="1">IFERROR(__xludf.DUMMYFUNCTION("""COMPUTED_VALUE"""),-0.583)</f>
        <v>-0.58299999999999996</v>
      </c>
      <c r="F190">
        <f ca="1">IFERROR(__xludf.DUMMYFUNCTION("""COMPUTED_VALUE"""),-1.049)</f>
        <v>-1.0489999999999999</v>
      </c>
      <c r="G190">
        <f ca="1">IFERROR(__xludf.DUMMYFUNCTION("""COMPUTED_VALUE"""),0.069)</f>
        <v>6.9000000000000006E-2</v>
      </c>
      <c r="H190">
        <f ca="1">IFERROR(__xludf.DUMMYFUNCTION("""COMPUTED_VALUE"""),0.397)</f>
        <v>0.39700000000000002</v>
      </c>
      <c r="I190">
        <f ca="1">IFERROR(__xludf.DUMMYFUNCTION("""COMPUTED_VALUE"""),4)</f>
        <v>4</v>
      </c>
    </row>
    <row r="191" spans="1:9" ht="12.75">
      <c r="A191">
        <f ca="1">IFERROR(__xludf.DUMMYFUNCTION("""COMPUTED_VALUE"""),190)</f>
        <v>190</v>
      </c>
      <c r="B191">
        <f ca="1">IFERROR(__xludf.DUMMYFUNCTION("""COMPUTED_VALUE"""),193)</f>
        <v>193</v>
      </c>
      <c r="C191" t="str">
        <f ca="1">IFERROR(__xludf.DUMMYFUNCTION("""COMPUTED_VALUE"""),"Andrew Putnam")</f>
        <v>Andrew Putnam</v>
      </c>
      <c r="D191">
        <f ca="1">IFERROR(__xludf.DUMMYFUNCTION("""COMPUTED_VALUE"""),19)</f>
        <v>19</v>
      </c>
      <c r="E191">
        <f ca="1">IFERROR(__xludf.DUMMYFUNCTION("""COMPUTED_VALUE"""),-0.608)</f>
        <v>-0.60799999999999998</v>
      </c>
      <c r="F191">
        <f ca="1">IFERROR(__xludf.DUMMYFUNCTION("""COMPUTED_VALUE"""),-0.769)</f>
        <v>-0.76900000000000002</v>
      </c>
      <c r="G191">
        <f ca="1">IFERROR(__xludf.DUMMYFUNCTION("""COMPUTED_VALUE"""),0.075)</f>
        <v>7.4999999999999997E-2</v>
      </c>
      <c r="H191">
        <f ca="1">IFERROR(__xludf.DUMMYFUNCTION("""COMPUTED_VALUE"""),0.086)</f>
        <v>8.5999999999999993E-2</v>
      </c>
      <c r="I191">
        <f ca="1">IFERROR(__xludf.DUMMYFUNCTION("""COMPUTED_VALUE"""),15)</f>
        <v>15</v>
      </c>
    </row>
    <row r="192" spans="1:9" ht="12.75">
      <c r="A192">
        <f ca="1">IFERROR(__xludf.DUMMYFUNCTION("""COMPUTED_VALUE"""),191)</f>
        <v>191</v>
      </c>
      <c r="B192">
        <f ca="1">IFERROR(__xludf.DUMMYFUNCTION("""COMPUTED_VALUE"""),187)</f>
        <v>187</v>
      </c>
      <c r="C192" t="str">
        <f ca="1">IFERROR(__xludf.DUMMYFUNCTION("""COMPUTED_VALUE"""),"Chesson Hadley")</f>
        <v>Chesson Hadley</v>
      </c>
      <c r="D192">
        <f ca="1">IFERROR(__xludf.DUMMYFUNCTION("""COMPUTED_VALUE"""),16)</f>
        <v>16</v>
      </c>
      <c r="E192">
        <f ca="1">IFERROR(__xludf.DUMMYFUNCTION("""COMPUTED_VALUE"""),-0.619)</f>
        <v>-0.61899999999999999</v>
      </c>
      <c r="F192">
        <f ca="1">IFERROR(__xludf.DUMMYFUNCTION("""COMPUTED_VALUE"""),0.002)</f>
        <v>2E-3</v>
      </c>
      <c r="G192">
        <f ca="1">IFERROR(__xludf.DUMMYFUNCTION("""COMPUTED_VALUE"""),-0.137)</f>
        <v>-0.13700000000000001</v>
      </c>
      <c r="H192">
        <f ca="1">IFERROR(__xludf.DUMMYFUNCTION("""COMPUTED_VALUE"""),-0.484)</f>
        <v>-0.48399999999999999</v>
      </c>
      <c r="I192">
        <f ca="1">IFERROR(__xludf.DUMMYFUNCTION("""COMPUTED_VALUE"""),12)</f>
        <v>12</v>
      </c>
    </row>
    <row r="193" spans="1:9" ht="12.75">
      <c r="A193">
        <f ca="1">IFERROR(__xludf.DUMMYFUNCTION("""COMPUTED_VALUE"""),192)</f>
        <v>192</v>
      </c>
      <c r="B193">
        <f ca="1">IFERROR(__xludf.DUMMYFUNCTION("""COMPUTED_VALUE"""),201)</f>
        <v>201</v>
      </c>
      <c r="C193" t="str">
        <f ca="1">IFERROR(__xludf.DUMMYFUNCTION("""COMPUTED_VALUE"""),"Jordan Spieth")</f>
        <v>Jordan Spieth</v>
      </c>
      <c r="D193">
        <f ca="1">IFERROR(__xludf.DUMMYFUNCTION("""COMPUTED_VALUE"""),14)</f>
        <v>14</v>
      </c>
      <c r="E193">
        <f ca="1">IFERROR(__xludf.DUMMYFUNCTION("""COMPUTED_VALUE"""),-0.623)</f>
        <v>-0.623</v>
      </c>
      <c r="F193">
        <f ca="1">IFERROR(__xludf.DUMMYFUNCTION("""COMPUTED_VALUE"""),-0.459)</f>
        <v>-0.45900000000000002</v>
      </c>
      <c r="G193">
        <f ca="1">IFERROR(__xludf.DUMMYFUNCTION("""COMPUTED_VALUE"""),-0.661)</f>
        <v>-0.66100000000000003</v>
      </c>
      <c r="H193">
        <f ca="1">IFERROR(__xludf.DUMMYFUNCTION("""COMPUTED_VALUE"""),0.496)</f>
        <v>0.496</v>
      </c>
      <c r="I193">
        <f ca="1">IFERROR(__xludf.DUMMYFUNCTION("""COMPUTED_VALUE"""),14)</f>
        <v>14</v>
      </c>
    </row>
    <row r="194" spans="1:9" ht="12.75">
      <c r="A194">
        <f ca="1">IFERROR(__xludf.DUMMYFUNCTION("""COMPUTED_VALUE"""),193)</f>
        <v>193</v>
      </c>
      <c r="B194">
        <f ca="1">IFERROR(__xludf.DUMMYFUNCTION("""COMPUTED_VALUE"""),218)</f>
        <v>218</v>
      </c>
      <c r="C194" t="str">
        <f ca="1">IFERROR(__xludf.DUMMYFUNCTION("""COMPUTED_VALUE"""),"Mackenzie Hughes")</f>
        <v>Mackenzie Hughes</v>
      </c>
      <c r="D194">
        <f ca="1">IFERROR(__xludf.DUMMYFUNCTION("""COMPUTED_VALUE"""),18)</f>
        <v>18</v>
      </c>
      <c r="E194">
        <f ca="1">IFERROR(__xludf.DUMMYFUNCTION("""COMPUTED_VALUE"""),-0.629)</f>
        <v>-0.629</v>
      </c>
      <c r="F194">
        <f ca="1">IFERROR(__xludf.DUMMYFUNCTION("""COMPUTED_VALUE"""),-0.527)</f>
        <v>-0.52700000000000002</v>
      </c>
      <c r="G194">
        <f ca="1">IFERROR(__xludf.DUMMYFUNCTION("""COMPUTED_VALUE"""),-0.399)</f>
        <v>-0.39900000000000002</v>
      </c>
      <c r="H194">
        <f ca="1">IFERROR(__xludf.DUMMYFUNCTION("""COMPUTED_VALUE"""),0.296)</f>
        <v>0.29599999999999999</v>
      </c>
      <c r="I194">
        <f ca="1">IFERROR(__xludf.DUMMYFUNCTION("""COMPUTED_VALUE"""),14)</f>
        <v>14</v>
      </c>
    </row>
    <row r="195" spans="1:9" ht="12.75">
      <c r="A195">
        <f ca="1">IFERROR(__xludf.DUMMYFUNCTION("""COMPUTED_VALUE"""),194)</f>
        <v>194</v>
      </c>
      <c r="B195">
        <f ca="1">IFERROR(__xludf.DUMMYFUNCTION("""COMPUTED_VALUE"""),188)</f>
        <v>188</v>
      </c>
      <c r="C195" t="str">
        <f ca="1">IFERROR(__xludf.DUMMYFUNCTION("""COMPUTED_VALUE"""),"Chris Stroud")</f>
        <v>Chris Stroud</v>
      </c>
      <c r="D195">
        <f ca="1">IFERROR(__xludf.DUMMYFUNCTION("""COMPUTED_VALUE"""),6)</f>
        <v>6</v>
      </c>
      <c r="E195">
        <f ca="1">IFERROR(__xludf.DUMMYFUNCTION("""COMPUTED_VALUE"""),-0.63)</f>
        <v>-0.63</v>
      </c>
      <c r="F195">
        <f ca="1">IFERROR(__xludf.DUMMYFUNCTION("""COMPUTED_VALUE"""),-0.281)</f>
        <v>-0.28100000000000003</v>
      </c>
      <c r="G195">
        <f ca="1">IFERROR(__xludf.DUMMYFUNCTION("""COMPUTED_VALUE"""),-0.981)</f>
        <v>-0.98099999999999998</v>
      </c>
      <c r="H195">
        <f ca="1">IFERROR(__xludf.DUMMYFUNCTION("""COMPUTED_VALUE"""),0.632)</f>
        <v>0.63200000000000001</v>
      </c>
      <c r="I195">
        <f ca="1">IFERROR(__xludf.DUMMYFUNCTION("""COMPUTED_VALUE"""),4)</f>
        <v>4</v>
      </c>
    </row>
    <row r="196" spans="1:9" ht="12.75">
      <c r="A196">
        <f ca="1">IFERROR(__xludf.DUMMYFUNCTION("""COMPUTED_VALUE"""),195)</f>
        <v>195</v>
      </c>
      <c r="B196">
        <f ca="1">IFERROR(__xludf.DUMMYFUNCTION("""COMPUTED_VALUE"""),191)</f>
        <v>191</v>
      </c>
      <c r="C196" t="str">
        <f ca="1">IFERROR(__xludf.DUMMYFUNCTION("""COMPUTED_VALUE"""),"Kevin Chappell")</f>
        <v>Kevin Chappell</v>
      </c>
      <c r="D196">
        <f ca="1">IFERROR(__xludf.DUMMYFUNCTION("""COMPUTED_VALUE"""),16)</f>
        <v>16</v>
      </c>
      <c r="E196">
        <f ca="1">IFERROR(__xludf.DUMMYFUNCTION("""COMPUTED_VALUE"""),-0.644)</f>
        <v>-0.64400000000000002</v>
      </c>
      <c r="F196">
        <f ca="1">IFERROR(__xludf.DUMMYFUNCTION("""COMPUTED_VALUE"""),-0.45)</f>
        <v>-0.45</v>
      </c>
      <c r="G196">
        <f ca="1">IFERROR(__xludf.DUMMYFUNCTION("""COMPUTED_VALUE"""),-0.139)</f>
        <v>-0.13900000000000001</v>
      </c>
      <c r="H196">
        <f ca="1">IFERROR(__xludf.DUMMYFUNCTION("""COMPUTED_VALUE"""),-0.055)</f>
        <v>-5.5E-2</v>
      </c>
      <c r="I196">
        <f ca="1">IFERROR(__xludf.DUMMYFUNCTION("""COMPUTED_VALUE"""),14)</f>
        <v>14</v>
      </c>
    </row>
    <row r="197" spans="1:9" ht="12.75">
      <c r="A197">
        <f ca="1">IFERROR(__xludf.DUMMYFUNCTION("""COMPUTED_VALUE"""),196)</f>
        <v>196</v>
      </c>
      <c r="B197">
        <f ca="1">IFERROR(__xludf.DUMMYFUNCTION("""COMPUTED_VALUE"""),189)</f>
        <v>189</v>
      </c>
      <c r="C197" t="str">
        <f ca="1">IFERROR(__xludf.DUMMYFUNCTION("""COMPUTED_VALUE"""),"Jim Herman")</f>
        <v>Jim Herman</v>
      </c>
      <c r="D197">
        <f ca="1">IFERROR(__xludf.DUMMYFUNCTION("""COMPUTED_VALUE"""),12)</f>
        <v>12</v>
      </c>
      <c r="E197">
        <f ca="1">IFERROR(__xludf.DUMMYFUNCTION("""COMPUTED_VALUE"""),-0.649)</f>
        <v>-0.64900000000000002</v>
      </c>
      <c r="F197">
        <f ca="1">IFERROR(__xludf.DUMMYFUNCTION("""COMPUTED_VALUE"""),0.121)</f>
        <v>0.121</v>
      </c>
      <c r="G197">
        <f ca="1">IFERROR(__xludf.DUMMYFUNCTION("""COMPUTED_VALUE"""),-0.404)</f>
        <v>-0.40400000000000003</v>
      </c>
      <c r="H197">
        <f ca="1">IFERROR(__xludf.DUMMYFUNCTION("""COMPUTED_VALUE"""),-0.367)</f>
        <v>-0.36699999999999999</v>
      </c>
      <c r="I197">
        <f ca="1">IFERROR(__xludf.DUMMYFUNCTION("""COMPUTED_VALUE"""),12)</f>
        <v>12</v>
      </c>
    </row>
    <row r="198" spans="1:9" ht="12.75">
      <c r="A198">
        <f ca="1">IFERROR(__xludf.DUMMYFUNCTION("""COMPUTED_VALUE"""),197)</f>
        <v>197</v>
      </c>
      <c r="B198" t="str">
        <f ca="1">IFERROR(__xludf.DUMMYFUNCTION("""COMPUTED_VALUE"""),"T226")</f>
        <v>T226</v>
      </c>
      <c r="C198" t="str">
        <f ca="1">IFERROR(__xludf.DUMMYFUNCTION("""COMPUTED_VALUE"""),"Graham DeLaet")</f>
        <v>Graham DeLaet</v>
      </c>
      <c r="D198">
        <f ca="1">IFERROR(__xludf.DUMMYFUNCTION("""COMPUTED_VALUE"""),9)</f>
        <v>9</v>
      </c>
      <c r="E198">
        <f ca="1">IFERROR(__xludf.DUMMYFUNCTION("""COMPUTED_VALUE"""),-0.663)</f>
        <v>-0.66300000000000003</v>
      </c>
      <c r="F198">
        <f ca="1">IFERROR(__xludf.DUMMYFUNCTION("""COMPUTED_VALUE"""),0.13)</f>
        <v>0.13</v>
      </c>
      <c r="G198">
        <f ca="1">IFERROR(__xludf.DUMMYFUNCTION("""COMPUTED_VALUE"""),-0.418)</f>
        <v>-0.41799999999999998</v>
      </c>
      <c r="H198">
        <f ca="1">IFERROR(__xludf.DUMMYFUNCTION("""COMPUTED_VALUE"""),-0.376)</f>
        <v>-0.376</v>
      </c>
      <c r="I198">
        <f ca="1">IFERROR(__xludf.DUMMYFUNCTION("""COMPUTED_VALUE"""),5)</f>
        <v>5</v>
      </c>
    </row>
    <row r="199" spans="1:9" ht="12.75">
      <c r="A199">
        <f ca="1">IFERROR(__xludf.DUMMYFUNCTION("""COMPUTED_VALUE"""),198)</f>
        <v>198</v>
      </c>
      <c r="B199">
        <f ca="1">IFERROR(__xludf.DUMMYFUNCTION("""COMPUTED_VALUE"""),157)</f>
        <v>157</v>
      </c>
      <c r="C199" t="str">
        <f ca="1">IFERROR(__xludf.DUMMYFUNCTION("""COMPUTED_VALUE"""),"Bronson Burgoon")</f>
        <v>Bronson Burgoon</v>
      </c>
      <c r="D199">
        <f ca="1">IFERROR(__xludf.DUMMYFUNCTION("""COMPUTED_VALUE"""),10)</f>
        <v>10</v>
      </c>
      <c r="E199">
        <f ca="1">IFERROR(__xludf.DUMMYFUNCTION("""COMPUTED_VALUE"""),-0.738)</f>
        <v>-0.73799999999999999</v>
      </c>
      <c r="F199">
        <f ca="1">IFERROR(__xludf.DUMMYFUNCTION("""COMPUTED_VALUE"""),-0.267)</f>
        <v>-0.26700000000000002</v>
      </c>
      <c r="G199">
        <f ca="1">IFERROR(__xludf.DUMMYFUNCTION("""COMPUTED_VALUE"""),-0.287)</f>
        <v>-0.28699999999999998</v>
      </c>
      <c r="H199">
        <f ca="1">IFERROR(__xludf.DUMMYFUNCTION("""COMPUTED_VALUE"""),-0.184)</f>
        <v>-0.184</v>
      </c>
      <c r="I199">
        <f ca="1">IFERROR(__xludf.DUMMYFUNCTION("""COMPUTED_VALUE"""),8)</f>
        <v>8</v>
      </c>
    </row>
    <row r="200" spans="1:9" ht="12.75">
      <c r="A200">
        <f ca="1">IFERROR(__xludf.DUMMYFUNCTION("""COMPUTED_VALUE"""),199)</f>
        <v>199</v>
      </c>
      <c r="B200">
        <f ca="1">IFERROR(__xludf.DUMMYFUNCTION("""COMPUTED_VALUE"""),194)</f>
        <v>194</v>
      </c>
      <c r="C200" t="str">
        <f ca="1">IFERROR(__xludf.DUMMYFUNCTION("""COMPUTED_VALUE"""),"Peter Uihlein")</f>
        <v>Peter Uihlein</v>
      </c>
      <c r="D200">
        <f ca="1">IFERROR(__xludf.DUMMYFUNCTION("""COMPUTED_VALUE"""),8)</f>
        <v>8</v>
      </c>
      <c r="E200">
        <f ca="1">IFERROR(__xludf.DUMMYFUNCTION("""COMPUTED_VALUE"""),-0.744)</f>
        <v>-0.74399999999999999</v>
      </c>
      <c r="F200">
        <f ca="1">IFERROR(__xludf.DUMMYFUNCTION("""COMPUTED_VALUE"""),-1.724)</f>
        <v>-1.724</v>
      </c>
      <c r="G200">
        <f ca="1">IFERROR(__xludf.DUMMYFUNCTION("""COMPUTED_VALUE"""),0.408)</f>
        <v>0.40799999999999997</v>
      </c>
      <c r="H200">
        <f ca="1">IFERROR(__xludf.DUMMYFUNCTION("""COMPUTED_VALUE"""),0.572)</f>
        <v>0.57199999999999995</v>
      </c>
      <c r="I200">
        <f ca="1">IFERROR(__xludf.DUMMYFUNCTION("""COMPUTED_VALUE"""),2)</f>
        <v>2</v>
      </c>
    </row>
    <row r="201" spans="1:9" ht="12.75">
      <c r="A201">
        <f ca="1">IFERROR(__xludf.DUMMYFUNCTION("""COMPUTED_VALUE"""),200)</f>
        <v>200</v>
      </c>
      <c r="B201">
        <f ca="1">IFERROR(__xludf.DUMMYFUNCTION("""COMPUTED_VALUE"""),195)</f>
        <v>195</v>
      </c>
      <c r="C201" t="str">
        <f ca="1">IFERROR(__xludf.DUMMYFUNCTION("""COMPUTED_VALUE"""),"Rafa Cabrera Bello")</f>
        <v>Rafa Cabrera Bello</v>
      </c>
      <c r="D201">
        <f ca="1">IFERROR(__xludf.DUMMYFUNCTION("""COMPUTED_VALUE"""),14)</f>
        <v>14</v>
      </c>
      <c r="E201">
        <f ca="1">IFERROR(__xludf.DUMMYFUNCTION("""COMPUTED_VALUE"""),-0.75)</f>
        <v>-0.75</v>
      </c>
      <c r="F201">
        <f ca="1">IFERROR(__xludf.DUMMYFUNCTION("""COMPUTED_VALUE"""),-0.517)</f>
        <v>-0.51700000000000002</v>
      </c>
      <c r="G201">
        <f ca="1">IFERROR(__xludf.DUMMYFUNCTION("""COMPUTED_VALUE"""),-0.316)</f>
        <v>-0.316</v>
      </c>
      <c r="H201">
        <f ca="1">IFERROR(__xludf.DUMMYFUNCTION("""COMPUTED_VALUE"""),0.083)</f>
        <v>8.3000000000000004E-2</v>
      </c>
      <c r="I201">
        <f ca="1">IFERROR(__xludf.DUMMYFUNCTION("""COMPUTED_VALUE"""),12)</f>
        <v>12</v>
      </c>
    </row>
    <row r="202" spans="1:9" ht="12.75">
      <c r="A202">
        <f ca="1">IFERROR(__xludf.DUMMYFUNCTION("""COMPUTED_VALUE"""),201)</f>
        <v>201</v>
      </c>
      <c r="B202">
        <f ca="1">IFERROR(__xludf.DUMMYFUNCTION("""COMPUTED_VALUE"""),196)</f>
        <v>196</v>
      </c>
      <c r="C202" t="str">
        <f ca="1">IFERROR(__xludf.DUMMYFUNCTION("""COMPUTED_VALUE"""),"Rafael Campos")</f>
        <v>Rafael Campos</v>
      </c>
      <c r="D202">
        <f ca="1">IFERROR(__xludf.DUMMYFUNCTION("""COMPUTED_VALUE"""),6)</f>
        <v>6</v>
      </c>
      <c r="E202">
        <f ca="1">IFERROR(__xludf.DUMMYFUNCTION("""COMPUTED_VALUE"""),-0.754)</f>
        <v>-0.754</v>
      </c>
      <c r="F202">
        <f ca="1">IFERROR(__xludf.DUMMYFUNCTION("""COMPUTED_VALUE"""),0.143)</f>
        <v>0.14299999999999999</v>
      </c>
      <c r="G202">
        <f ca="1">IFERROR(__xludf.DUMMYFUNCTION("""COMPUTED_VALUE"""),-0.725)</f>
        <v>-0.72499999999999998</v>
      </c>
      <c r="H202">
        <f ca="1">IFERROR(__xludf.DUMMYFUNCTION("""COMPUTED_VALUE"""),-0.172)</f>
        <v>-0.17199999999999999</v>
      </c>
      <c r="I202">
        <f ca="1">IFERROR(__xludf.DUMMYFUNCTION("""COMPUTED_VALUE"""),2)</f>
        <v>2</v>
      </c>
    </row>
    <row r="203" spans="1:9" ht="12.75">
      <c r="A203">
        <f ca="1">IFERROR(__xludf.DUMMYFUNCTION("""COMPUTED_VALUE"""),202)</f>
        <v>202</v>
      </c>
      <c r="B203">
        <f ca="1">IFERROR(__xludf.DUMMYFUNCTION("""COMPUTED_VALUE"""),230)</f>
        <v>230</v>
      </c>
      <c r="C203" t="str">
        <f ca="1">IFERROR(__xludf.DUMMYFUNCTION("""COMPUTED_VALUE"""),"Michael Thompson")</f>
        <v>Michael Thompson</v>
      </c>
      <c r="D203">
        <f ca="1">IFERROR(__xludf.DUMMYFUNCTION("""COMPUTED_VALUE"""),16)</f>
        <v>16</v>
      </c>
      <c r="E203">
        <f ca="1">IFERROR(__xludf.DUMMYFUNCTION("""COMPUTED_VALUE"""),-0.762)</f>
        <v>-0.76200000000000001</v>
      </c>
      <c r="F203">
        <f ca="1">IFERROR(__xludf.DUMMYFUNCTION("""COMPUTED_VALUE"""),-0.551)</f>
        <v>-0.55100000000000005</v>
      </c>
      <c r="G203">
        <f ca="1">IFERROR(__xludf.DUMMYFUNCTION("""COMPUTED_VALUE"""),-0.236)</f>
        <v>-0.23599999999999999</v>
      </c>
      <c r="H203">
        <f ca="1">IFERROR(__xludf.DUMMYFUNCTION("""COMPUTED_VALUE"""),0.025)</f>
        <v>2.5000000000000001E-2</v>
      </c>
      <c r="I203">
        <f ca="1">IFERROR(__xludf.DUMMYFUNCTION("""COMPUTED_VALUE"""),16)</f>
        <v>16</v>
      </c>
    </row>
    <row r="204" spans="1:9" ht="12.75">
      <c r="A204">
        <f ca="1">IFERROR(__xludf.DUMMYFUNCTION("""COMPUTED_VALUE"""),203)</f>
        <v>203</v>
      </c>
      <c r="B204">
        <f ca="1">IFERROR(__xludf.DUMMYFUNCTION("""COMPUTED_VALUE"""),197)</f>
        <v>197</v>
      </c>
      <c r="C204" t="str">
        <f ca="1">IFERROR(__xludf.DUMMYFUNCTION("""COMPUTED_VALUE"""),"Jazz Janewattananond")</f>
        <v>Jazz Janewattananond</v>
      </c>
      <c r="D204">
        <f ca="1">IFERROR(__xludf.DUMMYFUNCTION("""COMPUTED_VALUE"""),6)</f>
        <v>6</v>
      </c>
      <c r="E204">
        <f ca="1">IFERROR(__xludf.DUMMYFUNCTION("""COMPUTED_VALUE"""),-0.774)</f>
        <v>-0.77400000000000002</v>
      </c>
      <c r="F204">
        <f ca="1">IFERROR(__xludf.DUMMYFUNCTION("""COMPUTED_VALUE"""),-0.077)</f>
        <v>-7.6999999999999999E-2</v>
      </c>
      <c r="G204">
        <f ca="1">IFERROR(__xludf.DUMMYFUNCTION("""COMPUTED_VALUE"""),0.069)</f>
        <v>6.9000000000000006E-2</v>
      </c>
      <c r="H204">
        <f ca="1">IFERROR(__xludf.DUMMYFUNCTION("""COMPUTED_VALUE"""),-0.765)</f>
        <v>-0.76500000000000001</v>
      </c>
      <c r="I204">
        <f ca="1">IFERROR(__xludf.DUMMYFUNCTION("""COMPUTED_VALUE"""),6)</f>
        <v>6</v>
      </c>
    </row>
    <row r="205" spans="1:9" ht="12.75">
      <c r="A205">
        <f ca="1">IFERROR(__xludf.DUMMYFUNCTION("""COMPUTED_VALUE"""),204)</f>
        <v>204</v>
      </c>
      <c r="B205">
        <f ca="1">IFERROR(__xludf.DUMMYFUNCTION("""COMPUTED_VALUE"""),200)</f>
        <v>200</v>
      </c>
      <c r="C205" t="str">
        <f ca="1">IFERROR(__xludf.DUMMYFUNCTION("""COMPUTED_VALUE"""),"Rasmus Hojgaard")</f>
        <v>Rasmus Hojgaard</v>
      </c>
      <c r="D205">
        <f ca="1">IFERROR(__xludf.DUMMYFUNCTION("""COMPUTED_VALUE"""),6)</f>
        <v>6</v>
      </c>
      <c r="E205">
        <f ca="1">IFERROR(__xludf.DUMMYFUNCTION("""COMPUTED_VALUE"""),-0.798)</f>
        <v>-0.79800000000000004</v>
      </c>
      <c r="F205">
        <f ca="1">IFERROR(__xludf.DUMMYFUNCTION("""COMPUTED_VALUE"""),0.212)</f>
        <v>0.21199999999999999</v>
      </c>
      <c r="G205">
        <f ca="1">IFERROR(__xludf.DUMMYFUNCTION("""COMPUTED_VALUE"""),-0.901)</f>
        <v>-0.90100000000000002</v>
      </c>
      <c r="H205">
        <f ca="1">IFERROR(__xludf.DUMMYFUNCTION("""COMPUTED_VALUE"""),-0.108)</f>
        <v>-0.108</v>
      </c>
      <c r="I205">
        <f ca="1">IFERROR(__xludf.DUMMYFUNCTION("""COMPUTED_VALUE"""),2)</f>
        <v>2</v>
      </c>
    </row>
    <row r="206" spans="1:9" ht="12.75">
      <c r="A206">
        <f ca="1">IFERROR(__xludf.DUMMYFUNCTION("""COMPUTED_VALUE"""),205)</f>
        <v>205</v>
      </c>
      <c r="B206">
        <f ca="1">IFERROR(__xludf.DUMMYFUNCTION("""COMPUTED_VALUE"""),198)</f>
        <v>198</v>
      </c>
      <c r="C206" t="str">
        <f ca="1">IFERROR(__xludf.DUMMYFUNCTION("""COMPUTED_VALUE"""),"Matt Jones")</f>
        <v>Matt Jones</v>
      </c>
      <c r="D206">
        <f ca="1">IFERROR(__xludf.DUMMYFUNCTION("""COMPUTED_VALUE"""),20)</f>
        <v>20</v>
      </c>
      <c r="E206">
        <f ca="1">IFERROR(__xludf.DUMMYFUNCTION("""COMPUTED_VALUE"""),-0.801)</f>
        <v>-0.80100000000000005</v>
      </c>
      <c r="F206">
        <f ca="1">IFERROR(__xludf.DUMMYFUNCTION("""COMPUTED_VALUE"""),-0.233)</f>
        <v>-0.23300000000000001</v>
      </c>
      <c r="G206">
        <f ca="1">IFERROR(__xludf.DUMMYFUNCTION("""COMPUTED_VALUE"""),-0.772)</f>
        <v>-0.77200000000000002</v>
      </c>
      <c r="H206">
        <f ca="1">IFERROR(__xludf.DUMMYFUNCTION("""COMPUTED_VALUE"""),0.203)</f>
        <v>0.20300000000000001</v>
      </c>
      <c r="I206">
        <f ca="1">IFERROR(__xludf.DUMMYFUNCTION("""COMPUTED_VALUE"""),12)</f>
        <v>12</v>
      </c>
    </row>
    <row r="207" spans="1:9" ht="12.75">
      <c r="A207">
        <f ca="1">IFERROR(__xludf.DUMMYFUNCTION("""COMPUTED_VALUE"""),206)</f>
        <v>206</v>
      </c>
      <c r="B207">
        <f ca="1">IFERROR(__xludf.DUMMYFUNCTION("""COMPUTED_VALUE"""),206)</f>
        <v>206</v>
      </c>
      <c r="C207" t="str">
        <f ca="1">IFERROR(__xludf.DUMMYFUNCTION("""COMPUTED_VALUE"""),"Michael Kim")</f>
        <v>Michael Kim</v>
      </c>
      <c r="D207">
        <f ca="1">IFERROR(__xludf.DUMMYFUNCTION("""COMPUTED_VALUE"""),12)</f>
        <v>12</v>
      </c>
      <c r="E207">
        <f ca="1">IFERROR(__xludf.DUMMYFUNCTION("""COMPUTED_VALUE"""),-0.81)</f>
        <v>-0.81</v>
      </c>
      <c r="F207">
        <f ca="1">IFERROR(__xludf.DUMMYFUNCTION("""COMPUTED_VALUE"""),-0.499)</f>
        <v>-0.499</v>
      </c>
      <c r="G207">
        <f ca="1">IFERROR(__xludf.DUMMYFUNCTION("""COMPUTED_VALUE"""),-0.442)</f>
        <v>-0.442</v>
      </c>
      <c r="H207">
        <f ca="1">IFERROR(__xludf.DUMMYFUNCTION("""COMPUTED_VALUE"""),0.131)</f>
        <v>0.13100000000000001</v>
      </c>
      <c r="I207">
        <f ca="1">IFERROR(__xludf.DUMMYFUNCTION("""COMPUTED_VALUE"""),8)</f>
        <v>8</v>
      </c>
    </row>
    <row r="208" spans="1:9" ht="12.75">
      <c r="A208">
        <f ca="1">IFERROR(__xludf.DUMMYFUNCTION("""COMPUTED_VALUE"""),207)</f>
        <v>207</v>
      </c>
      <c r="B208" t="str">
        <f ca="1">IFERROR(__xludf.DUMMYFUNCTION("""COMPUTED_VALUE"""),"T183")</f>
        <v>T183</v>
      </c>
      <c r="C208" t="str">
        <f ca="1">IFERROR(__xludf.DUMMYFUNCTION("""COMPUTED_VALUE"""),"Rory Sabbatini")</f>
        <v>Rory Sabbatini</v>
      </c>
      <c r="D208">
        <f ca="1">IFERROR(__xludf.DUMMYFUNCTION("""COMPUTED_VALUE"""),13)</f>
        <v>13</v>
      </c>
      <c r="E208">
        <f ca="1">IFERROR(__xludf.DUMMYFUNCTION("""COMPUTED_VALUE"""),-0.814)</f>
        <v>-0.81399999999999995</v>
      </c>
      <c r="F208">
        <f ca="1">IFERROR(__xludf.DUMMYFUNCTION("""COMPUTED_VALUE"""),0.007)</f>
        <v>7.0000000000000001E-3</v>
      </c>
      <c r="G208">
        <f ca="1">IFERROR(__xludf.DUMMYFUNCTION("""COMPUTED_VALUE"""),-0.521)</f>
        <v>-0.52100000000000002</v>
      </c>
      <c r="H208">
        <f ca="1">IFERROR(__xludf.DUMMYFUNCTION("""COMPUTED_VALUE"""),-0.3)</f>
        <v>-0.3</v>
      </c>
      <c r="I208">
        <f ca="1">IFERROR(__xludf.DUMMYFUNCTION("""COMPUTED_VALUE"""),13)</f>
        <v>13</v>
      </c>
    </row>
    <row r="209" spans="1:9" ht="12.75">
      <c r="A209">
        <f ca="1">IFERROR(__xludf.DUMMYFUNCTION("""COMPUTED_VALUE"""),208)</f>
        <v>208</v>
      </c>
      <c r="B209">
        <f ca="1">IFERROR(__xludf.DUMMYFUNCTION("""COMPUTED_VALUE"""),202)</f>
        <v>202</v>
      </c>
      <c r="C209" t="str">
        <f ca="1">IFERROR(__xludf.DUMMYFUNCTION("""COMPUTED_VALUE"""),"K.J. Choi")</f>
        <v>K.J. Choi</v>
      </c>
      <c r="D209">
        <f ca="1">IFERROR(__xludf.DUMMYFUNCTION("""COMPUTED_VALUE"""),6)</f>
        <v>6</v>
      </c>
      <c r="E209">
        <f ca="1">IFERROR(__xludf.DUMMYFUNCTION("""COMPUTED_VALUE"""),-0.838)</f>
        <v>-0.83799999999999997</v>
      </c>
      <c r="F209">
        <f ca="1">IFERROR(__xludf.DUMMYFUNCTION("""COMPUTED_VALUE"""),-0.942)</f>
        <v>-0.94199999999999995</v>
      </c>
      <c r="G209">
        <f ca="1">IFERROR(__xludf.DUMMYFUNCTION("""COMPUTED_VALUE"""),0.028)</f>
        <v>2.8000000000000001E-2</v>
      </c>
      <c r="H209">
        <f ca="1">IFERROR(__xludf.DUMMYFUNCTION("""COMPUTED_VALUE"""),0.077)</f>
        <v>7.6999999999999999E-2</v>
      </c>
      <c r="I209">
        <f ca="1">IFERROR(__xludf.DUMMYFUNCTION("""COMPUTED_VALUE"""),6)</f>
        <v>6</v>
      </c>
    </row>
    <row r="210" spans="1:9" ht="12.75">
      <c r="A210">
        <f ca="1">IFERROR(__xludf.DUMMYFUNCTION("""COMPUTED_VALUE"""),209)</f>
        <v>209</v>
      </c>
      <c r="B210">
        <f ca="1">IFERROR(__xludf.DUMMYFUNCTION("""COMPUTED_VALUE"""),203)</f>
        <v>203</v>
      </c>
      <c r="C210" t="str">
        <f ca="1">IFERROR(__xludf.DUMMYFUNCTION("""COMPUTED_VALUE"""),"Zac Blair")</f>
        <v>Zac Blair</v>
      </c>
      <c r="D210">
        <f ca="1">IFERROR(__xludf.DUMMYFUNCTION("""COMPUTED_VALUE"""),10)</f>
        <v>10</v>
      </c>
      <c r="E210">
        <f ca="1">IFERROR(__xludf.DUMMYFUNCTION("""COMPUTED_VALUE"""),-0.846)</f>
        <v>-0.84599999999999997</v>
      </c>
      <c r="F210">
        <f ca="1">IFERROR(__xludf.DUMMYFUNCTION("""COMPUTED_VALUE"""),-0.55)</f>
        <v>-0.55000000000000004</v>
      </c>
      <c r="G210">
        <f ca="1">IFERROR(__xludf.DUMMYFUNCTION("""COMPUTED_VALUE"""),-0.081)</f>
        <v>-8.1000000000000003E-2</v>
      </c>
      <c r="H210">
        <f ca="1">IFERROR(__xludf.DUMMYFUNCTION("""COMPUTED_VALUE"""),-0.216)</f>
        <v>-0.216</v>
      </c>
      <c r="I210">
        <f ca="1">IFERROR(__xludf.DUMMYFUNCTION("""COMPUTED_VALUE"""),6)</f>
        <v>6</v>
      </c>
    </row>
    <row r="211" spans="1:9" ht="12.75">
      <c r="A211">
        <f ca="1">IFERROR(__xludf.DUMMYFUNCTION("""COMPUTED_VALUE"""),210)</f>
        <v>210</v>
      </c>
      <c r="B211">
        <f ca="1">IFERROR(__xludf.DUMMYFUNCTION("""COMPUTED_VALUE"""),204)</f>
        <v>204</v>
      </c>
      <c r="C211" t="str">
        <f ca="1">IFERROR(__xludf.DUMMYFUNCTION("""COMPUTED_VALUE"""),"Tommy Fleetwood")</f>
        <v>Tommy Fleetwood</v>
      </c>
      <c r="D211">
        <f ca="1">IFERROR(__xludf.DUMMYFUNCTION("""COMPUTED_VALUE"""),10)</f>
        <v>10</v>
      </c>
      <c r="E211">
        <f ca="1">IFERROR(__xludf.DUMMYFUNCTION("""COMPUTED_VALUE"""),-0.862)</f>
        <v>-0.86199999999999999</v>
      </c>
      <c r="F211">
        <f ca="1">IFERROR(__xludf.DUMMYFUNCTION("""COMPUTED_VALUE"""),-0.694)</f>
        <v>-0.69399999999999995</v>
      </c>
      <c r="G211">
        <f ca="1">IFERROR(__xludf.DUMMYFUNCTION("""COMPUTED_VALUE"""),-0.455)</f>
        <v>-0.45500000000000002</v>
      </c>
      <c r="H211">
        <f ca="1">IFERROR(__xludf.DUMMYFUNCTION("""COMPUTED_VALUE"""),0.287)</f>
        <v>0.28699999999999998</v>
      </c>
      <c r="I211">
        <f ca="1">IFERROR(__xludf.DUMMYFUNCTION("""COMPUTED_VALUE"""),10)</f>
        <v>10</v>
      </c>
    </row>
    <row r="212" spans="1:9" ht="12.75">
      <c r="A212">
        <f ca="1">IFERROR(__xludf.DUMMYFUNCTION("""COMPUTED_VALUE"""),211)</f>
        <v>211</v>
      </c>
      <c r="B212">
        <f ca="1">IFERROR(__xludf.DUMMYFUNCTION("""COMPUTED_VALUE"""),212)</f>
        <v>212</v>
      </c>
      <c r="C212" t="str">
        <f ca="1">IFERROR(__xludf.DUMMYFUNCTION("""COMPUTED_VALUE"""),"Brice Garnett")</f>
        <v>Brice Garnett</v>
      </c>
      <c r="D212">
        <f ca="1">IFERROR(__xludf.DUMMYFUNCTION("""COMPUTED_VALUE"""),22)</f>
        <v>22</v>
      </c>
      <c r="E212">
        <f ca="1">IFERROR(__xludf.DUMMYFUNCTION("""COMPUTED_VALUE"""),-0.887)</f>
        <v>-0.88700000000000001</v>
      </c>
      <c r="F212">
        <f ca="1">IFERROR(__xludf.DUMMYFUNCTION("""COMPUTED_VALUE"""),-0.016)</f>
        <v>-1.6E-2</v>
      </c>
      <c r="G212">
        <f ca="1">IFERROR(__xludf.DUMMYFUNCTION("""COMPUTED_VALUE"""),-0.344)</f>
        <v>-0.34399999999999997</v>
      </c>
      <c r="H212">
        <f ca="1">IFERROR(__xludf.DUMMYFUNCTION("""COMPUTED_VALUE"""),-0.527)</f>
        <v>-0.52700000000000002</v>
      </c>
      <c r="I212">
        <f ca="1">IFERROR(__xludf.DUMMYFUNCTION("""COMPUTED_VALUE"""),14)</f>
        <v>14</v>
      </c>
    </row>
    <row r="213" spans="1:9" ht="12.75">
      <c r="A213">
        <f ca="1">IFERROR(__xludf.DUMMYFUNCTION("""COMPUTED_VALUE"""),212)</f>
        <v>212</v>
      </c>
      <c r="B213">
        <f ca="1">IFERROR(__xludf.DUMMYFUNCTION("""COMPUTED_VALUE"""),257)</f>
        <v>257</v>
      </c>
      <c r="C213" t="str">
        <f ca="1">IFERROR(__xludf.DUMMYFUNCTION("""COMPUTED_VALUE"""),"Graeme McDowell")</f>
        <v>Graeme McDowell</v>
      </c>
      <c r="D213">
        <f ca="1">IFERROR(__xludf.DUMMYFUNCTION("""COMPUTED_VALUE"""),8)</f>
        <v>8</v>
      </c>
      <c r="E213">
        <f ca="1">IFERROR(__xludf.DUMMYFUNCTION("""COMPUTED_VALUE"""),-0.888)</f>
        <v>-0.88800000000000001</v>
      </c>
      <c r="F213">
        <f ca="1">IFERROR(__xludf.DUMMYFUNCTION("""COMPUTED_VALUE"""),-0.549)</f>
        <v>-0.54900000000000004</v>
      </c>
      <c r="G213">
        <f ca="1">IFERROR(__xludf.DUMMYFUNCTION("""COMPUTED_VALUE"""),-0.758)</f>
        <v>-0.75800000000000001</v>
      </c>
      <c r="H213">
        <f ca="1">IFERROR(__xludf.DUMMYFUNCTION("""COMPUTED_VALUE"""),0.418)</f>
        <v>0.41799999999999998</v>
      </c>
      <c r="I213">
        <f ca="1">IFERROR(__xludf.DUMMYFUNCTION("""COMPUTED_VALUE"""),6)</f>
        <v>6</v>
      </c>
    </row>
    <row r="214" spans="1:9" ht="12.75">
      <c r="A214">
        <f ca="1">IFERROR(__xludf.DUMMYFUNCTION("""COMPUTED_VALUE"""),213)</f>
        <v>213</v>
      </c>
      <c r="B214">
        <f ca="1">IFERROR(__xludf.DUMMYFUNCTION("""COMPUTED_VALUE"""),258)</f>
        <v>258</v>
      </c>
      <c r="C214" t="str">
        <f ca="1">IFERROR(__xludf.DUMMYFUNCTION("""COMPUTED_VALUE"""),"Max Homa")</f>
        <v>Max Homa</v>
      </c>
      <c r="D214">
        <f ca="1">IFERROR(__xludf.DUMMYFUNCTION("""COMPUTED_VALUE"""),12)</f>
        <v>12</v>
      </c>
      <c r="E214">
        <f ca="1">IFERROR(__xludf.DUMMYFUNCTION("""COMPUTED_VALUE"""),-0.89)</f>
        <v>-0.89</v>
      </c>
      <c r="F214">
        <f ca="1">IFERROR(__xludf.DUMMYFUNCTION("""COMPUTED_VALUE"""),0.259)</f>
        <v>0.25900000000000001</v>
      </c>
      <c r="G214">
        <f ca="1">IFERROR(__xludf.DUMMYFUNCTION("""COMPUTED_VALUE"""),-1.024)</f>
        <v>-1.024</v>
      </c>
      <c r="H214">
        <f ca="1">IFERROR(__xludf.DUMMYFUNCTION("""COMPUTED_VALUE"""),-0.125)</f>
        <v>-0.125</v>
      </c>
      <c r="I214">
        <f ca="1">IFERROR(__xludf.DUMMYFUNCTION("""COMPUTED_VALUE"""),8)</f>
        <v>8</v>
      </c>
    </row>
    <row r="215" spans="1:9" ht="12.75">
      <c r="A215">
        <f ca="1">IFERROR(__xludf.DUMMYFUNCTION("""COMPUTED_VALUE"""),214)</f>
        <v>214</v>
      </c>
      <c r="B215">
        <f ca="1">IFERROR(__xludf.DUMMYFUNCTION("""COMPUTED_VALUE"""),117)</f>
        <v>117</v>
      </c>
      <c r="C215" t="str">
        <f ca="1">IFERROR(__xludf.DUMMYFUNCTION("""COMPUTED_VALUE"""),"Beau Hossler")</f>
        <v>Beau Hossler</v>
      </c>
      <c r="D215">
        <f ca="1">IFERROR(__xludf.DUMMYFUNCTION("""COMPUTED_VALUE"""),22)</f>
        <v>22</v>
      </c>
      <c r="E215">
        <f ca="1">IFERROR(__xludf.DUMMYFUNCTION("""COMPUTED_VALUE"""),-0.905)</f>
        <v>-0.90500000000000003</v>
      </c>
      <c r="F215">
        <f ca="1">IFERROR(__xludf.DUMMYFUNCTION("""COMPUTED_VALUE"""),0.106)</f>
        <v>0.106</v>
      </c>
      <c r="G215">
        <f ca="1">IFERROR(__xludf.DUMMYFUNCTION("""COMPUTED_VALUE"""),-0.806)</f>
        <v>-0.80600000000000005</v>
      </c>
      <c r="H215">
        <f ca="1">IFERROR(__xludf.DUMMYFUNCTION("""COMPUTED_VALUE"""),-0.205)</f>
        <v>-0.20499999999999999</v>
      </c>
      <c r="I215">
        <f ca="1">IFERROR(__xludf.DUMMYFUNCTION("""COMPUTED_VALUE"""),14)</f>
        <v>14</v>
      </c>
    </row>
    <row r="216" spans="1:9" ht="12.75">
      <c r="A216">
        <f ca="1">IFERROR(__xludf.DUMMYFUNCTION("""COMPUTED_VALUE"""),215)</f>
        <v>215</v>
      </c>
      <c r="B216">
        <f ca="1">IFERROR(__xludf.DUMMYFUNCTION("""COMPUTED_VALUE"""),205)</f>
        <v>205</v>
      </c>
      <c r="C216" t="str">
        <f ca="1">IFERROR(__xludf.DUMMYFUNCTION("""COMPUTED_VALUE"""),"Shugo Imahira")</f>
        <v>Shugo Imahira</v>
      </c>
      <c r="D216">
        <f ca="1">IFERROR(__xludf.DUMMYFUNCTION("""COMPUTED_VALUE"""),8)</f>
        <v>8</v>
      </c>
      <c r="E216">
        <f ca="1">IFERROR(__xludf.DUMMYFUNCTION("""COMPUTED_VALUE"""),-0.911)</f>
        <v>-0.91100000000000003</v>
      </c>
      <c r="F216">
        <f ca="1">IFERROR(__xludf.DUMMYFUNCTION("""COMPUTED_VALUE"""),-0.28)</f>
        <v>-0.28000000000000003</v>
      </c>
      <c r="G216">
        <f ca="1">IFERROR(__xludf.DUMMYFUNCTION("""COMPUTED_VALUE"""),-0.467)</f>
        <v>-0.46700000000000003</v>
      </c>
      <c r="H216">
        <f ca="1">IFERROR(__xludf.DUMMYFUNCTION("""COMPUTED_VALUE"""),-0.164)</f>
        <v>-0.16400000000000001</v>
      </c>
      <c r="I216">
        <f ca="1">IFERROR(__xludf.DUMMYFUNCTION("""COMPUTED_VALUE"""),8)</f>
        <v>8</v>
      </c>
    </row>
    <row r="217" spans="1:9" ht="12.75">
      <c r="A217">
        <f ca="1">IFERROR(__xludf.DUMMYFUNCTION("""COMPUTED_VALUE"""),216)</f>
        <v>216</v>
      </c>
      <c r="B217">
        <f ca="1">IFERROR(__xludf.DUMMYFUNCTION("""COMPUTED_VALUE"""),213)</f>
        <v>213</v>
      </c>
      <c r="C217" t="str">
        <f ca="1">IFERROR(__xludf.DUMMYFUNCTION("""COMPUTED_VALUE"""),"Kyoung-Hoon Lee")</f>
        <v>Kyoung-Hoon Lee</v>
      </c>
      <c r="D217">
        <f ca="1">IFERROR(__xludf.DUMMYFUNCTION("""COMPUTED_VALUE"""),20)</f>
        <v>20</v>
      </c>
      <c r="E217">
        <f ca="1">IFERROR(__xludf.DUMMYFUNCTION("""COMPUTED_VALUE"""),-0.918)</f>
        <v>-0.91800000000000004</v>
      </c>
      <c r="F217">
        <f ca="1">IFERROR(__xludf.DUMMYFUNCTION("""COMPUTED_VALUE"""),-0.297)</f>
        <v>-0.29699999999999999</v>
      </c>
      <c r="G217">
        <f ca="1">IFERROR(__xludf.DUMMYFUNCTION("""COMPUTED_VALUE"""),-0.496)</f>
        <v>-0.496</v>
      </c>
      <c r="H217">
        <f ca="1">IFERROR(__xludf.DUMMYFUNCTION("""COMPUTED_VALUE"""),-0.125)</f>
        <v>-0.125</v>
      </c>
      <c r="I217">
        <f ca="1">IFERROR(__xludf.DUMMYFUNCTION("""COMPUTED_VALUE"""),14)</f>
        <v>14</v>
      </c>
    </row>
    <row r="218" spans="1:9" ht="12.75">
      <c r="A218">
        <f ca="1">IFERROR(__xludf.DUMMYFUNCTION("""COMPUTED_VALUE"""),217)</f>
        <v>217</v>
      </c>
      <c r="B218">
        <f ca="1">IFERROR(__xludf.DUMMYFUNCTION("""COMPUTED_VALUE"""),214)</f>
        <v>214</v>
      </c>
      <c r="C218" t="str">
        <f ca="1">IFERROR(__xludf.DUMMYFUNCTION("""COMPUTED_VALUE"""),"Ryan Armour")</f>
        <v>Ryan Armour</v>
      </c>
      <c r="D218">
        <f ca="1">IFERROR(__xludf.DUMMYFUNCTION("""COMPUTED_VALUE"""),16)</f>
        <v>16</v>
      </c>
      <c r="E218">
        <f ca="1">IFERROR(__xludf.DUMMYFUNCTION("""COMPUTED_VALUE"""),-0.928)</f>
        <v>-0.92800000000000005</v>
      </c>
      <c r="F218">
        <f ca="1">IFERROR(__xludf.DUMMYFUNCTION("""COMPUTED_VALUE"""),-0.386)</f>
        <v>-0.38600000000000001</v>
      </c>
      <c r="G218">
        <f ca="1">IFERROR(__xludf.DUMMYFUNCTION("""COMPUTED_VALUE"""),0.07)</f>
        <v>7.0000000000000007E-2</v>
      </c>
      <c r="H218">
        <f ca="1">IFERROR(__xludf.DUMMYFUNCTION("""COMPUTED_VALUE"""),-0.612)</f>
        <v>-0.61199999999999999</v>
      </c>
      <c r="I218">
        <f ca="1">IFERROR(__xludf.DUMMYFUNCTION("""COMPUTED_VALUE"""),10)</f>
        <v>10</v>
      </c>
    </row>
    <row r="219" spans="1:9" ht="12.75">
      <c r="A219">
        <f ca="1">IFERROR(__xludf.DUMMYFUNCTION("""COMPUTED_VALUE"""),218)</f>
        <v>218</v>
      </c>
      <c r="B219">
        <f ca="1">IFERROR(__xludf.DUMMYFUNCTION("""COMPUTED_VALUE"""),208)</f>
        <v>208</v>
      </c>
      <c r="C219" t="str">
        <f ca="1">IFERROR(__xludf.DUMMYFUNCTION("""COMPUTED_VALUE"""),"Hudson Swafford")</f>
        <v>Hudson Swafford</v>
      </c>
      <c r="D219">
        <f ca="1">IFERROR(__xludf.DUMMYFUNCTION("""COMPUTED_VALUE"""),18)</f>
        <v>18</v>
      </c>
      <c r="E219">
        <f ca="1">IFERROR(__xludf.DUMMYFUNCTION("""COMPUTED_VALUE"""),-0.946)</f>
        <v>-0.94599999999999995</v>
      </c>
      <c r="F219">
        <f ca="1">IFERROR(__xludf.DUMMYFUNCTION("""COMPUTED_VALUE"""),-0.242)</f>
        <v>-0.24199999999999999</v>
      </c>
      <c r="G219">
        <f ca="1">IFERROR(__xludf.DUMMYFUNCTION("""COMPUTED_VALUE"""),0.006)</f>
        <v>6.0000000000000001E-3</v>
      </c>
      <c r="H219">
        <f ca="1">IFERROR(__xludf.DUMMYFUNCTION("""COMPUTED_VALUE"""),-0.71)</f>
        <v>-0.71</v>
      </c>
      <c r="I219">
        <f ca="1">IFERROR(__xludf.DUMMYFUNCTION("""COMPUTED_VALUE"""),10)</f>
        <v>10</v>
      </c>
    </row>
    <row r="220" spans="1:9" ht="12.75">
      <c r="A220">
        <f ca="1">IFERROR(__xludf.DUMMYFUNCTION("""COMPUTED_VALUE"""),219)</f>
        <v>219</v>
      </c>
      <c r="B220">
        <f ca="1">IFERROR(__xludf.DUMMYFUNCTION("""COMPUTED_VALUE"""),207)</f>
        <v>207</v>
      </c>
      <c r="C220" t="str">
        <f ca="1">IFERROR(__xludf.DUMMYFUNCTION("""COMPUTED_VALUE"""),"Michael Gellerman")</f>
        <v>Michael Gellerman</v>
      </c>
      <c r="D220">
        <f ca="1">IFERROR(__xludf.DUMMYFUNCTION("""COMPUTED_VALUE"""),5)</f>
        <v>5</v>
      </c>
      <c r="E220">
        <f ca="1">IFERROR(__xludf.DUMMYFUNCTION("""COMPUTED_VALUE"""),-0.962)</f>
        <v>-0.96199999999999997</v>
      </c>
      <c r="F220">
        <f ca="1">IFERROR(__xludf.DUMMYFUNCTION("""COMPUTED_VALUE"""),0.643)</f>
        <v>0.64300000000000002</v>
      </c>
      <c r="G220">
        <f ca="1">IFERROR(__xludf.DUMMYFUNCTION("""COMPUTED_VALUE"""),-1.752)</f>
        <v>-1.752</v>
      </c>
      <c r="H220">
        <f ca="1">IFERROR(__xludf.DUMMYFUNCTION("""COMPUTED_VALUE"""),0.146)</f>
        <v>0.14599999999999999</v>
      </c>
      <c r="I220">
        <f ca="1">IFERROR(__xludf.DUMMYFUNCTION("""COMPUTED_VALUE"""),2)</f>
        <v>2</v>
      </c>
    </row>
    <row r="221" spans="1:9" ht="12.75">
      <c r="A221">
        <f ca="1">IFERROR(__xludf.DUMMYFUNCTION("""COMPUTED_VALUE"""),220)</f>
        <v>220</v>
      </c>
      <c r="B221">
        <f ca="1">IFERROR(__xludf.DUMMYFUNCTION("""COMPUTED_VALUE"""),209)</f>
        <v>209</v>
      </c>
      <c r="C221" t="str">
        <f ca="1">IFERROR(__xludf.DUMMYFUNCTION("""COMPUTED_VALUE"""),"Jonathan Byrd")</f>
        <v>Jonathan Byrd</v>
      </c>
      <c r="D221">
        <f ca="1">IFERROR(__xludf.DUMMYFUNCTION("""COMPUTED_VALUE"""),14)</f>
        <v>14</v>
      </c>
      <c r="E221">
        <f ca="1">IFERROR(__xludf.DUMMYFUNCTION("""COMPUTED_VALUE"""),-0.972)</f>
        <v>-0.97199999999999998</v>
      </c>
      <c r="F221">
        <f ca="1">IFERROR(__xludf.DUMMYFUNCTION("""COMPUTED_VALUE"""),-0.474)</f>
        <v>-0.47399999999999998</v>
      </c>
      <c r="G221">
        <f ca="1">IFERROR(__xludf.DUMMYFUNCTION("""COMPUTED_VALUE"""),-0.484)</f>
        <v>-0.48399999999999999</v>
      </c>
      <c r="H221">
        <f ca="1">IFERROR(__xludf.DUMMYFUNCTION("""COMPUTED_VALUE"""),-0.013)</f>
        <v>-1.2999999999999999E-2</v>
      </c>
      <c r="I221">
        <f ca="1">IFERROR(__xludf.DUMMYFUNCTION("""COMPUTED_VALUE"""),6)</f>
        <v>6</v>
      </c>
    </row>
    <row r="222" spans="1:9" ht="12.75">
      <c r="A222">
        <f ca="1">IFERROR(__xludf.DUMMYFUNCTION("""COMPUTED_VALUE"""),221)</f>
        <v>221</v>
      </c>
      <c r="B222" t="str">
        <f ca="1">IFERROR(__xludf.DUMMYFUNCTION("""COMPUTED_VALUE"""),"T210")</f>
        <v>T210</v>
      </c>
      <c r="C222" t="str">
        <f ca="1">IFERROR(__xludf.DUMMYFUNCTION("""COMPUTED_VALUE"""),"Brendon Todd")</f>
        <v>Brendon Todd</v>
      </c>
      <c r="D222">
        <f ca="1">IFERROR(__xludf.DUMMYFUNCTION("""COMPUTED_VALUE"""),14)</f>
        <v>14</v>
      </c>
      <c r="E222">
        <f ca="1">IFERROR(__xludf.DUMMYFUNCTION("""COMPUTED_VALUE"""),-0.978)</f>
        <v>-0.97799999999999998</v>
      </c>
      <c r="F222">
        <f ca="1">IFERROR(__xludf.DUMMYFUNCTION("""COMPUTED_VALUE"""),-0.716)</f>
        <v>-0.71599999999999997</v>
      </c>
      <c r="G222">
        <f ca="1">IFERROR(__xludf.DUMMYFUNCTION("""COMPUTED_VALUE"""),-0.114)</f>
        <v>-0.114</v>
      </c>
      <c r="H222">
        <f ca="1">IFERROR(__xludf.DUMMYFUNCTION("""COMPUTED_VALUE"""),-0.148)</f>
        <v>-0.14799999999999999</v>
      </c>
      <c r="I222">
        <f ca="1">IFERROR(__xludf.DUMMYFUNCTION("""COMPUTED_VALUE"""),12)</f>
        <v>12</v>
      </c>
    </row>
    <row r="223" spans="1:9" ht="12.75">
      <c r="A223">
        <f ca="1">IFERROR(__xludf.DUMMYFUNCTION("""COMPUTED_VALUE"""),222)</f>
        <v>222</v>
      </c>
      <c r="B223">
        <f ca="1">IFERROR(__xludf.DUMMYFUNCTION("""COMPUTED_VALUE"""),134)</f>
        <v>134</v>
      </c>
      <c r="C223" t="str">
        <f ca="1">IFERROR(__xludf.DUMMYFUNCTION("""COMPUTED_VALUE"""),"David Hearn")</f>
        <v>David Hearn</v>
      </c>
      <c r="D223">
        <f ca="1">IFERROR(__xludf.DUMMYFUNCTION("""COMPUTED_VALUE"""),16)</f>
        <v>16</v>
      </c>
      <c r="E223">
        <f ca="1">IFERROR(__xludf.DUMMYFUNCTION("""COMPUTED_VALUE"""),-0.989)</f>
        <v>-0.98899999999999999</v>
      </c>
      <c r="F223">
        <f ca="1">IFERROR(__xludf.DUMMYFUNCTION("""COMPUTED_VALUE"""),-0.45)</f>
        <v>-0.45</v>
      </c>
      <c r="G223">
        <f ca="1">IFERROR(__xludf.DUMMYFUNCTION("""COMPUTED_VALUE"""),-0.194)</f>
        <v>-0.19400000000000001</v>
      </c>
      <c r="H223">
        <f ca="1">IFERROR(__xludf.DUMMYFUNCTION("""COMPUTED_VALUE"""),-0.344)</f>
        <v>-0.34399999999999997</v>
      </c>
      <c r="I223">
        <f ca="1">IFERROR(__xludf.DUMMYFUNCTION("""COMPUTED_VALUE"""),8)</f>
        <v>8</v>
      </c>
    </row>
    <row r="224" spans="1:9" ht="12.75">
      <c r="A224">
        <f ca="1">IFERROR(__xludf.DUMMYFUNCTION("""COMPUTED_VALUE"""),223)</f>
        <v>223</v>
      </c>
      <c r="B224">
        <f ca="1">IFERROR(__xludf.DUMMYFUNCTION("""COMPUTED_VALUE"""),246)</f>
        <v>246</v>
      </c>
      <c r="C224" t="str">
        <f ca="1">IFERROR(__xludf.DUMMYFUNCTION("""COMPUTED_VALUE"""),"Satoshi Kodaira")</f>
        <v>Satoshi Kodaira</v>
      </c>
      <c r="D224">
        <f ca="1">IFERROR(__xludf.DUMMYFUNCTION("""COMPUTED_VALUE"""),12)</f>
        <v>12</v>
      </c>
      <c r="E224">
        <f ca="1">IFERROR(__xludf.DUMMYFUNCTION("""COMPUTED_VALUE"""),-1.011)</f>
        <v>-1.0109999999999999</v>
      </c>
      <c r="F224">
        <f ca="1">IFERROR(__xludf.DUMMYFUNCTION("""COMPUTED_VALUE"""),-0.331)</f>
        <v>-0.33100000000000002</v>
      </c>
      <c r="G224">
        <f ca="1">IFERROR(__xludf.DUMMYFUNCTION("""COMPUTED_VALUE"""),-0.349)</f>
        <v>-0.34899999999999998</v>
      </c>
      <c r="H224">
        <f ca="1">IFERROR(__xludf.DUMMYFUNCTION("""COMPUTED_VALUE"""),-0.331)</f>
        <v>-0.33100000000000002</v>
      </c>
      <c r="I224">
        <f ca="1">IFERROR(__xludf.DUMMYFUNCTION("""COMPUTED_VALUE"""),12)</f>
        <v>12</v>
      </c>
    </row>
    <row r="225" spans="1:9" ht="12.75">
      <c r="A225">
        <f ca="1">IFERROR(__xludf.DUMMYFUNCTION("""COMPUTED_VALUE"""),224)</f>
        <v>224</v>
      </c>
      <c r="B225">
        <f ca="1">IFERROR(__xludf.DUMMYFUNCTION("""COMPUTED_VALUE"""),216)</f>
        <v>216</v>
      </c>
      <c r="C225" t="str">
        <f ca="1">IFERROR(__xludf.DUMMYFUNCTION("""COMPUTED_VALUE"""),"George Markham")</f>
        <v>George Markham</v>
      </c>
      <c r="D225">
        <f ca="1">IFERROR(__xludf.DUMMYFUNCTION("""COMPUTED_VALUE"""),4)</f>
        <v>4</v>
      </c>
      <c r="E225">
        <f ca="1">IFERROR(__xludf.DUMMYFUNCTION("""COMPUTED_VALUE"""),-1.025)</f>
        <v>-1.0249999999999999</v>
      </c>
      <c r="F225">
        <f ca="1">IFERROR(__xludf.DUMMYFUNCTION("""COMPUTED_VALUE"""),-0.089)</f>
        <v>-8.8999999999999996E-2</v>
      </c>
      <c r="G225">
        <f ca="1">IFERROR(__xludf.DUMMYFUNCTION("""COMPUTED_VALUE"""),-0.888)</f>
        <v>-0.88800000000000001</v>
      </c>
      <c r="H225">
        <f ca="1">IFERROR(__xludf.DUMMYFUNCTION("""COMPUTED_VALUE"""),-0.048)</f>
        <v>-4.8000000000000001E-2</v>
      </c>
      <c r="I225">
        <f ca="1">IFERROR(__xludf.DUMMYFUNCTION("""COMPUTED_VALUE"""),4)</f>
        <v>4</v>
      </c>
    </row>
    <row r="226" spans="1:9" ht="12.75">
      <c r="A226">
        <f ca="1">IFERROR(__xludf.DUMMYFUNCTION("""COMPUTED_VALUE"""),225)</f>
        <v>225</v>
      </c>
      <c r="B226">
        <f ca="1">IFERROR(__xludf.DUMMYFUNCTION("""COMPUTED_VALUE"""),261)</f>
        <v>261</v>
      </c>
      <c r="C226" t="str">
        <f ca="1">IFERROR(__xludf.DUMMYFUNCTION("""COMPUTED_VALUE"""),"Scott Brown")</f>
        <v>Scott Brown</v>
      </c>
      <c r="D226">
        <f ca="1">IFERROR(__xludf.DUMMYFUNCTION("""COMPUTED_VALUE"""),14)</f>
        <v>14</v>
      </c>
      <c r="E226">
        <f ca="1">IFERROR(__xludf.DUMMYFUNCTION("""COMPUTED_VALUE"""),-1.071)</f>
        <v>-1.071</v>
      </c>
      <c r="F226">
        <f ca="1">IFERROR(__xludf.DUMMYFUNCTION("""COMPUTED_VALUE"""),-0.712)</f>
        <v>-0.71199999999999997</v>
      </c>
      <c r="G226">
        <f ca="1">IFERROR(__xludf.DUMMYFUNCTION("""COMPUTED_VALUE"""),-0.014)</f>
        <v>-1.4E-2</v>
      </c>
      <c r="H226">
        <f ca="1">IFERROR(__xludf.DUMMYFUNCTION("""COMPUTED_VALUE"""),-0.344)</f>
        <v>-0.34399999999999997</v>
      </c>
      <c r="I226">
        <f ca="1">IFERROR(__xludf.DUMMYFUNCTION("""COMPUTED_VALUE"""),10)</f>
        <v>10</v>
      </c>
    </row>
    <row r="227" spans="1:9" ht="12.75">
      <c r="A227">
        <f ca="1">IFERROR(__xludf.DUMMYFUNCTION("""COMPUTED_VALUE"""),226)</f>
        <v>226</v>
      </c>
      <c r="B227">
        <f ca="1">IFERROR(__xludf.DUMMYFUNCTION("""COMPUTED_VALUE"""),217)</f>
        <v>217</v>
      </c>
      <c r="C227" t="str">
        <f ca="1">IFERROR(__xludf.DUMMYFUNCTION("""COMPUTED_VALUE"""),"Kelly Kraft")</f>
        <v>Kelly Kraft</v>
      </c>
      <c r="D227">
        <f ca="1">IFERROR(__xludf.DUMMYFUNCTION("""COMPUTED_VALUE"""),14)</f>
        <v>14</v>
      </c>
      <c r="E227">
        <f ca="1">IFERROR(__xludf.DUMMYFUNCTION("""COMPUTED_VALUE"""),-1.106)</f>
        <v>-1.1060000000000001</v>
      </c>
      <c r="F227">
        <f ca="1">IFERROR(__xludf.DUMMYFUNCTION("""COMPUTED_VALUE"""),-0.37)</f>
        <v>-0.37</v>
      </c>
      <c r="G227">
        <f ca="1">IFERROR(__xludf.DUMMYFUNCTION("""COMPUTED_VALUE"""),0.047)</f>
        <v>4.7E-2</v>
      </c>
      <c r="H227">
        <f ca="1">IFERROR(__xludf.DUMMYFUNCTION("""COMPUTED_VALUE"""),-0.783)</f>
        <v>-0.78300000000000003</v>
      </c>
      <c r="I227">
        <f ca="1">IFERROR(__xludf.DUMMYFUNCTION("""COMPUTED_VALUE"""),8)</f>
        <v>8</v>
      </c>
    </row>
    <row r="228" spans="1:9" ht="12.75">
      <c r="A228">
        <f ca="1">IFERROR(__xludf.DUMMYFUNCTION("""COMPUTED_VALUE"""),227)</f>
        <v>227</v>
      </c>
      <c r="B228">
        <f ca="1">IFERROR(__xludf.DUMMYFUNCTION("""COMPUTED_VALUE"""),219)</f>
        <v>219</v>
      </c>
      <c r="C228" t="str">
        <f ca="1">IFERROR(__xludf.DUMMYFUNCTION("""COMPUTED_VALUE"""),"Hanbyeol Kim")</f>
        <v>Hanbyeol Kim</v>
      </c>
      <c r="D228">
        <f ca="1">IFERROR(__xludf.DUMMYFUNCTION("""COMPUTED_VALUE"""),4)</f>
        <v>4</v>
      </c>
      <c r="E228">
        <f ca="1">IFERROR(__xludf.DUMMYFUNCTION("""COMPUTED_VALUE"""),-1.134)</f>
        <v>-1.1339999999999999</v>
      </c>
      <c r="F228">
        <f ca="1">IFERROR(__xludf.DUMMYFUNCTION("""COMPUTED_VALUE"""),-1.216)</f>
        <v>-1.216</v>
      </c>
      <c r="G228">
        <f ca="1">IFERROR(__xludf.DUMMYFUNCTION("""COMPUTED_VALUE"""),0.271)</f>
        <v>0.27100000000000002</v>
      </c>
      <c r="H228">
        <f ca="1">IFERROR(__xludf.DUMMYFUNCTION("""COMPUTED_VALUE"""),-0.188)</f>
        <v>-0.188</v>
      </c>
      <c r="I228">
        <f ca="1">IFERROR(__xludf.DUMMYFUNCTION("""COMPUTED_VALUE"""),4)</f>
        <v>4</v>
      </c>
    </row>
    <row r="229" spans="1:9" ht="12.75">
      <c r="A229">
        <f ca="1">IFERROR(__xludf.DUMMYFUNCTION("""COMPUTED_VALUE"""),228)</f>
        <v>228</v>
      </c>
      <c r="B229">
        <f ca="1">IFERROR(__xludf.DUMMYFUNCTION("""COMPUTED_VALUE"""),186)</f>
        <v>186</v>
      </c>
      <c r="C229" t="str">
        <f ca="1">IFERROR(__xludf.DUMMYFUNCTION("""COMPUTED_VALUE"""),"Tom Lewis")</f>
        <v>Tom Lewis</v>
      </c>
      <c r="D229">
        <f ca="1">IFERROR(__xludf.DUMMYFUNCTION("""COMPUTED_VALUE"""),12)</f>
        <v>12</v>
      </c>
      <c r="E229">
        <f ca="1">IFERROR(__xludf.DUMMYFUNCTION("""COMPUTED_VALUE"""),-1.137)</f>
        <v>-1.137</v>
      </c>
      <c r="F229">
        <f ca="1">IFERROR(__xludf.DUMMYFUNCTION("""COMPUTED_VALUE"""),-0.058)</f>
        <v>-5.8000000000000003E-2</v>
      </c>
      <c r="G229">
        <f ca="1">IFERROR(__xludf.DUMMYFUNCTION("""COMPUTED_VALUE"""),-1.239)</f>
        <v>-1.2390000000000001</v>
      </c>
      <c r="H229">
        <f ca="1">IFERROR(__xludf.DUMMYFUNCTION("""COMPUTED_VALUE"""),0.16)</f>
        <v>0.16</v>
      </c>
      <c r="I229">
        <f ca="1">IFERROR(__xludf.DUMMYFUNCTION("""COMPUTED_VALUE"""),10)</f>
        <v>10</v>
      </c>
    </row>
    <row r="230" spans="1:9" ht="12.75">
      <c r="A230">
        <f ca="1">IFERROR(__xludf.DUMMYFUNCTION("""COMPUTED_VALUE"""),229)</f>
        <v>229</v>
      </c>
      <c r="B230">
        <f ca="1">IFERROR(__xludf.DUMMYFUNCTION("""COMPUTED_VALUE"""),220)</f>
        <v>220</v>
      </c>
      <c r="C230" t="str">
        <f ca="1">IFERROR(__xludf.DUMMYFUNCTION("""COMPUTED_VALUE"""),"Matthias Schwab")</f>
        <v>Matthias Schwab</v>
      </c>
      <c r="D230">
        <f ca="1">IFERROR(__xludf.DUMMYFUNCTION("""COMPUTED_VALUE"""),8)</f>
        <v>8</v>
      </c>
      <c r="E230">
        <f ca="1">IFERROR(__xludf.DUMMYFUNCTION("""COMPUTED_VALUE"""),-1.152)</f>
        <v>-1.1519999999999999</v>
      </c>
      <c r="F230">
        <f ca="1">IFERROR(__xludf.DUMMYFUNCTION("""COMPUTED_VALUE"""),0.016)</f>
        <v>1.6E-2</v>
      </c>
      <c r="G230">
        <f ca="1">IFERROR(__xludf.DUMMYFUNCTION("""COMPUTED_VALUE"""),-1.096)</f>
        <v>-1.0960000000000001</v>
      </c>
      <c r="H230">
        <f ca="1">IFERROR(__xludf.DUMMYFUNCTION("""COMPUTED_VALUE"""),-0.072)</f>
        <v>-7.1999999999999995E-2</v>
      </c>
      <c r="I230">
        <f ca="1">IFERROR(__xludf.DUMMYFUNCTION("""COMPUTED_VALUE"""),4)</f>
        <v>4</v>
      </c>
    </row>
    <row r="231" spans="1:9" ht="12.75">
      <c r="A231">
        <f ca="1">IFERROR(__xludf.DUMMYFUNCTION("""COMPUTED_VALUE"""),230)</f>
        <v>230</v>
      </c>
      <c r="B231">
        <f ca="1">IFERROR(__xludf.DUMMYFUNCTION("""COMPUTED_VALUE"""),222)</f>
        <v>222</v>
      </c>
      <c r="C231" t="str">
        <f ca="1">IFERROR(__xludf.DUMMYFUNCTION("""COMPUTED_VALUE"""),"Ryo Ishikawa")</f>
        <v>Ryo Ishikawa</v>
      </c>
      <c r="D231">
        <f ca="1">IFERROR(__xludf.DUMMYFUNCTION("""COMPUTED_VALUE"""),8)</f>
        <v>8</v>
      </c>
      <c r="E231">
        <f ca="1">IFERROR(__xludf.DUMMYFUNCTION("""COMPUTED_VALUE"""),-1.198)</f>
        <v>-1.198</v>
      </c>
      <c r="F231">
        <f ca="1">IFERROR(__xludf.DUMMYFUNCTION("""COMPUTED_VALUE"""),-0.907)</f>
        <v>-0.90700000000000003</v>
      </c>
      <c r="G231">
        <f ca="1">IFERROR(__xludf.DUMMYFUNCTION("""COMPUTED_VALUE"""),-0.638)</f>
        <v>-0.63800000000000001</v>
      </c>
      <c r="H231">
        <f ca="1">IFERROR(__xludf.DUMMYFUNCTION("""COMPUTED_VALUE"""),0.347)</f>
        <v>0.34699999999999998</v>
      </c>
      <c r="I231">
        <f ca="1">IFERROR(__xludf.DUMMYFUNCTION("""COMPUTED_VALUE"""),8)</f>
        <v>8</v>
      </c>
    </row>
    <row r="232" spans="1:9" ht="12.75">
      <c r="A232">
        <f ca="1">IFERROR(__xludf.DUMMYFUNCTION("""COMPUTED_VALUE"""),231)</f>
        <v>231</v>
      </c>
      <c r="B232" t="str">
        <f ca="1">IFERROR(__xludf.DUMMYFUNCTION("""COMPUTED_VALUE"""),"T210")</f>
        <v>T210</v>
      </c>
      <c r="C232" t="str">
        <f ca="1">IFERROR(__xludf.DUMMYFUNCTION("""COMPUTED_VALUE"""),"Alex Noren")</f>
        <v>Alex Noren</v>
      </c>
      <c r="D232">
        <f ca="1">IFERROR(__xludf.DUMMYFUNCTION("""COMPUTED_VALUE"""),14)</f>
        <v>14</v>
      </c>
      <c r="E232">
        <f ca="1">IFERROR(__xludf.DUMMYFUNCTION("""COMPUTED_VALUE"""),-1.244)</f>
        <v>-1.244</v>
      </c>
      <c r="F232">
        <f ca="1">IFERROR(__xludf.DUMMYFUNCTION("""COMPUTED_VALUE"""),-0.761)</f>
        <v>-0.76100000000000001</v>
      </c>
      <c r="G232">
        <f ca="1">IFERROR(__xludf.DUMMYFUNCTION("""COMPUTED_VALUE"""),-0.637)</f>
        <v>-0.63700000000000001</v>
      </c>
      <c r="H232">
        <f ca="1">IFERROR(__xludf.DUMMYFUNCTION("""COMPUTED_VALUE"""),0.153)</f>
        <v>0.153</v>
      </c>
      <c r="I232">
        <f ca="1">IFERROR(__xludf.DUMMYFUNCTION("""COMPUTED_VALUE"""),14)</f>
        <v>14</v>
      </c>
    </row>
    <row r="233" spans="1:9" ht="12.75">
      <c r="A233" t="str">
        <f ca="1">IFERROR(__xludf.DUMMYFUNCTION("""COMPUTED_VALUE"""),"T232")</f>
        <v>T232</v>
      </c>
      <c r="B233">
        <f ca="1">IFERROR(__xludf.DUMMYFUNCTION("""COMPUTED_VALUE"""),96)</f>
        <v>96</v>
      </c>
      <c r="C233" t="str">
        <f ca="1">IFERROR(__xludf.DUMMYFUNCTION("""COMPUTED_VALUE"""),"Grayson Murray")</f>
        <v>Grayson Murray</v>
      </c>
      <c r="D233">
        <f ca="1">IFERROR(__xludf.DUMMYFUNCTION("""COMPUTED_VALUE"""),10)</f>
        <v>10</v>
      </c>
      <c r="E233">
        <f ca="1">IFERROR(__xludf.DUMMYFUNCTION("""COMPUTED_VALUE"""),-1.327)</f>
        <v>-1.327</v>
      </c>
      <c r="F233">
        <f ca="1">IFERROR(__xludf.DUMMYFUNCTION("""COMPUTED_VALUE"""),0.359)</f>
        <v>0.35899999999999999</v>
      </c>
      <c r="G233">
        <f ca="1">IFERROR(__xludf.DUMMYFUNCTION("""COMPUTED_VALUE"""),-0.227)</f>
        <v>-0.22700000000000001</v>
      </c>
      <c r="H233">
        <f ca="1">IFERROR(__xludf.DUMMYFUNCTION("""COMPUTED_VALUE"""),-1.459)</f>
        <v>-1.4590000000000001</v>
      </c>
      <c r="I233">
        <f ca="1">IFERROR(__xludf.DUMMYFUNCTION("""COMPUTED_VALUE"""),8)</f>
        <v>8</v>
      </c>
    </row>
    <row r="234" spans="1:9" ht="12.75">
      <c r="A234" t="str">
        <f ca="1">IFERROR(__xludf.DUMMYFUNCTION("""COMPUTED_VALUE"""),"T232")</f>
        <v>T232</v>
      </c>
      <c r="B234">
        <f ca="1">IFERROR(__xludf.DUMMYFUNCTION("""COMPUTED_VALUE"""),224)</f>
        <v>224</v>
      </c>
      <c r="C234" t="str">
        <f ca="1">IFERROR(__xludf.DUMMYFUNCTION("""COMPUTED_VALUE"""),"Zack Sucher")</f>
        <v>Zack Sucher</v>
      </c>
      <c r="D234">
        <f ca="1">IFERROR(__xludf.DUMMYFUNCTION("""COMPUTED_VALUE"""),6)</f>
        <v>6</v>
      </c>
      <c r="E234">
        <f ca="1">IFERROR(__xludf.DUMMYFUNCTION("""COMPUTED_VALUE"""),-1.327)</f>
        <v>-1.327</v>
      </c>
      <c r="F234">
        <f ca="1">IFERROR(__xludf.DUMMYFUNCTION("""COMPUTED_VALUE"""),-0.012)</f>
        <v>-1.2E-2</v>
      </c>
      <c r="G234">
        <f ca="1">IFERROR(__xludf.DUMMYFUNCTION("""COMPUTED_VALUE"""),-0.834)</f>
        <v>-0.83399999999999996</v>
      </c>
      <c r="H234">
        <f ca="1">IFERROR(__xludf.DUMMYFUNCTION("""COMPUTED_VALUE"""),-0.481)</f>
        <v>-0.48099999999999998</v>
      </c>
      <c r="I234">
        <f ca="1">IFERROR(__xludf.DUMMYFUNCTION("""COMPUTED_VALUE"""),2)</f>
        <v>2</v>
      </c>
    </row>
    <row r="235" spans="1:9" ht="12.75">
      <c r="A235">
        <f ca="1">IFERROR(__xludf.DUMMYFUNCTION("""COMPUTED_VALUE"""),234)</f>
        <v>234</v>
      </c>
      <c r="B235" t="str">
        <f ca="1">IFERROR(__xludf.DUMMYFUNCTION("""COMPUTED_VALUE"""),"T226")</f>
        <v>T226</v>
      </c>
      <c r="C235" t="str">
        <f ca="1">IFERROR(__xludf.DUMMYFUNCTION("""COMPUTED_VALUE"""),"Richy Werenski")</f>
        <v>Richy Werenski</v>
      </c>
      <c r="D235">
        <f ca="1">IFERROR(__xludf.DUMMYFUNCTION("""COMPUTED_VALUE"""),16)</f>
        <v>16</v>
      </c>
      <c r="E235">
        <f ca="1">IFERROR(__xludf.DUMMYFUNCTION("""COMPUTED_VALUE"""),-1.357)</f>
        <v>-1.357</v>
      </c>
      <c r="F235">
        <f ca="1">IFERROR(__xludf.DUMMYFUNCTION("""COMPUTED_VALUE"""),-0.819)</f>
        <v>-0.81899999999999995</v>
      </c>
      <c r="G235">
        <f ca="1">IFERROR(__xludf.DUMMYFUNCTION("""COMPUTED_VALUE"""),-0.495)</f>
        <v>-0.495</v>
      </c>
      <c r="H235">
        <f ca="1">IFERROR(__xludf.DUMMYFUNCTION("""COMPUTED_VALUE"""),-0.043)</f>
        <v>-4.2999999999999997E-2</v>
      </c>
      <c r="I235">
        <f ca="1">IFERROR(__xludf.DUMMYFUNCTION("""COMPUTED_VALUE"""),16)</f>
        <v>16</v>
      </c>
    </row>
    <row r="236" spans="1:9" ht="12.75">
      <c r="A236">
        <f ca="1">IFERROR(__xludf.DUMMYFUNCTION("""COMPUTED_VALUE"""),235)</f>
        <v>235</v>
      </c>
      <c r="B236">
        <f ca="1">IFERROR(__xludf.DUMMYFUNCTION("""COMPUTED_VALUE"""),228)</f>
        <v>228</v>
      </c>
      <c r="C236" t="str">
        <f ca="1">IFERROR(__xludf.DUMMYFUNCTION("""COMPUTED_VALUE"""),"Matt Every")</f>
        <v>Matt Every</v>
      </c>
      <c r="D236">
        <f ca="1">IFERROR(__xludf.DUMMYFUNCTION("""COMPUTED_VALUE"""),8)</f>
        <v>8</v>
      </c>
      <c r="E236">
        <f ca="1">IFERROR(__xludf.DUMMYFUNCTION("""COMPUTED_VALUE"""),-1.384)</f>
        <v>-1.3839999999999999</v>
      </c>
      <c r="F236">
        <f ca="1">IFERROR(__xludf.DUMMYFUNCTION("""COMPUTED_VALUE"""),-0.845)</f>
        <v>-0.84499999999999997</v>
      </c>
      <c r="G236">
        <f ca="1">IFERROR(__xludf.DUMMYFUNCTION("""COMPUTED_VALUE"""),-0.741)</f>
        <v>-0.74099999999999999</v>
      </c>
      <c r="H236">
        <f ca="1">IFERROR(__xludf.DUMMYFUNCTION("""COMPUTED_VALUE"""),0.202)</f>
        <v>0.20200000000000001</v>
      </c>
      <c r="I236">
        <f ca="1">IFERROR(__xludf.DUMMYFUNCTION("""COMPUTED_VALUE"""),4)</f>
        <v>4</v>
      </c>
    </row>
    <row r="237" spans="1:9" ht="12.75">
      <c r="A237">
        <f ca="1">IFERROR(__xludf.DUMMYFUNCTION("""COMPUTED_VALUE"""),236)</f>
        <v>236</v>
      </c>
      <c r="B237">
        <f ca="1">IFERROR(__xludf.DUMMYFUNCTION("""COMPUTED_VALUE"""),229)</f>
        <v>229</v>
      </c>
      <c r="C237" t="str">
        <f ca="1">IFERROR(__xludf.DUMMYFUNCTION("""COMPUTED_VALUE"""),"George McNeill")</f>
        <v>George McNeill</v>
      </c>
      <c r="D237">
        <f ca="1">IFERROR(__xludf.DUMMYFUNCTION("""COMPUTED_VALUE"""),8)</f>
        <v>8</v>
      </c>
      <c r="E237">
        <f ca="1">IFERROR(__xludf.DUMMYFUNCTION("""COMPUTED_VALUE"""),-1.385)</f>
        <v>-1.385</v>
      </c>
      <c r="F237">
        <f ca="1">IFERROR(__xludf.DUMMYFUNCTION("""COMPUTED_VALUE"""),-1.876)</f>
        <v>-1.8759999999999999</v>
      </c>
      <c r="G237">
        <f ca="1">IFERROR(__xludf.DUMMYFUNCTION("""COMPUTED_VALUE"""),-0.081)</f>
        <v>-8.1000000000000003E-2</v>
      </c>
      <c r="H237">
        <f ca="1">IFERROR(__xludf.DUMMYFUNCTION("""COMPUTED_VALUE"""),0.572)</f>
        <v>0.57199999999999995</v>
      </c>
      <c r="I237">
        <f ca="1">IFERROR(__xludf.DUMMYFUNCTION("""COMPUTED_VALUE"""),2)</f>
        <v>2</v>
      </c>
    </row>
    <row r="238" spans="1:9" ht="12.75">
      <c r="A238">
        <f ca="1">IFERROR(__xludf.DUMMYFUNCTION("""COMPUTED_VALUE"""),237)</f>
        <v>237</v>
      </c>
      <c r="B238">
        <f ca="1">IFERROR(__xludf.DUMMYFUNCTION("""COMPUTED_VALUE"""),190)</f>
        <v>190</v>
      </c>
      <c r="C238" t="str">
        <f ca="1">IFERROR(__xludf.DUMMYFUNCTION("""COMPUTED_VALUE"""),"Sam Ryder")</f>
        <v>Sam Ryder</v>
      </c>
      <c r="D238">
        <f ca="1">IFERROR(__xludf.DUMMYFUNCTION("""COMPUTED_VALUE"""),12)</f>
        <v>12</v>
      </c>
      <c r="E238">
        <f ca="1">IFERROR(__xludf.DUMMYFUNCTION("""COMPUTED_VALUE"""),-1.393)</f>
        <v>-1.393</v>
      </c>
      <c r="F238">
        <f ca="1">IFERROR(__xludf.DUMMYFUNCTION("""COMPUTED_VALUE"""),-0.126)</f>
        <v>-0.126</v>
      </c>
      <c r="G238">
        <f ca="1">IFERROR(__xludf.DUMMYFUNCTION("""COMPUTED_VALUE"""),-0.099)</f>
        <v>-9.9000000000000005E-2</v>
      </c>
      <c r="H238">
        <f ca="1">IFERROR(__xludf.DUMMYFUNCTION("""COMPUTED_VALUE"""),-1.168)</f>
        <v>-1.1679999999999999</v>
      </c>
      <c r="I238">
        <f ca="1">IFERROR(__xludf.DUMMYFUNCTION("""COMPUTED_VALUE"""),8)</f>
        <v>8</v>
      </c>
    </row>
    <row r="239" spans="1:9" ht="12.75">
      <c r="A239">
        <f ca="1">IFERROR(__xludf.DUMMYFUNCTION("""COMPUTED_VALUE"""),238)</f>
        <v>238</v>
      </c>
      <c r="B239">
        <f ca="1">IFERROR(__xludf.DUMMYFUNCTION("""COMPUTED_VALUE"""),247)</f>
        <v>247</v>
      </c>
      <c r="C239" t="str">
        <f ca="1">IFERROR(__xludf.DUMMYFUNCTION("""COMPUTED_VALUE"""),"Danny Willett")</f>
        <v>Danny Willett</v>
      </c>
      <c r="D239">
        <f ca="1">IFERROR(__xludf.DUMMYFUNCTION("""COMPUTED_VALUE"""),7)</f>
        <v>7</v>
      </c>
      <c r="E239">
        <f ca="1">IFERROR(__xludf.DUMMYFUNCTION("""COMPUTED_VALUE"""),-1.406)</f>
        <v>-1.4059999999999999</v>
      </c>
      <c r="F239">
        <f ca="1">IFERROR(__xludf.DUMMYFUNCTION("""COMPUTED_VALUE"""),0.027)</f>
        <v>2.7E-2</v>
      </c>
      <c r="G239">
        <f ca="1">IFERROR(__xludf.DUMMYFUNCTION("""COMPUTED_VALUE"""),-1.58)</f>
        <v>-1.58</v>
      </c>
      <c r="H239">
        <f ca="1">IFERROR(__xludf.DUMMYFUNCTION("""COMPUTED_VALUE"""),0.147)</f>
        <v>0.14699999999999999</v>
      </c>
      <c r="I239">
        <f ca="1">IFERROR(__xludf.DUMMYFUNCTION("""COMPUTED_VALUE"""),3)</f>
        <v>3</v>
      </c>
    </row>
    <row r="240" spans="1:9" ht="12.75">
      <c r="A240">
        <f ca="1">IFERROR(__xludf.DUMMYFUNCTION("""COMPUTED_VALUE"""),239)</f>
        <v>239</v>
      </c>
      <c r="B240">
        <f ca="1">IFERROR(__xludf.DUMMYFUNCTION("""COMPUTED_VALUE"""),231)</f>
        <v>231</v>
      </c>
      <c r="C240" t="str">
        <f ca="1">IFERROR(__xludf.DUMMYFUNCTION("""COMPUTED_VALUE"""),"Davis Riley")</f>
        <v>Davis Riley</v>
      </c>
      <c r="D240">
        <f ca="1">IFERROR(__xludf.DUMMYFUNCTION("""COMPUTED_VALUE"""),4)</f>
        <v>4</v>
      </c>
      <c r="E240">
        <f ca="1">IFERROR(__xludf.DUMMYFUNCTION("""COMPUTED_VALUE"""),-1.408)</f>
        <v>-1.4079999999999999</v>
      </c>
      <c r="F240">
        <f ca="1">IFERROR(__xludf.DUMMYFUNCTION("""COMPUTED_VALUE"""),0.438)</f>
        <v>0.438</v>
      </c>
      <c r="G240">
        <f ca="1">IFERROR(__xludf.DUMMYFUNCTION("""COMPUTED_VALUE"""),-0.376)</f>
        <v>-0.376</v>
      </c>
      <c r="H240">
        <f ca="1">IFERROR(__xludf.DUMMYFUNCTION("""COMPUTED_VALUE"""),-1.469)</f>
        <v>-1.4690000000000001</v>
      </c>
      <c r="I240">
        <f ca="1">IFERROR(__xludf.DUMMYFUNCTION("""COMPUTED_VALUE"""),4)</f>
        <v>4</v>
      </c>
    </row>
    <row r="241" spans="1:9" ht="12.75">
      <c r="A241">
        <f ca="1">IFERROR(__xludf.DUMMYFUNCTION("""COMPUTED_VALUE"""),240)</f>
        <v>240</v>
      </c>
      <c r="B241">
        <f ca="1">IFERROR(__xludf.DUMMYFUNCTION("""COMPUTED_VALUE"""),232)</f>
        <v>232</v>
      </c>
      <c r="C241" t="str">
        <f ca="1">IFERROR(__xludf.DUMMYFUNCTION("""COMPUTED_VALUE"""),"Joohyung Kim")</f>
        <v>Joohyung Kim</v>
      </c>
      <c r="D241">
        <f ca="1">IFERROR(__xludf.DUMMYFUNCTION("""COMPUTED_VALUE"""),12)</f>
        <v>12</v>
      </c>
      <c r="E241">
        <f ca="1">IFERROR(__xludf.DUMMYFUNCTION("""COMPUTED_VALUE"""),-1.415)</f>
        <v>-1.415</v>
      </c>
      <c r="F241">
        <f ca="1">IFERROR(__xludf.DUMMYFUNCTION("""COMPUTED_VALUE"""),-0.097)</f>
        <v>-9.7000000000000003E-2</v>
      </c>
      <c r="G241">
        <f ca="1">IFERROR(__xludf.DUMMYFUNCTION("""COMPUTED_VALUE"""),-0.721)</f>
        <v>-0.72099999999999997</v>
      </c>
      <c r="H241">
        <f ca="1">IFERROR(__xludf.DUMMYFUNCTION("""COMPUTED_VALUE"""),-0.597)</f>
        <v>-0.59699999999999998</v>
      </c>
      <c r="I241">
        <f ca="1">IFERROR(__xludf.DUMMYFUNCTION("""COMPUTED_VALUE"""),8)</f>
        <v>8</v>
      </c>
    </row>
    <row r="242" spans="1:9" ht="12.75">
      <c r="A242">
        <f ca="1">IFERROR(__xludf.DUMMYFUNCTION("""COMPUTED_VALUE"""),241)</f>
        <v>241</v>
      </c>
      <c r="B242">
        <f ca="1">IFERROR(__xludf.DUMMYFUNCTION("""COMPUTED_VALUE"""),166)</f>
        <v>166</v>
      </c>
      <c r="C242" t="str">
        <f ca="1">IFERROR(__xludf.DUMMYFUNCTION("""COMPUTED_VALUE"""),"Keith Mitchell")</f>
        <v>Keith Mitchell</v>
      </c>
      <c r="D242">
        <f ca="1">IFERROR(__xludf.DUMMYFUNCTION("""COMPUTED_VALUE"""),14)</f>
        <v>14</v>
      </c>
      <c r="E242">
        <f ca="1">IFERROR(__xludf.DUMMYFUNCTION("""COMPUTED_VALUE"""),-1.429)</f>
        <v>-1.429</v>
      </c>
      <c r="F242">
        <f ca="1">IFERROR(__xludf.DUMMYFUNCTION("""COMPUTED_VALUE"""),-0.181)</f>
        <v>-0.18099999999999999</v>
      </c>
      <c r="G242">
        <f ca="1">IFERROR(__xludf.DUMMYFUNCTION("""COMPUTED_VALUE"""),-0.214)</f>
        <v>-0.214</v>
      </c>
      <c r="H242">
        <f ca="1">IFERROR(__xludf.DUMMYFUNCTION("""COMPUTED_VALUE"""),-1.034)</f>
        <v>-1.034</v>
      </c>
      <c r="I242">
        <f ca="1">IFERROR(__xludf.DUMMYFUNCTION("""COMPUTED_VALUE"""),6)</f>
        <v>6</v>
      </c>
    </row>
    <row r="243" spans="1:9" ht="12.75">
      <c r="A243">
        <f ca="1">IFERROR(__xludf.DUMMYFUNCTION("""COMPUTED_VALUE"""),242)</f>
        <v>242</v>
      </c>
      <c r="B243">
        <f ca="1">IFERROR(__xludf.DUMMYFUNCTION("""COMPUTED_VALUE"""),233)</f>
        <v>233</v>
      </c>
      <c r="C243" t="str">
        <f ca="1">IFERROR(__xludf.DUMMYFUNCTION("""COMPUTED_VALUE"""),"Mikumu Horikawa")</f>
        <v>Mikumu Horikawa</v>
      </c>
      <c r="D243">
        <f ca="1">IFERROR(__xludf.DUMMYFUNCTION("""COMPUTED_VALUE"""),4)</f>
        <v>4</v>
      </c>
      <c r="E243">
        <f ca="1">IFERROR(__xludf.DUMMYFUNCTION("""COMPUTED_VALUE"""),-1.459)</f>
        <v>-1.4590000000000001</v>
      </c>
      <c r="F243">
        <f ca="1">IFERROR(__xludf.DUMMYFUNCTION("""COMPUTED_VALUE"""),-1.049)</f>
        <v>-1.0489999999999999</v>
      </c>
      <c r="G243">
        <f ca="1">IFERROR(__xludf.DUMMYFUNCTION("""COMPUTED_VALUE"""),0.252)</f>
        <v>0.252</v>
      </c>
      <c r="H243">
        <f ca="1">IFERROR(__xludf.DUMMYFUNCTION("""COMPUTED_VALUE"""),-0.662)</f>
        <v>-0.66200000000000003</v>
      </c>
      <c r="I243">
        <f ca="1">IFERROR(__xludf.DUMMYFUNCTION("""COMPUTED_VALUE"""),4)</f>
        <v>4</v>
      </c>
    </row>
    <row r="244" spans="1:9" ht="12.75">
      <c r="A244">
        <f ca="1">IFERROR(__xludf.DUMMYFUNCTION("""COMPUTED_VALUE"""),243)</f>
        <v>243</v>
      </c>
      <c r="B244">
        <f ca="1">IFERROR(__xludf.DUMMYFUNCTION("""COMPUTED_VALUE"""),225)</f>
        <v>225</v>
      </c>
      <c r="C244" t="str">
        <f ca="1">IFERROR(__xludf.DUMMYFUNCTION("""COMPUTED_VALUE"""),"Phil Mickelson")</f>
        <v>Phil Mickelson</v>
      </c>
      <c r="D244">
        <f ca="1">IFERROR(__xludf.DUMMYFUNCTION("""COMPUTED_VALUE"""),12)</f>
        <v>12</v>
      </c>
      <c r="E244">
        <f ca="1">IFERROR(__xludf.DUMMYFUNCTION("""COMPUTED_VALUE"""),-1.461)</f>
        <v>-1.4610000000000001</v>
      </c>
      <c r="F244">
        <f ca="1">IFERROR(__xludf.DUMMYFUNCTION("""COMPUTED_VALUE"""),-1.218)</f>
        <v>-1.218</v>
      </c>
      <c r="G244">
        <f ca="1">IFERROR(__xludf.DUMMYFUNCTION("""COMPUTED_VALUE"""),-0.332)</f>
        <v>-0.33200000000000002</v>
      </c>
      <c r="H244">
        <f ca="1">IFERROR(__xludf.DUMMYFUNCTION("""COMPUTED_VALUE"""),0.089)</f>
        <v>8.8999999999999996E-2</v>
      </c>
      <c r="I244">
        <f ca="1">IFERROR(__xludf.DUMMYFUNCTION("""COMPUTED_VALUE"""),12)</f>
        <v>12</v>
      </c>
    </row>
    <row r="245" spans="1:9" ht="12.75">
      <c r="A245">
        <f ca="1">IFERROR(__xludf.DUMMYFUNCTION("""COMPUTED_VALUE"""),244)</f>
        <v>244</v>
      </c>
      <c r="B245">
        <f ca="1">IFERROR(__xludf.DUMMYFUNCTION("""COMPUTED_VALUE"""),234)</f>
        <v>234</v>
      </c>
      <c r="C245" t="str">
        <f ca="1">IFERROR(__xludf.DUMMYFUNCTION("""COMPUTED_VALUE"""),"Seonghyeon Kim")</f>
        <v>Seonghyeon Kim</v>
      </c>
      <c r="D245">
        <f ca="1">IFERROR(__xludf.DUMMYFUNCTION("""COMPUTED_VALUE"""),4)</f>
        <v>4</v>
      </c>
      <c r="E245">
        <f ca="1">IFERROR(__xludf.DUMMYFUNCTION("""COMPUTED_VALUE"""),-1.464)</f>
        <v>-1.464</v>
      </c>
      <c r="F245">
        <f ca="1">IFERROR(__xludf.DUMMYFUNCTION("""COMPUTED_VALUE"""),-0.047)</f>
        <v>-4.7E-2</v>
      </c>
      <c r="G245">
        <f ca="1">IFERROR(__xludf.DUMMYFUNCTION("""COMPUTED_VALUE"""),-0.903)</f>
        <v>-0.90300000000000002</v>
      </c>
      <c r="H245">
        <f ca="1">IFERROR(__xludf.DUMMYFUNCTION("""COMPUTED_VALUE"""),-0.514)</f>
        <v>-0.51400000000000001</v>
      </c>
      <c r="I245">
        <f ca="1">IFERROR(__xludf.DUMMYFUNCTION("""COMPUTED_VALUE"""),4)</f>
        <v>4</v>
      </c>
    </row>
    <row r="246" spans="1:9" ht="12.75">
      <c r="A246">
        <f ca="1">IFERROR(__xludf.DUMMYFUNCTION("""COMPUTED_VALUE"""),245)</f>
        <v>245</v>
      </c>
      <c r="B246">
        <f ca="1">IFERROR(__xludf.DUMMYFUNCTION("""COMPUTED_VALUE"""),235)</f>
        <v>235</v>
      </c>
      <c r="C246" t="str">
        <f ca="1">IFERROR(__xludf.DUMMYFUNCTION("""COMPUTED_VALUE"""),"Robert Streb")</f>
        <v>Robert Streb</v>
      </c>
      <c r="D246">
        <f ca="1">IFERROR(__xludf.DUMMYFUNCTION("""COMPUTED_VALUE"""),12)</f>
        <v>12</v>
      </c>
      <c r="E246">
        <f ca="1">IFERROR(__xludf.DUMMYFUNCTION("""COMPUTED_VALUE"""),-1.465)</f>
        <v>-1.4650000000000001</v>
      </c>
      <c r="F246">
        <f ca="1">IFERROR(__xludf.DUMMYFUNCTION("""COMPUTED_VALUE"""),0.042)</f>
        <v>4.2000000000000003E-2</v>
      </c>
      <c r="G246">
        <f ca="1">IFERROR(__xludf.DUMMYFUNCTION("""COMPUTED_VALUE"""),-1.279)</f>
        <v>-1.2789999999999999</v>
      </c>
      <c r="H246">
        <f ca="1">IFERROR(__xludf.DUMMYFUNCTION("""COMPUTED_VALUE"""),-0.228)</f>
        <v>-0.22800000000000001</v>
      </c>
      <c r="I246">
        <f ca="1">IFERROR(__xludf.DUMMYFUNCTION("""COMPUTED_VALUE"""),4)</f>
        <v>4</v>
      </c>
    </row>
    <row r="247" spans="1:9" ht="12.75">
      <c r="A247">
        <f ca="1">IFERROR(__xludf.DUMMYFUNCTION("""COMPUTED_VALUE"""),246)</f>
        <v>246</v>
      </c>
      <c r="B247">
        <f ca="1">IFERROR(__xludf.DUMMYFUNCTION("""COMPUTED_VALUE"""),236)</f>
        <v>236</v>
      </c>
      <c r="C247" t="str">
        <f ca="1">IFERROR(__xludf.DUMMYFUNCTION("""COMPUTED_VALUE"""),"Nick Taylor")</f>
        <v>Nick Taylor</v>
      </c>
      <c r="D247">
        <f ca="1">IFERROR(__xludf.DUMMYFUNCTION("""COMPUTED_VALUE"""),12)</f>
        <v>12</v>
      </c>
      <c r="E247">
        <f ca="1">IFERROR(__xludf.DUMMYFUNCTION("""COMPUTED_VALUE"""),-1.47)</f>
        <v>-1.47</v>
      </c>
      <c r="F247">
        <f ca="1">IFERROR(__xludf.DUMMYFUNCTION("""COMPUTED_VALUE"""),-0.188)</f>
        <v>-0.188</v>
      </c>
      <c r="G247">
        <f ca="1">IFERROR(__xludf.DUMMYFUNCTION("""COMPUTED_VALUE"""),-0.857)</f>
        <v>-0.85699999999999998</v>
      </c>
      <c r="H247">
        <f ca="1">IFERROR(__xludf.DUMMYFUNCTION("""COMPUTED_VALUE"""),-0.426)</f>
        <v>-0.42599999999999999</v>
      </c>
      <c r="I247">
        <f ca="1">IFERROR(__xludf.DUMMYFUNCTION("""COMPUTED_VALUE"""),12)</f>
        <v>12</v>
      </c>
    </row>
    <row r="248" spans="1:9" ht="12.75">
      <c r="A248">
        <f ca="1">IFERROR(__xludf.DUMMYFUNCTION("""COMPUTED_VALUE"""),247)</f>
        <v>247</v>
      </c>
      <c r="B248">
        <f ca="1">IFERROR(__xludf.DUMMYFUNCTION("""COMPUTED_VALUE"""),237)</f>
        <v>237</v>
      </c>
      <c r="C248" t="str">
        <f ca="1">IFERROR(__xludf.DUMMYFUNCTION("""COMPUTED_VALUE"""),"Luke Donald")</f>
        <v>Luke Donald</v>
      </c>
      <c r="D248">
        <f ca="1">IFERROR(__xludf.DUMMYFUNCTION("""COMPUTED_VALUE"""),14)</f>
        <v>14</v>
      </c>
      <c r="E248">
        <f ca="1">IFERROR(__xludf.DUMMYFUNCTION("""COMPUTED_VALUE"""),-1.498)</f>
        <v>-1.498</v>
      </c>
      <c r="F248">
        <f ca="1">IFERROR(__xludf.DUMMYFUNCTION("""COMPUTED_VALUE"""),-0.849)</f>
        <v>-0.84899999999999998</v>
      </c>
      <c r="G248">
        <f ca="1">IFERROR(__xludf.DUMMYFUNCTION("""COMPUTED_VALUE"""),-0.387)</f>
        <v>-0.38700000000000001</v>
      </c>
      <c r="H248">
        <f ca="1">IFERROR(__xludf.DUMMYFUNCTION("""COMPUTED_VALUE"""),-0.263)</f>
        <v>-0.26300000000000001</v>
      </c>
      <c r="I248">
        <f ca="1">IFERROR(__xludf.DUMMYFUNCTION("""COMPUTED_VALUE"""),10)</f>
        <v>10</v>
      </c>
    </row>
    <row r="249" spans="1:9" ht="12.75">
      <c r="A249">
        <f ca="1">IFERROR(__xludf.DUMMYFUNCTION("""COMPUTED_VALUE"""),248)</f>
        <v>248</v>
      </c>
      <c r="B249">
        <f ca="1">IFERROR(__xludf.DUMMYFUNCTION("""COMPUTED_VALUE"""),238)</f>
        <v>238</v>
      </c>
      <c r="C249" t="str">
        <f ca="1">IFERROR(__xludf.DUMMYFUNCTION("""COMPUTED_VALUE"""),"Alex Cejka")</f>
        <v>Alex Cejka</v>
      </c>
      <c r="D249">
        <f ca="1">IFERROR(__xludf.DUMMYFUNCTION("""COMPUTED_VALUE"""),6)</f>
        <v>6</v>
      </c>
      <c r="E249">
        <f ca="1">IFERROR(__xludf.DUMMYFUNCTION("""COMPUTED_VALUE"""),-1.532)</f>
        <v>-1.532</v>
      </c>
      <c r="F249">
        <f ca="1">IFERROR(__xludf.DUMMYFUNCTION("""COMPUTED_VALUE"""),-0.411)</f>
        <v>-0.41099999999999998</v>
      </c>
      <c r="G249">
        <f ca="1">IFERROR(__xludf.DUMMYFUNCTION("""COMPUTED_VALUE"""),-1.092)</f>
        <v>-1.0920000000000001</v>
      </c>
      <c r="H249">
        <f ca="1">IFERROR(__xludf.DUMMYFUNCTION("""COMPUTED_VALUE"""),-0.029)</f>
        <v>-2.9000000000000001E-2</v>
      </c>
      <c r="I249">
        <f ca="1">IFERROR(__xludf.DUMMYFUNCTION("""COMPUTED_VALUE"""),2)</f>
        <v>2</v>
      </c>
    </row>
    <row r="250" spans="1:9" ht="12.75">
      <c r="A250">
        <f ca="1">IFERROR(__xludf.DUMMYFUNCTION("""COMPUTED_VALUE"""),249)</f>
        <v>249</v>
      </c>
      <c r="B250">
        <f ca="1">IFERROR(__xludf.DUMMYFUNCTION("""COMPUTED_VALUE"""),239)</f>
        <v>239</v>
      </c>
      <c r="C250" t="str">
        <f ca="1">IFERROR(__xludf.DUMMYFUNCTION("""COMPUTED_VALUE"""),"Kiradech Aphibarnrat")</f>
        <v>Kiradech Aphibarnrat</v>
      </c>
      <c r="D250">
        <f ca="1">IFERROR(__xludf.DUMMYFUNCTION("""COMPUTED_VALUE"""),12)</f>
        <v>12</v>
      </c>
      <c r="E250">
        <f ca="1">IFERROR(__xludf.DUMMYFUNCTION("""COMPUTED_VALUE"""),-1.596)</f>
        <v>-1.5960000000000001</v>
      </c>
      <c r="F250">
        <f ca="1">IFERROR(__xludf.DUMMYFUNCTION("""COMPUTED_VALUE"""),0.004)</f>
        <v>4.0000000000000001E-3</v>
      </c>
      <c r="G250">
        <f ca="1">IFERROR(__xludf.DUMMYFUNCTION("""COMPUTED_VALUE"""),-1.611)</f>
        <v>-1.611</v>
      </c>
      <c r="H250">
        <f ca="1">IFERROR(__xludf.DUMMYFUNCTION("""COMPUTED_VALUE"""),0.012)</f>
        <v>1.2E-2</v>
      </c>
      <c r="I250">
        <f ca="1">IFERROR(__xludf.DUMMYFUNCTION("""COMPUTED_VALUE"""),4)</f>
        <v>4</v>
      </c>
    </row>
    <row r="251" spans="1:9" ht="12.75">
      <c r="A251">
        <f ca="1">IFERROR(__xludf.DUMMYFUNCTION("""COMPUTED_VALUE"""),250)</f>
        <v>250</v>
      </c>
      <c r="B251">
        <f ca="1">IFERROR(__xludf.DUMMYFUNCTION("""COMPUTED_VALUE"""),181)</f>
        <v>181</v>
      </c>
      <c r="C251" t="str">
        <f ca="1">IFERROR(__xludf.DUMMYFUNCTION("""COMPUTED_VALUE"""),"Bo Van Pelt")</f>
        <v>Bo Van Pelt</v>
      </c>
      <c r="D251">
        <f ca="1">IFERROR(__xludf.DUMMYFUNCTION("""COMPUTED_VALUE"""),10)</f>
        <v>10</v>
      </c>
      <c r="E251">
        <f ca="1">IFERROR(__xludf.DUMMYFUNCTION("""COMPUTED_VALUE"""),-1.611)</f>
        <v>-1.611</v>
      </c>
      <c r="F251">
        <f ca="1">IFERROR(__xludf.DUMMYFUNCTION("""COMPUTED_VALUE"""),-0.222)</f>
        <v>-0.222</v>
      </c>
      <c r="G251">
        <f ca="1">IFERROR(__xludf.DUMMYFUNCTION("""COMPUTED_VALUE"""),-0.647)</f>
        <v>-0.64700000000000002</v>
      </c>
      <c r="H251">
        <f ca="1">IFERROR(__xludf.DUMMYFUNCTION("""COMPUTED_VALUE"""),-0.742)</f>
        <v>-0.74199999999999999</v>
      </c>
      <c r="I251">
        <f ca="1">IFERROR(__xludf.DUMMYFUNCTION("""COMPUTED_VALUE"""),6)</f>
        <v>6</v>
      </c>
    </row>
    <row r="252" spans="1:9" ht="12.75">
      <c r="A252">
        <f ca="1">IFERROR(__xludf.DUMMYFUNCTION("""COMPUTED_VALUE"""),251)</f>
        <v>251</v>
      </c>
      <c r="B252">
        <f ca="1">IFERROR(__xludf.DUMMYFUNCTION("""COMPUTED_VALUE"""),241)</f>
        <v>241</v>
      </c>
      <c r="C252" t="str">
        <f ca="1">IFERROR(__xludf.DUMMYFUNCTION("""COMPUTED_VALUE"""),"Dominic Bozzelli")</f>
        <v>Dominic Bozzelli</v>
      </c>
      <c r="D252">
        <f ca="1">IFERROR(__xludf.DUMMYFUNCTION("""COMPUTED_VALUE"""),8)</f>
        <v>8</v>
      </c>
      <c r="E252">
        <f ca="1">IFERROR(__xludf.DUMMYFUNCTION("""COMPUTED_VALUE"""),-1.74)</f>
        <v>-1.74</v>
      </c>
      <c r="F252">
        <f ca="1">IFERROR(__xludf.DUMMYFUNCTION("""COMPUTED_VALUE"""),-0.785)</f>
        <v>-0.78500000000000003</v>
      </c>
      <c r="G252">
        <f ca="1">IFERROR(__xludf.DUMMYFUNCTION("""COMPUTED_VALUE"""),-0.569)</f>
        <v>-0.56899999999999995</v>
      </c>
      <c r="H252">
        <f ca="1">IFERROR(__xludf.DUMMYFUNCTION("""COMPUTED_VALUE"""),-0.385)</f>
        <v>-0.38500000000000001</v>
      </c>
      <c r="I252">
        <f ca="1">IFERROR(__xludf.DUMMYFUNCTION("""COMPUTED_VALUE"""),2)</f>
        <v>2</v>
      </c>
    </row>
    <row r="253" spans="1:9" ht="12.75">
      <c r="A253">
        <f ca="1">IFERROR(__xludf.DUMMYFUNCTION("""COMPUTED_VALUE"""),252)</f>
        <v>252</v>
      </c>
      <c r="B253">
        <f ca="1">IFERROR(__xludf.DUMMYFUNCTION("""COMPUTED_VALUE"""),242)</f>
        <v>242</v>
      </c>
      <c r="C253" t="str">
        <f ca="1">IFERROR(__xludf.DUMMYFUNCTION("""COMPUTED_VALUE"""),"Tiger Woods")</f>
        <v>Tiger Woods</v>
      </c>
      <c r="D253">
        <f ca="1">IFERROR(__xludf.DUMMYFUNCTION("""COMPUTED_VALUE"""),6)</f>
        <v>6</v>
      </c>
      <c r="E253">
        <f ca="1">IFERROR(__xludf.DUMMYFUNCTION("""COMPUTED_VALUE"""),-1.761)</f>
        <v>-1.7609999999999999</v>
      </c>
      <c r="F253">
        <f ca="1">IFERROR(__xludf.DUMMYFUNCTION("""COMPUTED_VALUE"""),-0.9)</f>
        <v>-0.9</v>
      </c>
      <c r="G253">
        <f ca="1">IFERROR(__xludf.DUMMYFUNCTION("""COMPUTED_VALUE"""),-0.694)</f>
        <v>-0.69399999999999995</v>
      </c>
      <c r="H253">
        <f ca="1">IFERROR(__xludf.DUMMYFUNCTION("""COMPUTED_VALUE"""),-0.167)</f>
        <v>-0.16700000000000001</v>
      </c>
      <c r="I253">
        <f ca="1">IFERROR(__xludf.DUMMYFUNCTION("""COMPUTED_VALUE"""),6)</f>
        <v>6</v>
      </c>
    </row>
    <row r="254" spans="1:9" ht="12.75">
      <c r="A254">
        <f ca="1">IFERROR(__xludf.DUMMYFUNCTION("""COMPUTED_VALUE"""),253)</f>
        <v>253</v>
      </c>
      <c r="B254">
        <f ca="1">IFERROR(__xludf.DUMMYFUNCTION("""COMPUTED_VALUE"""),243)</f>
        <v>243</v>
      </c>
      <c r="C254" t="str">
        <f ca="1">IFERROR(__xludf.DUMMYFUNCTION("""COMPUTED_VALUE"""),"Rikuya Hoshino")</f>
        <v>Rikuya Hoshino</v>
      </c>
      <c r="D254">
        <f ca="1">IFERROR(__xludf.DUMMYFUNCTION("""COMPUTED_VALUE"""),4)</f>
        <v>4</v>
      </c>
      <c r="E254">
        <f ca="1">IFERROR(__xludf.DUMMYFUNCTION("""COMPUTED_VALUE"""),-1.778)</f>
        <v>-1.778</v>
      </c>
      <c r="F254">
        <f ca="1">IFERROR(__xludf.DUMMYFUNCTION("""COMPUTED_VALUE"""),0.087)</f>
        <v>8.6999999999999994E-2</v>
      </c>
      <c r="G254">
        <f ca="1">IFERROR(__xludf.DUMMYFUNCTION("""COMPUTED_VALUE"""),-1.282)</f>
        <v>-1.282</v>
      </c>
      <c r="H254">
        <f ca="1">IFERROR(__xludf.DUMMYFUNCTION("""COMPUTED_VALUE"""),-0.582)</f>
        <v>-0.58199999999999996</v>
      </c>
      <c r="I254">
        <f ca="1">IFERROR(__xludf.DUMMYFUNCTION("""COMPUTED_VALUE"""),4)</f>
        <v>4</v>
      </c>
    </row>
    <row r="255" spans="1:9" ht="12.75">
      <c r="A255">
        <f ca="1">IFERROR(__xludf.DUMMYFUNCTION("""COMPUTED_VALUE"""),254)</f>
        <v>254</v>
      </c>
      <c r="B255">
        <f ca="1">IFERROR(__xludf.DUMMYFUNCTION("""COMPUTED_VALUE"""),244)</f>
        <v>244</v>
      </c>
      <c r="C255" t="str">
        <f ca="1">IFERROR(__xludf.DUMMYFUNCTION("""COMPUTED_VALUE"""),"Steve Lewton")</f>
        <v>Steve Lewton</v>
      </c>
      <c r="D255">
        <f ca="1">IFERROR(__xludf.DUMMYFUNCTION("""COMPUTED_VALUE"""),4)</f>
        <v>4</v>
      </c>
      <c r="E255">
        <f ca="1">IFERROR(__xludf.DUMMYFUNCTION("""COMPUTED_VALUE"""),-1.805)</f>
        <v>-1.8049999999999999</v>
      </c>
      <c r="F255">
        <f ca="1">IFERROR(__xludf.DUMMYFUNCTION("""COMPUTED_VALUE"""),-0.709)</f>
        <v>-0.70899999999999996</v>
      </c>
      <c r="G255">
        <f ca="1">IFERROR(__xludf.DUMMYFUNCTION("""COMPUTED_VALUE"""),-0.849)</f>
        <v>-0.84899999999999998</v>
      </c>
      <c r="H255">
        <f ca="1">IFERROR(__xludf.DUMMYFUNCTION("""COMPUTED_VALUE"""),-0.246)</f>
        <v>-0.246</v>
      </c>
      <c r="I255">
        <f ca="1">IFERROR(__xludf.DUMMYFUNCTION("""COMPUTED_VALUE"""),4)</f>
        <v>4</v>
      </c>
    </row>
    <row r="256" spans="1:9" ht="12.75">
      <c r="A256">
        <f ca="1">IFERROR(__xludf.DUMMYFUNCTION("""COMPUTED_VALUE"""),255)</f>
        <v>255</v>
      </c>
      <c r="B256">
        <f ca="1">IFERROR(__xludf.DUMMYFUNCTION("""COMPUTED_VALUE"""),245)</f>
        <v>245</v>
      </c>
      <c r="C256" t="str">
        <f ca="1">IFERROR(__xludf.DUMMYFUNCTION("""COMPUTED_VALUE"""),"Seamus Power")</f>
        <v>Seamus Power</v>
      </c>
      <c r="D256">
        <f ca="1">IFERROR(__xludf.DUMMYFUNCTION("""COMPUTED_VALUE"""),8)</f>
        <v>8</v>
      </c>
      <c r="E256">
        <f ca="1">IFERROR(__xludf.DUMMYFUNCTION("""COMPUTED_VALUE"""),-1.89)</f>
        <v>-1.89</v>
      </c>
      <c r="F256">
        <f ca="1">IFERROR(__xludf.DUMMYFUNCTION("""COMPUTED_VALUE"""),-0.586)</f>
        <v>-0.58599999999999997</v>
      </c>
      <c r="G256">
        <f ca="1">IFERROR(__xludf.DUMMYFUNCTION("""COMPUTED_VALUE"""),-1.465)</f>
        <v>-1.4650000000000001</v>
      </c>
      <c r="H256">
        <f ca="1">IFERROR(__xludf.DUMMYFUNCTION("""COMPUTED_VALUE"""),0.16)</f>
        <v>0.16</v>
      </c>
      <c r="I256">
        <f ca="1">IFERROR(__xludf.DUMMYFUNCTION("""COMPUTED_VALUE"""),2)</f>
        <v>2</v>
      </c>
    </row>
    <row r="257" spans="1:9" ht="12.75">
      <c r="A257">
        <f ca="1">IFERROR(__xludf.DUMMYFUNCTION("""COMPUTED_VALUE"""),256)</f>
        <v>256</v>
      </c>
      <c r="B257">
        <f ca="1">IFERROR(__xludf.DUMMYFUNCTION("""COMPUTED_VALUE"""),221)</f>
        <v>221</v>
      </c>
      <c r="C257" t="str">
        <f ca="1">IFERROR(__xludf.DUMMYFUNCTION("""COMPUTED_VALUE"""),"Jimmy Walker")</f>
        <v>Jimmy Walker</v>
      </c>
      <c r="D257">
        <f ca="1">IFERROR(__xludf.DUMMYFUNCTION("""COMPUTED_VALUE"""),10)</f>
        <v>10</v>
      </c>
      <c r="E257">
        <f ca="1">IFERROR(__xludf.DUMMYFUNCTION("""COMPUTED_VALUE"""),-1.946)</f>
        <v>-1.946</v>
      </c>
      <c r="F257">
        <f ca="1">IFERROR(__xludf.DUMMYFUNCTION("""COMPUTED_VALUE"""),-0.648)</f>
        <v>-0.64800000000000002</v>
      </c>
      <c r="G257">
        <f ca="1">IFERROR(__xludf.DUMMYFUNCTION("""COMPUTED_VALUE"""),-0.749)</f>
        <v>-0.749</v>
      </c>
      <c r="H257">
        <f ca="1">IFERROR(__xludf.DUMMYFUNCTION("""COMPUTED_VALUE"""),-0.55)</f>
        <v>-0.55000000000000004</v>
      </c>
      <c r="I257">
        <f ca="1">IFERROR(__xludf.DUMMYFUNCTION("""COMPUTED_VALUE"""),10)</f>
        <v>10</v>
      </c>
    </row>
    <row r="258" spans="1:9" ht="12.75">
      <c r="A258">
        <f ca="1">IFERROR(__xludf.DUMMYFUNCTION("""COMPUTED_VALUE"""),257)</f>
        <v>257</v>
      </c>
      <c r="B258" t="str">
        <f ca="1">IFERROR(__xludf.DUMMYFUNCTION("""COMPUTED_VALUE"""),"")</f>
        <v/>
      </c>
      <c r="C258" t="str">
        <f ca="1">IFERROR(__xludf.DUMMYFUNCTION("""COMPUTED_VALUE"""),"Ollie Schniederjans")</f>
        <v>Ollie Schniederjans</v>
      </c>
      <c r="D258">
        <f ca="1">IFERROR(__xludf.DUMMYFUNCTION("""COMPUTED_VALUE"""),6)</f>
        <v>6</v>
      </c>
      <c r="E258">
        <f ca="1">IFERROR(__xludf.DUMMYFUNCTION("""COMPUTED_VALUE"""),-1.951)</f>
        <v>-1.9510000000000001</v>
      </c>
      <c r="F258">
        <f ca="1">IFERROR(__xludf.DUMMYFUNCTION("""COMPUTED_VALUE"""),-1)</f>
        <v>-1</v>
      </c>
      <c r="G258">
        <f ca="1">IFERROR(__xludf.DUMMYFUNCTION("""COMPUTED_VALUE"""),-1.668)</f>
        <v>-1.6679999999999999</v>
      </c>
      <c r="H258">
        <f ca="1">IFERROR(__xludf.DUMMYFUNCTION("""COMPUTED_VALUE"""),0.718)</f>
        <v>0.71799999999999997</v>
      </c>
      <c r="I258">
        <f ca="1">IFERROR(__xludf.DUMMYFUNCTION("""COMPUTED_VALUE"""),2)</f>
        <v>2</v>
      </c>
    </row>
    <row r="259" spans="1:9" ht="12.75">
      <c r="A259">
        <f ca="1">IFERROR(__xludf.DUMMYFUNCTION("""COMPUTED_VALUE"""),258)</f>
        <v>258</v>
      </c>
      <c r="B259">
        <f ca="1">IFERROR(__xludf.DUMMYFUNCTION("""COMPUTED_VALUE"""),248)</f>
        <v>248</v>
      </c>
      <c r="C259" t="str">
        <f ca="1">IFERROR(__xludf.DUMMYFUNCTION("""COMPUTED_VALUE"""),"Sangmoon Bae")</f>
        <v>Sangmoon Bae</v>
      </c>
      <c r="D259">
        <f ca="1">IFERROR(__xludf.DUMMYFUNCTION("""COMPUTED_VALUE"""),8)</f>
        <v>8</v>
      </c>
      <c r="E259">
        <f ca="1">IFERROR(__xludf.DUMMYFUNCTION("""COMPUTED_VALUE"""),-1.985)</f>
        <v>-1.9850000000000001</v>
      </c>
      <c r="F259">
        <f ca="1">IFERROR(__xludf.DUMMYFUNCTION("""COMPUTED_VALUE"""),-0.554)</f>
        <v>-0.55400000000000005</v>
      </c>
      <c r="G259">
        <f ca="1">IFERROR(__xludf.DUMMYFUNCTION("""COMPUTED_VALUE"""),-0.314)</f>
        <v>-0.314</v>
      </c>
      <c r="H259">
        <f ca="1">IFERROR(__xludf.DUMMYFUNCTION("""COMPUTED_VALUE"""),-1.117)</f>
        <v>-1.117</v>
      </c>
      <c r="I259">
        <f ca="1">IFERROR(__xludf.DUMMYFUNCTION("""COMPUTED_VALUE"""),2)</f>
        <v>2</v>
      </c>
    </row>
    <row r="260" spans="1:9" ht="12.75">
      <c r="A260">
        <f ca="1">IFERROR(__xludf.DUMMYFUNCTION("""COMPUTED_VALUE"""),259)</f>
        <v>259</v>
      </c>
      <c r="B260">
        <f ca="1">IFERROR(__xludf.DUMMYFUNCTION("""COMPUTED_VALUE"""),249)</f>
        <v>249</v>
      </c>
      <c r="C260" t="str">
        <f ca="1">IFERROR(__xludf.DUMMYFUNCTION("""COMPUTED_VALUE"""),"John Senden")</f>
        <v>John Senden</v>
      </c>
      <c r="D260">
        <f ca="1">IFERROR(__xludf.DUMMYFUNCTION("""COMPUTED_VALUE"""),8)</f>
        <v>8</v>
      </c>
      <c r="E260">
        <f ca="1">IFERROR(__xludf.DUMMYFUNCTION("""COMPUTED_VALUE"""),-2.075)</f>
        <v>-2.0750000000000002</v>
      </c>
      <c r="F260">
        <f ca="1">IFERROR(__xludf.DUMMYFUNCTION("""COMPUTED_VALUE"""),-0.905)</f>
        <v>-0.90500000000000003</v>
      </c>
      <c r="G260">
        <f ca="1">IFERROR(__xludf.DUMMYFUNCTION("""COMPUTED_VALUE"""),-0.239)</f>
        <v>-0.23899999999999999</v>
      </c>
      <c r="H260">
        <f ca="1">IFERROR(__xludf.DUMMYFUNCTION("""COMPUTED_VALUE"""),-0.931)</f>
        <v>-0.93100000000000005</v>
      </c>
      <c r="I260">
        <f ca="1">IFERROR(__xludf.DUMMYFUNCTION("""COMPUTED_VALUE"""),2)</f>
        <v>2</v>
      </c>
    </row>
    <row r="261" spans="1:9" ht="12.75">
      <c r="A261">
        <f ca="1">IFERROR(__xludf.DUMMYFUNCTION("""COMPUTED_VALUE"""),260)</f>
        <v>260</v>
      </c>
      <c r="B261">
        <f ca="1">IFERROR(__xludf.DUMMYFUNCTION("""COMPUTED_VALUE"""),255)</f>
        <v>255</v>
      </c>
      <c r="C261" t="str">
        <f ca="1">IFERROR(__xludf.DUMMYFUNCTION("""COMPUTED_VALUE"""),"Sung Kang")</f>
        <v>Sung Kang</v>
      </c>
      <c r="D261">
        <f ca="1">IFERROR(__xludf.DUMMYFUNCTION("""COMPUTED_VALUE"""),14)</f>
        <v>14</v>
      </c>
      <c r="E261">
        <f ca="1">IFERROR(__xludf.DUMMYFUNCTION("""COMPUTED_VALUE"""),-2.13)</f>
        <v>-2.13</v>
      </c>
      <c r="F261">
        <f ca="1">IFERROR(__xludf.DUMMYFUNCTION("""COMPUTED_VALUE"""),-0.538)</f>
        <v>-0.53800000000000003</v>
      </c>
      <c r="G261">
        <f ca="1">IFERROR(__xludf.DUMMYFUNCTION("""COMPUTED_VALUE"""),-1.372)</f>
        <v>-1.3720000000000001</v>
      </c>
      <c r="H261">
        <f ca="1">IFERROR(__xludf.DUMMYFUNCTION("""COMPUTED_VALUE"""),-0.22)</f>
        <v>-0.22</v>
      </c>
      <c r="I261">
        <f ca="1">IFERROR(__xludf.DUMMYFUNCTION("""COMPUTED_VALUE"""),14)</f>
        <v>14</v>
      </c>
    </row>
    <row r="262" spans="1:9" ht="12.75">
      <c r="A262">
        <f ca="1">IFERROR(__xludf.DUMMYFUNCTION("""COMPUTED_VALUE"""),261)</f>
        <v>261</v>
      </c>
      <c r="B262">
        <f ca="1">IFERROR(__xludf.DUMMYFUNCTION("""COMPUTED_VALUE"""),251)</f>
        <v>251</v>
      </c>
      <c r="C262" t="str">
        <f ca="1">IFERROR(__xludf.DUMMYFUNCTION("""COMPUTED_VALUE"""),"Gary Woodland")</f>
        <v>Gary Woodland</v>
      </c>
      <c r="D262">
        <f ca="1">IFERROR(__xludf.DUMMYFUNCTION("""COMPUTED_VALUE"""),6)</f>
        <v>6</v>
      </c>
      <c r="E262">
        <f ca="1">IFERROR(__xludf.DUMMYFUNCTION("""COMPUTED_VALUE"""),-2.152)</f>
        <v>-2.1520000000000001</v>
      </c>
      <c r="F262">
        <f ca="1">IFERROR(__xludf.DUMMYFUNCTION("""COMPUTED_VALUE"""),-2.034)</f>
        <v>-2.0339999999999998</v>
      </c>
      <c r="G262">
        <f ca="1">IFERROR(__xludf.DUMMYFUNCTION("""COMPUTED_VALUE"""),-0.359)</f>
        <v>-0.35899999999999999</v>
      </c>
      <c r="H262">
        <f ca="1">IFERROR(__xludf.DUMMYFUNCTION("""COMPUTED_VALUE"""),0.241)</f>
        <v>0.24099999999999999</v>
      </c>
      <c r="I262">
        <f ca="1">IFERROR(__xludf.DUMMYFUNCTION("""COMPUTED_VALUE"""),6)</f>
        <v>6</v>
      </c>
    </row>
    <row r="263" spans="1:9" ht="12.75">
      <c r="A263">
        <f ca="1">IFERROR(__xludf.DUMMYFUNCTION("""COMPUTED_VALUE"""),262)</f>
        <v>262</v>
      </c>
      <c r="B263">
        <f ca="1">IFERROR(__xludf.DUMMYFUNCTION("""COMPUTED_VALUE"""),252)</f>
        <v>252</v>
      </c>
      <c r="C263" t="str">
        <f ca="1">IFERROR(__xludf.DUMMYFUNCTION("""COMPUTED_VALUE"""),"Jay McLuen")</f>
        <v>Jay McLuen</v>
      </c>
      <c r="D263">
        <f ca="1">IFERROR(__xludf.DUMMYFUNCTION("""COMPUTED_VALUE"""),4)</f>
        <v>4</v>
      </c>
      <c r="E263">
        <f ca="1">IFERROR(__xludf.DUMMYFUNCTION("""COMPUTED_VALUE"""),-2.192)</f>
        <v>-2.1920000000000002</v>
      </c>
      <c r="F263">
        <f ca="1">IFERROR(__xludf.DUMMYFUNCTION("""COMPUTED_VALUE"""),-1.093)</f>
        <v>-1.093</v>
      </c>
      <c r="G263">
        <f ca="1">IFERROR(__xludf.DUMMYFUNCTION("""COMPUTED_VALUE"""),-0.145)</f>
        <v>-0.14499999999999999</v>
      </c>
      <c r="H263">
        <f ca="1">IFERROR(__xludf.DUMMYFUNCTION("""COMPUTED_VALUE"""),-0.954)</f>
        <v>-0.95399999999999996</v>
      </c>
      <c r="I263">
        <f ca="1">IFERROR(__xludf.DUMMYFUNCTION("""COMPUTED_VALUE"""),4)</f>
        <v>4</v>
      </c>
    </row>
    <row r="264" spans="1:9" ht="12.75">
      <c r="A264">
        <f ca="1">IFERROR(__xludf.DUMMYFUNCTION("""COMPUTED_VALUE"""),263)</f>
        <v>263</v>
      </c>
      <c r="B264">
        <f ca="1">IFERROR(__xludf.DUMMYFUNCTION("""COMPUTED_VALUE"""),253)</f>
        <v>253</v>
      </c>
      <c r="C264" t="str">
        <f ca="1">IFERROR(__xludf.DUMMYFUNCTION("""COMPUTED_VALUE"""),"Jeongwoo Ham")</f>
        <v>Jeongwoo Ham</v>
      </c>
      <c r="D264">
        <f ca="1">IFERROR(__xludf.DUMMYFUNCTION("""COMPUTED_VALUE"""),4)</f>
        <v>4</v>
      </c>
      <c r="E264">
        <f ca="1">IFERROR(__xludf.DUMMYFUNCTION("""COMPUTED_VALUE"""),-2.24)</f>
        <v>-2.2400000000000002</v>
      </c>
      <c r="F264">
        <f ca="1">IFERROR(__xludf.DUMMYFUNCTION("""COMPUTED_VALUE"""),-0.122)</f>
        <v>-0.122</v>
      </c>
      <c r="G264">
        <f ca="1">IFERROR(__xludf.DUMMYFUNCTION("""COMPUTED_VALUE"""),-1.592)</f>
        <v>-1.5920000000000001</v>
      </c>
      <c r="H264">
        <f ca="1">IFERROR(__xludf.DUMMYFUNCTION("""COMPUTED_VALUE"""),-0.526)</f>
        <v>-0.52600000000000002</v>
      </c>
      <c r="I264">
        <f ca="1">IFERROR(__xludf.DUMMYFUNCTION("""COMPUTED_VALUE"""),4)</f>
        <v>4</v>
      </c>
    </row>
    <row r="265" spans="1:9" ht="12.75">
      <c r="A265">
        <f ca="1">IFERROR(__xludf.DUMMYFUNCTION("""COMPUTED_VALUE"""),264)</f>
        <v>264</v>
      </c>
      <c r="B265">
        <f ca="1">IFERROR(__xludf.DUMMYFUNCTION("""COMPUTED_VALUE"""),254)</f>
        <v>254</v>
      </c>
      <c r="C265" t="str">
        <f ca="1">IFERROR(__xludf.DUMMYFUNCTION("""COMPUTED_VALUE"""),"Jaekyeong Lee")</f>
        <v>Jaekyeong Lee</v>
      </c>
      <c r="D265">
        <f ca="1">IFERROR(__xludf.DUMMYFUNCTION("""COMPUTED_VALUE"""),4)</f>
        <v>4</v>
      </c>
      <c r="E265">
        <f ca="1">IFERROR(__xludf.DUMMYFUNCTION("""COMPUTED_VALUE"""),-2.255)</f>
        <v>-2.2549999999999999</v>
      </c>
      <c r="F265">
        <f ca="1">IFERROR(__xludf.DUMMYFUNCTION("""COMPUTED_VALUE"""),0.096)</f>
        <v>9.6000000000000002E-2</v>
      </c>
      <c r="G265">
        <f ca="1">IFERROR(__xludf.DUMMYFUNCTION("""COMPUTED_VALUE"""),-1.137)</f>
        <v>-1.137</v>
      </c>
      <c r="H265">
        <f ca="1">IFERROR(__xludf.DUMMYFUNCTION("""COMPUTED_VALUE"""),-1.213)</f>
        <v>-1.2130000000000001</v>
      </c>
      <c r="I265">
        <f ca="1">IFERROR(__xludf.DUMMYFUNCTION("""COMPUTED_VALUE"""),4)</f>
        <v>4</v>
      </c>
    </row>
    <row r="266" spans="1:9" ht="12.75">
      <c r="A266">
        <f ca="1">IFERROR(__xludf.DUMMYFUNCTION("""COMPUTED_VALUE"""),265)</f>
        <v>265</v>
      </c>
      <c r="B266">
        <f ca="1">IFERROR(__xludf.DUMMYFUNCTION("""COMPUTED_VALUE"""),256)</f>
        <v>256</v>
      </c>
      <c r="C266" t="str">
        <f ca="1">IFERROR(__xludf.DUMMYFUNCTION("""COMPUTED_VALUE"""),"Brian Gay")</f>
        <v>Brian Gay</v>
      </c>
      <c r="D266">
        <f ca="1">IFERROR(__xludf.DUMMYFUNCTION("""COMPUTED_VALUE"""),8)</f>
        <v>8</v>
      </c>
      <c r="E266">
        <f ca="1">IFERROR(__xludf.DUMMYFUNCTION("""COMPUTED_VALUE"""),-2.362)</f>
        <v>-2.3620000000000001</v>
      </c>
      <c r="F266">
        <f ca="1">IFERROR(__xludf.DUMMYFUNCTION("""COMPUTED_VALUE"""),-0.097)</f>
        <v>-9.7000000000000003E-2</v>
      </c>
      <c r="G266">
        <f ca="1">IFERROR(__xludf.DUMMYFUNCTION("""COMPUTED_VALUE"""),-1.814)</f>
        <v>-1.8140000000000001</v>
      </c>
      <c r="H266">
        <f ca="1">IFERROR(__xludf.DUMMYFUNCTION("""COMPUTED_VALUE"""),-0.452)</f>
        <v>-0.45200000000000001</v>
      </c>
      <c r="I266">
        <f ca="1">IFERROR(__xludf.DUMMYFUNCTION("""COMPUTED_VALUE"""),4)</f>
        <v>4</v>
      </c>
    </row>
    <row r="267" spans="1:9" ht="12.75">
      <c r="A267">
        <f ca="1">IFERROR(__xludf.DUMMYFUNCTION("""COMPUTED_VALUE"""),266)</f>
        <v>266</v>
      </c>
      <c r="B267">
        <f ca="1">IFERROR(__xludf.DUMMYFUNCTION("""COMPUTED_VALUE"""),250)</f>
        <v>250</v>
      </c>
      <c r="C267" t="str">
        <f ca="1">IFERROR(__xludf.DUMMYFUNCTION("""COMPUTED_VALUE"""),"D.A. Points")</f>
        <v>D.A. Points</v>
      </c>
      <c r="D267">
        <f ca="1">IFERROR(__xludf.DUMMYFUNCTION("""COMPUTED_VALUE"""),12)</f>
        <v>12</v>
      </c>
      <c r="E267">
        <f ca="1">IFERROR(__xludf.DUMMYFUNCTION("""COMPUTED_VALUE"""),-2.446)</f>
        <v>-2.4460000000000002</v>
      </c>
      <c r="F267">
        <f ca="1">IFERROR(__xludf.DUMMYFUNCTION("""COMPUTED_VALUE"""),-1.743)</f>
        <v>-1.7430000000000001</v>
      </c>
      <c r="G267">
        <f ca="1">IFERROR(__xludf.DUMMYFUNCTION("""COMPUTED_VALUE"""),-1.014)</f>
        <v>-1.014</v>
      </c>
      <c r="H267">
        <f ca="1">IFERROR(__xludf.DUMMYFUNCTION("""COMPUTED_VALUE"""),0.311)</f>
        <v>0.311</v>
      </c>
      <c r="I267">
        <f ca="1">IFERROR(__xludf.DUMMYFUNCTION("""COMPUTED_VALUE"""),8)</f>
        <v>8</v>
      </c>
    </row>
    <row r="268" spans="1:9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IFERROR(__xludf.DUMMYFUNCTION("""COMPUTED_VALUE"""),"Johnson Wagner")</f>
        <v>Johnson Wagner</v>
      </c>
      <c r="D268">
        <f ca="1">IFERROR(__xludf.DUMMYFUNCTION("""COMPUTED_VALUE"""),8)</f>
        <v>8</v>
      </c>
      <c r="E268">
        <f ca="1">IFERROR(__xludf.DUMMYFUNCTION("""COMPUTED_VALUE"""),-2.714)</f>
        <v>-2.714</v>
      </c>
      <c r="F268">
        <f ca="1">IFERROR(__xludf.DUMMYFUNCTION("""COMPUTED_VALUE"""),0.654)</f>
        <v>0.65400000000000003</v>
      </c>
      <c r="G268">
        <f ca="1">IFERROR(__xludf.DUMMYFUNCTION("""COMPUTED_VALUE"""),-1.758)</f>
        <v>-1.758</v>
      </c>
      <c r="H268">
        <f ca="1">IFERROR(__xludf.DUMMYFUNCTION("""COMPUTED_VALUE"""),-1.609)</f>
        <v>-1.609</v>
      </c>
      <c r="I268">
        <f ca="1">IFERROR(__xludf.DUMMYFUNCTION("""COMPUTED_VALUE"""),2)</f>
        <v>2</v>
      </c>
    </row>
    <row r="269" spans="1:9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IFERROR(__xludf.DUMMYFUNCTION("""COMPUTED_VALUE"""),"Naoki Sekito")</f>
        <v>Naoki Sekito</v>
      </c>
      <c r="D269">
        <f ca="1">IFERROR(__xludf.DUMMYFUNCTION("""COMPUTED_VALUE"""),4)</f>
        <v>4</v>
      </c>
      <c r="E269">
        <f ca="1">IFERROR(__xludf.DUMMYFUNCTION("""COMPUTED_VALUE"""),-2.753)</f>
        <v>-2.7530000000000001</v>
      </c>
      <c r="F269">
        <f ca="1">IFERROR(__xludf.DUMMYFUNCTION("""COMPUTED_VALUE"""),0.073)</f>
        <v>7.2999999999999995E-2</v>
      </c>
      <c r="G269">
        <f ca="1">IFERROR(__xludf.DUMMYFUNCTION("""COMPUTED_VALUE"""),-2.592)</f>
        <v>-2.5920000000000001</v>
      </c>
      <c r="H269">
        <f ca="1">IFERROR(__xludf.DUMMYFUNCTION("""COMPUTED_VALUE"""),-0.234)</f>
        <v>-0.23400000000000001</v>
      </c>
      <c r="I269">
        <f ca="1">IFERROR(__xludf.DUMMYFUNCTION("""COMPUTED_VALUE"""),4)</f>
        <v>4</v>
      </c>
    </row>
    <row r="270" spans="1:9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IFERROR(__xludf.DUMMYFUNCTION("""COMPUTED_VALUE"""),"Hunter Mahan")</f>
        <v>Hunter Mahan</v>
      </c>
      <c r="D270">
        <f ca="1">IFERROR(__xludf.DUMMYFUNCTION("""COMPUTED_VALUE"""),14)</f>
        <v>14</v>
      </c>
      <c r="E270">
        <f ca="1">IFERROR(__xludf.DUMMYFUNCTION("""COMPUTED_VALUE"""),-3.087)</f>
        <v>-3.0870000000000002</v>
      </c>
      <c r="F270">
        <f ca="1">IFERROR(__xludf.DUMMYFUNCTION("""COMPUTED_VALUE"""),-0.499)</f>
        <v>-0.499</v>
      </c>
      <c r="G270">
        <f ca="1">IFERROR(__xludf.DUMMYFUNCTION("""COMPUTED_VALUE"""),-1.368)</f>
        <v>-1.3680000000000001</v>
      </c>
      <c r="H270">
        <f ca="1">IFERROR(__xludf.DUMMYFUNCTION("""COMPUTED_VALUE"""),-1.22)</f>
        <v>-1.22</v>
      </c>
      <c r="I270">
        <f ca="1">IFERROR(__xludf.DUMMYFUNCTION("""COMPUTED_VALUE"""),10)</f>
        <v>10</v>
      </c>
    </row>
    <row r="271" spans="1:9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IFERROR(__xludf.DUMMYFUNCTION("""COMPUTED_VALUE"""),"Shawn Stefani")</f>
        <v>Shawn Stefani</v>
      </c>
      <c r="D271">
        <f ca="1">IFERROR(__xludf.DUMMYFUNCTION("""COMPUTED_VALUE"""),5)</f>
        <v>5</v>
      </c>
      <c r="E271">
        <f ca="1">IFERROR(__xludf.DUMMYFUNCTION("""COMPUTED_VALUE"""),-3.134)</f>
        <v>-3.1339999999999999</v>
      </c>
      <c r="F271">
        <f ca="1">IFERROR(__xludf.DUMMYFUNCTION("""COMPUTED_VALUE"""),-1.124)</f>
        <v>-1.1240000000000001</v>
      </c>
      <c r="G271">
        <f ca="1">IFERROR(__xludf.DUMMYFUNCTION("""COMPUTED_VALUE"""),-1.317)</f>
        <v>-1.3169999999999999</v>
      </c>
      <c r="H271">
        <f ca="1">IFERROR(__xludf.DUMMYFUNCTION("""COMPUTED_VALUE"""),-0.693)</f>
        <v>-0.69299999999999995</v>
      </c>
      <c r="I271">
        <f ca="1">IFERROR(__xludf.DUMMYFUNCTION("""COMPUTED_VALUE"""),2)</f>
        <v>2</v>
      </c>
    </row>
    <row r="272" spans="1:9" ht="12.75">
      <c r="A272">
        <f ca="1">IFERROR(__xludf.DUMMYFUNCTION("""COMPUTED_VALUE"""),271)</f>
        <v>271</v>
      </c>
      <c r="B272">
        <f ca="1">IFERROR(__xludf.DUMMYFUNCTION("""COMPUTED_VALUE"""),267)</f>
        <v>267</v>
      </c>
      <c r="C272" t="str">
        <f ca="1">IFERROR(__xludf.DUMMYFUNCTION("""COMPUTED_VALUE"""),"Kevin Stadler")</f>
        <v>Kevin Stadler</v>
      </c>
      <c r="D272">
        <f ca="1">IFERROR(__xludf.DUMMYFUNCTION("""COMPUTED_VALUE"""),8)</f>
        <v>8</v>
      </c>
      <c r="E272">
        <f ca="1">IFERROR(__xludf.DUMMYFUNCTION("""COMPUTED_VALUE"""),-3.2)</f>
        <v>-3.2</v>
      </c>
      <c r="F272">
        <f ca="1">IFERROR(__xludf.DUMMYFUNCTION("""COMPUTED_VALUE"""),-0.904)</f>
        <v>-0.90400000000000003</v>
      </c>
      <c r="G272">
        <f ca="1">IFERROR(__xludf.DUMMYFUNCTION("""COMPUTED_VALUE"""),-1.111)</f>
        <v>-1.111</v>
      </c>
      <c r="H272">
        <f ca="1">IFERROR(__xludf.DUMMYFUNCTION("""COMPUTED_VALUE"""),-1.184)</f>
        <v>-1.1839999999999999</v>
      </c>
      <c r="I272">
        <f ca="1">IFERROR(__xludf.DUMMYFUNCTION("""COMPUTED_VALUE"""),6)</f>
        <v>6</v>
      </c>
    </row>
    <row r="273" spans="1:9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IFERROR(__xludf.DUMMYFUNCTION("""COMPUTED_VALUE"""),"Rhein Gibson")</f>
        <v>Rhein Gibson</v>
      </c>
      <c r="D273">
        <f ca="1">IFERROR(__xludf.DUMMYFUNCTION("""COMPUTED_VALUE"""),10)</f>
        <v>10</v>
      </c>
      <c r="E273">
        <f ca="1">IFERROR(__xludf.DUMMYFUNCTION("""COMPUTED_VALUE"""),-3.226)</f>
        <v>-3.226</v>
      </c>
      <c r="F273">
        <f ca="1">IFERROR(__xludf.DUMMYFUNCTION("""COMPUTED_VALUE"""),-2.245)</f>
        <v>-2.2450000000000001</v>
      </c>
      <c r="G273">
        <f ca="1">IFERROR(__xludf.DUMMYFUNCTION("""COMPUTED_VALUE"""),-1.553)</f>
        <v>-1.5529999999999999</v>
      </c>
      <c r="H273">
        <f ca="1">IFERROR(__xludf.DUMMYFUNCTION("""COMPUTED_VALUE"""),0.571)</f>
        <v>0.57099999999999995</v>
      </c>
      <c r="I273">
        <f ca="1">IFERROR(__xludf.DUMMYFUNCTION("""COMPUTED_VALUE"""),4)</f>
        <v>4</v>
      </c>
    </row>
    <row r="274" spans="1:9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IFERROR(__xludf.DUMMYFUNCTION("""COMPUTED_VALUE"""),"Martin Trainer")</f>
        <v>Martin Trainer</v>
      </c>
      <c r="D274">
        <f ca="1">IFERROR(__xludf.DUMMYFUNCTION("""COMPUTED_VALUE"""),10)</f>
        <v>10</v>
      </c>
      <c r="E274">
        <f ca="1">IFERROR(__xludf.DUMMYFUNCTION("""COMPUTED_VALUE"""),-3.459)</f>
        <v>-3.4590000000000001</v>
      </c>
      <c r="F274">
        <f ca="1">IFERROR(__xludf.DUMMYFUNCTION("""COMPUTED_VALUE"""),-0.735)</f>
        <v>-0.73499999999999999</v>
      </c>
      <c r="G274">
        <f ca="1">IFERROR(__xludf.DUMMYFUNCTION("""COMPUTED_VALUE"""),-2.001)</f>
        <v>-2.0009999999999999</v>
      </c>
      <c r="H274">
        <f ca="1">IFERROR(__xludf.DUMMYFUNCTION("""COMPUTED_VALUE"""),-0.723)</f>
        <v>-0.72299999999999998</v>
      </c>
      <c r="I274">
        <f ca="1">IFERROR(__xludf.DUMMYFUNCTION("""COMPUTED_VALUE"""),8)</f>
        <v>8</v>
      </c>
    </row>
    <row r="275" spans="1:9" ht="12.75">
      <c r="A275">
        <f ca="1">IFERROR(__xludf.DUMMYFUNCTION("""COMPUTED_VALUE"""),274)</f>
        <v>274</v>
      </c>
      <c r="B275">
        <f ca="1">IFERROR(__xludf.DUMMYFUNCTION("""COMPUTED_VALUE"""),266)</f>
        <v>266</v>
      </c>
      <c r="C275" t="str">
        <f ca="1">IFERROR(__xludf.DUMMYFUNCTION("""COMPUTED_VALUE"""),"Luke Schniederjans")</f>
        <v>Luke Schniederjans</v>
      </c>
      <c r="D275">
        <f ca="1">IFERROR(__xludf.DUMMYFUNCTION("""COMPUTED_VALUE"""),4)</f>
        <v>4</v>
      </c>
      <c r="E275">
        <f ca="1">IFERROR(__xludf.DUMMYFUNCTION("""COMPUTED_VALUE"""),-4.047)</f>
        <v>-4.0469999999999997</v>
      </c>
      <c r="F275">
        <f ca="1">IFERROR(__xludf.DUMMYFUNCTION("""COMPUTED_VALUE"""),-0.562)</f>
        <v>-0.56200000000000006</v>
      </c>
      <c r="G275">
        <f ca="1">IFERROR(__xludf.DUMMYFUNCTION("""COMPUTED_VALUE"""),-2.325)</f>
        <v>-2.3250000000000002</v>
      </c>
      <c r="H275">
        <f ca="1">IFERROR(__xludf.DUMMYFUNCTION("""COMPUTED_VALUE"""),-1.16)</f>
        <v>-1.1599999999999999</v>
      </c>
      <c r="I275">
        <f ca="1">IFERROR(__xludf.DUMMYFUNCTION("""COMPUTED_VALUE"""),2)</f>
        <v>2</v>
      </c>
    </row>
    <row r="276" spans="1:9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IFERROR(__xludf.DUMMYFUNCTION("""COMPUTED_VALUE"""),"Tae Hee Lee")</f>
        <v>Tae Hee Lee</v>
      </c>
      <c r="D276">
        <f ca="1">IFERROR(__xludf.DUMMYFUNCTION("""COMPUTED_VALUE"""),4)</f>
        <v>4</v>
      </c>
      <c r="E276">
        <f ca="1">IFERROR(__xludf.DUMMYFUNCTION("""COMPUTED_VALUE"""),-4.723)</f>
        <v>-4.7229999999999999</v>
      </c>
      <c r="F276">
        <f ca="1">IFERROR(__xludf.DUMMYFUNCTION("""COMPUTED_VALUE"""),-1.649)</f>
        <v>-1.649</v>
      </c>
      <c r="G276">
        <f ca="1">IFERROR(__xludf.DUMMYFUNCTION("""COMPUTED_VALUE"""),-2.149)</f>
        <v>-2.149</v>
      </c>
      <c r="H276">
        <f ca="1">IFERROR(__xludf.DUMMYFUNCTION("""COMPUTED_VALUE"""),-0.925)</f>
        <v>-0.92500000000000004</v>
      </c>
      <c r="I276">
        <f ca="1">IFERROR(__xludf.DUMMYFUNCTION("""COMPUTED_VALUE"""),4)</f>
        <v>4</v>
      </c>
    </row>
    <row r="277" spans="1:9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IFERROR(__xludf.DUMMYFUNCTION("""COMPUTED_VALUE"""),-8.792)</f>
        <v>-8.7919999999999998</v>
      </c>
      <c r="F277">
        <f ca="1">IFERROR(__xludf.DUMMYFUNCTION("""COMPUTED_VALUE"""),-3.4)</f>
        <v>-3.4</v>
      </c>
      <c r="G277">
        <f ca="1">IFERROR(__xludf.DUMMYFUNCTION("""COMPUTED_VALUE"""),-3.748)</f>
        <v>-3.7480000000000002</v>
      </c>
      <c r="H277">
        <f ca="1">IFERROR(__xludf.DUMMYFUNCTION("""COMPUTED_VALUE"""),-1.644)</f>
        <v>-1.6439999999999999</v>
      </c>
      <c r="I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290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IFERROR(__xludf.DUMMYFUNCTION("importhtml(""http://www.pgatour.com/stats/stat.103.html"",""table"",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IFERROR(__xludf.DUMMYFUNCTION("""COMPUTED_VALUE"""),"GREENS HIT")</f>
        <v>GREENS HIT</v>
      </c>
      <c r="G1" t="str">
        <f ca="1">IFERROR(__xludf.DUMMYFUNCTION("""COMPUTED_VALUE"""),"# HOLES")</f>
        <v># HOLES</v>
      </c>
      <c r="H1" t="str">
        <f ca="1">IFERROR(__xludf.DUMMYFUNCTION("""COMPUTED_VALUE"""),"RELATIVE/PAR")</f>
        <v>RELATIVE/PAR</v>
      </c>
    </row>
    <row r="2" spans="1:8" ht="15.75" customHeight="1">
      <c r="A2">
        <f ca="1">IFERROR(__xludf.DUMMYFUNCTION("""COMPUTED_VALUE"""),1)</f>
        <v>1</v>
      </c>
      <c r="B2" t="str">
        <f ca="1">IFERROR(__xludf.DUMMYFUNCTION("""COMPUTED_VALUE"""),"T3")</f>
        <v>T3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>
        <f ca="1">IFERROR(__xludf.DUMMYFUNCTION("""COMPUTED_VALUE"""),80.56)</f>
        <v>80.56</v>
      </c>
      <c r="F2">
        <f ca="1">IFERROR(__xludf.DUMMYFUNCTION("""COMPUTED_VALUE"""),58)</f>
        <v>58</v>
      </c>
      <c r="G2">
        <f ca="1">IFERROR(__xludf.DUMMYFUNCTION("""COMPUTED_VALUE"""),72)</f>
        <v>72</v>
      </c>
      <c r="H2">
        <f ca="1">IFERROR(__xludf.DUMMYFUNCTION("""COMPUTED_VALUE"""),-0.21)</f>
        <v>-0.21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IFERROR(__xludf.DUMMYFUNCTION("""COMPUTED_VALUE"""),"Matthew NeSmith")</f>
        <v>Matthew NeSmith</v>
      </c>
      <c r="D3">
        <f ca="1">IFERROR(__xludf.DUMMYFUNCTION("""COMPUTED_VALUE"""),16)</f>
        <v>16</v>
      </c>
      <c r="E3">
        <f ca="1">IFERROR(__xludf.DUMMYFUNCTION("""COMPUTED_VALUE"""),78.13)</f>
        <v>78.13</v>
      </c>
      <c r="F3">
        <f ca="1">IFERROR(__xludf.DUMMYFUNCTION("""COMPUTED_VALUE"""),225)</f>
        <v>225</v>
      </c>
      <c r="G3">
        <f ca="1">IFERROR(__xludf.DUMMYFUNCTION("""COMPUTED_VALUE"""),288)</f>
        <v>288</v>
      </c>
      <c r="H3">
        <f ca="1">IFERROR(__xludf.DUMMYFUNCTION("""COMPUTED_VALUE"""),-0.29)</f>
        <v>-0.28999999999999998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IFERROR(__xludf.DUMMYFUNCTION("""COMPUTED_VALUE"""),6)</f>
        <v>6</v>
      </c>
      <c r="C4" t="str">
        <f ca="1">IFERROR(__xludf.DUMMYFUNCTION("""COMPUTED_VALUE"""),"Martin Laird")</f>
        <v>Martin Laird</v>
      </c>
      <c r="D4">
        <f ca="1">IFERROR(__xludf.DUMMYFUNCTION("""COMPUTED_VALUE"""),16)</f>
        <v>16</v>
      </c>
      <c r="E4">
        <f ca="1">IFERROR(__xludf.DUMMYFUNCTION("""COMPUTED_VALUE"""),77.08)</f>
        <v>77.08</v>
      </c>
      <c r="F4">
        <f ca="1">IFERROR(__xludf.DUMMYFUNCTION("""COMPUTED_VALUE"""),222)</f>
        <v>222</v>
      </c>
      <c r="G4">
        <f ca="1">IFERROR(__xludf.DUMMYFUNCTION("""COMPUTED_VALUE"""),288)</f>
        <v>288</v>
      </c>
      <c r="H4">
        <f ca="1">IFERROR(__xludf.DUMMYFUNCTION("""COMPUTED_VALUE"""),-0.29)</f>
        <v>-0.28999999999999998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IFERROR(__xludf.DUMMYFUNCTION("""COMPUTED_VALUE"""),11)</f>
        <v>11</v>
      </c>
      <c r="C5" t="str">
        <f ca="1">IFERROR(__xludf.DUMMYFUNCTION("""COMPUTED_VALUE"""),"Alex Smalley")</f>
        <v>Alex Smalley</v>
      </c>
      <c r="D5">
        <f ca="1">IFERROR(__xludf.DUMMYFUNCTION("""COMPUTED_VALUE"""),4)</f>
        <v>4</v>
      </c>
      <c r="E5">
        <f ca="1">IFERROR(__xludf.DUMMYFUNCTION("""COMPUTED_VALUE"""),76.39)</f>
        <v>76.39</v>
      </c>
      <c r="F5">
        <f ca="1">IFERROR(__xludf.DUMMYFUNCTION("""COMPUTED_VALUE"""),55)</f>
        <v>55</v>
      </c>
      <c r="G5">
        <f ca="1">IFERROR(__xludf.DUMMYFUNCTION("""COMPUTED_VALUE"""),72)</f>
        <v>72</v>
      </c>
      <c r="H5">
        <f ca="1">IFERROR(__xludf.DUMMYFUNCTION("""COMPUTED_VALUE"""),-0.27)</f>
        <v>-0.27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IFERROR(__xludf.DUMMYFUNCTION("""COMPUTED_VALUE"""),"Russell Knox")</f>
        <v>Russell Knox</v>
      </c>
      <c r="D6">
        <f ca="1">IFERROR(__xludf.DUMMYFUNCTION("""COMPUTED_VALUE"""),16)</f>
        <v>16</v>
      </c>
      <c r="E6">
        <f ca="1">IFERROR(__xludf.DUMMYFUNCTION("""COMPUTED_VALUE"""),76.04)</f>
        <v>76.040000000000006</v>
      </c>
      <c r="F6">
        <f ca="1">IFERROR(__xludf.DUMMYFUNCTION("""COMPUTED_VALUE"""),219)</f>
        <v>219</v>
      </c>
      <c r="G6">
        <f ca="1">IFERROR(__xludf.DUMMYFUNCTION("""COMPUTED_VALUE"""),288)</f>
        <v>288</v>
      </c>
      <c r="H6">
        <f ca="1">IFERROR(__xludf.DUMMYFUNCTION("""COMPUTED_VALUE"""),-0.24)</f>
        <v>-0.24</v>
      </c>
    </row>
    <row r="7" spans="1:8" ht="15.75" customHeight="1">
      <c r="A7" t="str">
        <f ca="1">IFERROR(__xludf.DUMMYFUNCTION("""COMPUTED_VALUE"""),"T6")</f>
        <v>T6</v>
      </c>
      <c r="B7">
        <f ca="1">IFERROR(__xludf.DUMMYFUNCTION("""COMPUTED_VALUE"""),9)</f>
        <v>9</v>
      </c>
      <c r="C7" t="str">
        <f ca="1">IFERROR(__xludf.DUMMYFUNCTION("""COMPUTED_VALUE"""),"Stewart Cink")</f>
        <v>Stewart Cink</v>
      </c>
      <c r="D7">
        <f ca="1">IFERROR(__xludf.DUMMYFUNCTION("""COMPUTED_VALUE"""),18)</f>
        <v>18</v>
      </c>
      <c r="E7">
        <f ca="1">IFERROR(__xludf.DUMMYFUNCTION("""COMPUTED_VALUE"""),75.93)</f>
        <v>75.930000000000007</v>
      </c>
      <c r="F7">
        <f ca="1">IFERROR(__xludf.DUMMYFUNCTION("""COMPUTED_VALUE"""),246)</f>
        <v>246</v>
      </c>
      <c r="G7">
        <f ca="1">IFERROR(__xludf.DUMMYFUNCTION("""COMPUTED_VALUE"""),324)</f>
        <v>324</v>
      </c>
      <c r="H7">
        <f ca="1">IFERROR(__xludf.DUMMYFUNCTION("""COMPUTED_VALUE"""),-0.3)</f>
        <v>-0.3</v>
      </c>
    </row>
    <row r="8" spans="1:8" ht="15.75" customHeight="1">
      <c r="A8" t="str">
        <f ca="1">IFERROR(__xludf.DUMMYFUNCTION("""COMPUTED_VALUE"""),"T6")</f>
        <v>T6</v>
      </c>
      <c r="B8">
        <f ca="1">IFERROR(__xludf.DUMMYFUNCTION("""COMPUTED_VALUE"""),13)</f>
        <v>13</v>
      </c>
      <c r="C8" t="str">
        <f ca="1">IFERROR(__xludf.DUMMYFUNCTION("""COMPUTED_VALUE"""),"Sam Burns")</f>
        <v>Sam Burns</v>
      </c>
      <c r="D8">
        <f ca="1">IFERROR(__xludf.DUMMYFUNCTION("""COMPUTED_VALUE"""),18)</f>
        <v>18</v>
      </c>
      <c r="E8">
        <f ca="1">IFERROR(__xludf.DUMMYFUNCTION("""COMPUTED_VALUE"""),75.93)</f>
        <v>75.930000000000007</v>
      </c>
      <c r="F8">
        <f ca="1">IFERROR(__xludf.DUMMYFUNCTION("""COMPUTED_VALUE"""),246)</f>
        <v>246</v>
      </c>
      <c r="G8">
        <f ca="1">IFERROR(__xludf.DUMMYFUNCTION("""COMPUTED_VALUE"""),324)</f>
        <v>324</v>
      </c>
      <c r="H8">
        <f ca="1">IFERROR(__xludf.DUMMYFUNCTION("""COMPUTED_VALUE"""),-0.34)</f>
        <v>-0.34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IFERROR(__xludf.DUMMYFUNCTION("""COMPUTED_VALUE"""),7)</f>
        <v>7</v>
      </c>
      <c r="C9" t="str">
        <f ca="1">IFERROR(__xludf.DUMMYFUNCTION("""COMPUTED_VALUE"""),"James Hahn")</f>
        <v>James Hahn</v>
      </c>
      <c r="D9">
        <f ca="1">IFERROR(__xludf.DUMMYFUNCTION("""COMPUTED_VALUE"""),16)</f>
        <v>16</v>
      </c>
      <c r="E9">
        <f ca="1">IFERROR(__xludf.DUMMYFUNCTION("""COMPUTED_VALUE"""),75.69)</f>
        <v>75.69</v>
      </c>
      <c r="F9">
        <f ca="1">IFERROR(__xludf.DUMMYFUNCTION("""COMPUTED_VALUE"""),218)</f>
        <v>218</v>
      </c>
      <c r="G9">
        <f ca="1">IFERROR(__xludf.DUMMYFUNCTION("""COMPUTED_VALUE"""),288)</f>
        <v>288</v>
      </c>
      <c r="H9">
        <f ca="1">IFERROR(__xludf.DUMMYFUNCTION("""COMPUTED_VALUE"""),-0.33)</f>
        <v>-0.33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IFERROR(__xludf.DUMMYFUNCTION("""COMPUTED_VALUE"""),12)</f>
        <v>12</v>
      </c>
      <c r="C10" t="str">
        <f ca="1">IFERROR(__xludf.DUMMYFUNCTION("""COMPUTED_VALUE"""),"Emiliano Grillo")</f>
        <v>Emiliano Grillo</v>
      </c>
      <c r="D10">
        <f ca="1">IFERROR(__xludf.DUMMYFUNCTION("""COMPUTED_VALUE"""),22)</f>
        <v>22</v>
      </c>
      <c r="E10">
        <f ca="1">IFERROR(__xludf.DUMMYFUNCTION("""COMPUTED_VALUE"""),75.25)</f>
        <v>75.25</v>
      </c>
      <c r="F10">
        <f ca="1">IFERROR(__xludf.DUMMYFUNCTION("""COMPUTED_VALUE"""),298)</f>
        <v>298</v>
      </c>
      <c r="G10">
        <f ca="1">IFERROR(__xludf.DUMMYFUNCTION("""COMPUTED_VALUE"""),396)</f>
        <v>396</v>
      </c>
      <c r="H10">
        <f ca="1">IFERROR(__xludf.DUMMYFUNCTION("""COMPUTED_VALUE"""),-0.27)</f>
        <v>-0.27</v>
      </c>
    </row>
    <row r="11" spans="1:8" ht="15.75" customHeight="1">
      <c r="A11" t="str">
        <f ca="1">IFERROR(__xludf.DUMMYFUNCTION("""COMPUTED_VALUE"""),"T10")</f>
        <v>T10</v>
      </c>
      <c r="B11">
        <f ca="1">IFERROR(__xludf.DUMMYFUNCTION("""COMPUTED_VALUE"""),8)</f>
        <v>8</v>
      </c>
      <c r="C11" t="str">
        <f ca="1">IFERROR(__xludf.DUMMYFUNCTION("""COMPUTED_VALUE"""),"Russell Henley")</f>
        <v>Russell Henley</v>
      </c>
      <c r="D11">
        <f ca="1">IFERROR(__xludf.DUMMYFUNCTION("""COMPUTED_VALUE"""),16)</f>
        <v>16</v>
      </c>
      <c r="E11">
        <f ca="1">IFERROR(__xludf.DUMMYFUNCTION("""COMPUTED_VALUE"""),75)</f>
        <v>75</v>
      </c>
      <c r="F11">
        <f ca="1">IFERROR(__xludf.DUMMYFUNCTION("""COMPUTED_VALUE"""),216)</f>
        <v>216</v>
      </c>
      <c r="G11">
        <f ca="1">IFERROR(__xludf.DUMMYFUNCTION("""COMPUTED_VALUE"""),288)</f>
        <v>288</v>
      </c>
      <c r="H11">
        <f ca="1">IFERROR(__xludf.DUMMYFUNCTION("""COMPUTED_VALUE"""),-0.31)</f>
        <v>-0.31</v>
      </c>
    </row>
    <row r="12" spans="1:8" ht="15.75" customHeight="1">
      <c r="A12" t="str">
        <f ca="1">IFERROR(__xludf.DUMMYFUNCTION("""COMPUTED_VALUE"""),"T10")</f>
        <v>T10</v>
      </c>
      <c r="B12" t="str">
        <f ca="1">IFERROR(__xludf.DUMMYFUNCTION("""COMPUTED_VALUE"""),"T15")</f>
        <v>T15</v>
      </c>
      <c r="C12" t="str">
        <f ca="1">IFERROR(__xludf.DUMMYFUNCTION("""COMPUTED_VALUE"""),"Andy Zhang")</f>
        <v>Andy Zhang</v>
      </c>
      <c r="D12">
        <f ca="1">IFERROR(__xludf.DUMMYFUNCTION("""COMPUTED_VALUE"""),4)</f>
        <v>4</v>
      </c>
      <c r="E12">
        <f ca="1">IFERROR(__xludf.DUMMYFUNCTION("""COMPUTED_VALUE"""),75)</f>
        <v>75</v>
      </c>
      <c r="F12">
        <f ca="1">IFERROR(__xludf.DUMMYFUNCTION("""COMPUTED_VALUE"""),54)</f>
        <v>54</v>
      </c>
      <c r="G12">
        <f ca="1">IFERROR(__xludf.DUMMYFUNCTION("""COMPUTED_VALUE"""),72)</f>
        <v>72</v>
      </c>
      <c r="H12">
        <f ca="1">IFERROR(__xludf.DUMMYFUNCTION("""COMPUTED_VALUE"""),-0.24)</f>
        <v>-0.24</v>
      </c>
    </row>
    <row r="13" spans="1:8" ht="15.75" customHeight="1">
      <c r="A13">
        <f ca="1">IFERROR(__xludf.DUMMYFUNCTION("""COMPUTED_VALUE"""),12)</f>
        <v>12</v>
      </c>
      <c r="B13" t="str">
        <f ca="1">IFERROR(__xludf.DUMMYFUNCTION("""COMPUTED_VALUE"""),"T19")</f>
        <v>T19</v>
      </c>
      <c r="C13" t="str">
        <f ca="1">IFERROR(__xludf.DUMMYFUNCTION("""COMPUTED_VALUE"""),"Justin Suh")</f>
        <v>Justin Suh</v>
      </c>
      <c r="D13">
        <f ca="1">IFERROR(__xludf.DUMMYFUNCTION("""COMPUTED_VALUE"""),10)</f>
        <v>10</v>
      </c>
      <c r="E13">
        <f ca="1">IFERROR(__xludf.DUMMYFUNCTION("""COMPUTED_VALUE"""),74.44)</f>
        <v>74.44</v>
      </c>
      <c r="F13">
        <f ca="1">IFERROR(__xludf.DUMMYFUNCTION("""COMPUTED_VALUE"""),134)</f>
        <v>134</v>
      </c>
      <c r="G13">
        <f ca="1">IFERROR(__xludf.DUMMYFUNCTION("""COMPUTED_VALUE"""),180)</f>
        <v>180</v>
      </c>
      <c r="H13">
        <f ca="1">IFERROR(__xludf.DUMMYFUNCTION("""COMPUTED_VALUE"""),-0.36)</f>
        <v>-0.36</v>
      </c>
    </row>
    <row r="14" spans="1:8" ht="15.75" customHeight="1">
      <c r="A14">
        <f ca="1">IFERROR(__xludf.DUMMYFUNCTION("""COMPUTED_VALUE"""),13)</f>
        <v>13</v>
      </c>
      <c r="B14" t="str">
        <f ca="1">IFERROR(__xludf.DUMMYFUNCTION("""COMPUTED_VALUE"""),"T3")</f>
        <v>T3</v>
      </c>
      <c r="C14" t="str">
        <f ca="1">IFERROR(__xludf.DUMMYFUNCTION("""COMPUTED_VALUE"""),"Isaiah Salinda")</f>
        <v>Isaiah Salinda</v>
      </c>
      <c r="D14">
        <f ca="1">IFERROR(__xludf.DUMMYFUNCTION("""COMPUTED_VALUE"""),8)</f>
        <v>8</v>
      </c>
      <c r="E14">
        <f ca="1">IFERROR(__xludf.DUMMYFUNCTION("""COMPUTED_VALUE"""),74.31)</f>
        <v>74.31</v>
      </c>
      <c r="F14">
        <f ca="1">IFERROR(__xludf.DUMMYFUNCTION("""COMPUTED_VALUE"""),107)</f>
        <v>107</v>
      </c>
      <c r="G14">
        <f ca="1">IFERROR(__xludf.DUMMYFUNCTION("""COMPUTED_VALUE"""),144)</f>
        <v>144</v>
      </c>
      <c r="H14">
        <f ca="1">IFERROR(__xludf.DUMMYFUNCTION("""COMPUTED_VALUE"""),-0.23)</f>
        <v>-0.23</v>
      </c>
    </row>
    <row r="15" spans="1:8" ht="15.75" customHeight="1">
      <c r="A15">
        <f ca="1">IFERROR(__xludf.DUMMYFUNCTION("""COMPUTED_VALUE"""),14)</f>
        <v>14</v>
      </c>
      <c r="B15">
        <f ca="1">IFERROR(__xludf.DUMMYFUNCTION("""COMPUTED_VALUE"""),10)</f>
        <v>10</v>
      </c>
      <c r="C15" t="str">
        <f ca="1">IFERROR(__xludf.DUMMYFUNCTION("""COMPUTED_VALUE"""),"Austin Cook")</f>
        <v>Austin Cook</v>
      </c>
      <c r="D15">
        <f ca="1">IFERROR(__xludf.DUMMYFUNCTION("""COMPUTED_VALUE"""),14)</f>
        <v>14</v>
      </c>
      <c r="E15">
        <f ca="1">IFERROR(__xludf.DUMMYFUNCTION("""COMPUTED_VALUE"""),73.81)</f>
        <v>73.81</v>
      </c>
      <c r="F15">
        <f ca="1">IFERROR(__xludf.DUMMYFUNCTION("""COMPUTED_VALUE"""),186)</f>
        <v>186</v>
      </c>
      <c r="G15">
        <f ca="1">IFERROR(__xludf.DUMMYFUNCTION("""COMPUTED_VALUE"""),252)</f>
        <v>252</v>
      </c>
      <c r="H15">
        <f ca="1">IFERROR(__xludf.DUMMYFUNCTION("""COMPUTED_VALUE"""),-0.32)</f>
        <v>-0.32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IFERROR(__xludf.DUMMYFUNCTION("""COMPUTED_VALUE"""),14)</f>
        <v>14</v>
      </c>
      <c r="C16" t="str">
        <f ca="1">IFERROR(__xludf.DUMMYFUNCTION("""COMPUTED_VALUE"""),"Patrick Rodgers")</f>
        <v>Patrick Rodgers</v>
      </c>
      <c r="D16">
        <f ca="1">IFERROR(__xludf.DUMMYFUNCTION("""COMPUTED_VALUE"""),18)</f>
        <v>18</v>
      </c>
      <c r="E16">
        <f ca="1">IFERROR(__xludf.DUMMYFUNCTION("""COMPUTED_VALUE"""),73.77)</f>
        <v>73.77</v>
      </c>
      <c r="F16">
        <f ca="1">IFERROR(__xludf.DUMMYFUNCTION("""COMPUTED_VALUE"""),239)</f>
        <v>239</v>
      </c>
      <c r="G16">
        <f ca="1">IFERROR(__xludf.DUMMYFUNCTION("""COMPUTED_VALUE"""),324)</f>
        <v>324</v>
      </c>
      <c r="H16">
        <f ca="1">IFERROR(__xludf.DUMMYFUNCTION("""COMPUTED_VALUE"""),-0.22)</f>
        <v>-0.22</v>
      </c>
    </row>
    <row r="17" spans="1:8" ht="15.75" customHeight="1">
      <c r="A17" t="str">
        <f ca="1">IFERROR(__xludf.DUMMYFUNCTION("""COMPUTED_VALUE"""),"T16")</f>
        <v>T16</v>
      </c>
      <c r="B17" t="str">
        <f ca="1">IFERROR(__xludf.DUMMYFUNCTION("""COMPUTED_VALUE"""),"T21")</f>
        <v>T21</v>
      </c>
      <c r="C17" t="str">
        <f ca="1">IFERROR(__xludf.DUMMYFUNCTION("""COMPUTED_VALUE"""),"Cameron Percy")</f>
        <v>Cameron Percy</v>
      </c>
      <c r="D17">
        <f ca="1">IFERROR(__xludf.DUMMYFUNCTION("""COMPUTED_VALUE"""),16)</f>
        <v>16</v>
      </c>
      <c r="E17">
        <f ca="1">IFERROR(__xludf.DUMMYFUNCTION("""COMPUTED_VALUE"""),73.61)</f>
        <v>73.61</v>
      </c>
      <c r="F17">
        <f ca="1">IFERROR(__xludf.DUMMYFUNCTION("""COMPUTED_VALUE"""),212)</f>
        <v>212</v>
      </c>
      <c r="G17">
        <f ca="1">IFERROR(__xludf.DUMMYFUNCTION("""COMPUTED_VALUE"""),288)</f>
        <v>288</v>
      </c>
      <c r="H17">
        <f ca="1">IFERROR(__xludf.DUMMYFUNCTION("""COMPUTED_VALUE"""),-0.3)</f>
        <v>-0.3</v>
      </c>
    </row>
    <row r="18" spans="1:8" ht="15.75" customHeight="1">
      <c r="A18" t="str">
        <f ca="1">IFERROR(__xludf.DUMMYFUNCTION("""COMPUTED_VALUE"""),"T16")</f>
        <v>T16</v>
      </c>
      <c r="B18" t="str">
        <f ca="1">IFERROR(__xludf.DUMMYFUNCTION("""COMPUTED_VALUE"""),"T15")</f>
        <v>T15</v>
      </c>
      <c r="C18" t="str">
        <f ca="1">IFERROR(__xludf.DUMMYFUNCTION("""COMPUTED_VALUE"""),"Zach Johnson")</f>
        <v>Zach Johnson</v>
      </c>
      <c r="D18">
        <f ca="1">IFERROR(__xludf.DUMMYFUNCTION("""COMPUTED_VALUE"""),16)</f>
        <v>16</v>
      </c>
      <c r="E18">
        <f ca="1">IFERROR(__xludf.DUMMYFUNCTION("""COMPUTED_VALUE"""),73.61)</f>
        <v>73.61</v>
      </c>
      <c r="F18">
        <f ca="1">IFERROR(__xludf.DUMMYFUNCTION("""COMPUTED_VALUE"""),212)</f>
        <v>212</v>
      </c>
      <c r="G18">
        <f ca="1">IFERROR(__xludf.DUMMYFUNCTION("""COMPUTED_VALUE"""),288)</f>
        <v>288</v>
      </c>
      <c r="H18">
        <f ca="1">IFERROR(__xludf.DUMMYFUNCTION("""COMPUTED_VALUE"""),-0.25)</f>
        <v>-0.25</v>
      </c>
    </row>
    <row r="19" spans="1:8" ht="15.75" customHeight="1">
      <c r="A19" t="str">
        <f ca="1">IFERROR(__xludf.DUMMYFUNCTION("""COMPUTED_VALUE"""),"T16")</f>
        <v>T16</v>
      </c>
      <c r="B19" t="str">
        <f ca="1">IFERROR(__xludf.DUMMYFUNCTION("""COMPUTED_VALUE"""),"T17")</f>
        <v>T17</v>
      </c>
      <c r="C19" t="str">
        <f ca="1">IFERROR(__xludf.DUMMYFUNCTION("""COMPUTED_VALUE"""),"Henrik Norlander")</f>
        <v>Henrik Norlander</v>
      </c>
      <c r="D19">
        <f ca="1">IFERROR(__xludf.DUMMYFUNCTION("""COMPUTED_VALUE"""),16)</f>
        <v>16</v>
      </c>
      <c r="E19">
        <f ca="1">IFERROR(__xludf.DUMMYFUNCTION("""COMPUTED_VALUE"""),73.61)</f>
        <v>73.61</v>
      </c>
      <c r="F19">
        <f ca="1">IFERROR(__xludf.DUMMYFUNCTION("""COMPUTED_VALUE"""),212)</f>
        <v>212</v>
      </c>
      <c r="G19">
        <f ca="1">IFERROR(__xludf.DUMMYFUNCTION("""COMPUTED_VALUE"""),288)</f>
        <v>288</v>
      </c>
      <c r="H19">
        <f ca="1">IFERROR(__xludf.DUMMYFUNCTION("""COMPUTED_VALUE"""),-0.25)</f>
        <v>-0.25</v>
      </c>
    </row>
    <row r="20" spans="1:8" ht="15.75" customHeight="1">
      <c r="A20" t="str">
        <f ca="1">IFERROR(__xludf.DUMMYFUNCTION("""COMPUTED_VALUE"""),"T16")</f>
        <v>T16</v>
      </c>
      <c r="B20" t="str">
        <f ca="1">IFERROR(__xludf.DUMMYFUNCTION("""COMPUTED_VALUE"""),"T21")</f>
        <v>T21</v>
      </c>
      <c r="C20" t="str">
        <f ca="1">IFERROR(__xludf.DUMMYFUNCTION("""COMPUTED_VALUE"""),"Bud Cauley")</f>
        <v>Bud Cauley</v>
      </c>
      <c r="D20">
        <f ca="1">IFERROR(__xludf.DUMMYFUNCTION("""COMPUTED_VALUE"""),4)</f>
        <v>4</v>
      </c>
      <c r="E20">
        <f ca="1">IFERROR(__xludf.DUMMYFUNCTION("""COMPUTED_VALUE"""),73.61)</f>
        <v>73.61</v>
      </c>
      <c r="F20">
        <f ca="1">IFERROR(__xludf.DUMMYFUNCTION("""COMPUTED_VALUE"""),53)</f>
        <v>53</v>
      </c>
      <c r="G20">
        <f ca="1">IFERROR(__xludf.DUMMYFUNCTION("""COMPUTED_VALUE"""),72)</f>
        <v>72</v>
      </c>
      <c r="H20">
        <f ca="1">IFERROR(__xludf.DUMMYFUNCTION("""COMPUTED_VALUE"""),-0.3)</f>
        <v>-0.3</v>
      </c>
    </row>
    <row r="21" spans="1:8" ht="15.75" customHeight="1">
      <c r="A21" t="str">
        <f ca="1">IFERROR(__xludf.DUMMYFUNCTION("""COMPUTED_VALUE"""),"T16")</f>
        <v>T16</v>
      </c>
      <c r="B21" t="str">
        <f ca="1">IFERROR(__xludf.DUMMYFUNCTION("""COMPUTED_VALUE"""),"T50")</f>
        <v>T50</v>
      </c>
      <c r="C21" t="str">
        <f ca="1">IFERROR(__xludf.DUMMYFUNCTION("""COMPUTED_VALUE"""),"Aaron Wise")</f>
        <v>Aaron Wise</v>
      </c>
      <c r="D21">
        <f ca="1">IFERROR(__xludf.DUMMYFUNCTION("""COMPUTED_VALUE"""),16)</f>
        <v>16</v>
      </c>
      <c r="E21">
        <f ca="1">IFERROR(__xludf.DUMMYFUNCTION("""COMPUTED_VALUE"""),73.61)</f>
        <v>73.61</v>
      </c>
      <c r="F21">
        <f ca="1">IFERROR(__xludf.DUMMYFUNCTION("""COMPUTED_VALUE"""),212)</f>
        <v>212</v>
      </c>
      <c r="G21">
        <f ca="1">IFERROR(__xludf.DUMMYFUNCTION("""COMPUTED_VALUE"""),288)</f>
        <v>288</v>
      </c>
      <c r="H21">
        <f ca="1">IFERROR(__xludf.DUMMYFUNCTION("""COMPUTED_VALUE"""),-0.25)</f>
        <v>-0.25</v>
      </c>
    </row>
    <row r="22" spans="1:8" ht="15.75" customHeight="1">
      <c r="A22" t="str">
        <f ca="1">IFERROR(__xludf.DUMMYFUNCTION("""COMPUTED_VALUE"""),"T16")</f>
        <v>T16</v>
      </c>
      <c r="B22" t="str">
        <f ca="1">IFERROR(__xludf.DUMMYFUNCTION("""COMPUTED_VALUE"""),"T21")</f>
        <v>T21</v>
      </c>
      <c r="C22" t="str">
        <f ca="1">IFERROR(__xludf.DUMMYFUNCTION("""COMPUTED_VALUE"""),"Stephen Stallings Jr.")</f>
        <v>Stephen Stallings Jr.</v>
      </c>
      <c r="D22">
        <f ca="1">IFERROR(__xludf.DUMMYFUNCTION("""COMPUTED_VALUE"""),4)</f>
        <v>4</v>
      </c>
      <c r="E22">
        <f ca="1">IFERROR(__xludf.DUMMYFUNCTION("""COMPUTED_VALUE"""),73.61)</f>
        <v>73.61</v>
      </c>
      <c r="F22">
        <f ca="1">IFERROR(__xludf.DUMMYFUNCTION("""COMPUTED_VALUE"""),53)</f>
        <v>53</v>
      </c>
      <c r="G22">
        <f ca="1">IFERROR(__xludf.DUMMYFUNCTION("""COMPUTED_VALUE"""),72)</f>
        <v>72</v>
      </c>
      <c r="H22">
        <f ca="1">IFERROR(__xludf.DUMMYFUNCTION("""COMPUTED_VALUE"""),-0.23)</f>
        <v>-0.23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IFERROR(__xludf.DUMMYFUNCTION("""COMPUTED_VALUE"""),27)</f>
        <v>27</v>
      </c>
      <c r="C23" t="str">
        <f ca="1">IFERROR(__xludf.DUMMYFUNCTION("""COMPUTED_VALUE"""),"Akshay Bhatia")</f>
        <v>Akshay Bhatia</v>
      </c>
      <c r="D23">
        <f ca="1">IFERROR(__xludf.DUMMYFUNCTION("""COMPUTED_VALUE"""),6)</f>
        <v>6</v>
      </c>
      <c r="E23">
        <f ca="1">IFERROR(__xludf.DUMMYFUNCTION("""COMPUTED_VALUE"""),73.15)</f>
        <v>73.150000000000006</v>
      </c>
      <c r="F23">
        <f ca="1">IFERROR(__xludf.DUMMYFUNCTION("""COMPUTED_VALUE"""),79)</f>
        <v>79</v>
      </c>
      <c r="G23">
        <f ca="1">IFERROR(__xludf.DUMMYFUNCTION("""COMPUTED_VALUE"""),108)</f>
        <v>108</v>
      </c>
      <c r="H23">
        <f ca="1">IFERROR(__xludf.DUMMYFUNCTION("""COMPUTED_VALUE"""),-0.29)</f>
        <v>-0.28999999999999998</v>
      </c>
    </row>
    <row r="24" spans="1:8" ht="15.75" customHeight="1">
      <c r="A24">
        <f ca="1">IFERROR(__xludf.DUMMYFUNCTION("""COMPUTED_VALUE"""),23)</f>
        <v>23</v>
      </c>
      <c r="B24">
        <f ca="1">IFERROR(__xludf.DUMMYFUNCTION("""COMPUTED_VALUE"""),28)</f>
        <v>28</v>
      </c>
      <c r="C24" t="str">
        <f ca="1">IFERROR(__xludf.DUMMYFUNCTION("""COMPUTED_VALUE"""),"Mark Anderson")</f>
        <v>Mark Anderson</v>
      </c>
      <c r="D24">
        <f ca="1">IFERROR(__xludf.DUMMYFUNCTION("""COMPUTED_VALUE"""),14)</f>
        <v>14</v>
      </c>
      <c r="E24">
        <f ca="1">IFERROR(__xludf.DUMMYFUNCTION("""COMPUTED_VALUE"""),73.02)</f>
        <v>73.02</v>
      </c>
      <c r="F24">
        <f ca="1">IFERROR(__xludf.DUMMYFUNCTION("""COMPUTED_VALUE"""),184)</f>
        <v>184</v>
      </c>
      <c r="G24">
        <f ca="1">IFERROR(__xludf.DUMMYFUNCTION("""COMPUTED_VALUE"""),252)</f>
        <v>252</v>
      </c>
      <c r="H24">
        <f ca="1">IFERROR(__xludf.DUMMYFUNCTION("""COMPUTED_VALUE"""),-0.23)</f>
        <v>-0.23</v>
      </c>
    </row>
    <row r="25" spans="1:8" ht="15.75" customHeight="1">
      <c r="A25">
        <f ca="1">IFERROR(__xludf.DUMMYFUNCTION("""COMPUTED_VALUE"""),24)</f>
        <v>24</v>
      </c>
      <c r="B25">
        <f ca="1">IFERROR(__xludf.DUMMYFUNCTION("""COMPUTED_VALUE"""),29)</f>
        <v>29</v>
      </c>
      <c r="C25" t="str">
        <f ca="1">IFERROR(__xludf.DUMMYFUNCTION("""COMPUTED_VALUE"""),"Nick Watney")</f>
        <v>Nick Watney</v>
      </c>
      <c r="D25">
        <f ca="1">IFERROR(__xludf.DUMMYFUNCTION("""COMPUTED_VALUE"""),10)</f>
        <v>10</v>
      </c>
      <c r="E25">
        <f ca="1">IFERROR(__xludf.DUMMYFUNCTION("""COMPUTED_VALUE"""),72.78)</f>
        <v>72.78</v>
      </c>
      <c r="F25">
        <f ca="1">IFERROR(__xludf.DUMMYFUNCTION("""COMPUTED_VALUE"""),131)</f>
        <v>131</v>
      </c>
      <c r="G25">
        <f ca="1">IFERROR(__xludf.DUMMYFUNCTION("""COMPUTED_VALUE"""),180)</f>
        <v>180</v>
      </c>
      <c r="H25">
        <f ca="1">IFERROR(__xludf.DUMMYFUNCTION("""COMPUTED_VALUE"""),-0.21)</f>
        <v>-0.21</v>
      </c>
    </row>
    <row r="26" spans="1:8" ht="15.75" customHeight="1">
      <c r="A26">
        <f ca="1">IFERROR(__xludf.DUMMYFUNCTION("""COMPUTED_VALUE"""),25)</f>
        <v>25</v>
      </c>
      <c r="B26">
        <f ca="1">IFERROR(__xludf.DUMMYFUNCTION("""COMPUTED_VALUE"""),30)</f>
        <v>30</v>
      </c>
      <c r="C26" t="str">
        <f ca="1">IFERROR(__xludf.DUMMYFUNCTION("""COMPUTED_VALUE"""),"Bubba Watson")</f>
        <v>Bubba Watson</v>
      </c>
      <c r="D26">
        <f ca="1">IFERROR(__xludf.DUMMYFUNCTION("""COMPUTED_VALUE"""),12)</f>
        <v>12</v>
      </c>
      <c r="E26">
        <f ca="1">IFERROR(__xludf.DUMMYFUNCTION("""COMPUTED_VALUE"""),72.69)</f>
        <v>72.69</v>
      </c>
      <c r="F26">
        <f ca="1">IFERROR(__xludf.DUMMYFUNCTION("""COMPUTED_VALUE"""),157)</f>
        <v>157</v>
      </c>
      <c r="G26">
        <f ca="1">IFERROR(__xludf.DUMMYFUNCTION("""COMPUTED_VALUE"""),216)</f>
        <v>216</v>
      </c>
      <c r="H26">
        <f ca="1">IFERROR(__xludf.DUMMYFUNCTION("""COMPUTED_VALUE"""),-0.3)</f>
        <v>-0.3</v>
      </c>
    </row>
    <row r="27" spans="1:8" ht="15.75" customHeight="1">
      <c r="A27" t="str">
        <f ca="1">IFERROR(__xludf.DUMMYFUNCTION("""COMPUTED_VALUE"""),"T26")</f>
        <v>T26</v>
      </c>
      <c r="B27" t="str">
        <f ca="1">IFERROR(__xludf.DUMMYFUNCTION("""COMPUTED_VALUE"""),"T31")</f>
        <v>T31</v>
      </c>
      <c r="C27" t="str">
        <f ca="1">IFERROR(__xludf.DUMMYFUNCTION("""COMPUTED_VALUE"""),"Ricky Barnes")</f>
        <v>Ricky Barnes</v>
      </c>
      <c r="D27">
        <f ca="1">IFERROR(__xludf.DUMMYFUNCTION("""COMPUTED_VALUE"""),12)</f>
        <v>12</v>
      </c>
      <c r="E27">
        <f ca="1">IFERROR(__xludf.DUMMYFUNCTION("""COMPUTED_VALUE"""),72.22)</f>
        <v>72.22</v>
      </c>
      <c r="F27">
        <f ca="1">IFERROR(__xludf.DUMMYFUNCTION("""COMPUTED_VALUE"""),156)</f>
        <v>156</v>
      </c>
      <c r="G27">
        <f ca="1">IFERROR(__xludf.DUMMYFUNCTION("""COMPUTED_VALUE"""),216)</f>
        <v>216</v>
      </c>
      <c r="H27">
        <f ca="1">IFERROR(__xludf.DUMMYFUNCTION("""COMPUTED_VALUE"""),-0.28)</f>
        <v>-0.28000000000000003</v>
      </c>
    </row>
    <row r="28" spans="1:8" ht="15.75" customHeight="1">
      <c r="A28" t="str">
        <f ca="1">IFERROR(__xludf.DUMMYFUNCTION("""COMPUTED_VALUE"""),"T26")</f>
        <v>T26</v>
      </c>
      <c r="B28">
        <f ca="1">IFERROR(__xludf.DUMMYFUNCTION("""COMPUTED_VALUE"""),26)</f>
        <v>26</v>
      </c>
      <c r="C28" t="str">
        <f ca="1">IFERROR(__xludf.DUMMYFUNCTION("""COMPUTED_VALUE"""),"Charl Schwartzel")</f>
        <v>Charl Schwartzel</v>
      </c>
      <c r="D28">
        <f ca="1">IFERROR(__xludf.DUMMYFUNCTION("""COMPUTED_VALUE"""),12)</f>
        <v>12</v>
      </c>
      <c r="E28">
        <f ca="1">IFERROR(__xludf.DUMMYFUNCTION("""COMPUTED_VALUE"""),72.22)</f>
        <v>72.22</v>
      </c>
      <c r="F28">
        <f ca="1">IFERROR(__xludf.DUMMYFUNCTION("""COMPUTED_VALUE"""),156)</f>
        <v>156</v>
      </c>
      <c r="G28">
        <f ca="1">IFERROR(__xludf.DUMMYFUNCTION("""COMPUTED_VALUE"""),216)</f>
        <v>216</v>
      </c>
      <c r="H28">
        <f ca="1">IFERROR(__xludf.DUMMYFUNCTION("""COMPUTED_VALUE"""),-0.26)</f>
        <v>-0.26</v>
      </c>
    </row>
    <row r="29" spans="1:8" ht="15.75" customHeight="1">
      <c r="A29" t="str">
        <f ca="1">IFERROR(__xludf.DUMMYFUNCTION("""COMPUTED_VALUE"""),"T26")</f>
        <v>T26</v>
      </c>
      <c r="B29" t="str">
        <f ca="1">IFERROR(__xludf.DUMMYFUNCTION("""COMPUTED_VALUE"""),"T21")</f>
        <v>T21</v>
      </c>
      <c r="C29" t="str">
        <f ca="1">IFERROR(__xludf.DUMMYFUNCTION("""COMPUTED_VALUE"""),"Camilo Villegas")</f>
        <v>Camilo Villegas</v>
      </c>
      <c r="D29">
        <f ca="1">IFERROR(__xludf.DUMMYFUNCTION("""COMPUTED_VALUE"""),14)</f>
        <v>14</v>
      </c>
      <c r="E29">
        <f ca="1">IFERROR(__xludf.DUMMYFUNCTION("""COMPUTED_VALUE"""),72.22)</f>
        <v>72.22</v>
      </c>
      <c r="F29">
        <f ca="1">IFERROR(__xludf.DUMMYFUNCTION("""COMPUTED_VALUE"""),182)</f>
        <v>182</v>
      </c>
      <c r="G29">
        <f ca="1">IFERROR(__xludf.DUMMYFUNCTION("""COMPUTED_VALUE"""),252)</f>
        <v>252</v>
      </c>
      <c r="H29">
        <f ca="1">IFERROR(__xludf.DUMMYFUNCTION("""COMPUTED_VALUE"""),-0.23)</f>
        <v>-0.23</v>
      </c>
    </row>
    <row r="30" spans="1:8" ht="15.75" customHeight="1">
      <c r="A30" t="str">
        <f ca="1">IFERROR(__xludf.DUMMYFUNCTION("""COMPUTED_VALUE"""),"T26")</f>
        <v>T26</v>
      </c>
      <c r="B30" t="str">
        <f ca="1">IFERROR(__xludf.DUMMYFUNCTION("""COMPUTED_VALUE"""),"T31")</f>
        <v>T31</v>
      </c>
      <c r="C30" t="str">
        <f ca="1">IFERROR(__xludf.DUMMYFUNCTION("""COMPUTED_VALUE"""),"Gunn Charoenkul")</f>
        <v>Gunn Charoenkul</v>
      </c>
      <c r="D30">
        <f ca="1">IFERROR(__xludf.DUMMYFUNCTION("""COMPUTED_VALUE"""),4)</f>
        <v>4</v>
      </c>
      <c r="E30">
        <f ca="1">IFERROR(__xludf.DUMMYFUNCTION("""COMPUTED_VALUE"""),72.22)</f>
        <v>72.22</v>
      </c>
      <c r="F30">
        <f ca="1">IFERROR(__xludf.DUMMYFUNCTION("""COMPUTED_VALUE"""),52)</f>
        <v>52</v>
      </c>
      <c r="G30">
        <f ca="1">IFERROR(__xludf.DUMMYFUNCTION("""COMPUTED_VALUE"""),72)</f>
        <v>72</v>
      </c>
      <c r="H30">
        <f ca="1">IFERROR(__xludf.DUMMYFUNCTION("""COMPUTED_VALUE"""),-0.25)</f>
        <v>-0.25</v>
      </c>
    </row>
    <row r="31" spans="1:8" ht="12.75">
      <c r="A31" t="str">
        <f ca="1">IFERROR(__xludf.DUMMYFUNCTION("""COMPUTED_VALUE"""),"T26")</f>
        <v>T26</v>
      </c>
      <c r="B31" t="str">
        <f ca="1">IFERROR(__xludf.DUMMYFUNCTION("""COMPUTED_VALUE"""),"T31")</f>
        <v>T31</v>
      </c>
      <c r="C31" t="str">
        <f ca="1">IFERROR(__xludf.DUMMYFUNCTION("""COMPUTED_VALUE"""),"Joseph Bramlett")</f>
        <v>Joseph Bramlett</v>
      </c>
      <c r="D31">
        <f ca="1">IFERROR(__xludf.DUMMYFUNCTION("""COMPUTED_VALUE"""),18)</f>
        <v>18</v>
      </c>
      <c r="E31">
        <f ca="1">IFERROR(__xludf.DUMMYFUNCTION("""COMPUTED_VALUE"""),72.22)</f>
        <v>72.22</v>
      </c>
      <c r="F31">
        <f ca="1">IFERROR(__xludf.DUMMYFUNCTION("""COMPUTED_VALUE"""),234)</f>
        <v>234</v>
      </c>
      <c r="G31">
        <f ca="1">IFERROR(__xludf.DUMMYFUNCTION("""COMPUTED_VALUE"""),324)</f>
        <v>324</v>
      </c>
      <c r="H31">
        <f ca="1">IFERROR(__xludf.DUMMYFUNCTION("""COMPUTED_VALUE"""),-0.27)</f>
        <v>-0.27</v>
      </c>
    </row>
    <row r="32" spans="1:8" ht="12.75">
      <c r="A32" t="str">
        <f ca="1">IFERROR(__xludf.DUMMYFUNCTION("""COMPUTED_VALUE"""),"T26")</f>
        <v>T26</v>
      </c>
      <c r="B32" t="str">
        <f ca="1">IFERROR(__xludf.DUMMYFUNCTION("""COMPUTED_VALUE"""),"T19")</f>
        <v>T19</v>
      </c>
      <c r="C32" t="str">
        <f ca="1">IFERROR(__xludf.DUMMYFUNCTION("""COMPUTED_VALUE"""),"Sungjae Im")</f>
        <v>Sungjae Im</v>
      </c>
      <c r="D32">
        <f ca="1">IFERROR(__xludf.DUMMYFUNCTION("""COMPUTED_VALUE"""),24)</f>
        <v>24</v>
      </c>
      <c r="E32">
        <f ca="1">IFERROR(__xludf.DUMMYFUNCTION("""COMPUTED_VALUE"""),72.22)</f>
        <v>72.22</v>
      </c>
      <c r="F32">
        <f ca="1">IFERROR(__xludf.DUMMYFUNCTION("""COMPUTED_VALUE"""),312)</f>
        <v>312</v>
      </c>
      <c r="G32">
        <f ca="1">IFERROR(__xludf.DUMMYFUNCTION("""COMPUTED_VALUE"""),432)</f>
        <v>432</v>
      </c>
      <c r="H32">
        <f ca="1">IFERROR(__xludf.DUMMYFUNCTION("""COMPUTED_VALUE"""),-0.3)</f>
        <v>-0.3</v>
      </c>
    </row>
    <row r="33" spans="1:8" ht="12.75">
      <c r="A33" t="str">
        <f ca="1">IFERROR(__xludf.DUMMYFUNCTION("""COMPUTED_VALUE"""),"T26")</f>
        <v>T26</v>
      </c>
      <c r="B33" t="str">
        <f ca="1">IFERROR(__xludf.DUMMYFUNCTION("""COMPUTED_VALUE"""),"T31")</f>
        <v>T31</v>
      </c>
      <c r="C33" t="str">
        <f ca="1">IFERROR(__xludf.DUMMYFUNCTION("""COMPUTED_VALUE"""),"Michael Miller")</f>
        <v>Michael Miller</v>
      </c>
      <c r="D33">
        <f ca="1">IFERROR(__xludf.DUMMYFUNCTION("""COMPUTED_VALUE"""),4)</f>
        <v>4</v>
      </c>
      <c r="E33">
        <f ca="1">IFERROR(__xludf.DUMMYFUNCTION("""COMPUTED_VALUE"""),72.22)</f>
        <v>72.22</v>
      </c>
      <c r="F33">
        <f ca="1">IFERROR(__xludf.DUMMYFUNCTION("""COMPUTED_VALUE"""),52)</f>
        <v>52</v>
      </c>
      <c r="G33">
        <f ca="1">IFERROR(__xludf.DUMMYFUNCTION("""COMPUTED_VALUE"""),72)</f>
        <v>72</v>
      </c>
      <c r="H33">
        <f ca="1">IFERROR(__xludf.DUMMYFUNCTION("""COMPUTED_VALUE"""),-0.23)</f>
        <v>-0.23</v>
      </c>
    </row>
    <row r="34" spans="1:8" ht="12.75">
      <c r="A34" t="str">
        <f ca="1">IFERROR(__xludf.DUMMYFUNCTION("""COMPUTED_VALUE"""),"T26")</f>
        <v>T26</v>
      </c>
      <c r="B34" t="str">
        <f ca="1">IFERROR(__xludf.DUMMYFUNCTION("""COMPUTED_VALUE"""),"T31")</f>
        <v>T31</v>
      </c>
      <c r="C34" t="str">
        <f ca="1">IFERROR(__xludf.DUMMYFUNCTION("""COMPUTED_VALUE"""),"Jazz Janewattananond")</f>
        <v>Jazz Janewattananond</v>
      </c>
      <c r="D34">
        <f ca="1">IFERROR(__xludf.DUMMYFUNCTION("""COMPUTED_VALUE"""),6)</f>
        <v>6</v>
      </c>
      <c r="E34">
        <f ca="1">IFERROR(__xludf.DUMMYFUNCTION("""COMPUTED_VALUE"""),72.22)</f>
        <v>72.22</v>
      </c>
      <c r="F34">
        <f ca="1">IFERROR(__xludf.DUMMYFUNCTION("""COMPUTED_VALUE"""),78)</f>
        <v>78</v>
      </c>
      <c r="G34">
        <f ca="1">IFERROR(__xludf.DUMMYFUNCTION("""COMPUTED_VALUE"""),108)</f>
        <v>108</v>
      </c>
      <c r="H34">
        <f ca="1">IFERROR(__xludf.DUMMYFUNCTION("""COMPUTED_VALUE"""),-0.19)</f>
        <v>-0.19</v>
      </c>
    </row>
    <row r="35" spans="1:8" ht="12.75">
      <c r="A35" t="str">
        <f ca="1">IFERROR(__xludf.DUMMYFUNCTION("""COMPUTED_VALUE"""),"T26")</f>
        <v>T26</v>
      </c>
      <c r="B35" t="str">
        <f ca="1">IFERROR(__xludf.DUMMYFUNCTION("""COMPUTED_VALUE"""),"T31")</f>
        <v>T31</v>
      </c>
      <c r="C35" t="str">
        <f ca="1">IFERROR(__xludf.DUMMYFUNCTION("""COMPUTED_VALUE"""),"Sahith Theegala")</f>
        <v>Sahith Theegala</v>
      </c>
      <c r="D35">
        <f ca="1">IFERROR(__xludf.DUMMYFUNCTION("""COMPUTED_VALUE"""),6)</f>
        <v>6</v>
      </c>
      <c r="E35">
        <f ca="1">IFERROR(__xludf.DUMMYFUNCTION("""COMPUTED_VALUE"""),72.22)</f>
        <v>72.22</v>
      </c>
      <c r="F35">
        <f ca="1">IFERROR(__xludf.DUMMYFUNCTION("""COMPUTED_VALUE"""),78)</f>
        <v>78</v>
      </c>
      <c r="G35">
        <f ca="1">IFERROR(__xludf.DUMMYFUNCTION("""COMPUTED_VALUE"""),108)</f>
        <v>108</v>
      </c>
      <c r="H35">
        <f ca="1">IFERROR(__xludf.DUMMYFUNCTION("""COMPUTED_VALUE"""),-0.32)</f>
        <v>-0.32</v>
      </c>
    </row>
    <row r="36" spans="1:8" ht="12.75">
      <c r="A36" t="str">
        <f ca="1">IFERROR(__xludf.DUMMYFUNCTION("""COMPUTED_VALUE"""),"T26")</f>
        <v>T26</v>
      </c>
      <c r="B36" t="str">
        <f ca="1">IFERROR(__xludf.DUMMYFUNCTION("""COMPUTED_VALUE"""),"T31")</f>
        <v>T31</v>
      </c>
      <c r="C36" t="str">
        <f ca="1">IFERROR(__xludf.DUMMYFUNCTION("""COMPUTED_VALUE"""),"George Markham")</f>
        <v>George Markham</v>
      </c>
      <c r="D36">
        <f ca="1">IFERROR(__xludf.DUMMYFUNCTION("""COMPUTED_VALUE"""),4)</f>
        <v>4</v>
      </c>
      <c r="E36">
        <f ca="1">IFERROR(__xludf.DUMMYFUNCTION("""COMPUTED_VALUE"""),72.22)</f>
        <v>72.22</v>
      </c>
      <c r="F36">
        <f ca="1">IFERROR(__xludf.DUMMYFUNCTION("""COMPUTED_VALUE"""),52)</f>
        <v>52</v>
      </c>
      <c r="G36">
        <f ca="1">IFERROR(__xludf.DUMMYFUNCTION("""COMPUTED_VALUE"""),72)</f>
        <v>72</v>
      </c>
      <c r="H36">
        <f ca="1">IFERROR(__xludf.DUMMYFUNCTION("""COMPUTED_VALUE"""),-0.25)</f>
        <v>-0.25</v>
      </c>
    </row>
    <row r="37" spans="1:8" ht="12.75">
      <c r="A37" t="str">
        <f ca="1">IFERROR(__xludf.DUMMYFUNCTION("""COMPUTED_VALUE"""),"T36")</f>
        <v>T36</v>
      </c>
      <c r="B37" t="str">
        <f ca="1">IFERROR(__xludf.DUMMYFUNCTION("""COMPUTED_VALUE"""),"T46")</f>
        <v>T46</v>
      </c>
      <c r="C37" t="str">
        <f ca="1">IFERROR(__xludf.DUMMYFUNCTION("""COMPUTED_VALUE"""),"Ryan Palmer")</f>
        <v>Ryan Palmer</v>
      </c>
      <c r="D37">
        <f ca="1">IFERROR(__xludf.DUMMYFUNCTION("""COMPUTED_VALUE"""),14)</f>
        <v>14</v>
      </c>
      <c r="E37">
        <f ca="1">IFERROR(__xludf.DUMMYFUNCTION("""COMPUTED_VALUE"""),71.83)</f>
        <v>71.83</v>
      </c>
      <c r="F37">
        <f ca="1">IFERROR(__xludf.DUMMYFUNCTION("""COMPUTED_VALUE"""),181)</f>
        <v>181</v>
      </c>
      <c r="G37">
        <f ca="1">IFERROR(__xludf.DUMMYFUNCTION("""COMPUTED_VALUE"""),252)</f>
        <v>252</v>
      </c>
      <c r="H37">
        <f ca="1">IFERROR(__xludf.DUMMYFUNCTION("""COMPUTED_VALUE"""),-0.36)</f>
        <v>-0.36</v>
      </c>
    </row>
    <row r="38" spans="1:8" ht="12.75">
      <c r="A38" t="str">
        <f ca="1">IFERROR(__xludf.DUMMYFUNCTION("""COMPUTED_VALUE"""),"T36")</f>
        <v>T36</v>
      </c>
      <c r="B38" t="str">
        <f ca="1">IFERROR(__xludf.DUMMYFUNCTION("""COMPUTED_VALUE"""),"T46")</f>
        <v>T46</v>
      </c>
      <c r="C38" t="str">
        <f ca="1">IFERROR(__xludf.DUMMYFUNCTION("""COMPUTED_VALUE"""),"Chez Reavie")</f>
        <v>Chez Reavie</v>
      </c>
      <c r="D38">
        <f ca="1">IFERROR(__xludf.DUMMYFUNCTION("""COMPUTED_VALUE"""),14)</f>
        <v>14</v>
      </c>
      <c r="E38">
        <f ca="1">IFERROR(__xludf.DUMMYFUNCTION("""COMPUTED_VALUE"""),71.83)</f>
        <v>71.83</v>
      </c>
      <c r="F38">
        <f ca="1">IFERROR(__xludf.DUMMYFUNCTION("""COMPUTED_VALUE"""),181)</f>
        <v>181</v>
      </c>
      <c r="G38">
        <f ca="1">IFERROR(__xludf.DUMMYFUNCTION("""COMPUTED_VALUE"""),252)</f>
        <v>252</v>
      </c>
      <c r="H38">
        <f ca="1">IFERROR(__xludf.DUMMYFUNCTION("""COMPUTED_VALUE"""),-0.25)</f>
        <v>-0.25</v>
      </c>
    </row>
    <row r="39" spans="1:8" ht="12.75">
      <c r="A39" t="str">
        <f ca="1">IFERROR(__xludf.DUMMYFUNCTION("""COMPUTED_VALUE"""),"T38")</f>
        <v>T38</v>
      </c>
      <c r="B39" t="str">
        <f ca="1">IFERROR(__xludf.DUMMYFUNCTION("""COMPUTED_VALUE"""),"T53")</f>
        <v>T53</v>
      </c>
      <c r="C39" t="str">
        <f ca="1">IFERROR(__xludf.DUMMYFUNCTION("""COMPUTED_VALUE"""),"MJ Daffue")</f>
        <v>MJ Daffue</v>
      </c>
      <c r="D39">
        <f ca="1">IFERROR(__xludf.DUMMYFUNCTION("""COMPUTED_VALUE"""),10)</f>
        <v>10</v>
      </c>
      <c r="E39">
        <f ca="1">IFERROR(__xludf.DUMMYFUNCTION("""COMPUTED_VALUE"""),71.67)</f>
        <v>71.67</v>
      </c>
      <c r="F39">
        <f ca="1">IFERROR(__xludf.DUMMYFUNCTION("""COMPUTED_VALUE"""),129)</f>
        <v>129</v>
      </c>
      <c r="G39">
        <f ca="1">IFERROR(__xludf.DUMMYFUNCTION("""COMPUTED_VALUE"""),180)</f>
        <v>180</v>
      </c>
      <c r="H39">
        <f ca="1">IFERROR(__xludf.DUMMYFUNCTION("""COMPUTED_VALUE"""),-0.33)</f>
        <v>-0.33</v>
      </c>
    </row>
    <row r="40" spans="1:8" ht="12.75">
      <c r="A40" t="str">
        <f ca="1">IFERROR(__xludf.DUMMYFUNCTION("""COMPUTED_VALUE"""),"T38")</f>
        <v>T38</v>
      </c>
      <c r="B40" t="str">
        <f ca="1">IFERROR(__xludf.DUMMYFUNCTION("""COMPUTED_VALUE"""),"T53")</f>
        <v>T53</v>
      </c>
      <c r="C40" t="str">
        <f ca="1">IFERROR(__xludf.DUMMYFUNCTION("""COMPUTED_VALUE"""),"J.J. Spaun")</f>
        <v>J.J. Spaun</v>
      </c>
      <c r="D40">
        <f ca="1">IFERROR(__xludf.DUMMYFUNCTION("""COMPUTED_VALUE"""),10)</f>
        <v>10</v>
      </c>
      <c r="E40">
        <f ca="1">IFERROR(__xludf.DUMMYFUNCTION("""COMPUTED_VALUE"""),71.67)</f>
        <v>71.67</v>
      </c>
      <c r="F40">
        <f ca="1">IFERROR(__xludf.DUMMYFUNCTION("""COMPUTED_VALUE"""),129)</f>
        <v>129</v>
      </c>
      <c r="G40">
        <f ca="1">IFERROR(__xludf.DUMMYFUNCTION("""COMPUTED_VALUE"""),180)</f>
        <v>180</v>
      </c>
      <c r="H40">
        <f ca="1">IFERROR(__xludf.DUMMYFUNCTION("""COMPUTED_VALUE"""),-0.29)</f>
        <v>-0.28999999999999998</v>
      </c>
    </row>
    <row r="41" spans="1:8" ht="12.75">
      <c r="A41" t="str">
        <f ca="1">IFERROR(__xludf.DUMMYFUNCTION("""COMPUTED_VALUE"""),"T40")</f>
        <v>T40</v>
      </c>
      <c r="B41" t="str">
        <f ca="1">IFERROR(__xludf.DUMMYFUNCTION("""COMPUTED_VALUE"""),"T31")</f>
        <v>T31</v>
      </c>
      <c r="C41" t="str">
        <f ca="1">IFERROR(__xludf.DUMMYFUNCTION("""COMPUTED_VALUE"""),"Cameron Tringale")</f>
        <v>Cameron Tringale</v>
      </c>
      <c r="D41">
        <f ca="1">IFERROR(__xludf.DUMMYFUNCTION("""COMPUTED_VALUE"""),16)</f>
        <v>16</v>
      </c>
      <c r="E41">
        <f ca="1">IFERROR(__xludf.DUMMYFUNCTION("""COMPUTED_VALUE"""),71.53)</f>
        <v>71.53</v>
      </c>
      <c r="F41">
        <f ca="1">IFERROR(__xludf.DUMMYFUNCTION("""COMPUTED_VALUE"""),206)</f>
        <v>206</v>
      </c>
      <c r="G41">
        <f ca="1">IFERROR(__xludf.DUMMYFUNCTION("""COMPUTED_VALUE"""),288)</f>
        <v>288</v>
      </c>
      <c r="H41">
        <f ca="1">IFERROR(__xludf.DUMMYFUNCTION("""COMPUTED_VALUE"""),-0.31)</f>
        <v>-0.31</v>
      </c>
    </row>
    <row r="42" spans="1:8" ht="12.75">
      <c r="A42" t="str">
        <f ca="1">IFERROR(__xludf.DUMMYFUNCTION("""COMPUTED_VALUE"""),"T40")</f>
        <v>T40</v>
      </c>
      <c r="B42" t="str">
        <f ca="1">IFERROR(__xludf.DUMMYFUNCTION("""COMPUTED_VALUE"""),"T55")</f>
        <v>T55</v>
      </c>
      <c r="C42" t="str">
        <f ca="1">IFERROR(__xludf.DUMMYFUNCTION("""COMPUTED_VALUE"""),"Bryson DeChambeau")</f>
        <v>Bryson DeChambeau</v>
      </c>
      <c r="D42">
        <f ca="1">IFERROR(__xludf.DUMMYFUNCTION("""COMPUTED_VALUE"""),8)</f>
        <v>8</v>
      </c>
      <c r="E42">
        <f ca="1">IFERROR(__xludf.DUMMYFUNCTION("""COMPUTED_VALUE"""),71.53)</f>
        <v>71.53</v>
      </c>
      <c r="F42">
        <f ca="1">IFERROR(__xludf.DUMMYFUNCTION("""COMPUTED_VALUE"""),103)</f>
        <v>103</v>
      </c>
      <c r="G42">
        <f ca="1">IFERROR(__xludf.DUMMYFUNCTION("""COMPUTED_VALUE"""),144)</f>
        <v>144</v>
      </c>
      <c r="H42">
        <f ca="1">IFERROR(__xludf.DUMMYFUNCTION("""COMPUTED_VALUE"""),-0.38)</f>
        <v>-0.38</v>
      </c>
    </row>
    <row r="43" spans="1:8" ht="12.75">
      <c r="A43">
        <f ca="1">IFERROR(__xludf.DUMMYFUNCTION("""COMPUTED_VALUE"""),42)</f>
        <v>42</v>
      </c>
      <c r="B43" t="str">
        <f ca="1">IFERROR(__xludf.DUMMYFUNCTION("""COMPUTED_VALUE"""),"T55")</f>
        <v>T55</v>
      </c>
      <c r="C43" t="str">
        <f ca="1">IFERROR(__xludf.DUMMYFUNCTION("""COMPUTED_VALUE"""),"Carlos Ortiz")</f>
        <v>Carlos Ortiz</v>
      </c>
      <c r="D43">
        <f ca="1">IFERROR(__xludf.DUMMYFUNCTION("""COMPUTED_VALUE"""),20)</f>
        <v>20</v>
      </c>
      <c r="E43">
        <f ca="1">IFERROR(__xludf.DUMMYFUNCTION("""COMPUTED_VALUE"""),71.39)</f>
        <v>71.39</v>
      </c>
      <c r="F43">
        <f ca="1">IFERROR(__xludf.DUMMYFUNCTION("""COMPUTED_VALUE"""),257)</f>
        <v>257</v>
      </c>
      <c r="G43">
        <f ca="1">IFERROR(__xludf.DUMMYFUNCTION("""COMPUTED_VALUE"""),360)</f>
        <v>360</v>
      </c>
      <c r="H43">
        <f ca="1">IFERROR(__xludf.DUMMYFUNCTION("""COMPUTED_VALUE"""),-0.32)</f>
        <v>-0.32</v>
      </c>
    </row>
    <row r="44" spans="1:8" ht="12.75">
      <c r="A44" t="str">
        <f ca="1">IFERROR(__xludf.DUMMYFUNCTION("""COMPUTED_VALUE"""),"T43")</f>
        <v>T43</v>
      </c>
      <c r="B44">
        <f ca="1">IFERROR(__xludf.DUMMYFUNCTION("""COMPUTED_VALUE"""),25)</f>
        <v>25</v>
      </c>
      <c r="C44" t="str">
        <f ca="1">IFERROR(__xludf.DUMMYFUNCTION("""COMPUTED_VALUE"""),"Scott Piercy")</f>
        <v>Scott Piercy</v>
      </c>
      <c r="D44">
        <f ca="1">IFERROR(__xludf.DUMMYFUNCTION("""COMPUTED_VALUE"""),18)</f>
        <v>18</v>
      </c>
      <c r="E44">
        <f ca="1">IFERROR(__xludf.DUMMYFUNCTION("""COMPUTED_VALUE"""),71.3)</f>
        <v>71.3</v>
      </c>
      <c r="F44">
        <f ca="1">IFERROR(__xludf.DUMMYFUNCTION("""COMPUTED_VALUE"""),231)</f>
        <v>231</v>
      </c>
      <c r="G44">
        <f ca="1">IFERROR(__xludf.DUMMYFUNCTION("""COMPUTED_VALUE"""),324)</f>
        <v>324</v>
      </c>
      <c r="H44">
        <f ca="1">IFERROR(__xludf.DUMMYFUNCTION("""COMPUTED_VALUE"""),-0.28)</f>
        <v>-0.28000000000000003</v>
      </c>
    </row>
    <row r="45" spans="1:8" ht="12.75">
      <c r="A45" t="str">
        <f ca="1">IFERROR(__xludf.DUMMYFUNCTION("""COMPUTED_VALUE"""),"T43")</f>
        <v>T43</v>
      </c>
      <c r="B45" t="str">
        <f ca="1">IFERROR(__xludf.DUMMYFUNCTION("""COMPUTED_VALUE"""),"T57")</f>
        <v>T57</v>
      </c>
      <c r="C45" t="str">
        <f ca="1">IFERROR(__xludf.DUMMYFUNCTION("""COMPUTED_VALUE"""),"Joel Dahmen")</f>
        <v>Joel Dahmen</v>
      </c>
      <c r="D45">
        <f ca="1">IFERROR(__xludf.DUMMYFUNCTION("""COMPUTED_VALUE"""),18)</f>
        <v>18</v>
      </c>
      <c r="E45">
        <f ca="1">IFERROR(__xludf.DUMMYFUNCTION("""COMPUTED_VALUE"""),71.3)</f>
        <v>71.3</v>
      </c>
      <c r="F45">
        <f ca="1">IFERROR(__xludf.DUMMYFUNCTION("""COMPUTED_VALUE"""),231)</f>
        <v>231</v>
      </c>
      <c r="G45">
        <f ca="1">IFERROR(__xludf.DUMMYFUNCTION("""COMPUTED_VALUE"""),324)</f>
        <v>324</v>
      </c>
      <c r="H45">
        <f ca="1">IFERROR(__xludf.DUMMYFUNCTION("""COMPUTED_VALUE"""),-0.31)</f>
        <v>-0.31</v>
      </c>
    </row>
    <row r="46" spans="1:8" ht="12.75">
      <c r="A46" t="str">
        <f ca="1">IFERROR(__xludf.DUMMYFUNCTION("""COMPUTED_VALUE"""),"T43")</f>
        <v>T43</v>
      </c>
      <c r="B46" t="str">
        <f ca="1">IFERROR(__xludf.DUMMYFUNCTION("""COMPUTED_VALUE"""),"T57")</f>
        <v>T57</v>
      </c>
      <c r="C46" t="str">
        <f ca="1">IFERROR(__xludf.DUMMYFUNCTION("""COMPUTED_VALUE"""),"Jon Rahm")</f>
        <v>Jon Rahm</v>
      </c>
      <c r="D46">
        <f ca="1">IFERROR(__xludf.DUMMYFUNCTION("""COMPUTED_VALUE"""),12)</f>
        <v>12</v>
      </c>
      <c r="E46">
        <f ca="1">IFERROR(__xludf.DUMMYFUNCTION("""COMPUTED_VALUE"""),71.3)</f>
        <v>71.3</v>
      </c>
      <c r="F46">
        <f ca="1">IFERROR(__xludf.DUMMYFUNCTION("""COMPUTED_VALUE"""),154)</f>
        <v>154</v>
      </c>
      <c r="G46">
        <f ca="1">IFERROR(__xludf.DUMMYFUNCTION("""COMPUTED_VALUE"""),216)</f>
        <v>216</v>
      </c>
      <c r="H46">
        <f ca="1">IFERROR(__xludf.DUMMYFUNCTION("""COMPUTED_VALUE"""),-0.31)</f>
        <v>-0.31</v>
      </c>
    </row>
    <row r="47" spans="1:8" ht="12.75">
      <c r="A47">
        <f ca="1">IFERROR(__xludf.DUMMYFUNCTION("""COMPUTED_VALUE"""),46)</f>
        <v>46</v>
      </c>
      <c r="B47">
        <f ca="1">IFERROR(__xludf.DUMMYFUNCTION("""COMPUTED_VALUE"""),59)</f>
        <v>59</v>
      </c>
      <c r="C47" t="str">
        <f ca="1">IFERROR(__xludf.DUMMYFUNCTION("""COMPUTED_VALUE"""),"J.B. Holmes")</f>
        <v>J.B. Holmes</v>
      </c>
      <c r="D47">
        <f ca="1">IFERROR(__xludf.DUMMYFUNCTION("""COMPUTED_VALUE"""),10)</f>
        <v>10</v>
      </c>
      <c r="E47">
        <f ca="1">IFERROR(__xludf.DUMMYFUNCTION("""COMPUTED_VALUE"""),71.11)</f>
        <v>71.11</v>
      </c>
      <c r="F47">
        <f ca="1">IFERROR(__xludf.DUMMYFUNCTION("""COMPUTED_VALUE"""),128)</f>
        <v>128</v>
      </c>
      <c r="G47">
        <f ca="1">IFERROR(__xludf.DUMMYFUNCTION("""COMPUTED_VALUE"""),180)</f>
        <v>180</v>
      </c>
      <c r="H47">
        <f ca="1">IFERROR(__xludf.DUMMYFUNCTION("""COMPUTED_VALUE"""),-0.33)</f>
        <v>-0.33</v>
      </c>
    </row>
    <row r="48" spans="1:8" ht="12.75">
      <c r="A48" t="str">
        <f ca="1">IFERROR(__xludf.DUMMYFUNCTION("""COMPUTED_VALUE"""),"T47")</f>
        <v>T47</v>
      </c>
      <c r="B48" t="str">
        <f ca="1">IFERROR(__xludf.DUMMYFUNCTION("""COMPUTED_VALUE"""),"T60")</f>
        <v>T60</v>
      </c>
      <c r="C48" t="str">
        <f ca="1">IFERROR(__xludf.DUMMYFUNCTION("""COMPUTED_VALUE"""),"Brendan Steele")</f>
        <v>Brendan Steele</v>
      </c>
      <c r="D48">
        <f ca="1">IFERROR(__xludf.DUMMYFUNCTION("""COMPUTED_VALUE"""),14)</f>
        <v>14</v>
      </c>
      <c r="E48">
        <f ca="1">IFERROR(__xludf.DUMMYFUNCTION("""COMPUTED_VALUE"""),71.03)</f>
        <v>71.03</v>
      </c>
      <c r="F48">
        <f ca="1">IFERROR(__xludf.DUMMYFUNCTION("""COMPUTED_VALUE"""),179)</f>
        <v>179</v>
      </c>
      <c r="G48">
        <f ca="1">IFERROR(__xludf.DUMMYFUNCTION("""COMPUTED_VALUE"""),252)</f>
        <v>252</v>
      </c>
      <c r="H48">
        <f ca="1">IFERROR(__xludf.DUMMYFUNCTION("""COMPUTED_VALUE"""),-0.3)</f>
        <v>-0.3</v>
      </c>
    </row>
    <row r="49" spans="1:8" ht="12.75">
      <c r="A49" t="str">
        <f ca="1">IFERROR(__xludf.DUMMYFUNCTION("""COMPUTED_VALUE"""),"T47")</f>
        <v>T47</v>
      </c>
      <c r="B49" t="str">
        <f ca="1">IFERROR(__xludf.DUMMYFUNCTION("""COMPUTED_VALUE"""),"T60")</f>
        <v>T60</v>
      </c>
      <c r="C49" t="str">
        <f ca="1">IFERROR(__xludf.DUMMYFUNCTION("""COMPUTED_VALUE"""),"Harry Higgs")</f>
        <v>Harry Higgs</v>
      </c>
      <c r="D49">
        <f ca="1">IFERROR(__xludf.DUMMYFUNCTION("""COMPUTED_VALUE"""),14)</f>
        <v>14</v>
      </c>
      <c r="E49">
        <f ca="1">IFERROR(__xludf.DUMMYFUNCTION("""COMPUTED_VALUE"""),71.03)</f>
        <v>71.03</v>
      </c>
      <c r="F49">
        <f ca="1">IFERROR(__xludf.DUMMYFUNCTION("""COMPUTED_VALUE"""),179)</f>
        <v>179</v>
      </c>
      <c r="G49">
        <f ca="1">IFERROR(__xludf.DUMMYFUNCTION("""COMPUTED_VALUE"""),252)</f>
        <v>252</v>
      </c>
      <c r="H49">
        <f ca="1">IFERROR(__xludf.DUMMYFUNCTION("""COMPUTED_VALUE"""),-0.39)</f>
        <v>-0.39</v>
      </c>
    </row>
    <row r="50" spans="1:8" ht="12.75">
      <c r="A50" t="str">
        <f ca="1">IFERROR(__xludf.DUMMYFUNCTION("""COMPUTED_VALUE"""),"T47")</f>
        <v>T47</v>
      </c>
      <c r="B50" t="str">
        <f ca="1">IFERROR(__xludf.DUMMYFUNCTION("""COMPUTED_VALUE"""),"T97")</f>
        <v>T97</v>
      </c>
      <c r="C50" t="str">
        <f ca="1">IFERROR(__xludf.DUMMYFUNCTION("""COMPUTED_VALUE"""),"Harold Varner III")</f>
        <v>Harold Varner III</v>
      </c>
      <c r="D50">
        <f ca="1">IFERROR(__xludf.DUMMYFUNCTION("""COMPUTED_VALUE"""),14)</f>
        <v>14</v>
      </c>
      <c r="E50">
        <f ca="1">IFERROR(__xludf.DUMMYFUNCTION("""COMPUTED_VALUE"""),71.03)</f>
        <v>71.03</v>
      </c>
      <c r="F50">
        <f ca="1">IFERROR(__xludf.DUMMYFUNCTION("""COMPUTED_VALUE"""),179)</f>
        <v>179</v>
      </c>
      <c r="G50">
        <f ca="1">IFERROR(__xludf.DUMMYFUNCTION("""COMPUTED_VALUE"""),252)</f>
        <v>252</v>
      </c>
      <c r="H50">
        <f ca="1">IFERROR(__xludf.DUMMYFUNCTION("""COMPUTED_VALUE"""),-0.34)</f>
        <v>-0.34</v>
      </c>
    </row>
    <row r="51" spans="1:8" ht="12.75">
      <c r="A51">
        <f ca="1">IFERROR(__xludf.DUMMYFUNCTION("""COMPUTED_VALUE"""),50)</f>
        <v>50</v>
      </c>
      <c r="B51" t="str">
        <f ca="1">IFERROR(__xludf.DUMMYFUNCTION("""COMPUTED_VALUE"""),"T17")</f>
        <v>T17</v>
      </c>
      <c r="C51" t="str">
        <f ca="1">IFERROR(__xludf.DUMMYFUNCTION("""COMPUTED_VALUE"""),"Doc Redman")</f>
        <v>Doc Redman</v>
      </c>
      <c r="D51">
        <f ca="1">IFERROR(__xludf.DUMMYFUNCTION("""COMPUTED_VALUE"""),18)</f>
        <v>18</v>
      </c>
      <c r="E51">
        <f ca="1">IFERROR(__xludf.DUMMYFUNCTION("""COMPUTED_VALUE"""),70.99)</f>
        <v>70.989999999999995</v>
      </c>
      <c r="F51">
        <f ca="1">IFERROR(__xludf.DUMMYFUNCTION("""COMPUTED_VALUE"""),230)</f>
        <v>230</v>
      </c>
      <c r="G51">
        <f ca="1">IFERROR(__xludf.DUMMYFUNCTION("""COMPUTED_VALUE"""),324)</f>
        <v>324</v>
      </c>
      <c r="H51">
        <f ca="1">IFERROR(__xludf.DUMMYFUNCTION("""COMPUTED_VALUE"""),-0.33)</f>
        <v>-0.33</v>
      </c>
    </row>
    <row r="52" spans="1:8" ht="12.75">
      <c r="A52">
        <f ca="1">IFERROR(__xludf.DUMMYFUNCTION("""COMPUTED_VALUE"""),51)</f>
        <v>51</v>
      </c>
      <c r="B52" t="str">
        <f ca="1">IFERROR(__xludf.DUMMYFUNCTION("""COMPUTED_VALUE"""),"T31")</f>
        <v>T31</v>
      </c>
      <c r="C52" t="str">
        <f ca="1">IFERROR(__xludf.DUMMYFUNCTION("""COMPUTED_VALUE"""),"Denny McCarthy")</f>
        <v>Denny McCarthy</v>
      </c>
      <c r="D52">
        <f ca="1">IFERROR(__xludf.DUMMYFUNCTION("""COMPUTED_VALUE"""),22)</f>
        <v>22</v>
      </c>
      <c r="E52">
        <f ca="1">IFERROR(__xludf.DUMMYFUNCTION("""COMPUTED_VALUE"""),70.96)</f>
        <v>70.959999999999994</v>
      </c>
      <c r="F52">
        <f ca="1">IFERROR(__xludf.DUMMYFUNCTION("""COMPUTED_VALUE"""),281)</f>
        <v>281</v>
      </c>
      <c r="G52">
        <f ca="1">IFERROR(__xludf.DUMMYFUNCTION("""COMPUTED_VALUE"""),396)</f>
        <v>396</v>
      </c>
      <c r="H52">
        <f ca="1">IFERROR(__xludf.DUMMYFUNCTION("""COMPUTED_VALUE"""),-0.31)</f>
        <v>-0.31</v>
      </c>
    </row>
    <row r="53" spans="1:8" ht="12.75">
      <c r="A53" t="str">
        <f ca="1">IFERROR(__xludf.DUMMYFUNCTION("""COMPUTED_VALUE"""),"T52")</f>
        <v>T52</v>
      </c>
      <c r="B53" t="str">
        <f ca="1">IFERROR(__xludf.DUMMYFUNCTION("""COMPUTED_VALUE"""),"T46")</f>
        <v>T46</v>
      </c>
      <c r="C53" t="str">
        <f ca="1">IFERROR(__xludf.DUMMYFUNCTION("""COMPUTED_VALUE"""),"Keegan Bradley")</f>
        <v>Keegan Bradley</v>
      </c>
      <c r="D53">
        <f ca="1">IFERROR(__xludf.DUMMYFUNCTION("""COMPUTED_VALUE"""),16)</f>
        <v>16</v>
      </c>
      <c r="E53">
        <f ca="1">IFERROR(__xludf.DUMMYFUNCTION("""COMPUTED_VALUE"""),70.83)</f>
        <v>70.83</v>
      </c>
      <c r="F53">
        <f ca="1">IFERROR(__xludf.DUMMYFUNCTION("""COMPUTED_VALUE"""),204)</f>
        <v>204</v>
      </c>
      <c r="G53">
        <f ca="1">IFERROR(__xludf.DUMMYFUNCTION("""COMPUTED_VALUE"""),288)</f>
        <v>288</v>
      </c>
      <c r="H53">
        <f ca="1">IFERROR(__xludf.DUMMYFUNCTION("""COMPUTED_VALUE"""),-0.27)</f>
        <v>-0.27</v>
      </c>
    </row>
    <row r="54" spans="1:8" ht="12.75">
      <c r="A54" t="str">
        <f ca="1">IFERROR(__xludf.DUMMYFUNCTION("""COMPUTED_VALUE"""),"T52")</f>
        <v>T52</v>
      </c>
      <c r="B54" t="str">
        <f ca="1">IFERROR(__xludf.DUMMYFUNCTION("""COMPUTED_VALUE"""),"T62")</f>
        <v>T62</v>
      </c>
      <c r="C54" t="str">
        <f ca="1">IFERROR(__xludf.DUMMYFUNCTION("""COMPUTED_VALUE"""),"Wesley Bryan")</f>
        <v>Wesley Bryan</v>
      </c>
      <c r="D54">
        <f ca="1">IFERROR(__xludf.DUMMYFUNCTION("""COMPUTED_VALUE"""),8)</f>
        <v>8</v>
      </c>
      <c r="E54">
        <f ca="1">IFERROR(__xludf.DUMMYFUNCTION("""COMPUTED_VALUE"""),70.83)</f>
        <v>70.83</v>
      </c>
      <c r="F54">
        <f ca="1">IFERROR(__xludf.DUMMYFUNCTION("""COMPUTED_VALUE"""),102)</f>
        <v>102</v>
      </c>
      <c r="G54">
        <f ca="1">IFERROR(__xludf.DUMMYFUNCTION("""COMPUTED_VALUE"""),144)</f>
        <v>144</v>
      </c>
      <c r="H54">
        <f ca="1">IFERROR(__xludf.DUMMYFUNCTION("""COMPUTED_VALUE"""),-0.3)</f>
        <v>-0.3</v>
      </c>
    </row>
    <row r="55" spans="1:8" ht="12.75">
      <c r="A55" t="str">
        <f ca="1">IFERROR(__xludf.DUMMYFUNCTION("""COMPUTED_VALUE"""),"T52")</f>
        <v>T52</v>
      </c>
      <c r="B55" t="str">
        <f ca="1">IFERROR(__xludf.DUMMYFUNCTION("""COMPUTED_VALUE"""),"T50")</f>
        <v>T50</v>
      </c>
      <c r="C55" t="str">
        <f ca="1">IFERROR(__xludf.DUMMYFUNCTION("""COMPUTED_VALUE"""),"Kramer Hickok")</f>
        <v>Kramer Hickok</v>
      </c>
      <c r="D55">
        <f ca="1">IFERROR(__xludf.DUMMYFUNCTION("""COMPUTED_VALUE"""),16)</f>
        <v>16</v>
      </c>
      <c r="E55">
        <f ca="1">IFERROR(__xludf.DUMMYFUNCTION("""COMPUTED_VALUE"""),70.83)</f>
        <v>70.83</v>
      </c>
      <c r="F55">
        <f ca="1">IFERROR(__xludf.DUMMYFUNCTION("""COMPUTED_VALUE"""),204)</f>
        <v>204</v>
      </c>
      <c r="G55">
        <f ca="1">IFERROR(__xludf.DUMMYFUNCTION("""COMPUTED_VALUE"""),288)</f>
        <v>288</v>
      </c>
      <c r="H55">
        <f ca="1">IFERROR(__xludf.DUMMYFUNCTION("""COMPUTED_VALUE"""),-0.25)</f>
        <v>-0.25</v>
      </c>
    </row>
    <row r="56" spans="1:8" ht="12.75">
      <c r="A56">
        <f ca="1">IFERROR(__xludf.DUMMYFUNCTION("""COMPUTED_VALUE"""),55)</f>
        <v>55</v>
      </c>
      <c r="B56">
        <f ca="1">IFERROR(__xludf.DUMMYFUNCTION("""COMPUTED_VALUE"""),64)</f>
        <v>64</v>
      </c>
      <c r="C56" t="str">
        <f ca="1">IFERROR(__xludf.DUMMYFUNCTION("""COMPUTED_VALUE"""),"Michael Gligic")</f>
        <v>Michael Gligic</v>
      </c>
      <c r="D56">
        <f ca="1">IFERROR(__xludf.DUMMYFUNCTION("""COMPUTED_VALUE"""),18)</f>
        <v>18</v>
      </c>
      <c r="E56">
        <f ca="1">IFERROR(__xludf.DUMMYFUNCTION("""COMPUTED_VALUE"""),70.68)</f>
        <v>70.680000000000007</v>
      </c>
      <c r="F56">
        <f ca="1">IFERROR(__xludf.DUMMYFUNCTION("""COMPUTED_VALUE"""),229)</f>
        <v>229</v>
      </c>
      <c r="G56">
        <f ca="1">IFERROR(__xludf.DUMMYFUNCTION("""COMPUTED_VALUE"""),324)</f>
        <v>324</v>
      </c>
      <c r="H56">
        <f ca="1">IFERROR(__xludf.DUMMYFUNCTION("""COMPUTED_VALUE"""),-0.31)</f>
        <v>-0.31</v>
      </c>
    </row>
    <row r="57" spans="1:8" ht="12.75">
      <c r="A57">
        <f ca="1">IFERROR(__xludf.DUMMYFUNCTION("""COMPUTED_VALUE"""),56)</f>
        <v>56</v>
      </c>
      <c r="B57">
        <f ca="1">IFERROR(__xludf.DUMMYFUNCTION("""COMPUTED_VALUE"""),65)</f>
        <v>65</v>
      </c>
      <c r="C57" t="str">
        <f ca="1">IFERROR(__xludf.DUMMYFUNCTION("""COMPUTED_VALUE"""),"Doug Ghim")</f>
        <v>Doug Ghim</v>
      </c>
      <c r="D57">
        <f ca="1">IFERROR(__xludf.DUMMYFUNCTION("""COMPUTED_VALUE"""),14)</f>
        <v>14</v>
      </c>
      <c r="E57">
        <f ca="1">IFERROR(__xludf.DUMMYFUNCTION("""COMPUTED_VALUE"""),70.63)</f>
        <v>70.63</v>
      </c>
      <c r="F57">
        <f ca="1">IFERROR(__xludf.DUMMYFUNCTION("""COMPUTED_VALUE"""),178)</f>
        <v>178</v>
      </c>
      <c r="G57">
        <f ca="1">IFERROR(__xludf.DUMMYFUNCTION("""COMPUTED_VALUE"""),252)</f>
        <v>252</v>
      </c>
      <c r="H57">
        <f ca="1">IFERROR(__xludf.DUMMYFUNCTION("""COMPUTED_VALUE"""),-0.3)</f>
        <v>-0.3</v>
      </c>
    </row>
    <row r="58" spans="1:8" ht="12.75">
      <c r="A58">
        <f ca="1">IFERROR(__xludf.DUMMYFUNCTION("""COMPUTED_VALUE"""),57)</f>
        <v>57</v>
      </c>
      <c r="B58" t="str">
        <f ca="1">IFERROR(__xludf.DUMMYFUNCTION("""COMPUTED_VALUE"""),"T66")</f>
        <v>T66</v>
      </c>
      <c r="C58" t="str">
        <f ca="1">IFERROR(__xludf.DUMMYFUNCTION("""COMPUTED_VALUE"""),"Ryan Brehm")</f>
        <v>Ryan Brehm</v>
      </c>
      <c r="D58">
        <f ca="1">IFERROR(__xludf.DUMMYFUNCTION("""COMPUTED_VALUE"""),10)</f>
        <v>10</v>
      </c>
      <c r="E58">
        <f ca="1">IFERROR(__xludf.DUMMYFUNCTION("""COMPUTED_VALUE"""),70.56)</f>
        <v>70.56</v>
      </c>
      <c r="F58">
        <f ca="1">IFERROR(__xludf.DUMMYFUNCTION("""COMPUTED_VALUE"""),127)</f>
        <v>127</v>
      </c>
      <c r="G58">
        <f ca="1">IFERROR(__xludf.DUMMYFUNCTION("""COMPUTED_VALUE"""),180)</f>
        <v>180</v>
      </c>
      <c r="H58">
        <f ca="1">IFERROR(__xludf.DUMMYFUNCTION("""COMPUTED_VALUE"""),-0.3)</f>
        <v>-0.3</v>
      </c>
    </row>
    <row r="59" spans="1:8" ht="12.75">
      <c r="A59" t="str">
        <f ca="1">IFERROR(__xludf.DUMMYFUNCTION("""COMPUTED_VALUE"""),"T58")</f>
        <v>T58</v>
      </c>
      <c r="B59" t="str">
        <f ca="1">IFERROR(__xludf.DUMMYFUNCTION("""COMPUTED_VALUE"""),"T68")</f>
        <v>T68</v>
      </c>
      <c r="C59" t="str">
        <f ca="1">IFERROR(__xludf.DUMMYFUNCTION("""COMPUTED_VALUE"""),"Joaquin Niemann")</f>
        <v>Joaquin Niemann</v>
      </c>
      <c r="D59">
        <f ca="1">IFERROR(__xludf.DUMMYFUNCTION("""COMPUTED_VALUE"""),16)</f>
        <v>16</v>
      </c>
      <c r="E59">
        <f ca="1">IFERROR(__xludf.DUMMYFUNCTION("""COMPUTED_VALUE"""),70.49)</f>
        <v>70.489999999999995</v>
      </c>
      <c r="F59">
        <f ca="1">IFERROR(__xludf.DUMMYFUNCTION("""COMPUTED_VALUE"""),203)</f>
        <v>203</v>
      </c>
      <c r="G59">
        <f ca="1">IFERROR(__xludf.DUMMYFUNCTION("""COMPUTED_VALUE"""),288)</f>
        <v>288</v>
      </c>
      <c r="H59">
        <f ca="1">IFERROR(__xludf.DUMMYFUNCTION("""COMPUTED_VALUE"""),-0.34)</f>
        <v>-0.34</v>
      </c>
    </row>
    <row r="60" spans="1:8" ht="12.75">
      <c r="A60" t="str">
        <f ca="1">IFERROR(__xludf.DUMMYFUNCTION("""COMPUTED_VALUE"""),"T58")</f>
        <v>T58</v>
      </c>
      <c r="B60" t="str">
        <f ca="1">IFERROR(__xludf.DUMMYFUNCTION("""COMPUTED_VALUE"""),"T78")</f>
        <v>T78</v>
      </c>
      <c r="C60" t="str">
        <f ca="1">IFERROR(__xludf.DUMMYFUNCTION("""COMPUTED_VALUE"""),"Viktor Hovland")</f>
        <v>Viktor Hovland</v>
      </c>
      <c r="D60">
        <f ca="1">IFERROR(__xludf.DUMMYFUNCTION("""COMPUTED_VALUE"""),16)</f>
        <v>16</v>
      </c>
      <c r="E60">
        <f ca="1">IFERROR(__xludf.DUMMYFUNCTION("""COMPUTED_VALUE"""),70.49)</f>
        <v>70.489999999999995</v>
      </c>
      <c r="F60">
        <f ca="1">IFERROR(__xludf.DUMMYFUNCTION("""COMPUTED_VALUE"""),203)</f>
        <v>203</v>
      </c>
      <c r="G60">
        <f ca="1">IFERROR(__xludf.DUMMYFUNCTION("""COMPUTED_VALUE"""),288)</f>
        <v>288</v>
      </c>
      <c r="H60">
        <f ca="1">IFERROR(__xludf.DUMMYFUNCTION("""COMPUTED_VALUE"""),-0.27)</f>
        <v>-0.27</v>
      </c>
    </row>
    <row r="61" spans="1:8" ht="12.75">
      <c r="A61" t="str">
        <f ca="1">IFERROR(__xludf.DUMMYFUNCTION("""COMPUTED_VALUE"""),"T60")</f>
        <v>T60</v>
      </c>
      <c r="B61" t="str">
        <f ca="1">IFERROR(__xludf.DUMMYFUNCTION("""COMPUTED_VALUE"""),"T70")</f>
        <v>T70</v>
      </c>
      <c r="C61" t="str">
        <f ca="1">IFERROR(__xludf.DUMMYFUNCTION("""COMPUTED_VALUE"""),"William McGirt")</f>
        <v>William McGirt</v>
      </c>
      <c r="D61">
        <f ca="1">IFERROR(__xludf.DUMMYFUNCTION("""COMPUTED_VALUE"""),6)</f>
        <v>6</v>
      </c>
      <c r="E61">
        <f ca="1">IFERROR(__xludf.DUMMYFUNCTION("""COMPUTED_VALUE"""),70.37)</f>
        <v>70.37</v>
      </c>
      <c r="F61">
        <f ca="1">IFERROR(__xludf.DUMMYFUNCTION("""COMPUTED_VALUE"""),76)</f>
        <v>76</v>
      </c>
      <c r="G61">
        <f ca="1">IFERROR(__xludf.DUMMYFUNCTION("""COMPUTED_VALUE"""),108)</f>
        <v>108</v>
      </c>
      <c r="H61">
        <f ca="1">IFERROR(__xludf.DUMMYFUNCTION("""COMPUTED_VALUE"""),-0.22)</f>
        <v>-0.22</v>
      </c>
    </row>
    <row r="62" spans="1:8" ht="12.75">
      <c r="A62" t="str">
        <f ca="1">IFERROR(__xludf.DUMMYFUNCTION("""COMPUTED_VALUE"""),"T60")</f>
        <v>T60</v>
      </c>
      <c r="B62" t="str">
        <f ca="1">IFERROR(__xludf.DUMMYFUNCTION("""COMPUTED_VALUE"""),"T70")</f>
        <v>T70</v>
      </c>
      <c r="C62" t="str">
        <f ca="1">IFERROR(__xludf.DUMMYFUNCTION("""COMPUTED_VALUE"""),"Will Zalatoris")</f>
        <v>Will Zalatoris</v>
      </c>
      <c r="D62">
        <f ca="1">IFERROR(__xludf.DUMMYFUNCTION("""COMPUTED_VALUE"""),18)</f>
        <v>18</v>
      </c>
      <c r="E62">
        <f ca="1">IFERROR(__xludf.DUMMYFUNCTION("""COMPUTED_VALUE"""),70.37)</f>
        <v>70.37</v>
      </c>
      <c r="F62">
        <f ca="1">IFERROR(__xludf.DUMMYFUNCTION("""COMPUTED_VALUE"""),228)</f>
        <v>228</v>
      </c>
      <c r="G62">
        <f ca="1">IFERROR(__xludf.DUMMYFUNCTION("""COMPUTED_VALUE"""),324)</f>
        <v>324</v>
      </c>
      <c r="H62">
        <f ca="1">IFERROR(__xludf.DUMMYFUNCTION("""COMPUTED_VALUE"""),-0.29)</f>
        <v>-0.28999999999999998</v>
      </c>
    </row>
    <row r="63" spans="1:8" ht="12.75">
      <c r="A63" t="str">
        <f ca="1">IFERROR(__xludf.DUMMYFUNCTION("""COMPUTED_VALUE"""),"T60")</f>
        <v>T60</v>
      </c>
      <c r="B63" t="str">
        <f ca="1">IFERROR(__xludf.DUMMYFUNCTION("""COMPUTED_VALUE"""),"T70")</f>
        <v>T70</v>
      </c>
      <c r="C63" t="str">
        <f ca="1">IFERROR(__xludf.DUMMYFUNCTION("""COMPUTED_VALUE"""),"Takumi Kanaya")</f>
        <v>Takumi Kanaya</v>
      </c>
      <c r="D63">
        <f ca="1">IFERROR(__xludf.DUMMYFUNCTION("""COMPUTED_VALUE"""),6)</f>
        <v>6</v>
      </c>
      <c r="E63">
        <f ca="1">IFERROR(__xludf.DUMMYFUNCTION("""COMPUTED_VALUE"""),70.37)</f>
        <v>70.37</v>
      </c>
      <c r="F63">
        <f ca="1">IFERROR(__xludf.DUMMYFUNCTION("""COMPUTED_VALUE"""),76)</f>
        <v>76</v>
      </c>
      <c r="G63">
        <f ca="1">IFERROR(__xludf.DUMMYFUNCTION("""COMPUTED_VALUE"""),108)</f>
        <v>108</v>
      </c>
      <c r="H63">
        <f ca="1">IFERROR(__xludf.DUMMYFUNCTION("""COMPUTED_VALUE"""),-0.29)</f>
        <v>-0.28999999999999998</v>
      </c>
    </row>
    <row r="64" spans="1:8" ht="12.75">
      <c r="A64">
        <f ca="1">IFERROR(__xludf.DUMMYFUNCTION("""COMPUTED_VALUE"""),63)</f>
        <v>63</v>
      </c>
      <c r="B64" t="str">
        <f ca="1">IFERROR(__xludf.DUMMYFUNCTION("""COMPUTED_VALUE"""),"T74")</f>
        <v>T74</v>
      </c>
      <c r="C64" t="str">
        <f ca="1">IFERROR(__xludf.DUMMYFUNCTION("""COMPUTED_VALUE"""),"D.J. Trahan")</f>
        <v>D.J. Trahan</v>
      </c>
      <c r="D64">
        <f ca="1">IFERROR(__xludf.DUMMYFUNCTION("""COMPUTED_VALUE"""),16)</f>
        <v>16</v>
      </c>
      <c r="E64">
        <f ca="1">IFERROR(__xludf.DUMMYFUNCTION("""COMPUTED_VALUE"""),70.14)</f>
        <v>70.14</v>
      </c>
      <c r="F64">
        <f ca="1">IFERROR(__xludf.DUMMYFUNCTION("""COMPUTED_VALUE"""),202)</f>
        <v>202</v>
      </c>
      <c r="G64">
        <f ca="1">IFERROR(__xludf.DUMMYFUNCTION("""COMPUTED_VALUE"""),288)</f>
        <v>288</v>
      </c>
      <c r="H64">
        <f ca="1">IFERROR(__xludf.DUMMYFUNCTION("""COMPUTED_VALUE"""),-0.28)</f>
        <v>-0.28000000000000003</v>
      </c>
    </row>
    <row r="65" spans="1:8" ht="12.75">
      <c r="A65">
        <f ca="1">IFERROR(__xludf.DUMMYFUNCTION("""COMPUTED_VALUE"""),64)</f>
        <v>64</v>
      </c>
      <c r="B65" t="str">
        <f ca="1">IFERROR(__xludf.DUMMYFUNCTION("""COMPUTED_VALUE"""),"T78")</f>
        <v>T78</v>
      </c>
      <c r="C65" t="str">
        <f ca="1">IFERROR(__xludf.DUMMYFUNCTION("""COMPUTED_VALUE"""),"Collin Morikawa")</f>
        <v>Collin Morikawa</v>
      </c>
      <c r="D65">
        <f ca="1">IFERROR(__xludf.DUMMYFUNCTION("""COMPUTED_VALUE"""),12)</f>
        <v>12</v>
      </c>
      <c r="E65">
        <f ca="1">IFERROR(__xludf.DUMMYFUNCTION("""COMPUTED_VALUE"""),69.91)</f>
        <v>69.91</v>
      </c>
      <c r="F65">
        <f ca="1">IFERROR(__xludf.DUMMYFUNCTION("""COMPUTED_VALUE"""),151)</f>
        <v>151</v>
      </c>
      <c r="G65">
        <f ca="1">IFERROR(__xludf.DUMMYFUNCTION("""COMPUTED_VALUE"""),216)</f>
        <v>216</v>
      </c>
      <c r="H65">
        <f ca="1">IFERROR(__xludf.DUMMYFUNCTION("""COMPUTED_VALUE"""),-0.29)</f>
        <v>-0.28999999999999998</v>
      </c>
    </row>
    <row r="66" spans="1:8" ht="12.75">
      <c r="A66" t="str">
        <f ca="1">IFERROR(__xludf.DUMMYFUNCTION("""COMPUTED_VALUE"""),"T65")</f>
        <v>T65</v>
      </c>
      <c r="B66" t="str">
        <f ca="1">IFERROR(__xludf.DUMMYFUNCTION("""COMPUTED_VALUE"""),"T31")</f>
        <v>T31</v>
      </c>
      <c r="C66" t="str">
        <f ca="1">IFERROR(__xludf.DUMMYFUNCTION("""COMPUTED_VALUE"""),"Nate Lashley")</f>
        <v>Nate Lashley</v>
      </c>
      <c r="D66">
        <f ca="1">IFERROR(__xludf.DUMMYFUNCTION("""COMPUTED_VALUE"""),16)</f>
        <v>16</v>
      </c>
      <c r="E66">
        <f ca="1">IFERROR(__xludf.DUMMYFUNCTION("""COMPUTED_VALUE"""),69.79)</f>
        <v>69.790000000000006</v>
      </c>
      <c r="F66">
        <f ca="1">IFERROR(__xludf.DUMMYFUNCTION("""COMPUTED_VALUE"""),201)</f>
        <v>201</v>
      </c>
      <c r="G66">
        <f ca="1">IFERROR(__xludf.DUMMYFUNCTION("""COMPUTED_VALUE"""),288)</f>
        <v>288</v>
      </c>
      <c r="H66">
        <f ca="1">IFERROR(__xludf.DUMMYFUNCTION("""COMPUTED_VALUE"""),-0.27)</f>
        <v>-0.27</v>
      </c>
    </row>
    <row r="67" spans="1:8" ht="12.75">
      <c r="A67" t="str">
        <f ca="1">IFERROR(__xludf.DUMMYFUNCTION("""COMPUTED_VALUE"""),"T65")</f>
        <v>T65</v>
      </c>
      <c r="B67" t="str">
        <f ca="1">IFERROR(__xludf.DUMMYFUNCTION("""COMPUTED_VALUE"""),"T31")</f>
        <v>T31</v>
      </c>
      <c r="C67" t="str">
        <f ca="1">IFERROR(__xludf.DUMMYFUNCTION("""COMPUTED_VALUE"""),"Wyndham Clark")</f>
        <v>Wyndham Clark</v>
      </c>
      <c r="D67">
        <f ca="1">IFERROR(__xludf.DUMMYFUNCTION("""COMPUTED_VALUE"""),16)</f>
        <v>16</v>
      </c>
      <c r="E67">
        <f ca="1">IFERROR(__xludf.DUMMYFUNCTION("""COMPUTED_VALUE"""),69.79)</f>
        <v>69.790000000000006</v>
      </c>
      <c r="F67">
        <f ca="1">IFERROR(__xludf.DUMMYFUNCTION("""COMPUTED_VALUE"""),201)</f>
        <v>201</v>
      </c>
      <c r="G67">
        <f ca="1">IFERROR(__xludf.DUMMYFUNCTION("""COMPUTED_VALUE"""),288)</f>
        <v>288</v>
      </c>
      <c r="H67">
        <f ca="1">IFERROR(__xludf.DUMMYFUNCTION("""COMPUTED_VALUE"""),-0.33)</f>
        <v>-0.33</v>
      </c>
    </row>
    <row r="68" spans="1:8" ht="12.75">
      <c r="A68">
        <f ca="1">IFERROR(__xludf.DUMMYFUNCTION("""COMPUTED_VALUE"""),67)</f>
        <v>67</v>
      </c>
      <c r="B68" t="str">
        <f ca="1">IFERROR(__xludf.DUMMYFUNCTION("""COMPUTED_VALUE"""),"T31")</f>
        <v>T31</v>
      </c>
      <c r="C68" t="str">
        <f ca="1">IFERROR(__xludf.DUMMYFUNCTION("""COMPUTED_VALUE"""),"Talor Gooch")</f>
        <v>Talor Gooch</v>
      </c>
      <c r="D68">
        <f ca="1">IFERROR(__xludf.DUMMYFUNCTION("""COMPUTED_VALUE"""),20)</f>
        <v>20</v>
      </c>
      <c r="E68">
        <f ca="1">IFERROR(__xludf.DUMMYFUNCTION("""COMPUTED_VALUE"""),69.72)</f>
        <v>69.72</v>
      </c>
      <c r="F68">
        <f ca="1">IFERROR(__xludf.DUMMYFUNCTION("""COMPUTED_VALUE"""),251)</f>
        <v>251</v>
      </c>
      <c r="G68">
        <f ca="1">IFERROR(__xludf.DUMMYFUNCTION("""COMPUTED_VALUE"""),360)</f>
        <v>360</v>
      </c>
      <c r="H68">
        <f ca="1">IFERROR(__xludf.DUMMYFUNCTION("""COMPUTED_VALUE"""),-0.29)</f>
        <v>-0.28999999999999998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IFERROR(__xludf.DUMMYFUNCTION("""COMPUTED_VALUE"""),"T84")</f>
        <v>T84</v>
      </c>
      <c r="C69" t="str">
        <f ca="1">IFERROR(__xludf.DUMMYFUNCTION("""COMPUTED_VALUE"""),"Matt Kuchar")</f>
        <v>Matt Kuchar</v>
      </c>
      <c r="D69">
        <f ca="1">IFERROR(__xludf.DUMMYFUNCTION("""COMPUTED_VALUE"""),14)</f>
        <v>14</v>
      </c>
      <c r="E69">
        <f ca="1">IFERROR(__xludf.DUMMYFUNCTION("""COMPUTED_VALUE"""),69.44)</f>
        <v>69.44</v>
      </c>
      <c r="F69">
        <f ca="1">IFERROR(__xludf.DUMMYFUNCTION("""COMPUTED_VALUE"""),175)</f>
        <v>175</v>
      </c>
      <c r="G69">
        <f ca="1">IFERROR(__xludf.DUMMYFUNCTION("""COMPUTED_VALUE"""),252)</f>
        <v>252</v>
      </c>
      <c r="H69">
        <f ca="1">IFERROR(__xludf.DUMMYFUNCTION("""COMPUTED_VALUE"""),-0.29)</f>
        <v>-0.28999999999999998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IFERROR(__xludf.DUMMYFUNCTION("""COMPUTED_VALUE"""),"T84")</f>
        <v>T84</v>
      </c>
      <c r="C70" t="str">
        <f ca="1">IFERROR(__xludf.DUMMYFUNCTION("""COMPUTED_VALUE"""),"J.J. Henry")</f>
        <v>J.J. Henry</v>
      </c>
      <c r="D70">
        <f ca="1">IFERROR(__xludf.DUMMYFUNCTION("""COMPUTED_VALUE"""),4)</f>
        <v>4</v>
      </c>
      <c r="E70">
        <f ca="1">IFERROR(__xludf.DUMMYFUNCTION("""COMPUTED_VALUE"""),69.44)</f>
        <v>69.44</v>
      </c>
      <c r="F70">
        <f ca="1">IFERROR(__xludf.DUMMYFUNCTION("""COMPUTED_VALUE"""),50)</f>
        <v>50</v>
      </c>
      <c r="G70">
        <f ca="1">IFERROR(__xludf.DUMMYFUNCTION("""COMPUTED_VALUE"""),72)</f>
        <v>72</v>
      </c>
      <c r="H70">
        <f ca="1">IFERROR(__xludf.DUMMYFUNCTION("""COMPUTED_VALUE"""),-0.2)</f>
        <v>-0.2</v>
      </c>
    </row>
    <row r="71" spans="1:8" ht="12.75">
      <c r="A71" t="str">
        <f ca="1">IFERROR(__xludf.DUMMYFUNCTION("""COMPUTED_VALUE"""),"T68")</f>
        <v>T68</v>
      </c>
      <c r="B71" t="str">
        <f ca="1">IFERROR(__xludf.DUMMYFUNCTION("""COMPUTED_VALUE"""),"T76")</f>
        <v>T76</v>
      </c>
      <c r="C71" t="str">
        <f ca="1">IFERROR(__xludf.DUMMYFUNCTION("""COMPUTED_VALUE"""),"Sean O'Hair")</f>
        <v>Sean O'Hair</v>
      </c>
      <c r="D71">
        <f ca="1">IFERROR(__xludf.DUMMYFUNCTION("""COMPUTED_VALUE"""),14)</f>
        <v>14</v>
      </c>
      <c r="E71">
        <f ca="1">IFERROR(__xludf.DUMMYFUNCTION("""COMPUTED_VALUE"""),69.44)</f>
        <v>69.44</v>
      </c>
      <c r="F71">
        <f ca="1">IFERROR(__xludf.DUMMYFUNCTION("""COMPUTED_VALUE"""),175)</f>
        <v>175</v>
      </c>
      <c r="G71">
        <f ca="1">IFERROR(__xludf.DUMMYFUNCTION("""COMPUTED_VALUE"""),252)</f>
        <v>252</v>
      </c>
      <c r="H71">
        <f ca="1">IFERROR(__xludf.DUMMYFUNCTION("""COMPUTED_VALUE"""),-0.25)</f>
        <v>-0.25</v>
      </c>
    </row>
    <row r="72" spans="1:8" ht="12.75">
      <c r="A72" t="str">
        <f ca="1">IFERROR(__xludf.DUMMYFUNCTION("""COMPUTED_VALUE"""),"T68")</f>
        <v>T68</v>
      </c>
      <c r="B72" t="str">
        <f ca="1">IFERROR(__xludf.DUMMYFUNCTION("""COMPUTED_VALUE"""),"T31")</f>
        <v>T31</v>
      </c>
      <c r="C72" t="str">
        <f ca="1">IFERROR(__xludf.DUMMYFUNCTION("""COMPUTED_VALUE"""),"Pat Perez")</f>
        <v>Pat Perez</v>
      </c>
      <c r="D72">
        <f ca="1">IFERROR(__xludf.DUMMYFUNCTION("""COMPUTED_VALUE"""),16)</f>
        <v>16</v>
      </c>
      <c r="E72">
        <f ca="1">IFERROR(__xludf.DUMMYFUNCTION("""COMPUTED_VALUE"""),69.44)</f>
        <v>69.44</v>
      </c>
      <c r="F72">
        <f ca="1">IFERROR(__xludf.DUMMYFUNCTION("""COMPUTED_VALUE"""),200)</f>
        <v>200</v>
      </c>
      <c r="G72">
        <f ca="1">IFERROR(__xludf.DUMMYFUNCTION("""COMPUTED_VALUE"""),288)</f>
        <v>288</v>
      </c>
      <c r="H72">
        <f ca="1">IFERROR(__xludf.DUMMYFUNCTION("""COMPUTED_VALUE"""),-0.3)</f>
        <v>-0.3</v>
      </c>
    </row>
    <row r="73" spans="1:8" ht="12.75">
      <c r="A73" t="str">
        <f ca="1">IFERROR(__xludf.DUMMYFUNCTION("""COMPUTED_VALUE"""),"T68")</f>
        <v>T68</v>
      </c>
      <c r="B73">
        <f ca="1">IFERROR(__xludf.DUMMYFUNCTION("""COMPUTED_VALUE"""),1)</f>
        <v>1</v>
      </c>
      <c r="C73" t="str">
        <f ca="1">IFERROR(__xludf.DUMMYFUNCTION("""COMPUTED_VALUE"""),"John Huh")</f>
        <v>John Huh</v>
      </c>
      <c r="D73">
        <f ca="1">IFERROR(__xludf.DUMMYFUNCTION("""COMPUTED_VALUE"""),8)</f>
        <v>8</v>
      </c>
      <c r="E73">
        <f ca="1">IFERROR(__xludf.DUMMYFUNCTION("""COMPUTED_VALUE"""),69.44)</f>
        <v>69.44</v>
      </c>
      <c r="F73">
        <f ca="1">IFERROR(__xludf.DUMMYFUNCTION("""COMPUTED_VALUE"""),100)</f>
        <v>100</v>
      </c>
      <c r="G73">
        <f ca="1">IFERROR(__xludf.DUMMYFUNCTION("""COMPUTED_VALUE"""),144)</f>
        <v>144</v>
      </c>
      <c r="H73">
        <f ca="1">IFERROR(__xludf.DUMMYFUNCTION("""COMPUTED_VALUE"""),-0.35)</f>
        <v>-0.35</v>
      </c>
    </row>
    <row r="74" spans="1:8" ht="12.75">
      <c r="A74" t="str">
        <f ca="1">IFERROR(__xludf.DUMMYFUNCTION("""COMPUTED_VALUE"""),"T68")</f>
        <v>T68</v>
      </c>
      <c r="B74" t="str">
        <f ca="1">IFERROR(__xludf.DUMMYFUNCTION("""COMPUTED_VALUE"""),"T84")</f>
        <v>T84</v>
      </c>
      <c r="C74" t="str">
        <f ca="1">IFERROR(__xludf.DUMMYFUNCTION("""COMPUTED_VALUE"""),"Tyler McCumber")</f>
        <v>Tyler McCumber</v>
      </c>
      <c r="D74">
        <f ca="1">IFERROR(__xludf.DUMMYFUNCTION("""COMPUTED_VALUE"""),14)</f>
        <v>14</v>
      </c>
      <c r="E74">
        <f ca="1">IFERROR(__xludf.DUMMYFUNCTION("""COMPUTED_VALUE"""),69.44)</f>
        <v>69.44</v>
      </c>
      <c r="F74">
        <f ca="1">IFERROR(__xludf.DUMMYFUNCTION("""COMPUTED_VALUE"""),175)</f>
        <v>175</v>
      </c>
      <c r="G74">
        <f ca="1">IFERROR(__xludf.DUMMYFUNCTION("""COMPUTED_VALUE"""),252)</f>
        <v>252</v>
      </c>
      <c r="H74">
        <f ca="1">IFERROR(__xludf.DUMMYFUNCTION("""COMPUTED_VALUE"""),-0.33)</f>
        <v>-0.33</v>
      </c>
    </row>
    <row r="75" spans="1:8" ht="12.75">
      <c r="A75" t="str">
        <f ca="1">IFERROR(__xludf.DUMMYFUNCTION("""COMPUTED_VALUE"""),"T68")</f>
        <v>T68</v>
      </c>
      <c r="B75" t="str">
        <f ca="1">IFERROR(__xludf.DUMMYFUNCTION("""COMPUTED_VALUE"""),"T84")</f>
        <v>T84</v>
      </c>
      <c r="C75" t="str">
        <f ca="1">IFERROR(__xludf.DUMMYFUNCTION("""COMPUTED_VALUE"""),"Zac Blair")</f>
        <v>Zac Blair</v>
      </c>
      <c r="D75">
        <f ca="1">IFERROR(__xludf.DUMMYFUNCTION("""COMPUTED_VALUE"""),10)</f>
        <v>10</v>
      </c>
      <c r="E75">
        <f ca="1">IFERROR(__xludf.DUMMYFUNCTION("""COMPUTED_VALUE"""),69.44)</f>
        <v>69.44</v>
      </c>
      <c r="F75">
        <f ca="1">IFERROR(__xludf.DUMMYFUNCTION("""COMPUTED_VALUE"""),125)</f>
        <v>125</v>
      </c>
      <c r="G75">
        <f ca="1">IFERROR(__xludf.DUMMYFUNCTION("""COMPUTED_VALUE"""),180)</f>
        <v>180</v>
      </c>
      <c r="H75">
        <f ca="1">IFERROR(__xludf.DUMMYFUNCTION("""COMPUTED_VALUE"""),-0.25)</f>
        <v>-0.25</v>
      </c>
    </row>
    <row r="76" spans="1:8" ht="12.75">
      <c r="A76" t="str">
        <f ca="1">IFERROR(__xludf.DUMMYFUNCTION("""COMPUTED_VALUE"""),"T68")</f>
        <v>T68</v>
      </c>
      <c r="B76" t="str">
        <f ca="1">IFERROR(__xludf.DUMMYFUNCTION("""COMPUTED_VALUE"""),"T84")</f>
        <v>T84</v>
      </c>
      <c r="C76" t="str">
        <f ca="1">IFERROR(__xludf.DUMMYFUNCTION("""COMPUTED_VALUE"""),"Matthew Fitzpatrick")</f>
        <v>Matthew Fitzpatrick</v>
      </c>
      <c r="D76">
        <f ca="1">IFERROR(__xludf.DUMMYFUNCTION("""COMPUTED_VALUE"""),10)</f>
        <v>10</v>
      </c>
      <c r="E76">
        <f ca="1">IFERROR(__xludf.DUMMYFUNCTION("""COMPUTED_VALUE"""),69.44)</f>
        <v>69.44</v>
      </c>
      <c r="F76">
        <f ca="1">IFERROR(__xludf.DUMMYFUNCTION("""COMPUTED_VALUE"""),125)</f>
        <v>125</v>
      </c>
      <c r="G76">
        <f ca="1">IFERROR(__xludf.DUMMYFUNCTION("""COMPUTED_VALUE"""),180)</f>
        <v>180</v>
      </c>
      <c r="H76">
        <f ca="1">IFERROR(__xludf.DUMMYFUNCTION("""COMPUTED_VALUE"""),-0.36)</f>
        <v>-0.36</v>
      </c>
    </row>
    <row r="77" spans="1:8" ht="12.75">
      <c r="A77">
        <f ca="1">IFERROR(__xludf.DUMMYFUNCTION("""COMPUTED_VALUE"""),76)</f>
        <v>76</v>
      </c>
      <c r="B77">
        <f ca="1">IFERROR(__xludf.DUMMYFUNCTION("""COMPUTED_VALUE"""),45)</f>
        <v>45</v>
      </c>
      <c r="C77" t="str">
        <f ca="1">IFERROR(__xludf.DUMMYFUNCTION("""COMPUTED_VALUE"""),"Kristoffer Ventura")</f>
        <v>Kristoffer Ventura</v>
      </c>
      <c r="D77">
        <f ca="1">IFERROR(__xludf.DUMMYFUNCTION("""COMPUTED_VALUE"""),20)</f>
        <v>20</v>
      </c>
      <c r="E77">
        <f ca="1">IFERROR(__xludf.DUMMYFUNCTION("""COMPUTED_VALUE"""),69.17)</f>
        <v>69.17</v>
      </c>
      <c r="F77">
        <f ca="1">IFERROR(__xludf.DUMMYFUNCTION("""COMPUTED_VALUE"""),249)</f>
        <v>249</v>
      </c>
      <c r="G77">
        <f ca="1">IFERROR(__xludf.DUMMYFUNCTION("""COMPUTED_VALUE"""),360)</f>
        <v>360</v>
      </c>
      <c r="H77">
        <f ca="1">IFERROR(__xludf.DUMMYFUNCTION("""COMPUTED_VALUE"""),-0.32)</f>
        <v>-0.32</v>
      </c>
    </row>
    <row r="78" spans="1:8" ht="12.75">
      <c r="A78" t="str">
        <f ca="1">IFERROR(__xludf.DUMMYFUNCTION("""COMPUTED_VALUE"""),"T77")</f>
        <v>T77</v>
      </c>
      <c r="B78" t="str">
        <f ca="1">IFERROR(__xludf.DUMMYFUNCTION("""COMPUTED_VALUE"""),"T82")</f>
        <v>T82</v>
      </c>
      <c r="C78" t="str">
        <f ca="1">IFERROR(__xludf.DUMMYFUNCTION("""COMPUTED_VALUE"""),"Kevin Streelman")</f>
        <v>Kevin Streelman</v>
      </c>
      <c r="D78">
        <f ca="1">IFERROR(__xludf.DUMMYFUNCTION("""COMPUTED_VALUE"""),18)</f>
        <v>18</v>
      </c>
      <c r="E78">
        <f ca="1">IFERROR(__xludf.DUMMYFUNCTION("""COMPUTED_VALUE"""),69.14)</f>
        <v>69.14</v>
      </c>
      <c r="F78">
        <f ca="1">IFERROR(__xludf.DUMMYFUNCTION("""COMPUTED_VALUE"""),224)</f>
        <v>224</v>
      </c>
      <c r="G78">
        <f ca="1">IFERROR(__xludf.DUMMYFUNCTION("""COMPUTED_VALUE"""),324)</f>
        <v>324</v>
      </c>
      <c r="H78">
        <f ca="1">IFERROR(__xludf.DUMMYFUNCTION("""COMPUTED_VALUE"""),-0.34)</f>
        <v>-0.34</v>
      </c>
    </row>
    <row r="79" spans="1:8" ht="12.75">
      <c r="A79" t="str">
        <f ca="1">IFERROR(__xludf.DUMMYFUNCTION("""COMPUTED_VALUE"""),"T77")</f>
        <v>T77</v>
      </c>
      <c r="B79" t="str">
        <f ca="1">IFERROR(__xludf.DUMMYFUNCTION("""COMPUTED_VALUE"""),"T93")</f>
        <v>T93</v>
      </c>
      <c r="C79" t="str">
        <f ca="1">IFERROR(__xludf.DUMMYFUNCTION("""COMPUTED_VALUE"""),"Peter Malnati")</f>
        <v>Peter Malnati</v>
      </c>
      <c r="D79">
        <f ca="1">IFERROR(__xludf.DUMMYFUNCTION("""COMPUTED_VALUE"""),18)</f>
        <v>18</v>
      </c>
      <c r="E79">
        <f ca="1">IFERROR(__xludf.DUMMYFUNCTION("""COMPUTED_VALUE"""),69.14)</f>
        <v>69.14</v>
      </c>
      <c r="F79">
        <f ca="1">IFERROR(__xludf.DUMMYFUNCTION("""COMPUTED_VALUE"""),224)</f>
        <v>224</v>
      </c>
      <c r="G79">
        <f ca="1">IFERROR(__xludf.DUMMYFUNCTION("""COMPUTED_VALUE"""),324)</f>
        <v>324</v>
      </c>
      <c r="H79">
        <f ca="1">IFERROR(__xludf.DUMMYFUNCTION("""COMPUTED_VALUE"""),-0.39)</f>
        <v>-0.39</v>
      </c>
    </row>
    <row r="80" spans="1:8" ht="12.75">
      <c r="A80" t="str">
        <f ca="1">IFERROR(__xludf.DUMMYFUNCTION("""COMPUTED_VALUE"""),"T77")</f>
        <v>T77</v>
      </c>
      <c r="B80" t="str">
        <f ca="1">IFERROR(__xludf.DUMMYFUNCTION("""COMPUTED_VALUE"""),"T31")</f>
        <v>T31</v>
      </c>
      <c r="C80" t="str">
        <f ca="1">IFERROR(__xludf.DUMMYFUNCTION("""COMPUTED_VALUE"""),"Scottie Scheffler")</f>
        <v>Scottie Scheffler</v>
      </c>
      <c r="D80">
        <f ca="1">IFERROR(__xludf.DUMMYFUNCTION("""COMPUTED_VALUE"""),18)</f>
        <v>18</v>
      </c>
      <c r="E80">
        <f ca="1">IFERROR(__xludf.DUMMYFUNCTION("""COMPUTED_VALUE"""),69.14)</f>
        <v>69.14</v>
      </c>
      <c r="F80">
        <f ca="1">IFERROR(__xludf.DUMMYFUNCTION("""COMPUTED_VALUE"""),224)</f>
        <v>224</v>
      </c>
      <c r="G80">
        <f ca="1">IFERROR(__xludf.DUMMYFUNCTION("""COMPUTED_VALUE"""),324)</f>
        <v>324</v>
      </c>
      <c r="H80">
        <f ca="1">IFERROR(__xludf.DUMMYFUNCTION("""COMPUTED_VALUE"""),-0.33)</f>
        <v>-0.33</v>
      </c>
    </row>
    <row r="81" spans="1:8" ht="12.75">
      <c r="A81" t="str">
        <f ca="1">IFERROR(__xludf.DUMMYFUNCTION("""COMPUTED_VALUE"""),"T80")</f>
        <v>T80</v>
      </c>
      <c r="B81" t="str">
        <f ca="1">IFERROR(__xludf.DUMMYFUNCTION("""COMPUTED_VALUE"""),"T46")</f>
        <v>T46</v>
      </c>
      <c r="C81" t="str">
        <f ca="1">IFERROR(__xludf.DUMMYFUNCTION("""COMPUTED_VALUE"""),"David Hearn")</f>
        <v>David Hearn</v>
      </c>
      <c r="D81">
        <f ca="1">IFERROR(__xludf.DUMMYFUNCTION("""COMPUTED_VALUE"""),16)</f>
        <v>16</v>
      </c>
      <c r="E81">
        <f ca="1">IFERROR(__xludf.DUMMYFUNCTION("""COMPUTED_VALUE"""),69.1)</f>
        <v>69.099999999999994</v>
      </c>
      <c r="F81">
        <f ca="1">IFERROR(__xludf.DUMMYFUNCTION("""COMPUTED_VALUE"""),199)</f>
        <v>199</v>
      </c>
      <c r="G81">
        <f ca="1">IFERROR(__xludf.DUMMYFUNCTION("""COMPUTED_VALUE"""),288)</f>
        <v>288</v>
      </c>
      <c r="H81">
        <f ca="1">IFERROR(__xludf.DUMMYFUNCTION("""COMPUTED_VALUE"""),-0.28)</f>
        <v>-0.28000000000000003</v>
      </c>
    </row>
    <row r="82" spans="1:8" ht="12.75">
      <c r="A82" t="str">
        <f ca="1">IFERROR(__xludf.DUMMYFUNCTION("""COMPUTED_VALUE"""),"T80")</f>
        <v>T80</v>
      </c>
      <c r="B82" t="str">
        <f ca="1">IFERROR(__xludf.DUMMYFUNCTION("""COMPUTED_VALUE"""),"T84")</f>
        <v>T84</v>
      </c>
      <c r="C82" t="str">
        <f ca="1">IFERROR(__xludf.DUMMYFUNCTION("""COMPUTED_VALUE"""),"Kevin Tway")</f>
        <v>Kevin Tway</v>
      </c>
      <c r="D82">
        <f ca="1">IFERROR(__xludf.DUMMYFUNCTION("""COMPUTED_VALUE"""),16)</f>
        <v>16</v>
      </c>
      <c r="E82">
        <f ca="1">IFERROR(__xludf.DUMMYFUNCTION("""COMPUTED_VALUE"""),69.1)</f>
        <v>69.099999999999994</v>
      </c>
      <c r="F82">
        <f ca="1">IFERROR(__xludf.DUMMYFUNCTION("""COMPUTED_VALUE"""),199)</f>
        <v>199</v>
      </c>
      <c r="G82">
        <f ca="1">IFERROR(__xludf.DUMMYFUNCTION("""COMPUTED_VALUE"""),288)</f>
        <v>288</v>
      </c>
      <c r="H82">
        <f ca="1">IFERROR(__xludf.DUMMYFUNCTION("""COMPUTED_VALUE"""),-0.24)</f>
        <v>-0.24</v>
      </c>
    </row>
    <row r="83" spans="1:8" ht="12.75">
      <c r="A83" t="str">
        <f ca="1">IFERROR(__xludf.DUMMYFUNCTION("""COMPUTED_VALUE"""),"T82")</f>
        <v>T82</v>
      </c>
      <c r="B83" t="str">
        <f ca="1">IFERROR(__xludf.DUMMYFUNCTION("""COMPUTED_VALUE"""),"T95")</f>
        <v>T95</v>
      </c>
      <c r="C83" t="str">
        <f ca="1">IFERROR(__xludf.DUMMYFUNCTION("""COMPUTED_VALUE"""),"Jonathan Byrd")</f>
        <v>Jonathan Byrd</v>
      </c>
      <c r="D83">
        <f ca="1">IFERROR(__xludf.DUMMYFUNCTION("""COMPUTED_VALUE"""),14)</f>
        <v>14</v>
      </c>
      <c r="E83">
        <f ca="1">IFERROR(__xludf.DUMMYFUNCTION("""COMPUTED_VALUE"""),69.05)</f>
        <v>69.05</v>
      </c>
      <c r="F83">
        <f ca="1">IFERROR(__xludf.DUMMYFUNCTION("""COMPUTED_VALUE"""),174)</f>
        <v>174</v>
      </c>
      <c r="G83">
        <f ca="1">IFERROR(__xludf.DUMMYFUNCTION("""COMPUTED_VALUE"""),252)</f>
        <v>252</v>
      </c>
      <c r="H83">
        <f ca="1">IFERROR(__xludf.DUMMYFUNCTION("""COMPUTED_VALUE"""),-0.2)</f>
        <v>-0.2</v>
      </c>
    </row>
    <row r="84" spans="1:8" ht="12.75">
      <c r="A84" t="str">
        <f ca="1">IFERROR(__xludf.DUMMYFUNCTION("""COMPUTED_VALUE"""),"T82")</f>
        <v>T82</v>
      </c>
      <c r="B84" t="str">
        <f ca="1">IFERROR(__xludf.DUMMYFUNCTION("""COMPUTED_VALUE"""),"T50")</f>
        <v>T50</v>
      </c>
      <c r="C84" t="str">
        <f ca="1">IFERROR(__xludf.DUMMYFUNCTION("""COMPUTED_VALUE"""),"Xinjun Zhang")</f>
        <v>Xinjun Zhang</v>
      </c>
      <c r="D84">
        <f ca="1">IFERROR(__xludf.DUMMYFUNCTION("""COMPUTED_VALUE"""),14)</f>
        <v>14</v>
      </c>
      <c r="E84">
        <f ca="1">IFERROR(__xludf.DUMMYFUNCTION("""COMPUTED_VALUE"""),69.05)</f>
        <v>69.05</v>
      </c>
      <c r="F84">
        <f ca="1">IFERROR(__xludf.DUMMYFUNCTION("""COMPUTED_VALUE"""),174)</f>
        <v>174</v>
      </c>
      <c r="G84">
        <f ca="1">IFERROR(__xludf.DUMMYFUNCTION("""COMPUTED_VALUE"""),252)</f>
        <v>252</v>
      </c>
      <c r="H84">
        <f ca="1">IFERROR(__xludf.DUMMYFUNCTION("""COMPUTED_VALUE"""),-0.29)</f>
        <v>-0.28999999999999998</v>
      </c>
    </row>
    <row r="85" spans="1:8" ht="12.75">
      <c r="A85" t="str">
        <f ca="1">IFERROR(__xludf.DUMMYFUNCTION("""COMPUTED_VALUE"""),"T82")</f>
        <v>T82</v>
      </c>
      <c r="B85">
        <f ca="1">IFERROR(__xludf.DUMMYFUNCTION("""COMPUTED_VALUE"""),111)</f>
        <v>111</v>
      </c>
      <c r="C85" t="str">
        <f ca="1">IFERROR(__xludf.DUMMYFUNCTION("""COMPUTED_VALUE"""),"Tyrrell Hatton")</f>
        <v>Tyrrell Hatton</v>
      </c>
      <c r="D85">
        <f ca="1">IFERROR(__xludf.DUMMYFUNCTION("""COMPUTED_VALUE"""),14)</f>
        <v>14</v>
      </c>
      <c r="E85">
        <f ca="1">IFERROR(__xludf.DUMMYFUNCTION("""COMPUTED_VALUE"""),69.05)</f>
        <v>69.05</v>
      </c>
      <c r="F85">
        <f ca="1">IFERROR(__xludf.DUMMYFUNCTION("""COMPUTED_VALUE"""),174)</f>
        <v>174</v>
      </c>
      <c r="G85">
        <f ca="1">IFERROR(__xludf.DUMMYFUNCTION("""COMPUTED_VALUE"""),252)</f>
        <v>252</v>
      </c>
      <c r="H85">
        <f ca="1">IFERROR(__xludf.DUMMYFUNCTION("""COMPUTED_VALUE"""),-0.38)</f>
        <v>-0.38</v>
      </c>
    </row>
    <row r="86" spans="1:8" ht="12.75">
      <c r="A86" t="str">
        <f ca="1">IFERROR(__xludf.DUMMYFUNCTION("""COMPUTED_VALUE"""),"T82")</f>
        <v>T82</v>
      </c>
      <c r="B86" t="str">
        <f ca="1">IFERROR(__xludf.DUMMYFUNCTION("""COMPUTED_VALUE"""),"T95")</f>
        <v>T95</v>
      </c>
      <c r="C86" t="str">
        <f ca="1">IFERROR(__xludf.DUMMYFUNCTION("""COMPUTED_VALUE"""),"Chase Seiffert")</f>
        <v>Chase Seiffert</v>
      </c>
      <c r="D86">
        <f ca="1">IFERROR(__xludf.DUMMYFUNCTION("""COMPUTED_VALUE"""),14)</f>
        <v>14</v>
      </c>
      <c r="E86">
        <f ca="1">IFERROR(__xludf.DUMMYFUNCTION("""COMPUTED_VALUE"""),69.05)</f>
        <v>69.05</v>
      </c>
      <c r="F86">
        <f ca="1">IFERROR(__xludf.DUMMYFUNCTION("""COMPUTED_VALUE"""),174)</f>
        <v>174</v>
      </c>
      <c r="G86">
        <f ca="1">IFERROR(__xludf.DUMMYFUNCTION("""COMPUTED_VALUE"""),252)</f>
        <v>252</v>
      </c>
      <c r="H86">
        <f ca="1">IFERROR(__xludf.DUMMYFUNCTION("""COMPUTED_VALUE"""),-0.27)</f>
        <v>-0.27</v>
      </c>
    </row>
    <row r="87" spans="1:8" ht="12.75">
      <c r="A87">
        <f ca="1">IFERROR(__xludf.DUMMYFUNCTION("""COMPUTED_VALUE"""),86)</f>
        <v>86</v>
      </c>
      <c r="B87">
        <f ca="1">IFERROR(__xludf.DUMMYFUNCTION("""COMPUTED_VALUE"""),73)</f>
        <v>73</v>
      </c>
      <c r="C87" t="str">
        <f ca="1">IFERROR(__xludf.DUMMYFUNCTION("""COMPUTED_VALUE"""),"Andrew Putnam")</f>
        <v>Andrew Putnam</v>
      </c>
      <c r="D87">
        <f ca="1">IFERROR(__xludf.DUMMYFUNCTION("""COMPUTED_VALUE"""),19)</f>
        <v>19</v>
      </c>
      <c r="E87">
        <f ca="1">IFERROR(__xludf.DUMMYFUNCTION("""COMPUTED_VALUE"""),69.01)</f>
        <v>69.010000000000005</v>
      </c>
      <c r="F87">
        <f ca="1">IFERROR(__xludf.DUMMYFUNCTION("""COMPUTED_VALUE"""),236)</f>
        <v>236</v>
      </c>
      <c r="G87">
        <f ca="1">IFERROR(__xludf.DUMMYFUNCTION("""COMPUTED_VALUE"""),342)</f>
        <v>342</v>
      </c>
      <c r="H87">
        <f ca="1">IFERROR(__xludf.DUMMYFUNCTION("""COMPUTED_VALUE"""),-0.26)</f>
        <v>-0.26</v>
      </c>
    </row>
    <row r="88" spans="1:8" ht="12.75">
      <c r="A88" t="str">
        <f ca="1">IFERROR(__xludf.DUMMYFUNCTION("""COMPUTED_VALUE"""),"T87")</f>
        <v>T87</v>
      </c>
      <c r="B88" t="str">
        <f ca="1">IFERROR(__xludf.DUMMYFUNCTION("""COMPUTED_VALUE"""),"T76")</f>
        <v>T76</v>
      </c>
      <c r="C88" t="str">
        <f ca="1">IFERROR(__xludf.DUMMYFUNCTION("""COMPUTED_VALUE"""),"Adam Schenk")</f>
        <v>Adam Schenk</v>
      </c>
      <c r="D88">
        <f ca="1">IFERROR(__xludf.DUMMYFUNCTION("""COMPUTED_VALUE"""),22)</f>
        <v>22</v>
      </c>
      <c r="E88">
        <f ca="1">IFERROR(__xludf.DUMMYFUNCTION("""COMPUTED_VALUE"""),68.94)</f>
        <v>68.94</v>
      </c>
      <c r="F88">
        <f ca="1">IFERROR(__xludf.DUMMYFUNCTION("""COMPUTED_VALUE"""),273)</f>
        <v>273</v>
      </c>
      <c r="G88">
        <f ca="1">IFERROR(__xludf.DUMMYFUNCTION("""COMPUTED_VALUE"""),396)</f>
        <v>396</v>
      </c>
      <c r="H88">
        <f ca="1">IFERROR(__xludf.DUMMYFUNCTION("""COMPUTED_VALUE"""),-0.27)</f>
        <v>-0.27</v>
      </c>
    </row>
    <row r="89" spans="1:8" ht="12.75">
      <c r="A89" t="str">
        <f ca="1">IFERROR(__xludf.DUMMYFUNCTION("""COMPUTED_VALUE"""),"T87")</f>
        <v>T87</v>
      </c>
      <c r="B89" t="str">
        <f ca="1">IFERROR(__xludf.DUMMYFUNCTION("""COMPUTED_VALUE"""),"T106")</f>
        <v>T106</v>
      </c>
      <c r="C89" t="str">
        <f ca="1">IFERROR(__xludf.DUMMYFUNCTION("""COMPUTED_VALUE"""),"Sepp Straka")</f>
        <v>Sepp Straka</v>
      </c>
      <c r="D89">
        <f ca="1">IFERROR(__xludf.DUMMYFUNCTION("""COMPUTED_VALUE"""),22)</f>
        <v>22</v>
      </c>
      <c r="E89">
        <f ca="1">IFERROR(__xludf.DUMMYFUNCTION("""COMPUTED_VALUE"""),68.94)</f>
        <v>68.94</v>
      </c>
      <c r="F89">
        <f ca="1">IFERROR(__xludf.DUMMYFUNCTION("""COMPUTED_VALUE"""),273)</f>
        <v>273</v>
      </c>
      <c r="G89">
        <f ca="1">IFERROR(__xludf.DUMMYFUNCTION("""COMPUTED_VALUE"""),396)</f>
        <v>396</v>
      </c>
      <c r="H89">
        <f ca="1">IFERROR(__xludf.DUMMYFUNCTION("""COMPUTED_VALUE"""),-0.34)</f>
        <v>-0.34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IFERROR(__xludf.DUMMYFUNCTION("""COMPUTED_VALUE"""),"T97")</f>
        <v>T97</v>
      </c>
      <c r="C90" t="str">
        <f ca="1">IFERROR(__xludf.DUMMYFUNCTION("""COMPUTED_VALUE"""),"Brandon Hagy")</f>
        <v>Brandon Hagy</v>
      </c>
      <c r="D90">
        <f ca="1">IFERROR(__xludf.DUMMYFUNCTION("""COMPUTED_VALUE"""),10)</f>
        <v>10</v>
      </c>
      <c r="E90">
        <f ca="1">IFERROR(__xludf.DUMMYFUNCTION("""COMPUTED_VALUE"""),68.89)</f>
        <v>68.89</v>
      </c>
      <c r="F90">
        <f ca="1">IFERROR(__xludf.DUMMYFUNCTION("""COMPUTED_VALUE"""),124)</f>
        <v>124</v>
      </c>
      <c r="G90">
        <f ca="1">IFERROR(__xludf.DUMMYFUNCTION("""COMPUTED_VALUE"""),180)</f>
        <v>180</v>
      </c>
      <c r="H90">
        <f ca="1">IFERROR(__xludf.DUMMYFUNCTION("""COMPUTED_VALUE"""),-0.23)</f>
        <v>-0.23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IFERROR(__xludf.DUMMYFUNCTION("""COMPUTED_VALUE"""),"T74")</f>
        <v>T74</v>
      </c>
      <c r="C91" t="str">
        <f ca="1">IFERROR(__xludf.DUMMYFUNCTION("""COMPUTED_VALUE"""),"Will Gordon")</f>
        <v>Will Gordon</v>
      </c>
      <c r="D91">
        <f ca="1">IFERROR(__xludf.DUMMYFUNCTION("""COMPUTED_VALUE"""),20)</f>
        <v>20</v>
      </c>
      <c r="E91">
        <f ca="1">IFERROR(__xludf.DUMMYFUNCTION("""COMPUTED_VALUE"""),68.89)</f>
        <v>68.89</v>
      </c>
      <c r="F91">
        <f ca="1">IFERROR(__xludf.DUMMYFUNCTION("""COMPUTED_VALUE"""),248)</f>
        <v>248</v>
      </c>
      <c r="G91">
        <f ca="1">IFERROR(__xludf.DUMMYFUNCTION("""COMPUTED_VALUE"""),360)</f>
        <v>360</v>
      </c>
      <c r="H91">
        <f ca="1">IFERROR(__xludf.DUMMYFUNCTION("""COMPUTED_VALUE"""),-0.35)</f>
        <v>-0.35</v>
      </c>
    </row>
    <row r="92" spans="1:8" ht="12.75">
      <c r="A92" t="str">
        <f ca="1">IFERROR(__xludf.DUMMYFUNCTION("""COMPUTED_VALUE"""),"T91")</f>
        <v>T91</v>
      </c>
      <c r="B92" t="str">
        <f ca="1">IFERROR(__xludf.DUMMYFUNCTION("""COMPUTED_VALUE"""),"T68")</f>
        <v>T68</v>
      </c>
      <c r="C92" t="str">
        <f ca="1">IFERROR(__xludf.DUMMYFUNCTION("""COMPUTED_VALUE"""),"Sergio Garcia")</f>
        <v>Sergio Garcia</v>
      </c>
      <c r="D92">
        <f ca="1">IFERROR(__xludf.DUMMYFUNCTION("""COMPUTED_VALUE"""),18)</f>
        <v>18</v>
      </c>
      <c r="E92">
        <f ca="1">IFERROR(__xludf.DUMMYFUNCTION("""COMPUTED_VALUE"""),68.83)</f>
        <v>68.83</v>
      </c>
      <c r="F92">
        <f ca="1">IFERROR(__xludf.DUMMYFUNCTION("""COMPUTED_VALUE"""),223)</f>
        <v>223</v>
      </c>
      <c r="G92">
        <f ca="1">IFERROR(__xludf.DUMMYFUNCTION("""COMPUTED_VALUE"""),324)</f>
        <v>324</v>
      </c>
      <c r="H92">
        <f ca="1">IFERROR(__xludf.DUMMYFUNCTION("""COMPUTED_VALUE"""),-0.3)</f>
        <v>-0.3</v>
      </c>
    </row>
    <row r="93" spans="1:8" ht="12.75">
      <c r="A93" t="str">
        <f ca="1">IFERROR(__xludf.DUMMYFUNCTION("""COMPUTED_VALUE"""),"T91")</f>
        <v>T91</v>
      </c>
      <c r="B93" t="str">
        <f ca="1">IFERROR(__xludf.DUMMYFUNCTION("""COMPUTED_VALUE"""),"T102")</f>
        <v>T102</v>
      </c>
      <c r="C93" t="str">
        <f ca="1">IFERROR(__xludf.DUMMYFUNCTION("""COMPUTED_VALUE"""),"Patton Kizzire")</f>
        <v>Patton Kizzire</v>
      </c>
      <c r="D93">
        <f ca="1">IFERROR(__xludf.DUMMYFUNCTION("""COMPUTED_VALUE"""),18)</f>
        <v>18</v>
      </c>
      <c r="E93">
        <f ca="1">IFERROR(__xludf.DUMMYFUNCTION("""COMPUTED_VALUE"""),68.83)</f>
        <v>68.83</v>
      </c>
      <c r="F93">
        <f ca="1">IFERROR(__xludf.DUMMYFUNCTION("""COMPUTED_VALUE"""),223)</f>
        <v>223</v>
      </c>
      <c r="G93">
        <f ca="1">IFERROR(__xludf.DUMMYFUNCTION("""COMPUTED_VALUE"""),324)</f>
        <v>324</v>
      </c>
      <c r="H93">
        <f ca="1">IFERROR(__xludf.DUMMYFUNCTION("""COMPUTED_VALUE"""),-0.34)</f>
        <v>-0.34</v>
      </c>
    </row>
    <row r="94" spans="1:8" ht="12.75">
      <c r="A94" t="str">
        <f ca="1">IFERROR(__xludf.DUMMYFUNCTION("""COMPUTED_VALUE"""),"T93")</f>
        <v>T93</v>
      </c>
      <c r="B94" t="str">
        <f ca="1">IFERROR(__xludf.DUMMYFUNCTION("""COMPUTED_VALUE"""),"T138")</f>
        <v>T138</v>
      </c>
      <c r="C94" t="str">
        <f ca="1">IFERROR(__xludf.DUMMYFUNCTION("""COMPUTED_VALUE"""),"Padraig Harrington")</f>
        <v>Padraig Harrington</v>
      </c>
      <c r="D94">
        <f ca="1">IFERROR(__xludf.DUMMYFUNCTION("""COMPUTED_VALUE"""),8)</f>
        <v>8</v>
      </c>
      <c r="E94">
        <f ca="1">IFERROR(__xludf.DUMMYFUNCTION("""COMPUTED_VALUE"""),68.75)</f>
        <v>68.75</v>
      </c>
      <c r="F94">
        <f ca="1">IFERROR(__xludf.DUMMYFUNCTION("""COMPUTED_VALUE"""),99)</f>
        <v>99</v>
      </c>
      <c r="G94">
        <f ca="1">IFERROR(__xludf.DUMMYFUNCTION("""COMPUTED_VALUE"""),144)</f>
        <v>144</v>
      </c>
      <c r="H94">
        <f ca="1">IFERROR(__xludf.DUMMYFUNCTION("""COMPUTED_VALUE"""),-0.26)</f>
        <v>-0.26</v>
      </c>
    </row>
    <row r="95" spans="1:8" ht="12.75">
      <c r="A95" t="str">
        <f ca="1">IFERROR(__xludf.DUMMYFUNCTION("""COMPUTED_VALUE"""),"T93")</f>
        <v>T93</v>
      </c>
      <c r="B95" t="str">
        <f ca="1">IFERROR(__xludf.DUMMYFUNCTION("""COMPUTED_VALUE"""),"T242")</f>
        <v>T242</v>
      </c>
      <c r="C95" t="str">
        <f ca="1">IFERROR(__xludf.DUMMYFUNCTION("""COMPUTED_VALUE"""),"Dustin Johnson")</f>
        <v>Dustin Johnson</v>
      </c>
      <c r="D95">
        <f ca="1">IFERROR(__xludf.DUMMYFUNCTION("""COMPUTED_VALUE"""),8)</f>
        <v>8</v>
      </c>
      <c r="E95">
        <f ca="1">IFERROR(__xludf.DUMMYFUNCTION("""COMPUTED_VALUE"""),68.75)</f>
        <v>68.75</v>
      </c>
      <c r="F95">
        <f ca="1">IFERROR(__xludf.DUMMYFUNCTION("""COMPUTED_VALUE"""),99)</f>
        <v>99</v>
      </c>
      <c r="G95">
        <f ca="1">IFERROR(__xludf.DUMMYFUNCTION("""COMPUTED_VALUE"""),144)</f>
        <v>144</v>
      </c>
      <c r="H95">
        <f ca="1">IFERROR(__xludf.DUMMYFUNCTION("""COMPUTED_VALUE"""),-0.27)</f>
        <v>-0.27</v>
      </c>
    </row>
    <row r="96" spans="1:8" ht="12.75">
      <c r="A96" t="str">
        <f ca="1">IFERROR(__xludf.DUMMYFUNCTION("""COMPUTED_VALUE"""),"T93")</f>
        <v>T93</v>
      </c>
      <c r="B96">
        <f ca="1">IFERROR(__xludf.DUMMYFUNCTION("""COMPUTED_VALUE"""),101)</f>
        <v>101</v>
      </c>
      <c r="C96" t="str">
        <f ca="1">IFERROR(__xludf.DUMMYFUNCTION("""COMPUTED_VALUE"""),"Sebastian Cappelen")</f>
        <v>Sebastian Cappelen</v>
      </c>
      <c r="D96">
        <f ca="1">IFERROR(__xludf.DUMMYFUNCTION("""COMPUTED_VALUE"""),8)</f>
        <v>8</v>
      </c>
      <c r="E96">
        <f ca="1">IFERROR(__xludf.DUMMYFUNCTION("""COMPUTED_VALUE"""),68.75)</f>
        <v>68.75</v>
      </c>
      <c r="F96">
        <f ca="1">IFERROR(__xludf.DUMMYFUNCTION("""COMPUTED_VALUE"""),99)</f>
        <v>99</v>
      </c>
      <c r="G96">
        <f ca="1">IFERROR(__xludf.DUMMYFUNCTION("""COMPUTED_VALUE"""),144)</f>
        <v>144</v>
      </c>
      <c r="H96">
        <f ca="1">IFERROR(__xludf.DUMMYFUNCTION("""COMPUTED_VALUE"""),-0.32)</f>
        <v>-0.32</v>
      </c>
    </row>
    <row r="97" spans="1:8" ht="12.75">
      <c r="A97">
        <f ca="1">IFERROR(__xludf.DUMMYFUNCTION("""COMPUTED_VALUE"""),96)</f>
        <v>96</v>
      </c>
      <c r="B97" t="str">
        <f ca="1">IFERROR(__xludf.DUMMYFUNCTION("""COMPUTED_VALUE"""),"T102")</f>
        <v>T102</v>
      </c>
      <c r="C97" t="str">
        <f ca="1">IFERROR(__xludf.DUMMYFUNCTION("""COMPUTED_VALUE"""),"Jason Kokrak")</f>
        <v>Jason Kokrak</v>
      </c>
      <c r="D97">
        <f ca="1">IFERROR(__xludf.DUMMYFUNCTION("""COMPUTED_VALUE"""),14)</f>
        <v>14</v>
      </c>
      <c r="E97">
        <f ca="1">IFERROR(__xludf.DUMMYFUNCTION("""COMPUTED_VALUE"""),68.65)</f>
        <v>68.650000000000006</v>
      </c>
      <c r="F97">
        <f ca="1">IFERROR(__xludf.DUMMYFUNCTION("""COMPUTED_VALUE"""),173)</f>
        <v>173</v>
      </c>
      <c r="G97">
        <f ca="1">IFERROR(__xludf.DUMMYFUNCTION("""COMPUTED_VALUE"""),252)</f>
        <v>252</v>
      </c>
      <c r="H97">
        <f ca="1">IFERROR(__xludf.DUMMYFUNCTION("""COMPUTED_VALUE"""),-0.37)</f>
        <v>-0.37</v>
      </c>
    </row>
    <row r="98" spans="1:8" ht="12.75">
      <c r="A98" t="str">
        <f ca="1">IFERROR(__xludf.DUMMYFUNCTION("""COMPUTED_VALUE"""),"T97")</f>
        <v>T97</v>
      </c>
      <c r="B98" t="str">
        <f ca="1">IFERROR(__xludf.DUMMYFUNCTION("""COMPUTED_VALUE"""),"T97")</f>
        <v>T97</v>
      </c>
      <c r="C98" t="str">
        <f ca="1">IFERROR(__xludf.DUMMYFUNCTION("""COMPUTED_VALUE"""),"Vaughn Taylor")</f>
        <v>Vaughn Taylor</v>
      </c>
      <c r="D98">
        <f ca="1">IFERROR(__xludf.DUMMYFUNCTION("""COMPUTED_VALUE"""),12)</f>
        <v>12</v>
      </c>
      <c r="E98">
        <f ca="1">IFERROR(__xludf.DUMMYFUNCTION("""COMPUTED_VALUE"""),68.52)</f>
        <v>68.52</v>
      </c>
      <c r="F98">
        <f ca="1">IFERROR(__xludf.DUMMYFUNCTION("""COMPUTED_VALUE"""),148)</f>
        <v>148</v>
      </c>
      <c r="G98">
        <f ca="1">IFERROR(__xludf.DUMMYFUNCTION("""COMPUTED_VALUE"""),216)</f>
        <v>216</v>
      </c>
      <c r="H98">
        <f ca="1">IFERROR(__xludf.DUMMYFUNCTION("""COMPUTED_VALUE"""),-0.21)</f>
        <v>-0.21</v>
      </c>
    </row>
    <row r="99" spans="1:8" ht="12.75">
      <c r="A99" t="str">
        <f ca="1">IFERROR(__xludf.DUMMYFUNCTION("""COMPUTED_VALUE"""),"T97")</f>
        <v>T97</v>
      </c>
      <c r="B99" t="str">
        <f ca="1">IFERROR(__xludf.DUMMYFUNCTION("""COMPUTED_VALUE"""),"T106")</f>
        <v>T106</v>
      </c>
      <c r="C99" t="str">
        <f ca="1">IFERROR(__xludf.DUMMYFUNCTION("""COMPUTED_VALUE"""),"K.J. Choi")</f>
        <v>K.J. Choi</v>
      </c>
      <c r="D99">
        <f ca="1">IFERROR(__xludf.DUMMYFUNCTION("""COMPUTED_VALUE"""),6)</f>
        <v>6</v>
      </c>
      <c r="E99">
        <f ca="1">IFERROR(__xludf.DUMMYFUNCTION("""COMPUTED_VALUE"""),68.52)</f>
        <v>68.52</v>
      </c>
      <c r="F99">
        <f ca="1">IFERROR(__xludf.DUMMYFUNCTION("""COMPUTED_VALUE"""),74)</f>
        <v>74</v>
      </c>
      <c r="G99">
        <f ca="1">IFERROR(__xludf.DUMMYFUNCTION("""COMPUTED_VALUE"""),108)</f>
        <v>108</v>
      </c>
      <c r="H99">
        <f ca="1">IFERROR(__xludf.DUMMYFUNCTION("""COMPUTED_VALUE"""),-0.22)</f>
        <v>-0.22</v>
      </c>
    </row>
    <row r="100" spans="1:8" ht="12.75">
      <c r="A100" t="str">
        <f ca="1">IFERROR(__xludf.DUMMYFUNCTION("""COMPUTED_VALUE"""),"T97")</f>
        <v>T97</v>
      </c>
      <c r="B100" t="str">
        <f ca="1">IFERROR(__xludf.DUMMYFUNCTION("""COMPUTED_VALUE"""),"T82")</f>
        <v>T82</v>
      </c>
      <c r="C100" t="str">
        <f ca="1">IFERROR(__xludf.DUMMYFUNCTION("""COMPUTED_VALUE"""),"Luke List")</f>
        <v>Luke List</v>
      </c>
      <c r="D100">
        <f ca="1">IFERROR(__xludf.DUMMYFUNCTION("""COMPUTED_VALUE"""),18)</f>
        <v>18</v>
      </c>
      <c r="E100">
        <f ca="1">IFERROR(__xludf.DUMMYFUNCTION("""COMPUTED_VALUE"""),68.52)</f>
        <v>68.52</v>
      </c>
      <c r="F100">
        <f ca="1">IFERROR(__xludf.DUMMYFUNCTION("""COMPUTED_VALUE"""),222)</f>
        <v>222</v>
      </c>
      <c r="G100">
        <f ca="1">IFERROR(__xludf.DUMMYFUNCTION("""COMPUTED_VALUE"""),324)</f>
        <v>324</v>
      </c>
      <c r="H100">
        <f ca="1">IFERROR(__xludf.DUMMYFUNCTION("""COMPUTED_VALUE"""),-0.32)</f>
        <v>-0.32</v>
      </c>
    </row>
    <row r="101" spans="1:8" ht="12.75">
      <c r="A101" t="str">
        <f ca="1">IFERROR(__xludf.DUMMYFUNCTION("""COMPUTED_VALUE"""),"T97")</f>
        <v>T97</v>
      </c>
      <c r="B101" t="str">
        <f ca="1">IFERROR(__xludf.DUMMYFUNCTION("""COMPUTED_VALUE"""),"T128")</f>
        <v>T128</v>
      </c>
      <c r="C101" t="str">
        <f ca="1">IFERROR(__xludf.DUMMYFUNCTION("""COMPUTED_VALUE"""),"Hudson Swafford")</f>
        <v>Hudson Swafford</v>
      </c>
      <c r="D101">
        <f ca="1">IFERROR(__xludf.DUMMYFUNCTION("""COMPUTED_VALUE"""),18)</f>
        <v>18</v>
      </c>
      <c r="E101">
        <f ca="1">IFERROR(__xludf.DUMMYFUNCTION("""COMPUTED_VALUE"""),68.52)</f>
        <v>68.52</v>
      </c>
      <c r="F101">
        <f ca="1">IFERROR(__xludf.DUMMYFUNCTION("""COMPUTED_VALUE"""),222)</f>
        <v>222</v>
      </c>
      <c r="G101">
        <f ca="1">IFERROR(__xludf.DUMMYFUNCTION("""COMPUTED_VALUE"""),324)</f>
        <v>324</v>
      </c>
      <c r="H101">
        <f ca="1">IFERROR(__xludf.DUMMYFUNCTION("""COMPUTED_VALUE"""),-0.28)</f>
        <v>-0.28000000000000003</v>
      </c>
    </row>
    <row r="102" spans="1:8" ht="12.75">
      <c r="A102" t="str">
        <f ca="1">IFERROR(__xludf.DUMMYFUNCTION("""COMPUTED_VALUE"""),"T97")</f>
        <v>T97</v>
      </c>
      <c r="B102" t="str">
        <f ca="1">IFERROR(__xludf.DUMMYFUNCTION("""COMPUTED_VALUE"""),"T106")</f>
        <v>T106</v>
      </c>
      <c r="C102" t="str">
        <f ca="1">IFERROR(__xludf.DUMMYFUNCTION("""COMPUTED_VALUE"""),"Xander Schauffele")</f>
        <v>Xander Schauffele</v>
      </c>
      <c r="D102">
        <f ca="1">IFERROR(__xludf.DUMMYFUNCTION("""COMPUTED_VALUE"""),12)</f>
        <v>12</v>
      </c>
      <c r="E102">
        <f ca="1">IFERROR(__xludf.DUMMYFUNCTION("""COMPUTED_VALUE"""),68.52)</f>
        <v>68.52</v>
      </c>
      <c r="F102">
        <f ca="1">IFERROR(__xludf.DUMMYFUNCTION("""COMPUTED_VALUE"""),148)</f>
        <v>148</v>
      </c>
      <c r="G102">
        <f ca="1">IFERROR(__xludf.DUMMYFUNCTION("""COMPUTED_VALUE"""),216)</f>
        <v>216</v>
      </c>
      <c r="H102">
        <f ca="1">IFERROR(__xludf.DUMMYFUNCTION("""COMPUTED_VALUE"""),-0.4)</f>
        <v>-0.4</v>
      </c>
    </row>
    <row r="103" spans="1:8" ht="12.75">
      <c r="A103">
        <f ca="1">IFERROR(__xludf.DUMMYFUNCTION("""COMPUTED_VALUE"""),102)</f>
        <v>102</v>
      </c>
      <c r="B103" t="str">
        <f ca="1">IFERROR(__xludf.DUMMYFUNCTION("""COMPUTED_VALUE"""),"T84")</f>
        <v>T84</v>
      </c>
      <c r="C103" t="str">
        <f ca="1">IFERROR(__xludf.DUMMYFUNCTION("""COMPUTED_VALUE"""),"Robby Shelton")</f>
        <v>Robby Shelton</v>
      </c>
      <c r="D103">
        <f ca="1">IFERROR(__xludf.DUMMYFUNCTION("""COMPUTED_VALUE"""),14)</f>
        <v>14</v>
      </c>
      <c r="E103">
        <f ca="1">IFERROR(__xludf.DUMMYFUNCTION("""COMPUTED_VALUE"""),68.25)</f>
        <v>68.25</v>
      </c>
      <c r="F103">
        <f ca="1">IFERROR(__xludf.DUMMYFUNCTION("""COMPUTED_VALUE"""),172)</f>
        <v>172</v>
      </c>
      <c r="G103">
        <f ca="1">IFERROR(__xludf.DUMMYFUNCTION("""COMPUTED_VALUE"""),252)</f>
        <v>252</v>
      </c>
      <c r="H103">
        <f ca="1">IFERROR(__xludf.DUMMYFUNCTION("""COMPUTED_VALUE"""),-0.26)</f>
        <v>-0.26</v>
      </c>
    </row>
    <row r="104" spans="1:8" ht="12.75">
      <c r="A104" t="str">
        <f ca="1">IFERROR(__xludf.DUMMYFUNCTION("""COMPUTED_VALUE"""),"T103")</f>
        <v>T103</v>
      </c>
      <c r="B104" t="str">
        <f ca="1">IFERROR(__xludf.DUMMYFUNCTION("""COMPUTED_VALUE"""),"T113")</f>
        <v>T113</v>
      </c>
      <c r="C104" t="str">
        <f ca="1">IFERROR(__xludf.DUMMYFUNCTION("""COMPUTED_VALUE"""),"Steve Lewton")</f>
        <v>Steve Lewton</v>
      </c>
      <c r="D104">
        <f ca="1">IFERROR(__xludf.DUMMYFUNCTION("""COMPUTED_VALUE"""),4)</f>
        <v>4</v>
      </c>
      <c r="E104">
        <f ca="1">IFERROR(__xludf.DUMMYFUNCTION("""COMPUTED_VALUE"""),68.06)</f>
        <v>68.06</v>
      </c>
      <c r="F104">
        <f ca="1">IFERROR(__xludf.DUMMYFUNCTION("""COMPUTED_VALUE"""),49)</f>
        <v>49</v>
      </c>
      <c r="G104">
        <f ca="1">IFERROR(__xludf.DUMMYFUNCTION("""COMPUTED_VALUE"""),72)</f>
        <v>72</v>
      </c>
      <c r="H104">
        <f ca="1">IFERROR(__xludf.DUMMYFUNCTION("""COMPUTED_VALUE"""),-0.24)</f>
        <v>-0.24</v>
      </c>
    </row>
    <row r="105" spans="1:8" ht="12.75">
      <c r="A105" t="str">
        <f ca="1">IFERROR(__xludf.DUMMYFUNCTION("""COMPUTED_VALUE"""),"T103")</f>
        <v>T103</v>
      </c>
      <c r="B105" t="str">
        <f ca="1">IFERROR(__xludf.DUMMYFUNCTION("""COMPUTED_VALUE"""),"T113")</f>
        <v>T113</v>
      </c>
      <c r="C105" t="str">
        <f ca="1">IFERROR(__xludf.DUMMYFUNCTION("""COMPUTED_VALUE"""),"Patrick Cantlay")</f>
        <v>Patrick Cantlay</v>
      </c>
      <c r="D105">
        <f ca="1">IFERROR(__xludf.DUMMYFUNCTION("""COMPUTED_VALUE"""),16)</f>
        <v>16</v>
      </c>
      <c r="E105">
        <f ca="1">IFERROR(__xludf.DUMMYFUNCTION("""COMPUTED_VALUE"""),68.06)</f>
        <v>68.06</v>
      </c>
      <c r="F105">
        <f ca="1">IFERROR(__xludf.DUMMYFUNCTION("""COMPUTED_VALUE"""),196)</f>
        <v>196</v>
      </c>
      <c r="G105">
        <f ca="1">IFERROR(__xludf.DUMMYFUNCTION("""COMPUTED_VALUE"""),288)</f>
        <v>288</v>
      </c>
      <c r="H105">
        <f ca="1">IFERROR(__xludf.DUMMYFUNCTION("""COMPUTED_VALUE"""),-0.3)</f>
        <v>-0.3</v>
      </c>
    </row>
    <row r="106" spans="1:8" ht="12.75">
      <c r="A106" t="str">
        <f ca="1">IFERROR(__xludf.DUMMYFUNCTION("""COMPUTED_VALUE"""),"T103")</f>
        <v>T103</v>
      </c>
      <c r="B106" t="str">
        <f ca="1">IFERROR(__xludf.DUMMYFUNCTION("""COMPUTED_VALUE"""),"T113")</f>
        <v>T113</v>
      </c>
      <c r="C106" t="str">
        <f ca="1">IFERROR(__xludf.DUMMYFUNCTION("""COMPUTED_VALUE"""),"Willy Pumarol")</f>
        <v>Willy Pumarol</v>
      </c>
      <c r="D106">
        <f ca="1">IFERROR(__xludf.DUMMYFUNCTION("""COMPUTED_VALUE"""),4)</f>
        <v>4</v>
      </c>
      <c r="E106">
        <f ca="1">IFERROR(__xludf.DUMMYFUNCTION("""COMPUTED_VALUE"""),68.06)</f>
        <v>68.06</v>
      </c>
      <c r="F106">
        <f ca="1">IFERROR(__xludf.DUMMYFUNCTION("""COMPUTED_VALUE"""),49)</f>
        <v>49</v>
      </c>
      <c r="G106">
        <f ca="1">IFERROR(__xludf.DUMMYFUNCTION("""COMPUTED_VALUE"""),72)</f>
        <v>72</v>
      </c>
      <c r="H106">
        <f ca="1">IFERROR(__xludf.DUMMYFUNCTION("""COMPUTED_VALUE"""),-0.27)</f>
        <v>-0.27</v>
      </c>
    </row>
    <row r="107" spans="1:8" ht="12.75">
      <c r="A107" t="str">
        <f ca="1">IFERROR(__xludf.DUMMYFUNCTION("""COMPUTED_VALUE"""),"T103")</f>
        <v>T103</v>
      </c>
      <c r="B107">
        <f ca="1">IFERROR(__xludf.DUMMYFUNCTION("""COMPUTED_VALUE"""),121)</f>
        <v>121</v>
      </c>
      <c r="C107" t="str">
        <f ca="1">IFERROR(__xludf.DUMMYFUNCTION("""COMPUTED_VALUE"""),"Corey Conners")</f>
        <v>Corey Conners</v>
      </c>
      <c r="D107">
        <f ca="1">IFERROR(__xludf.DUMMYFUNCTION("""COMPUTED_VALUE"""),20)</f>
        <v>20</v>
      </c>
      <c r="E107">
        <f ca="1">IFERROR(__xludf.DUMMYFUNCTION("""COMPUTED_VALUE"""),68.06)</f>
        <v>68.06</v>
      </c>
      <c r="F107">
        <f ca="1">IFERROR(__xludf.DUMMYFUNCTION("""COMPUTED_VALUE"""),245)</f>
        <v>245</v>
      </c>
      <c r="G107">
        <f ca="1">IFERROR(__xludf.DUMMYFUNCTION("""COMPUTED_VALUE"""),360)</f>
        <v>360</v>
      </c>
      <c r="H107">
        <f ca="1">IFERROR(__xludf.DUMMYFUNCTION("""COMPUTED_VALUE"""),-0.33)</f>
        <v>-0.33</v>
      </c>
    </row>
    <row r="108" spans="1:8" ht="12.75">
      <c r="A108" t="str">
        <f ca="1">IFERROR(__xludf.DUMMYFUNCTION("""COMPUTED_VALUE"""),"T103")</f>
        <v>T103</v>
      </c>
      <c r="B108" t="str">
        <f ca="1">IFERROR(__xludf.DUMMYFUNCTION("""COMPUTED_VALUE"""),"T113")</f>
        <v>T113</v>
      </c>
      <c r="C108" t="str">
        <f ca="1">IFERROR(__xludf.DUMMYFUNCTION("""COMPUTED_VALUE"""),"Joohyung Kim")</f>
        <v>Joohyung Kim</v>
      </c>
      <c r="D108">
        <f ca="1">IFERROR(__xludf.DUMMYFUNCTION("""COMPUTED_VALUE"""),12)</f>
        <v>12</v>
      </c>
      <c r="E108">
        <f ca="1">IFERROR(__xludf.DUMMYFUNCTION("""COMPUTED_VALUE"""),68.06)</f>
        <v>68.06</v>
      </c>
      <c r="F108">
        <f ca="1">IFERROR(__xludf.DUMMYFUNCTION("""COMPUTED_VALUE"""),147)</f>
        <v>147</v>
      </c>
      <c r="G108">
        <f ca="1">IFERROR(__xludf.DUMMYFUNCTION("""COMPUTED_VALUE"""),216)</f>
        <v>216</v>
      </c>
      <c r="H108">
        <f ca="1">IFERROR(__xludf.DUMMYFUNCTION("""COMPUTED_VALUE"""),-0.29)</f>
        <v>-0.28999999999999998</v>
      </c>
    </row>
    <row r="109" spans="1:8" ht="12.75">
      <c r="A109">
        <f ca="1">IFERROR(__xludf.DUMMYFUNCTION("""COMPUTED_VALUE"""),108)</f>
        <v>108</v>
      </c>
      <c r="B109" t="str">
        <f ca="1">IFERROR(__xludf.DUMMYFUNCTION("""COMPUTED_VALUE"""),"T93")</f>
        <v>T93</v>
      </c>
      <c r="C109" t="str">
        <f ca="1">IFERROR(__xludf.DUMMYFUNCTION("""COMPUTED_VALUE"""),"Brice Garnett")</f>
        <v>Brice Garnett</v>
      </c>
      <c r="D109">
        <f ca="1">IFERROR(__xludf.DUMMYFUNCTION("""COMPUTED_VALUE"""),22)</f>
        <v>22</v>
      </c>
      <c r="E109">
        <f ca="1">IFERROR(__xludf.DUMMYFUNCTION("""COMPUTED_VALUE"""),67.93)</f>
        <v>67.930000000000007</v>
      </c>
      <c r="F109">
        <f ca="1">IFERROR(__xludf.DUMMYFUNCTION("""COMPUTED_VALUE"""),269)</f>
        <v>269</v>
      </c>
      <c r="G109">
        <f ca="1">IFERROR(__xludf.DUMMYFUNCTION("""COMPUTED_VALUE"""),396)</f>
        <v>396</v>
      </c>
      <c r="H109">
        <f ca="1">IFERROR(__xludf.DUMMYFUNCTION("""COMPUTED_VALUE"""),-0.29)</f>
        <v>-0.28999999999999998</v>
      </c>
    </row>
    <row r="110" spans="1:8" ht="12.75">
      <c r="A110">
        <f ca="1">IFERROR(__xludf.DUMMYFUNCTION("""COMPUTED_VALUE"""),109)</f>
        <v>109</v>
      </c>
      <c r="B110" t="str">
        <f ca="1">IFERROR(__xludf.DUMMYFUNCTION("""COMPUTED_VALUE"""),"T125")</f>
        <v>T125</v>
      </c>
      <c r="C110" t="str">
        <f ca="1">IFERROR(__xludf.DUMMYFUNCTION("""COMPUTED_VALUE"""),"Brian Stuard")</f>
        <v>Brian Stuard</v>
      </c>
      <c r="D110">
        <f ca="1">IFERROR(__xludf.DUMMYFUNCTION("""COMPUTED_VALUE"""),18)</f>
        <v>18</v>
      </c>
      <c r="E110">
        <f ca="1">IFERROR(__xludf.DUMMYFUNCTION("""COMPUTED_VALUE"""),67.9)</f>
        <v>67.900000000000006</v>
      </c>
      <c r="F110">
        <f ca="1">IFERROR(__xludf.DUMMYFUNCTION("""COMPUTED_VALUE"""),220)</f>
        <v>220</v>
      </c>
      <c r="G110">
        <f ca="1">IFERROR(__xludf.DUMMYFUNCTION("""COMPUTED_VALUE"""),324)</f>
        <v>324</v>
      </c>
      <c r="H110">
        <f ca="1">IFERROR(__xludf.DUMMYFUNCTION("""COMPUTED_VALUE"""),-0.28)</f>
        <v>-0.28000000000000003</v>
      </c>
    </row>
    <row r="111" spans="1:8" ht="12.75">
      <c r="A111" t="str">
        <f ca="1">IFERROR(__xludf.DUMMYFUNCTION("""COMPUTED_VALUE"""),"T110")</f>
        <v>T110</v>
      </c>
      <c r="B111" t="str">
        <f ca="1">IFERROR(__xludf.DUMMYFUNCTION("""COMPUTED_VALUE"""),"T113")</f>
        <v>T113</v>
      </c>
      <c r="C111" t="str">
        <f ca="1">IFERROR(__xludf.DUMMYFUNCTION("""COMPUTED_VALUE"""),"Bo Hoag")</f>
        <v>Bo Hoag</v>
      </c>
      <c r="D111">
        <f ca="1">IFERROR(__xludf.DUMMYFUNCTION("""COMPUTED_VALUE"""),14)</f>
        <v>14</v>
      </c>
      <c r="E111">
        <f ca="1">IFERROR(__xludf.DUMMYFUNCTION("""COMPUTED_VALUE"""),67.86)</f>
        <v>67.86</v>
      </c>
      <c r="F111">
        <f ca="1">IFERROR(__xludf.DUMMYFUNCTION("""COMPUTED_VALUE"""),171)</f>
        <v>171</v>
      </c>
      <c r="G111">
        <f ca="1">IFERROR(__xludf.DUMMYFUNCTION("""COMPUTED_VALUE"""),252)</f>
        <v>252</v>
      </c>
      <c r="H111">
        <f ca="1">IFERROR(__xludf.DUMMYFUNCTION("""COMPUTED_VALUE"""),-0.23)</f>
        <v>-0.23</v>
      </c>
    </row>
    <row r="112" spans="1:8" ht="12.75">
      <c r="A112" t="str">
        <f ca="1">IFERROR(__xludf.DUMMYFUNCTION("""COMPUTED_VALUE"""),"T110")</f>
        <v>T110</v>
      </c>
      <c r="B112" t="str">
        <f ca="1">IFERROR(__xludf.DUMMYFUNCTION("""COMPUTED_VALUE"""),"T119")</f>
        <v>T119</v>
      </c>
      <c r="C112" t="str">
        <f ca="1">IFERROR(__xludf.DUMMYFUNCTION("""COMPUTED_VALUE"""),"Vincent Whaley")</f>
        <v>Vincent Whaley</v>
      </c>
      <c r="D112">
        <f ca="1">IFERROR(__xludf.DUMMYFUNCTION("""COMPUTED_VALUE"""),14)</f>
        <v>14</v>
      </c>
      <c r="E112">
        <f ca="1">IFERROR(__xludf.DUMMYFUNCTION("""COMPUTED_VALUE"""),67.86)</f>
        <v>67.86</v>
      </c>
      <c r="F112">
        <f ca="1">IFERROR(__xludf.DUMMYFUNCTION("""COMPUTED_VALUE"""),171)</f>
        <v>171</v>
      </c>
      <c r="G112">
        <f ca="1">IFERROR(__xludf.DUMMYFUNCTION("""COMPUTED_VALUE"""),252)</f>
        <v>252</v>
      </c>
      <c r="H112">
        <f ca="1">IFERROR(__xludf.DUMMYFUNCTION("""COMPUTED_VALUE"""),-0.25)</f>
        <v>-0.25</v>
      </c>
    </row>
    <row r="113" spans="1:8" ht="12.75">
      <c r="A113" t="str">
        <f ca="1">IFERROR(__xludf.DUMMYFUNCTION("""COMPUTED_VALUE"""),"T112")</f>
        <v>T112</v>
      </c>
      <c r="B113" t="str">
        <f ca="1">IFERROR(__xludf.DUMMYFUNCTION("""COMPUTED_VALUE"""),"T62")</f>
        <v>T62</v>
      </c>
      <c r="C113" t="str">
        <f ca="1">IFERROR(__xludf.DUMMYFUNCTION("""COMPUTED_VALUE"""),"Tony Finau")</f>
        <v>Tony Finau</v>
      </c>
      <c r="D113">
        <f ca="1">IFERROR(__xludf.DUMMYFUNCTION("""COMPUTED_VALUE"""),12)</f>
        <v>12</v>
      </c>
      <c r="E113">
        <f ca="1">IFERROR(__xludf.DUMMYFUNCTION("""COMPUTED_VALUE"""),67.59)</f>
        <v>67.59</v>
      </c>
      <c r="F113">
        <f ca="1">IFERROR(__xludf.DUMMYFUNCTION("""COMPUTED_VALUE"""),146)</f>
        <v>146</v>
      </c>
      <c r="G113">
        <f ca="1">IFERROR(__xludf.DUMMYFUNCTION("""COMPUTED_VALUE"""),216)</f>
        <v>216</v>
      </c>
      <c r="H113">
        <f ca="1">IFERROR(__xludf.DUMMYFUNCTION("""COMPUTED_VALUE"""),-0.34)</f>
        <v>-0.34</v>
      </c>
    </row>
    <row r="114" spans="1:8" ht="12.75">
      <c r="A114" t="str">
        <f ca="1">IFERROR(__xludf.DUMMYFUNCTION("""COMPUTED_VALUE"""),"T112")</f>
        <v>T112</v>
      </c>
      <c r="B114" t="str">
        <f ca="1">IFERROR(__xludf.DUMMYFUNCTION("""COMPUTED_VALUE"""),"T122")</f>
        <v>T122</v>
      </c>
      <c r="C114" t="str">
        <f ca="1">IFERROR(__xludf.DUMMYFUNCTION("""COMPUTED_VALUE"""),"Zack Sucher")</f>
        <v>Zack Sucher</v>
      </c>
      <c r="D114">
        <f ca="1">IFERROR(__xludf.DUMMYFUNCTION("""COMPUTED_VALUE"""),6)</f>
        <v>6</v>
      </c>
      <c r="E114">
        <f ca="1">IFERROR(__xludf.DUMMYFUNCTION("""COMPUTED_VALUE"""),67.59)</f>
        <v>67.59</v>
      </c>
      <c r="F114">
        <f ca="1">IFERROR(__xludf.DUMMYFUNCTION("""COMPUTED_VALUE"""),73)</f>
        <v>73</v>
      </c>
      <c r="G114">
        <f ca="1">IFERROR(__xludf.DUMMYFUNCTION("""COMPUTED_VALUE"""),108)</f>
        <v>108</v>
      </c>
      <c r="H114">
        <f ca="1">IFERROR(__xludf.DUMMYFUNCTION("""COMPUTED_VALUE"""),-0.22)</f>
        <v>-0.22</v>
      </c>
    </row>
    <row r="115" spans="1:8" ht="12.75">
      <c r="A115" t="str">
        <f ca="1">IFERROR(__xludf.DUMMYFUNCTION("""COMPUTED_VALUE"""),"T114")</f>
        <v>T114</v>
      </c>
      <c r="B115" t="str">
        <f ca="1">IFERROR(__xludf.DUMMYFUNCTION("""COMPUTED_VALUE"""),"T78")</f>
        <v>T78</v>
      </c>
      <c r="C115" t="str">
        <f ca="1">IFERROR(__xludf.DUMMYFUNCTION("""COMPUTED_VALUE"""),"Scott Stallings")</f>
        <v>Scott Stallings</v>
      </c>
      <c r="D115">
        <f ca="1">IFERROR(__xludf.DUMMYFUNCTION("""COMPUTED_VALUE"""),14)</f>
        <v>14</v>
      </c>
      <c r="E115">
        <f ca="1">IFERROR(__xludf.DUMMYFUNCTION("""COMPUTED_VALUE"""),67.46)</f>
        <v>67.459999999999994</v>
      </c>
      <c r="F115">
        <f ca="1">IFERROR(__xludf.DUMMYFUNCTION("""COMPUTED_VALUE"""),170)</f>
        <v>170</v>
      </c>
      <c r="G115">
        <f ca="1">IFERROR(__xludf.DUMMYFUNCTION("""COMPUTED_VALUE"""),252)</f>
        <v>252</v>
      </c>
      <c r="H115">
        <f ca="1">IFERROR(__xludf.DUMMYFUNCTION("""COMPUTED_VALUE"""),-0.24)</f>
        <v>-0.24</v>
      </c>
    </row>
    <row r="116" spans="1:8" ht="12.75">
      <c r="A116" t="str">
        <f ca="1">IFERROR(__xludf.DUMMYFUNCTION("""COMPUTED_VALUE"""),"T114")</f>
        <v>T114</v>
      </c>
      <c r="B116" t="str">
        <f ca="1">IFERROR(__xludf.DUMMYFUNCTION("""COMPUTED_VALUE"""),"T125")</f>
        <v>T125</v>
      </c>
      <c r="C116" t="str">
        <f ca="1">IFERROR(__xludf.DUMMYFUNCTION("""COMPUTED_VALUE"""),"Rickie Fowler")</f>
        <v>Rickie Fowler</v>
      </c>
      <c r="D116">
        <f ca="1">IFERROR(__xludf.DUMMYFUNCTION("""COMPUTED_VALUE"""),14)</f>
        <v>14</v>
      </c>
      <c r="E116">
        <f ca="1">IFERROR(__xludf.DUMMYFUNCTION("""COMPUTED_VALUE"""),67.46)</f>
        <v>67.459999999999994</v>
      </c>
      <c r="F116">
        <f ca="1">IFERROR(__xludf.DUMMYFUNCTION("""COMPUTED_VALUE"""),170)</f>
        <v>170</v>
      </c>
      <c r="G116">
        <f ca="1">IFERROR(__xludf.DUMMYFUNCTION("""COMPUTED_VALUE"""),252)</f>
        <v>252</v>
      </c>
      <c r="H116">
        <f ca="1">IFERROR(__xludf.DUMMYFUNCTION("""COMPUTED_VALUE"""),-0.31)</f>
        <v>-0.31</v>
      </c>
    </row>
    <row r="117" spans="1:8" ht="12.75">
      <c r="A117" t="str">
        <f ca="1">IFERROR(__xludf.DUMMYFUNCTION("""COMPUTED_VALUE"""),"T116")</f>
        <v>T116</v>
      </c>
      <c r="B117" t="str">
        <f ca="1">IFERROR(__xludf.DUMMYFUNCTION("""COMPUTED_VALUE"""),"T128")</f>
        <v>T128</v>
      </c>
      <c r="C117" t="str">
        <f ca="1">IFERROR(__xludf.DUMMYFUNCTION("""COMPUTED_VALUE"""),"Aaron Baddeley")</f>
        <v>Aaron Baddeley</v>
      </c>
      <c r="D117">
        <f ca="1">IFERROR(__xludf.DUMMYFUNCTION("""COMPUTED_VALUE"""),8)</f>
        <v>8</v>
      </c>
      <c r="E117">
        <f ca="1">IFERROR(__xludf.DUMMYFUNCTION("""COMPUTED_VALUE"""),67.36)</f>
        <v>67.36</v>
      </c>
      <c r="F117">
        <f ca="1">IFERROR(__xludf.DUMMYFUNCTION("""COMPUTED_VALUE"""),97)</f>
        <v>97</v>
      </c>
      <c r="G117">
        <f ca="1">IFERROR(__xludf.DUMMYFUNCTION("""COMPUTED_VALUE"""),144)</f>
        <v>144</v>
      </c>
      <c r="H117">
        <f ca="1">IFERROR(__xludf.DUMMYFUNCTION("""COMPUTED_VALUE"""),-0.24)</f>
        <v>-0.24</v>
      </c>
    </row>
    <row r="118" spans="1:8" ht="12.75">
      <c r="A118" t="str">
        <f ca="1">IFERROR(__xludf.DUMMYFUNCTION("""COMPUTED_VALUE"""),"T116")</f>
        <v>T116</v>
      </c>
      <c r="B118" t="str">
        <f ca="1">IFERROR(__xludf.DUMMYFUNCTION("""COMPUTED_VALUE"""),"T119")</f>
        <v>T119</v>
      </c>
      <c r="C118" t="str">
        <f ca="1">IFERROR(__xludf.DUMMYFUNCTION("""COMPUTED_VALUE"""),"Dylan Frittelli")</f>
        <v>Dylan Frittelli</v>
      </c>
      <c r="D118">
        <f ca="1">IFERROR(__xludf.DUMMYFUNCTION("""COMPUTED_VALUE"""),16)</f>
        <v>16</v>
      </c>
      <c r="E118">
        <f ca="1">IFERROR(__xludf.DUMMYFUNCTION("""COMPUTED_VALUE"""),67.36)</f>
        <v>67.36</v>
      </c>
      <c r="F118">
        <f ca="1">IFERROR(__xludf.DUMMYFUNCTION("""COMPUTED_VALUE"""),194)</f>
        <v>194</v>
      </c>
      <c r="G118">
        <f ca="1">IFERROR(__xludf.DUMMYFUNCTION("""COMPUTED_VALUE"""),288)</f>
        <v>288</v>
      </c>
      <c r="H118">
        <f ca="1">IFERROR(__xludf.DUMMYFUNCTION("""COMPUTED_VALUE"""),-0.29)</f>
        <v>-0.28999999999999998</v>
      </c>
    </row>
    <row r="119" spans="1:8" ht="12.75">
      <c r="A119" t="str">
        <f ca="1">IFERROR(__xludf.DUMMYFUNCTION("""COMPUTED_VALUE"""),"T116")</f>
        <v>T116</v>
      </c>
      <c r="B119" t="str">
        <f ca="1">IFERROR(__xludf.DUMMYFUNCTION("""COMPUTED_VALUE"""),"T78")</f>
        <v>T78</v>
      </c>
      <c r="C119" t="str">
        <f ca="1">IFERROR(__xludf.DUMMYFUNCTION("""COMPUTED_VALUE"""),"Kevin Chappell")</f>
        <v>Kevin Chappell</v>
      </c>
      <c r="D119">
        <f ca="1">IFERROR(__xludf.DUMMYFUNCTION("""COMPUTED_VALUE"""),16)</f>
        <v>16</v>
      </c>
      <c r="E119">
        <f ca="1">IFERROR(__xludf.DUMMYFUNCTION("""COMPUTED_VALUE"""),67.36)</f>
        <v>67.36</v>
      </c>
      <c r="F119">
        <f ca="1">IFERROR(__xludf.DUMMYFUNCTION("""COMPUTED_VALUE"""),194)</f>
        <v>194</v>
      </c>
      <c r="G119">
        <f ca="1">IFERROR(__xludf.DUMMYFUNCTION("""COMPUTED_VALUE"""),288)</f>
        <v>288</v>
      </c>
      <c r="H119">
        <f ca="1">IFERROR(__xludf.DUMMYFUNCTION("""COMPUTED_VALUE"""),-0.28)</f>
        <v>-0.28000000000000003</v>
      </c>
    </row>
    <row r="120" spans="1:8" ht="12.75">
      <c r="A120" t="str">
        <f ca="1">IFERROR(__xludf.DUMMYFUNCTION("""COMPUTED_VALUE"""),"T116")</f>
        <v>T116</v>
      </c>
      <c r="B120" t="str">
        <f ca="1">IFERROR(__xludf.DUMMYFUNCTION("""COMPUTED_VALUE"""),"T128")</f>
        <v>T128</v>
      </c>
      <c r="C120" t="str">
        <f ca="1">IFERROR(__xludf.DUMMYFUNCTION("""COMPUTED_VALUE"""),"Nelson Ledesma")</f>
        <v>Nelson Ledesma</v>
      </c>
      <c r="D120">
        <f ca="1">IFERROR(__xludf.DUMMYFUNCTION("""COMPUTED_VALUE"""),8)</f>
        <v>8</v>
      </c>
      <c r="E120">
        <f ca="1">IFERROR(__xludf.DUMMYFUNCTION("""COMPUTED_VALUE"""),67.36)</f>
        <v>67.36</v>
      </c>
      <c r="F120">
        <f ca="1">IFERROR(__xludf.DUMMYFUNCTION("""COMPUTED_VALUE"""),97)</f>
        <v>97</v>
      </c>
      <c r="G120">
        <f ca="1">IFERROR(__xludf.DUMMYFUNCTION("""COMPUTED_VALUE"""),144)</f>
        <v>144</v>
      </c>
      <c r="H120">
        <f ca="1">IFERROR(__xludf.DUMMYFUNCTION("""COMPUTED_VALUE"""),-0.3)</f>
        <v>-0.3</v>
      </c>
    </row>
    <row r="121" spans="1:8" ht="12.75">
      <c r="A121" t="str">
        <f ca="1">IFERROR(__xludf.DUMMYFUNCTION("""COMPUTED_VALUE"""),"T116")</f>
        <v>T116</v>
      </c>
      <c r="B121" t="str">
        <f ca="1">IFERROR(__xludf.DUMMYFUNCTION("""COMPUTED_VALUE"""),"T128")</f>
        <v>T128</v>
      </c>
      <c r="C121" t="str">
        <f ca="1">IFERROR(__xludf.DUMMYFUNCTION("""COMPUTED_VALUE"""),"Cameron Smith")</f>
        <v>Cameron Smith</v>
      </c>
      <c r="D121">
        <f ca="1">IFERROR(__xludf.DUMMYFUNCTION("""COMPUTED_VALUE"""),16)</f>
        <v>16</v>
      </c>
      <c r="E121">
        <f ca="1">IFERROR(__xludf.DUMMYFUNCTION("""COMPUTED_VALUE"""),67.36)</f>
        <v>67.36</v>
      </c>
      <c r="F121">
        <f ca="1">IFERROR(__xludf.DUMMYFUNCTION("""COMPUTED_VALUE"""),194)</f>
        <v>194</v>
      </c>
      <c r="G121">
        <f ca="1">IFERROR(__xludf.DUMMYFUNCTION("""COMPUTED_VALUE"""),288)</f>
        <v>288</v>
      </c>
      <c r="H121">
        <f ca="1">IFERROR(__xludf.DUMMYFUNCTION("""COMPUTED_VALUE"""),-0.38)</f>
        <v>-0.38</v>
      </c>
    </row>
    <row r="122" spans="1:8" ht="12.75">
      <c r="A122" t="str">
        <f ca="1">IFERROR(__xludf.DUMMYFUNCTION("""COMPUTED_VALUE"""),"T116")</f>
        <v>T116</v>
      </c>
      <c r="B122" t="str">
        <f ca="1">IFERROR(__xludf.DUMMYFUNCTION("""COMPUTED_VALUE"""),"T84")</f>
        <v>T84</v>
      </c>
      <c r="C122" t="str">
        <f ca="1">IFERROR(__xludf.DUMMYFUNCTION("""COMPUTED_VALUE"""),"Cameron Davis")</f>
        <v>Cameron Davis</v>
      </c>
      <c r="D122">
        <f ca="1">IFERROR(__xludf.DUMMYFUNCTION("""COMPUTED_VALUE"""),16)</f>
        <v>16</v>
      </c>
      <c r="E122">
        <f ca="1">IFERROR(__xludf.DUMMYFUNCTION("""COMPUTED_VALUE"""),67.36)</f>
        <v>67.36</v>
      </c>
      <c r="F122">
        <f ca="1">IFERROR(__xludf.DUMMYFUNCTION("""COMPUTED_VALUE"""),194)</f>
        <v>194</v>
      </c>
      <c r="G122">
        <f ca="1">IFERROR(__xludf.DUMMYFUNCTION("""COMPUTED_VALUE"""),288)</f>
        <v>288</v>
      </c>
      <c r="H122">
        <f ca="1">IFERROR(__xludf.DUMMYFUNCTION("""COMPUTED_VALUE"""),-0.35)</f>
        <v>-0.35</v>
      </c>
    </row>
    <row r="123" spans="1:8" ht="12.75">
      <c r="A123" t="str">
        <f ca="1">IFERROR(__xludf.DUMMYFUNCTION("""COMPUTED_VALUE"""),"T116")</f>
        <v>T116</v>
      </c>
      <c r="B123" t="str">
        <f ca="1">IFERROR(__xludf.DUMMYFUNCTION("""COMPUTED_VALUE"""),"T128")</f>
        <v>T128</v>
      </c>
      <c r="C123" t="str">
        <f ca="1">IFERROR(__xludf.DUMMYFUNCTION("""COMPUTED_VALUE"""),"Abraham Ancer")</f>
        <v>Abraham Ancer</v>
      </c>
      <c r="D123">
        <f ca="1">IFERROR(__xludf.DUMMYFUNCTION("""COMPUTED_VALUE"""),16)</f>
        <v>16</v>
      </c>
      <c r="E123">
        <f ca="1">IFERROR(__xludf.DUMMYFUNCTION("""COMPUTED_VALUE"""),67.36)</f>
        <v>67.36</v>
      </c>
      <c r="F123">
        <f ca="1">IFERROR(__xludf.DUMMYFUNCTION("""COMPUTED_VALUE"""),194)</f>
        <v>194</v>
      </c>
      <c r="G123">
        <f ca="1">IFERROR(__xludf.DUMMYFUNCTION("""COMPUTED_VALUE"""),288)</f>
        <v>288</v>
      </c>
      <c r="H123">
        <f ca="1">IFERROR(__xludf.DUMMYFUNCTION("""COMPUTED_VALUE"""),-0.32)</f>
        <v>-0.32</v>
      </c>
    </row>
    <row r="124" spans="1:8" ht="12.75">
      <c r="A124" t="str">
        <f ca="1">IFERROR(__xludf.DUMMYFUNCTION("""COMPUTED_VALUE"""),"T116")</f>
        <v>T116</v>
      </c>
      <c r="B124">
        <f ca="1">IFERROR(__xludf.DUMMYFUNCTION("""COMPUTED_VALUE"""),157)</f>
        <v>157</v>
      </c>
      <c r="C124" t="str">
        <f ca="1">IFERROR(__xludf.DUMMYFUNCTION("""COMPUTED_VALUE"""),"Maverick McNealy")</f>
        <v>Maverick McNealy</v>
      </c>
      <c r="D124">
        <f ca="1">IFERROR(__xludf.DUMMYFUNCTION("""COMPUTED_VALUE"""),16)</f>
        <v>16</v>
      </c>
      <c r="E124">
        <f ca="1">IFERROR(__xludf.DUMMYFUNCTION("""COMPUTED_VALUE"""),67.36)</f>
        <v>67.36</v>
      </c>
      <c r="F124">
        <f ca="1">IFERROR(__xludf.DUMMYFUNCTION("""COMPUTED_VALUE"""),194)</f>
        <v>194</v>
      </c>
      <c r="G124">
        <f ca="1">IFERROR(__xludf.DUMMYFUNCTION("""COMPUTED_VALUE"""),288)</f>
        <v>288</v>
      </c>
      <c r="H124">
        <f ca="1">IFERROR(__xludf.DUMMYFUNCTION("""COMPUTED_VALUE"""),-0.31)</f>
        <v>-0.31</v>
      </c>
    </row>
    <row r="125" spans="1:8" ht="12.75">
      <c r="A125">
        <f ca="1">IFERROR(__xludf.DUMMYFUNCTION("""COMPUTED_VALUE"""),124)</f>
        <v>124</v>
      </c>
      <c r="B125">
        <f ca="1">IFERROR(__xludf.DUMMYFUNCTION("""COMPUTED_VALUE"""),112)</f>
        <v>112</v>
      </c>
      <c r="C125" t="str">
        <f ca="1">IFERROR(__xludf.DUMMYFUNCTION("""COMPUTED_VALUE"""),"J.T. Poston")</f>
        <v>J.T. Poston</v>
      </c>
      <c r="D125">
        <f ca="1">IFERROR(__xludf.DUMMYFUNCTION("""COMPUTED_VALUE"""),18)</f>
        <v>18</v>
      </c>
      <c r="E125">
        <f ca="1">IFERROR(__xludf.DUMMYFUNCTION("""COMPUTED_VALUE"""),67.28)</f>
        <v>67.28</v>
      </c>
      <c r="F125">
        <f ca="1">IFERROR(__xludf.DUMMYFUNCTION("""COMPUTED_VALUE"""),218)</f>
        <v>218</v>
      </c>
      <c r="G125">
        <f ca="1">IFERROR(__xludf.DUMMYFUNCTION("""COMPUTED_VALUE"""),324)</f>
        <v>324</v>
      </c>
      <c r="H125">
        <f ca="1">IFERROR(__xludf.DUMMYFUNCTION("""COMPUTED_VALUE"""),-0.31)</f>
        <v>-0.31</v>
      </c>
    </row>
    <row r="126" spans="1:8" ht="12.75">
      <c r="A126">
        <f ca="1">IFERROR(__xludf.DUMMYFUNCTION("""COMPUTED_VALUE"""),125)</f>
        <v>125</v>
      </c>
      <c r="B126" t="str">
        <f ca="1">IFERROR(__xludf.DUMMYFUNCTION("""COMPUTED_VALUE"""),"T66")</f>
        <v>T66</v>
      </c>
      <c r="C126" t="str">
        <f ca="1">IFERROR(__xludf.DUMMYFUNCTION("""COMPUTED_VALUE"""),"Sam Ryder")</f>
        <v>Sam Ryder</v>
      </c>
      <c r="D126">
        <f ca="1">IFERROR(__xludf.DUMMYFUNCTION("""COMPUTED_VALUE"""),12)</f>
        <v>12</v>
      </c>
      <c r="E126">
        <f ca="1">IFERROR(__xludf.DUMMYFUNCTION("""COMPUTED_VALUE"""),67.13)</f>
        <v>67.13</v>
      </c>
      <c r="F126">
        <f ca="1">IFERROR(__xludf.DUMMYFUNCTION("""COMPUTED_VALUE"""),145)</f>
        <v>145</v>
      </c>
      <c r="G126">
        <f ca="1">IFERROR(__xludf.DUMMYFUNCTION("""COMPUTED_VALUE"""),216)</f>
        <v>216</v>
      </c>
      <c r="H126">
        <f ca="1">IFERROR(__xludf.DUMMYFUNCTION("""COMPUTED_VALUE"""),-0.26)</f>
        <v>-0.26</v>
      </c>
    </row>
    <row r="127" spans="1:8" ht="12.75">
      <c r="A127" t="str">
        <f ca="1">IFERROR(__xludf.DUMMYFUNCTION("""COMPUTED_VALUE"""),"T126")</f>
        <v>T126</v>
      </c>
      <c r="B127" t="str">
        <f ca="1">IFERROR(__xludf.DUMMYFUNCTION("""COMPUTED_VALUE"""),"T184")</f>
        <v>T184</v>
      </c>
      <c r="C127" t="str">
        <f ca="1">IFERROR(__xludf.DUMMYFUNCTION("""COMPUTED_VALUE"""),"Shane Lowry")</f>
        <v>Shane Lowry</v>
      </c>
      <c r="D127">
        <f ca="1">IFERROR(__xludf.DUMMYFUNCTION("""COMPUTED_VALUE"""),14)</f>
        <v>14</v>
      </c>
      <c r="E127">
        <f ca="1">IFERROR(__xludf.DUMMYFUNCTION("""COMPUTED_VALUE"""),67.06)</f>
        <v>67.06</v>
      </c>
      <c r="F127">
        <f ca="1">IFERROR(__xludf.DUMMYFUNCTION("""COMPUTED_VALUE"""),169)</f>
        <v>169</v>
      </c>
      <c r="G127">
        <f ca="1">IFERROR(__xludf.DUMMYFUNCTION("""COMPUTED_VALUE"""),252)</f>
        <v>252</v>
      </c>
      <c r="H127">
        <f ca="1">IFERROR(__xludf.DUMMYFUNCTION("""COMPUTED_VALUE"""),-0.28)</f>
        <v>-0.28000000000000003</v>
      </c>
    </row>
    <row r="128" spans="1:8" ht="12.75">
      <c r="A128" t="str">
        <f ca="1">IFERROR(__xludf.DUMMYFUNCTION("""COMPUTED_VALUE"""),"T126")</f>
        <v>T126</v>
      </c>
      <c r="B128">
        <f ca="1">IFERROR(__xludf.DUMMYFUNCTION("""COMPUTED_VALUE"""),135)</f>
        <v>135</v>
      </c>
      <c r="C128" t="str">
        <f ca="1">IFERROR(__xludf.DUMMYFUNCTION("""COMPUTED_VALUE"""),"Hank Lebioda")</f>
        <v>Hank Lebioda</v>
      </c>
      <c r="D128">
        <f ca="1">IFERROR(__xludf.DUMMYFUNCTION("""COMPUTED_VALUE"""),14)</f>
        <v>14</v>
      </c>
      <c r="E128">
        <f ca="1">IFERROR(__xludf.DUMMYFUNCTION("""COMPUTED_VALUE"""),67.06)</f>
        <v>67.06</v>
      </c>
      <c r="F128">
        <f ca="1">IFERROR(__xludf.DUMMYFUNCTION("""COMPUTED_VALUE"""),169)</f>
        <v>169</v>
      </c>
      <c r="G128">
        <f ca="1">IFERROR(__xludf.DUMMYFUNCTION("""COMPUTED_VALUE"""),252)</f>
        <v>252</v>
      </c>
      <c r="H128">
        <f ca="1">IFERROR(__xludf.DUMMYFUNCTION("""COMPUTED_VALUE"""),-0.27)</f>
        <v>-0.27</v>
      </c>
    </row>
    <row r="129" spans="1:8" ht="12.75">
      <c r="A129">
        <f ca="1">IFERROR(__xludf.DUMMYFUNCTION("""COMPUTED_VALUE"""),128)</f>
        <v>128</v>
      </c>
      <c r="B129" t="str">
        <f ca="1">IFERROR(__xludf.DUMMYFUNCTION("""COMPUTED_VALUE"""),"T136")</f>
        <v>T136</v>
      </c>
      <c r="C129" t="str">
        <f ca="1">IFERROR(__xludf.DUMMYFUNCTION("""COMPUTED_VALUE"""),"Kyle Stanley")</f>
        <v>Kyle Stanley</v>
      </c>
      <c r="D129">
        <f ca="1">IFERROR(__xludf.DUMMYFUNCTION("""COMPUTED_VALUE"""),16)</f>
        <v>16</v>
      </c>
      <c r="E129">
        <f ca="1">IFERROR(__xludf.DUMMYFUNCTION("""COMPUTED_VALUE"""),67.01)</f>
        <v>67.010000000000005</v>
      </c>
      <c r="F129">
        <f ca="1">IFERROR(__xludf.DUMMYFUNCTION("""COMPUTED_VALUE"""),193)</f>
        <v>193</v>
      </c>
      <c r="G129">
        <f ca="1">IFERROR(__xludf.DUMMYFUNCTION("""COMPUTED_VALUE"""),288)</f>
        <v>288</v>
      </c>
      <c r="H129">
        <f ca="1">IFERROR(__xludf.DUMMYFUNCTION("""COMPUTED_VALUE"""),-0.27)</f>
        <v>-0.27</v>
      </c>
    </row>
    <row r="130" spans="1:8" ht="12.75">
      <c r="A130">
        <f ca="1">IFERROR(__xludf.DUMMYFUNCTION("""COMPUTED_VALUE"""),129)</f>
        <v>129</v>
      </c>
      <c r="B130" t="str">
        <f ca="1">IFERROR(__xludf.DUMMYFUNCTION("""COMPUTED_VALUE"""),"T138")</f>
        <v>T138</v>
      </c>
      <c r="C130" t="str">
        <f ca="1">IFERROR(__xludf.DUMMYFUNCTION("""COMPUTED_VALUE"""),"Lanto Griffin")</f>
        <v>Lanto Griffin</v>
      </c>
      <c r="D130">
        <f ca="1">IFERROR(__xludf.DUMMYFUNCTION("""COMPUTED_VALUE"""),18)</f>
        <v>18</v>
      </c>
      <c r="E130">
        <f ca="1">IFERROR(__xludf.DUMMYFUNCTION("""COMPUTED_VALUE"""),66.98)</f>
        <v>66.98</v>
      </c>
      <c r="F130">
        <f ca="1">IFERROR(__xludf.DUMMYFUNCTION("""COMPUTED_VALUE"""),217)</f>
        <v>217</v>
      </c>
      <c r="G130">
        <f ca="1">IFERROR(__xludf.DUMMYFUNCTION("""COMPUTED_VALUE"""),324)</f>
        <v>324</v>
      </c>
      <c r="H130">
        <f ca="1">IFERROR(__xludf.DUMMYFUNCTION("""COMPUTED_VALUE"""),-0.31)</f>
        <v>-0.31</v>
      </c>
    </row>
    <row r="131" spans="1:8" ht="12.75">
      <c r="A131">
        <f ca="1">IFERROR(__xludf.DUMMYFUNCTION("""COMPUTED_VALUE"""),130)</f>
        <v>130</v>
      </c>
      <c r="B131" t="str">
        <f ca="1">IFERROR(__xludf.DUMMYFUNCTION("""COMPUTED_VALUE"""),"T159")</f>
        <v>T159</v>
      </c>
      <c r="C131" t="str">
        <f ca="1">IFERROR(__xludf.DUMMYFUNCTION("""COMPUTED_VALUE"""),"Charley Hoffman")</f>
        <v>Charley Hoffman</v>
      </c>
      <c r="D131">
        <f ca="1">IFERROR(__xludf.DUMMYFUNCTION("""COMPUTED_VALUE"""),20)</f>
        <v>20</v>
      </c>
      <c r="E131">
        <f ca="1">IFERROR(__xludf.DUMMYFUNCTION("""COMPUTED_VALUE"""),66.94)</f>
        <v>66.94</v>
      </c>
      <c r="F131">
        <f ca="1">IFERROR(__xludf.DUMMYFUNCTION("""COMPUTED_VALUE"""),241)</f>
        <v>241</v>
      </c>
      <c r="G131">
        <f ca="1">IFERROR(__xludf.DUMMYFUNCTION("""COMPUTED_VALUE"""),360)</f>
        <v>360</v>
      </c>
      <c r="H131">
        <f ca="1">IFERROR(__xludf.DUMMYFUNCTION("""COMPUTED_VALUE"""),-0.29)</f>
        <v>-0.28999999999999998</v>
      </c>
    </row>
    <row r="132" spans="1:8" ht="12.75">
      <c r="A132" t="str">
        <f ca="1">IFERROR(__xludf.DUMMYFUNCTION("""COMPUTED_VALUE"""),"T131")</f>
        <v>T131</v>
      </c>
      <c r="B132" t="str">
        <f ca="1">IFERROR(__xludf.DUMMYFUNCTION("""COMPUTED_VALUE"""),"T138")</f>
        <v>T138</v>
      </c>
      <c r="C132" t="str">
        <f ca="1">IFERROR(__xludf.DUMMYFUNCTION("""COMPUTED_VALUE"""),"Brian Gay")</f>
        <v>Brian Gay</v>
      </c>
      <c r="D132">
        <f ca="1">IFERROR(__xludf.DUMMYFUNCTION("""COMPUTED_VALUE"""),8)</f>
        <v>8</v>
      </c>
      <c r="E132">
        <f ca="1">IFERROR(__xludf.DUMMYFUNCTION("""COMPUTED_VALUE"""),66.67)</f>
        <v>66.67</v>
      </c>
      <c r="F132">
        <f ca="1">IFERROR(__xludf.DUMMYFUNCTION("""COMPUTED_VALUE"""),96)</f>
        <v>96</v>
      </c>
      <c r="G132">
        <f ca="1">IFERROR(__xludf.DUMMYFUNCTION("""COMPUTED_VALUE"""),144)</f>
        <v>144</v>
      </c>
      <c r="H132">
        <f ca="1">IFERROR(__xludf.DUMMYFUNCTION("""COMPUTED_VALUE"""),-0.34)</f>
        <v>-0.34</v>
      </c>
    </row>
    <row r="133" spans="1:8" ht="12.75">
      <c r="A133" t="str">
        <f ca="1">IFERROR(__xludf.DUMMYFUNCTION("""COMPUTED_VALUE"""),"T131")</f>
        <v>T131</v>
      </c>
      <c r="B133" t="str">
        <f ca="1">IFERROR(__xludf.DUMMYFUNCTION("""COMPUTED_VALUE"""),"T106")</f>
        <v>T106</v>
      </c>
      <c r="C133" t="str">
        <f ca="1">IFERROR(__xludf.DUMMYFUNCTION("""COMPUTED_VALUE"""),"Luke Donald")</f>
        <v>Luke Donald</v>
      </c>
      <c r="D133">
        <f ca="1">IFERROR(__xludf.DUMMYFUNCTION("""COMPUTED_VALUE"""),14)</f>
        <v>14</v>
      </c>
      <c r="E133">
        <f ca="1">IFERROR(__xludf.DUMMYFUNCTION("""COMPUTED_VALUE"""),66.67)</f>
        <v>66.67</v>
      </c>
      <c r="F133">
        <f ca="1">IFERROR(__xludf.DUMMYFUNCTION("""COMPUTED_VALUE"""),168)</f>
        <v>168</v>
      </c>
      <c r="G133">
        <f ca="1">IFERROR(__xludf.DUMMYFUNCTION("""COMPUTED_VALUE"""),252)</f>
        <v>252</v>
      </c>
      <c r="H133">
        <f ca="1">IFERROR(__xludf.DUMMYFUNCTION("""COMPUTED_VALUE"""),-0.23)</f>
        <v>-0.23</v>
      </c>
    </row>
    <row r="134" spans="1:8" ht="12.75">
      <c r="A134" t="str">
        <f ca="1">IFERROR(__xludf.DUMMYFUNCTION("""COMPUTED_VALUE"""),"T131")</f>
        <v>T131</v>
      </c>
      <c r="B134" t="str">
        <f ca="1">IFERROR(__xludf.DUMMYFUNCTION("""COMPUTED_VALUE"""),"T138")</f>
        <v>T138</v>
      </c>
      <c r="C134" t="str">
        <f ca="1">IFERROR(__xludf.DUMMYFUNCTION("""COMPUTED_VALUE"""),"Robert Garrigus")</f>
        <v>Robert Garrigus</v>
      </c>
      <c r="D134">
        <f ca="1">IFERROR(__xludf.DUMMYFUNCTION("""COMPUTED_VALUE"""),3)</f>
        <v>3</v>
      </c>
      <c r="E134">
        <f ca="1">IFERROR(__xludf.DUMMYFUNCTION("""COMPUTED_VALUE"""),66.67)</f>
        <v>66.67</v>
      </c>
      <c r="F134">
        <f ca="1">IFERROR(__xludf.DUMMYFUNCTION("""COMPUTED_VALUE"""),36)</f>
        <v>36</v>
      </c>
      <c r="G134">
        <f ca="1">IFERROR(__xludf.DUMMYFUNCTION("""COMPUTED_VALUE"""),54)</f>
        <v>54</v>
      </c>
      <c r="H134">
        <f ca="1">IFERROR(__xludf.DUMMYFUNCTION("""COMPUTED_VALUE"""),-0.17)</f>
        <v>-0.17</v>
      </c>
    </row>
    <row r="135" spans="1:8" ht="12.75">
      <c r="A135" t="str">
        <f ca="1">IFERROR(__xludf.DUMMYFUNCTION("""COMPUTED_VALUE"""),"T131")</f>
        <v>T131</v>
      </c>
      <c r="B135" t="str">
        <f ca="1">IFERROR(__xludf.DUMMYFUNCTION("""COMPUTED_VALUE"""),"T138")</f>
        <v>T138</v>
      </c>
      <c r="C135" t="str">
        <f ca="1">IFERROR(__xludf.DUMMYFUNCTION("""COMPUTED_VALUE"""),"Shaun Norris")</f>
        <v>Shaun Norris</v>
      </c>
      <c r="D135">
        <f ca="1">IFERROR(__xludf.DUMMYFUNCTION("""COMPUTED_VALUE"""),6)</f>
        <v>6</v>
      </c>
      <c r="E135">
        <f ca="1">IFERROR(__xludf.DUMMYFUNCTION("""COMPUTED_VALUE"""),66.67)</f>
        <v>66.67</v>
      </c>
      <c r="F135">
        <f ca="1">IFERROR(__xludf.DUMMYFUNCTION("""COMPUTED_VALUE"""),72)</f>
        <v>72</v>
      </c>
      <c r="G135">
        <f ca="1">IFERROR(__xludf.DUMMYFUNCTION("""COMPUTED_VALUE"""),108)</f>
        <v>108</v>
      </c>
      <c r="H135">
        <f ca="1">IFERROR(__xludf.DUMMYFUNCTION("""COMPUTED_VALUE"""),-0.36)</f>
        <v>-0.36</v>
      </c>
    </row>
    <row r="136" spans="1:8" ht="12.75">
      <c r="A136" t="str">
        <f ca="1">IFERROR(__xludf.DUMMYFUNCTION("""COMPUTED_VALUE"""),"T131")</f>
        <v>T131</v>
      </c>
      <c r="B136">
        <f ca="1">IFERROR(__xludf.DUMMYFUNCTION("""COMPUTED_VALUE"""),153)</f>
        <v>153</v>
      </c>
      <c r="C136" t="str">
        <f ca="1">IFERROR(__xludf.DUMMYFUNCTION("""COMPUTED_VALUE"""),"Brian Harman")</f>
        <v>Brian Harman</v>
      </c>
      <c r="D136">
        <f ca="1">IFERROR(__xludf.DUMMYFUNCTION("""COMPUTED_VALUE"""),24)</f>
        <v>24</v>
      </c>
      <c r="E136">
        <f ca="1">IFERROR(__xludf.DUMMYFUNCTION("""COMPUTED_VALUE"""),66.67)</f>
        <v>66.67</v>
      </c>
      <c r="F136">
        <f ca="1">IFERROR(__xludf.DUMMYFUNCTION("""COMPUTED_VALUE"""),288)</f>
        <v>288</v>
      </c>
      <c r="G136">
        <f ca="1">IFERROR(__xludf.DUMMYFUNCTION("""COMPUTED_VALUE"""),432)</f>
        <v>432</v>
      </c>
      <c r="H136">
        <f ca="1">IFERROR(__xludf.DUMMYFUNCTION("""COMPUTED_VALUE"""),-0.3)</f>
        <v>-0.3</v>
      </c>
    </row>
    <row r="137" spans="1:8" ht="12.75">
      <c r="A137" t="str">
        <f ca="1">IFERROR(__xludf.DUMMYFUNCTION("""COMPUTED_VALUE"""),"T131")</f>
        <v>T131</v>
      </c>
      <c r="B137" t="str">
        <f ca="1">IFERROR(__xludf.DUMMYFUNCTION("""COMPUTED_VALUE"""),"T138")</f>
        <v>T138</v>
      </c>
      <c r="C137" t="str">
        <f ca="1">IFERROR(__xludf.DUMMYFUNCTION("""COMPUTED_VALUE"""),"Rob Oppenheim")</f>
        <v>Rob Oppenheim</v>
      </c>
      <c r="D137">
        <f ca="1">IFERROR(__xludf.DUMMYFUNCTION("""COMPUTED_VALUE"""),16)</f>
        <v>16</v>
      </c>
      <c r="E137">
        <f ca="1">IFERROR(__xludf.DUMMYFUNCTION("""COMPUTED_VALUE"""),66.67)</f>
        <v>66.67</v>
      </c>
      <c r="F137">
        <f ca="1">IFERROR(__xludf.DUMMYFUNCTION("""COMPUTED_VALUE"""),192)</f>
        <v>192</v>
      </c>
      <c r="G137">
        <f ca="1">IFERROR(__xludf.DUMMYFUNCTION("""COMPUTED_VALUE"""),288)</f>
        <v>288</v>
      </c>
      <c r="H137">
        <f ca="1">IFERROR(__xludf.DUMMYFUNCTION("""COMPUTED_VALUE"""),-0.32)</f>
        <v>-0.32</v>
      </c>
    </row>
    <row r="138" spans="1:8" ht="12.75">
      <c r="A138" t="str">
        <f ca="1">IFERROR(__xludf.DUMMYFUNCTION("""COMPUTED_VALUE"""),"T131")</f>
        <v>T131</v>
      </c>
      <c r="B138" t="str">
        <f ca="1">IFERROR(__xludf.DUMMYFUNCTION("""COMPUTED_VALUE"""),"T138")</f>
        <v>T138</v>
      </c>
      <c r="C138" t="str">
        <f ca="1">IFERROR(__xludf.DUMMYFUNCTION("""COMPUTED_VALUE"""),"Ryan Blaum")</f>
        <v>Ryan Blaum</v>
      </c>
      <c r="D138">
        <f ca="1">IFERROR(__xludf.DUMMYFUNCTION("""COMPUTED_VALUE"""),8)</f>
        <v>8</v>
      </c>
      <c r="E138">
        <f ca="1">IFERROR(__xludf.DUMMYFUNCTION("""COMPUTED_VALUE"""),66.67)</f>
        <v>66.67</v>
      </c>
      <c r="F138">
        <f ca="1">IFERROR(__xludf.DUMMYFUNCTION("""COMPUTED_VALUE"""),96)</f>
        <v>96</v>
      </c>
      <c r="G138">
        <f ca="1">IFERROR(__xludf.DUMMYFUNCTION("""COMPUTED_VALUE"""),144)</f>
        <v>144</v>
      </c>
      <c r="H138">
        <f ca="1">IFERROR(__xludf.DUMMYFUNCTION("""COMPUTED_VALUE"""),-0.27)</f>
        <v>-0.27</v>
      </c>
    </row>
    <row r="139" spans="1:8" ht="12.75">
      <c r="A139" t="str">
        <f ca="1">IFERROR(__xludf.DUMMYFUNCTION("""COMPUTED_VALUE"""),"T131")</f>
        <v>T131</v>
      </c>
      <c r="B139" t="str">
        <f ca="1">IFERROR(__xludf.DUMMYFUNCTION("""COMPUTED_VALUE"""),"T138")</f>
        <v>T138</v>
      </c>
      <c r="C139" t="str">
        <f ca="1">IFERROR(__xludf.DUMMYFUNCTION("""COMPUTED_VALUE"""),"Chris Stroud")</f>
        <v>Chris Stroud</v>
      </c>
      <c r="D139">
        <f ca="1">IFERROR(__xludf.DUMMYFUNCTION("""COMPUTED_VALUE"""),6)</f>
        <v>6</v>
      </c>
      <c r="E139">
        <f ca="1">IFERROR(__xludf.DUMMYFUNCTION("""COMPUTED_VALUE"""),66.67)</f>
        <v>66.67</v>
      </c>
      <c r="F139">
        <f ca="1">IFERROR(__xludf.DUMMYFUNCTION("""COMPUTED_VALUE"""),72)</f>
        <v>72</v>
      </c>
      <c r="G139">
        <f ca="1">IFERROR(__xludf.DUMMYFUNCTION("""COMPUTED_VALUE"""),108)</f>
        <v>108</v>
      </c>
      <c r="H139">
        <f ca="1">IFERROR(__xludf.DUMMYFUNCTION("""COMPUTED_VALUE"""),-0.17)</f>
        <v>-0.17</v>
      </c>
    </row>
    <row r="140" spans="1:8" ht="12.75">
      <c r="A140" t="str">
        <f ca="1">IFERROR(__xludf.DUMMYFUNCTION("""COMPUTED_VALUE"""),"T131")</f>
        <v>T131</v>
      </c>
      <c r="B140" t="str">
        <f ca="1">IFERROR(__xludf.DUMMYFUNCTION("""COMPUTED_VALUE"""),"T122")</f>
        <v>T122</v>
      </c>
      <c r="C140" t="str">
        <f ca="1">IFERROR(__xludf.DUMMYFUNCTION("""COMPUTED_VALUE"""),"Chris Kirk")</f>
        <v>Chris Kirk</v>
      </c>
      <c r="D140">
        <f ca="1">IFERROR(__xludf.DUMMYFUNCTION("""COMPUTED_VALUE"""),10)</f>
        <v>10</v>
      </c>
      <c r="E140">
        <f ca="1">IFERROR(__xludf.DUMMYFUNCTION("""COMPUTED_VALUE"""),66.67)</f>
        <v>66.67</v>
      </c>
      <c r="F140">
        <f ca="1">IFERROR(__xludf.DUMMYFUNCTION("""COMPUTED_VALUE"""),120)</f>
        <v>120</v>
      </c>
      <c r="G140">
        <f ca="1">IFERROR(__xludf.DUMMYFUNCTION("""COMPUTED_VALUE"""),180)</f>
        <v>180</v>
      </c>
      <c r="H140">
        <f ca="1">IFERROR(__xludf.DUMMYFUNCTION("""COMPUTED_VALUE"""),-0.25)</f>
        <v>-0.25</v>
      </c>
    </row>
    <row r="141" spans="1:8" ht="12.75">
      <c r="A141" t="str">
        <f ca="1">IFERROR(__xludf.DUMMYFUNCTION("""COMPUTED_VALUE"""),"T131")</f>
        <v>T131</v>
      </c>
      <c r="B141">
        <f ca="1">IFERROR(__xludf.DUMMYFUNCTION("""COMPUTED_VALUE"""),163)</f>
        <v>163</v>
      </c>
      <c r="C141" t="str">
        <f ca="1">IFERROR(__xludf.DUMMYFUNCTION("""COMPUTED_VALUE"""),"Hideki Matsuyama")</f>
        <v>Hideki Matsuyama</v>
      </c>
      <c r="D141">
        <f ca="1">IFERROR(__xludf.DUMMYFUNCTION("""COMPUTED_VALUE"""),18)</f>
        <v>18</v>
      </c>
      <c r="E141">
        <f ca="1">IFERROR(__xludf.DUMMYFUNCTION("""COMPUTED_VALUE"""),66.67)</f>
        <v>66.67</v>
      </c>
      <c r="F141">
        <f ca="1">IFERROR(__xludf.DUMMYFUNCTION("""COMPUTED_VALUE"""),216)</f>
        <v>216</v>
      </c>
      <c r="G141">
        <f ca="1">IFERROR(__xludf.DUMMYFUNCTION("""COMPUTED_VALUE"""),324)</f>
        <v>324</v>
      </c>
      <c r="H141">
        <f ca="1">IFERROR(__xludf.DUMMYFUNCTION("""COMPUTED_VALUE"""),-0.31)</f>
        <v>-0.31</v>
      </c>
    </row>
    <row r="142" spans="1:8" ht="12.75">
      <c r="A142" t="str">
        <f ca="1">IFERROR(__xludf.DUMMYFUNCTION("""COMPUTED_VALUE"""),"T131")</f>
        <v>T131</v>
      </c>
      <c r="B142" t="str">
        <f ca="1">IFERROR(__xludf.DUMMYFUNCTION("""COMPUTED_VALUE"""),"T138")</f>
        <v>T138</v>
      </c>
      <c r="C142" t="str">
        <f ca="1">IFERROR(__xludf.DUMMYFUNCTION("""COMPUTED_VALUE"""),"Byeong Hun An")</f>
        <v>Byeong Hun An</v>
      </c>
      <c r="D142">
        <f ca="1">IFERROR(__xludf.DUMMYFUNCTION("""COMPUTED_VALUE"""),14)</f>
        <v>14</v>
      </c>
      <c r="E142">
        <f ca="1">IFERROR(__xludf.DUMMYFUNCTION("""COMPUTED_VALUE"""),66.67)</f>
        <v>66.67</v>
      </c>
      <c r="F142">
        <f ca="1">IFERROR(__xludf.DUMMYFUNCTION("""COMPUTED_VALUE"""),168)</f>
        <v>168</v>
      </c>
      <c r="G142">
        <f ca="1">IFERROR(__xludf.DUMMYFUNCTION("""COMPUTED_VALUE"""),252)</f>
        <v>252</v>
      </c>
      <c r="H142">
        <f ca="1">IFERROR(__xludf.DUMMYFUNCTION("""COMPUTED_VALUE"""),-0.24)</f>
        <v>-0.24</v>
      </c>
    </row>
    <row r="143" spans="1:8" ht="12.75">
      <c r="A143" t="str">
        <f ca="1">IFERROR(__xludf.DUMMYFUNCTION("""COMPUTED_VALUE"""),"T131")</f>
        <v>T131</v>
      </c>
      <c r="B143" t="str">
        <f ca="1">IFERROR(__xludf.DUMMYFUNCTION("""COMPUTED_VALUE"""),"T138")</f>
        <v>T138</v>
      </c>
      <c r="C143" t="str">
        <f ca="1">IFERROR(__xludf.DUMMYFUNCTION("""COMPUTED_VALUE"""),"Chesson Hadley")</f>
        <v>Chesson Hadley</v>
      </c>
      <c r="D143">
        <f ca="1">IFERROR(__xludf.DUMMYFUNCTION("""COMPUTED_VALUE"""),16)</f>
        <v>16</v>
      </c>
      <c r="E143">
        <f ca="1">IFERROR(__xludf.DUMMYFUNCTION("""COMPUTED_VALUE"""),66.67)</f>
        <v>66.67</v>
      </c>
      <c r="F143">
        <f ca="1">IFERROR(__xludf.DUMMYFUNCTION("""COMPUTED_VALUE"""),192)</f>
        <v>192</v>
      </c>
      <c r="G143">
        <f ca="1">IFERROR(__xludf.DUMMYFUNCTION("""COMPUTED_VALUE"""),288)</f>
        <v>288</v>
      </c>
      <c r="H143">
        <f ca="1">IFERROR(__xludf.DUMMYFUNCTION("""COMPUTED_VALUE"""),-0.27)</f>
        <v>-0.27</v>
      </c>
    </row>
    <row r="144" spans="1:8" ht="12.75">
      <c r="A144" t="str">
        <f ca="1">IFERROR(__xludf.DUMMYFUNCTION("""COMPUTED_VALUE"""),"T131")</f>
        <v>T131</v>
      </c>
      <c r="B144" t="str">
        <f ca="1">IFERROR(__xludf.DUMMYFUNCTION("""COMPUTED_VALUE"""),"T138")</f>
        <v>T138</v>
      </c>
      <c r="C144" t="str">
        <f ca="1">IFERROR(__xludf.DUMMYFUNCTION("""COMPUTED_VALUE"""),"Brooks Koepka")</f>
        <v>Brooks Koepka</v>
      </c>
      <c r="D144">
        <f ca="1">IFERROR(__xludf.DUMMYFUNCTION("""COMPUTED_VALUE"""),8)</f>
        <v>8</v>
      </c>
      <c r="E144">
        <f ca="1">IFERROR(__xludf.DUMMYFUNCTION("""COMPUTED_VALUE"""),66.67)</f>
        <v>66.67</v>
      </c>
      <c r="F144">
        <f ca="1">IFERROR(__xludf.DUMMYFUNCTION("""COMPUTED_VALUE"""),96)</f>
        <v>96</v>
      </c>
      <c r="G144">
        <f ca="1">IFERROR(__xludf.DUMMYFUNCTION("""COMPUTED_VALUE"""),144)</f>
        <v>144</v>
      </c>
      <c r="H144">
        <f ca="1">IFERROR(__xludf.DUMMYFUNCTION("""COMPUTED_VALUE"""),-0.35)</f>
        <v>-0.35</v>
      </c>
    </row>
    <row r="145" spans="1:8" ht="12.75">
      <c r="A145" t="str">
        <f ca="1">IFERROR(__xludf.DUMMYFUNCTION("""COMPUTED_VALUE"""),"T131")</f>
        <v>T131</v>
      </c>
      <c r="B145" t="str">
        <f ca="1">IFERROR(__xludf.DUMMYFUNCTION("""COMPUTED_VALUE"""),"T138")</f>
        <v>T138</v>
      </c>
      <c r="C145" t="str">
        <f ca="1">IFERROR(__xludf.DUMMYFUNCTION("""COMPUTED_VALUE"""),"Hanbyeol Kim")</f>
        <v>Hanbyeol Kim</v>
      </c>
      <c r="D145">
        <f ca="1">IFERROR(__xludf.DUMMYFUNCTION("""COMPUTED_VALUE"""),4)</f>
        <v>4</v>
      </c>
      <c r="E145">
        <f ca="1">IFERROR(__xludf.DUMMYFUNCTION("""COMPUTED_VALUE"""),66.67)</f>
        <v>66.67</v>
      </c>
      <c r="F145">
        <f ca="1">IFERROR(__xludf.DUMMYFUNCTION("""COMPUTED_VALUE"""),48)</f>
        <v>48</v>
      </c>
      <c r="G145">
        <f ca="1">IFERROR(__xludf.DUMMYFUNCTION("""COMPUTED_VALUE"""),72)</f>
        <v>72</v>
      </c>
      <c r="H145">
        <f ca="1">IFERROR(__xludf.DUMMYFUNCTION("""COMPUTED_VALUE"""),-0.35)</f>
        <v>-0.35</v>
      </c>
    </row>
    <row r="146" spans="1:8" ht="12.75">
      <c r="A146">
        <f ca="1">IFERROR(__xludf.DUMMYFUNCTION("""COMPUTED_VALUE"""),145)</f>
        <v>145</v>
      </c>
      <c r="B146">
        <f ca="1">IFERROR(__xludf.DUMMYFUNCTION("""COMPUTED_VALUE"""),105)</f>
        <v>105</v>
      </c>
      <c r="C146" t="str">
        <f ca="1">IFERROR(__xludf.DUMMYFUNCTION("""COMPUTED_VALUE"""),"Beau Hossler")</f>
        <v>Beau Hossler</v>
      </c>
      <c r="D146">
        <f ca="1">IFERROR(__xludf.DUMMYFUNCTION("""COMPUTED_VALUE"""),22)</f>
        <v>22</v>
      </c>
      <c r="E146">
        <f ca="1">IFERROR(__xludf.DUMMYFUNCTION("""COMPUTED_VALUE"""),66.41)</f>
        <v>66.41</v>
      </c>
      <c r="F146">
        <f ca="1">IFERROR(__xludf.DUMMYFUNCTION("""COMPUTED_VALUE"""),263)</f>
        <v>263</v>
      </c>
      <c r="G146">
        <f ca="1">IFERROR(__xludf.DUMMYFUNCTION("""COMPUTED_VALUE"""),396)</f>
        <v>396</v>
      </c>
      <c r="H146">
        <f ca="1">IFERROR(__xludf.DUMMYFUNCTION("""COMPUTED_VALUE"""),-0.33)</f>
        <v>-0.33</v>
      </c>
    </row>
    <row r="147" spans="1:8" ht="12.75">
      <c r="A147">
        <f ca="1">IFERROR(__xludf.DUMMYFUNCTION("""COMPUTED_VALUE"""),146)</f>
        <v>146</v>
      </c>
      <c r="B147">
        <f ca="1">IFERROR(__xludf.DUMMYFUNCTION("""COMPUTED_VALUE"""),154)</f>
        <v>154</v>
      </c>
      <c r="C147" t="str">
        <f ca="1">IFERROR(__xludf.DUMMYFUNCTION("""COMPUTED_VALUE"""),"Anirban Lahiri")</f>
        <v>Anirban Lahiri</v>
      </c>
      <c r="D147">
        <f ca="1">IFERROR(__xludf.DUMMYFUNCTION("""COMPUTED_VALUE"""),16)</f>
        <v>16</v>
      </c>
      <c r="E147">
        <f ca="1">IFERROR(__xludf.DUMMYFUNCTION("""COMPUTED_VALUE"""),66.32)</f>
        <v>66.319999999999993</v>
      </c>
      <c r="F147">
        <f ca="1">IFERROR(__xludf.DUMMYFUNCTION("""COMPUTED_VALUE"""),191)</f>
        <v>191</v>
      </c>
      <c r="G147">
        <f ca="1">IFERROR(__xludf.DUMMYFUNCTION("""COMPUTED_VALUE"""),288)</f>
        <v>288</v>
      </c>
      <c r="H147">
        <f ca="1">IFERROR(__xludf.DUMMYFUNCTION("""COMPUTED_VALUE"""),-0.38)</f>
        <v>-0.38</v>
      </c>
    </row>
    <row r="148" spans="1:8" ht="12.75">
      <c r="A148">
        <f ca="1">IFERROR(__xludf.DUMMYFUNCTION("""COMPUTED_VALUE"""),147)</f>
        <v>147</v>
      </c>
      <c r="B148" t="str">
        <f ca="1">IFERROR(__xludf.DUMMYFUNCTION("""COMPUTED_VALUE"""),"T84")</f>
        <v>T84</v>
      </c>
      <c r="C148" t="str">
        <f ca="1">IFERROR(__xludf.DUMMYFUNCTION("""COMPUTED_VALUE"""),"Jason Dufner")</f>
        <v>Jason Dufner</v>
      </c>
      <c r="D148">
        <f ca="1">IFERROR(__xludf.DUMMYFUNCTION("""COMPUTED_VALUE"""),14)</f>
        <v>14</v>
      </c>
      <c r="E148">
        <f ca="1">IFERROR(__xludf.DUMMYFUNCTION("""COMPUTED_VALUE"""),66.27)</f>
        <v>66.27</v>
      </c>
      <c r="F148">
        <f ca="1">IFERROR(__xludf.DUMMYFUNCTION("""COMPUTED_VALUE"""),167)</f>
        <v>167</v>
      </c>
      <c r="G148">
        <f ca="1">IFERROR(__xludf.DUMMYFUNCTION("""COMPUTED_VALUE"""),252)</f>
        <v>252</v>
      </c>
      <c r="H148">
        <f ca="1">IFERROR(__xludf.DUMMYFUNCTION("""COMPUTED_VALUE"""),-0.27)</f>
        <v>-0.27</v>
      </c>
    </row>
    <row r="149" spans="1:8" ht="12.75">
      <c r="A149">
        <f ca="1">IFERROR(__xludf.DUMMYFUNCTION("""COMPUTED_VALUE"""),148)</f>
        <v>148</v>
      </c>
      <c r="B149" t="str">
        <f ca="1">IFERROR(__xludf.DUMMYFUNCTION("""COMPUTED_VALUE"""),"T97")</f>
        <v>T97</v>
      </c>
      <c r="C149" t="str">
        <f ca="1">IFERROR(__xludf.DUMMYFUNCTION("""COMPUTED_VALUE"""),"Lucas Glover")</f>
        <v>Lucas Glover</v>
      </c>
      <c r="D149">
        <f ca="1">IFERROR(__xludf.DUMMYFUNCTION("""COMPUTED_VALUE"""),12)</f>
        <v>12</v>
      </c>
      <c r="E149">
        <f ca="1">IFERROR(__xludf.DUMMYFUNCTION("""COMPUTED_VALUE"""),66.2)</f>
        <v>66.2</v>
      </c>
      <c r="F149">
        <f ca="1">IFERROR(__xludf.DUMMYFUNCTION("""COMPUTED_VALUE"""),143)</f>
        <v>143</v>
      </c>
      <c r="G149">
        <f ca="1">IFERROR(__xludf.DUMMYFUNCTION("""COMPUTED_VALUE"""),216)</f>
        <v>216</v>
      </c>
      <c r="H149">
        <f ca="1">IFERROR(__xludf.DUMMYFUNCTION("""COMPUTED_VALUE"""),-0.21)</f>
        <v>-0.21</v>
      </c>
    </row>
    <row r="150" spans="1:8" ht="12.75">
      <c r="A150" t="str">
        <f ca="1">IFERROR(__xludf.DUMMYFUNCTION("""COMPUTED_VALUE"""),"T149")</f>
        <v>T149</v>
      </c>
      <c r="B150" t="str">
        <f ca="1">IFERROR(__xludf.DUMMYFUNCTION("""COMPUTED_VALUE"""),"T136")</f>
        <v>T136</v>
      </c>
      <c r="C150" t="str">
        <f ca="1">IFERROR(__xludf.DUMMYFUNCTION("""COMPUTED_VALUE"""),"C.T. Pan")</f>
        <v>C.T. Pan</v>
      </c>
      <c r="D150">
        <f ca="1">IFERROR(__xludf.DUMMYFUNCTION("""COMPUTED_VALUE"""),20)</f>
        <v>20</v>
      </c>
      <c r="E150">
        <f ca="1">IFERROR(__xludf.DUMMYFUNCTION("""COMPUTED_VALUE"""),66.11)</f>
        <v>66.11</v>
      </c>
      <c r="F150">
        <f ca="1">IFERROR(__xludf.DUMMYFUNCTION("""COMPUTED_VALUE"""),238)</f>
        <v>238</v>
      </c>
      <c r="G150">
        <f ca="1">IFERROR(__xludf.DUMMYFUNCTION("""COMPUTED_VALUE"""),360)</f>
        <v>360</v>
      </c>
      <c r="H150">
        <f ca="1">IFERROR(__xludf.DUMMYFUNCTION("""COMPUTED_VALUE"""),-0.3)</f>
        <v>-0.3</v>
      </c>
    </row>
    <row r="151" spans="1:8" ht="12.75">
      <c r="A151" t="str">
        <f ca="1">IFERROR(__xludf.DUMMYFUNCTION("""COMPUTED_VALUE"""),"T149")</f>
        <v>T149</v>
      </c>
      <c r="B151">
        <f ca="1">IFERROR(__xludf.DUMMYFUNCTION("""COMPUTED_VALUE"""),134)</f>
        <v>134</v>
      </c>
      <c r="C151" t="str">
        <f ca="1">IFERROR(__xludf.DUMMYFUNCTION("""COMPUTED_VALUE"""),"Si Woo Kim")</f>
        <v>Si Woo Kim</v>
      </c>
      <c r="D151">
        <f ca="1">IFERROR(__xludf.DUMMYFUNCTION("""COMPUTED_VALUE"""),20)</f>
        <v>20</v>
      </c>
      <c r="E151">
        <f ca="1">IFERROR(__xludf.DUMMYFUNCTION("""COMPUTED_VALUE"""),66.11)</f>
        <v>66.11</v>
      </c>
      <c r="F151">
        <f ca="1">IFERROR(__xludf.DUMMYFUNCTION("""COMPUTED_VALUE"""),238)</f>
        <v>238</v>
      </c>
      <c r="G151">
        <f ca="1">IFERROR(__xludf.DUMMYFUNCTION("""COMPUTED_VALUE"""),360)</f>
        <v>360</v>
      </c>
      <c r="H151">
        <f ca="1">IFERROR(__xludf.DUMMYFUNCTION("""COMPUTED_VALUE"""),-0.32)</f>
        <v>-0.32</v>
      </c>
    </row>
    <row r="152" spans="1:8" ht="12.75">
      <c r="A152" t="str">
        <f ca="1">IFERROR(__xludf.DUMMYFUNCTION("""COMPUTED_VALUE"""),"T149")</f>
        <v>T149</v>
      </c>
      <c r="B152">
        <f ca="1">IFERROR(__xludf.DUMMYFUNCTION("""COMPUTED_VALUE"""),158)</f>
        <v>158</v>
      </c>
      <c r="C152" t="str">
        <f ca="1">IFERROR(__xludf.DUMMYFUNCTION("""COMPUTED_VALUE"""),"Sebastián Muñoz")</f>
        <v>Sebastián Muñoz</v>
      </c>
      <c r="D152">
        <f ca="1">IFERROR(__xludf.DUMMYFUNCTION("""COMPUTED_VALUE"""),20)</f>
        <v>20</v>
      </c>
      <c r="E152">
        <f ca="1">IFERROR(__xludf.DUMMYFUNCTION("""COMPUTED_VALUE"""),66.11)</f>
        <v>66.11</v>
      </c>
      <c r="F152">
        <f ca="1">IFERROR(__xludf.DUMMYFUNCTION("""COMPUTED_VALUE"""),238)</f>
        <v>238</v>
      </c>
      <c r="G152">
        <f ca="1">IFERROR(__xludf.DUMMYFUNCTION("""COMPUTED_VALUE"""),360)</f>
        <v>360</v>
      </c>
      <c r="H152">
        <f ca="1">IFERROR(__xludf.DUMMYFUNCTION("""COMPUTED_VALUE"""),-0.34)</f>
        <v>-0.34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IFERROR(__xludf.DUMMYFUNCTION("""COMPUTED_VALUE"""),"T159")</f>
        <v>T159</v>
      </c>
      <c r="C153" t="str">
        <f ca="1">IFERROR(__xludf.DUMMYFUNCTION("""COMPUTED_VALUE"""),"George McNeill")</f>
        <v>George McNeill</v>
      </c>
      <c r="D153">
        <f ca="1">IFERROR(__xludf.DUMMYFUNCTION("""COMPUTED_VALUE"""),8)</f>
        <v>8</v>
      </c>
      <c r="E153">
        <f ca="1">IFERROR(__xludf.DUMMYFUNCTION("""COMPUTED_VALUE"""),65.97)</f>
        <v>65.97</v>
      </c>
      <c r="F153">
        <f ca="1">IFERROR(__xludf.DUMMYFUNCTION("""COMPUTED_VALUE"""),95)</f>
        <v>95</v>
      </c>
      <c r="G153">
        <f ca="1">IFERROR(__xludf.DUMMYFUNCTION("""COMPUTED_VALUE"""),144)</f>
        <v>144</v>
      </c>
      <c r="H153">
        <f ca="1">IFERROR(__xludf.DUMMYFUNCTION("""COMPUTED_VALUE"""),-0.26)</f>
        <v>-0.26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IFERROR(__xludf.DUMMYFUNCTION("""COMPUTED_VALUE"""),"T159")</f>
        <v>T159</v>
      </c>
      <c r="C154" t="str">
        <f ca="1">IFERROR(__xludf.DUMMYFUNCTION("""COMPUTED_VALUE"""),"Chris Baker")</f>
        <v>Chris Baker</v>
      </c>
      <c r="D154">
        <f ca="1">IFERROR(__xludf.DUMMYFUNCTION("""COMPUTED_VALUE"""),8)</f>
        <v>8</v>
      </c>
      <c r="E154">
        <f ca="1">IFERROR(__xludf.DUMMYFUNCTION("""COMPUTED_VALUE"""),65.97)</f>
        <v>65.97</v>
      </c>
      <c r="F154">
        <f ca="1">IFERROR(__xludf.DUMMYFUNCTION("""COMPUTED_VALUE"""),95)</f>
        <v>95</v>
      </c>
      <c r="G154">
        <f ca="1">IFERROR(__xludf.DUMMYFUNCTION("""COMPUTED_VALUE"""),144)</f>
        <v>144</v>
      </c>
      <c r="H154">
        <f ca="1">IFERROR(__xludf.DUMMYFUNCTION("""COMPUTED_VALUE"""),-0.17)</f>
        <v>-0.17</v>
      </c>
    </row>
    <row r="155" spans="1:8" ht="12.75">
      <c r="A155">
        <f ca="1">IFERROR(__xludf.DUMMYFUNCTION("""COMPUTED_VALUE"""),154)</f>
        <v>154</v>
      </c>
      <c r="B155" t="str">
        <f ca="1">IFERROR(__xludf.DUMMYFUNCTION("""COMPUTED_VALUE"""),"T169")</f>
        <v>T169</v>
      </c>
      <c r="C155" t="str">
        <f ca="1">IFERROR(__xludf.DUMMYFUNCTION("""COMPUTED_VALUE"""),"Matt Jones")</f>
        <v>Matt Jones</v>
      </c>
      <c r="D155">
        <f ca="1">IFERROR(__xludf.DUMMYFUNCTION("""COMPUTED_VALUE"""),20)</f>
        <v>20</v>
      </c>
      <c r="E155">
        <f ca="1">IFERROR(__xludf.DUMMYFUNCTION("""COMPUTED_VALUE"""),65.83)</f>
        <v>65.83</v>
      </c>
      <c r="F155">
        <f ca="1">IFERROR(__xludf.DUMMYFUNCTION("""COMPUTED_VALUE"""),237)</f>
        <v>237</v>
      </c>
      <c r="G155">
        <f ca="1">IFERROR(__xludf.DUMMYFUNCTION("""COMPUTED_VALUE"""),360)</f>
        <v>360</v>
      </c>
      <c r="H155">
        <f ca="1">IFERROR(__xludf.DUMMYFUNCTION("""COMPUTED_VALUE"""),-0.27)</f>
        <v>-0.27</v>
      </c>
    </row>
    <row r="156" spans="1:8" ht="12.75">
      <c r="A156" t="str">
        <f ca="1">IFERROR(__xludf.DUMMYFUNCTION("""COMPUTED_VALUE"""),"T155")</f>
        <v>T155</v>
      </c>
      <c r="B156" t="str">
        <f ca="1">IFERROR(__xludf.DUMMYFUNCTION("""COMPUTED_VALUE"""),"")</f>
        <v/>
      </c>
      <c r="C156" t="str">
        <f ca="1">IFERROR(__xludf.DUMMYFUNCTION("""COMPUTED_VALUE"""),"Francesco Molinari")</f>
        <v>Francesco Molinari</v>
      </c>
      <c r="D156">
        <f ca="1">IFERROR(__xludf.DUMMYFUNCTION("""COMPUTED_VALUE"""),6)</f>
        <v>6</v>
      </c>
      <c r="E156">
        <f ca="1">IFERROR(__xludf.DUMMYFUNCTION("""COMPUTED_VALUE"""),65.74)</f>
        <v>65.739999999999995</v>
      </c>
      <c r="F156">
        <f ca="1">IFERROR(__xludf.DUMMYFUNCTION("""COMPUTED_VALUE"""),71)</f>
        <v>71</v>
      </c>
      <c r="G156">
        <f ca="1">IFERROR(__xludf.DUMMYFUNCTION("""COMPUTED_VALUE"""),108)</f>
        <v>108</v>
      </c>
      <c r="H156">
        <f ca="1">IFERROR(__xludf.DUMMYFUNCTION("""COMPUTED_VALUE"""),-0.28)</f>
        <v>-0.28000000000000003</v>
      </c>
    </row>
    <row r="157" spans="1:8" ht="12.75">
      <c r="A157" t="str">
        <f ca="1">IFERROR(__xludf.DUMMYFUNCTION("""COMPUTED_VALUE"""),"T155")</f>
        <v>T155</v>
      </c>
      <c r="B157" t="str">
        <f ca="1">IFERROR(__xludf.DUMMYFUNCTION("""COMPUTED_VALUE"""),"T165")</f>
        <v>T165</v>
      </c>
      <c r="C157" t="str">
        <f ca="1">IFERROR(__xludf.DUMMYFUNCTION("""COMPUTED_VALUE"""),"Chan Kim")</f>
        <v>Chan Kim</v>
      </c>
      <c r="D157">
        <f ca="1">IFERROR(__xludf.DUMMYFUNCTION("""COMPUTED_VALUE"""),6)</f>
        <v>6</v>
      </c>
      <c r="E157">
        <f ca="1">IFERROR(__xludf.DUMMYFUNCTION("""COMPUTED_VALUE"""),65.74)</f>
        <v>65.739999999999995</v>
      </c>
      <c r="F157">
        <f ca="1">IFERROR(__xludf.DUMMYFUNCTION("""COMPUTED_VALUE"""),71)</f>
        <v>71</v>
      </c>
      <c r="G157">
        <f ca="1">IFERROR(__xludf.DUMMYFUNCTION("""COMPUTED_VALUE"""),108)</f>
        <v>108</v>
      </c>
      <c r="H157">
        <f ca="1">IFERROR(__xludf.DUMMYFUNCTION("""COMPUTED_VALUE"""),-0.24)</f>
        <v>-0.24</v>
      </c>
    </row>
    <row r="158" spans="1:8" ht="12.75">
      <c r="A158">
        <f ca="1">IFERROR(__xludf.DUMMYFUNCTION("""COMPUTED_VALUE"""),157)</f>
        <v>157</v>
      </c>
      <c r="B158">
        <f ca="1">IFERROR(__xludf.DUMMYFUNCTION("""COMPUTED_VALUE"""),205)</f>
        <v>205</v>
      </c>
      <c r="C158" t="str">
        <f ca="1">IFERROR(__xludf.DUMMYFUNCTION("""COMPUTED_VALUE"""),"Jason Day")</f>
        <v>Jason Day</v>
      </c>
      <c r="D158">
        <f ca="1">IFERROR(__xludf.DUMMYFUNCTION("""COMPUTED_VALUE"""),17)</f>
        <v>17</v>
      </c>
      <c r="E158">
        <f ca="1">IFERROR(__xludf.DUMMYFUNCTION("""COMPUTED_VALUE"""),65.69)</f>
        <v>65.69</v>
      </c>
      <c r="F158">
        <f ca="1">IFERROR(__xludf.DUMMYFUNCTION("""COMPUTED_VALUE"""),201)</f>
        <v>201</v>
      </c>
      <c r="G158">
        <f ca="1">IFERROR(__xludf.DUMMYFUNCTION("""COMPUTED_VALUE"""),306)</f>
        <v>306</v>
      </c>
      <c r="H158">
        <f ca="1">IFERROR(__xludf.DUMMYFUNCTION("""COMPUTED_VALUE"""),-0.28)</f>
        <v>-0.28000000000000003</v>
      </c>
    </row>
    <row r="159" spans="1:8" ht="12.75">
      <c r="A159">
        <f ca="1">IFERROR(__xludf.DUMMYFUNCTION("""COMPUTED_VALUE"""),158)</f>
        <v>158</v>
      </c>
      <c r="B159" t="str">
        <f ca="1">IFERROR(__xludf.DUMMYFUNCTION("""COMPUTED_VALUE"""),"T167")</f>
        <v>T167</v>
      </c>
      <c r="C159" t="str">
        <f ca="1">IFERROR(__xludf.DUMMYFUNCTION("""COMPUTED_VALUE"""),"Marc Leishman")</f>
        <v>Marc Leishman</v>
      </c>
      <c r="D159">
        <f ca="1">IFERROR(__xludf.DUMMYFUNCTION("""COMPUTED_VALUE"""),10)</f>
        <v>10</v>
      </c>
      <c r="E159">
        <f ca="1">IFERROR(__xludf.DUMMYFUNCTION("""COMPUTED_VALUE"""),65.56)</f>
        <v>65.56</v>
      </c>
      <c r="F159">
        <f ca="1">IFERROR(__xludf.DUMMYFUNCTION("""COMPUTED_VALUE"""),118)</f>
        <v>118</v>
      </c>
      <c r="G159">
        <f ca="1">IFERROR(__xludf.DUMMYFUNCTION("""COMPUTED_VALUE"""),180)</f>
        <v>180</v>
      </c>
      <c r="H159">
        <f ca="1">IFERROR(__xludf.DUMMYFUNCTION("""COMPUTED_VALUE"""),-0.24)</f>
        <v>-0.24</v>
      </c>
    </row>
    <row r="160" spans="1:8" ht="12.75">
      <c r="A160">
        <f ca="1">IFERROR(__xludf.DUMMYFUNCTION("""COMPUTED_VALUE"""),159)</f>
        <v>159</v>
      </c>
      <c r="B160" t="str">
        <f ca="1">IFERROR(__xludf.DUMMYFUNCTION("""COMPUTED_VALUE"""),"T169")</f>
        <v>T169</v>
      </c>
      <c r="C160" t="str">
        <f ca="1">IFERROR(__xludf.DUMMYFUNCTION("""COMPUTED_VALUE"""),"Graham DeLaet")</f>
        <v>Graham DeLaet</v>
      </c>
      <c r="D160">
        <f ca="1">IFERROR(__xludf.DUMMYFUNCTION("""COMPUTED_VALUE"""),9)</f>
        <v>9</v>
      </c>
      <c r="E160">
        <f ca="1">IFERROR(__xludf.DUMMYFUNCTION("""COMPUTED_VALUE"""),65.43)</f>
        <v>65.430000000000007</v>
      </c>
      <c r="F160">
        <f ca="1">IFERROR(__xludf.DUMMYFUNCTION("""COMPUTED_VALUE"""),106)</f>
        <v>106</v>
      </c>
      <c r="G160">
        <f ca="1">IFERROR(__xludf.DUMMYFUNCTION("""COMPUTED_VALUE"""),162)</f>
        <v>162</v>
      </c>
      <c r="H160">
        <f ca="1">IFERROR(__xludf.DUMMYFUNCTION("""COMPUTED_VALUE"""),-0.17)</f>
        <v>-0.17</v>
      </c>
    </row>
    <row r="161" spans="1:8" ht="12.75">
      <c r="A161" t="str">
        <f ca="1">IFERROR(__xludf.DUMMYFUNCTION("""COMPUTED_VALUE"""),"T160")</f>
        <v>T160</v>
      </c>
      <c r="B161" t="str">
        <f ca="1">IFERROR(__xludf.DUMMYFUNCTION("""COMPUTED_VALUE"""),"T169")</f>
        <v>T169</v>
      </c>
      <c r="C161" t="str">
        <f ca="1">IFERROR(__xludf.DUMMYFUNCTION("""COMPUTED_VALUE"""),"Brad Kennedy")</f>
        <v>Brad Kennedy</v>
      </c>
      <c r="D161">
        <f ca="1">IFERROR(__xludf.DUMMYFUNCTION("""COMPUTED_VALUE"""),4)</f>
        <v>4</v>
      </c>
      <c r="E161">
        <f ca="1">IFERROR(__xludf.DUMMYFUNCTION("""COMPUTED_VALUE"""),65.28)</f>
        <v>65.28</v>
      </c>
      <c r="F161">
        <f ca="1">IFERROR(__xludf.DUMMYFUNCTION("""COMPUTED_VALUE"""),47)</f>
        <v>47</v>
      </c>
      <c r="G161">
        <f ca="1">IFERROR(__xludf.DUMMYFUNCTION("""COMPUTED_VALUE"""),72)</f>
        <v>72</v>
      </c>
      <c r="H161">
        <f ca="1">IFERROR(__xludf.DUMMYFUNCTION("""COMPUTED_VALUE"""),-0.36)</f>
        <v>-0.36</v>
      </c>
    </row>
    <row r="162" spans="1:8" ht="12.75">
      <c r="A162" t="str">
        <f ca="1">IFERROR(__xludf.DUMMYFUNCTION("""COMPUTED_VALUE"""),"T160")</f>
        <v>T160</v>
      </c>
      <c r="B162" t="str">
        <f ca="1">IFERROR(__xludf.DUMMYFUNCTION("""COMPUTED_VALUE"""),"T169")</f>
        <v>T169</v>
      </c>
      <c r="C162" t="str">
        <f ca="1">IFERROR(__xludf.DUMMYFUNCTION("""COMPUTED_VALUE"""),"Tim Wilkinson")</f>
        <v>Tim Wilkinson</v>
      </c>
      <c r="D162">
        <f ca="1">IFERROR(__xludf.DUMMYFUNCTION("""COMPUTED_VALUE"""),12)</f>
        <v>12</v>
      </c>
      <c r="E162">
        <f ca="1">IFERROR(__xludf.DUMMYFUNCTION("""COMPUTED_VALUE"""),65.28)</f>
        <v>65.28</v>
      </c>
      <c r="F162">
        <f ca="1">IFERROR(__xludf.DUMMYFUNCTION("""COMPUTED_VALUE"""),141)</f>
        <v>141</v>
      </c>
      <c r="G162">
        <f ca="1">IFERROR(__xludf.DUMMYFUNCTION("""COMPUTED_VALUE"""),216)</f>
        <v>216</v>
      </c>
      <c r="H162">
        <f ca="1">IFERROR(__xludf.DUMMYFUNCTION("""COMPUTED_VALUE"""),-0.23)</f>
        <v>-0.23</v>
      </c>
    </row>
    <row r="163" spans="1:8" ht="12.75">
      <c r="A163" t="str">
        <f ca="1">IFERROR(__xludf.DUMMYFUNCTION("""COMPUTED_VALUE"""),"T160")</f>
        <v>T160</v>
      </c>
      <c r="B163" t="str">
        <f ca="1">IFERROR(__xludf.DUMMYFUNCTION("""COMPUTED_VALUE"""),"T169")</f>
        <v>T169</v>
      </c>
      <c r="C163" t="str">
        <f ca="1">IFERROR(__xludf.DUMMYFUNCTION("""COMPUTED_VALUE"""),"Johnson Wagner")</f>
        <v>Johnson Wagner</v>
      </c>
      <c r="D163">
        <f ca="1">IFERROR(__xludf.DUMMYFUNCTION("""COMPUTED_VALUE"""),8)</f>
        <v>8</v>
      </c>
      <c r="E163">
        <f ca="1">IFERROR(__xludf.DUMMYFUNCTION("""COMPUTED_VALUE"""),65.28)</f>
        <v>65.28</v>
      </c>
      <c r="F163">
        <f ca="1">IFERROR(__xludf.DUMMYFUNCTION("""COMPUTED_VALUE"""),94)</f>
        <v>94</v>
      </c>
      <c r="G163">
        <f ca="1">IFERROR(__xludf.DUMMYFUNCTION("""COMPUTED_VALUE"""),144)</f>
        <v>144</v>
      </c>
      <c r="H163">
        <f ca="1">IFERROR(__xludf.DUMMYFUNCTION("""COMPUTED_VALUE"""),-0.28)</f>
        <v>-0.28000000000000003</v>
      </c>
    </row>
    <row r="164" spans="1:8" ht="12.75">
      <c r="A164" t="str">
        <f ca="1">IFERROR(__xludf.DUMMYFUNCTION("""COMPUTED_VALUE"""),"T160")</f>
        <v>T160</v>
      </c>
      <c r="B164" t="str">
        <f ca="1">IFERROR(__xludf.DUMMYFUNCTION("""COMPUTED_VALUE"""),"")</f>
        <v/>
      </c>
      <c r="C164" t="str">
        <f ca="1">IFERROR(__xludf.DUMMYFUNCTION("""COMPUTED_VALUE"""),"Dawie van der Walt")</f>
        <v>Dawie van der Walt</v>
      </c>
      <c r="D164">
        <f ca="1">IFERROR(__xludf.DUMMYFUNCTION("""COMPUTED_VALUE"""),4)</f>
        <v>4</v>
      </c>
      <c r="E164">
        <f ca="1">IFERROR(__xludf.DUMMYFUNCTION("""COMPUTED_VALUE"""),65.28)</f>
        <v>65.28</v>
      </c>
      <c r="F164">
        <f ca="1">IFERROR(__xludf.DUMMYFUNCTION("""COMPUTED_VALUE"""),47)</f>
        <v>47</v>
      </c>
      <c r="G164">
        <f ca="1">IFERROR(__xludf.DUMMYFUNCTION("""COMPUTED_VALUE"""),72)</f>
        <v>72</v>
      </c>
      <c r="H164">
        <f ca="1">IFERROR(__xludf.DUMMYFUNCTION("""COMPUTED_VALUE"""),-0.32)</f>
        <v>-0.32</v>
      </c>
    </row>
    <row r="165" spans="1:8" ht="12.75">
      <c r="A165" t="str">
        <f ca="1">IFERROR(__xludf.DUMMYFUNCTION("""COMPUTED_VALUE"""),"T160")</f>
        <v>T160</v>
      </c>
      <c r="B165" t="str">
        <f ca="1">IFERROR(__xludf.DUMMYFUNCTION("""COMPUTED_VALUE"""),"T169")</f>
        <v>T169</v>
      </c>
      <c r="C165" t="str">
        <f ca="1">IFERROR(__xludf.DUMMYFUNCTION("""COMPUTED_VALUE"""),"Robert Streb")</f>
        <v>Robert Streb</v>
      </c>
      <c r="D165">
        <f ca="1">IFERROR(__xludf.DUMMYFUNCTION("""COMPUTED_VALUE"""),12)</f>
        <v>12</v>
      </c>
      <c r="E165">
        <f ca="1">IFERROR(__xludf.DUMMYFUNCTION("""COMPUTED_VALUE"""),65.28)</f>
        <v>65.28</v>
      </c>
      <c r="F165">
        <f ca="1">IFERROR(__xludf.DUMMYFUNCTION("""COMPUTED_VALUE"""),141)</f>
        <v>141</v>
      </c>
      <c r="G165">
        <f ca="1">IFERROR(__xludf.DUMMYFUNCTION("""COMPUTED_VALUE"""),216)</f>
        <v>216</v>
      </c>
      <c r="H165">
        <f ca="1">IFERROR(__xludf.DUMMYFUNCTION("""COMPUTED_VALUE"""),-0.29)</f>
        <v>-0.28999999999999998</v>
      </c>
    </row>
    <row r="166" spans="1:8" ht="12.75">
      <c r="A166" t="str">
        <f ca="1">IFERROR(__xludf.DUMMYFUNCTION("""COMPUTED_VALUE"""),"T165")</f>
        <v>T165</v>
      </c>
      <c r="B166" t="str">
        <f ca="1">IFERROR(__xludf.DUMMYFUNCTION("""COMPUTED_VALUE"""),"T176")</f>
        <v>T176</v>
      </c>
      <c r="C166" t="str">
        <f ca="1">IFERROR(__xludf.DUMMYFUNCTION("""COMPUTED_VALUE"""),"Kevin Na")</f>
        <v>Kevin Na</v>
      </c>
      <c r="D166">
        <f ca="1">IFERROR(__xludf.DUMMYFUNCTION("""COMPUTED_VALUE"""),14)</f>
        <v>14</v>
      </c>
      <c r="E166">
        <f ca="1">IFERROR(__xludf.DUMMYFUNCTION("""COMPUTED_VALUE"""),65.08)</f>
        <v>65.08</v>
      </c>
      <c r="F166">
        <f ca="1">IFERROR(__xludf.DUMMYFUNCTION("""COMPUTED_VALUE"""),164)</f>
        <v>164</v>
      </c>
      <c r="G166">
        <f ca="1">IFERROR(__xludf.DUMMYFUNCTION("""COMPUTED_VALUE"""),252)</f>
        <v>252</v>
      </c>
      <c r="H166">
        <f ca="1">IFERROR(__xludf.DUMMYFUNCTION("""COMPUTED_VALUE"""),-0.35)</f>
        <v>-0.35</v>
      </c>
    </row>
    <row r="167" spans="1:8" ht="12.75">
      <c r="A167" t="str">
        <f ca="1">IFERROR(__xludf.DUMMYFUNCTION("""COMPUTED_VALUE"""),"T165")</f>
        <v>T165</v>
      </c>
      <c r="B167" t="str">
        <f ca="1">IFERROR(__xludf.DUMMYFUNCTION("""COMPUTED_VALUE"""),"T122")</f>
        <v>T122</v>
      </c>
      <c r="C167" t="str">
        <f ca="1">IFERROR(__xludf.DUMMYFUNCTION("""COMPUTED_VALUE"""),"Keith Mitchell")</f>
        <v>Keith Mitchell</v>
      </c>
      <c r="D167">
        <f ca="1">IFERROR(__xludf.DUMMYFUNCTION("""COMPUTED_VALUE"""),14)</f>
        <v>14</v>
      </c>
      <c r="E167">
        <f ca="1">IFERROR(__xludf.DUMMYFUNCTION("""COMPUTED_VALUE"""),65.08)</f>
        <v>65.08</v>
      </c>
      <c r="F167">
        <f ca="1">IFERROR(__xludf.DUMMYFUNCTION("""COMPUTED_VALUE"""),164)</f>
        <v>164</v>
      </c>
      <c r="G167">
        <f ca="1">IFERROR(__xludf.DUMMYFUNCTION("""COMPUTED_VALUE"""),252)</f>
        <v>252</v>
      </c>
      <c r="H167">
        <f ca="1">IFERROR(__xludf.DUMMYFUNCTION("""COMPUTED_VALUE"""),-0.22)</f>
        <v>-0.22</v>
      </c>
    </row>
    <row r="168" spans="1:8" ht="12.75">
      <c r="A168">
        <f ca="1">IFERROR(__xludf.DUMMYFUNCTION("""COMPUTED_VALUE"""),167)</f>
        <v>167</v>
      </c>
      <c r="B168">
        <f ca="1">IFERROR(__xludf.DUMMYFUNCTION("""COMPUTED_VALUE"""),178)</f>
        <v>178</v>
      </c>
      <c r="C168" t="str">
        <f ca="1">IFERROR(__xludf.DUMMYFUNCTION("""COMPUTED_VALUE"""),"Kevin Kisner")</f>
        <v>Kevin Kisner</v>
      </c>
      <c r="D168">
        <f ca="1">IFERROR(__xludf.DUMMYFUNCTION("""COMPUTED_VALUE"""),10)</f>
        <v>10</v>
      </c>
      <c r="E168">
        <f ca="1">IFERROR(__xludf.DUMMYFUNCTION("""COMPUTED_VALUE"""),65)</f>
        <v>65</v>
      </c>
      <c r="F168">
        <f ca="1">IFERROR(__xludf.DUMMYFUNCTION("""COMPUTED_VALUE"""),117)</f>
        <v>117</v>
      </c>
      <c r="G168">
        <f ca="1">IFERROR(__xludf.DUMMYFUNCTION("""COMPUTED_VALUE"""),180)</f>
        <v>180</v>
      </c>
      <c r="H168">
        <f ca="1">IFERROR(__xludf.DUMMYFUNCTION("""COMPUTED_VALUE"""),-0.33)</f>
        <v>-0.33</v>
      </c>
    </row>
    <row r="169" spans="1:8" ht="12.75">
      <c r="A169" t="str">
        <f ca="1">IFERROR(__xludf.DUMMYFUNCTION("""COMPUTED_VALUE"""),"T168")</f>
        <v>T168</v>
      </c>
      <c r="B169" t="str">
        <f ca="1">IFERROR(__xludf.DUMMYFUNCTION("""COMPUTED_VALUE"""),"T155")</f>
        <v>T155</v>
      </c>
      <c r="C169" t="str">
        <f ca="1">IFERROR(__xludf.DUMMYFUNCTION("""COMPUTED_VALUE"""),"Ryan Armour")</f>
        <v>Ryan Armour</v>
      </c>
      <c r="D169">
        <f ca="1">IFERROR(__xludf.DUMMYFUNCTION("""COMPUTED_VALUE"""),16)</f>
        <v>16</v>
      </c>
      <c r="E169">
        <f ca="1">IFERROR(__xludf.DUMMYFUNCTION("""COMPUTED_VALUE"""),64.93)</f>
        <v>64.930000000000007</v>
      </c>
      <c r="F169">
        <f ca="1">IFERROR(__xludf.DUMMYFUNCTION("""COMPUTED_VALUE"""),187)</f>
        <v>187</v>
      </c>
      <c r="G169">
        <f ca="1">IFERROR(__xludf.DUMMYFUNCTION("""COMPUTED_VALUE"""),288)</f>
        <v>288</v>
      </c>
      <c r="H169">
        <f ca="1">IFERROR(__xludf.DUMMYFUNCTION("""COMPUTED_VALUE"""),-0.29)</f>
        <v>-0.28999999999999998</v>
      </c>
    </row>
    <row r="170" spans="1:8" ht="12.75">
      <c r="A170" t="str">
        <f ca="1">IFERROR(__xludf.DUMMYFUNCTION("""COMPUTED_VALUE"""),"T168")</f>
        <v>T168</v>
      </c>
      <c r="B170" t="str">
        <f ca="1">IFERROR(__xludf.DUMMYFUNCTION("""COMPUTED_VALUE"""),"T125")</f>
        <v>T125</v>
      </c>
      <c r="C170" t="str">
        <f ca="1">IFERROR(__xludf.DUMMYFUNCTION("""COMPUTED_VALUE"""),"Branden Grace")</f>
        <v>Branden Grace</v>
      </c>
      <c r="D170">
        <f ca="1">IFERROR(__xludf.DUMMYFUNCTION("""COMPUTED_VALUE"""),16)</f>
        <v>16</v>
      </c>
      <c r="E170">
        <f ca="1">IFERROR(__xludf.DUMMYFUNCTION("""COMPUTED_VALUE"""),64.93)</f>
        <v>64.930000000000007</v>
      </c>
      <c r="F170">
        <f ca="1">IFERROR(__xludf.DUMMYFUNCTION("""COMPUTED_VALUE"""),187)</f>
        <v>187</v>
      </c>
      <c r="G170">
        <f ca="1">IFERROR(__xludf.DUMMYFUNCTION("""COMPUTED_VALUE"""),288)</f>
        <v>288</v>
      </c>
      <c r="H170">
        <f ca="1">IFERROR(__xludf.DUMMYFUNCTION("""COMPUTED_VALUE"""),-0.24)</f>
        <v>-0.24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IFERROR(__xludf.DUMMYFUNCTION("""COMPUTED_VALUE"""),"T179")</f>
        <v>T179</v>
      </c>
      <c r="C171" t="str">
        <f ca="1">IFERROR(__xludf.DUMMYFUNCTION("""COMPUTED_VALUE"""),"Nick Taylor")</f>
        <v>Nick Taylor</v>
      </c>
      <c r="D171">
        <f ca="1">IFERROR(__xludf.DUMMYFUNCTION("""COMPUTED_VALUE"""),12)</f>
        <v>12</v>
      </c>
      <c r="E171">
        <f ca="1">IFERROR(__xludf.DUMMYFUNCTION("""COMPUTED_VALUE"""),64.81)</f>
        <v>64.81</v>
      </c>
      <c r="F171">
        <f ca="1">IFERROR(__xludf.DUMMYFUNCTION("""COMPUTED_VALUE"""),140)</f>
        <v>140</v>
      </c>
      <c r="G171">
        <f ca="1">IFERROR(__xludf.DUMMYFUNCTION("""COMPUTED_VALUE"""),216)</f>
        <v>216</v>
      </c>
      <c r="H171">
        <f ca="1">IFERROR(__xludf.DUMMYFUNCTION("""COMPUTED_VALUE"""),-0.3)</f>
        <v>-0.3</v>
      </c>
    </row>
    <row r="172" spans="1:8" ht="12.75">
      <c r="A172" t="str">
        <f ca="1">IFERROR(__xludf.DUMMYFUNCTION("""COMPUTED_VALUE"""),"T170")</f>
        <v>T170</v>
      </c>
      <c r="B172" t="str">
        <f ca="1">IFERROR(__xludf.DUMMYFUNCTION("""COMPUTED_VALUE"""),"T179")</f>
        <v>T179</v>
      </c>
      <c r="C172" t="str">
        <f ca="1">IFERROR(__xludf.DUMMYFUNCTION("""COMPUTED_VALUE"""),"Rory McIlroy")</f>
        <v>Rory McIlroy</v>
      </c>
      <c r="D172">
        <f ca="1">IFERROR(__xludf.DUMMYFUNCTION("""COMPUTED_VALUE"""),12)</f>
        <v>12</v>
      </c>
      <c r="E172">
        <f ca="1">IFERROR(__xludf.DUMMYFUNCTION("""COMPUTED_VALUE"""),64.81)</f>
        <v>64.81</v>
      </c>
      <c r="F172">
        <f ca="1">IFERROR(__xludf.DUMMYFUNCTION("""COMPUTED_VALUE"""),140)</f>
        <v>140</v>
      </c>
      <c r="G172">
        <f ca="1">IFERROR(__xludf.DUMMYFUNCTION("""COMPUTED_VALUE"""),216)</f>
        <v>216</v>
      </c>
      <c r="H172">
        <f ca="1">IFERROR(__xludf.DUMMYFUNCTION("""COMPUTED_VALUE"""),-0.42)</f>
        <v>-0.42</v>
      </c>
    </row>
    <row r="173" spans="1:8" ht="12.75">
      <c r="A173" t="str">
        <f ca="1">IFERROR(__xludf.DUMMYFUNCTION("""COMPUTED_VALUE"""),"T170")</f>
        <v>T170</v>
      </c>
      <c r="B173" t="str">
        <f ca="1">IFERROR(__xludf.DUMMYFUNCTION("""COMPUTED_VALUE"""),"T179")</f>
        <v>T179</v>
      </c>
      <c r="C173" t="str">
        <f ca="1">IFERROR(__xludf.DUMMYFUNCTION("""COMPUTED_VALUE"""),"Webb Simpson")</f>
        <v>Webb Simpson</v>
      </c>
      <c r="D173">
        <f ca="1">IFERROR(__xludf.DUMMYFUNCTION("""COMPUTED_VALUE"""),12)</f>
        <v>12</v>
      </c>
      <c r="E173">
        <f ca="1">IFERROR(__xludf.DUMMYFUNCTION("""COMPUTED_VALUE"""),64.81)</f>
        <v>64.81</v>
      </c>
      <c r="F173">
        <f ca="1">IFERROR(__xludf.DUMMYFUNCTION("""COMPUTED_VALUE"""),140)</f>
        <v>140</v>
      </c>
      <c r="G173">
        <f ca="1">IFERROR(__xludf.DUMMYFUNCTION("""COMPUTED_VALUE"""),216)</f>
        <v>216</v>
      </c>
      <c r="H173">
        <f ca="1">IFERROR(__xludf.DUMMYFUNCTION("""COMPUTED_VALUE"""),-0.34)</f>
        <v>-0.34</v>
      </c>
    </row>
    <row r="174" spans="1:8" ht="12.75">
      <c r="A174" t="str">
        <f ca="1">IFERROR(__xludf.DUMMYFUNCTION("""COMPUTED_VALUE"""),"T170")</f>
        <v>T170</v>
      </c>
      <c r="B174" t="str">
        <f ca="1">IFERROR(__xludf.DUMMYFUNCTION("""COMPUTED_VALUE"""),"T179")</f>
        <v>T179</v>
      </c>
      <c r="C174" t="str">
        <f ca="1">IFERROR(__xludf.DUMMYFUNCTION("""COMPUTED_VALUE"""),"Cameron Champ")</f>
        <v>Cameron Champ</v>
      </c>
      <c r="D174">
        <f ca="1">IFERROR(__xludf.DUMMYFUNCTION("""COMPUTED_VALUE"""),12)</f>
        <v>12</v>
      </c>
      <c r="E174">
        <f ca="1">IFERROR(__xludf.DUMMYFUNCTION("""COMPUTED_VALUE"""),64.81)</f>
        <v>64.81</v>
      </c>
      <c r="F174">
        <f ca="1">IFERROR(__xludf.DUMMYFUNCTION("""COMPUTED_VALUE"""),140)</f>
        <v>140</v>
      </c>
      <c r="G174">
        <f ca="1">IFERROR(__xludf.DUMMYFUNCTION("""COMPUTED_VALUE"""),216)</f>
        <v>216</v>
      </c>
      <c r="H174">
        <f ca="1">IFERROR(__xludf.DUMMYFUNCTION("""COMPUTED_VALUE"""),-0.35)</f>
        <v>-0.35</v>
      </c>
    </row>
    <row r="175" spans="1:8" ht="12.75">
      <c r="A175">
        <f ca="1">IFERROR(__xludf.DUMMYFUNCTION("""COMPUTED_VALUE"""),174)</f>
        <v>174</v>
      </c>
      <c r="B175" t="str">
        <f ca="1">IFERROR(__xludf.DUMMYFUNCTION("""COMPUTED_VALUE"""),"T167")</f>
        <v>T167</v>
      </c>
      <c r="C175" t="str">
        <f ca="1">IFERROR(__xludf.DUMMYFUNCTION("""COMPUTED_VALUE"""),"Tom Hoge")</f>
        <v>Tom Hoge</v>
      </c>
      <c r="D175">
        <f ca="1">IFERROR(__xludf.DUMMYFUNCTION("""COMPUTED_VALUE"""),22)</f>
        <v>22</v>
      </c>
      <c r="E175">
        <f ca="1">IFERROR(__xludf.DUMMYFUNCTION("""COMPUTED_VALUE"""),64.65)</f>
        <v>64.650000000000006</v>
      </c>
      <c r="F175">
        <f ca="1">IFERROR(__xludf.DUMMYFUNCTION("""COMPUTED_VALUE"""),256)</f>
        <v>256</v>
      </c>
      <c r="G175">
        <f ca="1">IFERROR(__xludf.DUMMYFUNCTION("""COMPUTED_VALUE"""),396)</f>
        <v>396</v>
      </c>
      <c r="H175">
        <f ca="1">IFERROR(__xludf.DUMMYFUNCTION("""COMPUTED_VALUE"""),-0.4)</f>
        <v>-0.4</v>
      </c>
    </row>
    <row r="176" spans="1:8" ht="12.75">
      <c r="A176">
        <f ca="1">IFERROR(__xludf.DUMMYFUNCTION("""COMPUTED_VALUE"""),175)</f>
        <v>175</v>
      </c>
      <c r="B176" t="str">
        <f ca="1">IFERROR(__xludf.DUMMYFUNCTION("""COMPUTED_VALUE"""),"T138")</f>
        <v>T138</v>
      </c>
      <c r="C176" t="str">
        <f ca="1">IFERROR(__xludf.DUMMYFUNCTION("""COMPUTED_VALUE"""),"Fabián Gómez")</f>
        <v>Fabián Gómez</v>
      </c>
      <c r="D176">
        <f ca="1">IFERROR(__xludf.DUMMYFUNCTION("""COMPUTED_VALUE"""),16)</f>
        <v>16</v>
      </c>
      <c r="E176">
        <f ca="1">IFERROR(__xludf.DUMMYFUNCTION("""COMPUTED_VALUE"""),64.58)</f>
        <v>64.58</v>
      </c>
      <c r="F176">
        <f ca="1">IFERROR(__xludf.DUMMYFUNCTION("""COMPUTED_VALUE"""),186)</f>
        <v>186</v>
      </c>
      <c r="G176">
        <f ca="1">IFERROR(__xludf.DUMMYFUNCTION("""COMPUTED_VALUE"""),288)</f>
        <v>288</v>
      </c>
      <c r="H176">
        <f ca="1">IFERROR(__xludf.DUMMYFUNCTION("""COMPUTED_VALUE"""),-0.23)</f>
        <v>-0.23</v>
      </c>
    </row>
    <row r="177" spans="1:8" ht="12.75">
      <c r="A177" t="str">
        <f ca="1">IFERROR(__xludf.DUMMYFUNCTION("""COMPUTED_VALUE"""),"T176")</f>
        <v>T176</v>
      </c>
      <c r="B177">
        <f ca="1">IFERROR(__xludf.DUMMYFUNCTION("""COMPUTED_VALUE"""),164)</f>
        <v>164</v>
      </c>
      <c r="C177" t="str">
        <f ca="1">IFERROR(__xludf.DUMMYFUNCTION("""COMPUTED_VALUE"""),"Danny Lee")</f>
        <v>Danny Lee</v>
      </c>
      <c r="D177">
        <f ca="1">IFERROR(__xludf.DUMMYFUNCTION("""COMPUTED_VALUE"""),15)</f>
        <v>15</v>
      </c>
      <c r="E177">
        <f ca="1">IFERROR(__xludf.DUMMYFUNCTION("""COMPUTED_VALUE"""),64.44)</f>
        <v>64.44</v>
      </c>
      <c r="F177">
        <f ca="1">IFERROR(__xludf.DUMMYFUNCTION("""COMPUTED_VALUE"""),174)</f>
        <v>174</v>
      </c>
      <c r="G177">
        <f ca="1">IFERROR(__xludf.DUMMYFUNCTION("""COMPUTED_VALUE"""),270)</f>
        <v>270</v>
      </c>
      <c r="H177">
        <f ca="1">IFERROR(__xludf.DUMMYFUNCTION("""COMPUTED_VALUE"""),-0.29)</f>
        <v>-0.28999999999999998</v>
      </c>
    </row>
    <row r="178" spans="1:8" ht="12.75">
      <c r="A178" t="str">
        <f ca="1">IFERROR(__xludf.DUMMYFUNCTION("""COMPUTED_VALUE"""),"T176")</f>
        <v>T176</v>
      </c>
      <c r="B178">
        <f ca="1">IFERROR(__xludf.DUMMYFUNCTION("""COMPUTED_VALUE"""),218)</f>
        <v>218</v>
      </c>
      <c r="C178" t="str">
        <f ca="1">IFERROR(__xludf.DUMMYFUNCTION("""COMPUTED_VALUE"""),"Erik van Rooyen")</f>
        <v>Erik van Rooyen</v>
      </c>
      <c r="D178">
        <f ca="1">IFERROR(__xludf.DUMMYFUNCTION("""COMPUTED_VALUE"""),10)</f>
        <v>10</v>
      </c>
      <c r="E178">
        <f ca="1">IFERROR(__xludf.DUMMYFUNCTION("""COMPUTED_VALUE"""),64.44)</f>
        <v>64.44</v>
      </c>
      <c r="F178">
        <f ca="1">IFERROR(__xludf.DUMMYFUNCTION("""COMPUTED_VALUE"""),116)</f>
        <v>116</v>
      </c>
      <c r="G178">
        <f ca="1">IFERROR(__xludf.DUMMYFUNCTION("""COMPUTED_VALUE"""),180)</f>
        <v>180</v>
      </c>
      <c r="H178">
        <f ca="1">IFERROR(__xludf.DUMMYFUNCTION("""COMPUTED_VALUE"""),-0.28)</f>
        <v>-0.28000000000000003</v>
      </c>
    </row>
    <row r="179" spans="1:8" ht="12.75">
      <c r="A179" t="str">
        <f ca="1">IFERROR(__xludf.DUMMYFUNCTION("""COMPUTED_VALUE"""),"T178")</f>
        <v>T178</v>
      </c>
      <c r="B179" t="str">
        <f ca="1">IFERROR(__xludf.DUMMYFUNCTION("""COMPUTED_VALUE"""),"T138")</f>
        <v>T138</v>
      </c>
      <c r="C179" t="str">
        <f ca="1">IFERROR(__xludf.DUMMYFUNCTION("""COMPUTED_VALUE"""),"Satoshi Kodaira")</f>
        <v>Satoshi Kodaira</v>
      </c>
      <c r="D179">
        <f ca="1">IFERROR(__xludf.DUMMYFUNCTION("""COMPUTED_VALUE"""),12)</f>
        <v>12</v>
      </c>
      <c r="E179">
        <f ca="1">IFERROR(__xludf.DUMMYFUNCTION("""COMPUTED_VALUE"""),64.35)</f>
        <v>64.349999999999994</v>
      </c>
      <c r="F179">
        <f ca="1">IFERROR(__xludf.DUMMYFUNCTION("""COMPUTED_VALUE"""),139)</f>
        <v>139</v>
      </c>
      <c r="G179">
        <f ca="1">IFERROR(__xludf.DUMMYFUNCTION("""COMPUTED_VALUE"""),216)</f>
        <v>216</v>
      </c>
      <c r="H179">
        <f ca="1">IFERROR(__xludf.DUMMYFUNCTION("""COMPUTED_VALUE"""),-0.29)</f>
        <v>-0.28999999999999998</v>
      </c>
    </row>
    <row r="180" spans="1:8" ht="12.75">
      <c r="A180" t="str">
        <f ca="1">IFERROR(__xludf.DUMMYFUNCTION("""COMPUTED_VALUE"""),"T178")</f>
        <v>T178</v>
      </c>
      <c r="B180" t="str">
        <f ca="1">IFERROR(__xludf.DUMMYFUNCTION("""COMPUTED_VALUE"""),"T186")</f>
        <v>T186</v>
      </c>
      <c r="C180" t="str">
        <f ca="1">IFERROR(__xludf.DUMMYFUNCTION("""COMPUTED_VALUE"""),"Roger Sloan")</f>
        <v>Roger Sloan</v>
      </c>
      <c r="D180">
        <f ca="1">IFERROR(__xludf.DUMMYFUNCTION("""COMPUTED_VALUE"""),12)</f>
        <v>12</v>
      </c>
      <c r="E180">
        <f ca="1">IFERROR(__xludf.DUMMYFUNCTION("""COMPUTED_VALUE"""),64.35)</f>
        <v>64.349999999999994</v>
      </c>
      <c r="F180">
        <f ca="1">IFERROR(__xludf.DUMMYFUNCTION("""COMPUTED_VALUE"""),139)</f>
        <v>139</v>
      </c>
      <c r="G180">
        <f ca="1">IFERROR(__xludf.DUMMYFUNCTION("""COMPUTED_VALUE"""),216)</f>
        <v>216</v>
      </c>
      <c r="H180">
        <f ca="1">IFERROR(__xludf.DUMMYFUNCTION("""COMPUTED_VALUE"""),-0.28)</f>
        <v>-0.28000000000000003</v>
      </c>
    </row>
    <row r="181" spans="1:8" ht="12.75">
      <c r="A181" t="str">
        <f ca="1">IFERROR(__xludf.DUMMYFUNCTION("""COMPUTED_VALUE"""),"T180")</f>
        <v>T180</v>
      </c>
      <c r="B181" t="str">
        <f ca="1">IFERROR(__xludf.DUMMYFUNCTION("""COMPUTED_VALUE"""),"T189")</f>
        <v>T189</v>
      </c>
      <c r="C181" t="str">
        <f ca="1">IFERROR(__xludf.DUMMYFUNCTION("""COMPUTED_VALUE"""),"Paul Casey")</f>
        <v>Paul Casey</v>
      </c>
      <c r="D181">
        <f ca="1">IFERROR(__xludf.DUMMYFUNCTION("""COMPUTED_VALUE"""),14)</f>
        <v>14</v>
      </c>
      <c r="E181">
        <f ca="1">IFERROR(__xludf.DUMMYFUNCTION("""COMPUTED_VALUE"""),64.29)</f>
        <v>64.290000000000006</v>
      </c>
      <c r="F181">
        <f ca="1">IFERROR(__xludf.DUMMYFUNCTION("""COMPUTED_VALUE"""),162)</f>
        <v>162</v>
      </c>
      <c r="G181">
        <f ca="1">IFERROR(__xludf.DUMMYFUNCTION("""COMPUTED_VALUE"""),252)</f>
        <v>252</v>
      </c>
      <c r="H181">
        <f ca="1">IFERROR(__xludf.DUMMYFUNCTION("""COMPUTED_VALUE"""),-0.3)</f>
        <v>-0.3</v>
      </c>
    </row>
    <row r="182" spans="1:8" ht="12.75">
      <c r="A182" t="str">
        <f ca="1">IFERROR(__xludf.DUMMYFUNCTION("""COMPUTED_VALUE"""),"T180")</f>
        <v>T180</v>
      </c>
      <c r="B182" t="str">
        <f ca="1">IFERROR(__xludf.DUMMYFUNCTION("""COMPUTED_VALUE"""),"T113")</f>
        <v>T113</v>
      </c>
      <c r="C182" t="str">
        <f ca="1">IFERROR(__xludf.DUMMYFUNCTION("""COMPUTED_VALUE"""),"Andrew Landry")</f>
        <v>Andrew Landry</v>
      </c>
      <c r="D182">
        <f ca="1">IFERROR(__xludf.DUMMYFUNCTION("""COMPUTED_VALUE"""),14)</f>
        <v>14</v>
      </c>
      <c r="E182">
        <f ca="1">IFERROR(__xludf.DUMMYFUNCTION("""COMPUTED_VALUE"""),64.29)</f>
        <v>64.290000000000006</v>
      </c>
      <c r="F182">
        <f ca="1">IFERROR(__xludf.DUMMYFUNCTION("""COMPUTED_VALUE"""),162)</f>
        <v>162</v>
      </c>
      <c r="G182">
        <f ca="1">IFERROR(__xludf.DUMMYFUNCTION("""COMPUTED_VALUE"""),252)</f>
        <v>252</v>
      </c>
      <c r="H182">
        <f ca="1">IFERROR(__xludf.DUMMYFUNCTION("""COMPUTED_VALUE"""),-0.33)</f>
        <v>-0.33</v>
      </c>
    </row>
    <row r="183" spans="1:8" ht="12.75">
      <c r="A183" t="str">
        <f ca="1">IFERROR(__xludf.DUMMYFUNCTION("""COMPUTED_VALUE"""),"T180")</f>
        <v>T180</v>
      </c>
      <c r="B183" t="str">
        <f ca="1">IFERROR(__xludf.DUMMYFUNCTION("""COMPUTED_VALUE"""),"T189")</f>
        <v>T189</v>
      </c>
      <c r="C183" t="str">
        <f ca="1">IFERROR(__xludf.DUMMYFUNCTION("""COMPUTED_VALUE"""),"Harris English")</f>
        <v>Harris English</v>
      </c>
      <c r="D183">
        <f ca="1">IFERROR(__xludf.DUMMYFUNCTION("""COMPUTED_VALUE"""),14)</f>
        <v>14</v>
      </c>
      <c r="E183">
        <f ca="1">IFERROR(__xludf.DUMMYFUNCTION("""COMPUTED_VALUE"""),64.29)</f>
        <v>64.290000000000006</v>
      </c>
      <c r="F183">
        <f ca="1">IFERROR(__xludf.DUMMYFUNCTION("""COMPUTED_VALUE"""),162)</f>
        <v>162</v>
      </c>
      <c r="G183">
        <f ca="1">IFERROR(__xludf.DUMMYFUNCTION("""COMPUTED_VALUE"""),252)</f>
        <v>252</v>
      </c>
      <c r="H183">
        <f ca="1">IFERROR(__xludf.DUMMYFUNCTION("""COMPUTED_VALUE"""),-0.36)</f>
        <v>-0.36</v>
      </c>
    </row>
    <row r="184" spans="1:8" ht="12.75">
      <c r="A184" t="str">
        <f ca="1">IFERROR(__xludf.DUMMYFUNCTION("""COMPUTED_VALUE"""),"T183")</f>
        <v>T183</v>
      </c>
      <c r="B184" t="str">
        <f ca="1">IFERROR(__xludf.DUMMYFUNCTION("""COMPUTED_VALUE"""),"T208")</f>
        <v>T208</v>
      </c>
      <c r="C184" t="str">
        <f ca="1">IFERROR(__xludf.DUMMYFUNCTION("""COMPUTED_VALUE"""),"Jhonattan Vegas")</f>
        <v>Jhonattan Vegas</v>
      </c>
      <c r="D184">
        <f ca="1">IFERROR(__xludf.DUMMYFUNCTION("""COMPUTED_VALUE"""),16)</f>
        <v>16</v>
      </c>
      <c r="E184">
        <f ca="1">IFERROR(__xludf.DUMMYFUNCTION("""COMPUTED_VALUE"""),64.24)</f>
        <v>64.239999999999995</v>
      </c>
      <c r="F184">
        <f ca="1">IFERROR(__xludf.DUMMYFUNCTION("""COMPUTED_VALUE"""),185)</f>
        <v>185</v>
      </c>
      <c r="G184">
        <f ca="1">IFERROR(__xludf.DUMMYFUNCTION("""COMPUTED_VALUE"""),288)</f>
        <v>288</v>
      </c>
      <c r="H184">
        <f ca="1">IFERROR(__xludf.DUMMYFUNCTION("""COMPUTED_VALUE"""),-0.31)</f>
        <v>-0.31</v>
      </c>
    </row>
    <row r="185" spans="1:8" ht="12.75">
      <c r="A185" t="str">
        <f ca="1">IFERROR(__xludf.DUMMYFUNCTION("""COMPUTED_VALUE"""),"T183")</f>
        <v>T183</v>
      </c>
      <c r="B185">
        <f ca="1">IFERROR(__xludf.DUMMYFUNCTION("""COMPUTED_VALUE"""),191)</f>
        <v>191</v>
      </c>
      <c r="C185" t="str">
        <f ca="1">IFERROR(__xludf.DUMMYFUNCTION("""COMPUTED_VALUE"""),"Matthew Wolff")</f>
        <v>Matthew Wolff</v>
      </c>
      <c r="D185">
        <f ca="1">IFERROR(__xludf.DUMMYFUNCTION("""COMPUTED_VALUE"""),16)</f>
        <v>16</v>
      </c>
      <c r="E185">
        <f ca="1">IFERROR(__xludf.DUMMYFUNCTION("""COMPUTED_VALUE"""),64.24)</f>
        <v>64.239999999999995</v>
      </c>
      <c r="F185">
        <f ca="1">IFERROR(__xludf.DUMMYFUNCTION("""COMPUTED_VALUE"""),185)</f>
        <v>185</v>
      </c>
      <c r="G185">
        <f ca="1">IFERROR(__xludf.DUMMYFUNCTION("""COMPUTED_VALUE"""),288)</f>
        <v>288</v>
      </c>
      <c r="H185">
        <f ca="1">IFERROR(__xludf.DUMMYFUNCTION("""COMPUTED_VALUE"""),-0.42)</f>
        <v>-0.42</v>
      </c>
    </row>
    <row r="186" spans="1:8" ht="12.75">
      <c r="A186">
        <f ca="1">IFERROR(__xludf.DUMMYFUNCTION("""COMPUTED_VALUE"""),185)</f>
        <v>185</v>
      </c>
      <c r="B186" t="str">
        <f ca="1">IFERROR(__xludf.DUMMYFUNCTION("""COMPUTED_VALUE"""),"T102")</f>
        <v>T102</v>
      </c>
      <c r="C186" t="str">
        <f ca="1">IFERROR(__xludf.DUMMYFUNCTION("""COMPUTED_VALUE"""),"Scott Harrington")</f>
        <v>Scott Harrington</v>
      </c>
      <c r="D186">
        <f ca="1">IFERROR(__xludf.DUMMYFUNCTION("""COMPUTED_VALUE"""),18)</f>
        <v>18</v>
      </c>
      <c r="E186">
        <f ca="1">IFERROR(__xludf.DUMMYFUNCTION("""COMPUTED_VALUE"""),64.2)</f>
        <v>64.2</v>
      </c>
      <c r="F186">
        <f ca="1">IFERROR(__xludf.DUMMYFUNCTION("""COMPUTED_VALUE"""),208)</f>
        <v>208</v>
      </c>
      <c r="G186">
        <f ca="1">IFERROR(__xludf.DUMMYFUNCTION("""COMPUTED_VALUE"""),324)</f>
        <v>324</v>
      </c>
      <c r="H186">
        <f ca="1">IFERROR(__xludf.DUMMYFUNCTION("""COMPUTED_VALUE"""),-0.32)</f>
        <v>-0.32</v>
      </c>
    </row>
    <row r="187" spans="1:8" ht="12.75">
      <c r="A187" t="str">
        <f ca="1">IFERROR(__xludf.DUMMYFUNCTION("""COMPUTED_VALUE"""),"T186")</f>
        <v>T186</v>
      </c>
      <c r="B187" t="str">
        <f ca="1">IFERROR(__xludf.DUMMYFUNCTION("""COMPUTED_VALUE"""),"T192")</f>
        <v>T192</v>
      </c>
      <c r="C187" t="str">
        <f ca="1">IFERROR(__xludf.DUMMYFUNCTION("""COMPUTED_VALUE"""),"Jay McLuen")</f>
        <v>Jay McLuen</v>
      </c>
      <c r="D187">
        <f ca="1">IFERROR(__xludf.DUMMYFUNCTION("""COMPUTED_VALUE"""),4)</f>
        <v>4</v>
      </c>
      <c r="E187">
        <f ca="1">IFERROR(__xludf.DUMMYFUNCTION("""COMPUTED_VALUE"""),63.89)</f>
        <v>63.89</v>
      </c>
      <c r="F187">
        <f ca="1">IFERROR(__xludf.DUMMYFUNCTION("""COMPUTED_VALUE"""),46)</f>
        <v>46</v>
      </c>
      <c r="G187">
        <f ca="1">IFERROR(__xludf.DUMMYFUNCTION("""COMPUTED_VALUE"""),72)</f>
        <v>72</v>
      </c>
      <c r="H187">
        <f ca="1">IFERROR(__xludf.DUMMYFUNCTION("""COMPUTED_VALUE"""),-0.22)</f>
        <v>-0.22</v>
      </c>
    </row>
    <row r="188" spans="1:8" ht="12.75">
      <c r="A188" t="str">
        <f ca="1">IFERROR(__xludf.DUMMYFUNCTION("""COMPUTED_VALUE"""),"T186")</f>
        <v>T186</v>
      </c>
      <c r="B188" t="str">
        <f ca="1">IFERROR(__xludf.DUMMYFUNCTION("""COMPUTED_VALUE"""),"T192")</f>
        <v>T192</v>
      </c>
      <c r="C188" t="str">
        <f ca="1">IFERROR(__xludf.DUMMYFUNCTION("""COMPUTED_VALUE"""),"Seamus Power")</f>
        <v>Seamus Power</v>
      </c>
      <c r="D188">
        <f ca="1">IFERROR(__xludf.DUMMYFUNCTION("""COMPUTED_VALUE"""),8)</f>
        <v>8</v>
      </c>
      <c r="E188">
        <f ca="1">IFERROR(__xludf.DUMMYFUNCTION("""COMPUTED_VALUE"""),63.89)</f>
        <v>63.89</v>
      </c>
      <c r="F188">
        <f ca="1">IFERROR(__xludf.DUMMYFUNCTION("""COMPUTED_VALUE"""),92)</f>
        <v>92</v>
      </c>
      <c r="G188">
        <f ca="1">IFERROR(__xludf.DUMMYFUNCTION("""COMPUTED_VALUE"""),144)</f>
        <v>144</v>
      </c>
      <c r="H188">
        <f ca="1">IFERROR(__xludf.DUMMYFUNCTION("""COMPUTED_VALUE"""),-0.21)</f>
        <v>-0.21</v>
      </c>
    </row>
    <row r="189" spans="1:8" ht="12.75">
      <c r="A189" t="str">
        <f ca="1">IFERROR(__xludf.DUMMYFUNCTION("""COMPUTED_VALUE"""),"T186")</f>
        <v>T186</v>
      </c>
      <c r="B189" t="str">
        <f ca="1">IFERROR(__xludf.DUMMYFUNCTION("""COMPUTED_VALUE"""),"T192")</f>
        <v>T192</v>
      </c>
      <c r="C189" t="str">
        <f ca="1">IFERROR(__xludf.DUMMYFUNCTION("""COMPUTED_VALUE"""),"Jim Herman")</f>
        <v>Jim Herman</v>
      </c>
      <c r="D189">
        <f ca="1">IFERROR(__xludf.DUMMYFUNCTION("""COMPUTED_VALUE"""),12)</f>
        <v>12</v>
      </c>
      <c r="E189">
        <f ca="1">IFERROR(__xludf.DUMMYFUNCTION("""COMPUTED_VALUE"""),63.89)</f>
        <v>63.89</v>
      </c>
      <c r="F189">
        <f ca="1">IFERROR(__xludf.DUMMYFUNCTION("""COMPUTED_VALUE"""),138)</f>
        <v>138</v>
      </c>
      <c r="G189">
        <f ca="1">IFERROR(__xludf.DUMMYFUNCTION("""COMPUTED_VALUE"""),216)</f>
        <v>216</v>
      </c>
      <c r="H189">
        <f ca="1">IFERROR(__xludf.DUMMYFUNCTION("""COMPUTED_VALUE"""),-0.22)</f>
        <v>-0.22</v>
      </c>
    </row>
    <row r="190" spans="1:8" ht="12.75">
      <c r="A190" t="str">
        <f ca="1">IFERROR(__xludf.DUMMYFUNCTION("""COMPUTED_VALUE"""),"T186")</f>
        <v>T186</v>
      </c>
      <c r="B190" t="str">
        <f ca="1">IFERROR(__xludf.DUMMYFUNCTION("""COMPUTED_VALUE"""),"T192")</f>
        <v>T192</v>
      </c>
      <c r="C190" t="str">
        <f ca="1">IFERROR(__xludf.DUMMYFUNCTION("""COMPUTED_VALUE"""),"Thomas Pieters")</f>
        <v>Thomas Pieters</v>
      </c>
      <c r="D190">
        <f ca="1">IFERROR(__xludf.DUMMYFUNCTION("""COMPUTED_VALUE"""),4)</f>
        <v>4</v>
      </c>
      <c r="E190">
        <f ca="1">IFERROR(__xludf.DUMMYFUNCTION("""COMPUTED_VALUE"""),63.89)</f>
        <v>63.89</v>
      </c>
      <c r="F190">
        <f ca="1">IFERROR(__xludf.DUMMYFUNCTION("""COMPUTED_VALUE"""),46)</f>
        <v>46</v>
      </c>
      <c r="G190">
        <f ca="1">IFERROR(__xludf.DUMMYFUNCTION("""COMPUTED_VALUE"""),72)</f>
        <v>72</v>
      </c>
      <c r="H190">
        <f ca="1">IFERROR(__xludf.DUMMYFUNCTION("""COMPUTED_VALUE"""),-0.09)</f>
        <v>-0.09</v>
      </c>
    </row>
    <row r="191" spans="1:8" ht="12.75">
      <c r="A191" t="str">
        <f ca="1">IFERROR(__xludf.DUMMYFUNCTION("""COMPUTED_VALUE"""),"T186")</f>
        <v>T186</v>
      </c>
      <c r="B191" t="str">
        <f ca="1">IFERROR(__xludf.DUMMYFUNCTION("""COMPUTED_VALUE"""),"T155")</f>
        <v>T155</v>
      </c>
      <c r="C191" t="str">
        <f ca="1">IFERROR(__xludf.DUMMYFUNCTION("""COMPUTED_VALUE"""),"Mackenzie Hughes")</f>
        <v>Mackenzie Hughes</v>
      </c>
      <c r="D191">
        <f ca="1">IFERROR(__xludf.DUMMYFUNCTION("""COMPUTED_VALUE"""),18)</f>
        <v>18</v>
      </c>
      <c r="E191">
        <f ca="1">IFERROR(__xludf.DUMMYFUNCTION("""COMPUTED_VALUE"""),63.89)</f>
        <v>63.89</v>
      </c>
      <c r="F191">
        <f ca="1">IFERROR(__xludf.DUMMYFUNCTION("""COMPUTED_VALUE"""),207)</f>
        <v>207</v>
      </c>
      <c r="G191">
        <f ca="1">IFERROR(__xludf.DUMMYFUNCTION("""COMPUTED_VALUE"""),324)</f>
        <v>324</v>
      </c>
      <c r="H191">
        <f ca="1">IFERROR(__xludf.DUMMYFUNCTION("""COMPUTED_VALUE"""),-0.39)</f>
        <v>-0.39</v>
      </c>
    </row>
    <row r="192" spans="1:8" ht="12.75">
      <c r="A192" t="str">
        <f ca="1">IFERROR(__xludf.DUMMYFUNCTION("""COMPUTED_VALUE"""),"T186")</f>
        <v>T186</v>
      </c>
      <c r="B192" t="str">
        <f ca="1">IFERROR(__xludf.DUMMYFUNCTION("""COMPUTED_VALUE"""),"T159")</f>
        <v>T159</v>
      </c>
      <c r="C192" t="str">
        <f ca="1">IFERROR(__xludf.DUMMYFUNCTION("""COMPUTED_VALUE"""),"Tyler Duncan")</f>
        <v>Tyler Duncan</v>
      </c>
      <c r="D192">
        <f ca="1">IFERROR(__xludf.DUMMYFUNCTION("""COMPUTED_VALUE"""),18)</f>
        <v>18</v>
      </c>
      <c r="E192">
        <f ca="1">IFERROR(__xludf.DUMMYFUNCTION("""COMPUTED_VALUE"""),63.89)</f>
        <v>63.89</v>
      </c>
      <c r="F192">
        <f ca="1">IFERROR(__xludf.DUMMYFUNCTION("""COMPUTED_VALUE"""),207)</f>
        <v>207</v>
      </c>
      <c r="G192">
        <f ca="1">IFERROR(__xludf.DUMMYFUNCTION("""COMPUTED_VALUE"""),324)</f>
        <v>324</v>
      </c>
      <c r="H192">
        <f ca="1">IFERROR(__xludf.DUMMYFUNCTION("""COMPUTED_VALUE"""),-0.25)</f>
        <v>-0.25</v>
      </c>
    </row>
    <row r="193" spans="1:8" ht="12.75">
      <c r="A193" t="str">
        <f ca="1">IFERROR(__xludf.DUMMYFUNCTION("""COMPUTED_VALUE"""),"T186")</f>
        <v>T186</v>
      </c>
      <c r="B193" t="str">
        <f ca="1">IFERROR(__xludf.DUMMYFUNCTION("""COMPUTED_VALUE"""),"T169")</f>
        <v>T169</v>
      </c>
      <c r="C193" t="str">
        <f ca="1">IFERROR(__xludf.DUMMYFUNCTION("""COMPUTED_VALUE"""),"Ollie Schniederjans")</f>
        <v>Ollie Schniederjans</v>
      </c>
      <c r="D193">
        <f ca="1">IFERROR(__xludf.DUMMYFUNCTION("""COMPUTED_VALUE"""),6)</f>
        <v>6</v>
      </c>
      <c r="E193">
        <f ca="1">IFERROR(__xludf.DUMMYFUNCTION("""COMPUTED_VALUE"""),63.89)</f>
        <v>63.89</v>
      </c>
      <c r="F193">
        <f ca="1">IFERROR(__xludf.DUMMYFUNCTION("""COMPUTED_VALUE"""),69)</f>
        <v>69</v>
      </c>
      <c r="G193">
        <f ca="1">IFERROR(__xludf.DUMMYFUNCTION("""COMPUTED_VALUE"""),108)</f>
        <v>108</v>
      </c>
      <c r="H193">
        <f ca="1">IFERROR(__xludf.DUMMYFUNCTION("""COMPUTED_VALUE"""),-0.35)</f>
        <v>-0.35</v>
      </c>
    </row>
    <row r="194" spans="1:8" ht="12.75">
      <c r="A194" t="str">
        <f ca="1">IFERROR(__xludf.DUMMYFUNCTION("""COMPUTED_VALUE"""),"T186")</f>
        <v>T186</v>
      </c>
      <c r="B194" t="str">
        <f ca="1">IFERROR(__xludf.DUMMYFUNCTION("""COMPUTED_VALUE"""),"T192")</f>
        <v>T192</v>
      </c>
      <c r="C194" t="str">
        <f ca="1">IFERROR(__xludf.DUMMYFUNCTION("""COMPUTED_VALUE"""),"Matt Wallace")</f>
        <v>Matt Wallace</v>
      </c>
      <c r="D194">
        <f ca="1">IFERROR(__xludf.DUMMYFUNCTION("""COMPUTED_VALUE"""),4)</f>
        <v>4</v>
      </c>
      <c r="E194">
        <f ca="1">IFERROR(__xludf.DUMMYFUNCTION("""COMPUTED_VALUE"""),63.89)</f>
        <v>63.89</v>
      </c>
      <c r="F194">
        <f ca="1">IFERROR(__xludf.DUMMYFUNCTION("""COMPUTED_VALUE"""),46)</f>
        <v>46</v>
      </c>
      <c r="G194">
        <f ca="1">IFERROR(__xludf.DUMMYFUNCTION("""COMPUTED_VALUE"""),72)</f>
        <v>72</v>
      </c>
      <c r="H194">
        <f ca="1">IFERROR(__xludf.DUMMYFUNCTION("""COMPUTED_VALUE"""),-0.07)</f>
        <v>-7.0000000000000007E-2</v>
      </c>
    </row>
    <row r="195" spans="1:8" ht="12.75">
      <c r="A195">
        <f ca="1">IFERROR(__xludf.DUMMYFUNCTION("""COMPUTED_VALUE"""),194)</f>
        <v>194</v>
      </c>
      <c r="B195" t="str">
        <f ca="1">IFERROR(__xludf.DUMMYFUNCTION("""COMPUTED_VALUE"""),"T106")</f>
        <v>T106</v>
      </c>
      <c r="C195" t="str">
        <f ca="1">IFERROR(__xludf.DUMMYFUNCTION("""COMPUTED_VALUE"""),"Henrik Stenson")</f>
        <v>Henrik Stenson</v>
      </c>
      <c r="D195">
        <f ca="1">IFERROR(__xludf.DUMMYFUNCTION("""COMPUTED_VALUE"""),11)</f>
        <v>11</v>
      </c>
      <c r="E195">
        <f ca="1">IFERROR(__xludf.DUMMYFUNCTION("""COMPUTED_VALUE"""),63.64)</f>
        <v>63.64</v>
      </c>
      <c r="F195">
        <f ca="1">IFERROR(__xludf.DUMMYFUNCTION("""COMPUTED_VALUE"""),126)</f>
        <v>126</v>
      </c>
      <c r="G195">
        <f ca="1">IFERROR(__xludf.DUMMYFUNCTION("""COMPUTED_VALUE"""),198)</f>
        <v>198</v>
      </c>
      <c r="H195">
        <f ca="1">IFERROR(__xludf.DUMMYFUNCTION("""COMPUTED_VALUE"""),-0.17)</f>
        <v>-0.17</v>
      </c>
    </row>
    <row r="196" spans="1:8" ht="12.75">
      <c r="A196" t="str">
        <f ca="1">IFERROR(__xludf.DUMMYFUNCTION("""COMPUTED_VALUE"""),"T195")</f>
        <v>T195</v>
      </c>
      <c r="B196" t="str">
        <f ca="1">IFERROR(__xludf.DUMMYFUNCTION("""COMPUTED_VALUE"""),"T197")</f>
        <v>T197</v>
      </c>
      <c r="C196" t="str">
        <f ca="1">IFERROR(__xludf.DUMMYFUNCTION("""COMPUTED_VALUE"""),"Louis Oosthuizen")</f>
        <v>Louis Oosthuizen</v>
      </c>
      <c r="D196">
        <f ca="1">IFERROR(__xludf.DUMMYFUNCTION("""COMPUTED_VALUE"""),12)</f>
        <v>12</v>
      </c>
      <c r="E196">
        <f ca="1">IFERROR(__xludf.DUMMYFUNCTION("""COMPUTED_VALUE"""),63.43)</f>
        <v>63.43</v>
      </c>
      <c r="F196">
        <f ca="1">IFERROR(__xludf.DUMMYFUNCTION("""COMPUTED_VALUE"""),137)</f>
        <v>137</v>
      </c>
      <c r="G196">
        <f ca="1">IFERROR(__xludf.DUMMYFUNCTION("""COMPUTED_VALUE"""),216)</f>
        <v>216</v>
      </c>
      <c r="H196">
        <f ca="1">IFERROR(__xludf.DUMMYFUNCTION("""COMPUTED_VALUE"""),-0.32)</f>
        <v>-0.32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IFERROR(__xludf.DUMMYFUNCTION("""COMPUTED_VALUE"""),"T197")</f>
        <v>T197</v>
      </c>
      <c r="C197" t="str">
        <f ca="1">IFERROR(__xludf.DUMMYFUNCTION("""COMPUTED_VALUE"""),"Justin Thomas")</f>
        <v>Justin Thomas</v>
      </c>
      <c r="D197">
        <f ca="1">IFERROR(__xludf.DUMMYFUNCTION("""COMPUTED_VALUE"""),12)</f>
        <v>12</v>
      </c>
      <c r="E197">
        <f ca="1">IFERROR(__xludf.DUMMYFUNCTION("""COMPUTED_VALUE"""),63.43)</f>
        <v>63.43</v>
      </c>
      <c r="F197">
        <f ca="1">IFERROR(__xludf.DUMMYFUNCTION("""COMPUTED_VALUE"""),137)</f>
        <v>137</v>
      </c>
      <c r="G197">
        <f ca="1">IFERROR(__xludf.DUMMYFUNCTION("""COMPUTED_VALUE"""),216)</f>
        <v>216</v>
      </c>
      <c r="H197">
        <f ca="1">IFERROR(__xludf.DUMMYFUNCTION("""COMPUTED_VALUE"""),-0.39)</f>
        <v>-0.39</v>
      </c>
    </row>
    <row r="198" spans="1:8" ht="12.75">
      <c r="A198">
        <f ca="1">IFERROR(__xludf.DUMMYFUNCTION("""COMPUTED_VALUE"""),197)</f>
        <v>197</v>
      </c>
      <c r="B198">
        <f ca="1">IFERROR(__xludf.DUMMYFUNCTION("""COMPUTED_VALUE"""),220)</f>
        <v>220</v>
      </c>
      <c r="C198" t="str">
        <f ca="1">IFERROR(__xludf.DUMMYFUNCTION("""COMPUTED_VALUE"""),"Adam Long")</f>
        <v>Adam Long</v>
      </c>
      <c r="D198">
        <f ca="1">IFERROR(__xludf.DUMMYFUNCTION("""COMPUTED_VALUE"""),22)</f>
        <v>22</v>
      </c>
      <c r="E198">
        <f ca="1">IFERROR(__xludf.DUMMYFUNCTION("""COMPUTED_VALUE"""),63.38)</f>
        <v>63.38</v>
      </c>
      <c r="F198">
        <f ca="1">IFERROR(__xludf.DUMMYFUNCTION("""COMPUTED_VALUE"""),251)</f>
        <v>251</v>
      </c>
      <c r="G198">
        <f ca="1">IFERROR(__xludf.DUMMYFUNCTION("""COMPUTED_VALUE"""),396)</f>
        <v>396</v>
      </c>
      <c r="H198">
        <f ca="1">IFERROR(__xludf.DUMMYFUNCTION("""COMPUTED_VALUE"""),-0.29)</f>
        <v>-0.28999999999999998</v>
      </c>
    </row>
    <row r="199" spans="1:8" ht="12.75">
      <c r="A199" t="str">
        <f ca="1">IFERROR(__xludf.DUMMYFUNCTION("""COMPUTED_VALUE"""),"T198")</f>
        <v>T198</v>
      </c>
      <c r="B199" t="str">
        <f ca="1">IFERROR(__xludf.DUMMYFUNCTION("""COMPUTED_VALUE"""),"T199")</f>
        <v>T199</v>
      </c>
      <c r="C199" t="str">
        <f ca="1">IFERROR(__xludf.DUMMYFUNCTION("""COMPUTED_VALUE"""),"Justin Rose")</f>
        <v>Justin Rose</v>
      </c>
      <c r="D199">
        <f ca="1">IFERROR(__xludf.DUMMYFUNCTION("""COMPUTED_VALUE"""),10)</f>
        <v>10</v>
      </c>
      <c r="E199">
        <f ca="1">IFERROR(__xludf.DUMMYFUNCTION("""COMPUTED_VALUE"""),63.33)</f>
        <v>63.33</v>
      </c>
      <c r="F199">
        <f ca="1">IFERROR(__xludf.DUMMYFUNCTION("""COMPUTED_VALUE"""),114)</f>
        <v>114</v>
      </c>
      <c r="G199">
        <f ca="1">IFERROR(__xludf.DUMMYFUNCTION("""COMPUTED_VALUE"""),180)</f>
        <v>180</v>
      </c>
      <c r="H199">
        <f ca="1">IFERROR(__xludf.DUMMYFUNCTION("""COMPUTED_VALUE"""),-0.39)</f>
        <v>-0.39</v>
      </c>
    </row>
    <row r="200" spans="1:8" ht="12.75">
      <c r="A200" t="str">
        <f ca="1">IFERROR(__xludf.DUMMYFUNCTION("""COMPUTED_VALUE"""),"T198")</f>
        <v>T198</v>
      </c>
      <c r="B200" t="str">
        <f ca="1">IFERROR(__xludf.DUMMYFUNCTION("""COMPUTED_VALUE"""),"T128")</f>
        <v>T128</v>
      </c>
      <c r="C200" t="str">
        <f ca="1">IFERROR(__xludf.DUMMYFUNCTION("""COMPUTED_VALUE"""),"Bo Van Pelt")</f>
        <v>Bo Van Pelt</v>
      </c>
      <c r="D200">
        <f ca="1">IFERROR(__xludf.DUMMYFUNCTION("""COMPUTED_VALUE"""),10)</f>
        <v>10</v>
      </c>
      <c r="E200">
        <f ca="1">IFERROR(__xludf.DUMMYFUNCTION("""COMPUTED_VALUE"""),63.33)</f>
        <v>63.33</v>
      </c>
      <c r="F200">
        <f ca="1">IFERROR(__xludf.DUMMYFUNCTION("""COMPUTED_VALUE"""),114)</f>
        <v>114</v>
      </c>
      <c r="G200">
        <f ca="1">IFERROR(__xludf.DUMMYFUNCTION("""COMPUTED_VALUE"""),180)</f>
        <v>180</v>
      </c>
      <c r="H200">
        <f ca="1">IFERROR(__xludf.DUMMYFUNCTION("""COMPUTED_VALUE"""),-0.25)</f>
        <v>-0.25</v>
      </c>
    </row>
    <row r="201" spans="1:8" ht="12.75">
      <c r="A201" t="str">
        <f ca="1">IFERROR(__xludf.DUMMYFUNCTION("""COMPUTED_VALUE"""),"T198")</f>
        <v>T198</v>
      </c>
      <c r="B201" t="str">
        <f ca="1">IFERROR(__xludf.DUMMYFUNCTION("""COMPUTED_VALUE"""),"T199")</f>
        <v>T199</v>
      </c>
      <c r="C201" t="str">
        <f ca="1">IFERROR(__xludf.DUMMYFUNCTION("""COMPUTED_VALUE"""),"Bill Haas")</f>
        <v>Bill Haas</v>
      </c>
      <c r="D201">
        <f ca="1">IFERROR(__xludf.DUMMYFUNCTION("""COMPUTED_VALUE"""),10)</f>
        <v>10</v>
      </c>
      <c r="E201">
        <f ca="1">IFERROR(__xludf.DUMMYFUNCTION("""COMPUTED_VALUE"""),63.33)</f>
        <v>63.33</v>
      </c>
      <c r="F201">
        <f ca="1">IFERROR(__xludf.DUMMYFUNCTION("""COMPUTED_VALUE"""),114)</f>
        <v>114</v>
      </c>
      <c r="G201">
        <f ca="1">IFERROR(__xludf.DUMMYFUNCTION("""COMPUTED_VALUE"""),180)</f>
        <v>180</v>
      </c>
      <c r="H201">
        <f ca="1">IFERROR(__xludf.DUMMYFUNCTION("""COMPUTED_VALUE"""),-0.25)</f>
        <v>-0.25</v>
      </c>
    </row>
    <row r="202" spans="1:8" ht="12.75">
      <c r="A202" t="str">
        <f ca="1">IFERROR(__xludf.DUMMYFUNCTION("""COMPUTED_VALUE"""),"T198")</f>
        <v>T198</v>
      </c>
      <c r="B202" t="str">
        <f ca="1">IFERROR(__xludf.DUMMYFUNCTION("""COMPUTED_VALUE"""),"T138")</f>
        <v>T138</v>
      </c>
      <c r="C202" t="str">
        <f ca="1">IFERROR(__xludf.DUMMYFUNCTION("""COMPUTED_VALUE"""),"Grayson Murray")</f>
        <v>Grayson Murray</v>
      </c>
      <c r="D202">
        <f ca="1">IFERROR(__xludf.DUMMYFUNCTION("""COMPUTED_VALUE"""),10)</f>
        <v>10</v>
      </c>
      <c r="E202">
        <f ca="1">IFERROR(__xludf.DUMMYFUNCTION("""COMPUTED_VALUE"""),63.33)</f>
        <v>63.33</v>
      </c>
      <c r="F202">
        <f ca="1">IFERROR(__xludf.DUMMYFUNCTION("""COMPUTED_VALUE"""),114)</f>
        <v>114</v>
      </c>
      <c r="G202">
        <f ca="1">IFERROR(__xludf.DUMMYFUNCTION("""COMPUTED_VALUE"""),180)</f>
        <v>180</v>
      </c>
      <c r="H202">
        <f ca="1">IFERROR(__xludf.DUMMYFUNCTION("""COMPUTED_VALUE"""),-0.26)</f>
        <v>-0.26</v>
      </c>
    </row>
    <row r="203" spans="1:8" ht="12.75">
      <c r="A203" t="str">
        <f ca="1">IFERROR(__xludf.DUMMYFUNCTION("""COMPUTED_VALUE"""),"T198")</f>
        <v>T198</v>
      </c>
      <c r="B203" t="str">
        <f ca="1">IFERROR(__xludf.DUMMYFUNCTION("""COMPUTED_VALUE"""),"T199")</f>
        <v>T199</v>
      </c>
      <c r="C203" t="str">
        <f ca="1">IFERROR(__xludf.DUMMYFUNCTION("""COMPUTED_VALUE"""),"Michael Gellerman")</f>
        <v>Michael Gellerman</v>
      </c>
      <c r="D203">
        <f ca="1">IFERROR(__xludf.DUMMYFUNCTION("""COMPUTED_VALUE"""),5)</f>
        <v>5</v>
      </c>
      <c r="E203">
        <f ca="1">IFERROR(__xludf.DUMMYFUNCTION("""COMPUTED_VALUE"""),63.33)</f>
        <v>63.33</v>
      </c>
      <c r="F203">
        <f ca="1">IFERROR(__xludf.DUMMYFUNCTION("""COMPUTED_VALUE"""),57)</f>
        <v>57</v>
      </c>
      <c r="G203">
        <f ca="1">IFERROR(__xludf.DUMMYFUNCTION("""COMPUTED_VALUE"""),90)</f>
        <v>90</v>
      </c>
      <c r="H203">
        <f ca="1">IFERROR(__xludf.DUMMYFUNCTION("""COMPUTED_VALUE"""),-0.19)</f>
        <v>-0.19</v>
      </c>
    </row>
    <row r="204" spans="1:8" ht="12.75">
      <c r="A204" t="str">
        <f ca="1">IFERROR(__xludf.DUMMYFUNCTION("""COMPUTED_VALUE"""),"T198")</f>
        <v>T198</v>
      </c>
      <c r="B204" t="str">
        <f ca="1">IFERROR(__xludf.DUMMYFUNCTION("""COMPUTED_VALUE"""),"T199")</f>
        <v>T199</v>
      </c>
      <c r="C204" t="str">
        <f ca="1">IFERROR(__xludf.DUMMYFUNCTION("""COMPUTED_VALUE"""),"Ben Taylor")</f>
        <v>Ben Taylor</v>
      </c>
      <c r="D204">
        <f ca="1">IFERROR(__xludf.DUMMYFUNCTION("""COMPUTED_VALUE"""),10)</f>
        <v>10</v>
      </c>
      <c r="E204">
        <f ca="1">IFERROR(__xludf.DUMMYFUNCTION("""COMPUTED_VALUE"""),63.33)</f>
        <v>63.33</v>
      </c>
      <c r="F204">
        <f ca="1">IFERROR(__xludf.DUMMYFUNCTION("""COMPUTED_VALUE"""),114)</f>
        <v>114</v>
      </c>
      <c r="G204">
        <f ca="1">IFERROR(__xludf.DUMMYFUNCTION("""COMPUTED_VALUE"""),180)</f>
        <v>180</v>
      </c>
      <c r="H204">
        <f ca="1">IFERROR(__xludf.DUMMYFUNCTION("""COMPUTED_VALUE"""),-0.29)</f>
        <v>-0.28999999999999998</v>
      </c>
    </row>
    <row r="205" spans="1:8" ht="12.75">
      <c r="A205" t="str">
        <f ca="1">IFERROR(__xludf.DUMMYFUNCTION("""COMPUTED_VALUE"""),"T204")</f>
        <v>T204</v>
      </c>
      <c r="B205" t="str">
        <f ca="1">IFERROR(__xludf.DUMMYFUNCTION("""COMPUTED_VALUE"""),"T206")</f>
        <v>T206</v>
      </c>
      <c r="C205" t="str">
        <f ca="1">IFERROR(__xludf.DUMMYFUNCTION("""COMPUTED_VALUE"""),"John Senden")</f>
        <v>John Senden</v>
      </c>
      <c r="D205">
        <f ca="1">IFERROR(__xludf.DUMMYFUNCTION("""COMPUTED_VALUE"""),8)</f>
        <v>8</v>
      </c>
      <c r="E205">
        <f ca="1">IFERROR(__xludf.DUMMYFUNCTION("""COMPUTED_VALUE"""),63.19)</f>
        <v>63.19</v>
      </c>
      <c r="F205">
        <f ca="1">IFERROR(__xludf.DUMMYFUNCTION("""COMPUTED_VALUE"""),91)</f>
        <v>91</v>
      </c>
      <c r="G205">
        <f ca="1">IFERROR(__xludf.DUMMYFUNCTION("""COMPUTED_VALUE"""),144)</f>
        <v>144</v>
      </c>
      <c r="H205">
        <f ca="1">IFERROR(__xludf.DUMMYFUNCTION("""COMPUTED_VALUE"""),-0.24)</f>
        <v>-0.24</v>
      </c>
    </row>
    <row r="206" spans="1:8" ht="12.75">
      <c r="A206" t="str">
        <f ca="1">IFERROR(__xludf.DUMMYFUNCTION("""COMPUTED_VALUE"""),"T204")</f>
        <v>T204</v>
      </c>
      <c r="B206" t="str">
        <f ca="1">IFERROR(__xludf.DUMMYFUNCTION("""COMPUTED_VALUE"""),"T186")</f>
        <v>T186</v>
      </c>
      <c r="C206" t="str">
        <f ca="1">IFERROR(__xludf.DUMMYFUNCTION("""COMPUTED_VALUE"""),"Brandt Snedeker")</f>
        <v>Brandt Snedeker</v>
      </c>
      <c r="D206">
        <f ca="1">IFERROR(__xludf.DUMMYFUNCTION("""COMPUTED_VALUE"""),16)</f>
        <v>16</v>
      </c>
      <c r="E206">
        <f ca="1">IFERROR(__xludf.DUMMYFUNCTION("""COMPUTED_VALUE"""),63.19)</f>
        <v>63.19</v>
      </c>
      <c r="F206">
        <f ca="1">IFERROR(__xludf.DUMMYFUNCTION("""COMPUTED_VALUE"""),182)</f>
        <v>182</v>
      </c>
      <c r="G206">
        <f ca="1">IFERROR(__xludf.DUMMYFUNCTION("""COMPUTED_VALUE"""),288)</f>
        <v>288</v>
      </c>
      <c r="H206">
        <f ca="1">IFERROR(__xludf.DUMMYFUNCTION("""COMPUTED_VALUE"""),-0.36)</f>
        <v>-0.36</v>
      </c>
    </row>
    <row r="207" spans="1:8" ht="12.75">
      <c r="A207" t="str">
        <f ca="1">IFERROR(__xludf.DUMMYFUNCTION("""COMPUTED_VALUE"""),"T204")</f>
        <v>T204</v>
      </c>
      <c r="B207" t="str">
        <f ca="1">IFERROR(__xludf.DUMMYFUNCTION("""COMPUTED_VALUE"""),"T206")</f>
        <v>T206</v>
      </c>
      <c r="C207" t="str">
        <f ca="1">IFERROR(__xludf.DUMMYFUNCTION("""COMPUTED_VALUE"""),"Sangmoon Bae")</f>
        <v>Sangmoon Bae</v>
      </c>
      <c r="D207">
        <f ca="1">IFERROR(__xludf.DUMMYFUNCTION("""COMPUTED_VALUE"""),8)</f>
        <v>8</v>
      </c>
      <c r="E207">
        <f ca="1">IFERROR(__xludf.DUMMYFUNCTION("""COMPUTED_VALUE"""),63.19)</f>
        <v>63.19</v>
      </c>
      <c r="F207">
        <f ca="1">IFERROR(__xludf.DUMMYFUNCTION("""COMPUTED_VALUE"""),91)</f>
        <v>91</v>
      </c>
      <c r="G207">
        <f ca="1">IFERROR(__xludf.DUMMYFUNCTION("""COMPUTED_VALUE"""),144)</f>
        <v>144</v>
      </c>
      <c r="H207">
        <f ca="1">IFERROR(__xludf.DUMMYFUNCTION("""COMPUTED_VALUE"""),-0.24)</f>
        <v>-0.24</v>
      </c>
    </row>
    <row r="208" spans="1:8" ht="12.75">
      <c r="A208">
        <f ca="1">IFERROR(__xludf.DUMMYFUNCTION("""COMPUTED_VALUE"""),207)</f>
        <v>207</v>
      </c>
      <c r="B208" t="str">
        <f ca="1">IFERROR(__xludf.DUMMYFUNCTION("""COMPUTED_VALUE"""),"T184")</f>
        <v>T184</v>
      </c>
      <c r="C208" t="str">
        <f ca="1">IFERROR(__xludf.DUMMYFUNCTION("""COMPUTED_VALUE"""),"Scott Brown")</f>
        <v>Scott Brown</v>
      </c>
      <c r="D208">
        <f ca="1">IFERROR(__xludf.DUMMYFUNCTION("""COMPUTED_VALUE"""),14)</f>
        <v>14</v>
      </c>
      <c r="E208">
        <f ca="1">IFERROR(__xludf.DUMMYFUNCTION("""COMPUTED_VALUE"""),63.1)</f>
        <v>63.1</v>
      </c>
      <c r="F208">
        <f ca="1">IFERROR(__xludf.DUMMYFUNCTION("""COMPUTED_VALUE"""),159)</f>
        <v>159</v>
      </c>
      <c r="G208">
        <f ca="1">IFERROR(__xludf.DUMMYFUNCTION("""COMPUTED_VALUE"""),252)</f>
        <v>252</v>
      </c>
      <c r="H208">
        <f ca="1">IFERROR(__xludf.DUMMYFUNCTION("""COMPUTED_VALUE"""),-0.27)</f>
        <v>-0.27</v>
      </c>
    </row>
    <row r="209" spans="1:8" ht="12.75">
      <c r="A209">
        <f ca="1">IFERROR(__xludf.DUMMYFUNCTION("""COMPUTED_VALUE"""),208)</f>
        <v>208</v>
      </c>
      <c r="B209" t="str">
        <f ca="1">IFERROR(__xludf.DUMMYFUNCTION("""COMPUTED_VALUE"""),"T208")</f>
        <v>T208</v>
      </c>
      <c r="C209" t="str">
        <f ca="1">IFERROR(__xludf.DUMMYFUNCTION("""COMPUTED_VALUE"""),"Wes Roach")</f>
        <v>Wes Roach</v>
      </c>
      <c r="D209">
        <f ca="1">IFERROR(__xludf.DUMMYFUNCTION("""COMPUTED_VALUE"""),6)</f>
        <v>6</v>
      </c>
      <c r="E209">
        <f ca="1">IFERROR(__xludf.DUMMYFUNCTION("""COMPUTED_VALUE"""),62.96)</f>
        <v>62.96</v>
      </c>
      <c r="F209">
        <f ca="1">IFERROR(__xludf.DUMMYFUNCTION("""COMPUTED_VALUE"""),68)</f>
        <v>68</v>
      </c>
      <c r="G209">
        <f ca="1">IFERROR(__xludf.DUMMYFUNCTION("""COMPUTED_VALUE"""),108)</f>
        <v>108</v>
      </c>
      <c r="H209">
        <f ca="1">IFERROR(__xludf.DUMMYFUNCTION("""COMPUTED_VALUE"""),-0.28)</f>
        <v>-0.28000000000000003</v>
      </c>
    </row>
    <row r="210" spans="1:8" ht="12.75">
      <c r="A210">
        <f ca="1">IFERROR(__xludf.DUMMYFUNCTION("""COMPUTED_VALUE"""),209)</f>
        <v>209</v>
      </c>
      <c r="B210">
        <f ca="1">IFERROR(__xludf.DUMMYFUNCTION("""COMPUTED_VALUE"""),211)</f>
        <v>211</v>
      </c>
      <c r="C210" t="str">
        <f ca="1">IFERROR(__xludf.DUMMYFUNCTION("""COMPUTED_VALUE"""),"Troy Merritt")</f>
        <v>Troy Merritt</v>
      </c>
      <c r="D210">
        <f ca="1">IFERROR(__xludf.DUMMYFUNCTION("""COMPUTED_VALUE"""),20)</f>
        <v>20</v>
      </c>
      <c r="E210">
        <f ca="1">IFERROR(__xludf.DUMMYFUNCTION("""COMPUTED_VALUE"""),62.78)</f>
        <v>62.78</v>
      </c>
      <c r="F210">
        <f ca="1">IFERROR(__xludf.DUMMYFUNCTION("""COMPUTED_VALUE"""),226)</f>
        <v>226</v>
      </c>
      <c r="G210">
        <f ca="1">IFERROR(__xludf.DUMMYFUNCTION("""COMPUTED_VALUE"""),360)</f>
        <v>360</v>
      </c>
      <c r="H210">
        <f ca="1">IFERROR(__xludf.DUMMYFUNCTION("""COMPUTED_VALUE"""),-0.23)</f>
        <v>-0.23</v>
      </c>
    </row>
    <row r="211" spans="1:8" ht="12.75">
      <c r="A211">
        <f ca="1">IFERROR(__xludf.DUMMYFUNCTION("""COMPUTED_VALUE"""),210)</f>
        <v>210</v>
      </c>
      <c r="B211" t="str">
        <f ca="1">IFERROR(__xludf.DUMMYFUNCTION("""COMPUTED_VALUE"""),"T165")</f>
        <v>T165</v>
      </c>
      <c r="C211" t="str">
        <f ca="1">IFERROR(__xludf.DUMMYFUNCTION("""COMPUTED_VALUE"""),"Kelly Kraft")</f>
        <v>Kelly Kraft</v>
      </c>
      <c r="D211">
        <f ca="1">IFERROR(__xludf.DUMMYFUNCTION("""COMPUTED_VALUE"""),14)</f>
        <v>14</v>
      </c>
      <c r="E211">
        <f ca="1">IFERROR(__xludf.DUMMYFUNCTION("""COMPUTED_VALUE"""),62.7)</f>
        <v>62.7</v>
      </c>
      <c r="F211">
        <f ca="1">IFERROR(__xludf.DUMMYFUNCTION("""COMPUTED_VALUE"""),158)</f>
        <v>158</v>
      </c>
      <c r="G211">
        <f ca="1">IFERROR(__xludf.DUMMYFUNCTION("""COMPUTED_VALUE"""),252)</f>
        <v>252</v>
      </c>
      <c r="H211">
        <f ca="1">IFERROR(__xludf.DUMMYFUNCTION("""COMPUTED_VALUE"""),-0.31)</f>
        <v>-0.31</v>
      </c>
    </row>
    <row r="212" spans="1:8" ht="12.75">
      <c r="A212">
        <f ca="1">IFERROR(__xludf.DUMMYFUNCTION("""COMPUTED_VALUE"""),211)</f>
        <v>211</v>
      </c>
      <c r="B212" t="str">
        <f ca="1">IFERROR(__xludf.DUMMYFUNCTION("""COMPUTED_VALUE"""),"T176")</f>
        <v>T176</v>
      </c>
      <c r="C212" t="str">
        <f ca="1">IFERROR(__xludf.DUMMYFUNCTION("""COMPUTED_VALUE"""),"Jamie Lovemark")</f>
        <v>Jamie Lovemark</v>
      </c>
      <c r="D212">
        <f ca="1">IFERROR(__xludf.DUMMYFUNCTION("""COMPUTED_VALUE"""),18)</f>
        <v>18</v>
      </c>
      <c r="E212">
        <f ca="1">IFERROR(__xludf.DUMMYFUNCTION("""COMPUTED_VALUE"""),62.65)</f>
        <v>62.65</v>
      </c>
      <c r="F212">
        <f ca="1">IFERROR(__xludf.DUMMYFUNCTION("""COMPUTED_VALUE"""),203)</f>
        <v>203</v>
      </c>
      <c r="G212">
        <f ca="1">IFERROR(__xludf.DUMMYFUNCTION("""COMPUTED_VALUE"""),324)</f>
        <v>324</v>
      </c>
      <c r="H212">
        <f ca="1">IFERROR(__xludf.DUMMYFUNCTION("""COMPUTED_VALUE"""),-0.27)</f>
        <v>-0.27</v>
      </c>
    </row>
    <row r="213" spans="1:8" ht="12.75">
      <c r="A213" t="str">
        <f ca="1">IFERROR(__xludf.DUMMYFUNCTION("""COMPUTED_VALUE"""),"T212")</f>
        <v>T212</v>
      </c>
      <c r="B213" t="str">
        <f ca="1">IFERROR(__xludf.DUMMYFUNCTION("""COMPUTED_VALUE"""),"T199")</f>
        <v>T199</v>
      </c>
      <c r="C213" t="str">
        <f ca="1">IFERROR(__xludf.DUMMYFUNCTION("""COMPUTED_VALUE"""),"Phil Mickelson")</f>
        <v>Phil Mickelson</v>
      </c>
      <c r="D213">
        <f ca="1">IFERROR(__xludf.DUMMYFUNCTION("""COMPUTED_VALUE"""),12)</f>
        <v>12</v>
      </c>
      <c r="E213">
        <f ca="1">IFERROR(__xludf.DUMMYFUNCTION("""COMPUTED_VALUE"""),62.5)</f>
        <v>62.5</v>
      </c>
      <c r="F213">
        <f ca="1">IFERROR(__xludf.DUMMYFUNCTION("""COMPUTED_VALUE"""),135)</f>
        <v>135</v>
      </c>
      <c r="G213">
        <f ca="1">IFERROR(__xludf.DUMMYFUNCTION("""COMPUTED_VALUE"""),216)</f>
        <v>216</v>
      </c>
      <c r="H213">
        <f ca="1">IFERROR(__xludf.DUMMYFUNCTION("""COMPUTED_VALUE"""),-0.29)</f>
        <v>-0.28999999999999998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IFERROR(__xludf.DUMMYFUNCTION("""COMPUTED_VALUE"""),"T208")</f>
        <v>T208</v>
      </c>
      <c r="C214" t="str">
        <f ca="1">IFERROR(__xludf.DUMMYFUNCTION("""COMPUTED_VALUE"""),"Ted Potter, Jr.")</f>
        <v>Ted Potter, Jr.</v>
      </c>
      <c r="D214">
        <f ca="1">IFERROR(__xludf.DUMMYFUNCTION("""COMPUTED_VALUE"""),8)</f>
        <v>8</v>
      </c>
      <c r="E214">
        <f ca="1">IFERROR(__xludf.DUMMYFUNCTION("""COMPUTED_VALUE"""),62.5)</f>
        <v>62.5</v>
      </c>
      <c r="F214">
        <f ca="1">IFERROR(__xludf.DUMMYFUNCTION("""COMPUTED_VALUE"""),90)</f>
        <v>90</v>
      </c>
      <c r="G214">
        <f ca="1">IFERROR(__xludf.DUMMYFUNCTION("""COMPUTED_VALUE"""),144)</f>
        <v>144</v>
      </c>
      <c r="H214">
        <f ca="1">IFERROR(__xludf.DUMMYFUNCTION("""COMPUTED_VALUE"""),-0.21)</f>
        <v>-0.21</v>
      </c>
    </row>
    <row r="215" spans="1:8" ht="12.75">
      <c r="A215" t="str">
        <f ca="1">IFERROR(__xludf.DUMMYFUNCTION("""COMPUTED_VALUE"""),"T212")</f>
        <v>T212</v>
      </c>
      <c r="B215" t="str">
        <f ca="1">IFERROR(__xludf.DUMMYFUNCTION("""COMPUTED_VALUE"""),"T213")</f>
        <v>T213</v>
      </c>
      <c r="C215" t="str">
        <f ca="1">IFERROR(__xludf.DUMMYFUNCTION("""COMPUTED_VALUE"""),"Matthias Schwab")</f>
        <v>Matthias Schwab</v>
      </c>
      <c r="D215">
        <f ca="1">IFERROR(__xludf.DUMMYFUNCTION("""COMPUTED_VALUE"""),8)</f>
        <v>8</v>
      </c>
      <c r="E215">
        <f ca="1">IFERROR(__xludf.DUMMYFUNCTION("""COMPUTED_VALUE"""),62.5)</f>
        <v>62.5</v>
      </c>
      <c r="F215">
        <f ca="1">IFERROR(__xludf.DUMMYFUNCTION("""COMPUTED_VALUE"""),90)</f>
        <v>90</v>
      </c>
      <c r="G215">
        <f ca="1">IFERROR(__xludf.DUMMYFUNCTION("""COMPUTED_VALUE"""),144)</f>
        <v>144</v>
      </c>
      <c r="H215">
        <f ca="1">IFERROR(__xludf.DUMMYFUNCTION("""COMPUTED_VALUE"""),-0.11)</f>
        <v>-0.11</v>
      </c>
    </row>
    <row r="216" spans="1:8" ht="12.75">
      <c r="A216" t="str">
        <f ca="1">IFERROR(__xludf.DUMMYFUNCTION("""COMPUTED_VALUE"""),"T212")</f>
        <v>T212</v>
      </c>
      <c r="B216" t="str">
        <f ca="1">IFERROR(__xludf.DUMMYFUNCTION("""COMPUTED_VALUE"""),"T213")</f>
        <v>T213</v>
      </c>
      <c r="C216" t="str">
        <f ca="1">IFERROR(__xludf.DUMMYFUNCTION("""COMPUTED_VALUE"""),"Naoki Sekito")</f>
        <v>Naoki Sekito</v>
      </c>
      <c r="D216">
        <f ca="1">IFERROR(__xludf.DUMMYFUNCTION("""COMPUTED_VALUE"""),4)</f>
        <v>4</v>
      </c>
      <c r="E216">
        <f ca="1">IFERROR(__xludf.DUMMYFUNCTION("""COMPUTED_VALUE"""),62.5)</f>
        <v>62.5</v>
      </c>
      <c r="F216">
        <f ca="1">IFERROR(__xludf.DUMMYFUNCTION("""COMPUTED_VALUE"""),45)</f>
        <v>45</v>
      </c>
      <c r="G216">
        <f ca="1">IFERROR(__xludf.DUMMYFUNCTION("""COMPUTED_VALUE"""),72)</f>
        <v>72</v>
      </c>
      <c r="H216">
        <f ca="1">IFERROR(__xludf.DUMMYFUNCTION("""COMPUTED_VALUE"""),-0.36)</f>
        <v>-0.36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IFERROR(__xludf.DUMMYFUNCTION("""COMPUTED_VALUE"""),216)</f>
        <v>216</v>
      </c>
      <c r="C217" t="str">
        <f ca="1">IFERROR(__xludf.DUMMYFUNCTION("""COMPUTED_VALUE"""),"Rafa Cabrera Bello")</f>
        <v>Rafa Cabrera Bello</v>
      </c>
      <c r="D217">
        <f ca="1">IFERROR(__xludf.DUMMYFUNCTION("""COMPUTED_VALUE"""),14)</f>
        <v>14</v>
      </c>
      <c r="E217">
        <f ca="1">IFERROR(__xludf.DUMMYFUNCTION("""COMPUTED_VALUE"""),62.3)</f>
        <v>62.3</v>
      </c>
      <c r="F217">
        <f ca="1">IFERROR(__xludf.DUMMYFUNCTION("""COMPUTED_VALUE"""),157)</f>
        <v>157</v>
      </c>
      <c r="G217">
        <f ca="1">IFERROR(__xludf.DUMMYFUNCTION("""COMPUTED_VALUE"""),252)</f>
        <v>252</v>
      </c>
      <c r="H217">
        <f ca="1">IFERROR(__xludf.DUMMYFUNCTION("""COMPUTED_VALUE"""),-0.3)</f>
        <v>-0.3</v>
      </c>
    </row>
    <row r="218" spans="1:8" ht="12.75">
      <c r="A218" t="str">
        <f ca="1">IFERROR(__xludf.DUMMYFUNCTION("""COMPUTED_VALUE"""),"T217")</f>
        <v>T217</v>
      </c>
      <c r="B218">
        <f ca="1">IFERROR(__xludf.DUMMYFUNCTION("""COMPUTED_VALUE"""),204)</f>
        <v>204</v>
      </c>
      <c r="C218" t="str">
        <f ca="1">IFERROR(__xludf.DUMMYFUNCTION("""COMPUTED_VALUE"""),"Kyoung-Hoon Lee")</f>
        <v>Kyoung-Hoon Lee</v>
      </c>
      <c r="D218">
        <f ca="1">IFERROR(__xludf.DUMMYFUNCTION("""COMPUTED_VALUE"""),20)</f>
        <v>20</v>
      </c>
      <c r="E218">
        <f ca="1">IFERROR(__xludf.DUMMYFUNCTION("""COMPUTED_VALUE"""),61.94)</f>
        <v>61.94</v>
      </c>
      <c r="F218">
        <f ca="1">IFERROR(__xludf.DUMMYFUNCTION("""COMPUTED_VALUE"""),223)</f>
        <v>223</v>
      </c>
      <c r="G218">
        <f ca="1">IFERROR(__xludf.DUMMYFUNCTION("""COMPUTED_VALUE"""),360)</f>
        <v>360</v>
      </c>
      <c r="H218">
        <f ca="1">IFERROR(__xludf.DUMMYFUNCTION("""COMPUTED_VALUE"""),-0.26)</f>
        <v>-0.26</v>
      </c>
    </row>
    <row r="219" spans="1:8" ht="12.75">
      <c r="A219" t="str">
        <f ca="1">IFERROR(__xludf.DUMMYFUNCTION("""COMPUTED_VALUE"""),"T217")</f>
        <v>T217</v>
      </c>
      <c r="B219" t="str">
        <f ca="1">IFERROR(__xludf.DUMMYFUNCTION("""COMPUTED_VALUE"""),"T230")</f>
        <v>T230</v>
      </c>
      <c r="C219" t="str">
        <f ca="1">IFERROR(__xludf.DUMMYFUNCTION("""COMPUTED_VALUE"""),"Mark Hubbard")</f>
        <v>Mark Hubbard</v>
      </c>
      <c r="D219">
        <f ca="1">IFERROR(__xludf.DUMMYFUNCTION("""COMPUTED_VALUE"""),20)</f>
        <v>20</v>
      </c>
      <c r="E219">
        <f ca="1">IFERROR(__xludf.DUMMYFUNCTION("""COMPUTED_VALUE"""),61.94)</f>
        <v>61.94</v>
      </c>
      <c r="F219">
        <f ca="1">IFERROR(__xludf.DUMMYFUNCTION("""COMPUTED_VALUE"""),223)</f>
        <v>223</v>
      </c>
      <c r="G219">
        <f ca="1">IFERROR(__xludf.DUMMYFUNCTION("""COMPUTED_VALUE"""),360)</f>
        <v>360</v>
      </c>
      <c r="H219">
        <f ca="1">IFERROR(__xludf.DUMMYFUNCTION("""COMPUTED_VALUE"""),-0.33)</f>
        <v>-0.33</v>
      </c>
    </row>
    <row r="220" spans="1:8" ht="12.75">
      <c r="A220">
        <f ca="1">IFERROR(__xludf.DUMMYFUNCTION("""COMPUTED_VALUE"""),219)</f>
        <v>219</v>
      </c>
      <c r="B220">
        <f ca="1">IFERROR(__xludf.DUMMYFUNCTION("""COMPUTED_VALUE"""),219)</f>
        <v>219</v>
      </c>
      <c r="C220" t="str">
        <f ca="1">IFERROR(__xludf.DUMMYFUNCTION("""COMPUTED_VALUE"""),"Adam Hadwin")</f>
        <v>Adam Hadwin</v>
      </c>
      <c r="D220">
        <f ca="1">IFERROR(__xludf.DUMMYFUNCTION("""COMPUTED_VALUE"""),16)</f>
        <v>16</v>
      </c>
      <c r="E220">
        <f ca="1">IFERROR(__xludf.DUMMYFUNCTION("""COMPUTED_VALUE"""),61.81)</f>
        <v>61.81</v>
      </c>
      <c r="F220">
        <f ca="1">IFERROR(__xludf.DUMMYFUNCTION("""COMPUTED_VALUE"""),178)</f>
        <v>178</v>
      </c>
      <c r="G220">
        <f ca="1">IFERROR(__xludf.DUMMYFUNCTION("""COMPUTED_VALUE"""),288)</f>
        <v>288</v>
      </c>
      <c r="H220">
        <f ca="1">IFERROR(__xludf.DUMMYFUNCTION("""COMPUTED_VALUE"""),-0.33)</f>
        <v>-0.33</v>
      </c>
    </row>
    <row r="221" spans="1:8" ht="12.75">
      <c r="A221" t="str">
        <f ca="1">IFERROR(__xludf.DUMMYFUNCTION("""COMPUTED_VALUE"""),"T220")</f>
        <v>T220</v>
      </c>
      <c r="B221">
        <f ca="1">IFERROR(__xludf.DUMMYFUNCTION("""COMPUTED_VALUE"""),183)</f>
        <v>183</v>
      </c>
      <c r="C221" t="str">
        <f ca="1">IFERROR(__xludf.DUMMYFUNCTION("""COMPUTED_VALUE"""),"Bronson Burgoon")</f>
        <v>Bronson Burgoon</v>
      </c>
      <c r="D221">
        <f ca="1">IFERROR(__xludf.DUMMYFUNCTION("""COMPUTED_VALUE"""),10)</f>
        <v>10</v>
      </c>
      <c r="E221">
        <f ca="1">IFERROR(__xludf.DUMMYFUNCTION("""COMPUTED_VALUE"""),61.67)</f>
        <v>61.67</v>
      </c>
      <c r="F221">
        <f ca="1">IFERROR(__xludf.DUMMYFUNCTION("""COMPUTED_VALUE"""),111)</f>
        <v>111</v>
      </c>
      <c r="G221">
        <f ca="1">IFERROR(__xludf.DUMMYFUNCTION("""COMPUTED_VALUE"""),180)</f>
        <v>180</v>
      </c>
      <c r="H221">
        <f ca="1">IFERROR(__xludf.DUMMYFUNCTION("""COMPUTED_VALUE"""),-0.23)</f>
        <v>-0.23</v>
      </c>
    </row>
    <row r="222" spans="1:8" ht="12.75">
      <c r="A222" t="str">
        <f ca="1">IFERROR(__xludf.DUMMYFUNCTION("""COMPUTED_VALUE"""),"T220")</f>
        <v>T220</v>
      </c>
      <c r="B222">
        <f ca="1">IFERROR(__xludf.DUMMYFUNCTION("""COMPUTED_VALUE"""),221)</f>
        <v>221</v>
      </c>
      <c r="C222" t="str">
        <f ca="1">IFERROR(__xludf.DUMMYFUNCTION("""COMPUTED_VALUE"""),"Rhein Gibson")</f>
        <v>Rhein Gibson</v>
      </c>
      <c r="D222">
        <f ca="1">IFERROR(__xludf.DUMMYFUNCTION("""COMPUTED_VALUE"""),10)</f>
        <v>10</v>
      </c>
      <c r="E222">
        <f ca="1">IFERROR(__xludf.DUMMYFUNCTION("""COMPUTED_VALUE"""),61.67)</f>
        <v>61.67</v>
      </c>
      <c r="F222">
        <f ca="1">IFERROR(__xludf.DUMMYFUNCTION("""COMPUTED_VALUE"""),111)</f>
        <v>111</v>
      </c>
      <c r="G222">
        <f ca="1">IFERROR(__xludf.DUMMYFUNCTION("""COMPUTED_VALUE"""),180)</f>
        <v>180</v>
      </c>
      <c r="H222">
        <f ca="1">IFERROR(__xludf.DUMMYFUNCTION("""COMPUTED_VALUE"""),-0.32)</f>
        <v>-0.32</v>
      </c>
    </row>
    <row r="223" spans="1:8" ht="12.75">
      <c r="A223">
        <f ca="1">IFERROR(__xludf.DUMMYFUNCTION("""COMPUTED_VALUE"""),222)</f>
        <v>222</v>
      </c>
      <c r="B223" t="str">
        <f ca="1">IFERROR(__xludf.DUMMYFUNCTION("""COMPUTED_VALUE"""),"T213")</f>
        <v>T213</v>
      </c>
      <c r="C223" t="str">
        <f ca="1">IFERROR(__xludf.DUMMYFUNCTION("""COMPUTED_VALUE"""),"Sung Kang")</f>
        <v>Sung Kang</v>
      </c>
      <c r="D223">
        <f ca="1">IFERROR(__xludf.DUMMYFUNCTION("""COMPUTED_VALUE"""),14)</f>
        <v>14</v>
      </c>
      <c r="E223">
        <f ca="1">IFERROR(__xludf.DUMMYFUNCTION("""COMPUTED_VALUE"""),61.51)</f>
        <v>61.51</v>
      </c>
      <c r="F223">
        <f ca="1">IFERROR(__xludf.DUMMYFUNCTION("""COMPUTED_VALUE"""),155)</f>
        <v>155</v>
      </c>
      <c r="G223">
        <f ca="1">IFERROR(__xludf.DUMMYFUNCTION("""COMPUTED_VALUE"""),252)</f>
        <v>252</v>
      </c>
      <c r="H223">
        <f ca="1">IFERROR(__xludf.DUMMYFUNCTION("""COMPUTED_VALUE"""),-0.23)</f>
        <v>-0.23</v>
      </c>
    </row>
    <row r="224" spans="1:8" ht="12.75">
      <c r="A224" t="str">
        <f ca="1">IFERROR(__xludf.DUMMYFUNCTION("""COMPUTED_VALUE"""),"T223")</f>
        <v>T223</v>
      </c>
      <c r="B224" t="str">
        <f ca="1">IFERROR(__xludf.DUMMYFUNCTION("""COMPUTED_VALUE"""),"T223")</f>
        <v>T223</v>
      </c>
      <c r="C224" t="str">
        <f ca="1">IFERROR(__xludf.DUMMYFUNCTION("""COMPUTED_VALUE"""),"Tiger Woods")</f>
        <v>Tiger Woods</v>
      </c>
      <c r="D224">
        <f ca="1">IFERROR(__xludf.DUMMYFUNCTION("""COMPUTED_VALUE"""),6)</f>
        <v>6</v>
      </c>
      <c r="E224">
        <f ca="1">IFERROR(__xludf.DUMMYFUNCTION("""COMPUTED_VALUE"""),61.11)</f>
        <v>61.11</v>
      </c>
      <c r="F224">
        <f ca="1">IFERROR(__xludf.DUMMYFUNCTION("""COMPUTED_VALUE"""),66)</f>
        <v>66</v>
      </c>
      <c r="G224">
        <f ca="1">IFERROR(__xludf.DUMMYFUNCTION("""COMPUTED_VALUE"""),108)</f>
        <v>108</v>
      </c>
      <c r="H224">
        <f ca="1">IFERROR(__xludf.DUMMYFUNCTION("""COMPUTED_VALUE"""),-0.29)</f>
        <v>-0.28999999999999998</v>
      </c>
    </row>
    <row r="225" spans="1:8" ht="12.75">
      <c r="A225" t="str">
        <f ca="1">IFERROR(__xludf.DUMMYFUNCTION("""COMPUTED_VALUE"""),"T223")</f>
        <v>T223</v>
      </c>
      <c r="B225" t="str">
        <f ca="1">IFERROR(__xludf.DUMMYFUNCTION("""COMPUTED_VALUE"""),"")</f>
        <v/>
      </c>
      <c r="C225" t="str">
        <f ca="1">IFERROR(__xludf.DUMMYFUNCTION("""COMPUTED_VALUE"""),"Greg Chalmers")</f>
        <v>Greg Chalmers</v>
      </c>
      <c r="D225">
        <f ca="1">IFERROR(__xludf.DUMMYFUNCTION("""COMPUTED_VALUE"""),6)</f>
        <v>6</v>
      </c>
      <c r="E225">
        <f ca="1">IFERROR(__xludf.DUMMYFUNCTION("""COMPUTED_VALUE"""),61.11)</f>
        <v>61.11</v>
      </c>
      <c r="F225">
        <f ca="1">IFERROR(__xludf.DUMMYFUNCTION("""COMPUTED_VALUE"""),66)</f>
        <v>66</v>
      </c>
      <c r="G225">
        <f ca="1">IFERROR(__xludf.DUMMYFUNCTION("""COMPUTED_VALUE"""),108)</f>
        <v>108</v>
      </c>
      <c r="H225">
        <f ca="1">IFERROR(__xludf.DUMMYFUNCTION("""COMPUTED_VALUE"""),-0.24)</f>
        <v>-0.24</v>
      </c>
    </row>
    <row r="226" spans="1:8" ht="12.75">
      <c r="A226" t="str">
        <f ca="1">IFERROR(__xludf.DUMMYFUNCTION("""COMPUTED_VALUE"""),"T223")</f>
        <v>T223</v>
      </c>
      <c r="B226" t="str">
        <f ca="1">IFERROR(__xludf.DUMMYFUNCTION("""COMPUTED_VALUE"""),"T223")</f>
        <v>T223</v>
      </c>
      <c r="C226" t="str">
        <f ca="1">IFERROR(__xludf.DUMMYFUNCTION("""COMPUTED_VALUE"""),"Charles Howell III")</f>
        <v>Charles Howell III</v>
      </c>
      <c r="D226">
        <f ca="1">IFERROR(__xludf.DUMMYFUNCTION("""COMPUTED_VALUE"""),10)</f>
        <v>10</v>
      </c>
      <c r="E226">
        <f ca="1">IFERROR(__xludf.DUMMYFUNCTION("""COMPUTED_VALUE"""),61.11)</f>
        <v>61.11</v>
      </c>
      <c r="F226">
        <f ca="1">IFERROR(__xludf.DUMMYFUNCTION("""COMPUTED_VALUE"""),110)</f>
        <v>110</v>
      </c>
      <c r="G226">
        <f ca="1">IFERROR(__xludf.DUMMYFUNCTION("""COMPUTED_VALUE"""),180)</f>
        <v>180</v>
      </c>
      <c r="H226">
        <f ca="1">IFERROR(__xludf.DUMMYFUNCTION("""COMPUTED_VALUE"""),-0.26)</f>
        <v>-0.26</v>
      </c>
    </row>
    <row r="227" spans="1:8" ht="12.75">
      <c r="A227" t="str">
        <f ca="1">IFERROR(__xludf.DUMMYFUNCTION("""COMPUTED_VALUE"""),"T223")</f>
        <v>T223</v>
      </c>
      <c r="B227" t="str">
        <f ca="1">IFERROR(__xludf.DUMMYFUNCTION("""COMPUTED_VALUE"""),"T223")</f>
        <v>T223</v>
      </c>
      <c r="C227" t="str">
        <f ca="1">IFERROR(__xludf.DUMMYFUNCTION("""COMPUTED_VALUE"""),"Josh Teater")</f>
        <v>Josh Teater</v>
      </c>
      <c r="D227">
        <f ca="1">IFERROR(__xludf.DUMMYFUNCTION("""COMPUTED_VALUE"""),6)</f>
        <v>6</v>
      </c>
      <c r="E227">
        <f ca="1">IFERROR(__xludf.DUMMYFUNCTION("""COMPUTED_VALUE"""),61.11)</f>
        <v>61.11</v>
      </c>
      <c r="F227">
        <f ca="1">IFERROR(__xludf.DUMMYFUNCTION("""COMPUTED_VALUE"""),66)</f>
        <v>66</v>
      </c>
      <c r="G227">
        <f ca="1">IFERROR(__xludf.DUMMYFUNCTION("""COMPUTED_VALUE"""),108)</f>
        <v>108</v>
      </c>
      <c r="H227">
        <f ca="1">IFERROR(__xludf.DUMMYFUNCTION("""COMPUTED_VALUE"""),-0.32)</f>
        <v>-0.32</v>
      </c>
    </row>
    <row r="228" spans="1:8" ht="12.75">
      <c r="A228" t="str">
        <f ca="1">IFERROR(__xludf.DUMMYFUNCTION("""COMPUTED_VALUE"""),"T223")</f>
        <v>T223</v>
      </c>
      <c r="B228" t="str">
        <f ca="1">IFERROR(__xludf.DUMMYFUNCTION("""COMPUTED_VALUE"""),"")</f>
        <v/>
      </c>
      <c r="C228" t="str">
        <f ca="1">IFERROR(__xludf.DUMMYFUNCTION("""COMPUTED_VALUE"""),"Erik Barnes")</f>
        <v>Erik Barnes</v>
      </c>
      <c r="D228">
        <f ca="1">IFERROR(__xludf.DUMMYFUNCTION("""COMPUTED_VALUE"""),4)</f>
        <v>4</v>
      </c>
      <c r="E228">
        <f ca="1">IFERROR(__xludf.DUMMYFUNCTION("""COMPUTED_VALUE"""),61.11)</f>
        <v>61.11</v>
      </c>
      <c r="F228">
        <f ca="1">IFERROR(__xludf.DUMMYFUNCTION("""COMPUTED_VALUE"""),44)</f>
        <v>44</v>
      </c>
      <c r="G228">
        <f ca="1">IFERROR(__xludf.DUMMYFUNCTION("""COMPUTED_VALUE"""),72)</f>
        <v>72</v>
      </c>
      <c r="H228">
        <f ca="1">IFERROR(__xludf.DUMMYFUNCTION("""COMPUTED_VALUE"""),-0.25)</f>
        <v>-0.25</v>
      </c>
    </row>
    <row r="229" spans="1:8" ht="12.75">
      <c r="A229" t="str">
        <f ca="1">IFERROR(__xludf.DUMMYFUNCTION("""COMPUTED_VALUE"""),"T223")</f>
        <v>T223</v>
      </c>
      <c r="B229" t="str">
        <f ca="1">IFERROR(__xludf.DUMMYFUNCTION("""COMPUTED_VALUE"""),"T223")</f>
        <v>T223</v>
      </c>
      <c r="C229" t="str">
        <f ca="1">IFERROR(__xludf.DUMMYFUNCTION("""COMPUTED_VALUE"""),"Mikumu Horikawa")</f>
        <v>Mikumu Horikawa</v>
      </c>
      <c r="D229">
        <f ca="1">IFERROR(__xludf.DUMMYFUNCTION("""COMPUTED_VALUE"""),4)</f>
        <v>4</v>
      </c>
      <c r="E229">
        <f ca="1">IFERROR(__xludf.DUMMYFUNCTION("""COMPUTED_VALUE"""),61.11)</f>
        <v>61.11</v>
      </c>
      <c r="F229">
        <f ca="1">IFERROR(__xludf.DUMMYFUNCTION("""COMPUTED_VALUE"""),44)</f>
        <v>44</v>
      </c>
      <c r="G229">
        <f ca="1">IFERROR(__xludf.DUMMYFUNCTION("""COMPUTED_VALUE"""),72)</f>
        <v>72</v>
      </c>
      <c r="H229">
        <f ca="1">IFERROR(__xludf.DUMMYFUNCTION("""COMPUTED_VALUE"""),-0.41)</f>
        <v>-0.41</v>
      </c>
    </row>
    <row r="230" spans="1:8" ht="12.75">
      <c r="A230" t="str">
        <f ca="1">IFERROR(__xludf.DUMMYFUNCTION("""COMPUTED_VALUE"""),"T223")</f>
        <v>T223</v>
      </c>
      <c r="B230" t="str">
        <f ca="1">IFERROR(__xludf.DUMMYFUNCTION("""COMPUTED_VALUE"""),"T223")</f>
        <v>T223</v>
      </c>
      <c r="C230" t="str">
        <f ca="1">IFERROR(__xludf.DUMMYFUNCTION("""COMPUTED_VALUE"""),"Daniel Berger")</f>
        <v>Daniel Berger</v>
      </c>
      <c r="D230">
        <f ca="1">IFERROR(__xludf.DUMMYFUNCTION("""COMPUTED_VALUE"""),12)</f>
        <v>12</v>
      </c>
      <c r="E230">
        <f ca="1">IFERROR(__xludf.DUMMYFUNCTION("""COMPUTED_VALUE"""),61.11)</f>
        <v>61.11</v>
      </c>
      <c r="F230">
        <f ca="1">IFERROR(__xludf.DUMMYFUNCTION("""COMPUTED_VALUE"""),132)</f>
        <v>132</v>
      </c>
      <c r="G230">
        <f ca="1">IFERROR(__xludf.DUMMYFUNCTION("""COMPUTED_VALUE"""),216)</f>
        <v>216</v>
      </c>
      <c r="H230">
        <f ca="1">IFERROR(__xludf.DUMMYFUNCTION("""COMPUTED_VALUE"""),-0.36)</f>
        <v>-0.36</v>
      </c>
    </row>
    <row r="231" spans="1:8" ht="12.75">
      <c r="A231" t="str">
        <f ca="1">IFERROR(__xludf.DUMMYFUNCTION("""COMPUTED_VALUE"""),"T230")</f>
        <v>T230</v>
      </c>
      <c r="B231" t="str">
        <f ca="1">IFERROR(__xludf.DUMMYFUNCTION("""COMPUTED_VALUE"""),"T228")</f>
        <v>T228</v>
      </c>
      <c r="C231" t="str">
        <f ca="1">IFERROR(__xludf.DUMMYFUNCTION("""COMPUTED_VALUE"""),"Billy Horschel")</f>
        <v>Billy Horschel</v>
      </c>
      <c r="D231">
        <f ca="1">IFERROR(__xludf.DUMMYFUNCTION("""COMPUTED_VALUE"""),12)</f>
        <v>12</v>
      </c>
      <c r="E231">
        <f ca="1">IFERROR(__xludf.DUMMYFUNCTION("""COMPUTED_VALUE"""),60.65)</f>
        <v>60.65</v>
      </c>
      <c r="F231">
        <f ca="1">IFERROR(__xludf.DUMMYFUNCTION("""COMPUTED_VALUE"""),131)</f>
        <v>131</v>
      </c>
      <c r="G231">
        <f ca="1">IFERROR(__xludf.DUMMYFUNCTION("""COMPUTED_VALUE"""),216)</f>
        <v>216</v>
      </c>
      <c r="H231">
        <f ca="1">IFERROR(__xludf.DUMMYFUNCTION("""COMPUTED_VALUE"""),-0.27)</f>
        <v>-0.27</v>
      </c>
    </row>
    <row r="232" spans="1:8" ht="12.75">
      <c r="A232" t="str">
        <f ca="1">IFERROR(__xludf.DUMMYFUNCTION("""COMPUTED_VALUE"""),"T230")</f>
        <v>T230</v>
      </c>
      <c r="B232" t="str">
        <f ca="1">IFERROR(__xludf.DUMMYFUNCTION("""COMPUTED_VALUE"""),"T228")</f>
        <v>T228</v>
      </c>
      <c r="C232" t="str">
        <f ca="1">IFERROR(__xludf.DUMMYFUNCTION("""COMPUTED_VALUE"""),"Kiradech Aphibarnrat")</f>
        <v>Kiradech Aphibarnrat</v>
      </c>
      <c r="D232">
        <f ca="1">IFERROR(__xludf.DUMMYFUNCTION("""COMPUTED_VALUE"""),12)</f>
        <v>12</v>
      </c>
      <c r="E232">
        <f ca="1">IFERROR(__xludf.DUMMYFUNCTION("""COMPUTED_VALUE"""),60.65)</f>
        <v>60.65</v>
      </c>
      <c r="F232">
        <f ca="1">IFERROR(__xludf.DUMMYFUNCTION("""COMPUTED_VALUE"""),131)</f>
        <v>131</v>
      </c>
      <c r="G232">
        <f ca="1">IFERROR(__xludf.DUMMYFUNCTION("""COMPUTED_VALUE"""),216)</f>
        <v>216</v>
      </c>
      <c r="H232">
        <f ca="1">IFERROR(__xludf.DUMMYFUNCTION("""COMPUTED_VALUE"""),-0.31)</f>
        <v>-0.31</v>
      </c>
    </row>
    <row r="233" spans="1:8" ht="12.75">
      <c r="A233" t="str">
        <f ca="1">IFERROR(__xludf.DUMMYFUNCTION("""COMPUTED_VALUE"""),"T232")</f>
        <v>T232</v>
      </c>
      <c r="B233" t="str">
        <f ca="1">IFERROR(__xludf.DUMMYFUNCTION("""COMPUTED_VALUE"""),"T230")</f>
        <v>T230</v>
      </c>
      <c r="C233" t="str">
        <f ca="1">IFERROR(__xludf.DUMMYFUNCTION("""COMPUTED_VALUE"""),"Dominic Bozzelli")</f>
        <v>Dominic Bozzelli</v>
      </c>
      <c r="D233">
        <f ca="1">IFERROR(__xludf.DUMMYFUNCTION("""COMPUTED_VALUE"""),8)</f>
        <v>8</v>
      </c>
      <c r="E233">
        <f ca="1">IFERROR(__xludf.DUMMYFUNCTION("""COMPUTED_VALUE"""),60.42)</f>
        <v>60.42</v>
      </c>
      <c r="F233">
        <f ca="1">IFERROR(__xludf.DUMMYFUNCTION("""COMPUTED_VALUE"""),87)</f>
        <v>87</v>
      </c>
      <c r="G233">
        <f ca="1">IFERROR(__xludf.DUMMYFUNCTION("""COMPUTED_VALUE"""),144)</f>
        <v>144</v>
      </c>
      <c r="H233">
        <f ca="1">IFERROR(__xludf.DUMMYFUNCTION("""COMPUTED_VALUE"""),-0.18)</f>
        <v>-0.18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IFERROR(__xludf.DUMMYFUNCTION("""COMPUTED_VALUE"""),"T230")</f>
        <v>T230</v>
      </c>
      <c r="C234" t="str">
        <f ca="1">IFERROR(__xludf.DUMMYFUNCTION("""COMPUTED_VALUE"""),"Patrick Reed")</f>
        <v>Patrick Reed</v>
      </c>
      <c r="D234">
        <f ca="1">IFERROR(__xludf.DUMMYFUNCTION("""COMPUTED_VALUE"""),8)</f>
        <v>8</v>
      </c>
      <c r="E234">
        <f ca="1">IFERROR(__xludf.DUMMYFUNCTION("""COMPUTED_VALUE"""),60.42)</f>
        <v>60.42</v>
      </c>
      <c r="F234">
        <f ca="1">IFERROR(__xludf.DUMMYFUNCTION("""COMPUTED_VALUE"""),87)</f>
        <v>87</v>
      </c>
      <c r="G234">
        <f ca="1">IFERROR(__xludf.DUMMYFUNCTION("""COMPUTED_VALUE"""),144)</f>
        <v>144</v>
      </c>
      <c r="H234">
        <f ca="1">IFERROR(__xludf.DUMMYFUNCTION("""COMPUTED_VALUE"""),-0.45)</f>
        <v>-0.45</v>
      </c>
    </row>
    <row r="235" spans="1:8" ht="12.75">
      <c r="A235">
        <f ca="1">IFERROR(__xludf.DUMMYFUNCTION("""COMPUTED_VALUE"""),234)</f>
        <v>234</v>
      </c>
      <c r="B235" t="str">
        <f ca="1">IFERROR(__xludf.DUMMYFUNCTION("""COMPUTED_VALUE"""),"T186")</f>
        <v>T186</v>
      </c>
      <c r="C235" t="str">
        <f ca="1">IFERROR(__xludf.DUMMYFUNCTION("""COMPUTED_VALUE"""),"Hunter Mahan")</f>
        <v>Hunter Mahan</v>
      </c>
      <c r="D235">
        <f ca="1">IFERROR(__xludf.DUMMYFUNCTION("""COMPUTED_VALUE"""),14)</f>
        <v>14</v>
      </c>
      <c r="E235">
        <f ca="1">IFERROR(__xludf.DUMMYFUNCTION("""COMPUTED_VALUE"""),60.32)</f>
        <v>60.32</v>
      </c>
      <c r="F235">
        <f ca="1">IFERROR(__xludf.DUMMYFUNCTION("""COMPUTED_VALUE"""),152)</f>
        <v>152</v>
      </c>
      <c r="G235">
        <f ca="1">IFERROR(__xludf.DUMMYFUNCTION("""COMPUTED_VALUE"""),252)</f>
        <v>252</v>
      </c>
      <c r="H235">
        <f ca="1">IFERROR(__xludf.DUMMYFUNCTION("""COMPUTED_VALUE"""),-0.26)</f>
        <v>-0.26</v>
      </c>
    </row>
    <row r="236" spans="1:8" ht="12.75">
      <c r="A236" t="str">
        <f ca="1">IFERROR(__xludf.DUMMYFUNCTION("""COMPUTED_VALUE"""),"T235")</f>
        <v>T235</v>
      </c>
      <c r="B236" t="str">
        <f ca="1">IFERROR(__xludf.DUMMYFUNCTION("""COMPUTED_VALUE"""),"")</f>
        <v/>
      </c>
      <c r="C236" t="str">
        <f ca="1">IFERROR(__xludf.DUMMYFUNCTION("""COMPUTED_VALUE"""),"Justin Harding")</f>
        <v>Justin Harding</v>
      </c>
      <c r="D236">
        <f ca="1">IFERROR(__xludf.DUMMYFUNCTION("""COMPUTED_VALUE"""),6)</f>
        <v>6</v>
      </c>
      <c r="E236">
        <f ca="1">IFERROR(__xludf.DUMMYFUNCTION("""COMPUTED_VALUE"""),60.19)</f>
        <v>60.19</v>
      </c>
      <c r="F236">
        <f ca="1">IFERROR(__xludf.DUMMYFUNCTION("""COMPUTED_VALUE"""),65)</f>
        <v>65</v>
      </c>
      <c r="G236">
        <f ca="1">IFERROR(__xludf.DUMMYFUNCTION("""COMPUTED_VALUE"""),108)</f>
        <v>108</v>
      </c>
      <c r="H236">
        <f ca="1">IFERROR(__xludf.DUMMYFUNCTION("""COMPUTED_VALUE"""),-0.22)</f>
        <v>-0.22</v>
      </c>
    </row>
    <row r="237" spans="1:8" ht="12.75">
      <c r="A237" t="str">
        <f ca="1">IFERROR(__xludf.DUMMYFUNCTION("""COMPUTED_VALUE"""),"T235")</f>
        <v>T235</v>
      </c>
      <c r="B237" t="str">
        <f ca="1">IFERROR(__xludf.DUMMYFUNCTION("""COMPUTED_VALUE"""),"T233")</f>
        <v>T233</v>
      </c>
      <c r="C237" t="str">
        <f ca="1">IFERROR(__xludf.DUMMYFUNCTION("""COMPUTED_VALUE"""),"Tommy Gainey")</f>
        <v>Tommy Gainey</v>
      </c>
      <c r="D237">
        <f ca="1">IFERROR(__xludf.DUMMYFUNCTION("""COMPUTED_VALUE"""),6)</f>
        <v>6</v>
      </c>
      <c r="E237">
        <f ca="1">IFERROR(__xludf.DUMMYFUNCTION("""COMPUTED_VALUE"""),60.19)</f>
        <v>60.19</v>
      </c>
      <c r="F237">
        <f ca="1">IFERROR(__xludf.DUMMYFUNCTION("""COMPUTED_VALUE"""),65)</f>
        <v>65</v>
      </c>
      <c r="G237">
        <f ca="1">IFERROR(__xludf.DUMMYFUNCTION("""COMPUTED_VALUE"""),108)</f>
        <v>108</v>
      </c>
      <c r="H237">
        <f ca="1">IFERROR(__xludf.DUMMYFUNCTION("""COMPUTED_VALUE"""),-0.28)</f>
        <v>-0.28000000000000003</v>
      </c>
    </row>
    <row r="238" spans="1:8" ht="12.75">
      <c r="A238" t="str">
        <f ca="1">IFERROR(__xludf.DUMMYFUNCTION("""COMPUTED_VALUE"""),"T235")</f>
        <v>T235</v>
      </c>
      <c r="B238" t="str">
        <f ca="1">IFERROR(__xludf.DUMMYFUNCTION("""COMPUTED_VALUE"""),"T233")</f>
        <v>T233</v>
      </c>
      <c r="C238" t="str">
        <f ca="1">IFERROR(__xludf.DUMMYFUNCTION("""COMPUTED_VALUE"""),"Ben Martin")</f>
        <v>Ben Martin</v>
      </c>
      <c r="D238">
        <f ca="1">IFERROR(__xludf.DUMMYFUNCTION("""COMPUTED_VALUE"""),6)</f>
        <v>6</v>
      </c>
      <c r="E238">
        <f ca="1">IFERROR(__xludf.DUMMYFUNCTION("""COMPUTED_VALUE"""),60.19)</f>
        <v>60.19</v>
      </c>
      <c r="F238">
        <f ca="1">IFERROR(__xludf.DUMMYFUNCTION("""COMPUTED_VALUE"""),65)</f>
        <v>65</v>
      </c>
      <c r="G238">
        <f ca="1">IFERROR(__xludf.DUMMYFUNCTION("""COMPUTED_VALUE"""),108)</f>
        <v>108</v>
      </c>
      <c r="H238">
        <f ca="1">IFERROR(__xludf.DUMMYFUNCTION("""COMPUTED_VALUE"""),-0.25)</f>
        <v>-0.25</v>
      </c>
    </row>
    <row r="239" spans="1:8" ht="12.75">
      <c r="A239" t="str">
        <f ca="1">IFERROR(__xludf.DUMMYFUNCTION("""COMPUTED_VALUE"""),"T235")</f>
        <v>T235</v>
      </c>
      <c r="B239" t="str">
        <f ca="1">IFERROR(__xludf.DUMMYFUNCTION("""COMPUTED_VALUE"""),"T237")</f>
        <v>T237</v>
      </c>
      <c r="C239" t="str">
        <f ca="1">IFERROR(__xludf.DUMMYFUNCTION("""COMPUTED_VALUE"""),"Max Homa")</f>
        <v>Max Homa</v>
      </c>
      <c r="D239">
        <f ca="1">IFERROR(__xludf.DUMMYFUNCTION("""COMPUTED_VALUE"""),12)</f>
        <v>12</v>
      </c>
      <c r="E239">
        <f ca="1">IFERROR(__xludf.DUMMYFUNCTION("""COMPUTED_VALUE"""),60.19)</f>
        <v>60.19</v>
      </c>
      <c r="F239">
        <f ca="1">IFERROR(__xludf.DUMMYFUNCTION("""COMPUTED_VALUE"""),130)</f>
        <v>130</v>
      </c>
      <c r="G239">
        <f ca="1">IFERROR(__xludf.DUMMYFUNCTION("""COMPUTED_VALUE"""),216)</f>
        <v>216</v>
      </c>
      <c r="H239">
        <f ca="1">IFERROR(__xludf.DUMMYFUNCTION("""COMPUTED_VALUE"""),-0.22)</f>
        <v>-0.22</v>
      </c>
    </row>
    <row r="240" spans="1:8" ht="12.75">
      <c r="A240">
        <f ca="1">IFERROR(__xludf.DUMMYFUNCTION("""COMPUTED_VALUE"""),239)</f>
        <v>239</v>
      </c>
      <c r="B240">
        <f ca="1">IFERROR(__xludf.DUMMYFUNCTION("""COMPUTED_VALUE"""),222)</f>
        <v>222</v>
      </c>
      <c r="C240" t="str">
        <f ca="1">IFERROR(__xludf.DUMMYFUNCTION("""COMPUTED_VALUE"""),"Jordan Spieth")</f>
        <v>Jordan Spieth</v>
      </c>
      <c r="D240">
        <f ca="1">IFERROR(__xludf.DUMMYFUNCTION("""COMPUTED_VALUE"""),14)</f>
        <v>14</v>
      </c>
      <c r="E240">
        <f ca="1">IFERROR(__xludf.DUMMYFUNCTION("""COMPUTED_VALUE"""),59.92)</f>
        <v>59.92</v>
      </c>
      <c r="F240">
        <f ca="1">IFERROR(__xludf.DUMMYFUNCTION("""COMPUTED_VALUE"""),151)</f>
        <v>151</v>
      </c>
      <c r="G240">
        <f ca="1">IFERROR(__xludf.DUMMYFUNCTION("""COMPUTED_VALUE"""),252)</f>
        <v>252</v>
      </c>
      <c r="H240">
        <f ca="1">IFERROR(__xludf.DUMMYFUNCTION("""COMPUTED_VALUE"""),-0.34)</f>
        <v>-0.34</v>
      </c>
    </row>
    <row r="241" spans="1:8" ht="12.75">
      <c r="A241">
        <f ca="1">IFERROR(__xludf.DUMMYFUNCTION("""COMPUTED_VALUE"""),240)</f>
        <v>240</v>
      </c>
      <c r="B241">
        <f ca="1">IFERROR(__xludf.DUMMYFUNCTION("""COMPUTED_VALUE"""),217)</f>
        <v>217</v>
      </c>
      <c r="C241" t="str">
        <f ca="1">IFERROR(__xludf.DUMMYFUNCTION("""COMPUTED_VALUE"""),"Tom Lewis")</f>
        <v>Tom Lewis</v>
      </c>
      <c r="D241">
        <f ca="1">IFERROR(__xludf.DUMMYFUNCTION("""COMPUTED_VALUE"""),12)</f>
        <v>12</v>
      </c>
      <c r="E241">
        <f ca="1">IFERROR(__xludf.DUMMYFUNCTION("""COMPUTED_VALUE"""),59.72)</f>
        <v>59.72</v>
      </c>
      <c r="F241">
        <f ca="1">IFERROR(__xludf.DUMMYFUNCTION("""COMPUTED_VALUE"""),129)</f>
        <v>129</v>
      </c>
      <c r="G241">
        <f ca="1">IFERROR(__xludf.DUMMYFUNCTION("""COMPUTED_VALUE"""),216)</f>
        <v>216</v>
      </c>
      <c r="H241">
        <f ca="1">IFERROR(__xludf.DUMMYFUNCTION("""COMPUTED_VALUE"""),-0.22)</f>
        <v>-0.22</v>
      </c>
    </row>
    <row r="242" spans="1:8" ht="12.75">
      <c r="A242" t="str">
        <f ca="1">IFERROR(__xludf.DUMMYFUNCTION("""COMPUTED_VALUE"""),"T241")</f>
        <v>T241</v>
      </c>
      <c r="B242" t="str">
        <f ca="1">IFERROR(__xludf.DUMMYFUNCTION("""COMPUTED_VALUE"""),"T269")</f>
        <v>T269</v>
      </c>
      <c r="C242" t="str">
        <f ca="1">IFERROR(__xludf.DUMMYFUNCTION("""COMPUTED_VALUE"""),"Adam Scott")</f>
        <v>Adam Scott</v>
      </c>
      <c r="D242">
        <f ca="1">IFERROR(__xludf.DUMMYFUNCTION("""COMPUTED_VALUE"""),8)</f>
        <v>8</v>
      </c>
      <c r="E242">
        <f ca="1">IFERROR(__xludf.DUMMYFUNCTION("""COMPUTED_VALUE"""),59.03)</f>
        <v>59.03</v>
      </c>
      <c r="F242">
        <f ca="1">IFERROR(__xludf.DUMMYFUNCTION("""COMPUTED_VALUE"""),85)</f>
        <v>85</v>
      </c>
      <c r="G242">
        <f ca="1">IFERROR(__xludf.DUMMYFUNCTION("""COMPUTED_VALUE"""),144)</f>
        <v>144</v>
      </c>
      <c r="H242">
        <f ca="1">IFERROR(__xludf.DUMMYFUNCTION("""COMPUTED_VALUE"""),-0.36)</f>
        <v>-0.36</v>
      </c>
    </row>
    <row r="243" spans="1:8" ht="12.75">
      <c r="A243" t="str">
        <f ca="1">IFERROR(__xludf.DUMMYFUNCTION("""COMPUTED_VALUE"""),"T241")</f>
        <v>T241</v>
      </c>
      <c r="B243" t="str">
        <f ca="1">IFERROR(__xludf.DUMMYFUNCTION("""COMPUTED_VALUE"""),"T237")</f>
        <v>T237</v>
      </c>
      <c r="C243" t="str">
        <f ca="1">IFERROR(__xludf.DUMMYFUNCTION("""COMPUTED_VALUE"""),"Matt Every")</f>
        <v>Matt Every</v>
      </c>
      <c r="D243">
        <f ca="1">IFERROR(__xludf.DUMMYFUNCTION("""COMPUTED_VALUE"""),8)</f>
        <v>8</v>
      </c>
      <c r="E243">
        <f ca="1">IFERROR(__xludf.DUMMYFUNCTION("""COMPUTED_VALUE"""),59.03)</f>
        <v>59.03</v>
      </c>
      <c r="F243">
        <f ca="1">IFERROR(__xludf.DUMMYFUNCTION("""COMPUTED_VALUE"""),85)</f>
        <v>85</v>
      </c>
      <c r="G243">
        <f ca="1">IFERROR(__xludf.DUMMYFUNCTION("""COMPUTED_VALUE"""),144)</f>
        <v>144</v>
      </c>
      <c r="H243">
        <f ca="1">IFERROR(__xludf.DUMMYFUNCTION("""COMPUTED_VALUE"""),-0.2)</f>
        <v>-0.2</v>
      </c>
    </row>
    <row r="244" spans="1:8" ht="12.75">
      <c r="A244" t="str">
        <f ca="1">IFERROR(__xludf.DUMMYFUNCTION("""COMPUTED_VALUE"""),"T241")</f>
        <v>T241</v>
      </c>
      <c r="B244" t="str">
        <f ca="1">IFERROR(__xludf.DUMMYFUNCTION("""COMPUTED_VALUE"""),"T237")</f>
        <v>T237</v>
      </c>
      <c r="C244" t="str">
        <f ca="1">IFERROR(__xludf.DUMMYFUNCTION("""COMPUTED_VALUE"""),"Thomas Detry")</f>
        <v>Thomas Detry</v>
      </c>
      <c r="D244">
        <f ca="1">IFERROR(__xludf.DUMMYFUNCTION("""COMPUTED_VALUE"""),8)</f>
        <v>8</v>
      </c>
      <c r="E244">
        <f ca="1">IFERROR(__xludf.DUMMYFUNCTION("""COMPUTED_VALUE"""),59.03)</f>
        <v>59.03</v>
      </c>
      <c r="F244">
        <f ca="1">IFERROR(__xludf.DUMMYFUNCTION("""COMPUTED_VALUE"""),85)</f>
        <v>85</v>
      </c>
      <c r="G244">
        <f ca="1">IFERROR(__xludf.DUMMYFUNCTION("""COMPUTED_VALUE"""),144)</f>
        <v>144</v>
      </c>
      <c r="H244">
        <f ca="1">IFERROR(__xludf.DUMMYFUNCTION("""COMPUTED_VALUE"""),-0.29)</f>
        <v>-0.28999999999999998</v>
      </c>
    </row>
    <row r="245" spans="1:8" ht="12.75">
      <c r="A245">
        <f ca="1">IFERROR(__xludf.DUMMYFUNCTION("""COMPUTED_VALUE"""),244)</f>
        <v>244</v>
      </c>
      <c r="B245" t="str">
        <f ca="1">IFERROR(__xludf.DUMMYFUNCTION("""COMPUTED_VALUE"""),"T242")</f>
        <v>T242</v>
      </c>
      <c r="C245" t="str">
        <f ca="1">IFERROR(__xludf.DUMMYFUNCTION("""COMPUTED_VALUE"""),"Michael Kim")</f>
        <v>Michael Kim</v>
      </c>
      <c r="D245">
        <f ca="1">IFERROR(__xludf.DUMMYFUNCTION("""COMPUTED_VALUE"""),12)</f>
        <v>12</v>
      </c>
      <c r="E245">
        <f ca="1">IFERROR(__xludf.DUMMYFUNCTION("""COMPUTED_VALUE"""),58.8)</f>
        <v>58.8</v>
      </c>
      <c r="F245">
        <f ca="1">IFERROR(__xludf.DUMMYFUNCTION("""COMPUTED_VALUE"""),127)</f>
        <v>127</v>
      </c>
      <c r="G245">
        <f ca="1">IFERROR(__xludf.DUMMYFUNCTION("""COMPUTED_VALUE"""),216)</f>
        <v>216</v>
      </c>
      <c r="H245">
        <f ca="1">IFERROR(__xludf.DUMMYFUNCTION("""COMPUTED_VALUE"""),-0.25)</f>
        <v>-0.25</v>
      </c>
    </row>
    <row r="246" spans="1:8" ht="12.75">
      <c r="A246">
        <f ca="1">IFERROR(__xludf.DUMMYFUNCTION("""COMPUTED_VALUE"""),245)</f>
        <v>245</v>
      </c>
      <c r="B246">
        <f ca="1">IFERROR(__xludf.DUMMYFUNCTION("""COMPUTED_VALUE"""),241)</f>
        <v>241</v>
      </c>
      <c r="C246" t="str">
        <f ca="1">IFERROR(__xludf.DUMMYFUNCTION("""COMPUTED_VALUE"""),"Richy Werenski")</f>
        <v>Richy Werenski</v>
      </c>
      <c r="D246">
        <f ca="1">IFERROR(__xludf.DUMMYFUNCTION("""COMPUTED_VALUE"""),16)</f>
        <v>16</v>
      </c>
      <c r="E246">
        <f ca="1">IFERROR(__xludf.DUMMYFUNCTION("""COMPUTED_VALUE"""),58.68)</f>
        <v>58.68</v>
      </c>
      <c r="F246">
        <f ca="1">IFERROR(__xludf.DUMMYFUNCTION("""COMPUTED_VALUE"""),169)</f>
        <v>169</v>
      </c>
      <c r="G246">
        <f ca="1">IFERROR(__xludf.DUMMYFUNCTION("""COMPUTED_VALUE"""),288)</f>
        <v>288</v>
      </c>
      <c r="H246">
        <f ca="1">IFERROR(__xludf.DUMMYFUNCTION("""COMPUTED_VALUE"""),-0.33)</f>
        <v>-0.33</v>
      </c>
    </row>
    <row r="247" spans="1:8" ht="12.75">
      <c r="A247">
        <f ca="1">IFERROR(__xludf.DUMMYFUNCTION("""COMPUTED_VALUE"""),246)</f>
        <v>246</v>
      </c>
      <c r="B247" t="str">
        <f ca="1">IFERROR(__xludf.DUMMYFUNCTION("""COMPUTED_VALUE"""),"T235")</f>
        <v>T235</v>
      </c>
      <c r="C247" t="str">
        <f ca="1">IFERROR(__xludf.DUMMYFUNCTION("""COMPUTED_VALUE"""),"Rory Sabbatini")</f>
        <v>Rory Sabbatini</v>
      </c>
      <c r="D247">
        <f ca="1">IFERROR(__xludf.DUMMYFUNCTION("""COMPUTED_VALUE"""),13)</f>
        <v>13</v>
      </c>
      <c r="E247">
        <f ca="1">IFERROR(__xludf.DUMMYFUNCTION("""COMPUTED_VALUE"""),58.55)</f>
        <v>58.55</v>
      </c>
      <c r="F247">
        <f ca="1">IFERROR(__xludf.DUMMYFUNCTION("""COMPUTED_VALUE"""),137)</f>
        <v>137</v>
      </c>
      <c r="G247">
        <f ca="1">IFERROR(__xludf.DUMMYFUNCTION("""COMPUTED_VALUE"""),234)</f>
        <v>234</v>
      </c>
      <c r="H247">
        <f ca="1">IFERROR(__xludf.DUMMYFUNCTION("""COMPUTED_VALUE"""),-0.36)</f>
        <v>-0.36</v>
      </c>
    </row>
    <row r="248" spans="1:8" ht="12.75">
      <c r="A248" t="str">
        <f ca="1">IFERROR(__xludf.DUMMYFUNCTION("""COMPUTED_VALUE"""),"T247")</f>
        <v>T247</v>
      </c>
      <c r="B248">
        <f ca="1">IFERROR(__xludf.DUMMYFUNCTION("""COMPUTED_VALUE"""),212)</f>
        <v>212</v>
      </c>
      <c r="C248" t="str">
        <f ca="1">IFERROR(__xludf.DUMMYFUNCTION("""COMPUTED_VALUE"""),"D.A. Points")</f>
        <v>D.A. Points</v>
      </c>
      <c r="D248">
        <f ca="1">IFERROR(__xludf.DUMMYFUNCTION("""COMPUTED_VALUE"""),12)</f>
        <v>12</v>
      </c>
      <c r="E248">
        <f ca="1">IFERROR(__xludf.DUMMYFUNCTION("""COMPUTED_VALUE"""),58.33)</f>
        <v>58.33</v>
      </c>
      <c r="F248">
        <f ca="1">IFERROR(__xludf.DUMMYFUNCTION("""COMPUTED_VALUE"""),126)</f>
        <v>126</v>
      </c>
      <c r="G248">
        <f ca="1">IFERROR(__xludf.DUMMYFUNCTION("""COMPUTED_VALUE"""),216)</f>
        <v>216</v>
      </c>
      <c r="H248">
        <f ca="1">IFERROR(__xludf.DUMMYFUNCTION("""COMPUTED_VALUE"""),-0.16)</f>
        <v>-0.16</v>
      </c>
    </row>
    <row r="249" spans="1:8" ht="12.75">
      <c r="A249" t="str">
        <f ca="1">IFERROR(__xludf.DUMMYFUNCTION("""COMPUTED_VALUE"""),"T247")</f>
        <v>T247</v>
      </c>
      <c r="B249" t="str">
        <f ca="1">IFERROR(__xludf.DUMMYFUNCTION("""COMPUTED_VALUE"""),"T242")</f>
        <v>T242</v>
      </c>
      <c r="C249" t="str">
        <f ca="1">IFERROR(__xludf.DUMMYFUNCTION("""COMPUTED_VALUE"""),"Peter Uihlein")</f>
        <v>Peter Uihlein</v>
      </c>
      <c r="D249">
        <f ca="1">IFERROR(__xludf.DUMMYFUNCTION("""COMPUTED_VALUE"""),8)</f>
        <v>8</v>
      </c>
      <c r="E249">
        <f ca="1">IFERROR(__xludf.DUMMYFUNCTION("""COMPUTED_VALUE"""),58.33)</f>
        <v>58.33</v>
      </c>
      <c r="F249">
        <f ca="1">IFERROR(__xludf.DUMMYFUNCTION("""COMPUTED_VALUE"""),84)</f>
        <v>84</v>
      </c>
      <c r="G249">
        <f ca="1">IFERROR(__xludf.DUMMYFUNCTION("""COMPUTED_VALUE"""),144)</f>
        <v>144</v>
      </c>
      <c r="H249">
        <f ca="1">IFERROR(__xludf.DUMMYFUNCTION("""COMPUTED_VALUE"""),-0.32)</f>
        <v>-0.32</v>
      </c>
    </row>
    <row r="250" spans="1:8" ht="12.75">
      <c r="A250" t="str">
        <f ca="1">IFERROR(__xludf.DUMMYFUNCTION("""COMPUTED_VALUE"""),"T247")</f>
        <v>T247</v>
      </c>
      <c r="B250" t="str">
        <f ca="1">IFERROR(__xludf.DUMMYFUNCTION("""COMPUTED_VALUE"""),"T242")</f>
        <v>T242</v>
      </c>
      <c r="C250" t="str">
        <f ca="1">IFERROR(__xludf.DUMMYFUNCTION("""COMPUTED_VALUE"""),"Tommy Fleetwood")</f>
        <v>Tommy Fleetwood</v>
      </c>
      <c r="D250">
        <f ca="1">IFERROR(__xludf.DUMMYFUNCTION("""COMPUTED_VALUE"""),10)</f>
        <v>10</v>
      </c>
      <c r="E250">
        <f ca="1">IFERROR(__xludf.DUMMYFUNCTION("""COMPUTED_VALUE"""),58.33)</f>
        <v>58.33</v>
      </c>
      <c r="F250">
        <f ca="1">IFERROR(__xludf.DUMMYFUNCTION("""COMPUTED_VALUE"""),105)</f>
        <v>105</v>
      </c>
      <c r="G250">
        <f ca="1">IFERROR(__xludf.DUMMYFUNCTION("""COMPUTED_VALUE"""),180)</f>
        <v>180</v>
      </c>
      <c r="H250">
        <f ca="1">IFERROR(__xludf.DUMMYFUNCTION("""COMPUTED_VALUE"""),-0.39)</f>
        <v>-0.39</v>
      </c>
    </row>
    <row r="251" spans="1:8" ht="12.75">
      <c r="A251" t="str">
        <f ca="1">IFERROR(__xludf.DUMMYFUNCTION("""COMPUTED_VALUE"""),"T247")</f>
        <v>T247</v>
      </c>
      <c r="B251" t="str">
        <f ca="1">IFERROR(__xludf.DUMMYFUNCTION("""COMPUTED_VALUE"""),"T242")</f>
        <v>T242</v>
      </c>
      <c r="C251" t="str">
        <f ca="1">IFERROR(__xludf.DUMMYFUNCTION("""COMPUTED_VALUE"""),"Matthew Borchert")</f>
        <v>Matthew Borchert</v>
      </c>
      <c r="D251">
        <f ca="1">IFERROR(__xludf.DUMMYFUNCTION("""COMPUTED_VALUE"""),4)</f>
        <v>4</v>
      </c>
      <c r="E251">
        <f ca="1">IFERROR(__xludf.DUMMYFUNCTION("""COMPUTED_VALUE"""),58.33)</f>
        <v>58.33</v>
      </c>
      <c r="F251">
        <f ca="1">IFERROR(__xludf.DUMMYFUNCTION("""COMPUTED_VALUE"""),42)</f>
        <v>42</v>
      </c>
      <c r="G251">
        <f ca="1">IFERROR(__xludf.DUMMYFUNCTION("""COMPUTED_VALUE"""),72)</f>
        <v>72</v>
      </c>
      <c r="H251">
        <f ca="1">IFERROR(__xludf.DUMMYFUNCTION("""COMPUTED_VALUE"""),-0.21)</f>
        <v>-0.21</v>
      </c>
    </row>
    <row r="252" spans="1:8" ht="12.75">
      <c r="A252" t="str">
        <f ca="1">IFERROR(__xludf.DUMMYFUNCTION("""COMPUTED_VALUE"""),"T247")</f>
        <v>T247</v>
      </c>
      <c r="B252" t="str">
        <f ca="1">IFERROR(__xludf.DUMMYFUNCTION("""COMPUTED_VALUE"""),"T242")</f>
        <v>T242</v>
      </c>
      <c r="C252" t="str">
        <f ca="1">IFERROR(__xludf.DUMMYFUNCTION("""COMPUTED_VALUE"""),"Jaekyeong Lee")</f>
        <v>Jaekyeong Lee</v>
      </c>
      <c r="D252">
        <f ca="1">IFERROR(__xludf.DUMMYFUNCTION("""COMPUTED_VALUE"""),4)</f>
        <v>4</v>
      </c>
      <c r="E252">
        <f ca="1">IFERROR(__xludf.DUMMYFUNCTION("""COMPUTED_VALUE"""),58.33)</f>
        <v>58.33</v>
      </c>
      <c r="F252">
        <f ca="1">IFERROR(__xludf.DUMMYFUNCTION("""COMPUTED_VALUE"""),42)</f>
        <v>42</v>
      </c>
      <c r="G252">
        <f ca="1">IFERROR(__xludf.DUMMYFUNCTION("""COMPUTED_VALUE"""),72)</f>
        <v>72</v>
      </c>
      <c r="H252">
        <f ca="1">IFERROR(__xludf.DUMMYFUNCTION("""COMPUTED_VALUE"""),-0.45)</f>
        <v>-0.45</v>
      </c>
    </row>
    <row r="253" spans="1:8" ht="12.75">
      <c r="A253" t="str">
        <f ca="1">IFERROR(__xludf.DUMMYFUNCTION("""COMPUTED_VALUE"""),"T247")</f>
        <v>T247</v>
      </c>
      <c r="B253" t="str">
        <f ca="1">IFERROR(__xludf.DUMMYFUNCTION("""COMPUTED_VALUE"""),"T242")</f>
        <v>T242</v>
      </c>
      <c r="C253" t="str">
        <f ca="1">IFERROR(__xludf.DUMMYFUNCTION("""COMPUTED_VALUE"""),"Seonghyeon Kim")</f>
        <v>Seonghyeon Kim</v>
      </c>
      <c r="D253">
        <f ca="1">IFERROR(__xludf.DUMMYFUNCTION("""COMPUTED_VALUE"""),4)</f>
        <v>4</v>
      </c>
      <c r="E253">
        <f ca="1">IFERROR(__xludf.DUMMYFUNCTION("""COMPUTED_VALUE"""),58.33)</f>
        <v>58.33</v>
      </c>
      <c r="F253">
        <f ca="1">IFERROR(__xludf.DUMMYFUNCTION("""COMPUTED_VALUE"""),42)</f>
        <v>42</v>
      </c>
      <c r="G253">
        <f ca="1">IFERROR(__xludf.DUMMYFUNCTION("""COMPUTED_VALUE"""),72)</f>
        <v>72</v>
      </c>
      <c r="H253">
        <f ca="1">IFERROR(__xludf.DUMMYFUNCTION("""COMPUTED_VALUE"""),-0.33)</f>
        <v>-0.33</v>
      </c>
    </row>
    <row r="254" spans="1:8" ht="12.75">
      <c r="A254" t="str">
        <f ca="1">IFERROR(__xludf.DUMMYFUNCTION("""COMPUTED_VALUE"""),"T247")</f>
        <v>T247</v>
      </c>
      <c r="B254" t="str">
        <f ca="1">IFERROR(__xludf.DUMMYFUNCTION("""COMPUTED_VALUE"""),"T242")</f>
        <v>T242</v>
      </c>
      <c r="C254" t="str">
        <f ca="1">IFERROR(__xludf.DUMMYFUNCTION("""COMPUTED_VALUE"""),"Rasmus Hojgaard")</f>
        <v>Rasmus Hojgaard</v>
      </c>
      <c r="D254">
        <f ca="1">IFERROR(__xludf.DUMMYFUNCTION("""COMPUTED_VALUE"""),6)</f>
        <v>6</v>
      </c>
      <c r="E254">
        <f ca="1">IFERROR(__xludf.DUMMYFUNCTION("""COMPUTED_VALUE"""),58.33)</f>
        <v>58.33</v>
      </c>
      <c r="F254">
        <f ca="1">IFERROR(__xludf.DUMMYFUNCTION("""COMPUTED_VALUE"""),63)</f>
        <v>63</v>
      </c>
      <c r="G254">
        <f ca="1">IFERROR(__xludf.DUMMYFUNCTION("""COMPUTED_VALUE"""),108)</f>
        <v>108</v>
      </c>
      <c r="H254">
        <f ca="1">IFERROR(__xludf.DUMMYFUNCTION("""COMPUTED_VALUE"""),-0.27)</f>
        <v>-0.27</v>
      </c>
    </row>
    <row r="255" spans="1:8" ht="12.75">
      <c r="A255" t="str">
        <f ca="1">IFERROR(__xludf.DUMMYFUNCTION("""COMPUTED_VALUE"""),"T254")</f>
        <v>T254</v>
      </c>
      <c r="B255" t="str">
        <f ca="1">IFERROR(__xludf.DUMMYFUNCTION("""COMPUTED_VALUE"""),"T235")</f>
        <v>T235</v>
      </c>
      <c r="C255" t="str">
        <f ca="1">IFERROR(__xludf.DUMMYFUNCTION("""COMPUTED_VALUE"""),"Alex Noren")</f>
        <v>Alex Noren</v>
      </c>
      <c r="D255">
        <f ca="1">IFERROR(__xludf.DUMMYFUNCTION("""COMPUTED_VALUE"""),14)</f>
        <v>14</v>
      </c>
      <c r="E255">
        <f ca="1">IFERROR(__xludf.DUMMYFUNCTION("""COMPUTED_VALUE"""),57.94)</f>
        <v>57.94</v>
      </c>
      <c r="F255">
        <f ca="1">IFERROR(__xludf.DUMMYFUNCTION("""COMPUTED_VALUE"""),146)</f>
        <v>146</v>
      </c>
      <c r="G255">
        <f ca="1">IFERROR(__xludf.DUMMYFUNCTION("""COMPUTED_VALUE"""),252)</f>
        <v>252</v>
      </c>
      <c r="H255">
        <f ca="1">IFERROR(__xludf.DUMMYFUNCTION("""COMPUTED_VALUE"""),-0.25)</f>
        <v>-0.25</v>
      </c>
    </row>
    <row r="256" spans="1:8" ht="12.75">
      <c r="A256" t="str">
        <f ca="1">IFERROR(__xludf.DUMMYFUNCTION("""COMPUTED_VALUE"""),"T254")</f>
        <v>T254</v>
      </c>
      <c r="B256">
        <f ca="1">IFERROR(__xludf.DUMMYFUNCTION("""COMPUTED_VALUE"""),250)</f>
        <v>250</v>
      </c>
      <c r="C256" t="str">
        <f ca="1">IFERROR(__xludf.DUMMYFUNCTION("""COMPUTED_VALUE"""),"Brendon Todd")</f>
        <v>Brendon Todd</v>
      </c>
      <c r="D256">
        <f ca="1">IFERROR(__xludf.DUMMYFUNCTION("""COMPUTED_VALUE"""),14)</f>
        <v>14</v>
      </c>
      <c r="E256">
        <f ca="1">IFERROR(__xludf.DUMMYFUNCTION("""COMPUTED_VALUE"""),57.94)</f>
        <v>57.94</v>
      </c>
      <c r="F256">
        <f ca="1">IFERROR(__xludf.DUMMYFUNCTION("""COMPUTED_VALUE"""),146)</f>
        <v>146</v>
      </c>
      <c r="G256">
        <f ca="1">IFERROR(__xludf.DUMMYFUNCTION("""COMPUTED_VALUE"""),252)</f>
        <v>252</v>
      </c>
      <c r="H256">
        <f ca="1">IFERROR(__xludf.DUMMYFUNCTION("""COMPUTED_VALUE"""),-0.33)</f>
        <v>-0.33</v>
      </c>
    </row>
    <row r="257" spans="1:8" ht="12.75">
      <c r="A257" t="str">
        <f ca="1">IFERROR(__xludf.DUMMYFUNCTION("""COMPUTED_VALUE"""),"T256")</f>
        <v>T256</v>
      </c>
      <c r="B257" t="str">
        <f ca="1">IFERROR(__xludf.DUMMYFUNCTION("""COMPUTED_VALUE"""),"T251")</f>
        <v>T251</v>
      </c>
      <c r="C257" t="str">
        <f ca="1">IFERROR(__xludf.DUMMYFUNCTION("""COMPUTED_VALUE"""),"Arjun Atwal")</f>
        <v>Arjun Atwal</v>
      </c>
      <c r="D257">
        <f ca="1">IFERROR(__xludf.DUMMYFUNCTION("""COMPUTED_VALUE"""),6)</f>
        <v>6</v>
      </c>
      <c r="E257">
        <f ca="1">IFERROR(__xludf.DUMMYFUNCTION("""COMPUTED_VALUE"""),57.41)</f>
        <v>57.41</v>
      </c>
      <c r="F257">
        <f ca="1">IFERROR(__xludf.DUMMYFUNCTION("""COMPUTED_VALUE"""),62)</f>
        <v>62</v>
      </c>
      <c r="G257">
        <f ca="1">IFERROR(__xludf.DUMMYFUNCTION("""COMPUTED_VALUE"""),108)</f>
        <v>108</v>
      </c>
      <c r="H257">
        <f ca="1">IFERROR(__xludf.DUMMYFUNCTION("""COMPUTED_VALUE"""),-0.32)</f>
        <v>-0.32</v>
      </c>
    </row>
    <row r="258" spans="1:8" ht="12.75">
      <c r="A258" t="str">
        <f ca="1">IFERROR(__xludf.DUMMYFUNCTION("""COMPUTED_VALUE"""),"T256")</f>
        <v>T256</v>
      </c>
      <c r="B258" t="str">
        <f ca="1">IFERROR(__xludf.DUMMYFUNCTION("""COMPUTED_VALUE"""),"T251")</f>
        <v>T251</v>
      </c>
      <c r="C258" t="str">
        <f ca="1">IFERROR(__xludf.DUMMYFUNCTION("""COMPUTED_VALUE"""),"Rafael Campos")</f>
        <v>Rafael Campos</v>
      </c>
      <c r="D258">
        <f ca="1">IFERROR(__xludf.DUMMYFUNCTION("""COMPUTED_VALUE"""),6)</f>
        <v>6</v>
      </c>
      <c r="E258">
        <f ca="1">IFERROR(__xludf.DUMMYFUNCTION("""COMPUTED_VALUE"""),57.41)</f>
        <v>57.41</v>
      </c>
      <c r="F258">
        <f ca="1">IFERROR(__xludf.DUMMYFUNCTION("""COMPUTED_VALUE"""),62)</f>
        <v>62</v>
      </c>
      <c r="G258">
        <f ca="1">IFERROR(__xludf.DUMMYFUNCTION("""COMPUTED_VALUE"""),108)</f>
        <v>108</v>
      </c>
      <c r="H258">
        <f ca="1">IFERROR(__xludf.DUMMYFUNCTION("""COMPUTED_VALUE"""),-0.24)</f>
        <v>-0.24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IFERROR(__xludf.DUMMYFUNCTION("""COMPUTED_VALUE"""),268)</f>
        <v>268</v>
      </c>
      <c r="C259" t="str">
        <f ca="1">IFERROR(__xludf.DUMMYFUNCTION("""COMPUTED_VALUE"""),"Michael Thompson")</f>
        <v>Michael Thompson</v>
      </c>
      <c r="D259">
        <f ca="1">IFERROR(__xludf.DUMMYFUNCTION("""COMPUTED_VALUE"""),16)</f>
        <v>16</v>
      </c>
      <c r="E259">
        <f ca="1">IFERROR(__xludf.DUMMYFUNCTION("""COMPUTED_VALUE"""),57.29)</f>
        <v>57.29</v>
      </c>
      <c r="F259">
        <f ca="1">IFERROR(__xludf.DUMMYFUNCTION("""COMPUTED_VALUE"""),165)</f>
        <v>165</v>
      </c>
      <c r="G259">
        <f ca="1">IFERROR(__xludf.DUMMYFUNCTION("""COMPUTED_VALUE"""),288)</f>
        <v>288</v>
      </c>
      <c r="H259">
        <f ca="1">IFERROR(__xludf.DUMMYFUNCTION("""COMPUTED_VALUE"""),-0.26)</f>
        <v>-0.26</v>
      </c>
    </row>
    <row r="260" spans="1:8" ht="12.75">
      <c r="A260" t="str">
        <f ca="1">IFERROR(__xludf.DUMMYFUNCTION("""COMPUTED_VALUE"""),"T259")</f>
        <v>T259</v>
      </c>
      <c r="B260" t="str">
        <f ca="1">IFERROR(__xludf.DUMMYFUNCTION("""COMPUTED_VALUE"""),"T263")</f>
        <v>T263</v>
      </c>
      <c r="C260" t="str">
        <f ca="1">IFERROR(__xludf.DUMMYFUNCTION("""COMPUTED_VALUE"""),"Graeme McDowell")</f>
        <v>Graeme McDowell</v>
      </c>
      <c r="D260">
        <f ca="1">IFERROR(__xludf.DUMMYFUNCTION("""COMPUTED_VALUE"""),8)</f>
        <v>8</v>
      </c>
      <c r="E260">
        <f ca="1">IFERROR(__xludf.DUMMYFUNCTION("""COMPUTED_VALUE"""),56.94)</f>
        <v>56.94</v>
      </c>
      <c r="F260">
        <f ca="1">IFERROR(__xludf.DUMMYFUNCTION("""COMPUTED_VALUE"""),82)</f>
        <v>82</v>
      </c>
      <c r="G260">
        <f ca="1">IFERROR(__xludf.DUMMYFUNCTION("""COMPUTED_VALUE"""),144)</f>
        <v>144</v>
      </c>
      <c r="H260">
        <f ca="1">IFERROR(__xludf.DUMMYFUNCTION("""COMPUTED_VALUE"""),-0.17)</f>
        <v>-0.17</v>
      </c>
    </row>
    <row r="261" spans="1:8" ht="12.75">
      <c r="A261" t="str">
        <f ca="1">IFERROR(__xludf.DUMMYFUNCTION("""COMPUTED_VALUE"""),"T259")</f>
        <v>T259</v>
      </c>
      <c r="B261" t="str">
        <f ca="1">IFERROR(__xludf.DUMMYFUNCTION("""COMPUTED_VALUE"""),"T253")</f>
        <v>T253</v>
      </c>
      <c r="C261" t="str">
        <f ca="1">IFERROR(__xludf.DUMMYFUNCTION("""COMPUTED_VALUE"""),"Romain Langasque")</f>
        <v>Romain Langasque</v>
      </c>
      <c r="D261">
        <f ca="1">IFERROR(__xludf.DUMMYFUNCTION("""COMPUTED_VALUE"""),4)</f>
        <v>4</v>
      </c>
      <c r="E261">
        <f ca="1">IFERROR(__xludf.DUMMYFUNCTION("""COMPUTED_VALUE"""),56.94)</f>
        <v>56.94</v>
      </c>
      <c r="F261">
        <f ca="1">IFERROR(__xludf.DUMMYFUNCTION("""COMPUTED_VALUE"""),41)</f>
        <v>41</v>
      </c>
      <c r="G261">
        <f ca="1">IFERROR(__xludf.DUMMYFUNCTION("""COMPUTED_VALUE"""),72)</f>
        <v>72</v>
      </c>
      <c r="H261">
        <f ca="1">IFERROR(__xludf.DUMMYFUNCTION("""COMPUTED_VALUE"""),-0.07)</f>
        <v>-7.0000000000000007E-2</v>
      </c>
    </row>
    <row r="262" spans="1:8" ht="12.75">
      <c r="A262" t="str">
        <f ca="1">IFERROR(__xludf.DUMMYFUNCTION("""COMPUTED_VALUE"""),"T259")</f>
        <v>T259</v>
      </c>
      <c r="B262" t="str">
        <f ca="1">IFERROR(__xludf.DUMMYFUNCTION("""COMPUTED_VALUE"""),"T253")</f>
        <v>T253</v>
      </c>
      <c r="C262" t="str">
        <f ca="1">IFERROR(__xludf.DUMMYFUNCTION("""COMPUTED_VALUE"""),"Rikuya Hoshino")</f>
        <v>Rikuya Hoshino</v>
      </c>
      <c r="D262">
        <f ca="1">IFERROR(__xludf.DUMMYFUNCTION("""COMPUTED_VALUE"""),4)</f>
        <v>4</v>
      </c>
      <c r="E262">
        <f ca="1">IFERROR(__xludf.DUMMYFUNCTION("""COMPUTED_VALUE"""),56.94)</f>
        <v>56.94</v>
      </c>
      <c r="F262">
        <f ca="1">IFERROR(__xludf.DUMMYFUNCTION("""COMPUTED_VALUE"""),41)</f>
        <v>41</v>
      </c>
      <c r="G262">
        <f ca="1">IFERROR(__xludf.DUMMYFUNCTION("""COMPUTED_VALUE"""),72)</f>
        <v>72</v>
      </c>
      <c r="H262">
        <f ca="1">IFERROR(__xludf.DUMMYFUNCTION("""COMPUTED_VALUE"""),-0.24)</f>
        <v>-0.24</v>
      </c>
    </row>
    <row r="263" spans="1:8" ht="12.75">
      <c r="A263" t="str">
        <f ca="1">IFERROR(__xludf.DUMMYFUNCTION("""COMPUTED_VALUE"""),"T259")</f>
        <v>T259</v>
      </c>
      <c r="B263" t="str">
        <f ca="1">IFERROR(__xludf.DUMMYFUNCTION("""COMPUTED_VALUE"""),"T253")</f>
        <v>T253</v>
      </c>
      <c r="C263" t="str">
        <f ca="1">IFERROR(__xludf.DUMMYFUNCTION("""COMPUTED_VALUE"""),"Kurt Kitayama")</f>
        <v>Kurt Kitayama</v>
      </c>
      <c r="D263">
        <f ca="1">IFERROR(__xludf.DUMMYFUNCTION("""COMPUTED_VALUE"""),4)</f>
        <v>4</v>
      </c>
      <c r="E263">
        <f ca="1">IFERROR(__xludf.DUMMYFUNCTION("""COMPUTED_VALUE"""),56.94)</f>
        <v>56.94</v>
      </c>
      <c r="F263">
        <f ca="1">IFERROR(__xludf.DUMMYFUNCTION("""COMPUTED_VALUE"""),41)</f>
        <v>41</v>
      </c>
      <c r="G263">
        <f ca="1">IFERROR(__xludf.DUMMYFUNCTION("""COMPUTED_VALUE"""),72)</f>
        <v>72</v>
      </c>
      <c r="H263">
        <f ca="1">IFERROR(__xludf.DUMMYFUNCTION("""COMPUTED_VALUE"""),-0.12)</f>
        <v>-0.12</v>
      </c>
    </row>
    <row r="264" spans="1:8" ht="12.75">
      <c r="A264">
        <f ca="1">IFERROR(__xludf.DUMMYFUNCTION("""COMPUTED_VALUE"""),263)</f>
        <v>263</v>
      </c>
      <c r="B264" t="str">
        <f ca="1">IFERROR(__xludf.DUMMYFUNCTION("""COMPUTED_VALUE"""),"T256")</f>
        <v>T256</v>
      </c>
      <c r="C264" t="str">
        <f ca="1">IFERROR(__xludf.DUMMYFUNCTION("""COMPUTED_VALUE"""),"Ian Poulter")</f>
        <v>Ian Poulter</v>
      </c>
      <c r="D264">
        <f ca="1">IFERROR(__xludf.DUMMYFUNCTION("""COMPUTED_VALUE"""),6)</f>
        <v>6</v>
      </c>
      <c r="E264">
        <f ca="1">IFERROR(__xludf.DUMMYFUNCTION("""COMPUTED_VALUE"""),56.48)</f>
        <v>56.48</v>
      </c>
      <c r="F264">
        <f ca="1">IFERROR(__xludf.DUMMYFUNCTION("""COMPUTED_VALUE"""),61)</f>
        <v>61</v>
      </c>
      <c r="G264">
        <f ca="1">IFERROR(__xludf.DUMMYFUNCTION("""COMPUTED_VALUE"""),108)</f>
        <v>108</v>
      </c>
      <c r="H264">
        <f ca="1">IFERROR(__xludf.DUMMYFUNCTION("""COMPUTED_VALUE"""),-0.25)</f>
        <v>-0.25</v>
      </c>
    </row>
    <row r="265" spans="1:8" ht="12.75">
      <c r="A265">
        <f ca="1">IFERROR(__xludf.DUMMYFUNCTION("""COMPUTED_VALUE"""),264)</f>
        <v>264</v>
      </c>
      <c r="B265" t="str">
        <f ca="1">IFERROR(__xludf.DUMMYFUNCTION("""COMPUTED_VALUE"""),"T258")</f>
        <v>T258</v>
      </c>
      <c r="C265" t="str">
        <f ca="1">IFERROR(__xludf.DUMMYFUNCTION("""COMPUTED_VALUE"""),"Ryo Ishikawa")</f>
        <v>Ryo Ishikawa</v>
      </c>
      <c r="D265">
        <f ca="1">IFERROR(__xludf.DUMMYFUNCTION("""COMPUTED_VALUE"""),8)</f>
        <v>8</v>
      </c>
      <c r="E265">
        <f ca="1">IFERROR(__xludf.DUMMYFUNCTION("""COMPUTED_VALUE"""),56.25)</f>
        <v>56.25</v>
      </c>
      <c r="F265">
        <f ca="1">IFERROR(__xludf.DUMMYFUNCTION("""COMPUTED_VALUE"""),81)</f>
        <v>81</v>
      </c>
      <c r="G265">
        <f ca="1">IFERROR(__xludf.DUMMYFUNCTION("""COMPUTED_VALUE"""),144)</f>
        <v>144</v>
      </c>
      <c r="H265">
        <f ca="1">IFERROR(__xludf.DUMMYFUNCTION("""COMPUTED_VALUE"""),-0.16)</f>
        <v>-0.16</v>
      </c>
    </row>
    <row r="266" spans="1:8" ht="12.75">
      <c r="A266">
        <f ca="1">IFERROR(__xludf.DUMMYFUNCTION("""COMPUTED_VALUE"""),265)</f>
        <v>265</v>
      </c>
      <c r="B266" t="str">
        <f ca="1">IFERROR(__xludf.DUMMYFUNCTION("""COMPUTED_VALUE"""),"T260")</f>
        <v>T260</v>
      </c>
      <c r="C266" t="str">
        <f ca="1">IFERROR(__xludf.DUMMYFUNCTION("""COMPUTED_VALUE"""),"Roberto Díaz")</f>
        <v>Roberto Díaz</v>
      </c>
      <c r="D266">
        <f ca="1">IFERROR(__xludf.DUMMYFUNCTION("""COMPUTED_VALUE"""),4)</f>
        <v>4</v>
      </c>
      <c r="E266">
        <f ca="1">IFERROR(__xludf.DUMMYFUNCTION("""COMPUTED_VALUE"""),55.56)</f>
        <v>55.56</v>
      </c>
      <c r="F266">
        <f ca="1">IFERROR(__xludf.DUMMYFUNCTION("""COMPUTED_VALUE"""),40)</f>
        <v>40</v>
      </c>
      <c r="G266">
        <f ca="1">IFERROR(__xludf.DUMMYFUNCTION("""COMPUTED_VALUE"""),72)</f>
        <v>72</v>
      </c>
      <c r="H266">
        <f ca="1">IFERROR(__xludf.DUMMYFUNCTION("""COMPUTED_VALUE"""),-0.33)</f>
        <v>-0.33</v>
      </c>
    </row>
    <row r="267" spans="1:8" ht="12.75">
      <c r="A267">
        <f ca="1">IFERROR(__xludf.DUMMYFUNCTION("""COMPUTED_VALUE"""),266)</f>
        <v>266</v>
      </c>
      <c r="B267" t="str">
        <f ca="1">IFERROR(__xludf.DUMMYFUNCTION("""COMPUTED_VALUE"""),"T237")</f>
        <v>T237</v>
      </c>
      <c r="C267" t="str">
        <f ca="1">IFERROR(__xludf.DUMMYFUNCTION("""COMPUTED_VALUE"""),"Jimmy Walker")</f>
        <v>Jimmy Walker</v>
      </c>
      <c r="D267">
        <f ca="1">IFERROR(__xludf.DUMMYFUNCTION("""COMPUTED_VALUE"""),10)</f>
        <v>10</v>
      </c>
      <c r="E267">
        <f ca="1">IFERROR(__xludf.DUMMYFUNCTION("""COMPUTED_VALUE"""),55)</f>
        <v>55</v>
      </c>
      <c r="F267">
        <f ca="1">IFERROR(__xludf.DUMMYFUNCTION("""COMPUTED_VALUE"""),99)</f>
        <v>99</v>
      </c>
      <c r="G267">
        <f ca="1">IFERROR(__xludf.DUMMYFUNCTION("""COMPUTED_VALUE"""),180)</f>
        <v>180</v>
      </c>
      <c r="H267">
        <f ca="1">IFERROR(__xludf.DUMMYFUNCTION("""COMPUTED_VALUE"""),-0.25)</f>
        <v>-0.25</v>
      </c>
    </row>
    <row r="268" spans="1:8" ht="12.75">
      <c r="A268">
        <f ca="1">IFERROR(__xludf.DUMMYFUNCTION("""COMPUTED_VALUE"""),267)</f>
        <v>267</v>
      </c>
      <c r="B268" t="str">
        <f ca="1">IFERROR(__xludf.DUMMYFUNCTION("""COMPUTED_VALUE"""),"T256")</f>
        <v>T256</v>
      </c>
      <c r="C268" t="str">
        <f ca="1">IFERROR(__xludf.DUMMYFUNCTION("""COMPUTED_VALUE"""),"Kevin Stadler")</f>
        <v>Kevin Stadler</v>
      </c>
      <c r="D268">
        <f ca="1">IFERROR(__xludf.DUMMYFUNCTION("""COMPUTED_VALUE"""),8)</f>
        <v>8</v>
      </c>
      <c r="E268">
        <f ca="1">IFERROR(__xludf.DUMMYFUNCTION("""COMPUTED_VALUE"""),54.86)</f>
        <v>54.86</v>
      </c>
      <c r="F268">
        <f ca="1">IFERROR(__xludf.DUMMYFUNCTION("""COMPUTED_VALUE"""),79)</f>
        <v>79</v>
      </c>
      <c r="G268">
        <f ca="1">IFERROR(__xludf.DUMMYFUNCTION("""COMPUTED_VALUE"""),144)</f>
        <v>144</v>
      </c>
      <c r="H268">
        <f ca="1">IFERROR(__xludf.DUMMYFUNCTION("""COMPUTED_VALUE"""),-0.16)</f>
        <v>-0.16</v>
      </c>
    </row>
    <row r="269" spans="1:8" ht="12.75">
      <c r="A269">
        <f ca="1">IFERROR(__xludf.DUMMYFUNCTION("""COMPUTED_VALUE"""),268)</f>
        <v>268</v>
      </c>
      <c r="B269" t="str">
        <f ca="1">IFERROR(__xludf.DUMMYFUNCTION("""COMPUTED_VALUE"""),"T260")</f>
        <v>T260</v>
      </c>
      <c r="C269" t="str">
        <f ca="1">IFERROR(__xludf.DUMMYFUNCTION("""COMPUTED_VALUE"""),"Danny Willett")</f>
        <v>Danny Willett</v>
      </c>
      <c r="D269">
        <f ca="1">IFERROR(__xludf.DUMMYFUNCTION("""COMPUTED_VALUE"""),7)</f>
        <v>7</v>
      </c>
      <c r="E269">
        <f ca="1">IFERROR(__xludf.DUMMYFUNCTION("""COMPUTED_VALUE"""),54.76)</f>
        <v>54.76</v>
      </c>
      <c r="F269">
        <f ca="1">IFERROR(__xludf.DUMMYFUNCTION("""COMPUTED_VALUE"""),69)</f>
        <v>69</v>
      </c>
      <c r="G269">
        <f ca="1">IFERROR(__xludf.DUMMYFUNCTION("""COMPUTED_VALUE"""),126)</f>
        <v>126</v>
      </c>
      <c r="H269">
        <f ca="1">IFERROR(__xludf.DUMMYFUNCTION("""COMPUTED_VALUE"""),-0.22)</f>
        <v>-0.22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IFERROR(__xludf.DUMMYFUNCTION("""COMPUTED_VALUE"""),"Shawn Stefani")</f>
        <v>Shawn Stefani</v>
      </c>
      <c r="D270">
        <f ca="1">IFERROR(__xludf.DUMMYFUNCTION("""COMPUTED_VALUE"""),5)</f>
        <v>5</v>
      </c>
      <c r="E270">
        <f ca="1">IFERROR(__xludf.DUMMYFUNCTION("""COMPUTED_VALUE"""),54.44)</f>
        <v>54.44</v>
      </c>
      <c r="F270">
        <f ca="1">IFERROR(__xludf.DUMMYFUNCTION("""COMPUTED_VALUE"""),49)</f>
        <v>49</v>
      </c>
      <c r="G270">
        <f ca="1">IFERROR(__xludf.DUMMYFUNCTION("""COMPUTED_VALUE"""),90)</f>
        <v>90</v>
      </c>
      <c r="H270">
        <f ca="1">IFERROR(__xludf.DUMMYFUNCTION("""COMPUTED_VALUE"""),-0.22)</f>
        <v>-0.22</v>
      </c>
    </row>
    <row r="271" spans="1:8" ht="12.75">
      <c r="A271" t="str">
        <f ca="1">IFERROR(__xludf.DUMMYFUNCTION("""COMPUTED_VALUE"""),"T270")</f>
        <v>T270</v>
      </c>
      <c r="B271" t="str">
        <f ca="1">IFERROR(__xludf.DUMMYFUNCTION("""COMPUTED_VALUE"""),"T263")</f>
        <v>T263</v>
      </c>
      <c r="C271" t="str">
        <f ca="1">IFERROR(__xludf.DUMMYFUNCTION("""COMPUTED_VALUE"""),"Bernd Wiesberger")</f>
        <v>Bernd Wiesberger</v>
      </c>
      <c r="D271">
        <f ca="1">IFERROR(__xludf.DUMMYFUNCTION("""COMPUTED_VALUE"""),4)</f>
        <v>4</v>
      </c>
      <c r="E271">
        <f ca="1">IFERROR(__xludf.DUMMYFUNCTION("""COMPUTED_VALUE"""),54.17)</f>
        <v>54.17</v>
      </c>
      <c r="F271">
        <f ca="1">IFERROR(__xludf.DUMMYFUNCTION("""COMPUTED_VALUE"""),39)</f>
        <v>39</v>
      </c>
      <c r="G271">
        <f ca="1">IFERROR(__xludf.DUMMYFUNCTION("""COMPUTED_VALUE"""),72)</f>
        <v>72</v>
      </c>
      <c r="H271">
        <f ca="1">IFERROR(__xludf.DUMMYFUNCTION("""COMPUTED_VALUE"""),-0.1)</f>
        <v>-0.1</v>
      </c>
    </row>
    <row r="272" spans="1:8" ht="12.75">
      <c r="A272" t="str">
        <f ca="1">IFERROR(__xludf.DUMMYFUNCTION("""COMPUTED_VALUE"""),"T270")</f>
        <v>T270</v>
      </c>
      <c r="B272" t="str">
        <f ca="1">IFERROR(__xludf.DUMMYFUNCTION("""COMPUTED_VALUE"""),"T263")</f>
        <v>T263</v>
      </c>
      <c r="C272" t="str">
        <f ca="1">IFERROR(__xludf.DUMMYFUNCTION("""COMPUTED_VALUE"""),"Shugo Imahira")</f>
        <v>Shugo Imahira</v>
      </c>
      <c r="D272">
        <f ca="1">IFERROR(__xludf.DUMMYFUNCTION("""COMPUTED_VALUE"""),8)</f>
        <v>8</v>
      </c>
      <c r="E272">
        <f ca="1">IFERROR(__xludf.DUMMYFUNCTION("""COMPUTED_VALUE"""),54.17)</f>
        <v>54.17</v>
      </c>
      <c r="F272">
        <f ca="1">IFERROR(__xludf.DUMMYFUNCTION("""COMPUTED_VALUE"""),78)</f>
        <v>78</v>
      </c>
      <c r="G272">
        <f ca="1">IFERROR(__xludf.DUMMYFUNCTION("""COMPUTED_VALUE"""),144)</f>
        <v>144</v>
      </c>
      <c r="H272">
        <f ca="1">IFERROR(__xludf.DUMMYFUNCTION("""COMPUTED_VALUE"""),-0.28)</f>
        <v>-0.28000000000000003</v>
      </c>
    </row>
    <row r="273" spans="1:8" ht="12.75">
      <c r="A273" t="str">
        <f ca="1">IFERROR(__xludf.DUMMYFUNCTION("""COMPUTED_VALUE"""),"T270")</f>
        <v>T270</v>
      </c>
      <c r="B273" t="str">
        <f ca="1">IFERROR(__xludf.DUMMYFUNCTION("""COMPUTED_VALUE"""),"T263")</f>
        <v>T263</v>
      </c>
      <c r="C273" t="str">
        <f ca="1">IFERROR(__xludf.DUMMYFUNCTION("""COMPUTED_VALUE"""),"John Pak")</f>
        <v>John Pak</v>
      </c>
      <c r="D273">
        <f ca="1">IFERROR(__xludf.DUMMYFUNCTION("""COMPUTED_VALUE"""),4)</f>
        <v>4</v>
      </c>
      <c r="E273">
        <f ca="1">IFERROR(__xludf.DUMMYFUNCTION("""COMPUTED_VALUE"""),54.17)</f>
        <v>54.17</v>
      </c>
      <c r="F273">
        <f ca="1">IFERROR(__xludf.DUMMYFUNCTION("""COMPUTED_VALUE"""),39)</f>
        <v>39</v>
      </c>
      <c r="G273">
        <f ca="1">IFERROR(__xludf.DUMMYFUNCTION("""COMPUTED_VALUE"""),72)</f>
        <v>72</v>
      </c>
      <c r="H273">
        <f ca="1">IFERROR(__xludf.DUMMYFUNCTION("""COMPUTED_VALUE"""),-0.1)</f>
        <v>-0.1</v>
      </c>
    </row>
    <row r="274" spans="1:8" ht="12.75">
      <c r="A274">
        <f ca="1">IFERROR(__xludf.DUMMYFUNCTION("""COMPUTED_VALUE"""),273)</f>
        <v>273</v>
      </c>
      <c r="B274" t="str">
        <f ca="1">IFERROR(__xludf.DUMMYFUNCTION("""COMPUTED_VALUE"""),"T258")</f>
        <v>T258</v>
      </c>
      <c r="C274" t="str">
        <f ca="1">IFERROR(__xludf.DUMMYFUNCTION("""COMPUTED_VALUE"""),"Martin Trainer")</f>
        <v>Martin Trainer</v>
      </c>
      <c r="D274">
        <f ca="1">IFERROR(__xludf.DUMMYFUNCTION("""COMPUTED_VALUE"""),10)</f>
        <v>10</v>
      </c>
      <c r="E274">
        <f ca="1">IFERROR(__xludf.DUMMYFUNCTION("""COMPUTED_VALUE"""),53.89)</f>
        <v>53.89</v>
      </c>
      <c r="F274">
        <f ca="1">IFERROR(__xludf.DUMMYFUNCTION("""COMPUTED_VALUE"""),97)</f>
        <v>97</v>
      </c>
      <c r="G274">
        <f ca="1">IFERROR(__xludf.DUMMYFUNCTION("""COMPUTED_VALUE"""),180)</f>
        <v>180</v>
      </c>
      <c r="H274">
        <f ca="1">IFERROR(__xludf.DUMMYFUNCTION("""COMPUTED_VALUE"""),-0.29)</f>
        <v>-0.28999999999999998</v>
      </c>
    </row>
    <row r="275" spans="1:8" ht="12.75">
      <c r="A275" t="str">
        <f ca="1">IFERROR(__xludf.DUMMYFUNCTION("""COMPUTED_VALUE"""),"T274")</f>
        <v>T274</v>
      </c>
      <c r="B275" t="str">
        <f ca="1">IFERROR(__xludf.DUMMYFUNCTION("""COMPUTED_VALUE"""),"T269")</f>
        <v>T269</v>
      </c>
      <c r="C275" t="str">
        <f ca="1">IFERROR(__xludf.DUMMYFUNCTION("""COMPUTED_VALUE"""),"Alex Cejka")</f>
        <v>Alex Cejka</v>
      </c>
      <c r="D275">
        <f ca="1">IFERROR(__xludf.DUMMYFUNCTION("""COMPUTED_VALUE"""),6)</f>
        <v>6</v>
      </c>
      <c r="E275">
        <f ca="1">IFERROR(__xludf.DUMMYFUNCTION("""COMPUTED_VALUE"""),52.78)</f>
        <v>52.78</v>
      </c>
      <c r="F275">
        <f ca="1">IFERROR(__xludf.DUMMYFUNCTION("""COMPUTED_VALUE"""),57)</f>
        <v>57</v>
      </c>
      <c r="G275">
        <f ca="1">IFERROR(__xludf.DUMMYFUNCTION("""COMPUTED_VALUE"""),108)</f>
        <v>108</v>
      </c>
      <c r="H275">
        <f ca="1">IFERROR(__xludf.DUMMYFUNCTION("""COMPUTED_VALUE"""),-0.12)</f>
        <v>-0.12</v>
      </c>
    </row>
    <row r="276" spans="1:8" ht="12.75">
      <c r="A276" t="str">
        <f ca="1">IFERROR(__xludf.DUMMYFUNCTION("""COMPUTED_VALUE"""),"T274")</f>
        <v>T274</v>
      </c>
      <c r="B276" t="str">
        <f ca="1">IFERROR(__xludf.DUMMYFUNCTION("""COMPUTED_VALUE"""),"T269")</f>
        <v>T269</v>
      </c>
      <c r="C276" t="str">
        <f ca="1">IFERROR(__xludf.DUMMYFUNCTION("""COMPUTED_VALUE"""),"Eric Dugas")</f>
        <v>Eric Dugas</v>
      </c>
      <c r="D276">
        <f ca="1">IFERROR(__xludf.DUMMYFUNCTION("""COMPUTED_VALUE"""),4)</f>
        <v>4</v>
      </c>
      <c r="E276">
        <f ca="1">IFERROR(__xludf.DUMMYFUNCTION("""COMPUTED_VALUE"""),52.78)</f>
        <v>52.78</v>
      </c>
      <c r="F276">
        <f ca="1">IFERROR(__xludf.DUMMYFUNCTION("""COMPUTED_VALUE"""),38)</f>
        <v>38</v>
      </c>
      <c r="G276">
        <f ca="1">IFERROR(__xludf.DUMMYFUNCTION("""COMPUTED_VALUE"""),72)</f>
        <v>72</v>
      </c>
      <c r="H276">
        <f ca="1">IFERROR(__xludf.DUMMYFUNCTION("""COMPUTED_VALUE"""),-0.29)</f>
        <v>-0.28999999999999998</v>
      </c>
    </row>
    <row r="277" spans="1:8" ht="12.75">
      <c r="A277" t="str">
        <f ca="1">IFERROR(__xludf.DUMMYFUNCTION("""COMPUTED_VALUE"""),"T274")</f>
        <v>T274</v>
      </c>
      <c r="B277" t="str">
        <f ca="1">IFERROR(__xludf.DUMMYFUNCTION("""COMPUTED_VALUE"""),"T269")</f>
        <v>T269</v>
      </c>
      <c r="C277" t="str">
        <f ca="1">IFERROR(__xludf.DUMMYFUNCTION("""COMPUTED_VALUE"""),"Jeongwoo Ham")</f>
        <v>Jeongwoo Ham</v>
      </c>
      <c r="D277">
        <f ca="1">IFERROR(__xludf.DUMMYFUNCTION("""COMPUTED_VALUE"""),4)</f>
        <v>4</v>
      </c>
      <c r="E277">
        <f ca="1">IFERROR(__xludf.DUMMYFUNCTION("""COMPUTED_VALUE"""),52.78)</f>
        <v>52.78</v>
      </c>
      <c r="F277">
        <f ca="1">IFERROR(__xludf.DUMMYFUNCTION("""COMPUTED_VALUE"""),38)</f>
        <v>38</v>
      </c>
      <c r="G277">
        <f ca="1">IFERROR(__xludf.DUMMYFUNCTION("""COMPUTED_VALUE"""),72)</f>
        <v>72</v>
      </c>
      <c r="H277">
        <f ca="1">IFERROR(__xludf.DUMMYFUNCTION("""COMPUTED_VALUE"""),-0.32)</f>
        <v>-0.32</v>
      </c>
    </row>
    <row r="278" spans="1:8" ht="12.75">
      <c r="A278" t="str">
        <f ca="1">IFERROR(__xludf.DUMMYFUNCTION("""COMPUTED_VALUE"""),"T274")</f>
        <v>T274</v>
      </c>
      <c r="B278" t="str">
        <f ca="1">IFERROR(__xludf.DUMMYFUNCTION("""COMPUTED_VALUE"""),"T269")</f>
        <v>T269</v>
      </c>
      <c r="C278" t="str">
        <f ca="1">IFERROR(__xludf.DUMMYFUNCTION("""COMPUTED_VALUE"""),"Davis Riley")</f>
        <v>Davis Riley</v>
      </c>
      <c r="D278">
        <f ca="1">IFERROR(__xludf.DUMMYFUNCTION("""COMPUTED_VALUE"""),4)</f>
        <v>4</v>
      </c>
      <c r="E278">
        <f ca="1">IFERROR(__xludf.DUMMYFUNCTION("""COMPUTED_VALUE"""),52.78)</f>
        <v>52.78</v>
      </c>
      <c r="F278">
        <f ca="1">IFERROR(__xludf.DUMMYFUNCTION("""COMPUTED_VALUE"""),38)</f>
        <v>38</v>
      </c>
      <c r="G278">
        <f ca="1">IFERROR(__xludf.DUMMYFUNCTION("""COMPUTED_VALUE"""),72)</f>
        <v>72</v>
      </c>
      <c r="H278">
        <f ca="1">IFERROR(__xludf.DUMMYFUNCTION("""COMPUTED_VALUE"""),-0.21)</f>
        <v>-0.21</v>
      </c>
    </row>
    <row r="279" spans="1:8" ht="12.75">
      <c r="A279">
        <f ca="1">IFERROR(__xludf.DUMMYFUNCTION("""COMPUTED_VALUE"""),278)</f>
        <v>278</v>
      </c>
      <c r="B279">
        <f ca="1">IFERROR(__xludf.DUMMYFUNCTION("""COMPUTED_VALUE"""),274)</f>
        <v>274</v>
      </c>
      <c r="C279" t="str">
        <f ca="1">IFERROR(__xludf.DUMMYFUNCTION("""COMPUTED_VALUE"""),"Gary Woodland")</f>
        <v>Gary Woodland</v>
      </c>
      <c r="D279">
        <f ca="1">IFERROR(__xludf.DUMMYFUNCTION("""COMPUTED_VALUE"""),6)</f>
        <v>6</v>
      </c>
      <c r="E279">
        <f ca="1">IFERROR(__xludf.DUMMYFUNCTION("""COMPUTED_VALUE"""),51.85)</f>
        <v>51.85</v>
      </c>
      <c r="F279">
        <f ca="1">IFERROR(__xludf.DUMMYFUNCTION("""COMPUTED_VALUE"""),56)</f>
        <v>56</v>
      </c>
      <c r="G279">
        <f ca="1">IFERROR(__xludf.DUMMYFUNCTION("""COMPUTED_VALUE"""),108)</f>
        <v>108</v>
      </c>
      <c r="H279">
        <f ca="1">IFERROR(__xludf.DUMMYFUNCTION("""COMPUTED_VALUE"""),-0.36)</f>
        <v>-0.36</v>
      </c>
    </row>
    <row r="280" spans="1:8" ht="12.75">
      <c r="A280">
        <f ca="1">IFERROR(__xludf.DUMMYFUNCTION("""COMPUTED_VALUE"""),279)</f>
        <v>279</v>
      </c>
      <c r="B280" t="str">
        <f ca="1">IFERROR(__xludf.DUMMYFUNCTION("""COMPUTED_VALUE"""),"T263")</f>
        <v>T263</v>
      </c>
      <c r="C280" t="str">
        <f ca="1">IFERROR(__xludf.DUMMYFUNCTION("""COMPUTED_VALUE"""),"Lee Westwood")</f>
        <v>Lee Westwood</v>
      </c>
      <c r="D280">
        <f ca="1">IFERROR(__xludf.DUMMYFUNCTION("""COMPUTED_VALUE"""),6)</f>
        <v>6</v>
      </c>
      <c r="E280">
        <f ca="1">IFERROR(__xludf.DUMMYFUNCTION("""COMPUTED_VALUE"""),50.93)</f>
        <v>50.93</v>
      </c>
      <c r="F280">
        <f ca="1">IFERROR(__xludf.DUMMYFUNCTION("""COMPUTED_VALUE"""),55)</f>
        <v>55</v>
      </c>
      <c r="G280">
        <f ca="1">IFERROR(__xludf.DUMMYFUNCTION("""COMPUTED_VALUE"""),108)</f>
        <v>108</v>
      </c>
      <c r="H280">
        <f ca="1">IFERROR(__xludf.DUMMYFUNCTION("""COMPUTED_VALUE"""),-0.24)</f>
        <v>-0.24</v>
      </c>
    </row>
    <row r="281" spans="1:8" ht="12.75">
      <c r="A281">
        <f ca="1">IFERROR(__xludf.DUMMYFUNCTION("""COMPUTED_VALUE"""),280)</f>
        <v>280</v>
      </c>
      <c r="B281">
        <f ca="1">IFERROR(__xludf.DUMMYFUNCTION("""COMPUTED_VALUE"""),275)</f>
        <v>275</v>
      </c>
      <c r="C281" t="str">
        <f ca="1">IFERROR(__xludf.DUMMYFUNCTION("""COMPUTED_VALUE"""),"Luke Schniederjans")</f>
        <v>Luke Schniederjans</v>
      </c>
      <c r="D281">
        <f ca="1">IFERROR(__xludf.DUMMYFUNCTION("""COMPUTED_VALUE"""),4)</f>
        <v>4</v>
      </c>
      <c r="E281">
        <f ca="1">IFERROR(__xludf.DUMMYFUNCTION("""COMPUTED_VALUE"""),50)</f>
        <v>50</v>
      </c>
      <c r="F281">
        <f ca="1">IFERROR(__xludf.DUMMYFUNCTION("""COMPUTED_VALUE"""),36)</f>
        <v>36</v>
      </c>
      <c r="G281">
        <f ca="1">IFERROR(__xludf.DUMMYFUNCTION("""COMPUTED_VALUE"""),72)</f>
        <v>72</v>
      </c>
      <c r="H281">
        <f ca="1">IFERROR(__xludf.DUMMYFUNCTION("""COMPUTED_VALUE"""),-0.33)</f>
        <v>-0.33</v>
      </c>
    </row>
    <row r="282" spans="1:8" ht="12.75">
      <c r="A282">
        <f ca="1">IFERROR(__xludf.DUMMYFUNCTION("""COMPUTED_VALUE"""),281)</f>
        <v>281</v>
      </c>
      <c r="B282">
        <f ca="1">IFERROR(__xludf.DUMMYFUNCTION("""COMPUTED_VALUE"""),276)</f>
        <v>276</v>
      </c>
      <c r="C282" t="str">
        <f ca="1">IFERROR(__xludf.DUMMYFUNCTION("""COMPUTED_VALUE"""),"Stephan Jaeger")</f>
        <v>Stephan Jaeger</v>
      </c>
      <c r="D282">
        <f ca="1">IFERROR(__xludf.DUMMYFUNCTION("""COMPUTED_VALUE"""),4)</f>
        <v>4</v>
      </c>
      <c r="E282">
        <f ca="1">IFERROR(__xludf.DUMMYFUNCTION("""COMPUTED_VALUE"""),48.61)</f>
        <v>48.61</v>
      </c>
      <c r="F282">
        <f ca="1">IFERROR(__xludf.DUMMYFUNCTION("""COMPUTED_VALUE"""),35)</f>
        <v>35</v>
      </c>
      <c r="G282">
        <f ca="1">IFERROR(__xludf.DUMMYFUNCTION("""COMPUTED_VALUE"""),72)</f>
        <v>72</v>
      </c>
      <c r="H282">
        <f ca="1">IFERROR(__xludf.DUMMYFUNCTION("""COMPUTED_VALUE"""),-0.17)</f>
        <v>-0.17</v>
      </c>
    </row>
    <row r="283" spans="1:8" ht="12.75">
      <c r="A283" t="str">
        <f ca="1">IFERROR(__xludf.DUMMYFUNCTION("""COMPUTED_VALUE"""),"T282")</f>
        <v>T282</v>
      </c>
      <c r="B283" t="str">
        <f ca="1">IFERROR(__xludf.DUMMYFUNCTION("""COMPUTED_VALUE"""),"T277")</f>
        <v>T277</v>
      </c>
      <c r="C283" t="str">
        <f ca="1">IFERROR(__xludf.DUMMYFUNCTION("""COMPUTED_VALUE"""),"Parker McLachlin")</f>
        <v>Parker McLachlin</v>
      </c>
      <c r="D283">
        <f ca="1">IFERROR(__xludf.DUMMYFUNCTION("""COMPUTED_VALUE"""),4)</f>
        <v>4</v>
      </c>
      <c r="E283">
        <f ca="1">IFERROR(__xludf.DUMMYFUNCTION("""COMPUTED_VALUE"""),47.22)</f>
        <v>47.22</v>
      </c>
      <c r="F283">
        <f ca="1">IFERROR(__xludf.DUMMYFUNCTION("""COMPUTED_VALUE"""),34)</f>
        <v>34</v>
      </c>
      <c r="G283">
        <f ca="1">IFERROR(__xludf.DUMMYFUNCTION("""COMPUTED_VALUE"""),72)</f>
        <v>72</v>
      </c>
      <c r="H283">
        <f ca="1">IFERROR(__xludf.DUMMYFUNCTION("""COMPUTED_VALUE"""),-0.26)</f>
        <v>-0.26</v>
      </c>
    </row>
    <row r="284" spans="1:8" ht="12.75">
      <c r="A284" t="str">
        <f ca="1">IFERROR(__xludf.DUMMYFUNCTION("""COMPUTED_VALUE"""),"T282")</f>
        <v>T282</v>
      </c>
      <c r="B284" t="str">
        <f ca="1">IFERROR(__xludf.DUMMYFUNCTION("""COMPUTED_VALUE"""),"T277")</f>
        <v>T277</v>
      </c>
      <c r="C284" t="str">
        <f ca="1">IFERROR(__xludf.DUMMYFUNCTION("""COMPUTED_VALUE"""),"Renato Paratore")</f>
        <v>Renato Paratore</v>
      </c>
      <c r="D284">
        <f ca="1">IFERROR(__xludf.DUMMYFUNCTION("""COMPUTED_VALUE"""),4)</f>
        <v>4</v>
      </c>
      <c r="E284">
        <f ca="1">IFERROR(__xludf.DUMMYFUNCTION("""COMPUTED_VALUE"""),47.22)</f>
        <v>47.22</v>
      </c>
      <c r="F284">
        <f ca="1">IFERROR(__xludf.DUMMYFUNCTION("""COMPUTED_VALUE"""),34)</f>
        <v>34</v>
      </c>
      <c r="G284">
        <f ca="1">IFERROR(__xludf.DUMMYFUNCTION("""COMPUTED_VALUE"""),72)</f>
        <v>72</v>
      </c>
      <c r="H284">
        <f ca="1">IFERROR(__xludf.DUMMYFUNCTION("""COMPUTED_VALUE"""),-0.15)</f>
        <v>-0.15</v>
      </c>
    </row>
    <row r="285" spans="1:8" ht="12.75">
      <c r="A285" t="str">
        <f ca="1">IFERROR(__xludf.DUMMYFUNCTION("""COMPUTED_VALUE"""),"T282")</f>
        <v>T282</v>
      </c>
      <c r="B285" t="str">
        <f ca="1">IFERROR(__xludf.DUMMYFUNCTION("""COMPUTED_VALUE"""),"T277")</f>
        <v>T277</v>
      </c>
      <c r="C285" t="str">
        <f ca="1">IFERROR(__xludf.DUMMYFUNCTION("""COMPUTED_VALUE"""),"Taylor Pendrith")</f>
        <v>Taylor Pendrith</v>
      </c>
      <c r="D285">
        <f ca="1">IFERROR(__xludf.DUMMYFUNCTION("""COMPUTED_VALUE"""),4)</f>
        <v>4</v>
      </c>
      <c r="E285">
        <f ca="1">IFERROR(__xludf.DUMMYFUNCTION("""COMPUTED_VALUE"""),47.22)</f>
        <v>47.22</v>
      </c>
      <c r="F285">
        <f ca="1">IFERROR(__xludf.DUMMYFUNCTION("""COMPUTED_VALUE"""),34)</f>
        <v>34</v>
      </c>
      <c r="G285">
        <f ca="1">IFERROR(__xludf.DUMMYFUNCTION("""COMPUTED_VALUE"""),72)</f>
        <v>72</v>
      </c>
      <c r="H285">
        <f ca="1">IFERROR(__xludf.DUMMYFUNCTION("""COMPUTED_VALUE"""),-0.24)</f>
        <v>-0.24</v>
      </c>
    </row>
    <row r="286" spans="1:8" ht="12.75">
      <c r="A286">
        <f ca="1">IFERROR(__xludf.DUMMYFUNCTION("""COMPUTED_VALUE"""),285)</f>
        <v>285</v>
      </c>
      <c r="B286">
        <f ca="1">IFERROR(__xludf.DUMMYFUNCTION("""COMPUTED_VALUE"""),280)</f>
        <v>280</v>
      </c>
      <c r="C286" t="str">
        <f ca="1">IFERROR(__xludf.DUMMYFUNCTION("""COMPUTED_VALUE"""),"Fred Funk")</f>
        <v>Fred Funk</v>
      </c>
      <c r="D286">
        <f ca="1">IFERROR(__xludf.DUMMYFUNCTION("""COMPUTED_VALUE"""),4)</f>
        <v>4</v>
      </c>
      <c r="E286">
        <f ca="1">IFERROR(__xludf.DUMMYFUNCTION("""COMPUTED_VALUE"""),45.83)</f>
        <v>45.83</v>
      </c>
      <c r="F286">
        <f ca="1">IFERROR(__xludf.DUMMYFUNCTION("""COMPUTED_VALUE"""),33)</f>
        <v>33</v>
      </c>
      <c r="G286">
        <f ca="1">IFERROR(__xludf.DUMMYFUNCTION("""COMPUTED_VALUE"""),72)</f>
        <v>72</v>
      </c>
      <c r="H286">
        <f ca="1">IFERROR(__xludf.DUMMYFUNCTION("""COMPUTED_VALUE"""),-0.27)</f>
        <v>-0.27</v>
      </c>
    </row>
    <row r="287" spans="1:8" ht="12.75">
      <c r="A287" t="str">
        <f ca="1">IFERROR(__xludf.DUMMYFUNCTION("""COMPUTED_VALUE"""),"T286")</f>
        <v>T286</v>
      </c>
      <c r="B287" t="str">
        <f ca="1">IFERROR(__xludf.DUMMYFUNCTION("""COMPUTED_VALUE"""),"T281")</f>
        <v>T281</v>
      </c>
      <c r="C287" t="str">
        <f ca="1">IFERROR(__xludf.DUMMYFUNCTION("""COMPUTED_VALUE"""),"Lucas Herbert")</f>
        <v>Lucas Herbert</v>
      </c>
      <c r="D287">
        <f ca="1">IFERROR(__xludf.DUMMYFUNCTION("""COMPUTED_VALUE"""),4)</f>
        <v>4</v>
      </c>
      <c r="E287">
        <f ca="1">IFERROR(__xludf.DUMMYFUNCTION("""COMPUTED_VALUE"""),44.44)</f>
        <v>44.44</v>
      </c>
      <c r="F287">
        <f ca="1">IFERROR(__xludf.DUMMYFUNCTION("""COMPUTED_VALUE"""),32)</f>
        <v>32</v>
      </c>
      <c r="G287">
        <f ca="1">IFERROR(__xludf.DUMMYFUNCTION("""COMPUTED_VALUE"""),72)</f>
        <v>72</v>
      </c>
      <c r="H287">
        <f ca="1">IFERROR(__xludf.DUMMYFUNCTION("""COMPUTED_VALUE"""),-0.22)</f>
        <v>-0.22</v>
      </c>
    </row>
    <row r="288" spans="1:8" ht="12.75">
      <c r="A288" t="str">
        <f ca="1">IFERROR(__xludf.DUMMYFUNCTION("""COMPUTED_VALUE"""),"T286")</f>
        <v>T286</v>
      </c>
      <c r="B288" t="str">
        <f ca="1">IFERROR(__xludf.DUMMYFUNCTION("""COMPUTED_VALUE"""),"T281")</f>
        <v>T281</v>
      </c>
      <c r="C288" t="str">
        <f ca="1">IFERROR(__xludf.DUMMYFUNCTION("""COMPUTED_VALUE"""),"Robert MacIntyre")</f>
        <v>Robert MacIntyre</v>
      </c>
      <c r="D288">
        <f ca="1">IFERROR(__xludf.DUMMYFUNCTION("""COMPUTED_VALUE"""),4)</f>
        <v>4</v>
      </c>
      <c r="E288">
        <f ca="1">IFERROR(__xludf.DUMMYFUNCTION("""COMPUTED_VALUE"""),44.44)</f>
        <v>44.44</v>
      </c>
      <c r="F288">
        <f ca="1">IFERROR(__xludf.DUMMYFUNCTION("""COMPUTED_VALUE"""),32)</f>
        <v>32</v>
      </c>
      <c r="G288">
        <f ca="1">IFERROR(__xludf.DUMMYFUNCTION("""COMPUTED_VALUE"""),72)</f>
        <v>72</v>
      </c>
      <c r="H288">
        <f ca="1">IFERROR(__xludf.DUMMYFUNCTION("""COMPUTED_VALUE"""),-0.19)</f>
        <v>-0.19</v>
      </c>
    </row>
    <row r="289" spans="1:8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IFERROR(__xludf.DUMMYFUNCTION("""COMPUTED_VALUE"""),"Tae Hee Lee")</f>
        <v>Tae Hee Lee</v>
      </c>
      <c r="D289">
        <f ca="1">IFERROR(__xludf.DUMMYFUNCTION("""COMPUTED_VALUE"""),4)</f>
        <v>4</v>
      </c>
      <c r="E289">
        <f ca="1">IFERROR(__xludf.DUMMYFUNCTION("""COMPUTED_VALUE"""),43.06)</f>
        <v>43.06</v>
      </c>
      <c r="F289">
        <f ca="1">IFERROR(__xludf.DUMMYFUNCTION("""COMPUTED_VALUE"""),31)</f>
        <v>31</v>
      </c>
      <c r="G289">
        <f ca="1">IFERROR(__xludf.DUMMYFUNCTION("""COMPUTED_VALUE"""),72)</f>
        <v>72</v>
      </c>
      <c r="H289">
        <f ca="1">IFERROR(__xludf.DUMMYFUNCTION("""COMPUTED_VALUE"""),-0.1)</f>
        <v>-0.1</v>
      </c>
    </row>
    <row r="290" spans="1:8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IFERROR(__xludf.DUMMYFUNCTION("""COMPUTED_VALUE"""),"Christiaan Bezuidenhout")</f>
        <v>Christiaan Bezuidenhout</v>
      </c>
      <c r="D290">
        <f ca="1">IFERROR(__xludf.DUMMYFUNCTION("""COMPUTED_VALUE"""),4)</f>
        <v>4</v>
      </c>
      <c r="E290">
        <f ca="1">IFERROR(__xludf.DUMMYFUNCTION("""COMPUTED_VALUE"""),40.28)</f>
        <v>40.28</v>
      </c>
      <c r="F290">
        <f ca="1">IFERROR(__xludf.DUMMYFUNCTION("""COMPUTED_VALUE"""),29)</f>
        <v>29</v>
      </c>
      <c r="G290">
        <f ca="1">IFERROR(__xludf.DUMMYFUNCTION("""COMPUTED_VALUE"""),72)</f>
        <v>72</v>
      </c>
      <c r="H290">
        <f ca="1">IFERROR(__xludf.DUMMYFUNCTION("""COMPUTED_VALUE"""),-0.14)</f>
        <v>-0.14000000000000001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IFERROR(__xludf.DUMMYFUNCTION("importhtml(""http://www.pgatour.com/stats/stat.02437.html"",""table"",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IFERROR(__xludf.DUMMYFUNCTION("""COMPUTED_VALUE"""),"TOTAL HIT")</f>
        <v>TOTAL HIT</v>
      </c>
      <c r="G1" t="str">
        <f ca="1">IFERROR(__xludf.DUMMYFUNCTION("""COMPUTED_VALUE"""),"TOTAL ATTEMPTS")</f>
        <v>TOTAL ATTEMPTS</v>
      </c>
      <c r="H1" t="str">
        <f ca="1">IFERROR(__xludf.DUMMYFUNCTION("""COMPUTED_VALUE"""),"RTP SCORE")</f>
        <v>RTP SCORE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IFERROR(__xludf.DUMMYFUNCTION("""COMPUTED_VALUE"""),"Justin Suh")</f>
        <v>Justin Suh</v>
      </c>
      <c r="D2">
        <f ca="1">IFERROR(__xludf.DUMMYFUNCTION("""COMPUTED_VALUE"""),10)</f>
        <v>10</v>
      </c>
      <c r="E2">
        <f ca="1">IFERROR(__xludf.DUMMYFUNCTION("""COMPUTED_VALUE"""),93.06)</f>
        <v>93.06</v>
      </c>
      <c r="F2">
        <f ca="1">IFERROR(__xludf.DUMMYFUNCTION("""COMPUTED_VALUE"""),67)</f>
        <v>67</v>
      </c>
      <c r="G2">
        <f ca="1">IFERROR(__xludf.DUMMYFUNCTION("""COMPUTED_VALUE"""),72)</f>
        <v>72</v>
      </c>
      <c r="H2">
        <f ca="1">IFERROR(__xludf.DUMMYFUNCTION("""COMPUTED_VALUE"""),-30)</f>
        <v>-30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IFERROR(__xludf.DUMMYFUNCTION("""COMPUTED_VALUE"""),3)</f>
        <v>3</v>
      </c>
      <c r="C3" t="str">
        <f ca="1">IFERROR(__xludf.DUMMYFUNCTION("""COMPUTED_VALUE"""),"Zack Sucher")</f>
        <v>Zack Sucher</v>
      </c>
      <c r="D3">
        <f ca="1">IFERROR(__xludf.DUMMYFUNCTION("""COMPUTED_VALUE"""),6)</f>
        <v>6</v>
      </c>
      <c r="E3">
        <f ca="1">IFERROR(__xludf.DUMMYFUNCTION("""COMPUTED_VALUE"""),88.89)</f>
        <v>88.89</v>
      </c>
      <c r="F3">
        <f ca="1">IFERROR(__xludf.DUMMYFUNCTION("""COMPUTED_VALUE"""),32)</f>
        <v>32</v>
      </c>
      <c r="G3">
        <f ca="1">IFERROR(__xludf.DUMMYFUNCTION("""COMPUTED_VALUE"""),36)</f>
        <v>36</v>
      </c>
      <c r="H3">
        <f ca="1">IFERROR(__xludf.DUMMYFUNCTION("""COMPUTED_VALUE"""),-8)</f>
        <v>-8</v>
      </c>
    </row>
    <row r="4" spans="1:8" ht="15.75" customHeight="1">
      <c r="A4">
        <f ca="1">IFERROR(__xludf.DUMMYFUNCTION("""COMPUTED_VALUE"""),3)</f>
        <v>3</v>
      </c>
      <c r="B4" t="str">
        <f ca="1">IFERROR(__xludf.DUMMYFUNCTION("""COMPUTED_VALUE"""),"T9")</f>
        <v>T9</v>
      </c>
      <c r="C4" t="str">
        <f ca="1">IFERROR(__xludf.DUMMYFUNCTION("""COMPUTED_VALUE"""),"Bryson DeChambeau")</f>
        <v>Bryson DeChambeau</v>
      </c>
      <c r="D4">
        <f ca="1">IFERROR(__xludf.DUMMYFUNCTION("""COMPUTED_VALUE"""),8)</f>
        <v>8</v>
      </c>
      <c r="E4">
        <f ca="1">IFERROR(__xludf.DUMMYFUNCTION("""COMPUTED_VALUE"""),84.03)</f>
        <v>84.03</v>
      </c>
      <c r="F4">
        <f ca="1">IFERROR(__xludf.DUMMYFUNCTION("""COMPUTED_VALUE"""),121)</f>
        <v>121</v>
      </c>
      <c r="G4">
        <f ca="1">IFERROR(__xludf.DUMMYFUNCTION("""COMPUTED_VALUE"""),144)</f>
        <v>144</v>
      </c>
      <c r="H4">
        <f ca="1">IFERROR(__xludf.DUMMYFUNCTION("""COMPUTED_VALUE"""),-48)</f>
        <v>-48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IFERROR(__xludf.DUMMYFUNCTION("""COMPUTED_VALUE"""),"Martin Laird")</f>
        <v>Martin Laird</v>
      </c>
      <c r="D5">
        <f ca="1">IFERROR(__xludf.DUMMYFUNCTION("""COMPUTED_VALUE"""),16)</f>
        <v>16</v>
      </c>
      <c r="E5">
        <f ca="1">IFERROR(__xludf.DUMMYFUNCTION("""COMPUTED_VALUE"""),83.8)</f>
        <v>83.8</v>
      </c>
      <c r="F5">
        <f ca="1">IFERROR(__xludf.DUMMYFUNCTION("""COMPUTED_VALUE"""),181)</f>
        <v>181</v>
      </c>
      <c r="G5">
        <f ca="1">IFERROR(__xludf.DUMMYFUNCTION("""COMPUTED_VALUE"""),216)</f>
        <v>216</v>
      </c>
      <c r="H5">
        <f ca="1">IFERROR(__xludf.DUMMYFUNCTION("""COMPUTED_VALUE"""),-60)</f>
        <v>-60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IFERROR(__xludf.DUMMYFUNCTION("""COMPUTED_VALUE"""),7)</f>
        <v>7</v>
      </c>
      <c r="C6" t="str">
        <f ca="1">IFERROR(__xludf.DUMMYFUNCTION("""COMPUTED_VALUE"""),"Emiliano Grillo")</f>
        <v>Emiliano Grillo</v>
      </c>
      <c r="D6">
        <f ca="1">IFERROR(__xludf.DUMMYFUNCTION("""COMPUTED_VALUE"""),22)</f>
        <v>22</v>
      </c>
      <c r="E6">
        <f ca="1">IFERROR(__xludf.DUMMYFUNCTION("""COMPUTED_VALUE"""),83.73)</f>
        <v>83.73</v>
      </c>
      <c r="F6">
        <f ca="1">IFERROR(__xludf.DUMMYFUNCTION("""COMPUTED_VALUE"""),211)</f>
        <v>211</v>
      </c>
      <c r="G6">
        <f ca="1">IFERROR(__xludf.DUMMYFUNCTION("""COMPUTED_VALUE"""),252)</f>
        <v>252</v>
      </c>
      <c r="H6">
        <f ca="1">IFERROR(__xludf.DUMMYFUNCTION("""COMPUTED_VALUE"""),-57)</f>
        <v>-57</v>
      </c>
    </row>
    <row r="7" spans="1:8" ht="15.75" customHeight="1">
      <c r="A7" t="str">
        <f ca="1">IFERROR(__xludf.DUMMYFUNCTION("""COMPUTED_VALUE"""),"T6")</f>
        <v>T6</v>
      </c>
      <c r="B7" t="str">
        <f ca="1">IFERROR(__xludf.DUMMYFUNCTION("""COMPUTED_VALUE"""),"T12")</f>
        <v>T12</v>
      </c>
      <c r="C7" t="str">
        <f ca="1">IFERROR(__xludf.DUMMYFUNCTION("""COMPUTED_VALUE"""),"Ricky Barnes")</f>
        <v>Ricky Barnes</v>
      </c>
      <c r="D7">
        <f ca="1">IFERROR(__xludf.DUMMYFUNCTION("""COMPUTED_VALUE"""),12)</f>
        <v>12</v>
      </c>
      <c r="E7">
        <f ca="1">IFERROR(__xludf.DUMMYFUNCTION("""COMPUTED_VALUE"""),83.33)</f>
        <v>83.33</v>
      </c>
      <c r="F7">
        <f ca="1">IFERROR(__xludf.DUMMYFUNCTION("""COMPUTED_VALUE"""),60)</f>
        <v>60</v>
      </c>
      <c r="G7">
        <f ca="1">IFERROR(__xludf.DUMMYFUNCTION("""COMPUTED_VALUE"""),72)</f>
        <v>72</v>
      </c>
      <c r="H7">
        <f ca="1">IFERROR(__xludf.DUMMYFUNCTION("""COMPUTED_VALUE"""),-21)</f>
        <v>-21</v>
      </c>
    </row>
    <row r="8" spans="1:8" ht="15.75" customHeight="1">
      <c r="A8" t="str">
        <f ca="1">IFERROR(__xludf.DUMMYFUNCTION("""COMPUTED_VALUE"""),"T6")</f>
        <v>T6</v>
      </c>
      <c r="B8" t="str">
        <f ca="1">IFERROR(__xludf.DUMMYFUNCTION("""COMPUTED_VALUE"""),"T12")</f>
        <v>T12</v>
      </c>
      <c r="C8" t="str">
        <f ca="1">IFERROR(__xludf.DUMMYFUNCTION("""COMPUTED_VALUE"""),"Josh Teater")</f>
        <v>Josh Teater</v>
      </c>
      <c r="D8">
        <f ca="1">IFERROR(__xludf.DUMMYFUNCTION("""COMPUTED_VALUE"""),6)</f>
        <v>6</v>
      </c>
      <c r="E8">
        <f ca="1">IFERROR(__xludf.DUMMYFUNCTION("""COMPUTED_VALUE"""),83.33)</f>
        <v>83.33</v>
      </c>
      <c r="F8">
        <f ca="1">IFERROR(__xludf.DUMMYFUNCTION("""COMPUTED_VALUE"""),30)</f>
        <v>30</v>
      </c>
      <c r="G8">
        <f ca="1">IFERROR(__xludf.DUMMYFUNCTION("""COMPUTED_VALUE"""),36)</f>
        <v>36</v>
      </c>
      <c r="H8">
        <f ca="1">IFERROR(__xludf.DUMMYFUNCTION("""COMPUTED_VALUE"""),-9)</f>
        <v>-9</v>
      </c>
    </row>
    <row r="9" spans="1:8" ht="15.75" customHeight="1">
      <c r="A9" t="str">
        <f ca="1">IFERROR(__xludf.DUMMYFUNCTION("""COMPUTED_VALUE"""),"T6")</f>
        <v>T6</v>
      </c>
      <c r="B9">
        <f ca="1">IFERROR(__xludf.DUMMYFUNCTION("""COMPUTED_VALUE"""),4)</f>
        <v>4</v>
      </c>
      <c r="C9" t="str">
        <f ca="1">IFERROR(__xludf.DUMMYFUNCTION("""COMPUTED_VALUE"""),"Matthew NeSmith")</f>
        <v>Matthew NeSmith</v>
      </c>
      <c r="D9">
        <f ca="1">IFERROR(__xludf.DUMMYFUNCTION("""COMPUTED_VALUE"""),16)</f>
        <v>16</v>
      </c>
      <c r="E9">
        <f ca="1">IFERROR(__xludf.DUMMYFUNCTION("""COMPUTED_VALUE"""),83.33)</f>
        <v>83.33</v>
      </c>
      <c r="F9">
        <f ca="1">IFERROR(__xludf.DUMMYFUNCTION("""COMPUTED_VALUE"""),180)</f>
        <v>180</v>
      </c>
      <c r="G9">
        <f ca="1">IFERROR(__xludf.DUMMYFUNCTION("""COMPUTED_VALUE"""),216)</f>
        <v>216</v>
      </c>
      <c r="H9">
        <f ca="1">IFERROR(__xludf.DUMMYFUNCTION("""COMPUTED_VALUE"""),-61)</f>
        <v>-61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IFERROR(__xludf.DUMMYFUNCTION("""COMPUTED_VALUE"""),20)</f>
        <v>20</v>
      </c>
      <c r="C10" t="str">
        <f ca="1">IFERROR(__xludf.DUMMYFUNCTION("""COMPUTED_VALUE"""),"Mark Anderson")</f>
        <v>Mark Anderson</v>
      </c>
      <c r="D10">
        <f ca="1">IFERROR(__xludf.DUMMYFUNCTION("""COMPUTED_VALUE"""),14)</f>
        <v>14</v>
      </c>
      <c r="E10">
        <f ca="1">IFERROR(__xludf.DUMMYFUNCTION("""COMPUTED_VALUE"""),82.41)</f>
        <v>82.41</v>
      </c>
      <c r="F10">
        <f ca="1">IFERROR(__xludf.DUMMYFUNCTION("""COMPUTED_VALUE"""),89)</f>
        <v>89</v>
      </c>
      <c r="G10">
        <f ca="1">IFERROR(__xludf.DUMMYFUNCTION("""COMPUTED_VALUE"""),108)</f>
        <v>108</v>
      </c>
      <c r="H10">
        <f ca="1">IFERROR(__xludf.DUMMYFUNCTION("""COMPUTED_VALUE"""),-15)</f>
        <v>-15</v>
      </c>
    </row>
    <row r="11" spans="1:8" ht="15.75" customHeight="1">
      <c r="A11" t="str">
        <f ca="1">IFERROR(__xludf.DUMMYFUNCTION("""COMPUTED_VALUE"""),"T10")</f>
        <v>T10</v>
      </c>
      <c r="B11" t="str">
        <f ca="1">IFERROR(__xludf.DUMMYFUNCTION("""COMPUTED_VALUE"""),"T21")</f>
        <v>T21</v>
      </c>
      <c r="C11" t="str">
        <f ca="1">IFERROR(__xludf.DUMMYFUNCTION("""COMPUTED_VALUE"""),"Nick Watney")</f>
        <v>Nick Watney</v>
      </c>
      <c r="D11">
        <f ca="1">IFERROR(__xludf.DUMMYFUNCTION("""COMPUTED_VALUE"""),10)</f>
        <v>10</v>
      </c>
      <c r="E11">
        <f ca="1">IFERROR(__xludf.DUMMYFUNCTION("""COMPUTED_VALUE"""),81.94)</f>
        <v>81.94</v>
      </c>
      <c r="F11">
        <f ca="1">IFERROR(__xludf.DUMMYFUNCTION("""COMPUTED_VALUE"""),118)</f>
        <v>118</v>
      </c>
      <c r="G11">
        <f ca="1">IFERROR(__xludf.DUMMYFUNCTION("""COMPUTED_VALUE"""),144)</f>
        <v>144</v>
      </c>
      <c r="H11">
        <f ca="1">IFERROR(__xludf.DUMMYFUNCTION("""COMPUTED_VALUE"""),-27)</f>
        <v>-27</v>
      </c>
    </row>
    <row r="12" spans="1:8" ht="15.75" customHeight="1">
      <c r="A12" t="str">
        <f ca="1">IFERROR(__xludf.DUMMYFUNCTION("""COMPUTED_VALUE"""),"T10")</f>
        <v>T10</v>
      </c>
      <c r="B12" t="str">
        <f ca="1">IFERROR(__xludf.DUMMYFUNCTION("""COMPUTED_VALUE"""),"T21")</f>
        <v>T21</v>
      </c>
      <c r="C12" t="str">
        <f ca="1">IFERROR(__xludf.DUMMYFUNCTION("""COMPUTED_VALUE"""),"Jim Furyk")</f>
        <v>Jim Furyk</v>
      </c>
      <c r="D12">
        <f ca="1">IFERROR(__xludf.DUMMYFUNCTION("""COMPUTED_VALUE"""),4)</f>
        <v>4</v>
      </c>
      <c r="E12">
        <f ca="1">IFERROR(__xludf.DUMMYFUNCTION("""COMPUTED_VALUE"""),81.94)</f>
        <v>81.94</v>
      </c>
      <c r="F12">
        <f ca="1">IFERROR(__xludf.DUMMYFUNCTION("""COMPUTED_VALUE"""),59)</f>
        <v>59</v>
      </c>
      <c r="G12">
        <f ca="1">IFERROR(__xludf.DUMMYFUNCTION("""COMPUTED_VALUE"""),72)</f>
        <v>72</v>
      </c>
      <c r="H12">
        <f ca="1">IFERROR(__xludf.DUMMYFUNCTION("""COMPUTED_VALUE"""),-12)</f>
        <v>-12</v>
      </c>
    </row>
    <row r="13" spans="1:8" ht="15.75" customHeight="1">
      <c r="A13" t="str">
        <f ca="1">IFERROR(__xludf.DUMMYFUNCTION("""COMPUTED_VALUE"""),"T10")</f>
        <v>T10</v>
      </c>
      <c r="B13" t="str">
        <f ca="1">IFERROR(__xludf.DUMMYFUNCTION("""COMPUTED_VALUE"""),"T9")</f>
        <v>T9</v>
      </c>
      <c r="C13" t="str">
        <f ca="1">IFERROR(__xludf.DUMMYFUNCTION("""COMPUTED_VALUE"""),"Harold Varner III")</f>
        <v>Harold Varner III</v>
      </c>
      <c r="D13">
        <f ca="1">IFERROR(__xludf.DUMMYFUNCTION("""COMPUTED_VALUE"""),14)</f>
        <v>14</v>
      </c>
      <c r="E13">
        <f ca="1">IFERROR(__xludf.DUMMYFUNCTION("""COMPUTED_VALUE"""),81.94)</f>
        <v>81.94</v>
      </c>
      <c r="F13">
        <f ca="1">IFERROR(__xludf.DUMMYFUNCTION("""COMPUTED_VALUE"""),177)</f>
        <v>177</v>
      </c>
      <c r="G13">
        <f ca="1">IFERROR(__xludf.DUMMYFUNCTION("""COMPUTED_VALUE"""),216)</f>
        <v>216</v>
      </c>
      <c r="H13">
        <f ca="1">IFERROR(__xludf.DUMMYFUNCTION("""COMPUTED_VALUE"""),-65)</f>
        <v>-65</v>
      </c>
    </row>
    <row r="14" spans="1:8" ht="15.75" customHeight="1">
      <c r="A14" t="str">
        <f ca="1">IFERROR(__xludf.DUMMYFUNCTION("""COMPUTED_VALUE"""),"T10")</f>
        <v>T10</v>
      </c>
      <c r="B14" t="str">
        <f ca="1">IFERROR(__xludf.DUMMYFUNCTION("""COMPUTED_VALUE"""),"T21")</f>
        <v>T21</v>
      </c>
      <c r="C14" t="str">
        <f ca="1">IFERROR(__xludf.DUMMYFUNCTION("""COMPUTED_VALUE"""),"Bud Cauley")</f>
        <v>Bud Cauley</v>
      </c>
      <c r="D14">
        <f ca="1">IFERROR(__xludf.DUMMYFUNCTION("""COMPUTED_VALUE"""),4)</f>
        <v>4</v>
      </c>
      <c r="E14">
        <f ca="1">IFERROR(__xludf.DUMMYFUNCTION("""COMPUTED_VALUE"""),81.94)</f>
        <v>81.94</v>
      </c>
      <c r="F14">
        <f ca="1">IFERROR(__xludf.DUMMYFUNCTION("""COMPUTED_VALUE"""),59)</f>
        <v>59</v>
      </c>
      <c r="G14">
        <f ca="1">IFERROR(__xludf.DUMMYFUNCTION("""COMPUTED_VALUE"""),72)</f>
        <v>72</v>
      </c>
      <c r="H14">
        <f ca="1">IFERROR(__xludf.DUMMYFUNCTION("""COMPUTED_VALUE"""),-21)</f>
        <v>-21</v>
      </c>
    </row>
    <row r="15" spans="1:8" ht="15.75" customHeight="1">
      <c r="A15" t="str">
        <f ca="1">IFERROR(__xludf.DUMMYFUNCTION("""COMPUTED_VALUE"""),"T10")</f>
        <v>T10</v>
      </c>
      <c r="B15" t="str">
        <f ca="1">IFERROR(__xludf.DUMMYFUNCTION("""COMPUTED_VALUE"""),"T21")</f>
        <v>T21</v>
      </c>
      <c r="C15" t="str">
        <f ca="1">IFERROR(__xludf.DUMMYFUNCTION("""COMPUTED_VALUE"""),"Nelson Ledesma")</f>
        <v>Nelson Ledesma</v>
      </c>
      <c r="D15">
        <f ca="1">IFERROR(__xludf.DUMMYFUNCTION("""COMPUTED_VALUE"""),8)</f>
        <v>8</v>
      </c>
      <c r="E15">
        <f ca="1">IFERROR(__xludf.DUMMYFUNCTION("""COMPUTED_VALUE"""),81.94)</f>
        <v>81.94</v>
      </c>
      <c r="F15">
        <f ca="1">IFERROR(__xludf.DUMMYFUNCTION("""COMPUTED_VALUE"""),59)</f>
        <v>59</v>
      </c>
      <c r="G15">
        <f ca="1">IFERROR(__xludf.DUMMYFUNCTION("""COMPUTED_VALUE"""),72)</f>
        <v>72</v>
      </c>
      <c r="H15">
        <f ca="1">IFERROR(__xludf.DUMMYFUNCTION("""COMPUTED_VALUE"""),-23)</f>
        <v>-23</v>
      </c>
    </row>
    <row r="16" spans="1:8" ht="15.75" customHeight="1">
      <c r="A16" t="str">
        <f ca="1">IFERROR(__xludf.DUMMYFUNCTION("""COMPUTED_VALUE"""),"T10")</f>
        <v>T10</v>
      </c>
      <c r="B16" t="str">
        <f ca="1">IFERROR(__xludf.DUMMYFUNCTION("""COMPUTED_VALUE"""),"T21")</f>
        <v>T21</v>
      </c>
      <c r="C16" t="str">
        <f ca="1">IFERROR(__xludf.DUMMYFUNCTION("""COMPUTED_VALUE"""),"Akshay Bhatia")</f>
        <v>Akshay Bhatia</v>
      </c>
      <c r="D16">
        <f ca="1">IFERROR(__xludf.DUMMYFUNCTION("""COMPUTED_VALUE"""),6)</f>
        <v>6</v>
      </c>
      <c r="E16">
        <f ca="1">IFERROR(__xludf.DUMMYFUNCTION("""COMPUTED_VALUE"""),81.94)</f>
        <v>81.94</v>
      </c>
      <c r="F16">
        <f ca="1">IFERROR(__xludf.DUMMYFUNCTION("""COMPUTED_VALUE"""),59)</f>
        <v>59</v>
      </c>
      <c r="G16">
        <f ca="1">IFERROR(__xludf.DUMMYFUNCTION("""COMPUTED_VALUE"""),72)</f>
        <v>72</v>
      </c>
      <c r="H16">
        <f ca="1">IFERROR(__xludf.DUMMYFUNCTION("""COMPUTED_VALUE"""),-21)</f>
        <v>-21</v>
      </c>
    </row>
    <row r="17" spans="1:8" ht="15.75" customHeight="1">
      <c r="A17" t="str">
        <f ca="1">IFERROR(__xludf.DUMMYFUNCTION("""COMPUTED_VALUE"""),"T10")</f>
        <v>T10</v>
      </c>
      <c r="B17" t="str">
        <f ca="1">IFERROR(__xludf.DUMMYFUNCTION("""COMPUTED_VALUE"""),"T21")</f>
        <v>T21</v>
      </c>
      <c r="C17" t="str">
        <f ca="1">IFERROR(__xludf.DUMMYFUNCTION("""COMPUTED_VALUE"""),"George Markham")</f>
        <v>George Markham</v>
      </c>
      <c r="D17">
        <f ca="1">IFERROR(__xludf.DUMMYFUNCTION("""COMPUTED_VALUE"""),4)</f>
        <v>4</v>
      </c>
      <c r="E17">
        <f ca="1">IFERROR(__xludf.DUMMYFUNCTION("""COMPUTED_VALUE"""),81.94)</f>
        <v>81.94</v>
      </c>
      <c r="F17">
        <f ca="1">IFERROR(__xludf.DUMMYFUNCTION("""COMPUTED_VALUE"""),59)</f>
        <v>59</v>
      </c>
      <c r="G17">
        <f ca="1">IFERROR(__xludf.DUMMYFUNCTION("""COMPUTED_VALUE"""),72)</f>
        <v>72</v>
      </c>
      <c r="H17">
        <f ca="1">IFERROR(__xludf.DUMMYFUNCTION("""COMPUTED_VALUE"""),-18)</f>
        <v>-18</v>
      </c>
    </row>
    <row r="18" spans="1:8" ht="15.75" customHeight="1">
      <c r="A18" t="str">
        <f ca="1">IFERROR(__xludf.DUMMYFUNCTION("""COMPUTED_VALUE"""),"T17")</f>
        <v>T17</v>
      </c>
      <c r="B18" t="str">
        <f ca="1">IFERROR(__xludf.DUMMYFUNCTION("""COMPUTED_VALUE"""),"T31")</f>
        <v>T31</v>
      </c>
      <c r="C18" t="str">
        <f ca="1">IFERROR(__xludf.DUMMYFUNCTION("""COMPUTED_VALUE"""),"Brandon Hagy")</f>
        <v>Brandon Hagy</v>
      </c>
      <c r="D18">
        <f ca="1">IFERROR(__xludf.DUMMYFUNCTION("""COMPUTED_VALUE"""),10)</f>
        <v>10</v>
      </c>
      <c r="E18">
        <f ca="1">IFERROR(__xludf.DUMMYFUNCTION("""COMPUTED_VALUE"""),81.48)</f>
        <v>81.48</v>
      </c>
      <c r="F18">
        <f ca="1">IFERROR(__xludf.DUMMYFUNCTION("""COMPUTED_VALUE"""),88)</f>
        <v>88</v>
      </c>
      <c r="G18">
        <f ca="1">IFERROR(__xludf.DUMMYFUNCTION("""COMPUTED_VALUE"""),108)</f>
        <v>108</v>
      </c>
      <c r="H18">
        <f ca="1">IFERROR(__xludf.DUMMYFUNCTION("""COMPUTED_VALUE"""),-22)</f>
        <v>-22</v>
      </c>
    </row>
    <row r="19" spans="1:8" ht="15.75" customHeight="1">
      <c r="A19" t="str">
        <f ca="1">IFERROR(__xludf.DUMMYFUNCTION("""COMPUTED_VALUE"""),"T17")</f>
        <v>T17</v>
      </c>
      <c r="B19" t="str">
        <f ca="1">IFERROR(__xludf.DUMMYFUNCTION("""COMPUTED_VALUE"""),"T31")</f>
        <v>T31</v>
      </c>
      <c r="C19" t="str">
        <f ca="1">IFERROR(__xludf.DUMMYFUNCTION("""COMPUTED_VALUE"""),"J.J. Spaun")</f>
        <v>J.J. Spaun</v>
      </c>
      <c r="D19">
        <f ca="1">IFERROR(__xludf.DUMMYFUNCTION("""COMPUTED_VALUE"""),10)</f>
        <v>10</v>
      </c>
      <c r="E19">
        <f ca="1">IFERROR(__xludf.DUMMYFUNCTION("""COMPUTED_VALUE"""),81.48)</f>
        <v>81.48</v>
      </c>
      <c r="F19">
        <f ca="1">IFERROR(__xludf.DUMMYFUNCTION("""COMPUTED_VALUE"""),88)</f>
        <v>88</v>
      </c>
      <c r="G19">
        <f ca="1">IFERROR(__xludf.DUMMYFUNCTION("""COMPUTED_VALUE"""),108)</f>
        <v>108</v>
      </c>
      <c r="H19">
        <f ca="1">IFERROR(__xludf.DUMMYFUNCTION("""COMPUTED_VALUE"""),-24)</f>
        <v>-24</v>
      </c>
    </row>
    <row r="20" spans="1:8" ht="15.75" customHeight="1">
      <c r="A20">
        <f ca="1">IFERROR(__xludf.DUMMYFUNCTION("""COMPUTED_VALUE"""),19)</f>
        <v>19</v>
      </c>
      <c r="B20" t="str">
        <f ca="1">IFERROR(__xludf.DUMMYFUNCTION("""COMPUTED_VALUE"""),"T12")</f>
        <v>T12</v>
      </c>
      <c r="C20" t="str">
        <f ca="1">IFERROR(__xludf.DUMMYFUNCTION("""COMPUTED_VALUE"""),"Stewart Cink")</f>
        <v>Stewart Cink</v>
      </c>
      <c r="D20">
        <f ca="1">IFERROR(__xludf.DUMMYFUNCTION("""COMPUTED_VALUE"""),18)</f>
        <v>18</v>
      </c>
      <c r="E20">
        <f ca="1">IFERROR(__xludf.DUMMYFUNCTION("""COMPUTED_VALUE"""),81.35)</f>
        <v>81.349999999999994</v>
      </c>
      <c r="F20">
        <f ca="1">IFERROR(__xludf.DUMMYFUNCTION("""COMPUTED_VALUE"""),205)</f>
        <v>205</v>
      </c>
      <c r="G20">
        <f ca="1">IFERROR(__xludf.DUMMYFUNCTION("""COMPUTED_VALUE"""),252)</f>
        <v>252</v>
      </c>
      <c r="H20">
        <f ca="1">IFERROR(__xludf.DUMMYFUNCTION("""COMPUTED_VALUE"""),-70)</f>
        <v>-70</v>
      </c>
    </row>
    <row r="21" spans="1:8" ht="15.75" customHeight="1">
      <c r="A21">
        <f ca="1">IFERROR(__xludf.DUMMYFUNCTION("""COMPUTED_VALUE"""),20)</f>
        <v>20</v>
      </c>
      <c r="B21">
        <f ca="1">IFERROR(__xludf.DUMMYFUNCTION("""COMPUTED_VALUE"""),33)</f>
        <v>33</v>
      </c>
      <c r="C21" t="str">
        <f ca="1">IFERROR(__xludf.DUMMYFUNCTION("""COMPUTED_VALUE"""),"Chase Seiffert")</f>
        <v>Chase Seiffert</v>
      </c>
      <c r="D21">
        <f ca="1">IFERROR(__xludf.DUMMYFUNCTION("""COMPUTED_VALUE"""),14)</f>
        <v>14</v>
      </c>
      <c r="E21">
        <f ca="1">IFERROR(__xludf.DUMMYFUNCTION("""COMPUTED_VALUE"""),81.25)</f>
        <v>81.25</v>
      </c>
      <c r="F21">
        <f ca="1">IFERROR(__xludf.DUMMYFUNCTION("""COMPUTED_VALUE"""),117)</f>
        <v>117</v>
      </c>
      <c r="G21">
        <f ca="1">IFERROR(__xludf.DUMMYFUNCTION("""COMPUTED_VALUE"""),144)</f>
        <v>144</v>
      </c>
      <c r="H21">
        <f ca="1">IFERROR(__xludf.DUMMYFUNCTION("""COMPUTED_VALUE"""),-34)</f>
        <v>-34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IFERROR(__xludf.DUMMYFUNCTION("""COMPUTED_VALUE"""),34)</f>
        <v>34</v>
      </c>
      <c r="C22" t="str">
        <f ca="1">IFERROR(__xludf.DUMMYFUNCTION("""COMPUTED_VALUE"""),"Will Zalatoris")</f>
        <v>Will Zalatoris</v>
      </c>
      <c r="D22">
        <f ca="1">IFERROR(__xludf.DUMMYFUNCTION("""COMPUTED_VALUE"""),18)</f>
        <v>18</v>
      </c>
      <c r="E22">
        <f ca="1">IFERROR(__xludf.DUMMYFUNCTION("""COMPUTED_VALUE"""),81.11)</f>
        <v>81.11</v>
      </c>
      <c r="F22">
        <f ca="1">IFERROR(__xludf.DUMMYFUNCTION("""COMPUTED_VALUE"""),146)</f>
        <v>146</v>
      </c>
      <c r="G22">
        <f ca="1">IFERROR(__xludf.DUMMYFUNCTION("""COMPUTED_VALUE"""),180)</f>
        <v>180</v>
      </c>
      <c r="H22">
        <f ca="1">IFERROR(__xludf.DUMMYFUNCTION("""COMPUTED_VALUE"""),-41)</f>
        <v>-41</v>
      </c>
    </row>
    <row r="23" spans="1:8" ht="15.75" customHeight="1">
      <c r="A23">
        <f ca="1">IFERROR(__xludf.DUMMYFUNCTION("""COMPUTED_VALUE"""),22)</f>
        <v>22</v>
      </c>
      <c r="B23" t="str">
        <f ca="1">IFERROR(__xludf.DUMMYFUNCTION("""COMPUTED_VALUE"""),"T35")</f>
        <v>T35</v>
      </c>
      <c r="C23" t="str">
        <f ca="1">IFERROR(__xludf.DUMMYFUNCTION("""COMPUTED_VALUE"""),"Michael Gligic")</f>
        <v>Michael Gligic</v>
      </c>
      <c r="D23">
        <f ca="1">IFERROR(__xludf.DUMMYFUNCTION("""COMPUTED_VALUE"""),18)</f>
        <v>18</v>
      </c>
      <c r="E23">
        <f ca="1">IFERROR(__xludf.DUMMYFUNCTION("""COMPUTED_VALUE"""),81.02)</f>
        <v>81.02</v>
      </c>
      <c r="F23">
        <f ca="1">IFERROR(__xludf.DUMMYFUNCTION("""COMPUTED_VALUE"""),175)</f>
        <v>175</v>
      </c>
      <c r="G23">
        <f ca="1">IFERROR(__xludf.DUMMYFUNCTION("""COMPUTED_VALUE"""),216)</f>
        <v>216</v>
      </c>
      <c r="H23">
        <f ca="1">IFERROR(__xludf.DUMMYFUNCTION("""COMPUTED_VALUE"""),-61)</f>
        <v>-61</v>
      </c>
    </row>
    <row r="24" spans="1:8" ht="15.75" customHeight="1">
      <c r="A24" t="str">
        <f ca="1">IFERROR(__xludf.DUMMYFUNCTION("""COMPUTED_VALUE"""),"T23")</f>
        <v>T23</v>
      </c>
      <c r="B24">
        <f ca="1">IFERROR(__xludf.DUMMYFUNCTION("""COMPUTED_VALUE"""),8)</f>
        <v>8</v>
      </c>
      <c r="C24" t="str">
        <f ca="1">IFERROR(__xludf.DUMMYFUNCTION("""COMPUTED_VALUE"""),"James Hahn")</f>
        <v>James Hahn</v>
      </c>
      <c r="D24">
        <f ca="1">IFERROR(__xludf.DUMMYFUNCTION("""COMPUTED_VALUE"""),16)</f>
        <v>16</v>
      </c>
      <c r="E24">
        <f ca="1">IFERROR(__xludf.DUMMYFUNCTION("""COMPUTED_VALUE"""),80.56)</f>
        <v>80.56</v>
      </c>
      <c r="F24">
        <f ca="1">IFERROR(__xludf.DUMMYFUNCTION("""COMPUTED_VALUE"""),174)</f>
        <v>174</v>
      </c>
      <c r="G24">
        <f ca="1">IFERROR(__xludf.DUMMYFUNCTION("""COMPUTED_VALUE"""),216)</f>
        <v>216</v>
      </c>
      <c r="H24">
        <f ca="1">IFERROR(__xludf.DUMMYFUNCTION("""COMPUTED_VALUE"""),-65)</f>
        <v>-65</v>
      </c>
    </row>
    <row r="25" spans="1:8" ht="15.75" customHeight="1">
      <c r="A25" t="str">
        <f ca="1">IFERROR(__xludf.DUMMYFUNCTION("""COMPUTED_VALUE"""),"T23")</f>
        <v>T23</v>
      </c>
      <c r="B25" t="str">
        <f ca="1">IFERROR(__xludf.DUMMYFUNCTION("""COMPUTED_VALUE"""),"T39")</f>
        <v>T39</v>
      </c>
      <c r="C25" t="str">
        <f ca="1">IFERROR(__xludf.DUMMYFUNCTION("""COMPUTED_VALUE"""),"Ryan Brehm")</f>
        <v>Ryan Brehm</v>
      </c>
      <c r="D25">
        <f ca="1">IFERROR(__xludf.DUMMYFUNCTION("""COMPUTED_VALUE"""),10)</f>
        <v>10</v>
      </c>
      <c r="E25">
        <f ca="1">IFERROR(__xludf.DUMMYFUNCTION("""COMPUTED_VALUE"""),80.56)</f>
        <v>80.56</v>
      </c>
      <c r="F25">
        <f ca="1">IFERROR(__xludf.DUMMYFUNCTION("""COMPUTED_VALUE"""),29)</f>
        <v>29</v>
      </c>
      <c r="G25">
        <f ca="1">IFERROR(__xludf.DUMMYFUNCTION("""COMPUTED_VALUE"""),36)</f>
        <v>36</v>
      </c>
      <c r="H25">
        <f ca="1">IFERROR(__xludf.DUMMYFUNCTION("""COMPUTED_VALUE"""),-8)</f>
        <v>-8</v>
      </c>
    </row>
    <row r="26" spans="1:8" ht="15.75" customHeight="1">
      <c r="A26" t="str">
        <f ca="1">IFERROR(__xludf.DUMMYFUNCTION("""COMPUTED_VALUE"""),"T23")</f>
        <v>T23</v>
      </c>
      <c r="B26" t="str">
        <f ca="1">IFERROR(__xludf.DUMMYFUNCTION("""COMPUTED_VALUE"""),"T12")</f>
        <v>T12</v>
      </c>
      <c r="C26" t="str">
        <f ca="1">IFERROR(__xludf.DUMMYFUNCTION("""COMPUTED_VALUE"""),"Henrik Norlander")</f>
        <v>Henrik Norlander</v>
      </c>
      <c r="D26">
        <f ca="1">IFERROR(__xludf.DUMMYFUNCTION("""COMPUTED_VALUE"""),16)</f>
        <v>16</v>
      </c>
      <c r="E26">
        <f ca="1">IFERROR(__xludf.DUMMYFUNCTION("""COMPUTED_VALUE"""),80.56)</f>
        <v>80.56</v>
      </c>
      <c r="F26">
        <f ca="1">IFERROR(__xludf.DUMMYFUNCTION("""COMPUTED_VALUE"""),174)</f>
        <v>174</v>
      </c>
      <c r="G26">
        <f ca="1">IFERROR(__xludf.DUMMYFUNCTION("""COMPUTED_VALUE"""),216)</f>
        <v>216</v>
      </c>
      <c r="H26">
        <f ca="1">IFERROR(__xludf.DUMMYFUNCTION("""COMPUTED_VALUE"""),-52)</f>
        <v>-52</v>
      </c>
    </row>
    <row r="27" spans="1:8" ht="15.75" customHeight="1">
      <c r="A27" t="str">
        <f ca="1">IFERROR(__xludf.DUMMYFUNCTION("""COMPUTED_VALUE"""),"T23")</f>
        <v>T23</v>
      </c>
      <c r="B27" t="str">
        <f ca="1">IFERROR(__xludf.DUMMYFUNCTION("""COMPUTED_VALUE"""),"T48")</f>
        <v>T48</v>
      </c>
      <c r="C27" t="str">
        <f ca="1">IFERROR(__xludf.DUMMYFUNCTION("""COMPUTED_VALUE"""),"Sam Burns")</f>
        <v>Sam Burns</v>
      </c>
      <c r="D27">
        <f ca="1">IFERROR(__xludf.DUMMYFUNCTION("""COMPUTED_VALUE"""),18)</f>
        <v>18</v>
      </c>
      <c r="E27">
        <f ca="1">IFERROR(__xludf.DUMMYFUNCTION("""COMPUTED_VALUE"""),80.56)</f>
        <v>80.56</v>
      </c>
      <c r="F27">
        <f ca="1">IFERROR(__xludf.DUMMYFUNCTION("""COMPUTED_VALUE"""),203)</f>
        <v>203</v>
      </c>
      <c r="G27">
        <f ca="1">IFERROR(__xludf.DUMMYFUNCTION("""COMPUTED_VALUE"""),252)</f>
        <v>252</v>
      </c>
      <c r="H27">
        <f ca="1">IFERROR(__xludf.DUMMYFUNCTION("""COMPUTED_VALUE"""),-74)</f>
        <v>-74</v>
      </c>
    </row>
    <row r="28" spans="1:8" ht="15.75" customHeight="1">
      <c r="A28" t="str">
        <f ca="1">IFERROR(__xludf.DUMMYFUNCTION("""COMPUTED_VALUE"""),"T23")</f>
        <v>T23</v>
      </c>
      <c r="B28" t="str">
        <f ca="1">IFERROR(__xludf.DUMMYFUNCTION("""COMPUTED_VALUE"""),"T39")</f>
        <v>T39</v>
      </c>
      <c r="C28" t="str">
        <f ca="1">IFERROR(__xludf.DUMMYFUNCTION("""COMPUTED_VALUE"""),"Wesley Bryan")</f>
        <v>Wesley Bryan</v>
      </c>
      <c r="D28">
        <f ca="1">IFERROR(__xludf.DUMMYFUNCTION("""COMPUTED_VALUE"""),8)</f>
        <v>8</v>
      </c>
      <c r="E28">
        <f ca="1">IFERROR(__xludf.DUMMYFUNCTION("""COMPUTED_VALUE"""),80.56)</f>
        <v>80.56</v>
      </c>
      <c r="F28">
        <f ca="1">IFERROR(__xludf.DUMMYFUNCTION("""COMPUTED_VALUE"""),87)</f>
        <v>87</v>
      </c>
      <c r="G28">
        <f ca="1">IFERROR(__xludf.DUMMYFUNCTION("""COMPUTED_VALUE"""),108)</f>
        <v>108</v>
      </c>
      <c r="H28">
        <f ca="1">IFERROR(__xludf.DUMMYFUNCTION("""COMPUTED_VALUE"""),-31)</f>
        <v>-31</v>
      </c>
    </row>
    <row r="29" spans="1:8" ht="15.75" customHeight="1">
      <c r="A29" t="str">
        <f ca="1">IFERROR(__xludf.DUMMYFUNCTION("""COMPUTED_VALUE"""),"T23")</f>
        <v>T23</v>
      </c>
      <c r="B29" t="str">
        <f ca="1">IFERROR(__xludf.DUMMYFUNCTION("""COMPUTED_VALUE"""),"T39")</f>
        <v>T39</v>
      </c>
      <c r="C29" t="str">
        <f ca="1">IFERROR(__xludf.DUMMYFUNCTION("""COMPUTED_VALUE"""),"Gunn Charoenkul")</f>
        <v>Gunn Charoenkul</v>
      </c>
      <c r="D29">
        <f ca="1">IFERROR(__xludf.DUMMYFUNCTION("""COMPUTED_VALUE"""),4)</f>
        <v>4</v>
      </c>
      <c r="E29">
        <f ca="1">IFERROR(__xludf.DUMMYFUNCTION("""COMPUTED_VALUE"""),80.56)</f>
        <v>80.56</v>
      </c>
      <c r="F29">
        <f ca="1">IFERROR(__xludf.DUMMYFUNCTION("""COMPUTED_VALUE"""),58)</f>
        <v>58</v>
      </c>
      <c r="G29">
        <f ca="1">IFERROR(__xludf.DUMMYFUNCTION("""COMPUTED_VALUE"""),72)</f>
        <v>72</v>
      </c>
      <c r="H29">
        <f ca="1">IFERROR(__xludf.DUMMYFUNCTION("""COMPUTED_VALUE"""),-18)</f>
        <v>-18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IFERROR(__xludf.DUMMYFUNCTION("""COMPUTED_VALUE"""),"T50")</f>
        <v>T50</v>
      </c>
      <c r="C30" t="str">
        <f ca="1">IFERROR(__xludf.DUMMYFUNCTION("""COMPUTED_VALUE"""),"Aaron Wise")</f>
        <v>Aaron Wise</v>
      </c>
      <c r="D30">
        <f ca="1">IFERROR(__xludf.DUMMYFUNCTION("""COMPUTED_VALUE"""),16)</f>
        <v>16</v>
      </c>
      <c r="E30">
        <f ca="1">IFERROR(__xludf.DUMMYFUNCTION("""COMPUTED_VALUE"""),80.09)</f>
        <v>80.09</v>
      </c>
      <c r="F30">
        <f ca="1">IFERROR(__xludf.DUMMYFUNCTION("""COMPUTED_VALUE"""),173)</f>
        <v>173</v>
      </c>
      <c r="G30">
        <f ca="1">IFERROR(__xludf.DUMMYFUNCTION("""COMPUTED_VALUE"""),216)</f>
        <v>216</v>
      </c>
      <c r="H30">
        <f ca="1">IFERROR(__xludf.DUMMYFUNCTION("""COMPUTED_VALUE"""),-43)</f>
        <v>-43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IFERROR(__xludf.DUMMYFUNCTION("""COMPUTED_VALUE"""),"T46")</f>
        <v>T46</v>
      </c>
      <c r="C31" t="str">
        <f ca="1">IFERROR(__xludf.DUMMYFUNCTION("""COMPUTED_VALUE"""),"Bubba Watson")</f>
        <v>Bubba Watson</v>
      </c>
      <c r="D31">
        <f ca="1">IFERROR(__xludf.DUMMYFUNCTION("""COMPUTED_VALUE"""),12)</f>
        <v>12</v>
      </c>
      <c r="E31">
        <f ca="1">IFERROR(__xludf.DUMMYFUNCTION("""COMPUTED_VALUE"""),80.09)</f>
        <v>80.09</v>
      </c>
      <c r="F31">
        <f ca="1">IFERROR(__xludf.DUMMYFUNCTION("""COMPUTED_VALUE"""),173)</f>
        <v>173</v>
      </c>
      <c r="G31">
        <f ca="1">IFERROR(__xludf.DUMMYFUNCTION("""COMPUTED_VALUE"""),216)</f>
        <v>216</v>
      </c>
      <c r="H31">
        <f ca="1">IFERROR(__xludf.DUMMYFUNCTION("""COMPUTED_VALUE"""),-57)</f>
        <v>-57</v>
      </c>
    </row>
    <row r="32" spans="1:8" ht="12.75">
      <c r="A32">
        <f ca="1">IFERROR(__xludf.DUMMYFUNCTION("""COMPUTED_VALUE"""),31)</f>
        <v>31</v>
      </c>
      <c r="B32" t="str">
        <f ca="1">IFERROR(__xludf.DUMMYFUNCTION("""COMPUTED_VALUE"""),"T12")</f>
        <v>T12</v>
      </c>
      <c r="C32" t="str">
        <f ca="1">IFERROR(__xludf.DUMMYFUNCTION("""COMPUTED_VALUE"""),"Graham DeLaet")</f>
        <v>Graham DeLaet</v>
      </c>
      <c r="D32">
        <f ca="1">IFERROR(__xludf.DUMMYFUNCTION("""COMPUTED_VALUE"""),9)</f>
        <v>9</v>
      </c>
      <c r="E32">
        <f ca="1">IFERROR(__xludf.DUMMYFUNCTION("""COMPUTED_VALUE"""),80)</f>
        <v>80</v>
      </c>
      <c r="F32">
        <f ca="1">IFERROR(__xludf.DUMMYFUNCTION("""COMPUTED_VALUE"""),72)</f>
        <v>72</v>
      </c>
      <c r="G32">
        <f ca="1">IFERROR(__xludf.DUMMYFUNCTION("""COMPUTED_VALUE"""),90)</f>
        <v>90</v>
      </c>
      <c r="H32">
        <f ca="1">IFERROR(__xludf.DUMMYFUNCTION("""COMPUTED_VALUE"""),-1)</f>
        <v>-1</v>
      </c>
    </row>
    <row r="33" spans="1:8" ht="12.75">
      <c r="A33">
        <f ca="1">IFERROR(__xludf.DUMMYFUNCTION("""COMPUTED_VALUE"""),32)</f>
        <v>32</v>
      </c>
      <c r="B33" t="str">
        <f ca="1">IFERROR(__xludf.DUMMYFUNCTION("""COMPUTED_VALUE"""),"T50")</f>
        <v>T50</v>
      </c>
      <c r="C33" t="str">
        <f ca="1">IFERROR(__xludf.DUMMYFUNCTION("""COMPUTED_VALUE"""),"Cameron Percy")</f>
        <v>Cameron Percy</v>
      </c>
      <c r="D33">
        <f ca="1">IFERROR(__xludf.DUMMYFUNCTION("""COMPUTED_VALUE"""),16)</f>
        <v>16</v>
      </c>
      <c r="E33">
        <f ca="1">IFERROR(__xludf.DUMMYFUNCTION("""COMPUTED_VALUE"""),79.86)</f>
        <v>79.86</v>
      </c>
      <c r="F33">
        <f ca="1">IFERROR(__xludf.DUMMYFUNCTION("""COMPUTED_VALUE"""),115)</f>
        <v>115</v>
      </c>
      <c r="G33">
        <f ca="1">IFERROR(__xludf.DUMMYFUNCTION("""COMPUTED_VALUE"""),144)</f>
        <v>144</v>
      </c>
      <c r="H33">
        <f ca="1">IFERROR(__xludf.DUMMYFUNCTION("""COMPUTED_VALUE"""),-30)</f>
        <v>-30</v>
      </c>
    </row>
    <row r="34" spans="1:8" ht="12.75">
      <c r="A34" t="str">
        <f ca="1">IFERROR(__xludf.DUMMYFUNCTION("""COMPUTED_VALUE"""),"T33")</f>
        <v>T33</v>
      </c>
      <c r="B34">
        <f ca="1">IFERROR(__xludf.DUMMYFUNCTION("""COMPUTED_VALUE"""),30)</f>
        <v>30</v>
      </c>
      <c r="C34" t="str">
        <f ca="1">IFERROR(__xludf.DUMMYFUNCTION("""COMPUTED_VALUE"""),"Charley Hoffman")</f>
        <v>Charley Hoffman</v>
      </c>
      <c r="D34">
        <f ca="1">IFERROR(__xludf.DUMMYFUNCTION("""COMPUTED_VALUE"""),20)</f>
        <v>20</v>
      </c>
      <c r="E34">
        <f ca="1">IFERROR(__xludf.DUMMYFUNCTION("""COMPUTED_VALUE"""),79.76)</f>
        <v>79.760000000000005</v>
      </c>
      <c r="F34">
        <f ca="1">IFERROR(__xludf.DUMMYFUNCTION("""COMPUTED_VALUE"""),201)</f>
        <v>201</v>
      </c>
      <c r="G34">
        <f ca="1">IFERROR(__xludf.DUMMYFUNCTION("""COMPUTED_VALUE"""),252)</f>
        <v>252</v>
      </c>
      <c r="H34">
        <f ca="1">IFERROR(__xludf.DUMMYFUNCTION("""COMPUTED_VALUE"""),-64)</f>
        <v>-64</v>
      </c>
    </row>
    <row r="35" spans="1:8" ht="12.75">
      <c r="A35" t="str">
        <f ca="1">IFERROR(__xludf.DUMMYFUNCTION("""COMPUTED_VALUE"""),"T33")</f>
        <v>T33</v>
      </c>
      <c r="B35">
        <f ca="1">IFERROR(__xludf.DUMMYFUNCTION("""COMPUTED_VALUE"""),19)</f>
        <v>19</v>
      </c>
      <c r="C35" t="str">
        <f ca="1">IFERROR(__xludf.DUMMYFUNCTION("""COMPUTED_VALUE"""),"Will Gordon")</f>
        <v>Will Gordon</v>
      </c>
      <c r="D35">
        <f ca="1">IFERROR(__xludf.DUMMYFUNCTION("""COMPUTED_VALUE"""),20)</f>
        <v>20</v>
      </c>
      <c r="E35">
        <f ca="1">IFERROR(__xludf.DUMMYFUNCTION("""COMPUTED_VALUE"""),79.76)</f>
        <v>79.760000000000005</v>
      </c>
      <c r="F35">
        <f ca="1">IFERROR(__xludf.DUMMYFUNCTION("""COMPUTED_VALUE"""),201)</f>
        <v>201</v>
      </c>
      <c r="G35">
        <f ca="1">IFERROR(__xludf.DUMMYFUNCTION("""COMPUTED_VALUE"""),252)</f>
        <v>252</v>
      </c>
      <c r="H35">
        <f ca="1">IFERROR(__xludf.DUMMYFUNCTION("""COMPUTED_VALUE"""),-84)</f>
        <v>-84</v>
      </c>
    </row>
    <row r="36" spans="1:8" ht="12.75">
      <c r="A36" t="str">
        <f ca="1">IFERROR(__xludf.DUMMYFUNCTION("""COMPUTED_VALUE"""),"T35")</f>
        <v>T35</v>
      </c>
      <c r="B36">
        <f ca="1">IFERROR(__xludf.DUMMYFUNCTION("""COMPUTED_VALUE"""),6)</f>
        <v>6</v>
      </c>
      <c r="C36" t="str">
        <f ca="1">IFERROR(__xludf.DUMMYFUNCTION("""COMPUTED_VALUE"""),"Doc Redman")</f>
        <v>Doc Redman</v>
      </c>
      <c r="D36">
        <f ca="1">IFERROR(__xludf.DUMMYFUNCTION("""COMPUTED_VALUE"""),18)</f>
        <v>18</v>
      </c>
      <c r="E36">
        <f ca="1">IFERROR(__xludf.DUMMYFUNCTION("""COMPUTED_VALUE"""),79.37)</f>
        <v>79.37</v>
      </c>
      <c r="F36">
        <f ca="1">IFERROR(__xludf.DUMMYFUNCTION("""COMPUTED_VALUE"""),200)</f>
        <v>200</v>
      </c>
      <c r="G36">
        <f ca="1">IFERROR(__xludf.DUMMYFUNCTION("""COMPUTED_VALUE"""),252)</f>
        <v>252</v>
      </c>
      <c r="H36">
        <f ca="1">IFERROR(__xludf.DUMMYFUNCTION("""COMPUTED_VALUE"""),-66)</f>
        <v>-66</v>
      </c>
    </row>
    <row r="37" spans="1:8" ht="12.75">
      <c r="A37" t="str">
        <f ca="1">IFERROR(__xludf.DUMMYFUNCTION("""COMPUTED_VALUE"""),"T35")</f>
        <v>T35</v>
      </c>
      <c r="B37" t="str">
        <f ca="1">IFERROR(__xludf.DUMMYFUNCTION("""COMPUTED_VALUE"""),"T12")</f>
        <v>T12</v>
      </c>
      <c r="C37" t="str">
        <f ca="1">IFERROR(__xludf.DUMMYFUNCTION("""COMPUTED_VALUE"""),"Austin Cook")</f>
        <v>Austin Cook</v>
      </c>
      <c r="D37">
        <f ca="1">IFERROR(__xludf.DUMMYFUNCTION("""COMPUTED_VALUE"""),14)</f>
        <v>14</v>
      </c>
      <c r="E37">
        <f ca="1">IFERROR(__xludf.DUMMYFUNCTION("""COMPUTED_VALUE"""),79.37)</f>
        <v>79.37</v>
      </c>
      <c r="F37">
        <f ca="1">IFERROR(__xludf.DUMMYFUNCTION("""COMPUTED_VALUE"""),200)</f>
        <v>200</v>
      </c>
      <c r="G37">
        <f ca="1">IFERROR(__xludf.DUMMYFUNCTION("""COMPUTED_VALUE"""),252)</f>
        <v>252</v>
      </c>
      <c r="H37">
        <f ca="1">IFERROR(__xludf.DUMMYFUNCTION("""COMPUTED_VALUE"""),-64)</f>
        <v>-64</v>
      </c>
    </row>
    <row r="38" spans="1:8" ht="12.75">
      <c r="A38" t="str">
        <f ca="1">IFERROR(__xludf.DUMMYFUNCTION("""COMPUTED_VALUE"""),"T35")</f>
        <v>T35</v>
      </c>
      <c r="B38">
        <f ca="1">IFERROR(__xludf.DUMMYFUNCTION("""COMPUTED_VALUE"""),58)</f>
        <v>58</v>
      </c>
      <c r="C38" t="str">
        <f ca="1">IFERROR(__xludf.DUMMYFUNCTION("""COMPUTED_VALUE"""),"Ryan Palmer")</f>
        <v>Ryan Palmer</v>
      </c>
      <c r="D38">
        <f ca="1">IFERROR(__xludf.DUMMYFUNCTION("""COMPUTED_VALUE"""),14)</f>
        <v>14</v>
      </c>
      <c r="E38">
        <f ca="1">IFERROR(__xludf.DUMMYFUNCTION("""COMPUTED_VALUE"""),79.37)</f>
        <v>79.37</v>
      </c>
      <c r="F38">
        <f ca="1">IFERROR(__xludf.DUMMYFUNCTION("""COMPUTED_VALUE"""),200)</f>
        <v>200</v>
      </c>
      <c r="G38">
        <f ca="1">IFERROR(__xludf.DUMMYFUNCTION("""COMPUTED_VALUE"""),252)</f>
        <v>252</v>
      </c>
      <c r="H38">
        <f ca="1">IFERROR(__xludf.DUMMYFUNCTION("""COMPUTED_VALUE"""),-80)</f>
        <v>-80</v>
      </c>
    </row>
    <row r="39" spans="1:8" ht="12.75">
      <c r="A39" t="str">
        <f ca="1">IFERROR(__xludf.DUMMYFUNCTION("""COMPUTED_VALUE"""),"T35")</f>
        <v>T35</v>
      </c>
      <c r="B39" t="str">
        <f ca="1">IFERROR(__xludf.DUMMYFUNCTION("""COMPUTED_VALUE"""),"T48")</f>
        <v>T48</v>
      </c>
      <c r="C39" t="str">
        <f ca="1">IFERROR(__xludf.DUMMYFUNCTION("""COMPUTED_VALUE"""),"Cameron Tringale")</f>
        <v>Cameron Tringale</v>
      </c>
      <c r="D39">
        <f ca="1">IFERROR(__xludf.DUMMYFUNCTION("""COMPUTED_VALUE"""),16)</f>
        <v>16</v>
      </c>
      <c r="E39">
        <f ca="1">IFERROR(__xludf.DUMMYFUNCTION("""COMPUTED_VALUE"""),79.37)</f>
        <v>79.37</v>
      </c>
      <c r="F39">
        <f ca="1">IFERROR(__xludf.DUMMYFUNCTION("""COMPUTED_VALUE"""),200)</f>
        <v>200</v>
      </c>
      <c r="G39">
        <f ca="1">IFERROR(__xludf.DUMMYFUNCTION("""COMPUTED_VALUE"""),252)</f>
        <v>252</v>
      </c>
      <c r="H39">
        <f ca="1">IFERROR(__xludf.DUMMYFUNCTION("""COMPUTED_VALUE"""),-69)</f>
        <v>-69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IFERROR(__xludf.DUMMYFUNCTION("""COMPUTED_VALUE"""),"T9")</f>
        <v>T9</v>
      </c>
      <c r="C40" t="str">
        <f ca="1">IFERROR(__xludf.DUMMYFUNCTION("""COMPUTED_VALUE"""),"Russell Knox")</f>
        <v>Russell Knox</v>
      </c>
      <c r="D40">
        <f ca="1">IFERROR(__xludf.DUMMYFUNCTION("""COMPUTED_VALUE"""),16)</f>
        <v>16</v>
      </c>
      <c r="E40">
        <f ca="1">IFERROR(__xludf.DUMMYFUNCTION("""COMPUTED_VALUE"""),79.17)</f>
        <v>79.17</v>
      </c>
      <c r="F40">
        <f ca="1">IFERROR(__xludf.DUMMYFUNCTION("""COMPUTED_VALUE"""),171)</f>
        <v>171</v>
      </c>
      <c r="G40">
        <f ca="1">IFERROR(__xludf.DUMMYFUNCTION("""COMPUTED_VALUE"""),216)</f>
        <v>216</v>
      </c>
      <c r="H40">
        <f ca="1">IFERROR(__xludf.DUMMYFUNCTION("""COMPUTED_VALUE"""),-44)</f>
        <v>-44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IFERROR(__xludf.DUMMYFUNCTION("""COMPUTED_VALUE"""),"T59")</f>
        <v>T59</v>
      </c>
      <c r="C41" t="str">
        <f ca="1">IFERROR(__xludf.DUMMYFUNCTION("""COMPUTED_VALUE"""),"D.J. Trahan")</f>
        <v>D.J. Trahan</v>
      </c>
      <c r="D41">
        <f ca="1">IFERROR(__xludf.DUMMYFUNCTION("""COMPUTED_VALUE"""),16)</f>
        <v>16</v>
      </c>
      <c r="E41">
        <f ca="1">IFERROR(__xludf.DUMMYFUNCTION("""COMPUTED_VALUE"""),79.17)</f>
        <v>79.17</v>
      </c>
      <c r="F41">
        <f ca="1">IFERROR(__xludf.DUMMYFUNCTION("""COMPUTED_VALUE"""),114)</f>
        <v>114</v>
      </c>
      <c r="G41">
        <f ca="1">IFERROR(__xludf.DUMMYFUNCTION("""COMPUTED_VALUE"""),144)</f>
        <v>144</v>
      </c>
      <c r="H41">
        <f ca="1">IFERROR(__xludf.DUMMYFUNCTION("""COMPUTED_VALUE"""),-34)</f>
        <v>-34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IFERROR(__xludf.DUMMYFUNCTION("""COMPUTED_VALUE"""),"T59")</f>
        <v>T59</v>
      </c>
      <c r="C42" t="str">
        <f ca="1">IFERROR(__xludf.DUMMYFUNCTION("""COMPUTED_VALUE"""),"Tyler McCumber")</f>
        <v>Tyler McCumber</v>
      </c>
      <c r="D42">
        <f ca="1">IFERROR(__xludf.DUMMYFUNCTION("""COMPUTED_VALUE"""),14)</f>
        <v>14</v>
      </c>
      <c r="E42">
        <f ca="1">IFERROR(__xludf.DUMMYFUNCTION("""COMPUTED_VALUE"""),79.17)</f>
        <v>79.17</v>
      </c>
      <c r="F42">
        <f ca="1">IFERROR(__xludf.DUMMYFUNCTION("""COMPUTED_VALUE"""),114)</f>
        <v>114</v>
      </c>
      <c r="G42">
        <f ca="1">IFERROR(__xludf.DUMMYFUNCTION("""COMPUTED_VALUE"""),144)</f>
        <v>144</v>
      </c>
      <c r="H42">
        <f ca="1">IFERROR(__xludf.DUMMYFUNCTION("""COMPUTED_VALUE"""),-29)</f>
        <v>-29</v>
      </c>
    </row>
    <row r="43" spans="1:8" ht="12.75">
      <c r="A43" t="str">
        <f ca="1">IFERROR(__xludf.DUMMYFUNCTION("""COMPUTED_VALUE"""),"T42")</f>
        <v>T42</v>
      </c>
      <c r="B43" t="str">
        <f ca="1">IFERROR(__xludf.DUMMYFUNCTION("""COMPUTED_VALUE"""),"T65")</f>
        <v>T65</v>
      </c>
      <c r="C43" t="str">
        <f ca="1">IFERROR(__xludf.DUMMYFUNCTION("""COMPUTED_VALUE"""),"Joseph Bramlett")</f>
        <v>Joseph Bramlett</v>
      </c>
      <c r="D43">
        <f ca="1">IFERROR(__xludf.DUMMYFUNCTION("""COMPUTED_VALUE"""),18)</f>
        <v>18</v>
      </c>
      <c r="E43">
        <f ca="1">IFERROR(__xludf.DUMMYFUNCTION("""COMPUTED_VALUE"""),78.89)</f>
        <v>78.89</v>
      </c>
      <c r="F43">
        <f ca="1">IFERROR(__xludf.DUMMYFUNCTION("""COMPUTED_VALUE"""),142)</f>
        <v>142</v>
      </c>
      <c r="G43">
        <f ca="1">IFERROR(__xludf.DUMMYFUNCTION("""COMPUTED_VALUE"""),180)</f>
        <v>180</v>
      </c>
      <c r="H43">
        <f ca="1">IFERROR(__xludf.DUMMYFUNCTION("""COMPUTED_VALUE"""),-43)</f>
        <v>-43</v>
      </c>
    </row>
    <row r="44" spans="1:8" ht="12.75">
      <c r="A44" t="str">
        <f ca="1">IFERROR(__xludf.DUMMYFUNCTION("""COMPUTED_VALUE"""),"T42")</f>
        <v>T42</v>
      </c>
      <c r="B44" t="str">
        <f ca="1">IFERROR(__xludf.DUMMYFUNCTION("""COMPUTED_VALUE"""),"T21")</f>
        <v>T21</v>
      </c>
      <c r="C44" t="str">
        <f ca="1">IFERROR(__xludf.DUMMYFUNCTION("""COMPUTED_VALUE"""),"Camilo Villegas")</f>
        <v>Camilo Villegas</v>
      </c>
      <c r="D44">
        <f ca="1">IFERROR(__xludf.DUMMYFUNCTION("""COMPUTED_VALUE"""),14)</f>
        <v>14</v>
      </c>
      <c r="E44">
        <f ca="1">IFERROR(__xludf.DUMMYFUNCTION("""COMPUTED_VALUE"""),78.89)</f>
        <v>78.89</v>
      </c>
      <c r="F44">
        <f ca="1">IFERROR(__xludf.DUMMYFUNCTION("""COMPUTED_VALUE"""),142)</f>
        <v>142</v>
      </c>
      <c r="G44">
        <f ca="1">IFERROR(__xludf.DUMMYFUNCTION("""COMPUTED_VALUE"""),180)</f>
        <v>180</v>
      </c>
      <c r="H44">
        <f ca="1">IFERROR(__xludf.DUMMYFUNCTION("""COMPUTED_VALUE"""),-31)</f>
        <v>-31</v>
      </c>
    </row>
    <row r="45" spans="1:8" ht="12.75">
      <c r="A45">
        <f ca="1">IFERROR(__xludf.DUMMYFUNCTION("""COMPUTED_VALUE"""),44)</f>
        <v>44</v>
      </c>
      <c r="B45" t="str">
        <f ca="1">IFERROR(__xludf.DUMMYFUNCTION("""COMPUTED_VALUE"""),"T75")</f>
        <v>T75</v>
      </c>
      <c r="C45" t="str">
        <f ca="1">IFERROR(__xludf.DUMMYFUNCTION("""COMPUTED_VALUE"""),"Carlos Ortiz")</f>
        <v>Carlos Ortiz</v>
      </c>
      <c r="D45">
        <f ca="1">IFERROR(__xludf.DUMMYFUNCTION("""COMPUTED_VALUE"""),20)</f>
        <v>20</v>
      </c>
      <c r="E45">
        <f ca="1">IFERROR(__xludf.DUMMYFUNCTION("""COMPUTED_VALUE"""),78.61)</f>
        <v>78.61</v>
      </c>
      <c r="F45">
        <f ca="1">IFERROR(__xludf.DUMMYFUNCTION("""COMPUTED_VALUE"""),283)</f>
        <v>283</v>
      </c>
      <c r="G45">
        <f ca="1">IFERROR(__xludf.DUMMYFUNCTION("""COMPUTED_VALUE"""),360)</f>
        <v>360</v>
      </c>
      <c r="H45">
        <f ca="1">IFERROR(__xludf.DUMMYFUNCTION("""COMPUTED_VALUE"""),-99)</f>
        <v>-99</v>
      </c>
    </row>
    <row r="46" spans="1:8" ht="12.75">
      <c r="A46">
        <f ca="1">IFERROR(__xludf.DUMMYFUNCTION("""COMPUTED_VALUE"""),45)</f>
        <v>45</v>
      </c>
      <c r="B46">
        <f ca="1">IFERROR(__xludf.DUMMYFUNCTION("""COMPUTED_VALUE"""),67)</f>
        <v>67</v>
      </c>
      <c r="C46" t="str">
        <f ca="1">IFERROR(__xludf.DUMMYFUNCTION("""COMPUTED_VALUE"""),"Brendan Steele")</f>
        <v>Brendan Steele</v>
      </c>
      <c r="D46">
        <f ca="1">IFERROR(__xludf.DUMMYFUNCTION("""COMPUTED_VALUE"""),14)</f>
        <v>14</v>
      </c>
      <c r="E46">
        <f ca="1">IFERROR(__xludf.DUMMYFUNCTION("""COMPUTED_VALUE"""),78.57)</f>
        <v>78.569999999999993</v>
      </c>
      <c r="F46">
        <f ca="1">IFERROR(__xludf.DUMMYFUNCTION("""COMPUTED_VALUE"""),198)</f>
        <v>198</v>
      </c>
      <c r="G46">
        <f ca="1">IFERROR(__xludf.DUMMYFUNCTION("""COMPUTED_VALUE"""),252)</f>
        <v>252</v>
      </c>
      <c r="H46">
        <f ca="1">IFERROR(__xludf.DUMMYFUNCTION("""COMPUTED_VALUE"""),-63)</f>
        <v>-63</v>
      </c>
    </row>
    <row r="47" spans="1:8" ht="12.75">
      <c r="A47" t="str">
        <f ca="1">IFERROR(__xludf.DUMMYFUNCTION("""COMPUTED_VALUE"""),"T46")</f>
        <v>T46</v>
      </c>
      <c r="B47" t="str">
        <f ca="1">IFERROR(__xludf.DUMMYFUNCTION("""COMPUTED_VALUE"""),"T35")</f>
        <v>T35</v>
      </c>
      <c r="C47" t="str">
        <f ca="1">IFERROR(__xludf.DUMMYFUNCTION("""COMPUTED_VALUE"""),"Zach Johnson")</f>
        <v>Zach Johnson</v>
      </c>
      <c r="D47">
        <f ca="1">IFERROR(__xludf.DUMMYFUNCTION("""COMPUTED_VALUE"""),16)</f>
        <v>16</v>
      </c>
      <c r="E47">
        <f ca="1">IFERROR(__xludf.DUMMYFUNCTION("""COMPUTED_VALUE"""),78.47)</f>
        <v>78.47</v>
      </c>
      <c r="F47">
        <f ca="1">IFERROR(__xludf.DUMMYFUNCTION("""COMPUTED_VALUE"""),226)</f>
        <v>226</v>
      </c>
      <c r="G47">
        <f ca="1">IFERROR(__xludf.DUMMYFUNCTION("""COMPUTED_VALUE"""),288)</f>
        <v>288</v>
      </c>
      <c r="H47">
        <f ca="1">IFERROR(__xludf.DUMMYFUNCTION("""COMPUTED_VALUE"""),-61)</f>
        <v>-61</v>
      </c>
    </row>
    <row r="48" spans="1:8" ht="12.75">
      <c r="A48" t="str">
        <f ca="1">IFERROR(__xludf.DUMMYFUNCTION("""COMPUTED_VALUE"""),"T46")</f>
        <v>T46</v>
      </c>
      <c r="B48" t="str">
        <f ca="1">IFERROR(__xludf.DUMMYFUNCTION("""COMPUTED_VALUE"""),"T68")</f>
        <v>T68</v>
      </c>
      <c r="C48" t="str">
        <f ca="1">IFERROR(__xludf.DUMMYFUNCTION("""COMPUTED_VALUE"""),"Doug Ghim")</f>
        <v>Doug Ghim</v>
      </c>
      <c r="D48">
        <f ca="1">IFERROR(__xludf.DUMMYFUNCTION("""COMPUTED_VALUE"""),14)</f>
        <v>14</v>
      </c>
      <c r="E48">
        <f ca="1">IFERROR(__xludf.DUMMYFUNCTION("""COMPUTED_VALUE"""),78.47)</f>
        <v>78.47</v>
      </c>
      <c r="F48">
        <f ca="1">IFERROR(__xludf.DUMMYFUNCTION("""COMPUTED_VALUE"""),113)</f>
        <v>113</v>
      </c>
      <c r="G48">
        <f ca="1">IFERROR(__xludf.DUMMYFUNCTION("""COMPUTED_VALUE"""),144)</f>
        <v>144</v>
      </c>
      <c r="H48">
        <f ca="1">IFERROR(__xludf.DUMMYFUNCTION("""COMPUTED_VALUE"""),-38)</f>
        <v>-38</v>
      </c>
    </row>
    <row r="49" spans="1:8" ht="12.75">
      <c r="A49">
        <f ca="1">IFERROR(__xludf.DUMMYFUNCTION("""COMPUTED_VALUE"""),48)</f>
        <v>48</v>
      </c>
      <c r="B49">
        <f ca="1">IFERROR(__xludf.DUMMYFUNCTION("""COMPUTED_VALUE"""),72)</f>
        <v>72</v>
      </c>
      <c r="C49" t="str">
        <f ca="1">IFERROR(__xludf.DUMMYFUNCTION("""COMPUTED_VALUE"""),"Joel Dahmen")</f>
        <v>Joel Dahmen</v>
      </c>
      <c r="D49">
        <f ca="1">IFERROR(__xludf.DUMMYFUNCTION("""COMPUTED_VALUE"""),18)</f>
        <v>18</v>
      </c>
      <c r="E49">
        <f ca="1">IFERROR(__xludf.DUMMYFUNCTION("""COMPUTED_VALUE"""),78.4)</f>
        <v>78.400000000000006</v>
      </c>
      <c r="F49">
        <f ca="1">IFERROR(__xludf.DUMMYFUNCTION("""COMPUTED_VALUE"""),254)</f>
        <v>254</v>
      </c>
      <c r="G49">
        <f ca="1">IFERROR(__xludf.DUMMYFUNCTION("""COMPUTED_VALUE"""),324)</f>
        <v>324</v>
      </c>
      <c r="H49">
        <f ca="1">IFERROR(__xludf.DUMMYFUNCTION("""COMPUTED_VALUE"""),-86)</f>
        <v>-86</v>
      </c>
    </row>
    <row r="50" spans="1:8" ht="12.75">
      <c r="A50" t="str">
        <f ca="1">IFERROR(__xludf.DUMMYFUNCTION("""COMPUTED_VALUE"""),"T49")</f>
        <v>T49</v>
      </c>
      <c r="B50">
        <f ca="1">IFERROR(__xludf.DUMMYFUNCTION("""COMPUTED_VALUE"""),92)</f>
        <v>92</v>
      </c>
      <c r="C50" t="str">
        <f ca="1">IFERROR(__xludf.DUMMYFUNCTION("""COMPUTED_VALUE"""),"Hudson Swafford")</f>
        <v>Hudson Swafford</v>
      </c>
      <c r="D50">
        <f ca="1">IFERROR(__xludf.DUMMYFUNCTION("""COMPUTED_VALUE"""),18)</f>
        <v>18</v>
      </c>
      <c r="E50">
        <f ca="1">IFERROR(__xludf.DUMMYFUNCTION("""COMPUTED_VALUE"""),78.33)</f>
        <v>78.33</v>
      </c>
      <c r="F50">
        <f ca="1">IFERROR(__xludf.DUMMYFUNCTION("""COMPUTED_VALUE"""),141)</f>
        <v>141</v>
      </c>
      <c r="G50">
        <f ca="1">IFERROR(__xludf.DUMMYFUNCTION("""COMPUTED_VALUE"""),180)</f>
        <v>180</v>
      </c>
      <c r="H50">
        <f ca="1">IFERROR(__xludf.DUMMYFUNCTION("""COMPUTED_VALUE"""),-34)</f>
        <v>-34</v>
      </c>
    </row>
    <row r="51" spans="1:8" ht="12.75">
      <c r="A51" t="str">
        <f ca="1">IFERROR(__xludf.DUMMYFUNCTION("""COMPUTED_VALUE"""),"T49")</f>
        <v>T49</v>
      </c>
      <c r="B51">
        <f ca="1">IFERROR(__xludf.DUMMYFUNCTION("""COMPUTED_VALUE"""),73)</f>
        <v>73</v>
      </c>
      <c r="C51" t="str">
        <f ca="1">IFERROR(__xludf.DUMMYFUNCTION("""COMPUTED_VALUE"""),"MJ Daffue")</f>
        <v>MJ Daffue</v>
      </c>
      <c r="D51">
        <f ca="1">IFERROR(__xludf.DUMMYFUNCTION("""COMPUTED_VALUE"""),10)</f>
        <v>10</v>
      </c>
      <c r="E51">
        <f ca="1">IFERROR(__xludf.DUMMYFUNCTION("""COMPUTED_VALUE"""),78.33)</f>
        <v>78.33</v>
      </c>
      <c r="F51">
        <f ca="1">IFERROR(__xludf.DUMMYFUNCTION("""COMPUTED_VALUE"""),141)</f>
        <v>141</v>
      </c>
      <c r="G51">
        <f ca="1">IFERROR(__xludf.DUMMYFUNCTION("""COMPUTED_VALUE"""),180)</f>
        <v>180</v>
      </c>
      <c r="H51">
        <f ca="1">IFERROR(__xludf.DUMMYFUNCTION("""COMPUTED_VALUE"""),-53)</f>
        <v>-53</v>
      </c>
    </row>
    <row r="52" spans="1:8" ht="12.75">
      <c r="A52" t="str">
        <f ca="1">IFERROR(__xludf.DUMMYFUNCTION("""COMPUTED_VALUE"""),"T51")</f>
        <v>T51</v>
      </c>
      <c r="B52" t="str">
        <f ca="1">IFERROR(__xludf.DUMMYFUNCTION("""COMPUTED_VALUE"""),"T46")</f>
        <v>T46</v>
      </c>
      <c r="C52" t="str">
        <f ca="1">IFERROR(__xludf.DUMMYFUNCTION("""COMPUTED_VALUE"""),"Adam Schenk")</f>
        <v>Adam Schenk</v>
      </c>
      <c r="D52">
        <f ca="1">IFERROR(__xludf.DUMMYFUNCTION("""COMPUTED_VALUE"""),22)</f>
        <v>22</v>
      </c>
      <c r="E52">
        <f ca="1">IFERROR(__xludf.DUMMYFUNCTION("""COMPUTED_VALUE"""),78.17)</f>
        <v>78.17</v>
      </c>
      <c r="F52">
        <f ca="1">IFERROR(__xludf.DUMMYFUNCTION("""COMPUTED_VALUE"""),197)</f>
        <v>197</v>
      </c>
      <c r="G52">
        <f ca="1">IFERROR(__xludf.DUMMYFUNCTION("""COMPUTED_VALUE"""),252)</f>
        <v>252</v>
      </c>
      <c r="H52">
        <f ca="1">IFERROR(__xludf.DUMMYFUNCTION("""COMPUTED_VALUE"""),-60)</f>
        <v>-60</v>
      </c>
    </row>
    <row r="53" spans="1:8" ht="12.75">
      <c r="A53" t="str">
        <f ca="1">IFERROR(__xludf.DUMMYFUNCTION("""COMPUTED_VALUE"""),"T51")</f>
        <v>T51</v>
      </c>
      <c r="B53">
        <f ca="1">IFERROR(__xludf.DUMMYFUNCTION("""COMPUTED_VALUE"""),74)</f>
        <v>74</v>
      </c>
      <c r="C53" t="str">
        <f ca="1">IFERROR(__xludf.DUMMYFUNCTION("""COMPUTED_VALUE"""),"Chez Reavie")</f>
        <v>Chez Reavie</v>
      </c>
      <c r="D53">
        <f ca="1">IFERROR(__xludf.DUMMYFUNCTION("""COMPUTED_VALUE"""),14)</f>
        <v>14</v>
      </c>
      <c r="E53">
        <f ca="1">IFERROR(__xludf.DUMMYFUNCTION("""COMPUTED_VALUE"""),78.17)</f>
        <v>78.17</v>
      </c>
      <c r="F53">
        <f ca="1">IFERROR(__xludf.DUMMYFUNCTION("""COMPUTED_VALUE"""),197)</f>
        <v>197</v>
      </c>
      <c r="G53">
        <f ca="1">IFERROR(__xludf.DUMMYFUNCTION("""COMPUTED_VALUE"""),252)</f>
        <v>252</v>
      </c>
      <c r="H53">
        <f ca="1">IFERROR(__xludf.DUMMYFUNCTION("""COMPUTED_VALUE"""),-53)</f>
        <v>-53</v>
      </c>
    </row>
    <row r="54" spans="1:8" ht="12.75">
      <c r="A54" t="str">
        <f ca="1">IFERROR(__xludf.DUMMYFUNCTION("""COMPUTED_VALUE"""),"T53")</f>
        <v>T53</v>
      </c>
      <c r="B54">
        <f ca="1">IFERROR(__xludf.DUMMYFUNCTION("""COMPUTED_VALUE"""),64)</f>
        <v>64</v>
      </c>
      <c r="C54" t="str">
        <f ca="1">IFERROR(__xludf.DUMMYFUNCTION("""COMPUTED_VALUE"""),"Keegan Bradley")</f>
        <v>Keegan Bradley</v>
      </c>
      <c r="D54">
        <f ca="1">IFERROR(__xludf.DUMMYFUNCTION("""COMPUTED_VALUE"""),16)</f>
        <v>16</v>
      </c>
      <c r="E54">
        <f ca="1">IFERROR(__xludf.DUMMYFUNCTION("""COMPUTED_VALUE"""),78.13)</f>
        <v>78.13</v>
      </c>
      <c r="F54">
        <f ca="1">IFERROR(__xludf.DUMMYFUNCTION("""COMPUTED_VALUE"""),225)</f>
        <v>225</v>
      </c>
      <c r="G54">
        <f ca="1">IFERROR(__xludf.DUMMYFUNCTION("""COMPUTED_VALUE"""),288)</f>
        <v>288</v>
      </c>
      <c r="H54">
        <f ca="1">IFERROR(__xludf.DUMMYFUNCTION("""COMPUTED_VALUE"""),-71)</f>
        <v>-71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IFERROR(__xludf.DUMMYFUNCTION("""COMPUTED_VALUE"""),"T35")</f>
        <v>T35</v>
      </c>
      <c r="C55" t="str">
        <f ca="1">IFERROR(__xludf.DUMMYFUNCTION("""COMPUTED_VALUE"""),"Russell Henley")</f>
        <v>Russell Henley</v>
      </c>
      <c r="D55">
        <f ca="1">IFERROR(__xludf.DUMMYFUNCTION("""COMPUTED_VALUE"""),16)</f>
        <v>16</v>
      </c>
      <c r="E55">
        <f ca="1">IFERROR(__xludf.DUMMYFUNCTION("""COMPUTED_VALUE"""),78.13)</f>
        <v>78.13</v>
      </c>
      <c r="F55">
        <f ca="1">IFERROR(__xludf.DUMMYFUNCTION("""COMPUTED_VALUE"""),225)</f>
        <v>225</v>
      </c>
      <c r="G55">
        <f ca="1">IFERROR(__xludf.DUMMYFUNCTION("""COMPUTED_VALUE"""),288)</f>
        <v>288</v>
      </c>
      <c r="H55">
        <f ca="1">IFERROR(__xludf.DUMMYFUNCTION("""COMPUTED_VALUE"""),-72)</f>
        <v>-72</v>
      </c>
    </row>
    <row r="56" spans="1:8" ht="12.75">
      <c r="A56">
        <f ca="1">IFERROR(__xludf.DUMMYFUNCTION("""COMPUTED_VALUE"""),55)</f>
        <v>55</v>
      </c>
      <c r="B56">
        <f ca="1">IFERROR(__xludf.DUMMYFUNCTION("""COMPUTED_VALUE"""),38)</f>
        <v>38</v>
      </c>
      <c r="C56" t="str">
        <f ca="1">IFERROR(__xludf.DUMMYFUNCTION("""COMPUTED_VALUE"""),"Sungjae Im")</f>
        <v>Sungjae Im</v>
      </c>
      <c r="D56">
        <f ca="1">IFERROR(__xludf.DUMMYFUNCTION("""COMPUTED_VALUE"""),24)</f>
        <v>24</v>
      </c>
      <c r="E56">
        <f ca="1">IFERROR(__xludf.DUMMYFUNCTION("""COMPUTED_VALUE"""),78.01)</f>
        <v>78.010000000000005</v>
      </c>
      <c r="F56">
        <f ca="1">IFERROR(__xludf.DUMMYFUNCTION("""COMPUTED_VALUE"""),337)</f>
        <v>337</v>
      </c>
      <c r="G56">
        <f ca="1">IFERROR(__xludf.DUMMYFUNCTION("""COMPUTED_VALUE"""),432)</f>
        <v>432</v>
      </c>
      <c r="H56">
        <f ca="1">IFERROR(__xludf.DUMMYFUNCTION("""COMPUTED_VALUE"""),-107)</f>
        <v>-107</v>
      </c>
    </row>
    <row r="57" spans="1:8" ht="12.75">
      <c r="A57" t="str">
        <f ca="1">IFERROR(__xludf.DUMMYFUNCTION("""COMPUTED_VALUE"""),"T56")</f>
        <v>T56</v>
      </c>
      <c r="B57" t="str">
        <f ca="1">IFERROR(__xludf.DUMMYFUNCTION("""COMPUTED_VALUE"""),"T77")</f>
        <v>T77</v>
      </c>
      <c r="C57" t="str">
        <f ca="1">IFERROR(__xludf.DUMMYFUNCTION("""COMPUTED_VALUE"""),"Matthew Fitzpatrick")</f>
        <v>Matthew Fitzpatrick</v>
      </c>
      <c r="D57">
        <f ca="1">IFERROR(__xludf.DUMMYFUNCTION("""COMPUTED_VALUE"""),10)</f>
        <v>10</v>
      </c>
      <c r="E57">
        <f ca="1">IFERROR(__xludf.DUMMYFUNCTION("""COMPUTED_VALUE"""),77.78)</f>
        <v>77.78</v>
      </c>
      <c r="F57">
        <f ca="1">IFERROR(__xludf.DUMMYFUNCTION("""COMPUTED_VALUE"""),140)</f>
        <v>140</v>
      </c>
      <c r="G57">
        <f ca="1">IFERROR(__xludf.DUMMYFUNCTION("""COMPUTED_VALUE"""),180)</f>
        <v>180</v>
      </c>
      <c r="H57">
        <f ca="1">IFERROR(__xludf.DUMMYFUNCTION("""COMPUTED_VALUE"""),-51)</f>
        <v>-51</v>
      </c>
    </row>
    <row r="58" spans="1:8" ht="12.75">
      <c r="A58" t="str">
        <f ca="1">IFERROR(__xludf.DUMMYFUNCTION("""COMPUTED_VALUE"""),"T56")</f>
        <v>T56</v>
      </c>
      <c r="B58" t="str">
        <f ca="1">IFERROR(__xludf.DUMMYFUNCTION("""COMPUTED_VALUE"""),"T77")</f>
        <v>T77</v>
      </c>
      <c r="C58" t="str">
        <f ca="1">IFERROR(__xludf.DUMMYFUNCTION("""COMPUTED_VALUE"""),"Wes Roach")</f>
        <v>Wes Roach</v>
      </c>
      <c r="D58">
        <f ca="1">IFERROR(__xludf.DUMMYFUNCTION("""COMPUTED_VALUE"""),6)</f>
        <v>6</v>
      </c>
      <c r="E58">
        <f ca="1">IFERROR(__xludf.DUMMYFUNCTION("""COMPUTED_VALUE"""),77.78)</f>
        <v>77.78</v>
      </c>
      <c r="F58">
        <f ca="1">IFERROR(__xludf.DUMMYFUNCTION("""COMPUTED_VALUE"""),28)</f>
        <v>28</v>
      </c>
      <c r="G58">
        <f ca="1">IFERROR(__xludf.DUMMYFUNCTION("""COMPUTED_VALUE"""),36)</f>
        <v>36</v>
      </c>
      <c r="H58">
        <f ca="1">IFERROR(__xludf.DUMMYFUNCTION("""COMPUTED_VALUE"""),-10)</f>
        <v>-10</v>
      </c>
    </row>
    <row r="59" spans="1:8" ht="12.75">
      <c r="A59" t="str">
        <f ca="1">IFERROR(__xludf.DUMMYFUNCTION("""COMPUTED_VALUE"""),"T56")</f>
        <v>T56</v>
      </c>
      <c r="B59" t="str">
        <f ca="1">IFERROR(__xludf.DUMMYFUNCTION("""COMPUTED_VALUE"""),"T77")</f>
        <v>T77</v>
      </c>
      <c r="C59" t="str">
        <f ca="1">IFERROR(__xludf.DUMMYFUNCTION("""COMPUTED_VALUE"""),"Andy Zhang")</f>
        <v>Andy Zhang</v>
      </c>
      <c r="D59">
        <f ca="1">IFERROR(__xludf.DUMMYFUNCTION("""COMPUTED_VALUE"""),4)</f>
        <v>4</v>
      </c>
      <c r="E59">
        <f ca="1">IFERROR(__xludf.DUMMYFUNCTION("""COMPUTED_VALUE"""),77.78)</f>
        <v>77.78</v>
      </c>
      <c r="F59">
        <f ca="1">IFERROR(__xludf.DUMMYFUNCTION("""COMPUTED_VALUE"""),56)</f>
        <v>56</v>
      </c>
      <c r="G59">
        <f ca="1">IFERROR(__xludf.DUMMYFUNCTION("""COMPUTED_VALUE"""),72)</f>
        <v>72</v>
      </c>
      <c r="H59">
        <f ca="1">IFERROR(__xludf.DUMMYFUNCTION("""COMPUTED_VALUE"""),-15)</f>
        <v>-15</v>
      </c>
    </row>
    <row r="60" spans="1:8" ht="12.75">
      <c r="A60" t="str">
        <f ca="1">IFERROR(__xludf.DUMMYFUNCTION("""COMPUTED_VALUE"""),"T56")</f>
        <v>T56</v>
      </c>
      <c r="B60" t="str">
        <f ca="1">IFERROR(__xludf.DUMMYFUNCTION("""COMPUTED_VALUE"""),"T77")</f>
        <v>T77</v>
      </c>
      <c r="C60" t="str">
        <f ca="1">IFERROR(__xludf.DUMMYFUNCTION("""COMPUTED_VALUE"""),"Ben Taylor")</f>
        <v>Ben Taylor</v>
      </c>
      <c r="D60">
        <f ca="1">IFERROR(__xludf.DUMMYFUNCTION("""COMPUTED_VALUE"""),10)</f>
        <v>10</v>
      </c>
      <c r="E60">
        <f ca="1">IFERROR(__xludf.DUMMYFUNCTION("""COMPUTED_VALUE"""),77.78)</f>
        <v>77.78</v>
      </c>
      <c r="F60">
        <f ca="1">IFERROR(__xludf.DUMMYFUNCTION("""COMPUTED_VALUE"""),56)</f>
        <v>56</v>
      </c>
      <c r="G60">
        <f ca="1">IFERROR(__xludf.DUMMYFUNCTION("""COMPUTED_VALUE"""),72)</f>
        <v>72</v>
      </c>
      <c r="H60">
        <f ca="1">IFERROR(__xludf.DUMMYFUNCTION("""COMPUTED_VALUE"""),-19)</f>
        <v>-19</v>
      </c>
    </row>
    <row r="61" spans="1:8" ht="12.75">
      <c r="A61" t="str">
        <f ca="1">IFERROR(__xludf.DUMMYFUNCTION("""COMPUTED_VALUE"""),"T56")</f>
        <v>T56</v>
      </c>
      <c r="B61" t="str">
        <f ca="1">IFERROR(__xludf.DUMMYFUNCTION("""COMPUTED_VALUE"""),"T77")</f>
        <v>T77</v>
      </c>
      <c r="C61" t="str">
        <f ca="1">IFERROR(__xludf.DUMMYFUNCTION("""COMPUTED_VALUE"""),"Sahith Theegala")</f>
        <v>Sahith Theegala</v>
      </c>
      <c r="D61">
        <f ca="1">IFERROR(__xludf.DUMMYFUNCTION("""COMPUTED_VALUE"""),6)</f>
        <v>6</v>
      </c>
      <c r="E61">
        <f ca="1">IFERROR(__xludf.DUMMYFUNCTION("""COMPUTED_VALUE"""),77.78)</f>
        <v>77.78</v>
      </c>
      <c r="F61">
        <f ca="1">IFERROR(__xludf.DUMMYFUNCTION("""COMPUTED_VALUE"""),84)</f>
        <v>84</v>
      </c>
      <c r="G61">
        <f ca="1">IFERROR(__xludf.DUMMYFUNCTION("""COMPUTED_VALUE"""),108)</f>
        <v>108</v>
      </c>
      <c r="H61">
        <f ca="1">IFERROR(__xludf.DUMMYFUNCTION("""COMPUTED_VALUE"""),-26)</f>
        <v>-26</v>
      </c>
    </row>
    <row r="62" spans="1:8" ht="12.75">
      <c r="A62" t="str">
        <f ca="1">IFERROR(__xludf.DUMMYFUNCTION("""COMPUTED_VALUE"""),"T56")</f>
        <v>T56</v>
      </c>
      <c r="B62" t="str">
        <f ca="1">IFERROR(__xludf.DUMMYFUNCTION("""COMPUTED_VALUE"""),"T77")</f>
        <v>T77</v>
      </c>
      <c r="C62" t="str">
        <f ca="1">IFERROR(__xludf.DUMMYFUNCTION("""COMPUTED_VALUE"""),"Ryan Blaum")</f>
        <v>Ryan Blaum</v>
      </c>
      <c r="D62">
        <f ca="1">IFERROR(__xludf.DUMMYFUNCTION("""COMPUTED_VALUE"""),8)</f>
        <v>8</v>
      </c>
      <c r="E62">
        <f ca="1">IFERROR(__xludf.DUMMYFUNCTION("""COMPUTED_VALUE"""),77.78)</f>
        <v>77.78</v>
      </c>
      <c r="F62">
        <f ca="1">IFERROR(__xludf.DUMMYFUNCTION("""COMPUTED_VALUE"""),56)</f>
        <v>56</v>
      </c>
      <c r="G62">
        <f ca="1">IFERROR(__xludf.DUMMYFUNCTION("""COMPUTED_VALUE"""),72)</f>
        <v>72</v>
      </c>
      <c r="H62">
        <f ca="1">IFERROR(__xludf.DUMMYFUNCTION("""COMPUTED_VALUE"""),-14)</f>
        <v>-14</v>
      </c>
    </row>
    <row r="63" spans="1:8" ht="12.75">
      <c r="A63" t="str">
        <f ca="1">IFERROR(__xludf.DUMMYFUNCTION("""COMPUTED_VALUE"""),"T56")</f>
        <v>T56</v>
      </c>
      <c r="B63" t="str">
        <f ca="1">IFERROR(__xludf.DUMMYFUNCTION("""COMPUTED_VALUE"""),"T77")</f>
        <v>T77</v>
      </c>
      <c r="C63" t="str">
        <f ca="1">IFERROR(__xludf.DUMMYFUNCTION("""COMPUTED_VALUE"""),"Johnson Wagner")</f>
        <v>Johnson Wagner</v>
      </c>
      <c r="D63">
        <f ca="1">IFERROR(__xludf.DUMMYFUNCTION("""COMPUTED_VALUE"""),8)</f>
        <v>8</v>
      </c>
      <c r="E63">
        <f ca="1">IFERROR(__xludf.DUMMYFUNCTION("""COMPUTED_VALUE"""),77.78)</f>
        <v>77.78</v>
      </c>
      <c r="F63">
        <f ca="1">IFERROR(__xludf.DUMMYFUNCTION("""COMPUTED_VALUE"""),28)</f>
        <v>28</v>
      </c>
      <c r="G63">
        <f ca="1">IFERROR(__xludf.DUMMYFUNCTION("""COMPUTED_VALUE"""),36)</f>
        <v>36</v>
      </c>
      <c r="H63">
        <f ca="1">IFERROR(__xludf.DUMMYFUNCTION("""COMPUTED_VALUE"""),-8)</f>
        <v>-8</v>
      </c>
    </row>
    <row r="64" spans="1:8" ht="12.75">
      <c r="A64" t="str">
        <f ca="1">IFERROR(__xludf.DUMMYFUNCTION("""COMPUTED_VALUE"""),"T56")</f>
        <v>T56</v>
      </c>
      <c r="B64" t="str">
        <f ca="1">IFERROR(__xludf.DUMMYFUNCTION("""COMPUTED_VALUE"""),"T77")</f>
        <v>T77</v>
      </c>
      <c r="C64" t="str">
        <f ca="1">IFERROR(__xludf.DUMMYFUNCTION("""COMPUTED_VALUE"""),"John Senden")</f>
        <v>John Senden</v>
      </c>
      <c r="D64">
        <f ca="1">IFERROR(__xludf.DUMMYFUNCTION("""COMPUTED_VALUE"""),8)</f>
        <v>8</v>
      </c>
      <c r="E64">
        <f ca="1">IFERROR(__xludf.DUMMYFUNCTION("""COMPUTED_VALUE"""),77.78)</f>
        <v>77.78</v>
      </c>
      <c r="F64">
        <f ca="1">IFERROR(__xludf.DUMMYFUNCTION("""COMPUTED_VALUE"""),28)</f>
        <v>28</v>
      </c>
      <c r="G64">
        <f ca="1">IFERROR(__xludf.DUMMYFUNCTION("""COMPUTED_VALUE"""),36)</f>
        <v>36</v>
      </c>
      <c r="H64">
        <f ca="1">IFERROR(__xludf.DUMMYFUNCTION("""COMPUTED_VALUE"""),-4)</f>
        <v>-4</v>
      </c>
    </row>
    <row r="65" spans="1:8" ht="12.75">
      <c r="A65">
        <f ca="1">IFERROR(__xludf.DUMMYFUNCTION("""COMPUTED_VALUE"""),64)</f>
        <v>64</v>
      </c>
      <c r="B65">
        <f ca="1">IFERROR(__xludf.DUMMYFUNCTION("""COMPUTED_VALUE"""),86)</f>
        <v>86</v>
      </c>
      <c r="C65" t="str">
        <f ca="1">IFERROR(__xludf.DUMMYFUNCTION("""COMPUTED_VALUE"""),"Joaquin Niemann")</f>
        <v>Joaquin Niemann</v>
      </c>
      <c r="D65">
        <f ca="1">IFERROR(__xludf.DUMMYFUNCTION("""COMPUTED_VALUE"""),16)</f>
        <v>16</v>
      </c>
      <c r="E65">
        <f ca="1">IFERROR(__xludf.DUMMYFUNCTION("""COMPUTED_VALUE"""),77.43)</f>
        <v>77.430000000000007</v>
      </c>
      <c r="F65">
        <f ca="1">IFERROR(__xludf.DUMMYFUNCTION("""COMPUTED_VALUE"""),223)</f>
        <v>223</v>
      </c>
      <c r="G65">
        <f ca="1">IFERROR(__xludf.DUMMYFUNCTION("""COMPUTED_VALUE"""),288)</f>
        <v>288</v>
      </c>
      <c r="H65">
        <f ca="1">IFERROR(__xludf.DUMMYFUNCTION("""COMPUTED_VALUE"""),-80)</f>
        <v>-80</v>
      </c>
    </row>
    <row r="66" spans="1:8" ht="12.75">
      <c r="A66" t="str">
        <f ca="1">IFERROR(__xludf.DUMMYFUNCTION("""COMPUTED_VALUE"""),"T65")</f>
        <v>T65</v>
      </c>
      <c r="B66" t="str">
        <f ca="1">IFERROR(__xludf.DUMMYFUNCTION("""COMPUTED_VALUE"""),"T56")</f>
        <v>T56</v>
      </c>
      <c r="C66" t="str">
        <f ca="1">IFERROR(__xludf.DUMMYFUNCTION("""COMPUTED_VALUE"""),"Sepp Straka")</f>
        <v>Sepp Straka</v>
      </c>
      <c r="D66">
        <f ca="1">IFERROR(__xludf.DUMMYFUNCTION("""COMPUTED_VALUE"""),22)</f>
        <v>22</v>
      </c>
      <c r="E66">
        <f ca="1">IFERROR(__xludf.DUMMYFUNCTION("""COMPUTED_VALUE"""),77.38)</f>
        <v>77.38</v>
      </c>
      <c r="F66">
        <f ca="1">IFERROR(__xludf.DUMMYFUNCTION("""COMPUTED_VALUE"""),195)</f>
        <v>195</v>
      </c>
      <c r="G66">
        <f ca="1">IFERROR(__xludf.DUMMYFUNCTION("""COMPUTED_VALUE"""),252)</f>
        <v>252</v>
      </c>
      <c r="H66">
        <f ca="1">IFERROR(__xludf.DUMMYFUNCTION("""COMPUTED_VALUE"""),-74)</f>
        <v>-74</v>
      </c>
    </row>
    <row r="67" spans="1:8" ht="12.75">
      <c r="A67" t="str">
        <f ca="1">IFERROR(__xludf.DUMMYFUNCTION("""COMPUTED_VALUE"""),"T65")</f>
        <v>T65</v>
      </c>
      <c r="B67">
        <f ca="1">IFERROR(__xludf.DUMMYFUNCTION("""COMPUTED_VALUE"""),87)</f>
        <v>87</v>
      </c>
      <c r="C67" t="str">
        <f ca="1">IFERROR(__xludf.DUMMYFUNCTION("""COMPUTED_VALUE"""),"Jason Kokrak")</f>
        <v>Jason Kokrak</v>
      </c>
      <c r="D67">
        <f ca="1">IFERROR(__xludf.DUMMYFUNCTION("""COMPUTED_VALUE"""),14)</f>
        <v>14</v>
      </c>
      <c r="E67">
        <f ca="1">IFERROR(__xludf.DUMMYFUNCTION("""COMPUTED_VALUE"""),77.38)</f>
        <v>77.38</v>
      </c>
      <c r="F67">
        <f ca="1">IFERROR(__xludf.DUMMYFUNCTION("""COMPUTED_VALUE"""),195)</f>
        <v>195</v>
      </c>
      <c r="G67">
        <f ca="1">IFERROR(__xludf.DUMMYFUNCTION("""COMPUTED_VALUE"""),252)</f>
        <v>252</v>
      </c>
      <c r="H67">
        <f ca="1">IFERROR(__xludf.DUMMYFUNCTION("""COMPUTED_VALUE"""),-73)</f>
        <v>-73</v>
      </c>
    </row>
    <row r="68" spans="1:8" ht="12.75">
      <c r="A68" t="str">
        <f ca="1">IFERROR(__xludf.DUMMYFUNCTION("""COMPUTED_VALUE"""),"T67")</f>
        <v>T67</v>
      </c>
      <c r="B68" t="str">
        <f ca="1">IFERROR(__xludf.DUMMYFUNCTION("""COMPUTED_VALUE"""),"T50")</f>
        <v>T50</v>
      </c>
      <c r="C68" t="str">
        <f ca="1">IFERROR(__xludf.DUMMYFUNCTION("""COMPUTED_VALUE"""),"Brian Stuard")</f>
        <v>Brian Stuard</v>
      </c>
      <c r="D68">
        <f ca="1">IFERROR(__xludf.DUMMYFUNCTION("""COMPUTED_VALUE"""),18)</f>
        <v>18</v>
      </c>
      <c r="E68">
        <f ca="1">IFERROR(__xludf.DUMMYFUNCTION("""COMPUTED_VALUE"""),77.31)</f>
        <v>77.31</v>
      </c>
      <c r="F68">
        <f ca="1">IFERROR(__xludf.DUMMYFUNCTION("""COMPUTED_VALUE"""),167)</f>
        <v>167</v>
      </c>
      <c r="G68">
        <f ca="1">IFERROR(__xludf.DUMMYFUNCTION("""COMPUTED_VALUE"""),216)</f>
        <v>216</v>
      </c>
      <c r="H68">
        <f ca="1">IFERROR(__xludf.DUMMYFUNCTION("""COMPUTED_VALUE"""),-46)</f>
        <v>-46</v>
      </c>
    </row>
    <row r="69" spans="1:8" ht="12.75">
      <c r="A69" t="str">
        <f ca="1">IFERROR(__xludf.DUMMYFUNCTION("""COMPUTED_VALUE"""),"T67")</f>
        <v>T67</v>
      </c>
      <c r="B69" t="str">
        <f ca="1">IFERROR(__xludf.DUMMYFUNCTION("""COMPUTED_VALUE"""),"T56")</f>
        <v>T56</v>
      </c>
      <c r="C69" t="str">
        <f ca="1">IFERROR(__xludf.DUMMYFUNCTION("""COMPUTED_VALUE"""),"Charl Schwartzel")</f>
        <v>Charl Schwartzel</v>
      </c>
      <c r="D69">
        <f ca="1">IFERROR(__xludf.DUMMYFUNCTION("""COMPUTED_VALUE"""),12)</f>
        <v>12</v>
      </c>
      <c r="E69">
        <f ca="1">IFERROR(__xludf.DUMMYFUNCTION("""COMPUTED_VALUE"""),77.31)</f>
        <v>77.31</v>
      </c>
      <c r="F69">
        <f ca="1">IFERROR(__xludf.DUMMYFUNCTION("""COMPUTED_VALUE"""),167)</f>
        <v>167</v>
      </c>
      <c r="G69">
        <f ca="1">IFERROR(__xludf.DUMMYFUNCTION("""COMPUTED_VALUE"""),216)</f>
        <v>216</v>
      </c>
      <c r="H69">
        <f ca="1">IFERROR(__xludf.DUMMYFUNCTION("""COMPUTED_VALUE"""),-48)</f>
        <v>-48</v>
      </c>
    </row>
    <row r="70" spans="1:8" ht="12.75">
      <c r="A70" t="str">
        <f ca="1">IFERROR(__xludf.DUMMYFUNCTION("""COMPUTED_VALUE"""),"T67")</f>
        <v>T67</v>
      </c>
      <c r="B70" t="str">
        <f ca="1">IFERROR(__xludf.DUMMYFUNCTION("""COMPUTED_VALUE"""),"T88")</f>
        <v>T88</v>
      </c>
      <c r="C70" t="str">
        <f ca="1">IFERROR(__xludf.DUMMYFUNCTION("""COMPUTED_VALUE"""),"Collin Morikawa")</f>
        <v>Collin Morikawa</v>
      </c>
      <c r="D70">
        <f ca="1">IFERROR(__xludf.DUMMYFUNCTION("""COMPUTED_VALUE"""),12)</f>
        <v>12</v>
      </c>
      <c r="E70">
        <f ca="1">IFERROR(__xludf.DUMMYFUNCTION("""COMPUTED_VALUE"""),77.31)</f>
        <v>77.31</v>
      </c>
      <c r="F70">
        <f ca="1">IFERROR(__xludf.DUMMYFUNCTION("""COMPUTED_VALUE"""),167)</f>
        <v>167</v>
      </c>
      <c r="G70">
        <f ca="1">IFERROR(__xludf.DUMMYFUNCTION("""COMPUTED_VALUE"""),216)</f>
        <v>216</v>
      </c>
      <c r="H70">
        <f ca="1">IFERROR(__xludf.DUMMYFUNCTION("""COMPUTED_VALUE"""),-50)</f>
        <v>-50</v>
      </c>
    </row>
    <row r="71" spans="1:8" ht="12.75">
      <c r="A71" t="str">
        <f ca="1">IFERROR(__xludf.DUMMYFUNCTION("""COMPUTED_VALUE"""),"T67")</f>
        <v>T67</v>
      </c>
      <c r="B71" t="str">
        <f ca="1">IFERROR(__xludf.DUMMYFUNCTION("""COMPUTED_VALUE"""),"T88")</f>
        <v>T88</v>
      </c>
      <c r="C71" t="str">
        <f ca="1">IFERROR(__xludf.DUMMYFUNCTION("""COMPUTED_VALUE"""),"Jon Rahm")</f>
        <v>Jon Rahm</v>
      </c>
      <c r="D71">
        <f ca="1">IFERROR(__xludf.DUMMYFUNCTION("""COMPUTED_VALUE"""),12)</f>
        <v>12</v>
      </c>
      <c r="E71">
        <f ca="1">IFERROR(__xludf.DUMMYFUNCTION("""COMPUTED_VALUE"""),77.31)</f>
        <v>77.31</v>
      </c>
      <c r="F71">
        <f ca="1">IFERROR(__xludf.DUMMYFUNCTION("""COMPUTED_VALUE"""),167)</f>
        <v>167</v>
      </c>
      <c r="G71">
        <f ca="1">IFERROR(__xludf.DUMMYFUNCTION("""COMPUTED_VALUE"""),216)</f>
        <v>216</v>
      </c>
      <c r="H71">
        <f ca="1">IFERROR(__xludf.DUMMYFUNCTION("""COMPUTED_VALUE"""),-53)</f>
        <v>-53</v>
      </c>
    </row>
    <row r="72" spans="1:8" ht="12.75">
      <c r="A72">
        <f ca="1">IFERROR(__xludf.DUMMYFUNCTION("""COMPUTED_VALUE"""),71)</f>
        <v>71</v>
      </c>
      <c r="B72" t="str">
        <f ca="1">IFERROR(__xludf.DUMMYFUNCTION("""COMPUTED_VALUE"""),"T39")</f>
        <v>T39</v>
      </c>
      <c r="C72" t="str">
        <f ca="1">IFERROR(__xludf.DUMMYFUNCTION("""COMPUTED_VALUE"""),"Patrick Rodgers")</f>
        <v>Patrick Rodgers</v>
      </c>
      <c r="D72">
        <f ca="1">IFERROR(__xludf.DUMMYFUNCTION("""COMPUTED_VALUE"""),18)</f>
        <v>18</v>
      </c>
      <c r="E72">
        <f ca="1">IFERROR(__xludf.DUMMYFUNCTION("""COMPUTED_VALUE"""),77.22)</f>
        <v>77.22</v>
      </c>
      <c r="F72">
        <f ca="1">IFERROR(__xludf.DUMMYFUNCTION("""COMPUTED_VALUE"""),139)</f>
        <v>139</v>
      </c>
      <c r="G72">
        <f ca="1">IFERROR(__xludf.DUMMYFUNCTION("""COMPUTED_VALUE"""),180)</f>
        <v>180</v>
      </c>
      <c r="H72">
        <f ca="1">IFERROR(__xludf.DUMMYFUNCTION("""COMPUTED_VALUE"""),-28)</f>
        <v>-28</v>
      </c>
    </row>
    <row r="73" spans="1:8" ht="12.75">
      <c r="A73" t="str">
        <f ca="1">IFERROR(__xludf.DUMMYFUNCTION("""COMPUTED_VALUE"""),"T72")</f>
        <v>T72</v>
      </c>
      <c r="B73" t="str">
        <f ca="1">IFERROR(__xludf.DUMMYFUNCTION("""COMPUTED_VALUE"""),"T95")</f>
        <v>T95</v>
      </c>
      <c r="C73" t="str">
        <f ca="1">IFERROR(__xludf.DUMMYFUNCTION("""COMPUTED_VALUE"""),"Jazz Janewattananond")</f>
        <v>Jazz Janewattananond</v>
      </c>
      <c r="D73">
        <f ca="1">IFERROR(__xludf.DUMMYFUNCTION("""COMPUTED_VALUE"""),6)</f>
        <v>6</v>
      </c>
      <c r="E73">
        <f ca="1">IFERROR(__xludf.DUMMYFUNCTION("""COMPUTED_VALUE"""),76.85)</f>
        <v>76.849999999999994</v>
      </c>
      <c r="F73">
        <f ca="1">IFERROR(__xludf.DUMMYFUNCTION("""COMPUTED_VALUE"""),83)</f>
        <v>83</v>
      </c>
      <c r="G73">
        <f ca="1">IFERROR(__xludf.DUMMYFUNCTION("""COMPUTED_VALUE"""),108)</f>
        <v>108</v>
      </c>
      <c r="H73">
        <f ca="1">IFERROR(__xludf.DUMMYFUNCTION("""COMPUTED_VALUE"""),-18)</f>
        <v>-18</v>
      </c>
    </row>
    <row r="74" spans="1:8" ht="12.75">
      <c r="A74" t="str">
        <f ca="1">IFERROR(__xludf.DUMMYFUNCTION("""COMPUTED_VALUE"""),"T72")</f>
        <v>T72</v>
      </c>
      <c r="B74" t="str">
        <f ca="1">IFERROR(__xludf.DUMMYFUNCTION("""COMPUTED_VALUE"""),"T75")</f>
        <v>T75</v>
      </c>
      <c r="C74" t="str">
        <f ca="1">IFERROR(__xludf.DUMMYFUNCTION("""COMPUTED_VALUE"""),"Kevin Streelman")</f>
        <v>Kevin Streelman</v>
      </c>
      <c r="D74">
        <f ca="1">IFERROR(__xludf.DUMMYFUNCTION("""COMPUTED_VALUE"""),18)</f>
        <v>18</v>
      </c>
      <c r="E74">
        <f ca="1">IFERROR(__xludf.DUMMYFUNCTION("""COMPUTED_VALUE"""),76.85)</f>
        <v>76.849999999999994</v>
      </c>
      <c r="F74">
        <f ca="1">IFERROR(__xludf.DUMMYFUNCTION("""COMPUTED_VALUE"""),249)</f>
        <v>249</v>
      </c>
      <c r="G74">
        <f ca="1">IFERROR(__xludf.DUMMYFUNCTION("""COMPUTED_VALUE"""),324)</f>
        <v>324</v>
      </c>
      <c r="H74">
        <f ca="1">IFERROR(__xludf.DUMMYFUNCTION("""COMPUTED_VALUE"""),-88)</f>
        <v>-88</v>
      </c>
    </row>
    <row r="75" spans="1:8" ht="12.75">
      <c r="A75" t="str">
        <f ca="1">IFERROR(__xludf.DUMMYFUNCTION("""COMPUTED_VALUE"""),"T72")</f>
        <v>T72</v>
      </c>
      <c r="B75" t="str">
        <f ca="1">IFERROR(__xludf.DUMMYFUNCTION("""COMPUTED_VALUE"""),"T95")</f>
        <v>T95</v>
      </c>
      <c r="C75" t="str">
        <f ca="1">IFERROR(__xludf.DUMMYFUNCTION("""COMPUTED_VALUE"""),"William McGirt")</f>
        <v>William McGirt</v>
      </c>
      <c r="D75">
        <f ca="1">IFERROR(__xludf.DUMMYFUNCTION("""COMPUTED_VALUE"""),6)</f>
        <v>6</v>
      </c>
      <c r="E75">
        <f ca="1">IFERROR(__xludf.DUMMYFUNCTION("""COMPUTED_VALUE"""),76.85)</f>
        <v>76.849999999999994</v>
      </c>
      <c r="F75">
        <f ca="1">IFERROR(__xludf.DUMMYFUNCTION("""COMPUTED_VALUE"""),83)</f>
        <v>83</v>
      </c>
      <c r="G75">
        <f ca="1">IFERROR(__xludf.DUMMYFUNCTION("""COMPUTED_VALUE"""),108)</f>
        <v>108</v>
      </c>
      <c r="H75">
        <f ca="1">IFERROR(__xludf.DUMMYFUNCTION("""COMPUTED_VALUE"""),-20)</f>
        <v>-20</v>
      </c>
    </row>
    <row r="76" spans="1:8" ht="12.75">
      <c r="A76" t="str">
        <f ca="1">IFERROR(__xludf.DUMMYFUNCTION("""COMPUTED_VALUE"""),"T72")</f>
        <v>T72</v>
      </c>
      <c r="B76" t="str">
        <f ca="1">IFERROR(__xludf.DUMMYFUNCTION("""COMPUTED_VALUE"""),"T95")</f>
        <v>T95</v>
      </c>
      <c r="C76" t="str">
        <f ca="1">IFERROR(__xludf.DUMMYFUNCTION("""COMPUTED_VALUE"""),"Rory McIlroy")</f>
        <v>Rory McIlroy</v>
      </c>
      <c r="D76">
        <f ca="1">IFERROR(__xludf.DUMMYFUNCTION("""COMPUTED_VALUE"""),12)</f>
        <v>12</v>
      </c>
      <c r="E76">
        <f ca="1">IFERROR(__xludf.DUMMYFUNCTION("""COMPUTED_VALUE"""),76.85)</f>
        <v>76.849999999999994</v>
      </c>
      <c r="F76">
        <f ca="1">IFERROR(__xludf.DUMMYFUNCTION("""COMPUTED_VALUE"""),166)</f>
        <v>166</v>
      </c>
      <c r="G76">
        <f ca="1">IFERROR(__xludf.DUMMYFUNCTION("""COMPUTED_VALUE"""),216)</f>
        <v>216</v>
      </c>
      <c r="H76">
        <f ca="1">IFERROR(__xludf.DUMMYFUNCTION("""COMPUTED_VALUE"""),-73)</f>
        <v>-73</v>
      </c>
    </row>
    <row r="77" spans="1:8" ht="12.75">
      <c r="A77" t="str">
        <f ca="1">IFERROR(__xludf.DUMMYFUNCTION("""COMPUTED_VALUE"""),"T76")</f>
        <v>T76</v>
      </c>
      <c r="B77" t="str">
        <f ca="1">IFERROR(__xludf.DUMMYFUNCTION("""COMPUTED_VALUE"""),"T95")</f>
        <v>T95</v>
      </c>
      <c r="C77" t="str">
        <f ca="1">IFERROR(__xludf.DUMMYFUNCTION("""COMPUTED_VALUE"""),"Viktor Hovland")</f>
        <v>Viktor Hovland</v>
      </c>
      <c r="D77">
        <f ca="1">IFERROR(__xludf.DUMMYFUNCTION("""COMPUTED_VALUE"""),16)</f>
        <v>16</v>
      </c>
      <c r="E77">
        <f ca="1">IFERROR(__xludf.DUMMYFUNCTION("""COMPUTED_VALUE"""),76.74)</f>
        <v>76.739999999999995</v>
      </c>
      <c r="F77">
        <f ca="1">IFERROR(__xludf.DUMMYFUNCTION("""COMPUTED_VALUE"""),221)</f>
        <v>221</v>
      </c>
      <c r="G77">
        <f ca="1">IFERROR(__xludf.DUMMYFUNCTION("""COMPUTED_VALUE"""),288)</f>
        <v>288</v>
      </c>
      <c r="H77">
        <f ca="1">IFERROR(__xludf.DUMMYFUNCTION("""COMPUTED_VALUE"""),-65)</f>
        <v>-65</v>
      </c>
    </row>
    <row r="78" spans="1:8" ht="12.75">
      <c r="A78" t="str">
        <f ca="1">IFERROR(__xludf.DUMMYFUNCTION("""COMPUTED_VALUE"""),"T76")</f>
        <v>T76</v>
      </c>
      <c r="B78">
        <f ca="1">IFERROR(__xludf.DUMMYFUNCTION("""COMPUTED_VALUE"""),101)</f>
        <v>101</v>
      </c>
      <c r="C78" t="str">
        <f ca="1">IFERROR(__xludf.DUMMYFUNCTION("""COMPUTED_VALUE"""),"Patrick Cantlay")</f>
        <v>Patrick Cantlay</v>
      </c>
      <c r="D78">
        <f ca="1">IFERROR(__xludf.DUMMYFUNCTION("""COMPUTED_VALUE"""),16)</f>
        <v>16</v>
      </c>
      <c r="E78">
        <f ca="1">IFERROR(__xludf.DUMMYFUNCTION("""COMPUTED_VALUE"""),76.74)</f>
        <v>76.739999999999995</v>
      </c>
      <c r="F78">
        <f ca="1">IFERROR(__xludf.DUMMYFUNCTION("""COMPUTED_VALUE"""),221)</f>
        <v>221</v>
      </c>
      <c r="G78">
        <f ca="1">IFERROR(__xludf.DUMMYFUNCTION("""COMPUTED_VALUE"""),288)</f>
        <v>288</v>
      </c>
      <c r="H78">
        <f ca="1">IFERROR(__xludf.DUMMYFUNCTION("""COMPUTED_VALUE"""),-71)</f>
        <v>-71</v>
      </c>
    </row>
    <row r="79" spans="1:8" ht="12.75">
      <c r="A79" t="str">
        <f ca="1">IFERROR(__xludf.DUMMYFUNCTION("""COMPUTED_VALUE"""),"T78")</f>
        <v>T78</v>
      </c>
      <c r="B79" t="str">
        <f ca="1">IFERROR(__xludf.DUMMYFUNCTION("""COMPUTED_VALUE"""),"T68")</f>
        <v>T68</v>
      </c>
      <c r="C79" t="str">
        <f ca="1">IFERROR(__xludf.DUMMYFUNCTION("""COMPUTED_VALUE"""),"Talor Gooch")</f>
        <v>Talor Gooch</v>
      </c>
      <c r="D79">
        <f ca="1">IFERROR(__xludf.DUMMYFUNCTION("""COMPUTED_VALUE"""),20)</f>
        <v>20</v>
      </c>
      <c r="E79">
        <f ca="1">IFERROR(__xludf.DUMMYFUNCTION("""COMPUTED_VALUE"""),76.67)</f>
        <v>76.67</v>
      </c>
      <c r="F79">
        <f ca="1">IFERROR(__xludf.DUMMYFUNCTION("""COMPUTED_VALUE"""),276)</f>
        <v>276</v>
      </c>
      <c r="G79">
        <f ca="1">IFERROR(__xludf.DUMMYFUNCTION("""COMPUTED_VALUE"""),360)</f>
        <v>360</v>
      </c>
      <c r="H79">
        <f ca="1">IFERROR(__xludf.DUMMYFUNCTION("""COMPUTED_VALUE"""),-88)</f>
        <v>-88</v>
      </c>
    </row>
    <row r="80" spans="1:8" ht="12.75">
      <c r="A80" t="str">
        <f ca="1">IFERROR(__xludf.DUMMYFUNCTION("""COMPUTED_VALUE"""),"T78")</f>
        <v>T78</v>
      </c>
      <c r="B80" t="str">
        <f ca="1">IFERROR(__xludf.DUMMYFUNCTION("""COMPUTED_VALUE"""),"T39")</f>
        <v>T39</v>
      </c>
      <c r="C80" t="str">
        <f ca="1">IFERROR(__xludf.DUMMYFUNCTION("""COMPUTED_VALUE"""),"Xinjun Zhang")</f>
        <v>Xinjun Zhang</v>
      </c>
      <c r="D80">
        <f ca="1">IFERROR(__xludf.DUMMYFUNCTION("""COMPUTED_VALUE"""),14)</f>
        <v>14</v>
      </c>
      <c r="E80">
        <f ca="1">IFERROR(__xludf.DUMMYFUNCTION("""COMPUTED_VALUE"""),76.67)</f>
        <v>76.67</v>
      </c>
      <c r="F80">
        <f ca="1">IFERROR(__xludf.DUMMYFUNCTION("""COMPUTED_VALUE"""),138)</f>
        <v>138</v>
      </c>
      <c r="G80">
        <f ca="1">IFERROR(__xludf.DUMMYFUNCTION("""COMPUTED_VALUE"""),180)</f>
        <v>180</v>
      </c>
      <c r="H80">
        <f ca="1">IFERROR(__xludf.DUMMYFUNCTION("""COMPUTED_VALUE"""),-40)</f>
        <v>-40</v>
      </c>
    </row>
    <row r="81" spans="1:8" ht="12.75">
      <c r="A81" t="str">
        <f ca="1">IFERROR(__xludf.DUMMYFUNCTION("""COMPUTED_VALUE"""),"T78")</f>
        <v>T78</v>
      </c>
      <c r="B81" t="str">
        <f ca="1">IFERROR(__xludf.DUMMYFUNCTION("""COMPUTED_VALUE"""),"T21")</f>
        <v>T21</v>
      </c>
      <c r="C81" t="str">
        <f ca="1">IFERROR(__xludf.DUMMYFUNCTION("""COMPUTED_VALUE"""),"Pat Perez")</f>
        <v>Pat Perez</v>
      </c>
      <c r="D81">
        <f ca="1">IFERROR(__xludf.DUMMYFUNCTION("""COMPUTED_VALUE"""),16)</f>
        <v>16</v>
      </c>
      <c r="E81">
        <f ca="1">IFERROR(__xludf.DUMMYFUNCTION("""COMPUTED_VALUE"""),76.67)</f>
        <v>76.67</v>
      </c>
      <c r="F81">
        <f ca="1">IFERROR(__xludf.DUMMYFUNCTION("""COMPUTED_VALUE"""),138)</f>
        <v>138</v>
      </c>
      <c r="G81">
        <f ca="1">IFERROR(__xludf.DUMMYFUNCTION("""COMPUTED_VALUE"""),180)</f>
        <v>180</v>
      </c>
      <c r="H81">
        <f ca="1">IFERROR(__xludf.DUMMYFUNCTION("""COMPUTED_VALUE"""),-39)</f>
        <v>-39</v>
      </c>
    </row>
    <row r="82" spans="1:8" ht="12.75">
      <c r="A82">
        <f ca="1">IFERROR(__xludf.DUMMYFUNCTION("""COMPUTED_VALUE"""),81)</f>
        <v>81</v>
      </c>
      <c r="B82">
        <f ca="1">IFERROR(__xludf.DUMMYFUNCTION("""COMPUTED_VALUE"""),103)</f>
        <v>103</v>
      </c>
      <c r="C82" t="str">
        <f ca="1">IFERROR(__xludf.DUMMYFUNCTION("""COMPUTED_VALUE"""),"Harry Higgs")</f>
        <v>Harry Higgs</v>
      </c>
      <c r="D82">
        <f ca="1">IFERROR(__xludf.DUMMYFUNCTION("""COMPUTED_VALUE"""),14)</f>
        <v>14</v>
      </c>
      <c r="E82">
        <f ca="1">IFERROR(__xludf.DUMMYFUNCTION("""COMPUTED_VALUE"""),76.59)</f>
        <v>76.59</v>
      </c>
      <c r="F82">
        <f ca="1">IFERROR(__xludf.DUMMYFUNCTION("""COMPUTED_VALUE"""),193)</f>
        <v>193</v>
      </c>
      <c r="G82">
        <f ca="1">IFERROR(__xludf.DUMMYFUNCTION("""COMPUTED_VALUE"""),252)</f>
        <v>252</v>
      </c>
      <c r="H82">
        <f ca="1">IFERROR(__xludf.DUMMYFUNCTION("""COMPUTED_VALUE"""),-80)</f>
        <v>-80</v>
      </c>
    </row>
    <row r="83" spans="1:8" ht="12.75">
      <c r="A83">
        <f ca="1">IFERROR(__xludf.DUMMYFUNCTION("""COMPUTED_VALUE"""),82)</f>
        <v>82</v>
      </c>
      <c r="B83">
        <f ca="1">IFERROR(__xludf.DUMMYFUNCTION("""COMPUTED_VALUE"""),45)</f>
        <v>45</v>
      </c>
      <c r="C83" t="str">
        <f ca="1">IFERROR(__xludf.DUMMYFUNCTION("""COMPUTED_VALUE"""),"Scottie Scheffler")</f>
        <v>Scottie Scheffler</v>
      </c>
      <c r="D83">
        <f ca="1">IFERROR(__xludf.DUMMYFUNCTION("""COMPUTED_VALUE"""),18)</f>
        <v>18</v>
      </c>
      <c r="E83">
        <f ca="1">IFERROR(__xludf.DUMMYFUNCTION("""COMPUTED_VALUE"""),76.54)</f>
        <v>76.540000000000006</v>
      </c>
      <c r="F83">
        <f ca="1">IFERROR(__xludf.DUMMYFUNCTION("""COMPUTED_VALUE"""),248)</f>
        <v>248</v>
      </c>
      <c r="G83">
        <f ca="1">IFERROR(__xludf.DUMMYFUNCTION("""COMPUTED_VALUE"""),324)</f>
        <v>324</v>
      </c>
      <c r="H83">
        <f ca="1">IFERROR(__xludf.DUMMYFUNCTION("""COMPUTED_VALUE"""),-90)</f>
        <v>-90</v>
      </c>
    </row>
    <row r="84" spans="1:8" ht="12.75">
      <c r="A84">
        <f ca="1">IFERROR(__xludf.DUMMYFUNCTION("""COMPUTED_VALUE"""),83)</f>
        <v>83</v>
      </c>
      <c r="B84" t="str">
        <f ca="1">IFERROR(__xludf.DUMMYFUNCTION("""COMPUTED_VALUE"""),"T104")</f>
        <v>T104</v>
      </c>
      <c r="C84" t="str">
        <f ca="1">IFERROR(__xludf.DUMMYFUNCTION("""COMPUTED_VALUE"""),"Xander Schauffele")</f>
        <v>Xander Schauffele</v>
      </c>
      <c r="D84">
        <f ca="1">IFERROR(__xludf.DUMMYFUNCTION("""COMPUTED_VALUE"""),12)</f>
        <v>12</v>
      </c>
      <c r="E84">
        <f ca="1">IFERROR(__xludf.DUMMYFUNCTION("""COMPUTED_VALUE"""),76.39)</f>
        <v>76.39</v>
      </c>
      <c r="F84">
        <f ca="1">IFERROR(__xludf.DUMMYFUNCTION("""COMPUTED_VALUE"""),165)</f>
        <v>165</v>
      </c>
      <c r="G84">
        <f ca="1">IFERROR(__xludf.DUMMYFUNCTION("""COMPUTED_VALUE"""),216)</f>
        <v>216</v>
      </c>
      <c r="H84">
        <f ca="1">IFERROR(__xludf.DUMMYFUNCTION("""COMPUTED_VALUE"""),-69)</f>
        <v>-69</v>
      </c>
    </row>
    <row r="85" spans="1:8" ht="12.75">
      <c r="A85">
        <f ca="1">IFERROR(__xludf.DUMMYFUNCTION("""COMPUTED_VALUE"""),84)</f>
        <v>84</v>
      </c>
      <c r="B85" t="str">
        <f ca="1">IFERROR(__xludf.DUMMYFUNCTION("""COMPUTED_VALUE"""),"T93")</f>
        <v>T93</v>
      </c>
      <c r="C85" t="str">
        <f ca="1">IFERROR(__xludf.DUMMYFUNCTION("""COMPUTED_VALUE"""),"Corey Conners")</f>
        <v>Corey Conners</v>
      </c>
      <c r="D85">
        <f ca="1">IFERROR(__xludf.DUMMYFUNCTION("""COMPUTED_VALUE"""),20)</f>
        <v>20</v>
      </c>
      <c r="E85">
        <f ca="1">IFERROR(__xludf.DUMMYFUNCTION("""COMPUTED_VALUE"""),76.23)</f>
        <v>76.23</v>
      </c>
      <c r="F85">
        <f ca="1">IFERROR(__xludf.DUMMYFUNCTION("""COMPUTED_VALUE"""),247)</f>
        <v>247</v>
      </c>
      <c r="G85">
        <f ca="1">IFERROR(__xludf.DUMMYFUNCTION("""COMPUTED_VALUE"""),324)</f>
        <v>324</v>
      </c>
      <c r="H85">
        <f ca="1">IFERROR(__xludf.DUMMYFUNCTION("""COMPUTED_VALUE"""),-90)</f>
        <v>-90</v>
      </c>
    </row>
    <row r="86" spans="1:8" ht="12.75">
      <c r="A86">
        <f ca="1">IFERROR(__xludf.DUMMYFUNCTION("""COMPUTED_VALUE"""),85)</f>
        <v>85</v>
      </c>
      <c r="B86">
        <f ca="1">IFERROR(__xludf.DUMMYFUNCTION("""COMPUTED_VALUE"""),107)</f>
        <v>107</v>
      </c>
      <c r="C86" t="str">
        <f ca="1">IFERROR(__xludf.DUMMYFUNCTION("""COMPUTED_VALUE"""),"Byeong Hun An")</f>
        <v>Byeong Hun An</v>
      </c>
      <c r="D86">
        <f ca="1">IFERROR(__xludf.DUMMYFUNCTION("""COMPUTED_VALUE"""),14)</f>
        <v>14</v>
      </c>
      <c r="E86">
        <f ca="1">IFERROR(__xludf.DUMMYFUNCTION("""COMPUTED_VALUE"""),76.19)</f>
        <v>76.19</v>
      </c>
      <c r="F86">
        <f ca="1">IFERROR(__xludf.DUMMYFUNCTION("""COMPUTED_VALUE"""),192)</f>
        <v>192</v>
      </c>
      <c r="G86">
        <f ca="1">IFERROR(__xludf.DUMMYFUNCTION("""COMPUTED_VALUE"""),252)</f>
        <v>252</v>
      </c>
      <c r="H86">
        <f ca="1">IFERROR(__xludf.DUMMYFUNCTION("""COMPUTED_VALUE"""),-55)</f>
        <v>-55</v>
      </c>
    </row>
    <row r="87" spans="1:8" ht="12.75">
      <c r="A87">
        <f ca="1">IFERROR(__xludf.DUMMYFUNCTION("""COMPUTED_VALUE"""),86)</f>
        <v>86</v>
      </c>
      <c r="B87">
        <f ca="1">IFERROR(__xludf.DUMMYFUNCTION("""COMPUTED_VALUE"""),108)</f>
        <v>108</v>
      </c>
      <c r="C87" t="str">
        <f ca="1">IFERROR(__xludf.DUMMYFUNCTION("""COMPUTED_VALUE"""),"Rob Oppenheim")</f>
        <v>Rob Oppenheim</v>
      </c>
      <c r="D87">
        <f ca="1">IFERROR(__xludf.DUMMYFUNCTION("""COMPUTED_VALUE"""),16)</f>
        <v>16</v>
      </c>
      <c r="E87">
        <f ca="1">IFERROR(__xludf.DUMMYFUNCTION("""COMPUTED_VALUE"""),76.11)</f>
        <v>76.11</v>
      </c>
      <c r="F87">
        <f ca="1">IFERROR(__xludf.DUMMYFUNCTION("""COMPUTED_VALUE"""),137)</f>
        <v>137</v>
      </c>
      <c r="G87">
        <f ca="1">IFERROR(__xludf.DUMMYFUNCTION("""COMPUTED_VALUE"""),180)</f>
        <v>180</v>
      </c>
      <c r="H87">
        <f ca="1">IFERROR(__xludf.DUMMYFUNCTION("""COMPUTED_VALUE"""),-50)</f>
        <v>-50</v>
      </c>
    </row>
    <row r="88" spans="1:8" ht="12.75">
      <c r="A88">
        <f ca="1">IFERROR(__xludf.DUMMYFUNCTION("""COMPUTED_VALUE"""),87)</f>
        <v>87</v>
      </c>
      <c r="B88" t="str">
        <f ca="1">IFERROR(__xludf.DUMMYFUNCTION("""COMPUTED_VALUE"""),"T59")</f>
        <v>T59</v>
      </c>
      <c r="C88" t="str">
        <f ca="1">IFERROR(__xludf.DUMMYFUNCTION("""COMPUTED_VALUE"""),"C.T. Pan")</f>
        <v>C.T. Pan</v>
      </c>
      <c r="D88">
        <f ca="1">IFERROR(__xludf.DUMMYFUNCTION("""COMPUTED_VALUE"""),20)</f>
        <v>20</v>
      </c>
      <c r="E88">
        <f ca="1">IFERROR(__xludf.DUMMYFUNCTION("""COMPUTED_VALUE"""),76.04)</f>
        <v>76.040000000000006</v>
      </c>
      <c r="F88">
        <f ca="1">IFERROR(__xludf.DUMMYFUNCTION("""COMPUTED_VALUE"""),219)</f>
        <v>219</v>
      </c>
      <c r="G88">
        <f ca="1">IFERROR(__xludf.DUMMYFUNCTION("""COMPUTED_VALUE"""),288)</f>
        <v>288</v>
      </c>
      <c r="H88">
        <f ca="1">IFERROR(__xludf.DUMMYFUNCTION("""COMPUTED_VALUE"""),-64)</f>
        <v>-64</v>
      </c>
    </row>
    <row r="89" spans="1:8" ht="12.75">
      <c r="A89" t="str">
        <f ca="1">IFERROR(__xludf.DUMMYFUNCTION("""COMPUTED_VALUE"""),"T88")</f>
        <v>T88</v>
      </c>
      <c r="B89" t="str">
        <f ca="1">IFERROR(__xludf.DUMMYFUNCTION("""COMPUTED_VALUE"""),"T109")</f>
        <v>T109</v>
      </c>
      <c r="C89" t="str">
        <f ca="1">IFERROR(__xludf.DUMMYFUNCTION("""COMPUTED_VALUE"""),"Zac Blair")</f>
        <v>Zac Blair</v>
      </c>
      <c r="D89">
        <f ca="1">IFERROR(__xludf.DUMMYFUNCTION("""COMPUTED_VALUE"""),10)</f>
        <v>10</v>
      </c>
      <c r="E89">
        <f ca="1">IFERROR(__xludf.DUMMYFUNCTION("""COMPUTED_VALUE"""),75.93)</f>
        <v>75.930000000000007</v>
      </c>
      <c r="F89">
        <f ca="1">IFERROR(__xludf.DUMMYFUNCTION("""COMPUTED_VALUE"""),82)</f>
        <v>82</v>
      </c>
      <c r="G89">
        <f ca="1">IFERROR(__xludf.DUMMYFUNCTION("""COMPUTED_VALUE"""),108)</f>
        <v>108</v>
      </c>
      <c r="H89">
        <f ca="1">IFERROR(__xludf.DUMMYFUNCTION("""COMPUTED_VALUE"""),-22)</f>
        <v>-22</v>
      </c>
    </row>
    <row r="90" spans="1:8" ht="12.75">
      <c r="A90" t="str">
        <f ca="1">IFERROR(__xludf.DUMMYFUNCTION("""COMPUTED_VALUE"""),"T88")</f>
        <v>T88</v>
      </c>
      <c r="B90" t="str">
        <f ca="1">IFERROR(__xludf.DUMMYFUNCTION("""COMPUTED_VALUE"""),"T109")</f>
        <v>T109</v>
      </c>
      <c r="C90" t="str">
        <f ca="1">IFERROR(__xludf.DUMMYFUNCTION("""COMPUTED_VALUE"""),"Cameron Champ")</f>
        <v>Cameron Champ</v>
      </c>
      <c r="D90">
        <f ca="1">IFERROR(__xludf.DUMMYFUNCTION("""COMPUTED_VALUE"""),12)</f>
        <v>12</v>
      </c>
      <c r="E90">
        <f ca="1">IFERROR(__xludf.DUMMYFUNCTION("""COMPUTED_VALUE"""),75.93)</f>
        <v>75.930000000000007</v>
      </c>
      <c r="F90">
        <f ca="1">IFERROR(__xludf.DUMMYFUNCTION("""COMPUTED_VALUE"""),164)</f>
        <v>164</v>
      </c>
      <c r="G90">
        <f ca="1">IFERROR(__xludf.DUMMYFUNCTION("""COMPUTED_VALUE"""),216)</f>
        <v>216</v>
      </c>
      <c r="H90">
        <f ca="1">IFERROR(__xludf.DUMMYFUNCTION("""COMPUTED_VALUE"""),-63)</f>
        <v>-63</v>
      </c>
    </row>
    <row r="91" spans="1:8" ht="12.75">
      <c r="A91" t="str">
        <f ca="1">IFERROR(__xludf.DUMMYFUNCTION("""COMPUTED_VALUE"""),"T90")</f>
        <v>T90</v>
      </c>
      <c r="B91" t="str">
        <f ca="1">IFERROR(__xludf.DUMMYFUNCTION("""COMPUTED_VALUE"""),"T39")</f>
        <v>T39</v>
      </c>
      <c r="C91" t="str">
        <f ca="1">IFERROR(__xludf.DUMMYFUNCTION("""COMPUTED_VALUE"""),"Kristoffer Ventura")</f>
        <v>Kristoffer Ventura</v>
      </c>
      <c r="D91">
        <f ca="1">IFERROR(__xludf.DUMMYFUNCTION("""COMPUTED_VALUE"""),20)</f>
        <v>20</v>
      </c>
      <c r="E91">
        <f ca="1">IFERROR(__xludf.DUMMYFUNCTION("""COMPUTED_VALUE"""),75.79)</f>
        <v>75.790000000000006</v>
      </c>
      <c r="F91">
        <f ca="1">IFERROR(__xludf.DUMMYFUNCTION("""COMPUTED_VALUE"""),191)</f>
        <v>191</v>
      </c>
      <c r="G91">
        <f ca="1">IFERROR(__xludf.DUMMYFUNCTION("""COMPUTED_VALUE"""),252)</f>
        <v>252</v>
      </c>
      <c r="H91">
        <f ca="1">IFERROR(__xludf.DUMMYFUNCTION("""COMPUTED_VALUE"""),-67)</f>
        <v>-67</v>
      </c>
    </row>
    <row r="92" spans="1:8" ht="12.75">
      <c r="A92" t="str">
        <f ca="1">IFERROR(__xludf.DUMMYFUNCTION("""COMPUTED_VALUE"""),"T90")</f>
        <v>T90</v>
      </c>
      <c r="B92" t="str">
        <f ca="1">IFERROR(__xludf.DUMMYFUNCTION("""COMPUTED_VALUE"""),"T65")</f>
        <v>T65</v>
      </c>
      <c r="C92" t="str">
        <f ca="1">IFERROR(__xludf.DUMMYFUNCTION("""COMPUTED_VALUE"""),"Scott Piercy")</f>
        <v>Scott Piercy</v>
      </c>
      <c r="D92">
        <f ca="1">IFERROR(__xludf.DUMMYFUNCTION("""COMPUTED_VALUE"""),18)</f>
        <v>18</v>
      </c>
      <c r="E92">
        <f ca="1">IFERROR(__xludf.DUMMYFUNCTION("""COMPUTED_VALUE"""),75.79)</f>
        <v>75.790000000000006</v>
      </c>
      <c r="F92">
        <f ca="1">IFERROR(__xludf.DUMMYFUNCTION("""COMPUTED_VALUE"""),191)</f>
        <v>191</v>
      </c>
      <c r="G92">
        <f ca="1">IFERROR(__xludf.DUMMYFUNCTION("""COMPUTED_VALUE"""),252)</f>
        <v>252</v>
      </c>
      <c r="H92">
        <f ca="1">IFERROR(__xludf.DUMMYFUNCTION("""COMPUTED_VALUE"""),-60)</f>
        <v>-60</v>
      </c>
    </row>
    <row r="93" spans="1:8" ht="12.75">
      <c r="A93">
        <f ca="1">IFERROR(__xludf.DUMMYFUNCTION("""COMPUTED_VALUE"""),92)</f>
        <v>92</v>
      </c>
      <c r="B93" t="str">
        <f ca="1">IFERROR(__xludf.DUMMYFUNCTION("""COMPUTED_VALUE"""),"T113")</f>
        <v>T113</v>
      </c>
      <c r="C93" t="str">
        <f ca="1">IFERROR(__xludf.DUMMYFUNCTION("""COMPUTED_VALUE"""),"Anirban Lahiri")</f>
        <v>Anirban Lahiri</v>
      </c>
      <c r="D93">
        <f ca="1">IFERROR(__xludf.DUMMYFUNCTION("""COMPUTED_VALUE"""),16)</f>
        <v>16</v>
      </c>
      <c r="E93">
        <f ca="1">IFERROR(__xludf.DUMMYFUNCTION("""COMPUTED_VALUE"""),75.69)</f>
        <v>75.69</v>
      </c>
      <c r="F93">
        <f ca="1">IFERROR(__xludf.DUMMYFUNCTION("""COMPUTED_VALUE"""),109)</f>
        <v>109</v>
      </c>
      <c r="G93">
        <f ca="1">IFERROR(__xludf.DUMMYFUNCTION("""COMPUTED_VALUE"""),144)</f>
        <v>144</v>
      </c>
      <c r="H93">
        <f ca="1">IFERROR(__xludf.DUMMYFUNCTION("""COMPUTED_VALUE"""),-38)</f>
        <v>-38</v>
      </c>
    </row>
    <row r="94" spans="1:8" ht="12.75">
      <c r="A94" t="str">
        <f ca="1">IFERROR(__xludf.DUMMYFUNCTION("""COMPUTED_VALUE"""),"T93")</f>
        <v>T93</v>
      </c>
      <c r="B94" t="str">
        <f ca="1">IFERROR(__xludf.DUMMYFUNCTION("""COMPUTED_VALUE"""),"T95")</f>
        <v>T95</v>
      </c>
      <c r="C94" t="str">
        <f ca="1">IFERROR(__xludf.DUMMYFUNCTION("""COMPUTED_VALUE"""),"Jhonattan Vegas")</f>
        <v>Jhonattan Vegas</v>
      </c>
      <c r="D94">
        <f ca="1">IFERROR(__xludf.DUMMYFUNCTION("""COMPUTED_VALUE"""),16)</f>
        <v>16</v>
      </c>
      <c r="E94">
        <f ca="1">IFERROR(__xludf.DUMMYFUNCTION("""COMPUTED_VALUE"""),75.56)</f>
        <v>75.56</v>
      </c>
      <c r="F94">
        <f ca="1">IFERROR(__xludf.DUMMYFUNCTION("""COMPUTED_VALUE"""),136)</f>
        <v>136</v>
      </c>
      <c r="G94">
        <f ca="1">IFERROR(__xludf.DUMMYFUNCTION("""COMPUTED_VALUE"""),180)</f>
        <v>180</v>
      </c>
      <c r="H94">
        <f ca="1">IFERROR(__xludf.DUMMYFUNCTION("""COMPUTED_VALUE"""),-41)</f>
        <v>-41</v>
      </c>
    </row>
    <row r="95" spans="1:8" ht="12.75">
      <c r="A95" t="str">
        <f ca="1">IFERROR(__xludf.DUMMYFUNCTION("""COMPUTED_VALUE"""),"T93")</f>
        <v>T93</v>
      </c>
      <c r="B95" t="str">
        <f ca="1">IFERROR(__xludf.DUMMYFUNCTION("""COMPUTED_VALUE"""),"T59")</f>
        <v>T59</v>
      </c>
      <c r="C95" t="str">
        <f ca="1">IFERROR(__xludf.DUMMYFUNCTION("""COMPUTED_VALUE"""),"Luke List")</f>
        <v>Luke List</v>
      </c>
      <c r="D95">
        <f ca="1">IFERROR(__xludf.DUMMYFUNCTION("""COMPUTED_VALUE"""),18)</f>
        <v>18</v>
      </c>
      <c r="E95">
        <f ca="1">IFERROR(__xludf.DUMMYFUNCTION("""COMPUTED_VALUE"""),75.56)</f>
        <v>75.56</v>
      </c>
      <c r="F95">
        <f ca="1">IFERROR(__xludf.DUMMYFUNCTION("""COMPUTED_VALUE"""),136)</f>
        <v>136</v>
      </c>
      <c r="G95">
        <f ca="1">IFERROR(__xludf.DUMMYFUNCTION("""COMPUTED_VALUE"""),180)</f>
        <v>180</v>
      </c>
      <c r="H95">
        <f ca="1">IFERROR(__xludf.DUMMYFUNCTION("""COMPUTED_VALUE"""),-47)</f>
        <v>-47</v>
      </c>
    </row>
    <row r="96" spans="1:8" ht="12.75">
      <c r="A96" t="str">
        <f ca="1">IFERROR(__xludf.DUMMYFUNCTION("""COMPUTED_VALUE"""),"T93")</f>
        <v>T93</v>
      </c>
      <c r="B96">
        <f ca="1">IFERROR(__xludf.DUMMYFUNCTION("""COMPUTED_VALUE"""),117)</f>
        <v>117</v>
      </c>
      <c r="C96" t="str">
        <f ca="1">IFERROR(__xludf.DUMMYFUNCTION("""COMPUTED_VALUE"""),"J.B. Holmes")</f>
        <v>J.B. Holmes</v>
      </c>
      <c r="D96">
        <f ca="1">IFERROR(__xludf.DUMMYFUNCTION("""COMPUTED_VALUE"""),10)</f>
        <v>10</v>
      </c>
      <c r="E96">
        <f ca="1">IFERROR(__xludf.DUMMYFUNCTION("""COMPUTED_VALUE"""),75.56)</f>
        <v>75.56</v>
      </c>
      <c r="F96">
        <f ca="1">IFERROR(__xludf.DUMMYFUNCTION("""COMPUTED_VALUE"""),136)</f>
        <v>136</v>
      </c>
      <c r="G96">
        <f ca="1">IFERROR(__xludf.DUMMYFUNCTION("""COMPUTED_VALUE"""),180)</f>
        <v>180</v>
      </c>
      <c r="H96">
        <f ca="1">IFERROR(__xludf.DUMMYFUNCTION("""COMPUTED_VALUE"""),-46)</f>
        <v>-46</v>
      </c>
    </row>
    <row r="97" spans="1:8" ht="12.75">
      <c r="A97" t="str">
        <f ca="1">IFERROR(__xludf.DUMMYFUNCTION("""COMPUTED_VALUE"""),"T93")</f>
        <v>T93</v>
      </c>
      <c r="B97" t="str">
        <f ca="1">IFERROR(__xludf.DUMMYFUNCTION("""COMPUTED_VALUE"""),"T77")</f>
        <v>T77</v>
      </c>
      <c r="C97" t="str">
        <f ca="1">IFERROR(__xludf.DUMMYFUNCTION("""COMPUTED_VALUE"""),"Sean O'Hair")</f>
        <v>Sean O'Hair</v>
      </c>
      <c r="D97">
        <f ca="1">IFERROR(__xludf.DUMMYFUNCTION("""COMPUTED_VALUE"""),14)</f>
        <v>14</v>
      </c>
      <c r="E97">
        <f ca="1">IFERROR(__xludf.DUMMYFUNCTION("""COMPUTED_VALUE"""),75.56)</f>
        <v>75.56</v>
      </c>
      <c r="F97">
        <f ca="1">IFERROR(__xludf.DUMMYFUNCTION("""COMPUTED_VALUE"""),136)</f>
        <v>136</v>
      </c>
      <c r="G97">
        <f ca="1">IFERROR(__xludf.DUMMYFUNCTION("""COMPUTED_VALUE"""),180)</f>
        <v>180</v>
      </c>
      <c r="H97">
        <f ca="1">IFERROR(__xludf.DUMMYFUNCTION("""COMPUTED_VALUE"""),-33)</f>
        <v>-33</v>
      </c>
    </row>
    <row r="98" spans="1:8" ht="12.75">
      <c r="A98">
        <f ca="1">IFERROR(__xludf.DUMMYFUNCTION("""COMPUTED_VALUE"""),97)</f>
        <v>97</v>
      </c>
      <c r="B98" t="str">
        <f ca="1">IFERROR(__xludf.DUMMYFUNCTION("""COMPUTED_VALUE"""),"T68")</f>
        <v>T68</v>
      </c>
      <c r="C98" t="str">
        <f ca="1">IFERROR(__xludf.DUMMYFUNCTION("""COMPUTED_VALUE"""),"Nate Lashley")</f>
        <v>Nate Lashley</v>
      </c>
      <c r="D98">
        <f ca="1">IFERROR(__xludf.DUMMYFUNCTION("""COMPUTED_VALUE"""),16)</f>
        <v>16</v>
      </c>
      <c r="E98">
        <f ca="1">IFERROR(__xludf.DUMMYFUNCTION("""COMPUTED_VALUE"""),75.46)</f>
        <v>75.459999999999994</v>
      </c>
      <c r="F98">
        <f ca="1">IFERROR(__xludf.DUMMYFUNCTION("""COMPUTED_VALUE"""),163)</f>
        <v>163</v>
      </c>
      <c r="G98">
        <f ca="1">IFERROR(__xludf.DUMMYFUNCTION("""COMPUTED_VALUE"""),216)</f>
        <v>216</v>
      </c>
      <c r="H98">
        <f ca="1">IFERROR(__xludf.DUMMYFUNCTION("""COMPUTED_VALUE"""),-46)</f>
        <v>-46</v>
      </c>
    </row>
    <row r="99" spans="1:8" ht="12.75">
      <c r="A99">
        <f ca="1">IFERROR(__xludf.DUMMYFUNCTION("""COMPUTED_VALUE"""),98)</f>
        <v>98</v>
      </c>
      <c r="B99" t="str">
        <f ca="1">IFERROR(__xludf.DUMMYFUNCTION("""COMPUTED_VALUE"""),"T54")</f>
        <v>T54</v>
      </c>
      <c r="C99" t="str">
        <f ca="1">IFERROR(__xludf.DUMMYFUNCTION("""COMPUTED_VALUE"""),"Beau Hossler")</f>
        <v>Beau Hossler</v>
      </c>
      <c r="D99">
        <f ca="1">IFERROR(__xludf.DUMMYFUNCTION("""COMPUTED_VALUE"""),22)</f>
        <v>22</v>
      </c>
      <c r="E99">
        <f ca="1">IFERROR(__xludf.DUMMYFUNCTION("""COMPUTED_VALUE"""),75.4)</f>
        <v>75.400000000000006</v>
      </c>
      <c r="F99">
        <f ca="1">IFERROR(__xludf.DUMMYFUNCTION("""COMPUTED_VALUE"""),190)</f>
        <v>190</v>
      </c>
      <c r="G99">
        <f ca="1">IFERROR(__xludf.DUMMYFUNCTION("""COMPUTED_VALUE"""),252)</f>
        <v>252</v>
      </c>
      <c r="H99">
        <f ca="1">IFERROR(__xludf.DUMMYFUNCTION("""COMPUTED_VALUE"""),-68)</f>
        <v>-68</v>
      </c>
    </row>
    <row r="100" spans="1:8" ht="12.75">
      <c r="A100" t="str">
        <f ca="1">IFERROR(__xludf.DUMMYFUNCTION("""COMPUTED_VALUE"""),"T99")</f>
        <v>T99</v>
      </c>
      <c r="B100" t="str">
        <f ca="1">IFERROR(__xludf.DUMMYFUNCTION("""COMPUTED_VALUE"""),"T59")</f>
        <v>T59</v>
      </c>
      <c r="C100" t="str">
        <f ca="1">IFERROR(__xludf.DUMMYFUNCTION("""COMPUTED_VALUE"""),"Cameron Davis")</f>
        <v>Cameron Davis</v>
      </c>
      <c r="D100">
        <f ca="1">IFERROR(__xludf.DUMMYFUNCTION("""COMPUTED_VALUE"""),16)</f>
        <v>16</v>
      </c>
      <c r="E100">
        <f ca="1">IFERROR(__xludf.DUMMYFUNCTION("""COMPUTED_VALUE"""),75.35)</f>
        <v>75.349999999999994</v>
      </c>
      <c r="F100">
        <f ca="1">IFERROR(__xludf.DUMMYFUNCTION("""COMPUTED_VALUE"""),217)</f>
        <v>217</v>
      </c>
      <c r="G100">
        <f ca="1">IFERROR(__xludf.DUMMYFUNCTION("""COMPUTED_VALUE"""),288)</f>
        <v>288</v>
      </c>
      <c r="H100">
        <f ca="1">IFERROR(__xludf.DUMMYFUNCTION("""COMPUTED_VALUE"""),-80)</f>
        <v>-80</v>
      </c>
    </row>
    <row r="101" spans="1:8" ht="12.75">
      <c r="A101" t="str">
        <f ca="1">IFERROR(__xludf.DUMMYFUNCTION("""COMPUTED_VALUE"""),"T99")</f>
        <v>T99</v>
      </c>
      <c r="B101" t="str">
        <f ca="1">IFERROR(__xludf.DUMMYFUNCTION("""COMPUTED_VALUE"""),"T93")</f>
        <v>T93</v>
      </c>
      <c r="C101" t="str">
        <f ca="1">IFERROR(__xludf.DUMMYFUNCTION("""COMPUTED_VALUE"""),"Dylan Frittelli")</f>
        <v>Dylan Frittelli</v>
      </c>
      <c r="D101">
        <f ca="1">IFERROR(__xludf.DUMMYFUNCTION("""COMPUTED_VALUE"""),16)</f>
        <v>16</v>
      </c>
      <c r="E101">
        <f ca="1">IFERROR(__xludf.DUMMYFUNCTION("""COMPUTED_VALUE"""),75.35)</f>
        <v>75.349999999999994</v>
      </c>
      <c r="F101">
        <f ca="1">IFERROR(__xludf.DUMMYFUNCTION("""COMPUTED_VALUE"""),217)</f>
        <v>217</v>
      </c>
      <c r="G101">
        <f ca="1">IFERROR(__xludf.DUMMYFUNCTION("""COMPUTED_VALUE"""),288)</f>
        <v>288</v>
      </c>
      <c r="H101">
        <f ca="1">IFERROR(__xludf.DUMMYFUNCTION("""COMPUTED_VALUE"""),-73)</f>
        <v>-73</v>
      </c>
    </row>
    <row r="102" spans="1:8" ht="12.75">
      <c r="A102" t="str">
        <f ca="1">IFERROR(__xludf.DUMMYFUNCTION("""COMPUTED_VALUE"""),"T101")</f>
        <v>T101</v>
      </c>
      <c r="B102" t="str">
        <f ca="1">IFERROR(__xludf.DUMMYFUNCTION("""COMPUTED_VALUE"""),"T119")</f>
        <v>T119</v>
      </c>
      <c r="C102" t="str">
        <f ca="1">IFERROR(__xludf.DUMMYFUNCTION("""COMPUTED_VALUE"""),"Sangmoon Bae")</f>
        <v>Sangmoon Bae</v>
      </c>
      <c r="D102">
        <f ca="1">IFERROR(__xludf.DUMMYFUNCTION("""COMPUTED_VALUE"""),8)</f>
        <v>8</v>
      </c>
      <c r="E102">
        <f ca="1">IFERROR(__xludf.DUMMYFUNCTION("""COMPUTED_VALUE"""),75)</f>
        <v>75</v>
      </c>
      <c r="F102">
        <f ca="1">IFERROR(__xludf.DUMMYFUNCTION("""COMPUTED_VALUE"""),27)</f>
        <v>27</v>
      </c>
      <c r="G102">
        <f ca="1">IFERROR(__xludf.DUMMYFUNCTION("""COMPUTED_VALUE"""),36)</f>
        <v>36</v>
      </c>
      <c r="H102">
        <f ca="1">IFERROR(__xludf.DUMMYFUNCTION("""COMPUTED_VALUE"""),-2)</f>
        <v>-2</v>
      </c>
    </row>
    <row r="103" spans="1:8" ht="12.75">
      <c r="A103" t="str">
        <f ca="1">IFERROR(__xludf.DUMMYFUNCTION("""COMPUTED_VALUE"""),"T101")</f>
        <v>T101</v>
      </c>
      <c r="B103" t="str">
        <f ca="1">IFERROR(__xludf.DUMMYFUNCTION("""COMPUTED_VALUE"""),"T119")</f>
        <v>T119</v>
      </c>
      <c r="C103" t="str">
        <f ca="1">IFERROR(__xludf.DUMMYFUNCTION("""COMPUTED_VALUE"""),"Shaun Norris")</f>
        <v>Shaun Norris</v>
      </c>
      <c r="D103">
        <f ca="1">IFERROR(__xludf.DUMMYFUNCTION("""COMPUTED_VALUE"""),6)</f>
        <v>6</v>
      </c>
      <c r="E103">
        <f ca="1">IFERROR(__xludf.DUMMYFUNCTION("""COMPUTED_VALUE"""),75)</f>
        <v>75</v>
      </c>
      <c r="F103">
        <f ca="1">IFERROR(__xludf.DUMMYFUNCTION("""COMPUTED_VALUE"""),81)</f>
        <v>81</v>
      </c>
      <c r="G103">
        <f ca="1">IFERROR(__xludf.DUMMYFUNCTION("""COMPUTED_VALUE"""),108)</f>
        <v>108</v>
      </c>
      <c r="H103">
        <f ca="1">IFERROR(__xludf.DUMMYFUNCTION("""COMPUTED_VALUE"""),-30)</f>
        <v>-30</v>
      </c>
    </row>
    <row r="104" spans="1:8" ht="12.75">
      <c r="A104" t="str">
        <f ca="1">IFERROR(__xludf.DUMMYFUNCTION("""COMPUTED_VALUE"""),"T101")</f>
        <v>T101</v>
      </c>
      <c r="B104" t="str">
        <f ca="1">IFERROR(__xludf.DUMMYFUNCTION("""COMPUTED_VALUE"""),"T119")</f>
        <v>T119</v>
      </c>
      <c r="C104" t="str">
        <f ca="1">IFERROR(__xludf.DUMMYFUNCTION("""COMPUTED_VALUE"""),"Jonathan Byrd")</f>
        <v>Jonathan Byrd</v>
      </c>
      <c r="D104">
        <f ca="1">IFERROR(__xludf.DUMMYFUNCTION("""COMPUTED_VALUE"""),14)</f>
        <v>14</v>
      </c>
      <c r="E104">
        <f ca="1">IFERROR(__xludf.DUMMYFUNCTION("""COMPUTED_VALUE"""),75)</f>
        <v>75</v>
      </c>
      <c r="F104">
        <f ca="1">IFERROR(__xludf.DUMMYFUNCTION("""COMPUTED_VALUE"""),81)</f>
        <v>81</v>
      </c>
      <c r="G104">
        <f ca="1">IFERROR(__xludf.DUMMYFUNCTION("""COMPUTED_VALUE"""),108)</f>
        <v>108</v>
      </c>
      <c r="H104">
        <f ca="1">IFERROR(__xludf.DUMMYFUNCTION("""COMPUTED_VALUE"""),-15)</f>
        <v>-15</v>
      </c>
    </row>
    <row r="105" spans="1:8" ht="12.75">
      <c r="A105" t="str">
        <f ca="1">IFERROR(__xludf.DUMMYFUNCTION("""COMPUTED_VALUE"""),"T101")</f>
        <v>T101</v>
      </c>
      <c r="B105" t="str">
        <f ca="1">IFERROR(__xludf.DUMMYFUNCTION("""COMPUTED_VALUE"""),"T119")</f>
        <v>T119</v>
      </c>
      <c r="C105" t="str">
        <f ca="1">IFERROR(__xludf.DUMMYFUNCTION("""COMPUTED_VALUE"""),"Tim Wilkinson")</f>
        <v>Tim Wilkinson</v>
      </c>
      <c r="D105">
        <f ca="1">IFERROR(__xludf.DUMMYFUNCTION("""COMPUTED_VALUE"""),12)</f>
        <v>12</v>
      </c>
      <c r="E105">
        <f ca="1">IFERROR(__xludf.DUMMYFUNCTION("""COMPUTED_VALUE"""),75)</f>
        <v>75</v>
      </c>
      <c r="F105">
        <f ca="1">IFERROR(__xludf.DUMMYFUNCTION("""COMPUTED_VALUE"""),81)</f>
        <v>81</v>
      </c>
      <c r="G105">
        <f ca="1">IFERROR(__xludf.DUMMYFUNCTION("""COMPUTED_VALUE"""),108)</f>
        <v>108</v>
      </c>
      <c r="H105">
        <f ca="1">IFERROR(__xludf.DUMMYFUNCTION("""COMPUTED_VALUE"""),-20)</f>
        <v>-20</v>
      </c>
    </row>
    <row r="106" spans="1:8" ht="12.75">
      <c r="A106" t="str">
        <f ca="1">IFERROR(__xludf.DUMMYFUNCTION("""COMPUTED_VALUE"""),"T101")</f>
        <v>T101</v>
      </c>
      <c r="B106" t="str">
        <f ca="1">IFERROR(__xludf.DUMMYFUNCTION("""COMPUTED_VALUE"""),"T119")</f>
        <v>T119</v>
      </c>
      <c r="C106" t="str">
        <f ca="1">IFERROR(__xludf.DUMMYFUNCTION("""COMPUTED_VALUE"""),"Peter Malnati")</f>
        <v>Peter Malnati</v>
      </c>
      <c r="D106">
        <f ca="1">IFERROR(__xludf.DUMMYFUNCTION("""COMPUTED_VALUE"""),18)</f>
        <v>18</v>
      </c>
      <c r="E106">
        <f ca="1">IFERROR(__xludf.DUMMYFUNCTION("""COMPUTED_VALUE"""),75)</f>
        <v>75</v>
      </c>
      <c r="F106">
        <f ca="1">IFERROR(__xludf.DUMMYFUNCTION("""COMPUTED_VALUE"""),135)</f>
        <v>135</v>
      </c>
      <c r="G106">
        <f ca="1">IFERROR(__xludf.DUMMYFUNCTION("""COMPUTED_VALUE"""),180)</f>
        <v>180</v>
      </c>
      <c r="H106">
        <f ca="1">IFERROR(__xludf.DUMMYFUNCTION("""COMPUTED_VALUE"""),-59)</f>
        <v>-59</v>
      </c>
    </row>
    <row r="107" spans="1:8" ht="12.75">
      <c r="A107" t="str">
        <f ca="1">IFERROR(__xludf.DUMMYFUNCTION("""COMPUTED_VALUE"""),"T101")</f>
        <v>T101</v>
      </c>
      <c r="B107" t="str">
        <f ca="1">IFERROR(__xludf.DUMMYFUNCTION("""COMPUTED_VALUE"""),"T119")</f>
        <v>T119</v>
      </c>
      <c r="C107" t="str">
        <f ca="1">IFERROR(__xludf.DUMMYFUNCTION("""COMPUTED_VALUE"""),"Harris English")</f>
        <v>Harris English</v>
      </c>
      <c r="D107">
        <f ca="1">IFERROR(__xludf.DUMMYFUNCTION("""COMPUTED_VALUE"""),14)</f>
        <v>14</v>
      </c>
      <c r="E107">
        <f ca="1">IFERROR(__xludf.DUMMYFUNCTION("""COMPUTED_VALUE"""),75)</f>
        <v>75</v>
      </c>
      <c r="F107">
        <f ca="1">IFERROR(__xludf.DUMMYFUNCTION("""COMPUTED_VALUE"""),189)</f>
        <v>189</v>
      </c>
      <c r="G107">
        <f ca="1">IFERROR(__xludf.DUMMYFUNCTION("""COMPUTED_VALUE"""),252)</f>
        <v>252</v>
      </c>
      <c r="H107">
        <f ca="1">IFERROR(__xludf.DUMMYFUNCTION("""COMPUTED_VALUE"""),-73)</f>
        <v>-73</v>
      </c>
    </row>
    <row r="108" spans="1:8" ht="12.75">
      <c r="A108" t="str">
        <f ca="1">IFERROR(__xludf.DUMMYFUNCTION("""COMPUTED_VALUE"""),"T101")</f>
        <v>T101</v>
      </c>
      <c r="B108" t="str">
        <f ca="1">IFERROR(__xludf.DUMMYFUNCTION("""COMPUTED_VALUE"""),"T119")</f>
        <v>T119</v>
      </c>
      <c r="C108" t="str">
        <f ca="1">IFERROR(__xludf.DUMMYFUNCTION("""COMPUTED_VALUE"""),"Vincent Whaley")</f>
        <v>Vincent Whaley</v>
      </c>
      <c r="D108">
        <f ca="1">IFERROR(__xludf.DUMMYFUNCTION("""COMPUTED_VALUE"""),14)</f>
        <v>14</v>
      </c>
      <c r="E108">
        <f ca="1">IFERROR(__xludf.DUMMYFUNCTION("""COMPUTED_VALUE"""),75)</f>
        <v>75</v>
      </c>
      <c r="F108">
        <f ca="1">IFERROR(__xludf.DUMMYFUNCTION("""COMPUTED_VALUE"""),108)</f>
        <v>108</v>
      </c>
      <c r="G108">
        <f ca="1">IFERROR(__xludf.DUMMYFUNCTION("""COMPUTED_VALUE"""),144)</f>
        <v>144</v>
      </c>
      <c r="H108">
        <f ca="1">IFERROR(__xludf.DUMMYFUNCTION("""COMPUTED_VALUE"""),-33)</f>
        <v>-33</v>
      </c>
    </row>
    <row r="109" spans="1:8" ht="12.75">
      <c r="A109" t="str">
        <f ca="1">IFERROR(__xludf.DUMMYFUNCTION("""COMPUTED_VALUE"""),"T101")</f>
        <v>T101</v>
      </c>
      <c r="B109" t="str">
        <f ca="1">IFERROR(__xludf.DUMMYFUNCTION("""COMPUTED_VALUE"""),"T21")</f>
        <v>T21</v>
      </c>
      <c r="C109" t="str">
        <f ca="1">IFERROR(__xludf.DUMMYFUNCTION("""COMPUTED_VALUE"""),"Isaiah Salinda")</f>
        <v>Isaiah Salinda</v>
      </c>
      <c r="D109">
        <f ca="1">IFERROR(__xludf.DUMMYFUNCTION("""COMPUTED_VALUE"""),8)</f>
        <v>8</v>
      </c>
      <c r="E109">
        <f ca="1">IFERROR(__xludf.DUMMYFUNCTION("""COMPUTED_VALUE"""),75)</f>
        <v>75</v>
      </c>
      <c r="F109">
        <f ca="1">IFERROR(__xludf.DUMMYFUNCTION("""COMPUTED_VALUE"""),108)</f>
        <v>108</v>
      </c>
      <c r="G109">
        <f ca="1">IFERROR(__xludf.DUMMYFUNCTION("""COMPUTED_VALUE"""),144)</f>
        <v>144</v>
      </c>
      <c r="H109">
        <f ca="1">IFERROR(__xludf.DUMMYFUNCTION("""COMPUTED_VALUE"""),-25)</f>
        <v>-25</v>
      </c>
    </row>
    <row r="110" spans="1:8" ht="12.75">
      <c r="A110" t="str">
        <f ca="1">IFERROR(__xludf.DUMMYFUNCTION("""COMPUTED_VALUE"""),"T101")</f>
        <v>T101</v>
      </c>
      <c r="B110" t="str">
        <f ca="1">IFERROR(__xludf.DUMMYFUNCTION("""COMPUTED_VALUE"""),"T119")</f>
        <v>T119</v>
      </c>
      <c r="C110" t="str">
        <f ca="1">IFERROR(__xludf.DUMMYFUNCTION("""COMPUTED_VALUE"""),"Takumi Kanaya")</f>
        <v>Takumi Kanaya</v>
      </c>
      <c r="D110">
        <f ca="1">IFERROR(__xludf.DUMMYFUNCTION("""COMPUTED_VALUE"""),6)</f>
        <v>6</v>
      </c>
      <c r="E110">
        <f ca="1">IFERROR(__xludf.DUMMYFUNCTION("""COMPUTED_VALUE"""),75)</f>
        <v>75</v>
      </c>
      <c r="F110">
        <f ca="1">IFERROR(__xludf.DUMMYFUNCTION("""COMPUTED_VALUE"""),81)</f>
        <v>81</v>
      </c>
      <c r="G110">
        <f ca="1">IFERROR(__xludf.DUMMYFUNCTION("""COMPUTED_VALUE"""),108)</f>
        <v>108</v>
      </c>
      <c r="H110">
        <f ca="1">IFERROR(__xludf.DUMMYFUNCTION("""COMPUTED_VALUE"""),-24)</f>
        <v>-24</v>
      </c>
    </row>
    <row r="111" spans="1:8" ht="12.75">
      <c r="A111" t="str">
        <f ca="1">IFERROR(__xludf.DUMMYFUNCTION("""COMPUTED_VALUE"""),"T101")</f>
        <v>T101</v>
      </c>
      <c r="B111" t="str">
        <f ca="1">IFERROR(__xludf.DUMMYFUNCTION("""COMPUTED_VALUE"""),"T113")</f>
        <v>T113</v>
      </c>
      <c r="C111" t="str">
        <f ca="1">IFERROR(__xludf.DUMMYFUNCTION("""COMPUTED_VALUE"""),"Maverick McNealy")</f>
        <v>Maverick McNealy</v>
      </c>
      <c r="D111">
        <f ca="1">IFERROR(__xludf.DUMMYFUNCTION("""COMPUTED_VALUE"""),16)</f>
        <v>16</v>
      </c>
      <c r="E111">
        <f ca="1">IFERROR(__xludf.DUMMYFUNCTION("""COMPUTED_VALUE"""),75)</f>
        <v>75</v>
      </c>
      <c r="F111">
        <f ca="1">IFERROR(__xludf.DUMMYFUNCTION("""COMPUTED_VALUE"""),162)</f>
        <v>162</v>
      </c>
      <c r="G111">
        <f ca="1">IFERROR(__xludf.DUMMYFUNCTION("""COMPUTED_VALUE"""),216)</f>
        <v>216</v>
      </c>
      <c r="H111">
        <f ca="1">IFERROR(__xludf.DUMMYFUNCTION("""COMPUTED_VALUE"""),-52)</f>
        <v>-52</v>
      </c>
    </row>
    <row r="112" spans="1:8" ht="12.75">
      <c r="A112" t="str">
        <f ca="1">IFERROR(__xludf.DUMMYFUNCTION("""COMPUTED_VALUE"""),"T111")</f>
        <v>T111</v>
      </c>
      <c r="B112" t="str">
        <f ca="1">IFERROR(__xludf.DUMMYFUNCTION("""COMPUTED_VALUE"""),"T90")</f>
        <v>T90</v>
      </c>
      <c r="C112" t="str">
        <f ca="1">IFERROR(__xludf.DUMMYFUNCTION("""COMPUTED_VALUE"""),"Denny McCarthy")</f>
        <v>Denny McCarthy</v>
      </c>
      <c r="D112">
        <f ca="1">IFERROR(__xludf.DUMMYFUNCTION("""COMPUTED_VALUE"""),22)</f>
        <v>22</v>
      </c>
      <c r="E112">
        <f ca="1">IFERROR(__xludf.DUMMYFUNCTION("""COMPUTED_VALUE"""),74.6)</f>
        <v>74.599999999999994</v>
      </c>
      <c r="F112">
        <f ca="1">IFERROR(__xludf.DUMMYFUNCTION("""COMPUTED_VALUE"""),188)</f>
        <v>188</v>
      </c>
      <c r="G112">
        <f ca="1">IFERROR(__xludf.DUMMYFUNCTION("""COMPUTED_VALUE"""),252)</f>
        <v>252</v>
      </c>
      <c r="H112">
        <f ca="1">IFERROR(__xludf.DUMMYFUNCTION("""COMPUTED_VALUE"""),-59)</f>
        <v>-59</v>
      </c>
    </row>
    <row r="113" spans="1:8" ht="12.75">
      <c r="A113" t="str">
        <f ca="1">IFERROR(__xludf.DUMMYFUNCTION("""COMPUTED_VALUE"""),"T111")</f>
        <v>T111</v>
      </c>
      <c r="B113" t="str">
        <f ca="1">IFERROR(__xludf.DUMMYFUNCTION("""COMPUTED_VALUE"""),"T119")</f>
        <v>T119</v>
      </c>
      <c r="C113" t="str">
        <f ca="1">IFERROR(__xludf.DUMMYFUNCTION("""COMPUTED_VALUE"""),"Patton Kizzire")</f>
        <v>Patton Kizzire</v>
      </c>
      <c r="D113">
        <f ca="1">IFERROR(__xludf.DUMMYFUNCTION("""COMPUTED_VALUE"""),18)</f>
        <v>18</v>
      </c>
      <c r="E113">
        <f ca="1">IFERROR(__xludf.DUMMYFUNCTION("""COMPUTED_VALUE"""),74.6)</f>
        <v>74.599999999999994</v>
      </c>
      <c r="F113">
        <f ca="1">IFERROR(__xludf.DUMMYFUNCTION("""COMPUTED_VALUE"""),188)</f>
        <v>188</v>
      </c>
      <c r="G113">
        <f ca="1">IFERROR(__xludf.DUMMYFUNCTION("""COMPUTED_VALUE"""),252)</f>
        <v>252</v>
      </c>
      <c r="H113">
        <f ca="1">IFERROR(__xludf.DUMMYFUNCTION("""COMPUTED_VALUE"""),-64)</f>
        <v>-64</v>
      </c>
    </row>
    <row r="114" spans="1:8" ht="12.75">
      <c r="A114" t="str">
        <f ca="1">IFERROR(__xludf.DUMMYFUNCTION("""COMPUTED_VALUE"""),"T113")</f>
        <v>T113</v>
      </c>
      <c r="B114">
        <f ca="1">IFERROR(__xludf.DUMMYFUNCTION("""COMPUTED_VALUE"""),130)</f>
        <v>130</v>
      </c>
      <c r="C114" t="str">
        <f ca="1">IFERROR(__xludf.DUMMYFUNCTION("""COMPUTED_VALUE"""),"Webb Simpson")</f>
        <v>Webb Simpson</v>
      </c>
      <c r="D114">
        <f ca="1">IFERROR(__xludf.DUMMYFUNCTION("""COMPUTED_VALUE"""),12)</f>
        <v>12</v>
      </c>
      <c r="E114">
        <f ca="1">IFERROR(__xludf.DUMMYFUNCTION("""COMPUTED_VALUE"""),74.54)</f>
        <v>74.540000000000006</v>
      </c>
      <c r="F114">
        <f ca="1">IFERROR(__xludf.DUMMYFUNCTION("""COMPUTED_VALUE"""),161)</f>
        <v>161</v>
      </c>
      <c r="G114">
        <f ca="1">IFERROR(__xludf.DUMMYFUNCTION("""COMPUTED_VALUE"""),216)</f>
        <v>216</v>
      </c>
      <c r="H114">
        <f ca="1">IFERROR(__xludf.DUMMYFUNCTION("""COMPUTED_VALUE"""),-59)</f>
        <v>-59</v>
      </c>
    </row>
    <row r="115" spans="1:8" ht="12.75">
      <c r="A115" t="str">
        <f ca="1">IFERROR(__xludf.DUMMYFUNCTION("""COMPUTED_VALUE"""),"T113")</f>
        <v>T113</v>
      </c>
      <c r="B115">
        <f ca="1">IFERROR(__xludf.DUMMYFUNCTION("""COMPUTED_VALUE"""),102)</f>
        <v>102</v>
      </c>
      <c r="C115" t="str">
        <f ca="1">IFERROR(__xludf.DUMMYFUNCTION("""COMPUTED_VALUE"""),"Wyndham Clark")</f>
        <v>Wyndham Clark</v>
      </c>
      <c r="D115">
        <f ca="1">IFERROR(__xludf.DUMMYFUNCTION("""COMPUTED_VALUE"""),16)</f>
        <v>16</v>
      </c>
      <c r="E115">
        <f ca="1">IFERROR(__xludf.DUMMYFUNCTION("""COMPUTED_VALUE"""),74.54)</f>
        <v>74.540000000000006</v>
      </c>
      <c r="F115">
        <f ca="1">IFERROR(__xludf.DUMMYFUNCTION("""COMPUTED_VALUE"""),161)</f>
        <v>161</v>
      </c>
      <c r="G115">
        <f ca="1">IFERROR(__xludf.DUMMYFUNCTION("""COMPUTED_VALUE"""),216)</f>
        <v>216</v>
      </c>
      <c r="H115">
        <f ca="1">IFERROR(__xludf.DUMMYFUNCTION("""COMPUTED_VALUE"""),-48)</f>
        <v>-48</v>
      </c>
    </row>
    <row r="116" spans="1:8" ht="12.75">
      <c r="A116">
        <f ca="1">IFERROR(__xludf.DUMMYFUNCTION("""COMPUTED_VALUE"""),115)</f>
        <v>115</v>
      </c>
      <c r="B116" t="str">
        <f ca="1">IFERROR(__xludf.DUMMYFUNCTION("""COMPUTED_VALUE"""),"T113")</f>
        <v>T113</v>
      </c>
      <c r="C116" t="str">
        <f ca="1">IFERROR(__xludf.DUMMYFUNCTION("""COMPUTED_VALUE"""),"Bo Hoag")</f>
        <v>Bo Hoag</v>
      </c>
      <c r="D116">
        <f ca="1">IFERROR(__xludf.DUMMYFUNCTION("""COMPUTED_VALUE"""),14)</f>
        <v>14</v>
      </c>
      <c r="E116">
        <f ca="1">IFERROR(__xludf.DUMMYFUNCTION("""COMPUTED_VALUE"""),74.44)</f>
        <v>74.44</v>
      </c>
      <c r="F116">
        <f ca="1">IFERROR(__xludf.DUMMYFUNCTION("""COMPUTED_VALUE"""),134)</f>
        <v>134</v>
      </c>
      <c r="G116">
        <f ca="1">IFERROR(__xludf.DUMMYFUNCTION("""COMPUTED_VALUE"""),180)</f>
        <v>180</v>
      </c>
      <c r="H116">
        <f ca="1">IFERROR(__xludf.DUMMYFUNCTION("""COMPUTED_VALUE"""),-36)</f>
        <v>-36</v>
      </c>
    </row>
    <row r="117" spans="1:8" ht="12.75">
      <c r="A117">
        <f ca="1">IFERROR(__xludf.DUMMYFUNCTION("""COMPUTED_VALUE"""),116)</f>
        <v>116</v>
      </c>
      <c r="B117" t="str">
        <f ca="1">IFERROR(__xludf.DUMMYFUNCTION("""COMPUTED_VALUE"""),"T113")</f>
        <v>T113</v>
      </c>
      <c r="C117" t="str">
        <f ca="1">IFERROR(__xludf.DUMMYFUNCTION("""COMPUTED_VALUE"""),"Sergio Garcia")</f>
        <v>Sergio Garcia</v>
      </c>
      <c r="D117">
        <f ca="1">IFERROR(__xludf.DUMMYFUNCTION("""COMPUTED_VALUE"""),18)</f>
        <v>18</v>
      </c>
      <c r="E117">
        <f ca="1">IFERROR(__xludf.DUMMYFUNCTION("""COMPUTED_VALUE"""),74.38)</f>
        <v>74.38</v>
      </c>
      <c r="F117">
        <f ca="1">IFERROR(__xludf.DUMMYFUNCTION("""COMPUTED_VALUE"""),241)</f>
        <v>241</v>
      </c>
      <c r="G117">
        <f ca="1">IFERROR(__xludf.DUMMYFUNCTION("""COMPUTED_VALUE"""),324)</f>
        <v>324</v>
      </c>
      <c r="H117">
        <f ca="1">IFERROR(__xludf.DUMMYFUNCTION("""COMPUTED_VALUE"""),-78)</f>
        <v>-78</v>
      </c>
    </row>
    <row r="118" spans="1:8" ht="12.75">
      <c r="A118">
        <f ca="1">IFERROR(__xludf.DUMMYFUNCTION("""COMPUTED_VALUE"""),117)</f>
        <v>117</v>
      </c>
      <c r="B118">
        <f ca="1">IFERROR(__xludf.DUMMYFUNCTION("""COMPUTED_VALUE"""),2)</f>
        <v>2</v>
      </c>
      <c r="C118" t="str">
        <f ca="1">IFERROR(__xludf.DUMMYFUNCTION("""COMPUTED_VALUE"""),"John Huh")</f>
        <v>John Huh</v>
      </c>
      <c r="D118">
        <f ca="1">IFERROR(__xludf.DUMMYFUNCTION("""COMPUTED_VALUE"""),8)</f>
        <v>8</v>
      </c>
      <c r="E118">
        <f ca="1">IFERROR(__xludf.DUMMYFUNCTION("""COMPUTED_VALUE"""),74.31)</f>
        <v>74.31</v>
      </c>
      <c r="F118">
        <f ca="1">IFERROR(__xludf.DUMMYFUNCTION("""COMPUTED_VALUE"""),107)</f>
        <v>107</v>
      </c>
      <c r="G118">
        <f ca="1">IFERROR(__xludf.DUMMYFUNCTION("""COMPUTED_VALUE"""),144)</f>
        <v>144</v>
      </c>
      <c r="H118">
        <f ca="1">IFERROR(__xludf.DUMMYFUNCTION("""COMPUTED_VALUE"""),-38)</f>
        <v>-38</v>
      </c>
    </row>
    <row r="119" spans="1:8" ht="12.75">
      <c r="A119" t="str">
        <f ca="1">IFERROR(__xludf.DUMMYFUNCTION("""COMPUTED_VALUE"""),"T118")</f>
        <v>T118</v>
      </c>
      <c r="B119">
        <f ca="1">IFERROR(__xludf.DUMMYFUNCTION("""COMPUTED_VALUE"""),131)</f>
        <v>131</v>
      </c>
      <c r="C119" t="str">
        <f ca="1">IFERROR(__xludf.DUMMYFUNCTION("""COMPUTED_VALUE"""),"Matt Kuchar")</f>
        <v>Matt Kuchar</v>
      </c>
      <c r="D119">
        <f ca="1">IFERROR(__xludf.DUMMYFUNCTION("""COMPUTED_VALUE"""),14)</f>
        <v>14</v>
      </c>
      <c r="E119">
        <f ca="1">IFERROR(__xludf.DUMMYFUNCTION("""COMPUTED_VALUE"""),74.21)</f>
        <v>74.209999999999994</v>
      </c>
      <c r="F119">
        <f ca="1">IFERROR(__xludf.DUMMYFUNCTION("""COMPUTED_VALUE"""),187)</f>
        <v>187</v>
      </c>
      <c r="G119">
        <f ca="1">IFERROR(__xludf.DUMMYFUNCTION("""COMPUTED_VALUE"""),252)</f>
        <v>252</v>
      </c>
      <c r="H119">
        <f ca="1">IFERROR(__xludf.DUMMYFUNCTION("""COMPUTED_VALUE"""),-57)</f>
        <v>-57</v>
      </c>
    </row>
    <row r="120" spans="1:8" ht="12.75">
      <c r="A120" t="str">
        <f ca="1">IFERROR(__xludf.DUMMYFUNCTION("""COMPUTED_VALUE"""),"T118")</f>
        <v>T118</v>
      </c>
      <c r="B120" t="str">
        <f ca="1">IFERROR(__xludf.DUMMYFUNCTION("""COMPUTED_VALUE"""),"T90")</f>
        <v>T90</v>
      </c>
      <c r="C120" t="str">
        <f ca="1">IFERROR(__xludf.DUMMYFUNCTION("""COMPUTED_VALUE"""),"Brice Garnett")</f>
        <v>Brice Garnett</v>
      </c>
      <c r="D120">
        <f ca="1">IFERROR(__xludf.DUMMYFUNCTION("""COMPUTED_VALUE"""),22)</f>
        <v>22</v>
      </c>
      <c r="E120">
        <f ca="1">IFERROR(__xludf.DUMMYFUNCTION("""COMPUTED_VALUE"""),74.21)</f>
        <v>74.209999999999994</v>
      </c>
      <c r="F120">
        <f ca="1">IFERROR(__xludf.DUMMYFUNCTION("""COMPUTED_VALUE"""),187)</f>
        <v>187</v>
      </c>
      <c r="G120">
        <f ca="1">IFERROR(__xludf.DUMMYFUNCTION("""COMPUTED_VALUE"""),252)</f>
        <v>252</v>
      </c>
      <c r="H120">
        <f ca="1">IFERROR(__xludf.DUMMYFUNCTION("""COMPUTED_VALUE"""),-55)</f>
        <v>-55</v>
      </c>
    </row>
    <row r="121" spans="1:8" ht="12.75">
      <c r="A121">
        <f ca="1">IFERROR(__xludf.DUMMYFUNCTION("""COMPUTED_VALUE"""),120)</f>
        <v>120</v>
      </c>
      <c r="B121">
        <f ca="1">IFERROR(__xludf.DUMMYFUNCTION("""COMPUTED_VALUE"""),133)</f>
        <v>133</v>
      </c>
      <c r="C121" t="str">
        <f ca="1">IFERROR(__xludf.DUMMYFUNCTION("""COMPUTED_VALUE"""),"Abraham Ancer")</f>
        <v>Abraham Ancer</v>
      </c>
      <c r="D121">
        <f ca="1">IFERROR(__xludf.DUMMYFUNCTION("""COMPUTED_VALUE"""),16)</f>
        <v>16</v>
      </c>
      <c r="E121">
        <f ca="1">IFERROR(__xludf.DUMMYFUNCTION("""COMPUTED_VALUE"""),73.96)</f>
        <v>73.959999999999994</v>
      </c>
      <c r="F121">
        <f ca="1">IFERROR(__xludf.DUMMYFUNCTION("""COMPUTED_VALUE"""),213)</f>
        <v>213</v>
      </c>
      <c r="G121">
        <f ca="1">IFERROR(__xludf.DUMMYFUNCTION("""COMPUTED_VALUE"""),288)</f>
        <v>288</v>
      </c>
      <c r="H121">
        <f ca="1">IFERROR(__xludf.DUMMYFUNCTION("""COMPUTED_VALUE"""),-72)</f>
        <v>-72</v>
      </c>
    </row>
    <row r="122" spans="1:8" ht="12.75">
      <c r="A122" t="str">
        <f ca="1">IFERROR(__xludf.DUMMYFUNCTION("""COMPUTED_VALUE"""),"T121")</f>
        <v>T121</v>
      </c>
      <c r="B122">
        <f ca="1">IFERROR(__xludf.DUMMYFUNCTION("""COMPUTED_VALUE"""),134)</f>
        <v>134</v>
      </c>
      <c r="C122" t="str">
        <f ca="1">IFERROR(__xludf.DUMMYFUNCTION("""COMPUTED_VALUE"""),"Sebastián Muñoz")</f>
        <v>Sebastián Muñoz</v>
      </c>
      <c r="D122">
        <f ca="1">IFERROR(__xludf.DUMMYFUNCTION("""COMPUTED_VALUE"""),20)</f>
        <v>20</v>
      </c>
      <c r="E122">
        <f ca="1">IFERROR(__xludf.DUMMYFUNCTION("""COMPUTED_VALUE"""),73.89)</f>
        <v>73.89</v>
      </c>
      <c r="F122">
        <f ca="1">IFERROR(__xludf.DUMMYFUNCTION("""COMPUTED_VALUE"""),266)</f>
        <v>266</v>
      </c>
      <c r="G122">
        <f ca="1">IFERROR(__xludf.DUMMYFUNCTION("""COMPUTED_VALUE"""),360)</f>
        <v>360</v>
      </c>
      <c r="H122">
        <f ca="1">IFERROR(__xludf.DUMMYFUNCTION("""COMPUTED_VALUE"""),-98)</f>
        <v>-98</v>
      </c>
    </row>
    <row r="123" spans="1:8" ht="12.75">
      <c r="A123" t="str">
        <f ca="1">IFERROR(__xludf.DUMMYFUNCTION("""COMPUTED_VALUE"""),"T121")</f>
        <v>T121</v>
      </c>
      <c r="B123" t="str">
        <f ca="1">IFERROR(__xludf.DUMMYFUNCTION("""COMPUTED_VALUE"""),"T50")</f>
        <v>T50</v>
      </c>
      <c r="C123" t="str">
        <f ca="1">IFERROR(__xludf.DUMMYFUNCTION("""COMPUTED_VALUE"""),"Jason Dufner")</f>
        <v>Jason Dufner</v>
      </c>
      <c r="D123">
        <f ca="1">IFERROR(__xludf.DUMMYFUNCTION("""COMPUTED_VALUE"""),14)</f>
        <v>14</v>
      </c>
      <c r="E123">
        <f ca="1">IFERROR(__xludf.DUMMYFUNCTION("""COMPUTED_VALUE"""),73.89)</f>
        <v>73.89</v>
      </c>
      <c r="F123">
        <f ca="1">IFERROR(__xludf.DUMMYFUNCTION("""COMPUTED_VALUE"""),133)</f>
        <v>133</v>
      </c>
      <c r="G123">
        <f ca="1">IFERROR(__xludf.DUMMYFUNCTION("""COMPUTED_VALUE"""),180)</f>
        <v>180</v>
      </c>
      <c r="H123">
        <f ca="1">IFERROR(__xludf.DUMMYFUNCTION("""COMPUTED_VALUE"""),-40)</f>
        <v>-40</v>
      </c>
    </row>
    <row r="124" spans="1:8" ht="12.75">
      <c r="A124">
        <f ca="1">IFERROR(__xludf.DUMMYFUNCTION("""COMPUTED_VALUE"""),123)</f>
        <v>123</v>
      </c>
      <c r="B124" t="str">
        <f ca="1">IFERROR(__xludf.DUMMYFUNCTION("""COMPUTED_VALUE"""),"T152")</f>
        <v>T152</v>
      </c>
      <c r="C124" t="str">
        <f ca="1">IFERROR(__xludf.DUMMYFUNCTION("""COMPUTED_VALUE"""),"Shane Lowry")</f>
        <v>Shane Lowry</v>
      </c>
      <c r="D124">
        <f ca="1">IFERROR(__xludf.DUMMYFUNCTION("""COMPUTED_VALUE"""),14)</f>
        <v>14</v>
      </c>
      <c r="E124">
        <f ca="1">IFERROR(__xludf.DUMMYFUNCTION("""COMPUTED_VALUE"""),73.81)</f>
        <v>73.81</v>
      </c>
      <c r="F124">
        <f ca="1">IFERROR(__xludf.DUMMYFUNCTION("""COMPUTED_VALUE"""),186)</f>
        <v>186</v>
      </c>
      <c r="G124">
        <f ca="1">IFERROR(__xludf.DUMMYFUNCTION("""COMPUTED_VALUE"""),252)</f>
        <v>252</v>
      </c>
      <c r="H124">
        <f ca="1">IFERROR(__xludf.DUMMYFUNCTION("""COMPUTED_VALUE"""),-55)</f>
        <v>-55</v>
      </c>
    </row>
    <row r="125" spans="1:8" ht="12.75">
      <c r="A125">
        <f ca="1">IFERROR(__xludf.DUMMYFUNCTION("""COMPUTED_VALUE"""),124)</f>
        <v>124</v>
      </c>
      <c r="B125">
        <f ca="1">IFERROR(__xludf.DUMMYFUNCTION("""COMPUTED_VALUE"""),147)</f>
        <v>147</v>
      </c>
      <c r="C125" t="str">
        <f ca="1">IFERROR(__xludf.DUMMYFUNCTION("""COMPUTED_VALUE"""),"Hideki Matsuyama")</f>
        <v>Hideki Matsuyama</v>
      </c>
      <c r="D125">
        <f ca="1">IFERROR(__xludf.DUMMYFUNCTION("""COMPUTED_VALUE"""),18)</f>
        <v>18</v>
      </c>
      <c r="E125">
        <f ca="1">IFERROR(__xludf.DUMMYFUNCTION("""COMPUTED_VALUE"""),73.77)</f>
        <v>73.77</v>
      </c>
      <c r="F125">
        <f ca="1">IFERROR(__xludf.DUMMYFUNCTION("""COMPUTED_VALUE"""),239)</f>
        <v>239</v>
      </c>
      <c r="G125">
        <f ca="1">IFERROR(__xludf.DUMMYFUNCTION("""COMPUTED_VALUE"""),324)</f>
        <v>324</v>
      </c>
      <c r="H125">
        <f ca="1">IFERROR(__xludf.DUMMYFUNCTION("""COMPUTED_VALUE"""),-78)</f>
        <v>-78</v>
      </c>
    </row>
    <row r="126" spans="1:8" ht="12.75">
      <c r="A126" t="str">
        <f ca="1">IFERROR(__xludf.DUMMYFUNCTION("""COMPUTED_VALUE"""),"T125")</f>
        <v>T125</v>
      </c>
      <c r="B126" t="str">
        <f ca="1">IFERROR(__xludf.DUMMYFUNCTION("""COMPUTED_VALUE"""),"T54")</f>
        <v>T54</v>
      </c>
      <c r="C126" t="str">
        <f ca="1">IFERROR(__xludf.DUMMYFUNCTION("""COMPUTED_VALUE"""),"Sam Ryder")</f>
        <v>Sam Ryder</v>
      </c>
      <c r="D126">
        <f ca="1">IFERROR(__xludf.DUMMYFUNCTION("""COMPUTED_VALUE"""),12)</f>
        <v>12</v>
      </c>
      <c r="E126">
        <f ca="1">IFERROR(__xludf.DUMMYFUNCTION("""COMPUTED_VALUE"""),73.61)</f>
        <v>73.61</v>
      </c>
      <c r="F126">
        <f ca="1">IFERROR(__xludf.DUMMYFUNCTION("""COMPUTED_VALUE"""),106)</f>
        <v>106</v>
      </c>
      <c r="G126">
        <f ca="1">IFERROR(__xludf.DUMMYFUNCTION("""COMPUTED_VALUE"""),144)</f>
        <v>144</v>
      </c>
      <c r="H126">
        <f ca="1">IFERROR(__xludf.DUMMYFUNCTION("""COMPUTED_VALUE"""),-32)</f>
        <v>-32</v>
      </c>
    </row>
    <row r="127" spans="1:8" ht="12.75">
      <c r="A127" t="str">
        <f ca="1">IFERROR(__xludf.DUMMYFUNCTION("""COMPUTED_VALUE"""),"T125")</f>
        <v>T125</v>
      </c>
      <c r="B127" t="str">
        <f ca="1">IFERROR(__xludf.DUMMYFUNCTION("""COMPUTED_VALUE"""),"T109")</f>
        <v>T109</v>
      </c>
      <c r="C127" t="str">
        <f ca="1">IFERROR(__xludf.DUMMYFUNCTION("""COMPUTED_VALUE"""),"Kevin Tway")</f>
        <v>Kevin Tway</v>
      </c>
      <c r="D127">
        <f ca="1">IFERROR(__xludf.DUMMYFUNCTION("""COMPUTED_VALUE"""),16)</f>
        <v>16</v>
      </c>
      <c r="E127">
        <f ca="1">IFERROR(__xludf.DUMMYFUNCTION("""COMPUTED_VALUE"""),73.61)</f>
        <v>73.61</v>
      </c>
      <c r="F127">
        <f ca="1">IFERROR(__xludf.DUMMYFUNCTION("""COMPUTED_VALUE"""),106)</f>
        <v>106</v>
      </c>
      <c r="G127">
        <f ca="1">IFERROR(__xludf.DUMMYFUNCTION("""COMPUTED_VALUE"""),144)</f>
        <v>144</v>
      </c>
      <c r="H127">
        <f ca="1">IFERROR(__xludf.DUMMYFUNCTION("""COMPUTED_VALUE"""),-23)</f>
        <v>-23</v>
      </c>
    </row>
    <row r="128" spans="1:8" ht="12.75">
      <c r="A128" t="str">
        <f ca="1">IFERROR(__xludf.DUMMYFUNCTION("""COMPUTED_VALUE"""),"T125")</f>
        <v>T125</v>
      </c>
      <c r="B128" t="str">
        <f ca="1">IFERROR(__xludf.DUMMYFUNCTION("""COMPUTED_VALUE"""),"")</f>
        <v/>
      </c>
      <c r="C128" t="str">
        <f ca="1">IFERROR(__xludf.DUMMYFUNCTION("""COMPUTED_VALUE"""),"Padraig Harrington")</f>
        <v>Padraig Harrington</v>
      </c>
      <c r="D128">
        <f ca="1">IFERROR(__xludf.DUMMYFUNCTION("""COMPUTED_VALUE"""),8)</f>
        <v>8</v>
      </c>
      <c r="E128">
        <f ca="1">IFERROR(__xludf.DUMMYFUNCTION("""COMPUTED_VALUE"""),73.61)</f>
        <v>73.61</v>
      </c>
      <c r="F128">
        <f ca="1">IFERROR(__xludf.DUMMYFUNCTION("""COMPUTED_VALUE"""),53)</f>
        <v>53</v>
      </c>
      <c r="G128">
        <f ca="1">IFERROR(__xludf.DUMMYFUNCTION("""COMPUTED_VALUE"""),72)</f>
        <v>72</v>
      </c>
      <c r="H128">
        <f ca="1">IFERROR(__xludf.DUMMYFUNCTION("""COMPUTED_VALUE"""),-13)</f>
        <v>-13</v>
      </c>
    </row>
    <row r="129" spans="1:8" ht="12.75">
      <c r="A129" t="str">
        <f ca="1">IFERROR(__xludf.DUMMYFUNCTION("""COMPUTED_VALUE"""),"T125")</f>
        <v>T125</v>
      </c>
      <c r="B129" t="str">
        <f ca="1">IFERROR(__xludf.DUMMYFUNCTION("""COMPUTED_VALUE"""),"T136")</f>
        <v>T136</v>
      </c>
      <c r="C129" t="str">
        <f ca="1">IFERROR(__xludf.DUMMYFUNCTION("""COMPUTED_VALUE"""),"Aaron Baddeley")</f>
        <v>Aaron Baddeley</v>
      </c>
      <c r="D129">
        <f ca="1">IFERROR(__xludf.DUMMYFUNCTION("""COMPUTED_VALUE"""),8)</f>
        <v>8</v>
      </c>
      <c r="E129">
        <f ca="1">IFERROR(__xludf.DUMMYFUNCTION("""COMPUTED_VALUE"""),73.61)</f>
        <v>73.61</v>
      </c>
      <c r="F129">
        <f ca="1">IFERROR(__xludf.DUMMYFUNCTION("""COMPUTED_VALUE"""),53)</f>
        <v>53</v>
      </c>
      <c r="G129">
        <f ca="1">IFERROR(__xludf.DUMMYFUNCTION("""COMPUTED_VALUE"""),72)</f>
        <v>72</v>
      </c>
      <c r="H129">
        <f ca="1">IFERROR(__xludf.DUMMYFUNCTION("""COMPUTED_VALUE"""),-17)</f>
        <v>-17</v>
      </c>
    </row>
    <row r="130" spans="1:8" ht="12.75">
      <c r="A130">
        <f ca="1">IFERROR(__xludf.DUMMYFUNCTION("""COMPUTED_VALUE"""),129)</f>
        <v>129</v>
      </c>
      <c r="B130">
        <f ca="1">IFERROR(__xludf.DUMMYFUNCTION("""COMPUTED_VALUE"""),140)</f>
        <v>140</v>
      </c>
      <c r="C130" t="str">
        <f ca="1">IFERROR(__xludf.DUMMYFUNCTION("""COMPUTED_VALUE"""),"Kevin Na")</f>
        <v>Kevin Na</v>
      </c>
      <c r="D130">
        <f ca="1">IFERROR(__xludf.DUMMYFUNCTION("""COMPUTED_VALUE"""),14)</f>
        <v>14</v>
      </c>
      <c r="E130">
        <f ca="1">IFERROR(__xludf.DUMMYFUNCTION("""COMPUTED_VALUE"""),73.41)</f>
        <v>73.41</v>
      </c>
      <c r="F130">
        <f ca="1">IFERROR(__xludf.DUMMYFUNCTION("""COMPUTED_VALUE"""),185)</f>
        <v>185</v>
      </c>
      <c r="G130">
        <f ca="1">IFERROR(__xludf.DUMMYFUNCTION("""COMPUTED_VALUE"""),252)</f>
        <v>252</v>
      </c>
      <c r="H130">
        <f ca="1">IFERROR(__xludf.DUMMYFUNCTION("""COMPUTED_VALUE"""),-71)</f>
        <v>-71</v>
      </c>
    </row>
    <row r="131" spans="1:8" ht="12.75">
      <c r="A131">
        <f ca="1">IFERROR(__xludf.DUMMYFUNCTION("""COMPUTED_VALUE"""),130)</f>
        <v>130</v>
      </c>
      <c r="B131" t="str">
        <f ca="1">IFERROR(__xludf.DUMMYFUNCTION("""COMPUTED_VALUE"""),"T68")</f>
        <v>T68</v>
      </c>
      <c r="C131" t="str">
        <f ca="1">IFERROR(__xludf.DUMMYFUNCTION("""COMPUTED_VALUE"""),"Scott Stallings")</f>
        <v>Scott Stallings</v>
      </c>
      <c r="D131">
        <f ca="1">IFERROR(__xludf.DUMMYFUNCTION("""COMPUTED_VALUE"""),14)</f>
        <v>14</v>
      </c>
      <c r="E131">
        <f ca="1">IFERROR(__xludf.DUMMYFUNCTION("""COMPUTED_VALUE"""),73.33)</f>
        <v>73.33</v>
      </c>
      <c r="F131">
        <f ca="1">IFERROR(__xludf.DUMMYFUNCTION("""COMPUTED_VALUE"""),132)</f>
        <v>132</v>
      </c>
      <c r="G131">
        <f ca="1">IFERROR(__xludf.DUMMYFUNCTION("""COMPUTED_VALUE"""),180)</f>
        <v>180</v>
      </c>
      <c r="H131">
        <f ca="1">IFERROR(__xludf.DUMMYFUNCTION("""COMPUTED_VALUE"""),-37)</f>
        <v>-37</v>
      </c>
    </row>
    <row r="132" spans="1:8" ht="12.75">
      <c r="A132" t="str">
        <f ca="1">IFERROR(__xludf.DUMMYFUNCTION("""COMPUTED_VALUE"""),"T131")</f>
        <v>T131</v>
      </c>
      <c r="B132" t="str">
        <f ca="1">IFERROR(__xludf.DUMMYFUNCTION("""COMPUTED_VALUE"""),"T142")</f>
        <v>T142</v>
      </c>
      <c r="C132" t="str">
        <f ca="1">IFERROR(__xludf.DUMMYFUNCTION("""COMPUTED_VALUE"""),"Roger Sloan")</f>
        <v>Roger Sloan</v>
      </c>
      <c r="D132">
        <f ca="1">IFERROR(__xludf.DUMMYFUNCTION("""COMPUTED_VALUE"""),12)</f>
        <v>12</v>
      </c>
      <c r="E132">
        <f ca="1">IFERROR(__xludf.DUMMYFUNCTION("""COMPUTED_VALUE"""),73.15)</f>
        <v>73.150000000000006</v>
      </c>
      <c r="F132">
        <f ca="1">IFERROR(__xludf.DUMMYFUNCTION("""COMPUTED_VALUE"""),79)</f>
        <v>79</v>
      </c>
      <c r="G132">
        <f ca="1">IFERROR(__xludf.DUMMYFUNCTION("""COMPUTED_VALUE"""),108)</f>
        <v>108</v>
      </c>
      <c r="H132">
        <f ca="1">IFERROR(__xludf.DUMMYFUNCTION("""COMPUTED_VALUE"""),-22)</f>
        <v>-22</v>
      </c>
    </row>
    <row r="133" spans="1:8" ht="12.75">
      <c r="A133" t="str">
        <f ca="1">IFERROR(__xludf.DUMMYFUNCTION("""COMPUTED_VALUE"""),"T131")</f>
        <v>T131</v>
      </c>
      <c r="B133" t="str">
        <f ca="1">IFERROR(__xludf.DUMMYFUNCTION("""COMPUTED_VALUE"""),"T142")</f>
        <v>T142</v>
      </c>
      <c r="C133" t="str">
        <f ca="1">IFERROR(__xludf.DUMMYFUNCTION("""COMPUTED_VALUE"""),"Chan Kim")</f>
        <v>Chan Kim</v>
      </c>
      <c r="D133">
        <f ca="1">IFERROR(__xludf.DUMMYFUNCTION("""COMPUTED_VALUE"""),6)</f>
        <v>6</v>
      </c>
      <c r="E133">
        <f ca="1">IFERROR(__xludf.DUMMYFUNCTION("""COMPUTED_VALUE"""),73.15)</f>
        <v>73.150000000000006</v>
      </c>
      <c r="F133">
        <f ca="1">IFERROR(__xludf.DUMMYFUNCTION("""COMPUTED_VALUE"""),79)</f>
        <v>79</v>
      </c>
      <c r="G133">
        <f ca="1">IFERROR(__xludf.DUMMYFUNCTION("""COMPUTED_VALUE"""),108)</f>
        <v>108</v>
      </c>
      <c r="H133">
        <f ca="1">IFERROR(__xludf.DUMMYFUNCTION("""COMPUTED_VALUE"""),-18)</f>
        <v>-18</v>
      </c>
    </row>
    <row r="134" spans="1:8" ht="12.75">
      <c r="A134" t="str">
        <f ca="1">IFERROR(__xludf.DUMMYFUNCTION("""COMPUTED_VALUE"""),"T133")</f>
        <v>T133</v>
      </c>
      <c r="B134" t="str">
        <f ca="1">IFERROR(__xludf.DUMMYFUNCTION("""COMPUTED_VALUE"""),"T148")</f>
        <v>T148</v>
      </c>
      <c r="C134" t="str">
        <f ca="1">IFERROR(__xludf.DUMMYFUNCTION("""COMPUTED_VALUE"""),"Cameron Smith")</f>
        <v>Cameron Smith</v>
      </c>
      <c r="D134">
        <f ca="1">IFERROR(__xludf.DUMMYFUNCTION("""COMPUTED_VALUE"""),16)</f>
        <v>16</v>
      </c>
      <c r="E134">
        <f ca="1">IFERROR(__xludf.DUMMYFUNCTION("""COMPUTED_VALUE"""),72.92)</f>
        <v>72.92</v>
      </c>
      <c r="F134">
        <f ca="1">IFERROR(__xludf.DUMMYFUNCTION("""COMPUTED_VALUE"""),210)</f>
        <v>210</v>
      </c>
      <c r="G134">
        <f ca="1">IFERROR(__xludf.DUMMYFUNCTION("""COMPUTED_VALUE"""),288)</f>
        <v>288</v>
      </c>
      <c r="H134">
        <f ca="1">IFERROR(__xludf.DUMMYFUNCTION("""COMPUTED_VALUE"""),-85)</f>
        <v>-85</v>
      </c>
    </row>
    <row r="135" spans="1:8" ht="12.75">
      <c r="A135" t="str">
        <f ca="1">IFERROR(__xludf.DUMMYFUNCTION("""COMPUTED_VALUE"""),"T133")</f>
        <v>T133</v>
      </c>
      <c r="B135" t="str">
        <f ca="1">IFERROR(__xludf.DUMMYFUNCTION("""COMPUTED_VALUE"""),"T148")</f>
        <v>T148</v>
      </c>
      <c r="C135" t="str">
        <f ca="1">IFERROR(__xludf.DUMMYFUNCTION("""COMPUTED_VALUE"""),"Kyle Stanley")</f>
        <v>Kyle Stanley</v>
      </c>
      <c r="D135">
        <f ca="1">IFERROR(__xludf.DUMMYFUNCTION("""COMPUTED_VALUE"""),16)</f>
        <v>16</v>
      </c>
      <c r="E135">
        <f ca="1">IFERROR(__xludf.DUMMYFUNCTION("""COMPUTED_VALUE"""),72.92)</f>
        <v>72.92</v>
      </c>
      <c r="F135">
        <f ca="1">IFERROR(__xludf.DUMMYFUNCTION("""COMPUTED_VALUE"""),105)</f>
        <v>105</v>
      </c>
      <c r="G135">
        <f ca="1">IFERROR(__xludf.DUMMYFUNCTION("""COMPUTED_VALUE"""),144)</f>
        <v>144</v>
      </c>
      <c r="H135">
        <f ca="1">IFERROR(__xludf.DUMMYFUNCTION("""COMPUTED_VALUE"""),-31)</f>
        <v>-31</v>
      </c>
    </row>
    <row r="136" spans="1:8" ht="12.75">
      <c r="A136" t="str">
        <f ca="1">IFERROR(__xludf.DUMMYFUNCTION("""COMPUTED_VALUE"""),"T133")</f>
        <v>T133</v>
      </c>
      <c r="B136" t="str">
        <f ca="1">IFERROR(__xludf.DUMMYFUNCTION("""COMPUTED_VALUE"""),"T233")</f>
        <v>T233</v>
      </c>
      <c r="C136" t="str">
        <f ca="1">IFERROR(__xludf.DUMMYFUNCTION("""COMPUTED_VALUE"""),"Dustin Johnson")</f>
        <v>Dustin Johnson</v>
      </c>
      <c r="D136">
        <f ca="1">IFERROR(__xludf.DUMMYFUNCTION("""COMPUTED_VALUE"""),8)</f>
        <v>8</v>
      </c>
      <c r="E136">
        <f ca="1">IFERROR(__xludf.DUMMYFUNCTION("""COMPUTED_VALUE"""),72.92)</f>
        <v>72.92</v>
      </c>
      <c r="F136">
        <f ca="1">IFERROR(__xludf.DUMMYFUNCTION("""COMPUTED_VALUE"""),105)</f>
        <v>105</v>
      </c>
      <c r="G136">
        <f ca="1">IFERROR(__xludf.DUMMYFUNCTION("""COMPUTED_VALUE"""),144)</f>
        <v>144</v>
      </c>
      <c r="H136">
        <f ca="1">IFERROR(__xludf.DUMMYFUNCTION("""COMPUTED_VALUE"""),-28)</f>
        <v>-28</v>
      </c>
    </row>
    <row r="137" spans="1:8" ht="12.75">
      <c r="A137" t="str">
        <f ca="1">IFERROR(__xludf.DUMMYFUNCTION("""COMPUTED_VALUE"""),"T133")</f>
        <v>T133</v>
      </c>
      <c r="B137">
        <f ca="1">IFERROR(__xludf.DUMMYFUNCTION("""COMPUTED_VALUE"""),141)</f>
        <v>141</v>
      </c>
      <c r="C137" t="str">
        <f ca="1">IFERROR(__xludf.DUMMYFUNCTION("""COMPUTED_VALUE"""),"Brian Harman")</f>
        <v>Brian Harman</v>
      </c>
      <c r="D137">
        <f ca="1">IFERROR(__xludf.DUMMYFUNCTION("""COMPUTED_VALUE"""),24)</f>
        <v>24</v>
      </c>
      <c r="E137">
        <f ca="1">IFERROR(__xludf.DUMMYFUNCTION("""COMPUTED_VALUE"""),72.92)</f>
        <v>72.92</v>
      </c>
      <c r="F137">
        <f ca="1">IFERROR(__xludf.DUMMYFUNCTION("""COMPUTED_VALUE"""),315)</f>
        <v>315</v>
      </c>
      <c r="G137">
        <f ca="1">IFERROR(__xludf.DUMMYFUNCTION("""COMPUTED_VALUE"""),432)</f>
        <v>432</v>
      </c>
      <c r="H137">
        <f ca="1">IFERROR(__xludf.DUMMYFUNCTION("""COMPUTED_VALUE"""),-103)</f>
        <v>-103</v>
      </c>
    </row>
    <row r="138" spans="1:8" ht="12.75">
      <c r="A138">
        <f ca="1">IFERROR(__xludf.DUMMYFUNCTION("""COMPUTED_VALUE"""),137)</f>
        <v>137</v>
      </c>
      <c r="B138">
        <f ca="1">IFERROR(__xludf.DUMMYFUNCTION("""COMPUTED_VALUE"""),135)</f>
        <v>135</v>
      </c>
      <c r="C138" t="str">
        <f ca="1">IFERROR(__xludf.DUMMYFUNCTION("""COMPUTED_VALUE"""),"J.T. Poston")</f>
        <v>J.T. Poston</v>
      </c>
      <c r="D138">
        <f ca="1">IFERROR(__xludf.DUMMYFUNCTION("""COMPUTED_VALUE"""),18)</f>
        <v>18</v>
      </c>
      <c r="E138">
        <f ca="1">IFERROR(__xludf.DUMMYFUNCTION("""COMPUTED_VALUE"""),72.84)</f>
        <v>72.84</v>
      </c>
      <c r="F138">
        <f ca="1">IFERROR(__xludf.DUMMYFUNCTION("""COMPUTED_VALUE"""),236)</f>
        <v>236</v>
      </c>
      <c r="G138">
        <f ca="1">IFERROR(__xludf.DUMMYFUNCTION("""COMPUTED_VALUE"""),324)</f>
        <v>324</v>
      </c>
      <c r="H138">
        <f ca="1">IFERROR(__xludf.DUMMYFUNCTION("""COMPUTED_VALUE"""),-79)</f>
        <v>-79</v>
      </c>
    </row>
    <row r="139" spans="1:8" ht="12.75">
      <c r="A139">
        <f ca="1">IFERROR(__xludf.DUMMYFUNCTION("""COMPUTED_VALUE"""),138)</f>
        <v>138</v>
      </c>
      <c r="B139" t="str">
        <f ca="1">IFERROR(__xludf.DUMMYFUNCTION("""COMPUTED_VALUE"""),"T104")</f>
        <v>T104</v>
      </c>
      <c r="C139" t="str">
        <f ca="1">IFERROR(__xludf.DUMMYFUNCTION("""COMPUTED_VALUE"""),"Tony Finau")</f>
        <v>Tony Finau</v>
      </c>
      <c r="D139">
        <f ca="1">IFERROR(__xludf.DUMMYFUNCTION("""COMPUTED_VALUE"""),12)</f>
        <v>12</v>
      </c>
      <c r="E139">
        <f ca="1">IFERROR(__xludf.DUMMYFUNCTION("""COMPUTED_VALUE"""),72.69)</f>
        <v>72.69</v>
      </c>
      <c r="F139">
        <f ca="1">IFERROR(__xludf.DUMMYFUNCTION("""COMPUTED_VALUE"""),157)</f>
        <v>157</v>
      </c>
      <c r="G139">
        <f ca="1">IFERROR(__xludf.DUMMYFUNCTION("""COMPUTED_VALUE"""),216)</f>
        <v>216</v>
      </c>
      <c r="H139">
        <f ca="1">IFERROR(__xludf.DUMMYFUNCTION("""COMPUTED_VALUE"""),-58)</f>
        <v>-58</v>
      </c>
    </row>
    <row r="140" spans="1:8" ht="12.75">
      <c r="A140">
        <f ca="1">IFERROR(__xludf.DUMMYFUNCTION("""COMPUTED_VALUE"""),139)</f>
        <v>139</v>
      </c>
      <c r="B140" t="str">
        <f ca="1">IFERROR(__xludf.DUMMYFUNCTION("""COMPUTED_VALUE"""),"T152")</f>
        <v>T152</v>
      </c>
      <c r="C140" t="str">
        <f ca="1">IFERROR(__xludf.DUMMYFUNCTION("""COMPUTED_VALUE"""),"Tyrrell Hatton")</f>
        <v>Tyrrell Hatton</v>
      </c>
      <c r="D140">
        <f ca="1">IFERROR(__xludf.DUMMYFUNCTION("""COMPUTED_VALUE"""),14)</f>
        <v>14</v>
      </c>
      <c r="E140">
        <f ca="1">IFERROR(__xludf.DUMMYFUNCTION("""COMPUTED_VALUE"""),72.62)</f>
        <v>72.62</v>
      </c>
      <c r="F140">
        <f ca="1">IFERROR(__xludf.DUMMYFUNCTION("""COMPUTED_VALUE"""),183)</f>
        <v>183</v>
      </c>
      <c r="G140">
        <f ca="1">IFERROR(__xludf.DUMMYFUNCTION("""COMPUTED_VALUE"""),252)</f>
        <v>252</v>
      </c>
      <c r="H140">
        <f ca="1">IFERROR(__xludf.DUMMYFUNCTION("""COMPUTED_VALUE"""),-69)</f>
        <v>-69</v>
      </c>
    </row>
    <row r="141" spans="1:8" ht="12.75">
      <c r="A141">
        <f ca="1">IFERROR(__xludf.DUMMYFUNCTION("""COMPUTED_VALUE"""),140)</f>
        <v>140</v>
      </c>
      <c r="B141">
        <f ca="1">IFERROR(__xludf.DUMMYFUNCTION("""COMPUTED_VALUE"""),184)</f>
        <v>184</v>
      </c>
      <c r="C141" t="str">
        <f ca="1">IFERROR(__xludf.DUMMYFUNCTION("""COMPUTED_VALUE"""),"Jason Day")</f>
        <v>Jason Day</v>
      </c>
      <c r="D141">
        <f ca="1">IFERROR(__xludf.DUMMYFUNCTION("""COMPUTED_VALUE"""),17)</f>
        <v>17</v>
      </c>
      <c r="E141">
        <f ca="1">IFERROR(__xludf.DUMMYFUNCTION("""COMPUTED_VALUE"""),72.55)</f>
        <v>72.55</v>
      </c>
      <c r="F141">
        <f ca="1">IFERROR(__xludf.DUMMYFUNCTION("""COMPUTED_VALUE"""),222)</f>
        <v>222</v>
      </c>
      <c r="G141">
        <f ca="1">IFERROR(__xludf.DUMMYFUNCTION("""COMPUTED_VALUE"""),306)</f>
        <v>306</v>
      </c>
      <c r="H141">
        <f ca="1">IFERROR(__xludf.DUMMYFUNCTION("""COMPUTED_VALUE"""),-68)</f>
        <v>-68</v>
      </c>
    </row>
    <row r="142" spans="1:8" ht="12.75">
      <c r="A142" t="str">
        <f ca="1">IFERROR(__xludf.DUMMYFUNCTION("""COMPUTED_VALUE"""),"T141")</f>
        <v>T141</v>
      </c>
      <c r="B142" t="str">
        <f ca="1">IFERROR(__xludf.DUMMYFUNCTION("""COMPUTED_VALUE"""),"T156")</f>
        <v>T156</v>
      </c>
      <c r="C142" t="str">
        <f ca="1">IFERROR(__xludf.DUMMYFUNCTION("""COMPUTED_VALUE"""),"Chris Baker")</f>
        <v>Chris Baker</v>
      </c>
      <c r="D142">
        <f ca="1">IFERROR(__xludf.DUMMYFUNCTION("""COMPUTED_VALUE"""),8)</f>
        <v>8</v>
      </c>
      <c r="E142">
        <f ca="1">IFERROR(__xludf.DUMMYFUNCTION("""COMPUTED_VALUE"""),72.22)</f>
        <v>72.22</v>
      </c>
      <c r="F142">
        <f ca="1">IFERROR(__xludf.DUMMYFUNCTION("""COMPUTED_VALUE"""),52)</f>
        <v>52</v>
      </c>
      <c r="G142">
        <f ca="1">IFERROR(__xludf.DUMMYFUNCTION("""COMPUTED_VALUE"""),72)</f>
        <v>72</v>
      </c>
      <c r="H142">
        <f ca="1">IFERROR(__xludf.DUMMYFUNCTION("""COMPUTED_VALUE"""),-10)</f>
        <v>-10</v>
      </c>
    </row>
    <row r="143" spans="1:8" ht="12.75">
      <c r="A143" t="str">
        <f ca="1">IFERROR(__xludf.DUMMYFUNCTION("""COMPUTED_VALUE"""),"T141")</f>
        <v>T141</v>
      </c>
      <c r="B143" t="str">
        <f ca="1">IFERROR(__xludf.DUMMYFUNCTION("""COMPUTED_VALUE"""),"")</f>
        <v/>
      </c>
      <c r="C143" t="str">
        <f ca="1">IFERROR(__xludf.DUMMYFUNCTION("""COMPUTED_VALUE"""),"Francesco Molinari")</f>
        <v>Francesco Molinari</v>
      </c>
      <c r="D143">
        <f ca="1">IFERROR(__xludf.DUMMYFUNCTION("""COMPUTED_VALUE"""),6)</f>
        <v>6</v>
      </c>
      <c r="E143">
        <f ca="1">IFERROR(__xludf.DUMMYFUNCTION("""COMPUTED_VALUE"""),72.22)</f>
        <v>72.22</v>
      </c>
      <c r="F143">
        <f ca="1">IFERROR(__xludf.DUMMYFUNCTION("""COMPUTED_VALUE"""),78)</f>
        <v>78</v>
      </c>
      <c r="G143">
        <f ca="1">IFERROR(__xludf.DUMMYFUNCTION("""COMPUTED_VALUE"""),108)</f>
        <v>108</v>
      </c>
      <c r="H143">
        <f ca="1">IFERROR(__xludf.DUMMYFUNCTION("""COMPUTED_VALUE"""),-23)</f>
        <v>-23</v>
      </c>
    </row>
    <row r="144" spans="1:8" ht="12.75">
      <c r="A144" t="str">
        <f ca="1">IFERROR(__xludf.DUMMYFUNCTION("""COMPUTED_VALUE"""),"T141")</f>
        <v>T141</v>
      </c>
      <c r="B144" t="str">
        <f ca="1">IFERROR(__xludf.DUMMYFUNCTION("""COMPUTED_VALUE"""),"T148")</f>
        <v>T148</v>
      </c>
      <c r="C144" t="str">
        <f ca="1">IFERROR(__xludf.DUMMYFUNCTION("""COMPUTED_VALUE"""),"Matt Jones")</f>
        <v>Matt Jones</v>
      </c>
      <c r="D144">
        <f ca="1">IFERROR(__xludf.DUMMYFUNCTION("""COMPUTED_VALUE"""),20)</f>
        <v>20</v>
      </c>
      <c r="E144">
        <f ca="1">IFERROR(__xludf.DUMMYFUNCTION("""COMPUTED_VALUE"""),72.22)</f>
        <v>72.22</v>
      </c>
      <c r="F144">
        <f ca="1">IFERROR(__xludf.DUMMYFUNCTION("""COMPUTED_VALUE"""),156)</f>
        <v>156</v>
      </c>
      <c r="G144">
        <f ca="1">IFERROR(__xludf.DUMMYFUNCTION("""COMPUTED_VALUE"""),216)</f>
        <v>216</v>
      </c>
      <c r="H144">
        <f ca="1">IFERROR(__xludf.DUMMYFUNCTION("""COMPUTED_VALUE"""),-34)</f>
        <v>-34</v>
      </c>
    </row>
    <row r="145" spans="1:8" ht="12.75">
      <c r="A145" t="str">
        <f ca="1">IFERROR(__xludf.DUMMYFUNCTION("""COMPUTED_VALUE"""),"T141")</f>
        <v>T141</v>
      </c>
      <c r="B145" t="str">
        <f ca="1">IFERROR(__xludf.DUMMYFUNCTION("""COMPUTED_VALUE"""),"T156")</f>
        <v>T156</v>
      </c>
      <c r="C145" t="str">
        <f ca="1">IFERROR(__xludf.DUMMYFUNCTION("""COMPUTED_VALUE"""),"Brian Gay")</f>
        <v>Brian Gay</v>
      </c>
      <c r="D145">
        <f ca="1">IFERROR(__xludf.DUMMYFUNCTION("""COMPUTED_VALUE"""),8)</f>
        <v>8</v>
      </c>
      <c r="E145">
        <f ca="1">IFERROR(__xludf.DUMMYFUNCTION("""COMPUTED_VALUE"""),72.22)</f>
        <v>72.22</v>
      </c>
      <c r="F145">
        <f ca="1">IFERROR(__xludf.DUMMYFUNCTION("""COMPUTED_VALUE"""),52)</f>
        <v>52</v>
      </c>
      <c r="G145">
        <f ca="1">IFERROR(__xludf.DUMMYFUNCTION("""COMPUTED_VALUE"""),72)</f>
        <v>72</v>
      </c>
      <c r="H145">
        <f ca="1">IFERROR(__xludf.DUMMYFUNCTION("""COMPUTED_VALUE"""),-18)</f>
        <v>-18</v>
      </c>
    </row>
    <row r="146" spans="1:8" ht="12.75">
      <c r="A146" t="str">
        <f ca="1">IFERROR(__xludf.DUMMYFUNCTION("""COMPUTED_VALUE"""),"T141")</f>
        <v>T141</v>
      </c>
      <c r="B146" t="str">
        <f ca="1">IFERROR(__xludf.DUMMYFUNCTION("""COMPUTED_VALUE"""),"T12")</f>
        <v>T12</v>
      </c>
      <c r="C146" t="str">
        <f ca="1">IFERROR(__xludf.DUMMYFUNCTION("""COMPUTED_VALUE"""),"Bo Van Pelt")</f>
        <v>Bo Van Pelt</v>
      </c>
      <c r="D146">
        <f ca="1">IFERROR(__xludf.DUMMYFUNCTION("""COMPUTED_VALUE"""),10)</f>
        <v>10</v>
      </c>
      <c r="E146">
        <f ca="1">IFERROR(__xludf.DUMMYFUNCTION("""COMPUTED_VALUE"""),72.22)</f>
        <v>72.22</v>
      </c>
      <c r="F146">
        <f ca="1">IFERROR(__xludf.DUMMYFUNCTION("""COMPUTED_VALUE"""),78)</f>
        <v>78</v>
      </c>
      <c r="G146">
        <f ca="1">IFERROR(__xludf.DUMMYFUNCTION("""COMPUTED_VALUE"""),108)</f>
        <v>108</v>
      </c>
      <c r="H146">
        <f ca="1">IFERROR(__xludf.DUMMYFUNCTION("""COMPUTED_VALUE"""),-19)</f>
        <v>-19</v>
      </c>
    </row>
    <row r="147" spans="1:8" ht="12.75">
      <c r="A147" t="str">
        <f ca="1">IFERROR(__xludf.DUMMYFUNCTION("""COMPUTED_VALUE"""),"T141")</f>
        <v>T141</v>
      </c>
      <c r="B147" t="str">
        <f ca="1">IFERROR(__xludf.DUMMYFUNCTION("""COMPUTED_VALUE"""),"T156")</f>
        <v>T156</v>
      </c>
      <c r="C147" t="str">
        <f ca="1">IFERROR(__xludf.DUMMYFUNCTION("""COMPUTED_VALUE"""),"George McNeill")</f>
        <v>George McNeill</v>
      </c>
      <c r="D147">
        <f ca="1">IFERROR(__xludf.DUMMYFUNCTION("""COMPUTED_VALUE"""),8)</f>
        <v>8</v>
      </c>
      <c r="E147">
        <f ca="1">IFERROR(__xludf.DUMMYFUNCTION("""COMPUTED_VALUE"""),72.22)</f>
        <v>72.22</v>
      </c>
      <c r="F147">
        <f ca="1">IFERROR(__xludf.DUMMYFUNCTION("""COMPUTED_VALUE"""),26)</f>
        <v>26</v>
      </c>
      <c r="G147">
        <f ca="1">IFERROR(__xludf.DUMMYFUNCTION("""COMPUTED_VALUE"""),36)</f>
        <v>36</v>
      </c>
      <c r="H147">
        <f ca="1">IFERROR(__xludf.DUMMYFUNCTION("""COMPUTED_VALUE"""),-2)</f>
        <v>-2</v>
      </c>
    </row>
    <row r="148" spans="1:8" ht="12.75">
      <c r="A148" t="str">
        <f ca="1">IFERROR(__xludf.DUMMYFUNCTION("""COMPUTED_VALUE"""),"T141")</f>
        <v>T141</v>
      </c>
      <c r="B148" t="str">
        <f ca="1">IFERROR(__xludf.DUMMYFUNCTION("""COMPUTED_VALUE"""),"T95")</f>
        <v>T95</v>
      </c>
      <c r="C148" t="str">
        <f ca="1">IFERROR(__xludf.DUMMYFUNCTION("""COMPUTED_VALUE"""),"Grayson Murray")</f>
        <v>Grayson Murray</v>
      </c>
      <c r="D148">
        <f ca="1">IFERROR(__xludf.DUMMYFUNCTION("""COMPUTED_VALUE"""),10)</f>
        <v>10</v>
      </c>
      <c r="E148">
        <f ca="1">IFERROR(__xludf.DUMMYFUNCTION("""COMPUTED_VALUE"""),72.22)</f>
        <v>72.22</v>
      </c>
      <c r="F148">
        <f ca="1">IFERROR(__xludf.DUMMYFUNCTION("""COMPUTED_VALUE"""),104)</f>
        <v>104</v>
      </c>
      <c r="G148">
        <f ca="1">IFERROR(__xludf.DUMMYFUNCTION("""COMPUTED_VALUE"""),144)</f>
        <v>144</v>
      </c>
      <c r="H148">
        <f ca="1">IFERROR(__xludf.DUMMYFUNCTION("""COMPUTED_VALUE"""),-27)</f>
        <v>-27</v>
      </c>
    </row>
    <row r="149" spans="1:8" ht="12.75">
      <c r="A149" t="str">
        <f ca="1">IFERROR(__xludf.DUMMYFUNCTION("""COMPUTED_VALUE"""),"T141")</f>
        <v>T141</v>
      </c>
      <c r="B149">
        <f ca="1">IFERROR(__xludf.DUMMYFUNCTION("""COMPUTED_VALUE"""),132)</f>
        <v>132</v>
      </c>
      <c r="C149" t="str">
        <f ca="1">IFERROR(__xludf.DUMMYFUNCTION("""COMPUTED_VALUE"""),"Si Woo Kim")</f>
        <v>Si Woo Kim</v>
      </c>
      <c r="D149">
        <f ca="1">IFERROR(__xludf.DUMMYFUNCTION("""COMPUTED_VALUE"""),20)</f>
        <v>20</v>
      </c>
      <c r="E149">
        <f ca="1">IFERROR(__xludf.DUMMYFUNCTION("""COMPUTED_VALUE"""),72.22)</f>
        <v>72.22</v>
      </c>
      <c r="F149">
        <f ca="1">IFERROR(__xludf.DUMMYFUNCTION("""COMPUTED_VALUE"""),260)</f>
        <v>260</v>
      </c>
      <c r="G149">
        <f ca="1">IFERROR(__xludf.DUMMYFUNCTION("""COMPUTED_VALUE"""),360)</f>
        <v>360</v>
      </c>
      <c r="H149">
        <f ca="1">IFERROR(__xludf.DUMMYFUNCTION("""COMPUTED_VALUE"""),-90)</f>
        <v>-90</v>
      </c>
    </row>
    <row r="150" spans="1:8" ht="12.75">
      <c r="A150" t="str">
        <f ca="1">IFERROR(__xludf.DUMMYFUNCTION("""COMPUTED_VALUE"""),"T141")</f>
        <v>T141</v>
      </c>
      <c r="B150" t="str">
        <f ca="1">IFERROR(__xludf.DUMMYFUNCTION("""COMPUTED_VALUE"""),"T156")</f>
        <v>T156</v>
      </c>
      <c r="C150" t="str">
        <f ca="1">IFERROR(__xludf.DUMMYFUNCTION("""COMPUTED_VALUE"""),"Michael Gellerman")</f>
        <v>Michael Gellerman</v>
      </c>
      <c r="D150">
        <f ca="1">IFERROR(__xludf.DUMMYFUNCTION("""COMPUTED_VALUE"""),5)</f>
        <v>5</v>
      </c>
      <c r="E150">
        <f ca="1">IFERROR(__xludf.DUMMYFUNCTION("""COMPUTED_VALUE"""),72.22)</f>
        <v>72.22</v>
      </c>
      <c r="F150">
        <f ca="1">IFERROR(__xludf.DUMMYFUNCTION("""COMPUTED_VALUE"""),26)</f>
        <v>26</v>
      </c>
      <c r="G150">
        <f ca="1">IFERROR(__xludf.DUMMYFUNCTION("""COMPUTED_VALUE"""),36)</f>
        <v>36</v>
      </c>
      <c r="H150">
        <f ca="1">IFERROR(__xludf.DUMMYFUNCTION("""COMPUTED_VALUE"""),-5)</f>
        <v>-5</v>
      </c>
    </row>
    <row r="151" spans="1:8" ht="12.75">
      <c r="A151">
        <f ca="1">IFERROR(__xludf.DUMMYFUNCTION("""COMPUTED_VALUE"""),150)</f>
        <v>150</v>
      </c>
      <c r="B151">
        <f ca="1">IFERROR(__xludf.DUMMYFUNCTION("""COMPUTED_VALUE"""),145)</f>
        <v>145</v>
      </c>
      <c r="C151" t="str">
        <f ca="1">IFERROR(__xludf.DUMMYFUNCTION("""COMPUTED_VALUE"""),"Andrew Putnam")</f>
        <v>Andrew Putnam</v>
      </c>
      <c r="D151">
        <f ca="1">IFERROR(__xludf.DUMMYFUNCTION("""COMPUTED_VALUE"""),19)</f>
        <v>19</v>
      </c>
      <c r="E151">
        <f ca="1">IFERROR(__xludf.DUMMYFUNCTION("""COMPUTED_VALUE"""),71.85)</f>
        <v>71.849999999999994</v>
      </c>
      <c r="F151">
        <f ca="1">IFERROR(__xludf.DUMMYFUNCTION("""COMPUTED_VALUE"""),194)</f>
        <v>194</v>
      </c>
      <c r="G151">
        <f ca="1">IFERROR(__xludf.DUMMYFUNCTION("""COMPUTED_VALUE"""),270)</f>
        <v>270</v>
      </c>
      <c r="H151">
        <f ca="1">IFERROR(__xludf.DUMMYFUNCTION("""COMPUTED_VALUE"""),-52)</f>
        <v>-52</v>
      </c>
    </row>
    <row r="152" spans="1:8" ht="12.75">
      <c r="A152">
        <f ca="1">IFERROR(__xludf.DUMMYFUNCTION("""COMPUTED_VALUE"""),151)</f>
        <v>151</v>
      </c>
      <c r="B152" t="str">
        <f ca="1">IFERROR(__xludf.DUMMYFUNCTION("""COMPUTED_VALUE"""),"T142")</f>
        <v>T142</v>
      </c>
      <c r="C152" t="str">
        <f ca="1">IFERROR(__xludf.DUMMYFUNCTION("""COMPUTED_VALUE"""),"Robby Shelton")</f>
        <v>Robby Shelton</v>
      </c>
      <c r="D152">
        <f ca="1">IFERROR(__xludf.DUMMYFUNCTION("""COMPUTED_VALUE"""),14)</f>
        <v>14</v>
      </c>
      <c r="E152">
        <f ca="1">IFERROR(__xludf.DUMMYFUNCTION("""COMPUTED_VALUE"""),71.83)</f>
        <v>71.83</v>
      </c>
      <c r="F152">
        <f ca="1">IFERROR(__xludf.DUMMYFUNCTION("""COMPUTED_VALUE"""),181)</f>
        <v>181</v>
      </c>
      <c r="G152">
        <f ca="1">IFERROR(__xludf.DUMMYFUNCTION("""COMPUTED_VALUE"""),252)</f>
        <v>252</v>
      </c>
      <c r="H152">
        <f ca="1">IFERROR(__xludf.DUMMYFUNCTION("""COMPUTED_VALUE"""),-49)</f>
        <v>-49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IFERROR(__xludf.DUMMYFUNCTION("""COMPUTED_VALUE"""),"T162")</f>
        <v>T162</v>
      </c>
      <c r="C153" t="str">
        <f ca="1">IFERROR(__xludf.DUMMYFUNCTION("""COMPUTED_VALUE"""),"Justin Thomas")</f>
        <v>Justin Thomas</v>
      </c>
      <c r="D153">
        <f ca="1">IFERROR(__xludf.DUMMYFUNCTION("""COMPUTED_VALUE"""),12)</f>
        <v>12</v>
      </c>
      <c r="E153">
        <f ca="1">IFERROR(__xludf.DUMMYFUNCTION("""COMPUTED_VALUE"""),71.76)</f>
        <v>71.760000000000005</v>
      </c>
      <c r="F153">
        <f ca="1">IFERROR(__xludf.DUMMYFUNCTION("""COMPUTED_VALUE"""),155)</f>
        <v>155</v>
      </c>
      <c r="G153">
        <f ca="1">IFERROR(__xludf.DUMMYFUNCTION("""COMPUTED_VALUE"""),216)</f>
        <v>216</v>
      </c>
      <c r="H153">
        <f ca="1">IFERROR(__xludf.DUMMYFUNCTION("""COMPUTED_VALUE"""),-67)</f>
        <v>-67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IFERROR(__xludf.DUMMYFUNCTION("""COMPUTED_VALUE"""),"T162")</f>
        <v>T162</v>
      </c>
      <c r="C154" t="str">
        <f ca="1">IFERROR(__xludf.DUMMYFUNCTION("""COMPUTED_VALUE"""),"Jim Herman")</f>
        <v>Jim Herman</v>
      </c>
      <c r="D154">
        <f ca="1">IFERROR(__xludf.DUMMYFUNCTION("""COMPUTED_VALUE"""),12)</f>
        <v>12</v>
      </c>
      <c r="E154">
        <f ca="1">IFERROR(__xludf.DUMMYFUNCTION("""COMPUTED_VALUE"""),71.76)</f>
        <v>71.760000000000005</v>
      </c>
      <c r="F154">
        <f ca="1">IFERROR(__xludf.DUMMYFUNCTION("""COMPUTED_VALUE"""),155)</f>
        <v>155</v>
      </c>
      <c r="G154">
        <f ca="1">IFERROR(__xludf.DUMMYFUNCTION("""COMPUTED_VALUE"""),216)</f>
        <v>216</v>
      </c>
      <c r="H154">
        <f ca="1">IFERROR(__xludf.DUMMYFUNCTION("""COMPUTED_VALUE"""),-35)</f>
        <v>-35</v>
      </c>
    </row>
    <row r="155" spans="1:8" ht="12.75">
      <c r="A155">
        <f ca="1">IFERROR(__xludf.DUMMYFUNCTION("""COMPUTED_VALUE"""),154)</f>
        <v>154</v>
      </c>
      <c r="B155">
        <f ca="1">IFERROR(__xludf.DUMMYFUNCTION("""COMPUTED_VALUE"""),146)</f>
        <v>146</v>
      </c>
      <c r="C155" t="str">
        <f ca="1">IFERROR(__xludf.DUMMYFUNCTION("""COMPUTED_VALUE"""),"Tom Hoge")</f>
        <v>Tom Hoge</v>
      </c>
      <c r="D155">
        <f ca="1">IFERROR(__xludf.DUMMYFUNCTION("""COMPUTED_VALUE"""),22)</f>
        <v>22</v>
      </c>
      <c r="E155">
        <f ca="1">IFERROR(__xludf.DUMMYFUNCTION("""COMPUTED_VALUE"""),71.72)</f>
        <v>71.72</v>
      </c>
      <c r="F155">
        <f ca="1">IFERROR(__xludf.DUMMYFUNCTION("""COMPUTED_VALUE"""),284)</f>
        <v>284</v>
      </c>
      <c r="G155">
        <f ca="1">IFERROR(__xludf.DUMMYFUNCTION("""COMPUTED_VALUE"""),396)</f>
        <v>396</v>
      </c>
      <c r="H155">
        <f ca="1">IFERROR(__xludf.DUMMYFUNCTION("""COMPUTED_VALUE"""),-113)</f>
        <v>-113</v>
      </c>
    </row>
    <row r="156" spans="1:8" ht="12.75">
      <c r="A156" t="str">
        <f ca="1">IFERROR(__xludf.DUMMYFUNCTION("""COMPUTED_VALUE"""),"T155")</f>
        <v>T155</v>
      </c>
      <c r="B156" t="str">
        <f ca="1">IFERROR(__xludf.DUMMYFUNCTION("""COMPUTED_VALUE"""),"T136")</f>
        <v>T136</v>
      </c>
      <c r="C156" t="str">
        <f ca="1">IFERROR(__xludf.DUMMYFUNCTION("""COMPUTED_VALUE"""),"Brooks Koepka")</f>
        <v>Brooks Koepka</v>
      </c>
      <c r="D156">
        <f ca="1">IFERROR(__xludf.DUMMYFUNCTION("""COMPUTED_VALUE"""),8)</f>
        <v>8</v>
      </c>
      <c r="E156">
        <f ca="1">IFERROR(__xludf.DUMMYFUNCTION("""COMPUTED_VALUE"""),71.53)</f>
        <v>71.53</v>
      </c>
      <c r="F156">
        <f ca="1">IFERROR(__xludf.DUMMYFUNCTION("""COMPUTED_VALUE"""),103)</f>
        <v>103</v>
      </c>
      <c r="G156">
        <f ca="1">IFERROR(__xludf.DUMMYFUNCTION("""COMPUTED_VALUE"""),144)</f>
        <v>144</v>
      </c>
      <c r="H156">
        <f ca="1">IFERROR(__xludf.DUMMYFUNCTION("""COMPUTED_VALUE"""),-36)</f>
        <v>-36</v>
      </c>
    </row>
    <row r="157" spans="1:8" ht="12.75">
      <c r="A157" t="str">
        <f ca="1">IFERROR(__xludf.DUMMYFUNCTION("""COMPUTED_VALUE"""),"T155")</f>
        <v>T155</v>
      </c>
      <c r="B157" t="str">
        <f ca="1">IFERROR(__xludf.DUMMYFUNCTION("""COMPUTED_VALUE"""),"T166")</f>
        <v>T166</v>
      </c>
      <c r="C157" t="str">
        <f ca="1">IFERROR(__xludf.DUMMYFUNCTION("""COMPUTED_VALUE"""),"Matthew Wolff")</f>
        <v>Matthew Wolff</v>
      </c>
      <c r="D157">
        <f ca="1">IFERROR(__xludf.DUMMYFUNCTION("""COMPUTED_VALUE"""),16)</f>
        <v>16</v>
      </c>
      <c r="E157">
        <f ca="1">IFERROR(__xludf.DUMMYFUNCTION("""COMPUTED_VALUE"""),71.53)</f>
        <v>71.53</v>
      </c>
      <c r="F157">
        <f ca="1">IFERROR(__xludf.DUMMYFUNCTION("""COMPUTED_VALUE"""),206)</f>
        <v>206</v>
      </c>
      <c r="G157">
        <f ca="1">IFERROR(__xludf.DUMMYFUNCTION("""COMPUTED_VALUE"""),288)</f>
        <v>288</v>
      </c>
      <c r="H157">
        <f ca="1">IFERROR(__xludf.DUMMYFUNCTION("""COMPUTED_VALUE"""),-87)</f>
        <v>-87</v>
      </c>
    </row>
    <row r="158" spans="1:8" ht="12.75">
      <c r="A158" t="str">
        <f ca="1">IFERROR(__xludf.DUMMYFUNCTION("""COMPUTED_VALUE"""),"T155")</f>
        <v>T155</v>
      </c>
      <c r="B158" t="str">
        <f ca="1">IFERROR(__xludf.DUMMYFUNCTION("""COMPUTED_VALUE"""),"T109")</f>
        <v>T109</v>
      </c>
      <c r="C158" t="str">
        <f ca="1">IFERROR(__xludf.DUMMYFUNCTION("""COMPUTED_VALUE"""),"Bronson Burgoon")</f>
        <v>Bronson Burgoon</v>
      </c>
      <c r="D158">
        <f ca="1">IFERROR(__xludf.DUMMYFUNCTION("""COMPUTED_VALUE"""),10)</f>
        <v>10</v>
      </c>
      <c r="E158">
        <f ca="1">IFERROR(__xludf.DUMMYFUNCTION("""COMPUTED_VALUE"""),71.53)</f>
        <v>71.53</v>
      </c>
      <c r="F158">
        <f ca="1">IFERROR(__xludf.DUMMYFUNCTION("""COMPUTED_VALUE"""),103)</f>
        <v>103</v>
      </c>
      <c r="G158">
        <f ca="1">IFERROR(__xludf.DUMMYFUNCTION("""COMPUTED_VALUE"""),144)</f>
        <v>144</v>
      </c>
      <c r="H158">
        <f ca="1">IFERROR(__xludf.DUMMYFUNCTION("""COMPUTED_VALUE"""),-28)</f>
        <v>-28</v>
      </c>
    </row>
    <row r="159" spans="1:8" ht="12.75">
      <c r="A159" t="str">
        <f ca="1">IFERROR(__xludf.DUMMYFUNCTION("""COMPUTED_VALUE"""),"T158")</f>
        <v>T158</v>
      </c>
      <c r="B159">
        <f ca="1">IFERROR(__xludf.DUMMYFUNCTION("""COMPUTED_VALUE"""),168)</f>
        <v>168</v>
      </c>
      <c r="C159" t="str">
        <f ca="1">IFERROR(__xludf.DUMMYFUNCTION("""COMPUTED_VALUE"""),"Rickie Fowler")</f>
        <v>Rickie Fowler</v>
      </c>
      <c r="D159">
        <f ca="1">IFERROR(__xludf.DUMMYFUNCTION("""COMPUTED_VALUE"""),14)</f>
        <v>14</v>
      </c>
      <c r="E159">
        <f ca="1">IFERROR(__xludf.DUMMYFUNCTION("""COMPUTED_VALUE"""),71.43)</f>
        <v>71.430000000000007</v>
      </c>
      <c r="F159">
        <f ca="1">IFERROR(__xludf.DUMMYFUNCTION("""COMPUTED_VALUE"""),180)</f>
        <v>180</v>
      </c>
      <c r="G159">
        <f ca="1">IFERROR(__xludf.DUMMYFUNCTION("""COMPUTED_VALUE"""),252)</f>
        <v>252</v>
      </c>
      <c r="H159">
        <f ca="1">IFERROR(__xludf.DUMMYFUNCTION("""COMPUTED_VALUE"""),-56)</f>
        <v>-56</v>
      </c>
    </row>
    <row r="160" spans="1:8" ht="12.75">
      <c r="A160" t="str">
        <f ca="1">IFERROR(__xludf.DUMMYFUNCTION("""COMPUTED_VALUE"""),"T158")</f>
        <v>T158</v>
      </c>
      <c r="B160">
        <f ca="1">IFERROR(__xludf.DUMMYFUNCTION("""COMPUTED_VALUE"""),118)</f>
        <v>118</v>
      </c>
      <c r="C160" t="str">
        <f ca="1">IFERROR(__xludf.DUMMYFUNCTION("""COMPUTED_VALUE"""),"Andrew Landry")</f>
        <v>Andrew Landry</v>
      </c>
      <c r="D160">
        <f ca="1">IFERROR(__xludf.DUMMYFUNCTION("""COMPUTED_VALUE"""),14)</f>
        <v>14</v>
      </c>
      <c r="E160">
        <f ca="1">IFERROR(__xludf.DUMMYFUNCTION("""COMPUTED_VALUE"""),71.43)</f>
        <v>71.430000000000007</v>
      </c>
      <c r="F160">
        <f ca="1">IFERROR(__xludf.DUMMYFUNCTION("""COMPUTED_VALUE"""),180)</f>
        <v>180</v>
      </c>
      <c r="G160">
        <f ca="1">IFERROR(__xludf.DUMMYFUNCTION("""COMPUTED_VALUE"""),252)</f>
        <v>252</v>
      </c>
      <c r="H160">
        <f ca="1">IFERROR(__xludf.DUMMYFUNCTION("""COMPUTED_VALUE"""),-61)</f>
        <v>-61</v>
      </c>
    </row>
    <row r="161" spans="1:8" ht="12.75">
      <c r="A161" t="str">
        <f ca="1">IFERROR(__xludf.DUMMYFUNCTION("""COMPUTED_VALUE"""),"T160")</f>
        <v>T160</v>
      </c>
      <c r="B161" t="str">
        <f ca="1">IFERROR(__xludf.DUMMYFUNCTION("""COMPUTED_VALUE"""),"T136")</f>
        <v>T136</v>
      </c>
      <c r="C161" t="str">
        <f ca="1">IFERROR(__xludf.DUMMYFUNCTION("""COMPUTED_VALUE"""),"Vaughn Taylor")</f>
        <v>Vaughn Taylor</v>
      </c>
      <c r="D161">
        <f ca="1">IFERROR(__xludf.DUMMYFUNCTION("""COMPUTED_VALUE"""),12)</f>
        <v>12</v>
      </c>
      <c r="E161">
        <f ca="1">IFERROR(__xludf.DUMMYFUNCTION("""COMPUTED_VALUE"""),71.3)</f>
        <v>71.3</v>
      </c>
      <c r="F161">
        <f ca="1">IFERROR(__xludf.DUMMYFUNCTION("""COMPUTED_VALUE"""),77)</f>
        <v>77</v>
      </c>
      <c r="G161">
        <f ca="1">IFERROR(__xludf.DUMMYFUNCTION("""COMPUTED_VALUE"""),108)</f>
        <v>108</v>
      </c>
      <c r="H161">
        <f ca="1">IFERROR(__xludf.DUMMYFUNCTION("""COMPUTED_VALUE"""),-20)</f>
        <v>-20</v>
      </c>
    </row>
    <row r="162" spans="1:8" ht="12.75">
      <c r="A162" t="str">
        <f ca="1">IFERROR(__xludf.DUMMYFUNCTION("""COMPUTED_VALUE"""),"T160")</f>
        <v>T160</v>
      </c>
      <c r="B162" t="str">
        <f ca="1">IFERROR(__xludf.DUMMYFUNCTION("""COMPUTED_VALUE"""),"T169")</f>
        <v>T169</v>
      </c>
      <c r="C162" t="str">
        <f ca="1">IFERROR(__xludf.DUMMYFUNCTION("""COMPUTED_VALUE"""),"Hank Lebioda")</f>
        <v>Hank Lebioda</v>
      </c>
      <c r="D162">
        <f ca="1">IFERROR(__xludf.DUMMYFUNCTION("""COMPUTED_VALUE"""),14)</f>
        <v>14</v>
      </c>
      <c r="E162">
        <f ca="1">IFERROR(__xludf.DUMMYFUNCTION("""COMPUTED_VALUE"""),71.3)</f>
        <v>71.3</v>
      </c>
      <c r="F162">
        <f ca="1">IFERROR(__xludf.DUMMYFUNCTION("""COMPUTED_VALUE"""),77)</f>
        <v>77</v>
      </c>
      <c r="G162">
        <f ca="1">IFERROR(__xludf.DUMMYFUNCTION("""COMPUTED_VALUE"""),108)</f>
        <v>108</v>
      </c>
      <c r="H162">
        <f ca="1">IFERROR(__xludf.DUMMYFUNCTION("""COMPUTED_VALUE"""),-19)</f>
        <v>-19</v>
      </c>
    </row>
    <row r="163" spans="1:8" ht="12.75">
      <c r="A163">
        <f ca="1">IFERROR(__xludf.DUMMYFUNCTION("""COMPUTED_VALUE"""),162)</f>
        <v>162</v>
      </c>
      <c r="B163">
        <f ca="1">IFERROR(__xludf.DUMMYFUNCTION("""COMPUTED_VALUE"""),171)</f>
        <v>171</v>
      </c>
      <c r="C163" t="str">
        <f ca="1">IFERROR(__xludf.DUMMYFUNCTION("""COMPUTED_VALUE"""),"Paul Casey")</f>
        <v>Paul Casey</v>
      </c>
      <c r="D163">
        <f ca="1">IFERROR(__xludf.DUMMYFUNCTION("""COMPUTED_VALUE"""),14)</f>
        <v>14</v>
      </c>
      <c r="E163">
        <f ca="1">IFERROR(__xludf.DUMMYFUNCTION("""COMPUTED_VALUE"""),71.03)</f>
        <v>71.03</v>
      </c>
      <c r="F163">
        <f ca="1">IFERROR(__xludf.DUMMYFUNCTION("""COMPUTED_VALUE"""),179)</f>
        <v>179</v>
      </c>
      <c r="G163">
        <f ca="1">IFERROR(__xludf.DUMMYFUNCTION("""COMPUTED_VALUE"""),252)</f>
        <v>252</v>
      </c>
      <c r="H163">
        <f ca="1">IFERROR(__xludf.DUMMYFUNCTION("""COMPUTED_VALUE"""),-56)</f>
        <v>-56</v>
      </c>
    </row>
    <row r="164" spans="1:8" ht="12.75">
      <c r="A164">
        <f ca="1">IFERROR(__xludf.DUMMYFUNCTION("""COMPUTED_VALUE"""),163)</f>
        <v>163</v>
      </c>
      <c r="B164" t="str">
        <f ca="1">IFERROR(__xludf.DUMMYFUNCTION("""COMPUTED_VALUE"""),"T136")</f>
        <v>T136</v>
      </c>
      <c r="C164" t="str">
        <f ca="1">IFERROR(__xludf.DUMMYFUNCTION("""COMPUTED_VALUE"""),"Tyler Duncan")</f>
        <v>Tyler Duncan</v>
      </c>
      <c r="D164">
        <f ca="1">IFERROR(__xludf.DUMMYFUNCTION("""COMPUTED_VALUE"""),18)</f>
        <v>18</v>
      </c>
      <c r="E164">
        <f ca="1">IFERROR(__xludf.DUMMYFUNCTION("""COMPUTED_VALUE"""),70.99)</f>
        <v>70.989999999999995</v>
      </c>
      <c r="F164">
        <f ca="1">IFERROR(__xludf.DUMMYFUNCTION("""COMPUTED_VALUE"""),230)</f>
        <v>230</v>
      </c>
      <c r="G164">
        <f ca="1">IFERROR(__xludf.DUMMYFUNCTION("""COMPUTED_VALUE"""),324)</f>
        <v>324</v>
      </c>
      <c r="H164">
        <f ca="1">IFERROR(__xludf.DUMMYFUNCTION("""COMPUTED_VALUE"""),-59)</f>
        <v>-59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IFERROR(__xludf.DUMMYFUNCTION("""COMPUTED_VALUE"""),"T172")</f>
        <v>T172</v>
      </c>
      <c r="C165" t="str">
        <f ca="1">IFERROR(__xludf.DUMMYFUNCTION("""COMPUTED_VALUE"""),"Kramer Hickok")</f>
        <v>Kramer Hickok</v>
      </c>
      <c r="D165">
        <f ca="1">IFERROR(__xludf.DUMMYFUNCTION("""COMPUTED_VALUE"""),16)</f>
        <v>16</v>
      </c>
      <c r="E165">
        <f ca="1">IFERROR(__xludf.DUMMYFUNCTION("""COMPUTED_VALUE"""),70.83)</f>
        <v>70.83</v>
      </c>
      <c r="F165">
        <f ca="1">IFERROR(__xludf.DUMMYFUNCTION("""COMPUTED_VALUE"""),102)</f>
        <v>102</v>
      </c>
      <c r="G165">
        <f ca="1">IFERROR(__xludf.DUMMYFUNCTION("""COMPUTED_VALUE"""),144)</f>
        <v>144</v>
      </c>
      <c r="H165">
        <f ca="1">IFERROR(__xludf.DUMMYFUNCTION("""COMPUTED_VALUE"""),-23)</f>
        <v>-23</v>
      </c>
    </row>
    <row r="166" spans="1:8" ht="12.75">
      <c r="A166" t="str">
        <f ca="1">IFERROR(__xludf.DUMMYFUNCTION("""COMPUTED_VALUE"""),"T164")</f>
        <v>T164</v>
      </c>
      <c r="B166" t="str">
        <f ca="1">IFERROR(__xludf.DUMMYFUNCTION("""COMPUTED_VALUE"""),"T172")</f>
        <v>T172</v>
      </c>
      <c r="C166" t="str">
        <f ca="1">IFERROR(__xludf.DUMMYFUNCTION("""COMPUTED_VALUE"""),"Hanbyeol Kim")</f>
        <v>Hanbyeol Kim</v>
      </c>
      <c r="D166">
        <f ca="1">IFERROR(__xludf.DUMMYFUNCTION("""COMPUTED_VALUE"""),4)</f>
        <v>4</v>
      </c>
      <c r="E166">
        <f ca="1">IFERROR(__xludf.DUMMYFUNCTION("""COMPUTED_VALUE"""),70.83)</f>
        <v>70.83</v>
      </c>
      <c r="F166">
        <f ca="1">IFERROR(__xludf.DUMMYFUNCTION("""COMPUTED_VALUE"""),51)</f>
        <v>51</v>
      </c>
      <c r="G166">
        <f ca="1">IFERROR(__xludf.DUMMYFUNCTION("""COMPUTED_VALUE"""),72)</f>
        <v>72</v>
      </c>
      <c r="H166">
        <f ca="1">IFERROR(__xludf.DUMMYFUNCTION("""COMPUTED_VALUE"""),-20)</f>
        <v>-20</v>
      </c>
    </row>
    <row r="167" spans="1:8" ht="12.75">
      <c r="A167" t="str">
        <f ca="1">IFERROR(__xludf.DUMMYFUNCTION("""COMPUTED_VALUE"""),"T164")</f>
        <v>T164</v>
      </c>
      <c r="B167" t="str">
        <f ca="1">IFERROR(__xludf.DUMMYFUNCTION("""COMPUTED_VALUE"""),"T172")</f>
        <v>T172</v>
      </c>
      <c r="C167" t="str">
        <f ca="1">IFERROR(__xludf.DUMMYFUNCTION("""COMPUTED_VALUE"""),"Sebastian Cappelen")</f>
        <v>Sebastian Cappelen</v>
      </c>
      <c r="D167">
        <f ca="1">IFERROR(__xludf.DUMMYFUNCTION("""COMPUTED_VALUE"""),8)</f>
        <v>8</v>
      </c>
      <c r="E167">
        <f ca="1">IFERROR(__xludf.DUMMYFUNCTION("""COMPUTED_VALUE"""),70.83)</f>
        <v>70.83</v>
      </c>
      <c r="F167">
        <f ca="1">IFERROR(__xludf.DUMMYFUNCTION("""COMPUTED_VALUE"""),51)</f>
        <v>51</v>
      </c>
      <c r="G167">
        <f ca="1">IFERROR(__xludf.DUMMYFUNCTION("""COMPUTED_VALUE"""),72)</f>
        <v>72</v>
      </c>
      <c r="H167">
        <f ca="1">IFERROR(__xludf.DUMMYFUNCTION("""COMPUTED_VALUE"""),-14)</f>
        <v>-14</v>
      </c>
    </row>
    <row r="168" spans="1:8" ht="12.75">
      <c r="A168" t="str">
        <f ca="1">IFERROR(__xludf.DUMMYFUNCTION("""COMPUTED_VALUE"""),"T164")</f>
        <v>T164</v>
      </c>
      <c r="B168" t="str">
        <f ca="1">IFERROR(__xludf.DUMMYFUNCTION("""COMPUTED_VALUE"""),"T172")</f>
        <v>T172</v>
      </c>
      <c r="C168" t="str">
        <f ca="1">IFERROR(__xludf.DUMMYFUNCTION("""COMPUTED_VALUE"""),"Robert Streb")</f>
        <v>Robert Streb</v>
      </c>
      <c r="D168">
        <f ca="1">IFERROR(__xludf.DUMMYFUNCTION("""COMPUTED_VALUE"""),12)</f>
        <v>12</v>
      </c>
      <c r="E168">
        <f ca="1">IFERROR(__xludf.DUMMYFUNCTION("""COMPUTED_VALUE"""),70.83)</f>
        <v>70.83</v>
      </c>
      <c r="F168">
        <f ca="1">IFERROR(__xludf.DUMMYFUNCTION("""COMPUTED_VALUE"""),51)</f>
        <v>51</v>
      </c>
      <c r="G168">
        <f ca="1">IFERROR(__xludf.DUMMYFUNCTION("""COMPUTED_VALUE"""),72)</f>
        <v>72</v>
      </c>
      <c r="H168">
        <f ca="1">IFERROR(__xludf.DUMMYFUNCTION("""COMPUTED_VALUE"""),-13)</f>
        <v>-13</v>
      </c>
    </row>
    <row r="169" spans="1:8" ht="12.75">
      <c r="A169" t="str">
        <f ca="1">IFERROR(__xludf.DUMMYFUNCTION("""COMPUTED_VALUE"""),"T164")</f>
        <v>T164</v>
      </c>
      <c r="B169" t="str">
        <f ca="1">IFERROR(__xludf.DUMMYFUNCTION("""COMPUTED_VALUE"""),"T172")</f>
        <v>T172</v>
      </c>
      <c r="C169" t="str">
        <f ca="1">IFERROR(__xludf.DUMMYFUNCTION("""COMPUTED_VALUE"""),"Nick Taylor")</f>
        <v>Nick Taylor</v>
      </c>
      <c r="D169">
        <f ca="1">IFERROR(__xludf.DUMMYFUNCTION("""COMPUTED_VALUE"""),12)</f>
        <v>12</v>
      </c>
      <c r="E169">
        <f ca="1">IFERROR(__xludf.DUMMYFUNCTION("""COMPUTED_VALUE"""),70.83)</f>
        <v>70.83</v>
      </c>
      <c r="F169">
        <f ca="1">IFERROR(__xludf.DUMMYFUNCTION("""COMPUTED_VALUE"""),153)</f>
        <v>153</v>
      </c>
      <c r="G169">
        <f ca="1">IFERROR(__xludf.DUMMYFUNCTION("""COMPUTED_VALUE"""),216)</f>
        <v>216</v>
      </c>
      <c r="H169">
        <f ca="1">IFERROR(__xludf.DUMMYFUNCTION("""COMPUTED_VALUE"""),-49)</f>
        <v>-49</v>
      </c>
    </row>
    <row r="170" spans="1:8" ht="12.75">
      <c r="A170" t="str">
        <f ca="1">IFERROR(__xludf.DUMMYFUNCTION("""COMPUTED_VALUE"""),"T164")</f>
        <v>T164</v>
      </c>
      <c r="B170" t="str">
        <f ca="1">IFERROR(__xludf.DUMMYFUNCTION("""COMPUTED_VALUE"""),"T172")</f>
        <v>T172</v>
      </c>
      <c r="C170" t="str">
        <f ca="1">IFERROR(__xludf.DUMMYFUNCTION("""COMPUTED_VALUE"""),"Steve Lewton")</f>
        <v>Steve Lewton</v>
      </c>
      <c r="D170">
        <f ca="1">IFERROR(__xludf.DUMMYFUNCTION("""COMPUTED_VALUE"""),4)</f>
        <v>4</v>
      </c>
      <c r="E170">
        <f ca="1">IFERROR(__xludf.DUMMYFUNCTION("""COMPUTED_VALUE"""),70.83)</f>
        <v>70.83</v>
      </c>
      <c r="F170">
        <f ca="1">IFERROR(__xludf.DUMMYFUNCTION("""COMPUTED_VALUE"""),51)</f>
        <v>51</v>
      </c>
      <c r="G170">
        <f ca="1">IFERROR(__xludf.DUMMYFUNCTION("""COMPUTED_VALUE"""),72)</f>
        <v>72</v>
      </c>
      <c r="H170">
        <f ca="1">IFERROR(__xludf.DUMMYFUNCTION("""COMPUTED_VALUE"""),-13)</f>
        <v>-13</v>
      </c>
    </row>
    <row r="171" spans="1:8" ht="12.75">
      <c r="A171">
        <f ca="1">IFERROR(__xludf.DUMMYFUNCTION("""COMPUTED_VALUE"""),170)</f>
        <v>170</v>
      </c>
      <c r="B171">
        <f ca="1">IFERROR(__xludf.DUMMYFUNCTION("""COMPUTED_VALUE"""),185)</f>
        <v>185</v>
      </c>
      <c r="C171" t="str">
        <f ca="1">IFERROR(__xludf.DUMMYFUNCTION("""COMPUTED_VALUE"""),"Lanto Griffin")</f>
        <v>Lanto Griffin</v>
      </c>
      <c r="D171">
        <f ca="1">IFERROR(__xludf.DUMMYFUNCTION("""COMPUTED_VALUE"""),18)</f>
        <v>18</v>
      </c>
      <c r="E171">
        <f ca="1">IFERROR(__xludf.DUMMYFUNCTION("""COMPUTED_VALUE"""),70.68)</f>
        <v>70.680000000000007</v>
      </c>
      <c r="F171">
        <f ca="1">IFERROR(__xludf.DUMMYFUNCTION("""COMPUTED_VALUE"""),229)</f>
        <v>229</v>
      </c>
      <c r="G171">
        <f ca="1">IFERROR(__xludf.DUMMYFUNCTION("""COMPUTED_VALUE"""),324)</f>
        <v>324</v>
      </c>
      <c r="H171">
        <f ca="1">IFERROR(__xludf.DUMMYFUNCTION("""COMPUTED_VALUE"""),-76)</f>
        <v>-76</v>
      </c>
    </row>
    <row r="172" spans="1:8" ht="12.75">
      <c r="A172">
        <f ca="1">IFERROR(__xludf.DUMMYFUNCTION("""COMPUTED_VALUE"""),171)</f>
        <v>171</v>
      </c>
      <c r="B172" t="str">
        <f ca="1">IFERROR(__xludf.DUMMYFUNCTION("""COMPUTED_VALUE"""),"T179")</f>
        <v>T179</v>
      </c>
      <c r="C172" t="str">
        <f ca="1">IFERROR(__xludf.DUMMYFUNCTION("""COMPUTED_VALUE"""),"Marc Leishman")</f>
        <v>Marc Leishman</v>
      </c>
      <c r="D172">
        <f ca="1">IFERROR(__xludf.DUMMYFUNCTION("""COMPUTED_VALUE"""),10)</f>
        <v>10</v>
      </c>
      <c r="E172">
        <f ca="1">IFERROR(__xludf.DUMMYFUNCTION("""COMPUTED_VALUE"""),70.56)</f>
        <v>70.56</v>
      </c>
      <c r="F172">
        <f ca="1">IFERROR(__xludf.DUMMYFUNCTION("""COMPUTED_VALUE"""),127)</f>
        <v>127</v>
      </c>
      <c r="G172">
        <f ca="1">IFERROR(__xludf.DUMMYFUNCTION("""COMPUTED_VALUE"""),180)</f>
        <v>180</v>
      </c>
      <c r="H172">
        <f ca="1">IFERROR(__xludf.DUMMYFUNCTION("""COMPUTED_VALUE"""),-30)</f>
        <v>-30</v>
      </c>
    </row>
    <row r="173" spans="1:8" ht="12.75">
      <c r="A173" t="str">
        <f ca="1">IFERROR(__xludf.DUMMYFUNCTION("""COMPUTED_VALUE"""),"T172")</f>
        <v>T172</v>
      </c>
      <c r="B173" t="str">
        <f ca="1">IFERROR(__xludf.DUMMYFUNCTION("""COMPUTED_VALUE"""),"T181")</f>
        <v>T181</v>
      </c>
      <c r="C173" t="str">
        <f ca="1">IFERROR(__xludf.DUMMYFUNCTION("""COMPUTED_VALUE"""),"Bill Haas")</f>
        <v>Bill Haas</v>
      </c>
      <c r="D173">
        <f ca="1">IFERROR(__xludf.DUMMYFUNCTION("""COMPUTED_VALUE"""),10)</f>
        <v>10</v>
      </c>
      <c r="E173">
        <f ca="1">IFERROR(__xludf.DUMMYFUNCTION("""COMPUTED_VALUE"""),70.37)</f>
        <v>70.37</v>
      </c>
      <c r="F173">
        <f ca="1">IFERROR(__xludf.DUMMYFUNCTION("""COMPUTED_VALUE"""),76)</f>
        <v>76</v>
      </c>
      <c r="G173">
        <f ca="1">IFERROR(__xludf.DUMMYFUNCTION("""COMPUTED_VALUE"""),108)</f>
        <v>108</v>
      </c>
      <c r="H173">
        <f ca="1">IFERROR(__xludf.DUMMYFUNCTION("""COMPUTED_VALUE"""),-20)</f>
        <v>-20</v>
      </c>
    </row>
    <row r="174" spans="1:8" ht="12.75">
      <c r="A174" t="str">
        <f ca="1">IFERROR(__xludf.DUMMYFUNCTION("""COMPUTED_VALUE"""),"T172")</f>
        <v>T172</v>
      </c>
      <c r="B174">
        <f ca="1">IFERROR(__xludf.DUMMYFUNCTION("""COMPUTED_VALUE"""),155)</f>
        <v>155</v>
      </c>
      <c r="C174" t="str">
        <f ca="1">IFERROR(__xludf.DUMMYFUNCTION("""COMPUTED_VALUE"""),"Danny Lee")</f>
        <v>Danny Lee</v>
      </c>
      <c r="D174">
        <f ca="1">IFERROR(__xludf.DUMMYFUNCTION("""COMPUTED_VALUE"""),15)</f>
        <v>15</v>
      </c>
      <c r="E174">
        <f ca="1">IFERROR(__xludf.DUMMYFUNCTION("""COMPUTED_VALUE"""),70.37)</f>
        <v>70.37</v>
      </c>
      <c r="F174">
        <f ca="1">IFERROR(__xludf.DUMMYFUNCTION("""COMPUTED_VALUE"""),190)</f>
        <v>190</v>
      </c>
      <c r="G174">
        <f ca="1">IFERROR(__xludf.DUMMYFUNCTION("""COMPUTED_VALUE"""),270)</f>
        <v>270</v>
      </c>
      <c r="H174">
        <f ca="1">IFERROR(__xludf.DUMMYFUNCTION("""COMPUTED_VALUE"""),-57)</f>
        <v>-57</v>
      </c>
    </row>
    <row r="175" spans="1:8" ht="12.75">
      <c r="A175" t="str">
        <f ca="1">IFERROR(__xludf.DUMMYFUNCTION("""COMPUTED_VALUE"""),"T172")</f>
        <v>T172</v>
      </c>
      <c r="B175" t="str">
        <f ca="1">IFERROR(__xludf.DUMMYFUNCTION("""COMPUTED_VALUE"""),"T181")</f>
        <v>T181</v>
      </c>
      <c r="C175" t="str">
        <f ca="1">IFERROR(__xludf.DUMMYFUNCTION("""COMPUTED_VALUE"""),"Chesson Hadley")</f>
        <v>Chesson Hadley</v>
      </c>
      <c r="D175">
        <f ca="1">IFERROR(__xludf.DUMMYFUNCTION("""COMPUTED_VALUE"""),16)</f>
        <v>16</v>
      </c>
      <c r="E175">
        <f ca="1">IFERROR(__xludf.DUMMYFUNCTION("""COMPUTED_VALUE"""),70.37)</f>
        <v>70.37</v>
      </c>
      <c r="F175">
        <f ca="1">IFERROR(__xludf.DUMMYFUNCTION("""COMPUTED_VALUE"""),152)</f>
        <v>152</v>
      </c>
      <c r="G175">
        <f ca="1">IFERROR(__xludf.DUMMYFUNCTION("""COMPUTED_VALUE"""),216)</f>
        <v>216</v>
      </c>
      <c r="H175">
        <f ca="1">IFERROR(__xludf.DUMMYFUNCTION("""COMPUTED_VALUE"""),-44)</f>
        <v>-44</v>
      </c>
    </row>
    <row r="176" spans="1:8" ht="12.75">
      <c r="A176">
        <f ca="1">IFERROR(__xludf.DUMMYFUNCTION("""COMPUTED_VALUE"""),175)</f>
        <v>175</v>
      </c>
      <c r="B176" t="str">
        <f ca="1">IFERROR(__xludf.DUMMYFUNCTION("""COMPUTED_VALUE"""),"T152")</f>
        <v>T152</v>
      </c>
      <c r="C176" t="str">
        <f ca="1">IFERROR(__xludf.DUMMYFUNCTION("""COMPUTED_VALUE"""),"Lucas Glover")</f>
        <v>Lucas Glover</v>
      </c>
      <c r="D176">
        <f ca="1">IFERROR(__xludf.DUMMYFUNCTION("""COMPUTED_VALUE"""),12)</f>
        <v>12</v>
      </c>
      <c r="E176">
        <f ca="1">IFERROR(__xludf.DUMMYFUNCTION("""COMPUTED_VALUE"""),69.91)</f>
        <v>69.91</v>
      </c>
      <c r="F176">
        <f ca="1">IFERROR(__xludf.DUMMYFUNCTION("""COMPUTED_VALUE"""),151)</f>
        <v>151</v>
      </c>
      <c r="G176">
        <f ca="1">IFERROR(__xludf.DUMMYFUNCTION("""COMPUTED_VALUE"""),216)</f>
        <v>216</v>
      </c>
      <c r="H176">
        <f ca="1">IFERROR(__xludf.DUMMYFUNCTION("""COMPUTED_VALUE"""),-34)</f>
        <v>-34</v>
      </c>
    </row>
    <row r="177" spans="1:8" ht="12.75">
      <c r="A177" t="str">
        <f ca="1">IFERROR(__xludf.DUMMYFUNCTION("""COMPUTED_VALUE"""),"T176")</f>
        <v>T176</v>
      </c>
      <c r="B177" t="str">
        <f ca="1">IFERROR(__xludf.DUMMYFUNCTION("""COMPUTED_VALUE"""),"T186")</f>
        <v>T186</v>
      </c>
      <c r="C177" t="str">
        <f ca="1">IFERROR(__xludf.DUMMYFUNCTION("""COMPUTED_VALUE"""),"K.J. Choi")</f>
        <v>K.J. Choi</v>
      </c>
      <c r="D177">
        <f ca="1">IFERROR(__xludf.DUMMYFUNCTION("""COMPUTED_VALUE"""),6)</f>
        <v>6</v>
      </c>
      <c r="E177">
        <f ca="1">IFERROR(__xludf.DUMMYFUNCTION("""COMPUTED_VALUE"""),69.44)</f>
        <v>69.44</v>
      </c>
      <c r="F177">
        <f ca="1">IFERROR(__xludf.DUMMYFUNCTION("""COMPUTED_VALUE"""),75)</f>
        <v>75</v>
      </c>
      <c r="G177">
        <f ca="1">IFERROR(__xludf.DUMMYFUNCTION("""COMPUTED_VALUE"""),108)</f>
        <v>108</v>
      </c>
      <c r="H177">
        <f ca="1">IFERROR(__xludf.DUMMYFUNCTION("""COMPUTED_VALUE"""),-16)</f>
        <v>-16</v>
      </c>
    </row>
    <row r="178" spans="1:8" ht="12.75">
      <c r="A178" t="str">
        <f ca="1">IFERROR(__xludf.DUMMYFUNCTION("""COMPUTED_VALUE"""),"T176")</f>
        <v>T176</v>
      </c>
      <c r="B178" t="str">
        <f ca="1">IFERROR(__xludf.DUMMYFUNCTION("""COMPUTED_VALUE"""),"T186")</f>
        <v>T186</v>
      </c>
      <c r="C178" t="str">
        <f ca="1">IFERROR(__xludf.DUMMYFUNCTION("""COMPUTED_VALUE"""),"Brad Kennedy")</f>
        <v>Brad Kennedy</v>
      </c>
      <c r="D178">
        <f ca="1">IFERROR(__xludf.DUMMYFUNCTION("""COMPUTED_VALUE"""),4)</f>
        <v>4</v>
      </c>
      <c r="E178">
        <f ca="1">IFERROR(__xludf.DUMMYFUNCTION("""COMPUTED_VALUE"""),69.44)</f>
        <v>69.44</v>
      </c>
      <c r="F178">
        <f ca="1">IFERROR(__xludf.DUMMYFUNCTION("""COMPUTED_VALUE"""),50)</f>
        <v>50</v>
      </c>
      <c r="G178">
        <f ca="1">IFERROR(__xludf.DUMMYFUNCTION("""COMPUTED_VALUE"""),72)</f>
        <v>72</v>
      </c>
      <c r="H178">
        <f ca="1">IFERROR(__xludf.DUMMYFUNCTION("""COMPUTED_VALUE"""),-17)</f>
        <v>-17</v>
      </c>
    </row>
    <row r="179" spans="1:8" ht="12.75">
      <c r="A179" t="str">
        <f ca="1">IFERROR(__xludf.DUMMYFUNCTION("""COMPUTED_VALUE"""),"T176")</f>
        <v>T176</v>
      </c>
      <c r="B179" t="str">
        <f ca="1">IFERROR(__xludf.DUMMYFUNCTION("""COMPUTED_VALUE"""),"T186")</f>
        <v>T186</v>
      </c>
      <c r="C179" t="str">
        <f ca="1">IFERROR(__xludf.DUMMYFUNCTION("""COMPUTED_VALUE"""),"Alex Cejka")</f>
        <v>Alex Cejka</v>
      </c>
      <c r="D179">
        <f ca="1">IFERROR(__xludf.DUMMYFUNCTION("""COMPUTED_VALUE"""),6)</f>
        <v>6</v>
      </c>
      <c r="E179">
        <f ca="1">IFERROR(__xludf.DUMMYFUNCTION("""COMPUTED_VALUE"""),69.44)</f>
        <v>69.44</v>
      </c>
      <c r="F179">
        <f ca="1">IFERROR(__xludf.DUMMYFUNCTION("""COMPUTED_VALUE"""),25)</f>
        <v>25</v>
      </c>
      <c r="G179">
        <f ca="1">IFERROR(__xludf.DUMMYFUNCTION("""COMPUTED_VALUE"""),36)</f>
        <v>36</v>
      </c>
      <c r="H179">
        <f ca="1">IFERROR(__xludf.DUMMYFUNCTION("""COMPUTED_VALUE"""),-1)</f>
        <v>-1</v>
      </c>
    </row>
    <row r="180" spans="1:8" ht="12.75">
      <c r="A180" t="str">
        <f ca="1">IFERROR(__xludf.DUMMYFUNCTION("""COMPUTED_VALUE"""),"T176")</f>
        <v>T176</v>
      </c>
      <c r="B180" t="str">
        <f ca="1">IFERROR(__xludf.DUMMYFUNCTION("""COMPUTED_VALUE"""),"T186")</f>
        <v>T186</v>
      </c>
      <c r="C180" t="str">
        <f ca="1">IFERROR(__xludf.DUMMYFUNCTION("""COMPUTED_VALUE"""),"Peter Uihlein")</f>
        <v>Peter Uihlein</v>
      </c>
      <c r="D180">
        <f ca="1">IFERROR(__xludf.DUMMYFUNCTION("""COMPUTED_VALUE"""),8)</f>
        <v>8</v>
      </c>
      <c r="E180">
        <f ca="1">IFERROR(__xludf.DUMMYFUNCTION("""COMPUTED_VALUE"""),69.44)</f>
        <v>69.44</v>
      </c>
      <c r="F180">
        <f ca="1">IFERROR(__xludf.DUMMYFUNCTION("""COMPUTED_VALUE"""),25)</f>
        <v>25</v>
      </c>
      <c r="G180">
        <f ca="1">IFERROR(__xludf.DUMMYFUNCTION("""COMPUTED_VALUE"""),36)</f>
        <v>36</v>
      </c>
      <c r="H180">
        <f ca="1">IFERROR(__xludf.DUMMYFUNCTION("""COMPUTED_VALUE"""),-8)</f>
        <v>-8</v>
      </c>
    </row>
    <row r="181" spans="1:8" ht="12.75">
      <c r="A181" t="str">
        <f ca="1">IFERROR(__xludf.DUMMYFUNCTION("""COMPUTED_VALUE"""),"T176")</f>
        <v>T176</v>
      </c>
      <c r="B181" t="str">
        <f ca="1">IFERROR(__xludf.DUMMYFUNCTION("""COMPUTED_VALUE"""),"T186")</f>
        <v>T186</v>
      </c>
      <c r="C181" t="str">
        <f ca="1">IFERROR(__xludf.DUMMYFUNCTION("""COMPUTED_VALUE"""),"Seamus Power")</f>
        <v>Seamus Power</v>
      </c>
      <c r="D181">
        <f ca="1">IFERROR(__xludf.DUMMYFUNCTION("""COMPUTED_VALUE"""),8)</f>
        <v>8</v>
      </c>
      <c r="E181">
        <f ca="1">IFERROR(__xludf.DUMMYFUNCTION("""COMPUTED_VALUE"""),69.44)</f>
        <v>69.44</v>
      </c>
      <c r="F181">
        <f ca="1">IFERROR(__xludf.DUMMYFUNCTION("""COMPUTED_VALUE"""),25)</f>
        <v>25</v>
      </c>
      <c r="G181">
        <f ca="1">IFERROR(__xludf.DUMMYFUNCTION("""COMPUTED_VALUE"""),36)</f>
        <v>36</v>
      </c>
      <c r="H181">
        <f ca="1">IFERROR(__xludf.DUMMYFUNCTION("""COMPUTED_VALUE"""),-5)</f>
        <v>-5</v>
      </c>
    </row>
    <row r="182" spans="1:8" ht="12.75">
      <c r="A182" t="str">
        <f ca="1">IFERROR(__xludf.DUMMYFUNCTION("""COMPUTED_VALUE"""),"T176")</f>
        <v>T176</v>
      </c>
      <c r="B182" t="str">
        <f ca="1">IFERROR(__xludf.DUMMYFUNCTION("""COMPUTED_VALUE"""),"T186")</f>
        <v>T186</v>
      </c>
      <c r="C182" t="str">
        <f ca="1">IFERROR(__xludf.DUMMYFUNCTION("""COMPUTED_VALUE"""),"Rafael Campos")</f>
        <v>Rafael Campos</v>
      </c>
      <c r="D182">
        <f ca="1">IFERROR(__xludf.DUMMYFUNCTION("""COMPUTED_VALUE"""),6)</f>
        <v>6</v>
      </c>
      <c r="E182">
        <f ca="1">IFERROR(__xludf.DUMMYFUNCTION("""COMPUTED_VALUE"""),69.44)</f>
        <v>69.44</v>
      </c>
      <c r="F182">
        <f ca="1">IFERROR(__xludf.DUMMYFUNCTION("""COMPUTED_VALUE"""),25)</f>
        <v>25</v>
      </c>
      <c r="G182">
        <f ca="1">IFERROR(__xludf.DUMMYFUNCTION("""COMPUTED_VALUE"""),36)</f>
        <v>36</v>
      </c>
      <c r="H182">
        <f ca="1">IFERROR(__xludf.DUMMYFUNCTION("""COMPUTED_VALUE"""),-6)</f>
        <v>-6</v>
      </c>
    </row>
    <row r="183" spans="1:8" ht="12.75">
      <c r="A183" t="str">
        <f ca="1">IFERROR(__xludf.DUMMYFUNCTION("""COMPUTED_VALUE"""),"T176")</f>
        <v>T176</v>
      </c>
      <c r="B183" t="str">
        <f ca="1">IFERROR(__xludf.DUMMYFUNCTION("""COMPUTED_VALUE"""),"T186")</f>
        <v>T186</v>
      </c>
      <c r="C183" t="str">
        <f ca="1">IFERROR(__xludf.DUMMYFUNCTION("""COMPUTED_VALUE"""),"Tommy Fleetwood")</f>
        <v>Tommy Fleetwood</v>
      </c>
      <c r="D183">
        <f ca="1">IFERROR(__xludf.DUMMYFUNCTION("""COMPUTED_VALUE"""),10)</f>
        <v>10</v>
      </c>
      <c r="E183">
        <f ca="1">IFERROR(__xludf.DUMMYFUNCTION("""COMPUTED_VALUE"""),69.44)</f>
        <v>69.44</v>
      </c>
      <c r="F183">
        <f ca="1">IFERROR(__xludf.DUMMYFUNCTION("""COMPUTED_VALUE"""),125)</f>
        <v>125</v>
      </c>
      <c r="G183">
        <f ca="1">IFERROR(__xludf.DUMMYFUNCTION("""COMPUTED_VALUE"""),180)</f>
        <v>180</v>
      </c>
      <c r="H183">
        <f ca="1">IFERROR(__xludf.DUMMYFUNCTION("""COMPUTED_VALUE"""),-50)</f>
        <v>-50</v>
      </c>
    </row>
    <row r="184" spans="1:8" ht="12.75">
      <c r="A184" t="str">
        <f ca="1">IFERROR(__xludf.DUMMYFUNCTION("""COMPUTED_VALUE"""),"T176")</f>
        <v>T176</v>
      </c>
      <c r="B184" t="str">
        <f ca="1">IFERROR(__xludf.DUMMYFUNCTION("""COMPUTED_VALUE"""),"")</f>
        <v/>
      </c>
      <c r="C184" t="str">
        <f ca="1">IFERROR(__xludf.DUMMYFUNCTION("""COMPUTED_VALUE"""),"Erik Barnes")</f>
        <v>Erik Barnes</v>
      </c>
      <c r="D184">
        <f ca="1">IFERROR(__xludf.DUMMYFUNCTION("""COMPUTED_VALUE"""),4)</f>
        <v>4</v>
      </c>
      <c r="E184">
        <f ca="1">IFERROR(__xludf.DUMMYFUNCTION("""COMPUTED_VALUE"""),69.44)</f>
        <v>69.44</v>
      </c>
      <c r="F184">
        <f ca="1">IFERROR(__xludf.DUMMYFUNCTION("""COMPUTED_VALUE"""),50)</f>
        <v>50</v>
      </c>
      <c r="G184">
        <f ca="1">IFERROR(__xludf.DUMMYFUNCTION("""COMPUTED_VALUE"""),72)</f>
        <v>72</v>
      </c>
      <c r="H184">
        <f ca="1">IFERROR(__xludf.DUMMYFUNCTION("""COMPUTED_VALUE"""),-15)</f>
        <v>-15</v>
      </c>
    </row>
    <row r="185" spans="1:8" ht="12.75">
      <c r="A185" t="str">
        <f ca="1">IFERROR(__xludf.DUMMYFUNCTION("""COMPUTED_VALUE"""),"T176")</f>
        <v>T176</v>
      </c>
      <c r="B185" t="str">
        <f ca="1">IFERROR(__xludf.DUMMYFUNCTION("""COMPUTED_VALUE"""),"T186")</f>
        <v>T186</v>
      </c>
      <c r="C185" t="str">
        <f ca="1">IFERROR(__xludf.DUMMYFUNCTION("""COMPUTED_VALUE"""),"Mikumu Horikawa")</f>
        <v>Mikumu Horikawa</v>
      </c>
      <c r="D185">
        <f ca="1">IFERROR(__xludf.DUMMYFUNCTION("""COMPUTED_VALUE"""),4)</f>
        <v>4</v>
      </c>
      <c r="E185">
        <f ca="1">IFERROR(__xludf.DUMMYFUNCTION("""COMPUTED_VALUE"""),69.44)</f>
        <v>69.44</v>
      </c>
      <c r="F185">
        <f ca="1">IFERROR(__xludf.DUMMYFUNCTION("""COMPUTED_VALUE"""),50)</f>
        <v>50</v>
      </c>
      <c r="G185">
        <f ca="1">IFERROR(__xludf.DUMMYFUNCTION("""COMPUTED_VALUE"""),72)</f>
        <v>72</v>
      </c>
      <c r="H185">
        <f ca="1">IFERROR(__xludf.DUMMYFUNCTION("""COMPUTED_VALUE"""),-20)</f>
        <v>-20</v>
      </c>
    </row>
    <row r="186" spans="1:8" ht="12.75">
      <c r="A186" t="str">
        <f ca="1">IFERROR(__xludf.DUMMYFUNCTION("""COMPUTED_VALUE"""),"T176")</f>
        <v>T176</v>
      </c>
      <c r="B186" t="str">
        <f ca="1">IFERROR(__xludf.DUMMYFUNCTION("""COMPUTED_VALUE"""),"T186")</f>
        <v>T186</v>
      </c>
      <c r="C186" t="str">
        <f ca="1">IFERROR(__xludf.DUMMYFUNCTION("""COMPUTED_VALUE"""),"Dominic Bozzelli")</f>
        <v>Dominic Bozzelli</v>
      </c>
      <c r="D186">
        <f ca="1">IFERROR(__xludf.DUMMYFUNCTION("""COMPUTED_VALUE"""),8)</f>
        <v>8</v>
      </c>
      <c r="E186">
        <f ca="1">IFERROR(__xludf.DUMMYFUNCTION("""COMPUTED_VALUE"""),69.44)</f>
        <v>69.44</v>
      </c>
      <c r="F186">
        <f ca="1">IFERROR(__xludf.DUMMYFUNCTION("""COMPUTED_VALUE"""),25)</f>
        <v>25</v>
      </c>
      <c r="G186">
        <f ca="1">IFERROR(__xludf.DUMMYFUNCTION("""COMPUTED_VALUE"""),36)</f>
        <v>36</v>
      </c>
      <c r="H186">
        <f ca="1">IFERROR(__xludf.DUMMYFUNCTION("""COMPUTED_VALUE"""),-4)</f>
        <v>-4</v>
      </c>
    </row>
    <row r="187" spans="1:8" ht="12.75">
      <c r="A187" t="str">
        <f ca="1">IFERROR(__xludf.DUMMYFUNCTION("""COMPUTED_VALUE"""),"T176")</f>
        <v>T176</v>
      </c>
      <c r="B187" t="str">
        <f ca="1">IFERROR(__xludf.DUMMYFUNCTION("""COMPUTED_VALUE"""),"T186")</f>
        <v>T186</v>
      </c>
      <c r="C187" t="str">
        <f ca="1">IFERROR(__xludf.DUMMYFUNCTION("""COMPUTED_VALUE"""),"Matt Wallace")</f>
        <v>Matt Wallace</v>
      </c>
      <c r="D187">
        <f ca="1">IFERROR(__xludf.DUMMYFUNCTION("""COMPUTED_VALUE"""),4)</f>
        <v>4</v>
      </c>
      <c r="E187">
        <f ca="1">IFERROR(__xludf.DUMMYFUNCTION("""COMPUTED_VALUE"""),69.44)</f>
        <v>69.44</v>
      </c>
      <c r="F187">
        <f ca="1">IFERROR(__xludf.DUMMYFUNCTION("""COMPUTED_VALUE"""),50)</f>
        <v>50</v>
      </c>
      <c r="G187">
        <f ca="1">IFERROR(__xludf.DUMMYFUNCTION("""COMPUTED_VALUE"""),72)</f>
        <v>72</v>
      </c>
      <c r="H187">
        <f ca="1">IFERROR(__xludf.DUMMYFUNCTION("""COMPUTED_VALUE"""),-4)</f>
        <v>-4</v>
      </c>
    </row>
    <row r="188" spans="1:8" ht="12.75">
      <c r="A188">
        <f ca="1">IFERROR(__xludf.DUMMYFUNCTION("""COMPUTED_VALUE"""),187)</f>
        <v>187</v>
      </c>
      <c r="B188" t="str">
        <f ca="1">IFERROR(__xludf.DUMMYFUNCTION("""COMPUTED_VALUE"""),"T186")</f>
        <v>T186</v>
      </c>
      <c r="C188" t="str">
        <f ca="1">IFERROR(__xludf.DUMMYFUNCTION("""COMPUTED_VALUE"""),"Troy Merritt")</f>
        <v>Troy Merritt</v>
      </c>
      <c r="D188">
        <f ca="1">IFERROR(__xludf.DUMMYFUNCTION("""COMPUTED_VALUE"""),20)</f>
        <v>20</v>
      </c>
      <c r="E188">
        <f ca="1">IFERROR(__xludf.DUMMYFUNCTION("""COMPUTED_VALUE"""),69.1)</f>
        <v>69.099999999999994</v>
      </c>
      <c r="F188">
        <f ca="1">IFERROR(__xludf.DUMMYFUNCTION("""COMPUTED_VALUE"""),199)</f>
        <v>199</v>
      </c>
      <c r="G188">
        <f ca="1">IFERROR(__xludf.DUMMYFUNCTION("""COMPUTED_VALUE"""),288)</f>
        <v>288</v>
      </c>
      <c r="H188">
        <f ca="1">IFERROR(__xludf.DUMMYFUNCTION("""COMPUTED_VALUE"""),-47)</f>
        <v>-47</v>
      </c>
    </row>
    <row r="189" spans="1:8" ht="12.75">
      <c r="A189">
        <f ca="1">IFERROR(__xludf.DUMMYFUNCTION("""COMPUTED_VALUE"""),188)</f>
        <v>188</v>
      </c>
      <c r="B189">
        <f ca="1">IFERROR(__xludf.DUMMYFUNCTION("""COMPUTED_VALUE"""),165)</f>
        <v>165</v>
      </c>
      <c r="C189" t="str">
        <f ca="1">IFERROR(__xludf.DUMMYFUNCTION("""COMPUTED_VALUE"""),"Kevin Chappell")</f>
        <v>Kevin Chappell</v>
      </c>
      <c r="D189">
        <f ca="1">IFERROR(__xludf.DUMMYFUNCTION("""COMPUTED_VALUE"""),16)</f>
        <v>16</v>
      </c>
      <c r="E189">
        <f ca="1">IFERROR(__xludf.DUMMYFUNCTION("""COMPUTED_VALUE"""),69.05)</f>
        <v>69.05</v>
      </c>
      <c r="F189">
        <f ca="1">IFERROR(__xludf.DUMMYFUNCTION("""COMPUTED_VALUE"""),174)</f>
        <v>174</v>
      </c>
      <c r="G189">
        <f ca="1">IFERROR(__xludf.DUMMYFUNCTION("""COMPUTED_VALUE"""),252)</f>
        <v>252</v>
      </c>
      <c r="H189">
        <f ca="1">IFERROR(__xludf.DUMMYFUNCTION("""COMPUTED_VALUE"""),-58)</f>
        <v>-58</v>
      </c>
    </row>
    <row r="190" spans="1:8" ht="12.75">
      <c r="A190" t="str">
        <f ca="1">IFERROR(__xludf.DUMMYFUNCTION("""COMPUTED_VALUE"""),"T189")</f>
        <v>T189</v>
      </c>
      <c r="B190" t="str">
        <f ca="1">IFERROR(__xludf.DUMMYFUNCTION("""COMPUTED_VALUE"""),"T202")</f>
        <v>T202</v>
      </c>
      <c r="C190" t="str">
        <f ca="1">IFERROR(__xludf.DUMMYFUNCTION("""COMPUTED_VALUE"""),"Billy Horschel")</f>
        <v>Billy Horschel</v>
      </c>
      <c r="D190">
        <f ca="1">IFERROR(__xludf.DUMMYFUNCTION("""COMPUTED_VALUE"""),12)</f>
        <v>12</v>
      </c>
      <c r="E190">
        <f ca="1">IFERROR(__xludf.DUMMYFUNCTION("""COMPUTED_VALUE"""),68.98)</f>
        <v>68.98</v>
      </c>
      <c r="F190">
        <f ca="1">IFERROR(__xludf.DUMMYFUNCTION("""COMPUTED_VALUE"""),149)</f>
        <v>149</v>
      </c>
      <c r="G190">
        <f ca="1">IFERROR(__xludf.DUMMYFUNCTION("""COMPUTED_VALUE"""),216)</f>
        <v>216</v>
      </c>
      <c r="H190">
        <f ca="1">IFERROR(__xludf.DUMMYFUNCTION("""COMPUTED_VALUE"""),-45)</f>
        <v>-45</v>
      </c>
    </row>
    <row r="191" spans="1:8" ht="12.75">
      <c r="A191" t="str">
        <f ca="1">IFERROR(__xludf.DUMMYFUNCTION("""COMPUTED_VALUE"""),"T189")</f>
        <v>T189</v>
      </c>
      <c r="B191" t="str">
        <f ca="1">IFERROR(__xludf.DUMMYFUNCTION("""COMPUTED_VALUE"""),"T202")</f>
        <v>T202</v>
      </c>
      <c r="C191" t="str">
        <f ca="1">IFERROR(__xludf.DUMMYFUNCTION("""COMPUTED_VALUE"""),"Louis Oosthuizen")</f>
        <v>Louis Oosthuizen</v>
      </c>
      <c r="D191">
        <f ca="1">IFERROR(__xludf.DUMMYFUNCTION("""COMPUTED_VALUE"""),12)</f>
        <v>12</v>
      </c>
      <c r="E191">
        <f ca="1">IFERROR(__xludf.DUMMYFUNCTION("""COMPUTED_VALUE"""),68.98)</f>
        <v>68.98</v>
      </c>
      <c r="F191">
        <f ca="1">IFERROR(__xludf.DUMMYFUNCTION("""COMPUTED_VALUE"""),149)</f>
        <v>149</v>
      </c>
      <c r="G191">
        <f ca="1">IFERROR(__xludf.DUMMYFUNCTION("""COMPUTED_VALUE"""),216)</f>
        <v>216</v>
      </c>
      <c r="H191">
        <f ca="1">IFERROR(__xludf.DUMMYFUNCTION("""COMPUTED_VALUE"""),-49)</f>
        <v>-49</v>
      </c>
    </row>
    <row r="192" spans="1:8" ht="12.75">
      <c r="A192" t="str">
        <f ca="1">IFERROR(__xludf.DUMMYFUNCTION("""COMPUTED_VALUE"""),"T191")</f>
        <v>T191</v>
      </c>
      <c r="B192">
        <f ca="1">IFERROR(__xludf.DUMMYFUNCTION("""COMPUTED_VALUE"""),204)</f>
        <v>204</v>
      </c>
      <c r="C192" t="str">
        <f ca="1">IFERROR(__xludf.DUMMYFUNCTION("""COMPUTED_VALUE"""),"Justin Rose")</f>
        <v>Justin Rose</v>
      </c>
      <c r="D192">
        <f ca="1">IFERROR(__xludf.DUMMYFUNCTION("""COMPUTED_VALUE"""),10)</f>
        <v>10</v>
      </c>
      <c r="E192">
        <f ca="1">IFERROR(__xludf.DUMMYFUNCTION("""COMPUTED_VALUE"""),68.89)</f>
        <v>68.89</v>
      </c>
      <c r="F192">
        <f ca="1">IFERROR(__xludf.DUMMYFUNCTION("""COMPUTED_VALUE"""),124)</f>
        <v>124</v>
      </c>
      <c r="G192">
        <f ca="1">IFERROR(__xludf.DUMMYFUNCTION("""COMPUTED_VALUE"""),180)</f>
        <v>180</v>
      </c>
      <c r="H192">
        <f ca="1">IFERROR(__xludf.DUMMYFUNCTION("""COMPUTED_VALUE"""),-49)</f>
        <v>-49</v>
      </c>
    </row>
    <row r="193" spans="1:8" ht="12.75">
      <c r="A193" t="str">
        <f ca="1">IFERROR(__xludf.DUMMYFUNCTION("""COMPUTED_VALUE"""),"T191")</f>
        <v>T191</v>
      </c>
      <c r="B193" t="str">
        <f ca="1">IFERROR(__xludf.DUMMYFUNCTION("""COMPUTED_VALUE"""),"T156")</f>
        <v>T156</v>
      </c>
      <c r="C193" t="str">
        <f ca="1">IFERROR(__xludf.DUMMYFUNCTION("""COMPUTED_VALUE"""),"Luke Donald")</f>
        <v>Luke Donald</v>
      </c>
      <c r="D193">
        <f ca="1">IFERROR(__xludf.DUMMYFUNCTION("""COMPUTED_VALUE"""),14)</f>
        <v>14</v>
      </c>
      <c r="E193">
        <f ca="1">IFERROR(__xludf.DUMMYFUNCTION("""COMPUTED_VALUE"""),68.89)</f>
        <v>68.89</v>
      </c>
      <c r="F193">
        <f ca="1">IFERROR(__xludf.DUMMYFUNCTION("""COMPUTED_VALUE"""),124)</f>
        <v>124</v>
      </c>
      <c r="G193">
        <f ca="1">IFERROR(__xludf.DUMMYFUNCTION("""COMPUTED_VALUE"""),180)</f>
        <v>180</v>
      </c>
      <c r="H193">
        <f ca="1">IFERROR(__xludf.DUMMYFUNCTION("""COMPUTED_VALUE"""),-31)</f>
        <v>-31</v>
      </c>
    </row>
    <row r="194" spans="1:8" ht="12.75">
      <c r="A194" t="str">
        <f ca="1">IFERROR(__xludf.DUMMYFUNCTION("""COMPUTED_VALUE"""),"T191")</f>
        <v>T191</v>
      </c>
      <c r="B194" t="str">
        <f ca="1">IFERROR(__xludf.DUMMYFUNCTION("""COMPUTED_VALUE"""),"T222")</f>
        <v>T222</v>
      </c>
      <c r="C194" t="str">
        <f ca="1">IFERROR(__xludf.DUMMYFUNCTION("""COMPUTED_VALUE"""),"Erik van Rooyen")</f>
        <v>Erik van Rooyen</v>
      </c>
      <c r="D194">
        <f ca="1">IFERROR(__xludf.DUMMYFUNCTION("""COMPUTED_VALUE"""),10)</f>
        <v>10</v>
      </c>
      <c r="E194">
        <f ca="1">IFERROR(__xludf.DUMMYFUNCTION("""COMPUTED_VALUE"""),68.89)</f>
        <v>68.89</v>
      </c>
      <c r="F194">
        <f ca="1">IFERROR(__xludf.DUMMYFUNCTION("""COMPUTED_VALUE"""),124)</f>
        <v>124</v>
      </c>
      <c r="G194">
        <f ca="1">IFERROR(__xludf.DUMMYFUNCTION("""COMPUTED_VALUE"""),180)</f>
        <v>180</v>
      </c>
      <c r="H194">
        <f ca="1">IFERROR(__xludf.DUMMYFUNCTION("""COMPUTED_VALUE"""),-33)</f>
        <v>-33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IFERROR(__xludf.DUMMYFUNCTION("""COMPUTED_VALUE"""),"T205")</f>
        <v>T205</v>
      </c>
      <c r="C195" t="str">
        <f ca="1">IFERROR(__xludf.DUMMYFUNCTION("""COMPUTED_VALUE"""),"Patrick Reed")</f>
        <v>Patrick Reed</v>
      </c>
      <c r="D195">
        <f ca="1">IFERROR(__xludf.DUMMYFUNCTION("""COMPUTED_VALUE"""),8)</f>
        <v>8</v>
      </c>
      <c r="E195">
        <f ca="1">IFERROR(__xludf.DUMMYFUNCTION("""COMPUTED_VALUE"""),68.75)</f>
        <v>68.75</v>
      </c>
      <c r="F195">
        <f ca="1">IFERROR(__xludf.DUMMYFUNCTION("""COMPUTED_VALUE"""),99)</f>
        <v>99</v>
      </c>
      <c r="G195">
        <f ca="1">IFERROR(__xludf.DUMMYFUNCTION("""COMPUTED_VALUE"""),144)</f>
        <v>144</v>
      </c>
      <c r="H195">
        <f ca="1">IFERROR(__xludf.DUMMYFUNCTION("""COMPUTED_VALUE"""),-46)</f>
        <v>-46</v>
      </c>
    </row>
    <row r="196" spans="1:8" ht="12.75">
      <c r="A196" t="str">
        <f ca="1">IFERROR(__xludf.DUMMYFUNCTION("""COMPUTED_VALUE"""),"T194")</f>
        <v>T194</v>
      </c>
      <c r="B196" t="str">
        <f ca="1">IFERROR(__xludf.DUMMYFUNCTION("""COMPUTED_VALUE"""),"T205")</f>
        <v>T205</v>
      </c>
      <c r="C196" t="str">
        <f ca="1">IFERROR(__xludf.DUMMYFUNCTION("""COMPUTED_VALUE"""),"Charles Howell III")</f>
        <v>Charles Howell III</v>
      </c>
      <c r="D196">
        <f ca="1">IFERROR(__xludf.DUMMYFUNCTION("""COMPUTED_VALUE"""),10)</f>
        <v>10</v>
      </c>
      <c r="E196">
        <f ca="1">IFERROR(__xludf.DUMMYFUNCTION("""COMPUTED_VALUE"""),68.75)</f>
        <v>68.75</v>
      </c>
      <c r="F196">
        <f ca="1">IFERROR(__xludf.DUMMYFUNCTION("""COMPUTED_VALUE"""),99)</f>
        <v>99</v>
      </c>
      <c r="G196">
        <f ca="1">IFERROR(__xludf.DUMMYFUNCTION("""COMPUTED_VALUE"""),144)</f>
        <v>144</v>
      </c>
      <c r="H196">
        <f ca="1">IFERROR(__xludf.DUMMYFUNCTION("""COMPUTED_VALUE"""),-29)</f>
        <v>-29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IFERROR(__xludf.DUMMYFUNCTION("""COMPUTED_VALUE"""),"T119")</f>
        <v>T119</v>
      </c>
      <c r="C197" t="str">
        <f ca="1">IFERROR(__xludf.DUMMYFUNCTION("""COMPUTED_VALUE"""),"David Hearn")</f>
        <v>David Hearn</v>
      </c>
      <c r="D197">
        <f ca="1">IFERROR(__xludf.DUMMYFUNCTION("""COMPUTED_VALUE"""),16)</f>
        <v>16</v>
      </c>
      <c r="E197">
        <f ca="1">IFERROR(__xludf.DUMMYFUNCTION("""COMPUTED_VALUE"""),68.75)</f>
        <v>68.75</v>
      </c>
      <c r="F197">
        <f ca="1">IFERROR(__xludf.DUMMYFUNCTION("""COMPUTED_VALUE"""),99)</f>
        <v>99</v>
      </c>
      <c r="G197">
        <f ca="1">IFERROR(__xludf.DUMMYFUNCTION("""COMPUTED_VALUE"""),144)</f>
        <v>144</v>
      </c>
      <c r="H197">
        <f ca="1">IFERROR(__xludf.DUMMYFUNCTION("""COMPUTED_VALUE"""),-29)</f>
        <v>-29</v>
      </c>
    </row>
    <row r="198" spans="1:8" ht="12.75">
      <c r="A198">
        <f ca="1">IFERROR(__xludf.DUMMYFUNCTION("""COMPUTED_VALUE"""),197)</f>
        <v>197</v>
      </c>
      <c r="B198" t="str">
        <f ca="1">IFERROR(__xludf.DUMMYFUNCTION("""COMPUTED_VALUE"""),"T162")</f>
        <v>T162</v>
      </c>
      <c r="C198" t="str">
        <f ca="1">IFERROR(__xludf.DUMMYFUNCTION("""COMPUTED_VALUE"""),"Kyoung-Hoon Lee")</f>
        <v>Kyoung-Hoon Lee</v>
      </c>
      <c r="D198">
        <f ca="1">IFERROR(__xludf.DUMMYFUNCTION("""COMPUTED_VALUE"""),20)</f>
        <v>20</v>
      </c>
      <c r="E198">
        <f ca="1">IFERROR(__xludf.DUMMYFUNCTION("""COMPUTED_VALUE"""),68.65)</f>
        <v>68.650000000000006</v>
      </c>
      <c r="F198">
        <f ca="1">IFERROR(__xludf.DUMMYFUNCTION("""COMPUTED_VALUE"""),173)</f>
        <v>173</v>
      </c>
      <c r="G198">
        <f ca="1">IFERROR(__xludf.DUMMYFUNCTION("""COMPUTED_VALUE"""),252)</f>
        <v>252</v>
      </c>
      <c r="H198">
        <f ca="1">IFERROR(__xludf.DUMMYFUNCTION("""COMPUTED_VALUE"""),-44)</f>
        <v>-44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IFERROR(__xludf.DUMMYFUNCTION("""COMPUTED_VALUE"""),"T179")</f>
        <v>T179</v>
      </c>
      <c r="C199" t="str">
        <f ca="1">IFERROR(__xludf.DUMMYFUNCTION("""COMPUTED_VALUE"""),"Mackenzie Hughes")</f>
        <v>Mackenzie Hughes</v>
      </c>
      <c r="D199">
        <f ca="1">IFERROR(__xludf.DUMMYFUNCTION("""COMPUTED_VALUE"""),18)</f>
        <v>18</v>
      </c>
      <c r="E199">
        <f ca="1">IFERROR(__xludf.DUMMYFUNCTION("""COMPUTED_VALUE"""),68.25)</f>
        <v>68.25</v>
      </c>
      <c r="F199">
        <f ca="1">IFERROR(__xludf.DUMMYFUNCTION("""COMPUTED_VALUE"""),172)</f>
        <v>172</v>
      </c>
      <c r="G199">
        <f ca="1">IFERROR(__xludf.DUMMYFUNCTION("""COMPUTED_VALUE"""),252)</f>
        <v>252</v>
      </c>
      <c r="H199">
        <f ca="1">IFERROR(__xludf.DUMMYFUNCTION("""COMPUTED_VALUE"""),-69)</f>
        <v>-69</v>
      </c>
    </row>
    <row r="200" spans="1:8" ht="12.75">
      <c r="A200" t="str">
        <f ca="1">IFERROR(__xludf.DUMMYFUNCTION("""COMPUTED_VALUE"""),"T199")</f>
        <v>T199</v>
      </c>
      <c r="B200" t="str">
        <f ca="1">IFERROR(__xludf.DUMMYFUNCTION("""COMPUTED_VALUE"""),"T210")</f>
        <v>T210</v>
      </c>
      <c r="C200" t="str">
        <f ca="1">IFERROR(__xludf.DUMMYFUNCTION("""COMPUTED_VALUE"""),"Daniel Berger")</f>
        <v>Daniel Berger</v>
      </c>
      <c r="D200">
        <f ca="1">IFERROR(__xludf.DUMMYFUNCTION("""COMPUTED_VALUE"""),12)</f>
        <v>12</v>
      </c>
      <c r="E200">
        <f ca="1">IFERROR(__xludf.DUMMYFUNCTION("""COMPUTED_VALUE"""),68.06)</f>
        <v>68.06</v>
      </c>
      <c r="F200">
        <f ca="1">IFERROR(__xludf.DUMMYFUNCTION("""COMPUTED_VALUE"""),147)</f>
        <v>147</v>
      </c>
      <c r="G200">
        <f ca="1">IFERROR(__xludf.DUMMYFUNCTION("""COMPUTED_VALUE"""),216)</f>
        <v>216</v>
      </c>
      <c r="H200">
        <f ca="1">IFERROR(__xludf.DUMMYFUNCTION("""COMPUTED_VALUE"""),-51)</f>
        <v>-51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IFERROR(__xludf.DUMMYFUNCTION("""COMPUTED_VALUE"""),"T210")</f>
        <v>T210</v>
      </c>
      <c r="C201" t="str">
        <f ca="1">IFERROR(__xludf.DUMMYFUNCTION("""COMPUTED_VALUE"""),"Thomas Pieters")</f>
        <v>Thomas Pieters</v>
      </c>
      <c r="D201">
        <f ca="1">IFERROR(__xludf.DUMMYFUNCTION("""COMPUTED_VALUE"""),4)</f>
        <v>4</v>
      </c>
      <c r="E201">
        <f ca="1">IFERROR(__xludf.DUMMYFUNCTION("""COMPUTED_VALUE"""),68.06)</f>
        <v>68.06</v>
      </c>
      <c r="F201">
        <f ca="1">IFERROR(__xludf.DUMMYFUNCTION("""COMPUTED_VALUE"""),49)</f>
        <v>49</v>
      </c>
      <c r="G201">
        <f ca="1">IFERROR(__xludf.DUMMYFUNCTION("""COMPUTED_VALUE"""),72)</f>
        <v>72</v>
      </c>
      <c r="H201">
        <f ca="1">IFERROR(__xludf.DUMMYFUNCTION("""COMPUTED_VALUE"""),-6)</f>
        <v>-6</v>
      </c>
    </row>
    <row r="202" spans="1:8" ht="12.75">
      <c r="A202" t="str">
        <f ca="1">IFERROR(__xludf.DUMMYFUNCTION("""COMPUTED_VALUE"""),"T199")</f>
        <v>T199</v>
      </c>
      <c r="B202" t="str">
        <f ca="1">IFERROR(__xludf.DUMMYFUNCTION("""COMPUTED_VALUE"""),"T210")</f>
        <v>T210</v>
      </c>
      <c r="C202" t="str">
        <f ca="1">IFERROR(__xludf.DUMMYFUNCTION("""COMPUTED_VALUE"""),"Matt Every")</f>
        <v>Matt Every</v>
      </c>
      <c r="D202">
        <f ca="1">IFERROR(__xludf.DUMMYFUNCTION("""COMPUTED_VALUE"""),8)</f>
        <v>8</v>
      </c>
      <c r="E202">
        <f ca="1">IFERROR(__xludf.DUMMYFUNCTION("""COMPUTED_VALUE"""),68.06)</f>
        <v>68.06</v>
      </c>
      <c r="F202">
        <f ca="1">IFERROR(__xludf.DUMMYFUNCTION("""COMPUTED_VALUE"""),49)</f>
        <v>49</v>
      </c>
      <c r="G202">
        <f ca="1">IFERROR(__xludf.DUMMYFUNCTION("""COMPUTED_VALUE"""),72)</f>
        <v>72</v>
      </c>
      <c r="H202">
        <f ca="1">IFERROR(__xludf.DUMMYFUNCTION("""COMPUTED_VALUE"""),-11)</f>
        <v>-11</v>
      </c>
    </row>
    <row r="203" spans="1:8" ht="12.75">
      <c r="A203" t="str">
        <f ca="1">IFERROR(__xludf.DUMMYFUNCTION("""COMPUTED_VALUE"""),"T199")</f>
        <v>T199</v>
      </c>
      <c r="B203" t="str">
        <f ca="1">IFERROR(__xludf.DUMMYFUNCTION("""COMPUTED_VALUE"""),"T119")</f>
        <v>T119</v>
      </c>
      <c r="C203" t="str">
        <f ca="1">IFERROR(__xludf.DUMMYFUNCTION("""COMPUTED_VALUE"""),"Scott Harrington")</f>
        <v>Scott Harrington</v>
      </c>
      <c r="D203">
        <f ca="1">IFERROR(__xludf.DUMMYFUNCTION("""COMPUTED_VALUE"""),18)</f>
        <v>18</v>
      </c>
      <c r="E203">
        <f ca="1">IFERROR(__xludf.DUMMYFUNCTION("""COMPUTED_VALUE"""),68.06)</f>
        <v>68.06</v>
      </c>
      <c r="F203">
        <f ca="1">IFERROR(__xludf.DUMMYFUNCTION("""COMPUTED_VALUE"""),147)</f>
        <v>147</v>
      </c>
      <c r="G203">
        <f ca="1">IFERROR(__xludf.DUMMYFUNCTION("""COMPUTED_VALUE"""),216)</f>
        <v>216</v>
      </c>
      <c r="H203">
        <f ca="1">IFERROR(__xludf.DUMMYFUNCTION("""COMPUTED_VALUE"""),-53)</f>
        <v>-53</v>
      </c>
    </row>
    <row r="204" spans="1:8" ht="12.75">
      <c r="A204" t="str">
        <f ca="1">IFERROR(__xludf.DUMMYFUNCTION("""COMPUTED_VALUE"""),"T199")</f>
        <v>T199</v>
      </c>
      <c r="B204" t="str">
        <f ca="1">IFERROR(__xludf.DUMMYFUNCTION("""COMPUTED_VALUE"""),"T210")</f>
        <v>T210</v>
      </c>
      <c r="C204" t="str">
        <f ca="1">IFERROR(__xludf.DUMMYFUNCTION("""COMPUTED_VALUE"""),"Rafa Cabrera Bello")</f>
        <v>Rafa Cabrera Bello</v>
      </c>
      <c r="D204">
        <f ca="1">IFERROR(__xludf.DUMMYFUNCTION("""COMPUTED_VALUE"""),14)</f>
        <v>14</v>
      </c>
      <c r="E204">
        <f ca="1">IFERROR(__xludf.DUMMYFUNCTION("""COMPUTED_VALUE"""),68.06)</f>
        <v>68.06</v>
      </c>
      <c r="F204">
        <f ca="1">IFERROR(__xludf.DUMMYFUNCTION("""COMPUTED_VALUE"""),147)</f>
        <v>147</v>
      </c>
      <c r="G204">
        <f ca="1">IFERROR(__xludf.DUMMYFUNCTION("""COMPUTED_VALUE"""),216)</f>
        <v>216</v>
      </c>
      <c r="H204">
        <f ca="1">IFERROR(__xludf.DUMMYFUNCTION("""COMPUTED_VALUE"""),-51)</f>
        <v>-51</v>
      </c>
    </row>
    <row r="205" spans="1:8" ht="12.75">
      <c r="A205" t="str">
        <f ca="1">IFERROR(__xludf.DUMMYFUNCTION("""COMPUTED_VALUE"""),"T199")</f>
        <v>T199</v>
      </c>
      <c r="B205" t="str">
        <f ca="1">IFERROR(__xludf.DUMMYFUNCTION("""COMPUTED_VALUE"""),"T186")</f>
        <v>T186</v>
      </c>
      <c r="C205" t="str">
        <f ca="1">IFERROR(__xludf.DUMMYFUNCTION("""COMPUTED_VALUE"""),"Phil Mickelson")</f>
        <v>Phil Mickelson</v>
      </c>
      <c r="D205">
        <f ca="1">IFERROR(__xludf.DUMMYFUNCTION("""COMPUTED_VALUE"""),12)</f>
        <v>12</v>
      </c>
      <c r="E205">
        <f ca="1">IFERROR(__xludf.DUMMYFUNCTION("""COMPUTED_VALUE"""),68.06)</f>
        <v>68.06</v>
      </c>
      <c r="F205">
        <f ca="1">IFERROR(__xludf.DUMMYFUNCTION("""COMPUTED_VALUE"""),147)</f>
        <v>147</v>
      </c>
      <c r="G205">
        <f ca="1">IFERROR(__xludf.DUMMYFUNCTION("""COMPUTED_VALUE"""),216)</f>
        <v>216</v>
      </c>
      <c r="H205">
        <f ca="1">IFERROR(__xludf.DUMMYFUNCTION("""COMPUTED_VALUE"""),-44)</f>
        <v>-44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IFERROR(__xludf.DUMMYFUNCTION("""COMPUTED_VALUE"""),"T186")</f>
        <v>T186</v>
      </c>
      <c r="C206" t="str">
        <f ca="1">IFERROR(__xludf.DUMMYFUNCTION("""COMPUTED_VALUE"""),"Ryan Armour")</f>
        <v>Ryan Armour</v>
      </c>
      <c r="D206">
        <f ca="1">IFERROR(__xludf.DUMMYFUNCTION("""COMPUTED_VALUE"""),16)</f>
        <v>16</v>
      </c>
      <c r="E206">
        <f ca="1">IFERROR(__xludf.DUMMYFUNCTION("""COMPUTED_VALUE"""),67.78)</f>
        <v>67.78</v>
      </c>
      <c r="F206">
        <f ca="1">IFERROR(__xludf.DUMMYFUNCTION("""COMPUTED_VALUE"""),122)</f>
        <v>122</v>
      </c>
      <c r="G206">
        <f ca="1">IFERROR(__xludf.DUMMYFUNCTION("""COMPUTED_VALUE"""),180)</f>
        <v>180</v>
      </c>
      <c r="H206">
        <f ca="1">IFERROR(__xludf.DUMMYFUNCTION("""COMPUTED_VALUE"""),-31)</f>
        <v>-31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IFERROR(__xludf.DUMMYFUNCTION("""COMPUTED_VALUE"""),"T169")</f>
        <v>T169</v>
      </c>
      <c r="C207" t="str">
        <f ca="1">IFERROR(__xludf.DUMMYFUNCTION("""COMPUTED_VALUE"""),"Fabián Gómez")</f>
        <v>Fabián Gómez</v>
      </c>
      <c r="D207">
        <f ca="1">IFERROR(__xludf.DUMMYFUNCTION("""COMPUTED_VALUE"""),16)</f>
        <v>16</v>
      </c>
      <c r="E207">
        <f ca="1">IFERROR(__xludf.DUMMYFUNCTION("""COMPUTED_VALUE"""),67.78)</f>
        <v>67.78</v>
      </c>
      <c r="F207">
        <f ca="1">IFERROR(__xludf.DUMMYFUNCTION("""COMPUTED_VALUE"""),122)</f>
        <v>122</v>
      </c>
      <c r="G207">
        <f ca="1">IFERROR(__xludf.DUMMYFUNCTION("""COMPUTED_VALUE"""),180)</f>
        <v>180</v>
      </c>
      <c r="H207">
        <f ca="1">IFERROR(__xludf.DUMMYFUNCTION("""COMPUTED_VALUE"""),-31)</f>
        <v>-31</v>
      </c>
    </row>
    <row r="208" spans="1:8" ht="12.75">
      <c r="A208" t="str">
        <f ca="1">IFERROR(__xludf.DUMMYFUNCTION("""COMPUTED_VALUE"""),"T205")</f>
        <v>T205</v>
      </c>
      <c r="B208">
        <f ca="1">IFERROR(__xludf.DUMMYFUNCTION("""COMPUTED_VALUE"""),215)</f>
        <v>215</v>
      </c>
      <c r="C208" t="str">
        <f ca="1">IFERROR(__xludf.DUMMYFUNCTION("""COMPUTED_VALUE"""),"Kevin Kisner")</f>
        <v>Kevin Kisner</v>
      </c>
      <c r="D208">
        <f ca="1">IFERROR(__xludf.DUMMYFUNCTION("""COMPUTED_VALUE"""),10)</f>
        <v>10</v>
      </c>
      <c r="E208">
        <f ca="1">IFERROR(__xludf.DUMMYFUNCTION("""COMPUTED_VALUE"""),67.78)</f>
        <v>67.78</v>
      </c>
      <c r="F208">
        <f ca="1">IFERROR(__xludf.DUMMYFUNCTION("""COMPUTED_VALUE"""),122)</f>
        <v>122</v>
      </c>
      <c r="G208">
        <f ca="1">IFERROR(__xludf.DUMMYFUNCTION("""COMPUTED_VALUE"""),180)</f>
        <v>180</v>
      </c>
      <c r="H208">
        <f ca="1">IFERROR(__xludf.DUMMYFUNCTION("""COMPUTED_VALUE"""),-44)</f>
        <v>-44</v>
      </c>
    </row>
    <row r="209" spans="1:8" ht="12.75">
      <c r="A209" t="str">
        <f ca="1">IFERROR(__xludf.DUMMYFUNCTION("""COMPUTED_VALUE"""),"T205")</f>
        <v>T205</v>
      </c>
      <c r="B209" t="str">
        <f ca="1">IFERROR(__xludf.DUMMYFUNCTION("""COMPUTED_VALUE"""),"T186")</f>
        <v>T186</v>
      </c>
      <c r="C209" t="str">
        <f ca="1">IFERROR(__xludf.DUMMYFUNCTION("""COMPUTED_VALUE"""),"Scott Brown")</f>
        <v>Scott Brown</v>
      </c>
      <c r="D209">
        <f ca="1">IFERROR(__xludf.DUMMYFUNCTION("""COMPUTED_VALUE"""),14)</f>
        <v>14</v>
      </c>
      <c r="E209">
        <f ca="1">IFERROR(__xludf.DUMMYFUNCTION("""COMPUTED_VALUE"""),67.78)</f>
        <v>67.78</v>
      </c>
      <c r="F209">
        <f ca="1">IFERROR(__xludf.DUMMYFUNCTION("""COMPUTED_VALUE"""),122)</f>
        <v>122</v>
      </c>
      <c r="G209">
        <f ca="1">IFERROR(__xludf.DUMMYFUNCTION("""COMPUTED_VALUE"""),180)</f>
        <v>180</v>
      </c>
      <c r="H209">
        <f ca="1">IFERROR(__xludf.DUMMYFUNCTION("""COMPUTED_VALUE"""),-35)</f>
        <v>-35</v>
      </c>
    </row>
    <row r="210" spans="1:8" ht="12.75">
      <c r="A210" t="str">
        <f ca="1">IFERROR(__xludf.DUMMYFUNCTION("""COMPUTED_VALUE"""),"T205")</f>
        <v>T205</v>
      </c>
      <c r="B210" t="str">
        <f ca="1">IFERROR(__xludf.DUMMYFUNCTION("""COMPUTED_VALUE"""),"T166")</f>
        <v>T166</v>
      </c>
      <c r="C210" t="str">
        <f ca="1">IFERROR(__xludf.DUMMYFUNCTION("""COMPUTED_VALUE"""),"Tom Lewis")</f>
        <v>Tom Lewis</v>
      </c>
      <c r="D210">
        <f ca="1">IFERROR(__xludf.DUMMYFUNCTION("""COMPUTED_VALUE"""),12)</f>
        <v>12</v>
      </c>
      <c r="E210">
        <f ca="1">IFERROR(__xludf.DUMMYFUNCTION("""COMPUTED_VALUE"""),67.78)</f>
        <v>67.78</v>
      </c>
      <c r="F210">
        <f ca="1">IFERROR(__xludf.DUMMYFUNCTION("""COMPUTED_VALUE"""),122)</f>
        <v>122</v>
      </c>
      <c r="G210">
        <f ca="1">IFERROR(__xludf.DUMMYFUNCTION("""COMPUTED_VALUE"""),180)</f>
        <v>180</v>
      </c>
      <c r="H210">
        <f ca="1">IFERROR(__xludf.DUMMYFUNCTION("""COMPUTED_VALUE"""),-31)</f>
        <v>-31</v>
      </c>
    </row>
    <row r="211" spans="1:8" ht="12.75">
      <c r="A211" t="str">
        <f ca="1">IFERROR(__xludf.DUMMYFUNCTION("""COMPUTED_VALUE"""),"T210")</f>
        <v>T210</v>
      </c>
      <c r="B211" t="str">
        <f ca="1">IFERROR(__xludf.DUMMYFUNCTION("""COMPUTED_VALUE"""),"T104")</f>
        <v>T104</v>
      </c>
      <c r="C211" t="str">
        <f ca="1">IFERROR(__xludf.DUMMYFUNCTION("""COMPUTED_VALUE"""),"Keith Mitchell")</f>
        <v>Keith Mitchell</v>
      </c>
      <c r="D211">
        <f ca="1">IFERROR(__xludf.DUMMYFUNCTION("""COMPUTED_VALUE"""),14)</f>
        <v>14</v>
      </c>
      <c r="E211">
        <f ca="1">IFERROR(__xludf.DUMMYFUNCTION("""COMPUTED_VALUE"""),67.59)</f>
        <v>67.59</v>
      </c>
      <c r="F211">
        <f ca="1">IFERROR(__xludf.DUMMYFUNCTION("""COMPUTED_VALUE"""),73)</f>
        <v>73</v>
      </c>
      <c r="G211">
        <f ca="1">IFERROR(__xludf.DUMMYFUNCTION("""COMPUTED_VALUE"""),108)</f>
        <v>108</v>
      </c>
      <c r="H211">
        <f ca="1">IFERROR(__xludf.DUMMYFUNCTION("""COMPUTED_VALUE"""),-14)</f>
        <v>-14</v>
      </c>
    </row>
    <row r="212" spans="1:8" ht="12.75">
      <c r="A212" t="str">
        <f ca="1">IFERROR(__xludf.DUMMYFUNCTION("""COMPUTED_VALUE"""),"T210")</f>
        <v>T210</v>
      </c>
      <c r="B212" t="str">
        <f ca="1">IFERROR(__xludf.DUMMYFUNCTION("""COMPUTED_VALUE"""),"T186")</f>
        <v>T186</v>
      </c>
      <c r="C212" t="str">
        <f ca="1">IFERROR(__xludf.DUMMYFUNCTION("""COMPUTED_VALUE"""),"Satoshi Kodaira")</f>
        <v>Satoshi Kodaira</v>
      </c>
      <c r="D212">
        <f ca="1">IFERROR(__xludf.DUMMYFUNCTION("""COMPUTED_VALUE"""),12)</f>
        <v>12</v>
      </c>
      <c r="E212">
        <f ca="1">IFERROR(__xludf.DUMMYFUNCTION("""COMPUTED_VALUE"""),67.59)</f>
        <v>67.59</v>
      </c>
      <c r="F212">
        <f ca="1">IFERROR(__xludf.DUMMYFUNCTION("""COMPUTED_VALUE"""),146)</f>
        <v>146</v>
      </c>
      <c r="G212">
        <f ca="1">IFERROR(__xludf.DUMMYFUNCTION("""COMPUTED_VALUE"""),216)</f>
        <v>216</v>
      </c>
      <c r="H212">
        <f ca="1">IFERROR(__xludf.DUMMYFUNCTION("""COMPUTED_VALUE"""),-43)</f>
        <v>-43</v>
      </c>
    </row>
    <row r="213" spans="1:8" ht="12.75">
      <c r="A213">
        <f ca="1">IFERROR(__xludf.DUMMYFUNCTION("""COMPUTED_VALUE"""),212)</f>
        <v>212</v>
      </c>
      <c r="B213" t="str">
        <f ca="1">IFERROR(__xludf.DUMMYFUNCTION("""COMPUTED_VALUE"""),"T222")</f>
        <v>T222</v>
      </c>
      <c r="C213" t="str">
        <f ca="1">IFERROR(__xludf.DUMMYFUNCTION("""COMPUTED_VALUE"""),"Mark Hubbard")</f>
        <v>Mark Hubbard</v>
      </c>
      <c r="D213">
        <f ca="1">IFERROR(__xludf.DUMMYFUNCTION("""COMPUTED_VALUE"""),20)</f>
        <v>20</v>
      </c>
      <c r="E213">
        <f ca="1">IFERROR(__xludf.DUMMYFUNCTION("""COMPUTED_VALUE"""),67.5)</f>
        <v>67.5</v>
      </c>
      <c r="F213">
        <f ca="1">IFERROR(__xludf.DUMMYFUNCTION("""COMPUTED_VALUE"""),243)</f>
        <v>243</v>
      </c>
      <c r="G213">
        <f ca="1">IFERROR(__xludf.DUMMYFUNCTION("""COMPUTED_VALUE"""),360)</f>
        <v>360</v>
      </c>
      <c r="H213">
        <f ca="1">IFERROR(__xludf.DUMMYFUNCTION("""COMPUTED_VALUE"""),-81)</f>
        <v>-81</v>
      </c>
    </row>
    <row r="214" spans="1:8" ht="12.75">
      <c r="A214" t="str">
        <f ca="1">IFERROR(__xludf.DUMMYFUNCTION("""COMPUTED_VALUE"""),"T213")</f>
        <v>T213</v>
      </c>
      <c r="B214" t="str">
        <f ca="1">IFERROR(__xludf.DUMMYFUNCTION("""COMPUTED_VALUE"""),"T218")</f>
        <v>T218</v>
      </c>
      <c r="C214" t="str">
        <f ca="1">IFERROR(__xludf.DUMMYFUNCTION("""COMPUTED_VALUE"""),"Joohyung Kim")</f>
        <v>Joohyung Kim</v>
      </c>
      <c r="D214">
        <f ca="1">IFERROR(__xludf.DUMMYFUNCTION("""COMPUTED_VALUE"""),12)</f>
        <v>12</v>
      </c>
      <c r="E214">
        <f ca="1">IFERROR(__xludf.DUMMYFUNCTION("""COMPUTED_VALUE"""),67.36)</f>
        <v>67.36</v>
      </c>
      <c r="F214">
        <f ca="1">IFERROR(__xludf.DUMMYFUNCTION("""COMPUTED_VALUE"""),97)</f>
        <v>97</v>
      </c>
      <c r="G214">
        <f ca="1">IFERROR(__xludf.DUMMYFUNCTION("""COMPUTED_VALUE"""),144)</f>
        <v>144</v>
      </c>
      <c r="H214">
        <f ca="1">IFERROR(__xludf.DUMMYFUNCTION("""COMPUTED_VALUE"""),-29)</f>
        <v>-29</v>
      </c>
    </row>
    <row r="215" spans="1:8" ht="12.75">
      <c r="A215" t="str">
        <f ca="1">IFERROR(__xludf.DUMMYFUNCTION("""COMPUTED_VALUE"""),"T213")</f>
        <v>T213</v>
      </c>
      <c r="B215" t="str">
        <f ca="1">IFERROR(__xludf.DUMMYFUNCTION("""COMPUTED_VALUE"""),"T218")</f>
        <v>T218</v>
      </c>
      <c r="C215" t="str">
        <f ca="1">IFERROR(__xludf.DUMMYFUNCTION("""COMPUTED_VALUE"""),"Adam Hadwin")</f>
        <v>Adam Hadwin</v>
      </c>
      <c r="D215">
        <f ca="1">IFERROR(__xludf.DUMMYFUNCTION("""COMPUTED_VALUE"""),16)</f>
        <v>16</v>
      </c>
      <c r="E215">
        <f ca="1">IFERROR(__xludf.DUMMYFUNCTION("""COMPUTED_VALUE"""),67.36)</f>
        <v>67.36</v>
      </c>
      <c r="F215">
        <f ca="1">IFERROR(__xludf.DUMMYFUNCTION("""COMPUTED_VALUE"""),194)</f>
        <v>194</v>
      </c>
      <c r="G215">
        <f ca="1">IFERROR(__xludf.DUMMYFUNCTION("""COMPUTED_VALUE"""),288)</f>
        <v>288</v>
      </c>
      <c r="H215">
        <f ca="1">IFERROR(__xludf.DUMMYFUNCTION("""COMPUTED_VALUE"""),-62)</f>
        <v>-62</v>
      </c>
    </row>
    <row r="216" spans="1:8" ht="12.75">
      <c r="A216" t="str">
        <f ca="1">IFERROR(__xludf.DUMMYFUNCTION("""COMPUTED_VALUE"""),"T213")</f>
        <v>T213</v>
      </c>
      <c r="B216" t="str">
        <f ca="1">IFERROR(__xludf.DUMMYFUNCTION("""COMPUTED_VALUE"""),"T186")</f>
        <v>T186</v>
      </c>
      <c r="C216" t="str">
        <f ca="1">IFERROR(__xludf.DUMMYFUNCTION("""COMPUTED_VALUE"""),"Chris Kirk")</f>
        <v>Chris Kirk</v>
      </c>
      <c r="D216">
        <f ca="1">IFERROR(__xludf.DUMMYFUNCTION("""COMPUTED_VALUE"""),10)</f>
        <v>10</v>
      </c>
      <c r="E216">
        <f ca="1">IFERROR(__xludf.DUMMYFUNCTION("""COMPUTED_VALUE"""),67.36)</f>
        <v>67.36</v>
      </c>
      <c r="F216">
        <f ca="1">IFERROR(__xludf.DUMMYFUNCTION("""COMPUTED_VALUE"""),97)</f>
        <v>97</v>
      </c>
      <c r="G216">
        <f ca="1">IFERROR(__xludf.DUMMYFUNCTION("""COMPUTED_VALUE"""),144)</f>
        <v>144</v>
      </c>
      <c r="H216">
        <f ca="1">IFERROR(__xludf.DUMMYFUNCTION("""COMPUTED_VALUE"""),-27)</f>
        <v>-27</v>
      </c>
    </row>
    <row r="217" spans="1:8" ht="12.75">
      <c r="A217" t="str">
        <f ca="1">IFERROR(__xludf.DUMMYFUNCTION("""COMPUTED_VALUE"""),"T213")</f>
        <v>T213</v>
      </c>
      <c r="B217" t="str">
        <f ca="1">IFERROR(__xludf.DUMMYFUNCTION("""COMPUTED_VALUE"""),"T207")</f>
        <v>T207</v>
      </c>
      <c r="C217" t="str">
        <f ca="1">IFERROR(__xludf.DUMMYFUNCTION("""COMPUTED_VALUE"""),"Ted Potter, Jr.")</f>
        <v>Ted Potter, Jr.</v>
      </c>
      <c r="D217">
        <f ca="1">IFERROR(__xludf.DUMMYFUNCTION("""COMPUTED_VALUE"""),8)</f>
        <v>8</v>
      </c>
      <c r="E217">
        <f ca="1">IFERROR(__xludf.DUMMYFUNCTION("""COMPUTED_VALUE"""),67.36)</f>
        <v>67.36</v>
      </c>
      <c r="F217">
        <f ca="1">IFERROR(__xludf.DUMMYFUNCTION("""COMPUTED_VALUE"""),97)</f>
        <v>97</v>
      </c>
      <c r="G217">
        <f ca="1">IFERROR(__xludf.DUMMYFUNCTION("""COMPUTED_VALUE"""),144)</f>
        <v>144</v>
      </c>
      <c r="H217">
        <f ca="1">IFERROR(__xludf.DUMMYFUNCTION("""COMPUTED_VALUE"""),-23)</f>
        <v>-23</v>
      </c>
    </row>
    <row r="218" spans="1:8" ht="12.75">
      <c r="A218">
        <f ca="1">IFERROR(__xludf.DUMMYFUNCTION("""COMPUTED_VALUE"""),217)</f>
        <v>217</v>
      </c>
      <c r="B218" t="str">
        <f ca="1">IFERROR(__xludf.DUMMYFUNCTION("""COMPUTED_VALUE"""),"T148")</f>
        <v>T148</v>
      </c>
      <c r="C218" t="str">
        <f ca="1">IFERROR(__xludf.DUMMYFUNCTION("""COMPUTED_VALUE"""),"Jamie Lovemark")</f>
        <v>Jamie Lovemark</v>
      </c>
      <c r="D218">
        <f ca="1">IFERROR(__xludf.DUMMYFUNCTION("""COMPUTED_VALUE"""),18)</f>
        <v>18</v>
      </c>
      <c r="E218">
        <f ca="1">IFERROR(__xludf.DUMMYFUNCTION("""COMPUTED_VALUE"""),67.13)</f>
        <v>67.13</v>
      </c>
      <c r="F218">
        <f ca="1">IFERROR(__xludf.DUMMYFUNCTION("""COMPUTED_VALUE"""),145)</f>
        <v>145</v>
      </c>
      <c r="G218">
        <f ca="1">IFERROR(__xludf.DUMMYFUNCTION("""COMPUTED_VALUE"""),216)</f>
        <v>216</v>
      </c>
      <c r="H218">
        <f ca="1">IFERROR(__xludf.DUMMYFUNCTION("""COMPUTED_VALUE"""),-44)</f>
        <v>-44</v>
      </c>
    </row>
    <row r="219" spans="1:8" ht="12.75">
      <c r="A219" t="str">
        <f ca="1">IFERROR(__xludf.DUMMYFUNCTION("""COMPUTED_VALUE"""),"T218")</f>
        <v>T218</v>
      </c>
      <c r="B219" t="str">
        <f ca="1">IFERROR(__xludf.DUMMYFUNCTION("""COMPUTED_VALUE"""),"")</f>
        <v/>
      </c>
      <c r="C219" t="str">
        <f ca="1">IFERROR(__xludf.DUMMYFUNCTION("""COMPUTED_VALUE"""),"Dawie van der Walt")</f>
        <v>Dawie van der Walt</v>
      </c>
      <c r="D219">
        <f ca="1">IFERROR(__xludf.DUMMYFUNCTION("""COMPUTED_VALUE"""),4)</f>
        <v>4</v>
      </c>
      <c r="E219">
        <f ca="1">IFERROR(__xludf.DUMMYFUNCTION("""COMPUTED_VALUE"""),66.67)</f>
        <v>66.67</v>
      </c>
      <c r="F219">
        <f ca="1">IFERROR(__xludf.DUMMYFUNCTION("""COMPUTED_VALUE"""),48)</f>
        <v>48</v>
      </c>
      <c r="G219">
        <f ca="1">IFERROR(__xludf.DUMMYFUNCTION("""COMPUTED_VALUE"""),72)</f>
        <v>72</v>
      </c>
      <c r="H219">
        <f ca="1">IFERROR(__xludf.DUMMYFUNCTION("""COMPUTED_VALUE"""),-15)</f>
        <v>-15</v>
      </c>
    </row>
    <row r="220" spans="1:8" ht="12.75">
      <c r="A220" t="str">
        <f ca="1">IFERROR(__xludf.DUMMYFUNCTION("""COMPUTED_VALUE"""),"T218")</f>
        <v>T218</v>
      </c>
      <c r="B220" t="str">
        <f ca="1">IFERROR(__xludf.DUMMYFUNCTION("""COMPUTED_VALUE"""),"T222")</f>
        <v>T222</v>
      </c>
      <c r="C220" t="str">
        <f ca="1">IFERROR(__xludf.DUMMYFUNCTION("""COMPUTED_VALUE"""),"Chris Stroud")</f>
        <v>Chris Stroud</v>
      </c>
      <c r="D220">
        <f ca="1">IFERROR(__xludf.DUMMYFUNCTION("""COMPUTED_VALUE"""),6)</f>
        <v>6</v>
      </c>
      <c r="E220">
        <f ca="1">IFERROR(__xludf.DUMMYFUNCTION("""COMPUTED_VALUE"""),66.67)</f>
        <v>66.67</v>
      </c>
      <c r="F220">
        <f ca="1">IFERROR(__xludf.DUMMYFUNCTION("""COMPUTED_VALUE"""),48)</f>
        <v>48</v>
      </c>
      <c r="G220">
        <f ca="1">IFERROR(__xludf.DUMMYFUNCTION("""COMPUTED_VALUE"""),72)</f>
        <v>72</v>
      </c>
      <c r="H220">
        <f ca="1">IFERROR(__xludf.DUMMYFUNCTION("""COMPUTED_VALUE"""),-9)</f>
        <v>-9</v>
      </c>
    </row>
    <row r="221" spans="1:8" ht="12.75">
      <c r="A221" t="str">
        <f ca="1">IFERROR(__xludf.DUMMYFUNCTION("""COMPUTED_VALUE"""),"T218")</f>
        <v>T218</v>
      </c>
      <c r="B221" t="str">
        <f ca="1">IFERROR(__xludf.DUMMYFUNCTION("""COMPUTED_VALUE"""),"T210")</f>
        <v>T210</v>
      </c>
      <c r="C221" t="str">
        <f ca="1">IFERROR(__xludf.DUMMYFUNCTION("""COMPUTED_VALUE"""),"Brandt Snedeker")</f>
        <v>Brandt Snedeker</v>
      </c>
      <c r="D221">
        <f ca="1">IFERROR(__xludf.DUMMYFUNCTION("""COMPUTED_VALUE"""),16)</f>
        <v>16</v>
      </c>
      <c r="E221">
        <f ca="1">IFERROR(__xludf.DUMMYFUNCTION("""COMPUTED_VALUE"""),66.67)</f>
        <v>66.67</v>
      </c>
      <c r="F221">
        <f ca="1">IFERROR(__xludf.DUMMYFUNCTION("""COMPUTED_VALUE"""),192)</f>
        <v>192</v>
      </c>
      <c r="G221">
        <f ca="1">IFERROR(__xludf.DUMMYFUNCTION("""COMPUTED_VALUE"""),288)</f>
        <v>288</v>
      </c>
      <c r="H221">
        <f ca="1">IFERROR(__xludf.DUMMYFUNCTION("""COMPUTED_VALUE"""),-72)</f>
        <v>-72</v>
      </c>
    </row>
    <row r="222" spans="1:8" ht="12.75">
      <c r="A222" t="str">
        <f ca="1">IFERROR(__xludf.DUMMYFUNCTION("""COMPUTED_VALUE"""),"T218")</f>
        <v>T218</v>
      </c>
      <c r="B222" t="str">
        <f ca="1">IFERROR(__xludf.DUMMYFUNCTION("""COMPUTED_VALUE"""),"T222")</f>
        <v>T222</v>
      </c>
      <c r="C222" t="str">
        <f ca="1">IFERROR(__xludf.DUMMYFUNCTION("""COMPUTED_VALUE"""),"Jay McLuen")</f>
        <v>Jay McLuen</v>
      </c>
      <c r="D222">
        <f ca="1">IFERROR(__xludf.DUMMYFUNCTION("""COMPUTED_VALUE"""),4)</f>
        <v>4</v>
      </c>
      <c r="E222">
        <f ca="1">IFERROR(__xludf.DUMMYFUNCTION("""COMPUTED_VALUE"""),66.67)</f>
        <v>66.67</v>
      </c>
      <c r="F222">
        <f ca="1">IFERROR(__xludf.DUMMYFUNCTION("""COMPUTED_VALUE"""),48)</f>
        <v>48</v>
      </c>
      <c r="G222">
        <f ca="1">IFERROR(__xludf.DUMMYFUNCTION("""COMPUTED_VALUE"""),72)</f>
        <v>72</v>
      </c>
      <c r="H222">
        <f ca="1">IFERROR(__xludf.DUMMYFUNCTION("""COMPUTED_VALUE"""),-10)</f>
        <v>-10</v>
      </c>
    </row>
    <row r="223" spans="1:8" ht="12.75">
      <c r="A223" t="str">
        <f ca="1">IFERROR(__xludf.DUMMYFUNCTION("""COMPUTED_VALUE"""),"T218")</f>
        <v>T218</v>
      </c>
      <c r="B223" t="str">
        <f ca="1">IFERROR(__xludf.DUMMYFUNCTION("""COMPUTED_VALUE"""),"T222")</f>
        <v>T222</v>
      </c>
      <c r="C223" t="str">
        <f ca="1">IFERROR(__xludf.DUMMYFUNCTION("""COMPUTED_VALUE"""),"Naoki Sekito")</f>
        <v>Naoki Sekito</v>
      </c>
      <c r="D223">
        <f ca="1">IFERROR(__xludf.DUMMYFUNCTION("""COMPUTED_VALUE"""),4)</f>
        <v>4</v>
      </c>
      <c r="E223">
        <f ca="1">IFERROR(__xludf.DUMMYFUNCTION("""COMPUTED_VALUE"""),66.67)</f>
        <v>66.67</v>
      </c>
      <c r="F223">
        <f ca="1">IFERROR(__xludf.DUMMYFUNCTION("""COMPUTED_VALUE"""),48)</f>
        <v>48</v>
      </c>
      <c r="G223">
        <f ca="1">IFERROR(__xludf.DUMMYFUNCTION("""COMPUTED_VALUE"""),72)</f>
        <v>72</v>
      </c>
      <c r="H223">
        <f ca="1">IFERROR(__xludf.DUMMYFUNCTION("""COMPUTED_VALUE"""),-18)</f>
        <v>-18</v>
      </c>
    </row>
    <row r="224" spans="1:8" ht="12.75">
      <c r="A224" t="str">
        <f ca="1">IFERROR(__xludf.DUMMYFUNCTION("""COMPUTED_VALUE"""),"T218")</f>
        <v>T218</v>
      </c>
      <c r="B224" t="str">
        <f ca="1">IFERROR(__xludf.DUMMYFUNCTION("""COMPUTED_VALUE"""),"T222")</f>
        <v>T222</v>
      </c>
      <c r="C224" t="str">
        <f ca="1">IFERROR(__xludf.DUMMYFUNCTION("""COMPUTED_VALUE"""),"Rikuya Hoshino")</f>
        <v>Rikuya Hoshino</v>
      </c>
      <c r="D224">
        <f ca="1">IFERROR(__xludf.DUMMYFUNCTION("""COMPUTED_VALUE"""),4)</f>
        <v>4</v>
      </c>
      <c r="E224">
        <f ca="1">IFERROR(__xludf.DUMMYFUNCTION("""COMPUTED_VALUE"""),66.67)</f>
        <v>66.67</v>
      </c>
      <c r="F224">
        <f ca="1">IFERROR(__xludf.DUMMYFUNCTION("""COMPUTED_VALUE"""),48)</f>
        <v>48</v>
      </c>
      <c r="G224">
        <f ca="1">IFERROR(__xludf.DUMMYFUNCTION("""COMPUTED_VALUE"""),72)</f>
        <v>72</v>
      </c>
      <c r="H224">
        <f ca="1">IFERROR(__xludf.DUMMYFUNCTION("""COMPUTED_VALUE"""),-13)</f>
        <v>-13</v>
      </c>
    </row>
    <row r="225" spans="1:8" ht="12.75">
      <c r="A225" t="str">
        <f ca="1">IFERROR(__xludf.DUMMYFUNCTION("""COMPUTED_VALUE"""),"T218")</f>
        <v>T218</v>
      </c>
      <c r="B225" t="str">
        <f ca="1">IFERROR(__xludf.DUMMYFUNCTION("""COMPUTED_VALUE"""),"T207")</f>
        <v>T207</v>
      </c>
      <c r="C225" t="str">
        <f ca="1">IFERROR(__xludf.DUMMYFUNCTION("""COMPUTED_VALUE"""),"Michael Kim")</f>
        <v>Michael Kim</v>
      </c>
      <c r="D225">
        <f ca="1">IFERROR(__xludf.DUMMYFUNCTION("""COMPUTED_VALUE"""),12)</f>
        <v>12</v>
      </c>
      <c r="E225">
        <f ca="1">IFERROR(__xludf.DUMMYFUNCTION("""COMPUTED_VALUE"""),66.67)</f>
        <v>66.67</v>
      </c>
      <c r="F225">
        <f ca="1">IFERROR(__xludf.DUMMYFUNCTION("""COMPUTED_VALUE"""),96)</f>
        <v>96</v>
      </c>
      <c r="G225">
        <f ca="1">IFERROR(__xludf.DUMMYFUNCTION("""COMPUTED_VALUE"""),144)</f>
        <v>144</v>
      </c>
      <c r="H225">
        <f ca="1">IFERROR(__xludf.DUMMYFUNCTION("""COMPUTED_VALUE"""),-26)</f>
        <v>-26</v>
      </c>
    </row>
    <row r="226" spans="1:8" ht="12.75">
      <c r="A226">
        <f ca="1">IFERROR(__xludf.DUMMYFUNCTION("""COMPUTED_VALUE"""),225)</f>
        <v>225</v>
      </c>
      <c r="B226" t="str">
        <f ca="1">IFERROR(__xludf.DUMMYFUNCTION("""COMPUTED_VALUE"""),"T172")</f>
        <v>T172</v>
      </c>
      <c r="C226" t="str">
        <f ca="1">IFERROR(__xludf.DUMMYFUNCTION("""COMPUTED_VALUE"""),"Branden Grace")</f>
        <v>Branden Grace</v>
      </c>
      <c r="D226">
        <f ca="1">IFERROR(__xludf.DUMMYFUNCTION("""COMPUTED_VALUE"""),16)</f>
        <v>16</v>
      </c>
      <c r="E226">
        <f ca="1">IFERROR(__xludf.DUMMYFUNCTION("""COMPUTED_VALUE"""),66.11)</f>
        <v>66.11</v>
      </c>
      <c r="F226">
        <f ca="1">IFERROR(__xludf.DUMMYFUNCTION("""COMPUTED_VALUE"""),119)</f>
        <v>119</v>
      </c>
      <c r="G226">
        <f ca="1">IFERROR(__xludf.DUMMYFUNCTION("""COMPUTED_VALUE"""),180)</f>
        <v>180</v>
      </c>
      <c r="H226">
        <f ca="1">IFERROR(__xludf.DUMMYFUNCTION("""COMPUTED_VALUE"""),-29)</f>
        <v>-29</v>
      </c>
    </row>
    <row r="227" spans="1:8" ht="12.75">
      <c r="A227">
        <f ca="1">IFERROR(__xludf.DUMMYFUNCTION("""COMPUTED_VALUE"""),226)</f>
        <v>226</v>
      </c>
      <c r="B227" t="str">
        <f ca="1">IFERROR(__xludf.DUMMYFUNCTION("""COMPUTED_VALUE"""),"T216")</f>
        <v>T216</v>
      </c>
      <c r="C227" t="str">
        <f ca="1">IFERROR(__xludf.DUMMYFUNCTION("""COMPUTED_VALUE"""),"Sung Kang")</f>
        <v>Sung Kang</v>
      </c>
      <c r="D227">
        <f ca="1">IFERROR(__xludf.DUMMYFUNCTION("""COMPUTED_VALUE"""),14)</f>
        <v>14</v>
      </c>
      <c r="E227">
        <f ca="1">IFERROR(__xludf.DUMMYFUNCTION("""COMPUTED_VALUE"""),65.87)</f>
        <v>65.87</v>
      </c>
      <c r="F227">
        <f ca="1">IFERROR(__xludf.DUMMYFUNCTION("""COMPUTED_VALUE"""),166)</f>
        <v>166</v>
      </c>
      <c r="G227">
        <f ca="1">IFERROR(__xludf.DUMMYFUNCTION("""COMPUTED_VALUE"""),252)</f>
        <v>252</v>
      </c>
      <c r="H227">
        <f ca="1">IFERROR(__xludf.DUMMYFUNCTION("""COMPUTED_VALUE"""),-35)</f>
        <v>-35</v>
      </c>
    </row>
    <row r="228" spans="1:8" ht="12.75">
      <c r="A228">
        <f ca="1">IFERROR(__xludf.DUMMYFUNCTION("""COMPUTED_VALUE"""),227)</f>
        <v>227</v>
      </c>
      <c r="B228" t="str">
        <f ca="1">IFERROR(__xludf.DUMMYFUNCTION("""COMPUTED_VALUE"""),"")</f>
        <v/>
      </c>
      <c r="C228" t="str">
        <f ca="1">IFERROR(__xludf.DUMMYFUNCTION("""COMPUTED_VALUE"""),"Justin Harding")</f>
        <v>Justin Harding</v>
      </c>
      <c r="D228">
        <f ca="1">IFERROR(__xludf.DUMMYFUNCTION("""COMPUTED_VALUE"""),6)</f>
        <v>6</v>
      </c>
      <c r="E228">
        <f ca="1">IFERROR(__xludf.DUMMYFUNCTION("""COMPUTED_VALUE"""),65.74)</f>
        <v>65.739999999999995</v>
      </c>
      <c r="F228">
        <f ca="1">IFERROR(__xludf.DUMMYFUNCTION("""COMPUTED_VALUE"""),71)</f>
        <v>71</v>
      </c>
      <c r="G228">
        <f ca="1">IFERROR(__xludf.DUMMYFUNCTION("""COMPUTED_VALUE"""),108)</f>
        <v>108</v>
      </c>
      <c r="H228">
        <f ca="1">IFERROR(__xludf.DUMMYFUNCTION("""COMPUTED_VALUE"""),-16)</f>
        <v>-16</v>
      </c>
    </row>
    <row r="229" spans="1:8" ht="12.75">
      <c r="A229">
        <f ca="1">IFERROR(__xludf.DUMMYFUNCTION("""COMPUTED_VALUE"""),228)</f>
        <v>228</v>
      </c>
      <c r="B229">
        <f ca="1">IFERROR(__xludf.DUMMYFUNCTION("""COMPUTED_VALUE"""),242)</f>
        <v>242</v>
      </c>
      <c r="C229" t="str">
        <f ca="1">IFERROR(__xludf.DUMMYFUNCTION("""COMPUTED_VALUE"""),"Adam Long")</f>
        <v>Adam Long</v>
      </c>
      <c r="D229">
        <f ca="1">IFERROR(__xludf.DUMMYFUNCTION("""COMPUTED_VALUE"""),22)</f>
        <v>22</v>
      </c>
      <c r="E229">
        <f ca="1">IFERROR(__xludf.DUMMYFUNCTION("""COMPUTED_VALUE"""),65.43)</f>
        <v>65.430000000000007</v>
      </c>
      <c r="F229">
        <f ca="1">IFERROR(__xludf.DUMMYFUNCTION("""COMPUTED_VALUE"""),212)</f>
        <v>212</v>
      </c>
      <c r="G229">
        <f ca="1">IFERROR(__xludf.DUMMYFUNCTION("""COMPUTED_VALUE"""),324)</f>
        <v>324</v>
      </c>
      <c r="H229">
        <f ca="1">IFERROR(__xludf.DUMMYFUNCTION("""COMPUTED_VALUE"""),-57)</f>
        <v>-57</v>
      </c>
    </row>
    <row r="230" spans="1:8" ht="12.75">
      <c r="A230" t="str">
        <f ca="1">IFERROR(__xludf.DUMMYFUNCTION("""COMPUTED_VALUE"""),"T229")</f>
        <v>T229</v>
      </c>
      <c r="B230" t="str">
        <f ca="1">IFERROR(__xludf.DUMMYFUNCTION("""COMPUTED_VALUE"""),"T229")</f>
        <v>T229</v>
      </c>
      <c r="C230" t="str">
        <f ca="1">IFERROR(__xludf.DUMMYFUNCTION("""COMPUTED_VALUE"""),"Jaekyeong Lee")</f>
        <v>Jaekyeong Lee</v>
      </c>
      <c r="D230">
        <f ca="1">IFERROR(__xludf.DUMMYFUNCTION("""COMPUTED_VALUE"""),4)</f>
        <v>4</v>
      </c>
      <c r="E230">
        <f ca="1">IFERROR(__xludf.DUMMYFUNCTION("""COMPUTED_VALUE"""),65.28)</f>
        <v>65.28</v>
      </c>
      <c r="F230">
        <f ca="1">IFERROR(__xludf.DUMMYFUNCTION("""COMPUTED_VALUE"""),47)</f>
        <v>47</v>
      </c>
      <c r="G230">
        <f ca="1">IFERROR(__xludf.DUMMYFUNCTION("""COMPUTED_VALUE"""),72)</f>
        <v>72</v>
      </c>
      <c r="H230">
        <f ca="1">IFERROR(__xludf.DUMMYFUNCTION("""COMPUTED_VALUE"""),-22)</f>
        <v>-22</v>
      </c>
    </row>
    <row r="231" spans="1:8" ht="12.75">
      <c r="A231" t="str">
        <f ca="1">IFERROR(__xludf.DUMMYFUNCTION("""COMPUTED_VALUE"""),"T229")</f>
        <v>T229</v>
      </c>
      <c r="B231" t="str">
        <f ca="1">IFERROR(__xludf.DUMMYFUNCTION("""COMPUTED_VALUE"""),"T229")</f>
        <v>T229</v>
      </c>
      <c r="C231" t="str">
        <f ca="1">IFERROR(__xludf.DUMMYFUNCTION("""COMPUTED_VALUE"""),"Rhein Gibson")</f>
        <v>Rhein Gibson</v>
      </c>
      <c r="D231">
        <f ca="1">IFERROR(__xludf.DUMMYFUNCTION("""COMPUTED_VALUE"""),10)</f>
        <v>10</v>
      </c>
      <c r="E231">
        <f ca="1">IFERROR(__xludf.DUMMYFUNCTION("""COMPUTED_VALUE"""),65.28)</f>
        <v>65.28</v>
      </c>
      <c r="F231">
        <f ca="1">IFERROR(__xludf.DUMMYFUNCTION("""COMPUTED_VALUE"""),47)</f>
        <v>47</v>
      </c>
      <c r="G231">
        <f ca="1">IFERROR(__xludf.DUMMYFUNCTION("""COMPUTED_VALUE"""),72)</f>
        <v>72</v>
      </c>
      <c r="H231">
        <f ca="1">IFERROR(__xludf.DUMMYFUNCTION("""COMPUTED_VALUE"""),-18)</f>
        <v>-18</v>
      </c>
    </row>
    <row r="232" spans="1:8" ht="12.75">
      <c r="A232">
        <f ca="1">IFERROR(__xludf.DUMMYFUNCTION("""COMPUTED_VALUE"""),231)</f>
        <v>231</v>
      </c>
      <c r="B232" t="str">
        <f ca="1">IFERROR(__xludf.DUMMYFUNCTION("""COMPUTED_VALUE"""),"T220")</f>
        <v>T220</v>
      </c>
      <c r="C232" t="str">
        <f ca="1">IFERROR(__xludf.DUMMYFUNCTION("""COMPUTED_VALUE"""),"Jordan Spieth")</f>
        <v>Jordan Spieth</v>
      </c>
      <c r="D232">
        <f ca="1">IFERROR(__xludf.DUMMYFUNCTION("""COMPUTED_VALUE"""),14)</f>
        <v>14</v>
      </c>
      <c r="E232">
        <f ca="1">IFERROR(__xludf.DUMMYFUNCTION("""COMPUTED_VALUE"""),65.08)</f>
        <v>65.08</v>
      </c>
      <c r="F232">
        <f ca="1">IFERROR(__xludf.DUMMYFUNCTION("""COMPUTED_VALUE"""),164)</f>
        <v>164</v>
      </c>
      <c r="G232">
        <f ca="1">IFERROR(__xludf.DUMMYFUNCTION("""COMPUTED_VALUE"""),252)</f>
        <v>252</v>
      </c>
      <c r="H232">
        <f ca="1">IFERROR(__xludf.DUMMYFUNCTION("""COMPUTED_VALUE"""),-61)</f>
        <v>-61</v>
      </c>
    </row>
    <row r="233" spans="1:8" ht="12.75">
      <c r="A233">
        <f ca="1">IFERROR(__xludf.DUMMYFUNCTION("""COMPUTED_VALUE"""),232)</f>
        <v>232</v>
      </c>
      <c r="B233" t="str">
        <f ca="1">IFERROR(__xludf.DUMMYFUNCTION("""COMPUTED_VALUE"""),"T220")</f>
        <v>T220</v>
      </c>
      <c r="C233" t="str">
        <f ca="1">IFERROR(__xludf.DUMMYFUNCTION("""COMPUTED_VALUE"""),"Alex Noren")</f>
        <v>Alex Noren</v>
      </c>
      <c r="D233">
        <f ca="1">IFERROR(__xludf.DUMMYFUNCTION("""COMPUTED_VALUE"""),14)</f>
        <v>14</v>
      </c>
      <c r="E233">
        <f ca="1">IFERROR(__xludf.DUMMYFUNCTION("""COMPUTED_VALUE"""),64.68)</f>
        <v>64.680000000000007</v>
      </c>
      <c r="F233">
        <f ca="1">IFERROR(__xludf.DUMMYFUNCTION("""COMPUTED_VALUE"""),163)</f>
        <v>163</v>
      </c>
      <c r="G233">
        <f ca="1">IFERROR(__xludf.DUMMYFUNCTION("""COMPUTED_VALUE"""),252)</f>
        <v>252</v>
      </c>
      <c r="H233">
        <f ca="1">IFERROR(__xludf.DUMMYFUNCTION("""COMPUTED_VALUE"""),-45)</f>
        <v>-45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IFERROR(__xludf.DUMMYFUNCTION("""COMPUTED_VALUE"""),228)</f>
        <v>228</v>
      </c>
      <c r="C234" t="str">
        <f ca="1">IFERROR(__xludf.DUMMYFUNCTION("""COMPUTED_VALUE"""),"Rory Sabbatini")</f>
        <v>Rory Sabbatini</v>
      </c>
      <c r="D234">
        <f ca="1">IFERROR(__xludf.DUMMYFUNCTION("""COMPUTED_VALUE"""),13)</f>
        <v>13</v>
      </c>
      <c r="E234">
        <f ca="1">IFERROR(__xludf.DUMMYFUNCTION("""COMPUTED_VALUE"""),64.53)</f>
        <v>64.53</v>
      </c>
      <c r="F234">
        <f ca="1">IFERROR(__xludf.DUMMYFUNCTION("""COMPUTED_VALUE"""),151)</f>
        <v>151</v>
      </c>
      <c r="G234">
        <f ca="1">IFERROR(__xludf.DUMMYFUNCTION("""COMPUTED_VALUE"""),234)</f>
        <v>234</v>
      </c>
      <c r="H234">
        <f ca="1">IFERROR(__xludf.DUMMYFUNCTION("""COMPUTED_VALUE"""),-56)</f>
        <v>-56</v>
      </c>
    </row>
    <row r="235" spans="1:8" ht="12.75">
      <c r="A235">
        <f ca="1">IFERROR(__xludf.DUMMYFUNCTION("""COMPUTED_VALUE"""),234)</f>
        <v>234</v>
      </c>
      <c r="B235">
        <f ca="1">IFERROR(__xludf.DUMMYFUNCTION("""COMPUTED_VALUE"""),232)</f>
        <v>232</v>
      </c>
      <c r="C235" t="str">
        <f ca="1">IFERROR(__xludf.DUMMYFUNCTION("""COMPUTED_VALUE"""),"Richy Werenski")</f>
        <v>Richy Werenski</v>
      </c>
      <c r="D235">
        <f ca="1">IFERROR(__xludf.DUMMYFUNCTION("""COMPUTED_VALUE"""),16)</f>
        <v>16</v>
      </c>
      <c r="E235">
        <f ca="1">IFERROR(__xludf.DUMMYFUNCTION("""COMPUTED_VALUE"""),64.24)</f>
        <v>64.239999999999995</v>
      </c>
      <c r="F235">
        <f ca="1">IFERROR(__xludf.DUMMYFUNCTION("""COMPUTED_VALUE"""),185)</f>
        <v>185</v>
      </c>
      <c r="G235">
        <f ca="1">IFERROR(__xludf.DUMMYFUNCTION("""COMPUTED_VALUE"""),288)</f>
        <v>288</v>
      </c>
      <c r="H235">
        <f ca="1">IFERROR(__xludf.DUMMYFUNCTION("""COMPUTED_VALUE"""),-64)</f>
        <v>-64</v>
      </c>
    </row>
    <row r="236" spans="1:8" ht="12.75">
      <c r="A236" t="str">
        <f ca="1">IFERROR(__xludf.DUMMYFUNCTION("""COMPUTED_VALUE"""),"T235")</f>
        <v>T235</v>
      </c>
      <c r="B236" t="str">
        <f ca="1">IFERROR(__xludf.DUMMYFUNCTION("""COMPUTED_VALUE"""),"")</f>
        <v/>
      </c>
      <c r="C236" t="str">
        <f ca="1">IFERROR(__xludf.DUMMYFUNCTION("""COMPUTED_VALUE"""),"Ollie Schniederjans")</f>
        <v>Ollie Schniederjans</v>
      </c>
      <c r="D236">
        <f ca="1">IFERROR(__xludf.DUMMYFUNCTION("""COMPUTED_VALUE"""),6)</f>
        <v>6</v>
      </c>
      <c r="E236">
        <f ca="1">IFERROR(__xludf.DUMMYFUNCTION("""COMPUTED_VALUE"""),63.89)</f>
        <v>63.89</v>
      </c>
      <c r="F236">
        <f ca="1">IFERROR(__xludf.DUMMYFUNCTION("""COMPUTED_VALUE"""),23)</f>
        <v>23</v>
      </c>
      <c r="G236">
        <f ca="1">IFERROR(__xludf.DUMMYFUNCTION("""COMPUTED_VALUE"""),36)</f>
        <v>36</v>
      </c>
      <c r="H236">
        <f ca="1">IFERROR(__xludf.DUMMYFUNCTION("""COMPUTED_VALUE"""),-7)</f>
        <v>-7</v>
      </c>
    </row>
    <row r="237" spans="1:8" ht="12.75">
      <c r="A237" t="str">
        <f ca="1">IFERROR(__xludf.DUMMYFUNCTION("""COMPUTED_VALUE"""),"T235")</f>
        <v>T235</v>
      </c>
      <c r="B237" t="str">
        <f ca="1">IFERROR(__xludf.DUMMYFUNCTION("""COMPUTED_VALUE"""),"T233")</f>
        <v>T233</v>
      </c>
      <c r="C237" t="str">
        <f ca="1">IFERROR(__xludf.DUMMYFUNCTION("""COMPUTED_VALUE"""),"Davis Riley")</f>
        <v>Davis Riley</v>
      </c>
      <c r="D237">
        <f ca="1">IFERROR(__xludf.DUMMYFUNCTION("""COMPUTED_VALUE"""),4)</f>
        <v>4</v>
      </c>
      <c r="E237">
        <f ca="1">IFERROR(__xludf.DUMMYFUNCTION("""COMPUTED_VALUE"""),63.89)</f>
        <v>63.89</v>
      </c>
      <c r="F237">
        <f ca="1">IFERROR(__xludf.DUMMYFUNCTION("""COMPUTED_VALUE"""),46)</f>
        <v>46</v>
      </c>
      <c r="G237">
        <f ca="1">IFERROR(__xludf.DUMMYFUNCTION("""COMPUTED_VALUE"""),72)</f>
        <v>72</v>
      </c>
      <c r="H237">
        <f ca="1">IFERROR(__xludf.DUMMYFUNCTION("""COMPUTED_VALUE"""),-9)</f>
        <v>-9</v>
      </c>
    </row>
    <row r="238" spans="1:8" ht="12.75">
      <c r="A238" t="str">
        <f ca="1">IFERROR(__xludf.DUMMYFUNCTION("""COMPUTED_VALUE"""),"T235")</f>
        <v>T235</v>
      </c>
      <c r="B238" t="str">
        <f ca="1">IFERROR(__xludf.DUMMYFUNCTION("""COMPUTED_VALUE"""),"T233")</f>
        <v>T233</v>
      </c>
      <c r="C238" t="str">
        <f ca="1">IFERROR(__xludf.DUMMYFUNCTION("""COMPUTED_VALUE"""),"Luke Schniederjans")</f>
        <v>Luke Schniederjans</v>
      </c>
      <c r="D238">
        <f ca="1">IFERROR(__xludf.DUMMYFUNCTION("""COMPUTED_VALUE"""),4)</f>
        <v>4</v>
      </c>
      <c r="E238">
        <f ca="1">IFERROR(__xludf.DUMMYFUNCTION("""COMPUTED_VALUE"""),63.89)</f>
        <v>63.89</v>
      </c>
      <c r="F238">
        <f ca="1">IFERROR(__xludf.DUMMYFUNCTION("""COMPUTED_VALUE"""),23)</f>
        <v>23</v>
      </c>
      <c r="G238">
        <f ca="1">IFERROR(__xludf.DUMMYFUNCTION("""COMPUTED_VALUE"""),36)</f>
        <v>36</v>
      </c>
      <c r="H238">
        <f ca="1">IFERROR(__xludf.DUMMYFUNCTION("""COMPUTED_VALUE"""),-7)</f>
        <v>-7</v>
      </c>
    </row>
    <row r="239" spans="1:8" ht="12.75">
      <c r="A239" t="str">
        <f ca="1">IFERROR(__xludf.DUMMYFUNCTION("""COMPUTED_VALUE"""),"T235")</f>
        <v>T235</v>
      </c>
      <c r="B239" t="str">
        <f ca="1">IFERROR(__xludf.DUMMYFUNCTION("""COMPUTED_VALUE"""),"T233")</f>
        <v>T233</v>
      </c>
      <c r="C239" t="str">
        <f ca="1">IFERROR(__xludf.DUMMYFUNCTION("""COMPUTED_VALUE"""),"John Pak")</f>
        <v>John Pak</v>
      </c>
      <c r="D239">
        <f ca="1">IFERROR(__xludf.DUMMYFUNCTION("""COMPUTED_VALUE"""),4)</f>
        <v>4</v>
      </c>
      <c r="E239">
        <f ca="1">IFERROR(__xludf.DUMMYFUNCTION("""COMPUTED_VALUE"""),63.89)</f>
        <v>63.89</v>
      </c>
      <c r="F239">
        <f ca="1">IFERROR(__xludf.DUMMYFUNCTION("""COMPUTED_VALUE"""),46)</f>
        <v>46</v>
      </c>
      <c r="G239">
        <f ca="1">IFERROR(__xludf.DUMMYFUNCTION("""COMPUTED_VALUE"""),72)</f>
        <v>72</v>
      </c>
      <c r="H239">
        <f ca="1">IFERROR(__xludf.DUMMYFUNCTION("""COMPUTED_VALUE"""),-4)</f>
        <v>-4</v>
      </c>
    </row>
    <row r="240" spans="1:8" ht="12.75">
      <c r="A240" t="str">
        <f ca="1">IFERROR(__xludf.DUMMYFUNCTION("""COMPUTED_VALUE"""),"T235")</f>
        <v>T235</v>
      </c>
      <c r="B240" t="str">
        <f ca="1">IFERROR(__xludf.DUMMYFUNCTION("""COMPUTED_VALUE"""),"T233")</f>
        <v>T233</v>
      </c>
      <c r="C240" t="str">
        <f ca="1">IFERROR(__xludf.DUMMYFUNCTION("""COMPUTED_VALUE"""),"Seonghyeon Kim")</f>
        <v>Seonghyeon Kim</v>
      </c>
      <c r="D240">
        <f ca="1">IFERROR(__xludf.DUMMYFUNCTION("""COMPUTED_VALUE"""),4)</f>
        <v>4</v>
      </c>
      <c r="E240">
        <f ca="1">IFERROR(__xludf.DUMMYFUNCTION("""COMPUTED_VALUE"""),63.89)</f>
        <v>63.89</v>
      </c>
      <c r="F240">
        <f ca="1">IFERROR(__xludf.DUMMYFUNCTION("""COMPUTED_VALUE"""),46)</f>
        <v>46</v>
      </c>
      <c r="G240">
        <f ca="1">IFERROR(__xludf.DUMMYFUNCTION("""COMPUTED_VALUE"""),72)</f>
        <v>72</v>
      </c>
      <c r="H240">
        <f ca="1">IFERROR(__xludf.DUMMYFUNCTION("""COMPUTED_VALUE"""),-15)</f>
        <v>-15</v>
      </c>
    </row>
    <row r="241" spans="1:8" ht="12.75">
      <c r="A241" t="str">
        <f ca="1">IFERROR(__xludf.DUMMYFUNCTION("""COMPUTED_VALUE"""),"T235")</f>
        <v>T235</v>
      </c>
      <c r="B241" t="str">
        <f ca="1">IFERROR(__xludf.DUMMYFUNCTION("""COMPUTED_VALUE"""),"T233")</f>
        <v>T233</v>
      </c>
      <c r="C241" t="str">
        <f ca="1">IFERROR(__xludf.DUMMYFUNCTION("""COMPUTED_VALUE"""),"Tiger Woods")</f>
        <v>Tiger Woods</v>
      </c>
      <c r="D241">
        <f ca="1">IFERROR(__xludf.DUMMYFUNCTION("""COMPUTED_VALUE"""),6)</f>
        <v>6</v>
      </c>
      <c r="E241">
        <f ca="1">IFERROR(__xludf.DUMMYFUNCTION("""COMPUTED_VALUE"""),63.89)</f>
        <v>63.89</v>
      </c>
      <c r="F241">
        <f ca="1">IFERROR(__xludf.DUMMYFUNCTION("""COMPUTED_VALUE"""),69)</f>
        <v>69</v>
      </c>
      <c r="G241">
        <f ca="1">IFERROR(__xludf.DUMMYFUNCTION("""COMPUTED_VALUE"""),108)</f>
        <v>108</v>
      </c>
      <c r="H241">
        <f ca="1">IFERROR(__xludf.DUMMYFUNCTION("""COMPUTED_VALUE"""),-21)</f>
        <v>-21</v>
      </c>
    </row>
    <row r="242" spans="1:8" ht="12.75">
      <c r="A242" t="str">
        <f ca="1">IFERROR(__xludf.DUMMYFUNCTION("""COMPUTED_VALUE"""),"T235")</f>
        <v>T235</v>
      </c>
      <c r="B242" t="str">
        <f ca="1">IFERROR(__xludf.DUMMYFUNCTION("""COMPUTED_VALUE"""),"T156")</f>
        <v>T156</v>
      </c>
      <c r="C242" t="str">
        <f ca="1">IFERROR(__xludf.DUMMYFUNCTION("""COMPUTED_VALUE"""),"Henrik Stenson")</f>
        <v>Henrik Stenson</v>
      </c>
      <c r="D242">
        <f ca="1">IFERROR(__xludf.DUMMYFUNCTION("""COMPUTED_VALUE"""),11)</f>
        <v>11</v>
      </c>
      <c r="E242">
        <f ca="1">IFERROR(__xludf.DUMMYFUNCTION("""COMPUTED_VALUE"""),63.89)</f>
        <v>63.89</v>
      </c>
      <c r="F242">
        <f ca="1">IFERROR(__xludf.DUMMYFUNCTION("""COMPUTED_VALUE"""),69)</f>
        <v>69</v>
      </c>
      <c r="G242">
        <f ca="1">IFERROR(__xludf.DUMMYFUNCTION("""COMPUTED_VALUE"""),108)</f>
        <v>108</v>
      </c>
      <c r="H242">
        <f ca="1">IFERROR(__xludf.DUMMYFUNCTION("""COMPUTED_VALUE"""),-5)</f>
        <v>-5</v>
      </c>
    </row>
    <row r="243" spans="1:8" ht="12.75">
      <c r="A243" t="str">
        <f ca="1">IFERROR(__xludf.DUMMYFUNCTION("""COMPUTED_VALUE"""),"T235")</f>
        <v>T235</v>
      </c>
      <c r="B243">
        <f ca="1">IFERROR(__xludf.DUMMYFUNCTION("""COMPUTED_VALUE"""),183)</f>
        <v>183</v>
      </c>
      <c r="C243" t="str">
        <f ca="1">IFERROR(__xludf.DUMMYFUNCTION("""COMPUTED_VALUE"""),"Hunter Mahan")</f>
        <v>Hunter Mahan</v>
      </c>
      <c r="D243">
        <f ca="1">IFERROR(__xludf.DUMMYFUNCTION("""COMPUTED_VALUE"""),14)</f>
        <v>14</v>
      </c>
      <c r="E243">
        <f ca="1">IFERROR(__xludf.DUMMYFUNCTION("""COMPUTED_VALUE"""),63.89)</f>
        <v>63.89</v>
      </c>
      <c r="F243">
        <f ca="1">IFERROR(__xludf.DUMMYFUNCTION("""COMPUTED_VALUE"""),115)</f>
        <v>115</v>
      </c>
      <c r="G243">
        <f ca="1">IFERROR(__xludf.DUMMYFUNCTION("""COMPUTED_VALUE"""),180)</f>
        <v>180</v>
      </c>
      <c r="H243">
        <f ca="1">IFERROR(__xludf.DUMMYFUNCTION("""COMPUTED_VALUE"""),-38)</f>
        <v>-38</v>
      </c>
    </row>
    <row r="244" spans="1:8" ht="12.75">
      <c r="A244" t="str">
        <f ca="1">IFERROR(__xludf.DUMMYFUNCTION("""COMPUTED_VALUE"""),"T235")</f>
        <v>T235</v>
      </c>
      <c r="B244" t="str">
        <f ca="1">IFERROR(__xludf.DUMMYFUNCTION("""COMPUTED_VALUE"""),"T233")</f>
        <v>T233</v>
      </c>
      <c r="C244" t="str">
        <f ca="1">IFERROR(__xludf.DUMMYFUNCTION("""COMPUTED_VALUE"""),"Shawn Stefani")</f>
        <v>Shawn Stefani</v>
      </c>
      <c r="D244">
        <f ca="1">IFERROR(__xludf.DUMMYFUNCTION("""COMPUTED_VALUE"""),5)</f>
        <v>5</v>
      </c>
      <c r="E244">
        <f ca="1">IFERROR(__xludf.DUMMYFUNCTION("""COMPUTED_VALUE"""),63.89)</f>
        <v>63.89</v>
      </c>
      <c r="F244">
        <f ca="1">IFERROR(__xludf.DUMMYFUNCTION("""COMPUTED_VALUE"""),23)</f>
        <v>23</v>
      </c>
      <c r="G244">
        <f ca="1">IFERROR(__xludf.DUMMYFUNCTION("""COMPUTED_VALUE"""),36)</f>
        <v>36</v>
      </c>
      <c r="H244">
        <f ca="1">IFERROR(__xludf.DUMMYFUNCTION("""COMPUTED_VALUE"""),-2)</f>
        <v>-2</v>
      </c>
    </row>
    <row r="245" spans="1:8" ht="12.75">
      <c r="A245" t="str">
        <f ca="1">IFERROR(__xludf.DUMMYFUNCTION("""COMPUTED_VALUE"""),"T235")</f>
        <v>T235</v>
      </c>
      <c r="B245" t="str">
        <f ca="1">IFERROR(__xludf.DUMMYFUNCTION("""COMPUTED_VALUE"""),"T233")</f>
        <v>T233</v>
      </c>
      <c r="C245" t="str">
        <f ca="1">IFERROR(__xludf.DUMMYFUNCTION("""COMPUTED_VALUE"""),"Bernd Wiesberger")</f>
        <v>Bernd Wiesberger</v>
      </c>
      <c r="D245">
        <f ca="1">IFERROR(__xludf.DUMMYFUNCTION("""COMPUTED_VALUE"""),4)</f>
        <v>4</v>
      </c>
      <c r="E245">
        <f ca="1">IFERROR(__xludf.DUMMYFUNCTION("""COMPUTED_VALUE"""),63.89)</f>
        <v>63.89</v>
      </c>
      <c r="F245">
        <f ca="1">IFERROR(__xludf.DUMMYFUNCTION("""COMPUTED_VALUE"""),46)</f>
        <v>46</v>
      </c>
      <c r="G245">
        <f ca="1">IFERROR(__xludf.DUMMYFUNCTION("""COMPUTED_VALUE"""),72)</f>
        <v>72</v>
      </c>
      <c r="H245">
        <f ca="1">IFERROR(__xludf.DUMMYFUNCTION("""COMPUTED_VALUE"""),-4)</f>
        <v>-4</v>
      </c>
    </row>
    <row r="246" spans="1:8" ht="12.75">
      <c r="A246">
        <f ca="1">IFERROR(__xludf.DUMMYFUNCTION("""COMPUTED_VALUE"""),245)</f>
        <v>245</v>
      </c>
      <c r="B246" t="str">
        <f ca="1">IFERROR(__xludf.DUMMYFUNCTION("""COMPUTED_VALUE"""),"T245")</f>
        <v>T245</v>
      </c>
      <c r="C246" t="str">
        <f ca="1">IFERROR(__xludf.DUMMYFUNCTION("""COMPUTED_VALUE"""),"Michael Thompson")</f>
        <v>Michael Thompson</v>
      </c>
      <c r="D246">
        <f ca="1">IFERROR(__xludf.DUMMYFUNCTION("""COMPUTED_VALUE"""),16)</f>
        <v>16</v>
      </c>
      <c r="E246">
        <f ca="1">IFERROR(__xludf.DUMMYFUNCTION("""COMPUTED_VALUE"""),63.54)</f>
        <v>63.54</v>
      </c>
      <c r="F246">
        <f ca="1">IFERROR(__xludf.DUMMYFUNCTION("""COMPUTED_VALUE"""),183)</f>
        <v>183</v>
      </c>
      <c r="G246">
        <f ca="1">IFERROR(__xludf.DUMMYFUNCTION("""COMPUTED_VALUE"""),288)</f>
        <v>288</v>
      </c>
      <c r="H246">
        <f ca="1">IFERROR(__xludf.DUMMYFUNCTION("""COMPUTED_VALUE"""),-50)</f>
        <v>-50</v>
      </c>
    </row>
    <row r="247" spans="1:8" ht="12.75">
      <c r="A247">
        <f ca="1">IFERROR(__xludf.DUMMYFUNCTION("""COMPUTED_VALUE"""),246)</f>
        <v>246</v>
      </c>
      <c r="B247">
        <f ca="1">IFERROR(__xludf.DUMMYFUNCTION("""COMPUTED_VALUE"""),241)</f>
        <v>241</v>
      </c>
      <c r="C247" t="str">
        <f ca="1">IFERROR(__xludf.DUMMYFUNCTION("""COMPUTED_VALUE"""),"Shugo Imahira")</f>
        <v>Shugo Imahira</v>
      </c>
      <c r="D247">
        <f ca="1">IFERROR(__xludf.DUMMYFUNCTION("""COMPUTED_VALUE"""),8)</f>
        <v>8</v>
      </c>
      <c r="E247">
        <f ca="1">IFERROR(__xludf.DUMMYFUNCTION("""COMPUTED_VALUE"""),63.19)</f>
        <v>63.19</v>
      </c>
      <c r="F247">
        <f ca="1">IFERROR(__xludf.DUMMYFUNCTION("""COMPUTED_VALUE"""),91)</f>
        <v>91</v>
      </c>
      <c r="G247">
        <f ca="1">IFERROR(__xludf.DUMMYFUNCTION("""COMPUTED_VALUE"""),144)</f>
        <v>144</v>
      </c>
      <c r="H247">
        <f ca="1">IFERROR(__xludf.DUMMYFUNCTION("""COMPUTED_VALUE"""),-20)</f>
        <v>-20</v>
      </c>
    </row>
    <row r="248" spans="1:8" ht="12.75">
      <c r="A248" t="str">
        <f ca="1">IFERROR(__xludf.DUMMYFUNCTION("""COMPUTED_VALUE"""),"T247")</f>
        <v>T247</v>
      </c>
      <c r="B248" t="str">
        <f ca="1">IFERROR(__xludf.DUMMYFUNCTION("""COMPUTED_VALUE"""),"T243")</f>
        <v>T243</v>
      </c>
      <c r="C248" t="str">
        <f ca="1">IFERROR(__xludf.DUMMYFUNCTION("""COMPUTED_VALUE"""),"Kiradech Aphibarnrat")</f>
        <v>Kiradech Aphibarnrat</v>
      </c>
      <c r="D248">
        <f ca="1">IFERROR(__xludf.DUMMYFUNCTION("""COMPUTED_VALUE"""),12)</f>
        <v>12</v>
      </c>
      <c r="E248">
        <f ca="1">IFERROR(__xludf.DUMMYFUNCTION("""COMPUTED_VALUE"""),62.5)</f>
        <v>62.5</v>
      </c>
      <c r="F248">
        <f ca="1">IFERROR(__xludf.DUMMYFUNCTION("""COMPUTED_VALUE"""),45)</f>
        <v>45</v>
      </c>
      <c r="G248">
        <f ca="1">IFERROR(__xludf.DUMMYFUNCTION("""COMPUTED_VALUE"""),72)</f>
        <v>72</v>
      </c>
      <c r="H248">
        <f ca="1">IFERROR(__xludf.DUMMYFUNCTION("""COMPUTED_VALUE"""),-13)</f>
        <v>-13</v>
      </c>
    </row>
    <row r="249" spans="1:8" ht="12.75">
      <c r="A249" t="str">
        <f ca="1">IFERROR(__xludf.DUMMYFUNCTION("""COMPUTED_VALUE"""),"T247")</f>
        <v>T247</v>
      </c>
      <c r="B249" t="str">
        <f ca="1">IFERROR(__xludf.DUMMYFUNCTION("""COMPUTED_VALUE"""),"T247")</f>
        <v>T247</v>
      </c>
      <c r="C249" t="str">
        <f ca="1">IFERROR(__xludf.DUMMYFUNCTION("""COMPUTED_VALUE"""),"Max Homa")</f>
        <v>Max Homa</v>
      </c>
      <c r="D249">
        <f ca="1">IFERROR(__xludf.DUMMYFUNCTION("""COMPUTED_VALUE"""),12)</f>
        <v>12</v>
      </c>
      <c r="E249">
        <f ca="1">IFERROR(__xludf.DUMMYFUNCTION("""COMPUTED_VALUE"""),62.5)</f>
        <v>62.5</v>
      </c>
      <c r="F249">
        <f ca="1">IFERROR(__xludf.DUMMYFUNCTION("""COMPUTED_VALUE"""),90)</f>
        <v>90</v>
      </c>
      <c r="G249">
        <f ca="1">IFERROR(__xludf.DUMMYFUNCTION("""COMPUTED_VALUE"""),144)</f>
        <v>144</v>
      </c>
      <c r="H249">
        <f ca="1">IFERROR(__xludf.DUMMYFUNCTION("""COMPUTED_VALUE"""),-16)</f>
        <v>-16</v>
      </c>
    </row>
    <row r="250" spans="1:8" ht="12.75">
      <c r="A250" t="str">
        <f ca="1">IFERROR(__xludf.DUMMYFUNCTION("""COMPUTED_VALUE"""),"T247")</f>
        <v>T247</v>
      </c>
      <c r="B250" t="str">
        <f ca="1">IFERROR(__xludf.DUMMYFUNCTION("""COMPUTED_VALUE"""),"T243")</f>
        <v>T243</v>
      </c>
      <c r="C250" t="str">
        <f ca="1">IFERROR(__xludf.DUMMYFUNCTION("""COMPUTED_VALUE"""),"Romain Langasque")</f>
        <v>Romain Langasque</v>
      </c>
      <c r="D250">
        <f ca="1">IFERROR(__xludf.DUMMYFUNCTION("""COMPUTED_VALUE"""),4)</f>
        <v>4</v>
      </c>
      <c r="E250">
        <f ca="1">IFERROR(__xludf.DUMMYFUNCTION("""COMPUTED_VALUE"""),62.5)</f>
        <v>62.5</v>
      </c>
      <c r="F250">
        <f ca="1">IFERROR(__xludf.DUMMYFUNCTION("""COMPUTED_VALUE"""),45)</f>
        <v>45</v>
      </c>
      <c r="G250">
        <f ca="1">IFERROR(__xludf.DUMMYFUNCTION("""COMPUTED_VALUE"""),72)</f>
        <v>72</v>
      </c>
      <c r="H250">
        <f ca="1">IFERROR(__xludf.DUMMYFUNCTION("""COMPUTED_VALUE"""),-4)</f>
        <v>-4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IFERROR(__xludf.DUMMYFUNCTION("""COMPUTED_VALUE"""),"")</f>
        <v/>
      </c>
      <c r="C251" t="str">
        <f ca="1">IFERROR(__xludf.DUMMYFUNCTION("""COMPUTED_VALUE"""),"Greg Chalmers")</f>
        <v>Greg Chalmers</v>
      </c>
      <c r="D251">
        <f ca="1">IFERROR(__xludf.DUMMYFUNCTION("""COMPUTED_VALUE"""),6)</f>
        <v>6</v>
      </c>
      <c r="E251">
        <f ca="1">IFERROR(__xludf.DUMMYFUNCTION("""COMPUTED_VALUE"""),62.04)</f>
        <v>62.04</v>
      </c>
      <c r="F251">
        <f ca="1">IFERROR(__xludf.DUMMYFUNCTION("""COMPUTED_VALUE"""),67)</f>
        <v>67</v>
      </c>
      <c r="G251">
        <f ca="1">IFERROR(__xludf.DUMMYFUNCTION("""COMPUTED_VALUE"""),108)</f>
        <v>108</v>
      </c>
      <c r="H251">
        <f ca="1">IFERROR(__xludf.DUMMYFUNCTION("""COMPUTED_VALUE"""),-17)</f>
        <v>-17</v>
      </c>
    </row>
    <row r="252" spans="1:8" ht="12.75">
      <c r="A252" t="str">
        <f ca="1">IFERROR(__xludf.DUMMYFUNCTION("""COMPUTED_VALUE"""),"T251")</f>
        <v>T251</v>
      </c>
      <c r="B252" t="str">
        <f ca="1">IFERROR(__xludf.DUMMYFUNCTION("""COMPUTED_VALUE"""),"T260")</f>
        <v>T260</v>
      </c>
      <c r="C252" t="str">
        <f ca="1">IFERROR(__xludf.DUMMYFUNCTION("""COMPUTED_VALUE"""),"Adam Scott")</f>
        <v>Adam Scott</v>
      </c>
      <c r="D252">
        <f ca="1">IFERROR(__xludf.DUMMYFUNCTION("""COMPUTED_VALUE"""),8)</f>
        <v>8</v>
      </c>
      <c r="E252">
        <f ca="1">IFERROR(__xludf.DUMMYFUNCTION("""COMPUTED_VALUE"""),61.81)</f>
        <v>61.81</v>
      </c>
      <c r="F252">
        <f ca="1">IFERROR(__xludf.DUMMYFUNCTION("""COMPUTED_VALUE"""),89)</f>
        <v>89</v>
      </c>
      <c r="G252">
        <f ca="1">IFERROR(__xludf.DUMMYFUNCTION("""COMPUTED_VALUE"""),144)</f>
        <v>144</v>
      </c>
      <c r="H252">
        <f ca="1">IFERROR(__xludf.DUMMYFUNCTION("""COMPUTED_VALUE"""),-33)</f>
        <v>-33</v>
      </c>
    </row>
    <row r="253" spans="1:8" ht="12.75">
      <c r="A253" t="str">
        <f ca="1">IFERROR(__xludf.DUMMYFUNCTION("""COMPUTED_VALUE"""),"T251")</f>
        <v>T251</v>
      </c>
      <c r="B253" t="str">
        <f ca="1">IFERROR(__xludf.DUMMYFUNCTION("""COMPUTED_VALUE"""),"T216")</f>
        <v>T216</v>
      </c>
      <c r="C253" t="str">
        <f ca="1">IFERROR(__xludf.DUMMYFUNCTION("""COMPUTED_VALUE"""),"Kelly Kraft")</f>
        <v>Kelly Kraft</v>
      </c>
      <c r="D253">
        <f ca="1">IFERROR(__xludf.DUMMYFUNCTION("""COMPUTED_VALUE"""),14)</f>
        <v>14</v>
      </c>
      <c r="E253">
        <f ca="1">IFERROR(__xludf.DUMMYFUNCTION("""COMPUTED_VALUE"""),61.81)</f>
        <v>61.81</v>
      </c>
      <c r="F253">
        <f ca="1">IFERROR(__xludf.DUMMYFUNCTION("""COMPUTED_VALUE"""),89)</f>
        <v>89</v>
      </c>
      <c r="G253">
        <f ca="1">IFERROR(__xludf.DUMMYFUNCTION("""COMPUTED_VALUE"""),144)</f>
        <v>144</v>
      </c>
      <c r="H253">
        <f ca="1">IFERROR(__xludf.DUMMYFUNCTION("""COMPUTED_VALUE"""),-27)</f>
        <v>-27</v>
      </c>
    </row>
    <row r="254" spans="1:8" ht="12.75">
      <c r="A254">
        <f ca="1">IFERROR(__xludf.DUMMYFUNCTION("""COMPUTED_VALUE"""),253)</f>
        <v>253</v>
      </c>
      <c r="B254" t="str">
        <f ca="1">IFERROR(__xludf.DUMMYFUNCTION("""COMPUTED_VALUE"""),"T245")</f>
        <v>T245</v>
      </c>
      <c r="C254" t="str">
        <f ca="1">IFERROR(__xludf.DUMMYFUNCTION("""COMPUTED_VALUE"""),"Brendon Todd")</f>
        <v>Brendon Todd</v>
      </c>
      <c r="D254">
        <f ca="1">IFERROR(__xludf.DUMMYFUNCTION("""COMPUTED_VALUE"""),14)</f>
        <v>14</v>
      </c>
      <c r="E254">
        <f ca="1">IFERROR(__xludf.DUMMYFUNCTION("""COMPUTED_VALUE"""),61.57)</f>
        <v>61.57</v>
      </c>
      <c r="F254">
        <f ca="1">IFERROR(__xludf.DUMMYFUNCTION("""COMPUTED_VALUE"""),133)</f>
        <v>133</v>
      </c>
      <c r="G254">
        <f ca="1">IFERROR(__xludf.DUMMYFUNCTION("""COMPUTED_VALUE"""),216)</f>
        <v>216</v>
      </c>
      <c r="H254">
        <f ca="1">IFERROR(__xludf.DUMMYFUNCTION("""COMPUTED_VALUE"""),-48)</f>
        <v>-48</v>
      </c>
    </row>
    <row r="255" spans="1:8" ht="12.75">
      <c r="A255">
        <f ca="1">IFERROR(__xludf.DUMMYFUNCTION("""COMPUTED_VALUE"""),254)</f>
        <v>254</v>
      </c>
      <c r="B255" t="str">
        <f ca="1">IFERROR(__xludf.DUMMYFUNCTION("""COMPUTED_VALUE"""),"T229")</f>
        <v>T229</v>
      </c>
      <c r="C255" t="str">
        <f ca="1">IFERROR(__xludf.DUMMYFUNCTION("""COMPUTED_VALUE"""),"Jimmy Walker")</f>
        <v>Jimmy Walker</v>
      </c>
      <c r="D255">
        <f ca="1">IFERROR(__xludf.DUMMYFUNCTION("""COMPUTED_VALUE"""),10)</f>
        <v>10</v>
      </c>
      <c r="E255">
        <f ca="1">IFERROR(__xludf.DUMMYFUNCTION("""COMPUTED_VALUE"""),60.56)</f>
        <v>60.56</v>
      </c>
      <c r="F255">
        <f ca="1">IFERROR(__xludf.DUMMYFUNCTION("""COMPUTED_VALUE"""),109)</f>
        <v>109</v>
      </c>
      <c r="G255">
        <f ca="1">IFERROR(__xludf.DUMMYFUNCTION("""COMPUTED_VALUE"""),180)</f>
        <v>180</v>
      </c>
      <c r="H255">
        <f ca="1">IFERROR(__xludf.DUMMYFUNCTION("""COMPUTED_VALUE"""),-30)</f>
        <v>-30</v>
      </c>
    </row>
    <row r="256" spans="1:8" ht="12.75">
      <c r="A256" t="str">
        <f ca="1">IFERROR(__xludf.DUMMYFUNCTION("""COMPUTED_VALUE"""),"T255")</f>
        <v>T255</v>
      </c>
      <c r="B256" t="str">
        <f ca="1">IFERROR(__xludf.DUMMYFUNCTION("""COMPUTED_VALUE"""),"T207")</f>
        <v>T207</v>
      </c>
      <c r="C256" t="str">
        <f ca="1">IFERROR(__xludf.DUMMYFUNCTION("""COMPUTED_VALUE"""),"D.A. Points")</f>
        <v>D.A. Points</v>
      </c>
      <c r="D256">
        <f ca="1">IFERROR(__xludf.DUMMYFUNCTION("""COMPUTED_VALUE"""),12)</f>
        <v>12</v>
      </c>
      <c r="E256">
        <f ca="1">IFERROR(__xludf.DUMMYFUNCTION("""COMPUTED_VALUE"""),60.42)</f>
        <v>60.42</v>
      </c>
      <c r="F256">
        <f ca="1">IFERROR(__xludf.DUMMYFUNCTION("""COMPUTED_VALUE"""),87)</f>
        <v>87</v>
      </c>
      <c r="G256">
        <f ca="1">IFERROR(__xludf.DUMMYFUNCTION("""COMPUTED_VALUE"""),144)</f>
        <v>144</v>
      </c>
      <c r="H256">
        <f ca="1">IFERROR(__xludf.DUMMYFUNCTION("""COMPUTED_VALUE"""),-14)</f>
        <v>-14</v>
      </c>
    </row>
    <row r="257" spans="1:8" ht="12.75">
      <c r="A257" t="str">
        <f ca="1">IFERROR(__xludf.DUMMYFUNCTION("""COMPUTED_VALUE"""),"T255")</f>
        <v>T255</v>
      </c>
      <c r="B257">
        <f ca="1">IFERROR(__xludf.DUMMYFUNCTION("""COMPUTED_VALUE"""),249)</f>
        <v>249</v>
      </c>
      <c r="C257" t="str">
        <f ca="1">IFERROR(__xludf.DUMMYFUNCTION("""COMPUTED_VALUE"""),"Ryo Ishikawa")</f>
        <v>Ryo Ishikawa</v>
      </c>
      <c r="D257">
        <f ca="1">IFERROR(__xludf.DUMMYFUNCTION("""COMPUTED_VALUE"""),8)</f>
        <v>8</v>
      </c>
      <c r="E257">
        <f ca="1">IFERROR(__xludf.DUMMYFUNCTION("""COMPUTED_VALUE"""),60.42)</f>
        <v>60.42</v>
      </c>
      <c r="F257">
        <f ca="1">IFERROR(__xludf.DUMMYFUNCTION("""COMPUTED_VALUE"""),87)</f>
        <v>87</v>
      </c>
      <c r="G257">
        <f ca="1">IFERROR(__xludf.DUMMYFUNCTION("""COMPUTED_VALUE"""),144)</f>
        <v>144</v>
      </c>
      <c r="H257">
        <f ca="1">IFERROR(__xludf.DUMMYFUNCTION("""COMPUTED_VALUE"""),-15)</f>
        <v>-15</v>
      </c>
    </row>
    <row r="258" spans="1:8" ht="12.75">
      <c r="A258" t="str">
        <f ca="1">IFERROR(__xludf.DUMMYFUNCTION("""COMPUTED_VALUE"""),"T257")</f>
        <v>T257</v>
      </c>
      <c r="B258" t="str">
        <f ca="1">IFERROR(__xludf.DUMMYFUNCTION("""COMPUTED_VALUE"""),"T250")</f>
        <v>T250</v>
      </c>
      <c r="C258" t="str">
        <f ca="1">IFERROR(__xludf.DUMMYFUNCTION("""COMPUTED_VALUE"""),"Renato Paratore")</f>
        <v>Renato Paratore</v>
      </c>
      <c r="D258">
        <f ca="1">IFERROR(__xludf.DUMMYFUNCTION("""COMPUTED_VALUE"""),4)</f>
        <v>4</v>
      </c>
      <c r="E258">
        <f ca="1">IFERROR(__xludf.DUMMYFUNCTION("""COMPUTED_VALUE"""),59.72)</f>
        <v>59.72</v>
      </c>
      <c r="F258">
        <f ca="1">IFERROR(__xludf.DUMMYFUNCTION("""COMPUTED_VALUE"""),43)</f>
        <v>43</v>
      </c>
      <c r="G258">
        <f ca="1">IFERROR(__xludf.DUMMYFUNCTION("""COMPUTED_VALUE"""),72)</f>
        <v>72</v>
      </c>
      <c r="H258">
        <f ca="1">IFERROR(__xludf.DUMMYFUNCTION("""COMPUTED_VALUE"""),-6)</f>
        <v>-6</v>
      </c>
    </row>
    <row r="259" spans="1:8" ht="12.75">
      <c r="A259" t="str">
        <f ca="1">IFERROR(__xludf.DUMMYFUNCTION("""COMPUTED_VALUE"""),"T257")</f>
        <v>T257</v>
      </c>
      <c r="B259" t="str">
        <f ca="1">IFERROR(__xludf.DUMMYFUNCTION("""COMPUTED_VALUE"""),"T250")</f>
        <v>T250</v>
      </c>
      <c r="C259" t="str">
        <f ca="1">IFERROR(__xludf.DUMMYFUNCTION("""COMPUTED_VALUE"""),"Matthias Schwab")</f>
        <v>Matthias Schwab</v>
      </c>
      <c r="D259">
        <f ca="1">IFERROR(__xludf.DUMMYFUNCTION("""COMPUTED_VALUE"""),8)</f>
        <v>8</v>
      </c>
      <c r="E259">
        <f ca="1">IFERROR(__xludf.DUMMYFUNCTION("""COMPUTED_VALUE"""),59.72)</f>
        <v>59.72</v>
      </c>
      <c r="F259">
        <f ca="1">IFERROR(__xludf.DUMMYFUNCTION("""COMPUTED_VALUE"""),43)</f>
        <v>43</v>
      </c>
      <c r="G259">
        <f ca="1">IFERROR(__xludf.DUMMYFUNCTION("""COMPUTED_VALUE"""),72)</f>
        <v>72</v>
      </c>
      <c r="H259" t="str">
        <f ca="1">IFERROR(__xludf.DUMMYFUNCTION("""COMPUTED_VALUE"""),"+2.00")</f>
        <v>+2.00</v>
      </c>
    </row>
    <row r="260" spans="1:8" ht="12.75">
      <c r="A260" t="str">
        <f ca="1">IFERROR(__xludf.DUMMYFUNCTION("""COMPUTED_VALUE"""),"T259")</f>
        <v>T259</v>
      </c>
      <c r="B260" t="str">
        <f ca="1">IFERROR(__xludf.DUMMYFUNCTION("""COMPUTED_VALUE"""),"T260")</f>
        <v>T260</v>
      </c>
      <c r="C260" t="str">
        <f ca="1">IFERROR(__xludf.DUMMYFUNCTION("""COMPUTED_VALUE"""),"Graeme McDowell")</f>
        <v>Graeme McDowell</v>
      </c>
      <c r="D260">
        <f ca="1">IFERROR(__xludf.DUMMYFUNCTION("""COMPUTED_VALUE"""),8)</f>
        <v>8</v>
      </c>
      <c r="E260">
        <f ca="1">IFERROR(__xludf.DUMMYFUNCTION("""COMPUTED_VALUE"""),59.26)</f>
        <v>59.26</v>
      </c>
      <c r="F260">
        <f ca="1">IFERROR(__xludf.DUMMYFUNCTION("""COMPUTED_VALUE"""),64)</f>
        <v>64</v>
      </c>
      <c r="G260">
        <f ca="1">IFERROR(__xludf.DUMMYFUNCTION("""COMPUTED_VALUE"""),108)</f>
        <v>108</v>
      </c>
      <c r="H260">
        <f ca="1">IFERROR(__xludf.DUMMYFUNCTION("""COMPUTED_VALUE"""),-10)</f>
        <v>-10</v>
      </c>
    </row>
    <row r="261" spans="1:8" ht="12.75">
      <c r="A261" t="str">
        <f ca="1">IFERROR(__xludf.DUMMYFUNCTION("""COMPUTED_VALUE"""),"T259")</f>
        <v>T259</v>
      </c>
      <c r="B261">
        <f ca="1">IFERROR(__xludf.DUMMYFUNCTION("""COMPUTED_VALUE"""),254)</f>
        <v>254</v>
      </c>
      <c r="C261" t="str">
        <f ca="1">IFERROR(__xludf.DUMMYFUNCTION("""COMPUTED_VALUE"""),"Ian Poulter")</f>
        <v>Ian Poulter</v>
      </c>
      <c r="D261">
        <f ca="1">IFERROR(__xludf.DUMMYFUNCTION("""COMPUTED_VALUE"""),6)</f>
        <v>6</v>
      </c>
      <c r="E261">
        <f ca="1">IFERROR(__xludf.DUMMYFUNCTION("""COMPUTED_VALUE"""),59.26)</f>
        <v>59.26</v>
      </c>
      <c r="F261">
        <f ca="1">IFERROR(__xludf.DUMMYFUNCTION("""COMPUTED_VALUE"""),64)</f>
        <v>64</v>
      </c>
      <c r="G261">
        <f ca="1">IFERROR(__xludf.DUMMYFUNCTION("""COMPUTED_VALUE"""),108)</f>
        <v>108</v>
      </c>
      <c r="H261">
        <f ca="1">IFERROR(__xludf.DUMMYFUNCTION("""COMPUTED_VALUE"""),-17)</f>
        <v>-17</v>
      </c>
    </row>
    <row r="262" spans="1:8" ht="12.75">
      <c r="A262" t="str">
        <f ca="1">IFERROR(__xludf.DUMMYFUNCTION("""COMPUTED_VALUE"""),"T261")</f>
        <v>T261</v>
      </c>
      <c r="B262" t="str">
        <f ca="1">IFERROR(__xludf.DUMMYFUNCTION("""COMPUTED_VALUE"""),"T250")</f>
        <v>T250</v>
      </c>
      <c r="C262" t="str">
        <f ca="1">IFERROR(__xludf.DUMMYFUNCTION("""COMPUTED_VALUE"""),"Lee Westwood")</f>
        <v>Lee Westwood</v>
      </c>
      <c r="D262">
        <f ca="1">IFERROR(__xludf.DUMMYFUNCTION("""COMPUTED_VALUE"""),6)</f>
        <v>6</v>
      </c>
      <c r="E262">
        <f ca="1">IFERROR(__xludf.DUMMYFUNCTION("""COMPUTED_VALUE"""),58.33)</f>
        <v>58.33</v>
      </c>
      <c r="F262">
        <f ca="1">IFERROR(__xludf.DUMMYFUNCTION("""COMPUTED_VALUE"""),63)</f>
        <v>63</v>
      </c>
      <c r="G262">
        <f ca="1">IFERROR(__xludf.DUMMYFUNCTION("""COMPUTED_VALUE"""),108)</f>
        <v>108</v>
      </c>
      <c r="H262">
        <f ca="1">IFERROR(__xludf.DUMMYFUNCTION("""COMPUTED_VALUE"""),-17)</f>
        <v>-17</v>
      </c>
    </row>
    <row r="263" spans="1:8" ht="12.75">
      <c r="A263" t="str">
        <f ca="1">IFERROR(__xludf.DUMMYFUNCTION("""COMPUTED_VALUE"""),"T261")</f>
        <v>T261</v>
      </c>
      <c r="B263" t="str">
        <f ca="1">IFERROR(__xludf.DUMMYFUNCTION("""COMPUTED_VALUE"""),"T255")</f>
        <v>T255</v>
      </c>
      <c r="C263" t="str">
        <f ca="1">IFERROR(__xludf.DUMMYFUNCTION("""COMPUTED_VALUE"""),"Gary Woodland")</f>
        <v>Gary Woodland</v>
      </c>
      <c r="D263">
        <f ca="1">IFERROR(__xludf.DUMMYFUNCTION("""COMPUTED_VALUE"""),6)</f>
        <v>6</v>
      </c>
      <c r="E263">
        <f ca="1">IFERROR(__xludf.DUMMYFUNCTION("""COMPUTED_VALUE"""),58.33)</f>
        <v>58.33</v>
      </c>
      <c r="F263">
        <f ca="1">IFERROR(__xludf.DUMMYFUNCTION("""COMPUTED_VALUE"""),63)</f>
        <v>63</v>
      </c>
      <c r="G263">
        <f ca="1">IFERROR(__xludf.DUMMYFUNCTION("""COMPUTED_VALUE"""),108)</f>
        <v>108</v>
      </c>
      <c r="H263">
        <f ca="1">IFERROR(__xludf.DUMMYFUNCTION("""COMPUTED_VALUE"""),-24)</f>
        <v>-24</v>
      </c>
    </row>
    <row r="264" spans="1:8" ht="12.75">
      <c r="A264" t="str">
        <f ca="1">IFERROR(__xludf.DUMMYFUNCTION("""COMPUTED_VALUE"""),"T261")</f>
        <v>T261</v>
      </c>
      <c r="B264" t="str">
        <f ca="1">IFERROR(__xludf.DUMMYFUNCTION("""COMPUTED_VALUE"""),"T255")</f>
        <v>T255</v>
      </c>
      <c r="C264" t="str">
        <f ca="1">IFERROR(__xludf.DUMMYFUNCTION("""COMPUTED_VALUE"""),"Jeongwoo Ham")</f>
        <v>Jeongwoo Ham</v>
      </c>
      <c r="D264">
        <f ca="1">IFERROR(__xludf.DUMMYFUNCTION("""COMPUTED_VALUE"""),4)</f>
        <v>4</v>
      </c>
      <c r="E264">
        <f ca="1">IFERROR(__xludf.DUMMYFUNCTION("""COMPUTED_VALUE"""),58.33)</f>
        <v>58.33</v>
      </c>
      <c r="F264">
        <f ca="1">IFERROR(__xludf.DUMMYFUNCTION("""COMPUTED_VALUE"""),42)</f>
        <v>42</v>
      </c>
      <c r="G264">
        <f ca="1">IFERROR(__xludf.DUMMYFUNCTION("""COMPUTED_VALUE"""),72)</f>
        <v>72</v>
      </c>
      <c r="H264">
        <f ca="1">IFERROR(__xludf.DUMMYFUNCTION("""COMPUTED_VALUE"""),-15)</f>
        <v>-15</v>
      </c>
    </row>
    <row r="265" spans="1:8" ht="12.75">
      <c r="A265">
        <f ca="1">IFERROR(__xludf.DUMMYFUNCTION("""COMPUTED_VALUE"""),264)</f>
        <v>264</v>
      </c>
      <c r="B265" t="str">
        <f ca="1">IFERROR(__xludf.DUMMYFUNCTION("""COMPUTED_VALUE"""),"T247")</f>
        <v>T247</v>
      </c>
      <c r="C265" t="str">
        <f ca="1">IFERROR(__xludf.DUMMYFUNCTION("""COMPUTED_VALUE"""),"Martin Trainer")</f>
        <v>Martin Trainer</v>
      </c>
      <c r="D265">
        <f ca="1">IFERROR(__xludf.DUMMYFUNCTION("""COMPUTED_VALUE"""),10)</f>
        <v>10</v>
      </c>
      <c r="E265">
        <f ca="1">IFERROR(__xludf.DUMMYFUNCTION("""COMPUTED_VALUE"""),57.64)</f>
        <v>57.64</v>
      </c>
      <c r="F265">
        <f ca="1">IFERROR(__xludf.DUMMYFUNCTION("""COMPUTED_VALUE"""),83)</f>
        <v>83</v>
      </c>
      <c r="G265">
        <f ca="1">IFERROR(__xludf.DUMMYFUNCTION("""COMPUTED_VALUE"""),144)</f>
        <v>144</v>
      </c>
      <c r="H265">
        <f ca="1">IFERROR(__xludf.DUMMYFUNCTION("""COMPUTED_VALUE"""),-28)</f>
        <v>-28</v>
      </c>
    </row>
    <row r="266" spans="1:8" ht="12.75">
      <c r="A266">
        <f ca="1">IFERROR(__xludf.DUMMYFUNCTION("""COMPUTED_VALUE"""),265)</f>
        <v>265</v>
      </c>
      <c r="B266" t="str">
        <f ca="1">IFERROR(__xludf.DUMMYFUNCTION("""COMPUTED_VALUE"""),"T250")</f>
        <v>T250</v>
      </c>
      <c r="C266" t="str">
        <f ca="1">IFERROR(__xludf.DUMMYFUNCTION("""COMPUTED_VALUE"""),"Kevin Stadler")</f>
        <v>Kevin Stadler</v>
      </c>
      <c r="D266">
        <f ca="1">IFERROR(__xludf.DUMMYFUNCTION("""COMPUTED_VALUE"""),8)</f>
        <v>8</v>
      </c>
      <c r="E266">
        <f ca="1">IFERROR(__xludf.DUMMYFUNCTION("""COMPUTED_VALUE"""),56.48)</f>
        <v>56.48</v>
      </c>
      <c r="F266">
        <f ca="1">IFERROR(__xludf.DUMMYFUNCTION("""COMPUTED_VALUE"""),61)</f>
        <v>61</v>
      </c>
      <c r="G266">
        <f ca="1">IFERROR(__xludf.DUMMYFUNCTION("""COMPUTED_VALUE"""),108)</f>
        <v>108</v>
      </c>
      <c r="H266">
        <f ca="1">IFERROR(__xludf.DUMMYFUNCTION("""COMPUTED_VALUE"""),-13)</f>
        <v>-13</v>
      </c>
    </row>
    <row r="267" spans="1:8" ht="12.75">
      <c r="A267" t="str">
        <f ca="1">IFERROR(__xludf.DUMMYFUNCTION("""COMPUTED_VALUE"""),"T266")</f>
        <v>T266</v>
      </c>
      <c r="B267" t="str">
        <f ca="1">IFERROR(__xludf.DUMMYFUNCTION("""COMPUTED_VALUE"""),"T257")</f>
        <v>T257</v>
      </c>
      <c r="C267" t="str">
        <f ca="1">IFERROR(__xludf.DUMMYFUNCTION("""COMPUTED_VALUE"""),"Lucas Herbert")</f>
        <v>Lucas Herbert</v>
      </c>
      <c r="D267">
        <f ca="1">IFERROR(__xludf.DUMMYFUNCTION("""COMPUTED_VALUE"""),4)</f>
        <v>4</v>
      </c>
      <c r="E267">
        <f ca="1">IFERROR(__xludf.DUMMYFUNCTION("""COMPUTED_VALUE"""),55.56)</f>
        <v>55.56</v>
      </c>
      <c r="F267">
        <f ca="1">IFERROR(__xludf.DUMMYFUNCTION("""COMPUTED_VALUE"""),40)</f>
        <v>40</v>
      </c>
      <c r="G267">
        <f ca="1">IFERROR(__xludf.DUMMYFUNCTION("""COMPUTED_VALUE"""),72)</f>
        <v>72</v>
      </c>
      <c r="H267">
        <f ca="1">IFERROR(__xludf.DUMMYFUNCTION("""COMPUTED_VALUE"""),-10)</f>
        <v>-10</v>
      </c>
    </row>
    <row r="268" spans="1:8" ht="12.75">
      <c r="A268" t="str">
        <f ca="1">IFERROR(__xludf.DUMMYFUNCTION("""COMPUTED_VALUE"""),"T266")</f>
        <v>T266</v>
      </c>
      <c r="B268" t="str">
        <f ca="1">IFERROR(__xludf.DUMMYFUNCTION("""COMPUTED_VALUE"""),"T257")</f>
        <v>T257</v>
      </c>
      <c r="C268" t="str">
        <f ca="1">IFERROR(__xludf.DUMMYFUNCTION("""COMPUTED_VALUE"""),"Taylor Pendrith")</f>
        <v>Taylor Pendrith</v>
      </c>
      <c r="D268">
        <f ca="1">IFERROR(__xludf.DUMMYFUNCTION("""COMPUTED_VALUE"""),4)</f>
        <v>4</v>
      </c>
      <c r="E268">
        <f ca="1">IFERROR(__xludf.DUMMYFUNCTION("""COMPUTED_VALUE"""),55.56)</f>
        <v>55.56</v>
      </c>
      <c r="F268">
        <f ca="1">IFERROR(__xludf.DUMMYFUNCTION("""COMPUTED_VALUE"""),40)</f>
        <v>40</v>
      </c>
      <c r="G268">
        <f ca="1">IFERROR(__xludf.DUMMYFUNCTION("""COMPUTED_VALUE"""),72)</f>
        <v>72</v>
      </c>
      <c r="H268">
        <f ca="1">IFERROR(__xludf.DUMMYFUNCTION("""COMPUTED_VALUE"""),-8)</f>
        <v>-8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IFERROR(__xludf.DUMMYFUNCTION("""COMPUTED_VALUE"""),259)</f>
        <v>259</v>
      </c>
      <c r="C269" t="str">
        <f ca="1">IFERROR(__xludf.DUMMYFUNCTION("""COMPUTED_VALUE"""),"Robert MacIntyre")</f>
        <v>Robert MacIntyre</v>
      </c>
      <c r="D269">
        <f ca="1">IFERROR(__xludf.DUMMYFUNCTION("""COMPUTED_VALUE"""),4)</f>
        <v>4</v>
      </c>
      <c r="E269">
        <f ca="1">IFERROR(__xludf.DUMMYFUNCTION("""COMPUTED_VALUE"""),54.17)</f>
        <v>54.17</v>
      </c>
      <c r="F269">
        <f ca="1">IFERROR(__xludf.DUMMYFUNCTION("""COMPUTED_VALUE"""),39)</f>
        <v>39</v>
      </c>
      <c r="G269">
        <f ca="1">IFERROR(__xludf.DUMMYFUNCTION("""COMPUTED_VALUE"""),72)</f>
        <v>72</v>
      </c>
      <c r="H269">
        <f ca="1">IFERROR(__xludf.DUMMYFUNCTION("""COMPUTED_VALUE"""),-7)</f>
        <v>-7</v>
      </c>
    </row>
    <row r="270" spans="1:8" ht="12.75">
      <c r="A270" t="str">
        <f ca="1">IFERROR(__xludf.DUMMYFUNCTION("""COMPUTED_VALUE"""),"T269")</f>
        <v>T269</v>
      </c>
      <c r="B270" t="str">
        <f ca="1">IFERROR(__xludf.DUMMYFUNCTION("""COMPUTED_VALUE"""),"T260")</f>
        <v>T260</v>
      </c>
      <c r="C270" t="str">
        <f ca="1">IFERROR(__xludf.DUMMYFUNCTION("""COMPUTED_VALUE"""),"Rasmus Hojgaard")</f>
        <v>Rasmus Hojgaard</v>
      </c>
      <c r="D270">
        <f ca="1">IFERROR(__xludf.DUMMYFUNCTION("""COMPUTED_VALUE"""),6)</f>
        <v>6</v>
      </c>
      <c r="E270">
        <f ca="1">IFERROR(__xludf.DUMMYFUNCTION("""COMPUTED_VALUE"""),52.78)</f>
        <v>52.78</v>
      </c>
      <c r="F270">
        <f ca="1">IFERROR(__xludf.DUMMYFUNCTION("""COMPUTED_VALUE"""),19)</f>
        <v>19</v>
      </c>
      <c r="G270">
        <f ca="1">IFERROR(__xludf.DUMMYFUNCTION("""COMPUTED_VALUE"""),36)</f>
        <v>36</v>
      </c>
      <c r="H270">
        <f ca="1">IFERROR(__xludf.DUMMYFUNCTION("""COMPUTED_VALUE"""),-1)</f>
        <v>-1</v>
      </c>
    </row>
    <row r="271" spans="1:8" ht="12.75">
      <c r="A271" t="str">
        <f ca="1">IFERROR(__xludf.DUMMYFUNCTION("""COMPUTED_VALUE"""),"T269")</f>
        <v>T269</v>
      </c>
      <c r="B271" t="str">
        <f ca="1">IFERROR(__xludf.DUMMYFUNCTION("""COMPUTED_VALUE"""),"T260")</f>
        <v>T260</v>
      </c>
      <c r="C271" t="str">
        <f ca="1">IFERROR(__xludf.DUMMYFUNCTION("""COMPUTED_VALUE"""),"Kurt Kitayama")</f>
        <v>Kurt Kitayama</v>
      </c>
      <c r="D271">
        <f ca="1">IFERROR(__xludf.DUMMYFUNCTION("""COMPUTED_VALUE"""),4)</f>
        <v>4</v>
      </c>
      <c r="E271">
        <f ca="1">IFERROR(__xludf.DUMMYFUNCTION("""COMPUTED_VALUE"""),52.78)</f>
        <v>52.78</v>
      </c>
      <c r="F271">
        <f ca="1">IFERROR(__xludf.DUMMYFUNCTION("""COMPUTED_VALUE"""),19)</f>
        <v>19</v>
      </c>
      <c r="G271">
        <f ca="1">IFERROR(__xludf.DUMMYFUNCTION("""COMPUTED_VALUE"""),36)</f>
        <v>36</v>
      </c>
      <c r="H271" t="str">
        <f ca="1">IFERROR(__xludf.DUMMYFUNCTION("""COMPUTED_VALUE"""),"E")</f>
        <v>E</v>
      </c>
    </row>
    <row r="272" spans="1:8" ht="12.75">
      <c r="A272" t="str">
        <f ca="1">IFERROR(__xludf.DUMMYFUNCTION("""COMPUTED_VALUE"""),"T269")</f>
        <v>T269</v>
      </c>
      <c r="B272" t="str">
        <f ca="1">IFERROR(__xludf.DUMMYFUNCTION("""COMPUTED_VALUE"""),"T260")</f>
        <v>T260</v>
      </c>
      <c r="C272" t="str">
        <f ca="1">IFERROR(__xludf.DUMMYFUNCTION("""COMPUTED_VALUE"""),"Thomas Detry")</f>
        <v>Thomas Detry</v>
      </c>
      <c r="D272">
        <f ca="1">IFERROR(__xludf.DUMMYFUNCTION("""COMPUTED_VALUE"""),8)</f>
        <v>8</v>
      </c>
      <c r="E272">
        <f ca="1">IFERROR(__xludf.DUMMYFUNCTION("""COMPUTED_VALUE"""),52.78)</f>
        <v>52.78</v>
      </c>
      <c r="F272">
        <f ca="1">IFERROR(__xludf.DUMMYFUNCTION("""COMPUTED_VALUE"""),38)</f>
        <v>38</v>
      </c>
      <c r="G272">
        <f ca="1">IFERROR(__xludf.DUMMYFUNCTION("""COMPUTED_VALUE"""),72)</f>
        <v>72</v>
      </c>
      <c r="H272">
        <f ca="1">IFERROR(__xludf.DUMMYFUNCTION("""COMPUTED_VALUE"""),-10)</f>
        <v>-10</v>
      </c>
    </row>
    <row r="273" spans="1:8" ht="12.75">
      <c r="A273" t="str">
        <f ca="1">IFERROR(__xludf.DUMMYFUNCTION("""COMPUTED_VALUE"""),"T272")</f>
        <v>T272</v>
      </c>
      <c r="B273" t="str">
        <f ca="1">IFERROR(__xludf.DUMMYFUNCTION("""COMPUTED_VALUE"""),"T265")</f>
        <v>T265</v>
      </c>
      <c r="C273" t="str">
        <f ca="1">IFERROR(__xludf.DUMMYFUNCTION("""COMPUTED_VALUE"""),"Stephan Jaeger")</f>
        <v>Stephan Jaeger</v>
      </c>
      <c r="D273">
        <f ca="1">IFERROR(__xludf.DUMMYFUNCTION("""COMPUTED_VALUE"""),4)</f>
        <v>4</v>
      </c>
      <c r="E273">
        <f ca="1">IFERROR(__xludf.DUMMYFUNCTION("""COMPUTED_VALUE"""),51.39)</f>
        <v>51.39</v>
      </c>
      <c r="F273">
        <f ca="1">IFERROR(__xludf.DUMMYFUNCTION("""COMPUTED_VALUE"""),37)</f>
        <v>37</v>
      </c>
      <c r="G273">
        <f ca="1">IFERROR(__xludf.DUMMYFUNCTION("""COMPUTED_VALUE"""),72)</f>
        <v>72</v>
      </c>
      <c r="H273">
        <f ca="1">IFERROR(__xludf.DUMMYFUNCTION("""COMPUTED_VALUE"""),-8)</f>
        <v>-8</v>
      </c>
    </row>
    <row r="274" spans="1:8" ht="12.75">
      <c r="A274" t="str">
        <f ca="1">IFERROR(__xludf.DUMMYFUNCTION("""COMPUTED_VALUE"""),"T272")</f>
        <v>T272</v>
      </c>
      <c r="B274" t="str">
        <f ca="1">IFERROR(__xludf.DUMMYFUNCTION("""COMPUTED_VALUE"""),"T265")</f>
        <v>T265</v>
      </c>
      <c r="C274" t="str">
        <f ca="1">IFERROR(__xludf.DUMMYFUNCTION("""COMPUTED_VALUE"""),"Tae Hee Lee")</f>
        <v>Tae Hee Lee</v>
      </c>
      <c r="D274">
        <f ca="1">IFERROR(__xludf.DUMMYFUNCTION("""COMPUTED_VALUE"""),4)</f>
        <v>4</v>
      </c>
      <c r="E274">
        <f ca="1">IFERROR(__xludf.DUMMYFUNCTION("""COMPUTED_VALUE"""),51.39)</f>
        <v>51.39</v>
      </c>
      <c r="F274">
        <f ca="1">IFERROR(__xludf.DUMMYFUNCTION("""COMPUTED_VALUE"""),37)</f>
        <v>37</v>
      </c>
      <c r="G274">
        <f ca="1">IFERROR(__xludf.DUMMYFUNCTION("""COMPUTED_VALUE"""),72)</f>
        <v>72</v>
      </c>
      <c r="H274">
        <f ca="1">IFERROR(__xludf.DUMMYFUNCTION("""COMPUTED_VALUE"""),-4)</f>
        <v>-4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IFERROR(__xludf.DUMMYFUNCTION("""COMPUTED_VALUE"""),"Christiaan Bezuidenhout")</f>
        <v>Christiaan Bezuidenhout</v>
      </c>
      <c r="D275">
        <f ca="1">IFERROR(__xludf.DUMMYFUNCTION("""COMPUTED_VALUE"""),4)</f>
        <v>4</v>
      </c>
      <c r="E275">
        <f ca="1">IFERROR(__xludf.DUMMYFUNCTION("""COMPUTED_VALUE"""),50)</f>
        <v>50</v>
      </c>
      <c r="F275">
        <f ca="1">IFERROR(__xludf.DUMMYFUNCTION("""COMPUTED_VALUE"""),36)</f>
        <v>36</v>
      </c>
      <c r="G275">
        <f ca="1">IFERROR(__xludf.DUMMYFUNCTION("""COMPUTED_VALUE"""),72)</f>
        <v>72</v>
      </c>
      <c r="H275">
        <f ca="1">IFERROR(__xludf.DUMMYFUNCTION("""COMPUTED_VALUE"""),-5)</f>
        <v>-5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IFERROR(__xludf.DUMMYFUNCTION("""COMPUTED_VALUE"""),"Danny Willett")</f>
        <v>Danny Willett</v>
      </c>
      <c r="D276">
        <f ca="1">IFERROR(__xludf.DUMMYFUNCTION("""COMPUTED_VALUE"""),7)</f>
        <v>7</v>
      </c>
      <c r="E276">
        <f ca="1">IFERROR(__xludf.DUMMYFUNCTION("""COMPUTED_VALUE"""),46.3)</f>
        <v>46.3</v>
      </c>
      <c r="F276">
        <f ca="1">IFERROR(__xludf.DUMMYFUNCTION("""COMPUTED_VALUE"""),25)</f>
        <v>25</v>
      </c>
      <c r="G276">
        <f ca="1">IFERROR(__xludf.DUMMYFUNCTION("""COMPUTED_VALUE"""),54)</f>
        <v>54</v>
      </c>
      <c r="H276">
        <f ca="1">IFERROR(__xludf.DUMMYFUNCTION("""COMPUTED_VALUE"""),-2)</f>
        <v>-2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IFERROR(__xludf.DUMMYFUNCTION("""COMPUTED_VALUE"""),41.67)</f>
        <v>41.67</v>
      </c>
      <c r="F277">
        <f ca="1">IFERROR(__xludf.DUMMYFUNCTION("""COMPUTED_VALUE"""),15)</f>
        <v>15</v>
      </c>
      <c r="G277">
        <f ca="1">IFERROR(__xludf.DUMMYFUNCTION("""COMPUTED_VALUE"""),36)</f>
        <v>36</v>
      </c>
      <c r="H277">
        <f ca="1">IFERROR(__xludf.DUMMYFUNCTION("""COMPUTED_VALUE"""),-2)</f>
        <v>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1"/>
  <sheetViews>
    <sheetView workbookViewId="0"/>
  </sheetViews>
  <sheetFormatPr defaultColWidth="14.42578125" defaultRowHeight="15.75" customHeight="1"/>
  <sheetData>
    <row r="1" spans="1:3" ht="15.75" customHeight="1">
      <c r="A1" t="str">
        <f ca="1">IFERROR(__xludf.DUMMYFUNCTION("importhtml(""http://www.pgatour.com/stats/stat.190.html"",""table"",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IFERROR(__xludf.DUMMYFUNCTION("importhtml(""http://www.pgatour.com/stats/stat.199.html"",""table"",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IFERROR(__xludf.DUMMYFUNCTION("""COMPUTED_VALUE"""),"GREENS HIT")</f>
        <v>GREENS HIT</v>
      </c>
      <c r="G1" t="str">
        <f ca="1">IFERROR(__xludf.DUMMYFUNCTION("""COMPUTED_VALUE"""),"# OF HOLES")</f>
        <v># OF HOLES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IFERROR(__xludf.DUMMYFUNCTION("""COMPUTED_VALUE"""),"Michael Miller")</f>
        <v>Michael Miller</v>
      </c>
      <c r="D2">
        <f ca="1">IFERROR(__xludf.DUMMYFUNCTION("""COMPUTED_VALUE"""),4)</f>
        <v>4</v>
      </c>
      <c r="E2">
        <f ca="1">IFERROR(__xludf.DUMMYFUNCTION("""COMPUTED_VALUE"""),81.25)</f>
        <v>81.25</v>
      </c>
      <c r="F2">
        <f ca="1">IFERROR(__xludf.DUMMYFUNCTION("""COMPUTED_VALUE"""),26)</f>
        <v>26</v>
      </c>
      <c r="G2">
        <f ca="1">IFERROR(__xludf.DUMMYFUNCTION("""COMPUTED_VALUE"""),32)</f>
        <v>32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IFERROR(__xludf.DUMMYFUNCTION("""COMPUTED_VALUE"""),"Alex Smalley")</f>
        <v>Alex Smalley</v>
      </c>
      <c r="D3">
        <f ca="1">IFERROR(__xludf.DUMMYFUNCTION("""COMPUTED_VALUE"""),4)</f>
        <v>4</v>
      </c>
      <c r="E3">
        <f ca="1">IFERROR(__xludf.DUMMYFUNCTION("""COMPUTED_VALUE"""),76.92)</f>
        <v>76.92</v>
      </c>
      <c r="F3">
        <f ca="1">IFERROR(__xludf.DUMMYFUNCTION("""COMPUTED_VALUE"""),10)</f>
        <v>10</v>
      </c>
      <c r="G3">
        <f ca="1">IFERROR(__xludf.DUMMYFUNCTION("""COMPUTED_VALUE"""),13)</f>
        <v>13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IFERROR(__xludf.DUMMYFUNCTION("""COMPUTED_VALUE"""),6)</f>
        <v>6</v>
      </c>
      <c r="C4" t="str">
        <f ca="1">IFERROR(__xludf.DUMMYFUNCTION("""COMPUTED_VALUE"""),"Wesley Bryan")</f>
        <v>Wesley Bryan</v>
      </c>
      <c r="D4">
        <f ca="1">IFERROR(__xludf.DUMMYFUNCTION("""COMPUTED_VALUE"""),8)</f>
        <v>8</v>
      </c>
      <c r="E4">
        <f ca="1">IFERROR(__xludf.DUMMYFUNCTION("""COMPUTED_VALUE"""),74.51)</f>
        <v>74.510000000000005</v>
      </c>
      <c r="F4">
        <f ca="1">IFERROR(__xludf.DUMMYFUNCTION("""COMPUTED_VALUE"""),38)</f>
        <v>38</v>
      </c>
      <c r="G4">
        <f ca="1">IFERROR(__xludf.DUMMYFUNCTION("""COMPUTED_VALUE"""),51)</f>
        <v>51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IFERROR(__xludf.DUMMYFUNCTION("""COMPUTED_VALUE"""),10)</f>
        <v>10</v>
      </c>
      <c r="C5" t="str">
        <f ca="1">IFERROR(__xludf.DUMMYFUNCTION("""COMPUTED_VALUE"""),"Jonathan Byrd")</f>
        <v>Jonathan Byrd</v>
      </c>
      <c r="D5">
        <f ca="1">IFERROR(__xludf.DUMMYFUNCTION("""COMPUTED_VALUE"""),14)</f>
        <v>14</v>
      </c>
      <c r="E5">
        <f ca="1">IFERROR(__xludf.DUMMYFUNCTION("""COMPUTED_VALUE"""),71.58)</f>
        <v>71.58</v>
      </c>
      <c r="F5">
        <f ca="1">IFERROR(__xludf.DUMMYFUNCTION("""COMPUTED_VALUE"""),68)</f>
        <v>68</v>
      </c>
      <c r="G5">
        <f ca="1">IFERROR(__xludf.DUMMYFUNCTION("""COMPUTED_VALUE"""),95)</f>
        <v>95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IFERROR(__xludf.DUMMYFUNCTION("""COMPUTED_VALUE"""),11)</f>
        <v>11</v>
      </c>
      <c r="C6" t="str">
        <f ca="1">IFERROR(__xludf.DUMMYFUNCTION("""COMPUTED_VALUE"""),"Sahith Theegala")</f>
        <v>Sahith Theegala</v>
      </c>
      <c r="D6">
        <f ca="1">IFERROR(__xludf.DUMMYFUNCTION("""COMPUTED_VALUE"""),6)</f>
        <v>6</v>
      </c>
      <c r="E6">
        <f ca="1">IFERROR(__xludf.DUMMYFUNCTION("""COMPUTED_VALUE"""),71.43)</f>
        <v>71.430000000000007</v>
      </c>
      <c r="F6">
        <f ca="1">IFERROR(__xludf.DUMMYFUNCTION("""COMPUTED_VALUE"""),30)</f>
        <v>30</v>
      </c>
      <c r="G6">
        <f ca="1">IFERROR(__xludf.DUMMYFUNCTION("""COMPUTED_VALUE"""),42)</f>
        <v>42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IFERROR(__xludf.DUMMYFUNCTION("""COMPUTED_VALUE"""),8)</f>
        <v>8</v>
      </c>
      <c r="C7" t="str">
        <f ca="1">IFERROR(__xludf.DUMMYFUNCTION("""COMPUTED_VALUE"""),"Stewart Cink")</f>
        <v>Stewart Cink</v>
      </c>
      <c r="D7">
        <f ca="1">IFERROR(__xludf.DUMMYFUNCTION("""COMPUTED_VALUE"""),18)</f>
        <v>18</v>
      </c>
      <c r="E7">
        <f ca="1">IFERROR(__xludf.DUMMYFUNCTION("""COMPUTED_VALUE"""),70.87)</f>
        <v>70.87</v>
      </c>
      <c r="F7">
        <f ca="1">IFERROR(__xludf.DUMMYFUNCTION("""COMPUTED_VALUE"""),73)</f>
        <v>73</v>
      </c>
      <c r="G7">
        <f ca="1">IFERROR(__xludf.DUMMYFUNCTION("""COMPUTED_VALUE"""),103)</f>
        <v>103</v>
      </c>
    </row>
    <row r="8" spans="1:7" ht="15.75" customHeight="1">
      <c r="A8" t="str">
        <f ca="1">IFERROR(__xludf.DUMMYFUNCTION("""COMPUTED_VALUE"""),"T7")</f>
        <v>T7</v>
      </c>
      <c r="B8" t="str">
        <f ca="1">IFERROR(__xludf.DUMMYFUNCTION("""COMPUTED_VALUE"""),"T13")</f>
        <v>T13</v>
      </c>
      <c r="C8" t="str">
        <f ca="1">IFERROR(__xludf.DUMMYFUNCTION("""COMPUTED_VALUE"""),"George Markham")</f>
        <v>George Markham</v>
      </c>
      <c r="D8">
        <f ca="1">IFERROR(__xludf.DUMMYFUNCTION("""COMPUTED_VALUE"""),4)</f>
        <v>4</v>
      </c>
      <c r="E8">
        <f ca="1">IFERROR(__xludf.DUMMYFUNCTION("""COMPUTED_VALUE"""),70)</f>
        <v>70</v>
      </c>
      <c r="F8">
        <f ca="1">IFERROR(__xludf.DUMMYFUNCTION("""COMPUTED_VALUE"""),14)</f>
        <v>14</v>
      </c>
      <c r="G8">
        <f ca="1">IFERROR(__xludf.DUMMYFUNCTION("""COMPUTED_VALUE"""),20)</f>
        <v>20</v>
      </c>
    </row>
    <row r="9" spans="1:7" ht="15.75" customHeight="1">
      <c r="A9" t="str">
        <f ca="1">IFERROR(__xludf.DUMMYFUNCTION("""COMPUTED_VALUE"""),"T7")</f>
        <v>T7</v>
      </c>
      <c r="B9" t="str">
        <f ca="1">IFERROR(__xludf.DUMMYFUNCTION("""COMPUTED_VALUE"""),"T13")</f>
        <v>T13</v>
      </c>
      <c r="C9" t="str">
        <f ca="1">IFERROR(__xludf.DUMMYFUNCTION("""COMPUTED_VALUE"""),"Bud Cauley")</f>
        <v>Bud Cauley</v>
      </c>
      <c r="D9">
        <f ca="1">IFERROR(__xludf.DUMMYFUNCTION("""COMPUTED_VALUE"""),4)</f>
        <v>4</v>
      </c>
      <c r="E9">
        <f ca="1">IFERROR(__xludf.DUMMYFUNCTION("""COMPUTED_VALUE"""),70)</f>
        <v>70</v>
      </c>
      <c r="F9">
        <f ca="1">IFERROR(__xludf.DUMMYFUNCTION("""COMPUTED_VALUE"""),14)</f>
        <v>14</v>
      </c>
      <c r="G9">
        <f ca="1">IFERROR(__xludf.DUMMYFUNCTION("""COMPUTED_VALUE"""),20)</f>
        <v>20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IFERROR(__xludf.DUMMYFUNCTION("""COMPUTED_VALUE"""),"T13")</f>
        <v>T13</v>
      </c>
      <c r="C10" t="str">
        <f ca="1">IFERROR(__xludf.DUMMYFUNCTION("""COMPUTED_VALUE"""),"Adam Schenk")</f>
        <v>Adam Schenk</v>
      </c>
      <c r="D10">
        <f ca="1">IFERROR(__xludf.DUMMYFUNCTION("""COMPUTED_VALUE"""),22)</f>
        <v>22</v>
      </c>
      <c r="E10">
        <f ca="1">IFERROR(__xludf.DUMMYFUNCTION("""COMPUTED_VALUE"""),69.77)</f>
        <v>69.77</v>
      </c>
      <c r="F10">
        <f ca="1">IFERROR(__xludf.DUMMYFUNCTION("""COMPUTED_VALUE"""),90)</f>
        <v>90</v>
      </c>
      <c r="G10">
        <f ca="1">IFERROR(__xludf.DUMMYFUNCTION("""COMPUTED_VALUE"""),129)</f>
        <v>129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IFERROR(__xludf.DUMMYFUNCTION("""COMPUTED_VALUE"""),16)</f>
        <v>16</v>
      </c>
      <c r="C11" t="str">
        <f ca="1">IFERROR(__xludf.DUMMYFUNCTION("""COMPUTED_VALUE"""),"Ricky Barnes")</f>
        <v>Ricky Barnes</v>
      </c>
      <c r="D11">
        <f ca="1">IFERROR(__xludf.DUMMYFUNCTION("""COMPUTED_VALUE"""),12)</f>
        <v>12</v>
      </c>
      <c r="E11">
        <f ca="1">IFERROR(__xludf.DUMMYFUNCTION("""COMPUTED_VALUE"""),69.74)</f>
        <v>69.739999999999995</v>
      </c>
      <c r="F11">
        <f ca="1">IFERROR(__xludf.DUMMYFUNCTION("""COMPUTED_VALUE"""),53)</f>
        <v>53</v>
      </c>
      <c r="G11">
        <f ca="1">IFERROR(__xludf.DUMMYFUNCTION("""COMPUTED_VALUE"""),76)</f>
        <v>76</v>
      </c>
    </row>
    <row r="12" spans="1:7" ht="15.75" customHeight="1">
      <c r="A12">
        <f ca="1">IFERROR(__xludf.DUMMYFUNCTION("""COMPUTED_VALUE"""),11)</f>
        <v>11</v>
      </c>
      <c r="B12" t="str">
        <f ca="1">IFERROR(__xludf.DUMMYFUNCTION("""COMPUTED_VALUE"""),"T18")</f>
        <v>T18</v>
      </c>
      <c r="C12" t="str">
        <f ca="1">IFERROR(__xludf.DUMMYFUNCTION("""COMPUTED_VALUE"""),"Justin Suh")</f>
        <v>Justin Suh</v>
      </c>
      <c r="D12">
        <f ca="1">IFERROR(__xludf.DUMMYFUNCTION("""COMPUTED_VALUE"""),10)</f>
        <v>10</v>
      </c>
      <c r="E12">
        <f ca="1">IFERROR(__xludf.DUMMYFUNCTION("""COMPUTED_VALUE"""),69.23)</f>
        <v>69.23</v>
      </c>
      <c r="F12">
        <f ca="1">IFERROR(__xludf.DUMMYFUNCTION("""COMPUTED_VALUE"""),36)</f>
        <v>36</v>
      </c>
      <c r="G12">
        <f ca="1">IFERROR(__xludf.DUMMYFUNCTION("""COMPUTED_VALUE"""),52)</f>
        <v>52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IFERROR(__xludf.DUMMYFUNCTION("""COMPUTED_VALUE"""),3)</f>
        <v>3</v>
      </c>
      <c r="C13" t="str">
        <f ca="1">IFERROR(__xludf.DUMMYFUNCTION("""COMPUTED_VALUE"""),"James Hahn")</f>
        <v>James Hahn</v>
      </c>
      <c r="D13">
        <f ca="1">IFERROR(__xludf.DUMMYFUNCTION("""COMPUTED_VALUE"""),16)</f>
        <v>16</v>
      </c>
      <c r="E13">
        <f ca="1">IFERROR(__xludf.DUMMYFUNCTION("""COMPUTED_VALUE"""),68.97)</f>
        <v>68.97</v>
      </c>
      <c r="F13">
        <f ca="1">IFERROR(__xludf.DUMMYFUNCTION("""COMPUTED_VALUE"""),40)</f>
        <v>40</v>
      </c>
      <c r="G13">
        <f ca="1">IFERROR(__xludf.DUMMYFUNCTION("""COMPUTED_VALUE"""),58)</f>
        <v>58</v>
      </c>
    </row>
    <row r="14" spans="1:7" ht="15.75" customHeight="1">
      <c r="A14" t="str">
        <f ca="1">IFERROR(__xludf.DUMMYFUNCTION("""COMPUTED_VALUE"""),"T13")</f>
        <v>T13</v>
      </c>
      <c r="B14" t="str">
        <f ca="1">IFERROR(__xludf.DUMMYFUNCTION("""COMPUTED_VALUE"""),"T26")</f>
        <v>T26</v>
      </c>
      <c r="C14" t="str">
        <f ca="1">IFERROR(__xludf.DUMMYFUNCTION("""COMPUTED_VALUE"""),"Brian Stuard")</f>
        <v>Brian Stuard</v>
      </c>
      <c r="D14">
        <f ca="1">IFERROR(__xludf.DUMMYFUNCTION("""COMPUTED_VALUE"""),18)</f>
        <v>18</v>
      </c>
      <c r="E14">
        <f ca="1">IFERROR(__xludf.DUMMYFUNCTION("""COMPUTED_VALUE"""),68.18)</f>
        <v>68.180000000000007</v>
      </c>
      <c r="F14">
        <f ca="1">IFERROR(__xludf.DUMMYFUNCTION("""COMPUTED_VALUE"""),60)</f>
        <v>60</v>
      </c>
      <c r="G14">
        <f ca="1">IFERROR(__xludf.DUMMYFUNCTION("""COMPUTED_VALUE"""),88)</f>
        <v>88</v>
      </c>
    </row>
    <row r="15" spans="1:7" ht="15.75" customHeight="1">
      <c r="A15" t="str">
        <f ca="1">IFERROR(__xludf.DUMMYFUNCTION("""COMPUTED_VALUE"""),"T13")</f>
        <v>T13</v>
      </c>
      <c r="B15" t="str">
        <f ca="1">IFERROR(__xludf.DUMMYFUNCTION("""COMPUTED_VALUE"""),"T22")</f>
        <v>T22</v>
      </c>
      <c r="C15" t="str">
        <f ca="1">IFERROR(__xludf.DUMMYFUNCTION("""COMPUTED_VALUE"""),"Johnson Wagner")</f>
        <v>Johnson Wagner</v>
      </c>
      <c r="D15">
        <f ca="1">IFERROR(__xludf.DUMMYFUNCTION("""COMPUTED_VALUE"""),8)</f>
        <v>8</v>
      </c>
      <c r="E15">
        <f ca="1">IFERROR(__xludf.DUMMYFUNCTION("""COMPUTED_VALUE"""),68.18)</f>
        <v>68.180000000000007</v>
      </c>
      <c r="F15">
        <f ca="1">IFERROR(__xludf.DUMMYFUNCTION("""COMPUTED_VALUE"""),30)</f>
        <v>30</v>
      </c>
      <c r="G15">
        <f ca="1">IFERROR(__xludf.DUMMYFUNCTION("""COMPUTED_VALUE"""),44)</f>
        <v>44</v>
      </c>
    </row>
    <row r="16" spans="1:7" ht="15.75" customHeight="1">
      <c r="A16" t="str">
        <f ca="1">IFERROR(__xludf.DUMMYFUNCTION("""COMPUTED_VALUE"""),"T13")</f>
        <v>T13</v>
      </c>
      <c r="B16" t="str">
        <f ca="1">IFERROR(__xludf.DUMMYFUNCTION("""COMPUTED_VALUE"""),"T22")</f>
        <v>T22</v>
      </c>
      <c r="C16" t="str">
        <f ca="1">IFERROR(__xludf.DUMMYFUNCTION("""COMPUTED_VALUE"""),"Robert Garrigus")</f>
        <v>Robert Garrigus</v>
      </c>
      <c r="D16">
        <f ca="1">IFERROR(__xludf.DUMMYFUNCTION("""COMPUTED_VALUE"""),3)</f>
        <v>3</v>
      </c>
      <c r="E16">
        <f ca="1">IFERROR(__xludf.DUMMYFUNCTION("""COMPUTED_VALUE"""),68.18)</f>
        <v>68.180000000000007</v>
      </c>
      <c r="F16">
        <f ca="1">IFERROR(__xludf.DUMMYFUNCTION("""COMPUTED_VALUE"""),15)</f>
        <v>15</v>
      </c>
      <c r="G16">
        <f ca="1">IFERROR(__xludf.DUMMYFUNCTION("""COMPUTED_VALUE"""),22)</f>
        <v>22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IFERROR(__xludf.DUMMYFUNCTION("""COMPUTED_VALUE"""),9)</f>
        <v>9</v>
      </c>
      <c r="C17" t="str">
        <f ca="1">IFERROR(__xludf.DUMMYFUNCTION("""COMPUTED_VALUE"""),"Sam Burns")</f>
        <v>Sam Burns</v>
      </c>
      <c r="D17">
        <f ca="1">IFERROR(__xludf.DUMMYFUNCTION("""COMPUTED_VALUE"""),18)</f>
        <v>18</v>
      </c>
      <c r="E17">
        <f ca="1">IFERROR(__xludf.DUMMYFUNCTION("""COMPUTED_VALUE"""),67.82)</f>
        <v>67.819999999999993</v>
      </c>
      <c r="F17">
        <f ca="1">IFERROR(__xludf.DUMMYFUNCTION("""COMPUTED_VALUE"""),59)</f>
        <v>59</v>
      </c>
      <c r="G17">
        <f ca="1">IFERROR(__xludf.DUMMYFUNCTION("""COMPUTED_VALUE"""),87)</f>
        <v>87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IFERROR(__xludf.DUMMYFUNCTION("""COMPUTED_VALUE"""),7)</f>
        <v>7</v>
      </c>
      <c r="C18" t="str">
        <f ca="1">IFERROR(__xludf.DUMMYFUNCTION("""COMPUTED_VALUE"""),"Scott Stallings")</f>
        <v>Scott Stallings</v>
      </c>
      <c r="D18">
        <f ca="1">IFERROR(__xludf.DUMMYFUNCTION("""COMPUTED_VALUE"""),14)</f>
        <v>14</v>
      </c>
      <c r="E18">
        <f ca="1">IFERROR(__xludf.DUMMYFUNCTION("""COMPUTED_VALUE"""),67.78)</f>
        <v>67.78</v>
      </c>
      <c r="F18">
        <f ca="1">IFERROR(__xludf.DUMMYFUNCTION("""COMPUTED_VALUE"""),61)</f>
        <v>61</v>
      </c>
      <c r="G18">
        <f ca="1">IFERROR(__xludf.DUMMYFUNCTION("""COMPUTED_VALUE"""),90)</f>
        <v>90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IFERROR(__xludf.DUMMYFUNCTION("""COMPUTED_VALUE"""),25)</f>
        <v>25</v>
      </c>
      <c r="C19" t="str">
        <f ca="1">IFERROR(__xludf.DUMMYFUNCTION("""COMPUTED_VALUE"""),"Jay McLuen")</f>
        <v>Jay McLuen</v>
      </c>
      <c r="D19">
        <f ca="1">IFERROR(__xludf.DUMMYFUNCTION("""COMPUTED_VALUE"""),4)</f>
        <v>4</v>
      </c>
      <c r="E19">
        <f ca="1">IFERROR(__xludf.DUMMYFUNCTION("""COMPUTED_VALUE"""),67.74)</f>
        <v>67.739999999999995</v>
      </c>
      <c r="F19">
        <f ca="1">IFERROR(__xludf.DUMMYFUNCTION("""COMPUTED_VALUE"""),21)</f>
        <v>21</v>
      </c>
      <c r="G19">
        <f ca="1">IFERROR(__xludf.DUMMYFUNCTION("""COMPUTED_VALUE"""),31)</f>
        <v>31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IFERROR(__xludf.DUMMYFUNCTION("""COMPUTED_VALUE"""),28)</f>
        <v>28</v>
      </c>
      <c r="C20" t="str">
        <f ca="1">IFERROR(__xludf.DUMMYFUNCTION("""COMPUTED_VALUE"""),"Harry Higgs")</f>
        <v>Harry Higgs</v>
      </c>
      <c r="D20">
        <f ca="1">IFERROR(__xludf.DUMMYFUNCTION("""COMPUTED_VALUE"""),14)</f>
        <v>14</v>
      </c>
      <c r="E20">
        <f ca="1">IFERROR(__xludf.DUMMYFUNCTION("""COMPUTED_VALUE"""),67.53)</f>
        <v>67.53</v>
      </c>
      <c r="F20">
        <f ca="1">IFERROR(__xludf.DUMMYFUNCTION("""COMPUTED_VALUE"""),52)</f>
        <v>52</v>
      </c>
      <c r="G20">
        <f ca="1">IFERROR(__xludf.DUMMYFUNCTION("""COMPUTED_VALUE"""),77)</f>
        <v>77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IFERROR(__xludf.DUMMYFUNCTION("""COMPUTED_VALUE"""),"T29")</f>
        <v>T29</v>
      </c>
      <c r="C21" t="str">
        <f ca="1">IFERROR(__xludf.DUMMYFUNCTION("""COMPUTED_VALUE"""),"Ryan Palmer")</f>
        <v>Ryan Palmer</v>
      </c>
      <c r="D21">
        <f ca="1">IFERROR(__xludf.DUMMYFUNCTION("""COMPUTED_VALUE"""),14)</f>
        <v>14</v>
      </c>
      <c r="E21">
        <f ca="1">IFERROR(__xludf.DUMMYFUNCTION("""COMPUTED_VALUE"""),67.47)</f>
        <v>67.47</v>
      </c>
      <c r="F21">
        <f ca="1">IFERROR(__xludf.DUMMYFUNCTION("""COMPUTED_VALUE"""),56)</f>
        <v>56</v>
      </c>
      <c r="G21">
        <f ca="1">IFERROR(__xludf.DUMMYFUNCTION("""COMPUTED_VALUE"""),83)</f>
        <v>83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IFERROR(__xludf.DUMMYFUNCTION("""COMPUTED_VALUE"""),"T31")</f>
        <v>T31</v>
      </c>
      <c r="C22" t="str">
        <f ca="1">IFERROR(__xludf.DUMMYFUNCTION("""COMPUTED_VALUE"""),"Stephen Stallings Jr.")</f>
        <v>Stephen Stallings Jr.</v>
      </c>
      <c r="D22">
        <f ca="1">IFERROR(__xludf.DUMMYFUNCTION("""COMPUTED_VALUE"""),4)</f>
        <v>4</v>
      </c>
      <c r="E22">
        <f ca="1">IFERROR(__xludf.DUMMYFUNCTION("""COMPUTED_VALUE"""),66.67)</f>
        <v>66.67</v>
      </c>
      <c r="F22">
        <f ca="1">IFERROR(__xludf.DUMMYFUNCTION("""COMPUTED_VALUE"""),12)</f>
        <v>12</v>
      </c>
      <c r="G22">
        <f ca="1">IFERROR(__xludf.DUMMYFUNCTION("""COMPUTED_VALUE"""),18)</f>
        <v>18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IFERROR(__xludf.DUMMYFUNCTION("""COMPUTED_VALUE"""),"T18")</f>
        <v>T18</v>
      </c>
      <c r="C23" t="str">
        <f ca="1">IFERROR(__xludf.DUMMYFUNCTION("""COMPUTED_VALUE"""),"Austin Cook")</f>
        <v>Austin Cook</v>
      </c>
      <c r="D23">
        <f ca="1">IFERROR(__xludf.DUMMYFUNCTION("""COMPUTED_VALUE"""),14)</f>
        <v>14</v>
      </c>
      <c r="E23">
        <f ca="1">IFERROR(__xludf.DUMMYFUNCTION("""COMPUTED_VALUE"""),66.67)</f>
        <v>66.67</v>
      </c>
      <c r="F23">
        <f ca="1">IFERROR(__xludf.DUMMYFUNCTION("""COMPUTED_VALUE"""),44)</f>
        <v>44</v>
      </c>
      <c r="G23">
        <f ca="1">IFERROR(__xludf.DUMMYFUNCTION("""COMPUTED_VALUE"""),66)</f>
        <v>66</v>
      </c>
    </row>
    <row r="24" spans="1:7" ht="15.75" customHeight="1">
      <c r="A24" t="str">
        <f ca="1">IFERROR(__xludf.DUMMYFUNCTION("""COMPUTED_VALUE"""),"T21")</f>
        <v>T21</v>
      </c>
      <c r="B24">
        <f ca="1">IFERROR(__xludf.DUMMYFUNCTION("""COMPUTED_VALUE"""),24)</f>
        <v>24</v>
      </c>
      <c r="C24" t="str">
        <f ca="1">IFERROR(__xludf.DUMMYFUNCTION("""COMPUTED_VALUE"""),"Emiliano Grillo")</f>
        <v>Emiliano Grillo</v>
      </c>
      <c r="D24">
        <f ca="1">IFERROR(__xludf.DUMMYFUNCTION("""COMPUTED_VALUE"""),22)</f>
        <v>22</v>
      </c>
      <c r="E24">
        <f ca="1">IFERROR(__xludf.DUMMYFUNCTION("""COMPUTED_VALUE"""),66.67)</f>
        <v>66.67</v>
      </c>
      <c r="F24">
        <f ca="1">IFERROR(__xludf.DUMMYFUNCTION("""COMPUTED_VALUE"""),82)</f>
        <v>82</v>
      </c>
      <c r="G24">
        <f ca="1">IFERROR(__xludf.DUMMYFUNCTION("""COMPUTED_VALUE"""),123)</f>
        <v>123</v>
      </c>
    </row>
    <row r="25" spans="1:7" ht="15.75" customHeight="1">
      <c r="A25" t="str">
        <f ca="1">IFERROR(__xludf.DUMMYFUNCTION("""COMPUTED_VALUE"""),"T21")</f>
        <v>T21</v>
      </c>
      <c r="B25" t="str">
        <f ca="1">IFERROR(__xludf.DUMMYFUNCTION("""COMPUTED_VALUE"""),"T31")</f>
        <v>T31</v>
      </c>
      <c r="C25" t="str">
        <f ca="1">IFERROR(__xludf.DUMMYFUNCTION("""COMPUTED_VALUE"""),"Nick Watney")</f>
        <v>Nick Watney</v>
      </c>
      <c r="D25">
        <f ca="1">IFERROR(__xludf.DUMMYFUNCTION("""COMPUTED_VALUE"""),10)</f>
        <v>10</v>
      </c>
      <c r="E25">
        <f ca="1">IFERROR(__xludf.DUMMYFUNCTION("""COMPUTED_VALUE"""),66.67)</f>
        <v>66.67</v>
      </c>
      <c r="F25">
        <f ca="1">IFERROR(__xludf.DUMMYFUNCTION("""COMPUTED_VALUE"""),48)</f>
        <v>48</v>
      </c>
      <c r="G25">
        <f ca="1">IFERROR(__xludf.DUMMYFUNCTION("""COMPUTED_VALUE"""),72)</f>
        <v>72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IFERROR(__xludf.DUMMYFUNCTION("""COMPUTED_VALUE"""),36)</f>
        <v>36</v>
      </c>
      <c r="C26" t="str">
        <f ca="1">IFERROR(__xludf.DUMMYFUNCTION("""COMPUTED_VALUE"""),"J.B. Holmes")</f>
        <v>J.B. Holmes</v>
      </c>
      <c r="D26">
        <f ca="1">IFERROR(__xludf.DUMMYFUNCTION("""COMPUTED_VALUE"""),10)</f>
        <v>10</v>
      </c>
      <c r="E26">
        <f ca="1">IFERROR(__xludf.DUMMYFUNCTION("""COMPUTED_VALUE"""),66.27)</f>
        <v>66.27</v>
      </c>
      <c r="F26">
        <f ca="1">IFERROR(__xludf.DUMMYFUNCTION("""COMPUTED_VALUE"""),55)</f>
        <v>55</v>
      </c>
      <c r="G26">
        <f ca="1">IFERROR(__xludf.DUMMYFUNCTION("""COMPUTED_VALUE"""),83)</f>
        <v>83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IFERROR(__xludf.DUMMYFUNCTION("""COMPUTED_VALUE"""),38)</f>
        <v>38</v>
      </c>
      <c r="C27" t="str">
        <f ca="1">IFERROR(__xludf.DUMMYFUNCTION("""COMPUTED_VALUE"""),"Nelson Ledesma")</f>
        <v>Nelson Ledesma</v>
      </c>
      <c r="D27">
        <f ca="1">IFERROR(__xludf.DUMMYFUNCTION("""COMPUTED_VALUE"""),8)</f>
        <v>8</v>
      </c>
      <c r="E27">
        <f ca="1">IFERROR(__xludf.DUMMYFUNCTION("""COMPUTED_VALUE"""),66.04)</f>
        <v>66.040000000000006</v>
      </c>
      <c r="F27">
        <f ca="1">IFERROR(__xludf.DUMMYFUNCTION("""COMPUTED_VALUE"""),35)</f>
        <v>35</v>
      </c>
      <c r="G27">
        <f ca="1">IFERROR(__xludf.DUMMYFUNCTION("""COMPUTED_VALUE"""),53)</f>
        <v>53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IFERROR(__xludf.DUMMYFUNCTION("""COMPUTED_VALUE"""),42)</f>
        <v>42</v>
      </c>
      <c r="C28" t="str">
        <f ca="1">IFERROR(__xludf.DUMMYFUNCTION("""COMPUTED_VALUE"""),"MJ Daffue")</f>
        <v>MJ Daffue</v>
      </c>
      <c r="D28">
        <f ca="1">IFERROR(__xludf.DUMMYFUNCTION("""COMPUTED_VALUE"""),10)</f>
        <v>10</v>
      </c>
      <c r="E28">
        <f ca="1">IFERROR(__xludf.DUMMYFUNCTION("""COMPUTED_VALUE"""),65.71)</f>
        <v>65.709999999999994</v>
      </c>
      <c r="F28">
        <f ca="1">IFERROR(__xludf.DUMMYFUNCTION("""COMPUTED_VALUE"""),46)</f>
        <v>46</v>
      </c>
      <c r="G28">
        <f ca="1">IFERROR(__xludf.DUMMYFUNCTION("""COMPUTED_VALUE"""),70)</f>
        <v>70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IFERROR(__xludf.DUMMYFUNCTION("""COMPUTED_VALUE"""),62)</f>
        <v>62</v>
      </c>
      <c r="C29" t="str">
        <f ca="1">IFERROR(__xludf.DUMMYFUNCTION("""COMPUTED_VALUE"""),"Denny McCarthy")</f>
        <v>Denny McCarthy</v>
      </c>
      <c r="D29">
        <f ca="1">IFERROR(__xludf.DUMMYFUNCTION("""COMPUTED_VALUE"""),22)</f>
        <v>22</v>
      </c>
      <c r="E29">
        <f ca="1">IFERROR(__xludf.DUMMYFUNCTION("""COMPUTED_VALUE"""),65.66)</f>
        <v>65.66</v>
      </c>
      <c r="F29">
        <f ca="1">IFERROR(__xludf.DUMMYFUNCTION("""COMPUTED_VALUE"""),65)</f>
        <v>65</v>
      </c>
      <c r="G29">
        <f ca="1">IFERROR(__xludf.DUMMYFUNCTION("""COMPUTED_VALUE"""),99)</f>
        <v>99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IFERROR(__xludf.DUMMYFUNCTION("""COMPUTED_VALUE"""),43)</f>
        <v>43</v>
      </c>
      <c r="C30" t="str">
        <f ca="1">IFERROR(__xludf.DUMMYFUNCTION("""COMPUTED_VALUE"""),"Mark Anderson")</f>
        <v>Mark Anderson</v>
      </c>
      <c r="D30">
        <f ca="1">IFERROR(__xludf.DUMMYFUNCTION("""COMPUTED_VALUE"""),14)</f>
        <v>14</v>
      </c>
      <c r="E30">
        <f ca="1">IFERROR(__xludf.DUMMYFUNCTION("""COMPUTED_VALUE"""),65.56)</f>
        <v>65.56</v>
      </c>
      <c r="F30">
        <f ca="1">IFERROR(__xludf.DUMMYFUNCTION("""COMPUTED_VALUE"""),59)</f>
        <v>59</v>
      </c>
      <c r="G30">
        <f ca="1">IFERROR(__xludf.DUMMYFUNCTION("""COMPUTED_VALUE"""),90)</f>
        <v>90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IFERROR(__xludf.DUMMYFUNCTION("""COMPUTED_VALUE"""),17)</f>
        <v>17</v>
      </c>
      <c r="C31" t="str">
        <f ca="1">IFERROR(__xludf.DUMMYFUNCTION("""COMPUTED_VALUE"""),"Kristoffer Ventura")</f>
        <v>Kristoffer Ventura</v>
      </c>
      <c r="D31">
        <f ca="1">IFERROR(__xludf.DUMMYFUNCTION("""COMPUTED_VALUE"""),20)</f>
        <v>20</v>
      </c>
      <c r="E31">
        <f ca="1">IFERROR(__xludf.DUMMYFUNCTION("""COMPUTED_VALUE"""),65.55)</f>
        <v>65.55</v>
      </c>
      <c r="F31">
        <f ca="1">IFERROR(__xludf.DUMMYFUNCTION("""COMPUTED_VALUE"""),78)</f>
        <v>78</v>
      </c>
      <c r="G31">
        <f ca="1">IFERROR(__xludf.DUMMYFUNCTION("""COMPUTED_VALUE"""),119)</f>
        <v>119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IFERROR(__xludf.DUMMYFUNCTION("""COMPUTED_VALUE"""),12)</f>
        <v>12</v>
      </c>
      <c r="C32" t="str">
        <f ca="1">IFERROR(__xludf.DUMMYFUNCTION("""COMPUTED_VALUE"""),"Patrick Rodgers")</f>
        <v>Patrick Rodgers</v>
      </c>
      <c r="D32">
        <f ca="1">IFERROR(__xludf.DUMMYFUNCTION("""COMPUTED_VALUE"""),18)</f>
        <v>18</v>
      </c>
      <c r="E32">
        <f ca="1">IFERROR(__xludf.DUMMYFUNCTION("""COMPUTED_VALUE"""),65.19)</f>
        <v>65.19</v>
      </c>
      <c r="F32">
        <f ca="1">IFERROR(__xludf.DUMMYFUNCTION("""COMPUTED_VALUE"""),88)</f>
        <v>88</v>
      </c>
      <c r="G32">
        <f ca="1">IFERROR(__xludf.DUMMYFUNCTION("""COMPUTED_VALUE"""),135)</f>
        <v>135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IFERROR(__xludf.DUMMYFUNCTION("""COMPUTED_VALUE"""),21)</f>
        <v>21</v>
      </c>
      <c r="C33" t="str">
        <f ca="1">IFERROR(__xludf.DUMMYFUNCTION("""COMPUTED_VALUE"""),"Wyndham Clark")</f>
        <v>Wyndham Clark</v>
      </c>
      <c r="D33">
        <f ca="1">IFERROR(__xludf.DUMMYFUNCTION("""COMPUTED_VALUE"""),16)</f>
        <v>16</v>
      </c>
      <c r="E33">
        <f ca="1">IFERROR(__xludf.DUMMYFUNCTION("""COMPUTED_VALUE"""),65)</f>
        <v>65</v>
      </c>
      <c r="F33">
        <f ca="1">IFERROR(__xludf.DUMMYFUNCTION("""COMPUTED_VALUE"""),78)</f>
        <v>78</v>
      </c>
      <c r="G33">
        <f ca="1">IFERROR(__xludf.DUMMYFUNCTION("""COMPUTED_VALUE"""),120)</f>
        <v>120</v>
      </c>
    </row>
    <row r="34" spans="1:7" ht="12.75">
      <c r="A34" t="str">
        <f ca="1">IFERROR(__xludf.DUMMYFUNCTION("""COMPUTED_VALUE"""),"T33")</f>
        <v>T33</v>
      </c>
      <c r="B34" t="str">
        <f ca="1">IFERROR(__xludf.DUMMYFUNCTION("""COMPUTED_VALUE"""),"T46")</f>
        <v>T46</v>
      </c>
      <c r="C34" t="str">
        <f ca="1">IFERROR(__xludf.DUMMYFUNCTION("""COMPUTED_VALUE"""),"Mikumu Horikawa")</f>
        <v>Mikumu Horikawa</v>
      </c>
      <c r="D34">
        <f ca="1">IFERROR(__xludf.DUMMYFUNCTION("""COMPUTED_VALUE"""),4)</f>
        <v>4</v>
      </c>
      <c r="E34">
        <f ca="1">IFERROR(__xludf.DUMMYFUNCTION("""COMPUTED_VALUE"""),64.71)</f>
        <v>64.709999999999994</v>
      </c>
      <c r="F34">
        <f ca="1">IFERROR(__xludf.DUMMYFUNCTION("""COMPUTED_VALUE"""),11)</f>
        <v>11</v>
      </c>
      <c r="G34">
        <f ca="1">IFERROR(__xludf.DUMMYFUNCTION("""COMPUTED_VALUE"""),17)</f>
        <v>17</v>
      </c>
    </row>
    <row r="35" spans="1:7" ht="12.75">
      <c r="A35" t="str">
        <f ca="1">IFERROR(__xludf.DUMMYFUNCTION("""COMPUTED_VALUE"""),"T33")</f>
        <v>T33</v>
      </c>
      <c r="B35">
        <f ca="1">IFERROR(__xludf.DUMMYFUNCTION("""COMPUTED_VALUE"""),44)</f>
        <v>44</v>
      </c>
      <c r="C35" t="str">
        <f ca="1">IFERROR(__xludf.DUMMYFUNCTION("""COMPUTED_VALUE"""),"Camilo Villegas")</f>
        <v>Camilo Villegas</v>
      </c>
      <c r="D35">
        <f ca="1">IFERROR(__xludf.DUMMYFUNCTION("""COMPUTED_VALUE"""),14)</f>
        <v>14</v>
      </c>
      <c r="E35">
        <f ca="1">IFERROR(__xludf.DUMMYFUNCTION("""COMPUTED_VALUE"""),64.71)</f>
        <v>64.709999999999994</v>
      </c>
      <c r="F35">
        <f ca="1">IFERROR(__xludf.DUMMYFUNCTION("""COMPUTED_VALUE"""),66)</f>
        <v>66</v>
      </c>
      <c r="G35">
        <f ca="1">IFERROR(__xludf.DUMMYFUNCTION("""COMPUTED_VALUE"""),102)</f>
        <v>102</v>
      </c>
    </row>
    <row r="36" spans="1:7" ht="12.75">
      <c r="A36" t="str">
        <f ca="1">IFERROR(__xludf.DUMMYFUNCTION("""COMPUTED_VALUE"""),"T33")</f>
        <v>T33</v>
      </c>
      <c r="B36" t="str">
        <f ca="1">IFERROR(__xludf.DUMMYFUNCTION("""COMPUTED_VALUE"""),"T46")</f>
        <v>T46</v>
      </c>
      <c r="C36" t="str">
        <f ca="1">IFERROR(__xludf.DUMMYFUNCTION("""COMPUTED_VALUE"""),"Jim Furyk")</f>
        <v>Jim Furyk</v>
      </c>
      <c r="D36">
        <f ca="1">IFERROR(__xludf.DUMMYFUNCTION("""COMPUTED_VALUE"""),4)</f>
        <v>4</v>
      </c>
      <c r="E36">
        <f ca="1">IFERROR(__xludf.DUMMYFUNCTION("""COMPUTED_VALUE"""),64.71)</f>
        <v>64.709999999999994</v>
      </c>
      <c r="F36">
        <f ca="1">IFERROR(__xludf.DUMMYFUNCTION("""COMPUTED_VALUE"""),11)</f>
        <v>11</v>
      </c>
      <c r="G36">
        <f ca="1">IFERROR(__xludf.DUMMYFUNCTION("""COMPUTED_VALUE"""),17)</f>
        <v>17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IFERROR(__xludf.DUMMYFUNCTION("""COMPUTED_VALUE"""),20)</f>
        <v>20</v>
      </c>
      <c r="C37" t="str">
        <f ca="1">IFERROR(__xludf.DUMMYFUNCTION("""COMPUTED_VALUE"""),"Martin Laird")</f>
        <v>Martin Laird</v>
      </c>
      <c r="D37">
        <f ca="1">IFERROR(__xludf.DUMMYFUNCTION("""COMPUTED_VALUE"""),16)</f>
        <v>16</v>
      </c>
      <c r="E37">
        <f ca="1">IFERROR(__xludf.DUMMYFUNCTION("""COMPUTED_VALUE"""),64.38)</f>
        <v>64.38</v>
      </c>
      <c r="F37">
        <f ca="1">IFERROR(__xludf.DUMMYFUNCTION("""COMPUTED_VALUE"""),47)</f>
        <v>47</v>
      </c>
      <c r="G37">
        <f ca="1">IFERROR(__xludf.DUMMYFUNCTION("""COMPUTED_VALUE"""),73)</f>
        <v>73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IFERROR(__xludf.DUMMYFUNCTION("""COMPUTED_VALUE"""),51)</f>
        <v>51</v>
      </c>
      <c r="C38" t="str">
        <f ca="1">IFERROR(__xludf.DUMMYFUNCTION("""COMPUTED_VALUE"""),"Bubba Watson")</f>
        <v>Bubba Watson</v>
      </c>
      <c r="D38">
        <f ca="1">IFERROR(__xludf.DUMMYFUNCTION("""COMPUTED_VALUE"""),12)</f>
        <v>12</v>
      </c>
      <c r="E38">
        <f ca="1">IFERROR(__xludf.DUMMYFUNCTION("""COMPUTED_VALUE"""),64.29)</f>
        <v>64.290000000000006</v>
      </c>
      <c r="F38">
        <f ca="1">IFERROR(__xludf.DUMMYFUNCTION("""COMPUTED_VALUE"""),45)</f>
        <v>45</v>
      </c>
      <c r="G38">
        <f ca="1">IFERROR(__xludf.DUMMYFUNCTION("""COMPUTED_VALUE"""),70)</f>
        <v>70</v>
      </c>
    </row>
    <row r="39" spans="1:7" ht="12.75">
      <c r="A39">
        <f ca="1">IFERROR(__xludf.DUMMYFUNCTION("""COMPUTED_VALUE"""),38)</f>
        <v>38</v>
      </c>
      <c r="B39" t="str">
        <f ca="1">IFERROR(__xludf.DUMMYFUNCTION("""COMPUTED_VALUE"""),"T26")</f>
        <v>T26</v>
      </c>
      <c r="C39" t="str">
        <f ca="1">IFERROR(__xludf.DUMMYFUNCTION("""COMPUTED_VALUE"""),"Charl Schwartzel")</f>
        <v>Charl Schwartzel</v>
      </c>
      <c r="D39">
        <f ca="1">IFERROR(__xludf.DUMMYFUNCTION("""COMPUTED_VALUE"""),12)</f>
        <v>12</v>
      </c>
      <c r="E39">
        <f ca="1">IFERROR(__xludf.DUMMYFUNCTION("""COMPUTED_VALUE"""),64.2)</f>
        <v>64.2</v>
      </c>
      <c r="F39">
        <f ca="1">IFERROR(__xludf.DUMMYFUNCTION("""COMPUTED_VALUE"""),52)</f>
        <v>52</v>
      </c>
      <c r="G39">
        <f ca="1">IFERROR(__xludf.DUMMYFUNCTION("""COMPUTED_VALUE"""),81)</f>
        <v>81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IFERROR(__xludf.DUMMYFUNCTION("""COMPUTED_VALUE"""),52)</f>
        <v>52</v>
      </c>
      <c r="C40" t="str">
        <f ca="1">IFERROR(__xludf.DUMMYFUNCTION("""COMPUTED_VALUE"""),"Chris Baker")</f>
        <v>Chris Baker</v>
      </c>
      <c r="D40">
        <f ca="1">IFERROR(__xludf.DUMMYFUNCTION("""COMPUTED_VALUE"""),8)</f>
        <v>8</v>
      </c>
      <c r="E40">
        <f ca="1">IFERROR(__xludf.DUMMYFUNCTION("""COMPUTED_VALUE"""),63.89)</f>
        <v>63.89</v>
      </c>
      <c r="F40">
        <f ca="1">IFERROR(__xludf.DUMMYFUNCTION("""COMPUTED_VALUE"""),23)</f>
        <v>23</v>
      </c>
      <c r="G40">
        <f ca="1">IFERROR(__xludf.DUMMYFUNCTION("""COMPUTED_VALUE"""),36)</f>
        <v>36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IFERROR(__xludf.DUMMYFUNCTION("""COMPUTED_VALUE"""),45)</f>
        <v>45</v>
      </c>
      <c r="C41" t="str">
        <f ca="1">IFERROR(__xludf.DUMMYFUNCTION("""COMPUTED_VALUE"""),"Patton Kizzire")</f>
        <v>Patton Kizzire</v>
      </c>
      <c r="D41">
        <f ca="1">IFERROR(__xludf.DUMMYFUNCTION("""COMPUTED_VALUE"""),18)</f>
        <v>18</v>
      </c>
      <c r="E41">
        <f ca="1">IFERROR(__xludf.DUMMYFUNCTION("""COMPUTED_VALUE"""),63.81)</f>
        <v>63.81</v>
      </c>
      <c r="F41">
        <f ca="1">IFERROR(__xludf.DUMMYFUNCTION("""COMPUTED_VALUE"""),67)</f>
        <v>67</v>
      </c>
      <c r="G41">
        <f ca="1">IFERROR(__xludf.DUMMYFUNCTION("""COMPUTED_VALUE"""),105)</f>
        <v>105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IFERROR(__xludf.DUMMYFUNCTION("""COMPUTED_VALUE"""),55)</f>
        <v>55</v>
      </c>
      <c r="C42" t="str">
        <f ca="1">IFERROR(__xludf.DUMMYFUNCTION("""COMPUTED_VALUE"""),"D.J. Trahan")</f>
        <v>D.J. Trahan</v>
      </c>
      <c r="D42">
        <f ca="1">IFERROR(__xludf.DUMMYFUNCTION("""COMPUTED_VALUE"""),16)</f>
        <v>16</v>
      </c>
      <c r="E42">
        <f ca="1">IFERROR(__xludf.DUMMYFUNCTION("""COMPUTED_VALUE"""),63.64)</f>
        <v>63.64</v>
      </c>
      <c r="F42">
        <f ca="1">IFERROR(__xludf.DUMMYFUNCTION("""COMPUTED_VALUE"""),63)</f>
        <v>63</v>
      </c>
      <c r="G42">
        <f ca="1">IFERROR(__xludf.DUMMYFUNCTION("""COMPUTED_VALUE"""),99)</f>
        <v>99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IFERROR(__xludf.DUMMYFUNCTION("""COMPUTED_VALUE"""),56)</f>
        <v>56</v>
      </c>
      <c r="C43" t="str">
        <f ca="1">IFERROR(__xludf.DUMMYFUNCTION("""COMPUTED_VALUE"""),"J.J. Spaun")</f>
        <v>J.J. Spaun</v>
      </c>
      <c r="D43">
        <f ca="1">IFERROR(__xludf.DUMMYFUNCTION("""COMPUTED_VALUE"""),10)</f>
        <v>10</v>
      </c>
      <c r="E43">
        <f ca="1">IFERROR(__xludf.DUMMYFUNCTION("""COMPUTED_VALUE"""),63.27)</f>
        <v>63.27</v>
      </c>
      <c r="F43">
        <f ca="1">IFERROR(__xludf.DUMMYFUNCTION("""COMPUTED_VALUE"""),31)</f>
        <v>31</v>
      </c>
      <c r="G43">
        <f ca="1">IFERROR(__xludf.DUMMYFUNCTION("""COMPUTED_VALUE"""),49)</f>
        <v>49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IFERROR(__xludf.DUMMYFUNCTION("""COMPUTED_VALUE"""),"T57")</f>
        <v>T57</v>
      </c>
      <c r="C44" t="str">
        <f ca="1">IFERROR(__xludf.DUMMYFUNCTION("""COMPUTED_VALUE"""),"Joseph Bramlett")</f>
        <v>Joseph Bramlett</v>
      </c>
      <c r="D44">
        <f ca="1">IFERROR(__xludf.DUMMYFUNCTION("""COMPUTED_VALUE"""),18)</f>
        <v>18</v>
      </c>
      <c r="E44">
        <f ca="1">IFERROR(__xludf.DUMMYFUNCTION("""COMPUTED_VALUE"""),63.16)</f>
        <v>63.16</v>
      </c>
      <c r="F44">
        <f ca="1">IFERROR(__xludf.DUMMYFUNCTION("""COMPUTED_VALUE"""),72)</f>
        <v>72</v>
      </c>
      <c r="G44">
        <f ca="1">IFERROR(__xludf.DUMMYFUNCTION("""COMPUTED_VALUE"""),114)</f>
        <v>114</v>
      </c>
    </row>
    <row r="45" spans="1:7" ht="12.75">
      <c r="A45" t="str">
        <f ca="1">IFERROR(__xludf.DUMMYFUNCTION("""COMPUTED_VALUE"""),"T43")</f>
        <v>T43</v>
      </c>
      <c r="B45" t="str">
        <f ca="1">IFERROR(__xludf.DUMMYFUNCTION("""COMPUTED_VALUE"""),"T57")</f>
        <v>T57</v>
      </c>
      <c r="C45" t="str">
        <f ca="1">IFERROR(__xludf.DUMMYFUNCTION("""COMPUTED_VALUE"""),"William McGirt")</f>
        <v>William McGirt</v>
      </c>
      <c r="D45">
        <f ca="1">IFERROR(__xludf.DUMMYFUNCTION("""COMPUTED_VALUE"""),6)</f>
        <v>6</v>
      </c>
      <c r="E45">
        <f ca="1">IFERROR(__xludf.DUMMYFUNCTION("""COMPUTED_VALUE"""),63.16)</f>
        <v>63.16</v>
      </c>
      <c r="F45">
        <f ca="1">IFERROR(__xludf.DUMMYFUNCTION("""COMPUTED_VALUE"""),24)</f>
        <v>24</v>
      </c>
      <c r="G45">
        <f ca="1">IFERROR(__xludf.DUMMYFUNCTION("""COMPUTED_VALUE"""),38)</f>
        <v>38</v>
      </c>
    </row>
    <row r="46" spans="1:7" ht="12.75">
      <c r="A46" t="str">
        <f ca="1">IFERROR(__xludf.DUMMYFUNCTION("""COMPUTED_VALUE"""),"T43")</f>
        <v>T43</v>
      </c>
      <c r="B46" t="str">
        <f ca="1">IFERROR(__xludf.DUMMYFUNCTION("""COMPUTED_VALUE"""),"T57")</f>
        <v>T57</v>
      </c>
      <c r="C46" t="str">
        <f ca="1">IFERROR(__xludf.DUMMYFUNCTION("""COMPUTED_VALUE"""),"Cameron Percy")</f>
        <v>Cameron Percy</v>
      </c>
      <c r="D46">
        <f ca="1">IFERROR(__xludf.DUMMYFUNCTION("""COMPUTED_VALUE"""),16)</f>
        <v>16</v>
      </c>
      <c r="E46">
        <f ca="1">IFERROR(__xludf.DUMMYFUNCTION("""COMPUTED_VALUE"""),63.16)</f>
        <v>63.16</v>
      </c>
      <c r="F46">
        <f ca="1">IFERROR(__xludf.DUMMYFUNCTION("""COMPUTED_VALUE"""),60)</f>
        <v>60</v>
      </c>
      <c r="G46">
        <f ca="1">IFERROR(__xludf.DUMMYFUNCTION("""COMPUTED_VALUE"""),95)</f>
        <v>95</v>
      </c>
    </row>
    <row r="47" spans="1:7" ht="12.75">
      <c r="A47" t="str">
        <f ca="1">IFERROR(__xludf.DUMMYFUNCTION("""COMPUTED_VALUE"""),"T46")</f>
        <v>T46</v>
      </c>
      <c r="B47">
        <f ca="1">IFERROR(__xludf.DUMMYFUNCTION("""COMPUTED_VALUE"""),66)</f>
        <v>66</v>
      </c>
      <c r="C47" t="str">
        <f ca="1">IFERROR(__xludf.DUMMYFUNCTION("""COMPUTED_VALUE"""),"Bo Hoag")</f>
        <v>Bo Hoag</v>
      </c>
      <c r="D47">
        <f ca="1">IFERROR(__xludf.DUMMYFUNCTION("""COMPUTED_VALUE"""),14)</f>
        <v>14</v>
      </c>
      <c r="E47">
        <f ca="1">IFERROR(__xludf.DUMMYFUNCTION("""COMPUTED_VALUE"""),62.96)</f>
        <v>62.96</v>
      </c>
      <c r="F47">
        <f ca="1">IFERROR(__xludf.DUMMYFUNCTION("""COMPUTED_VALUE"""),51)</f>
        <v>51</v>
      </c>
      <c r="G47">
        <f ca="1">IFERROR(__xludf.DUMMYFUNCTION("""COMPUTED_VALUE"""),81)</f>
        <v>81</v>
      </c>
    </row>
    <row r="48" spans="1:7" ht="12.75">
      <c r="A48" t="str">
        <f ca="1">IFERROR(__xludf.DUMMYFUNCTION("""COMPUTED_VALUE"""),"T46")</f>
        <v>T46</v>
      </c>
      <c r="B48">
        <f ca="1">IFERROR(__xludf.DUMMYFUNCTION("""COMPUTED_VALUE"""),60)</f>
        <v>60</v>
      </c>
      <c r="C48" t="str">
        <f ca="1">IFERROR(__xludf.DUMMYFUNCTION("""COMPUTED_VALUE"""),"Anirban Lahiri")</f>
        <v>Anirban Lahiri</v>
      </c>
      <c r="D48">
        <f ca="1">IFERROR(__xludf.DUMMYFUNCTION("""COMPUTED_VALUE"""),16)</f>
        <v>16</v>
      </c>
      <c r="E48">
        <f ca="1">IFERROR(__xludf.DUMMYFUNCTION("""COMPUTED_VALUE"""),62.96)</f>
        <v>62.96</v>
      </c>
      <c r="F48">
        <f ca="1">IFERROR(__xludf.DUMMYFUNCTION("""COMPUTED_VALUE"""),68)</f>
        <v>68</v>
      </c>
      <c r="G48">
        <f ca="1">IFERROR(__xludf.DUMMYFUNCTION("""COMPUTED_VALUE"""),108)</f>
        <v>108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IFERROR(__xludf.DUMMYFUNCTION("""COMPUTED_VALUE"""),63)</f>
        <v>63</v>
      </c>
      <c r="C49" t="str">
        <f ca="1">IFERROR(__xludf.DUMMYFUNCTION("""COMPUTED_VALUE"""),"Zack Sucher")</f>
        <v>Zack Sucher</v>
      </c>
      <c r="D49">
        <f ca="1">IFERROR(__xludf.DUMMYFUNCTION("""COMPUTED_VALUE"""),6)</f>
        <v>6</v>
      </c>
      <c r="E49">
        <f ca="1">IFERROR(__xludf.DUMMYFUNCTION("""COMPUTED_VALUE"""),62.79)</f>
        <v>62.79</v>
      </c>
      <c r="F49">
        <f ca="1">IFERROR(__xludf.DUMMYFUNCTION("""COMPUTED_VALUE"""),27)</f>
        <v>27</v>
      </c>
      <c r="G49">
        <f ca="1">IFERROR(__xludf.DUMMYFUNCTION("""COMPUTED_VALUE"""),43)</f>
        <v>43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IFERROR(__xludf.DUMMYFUNCTION("""COMPUTED_VALUE"""),"T29")</f>
        <v>T29</v>
      </c>
      <c r="C50" t="str">
        <f ca="1">IFERROR(__xludf.DUMMYFUNCTION("""COMPUTED_VALUE"""),"Pat Perez")</f>
        <v>Pat Perez</v>
      </c>
      <c r="D50">
        <f ca="1">IFERROR(__xludf.DUMMYFUNCTION("""COMPUTED_VALUE"""),16)</f>
        <v>16</v>
      </c>
      <c r="E50">
        <f ca="1">IFERROR(__xludf.DUMMYFUNCTION("""COMPUTED_VALUE"""),62.77)</f>
        <v>62.77</v>
      </c>
      <c r="F50">
        <f ca="1">IFERROR(__xludf.DUMMYFUNCTION("""COMPUTED_VALUE"""),59)</f>
        <v>59</v>
      </c>
      <c r="G50">
        <f ca="1">IFERROR(__xludf.DUMMYFUNCTION("""COMPUTED_VALUE"""),94)</f>
        <v>94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IFERROR(__xludf.DUMMYFUNCTION("""COMPUTED_VALUE"""),64)</f>
        <v>64</v>
      </c>
      <c r="C51" t="str">
        <f ca="1">IFERROR(__xludf.DUMMYFUNCTION("""COMPUTED_VALUE"""),"Sangmoon Bae")</f>
        <v>Sangmoon Bae</v>
      </c>
      <c r="D51">
        <f ca="1">IFERROR(__xludf.DUMMYFUNCTION("""COMPUTED_VALUE"""),8)</f>
        <v>8</v>
      </c>
      <c r="E51">
        <f ca="1">IFERROR(__xludf.DUMMYFUNCTION("""COMPUTED_VALUE"""),62.75)</f>
        <v>62.75</v>
      </c>
      <c r="F51">
        <f ca="1">IFERROR(__xludf.DUMMYFUNCTION("""COMPUTED_VALUE"""),32)</f>
        <v>32</v>
      </c>
      <c r="G51">
        <f ca="1">IFERROR(__xludf.DUMMYFUNCTION("""COMPUTED_VALUE"""),51)</f>
        <v>51</v>
      </c>
    </row>
    <row r="52" spans="1:7" ht="12.75">
      <c r="A52">
        <f ca="1">IFERROR(__xludf.DUMMYFUNCTION("""COMPUTED_VALUE"""),51)</f>
        <v>51</v>
      </c>
      <c r="B52">
        <f ca="1">IFERROR(__xludf.DUMMYFUNCTION("""COMPUTED_VALUE"""),67)</f>
        <v>67</v>
      </c>
      <c r="C52" t="str">
        <f ca="1">IFERROR(__xludf.DUMMYFUNCTION("""COMPUTED_VALUE"""),"Doug Ghim")</f>
        <v>Doug Ghim</v>
      </c>
      <c r="D52">
        <f ca="1">IFERROR(__xludf.DUMMYFUNCTION("""COMPUTED_VALUE"""),14)</f>
        <v>14</v>
      </c>
      <c r="E52">
        <f ca="1">IFERROR(__xludf.DUMMYFUNCTION("""COMPUTED_VALUE"""),62.2)</f>
        <v>62.2</v>
      </c>
      <c r="F52">
        <f ca="1">IFERROR(__xludf.DUMMYFUNCTION("""COMPUTED_VALUE"""),51)</f>
        <v>51</v>
      </c>
      <c r="G52">
        <f ca="1">IFERROR(__xludf.DUMMYFUNCTION("""COMPUTED_VALUE"""),82)</f>
        <v>82</v>
      </c>
    </row>
    <row r="53" spans="1:7" ht="12.75">
      <c r="A53">
        <f ca="1">IFERROR(__xludf.DUMMYFUNCTION("""COMPUTED_VALUE"""),52)</f>
        <v>52</v>
      </c>
      <c r="B53" t="str">
        <f ca="1">IFERROR(__xludf.DUMMYFUNCTION("""COMPUTED_VALUE"""),"T31")</f>
        <v>T31</v>
      </c>
      <c r="C53" t="str">
        <f ca="1">IFERROR(__xludf.DUMMYFUNCTION("""COMPUTED_VALUE"""),"Scott Piercy")</f>
        <v>Scott Piercy</v>
      </c>
      <c r="D53">
        <f ca="1">IFERROR(__xludf.DUMMYFUNCTION("""COMPUTED_VALUE"""),18)</f>
        <v>18</v>
      </c>
      <c r="E53">
        <f ca="1">IFERROR(__xludf.DUMMYFUNCTION("""COMPUTED_VALUE"""),62)</f>
        <v>62</v>
      </c>
      <c r="F53">
        <f ca="1">IFERROR(__xludf.DUMMYFUNCTION("""COMPUTED_VALUE"""),62)</f>
        <v>62</v>
      </c>
      <c r="G53">
        <f ca="1">IFERROR(__xludf.DUMMYFUNCTION("""COMPUTED_VALUE"""),100)</f>
        <v>100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IFERROR(__xludf.DUMMYFUNCTION("""COMPUTED_VALUE"""),69)</f>
        <v>69</v>
      </c>
      <c r="C54" t="str">
        <f ca="1">IFERROR(__xludf.DUMMYFUNCTION("""COMPUTED_VALUE"""),"Michael Gligic")</f>
        <v>Michael Gligic</v>
      </c>
      <c r="D54">
        <f ca="1">IFERROR(__xludf.DUMMYFUNCTION("""COMPUTED_VALUE"""),18)</f>
        <v>18</v>
      </c>
      <c r="E54">
        <f ca="1">IFERROR(__xludf.DUMMYFUNCTION("""COMPUTED_VALUE"""),61.95)</f>
        <v>61.95</v>
      </c>
      <c r="F54">
        <f ca="1">IFERROR(__xludf.DUMMYFUNCTION("""COMPUTED_VALUE"""),70)</f>
        <v>70</v>
      </c>
      <c r="G54">
        <f ca="1">IFERROR(__xludf.DUMMYFUNCTION("""COMPUTED_VALUE"""),113)</f>
        <v>113</v>
      </c>
    </row>
    <row r="55" spans="1:7" ht="12.75">
      <c r="A55" t="str">
        <f ca="1">IFERROR(__xludf.DUMMYFUNCTION("""COMPUTED_VALUE"""),"T54")</f>
        <v>T54</v>
      </c>
      <c r="B55">
        <f ca="1">IFERROR(__xludf.DUMMYFUNCTION("""COMPUTED_VALUE"""),71)</f>
        <v>71</v>
      </c>
      <c r="C55" t="str">
        <f ca="1">IFERROR(__xludf.DUMMYFUNCTION("""COMPUTED_VALUE"""),"Roger Sloan")</f>
        <v>Roger Sloan</v>
      </c>
      <c r="D55">
        <f ca="1">IFERROR(__xludf.DUMMYFUNCTION("""COMPUTED_VALUE"""),12)</f>
        <v>12</v>
      </c>
      <c r="E55">
        <f ca="1">IFERROR(__xludf.DUMMYFUNCTION("""COMPUTED_VALUE"""),61.84)</f>
        <v>61.84</v>
      </c>
      <c r="F55">
        <f ca="1">IFERROR(__xludf.DUMMYFUNCTION("""COMPUTED_VALUE"""),47)</f>
        <v>47</v>
      </c>
      <c r="G55">
        <f ca="1">IFERROR(__xludf.DUMMYFUNCTION("""COMPUTED_VALUE"""),76)</f>
        <v>76</v>
      </c>
    </row>
    <row r="56" spans="1:7" ht="12.75">
      <c r="A56" t="str">
        <f ca="1">IFERROR(__xludf.DUMMYFUNCTION("""COMPUTED_VALUE"""),"T54")</f>
        <v>T54</v>
      </c>
      <c r="B56">
        <f ca="1">IFERROR(__xludf.DUMMYFUNCTION("""COMPUTED_VALUE"""),37)</f>
        <v>37</v>
      </c>
      <c r="C56" t="str">
        <f ca="1">IFERROR(__xludf.DUMMYFUNCTION("""COMPUTED_VALUE"""),"Xinjun Zhang")</f>
        <v>Xinjun Zhang</v>
      </c>
      <c r="D56">
        <f ca="1">IFERROR(__xludf.DUMMYFUNCTION("""COMPUTED_VALUE"""),14)</f>
        <v>14</v>
      </c>
      <c r="E56">
        <f ca="1">IFERROR(__xludf.DUMMYFUNCTION("""COMPUTED_VALUE"""),61.84)</f>
        <v>61.84</v>
      </c>
      <c r="F56">
        <f ca="1">IFERROR(__xludf.DUMMYFUNCTION("""COMPUTED_VALUE"""),47)</f>
        <v>47</v>
      </c>
      <c r="G56">
        <f ca="1">IFERROR(__xludf.DUMMYFUNCTION("""COMPUTED_VALUE"""),76)</f>
        <v>76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IFERROR(__xludf.DUMMYFUNCTION("""COMPUTED_VALUE"""),"T89")</f>
        <v>T89</v>
      </c>
      <c r="C57" t="str">
        <f ca="1">IFERROR(__xludf.DUMMYFUNCTION("""COMPUTED_VALUE"""),"Aaron Wise")</f>
        <v>Aaron Wise</v>
      </c>
      <c r="D57">
        <f ca="1">IFERROR(__xludf.DUMMYFUNCTION("""COMPUTED_VALUE"""),16)</f>
        <v>16</v>
      </c>
      <c r="E57">
        <f ca="1">IFERROR(__xludf.DUMMYFUNCTION("""COMPUTED_VALUE"""),61.61)</f>
        <v>61.61</v>
      </c>
      <c r="F57">
        <f ca="1">IFERROR(__xludf.DUMMYFUNCTION("""COMPUTED_VALUE"""),69)</f>
        <v>69</v>
      </c>
      <c r="G57">
        <f ca="1">IFERROR(__xludf.DUMMYFUNCTION("""COMPUTED_VALUE"""),112)</f>
        <v>112</v>
      </c>
    </row>
    <row r="58" spans="1:7" ht="12.75">
      <c r="A58" t="str">
        <f ca="1">IFERROR(__xludf.DUMMYFUNCTION("""COMPUTED_VALUE"""),"T56")</f>
        <v>T56</v>
      </c>
      <c r="B58">
        <f ca="1">IFERROR(__xludf.DUMMYFUNCTION("""COMPUTED_VALUE"""),75)</f>
        <v>75</v>
      </c>
      <c r="C58" t="str">
        <f ca="1">IFERROR(__xludf.DUMMYFUNCTION("""COMPUTED_VALUE"""),"Sergio Garcia")</f>
        <v>Sergio Garcia</v>
      </c>
      <c r="D58">
        <f ca="1">IFERROR(__xludf.DUMMYFUNCTION("""COMPUTED_VALUE"""),18)</f>
        <v>18</v>
      </c>
      <c r="E58">
        <f ca="1">IFERROR(__xludf.DUMMYFUNCTION("""COMPUTED_VALUE"""),61.61)</f>
        <v>61.61</v>
      </c>
      <c r="F58">
        <f ca="1">IFERROR(__xludf.DUMMYFUNCTION("""COMPUTED_VALUE"""),69)</f>
        <v>69</v>
      </c>
      <c r="G58">
        <f ca="1">IFERROR(__xludf.DUMMYFUNCTION("""COMPUTED_VALUE"""),112)</f>
        <v>112</v>
      </c>
    </row>
    <row r="59" spans="1:7" ht="12.75">
      <c r="A59" t="str">
        <f ca="1">IFERROR(__xludf.DUMMYFUNCTION("""COMPUTED_VALUE"""),"T58")</f>
        <v>T58</v>
      </c>
      <c r="B59" t="str">
        <f ca="1">IFERROR(__xludf.DUMMYFUNCTION("""COMPUTED_VALUE"""),"T31")</f>
        <v>T31</v>
      </c>
      <c r="C59" t="str">
        <f ca="1">IFERROR(__xludf.DUMMYFUNCTION("""COMPUTED_VALUE"""),"Matthew NeSmith")</f>
        <v>Matthew NeSmith</v>
      </c>
      <c r="D59">
        <f ca="1">IFERROR(__xludf.DUMMYFUNCTION("""COMPUTED_VALUE"""),16)</f>
        <v>16</v>
      </c>
      <c r="E59">
        <f ca="1">IFERROR(__xludf.DUMMYFUNCTION("""COMPUTED_VALUE"""),61.54)</f>
        <v>61.54</v>
      </c>
      <c r="F59">
        <f ca="1">IFERROR(__xludf.DUMMYFUNCTION("""COMPUTED_VALUE"""),48)</f>
        <v>48</v>
      </c>
      <c r="G59">
        <f ca="1">IFERROR(__xludf.DUMMYFUNCTION("""COMPUTED_VALUE"""),78)</f>
        <v>78</v>
      </c>
    </row>
    <row r="60" spans="1:7" ht="12.75">
      <c r="A60" t="str">
        <f ca="1">IFERROR(__xludf.DUMMYFUNCTION("""COMPUTED_VALUE"""),"T58")</f>
        <v>T58</v>
      </c>
      <c r="B60" t="str">
        <f ca="1">IFERROR(__xludf.DUMMYFUNCTION("""COMPUTED_VALUE"""),"T73")</f>
        <v>T73</v>
      </c>
      <c r="C60" t="str">
        <f ca="1">IFERROR(__xludf.DUMMYFUNCTION("""COMPUTED_VALUE"""),"Ben Martin")</f>
        <v>Ben Martin</v>
      </c>
      <c r="D60">
        <f ca="1">IFERROR(__xludf.DUMMYFUNCTION("""COMPUTED_VALUE"""),6)</f>
        <v>6</v>
      </c>
      <c r="E60">
        <f ca="1">IFERROR(__xludf.DUMMYFUNCTION("""COMPUTED_VALUE"""),61.54)</f>
        <v>61.54</v>
      </c>
      <c r="F60">
        <f ca="1">IFERROR(__xludf.DUMMYFUNCTION("""COMPUTED_VALUE"""),16)</f>
        <v>16</v>
      </c>
      <c r="G60">
        <f ca="1">IFERROR(__xludf.DUMMYFUNCTION("""COMPUTED_VALUE"""),26)</f>
        <v>26</v>
      </c>
    </row>
    <row r="61" spans="1:7" ht="12.75">
      <c r="A61" t="str">
        <f ca="1">IFERROR(__xludf.DUMMYFUNCTION("""COMPUTED_VALUE"""),"T58")</f>
        <v>T58</v>
      </c>
      <c r="B61" t="str">
        <f ca="1">IFERROR(__xludf.DUMMYFUNCTION("""COMPUTED_VALUE"""),"T73")</f>
        <v>T73</v>
      </c>
      <c r="C61" t="str">
        <f ca="1">IFERROR(__xludf.DUMMYFUNCTION("""COMPUTED_VALUE"""),"John Senden")</f>
        <v>John Senden</v>
      </c>
      <c r="D61">
        <f ca="1">IFERROR(__xludf.DUMMYFUNCTION("""COMPUTED_VALUE"""),8)</f>
        <v>8</v>
      </c>
      <c r="E61">
        <f ca="1">IFERROR(__xludf.DUMMYFUNCTION("""COMPUTED_VALUE"""),61.54)</f>
        <v>61.54</v>
      </c>
      <c r="F61">
        <f ca="1">IFERROR(__xludf.DUMMYFUNCTION("""COMPUTED_VALUE"""),32)</f>
        <v>32</v>
      </c>
      <c r="G61">
        <f ca="1">IFERROR(__xludf.DUMMYFUNCTION("""COMPUTED_VALUE"""),52)</f>
        <v>52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IFERROR(__xludf.DUMMYFUNCTION("""COMPUTED_VALUE"""),61)</f>
        <v>61</v>
      </c>
      <c r="C62" t="str">
        <f ca="1">IFERROR(__xludf.DUMMYFUNCTION("""COMPUTED_VALUE"""),"Russell Knox")</f>
        <v>Russell Knox</v>
      </c>
      <c r="D62">
        <f ca="1">IFERROR(__xludf.DUMMYFUNCTION("""COMPUTED_VALUE"""),16)</f>
        <v>16</v>
      </c>
      <c r="E62">
        <f ca="1">IFERROR(__xludf.DUMMYFUNCTION("""COMPUTED_VALUE"""),61.45)</f>
        <v>61.45</v>
      </c>
      <c r="F62">
        <f ca="1">IFERROR(__xludf.DUMMYFUNCTION("""COMPUTED_VALUE"""),51)</f>
        <v>51</v>
      </c>
      <c r="G62">
        <f ca="1">IFERROR(__xludf.DUMMYFUNCTION("""COMPUTED_VALUE"""),83)</f>
        <v>83</v>
      </c>
    </row>
    <row r="63" spans="1:7" ht="12.75">
      <c r="A63" t="str">
        <f ca="1">IFERROR(__xludf.DUMMYFUNCTION("""COMPUTED_VALUE"""),"T62")</f>
        <v>T62</v>
      </c>
      <c r="B63" t="str">
        <f ca="1">IFERROR(__xludf.DUMMYFUNCTION("""COMPUTED_VALUE"""),"T76")</f>
        <v>T76</v>
      </c>
      <c r="C63" t="str">
        <f ca="1">IFERROR(__xludf.DUMMYFUNCTION("""COMPUTED_VALUE"""),"Sebastian Cappelen")</f>
        <v>Sebastian Cappelen</v>
      </c>
      <c r="D63">
        <f ca="1">IFERROR(__xludf.DUMMYFUNCTION("""COMPUTED_VALUE"""),8)</f>
        <v>8</v>
      </c>
      <c r="E63">
        <f ca="1">IFERROR(__xludf.DUMMYFUNCTION("""COMPUTED_VALUE"""),61.36)</f>
        <v>61.36</v>
      </c>
      <c r="F63">
        <f ca="1">IFERROR(__xludf.DUMMYFUNCTION("""COMPUTED_VALUE"""),27)</f>
        <v>27</v>
      </c>
      <c r="G63">
        <f ca="1">IFERROR(__xludf.DUMMYFUNCTION("""COMPUTED_VALUE"""),44)</f>
        <v>44</v>
      </c>
    </row>
    <row r="64" spans="1:7" ht="12.75">
      <c r="A64" t="str">
        <f ca="1">IFERROR(__xludf.DUMMYFUNCTION("""COMPUTED_VALUE"""),"T62")</f>
        <v>T62</v>
      </c>
      <c r="B64" t="str">
        <f ca="1">IFERROR(__xludf.DUMMYFUNCTION("""COMPUTED_VALUE"""),"T76")</f>
        <v>T76</v>
      </c>
      <c r="C64" t="str">
        <f ca="1">IFERROR(__xludf.DUMMYFUNCTION("""COMPUTED_VALUE"""),"Seamus Power")</f>
        <v>Seamus Power</v>
      </c>
      <c r="D64">
        <f ca="1">IFERROR(__xludf.DUMMYFUNCTION("""COMPUTED_VALUE"""),8)</f>
        <v>8</v>
      </c>
      <c r="E64">
        <f ca="1">IFERROR(__xludf.DUMMYFUNCTION("""COMPUTED_VALUE"""),61.36)</f>
        <v>61.36</v>
      </c>
      <c r="F64">
        <f ca="1">IFERROR(__xludf.DUMMYFUNCTION("""COMPUTED_VALUE"""),27)</f>
        <v>27</v>
      </c>
      <c r="G64">
        <f ca="1">IFERROR(__xludf.DUMMYFUNCTION("""COMPUTED_VALUE"""),44)</f>
        <v>44</v>
      </c>
    </row>
    <row r="65" spans="1:7" ht="12.75">
      <c r="A65" t="str">
        <f ca="1">IFERROR(__xludf.DUMMYFUNCTION("""COMPUTED_VALUE"""),"T64")</f>
        <v>T64</v>
      </c>
      <c r="B65">
        <f ca="1">IFERROR(__xludf.DUMMYFUNCTION("""COMPUTED_VALUE"""),39)</f>
        <v>39</v>
      </c>
      <c r="C65" t="str">
        <f ca="1">IFERROR(__xludf.DUMMYFUNCTION("""COMPUTED_VALUE"""),"Russell Henley")</f>
        <v>Russell Henley</v>
      </c>
      <c r="D65">
        <f ca="1">IFERROR(__xludf.DUMMYFUNCTION("""COMPUTED_VALUE"""),16)</f>
        <v>16</v>
      </c>
      <c r="E65">
        <f ca="1">IFERROR(__xludf.DUMMYFUNCTION("""COMPUTED_VALUE"""),61.29)</f>
        <v>61.29</v>
      </c>
      <c r="F65">
        <f ca="1">IFERROR(__xludf.DUMMYFUNCTION("""COMPUTED_VALUE"""),38)</f>
        <v>38</v>
      </c>
      <c r="G65">
        <f ca="1">IFERROR(__xludf.DUMMYFUNCTION("""COMPUTED_VALUE"""),62)</f>
        <v>62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IFERROR(__xludf.DUMMYFUNCTION("""COMPUTED_VALUE"""),"T78")</f>
        <v>T78</v>
      </c>
      <c r="C66" t="str">
        <f ca="1">IFERROR(__xludf.DUMMYFUNCTION("""COMPUTED_VALUE"""),"Matthew Borchert")</f>
        <v>Matthew Borchert</v>
      </c>
      <c r="D66">
        <f ca="1">IFERROR(__xludf.DUMMYFUNCTION("""COMPUTED_VALUE"""),4)</f>
        <v>4</v>
      </c>
      <c r="E66">
        <f ca="1">IFERROR(__xludf.DUMMYFUNCTION("""COMPUTED_VALUE"""),61.29)</f>
        <v>61.29</v>
      </c>
      <c r="F66">
        <f ca="1">IFERROR(__xludf.DUMMYFUNCTION("""COMPUTED_VALUE"""),19)</f>
        <v>19</v>
      </c>
      <c r="G66">
        <f ca="1">IFERROR(__xludf.DUMMYFUNCTION("""COMPUTED_VALUE"""),31)</f>
        <v>31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IFERROR(__xludf.DUMMYFUNCTION("""COMPUTED_VALUE"""),155)</f>
        <v>155</v>
      </c>
      <c r="C67" t="str">
        <f ca="1">IFERROR(__xludf.DUMMYFUNCTION("""COMPUTED_VALUE"""),"Dustin Johnson")</f>
        <v>Dustin Johnson</v>
      </c>
      <c r="D67">
        <f ca="1">IFERROR(__xludf.DUMMYFUNCTION("""COMPUTED_VALUE"""),8)</f>
        <v>8</v>
      </c>
      <c r="E67">
        <f ca="1">IFERROR(__xludf.DUMMYFUNCTION("""COMPUTED_VALUE"""),61.22)</f>
        <v>61.22</v>
      </c>
      <c r="F67">
        <f ca="1">IFERROR(__xludf.DUMMYFUNCTION("""COMPUTED_VALUE"""),30)</f>
        <v>30</v>
      </c>
      <c r="G67">
        <f ca="1">IFERROR(__xludf.DUMMYFUNCTION("""COMPUTED_VALUE"""),49)</f>
        <v>49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IFERROR(__xludf.DUMMYFUNCTION("""COMPUTED_VALUE"""),80)</f>
        <v>80</v>
      </c>
      <c r="C68" t="str">
        <f ca="1">IFERROR(__xludf.DUMMYFUNCTION("""COMPUTED_VALUE"""),"Chase Seiffert")</f>
        <v>Chase Seiffert</v>
      </c>
      <c r="D68">
        <f ca="1">IFERROR(__xludf.DUMMYFUNCTION("""COMPUTED_VALUE"""),14)</f>
        <v>14</v>
      </c>
      <c r="E68">
        <f ca="1">IFERROR(__xludf.DUMMYFUNCTION("""COMPUTED_VALUE"""),61.19)</f>
        <v>61.19</v>
      </c>
      <c r="F68">
        <f ca="1">IFERROR(__xludf.DUMMYFUNCTION("""COMPUTED_VALUE"""),41)</f>
        <v>41</v>
      </c>
      <c r="G68">
        <f ca="1">IFERROR(__xludf.DUMMYFUNCTION("""COMPUTED_VALUE"""),67)</f>
        <v>67</v>
      </c>
    </row>
    <row r="69" spans="1:7" ht="12.75">
      <c r="A69" t="str">
        <f ca="1">IFERROR(__xludf.DUMMYFUNCTION("""COMPUTED_VALUE"""),"T68")</f>
        <v>T68</v>
      </c>
      <c r="B69">
        <f ca="1">IFERROR(__xludf.DUMMYFUNCTION("""COMPUTED_VALUE"""),81)</f>
        <v>81</v>
      </c>
      <c r="C69" t="str">
        <f ca="1">IFERROR(__xludf.DUMMYFUNCTION("""COMPUTED_VALUE"""),"Akshay Bhatia")</f>
        <v>Akshay Bhatia</v>
      </c>
      <c r="D69">
        <f ca="1">IFERROR(__xludf.DUMMYFUNCTION("""COMPUTED_VALUE"""),6)</f>
        <v>6</v>
      </c>
      <c r="E69">
        <f ca="1">IFERROR(__xludf.DUMMYFUNCTION("""COMPUTED_VALUE"""),61.11)</f>
        <v>61.11</v>
      </c>
      <c r="F69">
        <f ca="1">IFERROR(__xludf.DUMMYFUNCTION("""COMPUTED_VALUE"""),22)</f>
        <v>22</v>
      </c>
      <c r="G69">
        <f ca="1">IFERROR(__xludf.DUMMYFUNCTION("""COMPUTED_VALUE"""),36)</f>
        <v>36</v>
      </c>
    </row>
    <row r="70" spans="1:7" ht="12.75">
      <c r="A70" t="str">
        <f ca="1">IFERROR(__xludf.DUMMYFUNCTION("""COMPUTED_VALUE"""),"T68")</f>
        <v>T68</v>
      </c>
      <c r="B70">
        <f ca="1">IFERROR(__xludf.DUMMYFUNCTION("""COMPUTED_VALUE"""),40)</f>
        <v>40</v>
      </c>
      <c r="C70" t="str">
        <f ca="1">IFERROR(__xludf.DUMMYFUNCTION("""COMPUTED_VALUE"""),"Carlos Ortiz")</f>
        <v>Carlos Ortiz</v>
      </c>
      <c r="D70">
        <f ca="1">IFERROR(__xludf.DUMMYFUNCTION("""COMPUTED_VALUE"""),20)</f>
        <v>20</v>
      </c>
      <c r="E70">
        <f ca="1">IFERROR(__xludf.DUMMYFUNCTION("""COMPUTED_VALUE"""),61.11)</f>
        <v>61.11</v>
      </c>
      <c r="F70">
        <f ca="1">IFERROR(__xludf.DUMMYFUNCTION("""COMPUTED_VALUE"""),66)</f>
        <v>66</v>
      </c>
      <c r="G70">
        <f ca="1">IFERROR(__xludf.DUMMYFUNCTION("""COMPUTED_VALUE"""),108)</f>
        <v>108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IFERROR(__xludf.DUMMYFUNCTION("""COMPUTED_VALUE"""),82)</f>
        <v>82</v>
      </c>
      <c r="C71" t="str">
        <f ca="1">IFERROR(__xludf.DUMMYFUNCTION("""COMPUTED_VALUE"""),"Brandon Hagy")</f>
        <v>Brandon Hagy</v>
      </c>
      <c r="D71">
        <f ca="1">IFERROR(__xludf.DUMMYFUNCTION("""COMPUTED_VALUE"""),10)</f>
        <v>10</v>
      </c>
      <c r="E71">
        <f ca="1">IFERROR(__xludf.DUMMYFUNCTION("""COMPUTED_VALUE"""),61.04)</f>
        <v>61.04</v>
      </c>
      <c r="F71">
        <f ca="1">IFERROR(__xludf.DUMMYFUNCTION("""COMPUTED_VALUE"""),47)</f>
        <v>47</v>
      </c>
      <c r="G71">
        <f ca="1">IFERROR(__xludf.DUMMYFUNCTION("""COMPUTED_VALUE"""),77)</f>
        <v>77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IFERROR(__xludf.DUMMYFUNCTION("""COMPUTED_VALUE"""),88)</f>
        <v>88</v>
      </c>
      <c r="C72" t="str">
        <f ca="1">IFERROR(__xludf.DUMMYFUNCTION("""COMPUTED_VALUE"""),"Kevin Tway")</f>
        <v>Kevin Tway</v>
      </c>
      <c r="D72">
        <f ca="1">IFERROR(__xludf.DUMMYFUNCTION("""COMPUTED_VALUE"""),16)</f>
        <v>16</v>
      </c>
      <c r="E72">
        <f ca="1">IFERROR(__xludf.DUMMYFUNCTION("""COMPUTED_VALUE"""),60.95)</f>
        <v>60.95</v>
      </c>
      <c r="F72">
        <f ca="1">IFERROR(__xludf.DUMMYFUNCTION("""COMPUTED_VALUE"""),64)</f>
        <v>64</v>
      </c>
      <c r="G72">
        <f ca="1">IFERROR(__xludf.DUMMYFUNCTION("""COMPUTED_VALUE"""),105)</f>
        <v>105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IFERROR(__xludf.DUMMYFUNCTION("""COMPUTED_VALUE"""),83)</f>
        <v>83</v>
      </c>
      <c r="C73" t="str">
        <f ca="1">IFERROR(__xludf.DUMMYFUNCTION("""COMPUTED_VALUE"""),"Vincent Whaley")</f>
        <v>Vincent Whaley</v>
      </c>
      <c r="D73">
        <f ca="1">IFERROR(__xludf.DUMMYFUNCTION("""COMPUTED_VALUE"""),14)</f>
        <v>14</v>
      </c>
      <c r="E73">
        <f ca="1">IFERROR(__xludf.DUMMYFUNCTION("""COMPUTED_VALUE"""),60.92)</f>
        <v>60.92</v>
      </c>
      <c r="F73">
        <f ca="1">IFERROR(__xludf.DUMMYFUNCTION("""COMPUTED_VALUE"""),53)</f>
        <v>53</v>
      </c>
      <c r="G73">
        <f ca="1">IFERROR(__xludf.DUMMYFUNCTION("""COMPUTED_VALUE"""),87)</f>
        <v>87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IFERROR(__xludf.DUMMYFUNCTION("""COMPUTED_VALUE"""),41)</f>
        <v>41</v>
      </c>
      <c r="C74" t="str">
        <f ca="1">IFERROR(__xludf.DUMMYFUNCTION("""COMPUTED_VALUE"""),"Doc Redman")</f>
        <v>Doc Redman</v>
      </c>
      <c r="D74">
        <f ca="1">IFERROR(__xludf.DUMMYFUNCTION("""COMPUTED_VALUE"""),18)</f>
        <v>18</v>
      </c>
      <c r="E74">
        <f ca="1">IFERROR(__xludf.DUMMYFUNCTION("""COMPUTED_VALUE"""),60.67)</f>
        <v>60.67</v>
      </c>
      <c r="F74">
        <f ca="1">IFERROR(__xludf.DUMMYFUNCTION("""COMPUTED_VALUE"""),54)</f>
        <v>54</v>
      </c>
      <c r="G74">
        <f ca="1">IFERROR(__xludf.DUMMYFUNCTION("""COMPUTED_VALUE"""),89)</f>
        <v>89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IFERROR(__xludf.DUMMYFUNCTION("""COMPUTED_VALUE"""),"T85")</f>
        <v>T85</v>
      </c>
      <c r="C75" t="str">
        <f ca="1">IFERROR(__xludf.DUMMYFUNCTION("""COMPUTED_VALUE"""),"Andy Zhang")</f>
        <v>Andy Zhang</v>
      </c>
      <c r="D75">
        <f ca="1">IFERROR(__xludf.DUMMYFUNCTION("""COMPUTED_VALUE"""),4)</f>
        <v>4</v>
      </c>
      <c r="E75">
        <f ca="1">IFERROR(__xludf.DUMMYFUNCTION("""COMPUTED_VALUE"""),60.61)</f>
        <v>60.61</v>
      </c>
      <c r="F75">
        <f ca="1">IFERROR(__xludf.DUMMYFUNCTION("""COMPUTED_VALUE"""),20)</f>
        <v>20</v>
      </c>
      <c r="G75">
        <f ca="1">IFERROR(__xludf.DUMMYFUNCTION("""COMPUTED_VALUE"""),33)</f>
        <v>33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IFERROR(__xludf.DUMMYFUNCTION("""COMPUTED_VALUE"""),87)</f>
        <v>87</v>
      </c>
      <c r="C76" t="str">
        <f ca="1">IFERROR(__xludf.DUMMYFUNCTION("""COMPUTED_VALUE"""),"Will Zalatoris")</f>
        <v>Will Zalatoris</v>
      </c>
      <c r="D76">
        <f ca="1">IFERROR(__xludf.DUMMYFUNCTION("""COMPUTED_VALUE"""),18)</f>
        <v>18</v>
      </c>
      <c r="E76">
        <f ca="1">IFERROR(__xludf.DUMMYFUNCTION("""COMPUTED_VALUE"""),60.55)</f>
        <v>60.55</v>
      </c>
      <c r="F76">
        <f ca="1">IFERROR(__xludf.DUMMYFUNCTION("""COMPUTED_VALUE"""),66)</f>
        <v>66</v>
      </c>
      <c r="G76">
        <f ca="1">IFERROR(__xludf.DUMMYFUNCTION("""COMPUTED_VALUE"""),109)</f>
        <v>109</v>
      </c>
    </row>
    <row r="77" spans="1:7" ht="12.75">
      <c r="A77">
        <f ca="1">IFERROR(__xludf.DUMMYFUNCTION("""COMPUTED_VALUE"""),76)</f>
        <v>76</v>
      </c>
      <c r="B77" t="str">
        <f ca="1">IFERROR(__xludf.DUMMYFUNCTION("""COMPUTED_VALUE"""),"T89")</f>
        <v>T89</v>
      </c>
      <c r="C77" t="str">
        <f ca="1">IFERROR(__xludf.DUMMYFUNCTION("""COMPUTED_VALUE"""),"Naoki Sekito")</f>
        <v>Naoki Sekito</v>
      </c>
      <c r="D77">
        <f ca="1">IFERROR(__xludf.DUMMYFUNCTION("""COMPUTED_VALUE"""),4)</f>
        <v>4</v>
      </c>
      <c r="E77">
        <f ca="1">IFERROR(__xludf.DUMMYFUNCTION("""COMPUTED_VALUE"""),60)</f>
        <v>60</v>
      </c>
      <c r="F77">
        <f ca="1">IFERROR(__xludf.DUMMYFUNCTION("""COMPUTED_VALUE"""),6)</f>
        <v>6</v>
      </c>
      <c r="G77">
        <f ca="1">IFERROR(__xludf.DUMMYFUNCTION("""COMPUTED_VALUE"""),10)</f>
        <v>10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IFERROR(__xludf.DUMMYFUNCTION("""COMPUTED_VALUE"""),94)</f>
        <v>94</v>
      </c>
      <c r="C78" t="str">
        <f ca="1">IFERROR(__xludf.DUMMYFUNCTION("""COMPUTED_VALUE"""),"Brendan Steele")</f>
        <v>Brendan Steele</v>
      </c>
      <c r="D78">
        <f ca="1">IFERROR(__xludf.DUMMYFUNCTION("""COMPUTED_VALUE"""),14)</f>
        <v>14</v>
      </c>
      <c r="E78">
        <f ca="1">IFERROR(__xludf.DUMMYFUNCTION("""COMPUTED_VALUE"""),59.42)</f>
        <v>59.42</v>
      </c>
      <c r="F78">
        <f ca="1">IFERROR(__xludf.DUMMYFUNCTION("""COMPUTED_VALUE"""),41)</f>
        <v>41</v>
      </c>
      <c r="G78">
        <f ca="1">IFERROR(__xludf.DUMMYFUNCTION("""COMPUTED_VALUE"""),69)</f>
        <v>69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IFERROR(__xludf.DUMMYFUNCTION("""COMPUTED_VALUE"""),95)</f>
        <v>95</v>
      </c>
      <c r="C79" t="str">
        <f ca="1">IFERROR(__xludf.DUMMYFUNCTION("""COMPUTED_VALUE"""),"Chesson Hadley")</f>
        <v>Chesson Hadley</v>
      </c>
      <c r="D79">
        <f ca="1">IFERROR(__xludf.DUMMYFUNCTION("""COMPUTED_VALUE"""),16)</f>
        <v>16</v>
      </c>
      <c r="E79">
        <f ca="1">IFERROR(__xludf.DUMMYFUNCTION("""COMPUTED_VALUE"""),59.32)</f>
        <v>59.32</v>
      </c>
      <c r="F79">
        <f ca="1">IFERROR(__xludf.DUMMYFUNCTION("""COMPUTED_VALUE"""),70)</f>
        <v>70</v>
      </c>
      <c r="G79">
        <f ca="1">IFERROR(__xludf.DUMMYFUNCTION("""COMPUTED_VALUE"""),118)</f>
        <v>118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IFERROR(__xludf.DUMMYFUNCTION("""COMPUTED_VALUE"""),96)</f>
        <v>96</v>
      </c>
      <c r="C80" t="str">
        <f ca="1">IFERROR(__xludf.DUMMYFUNCTION("""COMPUTED_VALUE"""),"Aaron Baddeley")</f>
        <v>Aaron Baddeley</v>
      </c>
      <c r="D80">
        <f ca="1">IFERROR(__xludf.DUMMYFUNCTION("""COMPUTED_VALUE"""),8)</f>
        <v>8</v>
      </c>
      <c r="E80">
        <f ca="1">IFERROR(__xludf.DUMMYFUNCTION("""COMPUTED_VALUE"""),59.26)</f>
        <v>59.26</v>
      </c>
      <c r="F80">
        <f ca="1">IFERROR(__xludf.DUMMYFUNCTION("""COMPUTED_VALUE"""),32)</f>
        <v>32</v>
      </c>
      <c r="G80">
        <f ca="1">IFERROR(__xludf.DUMMYFUNCTION("""COMPUTED_VALUE"""),54)</f>
        <v>54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IFERROR(__xludf.DUMMYFUNCTION("""COMPUTED_VALUE"""),"T97")</f>
        <v>T97</v>
      </c>
      <c r="C81" t="str">
        <f ca="1">IFERROR(__xludf.DUMMYFUNCTION("""COMPUTED_VALUE"""),"Peter Malnati")</f>
        <v>Peter Malnati</v>
      </c>
      <c r="D81">
        <f ca="1">IFERROR(__xludf.DUMMYFUNCTION("""COMPUTED_VALUE"""),18)</f>
        <v>18</v>
      </c>
      <c r="E81">
        <f ca="1">IFERROR(__xludf.DUMMYFUNCTION("""COMPUTED_VALUE"""),59.22)</f>
        <v>59.22</v>
      </c>
      <c r="F81">
        <f ca="1">IFERROR(__xludf.DUMMYFUNCTION("""COMPUTED_VALUE"""),61)</f>
        <v>61</v>
      </c>
      <c r="G81">
        <f ca="1">IFERROR(__xludf.DUMMYFUNCTION("""COMPUTED_VALUE"""),103)</f>
        <v>103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IFERROR(__xludf.DUMMYFUNCTION("""COMPUTED_VALUE"""),"T4")</f>
        <v>T4</v>
      </c>
      <c r="C82" t="str">
        <f ca="1">IFERROR(__xludf.DUMMYFUNCTION("""COMPUTED_VALUE"""),"Isaiah Salinda")</f>
        <v>Isaiah Salinda</v>
      </c>
      <c r="D82">
        <f ca="1">IFERROR(__xludf.DUMMYFUNCTION("""COMPUTED_VALUE"""),8)</f>
        <v>8</v>
      </c>
      <c r="E82">
        <f ca="1">IFERROR(__xludf.DUMMYFUNCTION("""COMPUTED_VALUE"""),59.18)</f>
        <v>59.18</v>
      </c>
      <c r="F82">
        <f ca="1">IFERROR(__xludf.DUMMYFUNCTION("""COMPUTED_VALUE"""),29)</f>
        <v>29</v>
      </c>
      <c r="G82">
        <f ca="1">IFERROR(__xludf.DUMMYFUNCTION("""COMPUTED_VALUE"""),49)</f>
        <v>49</v>
      </c>
    </row>
    <row r="83" spans="1:7" ht="12.75">
      <c r="A83">
        <f ca="1">IFERROR(__xludf.DUMMYFUNCTION("""COMPUTED_VALUE"""),82)</f>
        <v>82</v>
      </c>
      <c r="B83" t="str">
        <f ca="1">IFERROR(__xludf.DUMMYFUNCTION("""COMPUTED_VALUE"""),"T101")</f>
        <v>T101</v>
      </c>
      <c r="C83" t="str">
        <f ca="1">IFERROR(__xludf.DUMMYFUNCTION("""COMPUTED_VALUE"""),"Willy Pumarol")</f>
        <v>Willy Pumarol</v>
      </c>
      <c r="D83">
        <f ca="1">IFERROR(__xludf.DUMMYFUNCTION("""COMPUTED_VALUE"""),4)</f>
        <v>4</v>
      </c>
      <c r="E83">
        <f ca="1">IFERROR(__xludf.DUMMYFUNCTION("""COMPUTED_VALUE"""),58.82)</f>
        <v>58.82</v>
      </c>
      <c r="F83">
        <f ca="1">IFERROR(__xludf.DUMMYFUNCTION("""COMPUTED_VALUE"""),10)</f>
        <v>10</v>
      </c>
      <c r="G83">
        <f ca="1">IFERROR(__xludf.DUMMYFUNCTION("""COMPUTED_VALUE"""),17)</f>
        <v>17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IFERROR(__xludf.DUMMYFUNCTION("""COMPUTED_VALUE"""),72)</f>
        <v>72</v>
      </c>
      <c r="C84" t="str">
        <f ca="1">IFERROR(__xludf.DUMMYFUNCTION("""COMPUTED_VALUE"""),"Andrew Putnam")</f>
        <v>Andrew Putnam</v>
      </c>
      <c r="D84">
        <f ca="1">IFERROR(__xludf.DUMMYFUNCTION("""COMPUTED_VALUE"""),19)</f>
        <v>19</v>
      </c>
      <c r="E84">
        <f ca="1">IFERROR(__xludf.DUMMYFUNCTION("""COMPUTED_VALUE"""),58.73)</f>
        <v>58.73</v>
      </c>
      <c r="F84">
        <f ca="1">IFERROR(__xludf.DUMMYFUNCTION("""COMPUTED_VALUE"""),74)</f>
        <v>74</v>
      </c>
      <c r="G84">
        <f ca="1">IFERROR(__xludf.DUMMYFUNCTION("""COMPUTED_VALUE"""),126)</f>
        <v>126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IFERROR(__xludf.DUMMYFUNCTION("""COMPUTED_VALUE"""),103)</f>
        <v>103</v>
      </c>
      <c r="C85" t="str">
        <f ca="1">IFERROR(__xludf.DUMMYFUNCTION("""COMPUTED_VALUE"""),"Brian Gay")</f>
        <v>Brian Gay</v>
      </c>
      <c r="D85">
        <f ca="1">IFERROR(__xludf.DUMMYFUNCTION("""COMPUTED_VALUE"""),8)</f>
        <v>8</v>
      </c>
      <c r="E85">
        <f ca="1">IFERROR(__xludf.DUMMYFUNCTION("""COMPUTED_VALUE"""),58.7)</f>
        <v>58.7</v>
      </c>
      <c r="F85">
        <f ca="1">IFERROR(__xludf.DUMMYFUNCTION("""COMPUTED_VALUE"""),27)</f>
        <v>27</v>
      </c>
      <c r="G85">
        <f ca="1">IFERROR(__xludf.DUMMYFUNCTION("""COMPUTED_VALUE"""),46)</f>
        <v>46</v>
      </c>
    </row>
    <row r="86" spans="1:7" ht="12.75">
      <c r="A86">
        <f ca="1">IFERROR(__xludf.DUMMYFUNCTION("""COMPUTED_VALUE"""),85)</f>
        <v>85</v>
      </c>
      <c r="B86" t="str">
        <f ca="1">IFERROR(__xludf.DUMMYFUNCTION("""COMPUTED_VALUE"""),"T78")</f>
        <v>T78</v>
      </c>
      <c r="C86" t="str">
        <f ca="1">IFERROR(__xludf.DUMMYFUNCTION("""COMPUTED_VALUE"""),"Kevin Chappell")</f>
        <v>Kevin Chappell</v>
      </c>
      <c r="D86">
        <f ca="1">IFERROR(__xludf.DUMMYFUNCTION("""COMPUTED_VALUE"""),16)</f>
        <v>16</v>
      </c>
      <c r="E86">
        <f ca="1">IFERROR(__xludf.DUMMYFUNCTION("""COMPUTED_VALUE"""),58.68)</f>
        <v>58.68</v>
      </c>
      <c r="F86">
        <f ca="1">IFERROR(__xludf.DUMMYFUNCTION("""COMPUTED_VALUE"""),71)</f>
        <v>71</v>
      </c>
      <c r="G86">
        <f ca="1">IFERROR(__xludf.DUMMYFUNCTION("""COMPUTED_VALUE"""),121)</f>
        <v>121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IFERROR(__xludf.DUMMYFUNCTION("""COMPUTED_VALUE"""),113)</f>
        <v>113</v>
      </c>
      <c r="C87" t="str">
        <f ca="1">IFERROR(__xludf.DUMMYFUNCTION("""COMPUTED_VALUE"""),"Hudson Swafford")</f>
        <v>Hudson Swafford</v>
      </c>
      <c r="D87">
        <f ca="1">IFERROR(__xludf.DUMMYFUNCTION("""COMPUTED_VALUE"""),18)</f>
        <v>18</v>
      </c>
      <c r="E87">
        <f ca="1">IFERROR(__xludf.DUMMYFUNCTION("""COMPUTED_VALUE"""),58.65)</f>
        <v>58.65</v>
      </c>
      <c r="F87">
        <f ca="1">IFERROR(__xludf.DUMMYFUNCTION("""COMPUTED_VALUE"""),61)</f>
        <v>61</v>
      </c>
      <c r="G87">
        <f ca="1">IFERROR(__xludf.DUMMYFUNCTION("""COMPUTED_VALUE"""),104)</f>
        <v>104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IFERROR(__xludf.DUMMYFUNCTION("""COMPUTED_VALUE"""),104)</f>
        <v>104</v>
      </c>
      <c r="C88" t="str">
        <f ca="1">IFERROR(__xludf.DUMMYFUNCTION("""COMPUTED_VALUE"""),"George McNeill")</f>
        <v>George McNeill</v>
      </c>
      <c r="D88">
        <f ca="1">IFERROR(__xludf.DUMMYFUNCTION("""COMPUTED_VALUE"""),8)</f>
        <v>8</v>
      </c>
      <c r="E88">
        <f ca="1">IFERROR(__xludf.DUMMYFUNCTION("""COMPUTED_VALUE"""),58.62)</f>
        <v>58.62</v>
      </c>
      <c r="F88">
        <f ca="1">IFERROR(__xludf.DUMMYFUNCTION("""COMPUTED_VALUE"""),34)</f>
        <v>34</v>
      </c>
      <c r="G88">
        <f ca="1">IFERROR(__xludf.DUMMYFUNCTION("""COMPUTED_VALUE"""),58)</f>
        <v>58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IFERROR(__xludf.DUMMYFUNCTION("""COMPUTED_VALUE"""),65)</f>
        <v>65</v>
      </c>
      <c r="C89" t="str">
        <f ca="1">IFERROR(__xludf.DUMMYFUNCTION("""COMPUTED_VALUE"""),"Jamie Lovemark")</f>
        <v>Jamie Lovemark</v>
      </c>
      <c r="D89">
        <f ca="1">IFERROR(__xludf.DUMMYFUNCTION("""COMPUTED_VALUE"""),18)</f>
        <v>18</v>
      </c>
      <c r="E89">
        <f ca="1">IFERROR(__xludf.DUMMYFUNCTION("""COMPUTED_VALUE"""),58.27)</f>
        <v>58.27</v>
      </c>
      <c r="F89">
        <f ca="1">IFERROR(__xludf.DUMMYFUNCTION("""COMPUTED_VALUE"""),74)</f>
        <v>74</v>
      </c>
      <c r="G89">
        <f ca="1">IFERROR(__xludf.DUMMYFUNCTION("""COMPUTED_VALUE"""),127)</f>
        <v>127</v>
      </c>
    </row>
    <row r="90" spans="1:7" ht="12.75">
      <c r="A90">
        <f ca="1">IFERROR(__xludf.DUMMYFUNCTION("""COMPUTED_VALUE"""),89)</f>
        <v>89</v>
      </c>
      <c r="B90" t="str">
        <f ca="1">IFERROR(__xludf.DUMMYFUNCTION("""COMPUTED_VALUE"""),"T89")</f>
        <v>T89</v>
      </c>
      <c r="C90" t="str">
        <f ca="1">IFERROR(__xludf.DUMMYFUNCTION("""COMPUTED_VALUE"""),"Luke List")</f>
        <v>Luke List</v>
      </c>
      <c r="D90">
        <f ca="1">IFERROR(__xludf.DUMMYFUNCTION("""COMPUTED_VALUE"""),18)</f>
        <v>18</v>
      </c>
      <c r="E90">
        <f ca="1">IFERROR(__xludf.DUMMYFUNCTION("""COMPUTED_VALUE"""),58.26)</f>
        <v>58.26</v>
      </c>
      <c r="F90">
        <f ca="1">IFERROR(__xludf.DUMMYFUNCTION("""COMPUTED_VALUE"""),67)</f>
        <v>67</v>
      </c>
      <c r="G90">
        <f ca="1">IFERROR(__xludf.DUMMYFUNCTION("""COMPUTED_VALUE"""),115)</f>
        <v>115</v>
      </c>
    </row>
    <row r="91" spans="1:7" ht="12.75">
      <c r="A91">
        <f ca="1">IFERROR(__xludf.DUMMYFUNCTION("""COMPUTED_VALUE"""),90)</f>
        <v>90</v>
      </c>
      <c r="B91">
        <f ca="1">IFERROR(__xludf.DUMMYFUNCTION("""COMPUTED_VALUE"""),105)</f>
        <v>105</v>
      </c>
      <c r="C91" t="str">
        <f ca="1">IFERROR(__xludf.DUMMYFUNCTION("""COMPUTED_VALUE"""),"Ben Taylor")</f>
        <v>Ben Taylor</v>
      </c>
      <c r="D91">
        <f ca="1">IFERROR(__xludf.DUMMYFUNCTION("""COMPUTED_VALUE"""),10)</f>
        <v>10</v>
      </c>
      <c r="E91">
        <f ca="1">IFERROR(__xludf.DUMMYFUNCTION("""COMPUTED_VALUE"""),58.11)</f>
        <v>58.11</v>
      </c>
      <c r="F91">
        <f ca="1">IFERROR(__xludf.DUMMYFUNCTION("""COMPUTED_VALUE"""),43)</f>
        <v>43</v>
      </c>
      <c r="G91">
        <f ca="1">IFERROR(__xludf.DUMMYFUNCTION("""COMPUTED_VALUE"""),74)</f>
        <v>74</v>
      </c>
    </row>
    <row r="92" spans="1:7" ht="12.75">
      <c r="A92">
        <f ca="1">IFERROR(__xludf.DUMMYFUNCTION("""COMPUTED_VALUE"""),91)</f>
        <v>91</v>
      </c>
      <c r="B92" t="str">
        <f ca="1">IFERROR(__xludf.DUMMYFUNCTION("""COMPUTED_VALUE"""),"T97")</f>
        <v>T97</v>
      </c>
      <c r="C92" t="str">
        <f ca="1">IFERROR(__xludf.DUMMYFUNCTION("""COMPUTED_VALUE"""),"Sepp Straka")</f>
        <v>Sepp Straka</v>
      </c>
      <c r="D92">
        <f ca="1">IFERROR(__xludf.DUMMYFUNCTION("""COMPUTED_VALUE"""),22)</f>
        <v>22</v>
      </c>
      <c r="E92">
        <f ca="1">IFERROR(__xludf.DUMMYFUNCTION("""COMPUTED_VALUE"""),57.89)</f>
        <v>57.89</v>
      </c>
      <c r="F92">
        <f ca="1">IFERROR(__xludf.DUMMYFUNCTION("""COMPUTED_VALUE"""),77)</f>
        <v>77</v>
      </c>
      <c r="G92">
        <f ca="1">IFERROR(__xludf.DUMMYFUNCTION("""COMPUTED_VALUE"""),133)</f>
        <v>133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IFERROR(__xludf.DUMMYFUNCTION("""COMPUTED_VALUE"""),112)</f>
        <v>112</v>
      </c>
      <c r="C93" t="str">
        <f ca="1">IFERROR(__xludf.DUMMYFUNCTION("""COMPUTED_VALUE"""),"Joel Dahmen")</f>
        <v>Joel Dahmen</v>
      </c>
      <c r="D93">
        <f ca="1">IFERROR(__xludf.DUMMYFUNCTION("""COMPUTED_VALUE"""),18)</f>
        <v>18</v>
      </c>
      <c r="E93">
        <f ca="1">IFERROR(__xludf.DUMMYFUNCTION("""COMPUTED_VALUE"""),57.65)</f>
        <v>57.65</v>
      </c>
      <c r="F93">
        <f ca="1">IFERROR(__xludf.DUMMYFUNCTION("""COMPUTED_VALUE"""),49)</f>
        <v>49</v>
      </c>
      <c r="G93">
        <f ca="1">IFERROR(__xludf.DUMMYFUNCTION("""COMPUTED_VALUE"""),85)</f>
        <v>85</v>
      </c>
    </row>
    <row r="94" spans="1:7" ht="12.75">
      <c r="A94" t="str">
        <f ca="1">IFERROR(__xludf.DUMMYFUNCTION("""COMPUTED_VALUE"""),"T93")</f>
        <v>T93</v>
      </c>
      <c r="B94" t="str">
        <f ca="1">IFERROR(__xludf.DUMMYFUNCTION("""COMPUTED_VALUE"""),"T114")</f>
        <v>T114</v>
      </c>
      <c r="C94" t="str">
        <f ca="1">IFERROR(__xludf.DUMMYFUNCTION("""COMPUTED_VALUE"""),"Steve Lewton")</f>
        <v>Steve Lewton</v>
      </c>
      <c r="D94">
        <f ca="1">IFERROR(__xludf.DUMMYFUNCTION("""COMPUTED_VALUE"""),4)</f>
        <v>4</v>
      </c>
      <c r="E94">
        <f ca="1">IFERROR(__xludf.DUMMYFUNCTION("""COMPUTED_VALUE"""),57.58)</f>
        <v>57.58</v>
      </c>
      <c r="F94">
        <f ca="1">IFERROR(__xludf.DUMMYFUNCTION("""COMPUTED_VALUE"""),19)</f>
        <v>19</v>
      </c>
      <c r="G94">
        <f ca="1">IFERROR(__xludf.DUMMYFUNCTION("""COMPUTED_VALUE"""),33)</f>
        <v>33</v>
      </c>
    </row>
    <row r="95" spans="1:7" ht="12.75">
      <c r="A95" t="str">
        <f ca="1">IFERROR(__xludf.DUMMYFUNCTION("""COMPUTED_VALUE"""),"T93")</f>
        <v>T93</v>
      </c>
      <c r="B95" t="str">
        <f ca="1">IFERROR(__xludf.DUMMYFUNCTION("""COMPUTED_VALUE"""),"T114")</f>
        <v>T114</v>
      </c>
      <c r="C95" t="str">
        <f ca="1">IFERROR(__xludf.DUMMYFUNCTION("""COMPUTED_VALUE"""),"Ryan Brehm")</f>
        <v>Ryan Brehm</v>
      </c>
      <c r="D95">
        <f ca="1">IFERROR(__xludf.DUMMYFUNCTION("""COMPUTED_VALUE"""),10)</f>
        <v>10</v>
      </c>
      <c r="E95">
        <f ca="1">IFERROR(__xludf.DUMMYFUNCTION("""COMPUTED_VALUE"""),57.58)</f>
        <v>57.58</v>
      </c>
      <c r="F95">
        <f ca="1">IFERROR(__xludf.DUMMYFUNCTION("""COMPUTED_VALUE"""),38)</f>
        <v>38</v>
      </c>
      <c r="G95">
        <f ca="1">IFERROR(__xludf.DUMMYFUNCTION("""COMPUTED_VALUE"""),66)</f>
        <v>66</v>
      </c>
    </row>
    <row r="96" spans="1:7" ht="12.75">
      <c r="A96">
        <f ca="1">IFERROR(__xludf.DUMMYFUNCTION("""COMPUTED_VALUE"""),95)</f>
        <v>95</v>
      </c>
      <c r="B96" t="str">
        <f ca="1">IFERROR(__xludf.DUMMYFUNCTION("""COMPUTED_VALUE"""),"T85")</f>
        <v>T85</v>
      </c>
      <c r="C96" t="str">
        <f ca="1">IFERROR(__xludf.DUMMYFUNCTION("""COMPUTED_VALUE"""),"Beau Hossler")</f>
        <v>Beau Hossler</v>
      </c>
      <c r="D96">
        <f ca="1">IFERROR(__xludf.DUMMYFUNCTION("""COMPUTED_VALUE"""),22)</f>
        <v>22</v>
      </c>
      <c r="E96">
        <f ca="1">IFERROR(__xludf.DUMMYFUNCTION("""COMPUTED_VALUE"""),57.43)</f>
        <v>57.43</v>
      </c>
      <c r="F96">
        <f ca="1">IFERROR(__xludf.DUMMYFUNCTION("""COMPUTED_VALUE"""),85)</f>
        <v>85</v>
      </c>
      <c r="G96">
        <f ca="1">IFERROR(__xludf.DUMMYFUNCTION("""COMPUTED_VALUE"""),148)</f>
        <v>148</v>
      </c>
    </row>
    <row r="97" spans="1:7" ht="12.75">
      <c r="A97">
        <f ca="1">IFERROR(__xludf.DUMMYFUNCTION("""COMPUTED_VALUE"""),96)</f>
        <v>96</v>
      </c>
      <c r="B97" t="str">
        <f ca="1">IFERROR(__xludf.DUMMYFUNCTION("""COMPUTED_VALUE"""),"T53")</f>
        <v>T53</v>
      </c>
      <c r="C97" t="str">
        <f ca="1">IFERROR(__xludf.DUMMYFUNCTION("""COMPUTED_VALUE"""),"Sam Ryder")</f>
        <v>Sam Ryder</v>
      </c>
      <c r="D97">
        <f ca="1">IFERROR(__xludf.DUMMYFUNCTION("""COMPUTED_VALUE"""),12)</f>
        <v>12</v>
      </c>
      <c r="E97">
        <f ca="1">IFERROR(__xludf.DUMMYFUNCTION("""COMPUTED_VALUE"""),57.38)</f>
        <v>57.38</v>
      </c>
      <c r="F97">
        <f ca="1">IFERROR(__xludf.DUMMYFUNCTION("""COMPUTED_VALUE"""),35)</f>
        <v>35</v>
      </c>
      <c r="G97">
        <f ca="1">IFERROR(__xludf.DUMMYFUNCTION("""COMPUTED_VALUE"""),61)</f>
        <v>61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IFERROR(__xludf.DUMMYFUNCTION("""COMPUTED_VALUE"""),117)</f>
        <v>117</v>
      </c>
      <c r="C98" t="str">
        <f ca="1">IFERROR(__xludf.DUMMYFUNCTION("""COMPUTED_VALUE"""),"Tyler McCumber")</f>
        <v>Tyler McCumber</v>
      </c>
      <c r="D98">
        <f ca="1">IFERROR(__xludf.DUMMYFUNCTION("""COMPUTED_VALUE"""),14)</f>
        <v>14</v>
      </c>
      <c r="E98">
        <f ca="1">IFERROR(__xludf.DUMMYFUNCTION("""COMPUTED_VALUE"""),57.32)</f>
        <v>57.32</v>
      </c>
      <c r="F98">
        <f ca="1">IFERROR(__xludf.DUMMYFUNCTION("""COMPUTED_VALUE"""),47)</f>
        <v>47</v>
      </c>
      <c r="G98">
        <f ca="1">IFERROR(__xludf.DUMMYFUNCTION("""COMPUTED_VALUE"""),82)</f>
        <v>82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IFERROR(__xludf.DUMMYFUNCTION("""COMPUTED_VALUE"""),116)</f>
        <v>116</v>
      </c>
      <c r="C99" t="str">
        <f ca="1">IFERROR(__xludf.DUMMYFUNCTION("""COMPUTED_VALUE"""),"Phil Mickelson")</f>
        <v>Phil Mickelson</v>
      </c>
      <c r="D99">
        <f ca="1">IFERROR(__xludf.DUMMYFUNCTION("""COMPUTED_VALUE"""),12)</f>
        <v>12</v>
      </c>
      <c r="E99">
        <f ca="1">IFERROR(__xludf.DUMMYFUNCTION("""COMPUTED_VALUE"""),57.28)</f>
        <v>57.28</v>
      </c>
      <c r="F99">
        <f ca="1">IFERROR(__xludf.DUMMYFUNCTION("""COMPUTED_VALUE"""),59)</f>
        <v>59</v>
      </c>
      <c r="G99">
        <f ca="1">IFERROR(__xludf.DUMMYFUNCTION("""COMPUTED_VALUE"""),103)</f>
        <v>103</v>
      </c>
    </row>
    <row r="100" spans="1:7" ht="12.75">
      <c r="A100" t="str">
        <f ca="1">IFERROR(__xludf.DUMMYFUNCTION("""COMPUTED_VALUE"""),"T99")</f>
        <v>T99</v>
      </c>
      <c r="B100">
        <f ca="1">IFERROR(__xludf.DUMMYFUNCTION("""COMPUTED_VALUE"""),70)</f>
        <v>70</v>
      </c>
      <c r="C100" t="str">
        <f ca="1">IFERROR(__xludf.DUMMYFUNCTION("""COMPUTED_VALUE"""),"Robby Shelton")</f>
        <v>Robby Shelton</v>
      </c>
      <c r="D100">
        <f ca="1">IFERROR(__xludf.DUMMYFUNCTION("""COMPUTED_VALUE"""),14)</f>
        <v>14</v>
      </c>
      <c r="E100">
        <f ca="1">IFERROR(__xludf.DUMMYFUNCTION("""COMPUTED_VALUE"""),57.14)</f>
        <v>57.14</v>
      </c>
      <c r="F100">
        <f ca="1">IFERROR(__xludf.DUMMYFUNCTION("""COMPUTED_VALUE"""),56)</f>
        <v>56</v>
      </c>
      <c r="G100">
        <f ca="1">IFERROR(__xludf.DUMMYFUNCTION("""COMPUTED_VALUE"""),98)</f>
        <v>98</v>
      </c>
    </row>
    <row r="101" spans="1:7" ht="12.75">
      <c r="A101" t="str">
        <f ca="1">IFERROR(__xludf.DUMMYFUNCTION("""COMPUTED_VALUE"""),"T99")</f>
        <v>T99</v>
      </c>
      <c r="B101" t="str">
        <f ca="1">IFERROR(__xludf.DUMMYFUNCTION("""COMPUTED_VALUE"""),"T31")</f>
        <v>T31</v>
      </c>
      <c r="C101" t="str">
        <f ca="1">IFERROR(__xludf.DUMMYFUNCTION("""COMPUTED_VALUE"""),"Chris Kirk")</f>
        <v>Chris Kirk</v>
      </c>
      <c r="D101">
        <f ca="1">IFERROR(__xludf.DUMMYFUNCTION("""COMPUTED_VALUE"""),10)</f>
        <v>10</v>
      </c>
      <c r="E101">
        <f ca="1">IFERROR(__xludf.DUMMYFUNCTION("""COMPUTED_VALUE"""),57.14)</f>
        <v>57.14</v>
      </c>
      <c r="F101">
        <f ca="1">IFERROR(__xludf.DUMMYFUNCTION("""COMPUTED_VALUE"""),32)</f>
        <v>32</v>
      </c>
      <c r="G101">
        <f ca="1">IFERROR(__xludf.DUMMYFUNCTION("""COMPUTED_VALUE"""),56)</f>
        <v>56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IFERROR(__xludf.DUMMYFUNCTION("""COMPUTED_VALUE"""),68)</f>
        <v>68</v>
      </c>
      <c r="C102" t="str">
        <f ca="1">IFERROR(__xludf.DUMMYFUNCTION("""COMPUTED_VALUE"""),"Padraig Harrington")</f>
        <v>Padraig Harrington</v>
      </c>
      <c r="D102">
        <f ca="1">IFERROR(__xludf.DUMMYFUNCTION("""COMPUTED_VALUE"""),8)</f>
        <v>8</v>
      </c>
      <c r="E102">
        <f ca="1">IFERROR(__xludf.DUMMYFUNCTION("""COMPUTED_VALUE"""),56.86)</f>
        <v>56.86</v>
      </c>
      <c r="F102">
        <f ca="1">IFERROR(__xludf.DUMMYFUNCTION("""COMPUTED_VALUE"""),29)</f>
        <v>29</v>
      </c>
      <c r="G102">
        <f ca="1">IFERROR(__xludf.DUMMYFUNCTION("""COMPUTED_VALUE"""),51)</f>
        <v>51</v>
      </c>
    </row>
    <row r="103" spans="1:7" ht="12.75">
      <c r="A103">
        <f ca="1">IFERROR(__xludf.DUMMYFUNCTION("""COMPUTED_VALUE"""),102)</f>
        <v>102</v>
      </c>
      <c r="B103">
        <f ca="1">IFERROR(__xludf.DUMMYFUNCTION("""COMPUTED_VALUE"""),122)</f>
        <v>122</v>
      </c>
      <c r="C103" t="str">
        <f ca="1">IFERROR(__xludf.DUMMYFUNCTION("""COMPUTED_VALUE"""),"Chris Stroud")</f>
        <v>Chris Stroud</v>
      </c>
      <c r="D103">
        <f ca="1">IFERROR(__xludf.DUMMYFUNCTION("""COMPUTED_VALUE"""),6)</f>
        <v>6</v>
      </c>
      <c r="E103">
        <f ca="1">IFERROR(__xludf.DUMMYFUNCTION("""COMPUTED_VALUE"""),56.76)</f>
        <v>56.76</v>
      </c>
      <c r="F103">
        <f ca="1">IFERROR(__xludf.DUMMYFUNCTION("""COMPUTED_VALUE"""),21)</f>
        <v>21</v>
      </c>
      <c r="G103">
        <f ca="1">IFERROR(__xludf.DUMMYFUNCTION("""COMPUTED_VALUE"""),37)</f>
        <v>37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IFERROR(__xludf.DUMMYFUNCTION("""COMPUTED_VALUE"""),"T123")</f>
        <v>T123</v>
      </c>
      <c r="C104" t="str">
        <f ca="1">IFERROR(__xludf.DUMMYFUNCTION("""COMPUTED_VALUE"""),"Hank Lebioda")</f>
        <v>Hank Lebioda</v>
      </c>
      <c r="D104">
        <f ca="1">IFERROR(__xludf.DUMMYFUNCTION("""COMPUTED_VALUE"""),14)</f>
        <v>14</v>
      </c>
      <c r="E104">
        <f ca="1">IFERROR(__xludf.DUMMYFUNCTION("""COMPUTED_VALUE"""),56.67)</f>
        <v>56.67</v>
      </c>
      <c r="F104">
        <f ca="1">IFERROR(__xludf.DUMMYFUNCTION("""COMPUTED_VALUE"""),51)</f>
        <v>51</v>
      </c>
      <c r="G104">
        <f ca="1">IFERROR(__xludf.DUMMYFUNCTION("""COMPUTED_VALUE"""),90)</f>
        <v>90</v>
      </c>
    </row>
    <row r="105" spans="1:7" ht="12.75">
      <c r="A105" t="str">
        <f ca="1">IFERROR(__xludf.DUMMYFUNCTION("""COMPUTED_VALUE"""),"T103")</f>
        <v>T103</v>
      </c>
      <c r="B105">
        <f ca="1">IFERROR(__xludf.DUMMYFUNCTION("""COMPUTED_VALUE"""),127)</f>
        <v>127</v>
      </c>
      <c r="C105" t="str">
        <f ca="1">IFERROR(__xludf.DUMMYFUNCTION("""COMPUTED_VALUE"""),"Viktor Hovland")</f>
        <v>Viktor Hovland</v>
      </c>
      <c r="D105">
        <f ca="1">IFERROR(__xludf.DUMMYFUNCTION("""COMPUTED_VALUE"""),16)</f>
        <v>16</v>
      </c>
      <c r="E105">
        <f ca="1">IFERROR(__xludf.DUMMYFUNCTION("""COMPUTED_VALUE"""),56.67)</f>
        <v>56.67</v>
      </c>
      <c r="F105">
        <f ca="1">IFERROR(__xludf.DUMMYFUNCTION("""COMPUTED_VALUE"""),51)</f>
        <v>51</v>
      </c>
      <c r="G105">
        <f ca="1">IFERROR(__xludf.DUMMYFUNCTION("""COMPUTED_VALUE"""),90)</f>
        <v>90</v>
      </c>
    </row>
    <row r="106" spans="1:7" ht="12.75">
      <c r="A106" t="str">
        <f ca="1">IFERROR(__xludf.DUMMYFUNCTION("""COMPUTED_VALUE"""),"T103")</f>
        <v>T103</v>
      </c>
      <c r="B106" t="str">
        <f ca="1">IFERROR(__xludf.DUMMYFUNCTION("""COMPUTED_VALUE"""),"T123")</f>
        <v>T123</v>
      </c>
      <c r="C106" t="str">
        <f ca="1">IFERROR(__xludf.DUMMYFUNCTION("""COMPUTED_VALUE"""),"Tim Wilkinson")</f>
        <v>Tim Wilkinson</v>
      </c>
      <c r="D106">
        <f ca="1">IFERROR(__xludf.DUMMYFUNCTION("""COMPUTED_VALUE"""),12)</f>
        <v>12</v>
      </c>
      <c r="E106">
        <f ca="1">IFERROR(__xludf.DUMMYFUNCTION("""COMPUTED_VALUE"""),56.67)</f>
        <v>56.67</v>
      </c>
      <c r="F106">
        <f ca="1">IFERROR(__xludf.DUMMYFUNCTION("""COMPUTED_VALUE"""),34)</f>
        <v>34</v>
      </c>
      <c r="G106">
        <f ca="1">IFERROR(__xludf.DUMMYFUNCTION("""COMPUTED_VALUE"""),60)</f>
        <v>60</v>
      </c>
    </row>
    <row r="107" spans="1:7" ht="12.75">
      <c r="A107" t="str">
        <f ca="1">IFERROR(__xludf.DUMMYFUNCTION("""COMPUTED_VALUE"""),"T103")</f>
        <v>T103</v>
      </c>
      <c r="B107">
        <f ca="1">IFERROR(__xludf.DUMMYFUNCTION("""COMPUTED_VALUE"""),120)</f>
        <v>120</v>
      </c>
      <c r="C107" t="str">
        <f ca="1">IFERROR(__xludf.DUMMYFUNCTION("""COMPUTED_VALUE"""),"Charley Hoffman")</f>
        <v>Charley Hoffman</v>
      </c>
      <c r="D107">
        <f ca="1">IFERROR(__xludf.DUMMYFUNCTION("""COMPUTED_VALUE"""),20)</f>
        <v>20</v>
      </c>
      <c r="E107">
        <f ca="1">IFERROR(__xludf.DUMMYFUNCTION("""COMPUTED_VALUE"""),56.67)</f>
        <v>56.67</v>
      </c>
      <c r="F107">
        <f ca="1">IFERROR(__xludf.DUMMYFUNCTION("""COMPUTED_VALUE"""),68)</f>
        <v>68</v>
      </c>
      <c r="G107">
        <f ca="1">IFERROR(__xludf.DUMMYFUNCTION("""COMPUTED_VALUE"""),120)</f>
        <v>120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IFERROR(__xludf.DUMMYFUNCTION("""COMPUTED_VALUE"""),126)</f>
        <v>126</v>
      </c>
      <c r="C108" t="str">
        <f ca="1">IFERROR(__xludf.DUMMYFUNCTION("""COMPUTED_VALUE"""),"Zac Blair")</f>
        <v>Zac Blair</v>
      </c>
      <c r="D108">
        <f ca="1">IFERROR(__xludf.DUMMYFUNCTION("""COMPUTED_VALUE"""),10)</f>
        <v>10</v>
      </c>
      <c r="E108">
        <f ca="1">IFERROR(__xludf.DUMMYFUNCTION("""COMPUTED_VALUE"""),56.6)</f>
        <v>56.6</v>
      </c>
      <c r="F108">
        <f ca="1">IFERROR(__xludf.DUMMYFUNCTION("""COMPUTED_VALUE"""),30)</f>
        <v>30</v>
      </c>
      <c r="G108">
        <f ca="1">IFERROR(__xludf.DUMMYFUNCTION("""COMPUTED_VALUE"""),53)</f>
        <v>53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IFERROR(__xludf.DUMMYFUNCTION("""COMPUTED_VALUE"""),128)</f>
        <v>128</v>
      </c>
      <c r="C109" t="str">
        <f ca="1">IFERROR(__xludf.DUMMYFUNCTION("""COMPUTED_VALUE"""),"Jon Rahm")</f>
        <v>Jon Rahm</v>
      </c>
      <c r="D109">
        <f ca="1">IFERROR(__xludf.DUMMYFUNCTION("""COMPUTED_VALUE"""),12)</f>
        <v>12</v>
      </c>
      <c r="E109">
        <f ca="1">IFERROR(__xludf.DUMMYFUNCTION("""COMPUTED_VALUE"""),56.45)</f>
        <v>56.45</v>
      </c>
      <c r="F109">
        <f ca="1">IFERROR(__xludf.DUMMYFUNCTION("""COMPUTED_VALUE"""),35)</f>
        <v>35</v>
      </c>
      <c r="G109">
        <f ca="1">IFERROR(__xludf.DUMMYFUNCTION("""COMPUTED_VALUE"""),62)</f>
        <v>62</v>
      </c>
    </row>
    <row r="110" spans="1:7" ht="12.75">
      <c r="A110" t="str">
        <f ca="1">IFERROR(__xludf.DUMMYFUNCTION("""COMPUTED_VALUE"""),"T109")</f>
        <v>T109</v>
      </c>
      <c r="B110" t="str">
        <f ca="1">IFERROR(__xludf.DUMMYFUNCTION("""COMPUTED_VALUE"""),"T131")</f>
        <v>T131</v>
      </c>
      <c r="C110" t="str">
        <f ca="1">IFERROR(__xludf.DUMMYFUNCTION("""COMPUTED_VALUE"""),"Cameron Champ")</f>
        <v>Cameron Champ</v>
      </c>
      <c r="D110">
        <f ca="1">IFERROR(__xludf.DUMMYFUNCTION("""COMPUTED_VALUE"""),12)</f>
        <v>12</v>
      </c>
      <c r="E110">
        <f ca="1">IFERROR(__xludf.DUMMYFUNCTION("""COMPUTED_VALUE"""),56.34)</f>
        <v>56.34</v>
      </c>
      <c r="F110">
        <f ca="1">IFERROR(__xludf.DUMMYFUNCTION("""COMPUTED_VALUE"""),40)</f>
        <v>40</v>
      </c>
      <c r="G110">
        <f ca="1">IFERROR(__xludf.DUMMYFUNCTION("""COMPUTED_VALUE"""),71)</f>
        <v>71</v>
      </c>
    </row>
    <row r="111" spans="1:7" ht="12.75">
      <c r="A111" t="str">
        <f ca="1">IFERROR(__xludf.DUMMYFUNCTION("""COMPUTED_VALUE"""),"T109")</f>
        <v>T109</v>
      </c>
      <c r="B111" t="str">
        <f ca="1">IFERROR(__xludf.DUMMYFUNCTION("""COMPUTED_VALUE"""),"T131")</f>
        <v>T131</v>
      </c>
      <c r="C111" t="str">
        <f ca="1">IFERROR(__xludf.DUMMYFUNCTION("""COMPUTED_VALUE"""),"Robert Streb")</f>
        <v>Robert Streb</v>
      </c>
      <c r="D111">
        <f ca="1">IFERROR(__xludf.DUMMYFUNCTION("""COMPUTED_VALUE"""),12)</f>
        <v>12</v>
      </c>
      <c r="E111">
        <f ca="1">IFERROR(__xludf.DUMMYFUNCTION("""COMPUTED_VALUE"""),56.34)</f>
        <v>56.34</v>
      </c>
      <c r="F111">
        <f ca="1">IFERROR(__xludf.DUMMYFUNCTION("""COMPUTED_VALUE"""),40)</f>
        <v>40</v>
      </c>
      <c r="G111">
        <f ca="1">IFERROR(__xludf.DUMMYFUNCTION("""COMPUTED_VALUE"""),71)</f>
        <v>71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IFERROR(__xludf.DUMMYFUNCTION("""COMPUTED_VALUE"""),110)</f>
        <v>110</v>
      </c>
      <c r="C112" t="str">
        <f ca="1">IFERROR(__xludf.DUMMYFUNCTION("""COMPUTED_VALUE"""),"Nate Lashley")</f>
        <v>Nate Lashley</v>
      </c>
      <c r="D112">
        <f ca="1">IFERROR(__xludf.DUMMYFUNCTION("""COMPUTED_VALUE"""),16)</f>
        <v>16</v>
      </c>
      <c r="E112">
        <f ca="1">IFERROR(__xludf.DUMMYFUNCTION("""COMPUTED_VALUE"""),56.25)</f>
        <v>56.25</v>
      </c>
      <c r="F112">
        <f ca="1">IFERROR(__xludf.DUMMYFUNCTION("""COMPUTED_VALUE"""),45)</f>
        <v>45</v>
      </c>
      <c r="G112">
        <f ca="1">IFERROR(__xludf.DUMMYFUNCTION("""COMPUTED_VALUE"""),80)</f>
        <v>80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IFERROR(__xludf.DUMMYFUNCTION("""COMPUTED_VALUE"""),"T133")</f>
        <v>T133</v>
      </c>
      <c r="C113" t="str">
        <f ca="1">IFERROR(__xludf.DUMMYFUNCTION("""COMPUTED_VALUE"""),"Shaun Norris")</f>
        <v>Shaun Norris</v>
      </c>
      <c r="D113">
        <f ca="1">IFERROR(__xludf.DUMMYFUNCTION("""COMPUTED_VALUE"""),6)</f>
        <v>6</v>
      </c>
      <c r="E113">
        <f ca="1">IFERROR(__xludf.DUMMYFUNCTION("""COMPUTED_VALUE"""),56.25)</f>
        <v>56.25</v>
      </c>
      <c r="F113">
        <f ca="1">IFERROR(__xludf.DUMMYFUNCTION("""COMPUTED_VALUE"""),18)</f>
        <v>18</v>
      </c>
      <c r="G113">
        <f ca="1">IFERROR(__xludf.DUMMYFUNCTION("""COMPUTED_VALUE"""),32)</f>
        <v>32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IFERROR(__xludf.DUMMYFUNCTION("""COMPUTED_VALUE"""),129)</f>
        <v>129</v>
      </c>
      <c r="C114" t="str">
        <f ca="1">IFERROR(__xludf.DUMMYFUNCTION("""COMPUTED_VALUE"""),"Matt Jones")</f>
        <v>Matt Jones</v>
      </c>
      <c r="D114">
        <f ca="1">IFERROR(__xludf.DUMMYFUNCTION("""COMPUTED_VALUE"""),20)</f>
        <v>20</v>
      </c>
      <c r="E114">
        <f ca="1">IFERROR(__xludf.DUMMYFUNCTION("""COMPUTED_VALUE"""),56.2)</f>
        <v>56.2</v>
      </c>
      <c r="F114">
        <f ca="1">IFERROR(__xludf.DUMMYFUNCTION("""COMPUTED_VALUE"""),68)</f>
        <v>68</v>
      </c>
      <c r="G114">
        <f ca="1">IFERROR(__xludf.DUMMYFUNCTION("""COMPUTED_VALUE"""),121)</f>
        <v>121</v>
      </c>
    </row>
    <row r="115" spans="1:7" ht="12.75">
      <c r="A115">
        <f ca="1">IFERROR(__xludf.DUMMYFUNCTION("""COMPUTED_VALUE"""),114)</f>
        <v>114</v>
      </c>
      <c r="B115" t="str">
        <f ca="1">IFERROR(__xludf.DUMMYFUNCTION("""COMPUTED_VALUE"""),"T133")</f>
        <v>T133</v>
      </c>
      <c r="C115" t="str">
        <f ca="1">IFERROR(__xludf.DUMMYFUNCTION("""COMPUTED_VALUE"""),"Ryan Armour")</f>
        <v>Ryan Armour</v>
      </c>
      <c r="D115">
        <f ca="1">IFERROR(__xludf.DUMMYFUNCTION("""COMPUTED_VALUE"""),16)</f>
        <v>16</v>
      </c>
      <c r="E115">
        <f ca="1">IFERROR(__xludf.DUMMYFUNCTION("""COMPUTED_VALUE"""),56.16)</f>
        <v>56.16</v>
      </c>
      <c r="F115">
        <f ca="1">IFERROR(__xludf.DUMMYFUNCTION("""COMPUTED_VALUE"""),41)</f>
        <v>41</v>
      </c>
      <c r="G115">
        <f ca="1">IFERROR(__xludf.DUMMYFUNCTION("""COMPUTED_VALUE"""),73)</f>
        <v>73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IFERROR(__xludf.DUMMYFUNCTION("""COMPUTED_VALUE"""),"T53")</f>
        <v>T53</v>
      </c>
      <c r="C116" t="str">
        <f ca="1">IFERROR(__xludf.DUMMYFUNCTION("""COMPUTED_VALUE"""),"Sean O'Hair")</f>
        <v>Sean O'Hair</v>
      </c>
      <c r="D116">
        <f ca="1">IFERROR(__xludf.DUMMYFUNCTION("""COMPUTED_VALUE"""),14)</f>
        <v>14</v>
      </c>
      <c r="E116">
        <f ca="1">IFERROR(__xludf.DUMMYFUNCTION("""COMPUTED_VALUE"""),56)</f>
        <v>56</v>
      </c>
      <c r="F116">
        <f ca="1">IFERROR(__xludf.DUMMYFUNCTION("""COMPUTED_VALUE"""),42)</f>
        <v>42</v>
      </c>
      <c r="G116">
        <f ca="1">IFERROR(__xludf.DUMMYFUNCTION("""COMPUTED_VALUE"""),75)</f>
        <v>75</v>
      </c>
    </row>
    <row r="117" spans="1:7" ht="12.75">
      <c r="A117" t="str">
        <f ca="1">IFERROR(__xludf.DUMMYFUNCTION("""COMPUTED_VALUE"""),"T116")</f>
        <v>T116</v>
      </c>
      <c r="B117">
        <f ca="1">IFERROR(__xludf.DUMMYFUNCTION("""COMPUTED_VALUE"""),107)</f>
        <v>107</v>
      </c>
      <c r="C117" t="str">
        <f ca="1">IFERROR(__xludf.DUMMYFUNCTION("""COMPUTED_VALUE"""),"Si Woo Kim")</f>
        <v>Si Woo Kim</v>
      </c>
      <c r="D117">
        <f ca="1">IFERROR(__xludf.DUMMYFUNCTION("""COMPUTED_VALUE"""),20)</f>
        <v>20</v>
      </c>
      <c r="E117">
        <f ca="1">IFERROR(__xludf.DUMMYFUNCTION("""COMPUTED_VALUE"""),55.93)</f>
        <v>55.93</v>
      </c>
      <c r="F117">
        <f ca="1">IFERROR(__xludf.DUMMYFUNCTION("""COMPUTED_VALUE"""),66)</f>
        <v>66</v>
      </c>
      <c r="G117">
        <f ca="1">IFERROR(__xludf.DUMMYFUNCTION("""COMPUTED_VALUE"""),118)</f>
        <v>118</v>
      </c>
    </row>
    <row r="118" spans="1:7" ht="12.75">
      <c r="A118" t="str">
        <f ca="1">IFERROR(__xludf.DUMMYFUNCTION("""COMPUTED_VALUE"""),"T116")</f>
        <v>T116</v>
      </c>
      <c r="B118">
        <f ca="1">IFERROR(__xludf.DUMMYFUNCTION("""COMPUTED_VALUE"""),137)</f>
        <v>137</v>
      </c>
      <c r="C118" t="str">
        <f ca="1">IFERROR(__xludf.DUMMYFUNCTION("""COMPUTED_VALUE"""),"Chez Reavie")</f>
        <v>Chez Reavie</v>
      </c>
      <c r="D118">
        <f ca="1">IFERROR(__xludf.DUMMYFUNCTION("""COMPUTED_VALUE"""),14)</f>
        <v>14</v>
      </c>
      <c r="E118">
        <f ca="1">IFERROR(__xludf.DUMMYFUNCTION("""COMPUTED_VALUE"""),55.93)</f>
        <v>55.93</v>
      </c>
      <c r="F118">
        <f ca="1">IFERROR(__xludf.DUMMYFUNCTION("""COMPUTED_VALUE"""),33)</f>
        <v>33</v>
      </c>
      <c r="G118">
        <f ca="1">IFERROR(__xludf.DUMMYFUNCTION("""COMPUTED_VALUE"""),59)</f>
        <v>59</v>
      </c>
    </row>
    <row r="119" spans="1:7" ht="12.75">
      <c r="A119">
        <f ca="1">IFERROR(__xludf.DUMMYFUNCTION("""COMPUTED_VALUE"""),118)</f>
        <v>118</v>
      </c>
      <c r="B119" t="str">
        <f ca="1">IFERROR(__xludf.DUMMYFUNCTION("""COMPUTED_VALUE"""),"T49")</f>
        <v>T49</v>
      </c>
      <c r="C119" t="str">
        <f ca="1">IFERROR(__xludf.DUMMYFUNCTION("""COMPUTED_VALUE"""),"Bo Van Pelt")</f>
        <v>Bo Van Pelt</v>
      </c>
      <c r="D119">
        <f ca="1">IFERROR(__xludf.DUMMYFUNCTION("""COMPUTED_VALUE"""),10)</f>
        <v>10</v>
      </c>
      <c r="E119">
        <f ca="1">IFERROR(__xludf.DUMMYFUNCTION("""COMPUTED_VALUE"""),55.81)</f>
        <v>55.81</v>
      </c>
      <c r="F119">
        <f ca="1">IFERROR(__xludf.DUMMYFUNCTION("""COMPUTED_VALUE"""),24)</f>
        <v>24</v>
      </c>
      <c r="G119">
        <f ca="1">IFERROR(__xludf.DUMMYFUNCTION("""COMPUTED_VALUE"""),43)</f>
        <v>43</v>
      </c>
    </row>
    <row r="120" spans="1:7" ht="12.75">
      <c r="A120" t="str">
        <f ca="1">IFERROR(__xludf.DUMMYFUNCTION("""COMPUTED_VALUE"""),"T119")</f>
        <v>T119</v>
      </c>
      <c r="B120" t="str">
        <f ca="1">IFERROR(__xludf.DUMMYFUNCTION("""COMPUTED_VALUE"""),"T49")</f>
        <v>T49</v>
      </c>
      <c r="C120" t="str">
        <f ca="1">IFERROR(__xludf.DUMMYFUNCTION("""COMPUTED_VALUE"""),"Scottie Scheffler")</f>
        <v>Scottie Scheffler</v>
      </c>
      <c r="D120">
        <f ca="1">IFERROR(__xludf.DUMMYFUNCTION("""COMPUTED_VALUE"""),18)</f>
        <v>18</v>
      </c>
      <c r="E120">
        <f ca="1">IFERROR(__xludf.DUMMYFUNCTION("""COMPUTED_VALUE"""),55.7)</f>
        <v>55.7</v>
      </c>
      <c r="F120">
        <f ca="1">IFERROR(__xludf.DUMMYFUNCTION("""COMPUTED_VALUE"""),44)</f>
        <v>44</v>
      </c>
      <c r="G120">
        <f ca="1">IFERROR(__xludf.DUMMYFUNCTION("""COMPUTED_VALUE"""),79)</f>
        <v>79</v>
      </c>
    </row>
    <row r="121" spans="1:7" ht="12.75">
      <c r="A121" t="str">
        <f ca="1">IFERROR(__xludf.DUMMYFUNCTION("""COMPUTED_VALUE"""),"T119")</f>
        <v>T119</v>
      </c>
      <c r="B121">
        <f ca="1">IFERROR(__xludf.DUMMYFUNCTION("""COMPUTED_VALUE"""),140)</f>
        <v>140</v>
      </c>
      <c r="C121" t="str">
        <f ca="1">IFERROR(__xludf.DUMMYFUNCTION("""COMPUTED_VALUE"""),"Kyle Stanley")</f>
        <v>Kyle Stanley</v>
      </c>
      <c r="D121">
        <f ca="1">IFERROR(__xludf.DUMMYFUNCTION("""COMPUTED_VALUE"""),16)</f>
        <v>16</v>
      </c>
      <c r="E121">
        <f ca="1">IFERROR(__xludf.DUMMYFUNCTION("""COMPUTED_VALUE"""),55.7)</f>
        <v>55.7</v>
      </c>
      <c r="F121">
        <f ca="1">IFERROR(__xludf.DUMMYFUNCTION("""COMPUTED_VALUE"""),44)</f>
        <v>44</v>
      </c>
      <c r="G121">
        <f ca="1">IFERROR(__xludf.DUMMYFUNCTION("""COMPUTED_VALUE"""),79)</f>
        <v>79</v>
      </c>
    </row>
    <row r="122" spans="1:7" ht="12.75">
      <c r="A122" t="str">
        <f ca="1">IFERROR(__xludf.DUMMYFUNCTION("""COMPUTED_VALUE"""),"T121")</f>
        <v>T121</v>
      </c>
      <c r="B122">
        <f ca="1">IFERROR(__xludf.DUMMYFUNCTION("""COMPUTED_VALUE"""),106)</f>
        <v>106</v>
      </c>
      <c r="C122" t="str">
        <f ca="1">IFERROR(__xludf.DUMMYFUNCTION("""COMPUTED_VALUE"""),"Henrik Norlander")</f>
        <v>Henrik Norlander</v>
      </c>
      <c r="D122">
        <f ca="1">IFERROR(__xludf.DUMMYFUNCTION("""COMPUTED_VALUE"""),16)</f>
        <v>16</v>
      </c>
      <c r="E122">
        <f ca="1">IFERROR(__xludf.DUMMYFUNCTION("""COMPUTED_VALUE"""),55.56)</f>
        <v>55.56</v>
      </c>
      <c r="F122">
        <f ca="1">IFERROR(__xludf.DUMMYFUNCTION("""COMPUTED_VALUE"""),40)</f>
        <v>40</v>
      </c>
      <c r="G122">
        <f ca="1">IFERROR(__xludf.DUMMYFUNCTION("""COMPUTED_VALUE"""),72)</f>
        <v>72</v>
      </c>
    </row>
    <row r="123" spans="1:7" ht="12.75">
      <c r="A123" t="str">
        <f ca="1">IFERROR(__xludf.DUMMYFUNCTION("""COMPUTED_VALUE"""),"T121")</f>
        <v>T121</v>
      </c>
      <c r="B123">
        <f ca="1">IFERROR(__xludf.DUMMYFUNCTION("""COMPUTED_VALUE"""),142)</f>
        <v>142</v>
      </c>
      <c r="C123" t="str">
        <f ca="1">IFERROR(__xludf.DUMMYFUNCTION("""COMPUTED_VALUE"""),"Josh Teater")</f>
        <v>Josh Teater</v>
      </c>
      <c r="D123">
        <f ca="1">IFERROR(__xludf.DUMMYFUNCTION("""COMPUTED_VALUE"""),6)</f>
        <v>6</v>
      </c>
      <c r="E123">
        <f ca="1">IFERROR(__xludf.DUMMYFUNCTION("""COMPUTED_VALUE"""),55.56)</f>
        <v>55.56</v>
      </c>
      <c r="F123">
        <f ca="1">IFERROR(__xludf.DUMMYFUNCTION("""COMPUTED_VALUE"""),20)</f>
        <v>20</v>
      </c>
      <c r="G123">
        <f ca="1">IFERROR(__xludf.DUMMYFUNCTION("""COMPUTED_VALUE"""),36)</f>
        <v>36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IFERROR(__xludf.DUMMYFUNCTION("""COMPUTED_VALUE"""),92)</f>
        <v>92</v>
      </c>
      <c r="C124" t="str">
        <f ca="1">IFERROR(__xludf.DUMMYFUNCTION("""COMPUTED_VALUE"""),"Cameron Davis")</f>
        <v>Cameron Davis</v>
      </c>
      <c r="D124">
        <f ca="1">IFERROR(__xludf.DUMMYFUNCTION("""COMPUTED_VALUE"""),16)</f>
        <v>16</v>
      </c>
      <c r="E124">
        <f ca="1">IFERROR(__xludf.DUMMYFUNCTION("""COMPUTED_VALUE"""),55.45)</f>
        <v>55.45</v>
      </c>
      <c r="F124">
        <f ca="1">IFERROR(__xludf.DUMMYFUNCTION("""COMPUTED_VALUE"""),56)</f>
        <v>56</v>
      </c>
      <c r="G124">
        <f ca="1">IFERROR(__xludf.DUMMYFUNCTION("""COMPUTED_VALUE"""),101)</f>
        <v>101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IFERROR(__xludf.DUMMYFUNCTION("""COMPUTED_VALUE"""),135)</f>
        <v>135</v>
      </c>
      <c r="C125" t="str">
        <f ca="1">IFERROR(__xludf.DUMMYFUNCTION("""COMPUTED_VALUE"""),"Cameron Tringale")</f>
        <v>Cameron Tringale</v>
      </c>
      <c r="D125">
        <f ca="1">IFERROR(__xludf.DUMMYFUNCTION("""COMPUTED_VALUE"""),16)</f>
        <v>16</v>
      </c>
      <c r="E125">
        <f ca="1">IFERROR(__xludf.DUMMYFUNCTION("""COMPUTED_VALUE"""),55.34)</f>
        <v>55.34</v>
      </c>
      <c r="F125">
        <f ca="1">IFERROR(__xludf.DUMMYFUNCTION("""COMPUTED_VALUE"""),57)</f>
        <v>57</v>
      </c>
      <c r="G125">
        <f ca="1">IFERROR(__xludf.DUMMYFUNCTION("""COMPUTED_VALUE"""),103)</f>
        <v>103</v>
      </c>
    </row>
    <row r="126" spans="1:7" ht="12.75">
      <c r="A126">
        <f ca="1">IFERROR(__xludf.DUMMYFUNCTION("""COMPUTED_VALUE"""),125)</f>
        <v>125</v>
      </c>
      <c r="B126" t="str">
        <f ca="1">IFERROR(__xludf.DUMMYFUNCTION("""COMPUTED_VALUE"""),"T46")</f>
        <v>T46</v>
      </c>
      <c r="C126" t="str">
        <f ca="1">IFERROR(__xludf.DUMMYFUNCTION("""COMPUTED_VALUE"""),"Ollie Schniederjans")</f>
        <v>Ollie Schniederjans</v>
      </c>
      <c r="D126">
        <f ca="1">IFERROR(__xludf.DUMMYFUNCTION("""COMPUTED_VALUE"""),6)</f>
        <v>6</v>
      </c>
      <c r="E126">
        <f ca="1">IFERROR(__xludf.DUMMYFUNCTION("""COMPUTED_VALUE"""),55.1)</f>
        <v>55.1</v>
      </c>
      <c r="F126">
        <f ca="1">IFERROR(__xludf.DUMMYFUNCTION("""COMPUTED_VALUE"""),27)</f>
        <v>27</v>
      </c>
      <c r="G126">
        <f ca="1">IFERROR(__xludf.DUMMYFUNCTION("""COMPUTED_VALUE"""),49)</f>
        <v>49</v>
      </c>
    </row>
    <row r="127" spans="1:7" ht="12.75">
      <c r="A127" t="str">
        <f ca="1">IFERROR(__xludf.DUMMYFUNCTION("""COMPUTED_VALUE"""),"T126")</f>
        <v>T126</v>
      </c>
      <c r="B127">
        <f ca="1">IFERROR(__xludf.DUMMYFUNCTION("""COMPUTED_VALUE"""),143)</f>
        <v>143</v>
      </c>
      <c r="C127" t="str">
        <f ca="1">IFERROR(__xludf.DUMMYFUNCTION("""COMPUTED_VALUE"""),"Ryan Blaum")</f>
        <v>Ryan Blaum</v>
      </c>
      <c r="D127">
        <f ca="1">IFERROR(__xludf.DUMMYFUNCTION("""COMPUTED_VALUE"""),8)</f>
        <v>8</v>
      </c>
      <c r="E127">
        <f ca="1">IFERROR(__xludf.DUMMYFUNCTION("""COMPUTED_VALUE"""),55)</f>
        <v>55</v>
      </c>
      <c r="F127">
        <f ca="1">IFERROR(__xludf.DUMMYFUNCTION("""COMPUTED_VALUE"""),33)</f>
        <v>33</v>
      </c>
      <c r="G127">
        <f ca="1">IFERROR(__xludf.DUMMYFUNCTION("""COMPUTED_VALUE"""),60)</f>
        <v>60</v>
      </c>
    </row>
    <row r="128" spans="1:7" ht="12.75">
      <c r="A128" t="str">
        <f ca="1">IFERROR(__xludf.DUMMYFUNCTION("""COMPUTED_VALUE"""),"T126")</f>
        <v>T126</v>
      </c>
      <c r="B128">
        <f ca="1">IFERROR(__xludf.DUMMYFUNCTION("""COMPUTED_VALUE"""),149)</f>
        <v>149</v>
      </c>
      <c r="C128" t="str">
        <f ca="1">IFERROR(__xludf.DUMMYFUNCTION("""COMPUTED_VALUE"""),"Jhonattan Vegas")</f>
        <v>Jhonattan Vegas</v>
      </c>
      <c r="D128">
        <f ca="1">IFERROR(__xludf.DUMMYFUNCTION("""COMPUTED_VALUE"""),16)</f>
        <v>16</v>
      </c>
      <c r="E128">
        <f ca="1">IFERROR(__xludf.DUMMYFUNCTION("""COMPUTED_VALUE"""),55)</f>
        <v>55</v>
      </c>
      <c r="F128">
        <f ca="1">IFERROR(__xludf.DUMMYFUNCTION("""COMPUTED_VALUE"""),55)</f>
        <v>55</v>
      </c>
      <c r="G128">
        <f ca="1">IFERROR(__xludf.DUMMYFUNCTION("""COMPUTED_VALUE"""),100)</f>
        <v>100</v>
      </c>
    </row>
    <row r="129" spans="1:7" ht="12.75">
      <c r="A129" t="str">
        <f ca="1">IFERROR(__xludf.DUMMYFUNCTION("""COMPUTED_VALUE"""),"T126")</f>
        <v>T126</v>
      </c>
      <c r="B129">
        <f ca="1">IFERROR(__xludf.DUMMYFUNCTION("""COMPUTED_VALUE"""),139)</f>
        <v>139</v>
      </c>
      <c r="C129" t="str">
        <f ca="1">IFERROR(__xludf.DUMMYFUNCTION("""COMPUTED_VALUE"""),"Vaughn Taylor")</f>
        <v>Vaughn Taylor</v>
      </c>
      <c r="D129">
        <f ca="1">IFERROR(__xludf.DUMMYFUNCTION("""COMPUTED_VALUE"""),12)</f>
        <v>12</v>
      </c>
      <c r="E129">
        <f ca="1">IFERROR(__xludf.DUMMYFUNCTION("""COMPUTED_VALUE"""),55)</f>
        <v>55</v>
      </c>
      <c r="F129">
        <f ca="1">IFERROR(__xludf.DUMMYFUNCTION("""COMPUTED_VALUE"""),33)</f>
        <v>33</v>
      </c>
      <c r="G129">
        <f ca="1">IFERROR(__xludf.DUMMYFUNCTION("""COMPUTED_VALUE"""),60)</f>
        <v>60</v>
      </c>
    </row>
    <row r="130" spans="1:7" ht="12.75">
      <c r="A130">
        <f ca="1">IFERROR(__xludf.DUMMYFUNCTION("""COMPUTED_VALUE"""),129)</f>
        <v>129</v>
      </c>
      <c r="B130">
        <f ca="1">IFERROR(__xludf.DUMMYFUNCTION("""COMPUTED_VALUE"""),108)</f>
        <v>108</v>
      </c>
      <c r="C130" t="str">
        <f ca="1">IFERROR(__xludf.DUMMYFUNCTION("""COMPUTED_VALUE"""),"Zach Johnson")</f>
        <v>Zach Johnson</v>
      </c>
      <c r="D130">
        <f ca="1">IFERROR(__xludf.DUMMYFUNCTION("""COMPUTED_VALUE"""),16)</f>
        <v>16</v>
      </c>
      <c r="E130">
        <f ca="1">IFERROR(__xludf.DUMMYFUNCTION("""COMPUTED_VALUE"""),54.95)</f>
        <v>54.95</v>
      </c>
      <c r="F130">
        <f ca="1">IFERROR(__xludf.DUMMYFUNCTION("""COMPUTED_VALUE"""),50)</f>
        <v>50</v>
      </c>
      <c r="G130">
        <f ca="1">IFERROR(__xludf.DUMMYFUNCTION("""COMPUTED_VALUE"""),91)</f>
        <v>91</v>
      </c>
    </row>
    <row r="131" spans="1:7" ht="12.75">
      <c r="A131" t="str">
        <f ca="1">IFERROR(__xludf.DUMMYFUNCTION("""COMPUTED_VALUE"""),"T130")</f>
        <v>T130</v>
      </c>
      <c r="B131">
        <f ca="1">IFERROR(__xludf.DUMMYFUNCTION("""COMPUTED_VALUE"""),144)</f>
        <v>144</v>
      </c>
      <c r="C131" t="str">
        <f ca="1">IFERROR(__xludf.DUMMYFUNCTION("""COMPUTED_VALUE"""),"Rasmus Hojgaard")</f>
        <v>Rasmus Hojgaard</v>
      </c>
      <c r="D131">
        <f ca="1">IFERROR(__xludf.DUMMYFUNCTION("""COMPUTED_VALUE"""),6)</f>
        <v>6</v>
      </c>
      <c r="E131">
        <f ca="1">IFERROR(__xludf.DUMMYFUNCTION("""COMPUTED_VALUE"""),54.9)</f>
        <v>54.9</v>
      </c>
      <c r="F131">
        <f ca="1">IFERROR(__xludf.DUMMYFUNCTION("""COMPUTED_VALUE"""),28)</f>
        <v>28</v>
      </c>
      <c r="G131">
        <f ca="1">IFERROR(__xludf.DUMMYFUNCTION("""COMPUTED_VALUE"""),51)</f>
        <v>51</v>
      </c>
    </row>
    <row r="132" spans="1:7" ht="12.75">
      <c r="A132" t="str">
        <f ca="1">IFERROR(__xludf.DUMMYFUNCTION("""COMPUTED_VALUE"""),"T130")</f>
        <v>T130</v>
      </c>
      <c r="B132">
        <f ca="1">IFERROR(__xludf.DUMMYFUNCTION("""COMPUTED_VALUE"""),121)</f>
        <v>121</v>
      </c>
      <c r="C132" t="str">
        <f ca="1">IFERROR(__xludf.DUMMYFUNCTION("""COMPUTED_VALUE"""),"Brice Garnett")</f>
        <v>Brice Garnett</v>
      </c>
      <c r="D132">
        <f ca="1">IFERROR(__xludf.DUMMYFUNCTION("""COMPUTED_VALUE"""),22)</f>
        <v>22</v>
      </c>
      <c r="E132">
        <f ca="1">IFERROR(__xludf.DUMMYFUNCTION("""COMPUTED_VALUE"""),54.9)</f>
        <v>54.9</v>
      </c>
      <c r="F132">
        <f ca="1">IFERROR(__xludf.DUMMYFUNCTION("""COMPUTED_VALUE"""),56)</f>
        <v>56</v>
      </c>
      <c r="G132">
        <f ca="1">IFERROR(__xludf.DUMMYFUNCTION("""COMPUTED_VALUE"""),102)</f>
        <v>102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IFERROR(__xludf.DUMMYFUNCTION("""COMPUTED_VALUE"""),154)</f>
        <v>154</v>
      </c>
      <c r="C133" t="str">
        <f ca="1">IFERROR(__xludf.DUMMYFUNCTION("""COMPUTED_VALUE"""),"Harold Varner III")</f>
        <v>Harold Varner III</v>
      </c>
      <c r="D133">
        <f ca="1">IFERROR(__xludf.DUMMYFUNCTION("""COMPUTED_VALUE"""),14)</f>
        <v>14</v>
      </c>
      <c r="E133">
        <f ca="1">IFERROR(__xludf.DUMMYFUNCTION("""COMPUTED_VALUE"""),54.88)</f>
        <v>54.88</v>
      </c>
      <c r="F133">
        <f ca="1">IFERROR(__xludf.DUMMYFUNCTION("""COMPUTED_VALUE"""),45)</f>
        <v>45</v>
      </c>
      <c r="G133">
        <f ca="1">IFERROR(__xludf.DUMMYFUNCTION("""COMPUTED_VALUE"""),82)</f>
        <v>82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IFERROR(__xludf.DUMMYFUNCTION("""COMPUTED_VALUE"""),145)</f>
        <v>145</v>
      </c>
      <c r="C134" t="str">
        <f ca="1">IFERROR(__xludf.DUMMYFUNCTION("""COMPUTED_VALUE"""),"Matt Wallace")</f>
        <v>Matt Wallace</v>
      </c>
      <c r="D134">
        <f ca="1">IFERROR(__xludf.DUMMYFUNCTION("""COMPUTED_VALUE"""),4)</f>
        <v>4</v>
      </c>
      <c r="E134">
        <f ca="1">IFERROR(__xludf.DUMMYFUNCTION("""COMPUTED_VALUE"""),54.84)</f>
        <v>54.84</v>
      </c>
      <c r="F134">
        <f ca="1">IFERROR(__xludf.DUMMYFUNCTION("""COMPUTED_VALUE"""),17)</f>
        <v>17</v>
      </c>
      <c r="G134">
        <f ca="1">IFERROR(__xludf.DUMMYFUNCTION("""COMPUTED_VALUE"""),31)</f>
        <v>31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IFERROR(__xludf.DUMMYFUNCTION("""COMPUTED_VALUE"""),"T123")</f>
        <v>T123</v>
      </c>
      <c r="C135" t="str">
        <f ca="1">IFERROR(__xludf.DUMMYFUNCTION("""COMPUTED_VALUE"""),"Kramer Hickok")</f>
        <v>Kramer Hickok</v>
      </c>
      <c r="D135">
        <f ca="1">IFERROR(__xludf.DUMMYFUNCTION("""COMPUTED_VALUE"""),16)</f>
        <v>16</v>
      </c>
      <c r="E135">
        <f ca="1">IFERROR(__xludf.DUMMYFUNCTION("""COMPUTED_VALUE"""),54.76)</f>
        <v>54.76</v>
      </c>
      <c r="F135">
        <f ca="1">IFERROR(__xludf.DUMMYFUNCTION("""COMPUTED_VALUE"""),46)</f>
        <v>46</v>
      </c>
      <c r="G135">
        <f ca="1">IFERROR(__xludf.DUMMYFUNCTION("""COMPUTED_VALUE"""),84)</f>
        <v>84</v>
      </c>
    </row>
    <row r="136" spans="1:7" ht="12.75">
      <c r="A136" t="str">
        <f ca="1">IFERROR(__xludf.DUMMYFUNCTION("""COMPUTED_VALUE"""),"T134")</f>
        <v>T134</v>
      </c>
      <c r="B136">
        <f ca="1">IFERROR(__xludf.DUMMYFUNCTION("""COMPUTED_VALUE"""),146)</f>
        <v>146</v>
      </c>
      <c r="C136" t="str">
        <f ca="1">IFERROR(__xludf.DUMMYFUNCTION("""COMPUTED_VALUE"""),"Matthew Fitzpatrick")</f>
        <v>Matthew Fitzpatrick</v>
      </c>
      <c r="D136">
        <f ca="1">IFERROR(__xludf.DUMMYFUNCTION("""COMPUTED_VALUE"""),10)</f>
        <v>10</v>
      </c>
      <c r="E136">
        <f ca="1">IFERROR(__xludf.DUMMYFUNCTION("""COMPUTED_VALUE"""),54.76)</f>
        <v>54.76</v>
      </c>
      <c r="F136">
        <f ca="1">IFERROR(__xludf.DUMMYFUNCTION("""COMPUTED_VALUE"""),23)</f>
        <v>23</v>
      </c>
      <c r="G136">
        <f ca="1">IFERROR(__xludf.DUMMYFUNCTION("""COMPUTED_VALUE"""),42)</f>
        <v>42</v>
      </c>
    </row>
    <row r="137" spans="1:7" ht="12.75">
      <c r="A137">
        <f ca="1">IFERROR(__xludf.DUMMYFUNCTION("""COMPUTED_VALUE"""),136)</f>
        <v>136</v>
      </c>
      <c r="B137">
        <f ca="1">IFERROR(__xludf.DUMMYFUNCTION("""COMPUTED_VALUE"""),147)</f>
        <v>147</v>
      </c>
      <c r="C137" t="str">
        <f ca="1">IFERROR(__xludf.DUMMYFUNCTION("""COMPUTED_VALUE"""),"Peter Uihlein")</f>
        <v>Peter Uihlein</v>
      </c>
      <c r="D137">
        <f ca="1">IFERROR(__xludf.DUMMYFUNCTION("""COMPUTED_VALUE"""),8)</f>
        <v>8</v>
      </c>
      <c r="E137">
        <f ca="1">IFERROR(__xludf.DUMMYFUNCTION("""COMPUTED_VALUE"""),54.69)</f>
        <v>54.69</v>
      </c>
      <c r="F137">
        <f ca="1">IFERROR(__xludf.DUMMYFUNCTION("""COMPUTED_VALUE"""),35)</f>
        <v>35</v>
      </c>
      <c r="G137">
        <f ca="1">IFERROR(__xludf.DUMMYFUNCTION("""COMPUTED_VALUE"""),64)</f>
        <v>64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IFERROR(__xludf.DUMMYFUNCTION("""COMPUTED_VALUE"""),84)</f>
        <v>84</v>
      </c>
      <c r="C138" t="str">
        <f ca="1">IFERROR(__xludf.DUMMYFUNCTION("""COMPUTED_VALUE"""),"Scott Harrington")</f>
        <v>Scott Harrington</v>
      </c>
      <c r="D138">
        <f ca="1">IFERROR(__xludf.DUMMYFUNCTION("""COMPUTED_VALUE"""),18)</f>
        <v>18</v>
      </c>
      <c r="E138">
        <f ca="1">IFERROR(__xludf.DUMMYFUNCTION("""COMPUTED_VALUE"""),54.63)</f>
        <v>54.63</v>
      </c>
      <c r="F138">
        <f ca="1">IFERROR(__xludf.DUMMYFUNCTION("""COMPUTED_VALUE"""),59)</f>
        <v>59</v>
      </c>
      <c r="G138">
        <f ca="1">IFERROR(__xludf.DUMMYFUNCTION("""COMPUTED_VALUE"""),108)</f>
        <v>108</v>
      </c>
    </row>
    <row r="139" spans="1:7" ht="12.75">
      <c r="A139">
        <f ca="1">IFERROR(__xludf.DUMMYFUNCTION("""COMPUTED_VALUE"""),138)</f>
        <v>138</v>
      </c>
      <c r="B139" t="str">
        <f ca="1">IFERROR(__xludf.DUMMYFUNCTION("""COMPUTED_VALUE"""),"T4")</f>
        <v>T4</v>
      </c>
      <c r="C139" t="str">
        <f ca="1">IFERROR(__xludf.DUMMYFUNCTION("""COMPUTED_VALUE"""),"John Huh")</f>
        <v>John Huh</v>
      </c>
      <c r="D139">
        <f ca="1">IFERROR(__xludf.DUMMYFUNCTION("""COMPUTED_VALUE"""),8)</f>
        <v>8</v>
      </c>
      <c r="E139">
        <f ca="1">IFERROR(__xludf.DUMMYFUNCTION("""COMPUTED_VALUE"""),54.55)</f>
        <v>54.55</v>
      </c>
      <c r="F139">
        <f ca="1">IFERROR(__xludf.DUMMYFUNCTION("""COMPUTED_VALUE"""),18)</f>
        <v>18</v>
      </c>
      <c r="G139">
        <f ca="1">IFERROR(__xludf.DUMMYFUNCTION("""COMPUTED_VALUE"""),33)</f>
        <v>33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IFERROR(__xludf.DUMMYFUNCTION("""COMPUTED_VALUE"""),109)</f>
        <v>109</v>
      </c>
      <c r="C140" t="str">
        <f ca="1">IFERROR(__xludf.DUMMYFUNCTION("""COMPUTED_VALUE"""),"Hunter Mahan")</f>
        <v>Hunter Mahan</v>
      </c>
      <c r="D140">
        <f ca="1">IFERROR(__xludf.DUMMYFUNCTION("""COMPUTED_VALUE"""),14)</f>
        <v>14</v>
      </c>
      <c r="E140">
        <f ca="1">IFERROR(__xludf.DUMMYFUNCTION("""COMPUTED_VALUE"""),54.37)</f>
        <v>54.37</v>
      </c>
      <c r="F140">
        <f ca="1">IFERROR(__xludf.DUMMYFUNCTION("""COMPUTED_VALUE"""),56)</f>
        <v>56</v>
      </c>
      <c r="G140">
        <f ca="1">IFERROR(__xludf.DUMMYFUNCTION("""COMPUTED_VALUE"""),103)</f>
        <v>103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IFERROR(__xludf.DUMMYFUNCTION("""COMPUTED_VALUE"""),118)</f>
        <v>118</v>
      </c>
      <c r="C141" t="str">
        <f ca="1">IFERROR(__xludf.DUMMYFUNCTION("""COMPUTED_VALUE"""),"Jason Dufner")</f>
        <v>Jason Dufner</v>
      </c>
      <c r="D141">
        <f ca="1">IFERROR(__xludf.DUMMYFUNCTION("""COMPUTED_VALUE"""),14)</f>
        <v>14</v>
      </c>
      <c r="E141">
        <f ca="1">IFERROR(__xludf.DUMMYFUNCTION("""COMPUTED_VALUE"""),54.02)</f>
        <v>54.02</v>
      </c>
      <c r="F141">
        <f ca="1">IFERROR(__xludf.DUMMYFUNCTION("""COMPUTED_VALUE"""),47)</f>
        <v>47</v>
      </c>
      <c r="G141">
        <f ca="1">IFERROR(__xludf.DUMMYFUNCTION("""COMPUTED_VALUE"""),87)</f>
        <v>87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IFERROR(__xludf.DUMMYFUNCTION("""COMPUTED_VALUE"""),152)</f>
        <v>152</v>
      </c>
      <c r="C142" t="str">
        <f ca="1">IFERROR(__xludf.DUMMYFUNCTION("""COMPUTED_VALUE"""),"Cameron Smith")</f>
        <v>Cameron Smith</v>
      </c>
      <c r="D142">
        <f ca="1">IFERROR(__xludf.DUMMYFUNCTION("""COMPUTED_VALUE"""),16)</f>
        <v>16</v>
      </c>
      <c r="E142">
        <f ca="1">IFERROR(__xludf.DUMMYFUNCTION("""COMPUTED_VALUE"""),53.68)</f>
        <v>53.68</v>
      </c>
      <c r="F142">
        <f ca="1">IFERROR(__xludf.DUMMYFUNCTION("""COMPUTED_VALUE"""),51)</f>
        <v>51</v>
      </c>
      <c r="G142">
        <f ca="1">IFERROR(__xludf.DUMMYFUNCTION("""COMPUTED_VALUE"""),95)</f>
        <v>95</v>
      </c>
    </row>
    <row r="143" spans="1:7" ht="12.75">
      <c r="A143" t="str">
        <f ca="1">IFERROR(__xludf.DUMMYFUNCTION("""COMPUTED_VALUE"""),"T142")</f>
        <v>T142</v>
      </c>
      <c r="B143">
        <f ca="1">IFERROR(__xludf.DUMMYFUNCTION("""COMPUTED_VALUE"""),153)</f>
        <v>153</v>
      </c>
      <c r="C143" t="str">
        <f ca="1">IFERROR(__xludf.DUMMYFUNCTION("""COMPUTED_VALUE"""),"Xander Schauffele")</f>
        <v>Xander Schauffele</v>
      </c>
      <c r="D143">
        <f ca="1">IFERROR(__xludf.DUMMYFUNCTION("""COMPUTED_VALUE"""),12)</f>
        <v>12</v>
      </c>
      <c r="E143">
        <f ca="1">IFERROR(__xludf.DUMMYFUNCTION("""COMPUTED_VALUE"""),53.66)</f>
        <v>53.66</v>
      </c>
      <c r="F143">
        <f ca="1">IFERROR(__xludf.DUMMYFUNCTION("""COMPUTED_VALUE"""),44)</f>
        <v>44</v>
      </c>
      <c r="G143">
        <f ca="1">IFERROR(__xludf.DUMMYFUNCTION("""COMPUTED_VALUE"""),82)</f>
        <v>82</v>
      </c>
    </row>
    <row r="144" spans="1:7" ht="12.75">
      <c r="A144" t="str">
        <f ca="1">IFERROR(__xludf.DUMMYFUNCTION("""COMPUTED_VALUE"""),"T142")</f>
        <v>T142</v>
      </c>
      <c r="B144" t="str">
        <f ca="1">IFERROR(__xludf.DUMMYFUNCTION("""COMPUTED_VALUE"""),"")</f>
        <v/>
      </c>
      <c r="C144" t="str">
        <f ca="1">IFERROR(__xludf.DUMMYFUNCTION("""COMPUTED_VALUE"""),"Justin Harding")</f>
        <v>Justin Harding</v>
      </c>
      <c r="D144">
        <f ca="1">IFERROR(__xludf.DUMMYFUNCTION("""COMPUTED_VALUE"""),6)</f>
        <v>6</v>
      </c>
      <c r="E144">
        <f ca="1">IFERROR(__xludf.DUMMYFUNCTION("""COMPUTED_VALUE"""),53.66)</f>
        <v>53.66</v>
      </c>
      <c r="F144">
        <f ca="1">IFERROR(__xludf.DUMMYFUNCTION("""COMPUTED_VALUE"""),22)</f>
        <v>22</v>
      </c>
      <c r="G144">
        <f ca="1">IFERROR(__xludf.DUMMYFUNCTION("""COMPUTED_VALUE"""),41)</f>
        <v>41</v>
      </c>
    </row>
    <row r="145" spans="1:7" ht="12.75">
      <c r="A145">
        <f ca="1">IFERROR(__xludf.DUMMYFUNCTION("""COMPUTED_VALUE"""),144)</f>
        <v>144</v>
      </c>
      <c r="B145">
        <f ca="1">IFERROR(__xludf.DUMMYFUNCTION("""COMPUTED_VALUE"""),99)</f>
        <v>99</v>
      </c>
      <c r="C145" t="str">
        <f ca="1">IFERROR(__xludf.DUMMYFUNCTION("""COMPUTED_VALUE"""),"Keith Mitchell")</f>
        <v>Keith Mitchell</v>
      </c>
      <c r="D145">
        <f ca="1">IFERROR(__xludf.DUMMYFUNCTION("""COMPUTED_VALUE"""),14)</f>
        <v>14</v>
      </c>
      <c r="E145">
        <f ca="1">IFERROR(__xludf.DUMMYFUNCTION("""COMPUTED_VALUE"""),53.49)</f>
        <v>53.49</v>
      </c>
      <c r="F145">
        <f ca="1">IFERROR(__xludf.DUMMYFUNCTION("""COMPUTED_VALUE"""),46)</f>
        <v>46</v>
      </c>
      <c r="G145">
        <f ca="1">IFERROR(__xludf.DUMMYFUNCTION("""COMPUTED_VALUE"""),86)</f>
        <v>86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IFERROR(__xludf.DUMMYFUNCTION("""COMPUTED_VALUE"""),156)</f>
        <v>156</v>
      </c>
      <c r="C146" t="str">
        <f ca="1">IFERROR(__xludf.DUMMYFUNCTION("""COMPUTED_VALUE"""),"Joaquin Niemann")</f>
        <v>Joaquin Niemann</v>
      </c>
      <c r="D146">
        <f ca="1">IFERROR(__xludf.DUMMYFUNCTION("""COMPUTED_VALUE"""),16)</f>
        <v>16</v>
      </c>
      <c r="E146">
        <f ca="1">IFERROR(__xludf.DUMMYFUNCTION("""COMPUTED_VALUE"""),53.26)</f>
        <v>53.26</v>
      </c>
      <c r="F146">
        <f ca="1">IFERROR(__xludf.DUMMYFUNCTION("""COMPUTED_VALUE"""),49)</f>
        <v>49</v>
      </c>
      <c r="G146">
        <f ca="1">IFERROR(__xludf.DUMMYFUNCTION("""COMPUTED_VALUE"""),92)</f>
        <v>92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IFERROR(__xludf.DUMMYFUNCTION("""COMPUTED_VALUE"""),157)</f>
        <v>157</v>
      </c>
      <c r="C147" t="str">
        <f ca="1">IFERROR(__xludf.DUMMYFUNCTION("""COMPUTED_VALUE"""),"Rob Oppenheim")</f>
        <v>Rob Oppenheim</v>
      </c>
      <c r="D147">
        <f ca="1">IFERROR(__xludf.DUMMYFUNCTION("""COMPUTED_VALUE"""),16)</f>
        <v>16</v>
      </c>
      <c r="E147">
        <f ca="1">IFERROR(__xludf.DUMMYFUNCTION("""COMPUTED_VALUE"""),53.25)</f>
        <v>53.25</v>
      </c>
      <c r="F147">
        <f ca="1">IFERROR(__xludf.DUMMYFUNCTION("""COMPUTED_VALUE"""),41)</f>
        <v>41</v>
      </c>
      <c r="G147">
        <f ca="1">IFERROR(__xludf.DUMMYFUNCTION("""COMPUTED_VALUE"""),77)</f>
        <v>77</v>
      </c>
    </row>
    <row r="148" spans="1:7" ht="12.75">
      <c r="A148">
        <f ca="1">IFERROR(__xludf.DUMMYFUNCTION("""COMPUTED_VALUE"""),147)</f>
        <v>147</v>
      </c>
      <c r="B148" t="str">
        <f ca="1">IFERROR(__xludf.DUMMYFUNCTION("""COMPUTED_VALUE"""),"T158")</f>
        <v>T158</v>
      </c>
      <c r="C148" t="str">
        <f ca="1">IFERROR(__xludf.DUMMYFUNCTION("""COMPUTED_VALUE"""),"Rhein Gibson")</f>
        <v>Rhein Gibson</v>
      </c>
      <c r="D148">
        <f ca="1">IFERROR(__xludf.DUMMYFUNCTION("""COMPUTED_VALUE"""),10)</f>
        <v>10</v>
      </c>
      <c r="E148">
        <f ca="1">IFERROR(__xludf.DUMMYFUNCTION("""COMPUTED_VALUE"""),53.09)</f>
        <v>53.09</v>
      </c>
      <c r="F148">
        <f ca="1">IFERROR(__xludf.DUMMYFUNCTION("""COMPUTED_VALUE"""),43)</f>
        <v>43</v>
      </c>
      <c r="G148">
        <f ca="1">IFERROR(__xludf.DUMMYFUNCTION("""COMPUTED_VALUE"""),81)</f>
        <v>81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IFERROR(__xludf.DUMMYFUNCTION("""COMPUTED_VALUE"""),"T161")</f>
        <v>T161</v>
      </c>
      <c r="C149" t="str">
        <f ca="1">IFERROR(__xludf.DUMMYFUNCTION("""COMPUTED_VALUE"""),"Chan Kim")</f>
        <v>Chan Kim</v>
      </c>
      <c r="D149">
        <f ca="1">IFERROR(__xludf.DUMMYFUNCTION("""COMPUTED_VALUE"""),6)</f>
        <v>6</v>
      </c>
      <c r="E149">
        <f ca="1">IFERROR(__xludf.DUMMYFUNCTION("""COMPUTED_VALUE"""),52.94)</f>
        <v>52.94</v>
      </c>
      <c r="F149">
        <f ca="1">IFERROR(__xludf.DUMMYFUNCTION("""COMPUTED_VALUE"""),18)</f>
        <v>18</v>
      </c>
      <c r="G149">
        <f ca="1">IFERROR(__xludf.DUMMYFUNCTION("""COMPUTED_VALUE"""),34)</f>
        <v>34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IFERROR(__xludf.DUMMYFUNCTION("""COMPUTED_VALUE"""),"T161")</f>
        <v>T161</v>
      </c>
      <c r="C150" t="str">
        <f ca="1">IFERROR(__xludf.DUMMYFUNCTION("""COMPUTED_VALUE"""),"Bernd Wiesberger")</f>
        <v>Bernd Wiesberger</v>
      </c>
      <c r="D150">
        <f ca="1">IFERROR(__xludf.DUMMYFUNCTION("""COMPUTED_VALUE"""),4)</f>
        <v>4</v>
      </c>
      <c r="E150">
        <f ca="1">IFERROR(__xludf.DUMMYFUNCTION("""COMPUTED_VALUE"""),52.94)</f>
        <v>52.94</v>
      </c>
      <c r="F150">
        <f ca="1">IFERROR(__xludf.DUMMYFUNCTION("""COMPUTED_VALUE"""),18)</f>
        <v>18</v>
      </c>
      <c r="G150">
        <f ca="1">IFERROR(__xludf.DUMMYFUNCTION("""COMPUTED_VALUE"""),34)</f>
        <v>34</v>
      </c>
    </row>
    <row r="151" spans="1:7" ht="12.75">
      <c r="A151" t="str">
        <f ca="1">IFERROR(__xludf.DUMMYFUNCTION("""COMPUTED_VALUE"""),"T148")</f>
        <v>T148</v>
      </c>
      <c r="B151">
        <f ca="1">IFERROR(__xludf.DUMMYFUNCTION("""COMPUTED_VALUE"""),130)</f>
        <v>130</v>
      </c>
      <c r="C151" t="str">
        <f ca="1">IFERROR(__xludf.DUMMYFUNCTION("""COMPUTED_VALUE"""),"Bronson Burgoon")</f>
        <v>Bronson Burgoon</v>
      </c>
      <c r="D151">
        <f ca="1">IFERROR(__xludf.DUMMYFUNCTION("""COMPUTED_VALUE"""),10)</f>
        <v>10</v>
      </c>
      <c r="E151">
        <f ca="1">IFERROR(__xludf.DUMMYFUNCTION("""COMPUTED_VALUE"""),52.94)</f>
        <v>52.94</v>
      </c>
      <c r="F151">
        <f ca="1">IFERROR(__xludf.DUMMYFUNCTION("""COMPUTED_VALUE"""),36)</f>
        <v>36</v>
      </c>
      <c r="G151">
        <f ca="1">IFERROR(__xludf.DUMMYFUNCTION("""COMPUTED_VALUE"""),68)</f>
        <v>68</v>
      </c>
    </row>
    <row r="152" spans="1:7" ht="12.75">
      <c r="A152" t="str">
        <f ca="1">IFERROR(__xludf.DUMMYFUNCTION("""COMPUTED_VALUE"""),"T148")</f>
        <v>T148</v>
      </c>
      <c r="B152">
        <f ca="1">IFERROR(__xludf.DUMMYFUNCTION("""COMPUTED_VALUE"""),165)</f>
        <v>165</v>
      </c>
      <c r="C152" t="str">
        <f ca="1">IFERROR(__xludf.DUMMYFUNCTION("""COMPUTED_VALUE"""),"Ted Potter, Jr.")</f>
        <v>Ted Potter, Jr.</v>
      </c>
      <c r="D152">
        <f ca="1">IFERROR(__xludf.DUMMYFUNCTION("""COMPUTED_VALUE"""),8)</f>
        <v>8</v>
      </c>
      <c r="E152">
        <f ca="1">IFERROR(__xludf.DUMMYFUNCTION("""COMPUTED_VALUE"""),52.94)</f>
        <v>52.94</v>
      </c>
      <c r="F152">
        <f ca="1">IFERROR(__xludf.DUMMYFUNCTION("""COMPUTED_VALUE"""),27)</f>
        <v>27</v>
      </c>
      <c r="G152">
        <f ca="1">IFERROR(__xludf.DUMMYFUNCTION("""COMPUTED_VALUE"""),51)</f>
        <v>51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IFERROR(__xludf.DUMMYFUNCTION("""COMPUTED_VALUE"""),163)</f>
        <v>163</v>
      </c>
      <c r="C153" t="str">
        <f ca="1">IFERROR(__xludf.DUMMYFUNCTION("""COMPUTED_VALUE"""),"Bill Haas")</f>
        <v>Bill Haas</v>
      </c>
      <c r="D153">
        <f ca="1">IFERROR(__xludf.DUMMYFUNCTION("""COMPUTED_VALUE"""),10)</f>
        <v>10</v>
      </c>
      <c r="E153">
        <f ca="1">IFERROR(__xludf.DUMMYFUNCTION("""COMPUTED_VALUE"""),52.86)</f>
        <v>52.86</v>
      </c>
      <c r="F153">
        <f ca="1">IFERROR(__xludf.DUMMYFUNCTION("""COMPUTED_VALUE"""),37)</f>
        <v>37</v>
      </c>
      <c r="G153">
        <f ca="1">IFERROR(__xludf.DUMMYFUNCTION("""COMPUTED_VALUE"""),70)</f>
        <v>70</v>
      </c>
    </row>
    <row r="154" spans="1:7" ht="12.75">
      <c r="A154">
        <f ca="1">IFERROR(__xludf.DUMMYFUNCTION("""COMPUTED_VALUE"""),153)</f>
        <v>153</v>
      </c>
      <c r="B154">
        <f ca="1">IFERROR(__xludf.DUMMYFUNCTION("""COMPUTED_VALUE"""),164)</f>
        <v>164</v>
      </c>
      <c r="C154" t="str">
        <f ca="1">IFERROR(__xludf.DUMMYFUNCTION("""COMPUTED_VALUE"""),"Bryson DeChambeau")</f>
        <v>Bryson DeChambeau</v>
      </c>
      <c r="D154">
        <f ca="1">IFERROR(__xludf.DUMMYFUNCTION("""COMPUTED_VALUE"""),8)</f>
        <v>8</v>
      </c>
      <c r="E154">
        <f ca="1">IFERROR(__xludf.DUMMYFUNCTION("""COMPUTED_VALUE"""),52.83)</f>
        <v>52.83</v>
      </c>
      <c r="F154">
        <f ca="1">IFERROR(__xludf.DUMMYFUNCTION("""COMPUTED_VALUE"""),28)</f>
        <v>28</v>
      </c>
      <c r="G154">
        <f ca="1">IFERROR(__xludf.DUMMYFUNCTION("""COMPUTED_VALUE"""),53)</f>
        <v>53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IFERROR(__xludf.DUMMYFUNCTION("""COMPUTED_VALUE"""),"T167")</f>
        <v>T167</v>
      </c>
      <c r="C155" t="str">
        <f ca="1">IFERROR(__xludf.DUMMYFUNCTION("""COMPUTED_VALUE"""),"Patrick Cantlay")</f>
        <v>Patrick Cantlay</v>
      </c>
      <c r="D155">
        <f ca="1">IFERROR(__xludf.DUMMYFUNCTION("""COMPUTED_VALUE"""),16)</f>
        <v>16</v>
      </c>
      <c r="E155">
        <f ca="1">IFERROR(__xludf.DUMMYFUNCTION("""COMPUTED_VALUE"""),52.63)</f>
        <v>52.63</v>
      </c>
      <c r="F155">
        <f ca="1">IFERROR(__xludf.DUMMYFUNCTION("""COMPUTED_VALUE"""),50)</f>
        <v>50</v>
      </c>
      <c r="G155">
        <f ca="1">IFERROR(__xludf.DUMMYFUNCTION("""COMPUTED_VALUE"""),95)</f>
        <v>95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IFERROR(__xludf.DUMMYFUNCTION("""COMPUTED_VALUE"""),"T167")</f>
        <v>T167</v>
      </c>
      <c r="C156" t="str">
        <f ca="1">IFERROR(__xludf.DUMMYFUNCTION("""COMPUTED_VALUE"""),"Matt Kuchar")</f>
        <v>Matt Kuchar</v>
      </c>
      <c r="D156">
        <f ca="1">IFERROR(__xludf.DUMMYFUNCTION("""COMPUTED_VALUE"""),14)</f>
        <v>14</v>
      </c>
      <c r="E156">
        <f ca="1">IFERROR(__xludf.DUMMYFUNCTION("""COMPUTED_VALUE"""),52.63)</f>
        <v>52.63</v>
      </c>
      <c r="F156">
        <f ca="1">IFERROR(__xludf.DUMMYFUNCTION("""COMPUTED_VALUE"""),30)</f>
        <v>30</v>
      </c>
      <c r="G156">
        <f ca="1">IFERROR(__xludf.DUMMYFUNCTION("""COMPUTED_VALUE"""),57)</f>
        <v>57</v>
      </c>
    </row>
    <row r="157" spans="1:7" ht="12.75">
      <c r="A157">
        <f ca="1">IFERROR(__xludf.DUMMYFUNCTION("""COMPUTED_VALUE"""),156)</f>
        <v>156</v>
      </c>
      <c r="B157">
        <f ca="1">IFERROR(__xludf.DUMMYFUNCTION("""COMPUTED_VALUE"""),93)</f>
        <v>93</v>
      </c>
      <c r="C157" t="str">
        <f ca="1">IFERROR(__xludf.DUMMYFUNCTION("""COMPUTED_VALUE"""),"Luke Donald")</f>
        <v>Luke Donald</v>
      </c>
      <c r="D157">
        <f ca="1">IFERROR(__xludf.DUMMYFUNCTION("""COMPUTED_VALUE"""),14)</f>
        <v>14</v>
      </c>
      <c r="E157">
        <f ca="1">IFERROR(__xludf.DUMMYFUNCTION("""COMPUTED_VALUE"""),52.22)</f>
        <v>52.22</v>
      </c>
      <c r="F157">
        <f ca="1">IFERROR(__xludf.DUMMYFUNCTION("""COMPUTED_VALUE"""),47)</f>
        <v>47</v>
      </c>
      <c r="G157">
        <f ca="1">IFERROR(__xludf.DUMMYFUNCTION("""COMPUTED_VALUE"""),90)</f>
        <v>90</v>
      </c>
    </row>
    <row r="158" spans="1:7" ht="12.75">
      <c r="A158" t="str">
        <f ca="1">IFERROR(__xludf.DUMMYFUNCTION("""COMPUTED_VALUE"""),"T157")</f>
        <v>T157</v>
      </c>
      <c r="B158" t="str">
        <f ca="1">IFERROR(__xludf.DUMMYFUNCTION("""COMPUTED_VALUE"""),"T187")</f>
        <v>T187</v>
      </c>
      <c r="C158" t="str">
        <f ca="1">IFERROR(__xludf.DUMMYFUNCTION("""COMPUTED_VALUE"""),"Tyrrell Hatton")</f>
        <v>Tyrrell Hatton</v>
      </c>
      <c r="D158">
        <f ca="1">IFERROR(__xludf.DUMMYFUNCTION("""COMPUTED_VALUE"""),14)</f>
        <v>14</v>
      </c>
      <c r="E158">
        <f ca="1">IFERROR(__xludf.DUMMYFUNCTION("""COMPUTED_VALUE"""),52.17)</f>
        <v>52.17</v>
      </c>
      <c r="F158">
        <f ca="1">IFERROR(__xludf.DUMMYFUNCTION("""COMPUTED_VALUE"""),36)</f>
        <v>36</v>
      </c>
      <c r="G158">
        <f ca="1">IFERROR(__xludf.DUMMYFUNCTION("""COMPUTED_VALUE"""),69)</f>
        <v>69</v>
      </c>
    </row>
    <row r="159" spans="1:7" ht="12.75">
      <c r="A159" t="str">
        <f ca="1">IFERROR(__xludf.DUMMYFUNCTION("""COMPUTED_VALUE"""),"T157")</f>
        <v>T157</v>
      </c>
      <c r="B159">
        <f ca="1">IFERROR(__xludf.DUMMYFUNCTION("""COMPUTED_VALUE"""),136)</f>
        <v>136</v>
      </c>
      <c r="C159" t="str">
        <f ca="1">IFERROR(__xludf.DUMMYFUNCTION("""COMPUTED_VALUE"""),"C.T. Pan")</f>
        <v>C.T. Pan</v>
      </c>
      <c r="D159">
        <f ca="1">IFERROR(__xludf.DUMMYFUNCTION("""COMPUTED_VALUE"""),20)</f>
        <v>20</v>
      </c>
      <c r="E159">
        <f ca="1">IFERROR(__xludf.DUMMYFUNCTION("""COMPUTED_VALUE"""),52.17)</f>
        <v>52.17</v>
      </c>
      <c r="F159">
        <f ca="1">IFERROR(__xludf.DUMMYFUNCTION("""COMPUTED_VALUE"""),60)</f>
        <v>60</v>
      </c>
      <c r="G159">
        <f ca="1">IFERROR(__xludf.DUMMYFUNCTION("""COMPUTED_VALUE"""),115)</f>
        <v>115</v>
      </c>
    </row>
    <row r="160" spans="1:7" ht="12.75">
      <c r="A160" t="str">
        <f ca="1">IFERROR(__xludf.DUMMYFUNCTION("""COMPUTED_VALUE"""),"T159")</f>
        <v>T159</v>
      </c>
      <c r="B160">
        <f ca="1">IFERROR(__xludf.DUMMYFUNCTION("""COMPUTED_VALUE"""),173)</f>
        <v>173</v>
      </c>
      <c r="C160" t="str">
        <f ca="1">IFERROR(__xludf.DUMMYFUNCTION("""COMPUTED_VALUE"""),"Dominic Bozzelli")</f>
        <v>Dominic Bozzelli</v>
      </c>
      <c r="D160">
        <f ca="1">IFERROR(__xludf.DUMMYFUNCTION("""COMPUTED_VALUE"""),8)</f>
        <v>8</v>
      </c>
      <c r="E160">
        <f ca="1">IFERROR(__xludf.DUMMYFUNCTION("""COMPUTED_VALUE"""),52)</f>
        <v>52</v>
      </c>
      <c r="F160">
        <f ca="1">IFERROR(__xludf.DUMMYFUNCTION("""COMPUTED_VALUE"""),26)</f>
        <v>26</v>
      </c>
      <c r="G160">
        <f ca="1">IFERROR(__xludf.DUMMYFUNCTION("""COMPUTED_VALUE"""),50)</f>
        <v>50</v>
      </c>
    </row>
    <row r="161" spans="1:7" ht="12.75">
      <c r="A161" t="str">
        <f ca="1">IFERROR(__xludf.DUMMYFUNCTION("""COMPUTED_VALUE"""),"T159")</f>
        <v>T159</v>
      </c>
      <c r="B161">
        <f ca="1">IFERROR(__xludf.DUMMYFUNCTION("""COMPUTED_VALUE"""),119)</f>
        <v>119</v>
      </c>
      <c r="C161" t="str">
        <f ca="1">IFERROR(__xludf.DUMMYFUNCTION("""COMPUTED_VALUE"""),"David Hearn")</f>
        <v>David Hearn</v>
      </c>
      <c r="D161">
        <f ca="1">IFERROR(__xludf.DUMMYFUNCTION("""COMPUTED_VALUE"""),16)</f>
        <v>16</v>
      </c>
      <c r="E161">
        <f ca="1">IFERROR(__xludf.DUMMYFUNCTION("""COMPUTED_VALUE"""),52)</f>
        <v>52</v>
      </c>
      <c r="F161">
        <f ca="1">IFERROR(__xludf.DUMMYFUNCTION("""COMPUTED_VALUE"""),39)</f>
        <v>39</v>
      </c>
      <c r="G161">
        <f ca="1">IFERROR(__xludf.DUMMYFUNCTION("""COMPUTED_VALUE"""),75)</f>
        <v>75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IFERROR(__xludf.DUMMYFUNCTION("""COMPUTED_VALUE"""),111)</f>
        <v>111</v>
      </c>
      <c r="C162" t="str">
        <f ca="1">IFERROR(__xludf.DUMMYFUNCTION("""COMPUTED_VALUE"""),"Kelly Kraft")</f>
        <v>Kelly Kraft</v>
      </c>
      <c r="D162">
        <f ca="1">IFERROR(__xludf.DUMMYFUNCTION("""COMPUTED_VALUE"""),14)</f>
        <v>14</v>
      </c>
      <c r="E162">
        <f ca="1">IFERROR(__xludf.DUMMYFUNCTION("""COMPUTED_VALUE"""),51.95)</f>
        <v>51.95</v>
      </c>
      <c r="F162">
        <f ca="1">IFERROR(__xludf.DUMMYFUNCTION("""COMPUTED_VALUE"""),40)</f>
        <v>40</v>
      </c>
      <c r="G162">
        <f ca="1">IFERROR(__xludf.DUMMYFUNCTION("""COMPUTED_VALUE"""),77)</f>
        <v>77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IFERROR(__xludf.DUMMYFUNCTION("""COMPUTED_VALUE"""),175)</f>
        <v>175</v>
      </c>
      <c r="C163" t="str">
        <f ca="1">IFERROR(__xludf.DUMMYFUNCTION("""COMPUTED_VALUE"""),"Maverick McNealy")</f>
        <v>Maverick McNealy</v>
      </c>
      <c r="D163">
        <f ca="1">IFERROR(__xludf.DUMMYFUNCTION("""COMPUTED_VALUE"""),16)</f>
        <v>16</v>
      </c>
      <c r="E163">
        <f ca="1">IFERROR(__xludf.DUMMYFUNCTION("""COMPUTED_VALUE"""),51.82)</f>
        <v>51.82</v>
      </c>
      <c r="F163">
        <f ca="1">IFERROR(__xludf.DUMMYFUNCTION("""COMPUTED_VALUE"""),57)</f>
        <v>57</v>
      </c>
      <c r="G163">
        <f ca="1">IFERROR(__xludf.DUMMYFUNCTION("""COMPUTED_VALUE"""),110)</f>
        <v>110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IFERROR(__xludf.DUMMYFUNCTION("""COMPUTED_VALUE"""),151)</f>
        <v>151</v>
      </c>
      <c r="C164" t="str">
        <f ca="1">IFERROR(__xludf.DUMMYFUNCTION("""COMPUTED_VALUE"""),"Corey Conners")</f>
        <v>Corey Conners</v>
      </c>
      <c r="D164">
        <f ca="1">IFERROR(__xludf.DUMMYFUNCTION("""COMPUTED_VALUE"""),20)</f>
        <v>20</v>
      </c>
      <c r="E164">
        <f ca="1">IFERROR(__xludf.DUMMYFUNCTION("""COMPUTED_VALUE"""),51.65)</f>
        <v>51.65</v>
      </c>
      <c r="F164">
        <f ca="1">IFERROR(__xludf.DUMMYFUNCTION("""COMPUTED_VALUE"""),47)</f>
        <v>47</v>
      </c>
      <c r="G164">
        <f ca="1">IFERROR(__xludf.DUMMYFUNCTION("""COMPUTED_VALUE"""),91)</f>
        <v>91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IFERROR(__xludf.DUMMYFUNCTION("""COMPUTED_VALUE"""),148)</f>
        <v>148</v>
      </c>
      <c r="C165" t="str">
        <f ca="1">IFERROR(__xludf.DUMMYFUNCTION("""COMPUTED_VALUE"""),"J.T. Poston")</f>
        <v>J.T. Poston</v>
      </c>
      <c r="D165">
        <f ca="1">IFERROR(__xludf.DUMMYFUNCTION("""COMPUTED_VALUE"""),18)</f>
        <v>18</v>
      </c>
      <c r="E165">
        <f ca="1">IFERROR(__xludf.DUMMYFUNCTION("""COMPUTED_VALUE"""),51.64)</f>
        <v>51.64</v>
      </c>
      <c r="F165">
        <f ca="1">IFERROR(__xludf.DUMMYFUNCTION("""COMPUTED_VALUE"""),63)</f>
        <v>63</v>
      </c>
      <c r="G165">
        <f ca="1">IFERROR(__xludf.DUMMYFUNCTION("""COMPUTED_VALUE"""),122)</f>
        <v>122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IFERROR(__xludf.DUMMYFUNCTION("""COMPUTED_VALUE"""),176)</f>
        <v>176</v>
      </c>
      <c r="C166" t="str">
        <f ca="1">IFERROR(__xludf.DUMMYFUNCTION("""COMPUTED_VALUE"""),"K.J. Choi")</f>
        <v>K.J. Choi</v>
      </c>
      <c r="D166">
        <f ca="1">IFERROR(__xludf.DUMMYFUNCTION("""COMPUTED_VALUE"""),6)</f>
        <v>6</v>
      </c>
      <c r="E166">
        <f ca="1">IFERROR(__xludf.DUMMYFUNCTION("""COMPUTED_VALUE"""),51.61)</f>
        <v>51.61</v>
      </c>
      <c r="F166">
        <f ca="1">IFERROR(__xludf.DUMMYFUNCTION("""COMPUTED_VALUE"""),16)</f>
        <v>16</v>
      </c>
      <c r="G166">
        <f ca="1">IFERROR(__xludf.DUMMYFUNCTION("""COMPUTED_VALUE"""),31)</f>
        <v>31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IFERROR(__xludf.DUMMYFUNCTION("""COMPUTED_VALUE"""),141)</f>
        <v>141</v>
      </c>
      <c r="C167" t="str">
        <f ca="1">IFERROR(__xludf.DUMMYFUNCTION("""COMPUTED_VALUE"""),"Kevin Streelman")</f>
        <v>Kevin Streelman</v>
      </c>
      <c r="D167">
        <f ca="1">IFERROR(__xludf.DUMMYFUNCTION("""COMPUTED_VALUE"""),18)</f>
        <v>18</v>
      </c>
      <c r="E167">
        <f ca="1">IFERROR(__xludf.DUMMYFUNCTION("""COMPUTED_VALUE"""),51.52)</f>
        <v>51.52</v>
      </c>
      <c r="F167">
        <f ca="1">IFERROR(__xludf.DUMMYFUNCTION("""COMPUTED_VALUE"""),51)</f>
        <v>51</v>
      </c>
      <c r="G167">
        <f ca="1">IFERROR(__xludf.DUMMYFUNCTION("""COMPUTED_VALUE"""),99)</f>
        <v>99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IFERROR(__xludf.DUMMYFUNCTION("""COMPUTED_VALUE"""),100)</f>
        <v>100</v>
      </c>
      <c r="C168" t="str">
        <f ca="1">IFERROR(__xludf.DUMMYFUNCTION("""COMPUTED_VALUE"""),"Talor Gooch")</f>
        <v>Talor Gooch</v>
      </c>
      <c r="D168">
        <f ca="1">IFERROR(__xludf.DUMMYFUNCTION("""COMPUTED_VALUE"""),20)</f>
        <v>20</v>
      </c>
      <c r="E168">
        <f ca="1">IFERROR(__xludf.DUMMYFUNCTION("""COMPUTED_VALUE"""),51.46)</f>
        <v>51.46</v>
      </c>
      <c r="F168">
        <f ca="1">IFERROR(__xludf.DUMMYFUNCTION("""COMPUTED_VALUE"""),53)</f>
        <v>53</v>
      </c>
      <c r="G168">
        <f ca="1">IFERROR(__xludf.DUMMYFUNCTION("""COMPUTED_VALUE"""),103)</f>
        <v>103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IFERROR(__xludf.DUMMYFUNCTION("""COMPUTED_VALUE"""),177)</f>
        <v>177</v>
      </c>
      <c r="C169" t="str">
        <f ca="1">IFERROR(__xludf.DUMMYFUNCTION("""COMPUTED_VALUE"""),"Jason Kokrak")</f>
        <v>Jason Kokrak</v>
      </c>
      <c r="D169">
        <f ca="1">IFERROR(__xludf.DUMMYFUNCTION("""COMPUTED_VALUE"""),14)</f>
        <v>14</v>
      </c>
      <c r="E169">
        <f ca="1">IFERROR(__xludf.DUMMYFUNCTION("""COMPUTED_VALUE"""),51.43)</f>
        <v>51.43</v>
      </c>
      <c r="F169">
        <f ca="1">IFERROR(__xludf.DUMMYFUNCTION("""COMPUTED_VALUE"""),36)</f>
        <v>36</v>
      </c>
      <c r="G169">
        <f ca="1">IFERROR(__xludf.DUMMYFUNCTION("""COMPUTED_VALUE"""),70)</f>
        <v>70</v>
      </c>
    </row>
    <row r="170" spans="1:7" ht="12.75">
      <c r="A170">
        <f ca="1">IFERROR(__xludf.DUMMYFUNCTION("""COMPUTED_VALUE"""),169)</f>
        <v>169</v>
      </c>
      <c r="B170">
        <f ca="1">IFERROR(__xludf.DUMMYFUNCTION("""COMPUTED_VALUE"""),178)</f>
        <v>178</v>
      </c>
      <c r="C170" t="str">
        <f ca="1">IFERROR(__xludf.DUMMYFUNCTION("""COMPUTED_VALUE"""),"Paul Casey")</f>
        <v>Paul Casey</v>
      </c>
      <c r="D170">
        <f ca="1">IFERROR(__xludf.DUMMYFUNCTION("""COMPUTED_VALUE"""),14)</f>
        <v>14</v>
      </c>
      <c r="E170">
        <f ca="1">IFERROR(__xludf.DUMMYFUNCTION("""COMPUTED_VALUE"""),51.35)</f>
        <v>51.35</v>
      </c>
      <c r="F170">
        <f ca="1">IFERROR(__xludf.DUMMYFUNCTION("""COMPUTED_VALUE"""),38)</f>
        <v>38</v>
      </c>
      <c r="G170">
        <f ca="1">IFERROR(__xludf.DUMMYFUNCTION("""COMPUTED_VALUE"""),74)</f>
        <v>74</v>
      </c>
    </row>
    <row r="171" spans="1:7" ht="12.75">
      <c r="A171" t="str">
        <f ca="1">IFERROR(__xludf.DUMMYFUNCTION("""COMPUTED_VALUE"""),"T170")</f>
        <v>T170</v>
      </c>
      <c r="B171">
        <f ca="1">IFERROR(__xludf.DUMMYFUNCTION("""COMPUTED_VALUE"""),138)</f>
        <v>138</v>
      </c>
      <c r="C171" t="str">
        <f ca="1">IFERROR(__xludf.DUMMYFUNCTION("""COMPUTED_VALUE"""),"Branden Grace")</f>
        <v>Branden Grace</v>
      </c>
      <c r="D171">
        <f ca="1">IFERROR(__xludf.DUMMYFUNCTION("""COMPUTED_VALUE"""),16)</f>
        <v>16</v>
      </c>
      <c r="E171">
        <f ca="1">IFERROR(__xludf.DUMMYFUNCTION("""COMPUTED_VALUE"""),51.28)</f>
        <v>51.28</v>
      </c>
      <c r="F171">
        <f ca="1">IFERROR(__xludf.DUMMYFUNCTION("""COMPUTED_VALUE"""),60)</f>
        <v>60</v>
      </c>
      <c r="G171">
        <f ca="1">IFERROR(__xludf.DUMMYFUNCTION("""COMPUTED_VALUE"""),117)</f>
        <v>117</v>
      </c>
    </row>
    <row r="172" spans="1:7" ht="12.75">
      <c r="A172" t="str">
        <f ca="1">IFERROR(__xludf.DUMMYFUNCTION("""COMPUTED_VALUE"""),"T170")</f>
        <v>T170</v>
      </c>
      <c r="B172">
        <f ca="1">IFERROR(__xludf.DUMMYFUNCTION("""COMPUTED_VALUE"""),180)</f>
        <v>180</v>
      </c>
      <c r="C172" t="str">
        <f ca="1">IFERROR(__xludf.DUMMYFUNCTION("""COMPUTED_VALUE"""),"Tony Finau")</f>
        <v>Tony Finau</v>
      </c>
      <c r="D172">
        <f ca="1">IFERROR(__xludf.DUMMYFUNCTION("""COMPUTED_VALUE"""),12)</f>
        <v>12</v>
      </c>
      <c r="E172">
        <f ca="1">IFERROR(__xludf.DUMMYFUNCTION("""COMPUTED_VALUE"""),51.28)</f>
        <v>51.28</v>
      </c>
      <c r="F172">
        <f ca="1">IFERROR(__xludf.DUMMYFUNCTION("""COMPUTED_VALUE"""),40)</f>
        <v>40</v>
      </c>
      <c r="G172">
        <f ca="1">IFERROR(__xludf.DUMMYFUNCTION("""COMPUTED_VALUE"""),78)</f>
        <v>78</v>
      </c>
    </row>
    <row r="173" spans="1:7" ht="12.75">
      <c r="A173">
        <f ca="1">IFERROR(__xludf.DUMMYFUNCTION("""COMPUTED_VALUE"""),172)</f>
        <v>172</v>
      </c>
      <c r="B173" t="str">
        <f ca="1">IFERROR(__xludf.DUMMYFUNCTION("""COMPUTED_VALUE"""),"T101")</f>
        <v>T101</v>
      </c>
      <c r="C173" t="str">
        <f ca="1">IFERROR(__xludf.DUMMYFUNCTION("""COMPUTED_VALUE"""),"D.A. Points")</f>
        <v>D.A. Points</v>
      </c>
      <c r="D173">
        <f ca="1">IFERROR(__xludf.DUMMYFUNCTION("""COMPUTED_VALUE"""),12)</f>
        <v>12</v>
      </c>
      <c r="E173">
        <f ca="1">IFERROR(__xludf.DUMMYFUNCTION("""COMPUTED_VALUE"""),51.22)</f>
        <v>51.22</v>
      </c>
      <c r="F173">
        <f ca="1">IFERROR(__xludf.DUMMYFUNCTION("""COMPUTED_VALUE"""),42)</f>
        <v>42</v>
      </c>
      <c r="G173">
        <f ca="1">IFERROR(__xludf.DUMMYFUNCTION("""COMPUTED_VALUE"""),82)</f>
        <v>82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IFERROR(__xludf.DUMMYFUNCTION("""COMPUTED_VALUE"""),166)</f>
        <v>166</v>
      </c>
      <c r="C174" t="str">
        <f ca="1">IFERROR(__xludf.DUMMYFUNCTION("""COMPUTED_VALUE"""),"Keegan Bradley")</f>
        <v>Keegan Bradley</v>
      </c>
      <c r="D174">
        <f ca="1">IFERROR(__xludf.DUMMYFUNCTION("""COMPUTED_VALUE"""),16)</f>
        <v>16</v>
      </c>
      <c r="E174">
        <f ca="1">IFERROR(__xludf.DUMMYFUNCTION("""COMPUTED_VALUE"""),51.19)</f>
        <v>51.19</v>
      </c>
      <c r="F174">
        <f ca="1">IFERROR(__xludf.DUMMYFUNCTION("""COMPUTED_VALUE"""),43)</f>
        <v>43</v>
      </c>
      <c r="G174">
        <f ca="1">IFERROR(__xludf.DUMMYFUNCTION("""COMPUTED_VALUE"""),84)</f>
        <v>84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IFERROR(__xludf.DUMMYFUNCTION("""COMPUTED_VALUE"""),"T158")</f>
        <v>T158</v>
      </c>
      <c r="C175" t="str">
        <f ca="1">IFERROR(__xludf.DUMMYFUNCTION("""COMPUTED_VALUE"""),"Dylan Frittelli")</f>
        <v>Dylan Frittelli</v>
      </c>
      <c r="D175">
        <f ca="1">IFERROR(__xludf.DUMMYFUNCTION("""COMPUTED_VALUE"""),16)</f>
        <v>16</v>
      </c>
      <c r="E175">
        <f ca="1">IFERROR(__xludf.DUMMYFUNCTION("""COMPUTED_VALUE"""),51.04)</f>
        <v>51.04</v>
      </c>
      <c r="F175">
        <f ca="1">IFERROR(__xludf.DUMMYFUNCTION("""COMPUTED_VALUE"""),49)</f>
        <v>49</v>
      </c>
      <c r="G175">
        <f ca="1">IFERROR(__xludf.DUMMYFUNCTION("""COMPUTED_VALUE"""),96)</f>
        <v>96</v>
      </c>
    </row>
    <row r="176" spans="1:7" ht="12.75">
      <c r="A176" t="str">
        <f ca="1">IFERROR(__xludf.DUMMYFUNCTION("""COMPUTED_VALUE"""),"T175")</f>
        <v>T175</v>
      </c>
      <c r="B176" t="str">
        <f ca="1">IFERROR(__xludf.DUMMYFUNCTION("""COMPUTED_VALUE"""),"T181")</f>
        <v>T181</v>
      </c>
      <c r="C176" t="str">
        <f ca="1">IFERROR(__xludf.DUMMYFUNCTION("""COMPUTED_VALUE"""),"Collin Morikawa")</f>
        <v>Collin Morikawa</v>
      </c>
      <c r="D176">
        <f ca="1">IFERROR(__xludf.DUMMYFUNCTION("""COMPUTED_VALUE"""),12)</f>
        <v>12</v>
      </c>
      <c r="E176">
        <f ca="1">IFERROR(__xludf.DUMMYFUNCTION("""COMPUTED_VALUE"""),50.88)</f>
        <v>50.88</v>
      </c>
      <c r="F176">
        <f ca="1">IFERROR(__xludf.DUMMYFUNCTION("""COMPUTED_VALUE"""),29)</f>
        <v>29</v>
      </c>
      <c r="G176">
        <f ca="1">IFERROR(__xludf.DUMMYFUNCTION("""COMPUTED_VALUE"""),57)</f>
        <v>57</v>
      </c>
    </row>
    <row r="177" spans="1:7" ht="12.75">
      <c r="A177" t="str">
        <f ca="1">IFERROR(__xludf.DUMMYFUNCTION("""COMPUTED_VALUE"""),"T175")</f>
        <v>T175</v>
      </c>
      <c r="B177">
        <f ca="1">IFERROR(__xludf.DUMMYFUNCTION("""COMPUTED_VALUE"""),217)</f>
        <v>217</v>
      </c>
      <c r="C177" t="str">
        <f ca="1">IFERROR(__xludf.DUMMYFUNCTION("""COMPUTED_VALUE"""),"Brooks Koepka")</f>
        <v>Brooks Koepka</v>
      </c>
      <c r="D177">
        <f ca="1">IFERROR(__xludf.DUMMYFUNCTION("""COMPUTED_VALUE"""),8)</f>
        <v>8</v>
      </c>
      <c r="E177">
        <f ca="1">IFERROR(__xludf.DUMMYFUNCTION("""COMPUTED_VALUE"""),50.88)</f>
        <v>50.88</v>
      </c>
      <c r="F177">
        <f ca="1">IFERROR(__xludf.DUMMYFUNCTION("""COMPUTED_VALUE"""),29)</f>
        <v>29</v>
      </c>
      <c r="G177">
        <f ca="1">IFERROR(__xludf.DUMMYFUNCTION("""COMPUTED_VALUE"""),57)</f>
        <v>57</v>
      </c>
    </row>
    <row r="178" spans="1:7" ht="12.75">
      <c r="A178" t="str">
        <f ca="1">IFERROR(__xludf.DUMMYFUNCTION("""COMPUTED_VALUE"""),"T175")</f>
        <v>T175</v>
      </c>
      <c r="B178" t="str">
        <f ca="1">IFERROR(__xludf.DUMMYFUNCTION("""COMPUTED_VALUE"""),"T181")</f>
        <v>T181</v>
      </c>
      <c r="C178" t="str">
        <f ca="1">IFERROR(__xludf.DUMMYFUNCTION("""COMPUTED_VALUE"""),"Patrick Reed")</f>
        <v>Patrick Reed</v>
      </c>
      <c r="D178">
        <f ca="1">IFERROR(__xludf.DUMMYFUNCTION("""COMPUTED_VALUE"""),8)</f>
        <v>8</v>
      </c>
      <c r="E178">
        <f ca="1">IFERROR(__xludf.DUMMYFUNCTION("""COMPUTED_VALUE"""),50.88)</f>
        <v>50.88</v>
      </c>
      <c r="F178">
        <f ca="1">IFERROR(__xludf.DUMMYFUNCTION("""COMPUTED_VALUE"""),29)</f>
        <v>29</v>
      </c>
      <c r="G178">
        <f ca="1">IFERROR(__xludf.DUMMYFUNCTION("""COMPUTED_VALUE"""),57)</f>
        <v>57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IFERROR(__xludf.DUMMYFUNCTION("""COMPUTED_VALUE"""),172)</f>
        <v>172</v>
      </c>
      <c r="C179" t="str">
        <f ca="1">IFERROR(__xludf.DUMMYFUNCTION("""COMPUTED_VALUE"""),"Grayson Murray")</f>
        <v>Grayson Murray</v>
      </c>
      <c r="D179">
        <f ca="1">IFERROR(__xludf.DUMMYFUNCTION("""COMPUTED_VALUE"""),10)</f>
        <v>10</v>
      </c>
      <c r="E179">
        <f ca="1">IFERROR(__xludf.DUMMYFUNCTION("""COMPUTED_VALUE"""),50.82)</f>
        <v>50.82</v>
      </c>
      <c r="F179">
        <f ca="1">IFERROR(__xludf.DUMMYFUNCTION("""COMPUTED_VALUE"""),31)</f>
        <v>31</v>
      </c>
      <c r="G179">
        <f ca="1">IFERROR(__xludf.DUMMYFUNCTION("""COMPUTED_VALUE"""),61)</f>
        <v>61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IFERROR(__xludf.DUMMYFUNCTION("""COMPUTED_VALUE"""),160)</f>
        <v>160</v>
      </c>
      <c r="C180" t="str">
        <f ca="1">IFERROR(__xludf.DUMMYFUNCTION("""COMPUTED_VALUE"""),"Will Gordon")</f>
        <v>Will Gordon</v>
      </c>
      <c r="D180">
        <f ca="1">IFERROR(__xludf.DUMMYFUNCTION("""COMPUTED_VALUE"""),20)</f>
        <v>20</v>
      </c>
      <c r="E180">
        <f ca="1">IFERROR(__xludf.DUMMYFUNCTION("""COMPUTED_VALUE"""),50.81)</f>
        <v>50.81</v>
      </c>
      <c r="F180">
        <f ca="1">IFERROR(__xludf.DUMMYFUNCTION("""COMPUTED_VALUE"""),63)</f>
        <v>63</v>
      </c>
      <c r="G180">
        <f ca="1">IFERROR(__xludf.DUMMYFUNCTION("""COMPUTED_VALUE"""),124)</f>
        <v>124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IFERROR(__xludf.DUMMYFUNCTION("""COMPUTED_VALUE"""),184)</f>
        <v>184</v>
      </c>
      <c r="C181" t="str">
        <f ca="1">IFERROR(__xludf.DUMMYFUNCTION("""COMPUTED_VALUE"""),"Abraham Ancer")</f>
        <v>Abraham Ancer</v>
      </c>
      <c r="D181">
        <f ca="1">IFERROR(__xludf.DUMMYFUNCTION("""COMPUTED_VALUE"""),16)</f>
        <v>16</v>
      </c>
      <c r="E181">
        <f ca="1">IFERROR(__xludf.DUMMYFUNCTION("""COMPUTED_VALUE"""),50.7)</f>
        <v>50.7</v>
      </c>
      <c r="F181">
        <f ca="1">IFERROR(__xludf.DUMMYFUNCTION("""COMPUTED_VALUE"""),36)</f>
        <v>36</v>
      </c>
      <c r="G181">
        <f ca="1">IFERROR(__xludf.DUMMYFUNCTION("""COMPUTED_VALUE"""),71)</f>
        <v>71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IFERROR(__xludf.DUMMYFUNCTION("""COMPUTED_VALUE"""),170)</f>
        <v>170</v>
      </c>
      <c r="C182" t="str">
        <f ca="1">IFERROR(__xludf.DUMMYFUNCTION("""COMPUTED_VALUE"""),"Lucas Glover")</f>
        <v>Lucas Glover</v>
      </c>
      <c r="D182">
        <f ca="1">IFERROR(__xludf.DUMMYFUNCTION("""COMPUTED_VALUE"""),12)</f>
        <v>12</v>
      </c>
      <c r="E182">
        <f ca="1">IFERROR(__xludf.DUMMYFUNCTION("""COMPUTED_VALUE"""),50.63)</f>
        <v>50.63</v>
      </c>
      <c r="F182">
        <f ca="1">IFERROR(__xludf.DUMMYFUNCTION("""COMPUTED_VALUE"""),40)</f>
        <v>40</v>
      </c>
      <c r="G182">
        <f ca="1">IFERROR(__xludf.DUMMYFUNCTION("""COMPUTED_VALUE"""),79)</f>
        <v>79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IFERROR(__xludf.DUMMYFUNCTION("""COMPUTED_VALUE"""),186)</f>
        <v>186</v>
      </c>
      <c r="C183" t="str">
        <f ca="1">IFERROR(__xludf.DUMMYFUNCTION("""COMPUTED_VALUE"""),"Rafa Cabrera Bello")</f>
        <v>Rafa Cabrera Bello</v>
      </c>
      <c r="D183">
        <f ca="1">IFERROR(__xludf.DUMMYFUNCTION("""COMPUTED_VALUE"""),14)</f>
        <v>14</v>
      </c>
      <c r="E183">
        <f ca="1">IFERROR(__xludf.DUMMYFUNCTION("""COMPUTED_VALUE"""),50.52)</f>
        <v>50.52</v>
      </c>
      <c r="F183">
        <f ca="1">IFERROR(__xludf.DUMMYFUNCTION("""COMPUTED_VALUE"""),49)</f>
        <v>49</v>
      </c>
      <c r="G183">
        <f ca="1">IFERROR(__xludf.DUMMYFUNCTION("""COMPUTED_VALUE"""),97)</f>
        <v>97</v>
      </c>
    </row>
    <row r="184" spans="1:7" ht="12.75">
      <c r="A184" t="str">
        <f ca="1">IFERROR(__xludf.DUMMYFUNCTION("""COMPUTED_VALUE"""),"T183")</f>
        <v>T183</v>
      </c>
      <c r="B184" t="str">
        <f ca="1">IFERROR(__xludf.DUMMYFUNCTION("""COMPUTED_VALUE"""),"T187")</f>
        <v>T187</v>
      </c>
      <c r="C184" t="str">
        <f ca="1">IFERROR(__xludf.DUMMYFUNCTION("""COMPUTED_VALUE"""),"Michael Gellerman")</f>
        <v>Michael Gellerman</v>
      </c>
      <c r="D184">
        <f ca="1">IFERROR(__xludf.DUMMYFUNCTION("""COMPUTED_VALUE"""),5)</f>
        <v>5</v>
      </c>
      <c r="E184">
        <f ca="1">IFERROR(__xludf.DUMMYFUNCTION("""COMPUTED_VALUE"""),50)</f>
        <v>50</v>
      </c>
      <c r="F184">
        <f ca="1">IFERROR(__xludf.DUMMYFUNCTION("""COMPUTED_VALUE"""),12)</f>
        <v>12</v>
      </c>
      <c r="G184">
        <f ca="1">IFERROR(__xludf.DUMMYFUNCTION("""COMPUTED_VALUE"""),24)</f>
        <v>24</v>
      </c>
    </row>
    <row r="185" spans="1:7" ht="12.75">
      <c r="A185" t="str">
        <f ca="1">IFERROR(__xludf.DUMMYFUNCTION("""COMPUTED_VALUE"""),"T183")</f>
        <v>T183</v>
      </c>
      <c r="B185" t="str">
        <f ca="1">IFERROR(__xludf.DUMMYFUNCTION("""COMPUTED_VALUE"""),"T167")</f>
        <v>T167</v>
      </c>
      <c r="C185" t="str">
        <f ca="1">IFERROR(__xludf.DUMMYFUNCTION("""COMPUTED_VALUE"""),"Max Homa")</f>
        <v>Max Homa</v>
      </c>
      <c r="D185">
        <f ca="1">IFERROR(__xludf.DUMMYFUNCTION("""COMPUTED_VALUE"""),12)</f>
        <v>12</v>
      </c>
      <c r="E185">
        <f ca="1">IFERROR(__xludf.DUMMYFUNCTION("""COMPUTED_VALUE"""),50)</f>
        <v>50</v>
      </c>
      <c r="F185">
        <f ca="1">IFERROR(__xludf.DUMMYFUNCTION("""COMPUTED_VALUE"""),39)</f>
        <v>39</v>
      </c>
      <c r="G185">
        <f ca="1">IFERROR(__xludf.DUMMYFUNCTION("""COMPUTED_VALUE"""),78)</f>
        <v>78</v>
      </c>
    </row>
    <row r="186" spans="1:7" ht="12.75">
      <c r="A186" t="str">
        <f ca="1">IFERROR(__xludf.DUMMYFUNCTION("""COMPUTED_VALUE"""),"T183")</f>
        <v>T183</v>
      </c>
      <c r="B186" t="str">
        <f ca="1">IFERROR(__xludf.DUMMYFUNCTION("""COMPUTED_VALUE"""),"T187")</f>
        <v>T187</v>
      </c>
      <c r="C186" t="str">
        <f ca="1">IFERROR(__xludf.DUMMYFUNCTION("""COMPUTED_VALUE"""),"Byeong Hun An")</f>
        <v>Byeong Hun An</v>
      </c>
      <c r="D186">
        <f ca="1">IFERROR(__xludf.DUMMYFUNCTION("""COMPUTED_VALUE"""),14)</f>
        <v>14</v>
      </c>
      <c r="E186">
        <f ca="1">IFERROR(__xludf.DUMMYFUNCTION("""COMPUTED_VALUE"""),50)</f>
        <v>50</v>
      </c>
      <c r="F186">
        <f ca="1">IFERROR(__xludf.DUMMYFUNCTION("""COMPUTED_VALUE"""),47)</f>
        <v>47</v>
      </c>
      <c r="G186">
        <f ca="1">IFERROR(__xludf.DUMMYFUNCTION("""COMPUTED_VALUE"""),94)</f>
        <v>94</v>
      </c>
    </row>
    <row r="187" spans="1:7" ht="12.75">
      <c r="A187" t="str">
        <f ca="1">IFERROR(__xludf.DUMMYFUNCTION("""COMPUTED_VALUE"""),"T183")</f>
        <v>T183</v>
      </c>
      <c r="B187" t="str">
        <f ca="1">IFERROR(__xludf.DUMMYFUNCTION("""COMPUTED_VALUE"""),"T187")</f>
        <v>T187</v>
      </c>
      <c r="C187" t="str">
        <f ca="1">IFERROR(__xludf.DUMMYFUNCTION("""COMPUTED_VALUE"""),"Shawn Stefani")</f>
        <v>Shawn Stefani</v>
      </c>
      <c r="D187">
        <f ca="1">IFERROR(__xludf.DUMMYFUNCTION("""COMPUTED_VALUE"""),5)</f>
        <v>5</v>
      </c>
      <c r="E187">
        <f ca="1">IFERROR(__xludf.DUMMYFUNCTION("""COMPUTED_VALUE"""),50)</f>
        <v>50</v>
      </c>
      <c r="F187">
        <f ca="1">IFERROR(__xludf.DUMMYFUNCTION("""COMPUTED_VALUE"""),20)</f>
        <v>20</v>
      </c>
      <c r="G187">
        <f ca="1">IFERROR(__xludf.DUMMYFUNCTION("""COMPUTED_VALUE"""),40)</f>
        <v>40</v>
      </c>
    </row>
    <row r="188" spans="1:7" ht="12.75">
      <c r="A188" t="str">
        <f ca="1">IFERROR(__xludf.DUMMYFUNCTION("""COMPUTED_VALUE"""),"T183")</f>
        <v>T183</v>
      </c>
      <c r="B188">
        <f ca="1">IFERROR(__xludf.DUMMYFUNCTION("""COMPUTED_VALUE"""),179)</f>
        <v>179</v>
      </c>
      <c r="C188" t="str">
        <f ca="1">IFERROR(__xludf.DUMMYFUNCTION("""COMPUTED_VALUE"""),"Hideki Matsuyama")</f>
        <v>Hideki Matsuyama</v>
      </c>
      <c r="D188">
        <f ca="1">IFERROR(__xludf.DUMMYFUNCTION("""COMPUTED_VALUE"""),18)</f>
        <v>18</v>
      </c>
      <c r="E188">
        <f ca="1">IFERROR(__xludf.DUMMYFUNCTION("""COMPUTED_VALUE"""),50)</f>
        <v>50</v>
      </c>
      <c r="F188">
        <f ca="1">IFERROR(__xludf.DUMMYFUNCTION("""COMPUTED_VALUE"""),49)</f>
        <v>49</v>
      </c>
      <c r="G188">
        <f ca="1">IFERROR(__xludf.DUMMYFUNCTION("""COMPUTED_VALUE"""),98)</f>
        <v>98</v>
      </c>
    </row>
    <row r="189" spans="1:7" ht="12.75">
      <c r="A189" t="str">
        <f ca="1">IFERROR(__xludf.DUMMYFUNCTION("""COMPUTED_VALUE"""),"T183")</f>
        <v>T183</v>
      </c>
      <c r="B189" t="str">
        <f ca="1">IFERROR(__xludf.DUMMYFUNCTION("""COMPUTED_VALUE"""),"T187")</f>
        <v>T187</v>
      </c>
      <c r="C189" t="str">
        <f ca="1">IFERROR(__xludf.DUMMYFUNCTION("""COMPUTED_VALUE"""),"Kevin Kisner")</f>
        <v>Kevin Kisner</v>
      </c>
      <c r="D189">
        <f ca="1">IFERROR(__xludf.DUMMYFUNCTION("""COMPUTED_VALUE"""),10)</f>
        <v>10</v>
      </c>
      <c r="E189">
        <f ca="1">IFERROR(__xludf.DUMMYFUNCTION("""COMPUTED_VALUE"""),50)</f>
        <v>50</v>
      </c>
      <c r="F189">
        <f ca="1">IFERROR(__xludf.DUMMYFUNCTION("""COMPUTED_VALUE"""),24)</f>
        <v>24</v>
      </c>
      <c r="G189">
        <f ca="1">IFERROR(__xludf.DUMMYFUNCTION("""COMPUTED_VALUE"""),48)</f>
        <v>48</v>
      </c>
    </row>
    <row r="190" spans="1:7" ht="12.75">
      <c r="A190" t="str">
        <f ca="1">IFERROR(__xludf.DUMMYFUNCTION("""COMPUTED_VALUE"""),"T183")</f>
        <v>T183</v>
      </c>
      <c r="B190">
        <f ca="1">IFERROR(__xludf.DUMMYFUNCTION("""COMPUTED_VALUE"""),185)</f>
        <v>185</v>
      </c>
      <c r="C190" t="str">
        <f ca="1">IFERROR(__xludf.DUMMYFUNCTION("""COMPUTED_VALUE"""),"Sung Kang")</f>
        <v>Sung Kang</v>
      </c>
      <c r="D190">
        <f ca="1">IFERROR(__xludf.DUMMYFUNCTION("""COMPUTED_VALUE"""),14)</f>
        <v>14</v>
      </c>
      <c r="E190">
        <f ca="1">IFERROR(__xludf.DUMMYFUNCTION("""COMPUTED_VALUE"""),50)</f>
        <v>50</v>
      </c>
      <c r="F190">
        <f ca="1">IFERROR(__xludf.DUMMYFUNCTION("""COMPUTED_VALUE"""),46)</f>
        <v>46</v>
      </c>
      <c r="G190">
        <f ca="1">IFERROR(__xludf.DUMMYFUNCTION("""COMPUTED_VALUE"""),92)</f>
        <v>92</v>
      </c>
    </row>
    <row r="191" spans="1:7" ht="12.75">
      <c r="A191" t="str">
        <f ca="1">IFERROR(__xludf.DUMMYFUNCTION("""COMPUTED_VALUE"""),"T183")</f>
        <v>T183</v>
      </c>
      <c r="B191">
        <f ca="1">IFERROR(__xludf.DUMMYFUNCTION("""COMPUTED_VALUE"""),171)</f>
        <v>171</v>
      </c>
      <c r="C191" t="str">
        <f ca="1">IFERROR(__xludf.DUMMYFUNCTION("""COMPUTED_VALUE"""),"Graham DeLaet")</f>
        <v>Graham DeLaet</v>
      </c>
      <c r="D191">
        <f ca="1">IFERROR(__xludf.DUMMYFUNCTION("""COMPUTED_VALUE"""),9)</f>
        <v>9</v>
      </c>
      <c r="E191">
        <f ca="1">IFERROR(__xludf.DUMMYFUNCTION("""COMPUTED_VALUE"""),50)</f>
        <v>50</v>
      </c>
      <c r="F191">
        <f ca="1">IFERROR(__xludf.DUMMYFUNCTION("""COMPUTED_VALUE"""),27)</f>
        <v>27</v>
      </c>
      <c r="G191">
        <f ca="1">IFERROR(__xludf.DUMMYFUNCTION("""COMPUTED_VALUE"""),54)</f>
        <v>54</v>
      </c>
    </row>
    <row r="192" spans="1:7" ht="12.75">
      <c r="A192" t="str">
        <f ca="1">IFERROR(__xludf.DUMMYFUNCTION("""COMPUTED_VALUE"""),"T183")</f>
        <v>T183</v>
      </c>
      <c r="B192" t="str">
        <f ca="1">IFERROR(__xludf.DUMMYFUNCTION("""COMPUTED_VALUE"""),"T187")</f>
        <v>T187</v>
      </c>
      <c r="C192" t="str">
        <f ca="1">IFERROR(__xludf.DUMMYFUNCTION("""COMPUTED_VALUE"""),"Brad Kennedy")</f>
        <v>Brad Kennedy</v>
      </c>
      <c r="D192">
        <f ca="1">IFERROR(__xludf.DUMMYFUNCTION("""COMPUTED_VALUE"""),4)</f>
        <v>4</v>
      </c>
      <c r="E192">
        <f ca="1">IFERROR(__xludf.DUMMYFUNCTION("""COMPUTED_VALUE"""),50)</f>
        <v>50</v>
      </c>
      <c r="F192">
        <f ca="1">IFERROR(__xludf.DUMMYFUNCTION("""COMPUTED_VALUE"""),7)</f>
        <v>7</v>
      </c>
      <c r="G192">
        <f ca="1">IFERROR(__xludf.DUMMYFUNCTION("""COMPUTED_VALUE"""),14)</f>
        <v>14</v>
      </c>
    </row>
    <row r="193" spans="1:7" ht="12.75">
      <c r="A193" t="str">
        <f ca="1">IFERROR(__xludf.DUMMYFUNCTION("""COMPUTED_VALUE"""),"T183")</f>
        <v>T183</v>
      </c>
      <c r="B193" t="str">
        <f ca="1">IFERROR(__xludf.DUMMYFUNCTION("""COMPUTED_VALUE"""),"T187")</f>
        <v>T187</v>
      </c>
      <c r="C193" t="str">
        <f ca="1">IFERROR(__xludf.DUMMYFUNCTION("""COMPUTED_VALUE"""),"J.J. Henry")</f>
        <v>J.J. Henry</v>
      </c>
      <c r="D193">
        <f ca="1">IFERROR(__xludf.DUMMYFUNCTION("""COMPUTED_VALUE"""),4)</f>
        <v>4</v>
      </c>
      <c r="E193">
        <f ca="1">IFERROR(__xludf.DUMMYFUNCTION("""COMPUTED_VALUE"""),50)</f>
        <v>50</v>
      </c>
      <c r="F193">
        <f ca="1">IFERROR(__xludf.DUMMYFUNCTION("""COMPUTED_VALUE"""),9)</f>
        <v>9</v>
      </c>
      <c r="G193">
        <f ca="1">IFERROR(__xludf.DUMMYFUNCTION("""COMPUTED_VALUE"""),18)</f>
        <v>18</v>
      </c>
    </row>
    <row r="194" spans="1:7" ht="12.75">
      <c r="A194" t="str">
        <f ca="1">IFERROR(__xludf.DUMMYFUNCTION("""COMPUTED_VALUE"""),"T183")</f>
        <v>T183</v>
      </c>
      <c r="B194" t="str">
        <f ca="1">IFERROR(__xludf.DUMMYFUNCTION("""COMPUTED_VALUE"""),"T187")</f>
        <v>T187</v>
      </c>
      <c r="C194" t="str">
        <f ca="1">IFERROR(__xludf.DUMMYFUNCTION("""COMPUTED_VALUE"""),"Justin Rose")</f>
        <v>Justin Rose</v>
      </c>
      <c r="D194">
        <f ca="1">IFERROR(__xludf.DUMMYFUNCTION("""COMPUTED_VALUE"""),10)</f>
        <v>10</v>
      </c>
      <c r="E194">
        <f ca="1">IFERROR(__xludf.DUMMYFUNCTION("""COMPUTED_VALUE"""),50)</f>
        <v>50</v>
      </c>
      <c r="F194">
        <f ca="1">IFERROR(__xludf.DUMMYFUNCTION("""COMPUTED_VALUE"""),32)</f>
        <v>32</v>
      </c>
      <c r="G194">
        <f ca="1">IFERROR(__xludf.DUMMYFUNCTION("""COMPUTED_VALUE"""),64)</f>
        <v>64</v>
      </c>
    </row>
    <row r="195" spans="1:7" ht="12.75">
      <c r="A195" t="str">
        <f ca="1">IFERROR(__xludf.DUMMYFUNCTION("""COMPUTED_VALUE"""),"T183")</f>
        <v>T183</v>
      </c>
      <c r="B195" t="str">
        <f ca="1">IFERROR(__xludf.DUMMYFUNCTION("""COMPUTED_VALUE"""),"")</f>
        <v/>
      </c>
      <c r="C195" t="str">
        <f ca="1">IFERROR(__xludf.DUMMYFUNCTION("""COMPUTED_VALUE"""),"Greg Chalmers")</f>
        <v>Greg Chalmers</v>
      </c>
      <c r="D195">
        <f ca="1">IFERROR(__xludf.DUMMYFUNCTION("""COMPUTED_VALUE"""),6)</f>
        <v>6</v>
      </c>
      <c r="E195">
        <f ca="1">IFERROR(__xludf.DUMMYFUNCTION("""COMPUTED_VALUE"""),50)</f>
        <v>50</v>
      </c>
      <c r="F195">
        <f ca="1">IFERROR(__xludf.DUMMYFUNCTION("""COMPUTED_VALUE"""),18)</f>
        <v>18</v>
      </c>
      <c r="G195">
        <f ca="1">IFERROR(__xludf.DUMMYFUNCTION("""COMPUTED_VALUE"""),36)</f>
        <v>36</v>
      </c>
    </row>
    <row r="196" spans="1:7" ht="12.75">
      <c r="A196">
        <f ca="1">IFERROR(__xludf.DUMMYFUNCTION("""COMPUTED_VALUE"""),195)</f>
        <v>195</v>
      </c>
      <c r="B196" t="str">
        <f ca="1">IFERROR(__xludf.DUMMYFUNCTION("""COMPUTED_VALUE"""),"T201")</f>
        <v>T201</v>
      </c>
      <c r="C196" t="str">
        <f ca="1">IFERROR(__xludf.DUMMYFUNCTION("""COMPUTED_VALUE"""),"Jason Day")</f>
        <v>Jason Day</v>
      </c>
      <c r="D196">
        <f ca="1">IFERROR(__xludf.DUMMYFUNCTION("""COMPUTED_VALUE"""),17)</f>
        <v>17</v>
      </c>
      <c r="E196">
        <f ca="1">IFERROR(__xludf.DUMMYFUNCTION("""COMPUTED_VALUE"""),49.5)</f>
        <v>49.5</v>
      </c>
      <c r="F196">
        <f ca="1">IFERROR(__xludf.DUMMYFUNCTION("""COMPUTED_VALUE"""),50)</f>
        <v>50</v>
      </c>
      <c r="G196">
        <f ca="1">IFERROR(__xludf.DUMMYFUNCTION("""COMPUTED_VALUE"""),101)</f>
        <v>101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IFERROR(__xludf.DUMMYFUNCTION("""COMPUTED_VALUE"""),150)</f>
        <v>150</v>
      </c>
      <c r="C197" t="str">
        <f ca="1">IFERROR(__xludf.DUMMYFUNCTION("""COMPUTED_VALUE"""),"Jimmy Walker")</f>
        <v>Jimmy Walker</v>
      </c>
      <c r="D197">
        <f ca="1">IFERROR(__xludf.DUMMYFUNCTION("""COMPUTED_VALUE"""),10)</f>
        <v>10</v>
      </c>
      <c r="E197">
        <f ca="1">IFERROR(__xludf.DUMMYFUNCTION("""COMPUTED_VALUE"""),49.44)</f>
        <v>49.44</v>
      </c>
      <c r="F197">
        <f ca="1">IFERROR(__xludf.DUMMYFUNCTION("""COMPUTED_VALUE"""),44)</f>
        <v>44</v>
      </c>
      <c r="G197">
        <f ca="1">IFERROR(__xludf.DUMMYFUNCTION("""COMPUTED_VALUE"""),89)</f>
        <v>89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IFERROR(__xludf.DUMMYFUNCTION("""COMPUTED_VALUE"""),174)</f>
        <v>174</v>
      </c>
      <c r="C198" t="str">
        <f ca="1">IFERROR(__xludf.DUMMYFUNCTION("""COMPUTED_VALUE"""),"Danny Lee")</f>
        <v>Danny Lee</v>
      </c>
      <c r="D198">
        <f ca="1">IFERROR(__xludf.DUMMYFUNCTION("""COMPUTED_VALUE"""),15)</f>
        <v>15</v>
      </c>
      <c r="E198">
        <f ca="1">IFERROR(__xludf.DUMMYFUNCTION("""COMPUTED_VALUE"""),49.43)</f>
        <v>49.43</v>
      </c>
      <c r="F198">
        <f ca="1">IFERROR(__xludf.DUMMYFUNCTION("""COMPUTED_VALUE"""),43)</f>
        <v>43</v>
      </c>
      <c r="G198">
        <f ca="1">IFERROR(__xludf.DUMMYFUNCTION("""COMPUTED_VALUE"""),87)</f>
        <v>87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IFERROR(__xludf.DUMMYFUNCTION("""COMPUTED_VALUE"""),200)</f>
        <v>200</v>
      </c>
      <c r="C199" t="str">
        <f ca="1">IFERROR(__xludf.DUMMYFUNCTION("""COMPUTED_VALUE"""),"Rickie Fowler")</f>
        <v>Rickie Fowler</v>
      </c>
      <c r="D199">
        <f ca="1">IFERROR(__xludf.DUMMYFUNCTION("""COMPUTED_VALUE"""),14)</f>
        <v>14</v>
      </c>
      <c r="E199">
        <f ca="1">IFERROR(__xludf.DUMMYFUNCTION("""COMPUTED_VALUE"""),49.37)</f>
        <v>49.37</v>
      </c>
      <c r="F199">
        <f ca="1">IFERROR(__xludf.DUMMYFUNCTION("""COMPUTED_VALUE"""),39)</f>
        <v>39</v>
      </c>
      <c r="G199">
        <f ca="1">IFERROR(__xludf.DUMMYFUNCTION("""COMPUTED_VALUE"""),79)</f>
        <v>79</v>
      </c>
    </row>
    <row r="200" spans="1:7" ht="12.75">
      <c r="A200">
        <f ca="1">IFERROR(__xludf.DUMMYFUNCTION("""COMPUTED_VALUE"""),199)</f>
        <v>199</v>
      </c>
      <c r="B200" t="str">
        <f ca="1">IFERROR(__xludf.DUMMYFUNCTION("""COMPUTED_VALUE"""),"T201")</f>
        <v>T201</v>
      </c>
      <c r="C200" t="str">
        <f ca="1">IFERROR(__xludf.DUMMYFUNCTION("""COMPUTED_VALUE"""),"Daniel Berger")</f>
        <v>Daniel Berger</v>
      </c>
      <c r="D200">
        <f ca="1">IFERROR(__xludf.DUMMYFUNCTION("""COMPUTED_VALUE"""),12)</f>
        <v>12</v>
      </c>
      <c r="E200">
        <f ca="1">IFERROR(__xludf.DUMMYFUNCTION("""COMPUTED_VALUE"""),49.35)</f>
        <v>49.35</v>
      </c>
      <c r="F200">
        <f ca="1">IFERROR(__xludf.DUMMYFUNCTION("""COMPUTED_VALUE"""),38)</f>
        <v>38</v>
      </c>
      <c r="G200">
        <f ca="1">IFERROR(__xludf.DUMMYFUNCTION("""COMPUTED_VALUE"""),77)</f>
        <v>77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IFERROR(__xludf.DUMMYFUNCTION("""COMPUTED_VALUE"""),203)</f>
        <v>203</v>
      </c>
      <c r="C201" t="str">
        <f ca="1">IFERROR(__xludf.DUMMYFUNCTION("""COMPUTED_VALUE"""),"Jim Herman")</f>
        <v>Jim Herman</v>
      </c>
      <c r="D201">
        <f ca="1">IFERROR(__xludf.DUMMYFUNCTION("""COMPUTED_VALUE"""),12)</f>
        <v>12</v>
      </c>
      <c r="E201">
        <f ca="1">IFERROR(__xludf.DUMMYFUNCTION("""COMPUTED_VALUE"""),49.33)</f>
        <v>49.33</v>
      </c>
      <c r="F201">
        <f ca="1">IFERROR(__xludf.DUMMYFUNCTION("""COMPUTED_VALUE"""),37)</f>
        <v>37</v>
      </c>
      <c r="G201">
        <f ca="1">IFERROR(__xludf.DUMMYFUNCTION("""COMPUTED_VALUE"""),75)</f>
        <v>75</v>
      </c>
    </row>
    <row r="202" spans="1:7" ht="12.75">
      <c r="A202">
        <f ca="1">IFERROR(__xludf.DUMMYFUNCTION("""COMPUTED_VALUE"""),201)</f>
        <v>201</v>
      </c>
      <c r="B202" t="str">
        <f ca="1">IFERROR(__xludf.DUMMYFUNCTION("""COMPUTED_VALUE"""),"T204")</f>
        <v>T204</v>
      </c>
      <c r="C202" t="str">
        <f ca="1">IFERROR(__xludf.DUMMYFUNCTION("""COMPUTED_VALUE"""),"Charles Howell III")</f>
        <v>Charles Howell III</v>
      </c>
      <c r="D202">
        <f ca="1">IFERROR(__xludf.DUMMYFUNCTION("""COMPUTED_VALUE"""),10)</f>
        <v>10</v>
      </c>
      <c r="E202">
        <f ca="1">IFERROR(__xludf.DUMMYFUNCTION("""COMPUTED_VALUE"""),49.23)</f>
        <v>49.23</v>
      </c>
      <c r="F202">
        <f ca="1">IFERROR(__xludf.DUMMYFUNCTION("""COMPUTED_VALUE"""),32)</f>
        <v>32</v>
      </c>
      <c r="G202">
        <f ca="1">IFERROR(__xludf.DUMMYFUNCTION("""COMPUTED_VALUE"""),65)</f>
        <v>65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IFERROR(__xludf.DUMMYFUNCTION("""COMPUTED_VALUE"""),208)</f>
        <v>208</v>
      </c>
      <c r="C203" t="str">
        <f ca="1">IFERROR(__xludf.DUMMYFUNCTION("""COMPUTED_VALUE"""),"Brian Harman")</f>
        <v>Brian Harman</v>
      </c>
      <c r="D203">
        <f ca="1">IFERROR(__xludf.DUMMYFUNCTION("""COMPUTED_VALUE"""),24)</f>
        <v>24</v>
      </c>
      <c r="E203">
        <f ca="1">IFERROR(__xludf.DUMMYFUNCTION("""COMPUTED_VALUE"""),49.21)</f>
        <v>49.21</v>
      </c>
      <c r="F203">
        <f ca="1">IFERROR(__xludf.DUMMYFUNCTION("""COMPUTED_VALUE"""),62)</f>
        <v>62</v>
      </c>
      <c r="G203">
        <f ca="1">IFERROR(__xludf.DUMMYFUNCTION("""COMPUTED_VALUE"""),126)</f>
        <v>126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IFERROR(__xludf.DUMMYFUNCTION("""COMPUTED_VALUE"""),206)</f>
        <v>206</v>
      </c>
      <c r="C204" t="str">
        <f ca="1">IFERROR(__xludf.DUMMYFUNCTION("""COMPUTED_VALUE"""),"Matt Every")</f>
        <v>Matt Every</v>
      </c>
      <c r="D204">
        <f ca="1">IFERROR(__xludf.DUMMYFUNCTION("""COMPUTED_VALUE"""),8)</f>
        <v>8</v>
      </c>
      <c r="E204">
        <f ca="1">IFERROR(__xludf.DUMMYFUNCTION("""COMPUTED_VALUE"""),49.18)</f>
        <v>49.18</v>
      </c>
      <c r="F204">
        <f ca="1">IFERROR(__xludf.DUMMYFUNCTION("""COMPUTED_VALUE"""),30)</f>
        <v>30</v>
      </c>
      <c r="G204">
        <f ca="1">IFERROR(__xludf.DUMMYFUNCTION("""COMPUTED_VALUE"""),61)</f>
        <v>61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IFERROR(__xludf.DUMMYFUNCTION("""COMPUTED_VALUE"""),221)</f>
        <v>221</v>
      </c>
      <c r="C205" t="str">
        <f ca="1">IFERROR(__xludf.DUMMYFUNCTION("""COMPUTED_VALUE"""),"Danny Willett")</f>
        <v>Danny Willett</v>
      </c>
      <c r="D205">
        <f ca="1">IFERROR(__xludf.DUMMYFUNCTION("""COMPUTED_VALUE"""),7)</f>
        <v>7</v>
      </c>
      <c r="E205">
        <f ca="1">IFERROR(__xludf.DUMMYFUNCTION("""COMPUTED_VALUE"""),49.09)</f>
        <v>49.09</v>
      </c>
      <c r="F205">
        <f ca="1">IFERROR(__xludf.DUMMYFUNCTION("""COMPUTED_VALUE"""),27)</f>
        <v>27</v>
      </c>
      <c r="G205">
        <f ca="1">IFERROR(__xludf.DUMMYFUNCTION("""COMPUTED_VALUE"""),55)</f>
        <v>55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IFERROR(__xludf.DUMMYFUNCTION("""COMPUTED_VALUE"""),209)</f>
        <v>209</v>
      </c>
      <c r="C206" t="str">
        <f ca="1">IFERROR(__xludf.DUMMYFUNCTION("""COMPUTED_VALUE"""),"Matthias Schwab")</f>
        <v>Matthias Schwab</v>
      </c>
      <c r="D206">
        <f ca="1">IFERROR(__xludf.DUMMYFUNCTION("""COMPUTED_VALUE"""),8)</f>
        <v>8</v>
      </c>
      <c r="E206">
        <f ca="1">IFERROR(__xludf.DUMMYFUNCTION("""COMPUTED_VALUE"""),48.98)</f>
        <v>48.98</v>
      </c>
      <c r="F206">
        <f ca="1">IFERROR(__xludf.DUMMYFUNCTION("""COMPUTED_VALUE"""),24)</f>
        <v>24</v>
      </c>
      <c r="G206">
        <f ca="1">IFERROR(__xludf.DUMMYFUNCTION("""COMPUTED_VALUE"""),49)</f>
        <v>49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IFERROR(__xludf.DUMMYFUNCTION("""COMPUTED_VALUE"""),211)</f>
        <v>211</v>
      </c>
      <c r="C207" t="str">
        <f ca="1">IFERROR(__xludf.DUMMYFUNCTION("""COMPUTED_VALUE"""),"Alex Cejka")</f>
        <v>Alex Cejka</v>
      </c>
      <c r="D207">
        <f ca="1">IFERROR(__xludf.DUMMYFUNCTION("""COMPUTED_VALUE"""),6)</f>
        <v>6</v>
      </c>
      <c r="E207">
        <f ca="1">IFERROR(__xludf.DUMMYFUNCTION("""COMPUTED_VALUE"""),48.78)</f>
        <v>48.78</v>
      </c>
      <c r="F207">
        <f ca="1">IFERROR(__xludf.DUMMYFUNCTION("""COMPUTED_VALUE"""),20)</f>
        <v>20</v>
      </c>
      <c r="G207">
        <f ca="1">IFERROR(__xludf.DUMMYFUNCTION("""COMPUTED_VALUE"""),41)</f>
        <v>41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IFERROR(__xludf.DUMMYFUNCTION("""COMPUTED_VALUE"""),212)</f>
        <v>212</v>
      </c>
      <c r="C208" t="str">
        <f ca="1">IFERROR(__xludf.DUMMYFUNCTION("""COMPUTED_VALUE"""),"Kiradech Aphibarnrat")</f>
        <v>Kiradech Aphibarnrat</v>
      </c>
      <c r="D208">
        <f ca="1">IFERROR(__xludf.DUMMYFUNCTION("""COMPUTED_VALUE"""),12)</f>
        <v>12</v>
      </c>
      <c r="E208">
        <f ca="1">IFERROR(__xludf.DUMMYFUNCTION("""COMPUTED_VALUE"""),48.68)</f>
        <v>48.68</v>
      </c>
      <c r="F208">
        <f ca="1">IFERROR(__xludf.DUMMYFUNCTION("""COMPUTED_VALUE"""),37)</f>
        <v>37</v>
      </c>
      <c r="G208">
        <f ca="1">IFERROR(__xludf.DUMMYFUNCTION("""COMPUTED_VALUE"""),76)</f>
        <v>76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IFERROR(__xludf.DUMMYFUNCTION("""COMPUTED_VALUE"""),213)</f>
        <v>213</v>
      </c>
      <c r="C209" t="str">
        <f ca="1">IFERROR(__xludf.DUMMYFUNCTION("""COMPUTED_VALUE"""),"Sebastián Muñoz")</f>
        <v>Sebastián Muñoz</v>
      </c>
      <c r="D209">
        <f ca="1">IFERROR(__xludf.DUMMYFUNCTION("""COMPUTED_VALUE"""),20)</f>
        <v>20</v>
      </c>
      <c r="E209">
        <f ca="1">IFERROR(__xludf.DUMMYFUNCTION("""COMPUTED_VALUE"""),48.67)</f>
        <v>48.67</v>
      </c>
      <c r="F209">
        <f ca="1">IFERROR(__xludf.DUMMYFUNCTION("""COMPUTED_VALUE"""),55)</f>
        <v>55</v>
      </c>
      <c r="G209">
        <f ca="1">IFERROR(__xludf.DUMMYFUNCTION("""COMPUTED_VALUE"""),113)</f>
        <v>113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IFERROR(__xludf.DUMMYFUNCTION("""COMPUTED_VALUE"""),"T215")</f>
        <v>T215</v>
      </c>
      <c r="C210" t="str">
        <f ca="1">IFERROR(__xludf.DUMMYFUNCTION("""COMPUTED_VALUE"""),"Takumi Kanaya")</f>
        <v>Takumi Kanaya</v>
      </c>
      <c r="D210">
        <f ca="1">IFERROR(__xludf.DUMMYFUNCTION("""COMPUTED_VALUE"""),6)</f>
        <v>6</v>
      </c>
      <c r="E210">
        <f ca="1">IFERROR(__xludf.DUMMYFUNCTION("""COMPUTED_VALUE"""),48.57)</f>
        <v>48.57</v>
      </c>
      <c r="F210">
        <f ca="1">IFERROR(__xludf.DUMMYFUNCTION("""COMPUTED_VALUE"""),17)</f>
        <v>17</v>
      </c>
      <c r="G210">
        <f ca="1">IFERROR(__xludf.DUMMYFUNCTION("""COMPUTED_VALUE"""),35)</f>
        <v>35</v>
      </c>
    </row>
    <row r="211" spans="1:7" ht="12.75">
      <c r="A211" t="str">
        <f ca="1">IFERROR(__xludf.DUMMYFUNCTION("""COMPUTED_VALUE"""),"T209")</f>
        <v>T209</v>
      </c>
      <c r="B211" t="str">
        <f ca="1">IFERROR(__xludf.DUMMYFUNCTION("""COMPUTED_VALUE"""),"T215")</f>
        <v>T215</v>
      </c>
      <c r="C211" t="str">
        <f ca="1">IFERROR(__xludf.DUMMYFUNCTION("""COMPUTED_VALUE"""),"Tommy Gainey")</f>
        <v>Tommy Gainey</v>
      </c>
      <c r="D211">
        <f ca="1">IFERROR(__xludf.DUMMYFUNCTION("""COMPUTED_VALUE"""),6)</f>
        <v>6</v>
      </c>
      <c r="E211">
        <f ca="1">IFERROR(__xludf.DUMMYFUNCTION("""COMPUTED_VALUE"""),48.57)</f>
        <v>48.57</v>
      </c>
      <c r="F211">
        <f ca="1">IFERROR(__xludf.DUMMYFUNCTION("""COMPUTED_VALUE"""),17)</f>
        <v>17</v>
      </c>
      <c r="G211">
        <f ca="1">IFERROR(__xludf.DUMMYFUNCTION("""COMPUTED_VALUE"""),35)</f>
        <v>35</v>
      </c>
    </row>
    <row r="212" spans="1:7" ht="12.75">
      <c r="A212">
        <f ca="1">IFERROR(__xludf.DUMMYFUNCTION("""COMPUTED_VALUE"""),211)</f>
        <v>211</v>
      </c>
      <c r="B212" t="str">
        <f ca="1">IFERROR(__xludf.DUMMYFUNCTION("""COMPUTED_VALUE"""),"T187")</f>
        <v>T187</v>
      </c>
      <c r="C212" t="str">
        <f ca="1">IFERROR(__xludf.DUMMYFUNCTION("""COMPUTED_VALUE"""),"Mark Hubbard")</f>
        <v>Mark Hubbard</v>
      </c>
      <c r="D212">
        <f ca="1">IFERROR(__xludf.DUMMYFUNCTION("""COMPUTED_VALUE"""),20)</f>
        <v>20</v>
      </c>
      <c r="E212">
        <f ca="1">IFERROR(__xludf.DUMMYFUNCTION("""COMPUTED_VALUE"""),48.51)</f>
        <v>48.51</v>
      </c>
      <c r="F212">
        <f ca="1">IFERROR(__xludf.DUMMYFUNCTION("""COMPUTED_VALUE"""),49)</f>
        <v>49</v>
      </c>
      <c r="G212">
        <f ca="1">IFERROR(__xludf.DUMMYFUNCTION("""COMPUTED_VALUE"""),101)</f>
        <v>101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IFERROR(__xludf.DUMMYFUNCTION("""COMPUTED_VALUE"""),"")</f>
        <v/>
      </c>
      <c r="C213" t="str">
        <f ca="1">IFERROR(__xludf.DUMMYFUNCTION("""COMPUTED_VALUE"""),"Francesco Molinari")</f>
        <v>Francesco Molinari</v>
      </c>
      <c r="D213">
        <f ca="1">IFERROR(__xludf.DUMMYFUNCTION("""COMPUTED_VALUE"""),6)</f>
        <v>6</v>
      </c>
      <c r="E213">
        <f ca="1">IFERROR(__xludf.DUMMYFUNCTION("""COMPUTED_VALUE"""),48.39)</f>
        <v>48.39</v>
      </c>
      <c r="F213">
        <f ca="1">IFERROR(__xludf.DUMMYFUNCTION("""COMPUTED_VALUE"""),15)</f>
        <v>15</v>
      </c>
      <c r="G213">
        <f ca="1">IFERROR(__xludf.DUMMYFUNCTION("""COMPUTED_VALUE"""),31)</f>
        <v>31</v>
      </c>
    </row>
    <row r="214" spans="1:7" ht="12.75">
      <c r="A214">
        <f ca="1">IFERROR(__xludf.DUMMYFUNCTION("""COMPUTED_VALUE"""),213)</f>
        <v>213</v>
      </c>
      <c r="B214" t="str">
        <f ca="1">IFERROR(__xludf.DUMMYFUNCTION("""COMPUTED_VALUE"""),"")</f>
        <v/>
      </c>
      <c r="C214" t="str">
        <f ca="1">IFERROR(__xludf.DUMMYFUNCTION("""COMPUTED_VALUE"""),"Dawie van der Walt")</f>
        <v>Dawie van der Walt</v>
      </c>
      <c r="D214">
        <f ca="1">IFERROR(__xludf.DUMMYFUNCTION("""COMPUTED_VALUE"""),4)</f>
        <v>4</v>
      </c>
      <c r="E214">
        <f ca="1">IFERROR(__xludf.DUMMYFUNCTION("""COMPUTED_VALUE"""),48.15)</f>
        <v>48.15</v>
      </c>
      <c r="F214">
        <f ca="1">IFERROR(__xludf.DUMMYFUNCTION("""COMPUTED_VALUE"""),13)</f>
        <v>13</v>
      </c>
      <c r="G214">
        <f ca="1">IFERROR(__xludf.DUMMYFUNCTION("""COMPUTED_VALUE"""),27)</f>
        <v>27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IFERROR(__xludf.DUMMYFUNCTION("""COMPUTED_VALUE"""),218)</f>
        <v>218</v>
      </c>
      <c r="C215" t="str">
        <f ca="1">IFERROR(__xludf.DUMMYFUNCTION("""COMPUTED_VALUE"""),"Joohyung Kim")</f>
        <v>Joohyung Kim</v>
      </c>
      <c r="D215">
        <f ca="1">IFERROR(__xludf.DUMMYFUNCTION("""COMPUTED_VALUE"""),12)</f>
        <v>12</v>
      </c>
      <c r="E215">
        <f ca="1">IFERROR(__xludf.DUMMYFUNCTION("""COMPUTED_VALUE"""),48.08)</f>
        <v>48.08</v>
      </c>
      <c r="F215">
        <f ca="1">IFERROR(__xludf.DUMMYFUNCTION("""COMPUTED_VALUE"""),25)</f>
        <v>25</v>
      </c>
      <c r="G215">
        <f ca="1">IFERROR(__xludf.DUMMYFUNCTION("""COMPUTED_VALUE"""),52)</f>
        <v>52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IFERROR(__xludf.DUMMYFUNCTION("""COMPUTED_VALUE"""),219)</f>
        <v>219</v>
      </c>
      <c r="C216" t="str">
        <f ca="1">IFERROR(__xludf.DUMMYFUNCTION("""COMPUTED_VALUE"""),"Richy Werenski")</f>
        <v>Richy Werenski</v>
      </c>
      <c r="D216">
        <f ca="1">IFERROR(__xludf.DUMMYFUNCTION("""COMPUTED_VALUE"""),16)</f>
        <v>16</v>
      </c>
      <c r="E216">
        <f ca="1">IFERROR(__xludf.DUMMYFUNCTION("""COMPUTED_VALUE"""),47.96)</f>
        <v>47.96</v>
      </c>
      <c r="F216">
        <f ca="1">IFERROR(__xludf.DUMMYFUNCTION("""COMPUTED_VALUE"""),47)</f>
        <v>47</v>
      </c>
      <c r="G216">
        <f ca="1">IFERROR(__xludf.DUMMYFUNCTION("""COMPUTED_VALUE"""),98)</f>
        <v>98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IFERROR(__xludf.DUMMYFUNCTION("""COMPUTED_VALUE"""),220)</f>
        <v>220</v>
      </c>
      <c r="C217" t="str">
        <f ca="1">IFERROR(__xludf.DUMMYFUNCTION("""COMPUTED_VALUE"""),"Louis Oosthuizen")</f>
        <v>Louis Oosthuizen</v>
      </c>
      <c r="D217">
        <f ca="1">IFERROR(__xludf.DUMMYFUNCTION("""COMPUTED_VALUE"""),12)</f>
        <v>12</v>
      </c>
      <c r="E217">
        <f ca="1">IFERROR(__xludf.DUMMYFUNCTION("""COMPUTED_VALUE"""),47.95)</f>
        <v>47.95</v>
      </c>
      <c r="F217">
        <f ca="1">IFERROR(__xludf.DUMMYFUNCTION("""COMPUTED_VALUE"""),35)</f>
        <v>35</v>
      </c>
      <c r="G217">
        <f ca="1">IFERROR(__xludf.DUMMYFUNCTION("""COMPUTED_VALUE"""),73)</f>
        <v>73</v>
      </c>
    </row>
    <row r="218" spans="1:7" ht="12.75">
      <c r="A218">
        <f ca="1">IFERROR(__xludf.DUMMYFUNCTION("""COMPUTED_VALUE"""),217)</f>
        <v>217</v>
      </c>
      <c r="B218" t="str">
        <f ca="1">IFERROR(__xludf.DUMMYFUNCTION("""COMPUTED_VALUE"""),"T187")</f>
        <v>T187</v>
      </c>
      <c r="C218" t="str">
        <f ca="1">IFERROR(__xludf.DUMMYFUNCTION("""COMPUTED_VALUE"""),"Tyler Duncan")</f>
        <v>Tyler Duncan</v>
      </c>
      <c r="D218">
        <f ca="1">IFERROR(__xludf.DUMMYFUNCTION("""COMPUTED_VALUE"""),18)</f>
        <v>18</v>
      </c>
      <c r="E218">
        <f ca="1">IFERROR(__xludf.DUMMYFUNCTION("""COMPUTED_VALUE"""),47.56)</f>
        <v>47.56</v>
      </c>
      <c r="F218">
        <f ca="1">IFERROR(__xludf.DUMMYFUNCTION("""COMPUTED_VALUE"""),39)</f>
        <v>39</v>
      </c>
      <c r="G218">
        <f ca="1">IFERROR(__xludf.DUMMYFUNCTION("""COMPUTED_VALUE"""),82)</f>
        <v>82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IFERROR(__xludf.DUMMYFUNCTION("""COMPUTED_VALUE"""),"T187")</f>
        <v>T187</v>
      </c>
      <c r="C219" t="str">
        <f ca="1">IFERROR(__xludf.DUMMYFUNCTION("""COMPUTED_VALUE"""),"Sungjae Im")</f>
        <v>Sungjae Im</v>
      </c>
      <c r="D219">
        <f ca="1">IFERROR(__xludf.DUMMYFUNCTION("""COMPUTED_VALUE"""),24)</f>
        <v>24</v>
      </c>
      <c r="E219">
        <f ca="1">IFERROR(__xludf.DUMMYFUNCTION("""COMPUTED_VALUE"""),47.46)</f>
        <v>47.46</v>
      </c>
      <c r="F219">
        <f ca="1">IFERROR(__xludf.DUMMYFUNCTION("""COMPUTED_VALUE"""),56)</f>
        <v>56</v>
      </c>
      <c r="G219">
        <f ca="1">IFERROR(__xludf.DUMMYFUNCTION("""COMPUTED_VALUE"""),118)</f>
        <v>118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IFERROR(__xludf.DUMMYFUNCTION("""COMPUTED_VALUE"""),"T240")</f>
        <v>T240</v>
      </c>
      <c r="C220" t="str">
        <f ca="1">IFERROR(__xludf.DUMMYFUNCTION("""COMPUTED_VALUE"""),"Shane Lowry")</f>
        <v>Shane Lowry</v>
      </c>
      <c r="D220">
        <f ca="1">IFERROR(__xludf.DUMMYFUNCTION("""COMPUTED_VALUE"""),14)</f>
        <v>14</v>
      </c>
      <c r="E220">
        <f ca="1">IFERROR(__xludf.DUMMYFUNCTION("""COMPUTED_VALUE"""),47.19)</f>
        <v>47.19</v>
      </c>
      <c r="F220">
        <f ca="1">IFERROR(__xludf.DUMMYFUNCTION("""COMPUTED_VALUE"""),42)</f>
        <v>42</v>
      </c>
      <c r="G220">
        <f ca="1">IFERROR(__xludf.DUMMYFUNCTION("""COMPUTED_VALUE"""),89)</f>
        <v>89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IFERROR(__xludf.DUMMYFUNCTION("""COMPUTED_VALUE"""),231)</f>
        <v>231</v>
      </c>
      <c r="C221" t="str">
        <f ca="1">IFERROR(__xludf.DUMMYFUNCTION("""COMPUTED_VALUE"""),"Troy Merritt")</f>
        <v>Troy Merritt</v>
      </c>
      <c r="D221">
        <f ca="1">IFERROR(__xludf.DUMMYFUNCTION("""COMPUTED_VALUE"""),20)</f>
        <v>20</v>
      </c>
      <c r="E221">
        <f ca="1">IFERROR(__xludf.DUMMYFUNCTION("""COMPUTED_VALUE"""),47.11)</f>
        <v>47.11</v>
      </c>
      <c r="F221">
        <f ca="1">IFERROR(__xludf.DUMMYFUNCTION("""COMPUTED_VALUE"""),57)</f>
        <v>57</v>
      </c>
      <c r="G221">
        <f ca="1">IFERROR(__xludf.DUMMYFUNCTION("""COMPUTED_VALUE"""),121)</f>
        <v>121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IFERROR(__xludf.DUMMYFUNCTION("""COMPUTED_VALUE"""),"T223")</f>
        <v>T223</v>
      </c>
      <c r="C222" t="str">
        <f ca="1">IFERROR(__xludf.DUMMYFUNCTION("""COMPUTED_VALUE"""),"Matthew Wolff")</f>
        <v>Matthew Wolff</v>
      </c>
      <c r="D222">
        <f ca="1">IFERROR(__xludf.DUMMYFUNCTION("""COMPUTED_VALUE"""),16)</f>
        <v>16</v>
      </c>
      <c r="E222">
        <f ca="1">IFERROR(__xludf.DUMMYFUNCTION("""COMPUTED_VALUE"""),47.06)</f>
        <v>47.06</v>
      </c>
      <c r="F222">
        <f ca="1">IFERROR(__xludf.DUMMYFUNCTION("""COMPUTED_VALUE"""),48)</f>
        <v>48</v>
      </c>
      <c r="G222">
        <f ca="1">IFERROR(__xludf.DUMMYFUNCTION("""COMPUTED_VALUE"""),102)</f>
        <v>102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IFERROR(__xludf.DUMMYFUNCTION("""COMPUTED_VALUE"""),"T223")</f>
        <v>T223</v>
      </c>
      <c r="C223" t="str">
        <f ca="1">IFERROR(__xludf.DUMMYFUNCTION("""COMPUTED_VALUE"""),"Thomas Pieters")</f>
        <v>Thomas Pieters</v>
      </c>
      <c r="D223">
        <f ca="1">IFERROR(__xludf.DUMMYFUNCTION("""COMPUTED_VALUE"""),4)</f>
        <v>4</v>
      </c>
      <c r="E223">
        <f ca="1">IFERROR(__xludf.DUMMYFUNCTION("""COMPUTED_VALUE"""),47.06)</f>
        <v>47.06</v>
      </c>
      <c r="F223">
        <f ca="1">IFERROR(__xludf.DUMMYFUNCTION("""COMPUTED_VALUE"""),16)</f>
        <v>16</v>
      </c>
      <c r="G223">
        <f ca="1">IFERROR(__xludf.DUMMYFUNCTION("""COMPUTED_VALUE"""),34)</f>
        <v>34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IFERROR(__xludf.DUMMYFUNCTION("""COMPUTED_VALUE"""),222)</f>
        <v>222</v>
      </c>
      <c r="C224" t="str">
        <f ca="1">IFERROR(__xludf.DUMMYFUNCTION("""COMPUTED_VALUE"""),"Kyoung-Hoon Lee")</f>
        <v>Kyoung-Hoon Lee</v>
      </c>
      <c r="D224">
        <f ca="1">IFERROR(__xludf.DUMMYFUNCTION("""COMPUTED_VALUE"""),20)</f>
        <v>20</v>
      </c>
      <c r="E224">
        <f ca="1">IFERROR(__xludf.DUMMYFUNCTION("""COMPUTED_VALUE"""),46.9)</f>
        <v>46.9</v>
      </c>
      <c r="F224">
        <f ca="1">IFERROR(__xludf.DUMMYFUNCTION("""COMPUTED_VALUE"""),53)</f>
        <v>53</v>
      </c>
      <c r="G224">
        <f ca="1">IFERROR(__xludf.DUMMYFUNCTION("""COMPUTED_VALUE"""),113)</f>
        <v>113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IFERROR(__xludf.DUMMYFUNCTION("""COMPUTED_VALUE"""),228)</f>
        <v>228</v>
      </c>
      <c r="C225" t="str">
        <f ca="1">IFERROR(__xludf.DUMMYFUNCTION("""COMPUTED_VALUE"""),"Marc Leishman")</f>
        <v>Marc Leishman</v>
      </c>
      <c r="D225">
        <f ca="1">IFERROR(__xludf.DUMMYFUNCTION("""COMPUTED_VALUE"""),10)</f>
        <v>10</v>
      </c>
      <c r="E225">
        <f ca="1">IFERROR(__xludf.DUMMYFUNCTION("""COMPUTED_VALUE"""),46.67)</f>
        <v>46.67</v>
      </c>
      <c r="F225">
        <f ca="1">IFERROR(__xludf.DUMMYFUNCTION("""COMPUTED_VALUE"""),28)</f>
        <v>28</v>
      </c>
      <c r="G225">
        <f ca="1">IFERROR(__xludf.DUMMYFUNCTION("""COMPUTED_VALUE"""),60)</f>
        <v>60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IFERROR(__xludf.DUMMYFUNCTION("""COMPUTED_VALUE"""),199)</f>
        <v>199</v>
      </c>
      <c r="C226" t="str">
        <f ca="1">IFERROR(__xludf.DUMMYFUNCTION("""COMPUTED_VALUE"""),"Jordan Spieth")</f>
        <v>Jordan Spieth</v>
      </c>
      <c r="D226">
        <f ca="1">IFERROR(__xludf.DUMMYFUNCTION("""COMPUTED_VALUE"""),14)</f>
        <v>14</v>
      </c>
      <c r="E226">
        <f ca="1">IFERROR(__xludf.DUMMYFUNCTION("""COMPUTED_VALUE"""),46.6)</f>
        <v>46.6</v>
      </c>
      <c r="F226">
        <f ca="1">IFERROR(__xludf.DUMMYFUNCTION("""COMPUTED_VALUE"""),48)</f>
        <v>48</v>
      </c>
      <c r="G226">
        <f ca="1">IFERROR(__xludf.DUMMYFUNCTION("""COMPUTED_VALUE"""),103)</f>
        <v>103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IFERROR(__xludf.DUMMYFUNCTION("""COMPUTED_VALUE"""),227)</f>
        <v>227</v>
      </c>
      <c r="C227" t="str">
        <f ca="1">IFERROR(__xludf.DUMMYFUNCTION("""COMPUTED_VALUE"""),"Brandt Snedeker")</f>
        <v>Brandt Snedeker</v>
      </c>
      <c r="D227">
        <f ca="1">IFERROR(__xludf.DUMMYFUNCTION("""COMPUTED_VALUE"""),16)</f>
        <v>16</v>
      </c>
      <c r="E227">
        <f ca="1">IFERROR(__xludf.DUMMYFUNCTION("""COMPUTED_VALUE"""),46.51)</f>
        <v>46.51</v>
      </c>
      <c r="F227">
        <f ca="1">IFERROR(__xludf.DUMMYFUNCTION("""COMPUTED_VALUE"""),40)</f>
        <v>40</v>
      </c>
      <c r="G227">
        <f ca="1">IFERROR(__xludf.DUMMYFUNCTION("""COMPUTED_VALUE"""),86)</f>
        <v>86</v>
      </c>
    </row>
    <row r="228" spans="1:7" ht="12.75">
      <c r="A228" t="str">
        <f ca="1">IFERROR(__xludf.DUMMYFUNCTION("""COMPUTED_VALUE"""),"T227")</f>
        <v>T227</v>
      </c>
      <c r="B228">
        <f ca="1">IFERROR(__xludf.DUMMYFUNCTION("""COMPUTED_VALUE"""),229)</f>
        <v>229</v>
      </c>
      <c r="C228" t="str">
        <f ca="1">IFERROR(__xludf.DUMMYFUNCTION("""COMPUTED_VALUE"""),"Jazz Janewattananond")</f>
        <v>Jazz Janewattananond</v>
      </c>
      <c r="D228">
        <f ca="1">IFERROR(__xludf.DUMMYFUNCTION("""COMPUTED_VALUE"""),6)</f>
        <v>6</v>
      </c>
      <c r="E228">
        <f ca="1">IFERROR(__xludf.DUMMYFUNCTION("""COMPUTED_VALUE"""),46.43)</f>
        <v>46.43</v>
      </c>
      <c r="F228">
        <f ca="1">IFERROR(__xludf.DUMMYFUNCTION("""COMPUTED_VALUE"""),13)</f>
        <v>13</v>
      </c>
      <c r="G228">
        <f ca="1">IFERROR(__xludf.DUMMYFUNCTION("""COMPUTED_VALUE"""),28)</f>
        <v>28</v>
      </c>
    </row>
    <row r="229" spans="1:7" ht="12.75">
      <c r="A229" t="str">
        <f ca="1">IFERROR(__xludf.DUMMYFUNCTION("""COMPUTED_VALUE"""),"T227")</f>
        <v>T227</v>
      </c>
      <c r="B229" t="str">
        <f ca="1">IFERROR(__xludf.DUMMYFUNCTION("""COMPUTED_VALUE"""),"T235")</f>
        <v>T235</v>
      </c>
      <c r="C229" t="str">
        <f ca="1">IFERROR(__xludf.DUMMYFUNCTION("""COMPUTED_VALUE"""),"Rory Sabbatini")</f>
        <v>Rory Sabbatini</v>
      </c>
      <c r="D229">
        <f ca="1">IFERROR(__xludf.DUMMYFUNCTION("""COMPUTED_VALUE"""),13)</f>
        <v>13</v>
      </c>
      <c r="E229">
        <f ca="1">IFERROR(__xludf.DUMMYFUNCTION("""COMPUTED_VALUE"""),46.43)</f>
        <v>46.43</v>
      </c>
      <c r="F229">
        <f ca="1">IFERROR(__xludf.DUMMYFUNCTION("""COMPUTED_VALUE"""),39)</f>
        <v>39</v>
      </c>
      <c r="G229">
        <f ca="1">IFERROR(__xludf.DUMMYFUNCTION("""COMPUTED_VALUE"""),84)</f>
        <v>84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IFERROR(__xludf.DUMMYFUNCTION("""COMPUTED_VALUE"""),207)</f>
        <v>207</v>
      </c>
      <c r="C230" t="str">
        <f ca="1">IFERROR(__xludf.DUMMYFUNCTION("""COMPUTED_VALUE"""),"Fabián Gómez")</f>
        <v>Fabián Gómez</v>
      </c>
      <c r="D230">
        <f ca="1">IFERROR(__xludf.DUMMYFUNCTION("""COMPUTED_VALUE"""),16)</f>
        <v>16</v>
      </c>
      <c r="E230">
        <f ca="1">IFERROR(__xludf.DUMMYFUNCTION("""COMPUTED_VALUE"""),46.25)</f>
        <v>46.25</v>
      </c>
      <c r="F230">
        <f ca="1">IFERROR(__xludf.DUMMYFUNCTION("""COMPUTED_VALUE"""),37)</f>
        <v>37</v>
      </c>
      <c r="G230">
        <f ca="1">IFERROR(__xludf.DUMMYFUNCTION("""COMPUTED_VALUE"""),80)</f>
        <v>80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IFERROR(__xludf.DUMMYFUNCTION("""COMPUTED_VALUE"""),214)</f>
        <v>214</v>
      </c>
      <c r="C231" t="str">
        <f ca="1">IFERROR(__xludf.DUMMYFUNCTION("""COMPUTED_VALUE"""),"Tom Hoge")</f>
        <v>Tom Hoge</v>
      </c>
      <c r="D231">
        <f ca="1">IFERROR(__xludf.DUMMYFUNCTION("""COMPUTED_VALUE"""),22)</f>
        <v>22</v>
      </c>
      <c r="E231">
        <f ca="1">IFERROR(__xludf.DUMMYFUNCTION("""COMPUTED_VALUE"""),46.22)</f>
        <v>46.22</v>
      </c>
      <c r="F231">
        <f ca="1">IFERROR(__xludf.DUMMYFUNCTION("""COMPUTED_VALUE"""),55)</f>
        <v>55</v>
      </c>
      <c r="G231">
        <f ca="1">IFERROR(__xludf.DUMMYFUNCTION("""COMPUTED_VALUE"""),119)</f>
        <v>119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IFERROR(__xludf.DUMMYFUNCTION("""COMPUTED_VALUE"""),234)</f>
        <v>234</v>
      </c>
      <c r="C232" t="str">
        <f ca="1">IFERROR(__xludf.DUMMYFUNCTION("""COMPUTED_VALUE"""),"Lanto Griffin")</f>
        <v>Lanto Griffin</v>
      </c>
      <c r="D232">
        <f ca="1">IFERROR(__xludf.DUMMYFUNCTION("""COMPUTED_VALUE"""),18)</f>
        <v>18</v>
      </c>
      <c r="E232">
        <f ca="1">IFERROR(__xludf.DUMMYFUNCTION("""COMPUTED_VALUE"""),46.08)</f>
        <v>46.08</v>
      </c>
      <c r="F232">
        <f ca="1">IFERROR(__xludf.DUMMYFUNCTION("""COMPUTED_VALUE"""),47)</f>
        <v>47</v>
      </c>
      <c r="G232">
        <f ca="1">IFERROR(__xludf.DUMMYFUNCTION("""COMPUTED_VALUE"""),102)</f>
        <v>102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IFERROR(__xludf.DUMMYFUNCTION("""COMPUTED_VALUE"""),230)</f>
        <v>230</v>
      </c>
      <c r="C233" t="str">
        <f ca="1">IFERROR(__xludf.DUMMYFUNCTION("""COMPUTED_VALUE"""),"Nick Taylor")</f>
        <v>Nick Taylor</v>
      </c>
      <c r="D233">
        <f ca="1">IFERROR(__xludf.DUMMYFUNCTION("""COMPUTED_VALUE"""),12)</f>
        <v>12</v>
      </c>
      <c r="E233">
        <f ca="1">IFERROR(__xludf.DUMMYFUNCTION("""COMPUTED_VALUE"""),45.61)</f>
        <v>45.61</v>
      </c>
      <c r="F233">
        <f ca="1">IFERROR(__xludf.DUMMYFUNCTION("""COMPUTED_VALUE"""),26)</f>
        <v>26</v>
      </c>
      <c r="G233">
        <f ca="1">IFERROR(__xludf.DUMMYFUNCTION("""COMPUTED_VALUE"""),57)</f>
        <v>57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IFERROR(__xludf.DUMMYFUNCTION("""COMPUTED_VALUE"""),233)</f>
        <v>233</v>
      </c>
      <c r="C234" t="str">
        <f ca="1">IFERROR(__xludf.DUMMYFUNCTION("""COMPUTED_VALUE"""),"Webb Simpson")</f>
        <v>Webb Simpson</v>
      </c>
      <c r="D234">
        <f ca="1">IFERROR(__xludf.DUMMYFUNCTION("""COMPUTED_VALUE"""),12)</f>
        <v>12</v>
      </c>
      <c r="E234">
        <f ca="1">IFERROR(__xludf.DUMMYFUNCTION("""COMPUTED_VALUE"""),45.1)</f>
        <v>45.1</v>
      </c>
      <c r="F234">
        <f ca="1">IFERROR(__xludf.DUMMYFUNCTION("""COMPUTED_VALUE"""),23)</f>
        <v>23</v>
      </c>
      <c r="G234">
        <f ca="1">IFERROR(__xludf.DUMMYFUNCTION("""COMPUTED_VALUE"""),51)</f>
        <v>51</v>
      </c>
    </row>
    <row r="235" spans="1:7" ht="12.75">
      <c r="A235">
        <f ca="1">IFERROR(__xludf.DUMMYFUNCTION("""COMPUTED_VALUE"""),234)</f>
        <v>234</v>
      </c>
      <c r="B235" t="str">
        <f ca="1">IFERROR(__xludf.DUMMYFUNCTION("""COMPUTED_VALUE"""),"T235")</f>
        <v>T235</v>
      </c>
      <c r="C235" t="str">
        <f ca="1">IFERROR(__xludf.DUMMYFUNCTION("""COMPUTED_VALUE"""),"Luke Schniederjans")</f>
        <v>Luke Schniederjans</v>
      </c>
      <c r="D235">
        <f ca="1">IFERROR(__xludf.DUMMYFUNCTION("""COMPUTED_VALUE"""),4)</f>
        <v>4</v>
      </c>
      <c r="E235">
        <f ca="1">IFERROR(__xludf.DUMMYFUNCTION("""COMPUTED_VALUE"""),44.74)</f>
        <v>44.74</v>
      </c>
      <c r="F235">
        <f ca="1">IFERROR(__xludf.DUMMYFUNCTION("""COMPUTED_VALUE"""),17)</f>
        <v>17</v>
      </c>
      <c r="G235">
        <f ca="1">IFERROR(__xludf.DUMMYFUNCTION("""COMPUTED_VALUE"""),38)</f>
        <v>38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IFERROR(__xludf.DUMMYFUNCTION("""COMPUTED_VALUE"""),210)</f>
        <v>210</v>
      </c>
      <c r="C236" t="str">
        <f ca="1">IFERROR(__xludf.DUMMYFUNCTION("""COMPUTED_VALUE"""),"Erik van Rooyen")</f>
        <v>Erik van Rooyen</v>
      </c>
      <c r="D236">
        <f ca="1">IFERROR(__xludf.DUMMYFUNCTION("""COMPUTED_VALUE"""),10)</f>
        <v>10</v>
      </c>
      <c r="E236">
        <f ca="1">IFERROR(__xludf.DUMMYFUNCTION("""COMPUTED_VALUE"""),44.44)</f>
        <v>44.44</v>
      </c>
      <c r="F236">
        <f ca="1">IFERROR(__xludf.DUMMYFUNCTION("""COMPUTED_VALUE"""),28)</f>
        <v>28</v>
      </c>
      <c r="G236">
        <f ca="1">IFERROR(__xludf.DUMMYFUNCTION("""COMPUTED_VALUE"""),63)</f>
        <v>63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IFERROR(__xludf.DUMMYFUNCTION("""COMPUTED_VALUE"""),232)</f>
        <v>232</v>
      </c>
      <c r="C237" t="str">
        <f ca="1">IFERROR(__xludf.DUMMYFUNCTION("""COMPUTED_VALUE"""),"Michael Kim")</f>
        <v>Michael Kim</v>
      </c>
      <c r="D237">
        <f ca="1">IFERROR(__xludf.DUMMYFUNCTION("""COMPUTED_VALUE"""),12)</f>
        <v>12</v>
      </c>
      <c r="E237">
        <f ca="1">IFERROR(__xludf.DUMMYFUNCTION("""COMPUTED_VALUE"""),44.32)</f>
        <v>44.32</v>
      </c>
      <c r="F237">
        <f ca="1">IFERROR(__xludf.DUMMYFUNCTION("""COMPUTED_VALUE"""),39)</f>
        <v>39</v>
      </c>
      <c r="G237">
        <f ca="1">IFERROR(__xludf.DUMMYFUNCTION("""COMPUTED_VALUE"""),88)</f>
        <v>88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IFERROR(__xludf.DUMMYFUNCTION("""COMPUTED_VALUE"""),183)</f>
        <v>183</v>
      </c>
      <c r="C238" t="str">
        <f ca="1">IFERROR(__xludf.DUMMYFUNCTION("""COMPUTED_VALUE"""),"Martin Trainer")</f>
        <v>Martin Trainer</v>
      </c>
      <c r="D238">
        <f ca="1">IFERROR(__xludf.DUMMYFUNCTION("""COMPUTED_VALUE"""),10)</f>
        <v>10</v>
      </c>
      <c r="E238">
        <f ca="1">IFERROR(__xludf.DUMMYFUNCTION("""COMPUTED_VALUE"""),44.3)</f>
        <v>44.3</v>
      </c>
      <c r="F238">
        <f ca="1">IFERROR(__xludf.DUMMYFUNCTION("""COMPUTED_VALUE"""),35)</f>
        <v>35</v>
      </c>
      <c r="G238">
        <f ca="1">IFERROR(__xludf.DUMMYFUNCTION("""COMPUTED_VALUE"""),79)</f>
        <v>79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IFERROR(__xludf.DUMMYFUNCTION("""COMPUTED_VALUE"""),238)</f>
        <v>238</v>
      </c>
      <c r="C239" t="str">
        <f ca="1">IFERROR(__xludf.DUMMYFUNCTION("""COMPUTED_VALUE"""),"Billy Horschel")</f>
        <v>Billy Horschel</v>
      </c>
      <c r="D239">
        <f ca="1">IFERROR(__xludf.DUMMYFUNCTION("""COMPUTED_VALUE"""),12)</f>
        <v>12</v>
      </c>
      <c r="E239">
        <f ca="1">IFERROR(__xludf.DUMMYFUNCTION("""COMPUTED_VALUE"""),44.29)</f>
        <v>44.29</v>
      </c>
      <c r="F239">
        <f ca="1">IFERROR(__xludf.DUMMYFUNCTION("""COMPUTED_VALUE"""),31)</f>
        <v>31</v>
      </c>
      <c r="G239">
        <f ca="1">IFERROR(__xludf.DUMMYFUNCTION("""COMPUTED_VALUE"""),70)</f>
        <v>70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IFERROR(__xludf.DUMMYFUNCTION("""COMPUTED_VALUE"""),"T204")</f>
        <v>T204</v>
      </c>
      <c r="C240" t="str">
        <f ca="1">IFERROR(__xludf.DUMMYFUNCTION("""COMPUTED_VALUE"""),"Scott Brown")</f>
        <v>Scott Brown</v>
      </c>
      <c r="D240">
        <f ca="1">IFERROR(__xludf.DUMMYFUNCTION("""COMPUTED_VALUE"""),14)</f>
        <v>14</v>
      </c>
      <c r="E240">
        <f ca="1">IFERROR(__xludf.DUMMYFUNCTION("""COMPUTED_VALUE"""),44.19)</f>
        <v>44.19</v>
      </c>
      <c r="F240">
        <f ca="1">IFERROR(__xludf.DUMMYFUNCTION("""COMPUTED_VALUE"""),38)</f>
        <v>38</v>
      </c>
      <c r="G240">
        <f ca="1">IFERROR(__xludf.DUMMYFUNCTION("""COMPUTED_VALUE"""),86)</f>
        <v>86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IFERROR(__xludf.DUMMYFUNCTION("""COMPUTED_VALUE"""),239)</f>
        <v>239</v>
      </c>
      <c r="C241" t="str">
        <f ca="1">IFERROR(__xludf.DUMMYFUNCTION("""COMPUTED_VALUE"""),"Justin Thomas")</f>
        <v>Justin Thomas</v>
      </c>
      <c r="D241">
        <f ca="1">IFERROR(__xludf.DUMMYFUNCTION("""COMPUTED_VALUE"""),12)</f>
        <v>12</v>
      </c>
      <c r="E241">
        <f ca="1">IFERROR(__xludf.DUMMYFUNCTION("""COMPUTED_VALUE"""),44.12)</f>
        <v>44.12</v>
      </c>
      <c r="F241">
        <f ca="1">IFERROR(__xludf.DUMMYFUNCTION("""COMPUTED_VALUE"""),30)</f>
        <v>30</v>
      </c>
      <c r="G241">
        <f ca="1">IFERROR(__xludf.DUMMYFUNCTION("""COMPUTED_VALUE"""),68)</f>
        <v>68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IFERROR(__xludf.DUMMYFUNCTION("""COMPUTED_VALUE"""),"T240")</f>
        <v>T240</v>
      </c>
      <c r="C242" t="str">
        <f ca="1">IFERROR(__xludf.DUMMYFUNCTION("""COMPUTED_VALUE"""),"Kevin Na")</f>
        <v>Kevin Na</v>
      </c>
      <c r="D242">
        <f ca="1">IFERROR(__xludf.DUMMYFUNCTION("""COMPUTED_VALUE"""),14)</f>
        <v>14</v>
      </c>
      <c r="E242">
        <f ca="1">IFERROR(__xludf.DUMMYFUNCTION("""COMPUTED_VALUE"""),43.94)</f>
        <v>43.94</v>
      </c>
      <c r="F242">
        <f ca="1">IFERROR(__xludf.DUMMYFUNCTION("""COMPUTED_VALUE"""),29)</f>
        <v>29</v>
      </c>
      <c r="G242">
        <f ca="1">IFERROR(__xludf.DUMMYFUNCTION("""COMPUTED_VALUE"""),66)</f>
        <v>66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IFERROR(__xludf.DUMMYFUNCTION("""COMPUTED_VALUE"""),242)</f>
        <v>242</v>
      </c>
      <c r="C243" t="str">
        <f ca="1">IFERROR(__xludf.DUMMYFUNCTION("""COMPUTED_VALUE"""),"Romain Langasque")</f>
        <v>Romain Langasque</v>
      </c>
      <c r="D243">
        <f ca="1">IFERROR(__xludf.DUMMYFUNCTION("""COMPUTED_VALUE"""),4)</f>
        <v>4</v>
      </c>
      <c r="E243">
        <f ca="1">IFERROR(__xludf.DUMMYFUNCTION("""COMPUTED_VALUE"""),43.59)</f>
        <v>43.59</v>
      </c>
      <c r="F243">
        <f ca="1">IFERROR(__xludf.DUMMYFUNCTION("""COMPUTED_VALUE"""),17)</f>
        <v>17</v>
      </c>
      <c r="G243">
        <f ca="1">IFERROR(__xludf.DUMMYFUNCTION("""COMPUTED_VALUE"""),39)</f>
        <v>39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IFERROR(__xludf.DUMMYFUNCTION("""COMPUTED_VALUE"""),243)</f>
        <v>243</v>
      </c>
      <c r="C244" t="str">
        <f ca="1">IFERROR(__xludf.DUMMYFUNCTION("""COMPUTED_VALUE"""),"Thomas Detry")</f>
        <v>Thomas Detry</v>
      </c>
      <c r="D244">
        <f ca="1">IFERROR(__xludf.DUMMYFUNCTION("""COMPUTED_VALUE"""),8)</f>
        <v>8</v>
      </c>
      <c r="E244">
        <f ca="1">IFERROR(__xludf.DUMMYFUNCTION("""COMPUTED_VALUE"""),43.48)</f>
        <v>43.48</v>
      </c>
      <c r="F244">
        <f ca="1">IFERROR(__xludf.DUMMYFUNCTION("""COMPUTED_VALUE"""),20)</f>
        <v>20</v>
      </c>
      <c r="G244">
        <f ca="1">IFERROR(__xludf.DUMMYFUNCTION("""COMPUTED_VALUE"""),46)</f>
        <v>46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IFERROR(__xludf.DUMMYFUNCTION("""COMPUTED_VALUE"""),226)</f>
        <v>226</v>
      </c>
      <c r="C245" t="str">
        <f ca="1">IFERROR(__xludf.DUMMYFUNCTION("""COMPUTED_VALUE"""),"Mackenzie Hughes")</f>
        <v>Mackenzie Hughes</v>
      </c>
      <c r="D245">
        <f ca="1">IFERROR(__xludf.DUMMYFUNCTION("""COMPUTED_VALUE"""),18)</f>
        <v>18</v>
      </c>
      <c r="E245">
        <f ca="1">IFERROR(__xludf.DUMMYFUNCTION("""COMPUTED_VALUE"""),43.4)</f>
        <v>43.4</v>
      </c>
      <c r="F245">
        <f ca="1">IFERROR(__xludf.DUMMYFUNCTION("""COMPUTED_VALUE"""),46)</f>
        <v>46</v>
      </c>
      <c r="G245">
        <f ca="1">IFERROR(__xludf.DUMMYFUNCTION("""COMPUTED_VALUE"""),106)</f>
        <v>106</v>
      </c>
    </row>
    <row r="246" spans="1:7" ht="12.75">
      <c r="A246">
        <f ca="1">IFERROR(__xludf.DUMMYFUNCTION("""COMPUTED_VALUE"""),245)</f>
        <v>245</v>
      </c>
      <c r="B246" t="str">
        <f ca="1">IFERROR(__xludf.DUMMYFUNCTION("""COMPUTED_VALUE"""),"T187")</f>
        <v>T187</v>
      </c>
      <c r="C246" t="str">
        <f ca="1">IFERROR(__xludf.DUMMYFUNCTION("""COMPUTED_VALUE"""),"Henrik Stenson")</f>
        <v>Henrik Stenson</v>
      </c>
      <c r="D246">
        <f ca="1">IFERROR(__xludf.DUMMYFUNCTION("""COMPUTED_VALUE"""),11)</f>
        <v>11</v>
      </c>
      <c r="E246">
        <f ca="1">IFERROR(__xludf.DUMMYFUNCTION("""COMPUTED_VALUE"""),42.86)</f>
        <v>42.86</v>
      </c>
      <c r="F246">
        <f ca="1">IFERROR(__xludf.DUMMYFUNCTION("""COMPUTED_VALUE"""),21)</f>
        <v>21</v>
      </c>
      <c r="G246">
        <f ca="1">IFERROR(__xludf.DUMMYFUNCTION("""COMPUTED_VALUE"""),49)</f>
        <v>49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IFERROR(__xludf.DUMMYFUNCTION("""COMPUTED_VALUE"""),245)</f>
        <v>245</v>
      </c>
      <c r="C247" t="str">
        <f ca="1">IFERROR(__xludf.DUMMYFUNCTION("""COMPUTED_VALUE"""),"Parker McLachlin")</f>
        <v>Parker McLachlin</v>
      </c>
      <c r="D247">
        <f ca="1">IFERROR(__xludf.DUMMYFUNCTION("""COMPUTED_VALUE"""),4)</f>
        <v>4</v>
      </c>
      <c r="E247">
        <f ca="1">IFERROR(__xludf.DUMMYFUNCTION("""COMPUTED_VALUE"""),41.94)</f>
        <v>41.94</v>
      </c>
      <c r="F247">
        <f ca="1">IFERROR(__xludf.DUMMYFUNCTION("""COMPUTED_VALUE"""),13)</f>
        <v>13</v>
      </c>
      <c r="G247">
        <f ca="1">IFERROR(__xludf.DUMMYFUNCTION("""COMPUTED_VALUE"""),31)</f>
        <v>31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IFERROR(__xludf.DUMMYFUNCTION("""COMPUTED_VALUE"""),237)</f>
        <v>237</v>
      </c>
      <c r="C248" t="str">
        <f ca="1">IFERROR(__xludf.DUMMYFUNCTION("""COMPUTED_VALUE"""),"Kevin Stadler")</f>
        <v>Kevin Stadler</v>
      </c>
      <c r="D248">
        <f ca="1">IFERROR(__xludf.DUMMYFUNCTION("""COMPUTED_VALUE"""),8)</f>
        <v>8</v>
      </c>
      <c r="E248">
        <f ca="1">IFERROR(__xludf.DUMMYFUNCTION("""COMPUTED_VALUE"""),41.67)</f>
        <v>41.67</v>
      </c>
      <c r="F248">
        <f ca="1">IFERROR(__xludf.DUMMYFUNCTION("""COMPUTED_VALUE"""),20)</f>
        <v>20</v>
      </c>
      <c r="G248">
        <f ca="1">IFERROR(__xludf.DUMMYFUNCTION("""COMPUTED_VALUE"""),48)</f>
        <v>48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IFERROR(__xludf.DUMMYFUNCTION("""COMPUTED_VALUE"""),247)</f>
        <v>247</v>
      </c>
      <c r="C249" t="str">
        <f ca="1">IFERROR(__xludf.DUMMYFUNCTION("""COMPUTED_VALUE"""),"Brendon Todd")</f>
        <v>Brendon Todd</v>
      </c>
      <c r="D249">
        <f ca="1">IFERROR(__xludf.DUMMYFUNCTION("""COMPUTED_VALUE"""),14)</f>
        <v>14</v>
      </c>
      <c r="E249">
        <f ca="1">IFERROR(__xludf.DUMMYFUNCTION("""COMPUTED_VALUE"""),41.54)</f>
        <v>41.54</v>
      </c>
      <c r="F249">
        <f ca="1">IFERROR(__xludf.DUMMYFUNCTION("""COMPUTED_VALUE"""),27)</f>
        <v>27</v>
      </c>
      <c r="G249">
        <f ca="1">IFERROR(__xludf.DUMMYFUNCTION("""COMPUTED_VALUE"""),65)</f>
        <v>65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IFERROR(__xludf.DUMMYFUNCTION("""COMPUTED_VALUE"""),248)</f>
        <v>248</v>
      </c>
      <c r="C250" t="str">
        <f ca="1">IFERROR(__xludf.DUMMYFUNCTION("""COMPUTED_VALUE"""),"Harris English")</f>
        <v>Harris English</v>
      </c>
      <c r="D250">
        <f ca="1">IFERROR(__xludf.DUMMYFUNCTION("""COMPUTED_VALUE"""),14)</f>
        <v>14</v>
      </c>
      <c r="E250">
        <f ca="1">IFERROR(__xludf.DUMMYFUNCTION("""COMPUTED_VALUE"""),41.43)</f>
        <v>41.43</v>
      </c>
      <c r="F250">
        <f ca="1">IFERROR(__xludf.DUMMYFUNCTION("""COMPUTED_VALUE"""),29)</f>
        <v>29</v>
      </c>
      <c r="G250">
        <f ca="1">IFERROR(__xludf.DUMMYFUNCTION("""COMPUTED_VALUE"""),70)</f>
        <v>70</v>
      </c>
    </row>
    <row r="251" spans="1:7" ht="12.75">
      <c r="A251">
        <f ca="1">IFERROR(__xludf.DUMMYFUNCTION("""COMPUTED_VALUE"""),250)</f>
        <v>250</v>
      </c>
      <c r="B251" t="str">
        <f ca="1">IFERROR(__xludf.DUMMYFUNCTION("""COMPUTED_VALUE"""),"T254")</f>
        <v>T254</v>
      </c>
      <c r="C251" t="str">
        <f ca="1">IFERROR(__xludf.DUMMYFUNCTION("""COMPUTED_VALUE"""),"Adam Long")</f>
        <v>Adam Long</v>
      </c>
      <c r="D251">
        <f ca="1">IFERROR(__xludf.DUMMYFUNCTION("""COMPUTED_VALUE"""),22)</f>
        <v>22</v>
      </c>
      <c r="E251">
        <f ca="1">IFERROR(__xludf.DUMMYFUNCTION("""COMPUTED_VALUE"""),41.35)</f>
        <v>41.35</v>
      </c>
      <c r="F251">
        <f ca="1">IFERROR(__xludf.DUMMYFUNCTION("""COMPUTED_VALUE"""),43)</f>
        <v>43</v>
      </c>
      <c r="G251">
        <f ca="1">IFERROR(__xludf.DUMMYFUNCTION("""COMPUTED_VALUE"""),104)</f>
        <v>104</v>
      </c>
    </row>
    <row r="252" spans="1:7" ht="12.75">
      <c r="A252" t="str">
        <f ca="1">IFERROR(__xludf.DUMMYFUNCTION("""COMPUTED_VALUE"""),"T251")</f>
        <v>T251</v>
      </c>
      <c r="B252">
        <f ca="1">IFERROR(__xludf.DUMMYFUNCTION("""COMPUTED_VALUE"""),249)</f>
        <v>249</v>
      </c>
      <c r="C252" t="str">
        <f ca="1">IFERROR(__xludf.DUMMYFUNCTION("""COMPUTED_VALUE"""),"Wes Roach")</f>
        <v>Wes Roach</v>
      </c>
      <c r="D252">
        <f ca="1">IFERROR(__xludf.DUMMYFUNCTION("""COMPUTED_VALUE"""),6)</f>
        <v>6</v>
      </c>
      <c r="E252">
        <f ca="1">IFERROR(__xludf.DUMMYFUNCTION("""COMPUTED_VALUE"""),41.18)</f>
        <v>41.18</v>
      </c>
      <c r="F252">
        <f ca="1">IFERROR(__xludf.DUMMYFUNCTION("""COMPUTED_VALUE"""),14)</f>
        <v>14</v>
      </c>
      <c r="G252">
        <f ca="1">IFERROR(__xludf.DUMMYFUNCTION("""COMPUTED_VALUE"""),34)</f>
        <v>34</v>
      </c>
    </row>
    <row r="253" spans="1:7" ht="12.75">
      <c r="A253" t="str">
        <f ca="1">IFERROR(__xludf.DUMMYFUNCTION("""COMPUTED_VALUE"""),"T251")</f>
        <v>T251</v>
      </c>
      <c r="B253" t="str">
        <f ca="1">IFERROR(__xludf.DUMMYFUNCTION("""COMPUTED_VALUE"""),"T254")</f>
        <v>T254</v>
      </c>
      <c r="C253" t="str">
        <f ca="1">IFERROR(__xludf.DUMMYFUNCTION("""COMPUTED_VALUE"""),"Alex Noren")</f>
        <v>Alex Noren</v>
      </c>
      <c r="D253">
        <f ca="1">IFERROR(__xludf.DUMMYFUNCTION("""COMPUTED_VALUE"""),14)</f>
        <v>14</v>
      </c>
      <c r="E253">
        <f ca="1">IFERROR(__xludf.DUMMYFUNCTION("""COMPUTED_VALUE"""),41.18)</f>
        <v>41.18</v>
      </c>
      <c r="F253">
        <f ca="1">IFERROR(__xludf.DUMMYFUNCTION("""COMPUTED_VALUE"""),42)</f>
        <v>42</v>
      </c>
      <c r="G253">
        <f ca="1">IFERROR(__xludf.DUMMYFUNCTION("""COMPUTED_VALUE"""),102)</f>
        <v>102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IFERROR(__xludf.DUMMYFUNCTION("""COMPUTED_VALUE"""),250)</f>
        <v>250</v>
      </c>
      <c r="C254" t="str">
        <f ca="1">IFERROR(__xludf.DUMMYFUNCTION("""COMPUTED_VALUE"""),"Ian Poulter")</f>
        <v>Ian Poulter</v>
      </c>
      <c r="D254">
        <f ca="1">IFERROR(__xludf.DUMMYFUNCTION("""COMPUTED_VALUE"""),6)</f>
        <v>6</v>
      </c>
      <c r="E254">
        <f ca="1">IFERROR(__xludf.DUMMYFUNCTION("""COMPUTED_VALUE"""),41.03)</f>
        <v>41.03</v>
      </c>
      <c r="F254">
        <f ca="1">IFERROR(__xludf.DUMMYFUNCTION("""COMPUTED_VALUE"""),16)</f>
        <v>16</v>
      </c>
      <c r="G254">
        <f ca="1">IFERROR(__xludf.DUMMYFUNCTION("""COMPUTED_VALUE"""),39)</f>
        <v>39</v>
      </c>
    </row>
    <row r="255" spans="1:7" ht="12.75">
      <c r="A255" t="str">
        <f ca="1">IFERROR(__xludf.DUMMYFUNCTION("""COMPUTED_VALUE"""),"T254")</f>
        <v>T254</v>
      </c>
      <c r="B255" t="str">
        <f ca="1">IFERROR(__xludf.DUMMYFUNCTION("""COMPUTED_VALUE"""),"T223")</f>
        <v>T223</v>
      </c>
      <c r="C255" t="str">
        <f ca="1">IFERROR(__xludf.DUMMYFUNCTION("""COMPUTED_VALUE"""),"Andrew Landry")</f>
        <v>Andrew Landry</v>
      </c>
      <c r="D255">
        <f ca="1">IFERROR(__xludf.DUMMYFUNCTION("""COMPUTED_VALUE"""),14)</f>
        <v>14</v>
      </c>
      <c r="E255">
        <f ca="1">IFERROR(__xludf.DUMMYFUNCTION("""COMPUTED_VALUE"""),40.98)</f>
        <v>40.98</v>
      </c>
      <c r="F255">
        <f ca="1">IFERROR(__xludf.DUMMYFUNCTION("""COMPUTED_VALUE"""),25)</f>
        <v>25</v>
      </c>
      <c r="G255">
        <f ca="1">IFERROR(__xludf.DUMMYFUNCTION("""COMPUTED_VALUE"""),61)</f>
        <v>61</v>
      </c>
    </row>
    <row r="256" spans="1:7" ht="12.75">
      <c r="A256" t="str">
        <f ca="1">IFERROR(__xludf.DUMMYFUNCTION("""COMPUTED_VALUE"""),"T254")</f>
        <v>T254</v>
      </c>
      <c r="B256">
        <f ca="1">IFERROR(__xludf.DUMMYFUNCTION("""COMPUTED_VALUE"""),251)</f>
        <v>251</v>
      </c>
      <c r="C256" t="str">
        <f ca="1">IFERROR(__xludf.DUMMYFUNCTION("""COMPUTED_VALUE"""),"Tommy Fleetwood")</f>
        <v>Tommy Fleetwood</v>
      </c>
      <c r="D256">
        <f ca="1">IFERROR(__xludf.DUMMYFUNCTION("""COMPUTED_VALUE"""),10)</f>
        <v>10</v>
      </c>
      <c r="E256">
        <f ca="1">IFERROR(__xludf.DUMMYFUNCTION("""COMPUTED_VALUE"""),40.98)</f>
        <v>40.98</v>
      </c>
      <c r="F256">
        <f ca="1">IFERROR(__xludf.DUMMYFUNCTION("""COMPUTED_VALUE"""),25)</f>
        <v>25</v>
      </c>
      <c r="G256">
        <f ca="1">IFERROR(__xludf.DUMMYFUNCTION("""COMPUTED_VALUE"""),61)</f>
        <v>61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IFERROR(__xludf.DUMMYFUNCTION("""COMPUTED_VALUE"""),252)</f>
        <v>252</v>
      </c>
      <c r="C257" t="str">
        <f ca="1">IFERROR(__xludf.DUMMYFUNCTION("""COMPUTED_VALUE"""),"Rory McIlroy")</f>
        <v>Rory McIlroy</v>
      </c>
      <c r="D257">
        <f ca="1">IFERROR(__xludf.DUMMYFUNCTION("""COMPUTED_VALUE"""),12)</f>
        <v>12</v>
      </c>
      <c r="E257">
        <f ca="1">IFERROR(__xludf.DUMMYFUNCTION("""COMPUTED_VALUE"""),40.91)</f>
        <v>40.909999999999997</v>
      </c>
      <c r="F257">
        <f ca="1">IFERROR(__xludf.DUMMYFUNCTION("""COMPUTED_VALUE"""),27)</f>
        <v>27</v>
      </c>
      <c r="G257">
        <f ca="1">IFERROR(__xludf.DUMMYFUNCTION("""COMPUTED_VALUE"""),66)</f>
        <v>66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IFERROR(__xludf.DUMMYFUNCTION("""COMPUTED_VALUE"""),253)</f>
        <v>253</v>
      </c>
      <c r="C258" t="str">
        <f ca="1">IFERROR(__xludf.DUMMYFUNCTION("""COMPUTED_VALUE"""),"Seonghyeon Kim")</f>
        <v>Seonghyeon Kim</v>
      </c>
      <c r="D258">
        <f ca="1">IFERROR(__xludf.DUMMYFUNCTION("""COMPUTED_VALUE"""),4)</f>
        <v>4</v>
      </c>
      <c r="E258">
        <f ca="1">IFERROR(__xludf.DUMMYFUNCTION("""COMPUTED_VALUE"""),40.74)</f>
        <v>40.74</v>
      </c>
      <c r="F258">
        <f ca="1">IFERROR(__xludf.DUMMYFUNCTION("""COMPUTED_VALUE"""),11)</f>
        <v>11</v>
      </c>
      <c r="G258">
        <f ca="1">IFERROR(__xludf.DUMMYFUNCTION("""COMPUTED_VALUE"""),27)</f>
        <v>27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IFERROR(__xludf.DUMMYFUNCTION("""COMPUTED_VALUE"""),"T256")</f>
        <v>T256</v>
      </c>
      <c r="C259" t="str">
        <f ca="1">IFERROR(__xludf.DUMMYFUNCTION("""COMPUTED_VALUE"""),"Hanbyeol Kim")</f>
        <v>Hanbyeol Kim</v>
      </c>
      <c r="D259">
        <f ca="1">IFERROR(__xludf.DUMMYFUNCTION("""COMPUTED_VALUE"""),4)</f>
        <v>4</v>
      </c>
      <c r="E259">
        <f ca="1">IFERROR(__xludf.DUMMYFUNCTION("""COMPUTED_VALUE"""),40)</f>
        <v>40</v>
      </c>
      <c r="F259">
        <f ca="1">IFERROR(__xludf.DUMMYFUNCTION("""COMPUTED_VALUE"""),12)</f>
        <v>12</v>
      </c>
      <c r="G259">
        <f ca="1">IFERROR(__xludf.DUMMYFUNCTION("""COMPUTED_VALUE"""),30)</f>
        <v>30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IFERROR(__xludf.DUMMYFUNCTION("""COMPUTED_VALUE"""),"T256")</f>
        <v>T256</v>
      </c>
      <c r="C260" t="str">
        <f ca="1">IFERROR(__xludf.DUMMYFUNCTION("""COMPUTED_VALUE"""),"Gunn Charoenkul")</f>
        <v>Gunn Charoenkul</v>
      </c>
      <c r="D260">
        <f ca="1">IFERROR(__xludf.DUMMYFUNCTION("""COMPUTED_VALUE"""),4)</f>
        <v>4</v>
      </c>
      <c r="E260">
        <f ca="1">IFERROR(__xludf.DUMMYFUNCTION("""COMPUTED_VALUE"""),40)</f>
        <v>40</v>
      </c>
      <c r="F260">
        <f ca="1">IFERROR(__xludf.DUMMYFUNCTION("""COMPUTED_VALUE"""),4)</f>
        <v>4</v>
      </c>
      <c r="G260">
        <f ca="1">IFERROR(__xludf.DUMMYFUNCTION("""COMPUTED_VALUE"""),10)</f>
        <v>10</v>
      </c>
    </row>
    <row r="261" spans="1:7" ht="12.75">
      <c r="A261" t="str">
        <f ca="1">IFERROR(__xludf.DUMMYFUNCTION("""COMPUTED_VALUE"""),"T258")</f>
        <v>T258</v>
      </c>
      <c r="B261" t="str">
        <f ca="1">IFERROR(__xludf.DUMMYFUNCTION("""COMPUTED_VALUE"""),"T256")</f>
        <v>T256</v>
      </c>
      <c r="C261" t="str">
        <f ca="1">IFERROR(__xludf.DUMMYFUNCTION("""COMPUTED_VALUE"""),"Arjun Atwal")</f>
        <v>Arjun Atwal</v>
      </c>
      <c r="D261">
        <f ca="1">IFERROR(__xludf.DUMMYFUNCTION("""COMPUTED_VALUE"""),6)</f>
        <v>6</v>
      </c>
      <c r="E261">
        <f ca="1">IFERROR(__xludf.DUMMYFUNCTION("""COMPUTED_VALUE"""),40)</f>
        <v>40</v>
      </c>
      <c r="F261">
        <f ca="1">IFERROR(__xludf.DUMMYFUNCTION("""COMPUTED_VALUE"""),10)</f>
        <v>10</v>
      </c>
      <c r="G261">
        <f ca="1">IFERROR(__xludf.DUMMYFUNCTION("""COMPUTED_VALUE"""),25)</f>
        <v>25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IFERROR(__xludf.DUMMYFUNCTION("""COMPUTED_VALUE"""),259)</f>
        <v>259</v>
      </c>
      <c r="C262" t="str">
        <f ca="1">IFERROR(__xludf.DUMMYFUNCTION("""COMPUTED_VALUE"""),"Shugo Imahira")</f>
        <v>Shugo Imahira</v>
      </c>
      <c r="D262">
        <f ca="1">IFERROR(__xludf.DUMMYFUNCTION("""COMPUTED_VALUE"""),8)</f>
        <v>8</v>
      </c>
      <c r="E262">
        <f ca="1">IFERROR(__xludf.DUMMYFUNCTION("""COMPUTED_VALUE"""),39.58)</f>
        <v>39.58</v>
      </c>
      <c r="F262">
        <f ca="1">IFERROR(__xludf.DUMMYFUNCTION("""COMPUTED_VALUE"""),19)</f>
        <v>19</v>
      </c>
      <c r="G262">
        <f ca="1">IFERROR(__xludf.DUMMYFUNCTION("""COMPUTED_VALUE"""),48)</f>
        <v>48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IFERROR(__xludf.DUMMYFUNCTION("""COMPUTED_VALUE"""),260)</f>
        <v>260</v>
      </c>
      <c r="C263" t="str">
        <f ca="1">IFERROR(__xludf.DUMMYFUNCTION("""COMPUTED_VALUE"""),"Rafael Campos")</f>
        <v>Rafael Campos</v>
      </c>
      <c r="D263">
        <f ca="1">IFERROR(__xludf.DUMMYFUNCTION("""COMPUTED_VALUE"""),6)</f>
        <v>6</v>
      </c>
      <c r="E263">
        <f ca="1">IFERROR(__xludf.DUMMYFUNCTION("""COMPUTED_VALUE"""),39.47)</f>
        <v>39.47</v>
      </c>
      <c r="F263">
        <f ca="1">IFERROR(__xludf.DUMMYFUNCTION("""COMPUTED_VALUE"""),15)</f>
        <v>15</v>
      </c>
      <c r="G263">
        <f ca="1">IFERROR(__xludf.DUMMYFUNCTION("""COMPUTED_VALUE"""),38)</f>
        <v>38</v>
      </c>
    </row>
    <row r="264" spans="1:7" ht="12.75">
      <c r="A264" t="str">
        <f ca="1">IFERROR(__xludf.DUMMYFUNCTION("""COMPUTED_VALUE"""),"T263")</f>
        <v>T263</v>
      </c>
      <c r="B264">
        <f ca="1">IFERROR(__xludf.DUMMYFUNCTION("""COMPUTED_VALUE"""),261)</f>
        <v>261</v>
      </c>
      <c r="C264" t="str">
        <f ca="1">IFERROR(__xludf.DUMMYFUNCTION("""COMPUTED_VALUE"""),"Davis Riley")</f>
        <v>Davis Riley</v>
      </c>
      <c r="D264">
        <f ca="1">IFERROR(__xludf.DUMMYFUNCTION("""COMPUTED_VALUE"""),4)</f>
        <v>4</v>
      </c>
      <c r="E264">
        <f ca="1">IFERROR(__xludf.DUMMYFUNCTION("""COMPUTED_VALUE"""),39.29)</f>
        <v>39.29</v>
      </c>
      <c r="F264">
        <f ca="1">IFERROR(__xludf.DUMMYFUNCTION("""COMPUTED_VALUE"""),11)</f>
        <v>11</v>
      </c>
      <c r="G264">
        <f ca="1">IFERROR(__xludf.DUMMYFUNCTION("""COMPUTED_VALUE"""),28)</f>
        <v>28</v>
      </c>
    </row>
    <row r="265" spans="1:7" ht="12.75">
      <c r="A265" t="str">
        <f ca="1">IFERROR(__xludf.DUMMYFUNCTION("""COMPUTED_VALUE"""),"T263")</f>
        <v>T263</v>
      </c>
      <c r="B265" t="str">
        <f ca="1">IFERROR(__xludf.DUMMYFUNCTION("""COMPUTED_VALUE"""),"")</f>
        <v/>
      </c>
      <c r="C265" t="str">
        <f ca="1">IFERROR(__xludf.DUMMYFUNCTION("""COMPUTED_VALUE"""),"Erik Barnes")</f>
        <v>Erik Barnes</v>
      </c>
      <c r="D265">
        <f ca="1">IFERROR(__xludf.DUMMYFUNCTION("""COMPUTED_VALUE"""),4)</f>
        <v>4</v>
      </c>
      <c r="E265">
        <f ca="1">IFERROR(__xludf.DUMMYFUNCTION("""COMPUTED_VALUE"""),39.29)</f>
        <v>39.29</v>
      </c>
      <c r="F265">
        <f ca="1">IFERROR(__xludf.DUMMYFUNCTION("""COMPUTED_VALUE"""),11)</f>
        <v>11</v>
      </c>
      <c r="G265">
        <f ca="1">IFERROR(__xludf.DUMMYFUNCTION("""COMPUTED_VALUE"""),28)</f>
        <v>28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IFERROR(__xludf.DUMMYFUNCTION("""COMPUTED_VALUE"""),246)</f>
        <v>246</v>
      </c>
      <c r="C266" t="str">
        <f ca="1">IFERROR(__xludf.DUMMYFUNCTION("""COMPUTED_VALUE"""),"Satoshi Kodaira")</f>
        <v>Satoshi Kodaira</v>
      </c>
      <c r="D266">
        <f ca="1">IFERROR(__xludf.DUMMYFUNCTION("""COMPUTED_VALUE"""),12)</f>
        <v>12</v>
      </c>
      <c r="E266">
        <f ca="1">IFERROR(__xludf.DUMMYFUNCTION("""COMPUTED_VALUE"""),38.64)</f>
        <v>38.64</v>
      </c>
      <c r="F266">
        <f ca="1">IFERROR(__xludf.DUMMYFUNCTION("""COMPUTED_VALUE"""),17)</f>
        <v>17</v>
      </c>
      <c r="G266">
        <f ca="1">IFERROR(__xludf.DUMMYFUNCTION("""COMPUTED_VALUE"""),44)</f>
        <v>44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IFERROR(__xludf.DUMMYFUNCTION("""COMPUTED_VALUE"""),244)</f>
        <v>244</v>
      </c>
      <c r="C267" t="str">
        <f ca="1">IFERROR(__xludf.DUMMYFUNCTION("""COMPUTED_VALUE"""),"Tom Lewis")</f>
        <v>Tom Lewis</v>
      </c>
      <c r="D267">
        <f ca="1">IFERROR(__xludf.DUMMYFUNCTION("""COMPUTED_VALUE"""),12)</f>
        <v>12</v>
      </c>
      <c r="E267">
        <f ca="1">IFERROR(__xludf.DUMMYFUNCTION("""COMPUTED_VALUE"""),38.1)</f>
        <v>38.1</v>
      </c>
      <c r="F267">
        <f ca="1">IFERROR(__xludf.DUMMYFUNCTION("""COMPUTED_VALUE"""),32)</f>
        <v>32</v>
      </c>
      <c r="G267">
        <f ca="1">IFERROR(__xludf.DUMMYFUNCTION("""COMPUTED_VALUE"""),84)</f>
        <v>84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IFERROR(__xludf.DUMMYFUNCTION("""COMPUTED_VALUE"""),262)</f>
        <v>262</v>
      </c>
      <c r="C268" t="str">
        <f ca="1">IFERROR(__xludf.DUMMYFUNCTION("""COMPUTED_VALUE"""),"Kurt Kitayama")</f>
        <v>Kurt Kitayama</v>
      </c>
      <c r="D268">
        <f ca="1">IFERROR(__xludf.DUMMYFUNCTION("""COMPUTED_VALUE"""),4)</f>
        <v>4</v>
      </c>
      <c r="E268">
        <f ca="1">IFERROR(__xludf.DUMMYFUNCTION("""COMPUTED_VALUE"""),37.84)</f>
        <v>37.840000000000003</v>
      </c>
      <c r="F268">
        <f ca="1">IFERROR(__xludf.DUMMYFUNCTION("""COMPUTED_VALUE"""),14)</f>
        <v>14</v>
      </c>
      <c r="G268">
        <f ca="1">IFERROR(__xludf.DUMMYFUNCTION("""COMPUTED_VALUE"""),37)</f>
        <v>37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IFERROR(__xludf.DUMMYFUNCTION("""COMPUTED_VALUE"""),263)</f>
        <v>263</v>
      </c>
      <c r="C269" t="str">
        <f ca="1">IFERROR(__xludf.DUMMYFUNCTION("""COMPUTED_VALUE"""),"Robert MacIntyre")</f>
        <v>Robert MacIntyre</v>
      </c>
      <c r="D269">
        <f ca="1">IFERROR(__xludf.DUMMYFUNCTION("""COMPUTED_VALUE"""),4)</f>
        <v>4</v>
      </c>
      <c r="E269">
        <f ca="1">IFERROR(__xludf.DUMMYFUNCTION("""COMPUTED_VALUE"""),37.78)</f>
        <v>37.78</v>
      </c>
      <c r="F269">
        <f ca="1">IFERROR(__xludf.DUMMYFUNCTION("""COMPUTED_VALUE"""),17)</f>
        <v>17</v>
      </c>
      <c r="G269">
        <f ca="1">IFERROR(__xludf.DUMMYFUNCTION("""COMPUTED_VALUE"""),45)</f>
        <v>45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IFERROR(__xludf.DUMMYFUNCTION("""COMPUTED_VALUE"""),265)</f>
        <v>265</v>
      </c>
      <c r="C270" t="str">
        <f ca="1">IFERROR(__xludf.DUMMYFUNCTION("""COMPUTED_VALUE"""),"Renato Paratore")</f>
        <v>Renato Paratore</v>
      </c>
      <c r="D270">
        <f ca="1">IFERROR(__xludf.DUMMYFUNCTION("""COMPUTED_VALUE"""),4)</f>
        <v>4</v>
      </c>
      <c r="E270">
        <f ca="1">IFERROR(__xludf.DUMMYFUNCTION("""COMPUTED_VALUE"""),37.21)</f>
        <v>37.21</v>
      </c>
      <c r="F270">
        <f ca="1">IFERROR(__xludf.DUMMYFUNCTION("""COMPUTED_VALUE"""),16)</f>
        <v>16</v>
      </c>
      <c r="G270">
        <f ca="1">IFERROR(__xludf.DUMMYFUNCTION("""COMPUTED_VALUE"""),43)</f>
        <v>43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IFERROR(__xludf.DUMMYFUNCTION("""COMPUTED_VALUE"""),266)</f>
        <v>266</v>
      </c>
      <c r="C271" t="str">
        <f ca="1">IFERROR(__xludf.DUMMYFUNCTION("""COMPUTED_VALUE"""),"Tiger Woods")</f>
        <v>Tiger Woods</v>
      </c>
      <c r="D271">
        <f ca="1">IFERROR(__xludf.DUMMYFUNCTION("""COMPUTED_VALUE"""),6)</f>
        <v>6</v>
      </c>
      <c r="E271">
        <f ca="1">IFERROR(__xludf.DUMMYFUNCTION("""COMPUTED_VALUE"""),37.14)</f>
        <v>37.14</v>
      </c>
      <c r="F271">
        <f ca="1">IFERROR(__xludf.DUMMYFUNCTION("""COMPUTED_VALUE"""),13)</f>
        <v>13</v>
      </c>
      <c r="G271">
        <f ca="1">IFERROR(__xludf.DUMMYFUNCTION("""COMPUTED_VALUE"""),35)</f>
        <v>35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IFERROR(__xludf.DUMMYFUNCTION("""COMPUTED_VALUE"""),267)</f>
        <v>267</v>
      </c>
      <c r="C272" t="str">
        <f ca="1">IFERROR(__xludf.DUMMYFUNCTION("""COMPUTED_VALUE"""),"Stephan Jaeger")</f>
        <v>Stephan Jaeger</v>
      </c>
      <c r="D272">
        <f ca="1">IFERROR(__xludf.DUMMYFUNCTION("""COMPUTED_VALUE"""),4)</f>
        <v>4</v>
      </c>
      <c r="E272">
        <f ca="1">IFERROR(__xludf.DUMMYFUNCTION("""COMPUTED_VALUE"""),36.11)</f>
        <v>36.11</v>
      </c>
      <c r="F272">
        <f ca="1">IFERROR(__xludf.DUMMYFUNCTION("""COMPUTED_VALUE"""),13)</f>
        <v>13</v>
      </c>
      <c r="G272">
        <f ca="1">IFERROR(__xludf.DUMMYFUNCTION("""COMPUTED_VALUE"""),36)</f>
        <v>36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IFERROR(__xludf.DUMMYFUNCTION("""COMPUTED_VALUE"""),268)</f>
        <v>268</v>
      </c>
      <c r="C273" t="str">
        <f ca="1">IFERROR(__xludf.DUMMYFUNCTION("""COMPUTED_VALUE"""),"Eric Dugas")</f>
        <v>Eric Dugas</v>
      </c>
      <c r="D273">
        <f ca="1">IFERROR(__xludf.DUMMYFUNCTION("""COMPUTED_VALUE"""),4)</f>
        <v>4</v>
      </c>
      <c r="E273">
        <f ca="1">IFERROR(__xludf.DUMMYFUNCTION("""COMPUTED_VALUE"""),36)</f>
        <v>36</v>
      </c>
      <c r="F273">
        <f ca="1">IFERROR(__xludf.DUMMYFUNCTION("""COMPUTED_VALUE"""),9)</f>
        <v>9</v>
      </c>
      <c r="G273">
        <f ca="1">IFERROR(__xludf.DUMMYFUNCTION("""COMPUTED_VALUE"""),25)</f>
        <v>25</v>
      </c>
    </row>
    <row r="274" spans="1:7" ht="12.75">
      <c r="A274">
        <f ca="1">IFERROR(__xludf.DUMMYFUNCTION("""COMPUTED_VALUE"""),273)</f>
        <v>273</v>
      </c>
      <c r="B274" t="str">
        <f ca="1">IFERROR(__xludf.DUMMYFUNCTION("""COMPUTED_VALUE"""),"T269")</f>
        <v>T269</v>
      </c>
      <c r="C274" t="str">
        <f ca="1">IFERROR(__xludf.DUMMYFUNCTION("""COMPUTED_VALUE"""),"Roberto Díaz")</f>
        <v>Roberto Díaz</v>
      </c>
      <c r="D274">
        <f ca="1">IFERROR(__xludf.DUMMYFUNCTION("""COMPUTED_VALUE"""),4)</f>
        <v>4</v>
      </c>
      <c r="E274">
        <f ca="1">IFERROR(__xludf.DUMMYFUNCTION("""COMPUTED_VALUE"""),35.71)</f>
        <v>35.71</v>
      </c>
      <c r="F274">
        <f ca="1">IFERROR(__xludf.DUMMYFUNCTION("""COMPUTED_VALUE"""),5)</f>
        <v>5</v>
      </c>
      <c r="G274">
        <f ca="1">IFERROR(__xludf.DUMMYFUNCTION("""COMPUTED_VALUE"""),14)</f>
        <v>14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IFERROR(__xludf.DUMMYFUNCTION("""COMPUTED_VALUE"""),271)</f>
        <v>271</v>
      </c>
      <c r="C275" t="str">
        <f ca="1">IFERROR(__xludf.DUMMYFUNCTION("""COMPUTED_VALUE"""),"Adam Hadwin")</f>
        <v>Adam Hadwin</v>
      </c>
      <c r="D275">
        <f ca="1">IFERROR(__xludf.DUMMYFUNCTION("""COMPUTED_VALUE"""),16)</f>
        <v>16</v>
      </c>
      <c r="E275">
        <f ca="1">IFERROR(__xludf.DUMMYFUNCTION("""COMPUTED_VALUE"""),35.63)</f>
        <v>35.630000000000003</v>
      </c>
      <c r="F275">
        <f ca="1">IFERROR(__xludf.DUMMYFUNCTION("""COMPUTED_VALUE"""),31)</f>
        <v>31</v>
      </c>
      <c r="G275">
        <f ca="1">IFERROR(__xludf.DUMMYFUNCTION("""COMPUTED_VALUE"""),87)</f>
        <v>87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IFERROR(__xludf.DUMMYFUNCTION("""COMPUTED_VALUE"""),272)</f>
        <v>272</v>
      </c>
      <c r="C276" t="str">
        <f ca="1">IFERROR(__xludf.DUMMYFUNCTION("""COMPUTED_VALUE"""),"Jeongwoo Ham")</f>
        <v>Jeongwoo Ham</v>
      </c>
      <c r="D276">
        <f ca="1">IFERROR(__xludf.DUMMYFUNCTION("""COMPUTED_VALUE"""),4)</f>
        <v>4</v>
      </c>
      <c r="E276">
        <f ca="1">IFERROR(__xludf.DUMMYFUNCTION("""COMPUTED_VALUE"""),34.78)</f>
        <v>34.78</v>
      </c>
      <c r="F276">
        <f ca="1">IFERROR(__xludf.DUMMYFUNCTION("""COMPUTED_VALUE"""),8)</f>
        <v>8</v>
      </c>
      <c r="G276">
        <f ca="1">IFERROR(__xludf.DUMMYFUNCTION("""COMPUTED_VALUE"""),23)</f>
        <v>23</v>
      </c>
    </row>
    <row r="277" spans="1:7" ht="12.75">
      <c r="A277" t="str">
        <f ca="1">IFERROR(__xludf.DUMMYFUNCTION("""COMPUTED_VALUE"""),"T276")</f>
        <v>T276</v>
      </c>
      <c r="B277" t="str">
        <f ca="1">IFERROR(__xludf.DUMMYFUNCTION("""COMPUTED_VALUE"""),"T273")</f>
        <v>T273</v>
      </c>
      <c r="C277" t="str">
        <f ca="1">IFERROR(__xludf.DUMMYFUNCTION("""COMPUTED_VALUE"""),"Tae Hee Lee")</f>
        <v>Tae Hee Lee</v>
      </c>
      <c r="D277">
        <f ca="1">IFERROR(__xludf.DUMMYFUNCTION("""COMPUTED_VALUE"""),4)</f>
        <v>4</v>
      </c>
      <c r="E277">
        <f ca="1">IFERROR(__xludf.DUMMYFUNCTION("""COMPUTED_VALUE"""),34.48)</f>
        <v>34.479999999999997</v>
      </c>
      <c r="F277">
        <f ca="1">IFERROR(__xludf.DUMMYFUNCTION("""COMPUTED_VALUE"""),10)</f>
        <v>10</v>
      </c>
      <c r="G277">
        <f ca="1">IFERROR(__xludf.DUMMYFUNCTION("""COMPUTED_VALUE"""),29)</f>
        <v>29</v>
      </c>
    </row>
    <row r="278" spans="1:7" ht="12.75">
      <c r="A278" t="str">
        <f ca="1">IFERROR(__xludf.DUMMYFUNCTION("""COMPUTED_VALUE"""),"T276")</f>
        <v>T276</v>
      </c>
      <c r="B278" t="str">
        <f ca="1">IFERROR(__xludf.DUMMYFUNCTION("""COMPUTED_VALUE"""),"T273")</f>
        <v>T273</v>
      </c>
      <c r="C278" t="str">
        <f ca="1">IFERROR(__xludf.DUMMYFUNCTION("""COMPUTED_VALUE"""),"Jaekyeong Lee")</f>
        <v>Jaekyeong Lee</v>
      </c>
      <c r="D278">
        <f ca="1">IFERROR(__xludf.DUMMYFUNCTION("""COMPUTED_VALUE"""),4)</f>
        <v>4</v>
      </c>
      <c r="E278">
        <f ca="1">IFERROR(__xludf.DUMMYFUNCTION("""COMPUTED_VALUE"""),34.48)</f>
        <v>34.479999999999997</v>
      </c>
      <c r="F278">
        <f ca="1">IFERROR(__xludf.DUMMYFUNCTION("""COMPUTED_VALUE"""),10)</f>
        <v>10</v>
      </c>
      <c r="G278">
        <f ca="1">IFERROR(__xludf.DUMMYFUNCTION("""COMPUTED_VALUE"""),29)</f>
        <v>29</v>
      </c>
    </row>
    <row r="279" spans="1:7" ht="12.75">
      <c r="A279">
        <f ca="1">IFERROR(__xludf.DUMMYFUNCTION("""COMPUTED_VALUE"""),278)</f>
        <v>278</v>
      </c>
      <c r="B279">
        <f ca="1">IFERROR(__xludf.DUMMYFUNCTION("""COMPUTED_VALUE"""),278)</f>
        <v>278</v>
      </c>
      <c r="C279" t="str">
        <f ca="1">IFERROR(__xludf.DUMMYFUNCTION("""COMPUTED_VALUE"""),"Michael Thompson")</f>
        <v>Michael Thompson</v>
      </c>
      <c r="D279">
        <f ca="1">IFERROR(__xludf.DUMMYFUNCTION("""COMPUTED_VALUE"""),16)</f>
        <v>16</v>
      </c>
      <c r="E279">
        <f ca="1">IFERROR(__xludf.DUMMYFUNCTION("""COMPUTED_VALUE"""),33.73)</f>
        <v>33.729999999999997</v>
      </c>
      <c r="F279">
        <f ca="1">IFERROR(__xludf.DUMMYFUNCTION("""COMPUTED_VALUE"""),28)</f>
        <v>28</v>
      </c>
      <c r="G279">
        <f ca="1">IFERROR(__xludf.DUMMYFUNCTION("""COMPUTED_VALUE"""),83)</f>
        <v>83</v>
      </c>
    </row>
    <row r="280" spans="1:7" ht="12.75">
      <c r="A280" t="str">
        <f ca="1">IFERROR(__xludf.DUMMYFUNCTION("""COMPUTED_VALUE"""),"T279")</f>
        <v>T279</v>
      </c>
      <c r="B280">
        <f ca="1">IFERROR(__xludf.DUMMYFUNCTION("""COMPUTED_VALUE"""),275)</f>
        <v>275</v>
      </c>
      <c r="C280" t="str">
        <f ca="1">IFERROR(__xludf.DUMMYFUNCTION("""COMPUTED_VALUE"""),"Lucas Herbert")</f>
        <v>Lucas Herbert</v>
      </c>
      <c r="D280">
        <f ca="1">IFERROR(__xludf.DUMMYFUNCTION("""COMPUTED_VALUE"""),4)</f>
        <v>4</v>
      </c>
      <c r="E280">
        <f ca="1">IFERROR(__xludf.DUMMYFUNCTION("""COMPUTED_VALUE"""),33.33)</f>
        <v>33.33</v>
      </c>
      <c r="F280">
        <f ca="1">IFERROR(__xludf.DUMMYFUNCTION("""COMPUTED_VALUE"""),12)</f>
        <v>12</v>
      </c>
      <c r="G280">
        <f ca="1">IFERROR(__xludf.DUMMYFUNCTION("""COMPUTED_VALUE"""),36)</f>
        <v>36</v>
      </c>
    </row>
    <row r="281" spans="1:7" ht="12.75">
      <c r="A281" t="str">
        <f ca="1">IFERROR(__xludf.DUMMYFUNCTION("""COMPUTED_VALUE"""),"T279")</f>
        <v>T279</v>
      </c>
      <c r="B281">
        <f ca="1">IFERROR(__xludf.DUMMYFUNCTION("""COMPUTED_VALUE"""),264)</f>
        <v>264</v>
      </c>
      <c r="C281" t="str">
        <f ca="1">IFERROR(__xludf.DUMMYFUNCTION("""COMPUTED_VALUE"""),"Graeme McDowell")</f>
        <v>Graeme McDowell</v>
      </c>
      <c r="D281">
        <f ca="1">IFERROR(__xludf.DUMMYFUNCTION("""COMPUTED_VALUE"""),8)</f>
        <v>8</v>
      </c>
      <c r="E281">
        <f ca="1">IFERROR(__xludf.DUMMYFUNCTION("""COMPUTED_VALUE"""),33.33)</f>
        <v>33.33</v>
      </c>
      <c r="F281">
        <f ca="1">IFERROR(__xludf.DUMMYFUNCTION("""COMPUTED_VALUE"""),15)</f>
        <v>15</v>
      </c>
      <c r="G281">
        <f ca="1">IFERROR(__xludf.DUMMYFUNCTION("""COMPUTED_VALUE"""),45)</f>
        <v>45</v>
      </c>
    </row>
    <row r="282" spans="1:7" ht="12.75">
      <c r="A282">
        <f ca="1">IFERROR(__xludf.DUMMYFUNCTION("""COMPUTED_VALUE"""),281)</f>
        <v>281</v>
      </c>
      <c r="B282">
        <f ca="1">IFERROR(__xludf.DUMMYFUNCTION("""COMPUTED_VALUE"""),282)</f>
        <v>282</v>
      </c>
      <c r="C282" t="str">
        <f ca="1">IFERROR(__xludf.DUMMYFUNCTION("""COMPUTED_VALUE"""),"Adam Scott")</f>
        <v>Adam Scott</v>
      </c>
      <c r="D282">
        <f ca="1">IFERROR(__xludf.DUMMYFUNCTION("""COMPUTED_VALUE"""),8)</f>
        <v>8</v>
      </c>
      <c r="E282">
        <f ca="1">IFERROR(__xludf.DUMMYFUNCTION("""COMPUTED_VALUE"""),32.76)</f>
        <v>32.76</v>
      </c>
      <c r="F282">
        <f ca="1">IFERROR(__xludf.DUMMYFUNCTION("""COMPUTED_VALUE"""),19)</f>
        <v>19</v>
      </c>
      <c r="G282">
        <f ca="1">IFERROR(__xludf.DUMMYFUNCTION("""COMPUTED_VALUE"""),58)</f>
        <v>58</v>
      </c>
    </row>
    <row r="283" spans="1:7" ht="12.75">
      <c r="A283">
        <f ca="1">IFERROR(__xludf.DUMMYFUNCTION("""COMPUTED_VALUE"""),282)</f>
        <v>282</v>
      </c>
      <c r="B283">
        <f ca="1">IFERROR(__xludf.DUMMYFUNCTION("""COMPUTED_VALUE"""),276)</f>
        <v>276</v>
      </c>
      <c r="C283" t="str">
        <f ca="1">IFERROR(__xludf.DUMMYFUNCTION("""COMPUTED_VALUE"""),"Gary Woodland")</f>
        <v>Gary Woodland</v>
      </c>
      <c r="D283">
        <f ca="1">IFERROR(__xludf.DUMMYFUNCTION("""COMPUTED_VALUE"""),6)</f>
        <v>6</v>
      </c>
      <c r="E283">
        <f ca="1">IFERROR(__xludf.DUMMYFUNCTION("""COMPUTED_VALUE"""),32.69)</f>
        <v>32.69</v>
      </c>
      <c r="F283">
        <f ca="1">IFERROR(__xludf.DUMMYFUNCTION("""COMPUTED_VALUE"""),17)</f>
        <v>17</v>
      </c>
      <c r="G283">
        <f ca="1">IFERROR(__xludf.DUMMYFUNCTION("""COMPUTED_VALUE"""),52)</f>
        <v>52</v>
      </c>
    </row>
    <row r="284" spans="1:7" ht="12.75">
      <c r="A284">
        <f ca="1">IFERROR(__xludf.DUMMYFUNCTION("""COMPUTED_VALUE"""),283)</f>
        <v>283</v>
      </c>
      <c r="B284">
        <f ca="1">IFERROR(__xludf.DUMMYFUNCTION("""COMPUTED_VALUE"""),277)</f>
        <v>277</v>
      </c>
      <c r="C284" t="str">
        <f ca="1">IFERROR(__xludf.DUMMYFUNCTION("""COMPUTED_VALUE"""),"Ryo Ishikawa")</f>
        <v>Ryo Ishikawa</v>
      </c>
      <c r="D284">
        <f ca="1">IFERROR(__xludf.DUMMYFUNCTION("""COMPUTED_VALUE"""),8)</f>
        <v>8</v>
      </c>
      <c r="E284">
        <f ca="1">IFERROR(__xludf.DUMMYFUNCTION("""COMPUTED_VALUE"""),32)</f>
        <v>32</v>
      </c>
      <c r="F284">
        <f ca="1">IFERROR(__xludf.DUMMYFUNCTION("""COMPUTED_VALUE"""),16)</f>
        <v>16</v>
      </c>
      <c r="G284">
        <f ca="1">IFERROR(__xludf.DUMMYFUNCTION("""COMPUTED_VALUE"""),50)</f>
        <v>50</v>
      </c>
    </row>
    <row r="285" spans="1:7" ht="12.75">
      <c r="A285">
        <f ca="1">IFERROR(__xludf.DUMMYFUNCTION("""COMPUTED_VALUE"""),284)</f>
        <v>284</v>
      </c>
      <c r="B285">
        <f ca="1">IFERROR(__xludf.DUMMYFUNCTION("""COMPUTED_VALUE"""),279)</f>
        <v>279</v>
      </c>
      <c r="C285" t="str">
        <f ca="1">IFERROR(__xludf.DUMMYFUNCTION("""COMPUTED_VALUE"""),"Taylor Pendrith")</f>
        <v>Taylor Pendrith</v>
      </c>
      <c r="D285">
        <f ca="1">IFERROR(__xludf.DUMMYFUNCTION("""COMPUTED_VALUE"""),4)</f>
        <v>4</v>
      </c>
      <c r="E285">
        <f ca="1">IFERROR(__xludf.DUMMYFUNCTION("""COMPUTED_VALUE"""),30.56)</f>
        <v>30.56</v>
      </c>
      <c r="F285">
        <f ca="1">IFERROR(__xludf.DUMMYFUNCTION("""COMPUTED_VALUE"""),11)</f>
        <v>11</v>
      </c>
      <c r="G285">
        <f ca="1">IFERROR(__xludf.DUMMYFUNCTION("""COMPUTED_VALUE"""),36)</f>
        <v>36</v>
      </c>
    </row>
    <row r="286" spans="1:7" ht="12.75">
      <c r="A286">
        <f ca="1">IFERROR(__xludf.DUMMYFUNCTION("""COMPUTED_VALUE"""),285)</f>
        <v>285</v>
      </c>
      <c r="B286" t="str">
        <f ca="1">IFERROR(__xludf.DUMMYFUNCTION("""COMPUTED_VALUE"""),"T269")</f>
        <v>T269</v>
      </c>
      <c r="C286" t="str">
        <f ca="1">IFERROR(__xludf.DUMMYFUNCTION("""COMPUTED_VALUE"""),"Lee Westwood")</f>
        <v>Lee Westwood</v>
      </c>
      <c r="D286">
        <f ca="1">IFERROR(__xludf.DUMMYFUNCTION("""COMPUTED_VALUE"""),6)</f>
        <v>6</v>
      </c>
      <c r="E286">
        <f ca="1">IFERROR(__xludf.DUMMYFUNCTION("""COMPUTED_VALUE"""),29.27)</f>
        <v>29.27</v>
      </c>
      <c r="F286">
        <f ca="1">IFERROR(__xludf.DUMMYFUNCTION("""COMPUTED_VALUE"""),12)</f>
        <v>12</v>
      </c>
      <c r="G286">
        <f ca="1">IFERROR(__xludf.DUMMYFUNCTION("""COMPUTED_VALUE"""),41)</f>
        <v>41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IFERROR(__xludf.DUMMYFUNCTION("""COMPUTED_VALUE"""),280)</f>
        <v>280</v>
      </c>
      <c r="C287" t="str">
        <f ca="1">IFERROR(__xludf.DUMMYFUNCTION("""COMPUTED_VALUE"""),"John Pak")</f>
        <v>John Pak</v>
      </c>
      <c r="D287">
        <f ca="1">IFERROR(__xludf.DUMMYFUNCTION("""COMPUTED_VALUE"""),4)</f>
        <v>4</v>
      </c>
      <c r="E287">
        <f ca="1">IFERROR(__xludf.DUMMYFUNCTION("""COMPUTED_VALUE"""),27.59)</f>
        <v>27.59</v>
      </c>
      <c r="F287">
        <f ca="1">IFERROR(__xludf.DUMMYFUNCTION("""COMPUTED_VALUE"""),8)</f>
        <v>8</v>
      </c>
      <c r="G287">
        <f ca="1">IFERROR(__xludf.DUMMYFUNCTION("""COMPUTED_VALUE"""),29)</f>
        <v>29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IFERROR(__xludf.DUMMYFUNCTION("""COMPUTED_VALUE"""),281)</f>
        <v>281</v>
      </c>
      <c r="C288" t="str">
        <f ca="1">IFERROR(__xludf.DUMMYFUNCTION("""COMPUTED_VALUE"""),"Rikuya Hoshino")</f>
        <v>Rikuya Hoshino</v>
      </c>
      <c r="D288">
        <f ca="1">IFERROR(__xludf.DUMMYFUNCTION("""COMPUTED_VALUE"""),4)</f>
        <v>4</v>
      </c>
      <c r="E288">
        <f ca="1">IFERROR(__xludf.DUMMYFUNCTION("""COMPUTED_VALUE"""),27.27)</f>
        <v>27.27</v>
      </c>
      <c r="F288">
        <f ca="1">IFERROR(__xludf.DUMMYFUNCTION("""COMPUTED_VALUE"""),3)</f>
        <v>3</v>
      </c>
      <c r="G288">
        <f ca="1">IFERROR(__xludf.DUMMYFUNCTION("""COMPUTED_VALUE"""),11)</f>
        <v>11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IFERROR(__xludf.DUMMYFUNCTION("""COMPUTED_VALUE"""),"Fred Funk")</f>
        <v>Fred Funk</v>
      </c>
      <c r="D289">
        <f ca="1">IFERROR(__xludf.DUMMYFUNCTION("""COMPUTED_VALUE"""),4)</f>
        <v>4</v>
      </c>
      <c r="E289">
        <f ca="1">IFERROR(__xludf.DUMMYFUNCTION("""COMPUTED_VALUE"""),21.74)</f>
        <v>21.74</v>
      </c>
      <c r="F289">
        <f ca="1">IFERROR(__xludf.DUMMYFUNCTION("""COMPUTED_VALUE"""),5)</f>
        <v>5</v>
      </c>
      <c r="G289">
        <f ca="1">IFERROR(__xludf.DUMMYFUNCTION("""COMPUTED_VALUE"""),23)</f>
        <v>23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IFERROR(__xludf.DUMMYFUNCTION("""COMPUTED_VALUE"""),"Christiaan Bezuidenhout")</f>
        <v>Christiaan Bezuidenhout</v>
      </c>
      <c r="D290">
        <f ca="1">IFERROR(__xludf.DUMMYFUNCTION("""COMPUTED_VALUE"""),4)</f>
        <v>4</v>
      </c>
      <c r="E290">
        <f ca="1">IFERROR(__xludf.DUMMYFUNCTION("""COMPUTED_VALUE"""),21.21)</f>
        <v>21.21</v>
      </c>
      <c r="F290">
        <f ca="1">IFERROR(__xludf.DUMMYFUNCTION("""COMPUTED_VALUE"""),7)</f>
        <v>7</v>
      </c>
      <c r="G290">
        <f ca="1">IFERROR(__xludf.DUMMYFUNCTION("""COMPUTED_VALUE"""),33)</f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IFERROR(__xludf.DUMMYFUNCTION("importhtml(""https://www.pgatour.com/stats/stat.331.html"",""table"",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IFERROR(__xludf.DUMMYFUNCTION("""COMPUTED_VALUE"""),"GIR RANK")</f>
        <v>GIR RANK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 t="str">
        <f ca="1">IFERROR(__xludf.DUMMYFUNCTION("""COMPUTED_VALUE"""),"24' 2""")</f>
        <v>24' 2"</v>
      </c>
      <c r="F2" s="2">
        <f ca="1">IFERROR(__xludf.DUMMYFUNCTION("""COMPUTED_VALUE"""),1740)</f>
        <v>1740</v>
      </c>
      <c r="G2">
        <f ca="1">IFERROR(__xludf.DUMMYFUNCTION("""COMPUTED_VALUE"""),72)</f>
        <v>72</v>
      </c>
      <c r="H2" t="str">
        <f ca="1">IFERROR(__xludf.DUMMYFUNCTION("""COMPUTED_VALUE"""),"Under")</f>
        <v>Under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IFERROR(__xludf.DUMMYFUNCTION("""COMPUTED_VALUE"""),"Ricky Barnes")</f>
        <v>Ricky Barnes</v>
      </c>
      <c r="D3">
        <f ca="1">IFERROR(__xludf.DUMMYFUNCTION("""COMPUTED_VALUE"""),12)</f>
        <v>12</v>
      </c>
      <c r="E3" t="str">
        <f ca="1">IFERROR(__xludf.DUMMYFUNCTION("""COMPUTED_VALUE"""),"26' 4""")</f>
        <v>26' 4"</v>
      </c>
      <c r="F3" s="2">
        <f ca="1">IFERROR(__xludf.DUMMYFUNCTION("""COMPUTED_VALUE"""),1895.333)</f>
        <v>1895.3330000000001</v>
      </c>
      <c r="G3">
        <f ca="1">IFERROR(__xludf.DUMMYFUNCTION("""COMPUTED_VALUE"""),72)</f>
        <v>72</v>
      </c>
      <c r="H3" t="str">
        <f ca="1">IFERROR(__xludf.DUMMYFUNCTION("""COMPUTED_VALUE"""),"Under")</f>
        <v>Under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IFERROR(__xludf.DUMMYFUNCTION("""COMPUTED_VALUE"""),"Ryan Blaum")</f>
        <v>Ryan Blaum</v>
      </c>
      <c r="D4">
        <f ca="1">IFERROR(__xludf.DUMMYFUNCTION("""COMPUTED_VALUE"""),8)</f>
        <v>8</v>
      </c>
      <c r="E4" t="str">
        <f ca="1">IFERROR(__xludf.DUMMYFUNCTION("""COMPUTED_VALUE"""),"27' 0""")</f>
        <v>27' 0"</v>
      </c>
      <c r="F4" s="2">
        <f ca="1">IFERROR(__xludf.DUMMYFUNCTION("""COMPUTED_VALUE"""),1915.417)</f>
        <v>1915.4169999999999</v>
      </c>
      <c r="G4">
        <f ca="1">IFERROR(__xludf.DUMMYFUNCTION("""COMPUTED_VALUE"""),71)</f>
        <v>71</v>
      </c>
      <c r="H4" t="str">
        <f ca="1">IFERROR(__xludf.DUMMYFUNCTION("""COMPUTED_VALUE"""),"Under")</f>
        <v>Under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IFERROR(__xludf.DUMMYFUNCTION("""COMPUTED_VALUE"""),"George McNeill")</f>
        <v>George McNeill</v>
      </c>
      <c r="D5">
        <f ca="1">IFERROR(__xludf.DUMMYFUNCTION("""COMPUTED_VALUE"""),8)</f>
        <v>8</v>
      </c>
      <c r="E5" t="str">
        <f ca="1">IFERROR(__xludf.DUMMYFUNCTION("""COMPUTED_VALUE"""),"27' 7""")</f>
        <v>27' 7"</v>
      </c>
      <c r="F5">
        <f ca="1">IFERROR(__xludf.DUMMYFUNCTION("""COMPUTED_VALUE"""),991.583)</f>
        <v>991.58299999999997</v>
      </c>
      <c r="G5">
        <f ca="1">IFERROR(__xludf.DUMMYFUNCTION("""COMPUTED_VALUE"""),36)</f>
        <v>36</v>
      </c>
      <c r="H5" t="str">
        <f ca="1">IFERROR(__xludf.DUMMYFUNCTION("""COMPUTED_VALUE"""),"Over")</f>
        <v>Over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IFERROR(__xludf.DUMMYFUNCTION("""COMPUTED_VALUE"""),"Akshay Bhatia")</f>
        <v>Akshay Bhatia</v>
      </c>
      <c r="D6">
        <f ca="1">IFERROR(__xludf.DUMMYFUNCTION("""COMPUTED_VALUE"""),6)</f>
        <v>6</v>
      </c>
      <c r="E6" t="str">
        <f ca="1">IFERROR(__xludf.DUMMYFUNCTION("""COMPUTED_VALUE"""),"28' 7""")</f>
        <v>28' 7"</v>
      </c>
      <c r="F6" s="2">
        <f ca="1">IFERROR(__xludf.DUMMYFUNCTION("""COMPUTED_VALUE"""),2059.667)</f>
        <v>2059.6669999999999</v>
      </c>
      <c r="G6">
        <f ca="1">IFERROR(__xludf.DUMMYFUNCTION("""COMPUTED_VALUE"""),72)</f>
        <v>72</v>
      </c>
      <c r="H6" t="str">
        <f ca="1">IFERROR(__xludf.DUMMYFUNCTION("""COMPUTED_VALUE"""),"Under")</f>
        <v>Under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IFERROR(__xludf.DUMMYFUNCTION("""COMPUTED_VALUE"""),"J.J. Spaun")</f>
        <v>J.J. Spaun</v>
      </c>
      <c r="D7">
        <f ca="1">IFERROR(__xludf.DUMMYFUNCTION("""COMPUTED_VALUE"""),10)</f>
        <v>10</v>
      </c>
      <c r="E7" t="str">
        <f ca="1">IFERROR(__xludf.DUMMYFUNCTION("""COMPUTED_VALUE"""),"28' 8""")</f>
        <v>28' 8"</v>
      </c>
      <c r="F7" s="2">
        <f ca="1">IFERROR(__xludf.DUMMYFUNCTION("""COMPUTED_VALUE"""),3093.083)</f>
        <v>3093.0830000000001</v>
      </c>
      <c r="G7">
        <f ca="1">IFERROR(__xludf.DUMMYFUNCTION("""COMPUTED_VALUE"""),108)</f>
        <v>108</v>
      </c>
      <c r="H7" t="str">
        <f ca="1">IFERROR(__xludf.DUMMYFUNCTION("""COMPUTED_VALUE"""),"Under")</f>
        <v>Under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IFERROR(__xludf.DUMMYFUNCTION("""COMPUTED_VALUE"""),"William McGirt")</f>
        <v>William McGirt</v>
      </c>
      <c r="D8">
        <f ca="1">IFERROR(__xludf.DUMMYFUNCTION("""COMPUTED_VALUE"""),6)</f>
        <v>6</v>
      </c>
      <c r="E8" t="str">
        <f ca="1">IFERROR(__xludf.DUMMYFUNCTION("""COMPUTED_VALUE"""),"28' 11""")</f>
        <v>28' 11"</v>
      </c>
      <c r="F8" s="2">
        <f ca="1">IFERROR(__xludf.DUMMYFUNCTION("""COMPUTED_VALUE"""),3121.083)</f>
        <v>3121.0830000000001</v>
      </c>
      <c r="G8">
        <f ca="1">IFERROR(__xludf.DUMMYFUNCTION("""COMPUTED_VALUE"""),108)</f>
        <v>108</v>
      </c>
      <c r="H8" t="str">
        <f ca="1">IFERROR(__xludf.DUMMYFUNCTION("""COMPUTED_VALUE"""),"Under")</f>
        <v>Under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IFERROR(__xludf.DUMMYFUNCTION("""COMPUTED_VALUE"""),"Justin Suh")</f>
        <v>Justin Suh</v>
      </c>
      <c r="D9">
        <f ca="1">IFERROR(__xludf.DUMMYFUNCTION("""COMPUTED_VALUE"""),10)</f>
        <v>10</v>
      </c>
      <c r="E9" t="str">
        <f ca="1">IFERROR(__xludf.DUMMYFUNCTION("""COMPUTED_VALUE"""),"29' 1""")</f>
        <v>29' 1"</v>
      </c>
      <c r="F9" s="2">
        <f ca="1">IFERROR(__xludf.DUMMYFUNCTION("""COMPUTED_VALUE"""),2067)</f>
        <v>2067</v>
      </c>
      <c r="G9">
        <f ca="1">IFERROR(__xludf.DUMMYFUNCTION("""COMPUTED_VALUE"""),71)</f>
        <v>71</v>
      </c>
      <c r="H9" t="str">
        <f ca="1">IFERROR(__xludf.DUMMYFUNCTION("""COMPUTED_VALUE"""),"Under")</f>
        <v>Under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IFERROR(__xludf.DUMMYFUNCTION("""COMPUTED_VALUE"""),9)</f>
        <v>9</v>
      </c>
      <c r="C10" t="str">
        <f ca="1">IFERROR(__xludf.DUMMYFUNCTION("""COMPUTED_VALUE"""),"Wes Roach")</f>
        <v>Wes Roach</v>
      </c>
      <c r="D10">
        <f ca="1">IFERROR(__xludf.DUMMYFUNCTION("""COMPUTED_VALUE"""),6)</f>
        <v>6</v>
      </c>
      <c r="E10" t="str">
        <f ca="1">IFERROR(__xludf.DUMMYFUNCTION("""COMPUTED_VALUE"""),"29' 6""")</f>
        <v>29' 6"</v>
      </c>
      <c r="F10" s="2">
        <f ca="1">IFERROR(__xludf.DUMMYFUNCTION("""COMPUTED_VALUE"""),1062.5)</f>
        <v>1062.5</v>
      </c>
      <c r="G10">
        <f ca="1">IFERROR(__xludf.DUMMYFUNCTION("""COMPUTED_VALUE"""),36)</f>
        <v>36</v>
      </c>
      <c r="H10" t="str">
        <f ca="1">IFERROR(__xludf.DUMMYFUNCTION("""COMPUTED_VALUE"""),"Under")</f>
        <v>Under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IFERROR(__xludf.DUMMYFUNCTION("""COMPUTED_VALUE"""),12)</f>
        <v>12</v>
      </c>
      <c r="C11" t="str">
        <f ca="1">IFERROR(__xludf.DUMMYFUNCTION("""COMPUTED_VALUE"""),"Bud Cauley")</f>
        <v>Bud Cauley</v>
      </c>
      <c r="D11">
        <f ca="1">IFERROR(__xludf.DUMMYFUNCTION("""COMPUTED_VALUE"""),4)</f>
        <v>4</v>
      </c>
      <c r="E11" t="str">
        <f ca="1">IFERROR(__xludf.DUMMYFUNCTION("""COMPUTED_VALUE"""),"29' 9""")</f>
        <v>29' 9"</v>
      </c>
      <c r="F11" s="2">
        <f ca="1">IFERROR(__xludf.DUMMYFUNCTION("""COMPUTED_VALUE"""),2144.083)</f>
        <v>2144.0830000000001</v>
      </c>
      <c r="G11">
        <f ca="1">IFERROR(__xludf.DUMMYFUNCTION("""COMPUTED_VALUE"""),72)</f>
        <v>72</v>
      </c>
      <c r="H11" t="str">
        <f ca="1">IFERROR(__xludf.DUMMYFUNCTION("""COMPUTED_VALUE"""),"Under")</f>
        <v>Under</v>
      </c>
    </row>
    <row r="12" spans="1:8" ht="15.75" customHeight="1">
      <c r="A12" t="str">
        <f ca="1">IFERROR(__xludf.DUMMYFUNCTION("""COMPUTED_VALUE"""),"T11")</f>
        <v>T11</v>
      </c>
      <c r="B12" t="str">
        <f ca="1">IFERROR(__xludf.DUMMYFUNCTION("""COMPUTED_VALUE"""),"T16")</f>
        <v>T16</v>
      </c>
      <c r="C12" t="str">
        <f ca="1">IFERROR(__xludf.DUMMYFUNCTION("""COMPUTED_VALUE"""),"Kyle Stanley")</f>
        <v>Kyle Stanley</v>
      </c>
      <c r="D12">
        <f ca="1">IFERROR(__xludf.DUMMYFUNCTION("""COMPUTED_VALUE"""),16)</f>
        <v>16</v>
      </c>
      <c r="E12" t="str">
        <f ca="1">IFERROR(__xludf.DUMMYFUNCTION("""COMPUTED_VALUE"""),"30' 2""")</f>
        <v>30' 2"</v>
      </c>
      <c r="F12" s="2">
        <f ca="1">IFERROR(__xludf.DUMMYFUNCTION("""COMPUTED_VALUE"""),4287.917)</f>
        <v>4287.9170000000004</v>
      </c>
      <c r="G12">
        <f ca="1">IFERROR(__xludf.DUMMYFUNCTION("""COMPUTED_VALUE"""),142)</f>
        <v>142</v>
      </c>
      <c r="H12" t="str">
        <f ca="1">IFERROR(__xludf.DUMMYFUNCTION("""COMPUTED_VALUE"""),"Under")</f>
        <v>Under</v>
      </c>
    </row>
    <row r="13" spans="1:8" ht="15.75" customHeight="1">
      <c r="A13" t="str">
        <f ca="1">IFERROR(__xludf.DUMMYFUNCTION("""COMPUTED_VALUE"""),"T11")</f>
        <v>T11</v>
      </c>
      <c r="B13" t="str">
        <f ca="1">IFERROR(__xludf.DUMMYFUNCTION("""COMPUTED_VALUE"""),"T16")</f>
        <v>T16</v>
      </c>
      <c r="C13" t="str">
        <f ca="1">IFERROR(__xludf.DUMMYFUNCTION("""COMPUTED_VALUE"""),"Hanbyeol Kim")</f>
        <v>Hanbyeol Kim</v>
      </c>
      <c r="D13">
        <f ca="1">IFERROR(__xludf.DUMMYFUNCTION("""COMPUTED_VALUE"""),4)</f>
        <v>4</v>
      </c>
      <c r="E13" t="str">
        <f ca="1">IFERROR(__xludf.DUMMYFUNCTION("""COMPUTED_VALUE"""),"30' 2""")</f>
        <v>30' 2"</v>
      </c>
      <c r="F13" s="2">
        <f ca="1">IFERROR(__xludf.DUMMYFUNCTION("""COMPUTED_VALUE"""),2142.75)</f>
        <v>2142.75</v>
      </c>
      <c r="G13">
        <f ca="1">IFERROR(__xludf.DUMMYFUNCTION("""COMPUTED_VALUE"""),71)</f>
        <v>71</v>
      </c>
      <c r="H13" t="str">
        <f ca="1">IFERROR(__xludf.DUMMYFUNCTION("""COMPUTED_VALUE"""),"Under")</f>
        <v>Under</v>
      </c>
    </row>
    <row r="14" spans="1:8" ht="15.75" customHeight="1">
      <c r="A14" t="str">
        <f ca="1">IFERROR(__xludf.DUMMYFUNCTION("""COMPUTED_VALUE"""),"T13")</f>
        <v>T13</v>
      </c>
      <c r="B14">
        <f ca="1">IFERROR(__xludf.DUMMYFUNCTION("""COMPUTED_VALUE"""),11)</f>
        <v>11</v>
      </c>
      <c r="C14" t="str">
        <f ca="1">IFERROR(__xludf.DUMMYFUNCTION("""COMPUTED_VALUE"""),"Ryan Armour")</f>
        <v>Ryan Armour</v>
      </c>
      <c r="D14">
        <f ca="1">IFERROR(__xludf.DUMMYFUNCTION("""COMPUTED_VALUE"""),16)</f>
        <v>16</v>
      </c>
      <c r="E14" t="str">
        <f ca="1">IFERROR(__xludf.DUMMYFUNCTION("""COMPUTED_VALUE"""),"30' 4""")</f>
        <v>30' 4"</v>
      </c>
      <c r="F14" s="2">
        <f ca="1">IFERROR(__xludf.DUMMYFUNCTION("""COMPUTED_VALUE"""),5454)</f>
        <v>5454</v>
      </c>
      <c r="G14">
        <f ca="1">IFERROR(__xludf.DUMMYFUNCTION("""COMPUTED_VALUE"""),180)</f>
        <v>180</v>
      </c>
      <c r="H14" t="str">
        <f ca="1">IFERROR(__xludf.DUMMYFUNCTION("""COMPUTED_VALUE"""),"Over")</f>
        <v>Over</v>
      </c>
    </row>
    <row r="15" spans="1:8" ht="15.75" customHeight="1">
      <c r="A15" t="str">
        <f ca="1">IFERROR(__xludf.DUMMYFUNCTION("""COMPUTED_VALUE"""),"T13")</f>
        <v>T13</v>
      </c>
      <c r="B15" t="str">
        <f ca="1">IFERROR(__xludf.DUMMYFUNCTION("""COMPUTED_VALUE"""),"T16")</f>
        <v>T16</v>
      </c>
      <c r="C15" t="str">
        <f ca="1">IFERROR(__xludf.DUMMYFUNCTION("""COMPUTED_VALUE"""),"Jason Dufner")</f>
        <v>Jason Dufner</v>
      </c>
      <c r="D15">
        <f ca="1">IFERROR(__xludf.DUMMYFUNCTION("""COMPUTED_VALUE"""),14)</f>
        <v>14</v>
      </c>
      <c r="E15" t="str">
        <f ca="1">IFERROR(__xludf.DUMMYFUNCTION("""COMPUTED_VALUE"""),"30' 4""")</f>
        <v>30' 4"</v>
      </c>
      <c r="F15" s="2">
        <f ca="1">IFERROR(__xludf.DUMMYFUNCTION("""COMPUTED_VALUE"""),5425.167)</f>
        <v>5425.1670000000004</v>
      </c>
      <c r="G15">
        <f ca="1">IFERROR(__xludf.DUMMYFUNCTION("""COMPUTED_VALUE"""),179)</f>
        <v>179</v>
      </c>
      <c r="H15" t="str">
        <f ca="1">IFERROR(__xludf.DUMMYFUNCTION("""COMPUTED_VALUE"""),"Under")</f>
        <v>Under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IFERROR(__xludf.DUMMYFUNCTION("""COMPUTED_VALUE"""),20)</f>
        <v>20</v>
      </c>
      <c r="C16" t="str">
        <f ca="1">IFERROR(__xludf.DUMMYFUNCTION("""COMPUTED_VALUE"""),"Chez Reavie")</f>
        <v>Chez Reavie</v>
      </c>
      <c r="D16">
        <f ca="1">IFERROR(__xludf.DUMMYFUNCTION("""COMPUTED_VALUE"""),14)</f>
        <v>14</v>
      </c>
      <c r="E16" t="str">
        <f ca="1">IFERROR(__xludf.DUMMYFUNCTION("""COMPUTED_VALUE"""),"30' 6""")</f>
        <v>30' 6"</v>
      </c>
      <c r="F16" s="2">
        <f ca="1">IFERROR(__xludf.DUMMYFUNCTION("""COMPUTED_VALUE"""),7618.167)</f>
        <v>7618.1670000000004</v>
      </c>
      <c r="G16">
        <f ca="1">IFERROR(__xludf.DUMMYFUNCTION("""COMPUTED_VALUE"""),250)</f>
        <v>250</v>
      </c>
      <c r="H16" t="str">
        <f ca="1">IFERROR(__xludf.DUMMYFUNCTION("""COMPUTED_VALUE"""),"Under")</f>
        <v>Under</v>
      </c>
    </row>
    <row r="17" spans="1:8" ht="15.75" customHeight="1">
      <c r="A17">
        <f ca="1">IFERROR(__xludf.DUMMYFUNCTION("""COMPUTED_VALUE"""),16)</f>
        <v>16</v>
      </c>
      <c r="B17" t="str">
        <f ca="1">IFERROR(__xludf.DUMMYFUNCTION("""COMPUTED_VALUE"""),"T21")</f>
        <v>T21</v>
      </c>
      <c r="C17" t="str">
        <f ca="1">IFERROR(__xludf.DUMMYFUNCTION("""COMPUTED_VALUE"""),"Jonathan Byrd")</f>
        <v>Jonathan Byrd</v>
      </c>
      <c r="D17">
        <f ca="1">IFERROR(__xludf.DUMMYFUNCTION("""COMPUTED_VALUE"""),14)</f>
        <v>14</v>
      </c>
      <c r="E17" t="str">
        <f ca="1">IFERROR(__xludf.DUMMYFUNCTION("""COMPUTED_VALUE"""),"30' 9""")</f>
        <v>30' 9"</v>
      </c>
      <c r="F17" s="2">
        <f ca="1">IFERROR(__xludf.DUMMYFUNCTION("""COMPUTED_VALUE"""),3291)</f>
        <v>3291</v>
      </c>
      <c r="G17">
        <f ca="1">IFERROR(__xludf.DUMMYFUNCTION("""COMPUTED_VALUE"""),107)</f>
        <v>107</v>
      </c>
      <c r="H17" t="str">
        <f ca="1">IFERROR(__xludf.DUMMYFUNCTION("""COMPUTED_VALUE"""),"Under")</f>
        <v>Under</v>
      </c>
    </row>
    <row r="18" spans="1:8" ht="15.75" customHeight="1">
      <c r="A18">
        <f ca="1">IFERROR(__xludf.DUMMYFUNCTION("""COMPUTED_VALUE"""),17)</f>
        <v>17</v>
      </c>
      <c r="B18">
        <f ca="1">IFERROR(__xludf.DUMMYFUNCTION("""COMPUTED_VALUE"""),19)</f>
        <v>19</v>
      </c>
      <c r="C18" t="str">
        <f ca="1">IFERROR(__xludf.DUMMYFUNCTION("""COMPUTED_VALUE"""),"Tyrrell Hatton")</f>
        <v>Tyrrell Hatton</v>
      </c>
      <c r="D18">
        <f ca="1">IFERROR(__xludf.DUMMYFUNCTION("""COMPUTED_VALUE"""),14)</f>
        <v>14</v>
      </c>
      <c r="E18" t="str">
        <f ca="1">IFERROR(__xludf.DUMMYFUNCTION("""COMPUTED_VALUE"""),"31' 0""")</f>
        <v>31' 0"</v>
      </c>
      <c r="F18" s="2">
        <f ca="1">IFERROR(__xludf.DUMMYFUNCTION("""COMPUTED_VALUE"""),7619.167)</f>
        <v>7619.1670000000004</v>
      </c>
      <c r="G18">
        <f ca="1">IFERROR(__xludf.DUMMYFUNCTION("""COMPUTED_VALUE"""),246)</f>
        <v>246</v>
      </c>
      <c r="H18" t="str">
        <f ca="1">IFERROR(__xludf.DUMMYFUNCTION("""COMPUTED_VALUE"""),"Under")</f>
        <v>Under</v>
      </c>
    </row>
    <row r="19" spans="1:8" ht="15.75" customHeight="1">
      <c r="A19" t="str">
        <f ca="1">IFERROR(__xludf.DUMMYFUNCTION("""COMPUTED_VALUE"""),"T18")</f>
        <v>T18</v>
      </c>
      <c r="B19" t="str">
        <f ca="1">IFERROR(__xludf.DUMMYFUNCTION("""COMPUTED_VALUE"""),"T25")</f>
        <v>T25</v>
      </c>
      <c r="C19" t="str">
        <f ca="1">IFERROR(__xludf.DUMMYFUNCTION("""COMPUTED_VALUE"""),"K.J. Choi")</f>
        <v>K.J. Choi</v>
      </c>
      <c r="D19">
        <f ca="1">IFERROR(__xludf.DUMMYFUNCTION("""COMPUTED_VALUE"""),6)</f>
        <v>6</v>
      </c>
      <c r="E19" t="str">
        <f ca="1">IFERROR(__xludf.DUMMYFUNCTION("""COMPUTED_VALUE"""),"31' 2""")</f>
        <v>31' 2"</v>
      </c>
      <c r="F19" s="2">
        <f ca="1">IFERROR(__xludf.DUMMYFUNCTION("""COMPUTED_VALUE"""),3338.417)</f>
        <v>3338.4169999999999</v>
      </c>
      <c r="G19">
        <f ca="1">IFERROR(__xludf.DUMMYFUNCTION("""COMPUTED_VALUE"""),107)</f>
        <v>107</v>
      </c>
      <c r="H19" t="str">
        <f ca="1">IFERROR(__xludf.DUMMYFUNCTION("""COMPUTED_VALUE"""),"Under")</f>
        <v>Under</v>
      </c>
    </row>
    <row r="20" spans="1:8" ht="15.75" customHeight="1">
      <c r="A20" t="str">
        <f ca="1">IFERROR(__xludf.DUMMYFUNCTION("""COMPUTED_VALUE"""),"T18")</f>
        <v>T18</v>
      </c>
      <c r="B20" t="str">
        <f ca="1">IFERROR(__xludf.DUMMYFUNCTION("""COMPUTED_VALUE"""),"T25")</f>
        <v>T25</v>
      </c>
      <c r="C20" t="str">
        <f ca="1">IFERROR(__xludf.DUMMYFUNCTION("""COMPUTED_VALUE"""),"Ryan Brehm")</f>
        <v>Ryan Brehm</v>
      </c>
      <c r="D20">
        <f ca="1">IFERROR(__xludf.DUMMYFUNCTION("""COMPUTED_VALUE"""),10)</f>
        <v>10</v>
      </c>
      <c r="E20" t="str">
        <f ca="1">IFERROR(__xludf.DUMMYFUNCTION("""COMPUTED_VALUE"""),"31' 2""")</f>
        <v>31' 2"</v>
      </c>
      <c r="F20" s="2">
        <f ca="1">IFERROR(__xludf.DUMMYFUNCTION("""COMPUTED_VALUE"""),1089.5)</f>
        <v>1089.5</v>
      </c>
      <c r="G20">
        <f ca="1">IFERROR(__xludf.DUMMYFUNCTION("""COMPUTED_VALUE"""),35)</f>
        <v>35</v>
      </c>
      <c r="H20" t="str">
        <f ca="1">IFERROR(__xludf.DUMMYFUNCTION("""COMPUTED_VALUE"""),"Under")</f>
        <v>Under</v>
      </c>
    </row>
    <row r="21" spans="1:8" ht="15.75" customHeight="1">
      <c r="A21">
        <f ca="1">IFERROR(__xludf.DUMMYFUNCTION("""COMPUTED_VALUE"""),20)</f>
        <v>20</v>
      </c>
      <c r="B21" t="str">
        <f ca="1">IFERROR(__xludf.DUMMYFUNCTION("""COMPUTED_VALUE"""),"T21")</f>
        <v>T21</v>
      </c>
      <c r="C21" t="str">
        <f ca="1">IFERROR(__xludf.DUMMYFUNCTION("""COMPUTED_VALUE"""),"Emiliano Grillo")</f>
        <v>Emiliano Grillo</v>
      </c>
      <c r="D21">
        <f ca="1">IFERROR(__xludf.DUMMYFUNCTION("""COMPUTED_VALUE"""),22)</f>
        <v>22</v>
      </c>
      <c r="E21" t="str">
        <f ca="1">IFERROR(__xludf.DUMMYFUNCTION("""COMPUTED_VALUE"""),"31' 3""")</f>
        <v>31' 3"</v>
      </c>
      <c r="F21" s="2">
        <f ca="1">IFERROR(__xludf.DUMMYFUNCTION("""COMPUTED_VALUE"""),7805.333)</f>
        <v>7805.3329999999996</v>
      </c>
      <c r="G21">
        <f ca="1">IFERROR(__xludf.DUMMYFUNCTION("""COMPUTED_VALUE"""),250)</f>
        <v>250</v>
      </c>
      <c r="H21" t="str">
        <f ca="1">IFERROR(__xludf.DUMMYFUNCTION("""COMPUTED_VALUE"""),"Under")</f>
        <v>Under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IFERROR(__xludf.DUMMYFUNCTION("""COMPUTED_VALUE"""),29)</f>
        <v>29</v>
      </c>
      <c r="C22" t="str">
        <f ca="1">IFERROR(__xludf.DUMMYFUNCTION("""COMPUTED_VALUE"""),"Andy Zhang")</f>
        <v>Andy Zhang</v>
      </c>
      <c r="D22">
        <f ca="1">IFERROR(__xludf.DUMMYFUNCTION("""COMPUTED_VALUE"""),4)</f>
        <v>4</v>
      </c>
      <c r="E22" t="str">
        <f ca="1">IFERROR(__xludf.DUMMYFUNCTION("""COMPUTED_VALUE"""),"31' 6""")</f>
        <v>31' 6"</v>
      </c>
      <c r="F22" s="2">
        <f ca="1">IFERROR(__xludf.DUMMYFUNCTION("""COMPUTED_VALUE"""),2268.583)</f>
        <v>2268.5830000000001</v>
      </c>
      <c r="G22">
        <f ca="1">IFERROR(__xludf.DUMMYFUNCTION("""COMPUTED_VALUE"""),72)</f>
        <v>72</v>
      </c>
      <c r="H22" t="str">
        <f ca="1">IFERROR(__xludf.DUMMYFUNCTION("""COMPUTED_VALUE"""),"Under")</f>
        <v>Under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IFERROR(__xludf.DUMMYFUNCTION("""COMPUTED_VALUE"""),15)</f>
        <v>15</v>
      </c>
      <c r="C23" t="str">
        <f ca="1">IFERROR(__xludf.DUMMYFUNCTION("""COMPUTED_VALUE"""),"Vaughn Taylor")</f>
        <v>Vaughn Taylor</v>
      </c>
      <c r="D23">
        <f ca="1">IFERROR(__xludf.DUMMYFUNCTION("""COMPUTED_VALUE"""),12)</f>
        <v>12</v>
      </c>
      <c r="E23" t="str">
        <f ca="1">IFERROR(__xludf.DUMMYFUNCTION("""COMPUTED_VALUE"""),"31' 7""")</f>
        <v>31' 7"</v>
      </c>
      <c r="F23" s="2">
        <f ca="1">IFERROR(__xludf.DUMMYFUNCTION("""COMPUTED_VALUE"""),3380)</f>
        <v>3380</v>
      </c>
      <c r="G23">
        <f ca="1">IFERROR(__xludf.DUMMYFUNCTION("""COMPUTED_VALUE"""),107)</f>
        <v>107</v>
      </c>
      <c r="H23" t="str">
        <f ca="1">IFERROR(__xludf.DUMMYFUNCTION("""COMPUTED_VALUE"""),"Over")</f>
        <v>Over</v>
      </c>
    </row>
    <row r="24" spans="1:8" ht="15.75" customHeight="1">
      <c r="A24" t="str">
        <f ca="1">IFERROR(__xludf.DUMMYFUNCTION("""COMPUTED_VALUE"""),"T23")</f>
        <v>T23</v>
      </c>
      <c r="B24" t="str">
        <f ca="1">IFERROR(__xludf.DUMMYFUNCTION("""COMPUTED_VALUE"""),"T31")</f>
        <v>T31</v>
      </c>
      <c r="C24" t="str">
        <f ca="1">IFERROR(__xludf.DUMMYFUNCTION("""COMPUTED_VALUE"""),"Gunn Charoenkul")</f>
        <v>Gunn Charoenkul</v>
      </c>
      <c r="D24">
        <f ca="1">IFERROR(__xludf.DUMMYFUNCTION("""COMPUTED_VALUE"""),4)</f>
        <v>4</v>
      </c>
      <c r="E24" t="str">
        <f ca="1">IFERROR(__xludf.DUMMYFUNCTION("""COMPUTED_VALUE"""),"31' 9""")</f>
        <v>31' 9"</v>
      </c>
      <c r="F24" s="2">
        <f ca="1">IFERROR(__xludf.DUMMYFUNCTION("""COMPUTED_VALUE"""),2251.833)</f>
        <v>2251.8330000000001</v>
      </c>
      <c r="G24">
        <f ca="1">IFERROR(__xludf.DUMMYFUNCTION("""COMPUTED_VALUE"""),71)</f>
        <v>71</v>
      </c>
      <c r="H24" t="str">
        <f ca="1">IFERROR(__xludf.DUMMYFUNCTION("""COMPUTED_VALUE"""),"Under")</f>
        <v>Under</v>
      </c>
    </row>
    <row r="25" spans="1:8" ht="15.75" customHeight="1">
      <c r="A25" t="str">
        <f ca="1">IFERROR(__xludf.DUMMYFUNCTION("""COMPUTED_VALUE"""),"T23")</f>
        <v>T23</v>
      </c>
      <c r="B25" t="str">
        <f ca="1">IFERROR(__xludf.DUMMYFUNCTION("""COMPUTED_VALUE"""),"T31")</f>
        <v>T31</v>
      </c>
      <c r="C25" t="str">
        <f ca="1">IFERROR(__xludf.DUMMYFUNCTION("""COMPUTED_VALUE"""),"Sebastian Cappelen")</f>
        <v>Sebastian Cappelen</v>
      </c>
      <c r="D25">
        <f ca="1">IFERROR(__xludf.DUMMYFUNCTION("""COMPUTED_VALUE"""),8)</f>
        <v>8</v>
      </c>
      <c r="E25" t="str">
        <f ca="1">IFERROR(__xludf.DUMMYFUNCTION("""COMPUTED_VALUE"""),"31' 9""")</f>
        <v>31' 9"</v>
      </c>
      <c r="F25" s="2">
        <f ca="1">IFERROR(__xludf.DUMMYFUNCTION("""COMPUTED_VALUE"""),2255.833)</f>
        <v>2255.8330000000001</v>
      </c>
      <c r="G25">
        <f ca="1">IFERROR(__xludf.DUMMYFUNCTION("""COMPUTED_VALUE"""),71)</f>
        <v>71</v>
      </c>
      <c r="H25" t="str">
        <f ca="1">IFERROR(__xludf.DUMMYFUNCTION("""COMPUTED_VALUE"""),"Under")</f>
        <v>Under</v>
      </c>
    </row>
    <row r="26" spans="1:8" ht="15.75" customHeight="1">
      <c r="A26">
        <f ca="1">IFERROR(__xludf.DUMMYFUNCTION("""COMPUTED_VALUE"""),25)</f>
        <v>25</v>
      </c>
      <c r="B26" t="str">
        <f ca="1">IFERROR(__xludf.DUMMYFUNCTION("""COMPUTED_VALUE"""),"T13")</f>
        <v>T13</v>
      </c>
      <c r="C26" t="str">
        <f ca="1">IFERROR(__xludf.DUMMYFUNCTION("""COMPUTED_VALUE"""),"Austin Cook")</f>
        <v>Austin Cook</v>
      </c>
      <c r="D26">
        <f ca="1">IFERROR(__xludf.DUMMYFUNCTION("""COMPUTED_VALUE"""),14)</f>
        <v>14</v>
      </c>
      <c r="E26" t="str">
        <f ca="1">IFERROR(__xludf.DUMMYFUNCTION("""COMPUTED_VALUE"""),"31' 10""")</f>
        <v>31' 10"</v>
      </c>
      <c r="F26" s="2">
        <f ca="1">IFERROR(__xludf.DUMMYFUNCTION("""COMPUTED_VALUE"""),7996.833)</f>
        <v>7996.8329999999996</v>
      </c>
      <c r="G26">
        <f ca="1">IFERROR(__xludf.DUMMYFUNCTION("""COMPUTED_VALUE"""),251)</f>
        <v>251</v>
      </c>
      <c r="H26" t="str">
        <f ca="1">IFERROR(__xludf.DUMMYFUNCTION("""COMPUTED_VALUE"""),"Under")</f>
        <v>Under</v>
      </c>
    </row>
    <row r="27" spans="1:8" ht="15.75" customHeight="1">
      <c r="A27">
        <f ca="1">IFERROR(__xludf.DUMMYFUNCTION("""COMPUTED_VALUE"""),26)</f>
        <v>26</v>
      </c>
      <c r="B27">
        <f ca="1">IFERROR(__xludf.DUMMYFUNCTION("""COMPUTED_VALUE"""),10)</f>
        <v>10</v>
      </c>
      <c r="C27" t="str">
        <f ca="1">IFERROR(__xludf.DUMMYFUNCTION("""COMPUTED_VALUE"""),"Russell Knox")</f>
        <v>Russell Knox</v>
      </c>
      <c r="D27">
        <f ca="1">IFERROR(__xludf.DUMMYFUNCTION("""COMPUTED_VALUE"""),16)</f>
        <v>16</v>
      </c>
      <c r="E27" t="str">
        <f ca="1">IFERROR(__xludf.DUMMYFUNCTION("""COMPUTED_VALUE"""),"31' 11""")</f>
        <v>31' 11"</v>
      </c>
      <c r="F27" s="2">
        <f ca="1">IFERROR(__xludf.DUMMYFUNCTION("""COMPUTED_VALUE"""),6859.333)</f>
        <v>6859.3329999999996</v>
      </c>
      <c r="G27">
        <f ca="1">IFERROR(__xludf.DUMMYFUNCTION("""COMPUTED_VALUE"""),215)</f>
        <v>215</v>
      </c>
      <c r="H27" t="str">
        <f ca="1">IFERROR(__xludf.DUMMYFUNCTION("""COMPUTED_VALUE"""),"Under")</f>
        <v>Under</v>
      </c>
    </row>
    <row r="28" spans="1:8" ht="15.75" customHeight="1">
      <c r="A28" t="str">
        <f ca="1">IFERROR(__xludf.DUMMYFUNCTION("""COMPUTED_VALUE"""),"T27")</f>
        <v>T27</v>
      </c>
      <c r="B28" t="str">
        <f ca="1">IFERROR(__xludf.DUMMYFUNCTION("""COMPUTED_VALUE"""),"T36")</f>
        <v>T36</v>
      </c>
      <c r="C28" t="str">
        <f ca="1">IFERROR(__xludf.DUMMYFUNCTION("""COMPUTED_VALUE"""),"Mark Anderson")</f>
        <v>Mark Anderson</v>
      </c>
      <c r="D28">
        <f ca="1">IFERROR(__xludf.DUMMYFUNCTION("""COMPUTED_VALUE"""),14)</f>
        <v>14</v>
      </c>
      <c r="E28" t="str">
        <f ca="1">IFERROR(__xludf.DUMMYFUNCTION("""COMPUTED_VALUE"""),"32' 4""")</f>
        <v>32' 4"</v>
      </c>
      <c r="F28" s="2">
        <f ca="1">IFERROR(__xludf.DUMMYFUNCTION("""COMPUTED_VALUE"""),3494)</f>
        <v>3494</v>
      </c>
      <c r="G28">
        <f ca="1">IFERROR(__xludf.DUMMYFUNCTION("""COMPUTED_VALUE"""),108)</f>
        <v>108</v>
      </c>
      <c r="H28" t="str">
        <f ca="1">IFERROR(__xludf.DUMMYFUNCTION("""COMPUTED_VALUE"""),"Under")</f>
        <v>Under</v>
      </c>
    </row>
    <row r="29" spans="1:8" ht="15.75" customHeight="1">
      <c r="A29" t="str">
        <f ca="1">IFERROR(__xludf.DUMMYFUNCTION("""COMPUTED_VALUE"""),"T27")</f>
        <v>T27</v>
      </c>
      <c r="B29" t="str">
        <f ca="1">IFERROR(__xludf.DUMMYFUNCTION("""COMPUTED_VALUE"""),"T36")</f>
        <v>T36</v>
      </c>
      <c r="C29" t="str">
        <f ca="1">IFERROR(__xludf.DUMMYFUNCTION("""COMPUTED_VALUE"""),"Nelson Ledesma")</f>
        <v>Nelson Ledesma</v>
      </c>
      <c r="D29">
        <f ca="1">IFERROR(__xludf.DUMMYFUNCTION("""COMPUTED_VALUE"""),8)</f>
        <v>8</v>
      </c>
      <c r="E29" t="str">
        <f ca="1">IFERROR(__xludf.DUMMYFUNCTION("""COMPUTED_VALUE"""),"32' 4""")</f>
        <v>32' 4"</v>
      </c>
      <c r="F29" s="2">
        <f ca="1">IFERROR(__xludf.DUMMYFUNCTION("""COMPUTED_VALUE"""),2326.083)</f>
        <v>2326.0830000000001</v>
      </c>
      <c r="G29">
        <f ca="1">IFERROR(__xludf.DUMMYFUNCTION("""COMPUTED_VALUE"""),72)</f>
        <v>72</v>
      </c>
      <c r="H29" t="str">
        <f ca="1">IFERROR(__xludf.DUMMYFUNCTION("""COMPUTED_VALUE"""),"Under")</f>
        <v>Under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IFERROR(__xludf.DUMMYFUNCTION("""COMPUTED_VALUE"""),"T38")</f>
        <v>T38</v>
      </c>
      <c r="C30" t="str">
        <f ca="1">IFERROR(__xludf.DUMMYFUNCTION("""COMPUTED_VALUE"""),"Cameron Percy")</f>
        <v>Cameron Percy</v>
      </c>
      <c r="D30">
        <f ca="1">IFERROR(__xludf.DUMMYFUNCTION("""COMPUTED_VALUE"""),16)</f>
        <v>16</v>
      </c>
      <c r="E30" t="str">
        <f ca="1">IFERROR(__xludf.DUMMYFUNCTION("""COMPUTED_VALUE"""),"32' 6""")</f>
        <v>32' 6"</v>
      </c>
      <c r="F30" s="2">
        <f ca="1">IFERROR(__xludf.DUMMYFUNCTION("""COMPUTED_VALUE"""),4682.333)</f>
        <v>4682.3329999999996</v>
      </c>
      <c r="G30">
        <f ca="1">IFERROR(__xludf.DUMMYFUNCTION("""COMPUTED_VALUE"""),144)</f>
        <v>144</v>
      </c>
      <c r="H30" t="str">
        <f ca="1">IFERROR(__xludf.DUMMYFUNCTION("""COMPUTED_VALUE"""),"Under")</f>
        <v>Under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IFERROR(__xludf.DUMMYFUNCTION("""COMPUTED_VALUE"""),"T38")</f>
        <v>T38</v>
      </c>
      <c r="C31" t="str">
        <f ca="1">IFERROR(__xludf.DUMMYFUNCTION("""COMPUTED_VALUE"""),"Michael Gellerman")</f>
        <v>Michael Gellerman</v>
      </c>
      <c r="D31">
        <f ca="1">IFERROR(__xludf.DUMMYFUNCTION("""COMPUTED_VALUE"""),5)</f>
        <v>5</v>
      </c>
      <c r="E31" t="str">
        <f ca="1">IFERROR(__xludf.DUMMYFUNCTION("""COMPUTED_VALUE"""),"32' 6""")</f>
        <v>32' 6"</v>
      </c>
      <c r="F31" s="2">
        <f ca="1">IFERROR(__xludf.DUMMYFUNCTION("""COMPUTED_VALUE"""),1170.25)</f>
        <v>1170.25</v>
      </c>
      <c r="G31">
        <f ca="1">IFERROR(__xludf.DUMMYFUNCTION("""COMPUTED_VALUE"""),36)</f>
        <v>36</v>
      </c>
      <c r="H31" t="str">
        <f ca="1">IFERROR(__xludf.DUMMYFUNCTION("""COMPUTED_VALUE"""),"Under")</f>
        <v>Under</v>
      </c>
    </row>
    <row r="32" spans="1:8" ht="12.75">
      <c r="A32">
        <f ca="1">IFERROR(__xludf.DUMMYFUNCTION("""COMPUTED_VALUE"""),31)</f>
        <v>31</v>
      </c>
      <c r="B32">
        <f ca="1">IFERROR(__xludf.DUMMYFUNCTION("""COMPUTED_VALUE"""),40)</f>
        <v>40</v>
      </c>
      <c r="C32" t="str">
        <f ca="1">IFERROR(__xludf.DUMMYFUNCTION("""COMPUTED_VALUE"""),"Ben Taylor")</f>
        <v>Ben Taylor</v>
      </c>
      <c r="D32">
        <f ca="1">IFERROR(__xludf.DUMMYFUNCTION("""COMPUTED_VALUE"""),10)</f>
        <v>10</v>
      </c>
      <c r="E32" t="str">
        <f ca="1">IFERROR(__xludf.DUMMYFUNCTION("""COMPUTED_VALUE"""),"32' 7""")</f>
        <v>32' 7"</v>
      </c>
      <c r="F32" s="2">
        <f ca="1">IFERROR(__xludf.DUMMYFUNCTION("""COMPUTED_VALUE"""),2344.75)</f>
        <v>2344.75</v>
      </c>
      <c r="G32">
        <f ca="1">IFERROR(__xludf.DUMMYFUNCTION("""COMPUTED_VALUE"""),72)</f>
        <v>72</v>
      </c>
      <c r="H32" t="str">
        <f ca="1">IFERROR(__xludf.DUMMYFUNCTION("""COMPUTED_VALUE"""),"Under")</f>
        <v>Under</v>
      </c>
    </row>
    <row r="33" spans="1:8" ht="12.75">
      <c r="A33">
        <f ca="1">IFERROR(__xludf.DUMMYFUNCTION("""COMPUTED_VALUE"""),32)</f>
        <v>32</v>
      </c>
      <c r="B33" t="str">
        <f ca="1">IFERROR(__xludf.DUMMYFUNCTION("""COMPUTED_VALUE"""),"T42")</f>
        <v>T42</v>
      </c>
      <c r="C33" t="str">
        <f ca="1">IFERROR(__xludf.DUMMYFUNCTION("""COMPUTED_VALUE"""),"Russell Henley")</f>
        <v>Russell Henley</v>
      </c>
      <c r="D33">
        <f ca="1">IFERROR(__xludf.DUMMYFUNCTION("""COMPUTED_VALUE"""),16)</f>
        <v>16</v>
      </c>
      <c r="E33" t="str">
        <f ca="1">IFERROR(__xludf.DUMMYFUNCTION("""COMPUTED_VALUE"""),"32' 8""")</f>
        <v>32' 8"</v>
      </c>
      <c r="F33" s="2">
        <f ca="1">IFERROR(__xludf.DUMMYFUNCTION("""COMPUTED_VALUE"""),9384.083)</f>
        <v>9384.0830000000005</v>
      </c>
      <c r="G33">
        <f ca="1">IFERROR(__xludf.DUMMYFUNCTION("""COMPUTED_VALUE"""),287)</f>
        <v>287</v>
      </c>
      <c r="H33" t="str">
        <f ca="1">IFERROR(__xludf.DUMMYFUNCTION("""COMPUTED_VALUE"""),"1 Under")</f>
        <v>1 Under</v>
      </c>
    </row>
    <row r="34" spans="1:8" ht="12.75">
      <c r="A34">
        <f ca="1">IFERROR(__xludf.DUMMYFUNCTION("""COMPUTED_VALUE"""),33)</f>
        <v>33</v>
      </c>
      <c r="B34">
        <f ca="1">IFERROR(__xludf.DUMMYFUNCTION("""COMPUTED_VALUE"""),28)</f>
        <v>28</v>
      </c>
      <c r="C34" t="str">
        <f ca="1">IFERROR(__xludf.DUMMYFUNCTION("""COMPUTED_VALUE"""),"Martin Laird")</f>
        <v>Martin Laird</v>
      </c>
      <c r="D34">
        <f ca="1">IFERROR(__xludf.DUMMYFUNCTION("""COMPUTED_VALUE"""),16)</f>
        <v>16</v>
      </c>
      <c r="E34" t="str">
        <f ca="1">IFERROR(__xludf.DUMMYFUNCTION("""COMPUTED_VALUE"""),"32' 9""")</f>
        <v>32' 9"</v>
      </c>
      <c r="F34" s="2">
        <f ca="1">IFERROR(__xludf.DUMMYFUNCTION("""COMPUTED_VALUE"""),7081.25)</f>
        <v>7081.25</v>
      </c>
      <c r="G34">
        <f ca="1">IFERROR(__xludf.DUMMYFUNCTION("""COMPUTED_VALUE"""),216)</f>
        <v>216</v>
      </c>
      <c r="H34" t="str">
        <f ca="1">IFERROR(__xludf.DUMMYFUNCTION("""COMPUTED_VALUE"""),"Under")</f>
        <v>Under</v>
      </c>
    </row>
    <row r="35" spans="1:8" ht="12.75">
      <c r="A35">
        <f ca="1">IFERROR(__xludf.DUMMYFUNCTION("""COMPUTED_VALUE"""),34)</f>
        <v>34</v>
      </c>
      <c r="B35" t="str">
        <f ca="1">IFERROR(__xludf.DUMMYFUNCTION("""COMPUTED_VALUE"""),"T42")</f>
        <v>T42</v>
      </c>
      <c r="C35" t="str">
        <f ca="1">IFERROR(__xludf.DUMMYFUNCTION("""COMPUTED_VALUE"""),"Anirban Lahiri")</f>
        <v>Anirban Lahiri</v>
      </c>
      <c r="D35">
        <f ca="1">IFERROR(__xludf.DUMMYFUNCTION("""COMPUTED_VALUE"""),16)</f>
        <v>16</v>
      </c>
      <c r="E35" t="str">
        <f ca="1">IFERROR(__xludf.DUMMYFUNCTION("""COMPUTED_VALUE"""),"32' 10""")</f>
        <v>32' 10"</v>
      </c>
      <c r="F35" s="2">
        <f ca="1">IFERROR(__xludf.DUMMYFUNCTION("""COMPUTED_VALUE"""),4723.5)</f>
        <v>4723.5</v>
      </c>
      <c r="G35">
        <f ca="1">IFERROR(__xludf.DUMMYFUNCTION("""COMPUTED_VALUE"""),144)</f>
        <v>144</v>
      </c>
      <c r="H35" t="str">
        <f ca="1">IFERROR(__xludf.DUMMYFUNCTION("""COMPUTED_VALUE"""),"Under")</f>
        <v>Under</v>
      </c>
    </row>
    <row r="36" spans="1:8" ht="12.75">
      <c r="A36">
        <f ca="1">IFERROR(__xludf.DUMMYFUNCTION("""COMPUTED_VALUE"""),35)</f>
        <v>35</v>
      </c>
      <c r="B36" t="str">
        <f ca="1">IFERROR(__xludf.DUMMYFUNCTION("""COMPUTED_VALUE"""),"T44")</f>
        <v>T44</v>
      </c>
      <c r="C36" t="str">
        <f ca="1">IFERROR(__xludf.DUMMYFUNCTION("""COMPUTED_VALUE"""),"Brendan Steele")</f>
        <v>Brendan Steele</v>
      </c>
      <c r="D36">
        <f ca="1">IFERROR(__xludf.DUMMYFUNCTION("""COMPUTED_VALUE"""),14)</f>
        <v>14</v>
      </c>
      <c r="E36" t="str">
        <f ca="1">IFERROR(__xludf.DUMMYFUNCTION("""COMPUTED_VALUE"""),"32' 11""")</f>
        <v>32' 11"</v>
      </c>
      <c r="F36" s="2">
        <f ca="1">IFERROR(__xludf.DUMMYFUNCTION("""COMPUTED_VALUE"""),8220)</f>
        <v>8220</v>
      </c>
      <c r="G36">
        <f ca="1">IFERROR(__xludf.DUMMYFUNCTION("""COMPUTED_VALUE"""),250)</f>
        <v>250</v>
      </c>
      <c r="H36" t="str">
        <f ca="1">IFERROR(__xludf.DUMMYFUNCTION("""COMPUTED_VALUE"""),"Under")</f>
        <v>Under</v>
      </c>
    </row>
    <row r="37" spans="1:8" ht="12.75">
      <c r="A37" t="str">
        <f ca="1">IFERROR(__xludf.DUMMYFUNCTION("""COMPUTED_VALUE"""),"T36")</f>
        <v>T36</v>
      </c>
      <c r="B37" t="str">
        <f ca="1">IFERROR(__xludf.DUMMYFUNCTION("""COMPUTED_VALUE"""),"T50")</f>
        <v>T50</v>
      </c>
      <c r="C37" t="str">
        <f ca="1">IFERROR(__xludf.DUMMYFUNCTION("""COMPUTED_VALUE"""),"Mikumu Horikawa")</f>
        <v>Mikumu Horikawa</v>
      </c>
      <c r="D37">
        <f ca="1">IFERROR(__xludf.DUMMYFUNCTION("""COMPUTED_VALUE"""),4)</f>
        <v>4</v>
      </c>
      <c r="E37" t="str">
        <f ca="1">IFERROR(__xludf.DUMMYFUNCTION("""COMPUTED_VALUE"""),"33' 4""")</f>
        <v>33' 4"</v>
      </c>
      <c r="F37" s="2">
        <f ca="1">IFERROR(__xludf.DUMMYFUNCTION("""COMPUTED_VALUE"""),2365)</f>
        <v>2365</v>
      </c>
      <c r="G37">
        <f ca="1">IFERROR(__xludf.DUMMYFUNCTION("""COMPUTED_VALUE"""),71)</f>
        <v>71</v>
      </c>
      <c r="H37" t="str">
        <f ca="1">IFERROR(__xludf.DUMMYFUNCTION("""COMPUTED_VALUE"""),"Under")</f>
        <v>Under</v>
      </c>
    </row>
    <row r="38" spans="1:8" ht="12.75">
      <c r="A38" t="str">
        <f ca="1">IFERROR(__xludf.DUMMYFUNCTION("""COMPUTED_VALUE"""),"T36")</f>
        <v>T36</v>
      </c>
      <c r="B38" t="str">
        <f ca="1">IFERROR(__xludf.DUMMYFUNCTION("""COMPUTED_VALUE"""),"T44")</f>
        <v>T44</v>
      </c>
      <c r="C38" t="str">
        <f ca="1">IFERROR(__xludf.DUMMYFUNCTION("""COMPUTED_VALUE"""),"Tom Hoge")</f>
        <v>Tom Hoge</v>
      </c>
      <c r="D38">
        <f ca="1">IFERROR(__xludf.DUMMYFUNCTION("""COMPUTED_VALUE"""),22)</f>
        <v>22</v>
      </c>
      <c r="E38" t="str">
        <f ca="1">IFERROR(__xludf.DUMMYFUNCTION("""COMPUTED_VALUE"""),"33' 4""")</f>
        <v>33' 4"</v>
      </c>
      <c r="F38" s="2">
        <f ca="1">IFERROR(__xludf.DUMMYFUNCTION("""COMPUTED_VALUE"""),13099.75)</f>
        <v>13099.75</v>
      </c>
      <c r="G38">
        <f ca="1">IFERROR(__xludf.DUMMYFUNCTION("""COMPUTED_VALUE"""),393)</f>
        <v>393</v>
      </c>
      <c r="H38" t="str">
        <f ca="1">IFERROR(__xludf.DUMMYFUNCTION("""COMPUTED_VALUE"""),"1 Under")</f>
        <v>1 Under</v>
      </c>
    </row>
    <row r="39" spans="1:8" ht="12.75">
      <c r="A39" t="str">
        <f ca="1">IFERROR(__xludf.DUMMYFUNCTION("""COMPUTED_VALUE"""),"T36")</f>
        <v>T36</v>
      </c>
      <c r="B39">
        <f ca="1">IFERROR(__xludf.DUMMYFUNCTION("""COMPUTED_VALUE"""),41)</f>
        <v>41</v>
      </c>
      <c r="C39" t="str">
        <f ca="1">IFERROR(__xludf.DUMMYFUNCTION("""COMPUTED_VALUE"""),"Sam Burns")</f>
        <v>Sam Burns</v>
      </c>
      <c r="D39">
        <f ca="1">IFERROR(__xludf.DUMMYFUNCTION("""COMPUTED_VALUE"""),18)</f>
        <v>18</v>
      </c>
      <c r="E39" t="str">
        <f ca="1">IFERROR(__xludf.DUMMYFUNCTION("""COMPUTED_VALUE"""),"33' 4""")</f>
        <v>33' 4"</v>
      </c>
      <c r="F39" s="2">
        <f ca="1">IFERROR(__xludf.DUMMYFUNCTION("""COMPUTED_VALUE"""),8324)</f>
        <v>8324</v>
      </c>
      <c r="G39">
        <f ca="1">IFERROR(__xludf.DUMMYFUNCTION("""COMPUTED_VALUE"""),250)</f>
        <v>250</v>
      </c>
      <c r="H39" t="str">
        <f ca="1">IFERROR(__xludf.DUMMYFUNCTION("""COMPUTED_VALUE"""),"Under")</f>
        <v>Under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IFERROR(__xludf.DUMMYFUNCTION("""COMPUTED_VALUE"""),"T53")</f>
        <v>T53</v>
      </c>
      <c r="C40" t="str">
        <f ca="1">IFERROR(__xludf.DUMMYFUNCTION("""COMPUTED_VALUE"""),"Ryan Palmer")</f>
        <v>Ryan Palmer</v>
      </c>
      <c r="D40">
        <f ca="1">IFERROR(__xludf.DUMMYFUNCTION("""COMPUTED_VALUE"""),14)</f>
        <v>14</v>
      </c>
      <c r="E40" t="str">
        <f ca="1">IFERROR(__xludf.DUMMYFUNCTION("""COMPUTED_VALUE"""),"33' 7""")</f>
        <v>33' 7"</v>
      </c>
      <c r="F40" s="2">
        <f ca="1">IFERROR(__xludf.DUMMYFUNCTION("""COMPUTED_VALUE"""),8398.583)</f>
        <v>8398.5830000000005</v>
      </c>
      <c r="G40">
        <f ca="1">IFERROR(__xludf.DUMMYFUNCTION("""COMPUTED_VALUE"""),250)</f>
        <v>250</v>
      </c>
      <c r="H40" t="str">
        <f ca="1">IFERROR(__xludf.DUMMYFUNCTION("""COMPUTED_VALUE"""),"Under")</f>
        <v>Under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IFERROR(__xludf.DUMMYFUNCTION("""COMPUTED_VALUE"""),"T53")</f>
        <v>T53</v>
      </c>
      <c r="C41" t="str">
        <f ca="1">IFERROR(__xludf.DUMMYFUNCTION("""COMPUTED_VALUE"""),"Chan Kim")</f>
        <v>Chan Kim</v>
      </c>
      <c r="D41">
        <f ca="1">IFERROR(__xludf.DUMMYFUNCTION("""COMPUTED_VALUE"""),6)</f>
        <v>6</v>
      </c>
      <c r="E41" t="str">
        <f ca="1">IFERROR(__xludf.DUMMYFUNCTION("""COMPUTED_VALUE"""),"33' 7""")</f>
        <v>33' 7"</v>
      </c>
      <c r="F41" s="2">
        <f ca="1">IFERROR(__xludf.DUMMYFUNCTION("""COMPUTED_VALUE"""),3627.583)</f>
        <v>3627.5830000000001</v>
      </c>
      <c r="G41">
        <f ca="1">IFERROR(__xludf.DUMMYFUNCTION("""COMPUTED_VALUE"""),108)</f>
        <v>108</v>
      </c>
      <c r="H41" t="str">
        <f ca="1">IFERROR(__xludf.DUMMYFUNCTION("""COMPUTED_VALUE"""),"Over")</f>
        <v>Over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IFERROR(__xludf.DUMMYFUNCTION("""COMPUTED_VALUE"""),"T53")</f>
        <v>T53</v>
      </c>
      <c r="C42" t="str">
        <f ca="1">IFERROR(__xludf.DUMMYFUNCTION("""COMPUTED_VALUE"""),"Naoki Sekito")</f>
        <v>Naoki Sekito</v>
      </c>
      <c r="D42">
        <f ca="1">IFERROR(__xludf.DUMMYFUNCTION("""COMPUTED_VALUE"""),4)</f>
        <v>4</v>
      </c>
      <c r="E42" t="str">
        <f ca="1">IFERROR(__xludf.DUMMYFUNCTION("""COMPUTED_VALUE"""),"33' 7""")</f>
        <v>33' 7"</v>
      </c>
      <c r="F42" s="2">
        <f ca="1">IFERROR(__xludf.DUMMYFUNCTION("""COMPUTED_VALUE"""),2319.167)</f>
        <v>2319.1669999999999</v>
      </c>
      <c r="G42">
        <f ca="1">IFERROR(__xludf.DUMMYFUNCTION("""COMPUTED_VALUE"""),69)</f>
        <v>69</v>
      </c>
      <c r="H42" t="str">
        <f ca="1">IFERROR(__xludf.DUMMYFUNCTION("""COMPUTED_VALUE"""),"Under")</f>
        <v>Under</v>
      </c>
    </row>
    <row r="43" spans="1:8" ht="12.75">
      <c r="A43" t="str">
        <f ca="1">IFERROR(__xludf.DUMMYFUNCTION("""COMPUTED_VALUE"""),"T42")</f>
        <v>T42</v>
      </c>
      <c r="B43" t="str">
        <f ca="1">IFERROR(__xludf.DUMMYFUNCTION("""COMPUTED_VALUE"""),"T57")</f>
        <v>T57</v>
      </c>
      <c r="C43" t="str">
        <f ca="1">IFERROR(__xludf.DUMMYFUNCTION("""COMPUTED_VALUE"""),"Chris Baker")</f>
        <v>Chris Baker</v>
      </c>
      <c r="D43">
        <f ca="1">IFERROR(__xludf.DUMMYFUNCTION("""COMPUTED_VALUE"""),8)</f>
        <v>8</v>
      </c>
      <c r="E43" t="str">
        <f ca="1">IFERROR(__xludf.DUMMYFUNCTION("""COMPUTED_VALUE"""),"33' 8""")</f>
        <v>33' 8"</v>
      </c>
      <c r="F43" s="2">
        <f ca="1">IFERROR(__xludf.DUMMYFUNCTION("""COMPUTED_VALUE"""),2422.583)</f>
        <v>2422.5830000000001</v>
      </c>
      <c r="G43">
        <f ca="1">IFERROR(__xludf.DUMMYFUNCTION("""COMPUTED_VALUE"""),72)</f>
        <v>72</v>
      </c>
      <c r="H43" t="str">
        <f ca="1">IFERROR(__xludf.DUMMYFUNCTION("""COMPUTED_VALUE"""),"Under")</f>
        <v>Under</v>
      </c>
    </row>
    <row r="44" spans="1:8" ht="12.75">
      <c r="A44" t="str">
        <f ca="1">IFERROR(__xludf.DUMMYFUNCTION("""COMPUTED_VALUE"""),"T42")</f>
        <v>T42</v>
      </c>
      <c r="B44" t="str">
        <f ca="1">IFERROR(__xludf.DUMMYFUNCTION("""COMPUTED_VALUE"""),"T57")</f>
        <v>T57</v>
      </c>
      <c r="C44" t="str">
        <f ca="1">IFERROR(__xludf.DUMMYFUNCTION("""COMPUTED_VALUE"""),"Jaekyeong Lee")</f>
        <v>Jaekyeong Lee</v>
      </c>
      <c r="D44">
        <f ca="1">IFERROR(__xludf.DUMMYFUNCTION("""COMPUTED_VALUE"""),4)</f>
        <v>4</v>
      </c>
      <c r="E44" t="str">
        <f ca="1">IFERROR(__xludf.DUMMYFUNCTION("""COMPUTED_VALUE"""),"33' 8""")</f>
        <v>33' 8"</v>
      </c>
      <c r="F44" s="2">
        <f ca="1">IFERROR(__xludf.DUMMYFUNCTION("""COMPUTED_VALUE"""),2354.417)</f>
        <v>2354.4169999999999</v>
      </c>
      <c r="G44">
        <f ca="1">IFERROR(__xludf.DUMMYFUNCTION("""COMPUTED_VALUE"""),70)</f>
        <v>70</v>
      </c>
      <c r="H44" t="str">
        <f ca="1">IFERROR(__xludf.DUMMYFUNCTION("""COMPUTED_VALUE"""),"Under")</f>
        <v>Under</v>
      </c>
    </row>
    <row r="45" spans="1:8" ht="12.75">
      <c r="A45" t="str">
        <f ca="1">IFERROR(__xludf.DUMMYFUNCTION("""COMPUTED_VALUE"""),"T42")</f>
        <v>T42</v>
      </c>
      <c r="B45" t="str">
        <f ca="1">IFERROR(__xludf.DUMMYFUNCTION("""COMPUTED_VALUE"""),"T57")</f>
        <v>T57</v>
      </c>
      <c r="C45" t="str">
        <f ca="1">IFERROR(__xludf.DUMMYFUNCTION("""COMPUTED_VALUE"""),"Collin Morikawa")</f>
        <v>Collin Morikawa</v>
      </c>
      <c r="D45">
        <f ca="1">IFERROR(__xludf.DUMMYFUNCTION("""COMPUTED_VALUE"""),12)</f>
        <v>12</v>
      </c>
      <c r="E45" t="str">
        <f ca="1">IFERROR(__xludf.DUMMYFUNCTION("""COMPUTED_VALUE"""),"33' 8""")</f>
        <v>33' 8"</v>
      </c>
      <c r="F45" s="2">
        <f ca="1">IFERROR(__xludf.DUMMYFUNCTION("""COMPUTED_VALUE"""),7135.583)</f>
        <v>7135.5829999999996</v>
      </c>
      <c r="G45">
        <f ca="1">IFERROR(__xludf.DUMMYFUNCTION("""COMPUTED_VALUE"""),212)</f>
        <v>212</v>
      </c>
      <c r="H45" t="str">
        <f ca="1">IFERROR(__xludf.DUMMYFUNCTION("""COMPUTED_VALUE"""),"Under")</f>
        <v>Under</v>
      </c>
    </row>
    <row r="46" spans="1:8" ht="12.75">
      <c r="A46" t="str">
        <f ca="1">IFERROR(__xludf.DUMMYFUNCTION("""COMPUTED_VALUE"""),"T42")</f>
        <v>T42</v>
      </c>
      <c r="B46" t="str">
        <f ca="1">IFERROR(__xludf.DUMMYFUNCTION("""COMPUTED_VALUE"""),"T31")</f>
        <v>T31</v>
      </c>
      <c r="C46" t="str">
        <f ca="1">IFERROR(__xludf.DUMMYFUNCTION("""COMPUTED_VALUE"""),"Doc Redman")</f>
        <v>Doc Redman</v>
      </c>
      <c r="D46">
        <f ca="1">IFERROR(__xludf.DUMMYFUNCTION("""COMPUTED_VALUE"""),18)</f>
        <v>18</v>
      </c>
      <c r="E46" t="str">
        <f ca="1">IFERROR(__xludf.DUMMYFUNCTION("""COMPUTED_VALUE"""),"33' 8""")</f>
        <v>33' 8"</v>
      </c>
      <c r="F46" s="2">
        <f ca="1">IFERROR(__xludf.DUMMYFUNCTION("""COMPUTED_VALUE"""),8352.167)</f>
        <v>8352.1669999999995</v>
      </c>
      <c r="G46">
        <f ca="1">IFERROR(__xludf.DUMMYFUNCTION("""COMPUTED_VALUE"""),248)</f>
        <v>248</v>
      </c>
      <c r="H46" t="str">
        <f ca="1">IFERROR(__xludf.DUMMYFUNCTION("""COMPUTED_VALUE"""),"Under")</f>
        <v>Under</v>
      </c>
    </row>
    <row r="47" spans="1:8" ht="12.75">
      <c r="A47" t="str">
        <f ca="1">IFERROR(__xludf.DUMMYFUNCTION("""COMPUTED_VALUE"""),"T46")</f>
        <v>T46</v>
      </c>
      <c r="B47">
        <f ca="1">IFERROR(__xludf.DUMMYFUNCTION("""COMPUTED_VALUE"""),34)</f>
        <v>34</v>
      </c>
      <c r="C47" t="str">
        <f ca="1">IFERROR(__xludf.DUMMYFUNCTION("""COMPUTED_VALUE"""),"Xinjun Zhang")</f>
        <v>Xinjun Zhang</v>
      </c>
      <c r="D47">
        <f ca="1">IFERROR(__xludf.DUMMYFUNCTION("""COMPUTED_VALUE"""),14)</f>
        <v>14</v>
      </c>
      <c r="E47" t="str">
        <f ca="1">IFERROR(__xludf.DUMMYFUNCTION("""COMPUTED_VALUE"""),"33' 9""")</f>
        <v>33' 9"</v>
      </c>
      <c r="F47" s="2">
        <f ca="1">IFERROR(__xludf.DUMMYFUNCTION("""COMPUTED_VALUE"""),6043)</f>
        <v>6043</v>
      </c>
      <c r="G47">
        <f ca="1">IFERROR(__xludf.DUMMYFUNCTION("""COMPUTED_VALUE"""),179)</f>
        <v>179</v>
      </c>
      <c r="H47" t="str">
        <f ca="1">IFERROR(__xludf.DUMMYFUNCTION("""COMPUTED_VALUE"""),"Under")</f>
        <v>Under</v>
      </c>
    </row>
    <row r="48" spans="1:8" ht="12.75">
      <c r="A48" t="str">
        <f ca="1">IFERROR(__xludf.DUMMYFUNCTION("""COMPUTED_VALUE"""),"T46")</f>
        <v>T46</v>
      </c>
      <c r="B48" t="str">
        <f ca="1">IFERROR(__xludf.DUMMYFUNCTION("""COMPUTED_VALUE"""),"T61")</f>
        <v>T61</v>
      </c>
      <c r="C48" t="str">
        <f ca="1">IFERROR(__xludf.DUMMYFUNCTION("""COMPUTED_VALUE"""),"Joohyung Kim")</f>
        <v>Joohyung Kim</v>
      </c>
      <c r="D48">
        <f ca="1">IFERROR(__xludf.DUMMYFUNCTION("""COMPUTED_VALUE"""),12)</f>
        <v>12</v>
      </c>
      <c r="E48" t="str">
        <f ca="1">IFERROR(__xludf.DUMMYFUNCTION("""COMPUTED_VALUE"""),"33' 9""")</f>
        <v>33' 9"</v>
      </c>
      <c r="F48" s="2">
        <f ca="1">IFERROR(__xludf.DUMMYFUNCTION("""COMPUTED_VALUE"""),4826.083)</f>
        <v>4826.0829999999996</v>
      </c>
      <c r="G48">
        <f ca="1">IFERROR(__xludf.DUMMYFUNCTION("""COMPUTED_VALUE"""),143)</f>
        <v>143</v>
      </c>
      <c r="H48" t="str">
        <f ca="1">IFERROR(__xludf.DUMMYFUNCTION("""COMPUTED_VALUE"""),"Under")</f>
        <v>Under</v>
      </c>
    </row>
    <row r="49" spans="1:8" ht="12.75">
      <c r="A49" t="str">
        <f ca="1">IFERROR(__xludf.DUMMYFUNCTION("""COMPUTED_VALUE"""),"T46")</f>
        <v>T46</v>
      </c>
      <c r="B49">
        <f ca="1">IFERROR(__xludf.DUMMYFUNCTION("""COMPUTED_VALUE"""),30)</f>
        <v>30</v>
      </c>
      <c r="C49" t="str">
        <f ca="1">IFERROR(__xludf.DUMMYFUNCTION("""COMPUTED_VALUE"""),"Isaiah Salinda")</f>
        <v>Isaiah Salinda</v>
      </c>
      <c r="D49">
        <f ca="1">IFERROR(__xludf.DUMMYFUNCTION("""COMPUTED_VALUE"""),8)</f>
        <v>8</v>
      </c>
      <c r="E49" t="str">
        <f ca="1">IFERROR(__xludf.DUMMYFUNCTION("""COMPUTED_VALUE"""),"33' 9""")</f>
        <v>33' 9"</v>
      </c>
      <c r="F49" s="2">
        <f ca="1">IFERROR(__xludf.DUMMYFUNCTION("""COMPUTED_VALUE"""),4757.167)</f>
        <v>4757.1670000000004</v>
      </c>
      <c r="G49">
        <f ca="1">IFERROR(__xludf.DUMMYFUNCTION("""COMPUTED_VALUE"""),141)</f>
        <v>141</v>
      </c>
      <c r="H49" t="str">
        <f ca="1">IFERROR(__xludf.DUMMYFUNCTION("""COMPUTED_VALUE"""),"Under")</f>
        <v>Under</v>
      </c>
    </row>
    <row r="50" spans="1:8" ht="12.75">
      <c r="A50" t="str">
        <f ca="1">IFERROR(__xludf.DUMMYFUNCTION("""COMPUTED_VALUE"""),"T49")</f>
        <v>T49</v>
      </c>
      <c r="B50" t="str">
        <f ca="1">IFERROR(__xludf.DUMMYFUNCTION("""COMPUTED_VALUE"""),"T64")</f>
        <v>T64</v>
      </c>
      <c r="C50" t="str">
        <f ca="1">IFERROR(__xludf.DUMMYFUNCTION("""COMPUTED_VALUE"""),"Zack Sucher")</f>
        <v>Zack Sucher</v>
      </c>
      <c r="D50">
        <f ca="1">IFERROR(__xludf.DUMMYFUNCTION("""COMPUTED_VALUE"""),6)</f>
        <v>6</v>
      </c>
      <c r="E50" t="str">
        <f ca="1">IFERROR(__xludf.DUMMYFUNCTION("""COMPUTED_VALUE"""),"33' 10""")</f>
        <v>33' 10"</v>
      </c>
      <c r="F50" s="2">
        <f ca="1">IFERROR(__xludf.DUMMYFUNCTION("""COMPUTED_VALUE"""),1216.5)</f>
        <v>1216.5</v>
      </c>
      <c r="G50">
        <f ca="1">IFERROR(__xludf.DUMMYFUNCTION("""COMPUTED_VALUE"""),36)</f>
        <v>36</v>
      </c>
      <c r="H50" t="str">
        <f ca="1">IFERROR(__xludf.DUMMYFUNCTION("""COMPUTED_VALUE"""),"Under")</f>
        <v>Under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IFERROR(__xludf.DUMMYFUNCTION("""COMPUTED_VALUE"""),"T64")</f>
        <v>T64</v>
      </c>
      <c r="C51" t="str">
        <f ca="1">IFERROR(__xludf.DUMMYFUNCTION("""COMPUTED_VALUE"""),"Harry Higgs")</f>
        <v>Harry Higgs</v>
      </c>
      <c r="D51">
        <f ca="1">IFERROR(__xludf.DUMMYFUNCTION("""COMPUTED_VALUE"""),14)</f>
        <v>14</v>
      </c>
      <c r="E51" t="str">
        <f ca="1">IFERROR(__xludf.DUMMYFUNCTION("""COMPUTED_VALUE"""),"33' 10""")</f>
        <v>33' 10"</v>
      </c>
      <c r="F51" s="2">
        <f ca="1">IFERROR(__xludf.DUMMYFUNCTION("""COMPUTED_VALUE"""),8349.25)</f>
        <v>8349.25</v>
      </c>
      <c r="G51">
        <f ca="1">IFERROR(__xludf.DUMMYFUNCTION("""COMPUTED_VALUE"""),247)</f>
        <v>247</v>
      </c>
      <c r="H51" t="str">
        <f ca="1">IFERROR(__xludf.DUMMYFUNCTION("""COMPUTED_VALUE"""),"Under")</f>
        <v>Under</v>
      </c>
    </row>
    <row r="52" spans="1:8" ht="12.75">
      <c r="A52" t="str">
        <f ca="1">IFERROR(__xludf.DUMMYFUNCTION("""COMPUTED_VALUE"""),"T49")</f>
        <v>T49</v>
      </c>
      <c r="B52">
        <f ca="1">IFERROR(__xludf.DUMMYFUNCTION("""COMPUTED_VALUE"""),46)</f>
        <v>46</v>
      </c>
      <c r="C52" t="str">
        <f ca="1">IFERROR(__xludf.DUMMYFUNCTION("""COMPUTED_VALUE"""),"Carlos Ortiz")</f>
        <v>Carlos Ortiz</v>
      </c>
      <c r="D52">
        <f ca="1">IFERROR(__xludf.DUMMYFUNCTION("""COMPUTED_VALUE"""),20)</f>
        <v>20</v>
      </c>
      <c r="E52" t="str">
        <f ca="1">IFERROR(__xludf.DUMMYFUNCTION("""COMPUTED_VALUE"""),"33' 10""")</f>
        <v>33' 10"</v>
      </c>
      <c r="F52" s="2">
        <f ca="1">IFERROR(__xludf.DUMMYFUNCTION("""COMPUTED_VALUE"""),12112.167)</f>
        <v>12112.166999999999</v>
      </c>
      <c r="G52">
        <f ca="1">IFERROR(__xludf.DUMMYFUNCTION("""COMPUTED_VALUE"""),358)</f>
        <v>358</v>
      </c>
      <c r="H52" t="str">
        <f ca="1">IFERROR(__xludf.DUMMYFUNCTION("""COMPUTED_VALUE"""),"Under")</f>
        <v>Under</v>
      </c>
    </row>
    <row r="53" spans="1:8" ht="12.75">
      <c r="A53" t="str">
        <f ca="1">IFERROR(__xludf.DUMMYFUNCTION("""COMPUTED_VALUE"""),"T52")</f>
        <v>T52</v>
      </c>
      <c r="B53">
        <f ca="1">IFERROR(__xludf.DUMMYFUNCTION("""COMPUTED_VALUE"""),27)</f>
        <v>27</v>
      </c>
      <c r="C53" t="str">
        <f ca="1">IFERROR(__xludf.DUMMYFUNCTION("""COMPUTED_VALUE"""),"David Hearn")</f>
        <v>David Hearn</v>
      </c>
      <c r="D53">
        <f ca="1">IFERROR(__xludf.DUMMYFUNCTION("""COMPUTED_VALUE"""),16)</f>
        <v>16</v>
      </c>
      <c r="E53" t="str">
        <f ca="1">IFERROR(__xludf.DUMMYFUNCTION("""COMPUTED_VALUE"""),"33' 11""")</f>
        <v>33' 11"</v>
      </c>
      <c r="F53" s="2">
        <f ca="1">IFERROR(__xludf.DUMMYFUNCTION("""COMPUTED_VALUE"""),4820.75)</f>
        <v>4820.75</v>
      </c>
      <c r="G53">
        <f ca="1">IFERROR(__xludf.DUMMYFUNCTION("""COMPUTED_VALUE"""),142)</f>
        <v>142</v>
      </c>
      <c r="H53" t="str">
        <f ca="1">IFERROR(__xludf.DUMMYFUNCTION("""COMPUTED_VALUE"""),"Under")</f>
        <v>Under</v>
      </c>
    </row>
    <row r="54" spans="1:8" ht="12.75">
      <c r="A54" t="str">
        <f ca="1">IFERROR(__xludf.DUMMYFUNCTION("""COMPUTED_VALUE"""),"T52")</f>
        <v>T52</v>
      </c>
      <c r="B54" t="str">
        <f ca="1">IFERROR(__xludf.DUMMYFUNCTION("""COMPUTED_VALUE"""),"T53")</f>
        <v>T53</v>
      </c>
      <c r="C54" t="str">
        <f ca="1">IFERROR(__xludf.DUMMYFUNCTION("""COMPUTED_VALUE"""),"Graham DeLaet")</f>
        <v>Graham DeLaet</v>
      </c>
      <c r="D54">
        <f ca="1">IFERROR(__xludf.DUMMYFUNCTION("""COMPUTED_VALUE"""),9)</f>
        <v>9</v>
      </c>
      <c r="E54" t="str">
        <f ca="1">IFERROR(__xludf.DUMMYFUNCTION("""COMPUTED_VALUE"""),"33' 11""")</f>
        <v>33' 11"</v>
      </c>
      <c r="F54" s="2">
        <f ca="1">IFERROR(__xludf.DUMMYFUNCTION("""COMPUTED_VALUE"""),3055.667)</f>
        <v>3055.6669999999999</v>
      </c>
      <c r="G54">
        <f ca="1">IFERROR(__xludf.DUMMYFUNCTION("""COMPUTED_VALUE"""),90)</f>
        <v>90</v>
      </c>
      <c r="H54" t="str">
        <f ca="1">IFERROR(__xludf.DUMMYFUNCTION("""COMPUTED_VALUE"""),"Over")</f>
        <v>Over</v>
      </c>
    </row>
    <row r="55" spans="1:8" ht="12.75">
      <c r="A55" t="str">
        <f ca="1">IFERROR(__xludf.DUMMYFUNCTION("""COMPUTED_VALUE"""),"T52")</f>
        <v>T52</v>
      </c>
      <c r="B55" t="str">
        <f ca="1">IFERROR(__xludf.DUMMYFUNCTION("""COMPUTED_VALUE"""),"T50")</f>
        <v>T50</v>
      </c>
      <c r="C55" t="str">
        <f ca="1">IFERROR(__xludf.DUMMYFUNCTION("""COMPUTED_VALUE"""),"Mark Hubbard")</f>
        <v>Mark Hubbard</v>
      </c>
      <c r="D55">
        <f ca="1">IFERROR(__xludf.DUMMYFUNCTION("""COMPUTED_VALUE"""),20)</f>
        <v>20</v>
      </c>
      <c r="E55" t="str">
        <f ca="1">IFERROR(__xludf.DUMMYFUNCTION("""COMPUTED_VALUE"""),"33' 11""")</f>
        <v>33' 11"</v>
      </c>
      <c r="F55" s="2">
        <f ca="1">IFERROR(__xludf.DUMMYFUNCTION("""COMPUTED_VALUE"""),12034.5)</f>
        <v>12034.5</v>
      </c>
      <c r="G55">
        <f ca="1">IFERROR(__xludf.DUMMYFUNCTION("""COMPUTED_VALUE"""),355)</f>
        <v>355</v>
      </c>
      <c r="H55" t="str">
        <f ca="1">IFERROR(__xludf.DUMMYFUNCTION("""COMPUTED_VALUE"""),"Under")</f>
        <v>Under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IFERROR(__xludf.DUMMYFUNCTION("""COMPUTED_VALUE"""),"T67")</f>
        <v>T67</v>
      </c>
      <c r="C56" t="str">
        <f ca="1">IFERROR(__xludf.DUMMYFUNCTION("""COMPUTED_VALUE"""),"Joel Dahmen")</f>
        <v>Joel Dahmen</v>
      </c>
      <c r="D56">
        <f ca="1">IFERROR(__xludf.DUMMYFUNCTION("""COMPUTED_VALUE"""),18)</f>
        <v>18</v>
      </c>
      <c r="E56" t="str">
        <f ca="1">IFERROR(__xludf.DUMMYFUNCTION("""COMPUTED_VALUE"""),"34' 0""")</f>
        <v>34' 0"</v>
      </c>
      <c r="F56" s="2">
        <f ca="1">IFERROR(__xludf.DUMMYFUNCTION("""COMPUTED_VALUE"""),10890.75)</f>
        <v>10890.75</v>
      </c>
      <c r="G56">
        <f ca="1">IFERROR(__xludf.DUMMYFUNCTION("""COMPUTED_VALUE"""),320)</f>
        <v>320</v>
      </c>
      <c r="H56" t="str">
        <f ca="1">IFERROR(__xludf.DUMMYFUNCTION("""COMPUTED_VALUE"""),"Under")</f>
        <v>Under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IFERROR(__xludf.DUMMYFUNCTION("""COMPUTED_VALUE"""),"T67")</f>
        <v>T67</v>
      </c>
      <c r="C57" t="str">
        <f ca="1">IFERROR(__xludf.DUMMYFUNCTION("""COMPUTED_VALUE"""),"Zac Blair")</f>
        <v>Zac Blair</v>
      </c>
      <c r="D57">
        <f ca="1">IFERROR(__xludf.DUMMYFUNCTION("""COMPUTED_VALUE"""),10)</f>
        <v>10</v>
      </c>
      <c r="E57" t="str">
        <f ca="1">IFERROR(__xludf.DUMMYFUNCTION("""COMPUTED_VALUE"""),"34' 0""")</f>
        <v>34' 0"</v>
      </c>
      <c r="F57" s="2">
        <f ca="1">IFERROR(__xludf.DUMMYFUNCTION("""COMPUTED_VALUE"""),3642)</f>
        <v>3642</v>
      </c>
      <c r="G57">
        <f ca="1">IFERROR(__xludf.DUMMYFUNCTION("""COMPUTED_VALUE"""),107)</f>
        <v>107</v>
      </c>
      <c r="H57" t="str">
        <f ca="1">IFERROR(__xludf.DUMMYFUNCTION("""COMPUTED_VALUE"""),"Under")</f>
        <v>Under</v>
      </c>
    </row>
    <row r="58" spans="1:8" ht="12.75">
      <c r="A58" t="str">
        <f ca="1">IFERROR(__xludf.DUMMYFUNCTION("""COMPUTED_VALUE"""),"T55")</f>
        <v>T55</v>
      </c>
      <c r="B58" t="str">
        <f ca="1">IFERROR(__xludf.DUMMYFUNCTION("""COMPUTED_VALUE"""),"T67")</f>
        <v>T67</v>
      </c>
      <c r="C58" t="str">
        <f ca="1">IFERROR(__xludf.DUMMYFUNCTION("""COMPUTED_VALUE"""),"Wesley Bryan")</f>
        <v>Wesley Bryan</v>
      </c>
      <c r="D58">
        <f ca="1">IFERROR(__xludf.DUMMYFUNCTION("""COMPUTED_VALUE"""),8)</f>
        <v>8</v>
      </c>
      <c r="E58" t="str">
        <f ca="1">IFERROR(__xludf.DUMMYFUNCTION("""COMPUTED_VALUE"""),"34' 0""")</f>
        <v>34' 0"</v>
      </c>
      <c r="F58" s="2">
        <f ca="1">IFERROR(__xludf.DUMMYFUNCTION("""COMPUTED_VALUE"""),3635.917)</f>
        <v>3635.9169999999999</v>
      </c>
      <c r="G58">
        <f ca="1">IFERROR(__xludf.DUMMYFUNCTION("""COMPUTED_VALUE"""),107)</f>
        <v>107</v>
      </c>
      <c r="H58" t="str">
        <f ca="1">IFERROR(__xludf.DUMMYFUNCTION("""COMPUTED_VALUE"""),"Under")</f>
        <v>Under</v>
      </c>
    </row>
    <row r="59" spans="1:8" ht="12.75">
      <c r="A59" t="str">
        <f ca="1">IFERROR(__xludf.DUMMYFUNCTION("""COMPUTED_VALUE"""),"T58")</f>
        <v>T58</v>
      </c>
      <c r="B59" t="str">
        <f ca="1">IFERROR(__xludf.DUMMYFUNCTION("""COMPUTED_VALUE"""),"T70")</f>
        <v>T70</v>
      </c>
      <c r="C59" t="str">
        <f ca="1">IFERROR(__xludf.DUMMYFUNCTION("""COMPUTED_VALUE"""),"Brad Kennedy")</f>
        <v>Brad Kennedy</v>
      </c>
      <c r="D59">
        <f ca="1">IFERROR(__xludf.DUMMYFUNCTION("""COMPUTED_VALUE"""),4)</f>
        <v>4</v>
      </c>
      <c r="E59" t="str">
        <f ca="1">IFERROR(__xludf.DUMMYFUNCTION("""COMPUTED_VALUE"""),"34' 3""")</f>
        <v>34' 3"</v>
      </c>
      <c r="F59" s="2">
        <f ca="1">IFERROR(__xludf.DUMMYFUNCTION("""COMPUTED_VALUE"""),2464.75)</f>
        <v>2464.75</v>
      </c>
      <c r="G59">
        <f ca="1">IFERROR(__xludf.DUMMYFUNCTION("""COMPUTED_VALUE"""),72)</f>
        <v>72</v>
      </c>
      <c r="H59" t="str">
        <f ca="1">IFERROR(__xludf.DUMMYFUNCTION("""COMPUTED_VALUE"""),"Under")</f>
        <v>Under</v>
      </c>
    </row>
    <row r="60" spans="1:8" ht="12.75">
      <c r="A60" t="str">
        <f ca="1">IFERROR(__xludf.DUMMYFUNCTION("""COMPUTED_VALUE"""),"T58")</f>
        <v>T58</v>
      </c>
      <c r="B60" t="str">
        <f ca="1">IFERROR(__xludf.DUMMYFUNCTION("""COMPUTED_VALUE"""),"T70")</f>
        <v>T70</v>
      </c>
      <c r="C60" t="str">
        <f ca="1">IFERROR(__xludf.DUMMYFUNCTION("""COMPUTED_VALUE"""),"Shaun Norris")</f>
        <v>Shaun Norris</v>
      </c>
      <c r="D60">
        <f ca="1">IFERROR(__xludf.DUMMYFUNCTION("""COMPUTED_VALUE"""),6)</f>
        <v>6</v>
      </c>
      <c r="E60" t="str">
        <f ca="1">IFERROR(__xludf.DUMMYFUNCTION("""COMPUTED_VALUE"""),"34' 3""")</f>
        <v>34' 3"</v>
      </c>
      <c r="F60" s="2">
        <f ca="1">IFERROR(__xludf.DUMMYFUNCTION("""COMPUTED_VALUE"""),3697.75)</f>
        <v>3697.75</v>
      </c>
      <c r="G60">
        <f ca="1">IFERROR(__xludf.DUMMYFUNCTION("""COMPUTED_VALUE"""),108)</f>
        <v>108</v>
      </c>
      <c r="H60" t="str">
        <f ca="1">IFERROR(__xludf.DUMMYFUNCTION("""COMPUTED_VALUE"""),"Under")</f>
        <v>Under</v>
      </c>
    </row>
    <row r="61" spans="1:8" ht="12.75">
      <c r="A61" t="str">
        <f ca="1">IFERROR(__xludf.DUMMYFUNCTION("""COMPUTED_VALUE"""),"T58")</f>
        <v>T58</v>
      </c>
      <c r="B61" t="str">
        <f ca="1">IFERROR(__xludf.DUMMYFUNCTION("""COMPUTED_VALUE"""),"T70")</f>
        <v>T70</v>
      </c>
      <c r="C61" t="str">
        <f ca="1">IFERROR(__xludf.DUMMYFUNCTION("""COMPUTED_VALUE"""),"Hank Lebioda")</f>
        <v>Hank Lebioda</v>
      </c>
      <c r="D61">
        <f ca="1">IFERROR(__xludf.DUMMYFUNCTION("""COMPUTED_VALUE"""),14)</f>
        <v>14</v>
      </c>
      <c r="E61" t="str">
        <f ca="1">IFERROR(__xludf.DUMMYFUNCTION("""COMPUTED_VALUE"""),"34' 3""")</f>
        <v>34' 3"</v>
      </c>
      <c r="F61" s="2">
        <f ca="1">IFERROR(__xludf.DUMMYFUNCTION("""COMPUTED_VALUE"""),3702.167)</f>
        <v>3702.1669999999999</v>
      </c>
      <c r="G61">
        <f ca="1">IFERROR(__xludf.DUMMYFUNCTION("""COMPUTED_VALUE"""),108)</f>
        <v>108</v>
      </c>
      <c r="H61" t="str">
        <f ca="1">IFERROR(__xludf.DUMMYFUNCTION("""COMPUTED_VALUE"""),"Under")</f>
        <v>Under</v>
      </c>
    </row>
    <row r="62" spans="1:8" ht="12.75">
      <c r="A62" t="str">
        <f ca="1">IFERROR(__xludf.DUMMYFUNCTION("""COMPUTED_VALUE"""),"T61")</f>
        <v>T61</v>
      </c>
      <c r="B62" t="str">
        <f ca="1">IFERROR(__xludf.DUMMYFUNCTION("""COMPUTED_VALUE"""),"T75")</f>
        <v>T75</v>
      </c>
      <c r="C62" t="str">
        <f ca="1">IFERROR(__xludf.DUMMYFUNCTION("""COMPUTED_VALUE"""),"Aaron Baddeley")</f>
        <v>Aaron Baddeley</v>
      </c>
      <c r="D62">
        <f ca="1">IFERROR(__xludf.DUMMYFUNCTION("""COMPUTED_VALUE"""),8)</f>
        <v>8</v>
      </c>
      <c r="E62" t="str">
        <f ca="1">IFERROR(__xludf.DUMMYFUNCTION("""COMPUTED_VALUE"""),"34' 5""")</f>
        <v>34' 5"</v>
      </c>
      <c r="F62" s="2">
        <f ca="1">IFERROR(__xludf.DUMMYFUNCTION("""COMPUTED_VALUE"""),2480.25)</f>
        <v>2480.25</v>
      </c>
      <c r="G62">
        <f ca="1">IFERROR(__xludf.DUMMYFUNCTION("""COMPUTED_VALUE"""),72)</f>
        <v>72</v>
      </c>
      <c r="H62" t="str">
        <f ca="1">IFERROR(__xludf.DUMMYFUNCTION("""COMPUTED_VALUE"""),"Under")</f>
        <v>Under</v>
      </c>
    </row>
    <row r="63" spans="1:8" ht="12.75">
      <c r="A63" t="str">
        <f ca="1">IFERROR(__xludf.DUMMYFUNCTION("""COMPUTED_VALUE"""),"T61")</f>
        <v>T61</v>
      </c>
      <c r="B63" t="str">
        <f ca="1">IFERROR(__xludf.DUMMYFUNCTION("""COMPUTED_VALUE"""),"T75")</f>
        <v>T75</v>
      </c>
      <c r="C63" t="str">
        <f ca="1">IFERROR(__xludf.DUMMYFUNCTION("""COMPUTED_VALUE"""),"Peter Malnati")</f>
        <v>Peter Malnati</v>
      </c>
      <c r="D63">
        <f ca="1">IFERROR(__xludf.DUMMYFUNCTION("""COMPUTED_VALUE"""),18)</f>
        <v>18</v>
      </c>
      <c r="E63" t="str">
        <f ca="1">IFERROR(__xludf.DUMMYFUNCTION("""COMPUTED_VALUE"""),"34' 5""")</f>
        <v>34' 5"</v>
      </c>
      <c r="F63" s="2">
        <f ca="1">IFERROR(__xludf.DUMMYFUNCTION("""COMPUTED_VALUE"""),6198)</f>
        <v>6198</v>
      </c>
      <c r="G63">
        <f ca="1">IFERROR(__xludf.DUMMYFUNCTION("""COMPUTED_VALUE"""),180)</f>
        <v>180</v>
      </c>
      <c r="H63" t="str">
        <f ca="1">IFERROR(__xludf.DUMMYFUNCTION("""COMPUTED_VALUE"""),"Under")</f>
        <v>Under</v>
      </c>
    </row>
    <row r="64" spans="1:8" ht="12.75">
      <c r="A64" t="str">
        <f ca="1">IFERROR(__xludf.DUMMYFUNCTION("""COMPUTED_VALUE"""),"T61")</f>
        <v>T61</v>
      </c>
      <c r="B64" t="str">
        <f ca="1">IFERROR(__xludf.DUMMYFUNCTION("""COMPUTED_VALUE"""),"T75")</f>
        <v>T75</v>
      </c>
      <c r="C64" t="str">
        <f ca="1">IFERROR(__xludf.DUMMYFUNCTION("""COMPUTED_VALUE"""),"Brandon Hagy")</f>
        <v>Brandon Hagy</v>
      </c>
      <c r="D64">
        <f ca="1">IFERROR(__xludf.DUMMYFUNCTION("""COMPUTED_VALUE"""),10)</f>
        <v>10</v>
      </c>
      <c r="E64" t="str">
        <f ca="1">IFERROR(__xludf.DUMMYFUNCTION("""COMPUTED_VALUE"""),"34' 5""")</f>
        <v>34' 5"</v>
      </c>
      <c r="F64" s="2">
        <f ca="1">IFERROR(__xludf.DUMMYFUNCTION("""COMPUTED_VALUE"""),3681.417)</f>
        <v>3681.4169999999999</v>
      </c>
      <c r="G64">
        <f ca="1">IFERROR(__xludf.DUMMYFUNCTION("""COMPUTED_VALUE"""),107)</f>
        <v>107</v>
      </c>
      <c r="H64" t="str">
        <f ca="1">IFERROR(__xludf.DUMMYFUNCTION("""COMPUTED_VALUE"""),"Under")</f>
        <v>Under</v>
      </c>
    </row>
    <row r="65" spans="1:8" ht="12.75">
      <c r="A65" t="str">
        <f ca="1">IFERROR(__xludf.DUMMYFUNCTION("""COMPUTED_VALUE"""),"T64")</f>
        <v>T64</v>
      </c>
      <c r="B65" t="str">
        <f ca="1">IFERROR(__xludf.DUMMYFUNCTION("""COMPUTED_VALUE"""),"T79")</f>
        <v>T79</v>
      </c>
      <c r="C65" t="str">
        <f ca="1">IFERROR(__xludf.DUMMYFUNCTION("""COMPUTED_VALUE"""),"Rob Oppenheim")</f>
        <v>Rob Oppenheim</v>
      </c>
      <c r="D65">
        <f ca="1">IFERROR(__xludf.DUMMYFUNCTION("""COMPUTED_VALUE"""),16)</f>
        <v>16</v>
      </c>
      <c r="E65" t="str">
        <f ca="1">IFERROR(__xludf.DUMMYFUNCTION("""COMPUTED_VALUE"""),"34' 7""")</f>
        <v>34' 7"</v>
      </c>
      <c r="F65" s="2">
        <f ca="1">IFERROR(__xludf.DUMMYFUNCTION("""COMPUTED_VALUE"""),6228.75)</f>
        <v>6228.75</v>
      </c>
      <c r="G65">
        <f ca="1">IFERROR(__xludf.DUMMYFUNCTION("""COMPUTED_VALUE"""),180)</f>
        <v>180</v>
      </c>
      <c r="H65" t="str">
        <f ca="1">IFERROR(__xludf.DUMMYFUNCTION("""COMPUTED_VALUE"""),"Under")</f>
        <v>Under</v>
      </c>
    </row>
    <row r="66" spans="1:8" ht="12.75">
      <c r="A66" t="str">
        <f ca="1">IFERROR(__xludf.DUMMYFUNCTION("""COMPUTED_VALUE"""),"T64")</f>
        <v>T64</v>
      </c>
      <c r="B66" t="str">
        <f ca="1">IFERROR(__xludf.DUMMYFUNCTION("""COMPUTED_VALUE"""),"T47")</f>
        <v>T47</v>
      </c>
      <c r="C66" t="str">
        <f ca="1">IFERROR(__xludf.DUMMYFUNCTION("""COMPUTED_VALUE"""),"Brian Stuard")</f>
        <v>Brian Stuard</v>
      </c>
      <c r="D66">
        <f ca="1">IFERROR(__xludf.DUMMYFUNCTION("""COMPUTED_VALUE"""),18)</f>
        <v>18</v>
      </c>
      <c r="E66" t="str">
        <f ca="1">IFERROR(__xludf.DUMMYFUNCTION("""COMPUTED_VALUE"""),"34' 7""")</f>
        <v>34' 7"</v>
      </c>
      <c r="F66" s="2">
        <f ca="1">IFERROR(__xludf.DUMMYFUNCTION("""COMPUTED_VALUE"""),7427.833)</f>
        <v>7427.8329999999996</v>
      </c>
      <c r="G66">
        <f ca="1">IFERROR(__xludf.DUMMYFUNCTION("""COMPUTED_VALUE"""),215)</f>
        <v>215</v>
      </c>
      <c r="H66" t="str">
        <f ca="1">IFERROR(__xludf.DUMMYFUNCTION("""COMPUTED_VALUE"""),"Under")</f>
        <v>Under</v>
      </c>
    </row>
    <row r="67" spans="1:8" ht="12.75">
      <c r="A67" t="str">
        <f ca="1">IFERROR(__xludf.DUMMYFUNCTION("""COMPUTED_VALUE"""),"T66")</f>
        <v>T66</v>
      </c>
      <c r="B67" t="str">
        <f ca="1">IFERROR(__xludf.DUMMYFUNCTION("""COMPUTED_VALUE"""),"T82")</f>
        <v>T82</v>
      </c>
      <c r="C67" t="str">
        <f ca="1">IFERROR(__xludf.DUMMYFUNCTION("""COMPUTED_VALUE"""),"Nick Watney")</f>
        <v>Nick Watney</v>
      </c>
      <c r="D67">
        <f ca="1">IFERROR(__xludf.DUMMYFUNCTION("""COMPUTED_VALUE"""),10)</f>
        <v>10</v>
      </c>
      <c r="E67" t="str">
        <f ca="1">IFERROR(__xludf.DUMMYFUNCTION("""COMPUTED_VALUE"""),"34' 8""")</f>
        <v>34' 8"</v>
      </c>
      <c r="F67" s="2">
        <f ca="1">IFERROR(__xludf.DUMMYFUNCTION("""COMPUTED_VALUE"""),4959.583)</f>
        <v>4959.5829999999996</v>
      </c>
      <c r="G67">
        <f ca="1">IFERROR(__xludf.DUMMYFUNCTION("""COMPUTED_VALUE"""),143)</f>
        <v>143</v>
      </c>
      <c r="H67" t="str">
        <f ca="1">IFERROR(__xludf.DUMMYFUNCTION("""COMPUTED_VALUE"""),"Under")</f>
        <v>Under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IFERROR(__xludf.DUMMYFUNCTION("""COMPUTED_VALUE"""),"T61")</f>
        <v>T61</v>
      </c>
      <c r="C68" t="str">
        <f ca="1">IFERROR(__xludf.DUMMYFUNCTION("""COMPUTED_VALUE"""),"C.T. Pan")</f>
        <v>C.T. Pan</v>
      </c>
      <c r="D68">
        <f ca="1">IFERROR(__xludf.DUMMYFUNCTION("""COMPUTED_VALUE"""),20)</f>
        <v>20</v>
      </c>
      <c r="E68" t="str">
        <f ca="1">IFERROR(__xludf.DUMMYFUNCTION("""COMPUTED_VALUE"""),"34' 8""")</f>
        <v>34' 8"</v>
      </c>
      <c r="F68" s="2">
        <f ca="1">IFERROR(__xludf.DUMMYFUNCTION("""COMPUTED_VALUE"""),9945.583)</f>
        <v>9945.5830000000005</v>
      </c>
      <c r="G68">
        <f ca="1">IFERROR(__xludf.DUMMYFUNCTION("""COMPUTED_VALUE"""),287)</f>
        <v>287</v>
      </c>
      <c r="H68" t="str">
        <f ca="1">IFERROR(__xludf.DUMMYFUNCTION("""COMPUTED_VALUE"""),"Under")</f>
        <v>Under</v>
      </c>
    </row>
    <row r="69" spans="1:8" ht="12.75">
      <c r="A69" t="str">
        <f ca="1">IFERROR(__xludf.DUMMYFUNCTION("""COMPUTED_VALUE"""),"T66")</f>
        <v>T66</v>
      </c>
      <c r="B69" t="str">
        <f ca="1">IFERROR(__xludf.DUMMYFUNCTION("""COMPUTED_VALUE"""),"T21")</f>
        <v>T21</v>
      </c>
      <c r="C69" t="str">
        <f ca="1">IFERROR(__xludf.DUMMYFUNCTION("""COMPUTED_VALUE"""),"James Hahn")</f>
        <v>James Hahn</v>
      </c>
      <c r="D69">
        <f ca="1">IFERROR(__xludf.DUMMYFUNCTION("""COMPUTED_VALUE"""),16)</f>
        <v>16</v>
      </c>
      <c r="E69" t="str">
        <f ca="1">IFERROR(__xludf.DUMMYFUNCTION("""COMPUTED_VALUE"""),"34' 8""")</f>
        <v>34' 8"</v>
      </c>
      <c r="F69" s="2">
        <f ca="1">IFERROR(__xludf.DUMMYFUNCTION("""COMPUTED_VALUE"""),7451.667)</f>
        <v>7451.6670000000004</v>
      </c>
      <c r="G69">
        <f ca="1">IFERROR(__xludf.DUMMYFUNCTION("""COMPUTED_VALUE"""),215)</f>
        <v>215</v>
      </c>
      <c r="H69" t="str">
        <f ca="1">IFERROR(__xludf.DUMMYFUNCTION("""COMPUTED_VALUE"""),"Under")</f>
        <v>Under</v>
      </c>
    </row>
    <row r="70" spans="1:8" ht="12.75">
      <c r="A70" t="str">
        <f ca="1">IFERROR(__xludf.DUMMYFUNCTION("""COMPUTED_VALUE"""),"T66")</f>
        <v>T66</v>
      </c>
      <c r="B70" t="str">
        <f ca="1">IFERROR(__xludf.DUMMYFUNCTION("""COMPUTED_VALUE"""),"T21")</f>
        <v>T21</v>
      </c>
      <c r="C70" t="str">
        <f ca="1">IFERROR(__xludf.DUMMYFUNCTION("""COMPUTED_VALUE"""),"John Huh")</f>
        <v>John Huh</v>
      </c>
      <c r="D70">
        <f ca="1">IFERROR(__xludf.DUMMYFUNCTION("""COMPUTED_VALUE"""),8)</f>
        <v>8</v>
      </c>
      <c r="E70" t="str">
        <f ca="1">IFERROR(__xludf.DUMMYFUNCTION("""COMPUTED_VALUE"""),"34' 8""")</f>
        <v>34' 8"</v>
      </c>
      <c r="F70" s="2">
        <f ca="1">IFERROR(__xludf.DUMMYFUNCTION("""COMPUTED_VALUE"""),4956.417)</f>
        <v>4956.4170000000004</v>
      </c>
      <c r="G70">
        <f ca="1">IFERROR(__xludf.DUMMYFUNCTION("""COMPUTED_VALUE"""),143)</f>
        <v>143</v>
      </c>
      <c r="H70" t="str">
        <f ca="1">IFERROR(__xludf.DUMMYFUNCTION("""COMPUTED_VALUE"""),"Under")</f>
        <v>Under</v>
      </c>
    </row>
    <row r="71" spans="1:8" ht="12.75">
      <c r="A71">
        <f ca="1">IFERROR(__xludf.DUMMYFUNCTION("""COMPUTED_VALUE"""),70)</f>
        <v>70</v>
      </c>
      <c r="B71">
        <f ca="1">IFERROR(__xludf.DUMMYFUNCTION("""COMPUTED_VALUE"""),52)</f>
        <v>52</v>
      </c>
      <c r="C71" t="str">
        <f ca="1">IFERROR(__xludf.DUMMYFUNCTION("""COMPUTED_VALUE"""),"Scott Stallings")</f>
        <v>Scott Stallings</v>
      </c>
      <c r="D71">
        <f ca="1">IFERROR(__xludf.DUMMYFUNCTION("""COMPUTED_VALUE"""),14)</f>
        <v>14</v>
      </c>
      <c r="E71" t="str">
        <f ca="1">IFERROR(__xludf.DUMMYFUNCTION("""COMPUTED_VALUE"""),"34' 9""")</f>
        <v>34' 9"</v>
      </c>
      <c r="F71" s="2">
        <f ca="1">IFERROR(__xludf.DUMMYFUNCTION("""COMPUTED_VALUE"""),6225.25)</f>
        <v>6225.25</v>
      </c>
      <c r="G71">
        <f ca="1">IFERROR(__xludf.DUMMYFUNCTION("""COMPUTED_VALUE"""),179)</f>
        <v>179</v>
      </c>
      <c r="H71" t="str">
        <f ca="1">IFERROR(__xludf.DUMMYFUNCTION("""COMPUTED_VALUE"""),"Under")</f>
        <v>Under</v>
      </c>
    </row>
    <row r="72" spans="1:8" ht="12.75">
      <c r="A72" t="str">
        <f ca="1">IFERROR(__xludf.DUMMYFUNCTION("""COMPUTED_VALUE"""),"T71")</f>
        <v>T71</v>
      </c>
      <c r="B72" t="str">
        <f ca="1">IFERROR(__xludf.DUMMYFUNCTION("""COMPUTED_VALUE"""),"T79")</f>
        <v>T79</v>
      </c>
      <c r="C72" t="str">
        <f ca="1">IFERROR(__xludf.DUMMYFUNCTION("""COMPUTED_VALUE"""),"Zach Johnson")</f>
        <v>Zach Johnson</v>
      </c>
      <c r="D72">
        <f ca="1">IFERROR(__xludf.DUMMYFUNCTION("""COMPUTED_VALUE"""),16)</f>
        <v>16</v>
      </c>
      <c r="E72" t="str">
        <f ca="1">IFERROR(__xludf.DUMMYFUNCTION("""COMPUTED_VALUE"""),"34' 10""")</f>
        <v>34' 10"</v>
      </c>
      <c r="F72" s="2">
        <f ca="1">IFERROR(__xludf.DUMMYFUNCTION("""COMPUTED_VALUE"""),10001.417)</f>
        <v>10001.416999999999</v>
      </c>
      <c r="G72">
        <f ca="1">IFERROR(__xludf.DUMMYFUNCTION("""COMPUTED_VALUE"""),287)</f>
        <v>287</v>
      </c>
      <c r="H72" t="str">
        <f ca="1">IFERROR(__xludf.DUMMYFUNCTION("""COMPUTED_VALUE"""),"Under")</f>
        <v>Under</v>
      </c>
    </row>
    <row r="73" spans="1:8" ht="12.75">
      <c r="A73" t="str">
        <f ca="1">IFERROR(__xludf.DUMMYFUNCTION("""COMPUTED_VALUE"""),"T71")</f>
        <v>T71</v>
      </c>
      <c r="B73" t="str">
        <f ca="1">IFERROR(__xludf.DUMMYFUNCTION("""COMPUTED_VALUE"""),"T47")</f>
        <v>T47</v>
      </c>
      <c r="C73" t="str">
        <f ca="1">IFERROR(__xludf.DUMMYFUNCTION("""COMPUTED_VALUE"""),"Chris Kirk")</f>
        <v>Chris Kirk</v>
      </c>
      <c r="D73">
        <f ca="1">IFERROR(__xludf.DUMMYFUNCTION("""COMPUTED_VALUE"""),10)</f>
        <v>10</v>
      </c>
      <c r="E73" t="str">
        <f ca="1">IFERROR(__xludf.DUMMYFUNCTION("""COMPUTED_VALUE"""),"34' 10""")</f>
        <v>34' 10"</v>
      </c>
      <c r="F73" s="2">
        <f ca="1">IFERROR(__xludf.DUMMYFUNCTION("""COMPUTED_VALUE"""),4983)</f>
        <v>4983</v>
      </c>
      <c r="G73">
        <f ca="1">IFERROR(__xludf.DUMMYFUNCTION("""COMPUTED_VALUE"""),143)</f>
        <v>143</v>
      </c>
      <c r="H73" t="str">
        <f ca="1">IFERROR(__xludf.DUMMYFUNCTION("""COMPUTED_VALUE"""),"Under")</f>
        <v>Under</v>
      </c>
    </row>
    <row r="74" spans="1:8" ht="12.75">
      <c r="A74" t="str">
        <f ca="1">IFERROR(__xludf.DUMMYFUNCTION("""COMPUTED_VALUE"""),"T71")</f>
        <v>T71</v>
      </c>
      <c r="B74" t="str">
        <f ca="1">IFERROR(__xludf.DUMMYFUNCTION("""COMPUTED_VALUE"""),"T84")</f>
        <v>T84</v>
      </c>
      <c r="C74" t="str">
        <f ca="1">IFERROR(__xludf.DUMMYFUNCTION("""COMPUTED_VALUE"""),"Corey Conners")</f>
        <v>Corey Conners</v>
      </c>
      <c r="D74">
        <f ca="1">IFERROR(__xludf.DUMMYFUNCTION("""COMPUTED_VALUE"""),20)</f>
        <v>20</v>
      </c>
      <c r="E74" t="str">
        <f ca="1">IFERROR(__xludf.DUMMYFUNCTION("""COMPUTED_VALUE"""),"34' 10""")</f>
        <v>34' 10"</v>
      </c>
      <c r="F74" s="2">
        <f ca="1">IFERROR(__xludf.DUMMYFUNCTION("""COMPUTED_VALUE"""),11158.333)</f>
        <v>11158.333000000001</v>
      </c>
      <c r="G74">
        <f ca="1">IFERROR(__xludf.DUMMYFUNCTION("""COMPUTED_VALUE"""),320)</f>
        <v>320</v>
      </c>
      <c r="H74" t="str">
        <f ca="1">IFERROR(__xludf.DUMMYFUNCTION("""COMPUTED_VALUE"""),"Under")</f>
        <v>Under</v>
      </c>
    </row>
    <row r="75" spans="1:8" ht="12.75">
      <c r="A75" t="str">
        <f ca="1">IFERROR(__xludf.DUMMYFUNCTION("""COMPUTED_VALUE"""),"T74")</f>
        <v>T74</v>
      </c>
      <c r="B75" t="str">
        <f ca="1">IFERROR(__xludf.DUMMYFUNCTION("""COMPUTED_VALUE"""),"T92")</f>
        <v>T92</v>
      </c>
      <c r="C75" t="str">
        <f ca="1">IFERROR(__xludf.DUMMYFUNCTION("""COMPUTED_VALUE"""),"Ted Potter, Jr.")</f>
        <v>Ted Potter, Jr.</v>
      </c>
      <c r="D75">
        <f ca="1">IFERROR(__xludf.DUMMYFUNCTION("""COMPUTED_VALUE"""),8)</f>
        <v>8</v>
      </c>
      <c r="E75" t="str">
        <f ca="1">IFERROR(__xludf.DUMMYFUNCTION("""COMPUTED_VALUE"""),"34' 11""")</f>
        <v>34' 11"</v>
      </c>
      <c r="F75" s="2">
        <f ca="1">IFERROR(__xludf.DUMMYFUNCTION("""COMPUTED_VALUE"""),4953.833)</f>
        <v>4953.8329999999996</v>
      </c>
      <c r="G75">
        <f ca="1">IFERROR(__xludf.DUMMYFUNCTION("""COMPUTED_VALUE"""),142)</f>
        <v>142</v>
      </c>
      <c r="H75" t="str">
        <f ca="1">IFERROR(__xludf.DUMMYFUNCTION("""COMPUTED_VALUE"""),"Over")</f>
        <v>Over</v>
      </c>
    </row>
    <row r="76" spans="1:8" ht="12.75">
      <c r="A76" t="str">
        <f ca="1">IFERROR(__xludf.DUMMYFUNCTION("""COMPUTED_VALUE"""),"T74")</f>
        <v>T74</v>
      </c>
      <c r="B76" t="str">
        <f ca="1">IFERROR(__xludf.DUMMYFUNCTION("""COMPUTED_VALUE"""),"T84")</f>
        <v>T84</v>
      </c>
      <c r="C76" t="str">
        <f ca="1">IFERROR(__xludf.DUMMYFUNCTION("""COMPUTED_VALUE"""),"Jon Rahm")</f>
        <v>Jon Rahm</v>
      </c>
      <c r="D76">
        <f ca="1">IFERROR(__xludf.DUMMYFUNCTION("""COMPUTED_VALUE"""),12)</f>
        <v>12</v>
      </c>
      <c r="E76" t="str">
        <f ca="1">IFERROR(__xludf.DUMMYFUNCTION("""COMPUTED_VALUE"""),"34' 11""")</f>
        <v>34' 11"</v>
      </c>
      <c r="F76" s="2">
        <f ca="1">IFERROR(__xludf.DUMMYFUNCTION("""COMPUTED_VALUE"""),7501.75)</f>
        <v>7501.75</v>
      </c>
      <c r="G76">
        <f ca="1">IFERROR(__xludf.DUMMYFUNCTION("""COMPUTED_VALUE"""),215)</f>
        <v>215</v>
      </c>
      <c r="H76" t="str">
        <f ca="1">IFERROR(__xludf.DUMMYFUNCTION("""COMPUTED_VALUE"""),"Under")</f>
        <v>Under</v>
      </c>
    </row>
    <row r="77" spans="1:8" ht="12.75">
      <c r="A77" t="str">
        <f ca="1">IFERROR(__xludf.DUMMYFUNCTION("""COMPUTED_VALUE"""),"T76")</f>
        <v>T76</v>
      </c>
      <c r="B77">
        <f ca="1">IFERROR(__xludf.DUMMYFUNCTION("""COMPUTED_VALUE"""),78)</f>
        <v>78</v>
      </c>
      <c r="C77" t="str">
        <f ca="1">IFERROR(__xludf.DUMMYFUNCTION("""COMPUTED_VALUE"""),"Kevin Streelman")</f>
        <v>Kevin Streelman</v>
      </c>
      <c r="D77">
        <f ca="1">IFERROR(__xludf.DUMMYFUNCTION("""COMPUTED_VALUE"""),18)</f>
        <v>18</v>
      </c>
      <c r="E77" t="str">
        <f ca="1">IFERROR(__xludf.DUMMYFUNCTION("""COMPUTED_VALUE"""),"35' 0""")</f>
        <v>35' 0"</v>
      </c>
      <c r="F77" s="2">
        <f ca="1">IFERROR(__xludf.DUMMYFUNCTION("""COMPUTED_VALUE"""),11162.333)</f>
        <v>11162.333000000001</v>
      </c>
      <c r="G77">
        <f ca="1">IFERROR(__xludf.DUMMYFUNCTION("""COMPUTED_VALUE"""),319)</f>
        <v>319</v>
      </c>
      <c r="H77" t="str">
        <f ca="1">IFERROR(__xludf.DUMMYFUNCTION("""COMPUTED_VALUE"""),"Under")</f>
        <v>Under</v>
      </c>
    </row>
    <row r="78" spans="1:8" ht="12.75">
      <c r="A78" t="str">
        <f ca="1">IFERROR(__xludf.DUMMYFUNCTION("""COMPUTED_VALUE"""),"T76")</f>
        <v>T76</v>
      </c>
      <c r="B78" t="str">
        <f ca="1">IFERROR(__xludf.DUMMYFUNCTION("""COMPUTED_VALUE"""),"T87")</f>
        <v>T87</v>
      </c>
      <c r="C78" t="str">
        <f ca="1">IFERROR(__xludf.DUMMYFUNCTION("""COMPUTED_VALUE"""),"Byeong Hun An")</f>
        <v>Byeong Hun An</v>
      </c>
      <c r="D78">
        <f ca="1">IFERROR(__xludf.DUMMYFUNCTION("""COMPUTED_VALUE"""),14)</f>
        <v>14</v>
      </c>
      <c r="E78" t="str">
        <f ca="1">IFERROR(__xludf.DUMMYFUNCTION("""COMPUTED_VALUE"""),"35' 0""")</f>
        <v>35' 0"</v>
      </c>
      <c r="F78" s="2">
        <f ca="1">IFERROR(__xludf.DUMMYFUNCTION("""COMPUTED_VALUE"""),8742.667)</f>
        <v>8742.6669999999995</v>
      </c>
      <c r="G78">
        <f ca="1">IFERROR(__xludf.DUMMYFUNCTION("""COMPUTED_VALUE"""),250)</f>
        <v>250</v>
      </c>
      <c r="H78" t="str">
        <f ca="1">IFERROR(__xludf.DUMMYFUNCTION("""COMPUTED_VALUE"""),"Under")</f>
        <v>Under</v>
      </c>
    </row>
    <row r="79" spans="1:8" ht="12.75">
      <c r="A79" t="str">
        <f ca="1">IFERROR(__xludf.DUMMYFUNCTION("""COMPUTED_VALUE"""),"T78")</f>
        <v>T78</v>
      </c>
      <c r="B79" t="str">
        <f ca="1">IFERROR(__xludf.DUMMYFUNCTION("""COMPUTED_VALUE"""),"T89")</f>
        <v>T89</v>
      </c>
      <c r="C79" t="str">
        <f ca="1">IFERROR(__xludf.DUMMYFUNCTION("""COMPUTED_VALUE"""),"Justin Thomas")</f>
        <v>Justin Thomas</v>
      </c>
      <c r="D79">
        <f ca="1">IFERROR(__xludf.DUMMYFUNCTION("""COMPUTED_VALUE"""),12)</f>
        <v>12</v>
      </c>
      <c r="E79" t="str">
        <f ca="1">IFERROR(__xludf.DUMMYFUNCTION("""COMPUTED_VALUE"""),"35' 1""")</f>
        <v>35' 1"</v>
      </c>
      <c r="F79" s="2">
        <f ca="1">IFERROR(__xludf.DUMMYFUNCTION("""COMPUTED_VALUE"""),7508.667)</f>
        <v>7508.6670000000004</v>
      </c>
      <c r="G79">
        <f ca="1">IFERROR(__xludf.DUMMYFUNCTION("""COMPUTED_VALUE"""),214)</f>
        <v>214</v>
      </c>
      <c r="H79" t="str">
        <f ca="1">IFERROR(__xludf.DUMMYFUNCTION("""COMPUTED_VALUE"""),"Under")</f>
        <v>Under</v>
      </c>
    </row>
    <row r="80" spans="1:8" ht="12.75">
      <c r="A80" t="str">
        <f ca="1">IFERROR(__xludf.DUMMYFUNCTION("""COMPUTED_VALUE"""),"T78")</f>
        <v>T78</v>
      </c>
      <c r="B80" t="str">
        <f ca="1">IFERROR(__xludf.DUMMYFUNCTION("""COMPUTED_VALUE"""),"")</f>
        <v/>
      </c>
      <c r="C80" t="str">
        <f ca="1">IFERROR(__xludf.DUMMYFUNCTION("""COMPUTED_VALUE"""),"Erik Barnes")</f>
        <v>Erik Barnes</v>
      </c>
      <c r="D80">
        <f ca="1">IFERROR(__xludf.DUMMYFUNCTION("""COMPUTED_VALUE"""),4)</f>
        <v>4</v>
      </c>
      <c r="E80" t="str">
        <f ca="1">IFERROR(__xludf.DUMMYFUNCTION("""COMPUTED_VALUE"""),"35' 1""")</f>
        <v>35' 1"</v>
      </c>
      <c r="F80" s="2">
        <f ca="1">IFERROR(__xludf.DUMMYFUNCTION("""COMPUTED_VALUE"""),2523.667)</f>
        <v>2523.6669999999999</v>
      </c>
      <c r="G80">
        <f ca="1">IFERROR(__xludf.DUMMYFUNCTION("""COMPUTED_VALUE"""),72)</f>
        <v>72</v>
      </c>
      <c r="H80" t="str">
        <f ca="1">IFERROR(__xludf.DUMMYFUNCTION("""COMPUTED_VALUE"""),"Even")</f>
        <v>Even</v>
      </c>
    </row>
    <row r="81" spans="1:8" ht="12.75">
      <c r="A81" t="str">
        <f ca="1">IFERROR(__xludf.DUMMYFUNCTION("""COMPUTED_VALUE"""),"T80")</f>
        <v>T80</v>
      </c>
      <c r="B81">
        <f ca="1">IFERROR(__xludf.DUMMYFUNCTION("""COMPUTED_VALUE"""),95)</f>
        <v>95</v>
      </c>
      <c r="C81" t="str">
        <f ca="1">IFERROR(__xludf.DUMMYFUNCTION("""COMPUTED_VALUE"""),"Camilo Villegas")</f>
        <v>Camilo Villegas</v>
      </c>
      <c r="D81">
        <f ca="1">IFERROR(__xludf.DUMMYFUNCTION("""COMPUTED_VALUE"""),14)</f>
        <v>14</v>
      </c>
      <c r="E81" t="str">
        <f ca="1">IFERROR(__xludf.DUMMYFUNCTION("""COMPUTED_VALUE"""),"35' 2""")</f>
        <v>35' 2"</v>
      </c>
      <c r="F81" s="2">
        <f ca="1">IFERROR(__xludf.DUMMYFUNCTION("""COMPUTED_VALUE"""),6290.25)</f>
        <v>6290.25</v>
      </c>
      <c r="G81">
        <f ca="1">IFERROR(__xludf.DUMMYFUNCTION("""COMPUTED_VALUE"""),179)</f>
        <v>179</v>
      </c>
      <c r="H81" t="str">
        <f ca="1">IFERROR(__xludf.DUMMYFUNCTION("""COMPUTED_VALUE"""),"Under")</f>
        <v>Under</v>
      </c>
    </row>
    <row r="82" spans="1:8" ht="12.75">
      <c r="A82" t="str">
        <f ca="1">IFERROR(__xludf.DUMMYFUNCTION("""COMPUTED_VALUE"""),"T80")</f>
        <v>T80</v>
      </c>
      <c r="B82">
        <f ca="1">IFERROR(__xludf.DUMMYFUNCTION("""COMPUTED_VALUE"""),94)</f>
        <v>94</v>
      </c>
      <c r="C82" t="str">
        <f ca="1">IFERROR(__xludf.DUMMYFUNCTION("""COMPUTED_VALUE"""),"Jamie Lovemark")</f>
        <v>Jamie Lovemark</v>
      </c>
      <c r="D82">
        <f ca="1">IFERROR(__xludf.DUMMYFUNCTION("""COMPUTED_VALUE"""),18)</f>
        <v>18</v>
      </c>
      <c r="E82" t="str">
        <f ca="1">IFERROR(__xludf.DUMMYFUNCTION("""COMPUTED_VALUE"""),"35' 2""")</f>
        <v>35' 2"</v>
      </c>
      <c r="F82" s="2">
        <f ca="1">IFERROR(__xludf.DUMMYFUNCTION("""COMPUTED_VALUE"""),7341.917)</f>
        <v>7341.9170000000004</v>
      </c>
      <c r="G82">
        <f ca="1">IFERROR(__xludf.DUMMYFUNCTION("""COMPUTED_VALUE"""),209)</f>
        <v>209</v>
      </c>
      <c r="H82" t="str">
        <f ca="1">IFERROR(__xludf.DUMMYFUNCTION("""COMPUTED_VALUE"""),"Under")</f>
        <v>Under</v>
      </c>
    </row>
    <row r="83" spans="1:8" ht="12.75">
      <c r="A83" t="str">
        <f ca="1">IFERROR(__xludf.DUMMYFUNCTION("""COMPUTED_VALUE"""),"T80")</f>
        <v>T80</v>
      </c>
      <c r="B83" t="str">
        <f ca="1">IFERROR(__xludf.DUMMYFUNCTION("""COMPUTED_VALUE"""),"T92")</f>
        <v>T92</v>
      </c>
      <c r="C83" t="str">
        <f ca="1">IFERROR(__xludf.DUMMYFUNCTION("""COMPUTED_VALUE"""),"Doug Ghim")</f>
        <v>Doug Ghim</v>
      </c>
      <c r="D83">
        <f ca="1">IFERROR(__xludf.DUMMYFUNCTION("""COMPUTED_VALUE"""),14)</f>
        <v>14</v>
      </c>
      <c r="E83" t="str">
        <f ca="1">IFERROR(__xludf.DUMMYFUNCTION("""COMPUTED_VALUE"""),"35' 2""")</f>
        <v>35' 2"</v>
      </c>
      <c r="F83" s="2">
        <f ca="1">IFERROR(__xludf.DUMMYFUNCTION("""COMPUTED_VALUE"""),5034.333)</f>
        <v>5034.3329999999996</v>
      </c>
      <c r="G83">
        <f ca="1">IFERROR(__xludf.DUMMYFUNCTION("""COMPUTED_VALUE"""),143)</f>
        <v>143</v>
      </c>
      <c r="H83" t="str">
        <f ca="1">IFERROR(__xludf.DUMMYFUNCTION("""COMPUTED_VALUE"""),"Under")</f>
        <v>Under</v>
      </c>
    </row>
    <row r="84" spans="1:8" ht="12.75">
      <c r="A84" t="str">
        <f ca="1">IFERROR(__xludf.DUMMYFUNCTION("""COMPUTED_VALUE"""),"T80")</f>
        <v>T80</v>
      </c>
      <c r="B84" t="str">
        <f ca="1">IFERROR(__xludf.DUMMYFUNCTION("""COMPUTED_VALUE"""),"T84")</f>
        <v>T84</v>
      </c>
      <c r="C84" t="str">
        <f ca="1">IFERROR(__xludf.DUMMYFUNCTION("""COMPUTED_VALUE"""),"Will Gordon")</f>
        <v>Will Gordon</v>
      </c>
      <c r="D84">
        <f ca="1">IFERROR(__xludf.DUMMYFUNCTION("""COMPUTED_VALUE"""),20)</f>
        <v>20</v>
      </c>
      <c r="E84" t="str">
        <f ca="1">IFERROR(__xludf.DUMMYFUNCTION("""COMPUTED_VALUE"""),"35' 2""")</f>
        <v>35' 2"</v>
      </c>
      <c r="F84" s="2">
        <f ca="1">IFERROR(__xludf.DUMMYFUNCTION("""COMPUTED_VALUE"""),8688.583)</f>
        <v>8688.5830000000005</v>
      </c>
      <c r="G84">
        <f ca="1">IFERROR(__xludf.DUMMYFUNCTION("""COMPUTED_VALUE"""),247)</f>
        <v>247</v>
      </c>
      <c r="H84" t="str">
        <f ca="1">IFERROR(__xludf.DUMMYFUNCTION("""COMPUTED_VALUE"""),"Under")</f>
        <v>Under</v>
      </c>
    </row>
    <row r="85" spans="1:8" ht="12.75">
      <c r="A85" t="str">
        <f ca="1">IFERROR(__xludf.DUMMYFUNCTION("""COMPUTED_VALUE"""),"T84")</f>
        <v>T84</v>
      </c>
      <c r="B85">
        <f ca="1">IFERROR(__xludf.DUMMYFUNCTION("""COMPUTED_VALUE"""),35)</f>
        <v>35</v>
      </c>
      <c r="C85" t="str">
        <f ca="1">IFERROR(__xludf.DUMMYFUNCTION("""COMPUTED_VALUE"""),"Sam Ryder")</f>
        <v>Sam Ryder</v>
      </c>
      <c r="D85">
        <f ca="1">IFERROR(__xludf.DUMMYFUNCTION("""COMPUTED_VALUE"""),12)</f>
        <v>12</v>
      </c>
      <c r="E85" t="str">
        <f ca="1">IFERROR(__xludf.DUMMYFUNCTION("""COMPUTED_VALUE"""),"35' 3""")</f>
        <v>35' 3"</v>
      </c>
      <c r="F85" s="2">
        <f ca="1">IFERROR(__xludf.DUMMYFUNCTION("""COMPUTED_VALUE"""),5040.5)</f>
        <v>5040.5</v>
      </c>
      <c r="G85">
        <f ca="1">IFERROR(__xludf.DUMMYFUNCTION("""COMPUTED_VALUE"""),143)</f>
        <v>143</v>
      </c>
      <c r="H85" t="str">
        <f ca="1">IFERROR(__xludf.DUMMYFUNCTION("""COMPUTED_VALUE"""),"Even")</f>
        <v>Even</v>
      </c>
    </row>
    <row r="86" spans="1:8" ht="12.75">
      <c r="A86" t="str">
        <f ca="1">IFERROR(__xludf.DUMMYFUNCTION("""COMPUTED_VALUE"""),"T84")</f>
        <v>T84</v>
      </c>
      <c r="B86" t="str">
        <f ca="1">IFERROR(__xludf.DUMMYFUNCTION("""COMPUTED_VALUE"""),"T97")</f>
        <v>T97</v>
      </c>
      <c r="C86" t="str">
        <f ca="1">IFERROR(__xludf.DUMMYFUNCTION("""COMPUTED_VALUE"""),"Sepp Straka")</f>
        <v>Sepp Straka</v>
      </c>
      <c r="D86">
        <f ca="1">IFERROR(__xludf.DUMMYFUNCTION("""COMPUTED_VALUE"""),22)</f>
        <v>22</v>
      </c>
      <c r="E86" t="str">
        <f ca="1">IFERROR(__xludf.DUMMYFUNCTION("""COMPUTED_VALUE"""),"35' 3""")</f>
        <v>35' 3"</v>
      </c>
      <c r="F86" s="2">
        <f ca="1">IFERROR(__xludf.DUMMYFUNCTION("""COMPUTED_VALUE"""),8809.167)</f>
        <v>8809.1669999999995</v>
      </c>
      <c r="G86">
        <f ca="1">IFERROR(__xludf.DUMMYFUNCTION("""COMPUTED_VALUE"""),250)</f>
        <v>250</v>
      </c>
      <c r="H86" t="str">
        <f ca="1">IFERROR(__xludf.DUMMYFUNCTION("""COMPUTED_VALUE"""),"Under")</f>
        <v>Under</v>
      </c>
    </row>
    <row r="87" spans="1:8" ht="12.75">
      <c r="A87">
        <f ca="1">IFERROR(__xludf.DUMMYFUNCTION("""COMPUTED_VALUE"""),86)</f>
        <v>86</v>
      </c>
      <c r="B87" t="str">
        <f ca="1">IFERROR(__xludf.DUMMYFUNCTION("""COMPUTED_VALUE"""),"T79")</f>
        <v>T79</v>
      </c>
      <c r="C87" t="str">
        <f ca="1">IFERROR(__xludf.DUMMYFUNCTION("""COMPUTED_VALUE"""),"Charley Hoffman")</f>
        <v>Charley Hoffman</v>
      </c>
      <c r="D87">
        <f ca="1">IFERROR(__xludf.DUMMYFUNCTION("""COMPUTED_VALUE"""),20)</f>
        <v>20</v>
      </c>
      <c r="E87" t="str">
        <f ca="1">IFERROR(__xludf.DUMMYFUNCTION("""COMPUTED_VALUE"""),"35' 4""")</f>
        <v>35' 4"</v>
      </c>
      <c r="F87" s="2">
        <f ca="1">IFERROR(__xludf.DUMMYFUNCTION("""COMPUTED_VALUE"""),8875.167)</f>
        <v>8875.1669999999995</v>
      </c>
      <c r="G87">
        <f ca="1">IFERROR(__xludf.DUMMYFUNCTION("""COMPUTED_VALUE"""),251)</f>
        <v>251</v>
      </c>
      <c r="H87" t="str">
        <f ca="1">IFERROR(__xludf.DUMMYFUNCTION("""COMPUTED_VALUE"""),"Under")</f>
        <v>Under</v>
      </c>
    </row>
    <row r="88" spans="1:8" ht="12.75">
      <c r="A88">
        <f ca="1">IFERROR(__xludf.DUMMYFUNCTION("""COMPUTED_VALUE"""),87)</f>
        <v>87</v>
      </c>
      <c r="B88" t="str">
        <f ca="1">IFERROR(__xludf.DUMMYFUNCTION("""COMPUTED_VALUE"""),"T82")</f>
        <v>T82</v>
      </c>
      <c r="C88" t="str">
        <f ca="1">IFERROR(__xludf.DUMMYFUNCTION("""COMPUTED_VALUE"""),"Luke List")</f>
        <v>Luke List</v>
      </c>
      <c r="D88">
        <f ca="1">IFERROR(__xludf.DUMMYFUNCTION("""COMPUTED_VALUE"""),18)</f>
        <v>18</v>
      </c>
      <c r="E88" t="str">
        <f ca="1">IFERROR(__xludf.DUMMYFUNCTION("""COMPUTED_VALUE"""),"35' 6""")</f>
        <v>35' 6"</v>
      </c>
      <c r="F88" s="2">
        <f ca="1">IFERROR(__xludf.DUMMYFUNCTION("""COMPUTED_VALUE"""),6286.167)</f>
        <v>6286.1670000000004</v>
      </c>
      <c r="G88">
        <f ca="1">IFERROR(__xludf.DUMMYFUNCTION("""COMPUTED_VALUE"""),177)</f>
        <v>177</v>
      </c>
      <c r="H88" t="str">
        <f ca="1">IFERROR(__xludf.DUMMYFUNCTION("""COMPUTED_VALUE"""),"Under")</f>
        <v>Under</v>
      </c>
    </row>
    <row r="89" spans="1:8" ht="12.75">
      <c r="A89">
        <f ca="1">IFERROR(__xludf.DUMMYFUNCTION("""COMPUTED_VALUE"""),88)</f>
        <v>88</v>
      </c>
      <c r="B89" t="str">
        <f ca="1">IFERROR(__xludf.DUMMYFUNCTION("""COMPUTED_VALUE"""),"T89")</f>
        <v>T89</v>
      </c>
      <c r="C89" t="str">
        <f ca="1">IFERROR(__xludf.DUMMYFUNCTION("""COMPUTED_VALUE"""),"Stewart Cink")</f>
        <v>Stewart Cink</v>
      </c>
      <c r="D89">
        <f ca="1">IFERROR(__xludf.DUMMYFUNCTION("""COMPUTED_VALUE"""),18)</f>
        <v>18</v>
      </c>
      <c r="E89" t="str">
        <f ca="1">IFERROR(__xludf.DUMMYFUNCTION("""COMPUTED_VALUE"""),"35' 7""")</f>
        <v>35' 7"</v>
      </c>
      <c r="F89" s="2">
        <f ca="1">IFERROR(__xludf.DUMMYFUNCTION("""COMPUTED_VALUE"""),8864.083)</f>
        <v>8864.0830000000005</v>
      </c>
      <c r="G89">
        <f ca="1">IFERROR(__xludf.DUMMYFUNCTION("""COMPUTED_VALUE"""),249)</f>
        <v>249</v>
      </c>
      <c r="H89" t="str">
        <f ca="1">IFERROR(__xludf.DUMMYFUNCTION("""COMPUTED_VALUE"""),"Under")</f>
        <v>Under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IFERROR(__xludf.DUMMYFUNCTION("""COMPUTED_VALUE"""),"T13")</f>
        <v>T13</v>
      </c>
      <c r="C90" t="str">
        <f ca="1">IFERROR(__xludf.DUMMYFUNCTION("""COMPUTED_VALUE"""),"Bo Van Pelt")</f>
        <v>Bo Van Pelt</v>
      </c>
      <c r="D90">
        <f ca="1">IFERROR(__xludf.DUMMYFUNCTION("""COMPUTED_VALUE"""),10)</f>
        <v>10</v>
      </c>
      <c r="E90" t="str">
        <f ca="1">IFERROR(__xludf.DUMMYFUNCTION("""COMPUTED_VALUE"""),"35' 8""")</f>
        <v>35' 8"</v>
      </c>
      <c r="F90" s="2">
        <f ca="1">IFERROR(__xludf.DUMMYFUNCTION("""COMPUTED_VALUE"""),3780.333)</f>
        <v>3780.3330000000001</v>
      </c>
      <c r="G90">
        <f ca="1">IFERROR(__xludf.DUMMYFUNCTION("""COMPUTED_VALUE"""),106)</f>
        <v>106</v>
      </c>
      <c r="H90" t="str">
        <f ca="1">IFERROR(__xludf.DUMMYFUNCTION("""COMPUTED_VALUE"""),"Over")</f>
        <v>Over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IFERROR(__xludf.DUMMYFUNCTION("""COMPUTED_VALUE"""),"T104")</f>
        <v>T104</v>
      </c>
      <c r="C91" t="str">
        <f ca="1">IFERROR(__xludf.DUMMYFUNCTION("""COMPUTED_VALUE"""),"Hudson Swafford")</f>
        <v>Hudson Swafford</v>
      </c>
      <c r="D91">
        <f ca="1">IFERROR(__xludf.DUMMYFUNCTION("""COMPUTED_VALUE"""),18)</f>
        <v>18</v>
      </c>
      <c r="E91" t="str">
        <f ca="1">IFERROR(__xludf.DUMMYFUNCTION("""COMPUTED_VALUE"""),"35' 8""")</f>
        <v>35' 8"</v>
      </c>
      <c r="F91" s="2">
        <f ca="1">IFERROR(__xludf.DUMMYFUNCTION("""COMPUTED_VALUE"""),6309.667)</f>
        <v>6309.6670000000004</v>
      </c>
      <c r="G91">
        <f ca="1">IFERROR(__xludf.DUMMYFUNCTION("""COMPUTED_VALUE"""),177)</f>
        <v>177</v>
      </c>
      <c r="H91" t="str">
        <f ca="1">IFERROR(__xludf.DUMMYFUNCTION("""COMPUTED_VALUE"""),"Under")</f>
        <v>Under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IFERROR(__xludf.DUMMYFUNCTION("""COMPUTED_VALUE"""),"T108")</f>
        <v>T108</v>
      </c>
      <c r="C92" t="str">
        <f ca="1">IFERROR(__xludf.DUMMYFUNCTION("""COMPUTED_VALUE"""),"Harold Varner III")</f>
        <v>Harold Varner III</v>
      </c>
      <c r="D92">
        <f ca="1">IFERROR(__xludf.DUMMYFUNCTION("""COMPUTED_VALUE"""),14)</f>
        <v>14</v>
      </c>
      <c r="E92" t="str">
        <f ca="1">IFERROR(__xludf.DUMMYFUNCTION("""COMPUTED_VALUE"""),"35' 8""")</f>
        <v>35' 8"</v>
      </c>
      <c r="F92" s="2">
        <f ca="1">IFERROR(__xludf.DUMMYFUNCTION("""COMPUTED_VALUE"""),7668)</f>
        <v>7668</v>
      </c>
      <c r="G92">
        <f ca="1">IFERROR(__xludf.DUMMYFUNCTION("""COMPUTED_VALUE"""),215)</f>
        <v>215</v>
      </c>
      <c r="H92" t="str">
        <f ca="1">IFERROR(__xludf.DUMMYFUNCTION("""COMPUTED_VALUE"""),"Under")</f>
        <v>Under</v>
      </c>
    </row>
    <row r="93" spans="1:8" ht="12.75">
      <c r="A93" t="str">
        <f ca="1">IFERROR(__xludf.DUMMYFUNCTION("""COMPUTED_VALUE"""),"T89")</f>
        <v>T89</v>
      </c>
      <c r="B93">
        <f ca="1">IFERROR(__xludf.DUMMYFUNCTION("""COMPUTED_VALUE"""),99)</f>
        <v>99</v>
      </c>
      <c r="C93" t="str">
        <f ca="1">IFERROR(__xludf.DUMMYFUNCTION("""COMPUTED_VALUE"""),"Seonghyeon Kim")</f>
        <v>Seonghyeon Kim</v>
      </c>
      <c r="D93">
        <f ca="1">IFERROR(__xludf.DUMMYFUNCTION("""COMPUTED_VALUE"""),4)</f>
        <v>4</v>
      </c>
      <c r="E93" t="str">
        <f ca="1">IFERROR(__xludf.DUMMYFUNCTION("""COMPUTED_VALUE"""),"35' 8""")</f>
        <v>35' 8"</v>
      </c>
      <c r="F93" s="2">
        <f ca="1">IFERROR(__xludf.DUMMYFUNCTION("""COMPUTED_VALUE"""),2494.417)</f>
        <v>2494.4169999999999</v>
      </c>
      <c r="G93">
        <f ca="1">IFERROR(__xludf.DUMMYFUNCTION("""COMPUTED_VALUE"""),70)</f>
        <v>70</v>
      </c>
      <c r="H93" t="str">
        <f ca="1">IFERROR(__xludf.DUMMYFUNCTION("""COMPUTED_VALUE"""),"Under")</f>
        <v>Under</v>
      </c>
    </row>
    <row r="94" spans="1:8" ht="12.75">
      <c r="A94" t="str">
        <f ca="1">IFERROR(__xludf.DUMMYFUNCTION("""COMPUTED_VALUE"""),"T93")</f>
        <v>T93</v>
      </c>
      <c r="B94" t="str">
        <f ca="1">IFERROR(__xludf.DUMMYFUNCTION("""COMPUTED_VALUE"""),"T61")</f>
        <v>T61</v>
      </c>
      <c r="C94" t="str">
        <f ca="1">IFERROR(__xludf.DUMMYFUNCTION("""COMPUTED_VALUE"""),"Pat Perez")</f>
        <v>Pat Perez</v>
      </c>
      <c r="D94">
        <f ca="1">IFERROR(__xludf.DUMMYFUNCTION("""COMPUTED_VALUE"""),16)</f>
        <v>16</v>
      </c>
      <c r="E94" t="str">
        <f ca="1">IFERROR(__xludf.DUMMYFUNCTION("""COMPUTED_VALUE"""),"35' 9""")</f>
        <v>35' 9"</v>
      </c>
      <c r="F94" s="2">
        <f ca="1">IFERROR(__xludf.DUMMYFUNCTION("""COMPUTED_VALUE"""),6436.083)</f>
        <v>6436.0829999999996</v>
      </c>
      <c r="G94">
        <f ca="1">IFERROR(__xludf.DUMMYFUNCTION("""COMPUTED_VALUE"""),180)</f>
        <v>180</v>
      </c>
      <c r="H94" t="str">
        <f ca="1">IFERROR(__xludf.DUMMYFUNCTION("""COMPUTED_VALUE"""),"Under")</f>
        <v>Under</v>
      </c>
    </row>
    <row r="95" spans="1:8" ht="12.75">
      <c r="A95" t="str">
        <f ca="1">IFERROR(__xludf.DUMMYFUNCTION("""COMPUTED_VALUE"""),"T93")</f>
        <v>T93</v>
      </c>
      <c r="B95" t="str">
        <f ca="1">IFERROR(__xludf.DUMMYFUNCTION("""COMPUTED_VALUE"""),"T87")</f>
        <v>T87</v>
      </c>
      <c r="C95" t="str">
        <f ca="1">IFERROR(__xludf.DUMMYFUNCTION("""COMPUTED_VALUE"""),"Scott Piercy")</f>
        <v>Scott Piercy</v>
      </c>
      <c r="D95">
        <f ca="1">IFERROR(__xludf.DUMMYFUNCTION("""COMPUTED_VALUE"""),18)</f>
        <v>18</v>
      </c>
      <c r="E95" t="str">
        <f ca="1">IFERROR(__xludf.DUMMYFUNCTION("""COMPUTED_VALUE"""),"35' 9""")</f>
        <v>35' 9"</v>
      </c>
      <c r="F95" s="2">
        <f ca="1">IFERROR(__xludf.DUMMYFUNCTION("""COMPUTED_VALUE"""),8940.417)</f>
        <v>8940.4169999999995</v>
      </c>
      <c r="G95">
        <f ca="1">IFERROR(__xludf.DUMMYFUNCTION("""COMPUTED_VALUE"""),250)</f>
        <v>250</v>
      </c>
      <c r="H95" t="str">
        <f ca="1">IFERROR(__xludf.DUMMYFUNCTION("""COMPUTED_VALUE"""),"Under")</f>
        <v>Under</v>
      </c>
    </row>
    <row r="96" spans="1:8" ht="12.75">
      <c r="A96" t="str">
        <f ca="1">IFERROR(__xludf.DUMMYFUNCTION("""COMPUTED_VALUE"""),"T93")</f>
        <v>T93</v>
      </c>
      <c r="B96" t="str">
        <f ca="1">IFERROR(__xludf.DUMMYFUNCTION("""COMPUTED_VALUE"""),"T102")</f>
        <v>T102</v>
      </c>
      <c r="C96" t="str">
        <f ca="1">IFERROR(__xludf.DUMMYFUNCTION("""COMPUTED_VALUE"""),"Charl Schwartzel")</f>
        <v>Charl Schwartzel</v>
      </c>
      <c r="D96">
        <f ca="1">IFERROR(__xludf.DUMMYFUNCTION("""COMPUTED_VALUE"""),12)</f>
        <v>12</v>
      </c>
      <c r="E96" t="str">
        <f ca="1">IFERROR(__xludf.DUMMYFUNCTION("""COMPUTED_VALUE"""),"35' 9""")</f>
        <v>35' 9"</v>
      </c>
      <c r="F96" s="2">
        <f ca="1">IFERROR(__xludf.DUMMYFUNCTION("""COMPUTED_VALUE"""),7717)</f>
        <v>7717</v>
      </c>
      <c r="G96">
        <f ca="1">IFERROR(__xludf.DUMMYFUNCTION("""COMPUTED_VALUE"""),216)</f>
        <v>216</v>
      </c>
      <c r="H96" t="str">
        <f ca="1">IFERROR(__xludf.DUMMYFUNCTION("""COMPUTED_VALUE"""),"Under")</f>
        <v>Under</v>
      </c>
    </row>
    <row r="97" spans="1:8" ht="12.75">
      <c r="A97" t="str">
        <f ca="1">IFERROR(__xludf.DUMMYFUNCTION("""COMPUTED_VALUE"""),"T93")</f>
        <v>T93</v>
      </c>
      <c r="B97" t="str">
        <f ca="1">IFERROR(__xludf.DUMMYFUNCTION("""COMPUTED_VALUE"""),"T47")</f>
        <v>T47</v>
      </c>
      <c r="C97" t="str">
        <f ca="1">IFERROR(__xludf.DUMMYFUNCTION("""COMPUTED_VALUE"""),"Brooks Koepka")</f>
        <v>Brooks Koepka</v>
      </c>
      <c r="D97">
        <f ca="1">IFERROR(__xludf.DUMMYFUNCTION("""COMPUTED_VALUE"""),8)</f>
        <v>8</v>
      </c>
      <c r="E97" t="str">
        <f ca="1">IFERROR(__xludf.DUMMYFUNCTION("""COMPUTED_VALUE"""),"35' 9""")</f>
        <v>35' 9"</v>
      </c>
      <c r="F97" s="2">
        <f ca="1">IFERROR(__xludf.DUMMYFUNCTION("""COMPUTED_VALUE"""),5039.167)</f>
        <v>5039.1670000000004</v>
      </c>
      <c r="G97">
        <f ca="1">IFERROR(__xludf.DUMMYFUNCTION("""COMPUTED_VALUE"""),141)</f>
        <v>141</v>
      </c>
      <c r="H97" t="str">
        <f ca="1">IFERROR(__xludf.DUMMYFUNCTION("""COMPUTED_VALUE"""),"Under")</f>
        <v>Under</v>
      </c>
    </row>
    <row r="98" spans="1:8" ht="12.75">
      <c r="A98" t="str">
        <f ca="1">IFERROR(__xludf.DUMMYFUNCTION("""COMPUTED_VALUE"""),"T97")</f>
        <v>T97</v>
      </c>
      <c r="B98" t="str">
        <f ca="1">IFERROR(__xludf.DUMMYFUNCTION("""COMPUTED_VALUE"""),"T102")</f>
        <v>T102</v>
      </c>
      <c r="C98" t="str">
        <f ca="1">IFERROR(__xludf.DUMMYFUNCTION("""COMPUTED_VALUE"""),"Justin Rose")</f>
        <v>Justin Rose</v>
      </c>
      <c r="D98">
        <f ca="1">IFERROR(__xludf.DUMMYFUNCTION("""COMPUTED_VALUE"""),10)</f>
        <v>10</v>
      </c>
      <c r="E98" t="str">
        <f ca="1">IFERROR(__xludf.DUMMYFUNCTION("""COMPUTED_VALUE"""),"35' 11""")</f>
        <v>35' 11"</v>
      </c>
      <c r="F98" s="2">
        <f ca="1">IFERROR(__xludf.DUMMYFUNCTION("""COMPUTED_VALUE"""),6315.5)</f>
        <v>6315.5</v>
      </c>
      <c r="G98">
        <f ca="1">IFERROR(__xludf.DUMMYFUNCTION("""COMPUTED_VALUE"""),176)</f>
        <v>176</v>
      </c>
      <c r="H98" t="str">
        <f ca="1">IFERROR(__xludf.DUMMYFUNCTION("""COMPUTED_VALUE"""),"Under")</f>
        <v>Under</v>
      </c>
    </row>
    <row r="99" spans="1:8" ht="12.75">
      <c r="A99" t="str">
        <f ca="1">IFERROR(__xludf.DUMMYFUNCTION("""COMPUTED_VALUE"""),"T97")</f>
        <v>T97</v>
      </c>
      <c r="B99" t="str">
        <f ca="1">IFERROR(__xludf.DUMMYFUNCTION("""COMPUTED_VALUE"""),"T70")</f>
        <v>T70</v>
      </c>
      <c r="C99" t="str">
        <f ca="1">IFERROR(__xludf.DUMMYFUNCTION("""COMPUTED_VALUE"""),"Kevin Chappell")</f>
        <v>Kevin Chappell</v>
      </c>
      <c r="D99">
        <f ca="1">IFERROR(__xludf.DUMMYFUNCTION("""COMPUTED_VALUE"""),16)</f>
        <v>16</v>
      </c>
      <c r="E99" t="str">
        <f ca="1">IFERROR(__xludf.DUMMYFUNCTION("""COMPUTED_VALUE"""),"35' 11""")</f>
        <v>35' 11"</v>
      </c>
      <c r="F99" s="2">
        <f ca="1">IFERROR(__xludf.DUMMYFUNCTION("""COMPUTED_VALUE"""),8879.667)</f>
        <v>8879.6669999999995</v>
      </c>
      <c r="G99">
        <f ca="1">IFERROR(__xludf.DUMMYFUNCTION("""COMPUTED_VALUE"""),247)</f>
        <v>247</v>
      </c>
      <c r="H99" t="str">
        <f ca="1">IFERROR(__xludf.DUMMYFUNCTION("""COMPUTED_VALUE"""),"Under")</f>
        <v>Under</v>
      </c>
    </row>
    <row r="100" spans="1:8" ht="12.75">
      <c r="A100">
        <f ca="1">IFERROR(__xludf.DUMMYFUNCTION("""COMPUTED_VALUE"""),99)</f>
        <v>99</v>
      </c>
      <c r="B100" t="str">
        <f ca="1">IFERROR(__xludf.DUMMYFUNCTION("""COMPUTED_VALUE"""),"T89")</f>
        <v>T89</v>
      </c>
      <c r="C100" t="str">
        <f ca="1">IFERROR(__xludf.DUMMYFUNCTION("""COMPUTED_VALUE"""),"Scott Brown")</f>
        <v>Scott Brown</v>
      </c>
      <c r="D100">
        <f ca="1">IFERROR(__xludf.DUMMYFUNCTION("""COMPUTED_VALUE"""),14)</f>
        <v>14</v>
      </c>
      <c r="E100" t="str">
        <f ca="1">IFERROR(__xludf.DUMMYFUNCTION("""COMPUTED_VALUE"""),"36' 0""")</f>
        <v>36' 0"</v>
      </c>
      <c r="F100" s="2">
        <f ca="1">IFERROR(__xludf.DUMMYFUNCTION("""COMPUTED_VALUE"""),6409.25)</f>
        <v>6409.25</v>
      </c>
      <c r="G100">
        <f ca="1">IFERROR(__xludf.DUMMYFUNCTION("""COMPUTED_VALUE"""),178)</f>
        <v>178</v>
      </c>
      <c r="H100" t="str">
        <f ca="1">IFERROR(__xludf.DUMMYFUNCTION("""COMPUTED_VALUE"""),"Over")</f>
        <v>Over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IFERROR(__xludf.DUMMYFUNCTION("""COMPUTED_VALUE"""),"T106")</f>
        <v>T106</v>
      </c>
      <c r="C101" t="str">
        <f ca="1">IFERROR(__xludf.DUMMYFUNCTION("""COMPUTED_VALUE"""),"Josh Teater")</f>
        <v>Josh Teater</v>
      </c>
      <c r="D101">
        <f ca="1">IFERROR(__xludf.DUMMYFUNCTION("""COMPUTED_VALUE"""),6)</f>
        <v>6</v>
      </c>
      <c r="E101" t="str">
        <f ca="1">IFERROR(__xludf.DUMMYFUNCTION("""COMPUTED_VALUE"""),"36' 1""")</f>
        <v>36' 1"</v>
      </c>
      <c r="F101" s="2">
        <f ca="1">IFERROR(__xludf.DUMMYFUNCTION("""COMPUTED_VALUE"""),1299)</f>
        <v>1299</v>
      </c>
      <c r="G101">
        <f ca="1">IFERROR(__xludf.DUMMYFUNCTION("""COMPUTED_VALUE"""),36)</f>
        <v>36</v>
      </c>
      <c r="H101" t="str">
        <f ca="1">IFERROR(__xludf.DUMMYFUNCTION("""COMPUTED_VALUE"""),"Under")</f>
        <v>Under</v>
      </c>
    </row>
    <row r="102" spans="1:8" ht="12.75">
      <c r="A102" t="str">
        <f ca="1">IFERROR(__xludf.DUMMYFUNCTION("""COMPUTED_VALUE"""),"T100")</f>
        <v>T100</v>
      </c>
      <c r="B102">
        <f ca="1">IFERROR(__xludf.DUMMYFUNCTION("""COMPUTED_VALUE"""),100)</f>
        <v>100</v>
      </c>
      <c r="C102" t="str">
        <f ca="1">IFERROR(__xludf.DUMMYFUNCTION("""COMPUTED_VALUE"""),"Andrew Landry")</f>
        <v>Andrew Landry</v>
      </c>
      <c r="D102">
        <f ca="1">IFERROR(__xludf.DUMMYFUNCTION("""COMPUTED_VALUE"""),14)</f>
        <v>14</v>
      </c>
      <c r="E102" t="str">
        <f ca="1">IFERROR(__xludf.DUMMYFUNCTION("""COMPUTED_VALUE"""),"36' 1""")</f>
        <v>36' 1"</v>
      </c>
      <c r="F102" s="2">
        <f ca="1">IFERROR(__xludf.DUMMYFUNCTION("""COMPUTED_VALUE"""),8951.667)</f>
        <v>8951.6669999999995</v>
      </c>
      <c r="G102">
        <f ca="1">IFERROR(__xludf.DUMMYFUNCTION("""COMPUTED_VALUE"""),248)</f>
        <v>248</v>
      </c>
      <c r="H102" t="str">
        <f ca="1">IFERROR(__xludf.DUMMYFUNCTION("""COMPUTED_VALUE"""),"Under")</f>
        <v>Under</v>
      </c>
    </row>
    <row r="103" spans="1:8" ht="12.75">
      <c r="A103" t="str">
        <f ca="1">IFERROR(__xludf.DUMMYFUNCTION("""COMPUTED_VALUE"""),"T102")</f>
        <v>T102</v>
      </c>
      <c r="B103" t="str">
        <f ca="1">IFERROR(__xludf.DUMMYFUNCTION("""COMPUTED_VALUE"""),"T108")</f>
        <v>T108</v>
      </c>
      <c r="C103" t="str">
        <f ca="1">IFERROR(__xludf.DUMMYFUNCTION("""COMPUTED_VALUE"""),"J.B. Holmes")</f>
        <v>J.B. Holmes</v>
      </c>
      <c r="D103">
        <f ca="1">IFERROR(__xludf.DUMMYFUNCTION("""COMPUTED_VALUE"""),10)</f>
        <v>10</v>
      </c>
      <c r="E103" t="str">
        <f ca="1">IFERROR(__xludf.DUMMYFUNCTION("""COMPUTED_VALUE"""),"36' 2""")</f>
        <v>36' 2"</v>
      </c>
      <c r="F103" s="2">
        <f ca="1">IFERROR(__xludf.DUMMYFUNCTION("""COMPUTED_VALUE"""),6400.417)</f>
        <v>6400.4170000000004</v>
      </c>
      <c r="G103">
        <f ca="1">IFERROR(__xludf.DUMMYFUNCTION("""COMPUTED_VALUE"""),177)</f>
        <v>177</v>
      </c>
      <c r="H103" t="str">
        <f ca="1">IFERROR(__xludf.DUMMYFUNCTION("""COMPUTED_VALUE"""),"Under")</f>
        <v>Under</v>
      </c>
    </row>
    <row r="104" spans="1:8" ht="12.75">
      <c r="A104" t="str">
        <f ca="1">IFERROR(__xludf.DUMMYFUNCTION("""COMPUTED_VALUE"""),"T102")</f>
        <v>T102</v>
      </c>
      <c r="B104" t="str">
        <f ca="1">IFERROR(__xludf.DUMMYFUNCTION("""COMPUTED_VALUE"""),"T97")</f>
        <v>T97</v>
      </c>
      <c r="C104" t="str">
        <f ca="1">IFERROR(__xludf.DUMMYFUNCTION("""COMPUTED_VALUE"""),"Keegan Bradley")</f>
        <v>Keegan Bradley</v>
      </c>
      <c r="D104">
        <f ca="1">IFERROR(__xludf.DUMMYFUNCTION("""COMPUTED_VALUE"""),16)</f>
        <v>16</v>
      </c>
      <c r="E104" t="str">
        <f ca="1">IFERROR(__xludf.DUMMYFUNCTION("""COMPUTED_VALUE"""),"36' 2""")</f>
        <v>36' 2"</v>
      </c>
      <c r="F104" s="2">
        <f ca="1">IFERROR(__xludf.DUMMYFUNCTION("""COMPUTED_VALUE"""),10386.917)</f>
        <v>10386.916999999999</v>
      </c>
      <c r="G104">
        <f ca="1">IFERROR(__xludf.DUMMYFUNCTION("""COMPUTED_VALUE"""),287)</f>
        <v>287</v>
      </c>
      <c r="H104" t="str">
        <f ca="1">IFERROR(__xludf.DUMMYFUNCTION("""COMPUTED_VALUE"""),"Under")</f>
        <v>Under</v>
      </c>
    </row>
    <row r="105" spans="1:8" ht="12.75">
      <c r="A105" t="str">
        <f ca="1">IFERROR(__xludf.DUMMYFUNCTION("""COMPUTED_VALUE"""),"T102")</f>
        <v>T102</v>
      </c>
      <c r="B105">
        <f ca="1">IFERROR(__xludf.DUMMYFUNCTION("""COMPUTED_VALUE"""),127)</f>
        <v>127</v>
      </c>
      <c r="C105" t="str">
        <f ca="1">IFERROR(__xludf.DUMMYFUNCTION("""COMPUTED_VALUE"""),"Adam Long")</f>
        <v>Adam Long</v>
      </c>
      <c r="D105">
        <f ca="1">IFERROR(__xludf.DUMMYFUNCTION("""COMPUTED_VALUE"""),22)</f>
        <v>22</v>
      </c>
      <c r="E105" t="str">
        <f ca="1">IFERROR(__xludf.DUMMYFUNCTION("""COMPUTED_VALUE"""),"36' 2""")</f>
        <v>36' 2"</v>
      </c>
      <c r="F105" s="2">
        <f ca="1">IFERROR(__xludf.DUMMYFUNCTION("""COMPUTED_VALUE"""),11578.333)</f>
        <v>11578.333000000001</v>
      </c>
      <c r="G105">
        <f ca="1">IFERROR(__xludf.DUMMYFUNCTION("""COMPUTED_VALUE"""),320)</f>
        <v>320</v>
      </c>
      <c r="H105" t="str">
        <f ca="1">IFERROR(__xludf.DUMMYFUNCTION("""COMPUTED_VALUE"""),"Under")</f>
        <v>Under</v>
      </c>
    </row>
    <row r="106" spans="1:8" ht="12.75">
      <c r="A106">
        <f ca="1">IFERROR(__xludf.DUMMYFUNCTION("""COMPUTED_VALUE"""),105)</f>
        <v>105</v>
      </c>
      <c r="B106" t="str">
        <f ca="1">IFERROR(__xludf.DUMMYFUNCTION("""COMPUTED_VALUE"""),"T57")</f>
        <v>T57</v>
      </c>
      <c r="C106" t="str">
        <f ca="1">IFERROR(__xludf.DUMMYFUNCTION("""COMPUTED_VALUE"""),"Grayson Murray")</f>
        <v>Grayson Murray</v>
      </c>
      <c r="D106">
        <f ca="1">IFERROR(__xludf.DUMMYFUNCTION("""COMPUTED_VALUE"""),10)</f>
        <v>10</v>
      </c>
      <c r="E106" t="str">
        <f ca="1">IFERROR(__xludf.DUMMYFUNCTION("""COMPUTED_VALUE"""),"36' 3""")</f>
        <v>36' 3"</v>
      </c>
      <c r="F106" s="2">
        <f ca="1">IFERROR(__xludf.DUMMYFUNCTION("""COMPUTED_VALUE"""),5143.833)</f>
        <v>5143.8329999999996</v>
      </c>
      <c r="G106">
        <f ca="1">IFERROR(__xludf.DUMMYFUNCTION("""COMPUTED_VALUE"""),142)</f>
        <v>142</v>
      </c>
      <c r="H106" t="str">
        <f ca="1">IFERROR(__xludf.DUMMYFUNCTION("""COMPUTED_VALUE"""),"Over")</f>
        <v>Over</v>
      </c>
    </row>
    <row r="107" spans="1:8" ht="12.75">
      <c r="A107" t="str">
        <f ca="1">IFERROR(__xludf.DUMMYFUNCTION("""COMPUTED_VALUE"""),"T106")</f>
        <v>T106</v>
      </c>
      <c r="B107" t="str">
        <f ca="1">IFERROR(__xludf.DUMMYFUNCTION("""COMPUTED_VALUE"""),"T70")</f>
        <v>T70</v>
      </c>
      <c r="C107" t="str">
        <f ca="1">IFERROR(__xludf.DUMMYFUNCTION("""COMPUTED_VALUE"""),"Luke Donald")</f>
        <v>Luke Donald</v>
      </c>
      <c r="D107">
        <f ca="1">IFERROR(__xludf.DUMMYFUNCTION("""COMPUTED_VALUE"""),14)</f>
        <v>14</v>
      </c>
      <c r="E107" t="str">
        <f ca="1">IFERROR(__xludf.DUMMYFUNCTION("""COMPUTED_VALUE"""),"36' 4""")</f>
        <v>36' 4"</v>
      </c>
      <c r="F107" s="2">
        <f ca="1">IFERROR(__xludf.DUMMYFUNCTION("""COMPUTED_VALUE"""),6359.75)</f>
        <v>6359.75</v>
      </c>
      <c r="G107">
        <f ca="1">IFERROR(__xludf.DUMMYFUNCTION("""COMPUTED_VALUE"""),175)</f>
        <v>175</v>
      </c>
      <c r="H107" t="str">
        <f ca="1">IFERROR(__xludf.DUMMYFUNCTION("""COMPUTED_VALUE"""),"Over")</f>
        <v>Over</v>
      </c>
    </row>
    <row r="108" spans="1:8" ht="12.75">
      <c r="A108" t="str">
        <f ca="1">IFERROR(__xludf.DUMMYFUNCTION("""COMPUTED_VALUE"""),"T106")</f>
        <v>T106</v>
      </c>
      <c r="B108" t="str">
        <f ca="1">IFERROR(__xludf.DUMMYFUNCTION("""COMPUTED_VALUE"""),"T110")</f>
        <v>T110</v>
      </c>
      <c r="C108" t="str">
        <f ca="1">IFERROR(__xludf.DUMMYFUNCTION("""COMPUTED_VALUE"""),"Nate Lashley")</f>
        <v>Nate Lashley</v>
      </c>
      <c r="D108">
        <f ca="1">IFERROR(__xludf.DUMMYFUNCTION("""COMPUTED_VALUE"""),16)</f>
        <v>16</v>
      </c>
      <c r="E108" t="str">
        <f ca="1">IFERROR(__xludf.DUMMYFUNCTION("""COMPUTED_VALUE"""),"36' 4""")</f>
        <v>36' 4"</v>
      </c>
      <c r="F108" s="2">
        <f ca="1">IFERROR(__xludf.DUMMYFUNCTION("""COMPUTED_VALUE"""),7697.917)</f>
        <v>7697.9170000000004</v>
      </c>
      <c r="G108">
        <f ca="1">IFERROR(__xludf.DUMMYFUNCTION("""COMPUTED_VALUE"""),212)</f>
        <v>212</v>
      </c>
      <c r="H108" t="str">
        <f ca="1">IFERROR(__xludf.DUMMYFUNCTION("""COMPUTED_VALUE"""),"Under")</f>
        <v>Under</v>
      </c>
    </row>
    <row r="109" spans="1:8" ht="12.75">
      <c r="A109" t="str">
        <f ca="1">IFERROR(__xludf.DUMMYFUNCTION("""COMPUTED_VALUE"""),"T106")</f>
        <v>T106</v>
      </c>
      <c r="B109" t="str">
        <f ca="1">IFERROR(__xludf.DUMMYFUNCTION("""COMPUTED_VALUE"""),"T110")</f>
        <v>T110</v>
      </c>
      <c r="C109" t="str">
        <f ca="1">IFERROR(__xludf.DUMMYFUNCTION("""COMPUTED_VALUE"""),"Rickie Fowler")</f>
        <v>Rickie Fowler</v>
      </c>
      <c r="D109">
        <f ca="1">IFERROR(__xludf.DUMMYFUNCTION("""COMPUTED_VALUE"""),14)</f>
        <v>14</v>
      </c>
      <c r="E109" t="str">
        <f ca="1">IFERROR(__xludf.DUMMYFUNCTION("""COMPUTED_VALUE"""),"36' 4""")</f>
        <v>36' 4"</v>
      </c>
      <c r="F109" s="2">
        <f ca="1">IFERROR(__xludf.DUMMYFUNCTION("""COMPUTED_VALUE"""),8822.167)</f>
        <v>8822.1669999999995</v>
      </c>
      <c r="G109">
        <f ca="1">IFERROR(__xludf.DUMMYFUNCTION("""COMPUTED_VALUE"""),243)</f>
        <v>243</v>
      </c>
      <c r="H109" t="str">
        <f ca="1">IFERROR(__xludf.DUMMYFUNCTION("""COMPUTED_VALUE"""),"Under")</f>
        <v>Under</v>
      </c>
    </row>
    <row r="110" spans="1:8" ht="12.75">
      <c r="A110" t="str">
        <f ca="1">IFERROR(__xludf.DUMMYFUNCTION("""COMPUTED_VALUE"""),"T106")</f>
        <v>T106</v>
      </c>
      <c r="B110" t="str">
        <f ca="1">IFERROR(__xludf.DUMMYFUNCTION("""COMPUTED_VALUE"""),"T110")</f>
        <v>T110</v>
      </c>
      <c r="C110" t="str">
        <f ca="1">IFERROR(__xludf.DUMMYFUNCTION("""COMPUTED_VALUE"""),"Chesson Hadley")</f>
        <v>Chesson Hadley</v>
      </c>
      <c r="D110">
        <f ca="1">IFERROR(__xludf.DUMMYFUNCTION("""COMPUTED_VALUE"""),16)</f>
        <v>16</v>
      </c>
      <c r="E110" t="str">
        <f ca="1">IFERROR(__xludf.DUMMYFUNCTION("""COMPUTED_VALUE"""),"36' 4""")</f>
        <v>36' 4"</v>
      </c>
      <c r="F110" s="2">
        <f ca="1">IFERROR(__xludf.DUMMYFUNCTION("""COMPUTED_VALUE"""),7739.583)</f>
        <v>7739.5829999999996</v>
      </c>
      <c r="G110">
        <f ca="1">IFERROR(__xludf.DUMMYFUNCTION("""COMPUTED_VALUE"""),213)</f>
        <v>213</v>
      </c>
      <c r="H110" t="str">
        <f ca="1">IFERROR(__xludf.DUMMYFUNCTION("""COMPUTED_VALUE"""),"Under")</f>
        <v>Under</v>
      </c>
    </row>
    <row r="111" spans="1:8" ht="12.75">
      <c r="A111" t="str">
        <f ca="1">IFERROR(__xludf.DUMMYFUNCTION("""COMPUTED_VALUE"""),"T110")</f>
        <v>T110</v>
      </c>
      <c r="B111" t="str">
        <f ca="1">IFERROR(__xludf.DUMMYFUNCTION("""COMPUTED_VALUE"""),"T113")</f>
        <v>T113</v>
      </c>
      <c r="C111" t="str">
        <f ca="1">IFERROR(__xludf.DUMMYFUNCTION("""COMPUTED_VALUE"""),"Peter Uihlein")</f>
        <v>Peter Uihlein</v>
      </c>
      <c r="D111">
        <f ca="1">IFERROR(__xludf.DUMMYFUNCTION("""COMPUTED_VALUE"""),8)</f>
        <v>8</v>
      </c>
      <c r="E111" t="str">
        <f ca="1">IFERROR(__xludf.DUMMYFUNCTION("""COMPUTED_VALUE"""),"36' 5""")</f>
        <v>36' 5"</v>
      </c>
      <c r="F111" s="2">
        <f ca="1">IFERROR(__xludf.DUMMYFUNCTION("""COMPUTED_VALUE"""),1311.083)</f>
        <v>1311.0830000000001</v>
      </c>
      <c r="G111">
        <f ca="1">IFERROR(__xludf.DUMMYFUNCTION("""COMPUTED_VALUE"""),36)</f>
        <v>36</v>
      </c>
      <c r="H111" t="str">
        <f ca="1">IFERROR(__xludf.DUMMYFUNCTION("""COMPUTED_VALUE"""),"Under")</f>
        <v>Under</v>
      </c>
    </row>
    <row r="112" spans="1:8" ht="12.75">
      <c r="A112" t="str">
        <f ca="1">IFERROR(__xludf.DUMMYFUNCTION("""COMPUTED_VALUE"""),"T110")</f>
        <v>T110</v>
      </c>
      <c r="B112" t="str">
        <f ca="1">IFERROR(__xludf.DUMMYFUNCTION("""COMPUTED_VALUE"""),"T113")</f>
        <v>T113</v>
      </c>
      <c r="C112" t="str">
        <f ca="1">IFERROR(__xludf.DUMMYFUNCTION("""COMPUTED_VALUE"""),"Joseph Bramlett")</f>
        <v>Joseph Bramlett</v>
      </c>
      <c r="D112">
        <f ca="1">IFERROR(__xludf.DUMMYFUNCTION("""COMPUTED_VALUE"""),18)</f>
        <v>18</v>
      </c>
      <c r="E112" t="str">
        <f ca="1">IFERROR(__xludf.DUMMYFUNCTION("""COMPUTED_VALUE"""),"36' 5""")</f>
        <v>36' 5"</v>
      </c>
      <c r="F112" s="2">
        <f ca="1">IFERROR(__xludf.DUMMYFUNCTION("""COMPUTED_VALUE"""),6453.083)</f>
        <v>6453.0829999999996</v>
      </c>
      <c r="G112">
        <f ca="1">IFERROR(__xludf.DUMMYFUNCTION("""COMPUTED_VALUE"""),177)</f>
        <v>177</v>
      </c>
      <c r="H112" t="str">
        <f ca="1">IFERROR(__xludf.DUMMYFUNCTION("""COMPUTED_VALUE"""),"Under")</f>
        <v>Under</v>
      </c>
    </row>
    <row r="113" spans="1:8" ht="12.75">
      <c r="A113" t="str">
        <f ca="1">IFERROR(__xludf.DUMMYFUNCTION("""COMPUTED_VALUE"""),"T110")</f>
        <v>T110</v>
      </c>
      <c r="B113" t="str">
        <f ca="1">IFERROR(__xludf.DUMMYFUNCTION("""COMPUTED_VALUE"""),"T132")</f>
        <v>T132</v>
      </c>
      <c r="C113" t="str">
        <f ca="1">IFERROR(__xludf.DUMMYFUNCTION("""COMPUTED_VALUE"""),"Matthew NeSmith")</f>
        <v>Matthew NeSmith</v>
      </c>
      <c r="D113">
        <f ca="1">IFERROR(__xludf.DUMMYFUNCTION("""COMPUTED_VALUE"""),16)</f>
        <v>16</v>
      </c>
      <c r="E113" t="str">
        <f ca="1">IFERROR(__xludf.DUMMYFUNCTION("""COMPUTED_VALUE"""),"36' 5""")</f>
        <v>36' 5"</v>
      </c>
      <c r="F113" s="2">
        <f ca="1">IFERROR(__xludf.DUMMYFUNCTION("""COMPUTED_VALUE"""),7756.333)</f>
        <v>7756.3329999999996</v>
      </c>
      <c r="G113">
        <f ca="1">IFERROR(__xludf.DUMMYFUNCTION("""COMPUTED_VALUE"""),213)</f>
        <v>213</v>
      </c>
      <c r="H113" t="str">
        <f ca="1">IFERROR(__xludf.DUMMYFUNCTION("""COMPUTED_VALUE"""),"Under")</f>
        <v>Under</v>
      </c>
    </row>
    <row r="114" spans="1:8" ht="12.75">
      <c r="A114" t="str">
        <f ca="1">IFERROR(__xludf.DUMMYFUNCTION("""COMPUTED_VALUE"""),"T110")</f>
        <v>T110</v>
      </c>
      <c r="B114" t="str">
        <f ca="1">IFERROR(__xludf.DUMMYFUNCTION("""COMPUTED_VALUE"""),"T113")</f>
        <v>T113</v>
      </c>
      <c r="C114" t="str">
        <f ca="1">IFERROR(__xludf.DUMMYFUNCTION("""COMPUTED_VALUE"""),"Chase Seiffert")</f>
        <v>Chase Seiffert</v>
      </c>
      <c r="D114">
        <f ca="1">IFERROR(__xludf.DUMMYFUNCTION("""COMPUTED_VALUE"""),14)</f>
        <v>14</v>
      </c>
      <c r="E114" t="str">
        <f ca="1">IFERROR(__xludf.DUMMYFUNCTION("""COMPUTED_VALUE"""),"36' 5""")</f>
        <v>36' 5"</v>
      </c>
      <c r="F114" s="2">
        <f ca="1">IFERROR(__xludf.DUMMYFUNCTION("""COMPUTED_VALUE"""),5245.75)</f>
        <v>5245.75</v>
      </c>
      <c r="G114">
        <f ca="1">IFERROR(__xludf.DUMMYFUNCTION("""COMPUTED_VALUE"""),144)</f>
        <v>144</v>
      </c>
      <c r="H114" t="str">
        <f ca="1">IFERROR(__xludf.DUMMYFUNCTION("""COMPUTED_VALUE"""),"Under")</f>
        <v>Under</v>
      </c>
    </row>
    <row r="115" spans="1:8" ht="12.75">
      <c r="A115" t="str">
        <f ca="1">IFERROR(__xludf.DUMMYFUNCTION("""COMPUTED_VALUE"""),"T114")</f>
        <v>T114</v>
      </c>
      <c r="B115">
        <f ca="1">IFERROR(__xludf.DUMMYFUNCTION("""COMPUTED_VALUE"""),117)</f>
        <v>117</v>
      </c>
      <c r="C115" t="str">
        <f ca="1">IFERROR(__xludf.DUMMYFUNCTION("""COMPUTED_VALUE"""),"Nick Taylor")</f>
        <v>Nick Taylor</v>
      </c>
      <c r="D115">
        <f ca="1">IFERROR(__xludf.DUMMYFUNCTION("""COMPUTED_VALUE"""),12)</f>
        <v>12</v>
      </c>
      <c r="E115" t="str">
        <f ca="1">IFERROR(__xludf.DUMMYFUNCTION("""COMPUTED_VALUE"""),"36' 6""")</f>
        <v>36' 6"</v>
      </c>
      <c r="F115" s="2">
        <f ca="1">IFERROR(__xludf.DUMMYFUNCTION("""COMPUTED_VALUE"""),7780.833)</f>
        <v>7780.8329999999996</v>
      </c>
      <c r="G115">
        <f ca="1">IFERROR(__xludf.DUMMYFUNCTION("""COMPUTED_VALUE"""),213)</f>
        <v>213</v>
      </c>
      <c r="H115" t="str">
        <f ca="1">IFERROR(__xludf.DUMMYFUNCTION("""COMPUTED_VALUE"""),"Under")</f>
        <v>Under</v>
      </c>
    </row>
    <row r="116" spans="1:8" ht="12.75">
      <c r="A116" t="str">
        <f ca="1">IFERROR(__xludf.DUMMYFUNCTION("""COMPUTED_VALUE"""),"T114")</f>
        <v>T114</v>
      </c>
      <c r="B116">
        <f ca="1">IFERROR(__xludf.DUMMYFUNCTION("""COMPUTED_VALUE"""),96)</f>
        <v>96</v>
      </c>
      <c r="C116" t="str">
        <f ca="1">IFERROR(__xludf.DUMMYFUNCTION("""COMPUTED_VALUE"""),"Branden Grace")</f>
        <v>Branden Grace</v>
      </c>
      <c r="D116">
        <f ca="1">IFERROR(__xludf.DUMMYFUNCTION("""COMPUTED_VALUE"""),16)</f>
        <v>16</v>
      </c>
      <c r="E116" t="str">
        <f ca="1">IFERROR(__xludf.DUMMYFUNCTION("""COMPUTED_VALUE"""),"36' 6""")</f>
        <v>36' 6"</v>
      </c>
      <c r="F116" s="2">
        <f ca="1">IFERROR(__xludf.DUMMYFUNCTION("""COMPUTED_VALUE"""),6528.583)</f>
        <v>6528.5829999999996</v>
      </c>
      <c r="G116">
        <f ca="1">IFERROR(__xludf.DUMMYFUNCTION("""COMPUTED_VALUE"""),179)</f>
        <v>179</v>
      </c>
      <c r="H116" t="str">
        <f ca="1">IFERROR(__xludf.DUMMYFUNCTION("""COMPUTED_VALUE"""),"Over")</f>
        <v>Over</v>
      </c>
    </row>
    <row r="117" spans="1:8" ht="12.75">
      <c r="A117" t="str">
        <f ca="1">IFERROR(__xludf.DUMMYFUNCTION("""COMPUTED_VALUE"""),"T114")</f>
        <v>T114</v>
      </c>
      <c r="B117" t="str">
        <f ca="1">IFERROR(__xludf.DUMMYFUNCTION("""COMPUTED_VALUE"""),"T144")</f>
        <v>T144</v>
      </c>
      <c r="C117" t="str">
        <f ca="1">IFERROR(__xludf.DUMMYFUNCTION("""COMPUTED_VALUE"""),"Shane Lowry")</f>
        <v>Shane Lowry</v>
      </c>
      <c r="D117">
        <f ca="1">IFERROR(__xludf.DUMMYFUNCTION("""COMPUTED_VALUE"""),14)</f>
        <v>14</v>
      </c>
      <c r="E117" t="str">
        <f ca="1">IFERROR(__xludf.DUMMYFUNCTION("""COMPUTED_VALUE"""),"36' 6""")</f>
        <v>36' 6"</v>
      </c>
      <c r="F117" s="2">
        <f ca="1">IFERROR(__xludf.DUMMYFUNCTION("""COMPUTED_VALUE"""),9119.167)</f>
        <v>9119.1669999999995</v>
      </c>
      <c r="G117">
        <f ca="1">IFERROR(__xludf.DUMMYFUNCTION("""COMPUTED_VALUE"""),250)</f>
        <v>250</v>
      </c>
      <c r="H117" t="str">
        <f ca="1">IFERROR(__xludf.DUMMYFUNCTION("""COMPUTED_VALUE"""),"Under")</f>
        <v>Under</v>
      </c>
    </row>
    <row r="118" spans="1:8" ht="12.75">
      <c r="A118" t="str">
        <f ca="1">IFERROR(__xludf.DUMMYFUNCTION("""COMPUTED_VALUE"""),"T117")</f>
        <v>T117</v>
      </c>
      <c r="B118" t="str">
        <f ca="1">IFERROR(__xludf.DUMMYFUNCTION("""COMPUTED_VALUE"""),"T106")</f>
        <v>T106</v>
      </c>
      <c r="C118" t="str">
        <f ca="1">IFERROR(__xludf.DUMMYFUNCTION("""COMPUTED_VALUE"""),"Kevin Tway")</f>
        <v>Kevin Tway</v>
      </c>
      <c r="D118">
        <f ca="1">IFERROR(__xludf.DUMMYFUNCTION("""COMPUTED_VALUE"""),16)</f>
        <v>16</v>
      </c>
      <c r="E118" t="str">
        <f ca="1">IFERROR(__xludf.DUMMYFUNCTION("""COMPUTED_VALUE"""),"36' 7""")</f>
        <v>36' 7"</v>
      </c>
      <c r="F118" s="2">
        <f ca="1">IFERROR(__xludf.DUMMYFUNCTION("""COMPUTED_VALUE"""),5266.5)</f>
        <v>5266.5</v>
      </c>
      <c r="G118">
        <f ca="1">IFERROR(__xludf.DUMMYFUNCTION("""COMPUTED_VALUE"""),144)</f>
        <v>144</v>
      </c>
      <c r="H118" t="str">
        <f ca="1">IFERROR(__xludf.DUMMYFUNCTION("""COMPUTED_VALUE"""),"Under")</f>
        <v>Under</v>
      </c>
    </row>
    <row r="119" spans="1:8" ht="12.75">
      <c r="A119" t="str">
        <f ca="1">IFERROR(__xludf.DUMMYFUNCTION("""COMPUTED_VALUE"""),"T117")</f>
        <v>T117</v>
      </c>
      <c r="B119" t="str">
        <f ca="1">IFERROR(__xludf.DUMMYFUNCTION("""COMPUTED_VALUE"""),"T118")</f>
        <v>T118</v>
      </c>
      <c r="C119" t="str">
        <f ca="1">IFERROR(__xludf.DUMMYFUNCTION("""COMPUTED_VALUE"""),"Matthew Wolff")</f>
        <v>Matthew Wolff</v>
      </c>
      <c r="D119">
        <f ca="1">IFERROR(__xludf.DUMMYFUNCTION("""COMPUTED_VALUE"""),16)</f>
        <v>16</v>
      </c>
      <c r="E119" t="str">
        <f ca="1">IFERROR(__xludf.DUMMYFUNCTION("""COMPUTED_VALUE"""),"36' 7""")</f>
        <v>36' 7"</v>
      </c>
      <c r="F119" s="2">
        <f ca="1">IFERROR(__xludf.DUMMYFUNCTION("""COMPUTED_VALUE"""),10500.417)</f>
        <v>10500.416999999999</v>
      </c>
      <c r="G119">
        <f ca="1">IFERROR(__xludf.DUMMYFUNCTION("""COMPUTED_VALUE"""),287)</f>
        <v>287</v>
      </c>
      <c r="H119" t="str">
        <f ca="1">IFERROR(__xludf.DUMMYFUNCTION("""COMPUTED_VALUE"""),"Under")</f>
        <v>Under</v>
      </c>
    </row>
    <row r="120" spans="1:8" ht="12.75">
      <c r="A120" t="str">
        <f ca="1">IFERROR(__xludf.DUMMYFUNCTION("""COMPUTED_VALUE"""),"T119")</f>
        <v>T119</v>
      </c>
      <c r="B120" t="str">
        <f ca="1">IFERROR(__xludf.DUMMYFUNCTION("""COMPUTED_VALUE"""),"")</f>
        <v/>
      </c>
      <c r="C120" t="str">
        <f ca="1">IFERROR(__xludf.DUMMYFUNCTION("""COMPUTED_VALUE"""),"Francesco Molinari")</f>
        <v>Francesco Molinari</v>
      </c>
      <c r="D120">
        <f ca="1">IFERROR(__xludf.DUMMYFUNCTION("""COMPUTED_VALUE"""),6)</f>
        <v>6</v>
      </c>
      <c r="E120" t="str">
        <f ca="1">IFERROR(__xludf.DUMMYFUNCTION("""COMPUTED_VALUE"""),"36' 8""")</f>
        <v>36' 8"</v>
      </c>
      <c r="F120" s="2">
        <f ca="1">IFERROR(__xludf.DUMMYFUNCTION("""COMPUTED_VALUE"""),3959.917)</f>
        <v>3959.9169999999999</v>
      </c>
      <c r="G120">
        <f ca="1">IFERROR(__xludf.DUMMYFUNCTION("""COMPUTED_VALUE"""),108)</f>
        <v>108</v>
      </c>
      <c r="H120" t="str">
        <f ca="1">IFERROR(__xludf.DUMMYFUNCTION("""COMPUTED_VALUE"""),"Under")</f>
        <v>Under</v>
      </c>
    </row>
    <row r="121" spans="1:8" ht="12.75">
      <c r="A121" t="str">
        <f ca="1">IFERROR(__xludf.DUMMYFUNCTION("""COMPUTED_VALUE"""),"T119")</f>
        <v>T119</v>
      </c>
      <c r="B121" t="str">
        <f ca="1">IFERROR(__xludf.DUMMYFUNCTION("""COMPUTED_VALUE"""),"T118")</f>
        <v>T118</v>
      </c>
      <c r="C121" t="str">
        <f ca="1">IFERROR(__xludf.DUMMYFUNCTION("""COMPUTED_VALUE"""),"Bo Hoag")</f>
        <v>Bo Hoag</v>
      </c>
      <c r="D121">
        <f ca="1">IFERROR(__xludf.DUMMYFUNCTION("""COMPUTED_VALUE"""),14)</f>
        <v>14</v>
      </c>
      <c r="E121" t="str">
        <f ca="1">IFERROR(__xludf.DUMMYFUNCTION("""COMPUTED_VALUE"""),"36' 8""")</f>
        <v>36' 8"</v>
      </c>
      <c r="F121" s="2">
        <f ca="1">IFERROR(__xludf.DUMMYFUNCTION("""COMPUTED_VALUE"""),6569.333)</f>
        <v>6569.3329999999996</v>
      </c>
      <c r="G121">
        <f ca="1">IFERROR(__xludf.DUMMYFUNCTION("""COMPUTED_VALUE"""),179)</f>
        <v>179</v>
      </c>
      <c r="H121" t="str">
        <f ca="1">IFERROR(__xludf.DUMMYFUNCTION("""COMPUTED_VALUE"""),"Under")</f>
        <v>Under</v>
      </c>
    </row>
    <row r="122" spans="1:8" ht="12.75">
      <c r="A122" t="str">
        <f ca="1">IFERROR(__xludf.DUMMYFUNCTION("""COMPUTED_VALUE"""),"T119")</f>
        <v>T119</v>
      </c>
      <c r="B122">
        <f ca="1">IFERROR(__xludf.DUMMYFUNCTION("""COMPUTED_VALUE"""),121)</f>
        <v>121</v>
      </c>
      <c r="C122" t="str">
        <f ca="1">IFERROR(__xludf.DUMMYFUNCTION("""COMPUTED_VALUE"""),"Sahith Theegala")</f>
        <v>Sahith Theegala</v>
      </c>
      <c r="D122">
        <f ca="1">IFERROR(__xludf.DUMMYFUNCTION("""COMPUTED_VALUE"""),6)</f>
        <v>6</v>
      </c>
      <c r="E122" t="str">
        <f ca="1">IFERROR(__xludf.DUMMYFUNCTION("""COMPUTED_VALUE"""),"36' 8""")</f>
        <v>36' 8"</v>
      </c>
      <c r="F122" s="2">
        <f ca="1">IFERROR(__xludf.DUMMYFUNCTION("""COMPUTED_VALUE"""),3884.167)</f>
        <v>3884.1669999999999</v>
      </c>
      <c r="G122">
        <f ca="1">IFERROR(__xludf.DUMMYFUNCTION("""COMPUTED_VALUE"""),106)</f>
        <v>106</v>
      </c>
      <c r="H122" t="str">
        <f ca="1">IFERROR(__xludf.DUMMYFUNCTION("""COMPUTED_VALUE"""),"Under")</f>
        <v>Under</v>
      </c>
    </row>
    <row r="123" spans="1:8" ht="12.75">
      <c r="A123" t="str">
        <f ca="1">IFERROR(__xludf.DUMMYFUNCTION("""COMPUTED_VALUE"""),"T122")</f>
        <v>T122</v>
      </c>
      <c r="B123" t="str">
        <f ca="1">IFERROR(__xludf.DUMMYFUNCTION("""COMPUTED_VALUE"""),"T122")</f>
        <v>T122</v>
      </c>
      <c r="C123" t="str">
        <f ca="1">IFERROR(__xludf.DUMMYFUNCTION("""COMPUTED_VALUE"""),"Bronson Burgoon")</f>
        <v>Bronson Burgoon</v>
      </c>
      <c r="D123">
        <f ca="1">IFERROR(__xludf.DUMMYFUNCTION("""COMPUTED_VALUE"""),10)</f>
        <v>10</v>
      </c>
      <c r="E123" t="str">
        <f ca="1">IFERROR(__xludf.DUMMYFUNCTION("""COMPUTED_VALUE"""),"36' 9""")</f>
        <v>36' 9"</v>
      </c>
      <c r="F123" s="2">
        <f ca="1">IFERROR(__xludf.DUMMYFUNCTION("""COMPUTED_VALUE"""),5142.083)</f>
        <v>5142.0829999999996</v>
      </c>
      <c r="G123">
        <f ca="1">IFERROR(__xludf.DUMMYFUNCTION("""COMPUTED_VALUE"""),140)</f>
        <v>140</v>
      </c>
      <c r="H123" t="str">
        <f ca="1">IFERROR(__xludf.DUMMYFUNCTION("""COMPUTED_VALUE"""),"Under")</f>
        <v>Under</v>
      </c>
    </row>
    <row r="124" spans="1:8" ht="12.75">
      <c r="A124" t="str">
        <f ca="1">IFERROR(__xludf.DUMMYFUNCTION("""COMPUTED_VALUE"""),"T122")</f>
        <v>T122</v>
      </c>
      <c r="B124" t="str">
        <f ca="1">IFERROR(__xludf.DUMMYFUNCTION("""COMPUTED_VALUE"""),"T122")</f>
        <v>T122</v>
      </c>
      <c r="C124" t="str">
        <f ca="1">IFERROR(__xludf.DUMMYFUNCTION("""COMPUTED_VALUE"""),"Rafael Campos")</f>
        <v>Rafael Campos</v>
      </c>
      <c r="D124">
        <f ca="1">IFERROR(__xludf.DUMMYFUNCTION("""COMPUTED_VALUE"""),6)</f>
        <v>6</v>
      </c>
      <c r="E124" t="str">
        <f ca="1">IFERROR(__xludf.DUMMYFUNCTION("""COMPUTED_VALUE"""),"36' 9""")</f>
        <v>36' 9"</v>
      </c>
      <c r="F124" s="2">
        <f ca="1">IFERROR(__xludf.DUMMYFUNCTION("""COMPUTED_VALUE"""),1322.667)</f>
        <v>1322.6669999999999</v>
      </c>
      <c r="G124">
        <f ca="1">IFERROR(__xludf.DUMMYFUNCTION("""COMPUTED_VALUE"""),36)</f>
        <v>36</v>
      </c>
      <c r="H124" t="str">
        <f ca="1">IFERROR(__xludf.DUMMYFUNCTION("""COMPUTED_VALUE"""),"Under")</f>
        <v>Under</v>
      </c>
    </row>
    <row r="125" spans="1:8" ht="12.75">
      <c r="A125" t="str">
        <f ca="1">IFERROR(__xludf.DUMMYFUNCTION("""COMPUTED_VALUE"""),"T122")</f>
        <v>T122</v>
      </c>
      <c r="B125" t="str">
        <f ca="1">IFERROR(__xludf.DUMMYFUNCTION("""COMPUTED_VALUE"""),"T122")</f>
        <v>T122</v>
      </c>
      <c r="C125" t="str">
        <f ca="1">IFERROR(__xludf.DUMMYFUNCTION("""COMPUTED_VALUE"""),"Daniel Berger")</f>
        <v>Daniel Berger</v>
      </c>
      <c r="D125">
        <f ca="1">IFERROR(__xludf.DUMMYFUNCTION("""COMPUTED_VALUE"""),12)</f>
        <v>12</v>
      </c>
      <c r="E125" t="str">
        <f ca="1">IFERROR(__xludf.DUMMYFUNCTION("""COMPUTED_VALUE"""),"36' 9""")</f>
        <v>36' 9"</v>
      </c>
      <c r="F125" s="2">
        <f ca="1">IFERROR(__xludf.DUMMYFUNCTION("""COMPUTED_VALUE"""),7862.167)</f>
        <v>7862.1670000000004</v>
      </c>
      <c r="G125">
        <f ca="1">IFERROR(__xludf.DUMMYFUNCTION("""COMPUTED_VALUE"""),214)</f>
        <v>214</v>
      </c>
      <c r="H125" t="str">
        <f ca="1">IFERROR(__xludf.DUMMYFUNCTION("""COMPUTED_VALUE"""),"Under")</f>
        <v>Under</v>
      </c>
    </row>
    <row r="126" spans="1:8" ht="12.75">
      <c r="A126" t="str">
        <f ca="1">IFERROR(__xludf.DUMMYFUNCTION("""COMPUTED_VALUE"""),"T125")</f>
        <v>T125</v>
      </c>
      <c r="B126" t="str">
        <f ca="1">IFERROR(__xludf.DUMMYFUNCTION("""COMPUTED_VALUE"""),"T128")</f>
        <v>T128</v>
      </c>
      <c r="C126" t="str">
        <f ca="1">IFERROR(__xludf.DUMMYFUNCTION("""COMPUTED_VALUE"""),"Bubba Watson")</f>
        <v>Bubba Watson</v>
      </c>
      <c r="D126">
        <f ca="1">IFERROR(__xludf.DUMMYFUNCTION("""COMPUTED_VALUE"""),12)</f>
        <v>12</v>
      </c>
      <c r="E126" t="str">
        <f ca="1">IFERROR(__xludf.DUMMYFUNCTION("""COMPUTED_VALUE"""),"36' 11""")</f>
        <v>36' 11"</v>
      </c>
      <c r="F126" s="2">
        <f ca="1">IFERROR(__xludf.DUMMYFUNCTION("""COMPUTED_VALUE"""),7981.083)</f>
        <v>7981.0829999999996</v>
      </c>
      <c r="G126">
        <f ca="1">IFERROR(__xludf.DUMMYFUNCTION("""COMPUTED_VALUE"""),216)</f>
        <v>216</v>
      </c>
      <c r="H126" t="str">
        <f ca="1">IFERROR(__xludf.DUMMYFUNCTION("""COMPUTED_VALUE"""),"Under")</f>
        <v>Under</v>
      </c>
    </row>
    <row r="127" spans="1:8" ht="12.75">
      <c r="A127" t="str">
        <f ca="1">IFERROR(__xludf.DUMMYFUNCTION("""COMPUTED_VALUE"""),"T125")</f>
        <v>T125</v>
      </c>
      <c r="B127" t="str">
        <f ca="1">IFERROR(__xludf.DUMMYFUNCTION("""COMPUTED_VALUE"""),"T128")</f>
        <v>T128</v>
      </c>
      <c r="C127" t="str">
        <f ca="1">IFERROR(__xludf.DUMMYFUNCTION("""COMPUTED_VALUE"""),"Sangmoon Bae")</f>
        <v>Sangmoon Bae</v>
      </c>
      <c r="D127">
        <f ca="1">IFERROR(__xludf.DUMMYFUNCTION("""COMPUTED_VALUE"""),8)</f>
        <v>8</v>
      </c>
      <c r="E127" t="str">
        <f ca="1">IFERROR(__xludf.DUMMYFUNCTION("""COMPUTED_VALUE"""),"36' 11""")</f>
        <v>36' 11"</v>
      </c>
      <c r="F127" s="2">
        <f ca="1">IFERROR(__xludf.DUMMYFUNCTION("""COMPUTED_VALUE"""),1330.25)</f>
        <v>1330.25</v>
      </c>
      <c r="G127">
        <f ca="1">IFERROR(__xludf.DUMMYFUNCTION("""COMPUTED_VALUE"""),36)</f>
        <v>36</v>
      </c>
      <c r="H127" t="str">
        <f ca="1">IFERROR(__xludf.DUMMYFUNCTION("""COMPUTED_VALUE"""),"Over")</f>
        <v>Over</v>
      </c>
    </row>
    <row r="128" spans="1:8" ht="12.75">
      <c r="A128" t="str">
        <f ca="1">IFERROR(__xludf.DUMMYFUNCTION("""COMPUTED_VALUE"""),"T125")</f>
        <v>T125</v>
      </c>
      <c r="B128" t="str">
        <f ca="1">IFERROR(__xludf.DUMMYFUNCTION("""COMPUTED_VALUE"""),"T113")</f>
        <v>T113</v>
      </c>
      <c r="C128" t="str">
        <f ca="1">IFERROR(__xludf.DUMMYFUNCTION("""COMPUTED_VALUE"""),"Lanto Griffin")</f>
        <v>Lanto Griffin</v>
      </c>
      <c r="D128">
        <f ca="1">IFERROR(__xludf.DUMMYFUNCTION("""COMPUTED_VALUE"""),18)</f>
        <v>18</v>
      </c>
      <c r="E128" t="str">
        <f ca="1">IFERROR(__xludf.DUMMYFUNCTION("""COMPUTED_VALUE"""),"36' 11""")</f>
        <v>36' 11"</v>
      </c>
      <c r="F128" s="2">
        <f ca="1">IFERROR(__xludf.DUMMYFUNCTION("""COMPUTED_VALUE"""),11896.417)</f>
        <v>11896.416999999999</v>
      </c>
      <c r="G128">
        <f ca="1">IFERROR(__xludf.DUMMYFUNCTION("""COMPUTED_VALUE"""),322)</f>
        <v>322</v>
      </c>
      <c r="H128" t="str">
        <f ca="1">IFERROR(__xludf.DUMMYFUNCTION("""COMPUTED_VALUE"""),"Under")</f>
        <v>Under</v>
      </c>
    </row>
    <row r="129" spans="1:8" ht="12.75">
      <c r="A129" t="str">
        <f ca="1">IFERROR(__xludf.DUMMYFUNCTION("""COMPUTED_VALUE"""),"T125")</f>
        <v>T125</v>
      </c>
      <c r="B129" t="str">
        <f ca="1">IFERROR(__xludf.DUMMYFUNCTION("""COMPUTED_VALUE"""),"T128")</f>
        <v>T128</v>
      </c>
      <c r="C129" t="str">
        <f ca="1">IFERROR(__xludf.DUMMYFUNCTION("""COMPUTED_VALUE"""),"Tyler McCumber")</f>
        <v>Tyler McCumber</v>
      </c>
      <c r="D129">
        <f ca="1">IFERROR(__xludf.DUMMYFUNCTION("""COMPUTED_VALUE"""),14)</f>
        <v>14</v>
      </c>
      <c r="E129" t="str">
        <f ca="1">IFERROR(__xludf.DUMMYFUNCTION("""COMPUTED_VALUE"""),"36' 11""")</f>
        <v>36' 11"</v>
      </c>
      <c r="F129" s="2">
        <f ca="1">IFERROR(__xludf.DUMMYFUNCTION("""COMPUTED_VALUE"""),5246.5)</f>
        <v>5246.5</v>
      </c>
      <c r="G129">
        <f ca="1">IFERROR(__xludf.DUMMYFUNCTION("""COMPUTED_VALUE"""),142)</f>
        <v>142</v>
      </c>
      <c r="H129" t="str">
        <f ca="1">IFERROR(__xludf.DUMMYFUNCTION("""COMPUTED_VALUE"""),"Under")</f>
        <v>Under</v>
      </c>
    </row>
    <row r="130" spans="1:8" ht="12.75">
      <c r="A130" t="str">
        <f ca="1">IFERROR(__xludf.DUMMYFUNCTION("""COMPUTED_VALUE"""),"T129")</f>
        <v>T129</v>
      </c>
      <c r="B130">
        <f ca="1">IFERROR(__xludf.DUMMYFUNCTION("""COMPUTED_VALUE"""),131)</f>
        <v>131</v>
      </c>
      <c r="C130" t="str">
        <f ca="1">IFERROR(__xludf.DUMMYFUNCTION("""COMPUTED_VALUE"""),"Cameron Smith")</f>
        <v>Cameron Smith</v>
      </c>
      <c r="D130">
        <f ca="1">IFERROR(__xludf.DUMMYFUNCTION("""COMPUTED_VALUE"""),16)</f>
        <v>16</v>
      </c>
      <c r="E130" t="str">
        <f ca="1">IFERROR(__xludf.DUMMYFUNCTION("""COMPUTED_VALUE"""),"37' 0""")</f>
        <v>37' 0"</v>
      </c>
      <c r="F130" s="2">
        <f ca="1">IFERROR(__xludf.DUMMYFUNCTION("""COMPUTED_VALUE"""),10609.833)</f>
        <v>10609.833000000001</v>
      </c>
      <c r="G130">
        <f ca="1">IFERROR(__xludf.DUMMYFUNCTION("""COMPUTED_VALUE"""),287)</f>
        <v>287</v>
      </c>
      <c r="H130" t="str">
        <f ca="1">IFERROR(__xludf.DUMMYFUNCTION("""COMPUTED_VALUE"""),"Under")</f>
        <v>Under</v>
      </c>
    </row>
    <row r="131" spans="1:8" ht="12.75">
      <c r="A131" t="str">
        <f ca="1">IFERROR(__xludf.DUMMYFUNCTION("""COMPUTED_VALUE"""),"T129")</f>
        <v>T129</v>
      </c>
      <c r="B131" t="str">
        <f ca="1">IFERROR(__xludf.DUMMYFUNCTION("""COMPUTED_VALUE"""),"T122")</f>
        <v>T122</v>
      </c>
      <c r="C131" t="str">
        <f ca="1">IFERROR(__xludf.DUMMYFUNCTION("""COMPUTED_VALUE"""),"Talor Gooch")</f>
        <v>Talor Gooch</v>
      </c>
      <c r="D131">
        <f ca="1">IFERROR(__xludf.DUMMYFUNCTION("""COMPUTED_VALUE"""),20)</f>
        <v>20</v>
      </c>
      <c r="E131" t="str">
        <f ca="1">IFERROR(__xludf.DUMMYFUNCTION("""COMPUTED_VALUE"""),"37' 0""")</f>
        <v>37' 0"</v>
      </c>
      <c r="F131" s="2">
        <f ca="1">IFERROR(__xludf.DUMMYFUNCTION("""COMPUTED_VALUE"""),13110.5)</f>
        <v>13110.5</v>
      </c>
      <c r="G131">
        <f ca="1">IFERROR(__xludf.DUMMYFUNCTION("""COMPUTED_VALUE"""),354)</f>
        <v>354</v>
      </c>
      <c r="H131" t="str">
        <f ca="1">IFERROR(__xludf.DUMMYFUNCTION("""COMPUTED_VALUE"""),"1 Under")</f>
        <v>1 Under</v>
      </c>
    </row>
    <row r="132" spans="1:8" ht="12.75">
      <c r="A132" t="str">
        <f ca="1">IFERROR(__xludf.DUMMYFUNCTION("""COMPUTED_VALUE"""),"T129")</f>
        <v>T129</v>
      </c>
      <c r="B132" t="str">
        <f ca="1">IFERROR(__xludf.DUMMYFUNCTION("""COMPUTED_VALUE"""),"T176")</f>
        <v>T176</v>
      </c>
      <c r="C132" t="str">
        <f ca="1">IFERROR(__xludf.DUMMYFUNCTION("""COMPUTED_VALUE"""),"Maverick McNealy")</f>
        <v>Maverick McNealy</v>
      </c>
      <c r="D132">
        <f ca="1">IFERROR(__xludf.DUMMYFUNCTION("""COMPUTED_VALUE"""),16)</f>
        <v>16</v>
      </c>
      <c r="E132" t="str">
        <f ca="1">IFERROR(__xludf.DUMMYFUNCTION("""COMPUTED_VALUE"""),"37' 0""")</f>
        <v>37' 0"</v>
      </c>
      <c r="F132" s="2">
        <f ca="1">IFERROR(__xludf.DUMMYFUNCTION("""COMPUTED_VALUE"""),7913.167)</f>
        <v>7913.1670000000004</v>
      </c>
      <c r="G132">
        <f ca="1">IFERROR(__xludf.DUMMYFUNCTION("""COMPUTED_VALUE"""),214)</f>
        <v>214</v>
      </c>
      <c r="H132" t="str">
        <f ca="1">IFERROR(__xludf.DUMMYFUNCTION("""COMPUTED_VALUE"""),"Under")</f>
        <v>Under</v>
      </c>
    </row>
    <row r="133" spans="1:8" ht="12.75">
      <c r="A133" t="str">
        <f ca="1">IFERROR(__xludf.DUMMYFUNCTION("""COMPUTED_VALUE"""),"T132")</f>
        <v>T132</v>
      </c>
      <c r="B133">
        <f ca="1">IFERROR(__xludf.DUMMYFUNCTION("""COMPUTED_VALUE"""),101)</f>
        <v>101</v>
      </c>
      <c r="C133" t="str">
        <f ca="1">IFERROR(__xludf.DUMMYFUNCTION("""COMPUTED_VALUE"""),"Brice Garnett")</f>
        <v>Brice Garnett</v>
      </c>
      <c r="D133">
        <f ca="1">IFERROR(__xludf.DUMMYFUNCTION("""COMPUTED_VALUE"""),22)</f>
        <v>22</v>
      </c>
      <c r="E133" t="str">
        <f ca="1">IFERROR(__xludf.DUMMYFUNCTION("""COMPUTED_VALUE"""),"37' 3""")</f>
        <v>37' 3"</v>
      </c>
      <c r="F133" s="2">
        <f ca="1">IFERROR(__xludf.DUMMYFUNCTION("""COMPUTED_VALUE"""),9312.583)</f>
        <v>9312.5830000000005</v>
      </c>
      <c r="G133">
        <f ca="1">IFERROR(__xludf.DUMMYFUNCTION("""COMPUTED_VALUE"""),250)</f>
        <v>250</v>
      </c>
      <c r="H133" t="str">
        <f ca="1">IFERROR(__xludf.DUMMYFUNCTION("""COMPUTED_VALUE"""),"Under")</f>
        <v>Under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IFERROR(__xludf.DUMMYFUNCTION("""COMPUTED_VALUE"""),"T132")</f>
        <v>T132</v>
      </c>
      <c r="C134" t="str">
        <f ca="1">IFERROR(__xludf.DUMMYFUNCTION("""COMPUTED_VALUE"""),"Tony Finau")</f>
        <v>Tony Finau</v>
      </c>
      <c r="D134">
        <f ca="1">IFERROR(__xludf.DUMMYFUNCTION("""COMPUTED_VALUE"""),12)</f>
        <v>12</v>
      </c>
      <c r="E134" t="str">
        <f ca="1">IFERROR(__xludf.DUMMYFUNCTION("""COMPUTED_VALUE"""),"37' 3""")</f>
        <v>37' 3"</v>
      </c>
      <c r="F134" s="2">
        <f ca="1">IFERROR(__xludf.DUMMYFUNCTION("""COMPUTED_VALUE"""),7978.417)</f>
        <v>7978.4170000000004</v>
      </c>
      <c r="G134">
        <f ca="1">IFERROR(__xludf.DUMMYFUNCTION("""COMPUTED_VALUE"""),214)</f>
        <v>214</v>
      </c>
      <c r="H134" t="str">
        <f ca="1">IFERROR(__xludf.DUMMYFUNCTION("""COMPUTED_VALUE"""),"Under")</f>
        <v>Under</v>
      </c>
    </row>
    <row r="135" spans="1:8" ht="12.75">
      <c r="A135" t="str">
        <f ca="1">IFERROR(__xludf.DUMMYFUNCTION("""COMPUTED_VALUE"""),"T132")</f>
        <v>T132</v>
      </c>
      <c r="B135" t="str">
        <f ca="1">IFERROR(__xludf.DUMMYFUNCTION("""COMPUTED_VALUE"""),"T132")</f>
        <v>T132</v>
      </c>
      <c r="C135" t="str">
        <f ca="1">IFERROR(__xludf.DUMMYFUNCTION("""COMPUTED_VALUE"""),"Henrik Norlander")</f>
        <v>Henrik Norlander</v>
      </c>
      <c r="D135">
        <f ca="1">IFERROR(__xludf.DUMMYFUNCTION("""COMPUTED_VALUE"""),16)</f>
        <v>16</v>
      </c>
      <c r="E135" t="str">
        <f ca="1">IFERROR(__xludf.DUMMYFUNCTION("""COMPUTED_VALUE"""),"37' 3""")</f>
        <v>37' 3"</v>
      </c>
      <c r="F135" s="2">
        <f ca="1">IFERROR(__xludf.DUMMYFUNCTION("""COMPUTED_VALUE"""),7973.167)</f>
        <v>7973.1670000000004</v>
      </c>
      <c r="G135">
        <f ca="1">IFERROR(__xludf.DUMMYFUNCTION("""COMPUTED_VALUE"""),214)</f>
        <v>214</v>
      </c>
      <c r="H135" t="str">
        <f ca="1">IFERROR(__xludf.DUMMYFUNCTION("""COMPUTED_VALUE"""),"Under")</f>
        <v>Under</v>
      </c>
    </row>
    <row r="136" spans="1:8" ht="12.75">
      <c r="A136" t="str">
        <f ca="1">IFERROR(__xludf.DUMMYFUNCTION("""COMPUTED_VALUE"""),"T132")</f>
        <v>T132</v>
      </c>
      <c r="B136" t="str">
        <f ca="1">IFERROR(__xludf.DUMMYFUNCTION("""COMPUTED_VALUE"""),"T137")</f>
        <v>T137</v>
      </c>
      <c r="C136" t="str">
        <f ca="1">IFERROR(__xludf.DUMMYFUNCTION("""COMPUTED_VALUE"""),"Robert Streb")</f>
        <v>Robert Streb</v>
      </c>
      <c r="D136">
        <f ca="1">IFERROR(__xludf.DUMMYFUNCTION("""COMPUTED_VALUE"""),12)</f>
        <v>12</v>
      </c>
      <c r="E136" t="str">
        <f ca="1">IFERROR(__xludf.DUMMYFUNCTION("""COMPUTED_VALUE"""),"37' 3""")</f>
        <v>37' 3"</v>
      </c>
      <c r="F136" s="2">
        <f ca="1">IFERROR(__xludf.DUMMYFUNCTION("""COMPUTED_VALUE"""),2682.417)</f>
        <v>2682.4169999999999</v>
      </c>
      <c r="G136">
        <f ca="1">IFERROR(__xludf.DUMMYFUNCTION("""COMPUTED_VALUE"""),72)</f>
        <v>72</v>
      </c>
      <c r="H136" t="str">
        <f ca="1">IFERROR(__xludf.DUMMYFUNCTION("""COMPUTED_VALUE"""),"Even")</f>
        <v>Even</v>
      </c>
    </row>
    <row r="137" spans="1:8" ht="12.75">
      <c r="A137" t="str">
        <f ca="1">IFERROR(__xludf.DUMMYFUNCTION("""COMPUTED_VALUE"""),"T132")</f>
        <v>T132</v>
      </c>
      <c r="B137" t="str">
        <f ca="1">IFERROR(__xludf.DUMMYFUNCTION("""COMPUTED_VALUE"""),"T137")</f>
        <v>T137</v>
      </c>
      <c r="C137" t="str">
        <f ca="1">IFERROR(__xludf.DUMMYFUNCTION("""COMPUTED_VALUE"""),"Matthew Fitzpatrick")</f>
        <v>Matthew Fitzpatrick</v>
      </c>
      <c r="D137">
        <f ca="1">IFERROR(__xludf.DUMMYFUNCTION("""COMPUTED_VALUE"""),10)</f>
        <v>10</v>
      </c>
      <c r="E137" t="str">
        <f ca="1">IFERROR(__xludf.DUMMYFUNCTION("""COMPUTED_VALUE"""),"37' 3""")</f>
        <v>37' 3"</v>
      </c>
      <c r="F137" s="2">
        <f ca="1">IFERROR(__xludf.DUMMYFUNCTION("""COMPUTED_VALUE"""),6625.333)</f>
        <v>6625.3329999999996</v>
      </c>
      <c r="G137">
        <f ca="1">IFERROR(__xludf.DUMMYFUNCTION("""COMPUTED_VALUE"""),178)</f>
        <v>178</v>
      </c>
      <c r="H137" t="str">
        <f ca="1">IFERROR(__xludf.DUMMYFUNCTION("""COMPUTED_VALUE"""),"Under")</f>
        <v>Under</v>
      </c>
    </row>
    <row r="138" spans="1:8" ht="12.75">
      <c r="A138" t="str">
        <f ca="1">IFERROR(__xludf.DUMMYFUNCTION("""COMPUTED_VALUE"""),"T137")</f>
        <v>T137</v>
      </c>
      <c r="B138" t="str">
        <f ca="1">IFERROR(__xludf.DUMMYFUNCTION("""COMPUTED_VALUE"""),"T139")</f>
        <v>T139</v>
      </c>
      <c r="C138" t="str">
        <f ca="1">IFERROR(__xludf.DUMMYFUNCTION("""COMPUTED_VALUE"""),"Paul Casey")</f>
        <v>Paul Casey</v>
      </c>
      <c r="D138">
        <f ca="1">IFERROR(__xludf.DUMMYFUNCTION("""COMPUTED_VALUE"""),14)</f>
        <v>14</v>
      </c>
      <c r="E138" t="str">
        <f ca="1">IFERROR(__xludf.DUMMYFUNCTION("""COMPUTED_VALUE"""),"37' 4""")</f>
        <v>37' 4"</v>
      </c>
      <c r="F138" s="2">
        <f ca="1">IFERROR(__xludf.DUMMYFUNCTION("""COMPUTED_VALUE"""),9214.833)</f>
        <v>9214.8330000000005</v>
      </c>
      <c r="G138">
        <f ca="1">IFERROR(__xludf.DUMMYFUNCTION("""COMPUTED_VALUE"""),247)</f>
        <v>247</v>
      </c>
      <c r="H138" t="str">
        <f ca="1">IFERROR(__xludf.DUMMYFUNCTION("""COMPUTED_VALUE"""),"Under")</f>
        <v>Under</v>
      </c>
    </row>
    <row r="139" spans="1:8" ht="12.75">
      <c r="A139" t="str">
        <f ca="1">IFERROR(__xludf.DUMMYFUNCTION("""COMPUTED_VALUE"""),"T137")</f>
        <v>T137</v>
      </c>
      <c r="B139" t="str">
        <f ca="1">IFERROR(__xludf.DUMMYFUNCTION("""COMPUTED_VALUE"""),"T152")</f>
        <v>T152</v>
      </c>
      <c r="C139" t="str">
        <f ca="1">IFERROR(__xludf.DUMMYFUNCTION("""COMPUTED_VALUE"""),"Brian Harman")</f>
        <v>Brian Harman</v>
      </c>
      <c r="D139">
        <f ca="1">IFERROR(__xludf.DUMMYFUNCTION("""COMPUTED_VALUE"""),24)</f>
        <v>24</v>
      </c>
      <c r="E139" t="str">
        <f ca="1">IFERROR(__xludf.DUMMYFUNCTION("""COMPUTED_VALUE"""),"37' 4""")</f>
        <v>37' 4"</v>
      </c>
      <c r="F139" s="2">
        <f ca="1">IFERROR(__xludf.DUMMYFUNCTION("""COMPUTED_VALUE"""),16098)</f>
        <v>16098</v>
      </c>
      <c r="G139">
        <f ca="1">IFERROR(__xludf.DUMMYFUNCTION("""COMPUTED_VALUE"""),431)</f>
        <v>431</v>
      </c>
      <c r="H139" t="str">
        <f ca="1">IFERROR(__xludf.DUMMYFUNCTION("""COMPUTED_VALUE"""),"Under")</f>
        <v>Under</v>
      </c>
    </row>
    <row r="140" spans="1:8" ht="12.75">
      <c r="A140" t="str">
        <f ca="1">IFERROR(__xludf.DUMMYFUNCTION("""COMPUTED_VALUE"""),"T137")</f>
        <v>T137</v>
      </c>
      <c r="B140" t="str">
        <f ca="1">IFERROR(__xludf.DUMMYFUNCTION("""COMPUTED_VALUE"""),"T139")</f>
        <v>T139</v>
      </c>
      <c r="C140" t="str">
        <f ca="1">IFERROR(__xludf.DUMMYFUNCTION("""COMPUTED_VALUE"""),"Webb Simpson")</f>
        <v>Webb Simpson</v>
      </c>
      <c r="D140">
        <f ca="1">IFERROR(__xludf.DUMMYFUNCTION("""COMPUTED_VALUE"""),12)</f>
        <v>12</v>
      </c>
      <c r="E140" t="str">
        <f ca="1">IFERROR(__xludf.DUMMYFUNCTION("""COMPUTED_VALUE"""),"37' 4""")</f>
        <v>37' 4"</v>
      </c>
      <c r="F140" s="2">
        <f ca="1">IFERROR(__xludf.DUMMYFUNCTION("""COMPUTED_VALUE"""),7919.417)</f>
        <v>7919.4170000000004</v>
      </c>
      <c r="G140">
        <f ca="1">IFERROR(__xludf.DUMMYFUNCTION("""COMPUTED_VALUE"""),212)</f>
        <v>212</v>
      </c>
      <c r="H140" t="str">
        <f ca="1">IFERROR(__xludf.DUMMYFUNCTION("""COMPUTED_VALUE"""),"Under")</f>
        <v>Under</v>
      </c>
    </row>
    <row r="141" spans="1:8" ht="12.75">
      <c r="A141" t="str">
        <f ca="1">IFERROR(__xludf.DUMMYFUNCTION("""COMPUTED_VALUE"""),"T137")</f>
        <v>T137</v>
      </c>
      <c r="B141" t="str">
        <f ca="1">IFERROR(__xludf.DUMMYFUNCTION("""COMPUTED_VALUE"""),"T139")</f>
        <v>T139</v>
      </c>
      <c r="C141" t="str">
        <f ca="1">IFERROR(__xludf.DUMMYFUNCTION("""COMPUTED_VALUE"""),"MJ Daffue")</f>
        <v>MJ Daffue</v>
      </c>
      <c r="D141">
        <f ca="1">IFERROR(__xludf.DUMMYFUNCTION("""COMPUTED_VALUE"""),10)</f>
        <v>10</v>
      </c>
      <c r="E141" t="str">
        <f ca="1">IFERROR(__xludf.DUMMYFUNCTION("""COMPUTED_VALUE"""),"37' 4""")</f>
        <v>37' 4"</v>
      </c>
      <c r="F141" s="2">
        <f ca="1">IFERROR(__xludf.DUMMYFUNCTION("""COMPUTED_VALUE"""),6650.583)</f>
        <v>6650.5829999999996</v>
      </c>
      <c r="G141">
        <f ca="1">IFERROR(__xludf.DUMMYFUNCTION("""COMPUTED_VALUE"""),178)</f>
        <v>178</v>
      </c>
      <c r="H141" t="str">
        <f ca="1">IFERROR(__xludf.DUMMYFUNCTION("""COMPUTED_VALUE"""),"Under")</f>
        <v>Under</v>
      </c>
    </row>
    <row r="142" spans="1:8" ht="12.75">
      <c r="A142" t="str">
        <f ca="1">IFERROR(__xludf.DUMMYFUNCTION("""COMPUTED_VALUE"""),"T137")</f>
        <v>T137</v>
      </c>
      <c r="B142" t="str">
        <f ca="1">IFERROR(__xludf.DUMMYFUNCTION("""COMPUTED_VALUE"""),"T139")</f>
        <v>T139</v>
      </c>
      <c r="C142" t="str">
        <f ca="1">IFERROR(__xludf.DUMMYFUNCTION("""COMPUTED_VALUE"""),"Abraham Ancer")</f>
        <v>Abraham Ancer</v>
      </c>
      <c r="D142">
        <f ca="1">IFERROR(__xludf.DUMMYFUNCTION("""COMPUTED_VALUE"""),16)</f>
        <v>16</v>
      </c>
      <c r="E142" t="str">
        <f ca="1">IFERROR(__xludf.DUMMYFUNCTION("""COMPUTED_VALUE"""),"37' 4""")</f>
        <v>37' 4"</v>
      </c>
      <c r="F142" s="2">
        <f ca="1">IFERROR(__xludf.DUMMYFUNCTION("""COMPUTED_VALUE"""),10640.667)</f>
        <v>10640.666999999999</v>
      </c>
      <c r="G142">
        <f ca="1">IFERROR(__xludf.DUMMYFUNCTION("""COMPUTED_VALUE"""),285)</f>
        <v>285</v>
      </c>
      <c r="H142" t="str">
        <f ca="1">IFERROR(__xludf.DUMMYFUNCTION("""COMPUTED_VALUE"""),"Under")</f>
        <v>Under</v>
      </c>
    </row>
    <row r="143" spans="1:8" ht="12.75">
      <c r="A143" t="str">
        <f ca="1">IFERROR(__xludf.DUMMYFUNCTION("""COMPUTED_VALUE"""),"T142")</f>
        <v>T142</v>
      </c>
      <c r="B143" t="str">
        <f ca="1">IFERROR(__xludf.DUMMYFUNCTION("""COMPUTED_VALUE"""),"T144")</f>
        <v>T144</v>
      </c>
      <c r="C143" t="str">
        <f ca="1">IFERROR(__xludf.DUMMYFUNCTION("""COMPUTED_VALUE"""),"Gary Woodland")</f>
        <v>Gary Woodland</v>
      </c>
      <c r="D143">
        <f ca="1">IFERROR(__xludf.DUMMYFUNCTION("""COMPUTED_VALUE"""),6)</f>
        <v>6</v>
      </c>
      <c r="E143" t="str">
        <f ca="1">IFERROR(__xludf.DUMMYFUNCTION("""COMPUTED_VALUE"""),"37' 5""")</f>
        <v>37' 5"</v>
      </c>
      <c r="F143" s="2">
        <f ca="1">IFERROR(__xludf.DUMMYFUNCTION("""COMPUTED_VALUE"""),4006.833)</f>
        <v>4006.8330000000001</v>
      </c>
      <c r="G143">
        <f ca="1">IFERROR(__xludf.DUMMYFUNCTION("""COMPUTED_VALUE"""),107)</f>
        <v>107</v>
      </c>
      <c r="H143" t="str">
        <f ca="1">IFERROR(__xludf.DUMMYFUNCTION("""COMPUTED_VALUE"""),"Over")</f>
        <v>Over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IFERROR(__xludf.DUMMYFUNCTION("""COMPUTED_VALUE"""),"T156")</f>
        <v>T156</v>
      </c>
      <c r="C144" t="str">
        <f ca="1">IFERROR(__xludf.DUMMYFUNCTION("""COMPUTED_VALUE"""),"Robby Shelton")</f>
        <v>Robby Shelton</v>
      </c>
      <c r="D144">
        <f ca="1">IFERROR(__xludf.DUMMYFUNCTION("""COMPUTED_VALUE"""),14)</f>
        <v>14</v>
      </c>
      <c r="E144" t="str">
        <f ca="1">IFERROR(__xludf.DUMMYFUNCTION("""COMPUTED_VALUE"""),"37' 5""")</f>
        <v>37' 5"</v>
      </c>
      <c r="F144" s="2">
        <f ca="1">IFERROR(__xludf.DUMMYFUNCTION("""COMPUTED_VALUE"""),9321.167)</f>
        <v>9321.1669999999995</v>
      </c>
      <c r="G144">
        <f ca="1">IFERROR(__xludf.DUMMYFUNCTION("""COMPUTED_VALUE"""),249)</f>
        <v>249</v>
      </c>
      <c r="H144" t="str">
        <f ca="1">IFERROR(__xludf.DUMMYFUNCTION("""COMPUTED_VALUE"""),"Under")</f>
        <v>Under</v>
      </c>
    </row>
    <row r="145" spans="1:8" ht="12.75">
      <c r="A145" t="str">
        <f ca="1">IFERROR(__xludf.DUMMYFUNCTION("""COMPUTED_VALUE"""),"T142")</f>
        <v>T142</v>
      </c>
      <c r="B145" t="str">
        <f ca="1">IFERROR(__xludf.DUMMYFUNCTION("""COMPUTED_VALUE"""),"T159")</f>
        <v>T159</v>
      </c>
      <c r="C145" t="str">
        <f ca="1">IFERROR(__xludf.DUMMYFUNCTION("""COMPUTED_VALUE"""),"Viktor Hovland")</f>
        <v>Viktor Hovland</v>
      </c>
      <c r="D145">
        <f ca="1">IFERROR(__xludf.DUMMYFUNCTION("""COMPUTED_VALUE"""),16)</f>
        <v>16</v>
      </c>
      <c r="E145" t="str">
        <f ca="1">IFERROR(__xludf.DUMMYFUNCTION("""COMPUTED_VALUE"""),"37' 5""")</f>
        <v>37' 5"</v>
      </c>
      <c r="F145" s="2">
        <f ca="1">IFERROR(__xludf.DUMMYFUNCTION("""COMPUTED_VALUE"""),10653.25)</f>
        <v>10653.25</v>
      </c>
      <c r="G145">
        <f ca="1">IFERROR(__xludf.DUMMYFUNCTION("""COMPUTED_VALUE"""),285)</f>
        <v>285</v>
      </c>
      <c r="H145" t="str">
        <f ca="1">IFERROR(__xludf.DUMMYFUNCTION("""COMPUTED_VALUE"""),"Under")</f>
        <v>Under</v>
      </c>
    </row>
    <row r="146" spans="1:8" ht="12.75">
      <c r="A146" t="str">
        <f ca="1">IFERROR(__xludf.DUMMYFUNCTION("""COMPUTED_VALUE"""),"T142")</f>
        <v>T142</v>
      </c>
      <c r="B146" t="str">
        <f ca="1">IFERROR(__xludf.DUMMYFUNCTION("""COMPUTED_VALUE"""),"T144")</f>
        <v>T144</v>
      </c>
      <c r="C146" t="str">
        <f ca="1">IFERROR(__xludf.DUMMYFUNCTION("""COMPUTED_VALUE"""),"George Markham")</f>
        <v>George Markham</v>
      </c>
      <c r="D146">
        <f ca="1">IFERROR(__xludf.DUMMYFUNCTION("""COMPUTED_VALUE"""),4)</f>
        <v>4</v>
      </c>
      <c r="E146" t="str">
        <f ca="1">IFERROR(__xludf.DUMMYFUNCTION("""COMPUTED_VALUE"""),"37' 5""")</f>
        <v>37' 5"</v>
      </c>
      <c r="F146" s="2">
        <f ca="1">IFERROR(__xludf.DUMMYFUNCTION("""COMPUTED_VALUE"""),2693.583)</f>
        <v>2693.5830000000001</v>
      </c>
      <c r="G146">
        <f ca="1">IFERROR(__xludf.DUMMYFUNCTION("""COMPUTED_VALUE"""),72)</f>
        <v>72</v>
      </c>
      <c r="H146" t="str">
        <f ca="1">IFERROR(__xludf.DUMMYFUNCTION("""COMPUTED_VALUE"""),"Under")</f>
        <v>Under</v>
      </c>
    </row>
    <row r="147" spans="1:8" ht="12.75">
      <c r="A147">
        <f ca="1">IFERROR(__xludf.DUMMYFUNCTION("""COMPUTED_VALUE"""),146)</f>
        <v>146</v>
      </c>
      <c r="B147" t="str">
        <f ca="1">IFERROR(__xludf.DUMMYFUNCTION("""COMPUTED_VALUE"""),"T147")</f>
        <v>T147</v>
      </c>
      <c r="C147" t="str">
        <f ca="1">IFERROR(__xludf.DUMMYFUNCTION("""COMPUTED_VALUE"""),"Matt Every")</f>
        <v>Matt Every</v>
      </c>
      <c r="D147">
        <f ca="1">IFERROR(__xludf.DUMMYFUNCTION("""COMPUTED_VALUE"""),8)</f>
        <v>8</v>
      </c>
      <c r="E147" t="str">
        <f ca="1">IFERROR(__xludf.DUMMYFUNCTION("""COMPUTED_VALUE"""),"37' 6""")</f>
        <v>37' 6"</v>
      </c>
      <c r="F147" s="2">
        <f ca="1">IFERROR(__xludf.DUMMYFUNCTION("""COMPUTED_VALUE"""),2661.167)</f>
        <v>2661.1669999999999</v>
      </c>
      <c r="G147">
        <f ca="1">IFERROR(__xludf.DUMMYFUNCTION("""COMPUTED_VALUE"""),71)</f>
        <v>71</v>
      </c>
      <c r="H147" t="str">
        <f ca="1">IFERROR(__xludf.DUMMYFUNCTION("""COMPUTED_VALUE"""),"Over")</f>
        <v>Over</v>
      </c>
    </row>
    <row r="148" spans="1:8" ht="12.75">
      <c r="A148" t="str">
        <f ca="1">IFERROR(__xludf.DUMMYFUNCTION("""COMPUTED_VALUE"""),"T147")</f>
        <v>T147</v>
      </c>
      <c r="B148" t="str">
        <f ca="1">IFERROR(__xludf.DUMMYFUNCTION("""COMPUTED_VALUE"""),"T122")</f>
        <v>T122</v>
      </c>
      <c r="C148" t="str">
        <f ca="1">IFERROR(__xludf.DUMMYFUNCTION("""COMPUTED_VALUE"""),"Cameron Davis")</f>
        <v>Cameron Davis</v>
      </c>
      <c r="D148">
        <f ca="1">IFERROR(__xludf.DUMMYFUNCTION("""COMPUTED_VALUE"""),16)</f>
        <v>16</v>
      </c>
      <c r="E148" t="str">
        <f ca="1">IFERROR(__xludf.DUMMYFUNCTION("""COMPUTED_VALUE"""),"37' 7""")</f>
        <v>37' 7"</v>
      </c>
      <c r="F148" s="2">
        <f ca="1">IFERROR(__xludf.DUMMYFUNCTION("""COMPUTED_VALUE"""),10758.5)</f>
        <v>10758.5</v>
      </c>
      <c r="G148">
        <f ca="1">IFERROR(__xludf.DUMMYFUNCTION("""COMPUTED_VALUE"""),286)</f>
        <v>286</v>
      </c>
      <c r="H148" t="str">
        <f ca="1">IFERROR(__xludf.DUMMYFUNCTION("""COMPUTED_VALUE"""),"Under")</f>
        <v>Under</v>
      </c>
    </row>
    <row r="149" spans="1:8" ht="12.75">
      <c r="A149" t="str">
        <f ca="1">IFERROR(__xludf.DUMMYFUNCTION("""COMPUTED_VALUE"""),"T147")</f>
        <v>T147</v>
      </c>
      <c r="B149" t="str">
        <f ca="1">IFERROR(__xludf.DUMMYFUNCTION("""COMPUTED_VALUE"""),"T152")</f>
        <v>T152</v>
      </c>
      <c r="C149" t="str">
        <f ca="1">IFERROR(__xludf.DUMMYFUNCTION("""COMPUTED_VALUE"""),"Will Zalatoris")</f>
        <v>Will Zalatoris</v>
      </c>
      <c r="D149">
        <f ca="1">IFERROR(__xludf.DUMMYFUNCTION("""COMPUTED_VALUE"""),18)</f>
        <v>18</v>
      </c>
      <c r="E149" t="str">
        <f ca="1">IFERROR(__xludf.DUMMYFUNCTION("""COMPUTED_VALUE"""),"37' 7""")</f>
        <v>37' 7"</v>
      </c>
      <c r="F149" s="2">
        <f ca="1">IFERROR(__xludf.DUMMYFUNCTION("""COMPUTED_VALUE"""),6763.5)</f>
        <v>6763.5</v>
      </c>
      <c r="G149">
        <f ca="1">IFERROR(__xludf.DUMMYFUNCTION("""COMPUTED_VALUE"""),180)</f>
        <v>180</v>
      </c>
      <c r="H149" t="str">
        <f ca="1">IFERROR(__xludf.DUMMYFUNCTION("""COMPUTED_VALUE"""),"Under")</f>
        <v>Under</v>
      </c>
    </row>
    <row r="150" spans="1:8" ht="12.75">
      <c r="A150" t="str">
        <f ca="1">IFERROR(__xludf.DUMMYFUNCTION("""COMPUTED_VALUE"""),"T149")</f>
        <v>T149</v>
      </c>
      <c r="B150" t="str">
        <f ca="1">IFERROR(__xludf.DUMMYFUNCTION("""COMPUTED_VALUE"""),"T156")</f>
        <v>T156</v>
      </c>
      <c r="C150" t="str">
        <f ca="1">IFERROR(__xludf.DUMMYFUNCTION("""COMPUTED_VALUE"""),"Shawn Stefani")</f>
        <v>Shawn Stefani</v>
      </c>
      <c r="D150">
        <f ca="1">IFERROR(__xludf.DUMMYFUNCTION("""COMPUTED_VALUE"""),5)</f>
        <v>5</v>
      </c>
      <c r="E150" t="str">
        <f ca="1">IFERROR(__xludf.DUMMYFUNCTION("""COMPUTED_VALUE"""),"37' 8""")</f>
        <v>37' 8"</v>
      </c>
      <c r="F150" s="2">
        <f ca="1">IFERROR(__xludf.DUMMYFUNCTION("""COMPUTED_VALUE"""),1355.083)</f>
        <v>1355.0830000000001</v>
      </c>
      <c r="G150">
        <f ca="1">IFERROR(__xludf.DUMMYFUNCTION("""COMPUTED_VALUE"""),36)</f>
        <v>36</v>
      </c>
      <c r="H150" t="str">
        <f ca="1">IFERROR(__xludf.DUMMYFUNCTION("""COMPUTED_VALUE"""),"Over")</f>
        <v>Over</v>
      </c>
    </row>
    <row r="151" spans="1:8" ht="12.75">
      <c r="A151" t="str">
        <f ca="1">IFERROR(__xludf.DUMMYFUNCTION("""COMPUTED_VALUE"""),"T149")</f>
        <v>T149</v>
      </c>
      <c r="B151">
        <f ca="1">IFERROR(__xludf.DUMMYFUNCTION("""COMPUTED_VALUE"""),158)</f>
        <v>158</v>
      </c>
      <c r="C151" t="str">
        <f ca="1">IFERROR(__xludf.DUMMYFUNCTION("""COMPUTED_VALUE"""),"Adam Schenk")</f>
        <v>Adam Schenk</v>
      </c>
      <c r="D151">
        <f ca="1">IFERROR(__xludf.DUMMYFUNCTION("""COMPUTED_VALUE"""),22)</f>
        <v>22</v>
      </c>
      <c r="E151" t="str">
        <f ca="1">IFERROR(__xludf.DUMMYFUNCTION("""COMPUTED_VALUE"""),"37' 8""")</f>
        <v>37' 8"</v>
      </c>
      <c r="F151" s="2">
        <f ca="1">IFERROR(__xludf.DUMMYFUNCTION("""COMPUTED_VALUE"""),9425.5)</f>
        <v>9425.5</v>
      </c>
      <c r="G151">
        <f ca="1">IFERROR(__xludf.DUMMYFUNCTION("""COMPUTED_VALUE"""),250)</f>
        <v>250</v>
      </c>
      <c r="H151" t="str">
        <f ca="1">IFERROR(__xludf.DUMMYFUNCTION("""COMPUTED_VALUE"""),"Under")</f>
        <v>Under</v>
      </c>
    </row>
    <row r="152" spans="1:8" ht="12.75">
      <c r="A152" t="str">
        <f ca="1">IFERROR(__xludf.DUMMYFUNCTION("""COMPUTED_VALUE"""),"T151")</f>
        <v>T151</v>
      </c>
      <c r="B152" t="str">
        <f ca="1">IFERROR(__xludf.DUMMYFUNCTION("""COMPUTED_VALUE"""),"T118")</f>
        <v>T118</v>
      </c>
      <c r="C152" t="str">
        <f ca="1">IFERROR(__xludf.DUMMYFUNCTION("""COMPUTED_VALUE"""),"Jhonattan Vegas")</f>
        <v>Jhonattan Vegas</v>
      </c>
      <c r="D152">
        <f ca="1">IFERROR(__xludf.DUMMYFUNCTION("""COMPUTED_VALUE"""),16)</f>
        <v>16</v>
      </c>
      <c r="E152" t="str">
        <f ca="1">IFERROR(__xludf.DUMMYFUNCTION("""COMPUTED_VALUE"""),"37' 9""")</f>
        <v>37' 9"</v>
      </c>
      <c r="F152" s="2">
        <f ca="1">IFERROR(__xludf.DUMMYFUNCTION("""COMPUTED_VALUE"""),6715.75)</f>
        <v>6715.75</v>
      </c>
      <c r="G152">
        <f ca="1">IFERROR(__xludf.DUMMYFUNCTION("""COMPUTED_VALUE"""),178)</f>
        <v>178</v>
      </c>
      <c r="H152" t="str">
        <f ca="1">IFERROR(__xludf.DUMMYFUNCTION("""COMPUTED_VALUE"""),"Under")</f>
        <v>Under</v>
      </c>
    </row>
    <row r="153" spans="1:8" ht="12.75">
      <c r="A153" t="str">
        <f ca="1">IFERROR(__xludf.DUMMYFUNCTION("""COMPUTED_VALUE"""),"T151")</f>
        <v>T151</v>
      </c>
      <c r="B153" t="str">
        <f ca="1">IFERROR(__xludf.DUMMYFUNCTION("""COMPUTED_VALUE"""),"")</f>
        <v/>
      </c>
      <c r="C153" t="str">
        <f ca="1">IFERROR(__xludf.DUMMYFUNCTION("""COMPUTED_VALUE"""),"Dawie van der Walt")</f>
        <v>Dawie van der Walt</v>
      </c>
      <c r="D153">
        <f ca="1">IFERROR(__xludf.DUMMYFUNCTION("""COMPUTED_VALUE"""),4)</f>
        <v>4</v>
      </c>
      <c r="E153" t="str">
        <f ca="1">IFERROR(__xludf.DUMMYFUNCTION("""COMPUTED_VALUE"""),"37' 9""")</f>
        <v>37' 9"</v>
      </c>
      <c r="F153" s="2">
        <f ca="1">IFERROR(__xludf.DUMMYFUNCTION("""COMPUTED_VALUE"""),2718.583)</f>
        <v>2718.5830000000001</v>
      </c>
      <c r="G153">
        <f ca="1">IFERROR(__xludf.DUMMYFUNCTION("""COMPUTED_VALUE"""),72)</f>
        <v>72</v>
      </c>
      <c r="H153" t="str">
        <f ca="1">IFERROR(__xludf.DUMMYFUNCTION("""COMPUTED_VALUE"""),"Under")</f>
        <v>Under</v>
      </c>
    </row>
    <row r="154" spans="1:8" ht="12.75">
      <c r="A154" t="str">
        <f ca="1">IFERROR(__xludf.DUMMYFUNCTION("""COMPUTED_VALUE"""),"T151")</f>
        <v>T151</v>
      </c>
      <c r="B154">
        <f ca="1">IFERROR(__xludf.DUMMYFUNCTION("""COMPUTED_VALUE"""),199)</f>
        <v>199</v>
      </c>
      <c r="C154" t="str">
        <f ca="1">IFERROR(__xludf.DUMMYFUNCTION("""COMPUTED_VALUE"""),"Fabián Gómez")</f>
        <v>Fabián Gómez</v>
      </c>
      <c r="D154">
        <f ca="1">IFERROR(__xludf.DUMMYFUNCTION("""COMPUTED_VALUE"""),16)</f>
        <v>16</v>
      </c>
      <c r="E154" t="str">
        <f ca="1">IFERROR(__xludf.DUMMYFUNCTION("""COMPUTED_VALUE"""),"37' 9""")</f>
        <v>37' 9"</v>
      </c>
      <c r="F154" s="2">
        <f ca="1">IFERROR(__xludf.DUMMYFUNCTION("""COMPUTED_VALUE"""),6683.583)</f>
        <v>6683.5829999999996</v>
      </c>
      <c r="G154">
        <f ca="1">IFERROR(__xludf.DUMMYFUNCTION("""COMPUTED_VALUE"""),177)</f>
        <v>177</v>
      </c>
      <c r="H154" t="str">
        <f ca="1">IFERROR(__xludf.DUMMYFUNCTION("""COMPUTED_VALUE"""),"Under")</f>
        <v>Under</v>
      </c>
    </row>
    <row r="155" spans="1:8" ht="12.75">
      <c r="A155" t="str">
        <f ca="1">IFERROR(__xludf.DUMMYFUNCTION("""COMPUTED_VALUE"""),"T151")</f>
        <v>T151</v>
      </c>
      <c r="B155">
        <f ca="1">IFERROR(__xludf.DUMMYFUNCTION("""COMPUTED_VALUE"""),164)</f>
        <v>164</v>
      </c>
      <c r="C155" t="str">
        <f ca="1">IFERROR(__xludf.DUMMYFUNCTION("""COMPUTED_VALUE"""),"Michael Kim")</f>
        <v>Michael Kim</v>
      </c>
      <c r="D155">
        <f ca="1">IFERROR(__xludf.DUMMYFUNCTION("""COMPUTED_VALUE"""),12)</f>
        <v>12</v>
      </c>
      <c r="E155" t="str">
        <f ca="1">IFERROR(__xludf.DUMMYFUNCTION("""COMPUTED_VALUE"""),"37' 9""")</f>
        <v>37' 9"</v>
      </c>
      <c r="F155" s="2">
        <f ca="1">IFERROR(__xludf.DUMMYFUNCTION("""COMPUTED_VALUE"""),5438)</f>
        <v>5438</v>
      </c>
      <c r="G155">
        <f ca="1">IFERROR(__xludf.DUMMYFUNCTION("""COMPUTED_VALUE"""),144)</f>
        <v>144</v>
      </c>
      <c r="H155" t="str">
        <f ca="1">IFERROR(__xludf.DUMMYFUNCTION("""COMPUTED_VALUE"""),"Over")</f>
        <v>Over</v>
      </c>
    </row>
    <row r="156" spans="1:8" ht="12.75">
      <c r="A156">
        <f ca="1">IFERROR(__xludf.DUMMYFUNCTION("""COMPUTED_VALUE"""),155)</f>
        <v>155</v>
      </c>
      <c r="B156" t="str">
        <f ca="1">IFERROR(__xludf.DUMMYFUNCTION("""COMPUTED_VALUE"""),"T159")</f>
        <v>T159</v>
      </c>
      <c r="C156" t="str">
        <f ca="1">IFERROR(__xludf.DUMMYFUNCTION("""COMPUTED_VALUE"""),"Sebastián Muñoz")</f>
        <v>Sebastián Muñoz</v>
      </c>
      <c r="D156">
        <f ca="1">IFERROR(__xludf.DUMMYFUNCTION("""COMPUTED_VALUE"""),20)</f>
        <v>20</v>
      </c>
      <c r="E156" t="str">
        <f ca="1">IFERROR(__xludf.DUMMYFUNCTION("""COMPUTED_VALUE"""),"37' 10""")</f>
        <v>37' 10"</v>
      </c>
      <c r="F156" s="2">
        <f ca="1">IFERROR(__xludf.DUMMYFUNCTION("""COMPUTED_VALUE"""),13557.25)</f>
        <v>13557.25</v>
      </c>
      <c r="G156">
        <f ca="1">IFERROR(__xludf.DUMMYFUNCTION("""COMPUTED_VALUE"""),358)</f>
        <v>358</v>
      </c>
      <c r="H156" t="str">
        <f ca="1">IFERROR(__xludf.DUMMYFUNCTION("""COMPUTED_VALUE"""),"Under")</f>
        <v>Under</v>
      </c>
    </row>
    <row r="157" spans="1:8" ht="12.75">
      <c r="A157">
        <f ca="1">IFERROR(__xludf.DUMMYFUNCTION("""COMPUTED_VALUE"""),156)</f>
        <v>156</v>
      </c>
      <c r="B157" t="str">
        <f ca="1">IFERROR(__xludf.DUMMYFUNCTION("""COMPUTED_VALUE"""),"T104")</f>
        <v>T104</v>
      </c>
      <c r="C157" t="str">
        <f ca="1">IFERROR(__xludf.DUMMYFUNCTION("""COMPUTED_VALUE"""),"Kristoffer Ventura")</f>
        <v>Kristoffer Ventura</v>
      </c>
      <c r="D157">
        <f ca="1">IFERROR(__xludf.DUMMYFUNCTION("""COMPUTED_VALUE"""),20)</f>
        <v>20</v>
      </c>
      <c r="E157" t="str">
        <f ca="1">IFERROR(__xludf.DUMMYFUNCTION("""COMPUTED_VALUE"""),"37' 11""")</f>
        <v>37' 11"</v>
      </c>
      <c r="F157" s="2">
        <f ca="1">IFERROR(__xludf.DUMMYFUNCTION("""COMPUTED_VALUE"""),9476.75)</f>
        <v>9476.75</v>
      </c>
      <c r="G157">
        <f ca="1">IFERROR(__xludf.DUMMYFUNCTION("""COMPUTED_VALUE"""),250)</f>
        <v>250</v>
      </c>
      <c r="H157" t="str">
        <f ca="1">IFERROR(__xludf.DUMMYFUNCTION("""COMPUTED_VALUE"""),"Under")</f>
        <v>Under</v>
      </c>
    </row>
    <row r="158" spans="1:8" ht="12.75">
      <c r="A158" t="str">
        <f ca="1">IFERROR(__xludf.DUMMYFUNCTION("""COMPUTED_VALUE"""),"T157")</f>
        <v>T157</v>
      </c>
      <c r="B158" t="str">
        <f ca="1">IFERROR(__xludf.DUMMYFUNCTION("""COMPUTED_VALUE"""),"T167")</f>
        <v>T167</v>
      </c>
      <c r="C158" t="str">
        <f ca="1">IFERROR(__xludf.DUMMYFUNCTION("""COMPUTED_VALUE"""),"Sergio Garcia")</f>
        <v>Sergio Garcia</v>
      </c>
      <c r="D158">
        <f ca="1">IFERROR(__xludf.DUMMYFUNCTION("""COMPUTED_VALUE"""),18)</f>
        <v>18</v>
      </c>
      <c r="E158" t="str">
        <f ca="1">IFERROR(__xludf.DUMMYFUNCTION("""COMPUTED_VALUE"""),"38' 0""")</f>
        <v>38' 0"</v>
      </c>
      <c r="F158" s="2">
        <f ca="1">IFERROR(__xludf.DUMMYFUNCTION("""COMPUTED_VALUE"""),12161)</f>
        <v>12161</v>
      </c>
      <c r="G158">
        <f ca="1">IFERROR(__xludf.DUMMYFUNCTION("""COMPUTED_VALUE"""),320)</f>
        <v>320</v>
      </c>
      <c r="H158" t="str">
        <f ca="1">IFERROR(__xludf.DUMMYFUNCTION("""COMPUTED_VALUE"""),"Under")</f>
        <v>Under</v>
      </c>
    </row>
    <row r="159" spans="1:8" ht="12.75">
      <c r="A159" t="str">
        <f ca="1">IFERROR(__xludf.DUMMYFUNCTION("""COMPUTED_VALUE"""),"T157")</f>
        <v>T157</v>
      </c>
      <c r="B159" t="str">
        <f ca="1">IFERROR(__xludf.DUMMYFUNCTION("""COMPUTED_VALUE"""),"T165")</f>
        <v>T165</v>
      </c>
      <c r="C159" t="str">
        <f ca="1">IFERROR(__xludf.DUMMYFUNCTION("""COMPUTED_VALUE"""),"Tim Wilkinson")</f>
        <v>Tim Wilkinson</v>
      </c>
      <c r="D159">
        <f ca="1">IFERROR(__xludf.DUMMYFUNCTION("""COMPUTED_VALUE"""),12)</f>
        <v>12</v>
      </c>
      <c r="E159" t="str">
        <f ca="1">IFERROR(__xludf.DUMMYFUNCTION("""COMPUTED_VALUE"""),"38' 0""")</f>
        <v>38' 0"</v>
      </c>
      <c r="F159" s="2">
        <f ca="1">IFERROR(__xludf.DUMMYFUNCTION("""COMPUTED_VALUE"""),4064.25)</f>
        <v>4064.25</v>
      </c>
      <c r="G159">
        <f ca="1">IFERROR(__xludf.DUMMYFUNCTION("""COMPUTED_VALUE"""),107)</f>
        <v>107</v>
      </c>
      <c r="H159" t="str">
        <f ca="1">IFERROR(__xludf.DUMMYFUNCTION("""COMPUTED_VALUE"""),"Under")</f>
        <v>Under</v>
      </c>
    </row>
    <row r="160" spans="1:8" ht="12.75">
      <c r="A160" t="str">
        <f ca="1">IFERROR(__xludf.DUMMYFUNCTION("""COMPUTED_VALUE"""),"T157")</f>
        <v>T157</v>
      </c>
      <c r="B160" t="str">
        <f ca="1">IFERROR(__xludf.DUMMYFUNCTION("""COMPUTED_VALUE"""),"T167")</f>
        <v>T167</v>
      </c>
      <c r="C160" t="str">
        <f ca="1">IFERROR(__xludf.DUMMYFUNCTION("""COMPUTED_VALUE"""),"Danny Lee")</f>
        <v>Danny Lee</v>
      </c>
      <c r="D160">
        <f ca="1">IFERROR(__xludf.DUMMYFUNCTION("""COMPUTED_VALUE"""),15)</f>
        <v>15</v>
      </c>
      <c r="E160" t="str">
        <f ca="1">IFERROR(__xludf.DUMMYFUNCTION("""COMPUTED_VALUE"""),"38' 0""")</f>
        <v>38' 0"</v>
      </c>
      <c r="F160" s="2">
        <f ca="1">IFERROR(__xludf.DUMMYFUNCTION("""COMPUTED_VALUE"""),10173.667)</f>
        <v>10173.666999999999</v>
      </c>
      <c r="G160">
        <f ca="1">IFERROR(__xludf.DUMMYFUNCTION("""COMPUTED_VALUE"""),268)</f>
        <v>268</v>
      </c>
      <c r="H160" t="str">
        <f ca="1">IFERROR(__xludf.DUMMYFUNCTION("""COMPUTED_VALUE"""),"Over")</f>
        <v>Over</v>
      </c>
    </row>
    <row r="161" spans="1:8" ht="12.75">
      <c r="A161" t="str">
        <f ca="1">IFERROR(__xludf.DUMMYFUNCTION("""COMPUTED_VALUE"""),"T157")</f>
        <v>T157</v>
      </c>
      <c r="B161" t="str">
        <f ca="1">IFERROR(__xludf.DUMMYFUNCTION("""COMPUTED_VALUE"""),"T165")</f>
        <v>T165</v>
      </c>
      <c r="C161" t="str">
        <f ca="1">IFERROR(__xludf.DUMMYFUNCTION("""COMPUTED_VALUE"""),"Michael Gligic")</f>
        <v>Michael Gligic</v>
      </c>
      <c r="D161">
        <f ca="1">IFERROR(__xludf.DUMMYFUNCTION("""COMPUTED_VALUE"""),18)</f>
        <v>18</v>
      </c>
      <c r="E161" t="str">
        <f ca="1">IFERROR(__xludf.DUMMYFUNCTION("""COMPUTED_VALUE"""),"38' 0""")</f>
        <v>38' 0"</v>
      </c>
      <c r="F161" s="2">
        <f ca="1">IFERROR(__xludf.DUMMYFUNCTION("""COMPUTED_VALUE"""),8089.667)</f>
        <v>8089.6670000000004</v>
      </c>
      <c r="G161">
        <f ca="1">IFERROR(__xludf.DUMMYFUNCTION("""COMPUTED_VALUE"""),213)</f>
        <v>213</v>
      </c>
      <c r="H161" t="str">
        <f ca="1">IFERROR(__xludf.DUMMYFUNCTION("""COMPUTED_VALUE"""),"Under")</f>
        <v>Under</v>
      </c>
    </row>
    <row r="162" spans="1:8" ht="12.75">
      <c r="A162">
        <f ca="1">IFERROR(__xludf.DUMMYFUNCTION("""COMPUTED_VALUE"""),161)</f>
        <v>161</v>
      </c>
      <c r="B162" t="str">
        <f ca="1">IFERROR(__xludf.DUMMYFUNCTION("""COMPUTED_VALUE"""),"T152")</f>
        <v>T152</v>
      </c>
      <c r="C162" t="str">
        <f ca="1">IFERROR(__xludf.DUMMYFUNCTION("""COMPUTED_VALUE"""),"Satoshi Kodaira")</f>
        <v>Satoshi Kodaira</v>
      </c>
      <c r="D162">
        <f ca="1">IFERROR(__xludf.DUMMYFUNCTION("""COMPUTED_VALUE"""),12)</f>
        <v>12</v>
      </c>
      <c r="E162" t="str">
        <f ca="1">IFERROR(__xludf.DUMMYFUNCTION("""COMPUTED_VALUE"""),"38' 1""")</f>
        <v>38' 1"</v>
      </c>
      <c r="F162" s="2">
        <f ca="1">IFERROR(__xludf.DUMMYFUNCTION("""COMPUTED_VALUE"""),8114.917)</f>
        <v>8114.9170000000004</v>
      </c>
      <c r="G162">
        <f ca="1">IFERROR(__xludf.DUMMYFUNCTION("""COMPUTED_VALUE"""),213)</f>
        <v>213</v>
      </c>
      <c r="H162" t="str">
        <f ca="1">IFERROR(__xludf.DUMMYFUNCTION("""COMPUTED_VALUE"""),"Under")</f>
        <v>Under</v>
      </c>
    </row>
    <row r="163" spans="1:8" ht="12.75">
      <c r="A163" t="str">
        <f ca="1">IFERROR(__xludf.DUMMYFUNCTION("""COMPUTED_VALUE"""),"T162")</f>
        <v>T162</v>
      </c>
      <c r="B163" t="str">
        <f ca="1">IFERROR(__xludf.DUMMYFUNCTION("""COMPUTED_VALUE"""),"T169")</f>
        <v>T169</v>
      </c>
      <c r="C163" t="str">
        <f ca="1">IFERROR(__xludf.DUMMYFUNCTION("""COMPUTED_VALUE"""),"Si Woo Kim")</f>
        <v>Si Woo Kim</v>
      </c>
      <c r="D163">
        <f ca="1">IFERROR(__xludf.DUMMYFUNCTION("""COMPUTED_VALUE"""),20)</f>
        <v>20</v>
      </c>
      <c r="E163" t="str">
        <f ca="1">IFERROR(__xludf.DUMMYFUNCTION("""COMPUTED_VALUE"""),"38' 2""")</f>
        <v>38' 2"</v>
      </c>
      <c r="F163" s="2">
        <f ca="1">IFERROR(__xludf.DUMMYFUNCTION("""COMPUTED_VALUE"""),13659.417)</f>
        <v>13659.416999999999</v>
      </c>
      <c r="G163">
        <f ca="1">IFERROR(__xludf.DUMMYFUNCTION("""COMPUTED_VALUE"""),358)</f>
        <v>358</v>
      </c>
      <c r="H163" t="str">
        <f ca="1">IFERROR(__xludf.DUMMYFUNCTION("""COMPUTED_VALUE"""),"Under")</f>
        <v>Under</v>
      </c>
    </row>
    <row r="164" spans="1:8" ht="12.75">
      <c r="A164" t="str">
        <f ca="1">IFERROR(__xludf.DUMMYFUNCTION("""COMPUTED_VALUE"""),"T162")</f>
        <v>T162</v>
      </c>
      <c r="B164">
        <f ca="1">IFERROR(__xludf.DUMMYFUNCTION("""COMPUTED_VALUE"""),66)</f>
        <v>66</v>
      </c>
      <c r="C164" t="str">
        <f ca="1">IFERROR(__xludf.DUMMYFUNCTION("""COMPUTED_VALUE"""),"Keith Mitchell")</f>
        <v>Keith Mitchell</v>
      </c>
      <c r="D164">
        <f ca="1">IFERROR(__xludf.DUMMYFUNCTION("""COMPUTED_VALUE"""),14)</f>
        <v>14</v>
      </c>
      <c r="E164" t="str">
        <f ca="1">IFERROR(__xludf.DUMMYFUNCTION("""COMPUTED_VALUE"""),"38' 2""")</f>
        <v>38' 2"</v>
      </c>
      <c r="F164" s="2">
        <f ca="1">IFERROR(__xludf.DUMMYFUNCTION("""COMPUTED_VALUE"""),4119.167)</f>
        <v>4119.1670000000004</v>
      </c>
      <c r="G164">
        <f ca="1">IFERROR(__xludf.DUMMYFUNCTION("""COMPUTED_VALUE"""),108)</f>
        <v>108</v>
      </c>
      <c r="H164" t="str">
        <f ca="1">IFERROR(__xludf.DUMMYFUNCTION("""COMPUTED_VALUE"""),"Over")</f>
        <v>Over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IFERROR(__xludf.DUMMYFUNCTION("""COMPUTED_VALUE"""),"T171")</f>
        <v>T171</v>
      </c>
      <c r="C165" t="str">
        <f ca="1">IFERROR(__xludf.DUMMYFUNCTION("""COMPUTED_VALUE"""),"Johnson Wagner")</f>
        <v>Johnson Wagner</v>
      </c>
      <c r="D165">
        <f ca="1">IFERROR(__xludf.DUMMYFUNCTION("""COMPUTED_VALUE"""),8)</f>
        <v>8</v>
      </c>
      <c r="E165" t="str">
        <f ca="1">IFERROR(__xludf.DUMMYFUNCTION("""COMPUTED_VALUE"""),"38' 3""")</f>
        <v>38' 3"</v>
      </c>
      <c r="F165" s="2">
        <f ca="1">IFERROR(__xludf.DUMMYFUNCTION("""COMPUTED_VALUE"""),1376.917)</f>
        <v>1376.9169999999999</v>
      </c>
      <c r="G165">
        <f ca="1">IFERROR(__xludf.DUMMYFUNCTION("""COMPUTED_VALUE"""),36)</f>
        <v>36</v>
      </c>
      <c r="H165" t="str">
        <f ca="1">IFERROR(__xludf.DUMMYFUNCTION("""COMPUTED_VALUE"""),"Even")</f>
        <v>Even</v>
      </c>
    </row>
    <row r="166" spans="1:8" ht="12.75">
      <c r="A166" t="str">
        <f ca="1">IFERROR(__xludf.DUMMYFUNCTION("""COMPUTED_VALUE"""),"T164")</f>
        <v>T164</v>
      </c>
      <c r="B166" t="str">
        <f ca="1">IFERROR(__xludf.DUMMYFUNCTION("""COMPUTED_VALUE"""),"T147")</f>
        <v>T147</v>
      </c>
      <c r="C166" t="str">
        <f ca="1">IFERROR(__xludf.DUMMYFUNCTION("""COMPUTED_VALUE"""),"Kyoung-Hoon Lee")</f>
        <v>Kyoung-Hoon Lee</v>
      </c>
      <c r="D166">
        <f ca="1">IFERROR(__xludf.DUMMYFUNCTION("""COMPUTED_VALUE"""),20)</f>
        <v>20</v>
      </c>
      <c r="E166" t="str">
        <f ca="1">IFERROR(__xludf.DUMMYFUNCTION("""COMPUTED_VALUE"""),"38' 3""")</f>
        <v>38' 3"</v>
      </c>
      <c r="F166" s="2">
        <f ca="1">IFERROR(__xludf.DUMMYFUNCTION("""COMPUTED_VALUE"""),9611)</f>
        <v>9611</v>
      </c>
      <c r="G166">
        <f ca="1">IFERROR(__xludf.DUMMYFUNCTION("""COMPUTED_VALUE"""),251)</f>
        <v>251</v>
      </c>
      <c r="H166" t="str">
        <f ca="1">IFERROR(__xludf.DUMMYFUNCTION("""COMPUTED_VALUE"""),"Over")</f>
        <v>Over</v>
      </c>
    </row>
    <row r="167" spans="1:8" ht="12.75">
      <c r="A167" t="str">
        <f ca="1">IFERROR(__xludf.DUMMYFUNCTION("""COMPUTED_VALUE"""),"T164")</f>
        <v>T164</v>
      </c>
      <c r="B167" t="str">
        <f ca="1">IFERROR(__xludf.DUMMYFUNCTION("""COMPUTED_VALUE"""),"T171")</f>
        <v>T171</v>
      </c>
      <c r="C167" t="str">
        <f ca="1">IFERROR(__xludf.DUMMYFUNCTION("""COMPUTED_VALUE"""),"Bryson DeChambeau")</f>
        <v>Bryson DeChambeau</v>
      </c>
      <c r="D167">
        <f ca="1">IFERROR(__xludf.DUMMYFUNCTION("""COMPUTED_VALUE"""),8)</f>
        <v>8</v>
      </c>
      <c r="E167" t="str">
        <f ca="1">IFERROR(__xludf.DUMMYFUNCTION("""COMPUTED_VALUE"""),"38' 3""")</f>
        <v>38' 3"</v>
      </c>
      <c r="F167" s="2">
        <f ca="1">IFERROR(__xludf.DUMMYFUNCTION("""COMPUTED_VALUE"""),5503.667)</f>
        <v>5503.6670000000004</v>
      </c>
      <c r="G167">
        <f ca="1">IFERROR(__xludf.DUMMYFUNCTION("""COMPUTED_VALUE"""),144)</f>
        <v>144</v>
      </c>
      <c r="H167" t="str">
        <f ca="1">IFERROR(__xludf.DUMMYFUNCTION("""COMPUTED_VALUE"""),"Under")</f>
        <v>Under</v>
      </c>
    </row>
    <row r="168" spans="1:8" ht="12.75">
      <c r="A168" t="str">
        <f ca="1">IFERROR(__xludf.DUMMYFUNCTION("""COMPUTED_VALUE"""),"T164")</f>
        <v>T164</v>
      </c>
      <c r="B168" t="str">
        <f ca="1">IFERROR(__xludf.DUMMYFUNCTION("""COMPUTED_VALUE"""),"T147")</f>
        <v>T147</v>
      </c>
      <c r="C168" t="str">
        <f ca="1">IFERROR(__xludf.DUMMYFUNCTION("""COMPUTED_VALUE"""),"Kramer Hickok")</f>
        <v>Kramer Hickok</v>
      </c>
      <c r="D168">
        <f ca="1">IFERROR(__xludf.DUMMYFUNCTION("""COMPUTED_VALUE"""),16)</f>
        <v>16</v>
      </c>
      <c r="E168" t="str">
        <f ca="1">IFERROR(__xludf.DUMMYFUNCTION("""COMPUTED_VALUE"""),"38' 3""")</f>
        <v>38' 3"</v>
      </c>
      <c r="F168" s="2">
        <f ca="1">IFERROR(__xludf.DUMMYFUNCTION("""COMPUTED_VALUE"""),5475.583)</f>
        <v>5475.5829999999996</v>
      </c>
      <c r="G168">
        <f ca="1">IFERROR(__xludf.DUMMYFUNCTION("""COMPUTED_VALUE"""),143)</f>
        <v>143</v>
      </c>
      <c r="H168" t="str">
        <f ca="1">IFERROR(__xludf.DUMMYFUNCTION("""COMPUTED_VALUE"""),"Over")</f>
        <v>Over</v>
      </c>
    </row>
    <row r="169" spans="1:8" ht="12.75">
      <c r="A169" t="str">
        <f ca="1">IFERROR(__xludf.DUMMYFUNCTION("""COMPUTED_VALUE"""),"T164")</f>
        <v>T164</v>
      </c>
      <c r="B169" t="str">
        <f ca="1">IFERROR(__xludf.DUMMYFUNCTION("""COMPUTED_VALUE"""),"T171")</f>
        <v>T171</v>
      </c>
      <c r="C169" t="str">
        <f ca="1">IFERROR(__xludf.DUMMYFUNCTION("""COMPUTED_VALUE"""),"Cameron Champ")</f>
        <v>Cameron Champ</v>
      </c>
      <c r="D169">
        <f ca="1">IFERROR(__xludf.DUMMYFUNCTION("""COMPUTED_VALUE"""),12)</f>
        <v>12</v>
      </c>
      <c r="E169" t="str">
        <f ca="1">IFERROR(__xludf.DUMMYFUNCTION("""COMPUTED_VALUE"""),"38' 3""")</f>
        <v>38' 3"</v>
      </c>
      <c r="F169" s="2">
        <f ca="1">IFERROR(__xludf.DUMMYFUNCTION("""COMPUTED_VALUE"""),8153.167)</f>
        <v>8153.1670000000004</v>
      </c>
      <c r="G169">
        <f ca="1">IFERROR(__xludf.DUMMYFUNCTION("""COMPUTED_VALUE"""),213)</f>
        <v>213</v>
      </c>
      <c r="H169" t="str">
        <f ca="1">IFERROR(__xludf.DUMMYFUNCTION("""COMPUTED_VALUE"""),"Under")</f>
        <v>Under</v>
      </c>
    </row>
    <row r="170" spans="1:8" ht="12.75">
      <c r="A170" t="str">
        <f ca="1">IFERROR(__xludf.DUMMYFUNCTION("""COMPUTED_VALUE"""),"T169")</f>
        <v>T169</v>
      </c>
      <c r="B170" t="str">
        <f ca="1">IFERROR(__xludf.DUMMYFUNCTION("""COMPUTED_VALUE"""),"T159")</f>
        <v>T159</v>
      </c>
      <c r="C170" t="str">
        <f ca="1">IFERROR(__xludf.DUMMYFUNCTION("""COMPUTED_VALUE"""),"Dylan Frittelli")</f>
        <v>Dylan Frittelli</v>
      </c>
      <c r="D170">
        <f ca="1">IFERROR(__xludf.DUMMYFUNCTION("""COMPUTED_VALUE"""),16)</f>
        <v>16</v>
      </c>
      <c r="E170" t="str">
        <f ca="1">IFERROR(__xludf.DUMMYFUNCTION("""COMPUTED_VALUE"""),"38' 4""")</f>
        <v>38' 4"</v>
      </c>
      <c r="F170" s="2">
        <f ca="1">IFERROR(__xludf.DUMMYFUNCTION("""COMPUTED_VALUE"""),10874.917)</f>
        <v>10874.916999999999</v>
      </c>
      <c r="G170">
        <f ca="1">IFERROR(__xludf.DUMMYFUNCTION("""COMPUTED_VALUE"""),284)</f>
        <v>284</v>
      </c>
      <c r="H170" t="str">
        <f ca="1">IFERROR(__xludf.DUMMYFUNCTION("""COMPUTED_VALUE"""),"Under")</f>
        <v>Under</v>
      </c>
    </row>
    <row r="171" spans="1:8" ht="12.75">
      <c r="A171" t="str">
        <f ca="1">IFERROR(__xludf.DUMMYFUNCTION("""COMPUTED_VALUE"""),"T169")</f>
        <v>T169</v>
      </c>
      <c r="B171" t="str">
        <f ca="1">IFERROR(__xludf.DUMMYFUNCTION("""COMPUTED_VALUE"""),"T174")</f>
        <v>T174</v>
      </c>
      <c r="C171" t="str">
        <f ca="1">IFERROR(__xludf.DUMMYFUNCTION("""COMPUTED_VALUE"""),"Rhein Gibson")</f>
        <v>Rhein Gibson</v>
      </c>
      <c r="D171">
        <f ca="1">IFERROR(__xludf.DUMMYFUNCTION("""COMPUTED_VALUE"""),10)</f>
        <v>10</v>
      </c>
      <c r="E171" t="str">
        <f ca="1">IFERROR(__xludf.DUMMYFUNCTION("""COMPUTED_VALUE"""),"38' 4""")</f>
        <v>38' 4"</v>
      </c>
      <c r="F171" s="2">
        <f ca="1">IFERROR(__xludf.DUMMYFUNCTION("""COMPUTED_VALUE"""),2719)</f>
        <v>2719</v>
      </c>
      <c r="G171">
        <f ca="1">IFERROR(__xludf.DUMMYFUNCTION("""COMPUTED_VALUE"""),71)</f>
        <v>71</v>
      </c>
      <c r="H171" t="str">
        <f ca="1">IFERROR(__xludf.DUMMYFUNCTION("""COMPUTED_VALUE"""),"Over")</f>
        <v>Over</v>
      </c>
    </row>
    <row r="172" spans="1:8" ht="12.75">
      <c r="A172">
        <f ca="1">IFERROR(__xludf.DUMMYFUNCTION("""COMPUTED_VALUE"""),171)</f>
        <v>171</v>
      </c>
      <c r="B172" t="str">
        <f ca="1">IFERROR(__xludf.DUMMYFUNCTION("""COMPUTED_VALUE"""),"T159")</f>
        <v>T159</v>
      </c>
      <c r="C172" t="str">
        <f ca="1">IFERROR(__xludf.DUMMYFUNCTION("""COMPUTED_VALUE"""),"Patton Kizzire")</f>
        <v>Patton Kizzire</v>
      </c>
      <c r="D172">
        <f ca="1">IFERROR(__xludf.DUMMYFUNCTION("""COMPUTED_VALUE"""),18)</f>
        <v>18</v>
      </c>
      <c r="E172" t="str">
        <f ca="1">IFERROR(__xludf.DUMMYFUNCTION("""COMPUTED_VALUE"""),"38' 5""")</f>
        <v>38' 5"</v>
      </c>
      <c r="F172" s="2">
        <f ca="1">IFERROR(__xludf.DUMMYFUNCTION("""COMPUTED_VALUE"""),9613.25)</f>
        <v>9613.25</v>
      </c>
      <c r="G172">
        <f ca="1">IFERROR(__xludf.DUMMYFUNCTION("""COMPUTED_VALUE"""),250)</f>
        <v>250</v>
      </c>
      <c r="H172" t="str">
        <f ca="1">IFERROR(__xludf.DUMMYFUNCTION("""COMPUTED_VALUE"""),"Under")</f>
        <v>Under</v>
      </c>
    </row>
    <row r="173" spans="1:8" ht="12.75">
      <c r="A173" t="str">
        <f ca="1">IFERROR(__xludf.DUMMYFUNCTION("""COMPUTED_VALUE"""),"T172")</f>
        <v>T172</v>
      </c>
      <c r="B173" t="str">
        <f ca="1">IFERROR(__xludf.DUMMYFUNCTION("""COMPUTED_VALUE"""),"T178")</f>
        <v>T178</v>
      </c>
      <c r="C173" t="str">
        <f ca="1">IFERROR(__xludf.DUMMYFUNCTION("""COMPUTED_VALUE"""),"D.J. Trahan")</f>
        <v>D.J. Trahan</v>
      </c>
      <c r="D173">
        <f ca="1">IFERROR(__xludf.DUMMYFUNCTION("""COMPUTED_VALUE"""),16)</f>
        <v>16</v>
      </c>
      <c r="E173" t="str">
        <f ca="1">IFERROR(__xludf.DUMMYFUNCTION("""COMPUTED_VALUE"""),"38' 6""")</f>
        <v>38' 6"</v>
      </c>
      <c r="F173" s="2">
        <f ca="1">IFERROR(__xludf.DUMMYFUNCTION("""COMPUTED_VALUE"""),5507.667)</f>
        <v>5507.6670000000004</v>
      </c>
      <c r="G173">
        <f ca="1">IFERROR(__xludf.DUMMYFUNCTION("""COMPUTED_VALUE"""),143)</f>
        <v>143</v>
      </c>
      <c r="H173" t="str">
        <f ca="1">IFERROR(__xludf.DUMMYFUNCTION("""COMPUTED_VALUE"""),"Under")</f>
        <v>Under</v>
      </c>
    </row>
    <row r="174" spans="1:8" ht="12.75">
      <c r="A174" t="str">
        <f ca="1">IFERROR(__xludf.DUMMYFUNCTION("""COMPUTED_VALUE"""),"T172")</f>
        <v>T172</v>
      </c>
      <c r="B174" t="str">
        <f ca="1">IFERROR(__xludf.DUMMYFUNCTION("""COMPUTED_VALUE"""),"T178")</f>
        <v>T178</v>
      </c>
      <c r="C174" t="str">
        <f ca="1">IFERROR(__xludf.DUMMYFUNCTION("""COMPUTED_VALUE"""),"Kiradech Aphibarnrat")</f>
        <v>Kiradech Aphibarnrat</v>
      </c>
      <c r="D174">
        <f ca="1">IFERROR(__xludf.DUMMYFUNCTION("""COMPUTED_VALUE"""),12)</f>
        <v>12</v>
      </c>
      <c r="E174" t="str">
        <f ca="1">IFERROR(__xludf.DUMMYFUNCTION("""COMPUTED_VALUE"""),"38' 6""")</f>
        <v>38' 6"</v>
      </c>
      <c r="F174" s="2">
        <f ca="1">IFERROR(__xludf.DUMMYFUNCTION("""COMPUTED_VALUE"""),2734.083)</f>
        <v>2734.0830000000001</v>
      </c>
      <c r="G174">
        <f ca="1">IFERROR(__xludf.DUMMYFUNCTION("""COMPUTED_VALUE"""),71)</f>
        <v>71</v>
      </c>
      <c r="H174" t="str">
        <f ca="1">IFERROR(__xludf.DUMMYFUNCTION("""COMPUTED_VALUE"""),"Under")</f>
        <v>Under</v>
      </c>
    </row>
    <row r="175" spans="1:8" ht="12.75">
      <c r="A175" t="str">
        <f ca="1">IFERROR(__xludf.DUMMYFUNCTION("""COMPUTED_VALUE"""),"T172")</f>
        <v>T172</v>
      </c>
      <c r="B175" t="str">
        <f ca="1">IFERROR(__xludf.DUMMYFUNCTION("""COMPUTED_VALUE"""),"T187")</f>
        <v>T187</v>
      </c>
      <c r="C175" t="str">
        <f ca="1">IFERROR(__xludf.DUMMYFUNCTION("""COMPUTED_VALUE"""),"Cameron Tringale")</f>
        <v>Cameron Tringale</v>
      </c>
      <c r="D175">
        <f ca="1">IFERROR(__xludf.DUMMYFUNCTION("""COMPUTED_VALUE"""),16)</f>
        <v>16</v>
      </c>
      <c r="E175" t="str">
        <f ca="1">IFERROR(__xludf.DUMMYFUNCTION("""COMPUTED_VALUE"""),"38' 6""")</f>
        <v>38' 6"</v>
      </c>
      <c r="F175" s="2">
        <f ca="1">IFERROR(__xludf.DUMMYFUNCTION("""COMPUTED_VALUE"""),9549.5)</f>
        <v>9549.5</v>
      </c>
      <c r="G175">
        <f ca="1">IFERROR(__xludf.DUMMYFUNCTION("""COMPUTED_VALUE"""),248)</f>
        <v>248</v>
      </c>
      <c r="H175" t="str">
        <f ca="1">IFERROR(__xludf.DUMMYFUNCTION("""COMPUTED_VALUE"""),"Under")</f>
        <v>Under</v>
      </c>
    </row>
    <row r="176" spans="1:8" ht="12.75">
      <c r="A176" t="str">
        <f ca="1">IFERROR(__xludf.DUMMYFUNCTION("""COMPUTED_VALUE"""),"T172")</f>
        <v>T172</v>
      </c>
      <c r="B176" t="str">
        <f ca="1">IFERROR(__xludf.DUMMYFUNCTION("""COMPUTED_VALUE"""),"T174")</f>
        <v>T174</v>
      </c>
      <c r="C176" t="str">
        <f ca="1">IFERROR(__xludf.DUMMYFUNCTION("""COMPUTED_VALUE"""),"Andrew Putnam")</f>
        <v>Andrew Putnam</v>
      </c>
      <c r="D176">
        <f ca="1">IFERROR(__xludf.DUMMYFUNCTION("""COMPUTED_VALUE"""),19)</f>
        <v>19</v>
      </c>
      <c r="E176" t="str">
        <f ca="1">IFERROR(__xludf.DUMMYFUNCTION("""COMPUTED_VALUE"""),"38' 6""")</f>
        <v>38' 6"</v>
      </c>
      <c r="F176" s="2">
        <f ca="1">IFERROR(__xludf.DUMMYFUNCTION("""COMPUTED_VALUE"""),10398.083)</f>
        <v>10398.083000000001</v>
      </c>
      <c r="G176">
        <f ca="1">IFERROR(__xludf.DUMMYFUNCTION("""COMPUTED_VALUE"""),270)</f>
        <v>270</v>
      </c>
      <c r="H176" t="str">
        <f ca="1">IFERROR(__xludf.DUMMYFUNCTION("""COMPUTED_VALUE"""),"Under")</f>
        <v>Under</v>
      </c>
    </row>
    <row r="177" spans="1:8" ht="12.75">
      <c r="A177" t="str">
        <f ca="1">IFERROR(__xludf.DUMMYFUNCTION("""COMPUTED_VALUE"""),"T172")</f>
        <v>T172</v>
      </c>
      <c r="B177" t="str">
        <f ca="1">IFERROR(__xludf.DUMMYFUNCTION("""COMPUTED_VALUE"""),"T178")</f>
        <v>T178</v>
      </c>
      <c r="C177" t="str">
        <f ca="1">IFERROR(__xludf.DUMMYFUNCTION("""COMPUTED_VALUE"""),"Richy Werenski")</f>
        <v>Richy Werenski</v>
      </c>
      <c r="D177">
        <f ca="1">IFERROR(__xludf.DUMMYFUNCTION("""COMPUTED_VALUE"""),16)</f>
        <v>16</v>
      </c>
      <c r="E177" t="str">
        <f ca="1">IFERROR(__xludf.DUMMYFUNCTION("""COMPUTED_VALUE"""),"38' 6""")</f>
        <v>38' 6"</v>
      </c>
      <c r="F177" s="2">
        <f ca="1">IFERROR(__xludf.DUMMYFUNCTION("""COMPUTED_VALUE"""),10907.25)</f>
        <v>10907.25</v>
      </c>
      <c r="G177">
        <f ca="1">IFERROR(__xludf.DUMMYFUNCTION("""COMPUTED_VALUE"""),283)</f>
        <v>283</v>
      </c>
      <c r="H177" t="str">
        <f ca="1">IFERROR(__xludf.DUMMYFUNCTION("""COMPUTED_VALUE"""),"Under")</f>
        <v>Under</v>
      </c>
    </row>
    <row r="178" spans="1:8" ht="12.75">
      <c r="A178" t="str">
        <f ca="1">IFERROR(__xludf.DUMMYFUNCTION("""COMPUTED_VALUE"""),"T177")</f>
        <v>T177</v>
      </c>
      <c r="B178" t="str">
        <f ca="1">IFERROR(__xludf.DUMMYFUNCTION("""COMPUTED_VALUE"""),"T132")</f>
        <v>T132</v>
      </c>
      <c r="C178" t="str">
        <f ca="1">IFERROR(__xludf.DUMMYFUNCTION("""COMPUTED_VALUE"""),"Brandt Snedeker")</f>
        <v>Brandt Snedeker</v>
      </c>
      <c r="D178">
        <f ca="1">IFERROR(__xludf.DUMMYFUNCTION("""COMPUTED_VALUE"""),16)</f>
        <v>16</v>
      </c>
      <c r="E178" t="str">
        <f ca="1">IFERROR(__xludf.DUMMYFUNCTION("""COMPUTED_VALUE"""),"38' 7""")</f>
        <v>38' 7"</v>
      </c>
      <c r="F178" s="2">
        <f ca="1">IFERROR(__xludf.DUMMYFUNCTION("""COMPUTED_VALUE"""),11040.667)</f>
        <v>11040.666999999999</v>
      </c>
      <c r="G178">
        <f ca="1">IFERROR(__xludf.DUMMYFUNCTION("""COMPUTED_VALUE"""),286)</f>
        <v>286</v>
      </c>
      <c r="H178" t="str">
        <f ca="1">IFERROR(__xludf.DUMMYFUNCTION("""COMPUTED_VALUE"""),"Under")</f>
        <v>Under</v>
      </c>
    </row>
    <row r="179" spans="1:8" ht="12.75">
      <c r="A179" t="str">
        <f ca="1">IFERROR(__xludf.DUMMYFUNCTION("""COMPUTED_VALUE"""),"T177")</f>
        <v>T177</v>
      </c>
      <c r="B179" t="str">
        <f ca="1">IFERROR(__xludf.DUMMYFUNCTION("""COMPUTED_VALUE"""),"T147")</f>
        <v>T147</v>
      </c>
      <c r="C179" t="str">
        <f ca="1">IFERROR(__xludf.DUMMYFUNCTION("""COMPUTED_VALUE"""),"Scottie Scheffler")</f>
        <v>Scottie Scheffler</v>
      </c>
      <c r="D179">
        <f ca="1">IFERROR(__xludf.DUMMYFUNCTION("""COMPUTED_VALUE"""),18)</f>
        <v>18</v>
      </c>
      <c r="E179" t="str">
        <f ca="1">IFERROR(__xludf.DUMMYFUNCTION("""COMPUTED_VALUE"""),"38' 7""")</f>
        <v>38' 7"</v>
      </c>
      <c r="F179" s="2">
        <f ca="1">IFERROR(__xludf.DUMMYFUNCTION("""COMPUTED_VALUE"""),12277.333)</f>
        <v>12277.333000000001</v>
      </c>
      <c r="G179">
        <f ca="1">IFERROR(__xludf.DUMMYFUNCTION("""COMPUTED_VALUE"""),318)</f>
        <v>318</v>
      </c>
      <c r="H179" t="str">
        <f ca="1">IFERROR(__xludf.DUMMYFUNCTION("""COMPUTED_VALUE"""),"Under")</f>
        <v>Under</v>
      </c>
    </row>
    <row r="180" spans="1:8" ht="12.75">
      <c r="A180">
        <f ca="1">IFERROR(__xludf.DUMMYFUNCTION("""COMPUTED_VALUE"""),179)</f>
        <v>179</v>
      </c>
      <c r="B180">
        <f ca="1">IFERROR(__xludf.DUMMYFUNCTION("""COMPUTED_VALUE"""),182)</f>
        <v>182</v>
      </c>
      <c r="C180" t="str">
        <f ca="1">IFERROR(__xludf.DUMMYFUNCTION("""COMPUTED_VALUE"""),"John Senden")</f>
        <v>John Senden</v>
      </c>
      <c r="D180">
        <f ca="1">IFERROR(__xludf.DUMMYFUNCTION("""COMPUTED_VALUE"""),8)</f>
        <v>8</v>
      </c>
      <c r="E180" t="str">
        <f ca="1">IFERROR(__xludf.DUMMYFUNCTION("""COMPUTED_VALUE"""),"38' 8""")</f>
        <v>38' 8"</v>
      </c>
      <c r="F180" s="2">
        <f ca="1">IFERROR(__xludf.DUMMYFUNCTION("""COMPUTED_VALUE"""),1393.167)</f>
        <v>1393.1669999999999</v>
      </c>
      <c r="G180">
        <f ca="1">IFERROR(__xludf.DUMMYFUNCTION("""COMPUTED_VALUE"""),36)</f>
        <v>36</v>
      </c>
      <c r="H180" t="str">
        <f ca="1">IFERROR(__xludf.DUMMYFUNCTION("""COMPUTED_VALUE"""),"Over")</f>
        <v>Over</v>
      </c>
    </row>
    <row r="181" spans="1:8" ht="12.75">
      <c r="A181" t="str">
        <f ca="1">IFERROR(__xludf.DUMMYFUNCTION("""COMPUTED_VALUE"""),"T180")</f>
        <v>T180</v>
      </c>
      <c r="B181">
        <f ca="1">IFERROR(__xludf.DUMMYFUNCTION("""COMPUTED_VALUE"""),136)</f>
        <v>136</v>
      </c>
      <c r="C181" t="str">
        <f ca="1">IFERROR(__xludf.DUMMYFUNCTION("""COMPUTED_VALUE"""),"Hunter Mahan")</f>
        <v>Hunter Mahan</v>
      </c>
      <c r="D181">
        <f ca="1">IFERROR(__xludf.DUMMYFUNCTION("""COMPUTED_VALUE"""),14)</f>
        <v>14</v>
      </c>
      <c r="E181" t="str">
        <f ca="1">IFERROR(__xludf.DUMMYFUNCTION("""COMPUTED_VALUE"""),"38' 9""")</f>
        <v>38' 9"</v>
      </c>
      <c r="F181" s="2">
        <f ca="1">IFERROR(__xludf.DUMMYFUNCTION("""COMPUTED_VALUE"""),6823.5)</f>
        <v>6823.5</v>
      </c>
      <c r="G181">
        <f ca="1">IFERROR(__xludf.DUMMYFUNCTION("""COMPUTED_VALUE"""),176)</f>
        <v>176</v>
      </c>
      <c r="H181" t="str">
        <f ca="1">IFERROR(__xludf.DUMMYFUNCTION("""COMPUTED_VALUE"""),"Over")</f>
        <v>Over</v>
      </c>
    </row>
    <row r="182" spans="1:8" ht="12.75">
      <c r="A182" t="str">
        <f ca="1">IFERROR(__xludf.DUMMYFUNCTION("""COMPUTED_VALUE"""),"T180")</f>
        <v>T180</v>
      </c>
      <c r="B182" t="str">
        <f ca="1">IFERROR(__xludf.DUMMYFUNCTION("""COMPUTED_VALUE"""),"T191")</f>
        <v>T191</v>
      </c>
      <c r="C182" t="str">
        <f ca="1">IFERROR(__xludf.DUMMYFUNCTION("""COMPUTED_VALUE"""),"Patrick Rodgers")</f>
        <v>Patrick Rodgers</v>
      </c>
      <c r="D182">
        <f ca="1">IFERROR(__xludf.DUMMYFUNCTION("""COMPUTED_VALUE"""),18)</f>
        <v>18</v>
      </c>
      <c r="E182" t="str">
        <f ca="1">IFERROR(__xludf.DUMMYFUNCTION("""COMPUTED_VALUE"""),"38' 9""")</f>
        <v>38' 9"</v>
      </c>
      <c r="F182" s="2">
        <f ca="1">IFERROR(__xludf.DUMMYFUNCTION("""COMPUTED_VALUE"""),6968.833)</f>
        <v>6968.8329999999996</v>
      </c>
      <c r="G182">
        <f ca="1">IFERROR(__xludf.DUMMYFUNCTION("""COMPUTED_VALUE"""),180)</f>
        <v>180</v>
      </c>
      <c r="H182" t="str">
        <f ca="1">IFERROR(__xludf.DUMMYFUNCTION("""COMPUTED_VALUE"""),"Under")</f>
        <v>Under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IFERROR(__xludf.DUMMYFUNCTION("""COMPUTED_VALUE"""),"T183")</f>
        <v>T183</v>
      </c>
      <c r="C183" t="str">
        <f ca="1">IFERROR(__xludf.DUMMYFUNCTION("""COMPUTED_VALUE"""),"Tiger Woods")</f>
        <v>Tiger Woods</v>
      </c>
      <c r="D183">
        <f ca="1">IFERROR(__xludf.DUMMYFUNCTION("""COMPUTED_VALUE"""),6)</f>
        <v>6</v>
      </c>
      <c r="E183" t="str">
        <f ca="1">IFERROR(__xludf.DUMMYFUNCTION("""COMPUTED_VALUE"""),"38' 10""")</f>
        <v>38' 10"</v>
      </c>
      <c r="F183" s="2">
        <f ca="1">IFERROR(__xludf.DUMMYFUNCTION("""COMPUTED_VALUE"""),4152.5)</f>
        <v>4152.5</v>
      </c>
      <c r="G183">
        <f ca="1">IFERROR(__xludf.DUMMYFUNCTION("""COMPUTED_VALUE"""),107)</f>
        <v>107</v>
      </c>
      <c r="H183" t="str">
        <f ca="1">IFERROR(__xludf.DUMMYFUNCTION("""COMPUTED_VALUE"""),"Over")</f>
        <v>Over</v>
      </c>
    </row>
    <row r="184" spans="1:8" ht="12.75">
      <c r="A184" t="str">
        <f ca="1">IFERROR(__xludf.DUMMYFUNCTION("""COMPUTED_VALUE"""),"T182")</f>
        <v>T182</v>
      </c>
      <c r="B184" t="str">
        <f ca="1">IFERROR(__xludf.DUMMYFUNCTION("""COMPUTED_VALUE"""),"T183")</f>
        <v>T183</v>
      </c>
      <c r="C184" t="str">
        <f ca="1">IFERROR(__xludf.DUMMYFUNCTION("""COMPUTED_VALUE"""),"Kevin Kisner")</f>
        <v>Kevin Kisner</v>
      </c>
      <c r="D184">
        <f ca="1">IFERROR(__xludf.DUMMYFUNCTION("""COMPUTED_VALUE"""),10)</f>
        <v>10</v>
      </c>
      <c r="E184" t="str">
        <f ca="1">IFERROR(__xludf.DUMMYFUNCTION("""COMPUTED_VALUE"""),"38' 10""")</f>
        <v>38' 10"</v>
      </c>
      <c r="F184" s="2">
        <f ca="1">IFERROR(__xludf.DUMMYFUNCTION("""COMPUTED_VALUE"""),6958.417)</f>
        <v>6958.4170000000004</v>
      </c>
      <c r="G184">
        <f ca="1">IFERROR(__xludf.DUMMYFUNCTION("""COMPUTED_VALUE"""),179)</f>
        <v>179</v>
      </c>
      <c r="H184" t="str">
        <f ca="1">IFERROR(__xludf.DUMMYFUNCTION("""COMPUTED_VALUE"""),"Under")</f>
        <v>Under</v>
      </c>
    </row>
    <row r="185" spans="1:8" ht="12.75">
      <c r="A185" t="str">
        <f ca="1">IFERROR(__xludf.DUMMYFUNCTION("""COMPUTED_VALUE"""),"T182")</f>
        <v>T182</v>
      </c>
      <c r="B185">
        <f ca="1">IFERROR(__xludf.DUMMYFUNCTION("""COMPUTED_VALUE"""),196)</f>
        <v>196</v>
      </c>
      <c r="C185" t="str">
        <f ca="1">IFERROR(__xludf.DUMMYFUNCTION("""COMPUTED_VALUE"""),"Michael Thompson")</f>
        <v>Michael Thompson</v>
      </c>
      <c r="D185">
        <f ca="1">IFERROR(__xludf.DUMMYFUNCTION("""COMPUTED_VALUE"""),16)</f>
        <v>16</v>
      </c>
      <c r="E185" t="str">
        <f ca="1">IFERROR(__xludf.DUMMYFUNCTION("""COMPUTED_VALUE"""),"38' 10""")</f>
        <v>38' 10"</v>
      </c>
      <c r="F185" s="2">
        <f ca="1">IFERROR(__xludf.DUMMYFUNCTION("""COMPUTED_VALUE"""),10993.583)</f>
        <v>10993.583000000001</v>
      </c>
      <c r="G185">
        <f ca="1">IFERROR(__xludf.DUMMYFUNCTION("""COMPUTED_VALUE"""),283)</f>
        <v>283</v>
      </c>
      <c r="H185" t="str">
        <f ca="1">IFERROR(__xludf.DUMMYFUNCTION("""COMPUTED_VALUE"""),"Over")</f>
        <v>Over</v>
      </c>
    </row>
    <row r="186" spans="1:8" ht="12.75">
      <c r="A186" t="str">
        <f ca="1">IFERROR(__xludf.DUMMYFUNCTION("""COMPUTED_VALUE"""),"T182")</f>
        <v>T182</v>
      </c>
      <c r="B186" t="str">
        <f ca="1">IFERROR(__xludf.DUMMYFUNCTION("""COMPUTED_VALUE"""),"T183")</f>
        <v>T183</v>
      </c>
      <c r="C186" t="str">
        <f ca="1">IFERROR(__xludf.DUMMYFUNCTION("""COMPUTED_VALUE"""),"Harris English")</f>
        <v>Harris English</v>
      </c>
      <c r="D186">
        <f ca="1">IFERROR(__xludf.DUMMYFUNCTION("""COMPUTED_VALUE"""),14)</f>
        <v>14</v>
      </c>
      <c r="E186" t="str">
        <f ca="1">IFERROR(__xludf.DUMMYFUNCTION("""COMPUTED_VALUE"""),"38' 10""")</f>
        <v>38' 10"</v>
      </c>
      <c r="F186" s="2">
        <f ca="1">IFERROR(__xludf.DUMMYFUNCTION("""COMPUTED_VALUE"""),9717.833)</f>
        <v>9717.8330000000005</v>
      </c>
      <c r="G186">
        <f ca="1">IFERROR(__xludf.DUMMYFUNCTION("""COMPUTED_VALUE"""),250)</f>
        <v>250</v>
      </c>
      <c r="H186" t="str">
        <f ca="1">IFERROR(__xludf.DUMMYFUNCTION("""COMPUTED_VALUE"""),"Under")</f>
        <v>Under</v>
      </c>
    </row>
    <row r="187" spans="1:8" ht="12.75">
      <c r="A187" t="str">
        <f ca="1">IFERROR(__xludf.DUMMYFUNCTION("""COMPUTED_VALUE"""),"T182")</f>
        <v>T182</v>
      </c>
      <c r="B187" t="str">
        <f ca="1">IFERROR(__xludf.DUMMYFUNCTION("""COMPUTED_VALUE"""),"T183")</f>
        <v>T183</v>
      </c>
      <c r="C187" t="str">
        <f ca="1">IFERROR(__xludf.DUMMYFUNCTION("""COMPUTED_VALUE"""),"Vincent Whaley")</f>
        <v>Vincent Whaley</v>
      </c>
      <c r="D187">
        <f ca="1">IFERROR(__xludf.DUMMYFUNCTION("""COMPUTED_VALUE"""),14)</f>
        <v>14</v>
      </c>
      <c r="E187" t="str">
        <f ca="1">IFERROR(__xludf.DUMMYFUNCTION("""COMPUTED_VALUE"""),"38' 10""")</f>
        <v>38' 10"</v>
      </c>
      <c r="F187" s="2">
        <f ca="1">IFERROR(__xludf.DUMMYFUNCTION("""COMPUTED_VALUE"""),5556.583)</f>
        <v>5556.5829999999996</v>
      </c>
      <c r="G187">
        <f ca="1">IFERROR(__xludf.DUMMYFUNCTION("""COMPUTED_VALUE"""),143)</f>
        <v>143</v>
      </c>
      <c r="H187" t="str">
        <f ca="1">IFERROR(__xludf.DUMMYFUNCTION("""COMPUTED_VALUE"""),"Under")</f>
        <v>Under</v>
      </c>
    </row>
    <row r="188" spans="1:8" ht="12.75">
      <c r="A188" t="str">
        <f ca="1">IFERROR(__xludf.DUMMYFUNCTION("""COMPUTED_VALUE"""),"T187")</f>
        <v>T187</v>
      </c>
      <c r="B188" t="str">
        <f ca="1">IFERROR(__xludf.DUMMYFUNCTION("""COMPUTED_VALUE"""),"T187")</f>
        <v>T187</v>
      </c>
      <c r="C188" t="str">
        <f ca="1">IFERROR(__xludf.DUMMYFUNCTION("""COMPUTED_VALUE"""),"Brian Gay")</f>
        <v>Brian Gay</v>
      </c>
      <c r="D188">
        <f ca="1">IFERROR(__xludf.DUMMYFUNCTION("""COMPUTED_VALUE"""),8)</f>
        <v>8</v>
      </c>
      <c r="E188" t="str">
        <f ca="1">IFERROR(__xludf.DUMMYFUNCTION("""COMPUTED_VALUE"""),"38' 11""")</f>
        <v>38' 11"</v>
      </c>
      <c r="F188" s="2">
        <f ca="1">IFERROR(__xludf.DUMMYFUNCTION("""COMPUTED_VALUE"""),2721.25)</f>
        <v>2721.25</v>
      </c>
      <c r="G188">
        <f ca="1">IFERROR(__xludf.DUMMYFUNCTION("""COMPUTED_VALUE"""),70)</f>
        <v>70</v>
      </c>
      <c r="H188" t="str">
        <f ca="1">IFERROR(__xludf.DUMMYFUNCTION("""COMPUTED_VALUE"""),"Even")</f>
        <v>Even</v>
      </c>
    </row>
    <row r="189" spans="1:8" ht="12.75">
      <c r="A189" t="str">
        <f ca="1">IFERROR(__xludf.DUMMYFUNCTION("""COMPUTED_VALUE"""),"T187")</f>
        <v>T187</v>
      </c>
      <c r="B189">
        <f ca="1">IFERROR(__xludf.DUMMYFUNCTION("""COMPUTED_VALUE"""),225)</f>
        <v>225</v>
      </c>
      <c r="C189" t="str">
        <f ca="1">IFERROR(__xludf.DUMMYFUNCTION("""COMPUTED_VALUE"""),"Dustin Johnson")</f>
        <v>Dustin Johnson</v>
      </c>
      <c r="D189">
        <f ca="1">IFERROR(__xludf.DUMMYFUNCTION("""COMPUTED_VALUE"""),8)</f>
        <v>8</v>
      </c>
      <c r="E189" t="str">
        <f ca="1">IFERROR(__xludf.DUMMYFUNCTION("""COMPUTED_VALUE"""),"38' 11""")</f>
        <v>38' 11"</v>
      </c>
      <c r="F189" s="2">
        <f ca="1">IFERROR(__xludf.DUMMYFUNCTION("""COMPUTED_VALUE"""),5526.25)</f>
        <v>5526.25</v>
      </c>
      <c r="G189">
        <f ca="1">IFERROR(__xludf.DUMMYFUNCTION("""COMPUTED_VALUE"""),142)</f>
        <v>142</v>
      </c>
      <c r="H189" t="str">
        <f ca="1">IFERROR(__xludf.DUMMYFUNCTION("""COMPUTED_VALUE"""),"Under")</f>
        <v>Under</v>
      </c>
    </row>
    <row r="190" spans="1:8" ht="12.75">
      <c r="A190" t="str">
        <f ca="1">IFERROR(__xludf.DUMMYFUNCTION("""COMPUTED_VALUE"""),"T187")</f>
        <v>T187</v>
      </c>
      <c r="B190" t="str">
        <f ca="1">IFERROR(__xludf.DUMMYFUNCTION("""COMPUTED_VALUE"""),"T187")</f>
        <v>T187</v>
      </c>
      <c r="C190" t="str">
        <f ca="1">IFERROR(__xludf.DUMMYFUNCTION("""COMPUTED_VALUE"""),"Jason Kokrak")</f>
        <v>Jason Kokrak</v>
      </c>
      <c r="D190">
        <f ca="1">IFERROR(__xludf.DUMMYFUNCTION("""COMPUTED_VALUE"""),14)</f>
        <v>14</v>
      </c>
      <c r="E190" t="str">
        <f ca="1">IFERROR(__xludf.DUMMYFUNCTION("""COMPUTED_VALUE"""),"38' 11""")</f>
        <v>38' 11"</v>
      </c>
      <c r="F190" s="2">
        <f ca="1">IFERROR(__xludf.DUMMYFUNCTION("""COMPUTED_VALUE"""),9727.25)</f>
        <v>9727.25</v>
      </c>
      <c r="G190">
        <f ca="1">IFERROR(__xludf.DUMMYFUNCTION("""COMPUTED_VALUE"""),250)</f>
        <v>250</v>
      </c>
      <c r="H190" t="str">
        <f ca="1">IFERROR(__xludf.DUMMYFUNCTION("""COMPUTED_VALUE"""),"Under")</f>
        <v>Under</v>
      </c>
    </row>
    <row r="191" spans="1:8" ht="12.75">
      <c r="A191" t="str">
        <f ca="1">IFERROR(__xludf.DUMMYFUNCTION("""COMPUTED_VALUE"""),"T187")</f>
        <v>T187</v>
      </c>
      <c r="B191" t="str">
        <f ca="1">IFERROR(__xludf.DUMMYFUNCTION("""COMPUTED_VALUE"""),"T176")</f>
        <v>T176</v>
      </c>
      <c r="C191" t="str">
        <f ca="1">IFERROR(__xludf.DUMMYFUNCTION("""COMPUTED_VALUE"""),"Erik van Rooyen")</f>
        <v>Erik van Rooyen</v>
      </c>
      <c r="D191">
        <f ca="1">IFERROR(__xludf.DUMMYFUNCTION("""COMPUTED_VALUE"""),10)</f>
        <v>10</v>
      </c>
      <c r="E191" t="str">
        <f ca="1">IFERROR(__xludf.DUMMYFUNCTION("""COMPUTED_VALUE"""),"38' 11""")</f>
        <v>38' 11"</v>
      </c>
      <c r="F191" s="2">
        <f ca="1">IFERROR(__xludf.DUMMYFUNCTION("""COMPUTED_VALUE"""),6965)</f>
        <v>6965</v>
      </c>
      <c r="G191">
        <f ca="1">IFERROR(__xludf.DUMMYFUNCTION("""COMPUTED_VALUE"""),179)</f>
        <v>179</v>
      </c>
      <c r="H191" t="str">
        <f ca="1">IFERROR(__xludf.DUMMYFUNCTION("""COMPUTED_VALUE"""),"Over")</f>
        <v>Over</v>
      </c>
    </row>
    <row r="192" spans="1:8" ht="12.75">
      <c r="A192" t="str">
        <f ca="1">IFERROR(__xludf.DUMMYFUNCTION("""COMPUTED_VALUE"""),"T191")</f>
        <v>T191</v>
      </c>
      <c r="B192" t="str">
        <f ca="1">IFERROR(__xludf.DUMMYFUNCTION("""COMPUTED_VALUE"""),"T178")</f>
        <v>T178</v>
      </c>
      <c r="C192" t="str">
        <f ca="1">IFERROR(__xludf.DUMMYFUNCTION("""COMPUTED_VALUE"""),"Sean O'Hair")</f>
        <v>Sean O'Hair</v>
      </c>
      <c r="D192">
        <f ca="1">IFERROR(__xludf.DUMMYFUNCTION("""COMPUTED_VALUE"""),14)</f>
        <v>14</v>
      </c>
      <c r="E192" t="str">
        <f ca="1">IFERROR(__xludf.DUMMYFUNCTION("""COMPUTED_VALUE"""),"39' 0""")</f>
        <v>39' 0"</v>
      </c>
      <c r="F192" s="2">
        <f ca="1">IFERROR(__xludf.DUMMYFUNCTION("""COMPUTED_VALUE"""),7023.333)</f>
        <v>7023.3329999999996</v>
      </c>
      <c r="G192">
        <f ca="1">IFERROR(__xludf.DUMMYFUNCTION("""COMPUTED_VALUE"""),180)</f>
        <v>180</v>
      </c>
      <c r="H192" t="str">
        <f ca="1">IFERROR(__xludf.DUMMYFUNCTION("""COMPUTED_VALUE"""),"Over")</f>
        <v>Over</v>
      </c>
    </row>
    <row r="193" spans="1:8" ht="12.75">
      <c r="A193" t="str">
        <f ca="1">IFERROR(__xludf.DUMMYFUNCTION("""COMPUTED_VALUE"""),"T191")</f>
        <v>T191</v>
      </c>
      <c r="B193" t="str">
        <f ca="1">IFERROR(__xludf.DUMMYFUNCTION("""COMPUTED_VALUE"""),"T191")</f>
        <v>T191</v>
      </c>
      <c r="C193" t="str">
        <f ca="1">IFERROR(__xludf.DUMMYFUNCTION("""COMPUTED_VALUE"""),"Jim Herman")</f>
        <v>Jim Herman</v>
      </c>
      <c r="D193">
        <f ca="1">IFERROR(__xludf.DUMMYFUNCTION("""COMPUTED_VALUE"""),12)</f>
        <v>12</v>
      </c>
      <c r="E193" t="str">
        <f ca="1">IFERROR(__xludf.DUMMYFUNCTION("""COMPUTED_VALUE"""),"39' 0""")</f>
        <v>39' 0"</v>
      </c>
      <c r="F193" s="2">
        <f ca="1">IFERROR(__xludf.DUMMYFUNCTION("""COMPUTED_VALUE"""),8428.167)</f>
        <v>8428.1669999999995</v>
      </c>
      <c r="G193">
        <f ca="1">IFERROR(__xludf.DUMMYFUNCTION("""COMPUTED_VALUE"""),216)</f>
        <v>216</v>
      </c>
      <c r="H193" t="str">
        <f ca="1">IFERROR(__xludf.DUMMYFUNCTION("""COMPUTED_VALUE"""),"Over")</f>
        <v>Over</v>
      </c>
    </row>
    <row r="194" spans="1:8" ht="12.75">
      <c r="A194" t="str">
        <f ca="1">IFERROR(__xludf.DUMMYFUNCTION("""COMPUTED_VALUE"""),"T191")</f>
        <v>T191</v>
      </c>
      <c r="B194" t="str">
        <f ca="1">IFERROR(__xludf.DUMMYFUNCTION("""COMPUTED_VALUE"""),"T152")</f>
        <v>T152</v>
      </c>
      <c r="C194" t="str">
        <f ca="1">IFERROR(__xludf.DUMMYFUNCTION("""COMPUTED_VALUE"""),"Sungjae Im")</f>
        <v>Sungjae Im</v>
      </c>
      <c r="D194">
        <f ca="1">IFERROR(__xludf.DUMMYFUNCTION("""COMPUTED_VALUE"""),24)</f>
        <v>24</v>
      </c>
      <c r="E194" t="str">
        <f ca="1">IFERROR(__xludf.DUMMYFUNCTION("""COMPUTED_VALUE"""),"39' 0""")</f>
        <v>39' 0"</v>
      </c>
      <c r="F194" s="2">
        <f ca="1">IFERROR(__xludf.DUMMYFUNCTION("""COMPUTED_VALUE"""),16612.917)</f>
        <v>16612.917000000001</v>
      </c>
      <c r="G194">
        <f ca="1">IFERROR(__xludf.DUMMYFUNCTION("""COMPUTED_VALUE"""),426)</f>
        <v>426</v>
      </c>
      <c r="H194" t="str">
        <f ca="1">IFERROR(__xludf.DUMMYFUNCTION("""COMPUTED_VALUE"""),"Under")</f>
        <v>Under</v>
      </c>
    </row>
    <row r="195" spans="1:8" ht="12.75">
      <c r="A195" t="str">
        <f ca="1">IFERROR(__xludf.DUMMYFUNCTION("""COMPUTED_VALUE"""),"T191")</f>
        <v>T191</v>
      </c>
      <c r="B195" t="str">
        <f ca="1">IFERROR(__xludf.DUMMYFUNCTION("""COMPUTED_VALUE"""),"T169")</f>
        <v>T169</v>
      </c>
      <c r="C195" t="str">
        <f ca="1">IFERROR(__xludf.DUMMYFUNCTION("""COMPUTED_VALUE"""),"Denny McCarthy")</f>
        <v>Denny McCarthy</v>
      </c>
      <c r="D195">
        <f ca="1">IFERROR(__xludf.DUMMYFUNCTION("""COMPUTED_VALUE"""),22)</f>
        <v>22</v>
      </c>
      <c r="E195" t="str">
        <f ca="1">IFERROR(__xludf.DUMMYFUNCTION("""COMPUTED_VALUE"""),"39' 0""")</f>
        <v>39' 0"</v>
      </c>
      <c r="F195" s="2">
        <f ca="1">IFERROR(__xludf.DUMMYFUNCTION("""COMPUTED_VALUE"""),9789.667)</f>
        <v>9789.6669999999995</v>
      </c>
      <c r="G195">
        <f ca="1">IFERROR(__xludf.DUMMYFUNCTION("""COMPUTED_VALUE"""),251)</f>
        <v>251</v>
      </c>
      <c r="H195" t="str">
        <f ca="1">IFERROR(__xludf.DUMMYFUNCTION("""COMPUTED_VALUE"""),"Under")</f>
        <v>Under</v>
      </c>
    </row>
    <row r="196" spans="1:8" ht="12.75">
      <c r="A196" t="str">
        <f ca="1">IFERROR(__xludf.DUMMYFUNCTION("""COMPUTED_VALUE"""),"T195")</f>
        <v>T195</v>
      </c>
      <c r="B196" t="str">
        <f ca="1">IFERROR(__xludf.DUMMYFUNCTION("""COMPUTED_VALUE"""),"T193")</f>
        <v>T193</v>
      </c>
      <c r="C196" t="str">
        <f ca="1">IFERROR(__xludf.DUMMYFUNCTION("""COMPUTED_VALUE"""),"Kevin Na")</f>
        <v>Kevin Na</v>
      </c>
      <c r="D196">
        <f ca="1">IFERROR(__xludf.DUMMYFUNCTION("""COMPUTED_VALUE"""),14)</f>
        <v>14</v>
      </c>
      <c r="E196" t="str">
        <f ca="1">IFERROR(__xludf.DUMMYFUNCTION("""COMPUTED_VALUE"""),"39' 1""")</f>
        <v>39' 1"</v>
      </c>
      <c r="F196" s="2">
        <f ca="1">IFERROR(__xludf.DUMMYFUNCTION("""COMPUTED_VALUE"""),9690)</f>
        <v>9690</v>
      </c>
      <c r="G196">
        <f ca="1">IFERROR(__xludf.DUMMYFUNCTION("""COMPUTED_VALUE"""),248)</f>
        <v>248</v>
      </c>
      <c r="H196" t="str">
        <f ca="1">IFERROR(__xludf.DUMMYFUNCTION("""COMPUTED_VALUE"""),"Under")</f>
        <v>Under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IFERROR(__xludf.DUMMYFUNCTION("""COMPUTED_VALUE"""),"T193")</f>
        <v>T193</v>
      </c>
      <c r="C197" t="str">
        <f ca="1">IFERROR(__xludf.DUMMYFUNCTION("""COMPUTED_VALUE"""),"Dominic Bozzelli")</f>
        <v>Dominic Bozzelli</v>
      </c>
      <c r="D197">
        <f ca="1">IFERROR(__xludf.DUMMYFUNCTION("""COMPUTED_VALUE"""),8)</f>
        <v>8</v>
      </c>
      <c r="E197" t="str">
        <f ca="1">IFERROR(__xludf.DUMMYFUNCTION("""COMPUTED_VALUE"""),"39' 1""")</f>
        <v>39' 1"</v>
      </c>
      <c r="F197" s="2">
        <f ca="1">IFERROR(__xludf.DUMMYFUNCTION("""COMPUTED_VALUE"""),1407.333)</f>
        <v>1407.3330000000001</v>
      </c>
      <c r="G197">
        <f ca="1">IFERROR(__xludf.DUMMYFUNCTION("""COMPUTED_VALUE"""),36)</f>
        <v>36</v>
      </c>
      <c r="H197" t="str">
        <f ca="1">IFERROR(__xludf.DUMMYFUNCTION("""COMPUTED_VALUE"""),"Over")</f>
        <v>Over</v>
      </c>
    </row>
    <row r="198" spans="1:8" ht="12.75">
      <c r="A198">
        <f ca="1">IFERROR(__xludf.DUMMYFUNCTION("""COMPUTED_VALUE"""),197)</f>
        <v>197</v>
      </c>
      <c r="B198">
        <f ca="1">IFERROR(__xludf.DUMMYFUNCTION("""COMPUTED_VALUE"""),195)</f>
        <v>195</v>
      </c>
      <c r="C198" t="str">
        <f ca="1">IFERROR(__xludf.DUMMYFUNCTION("""COMPUTED_VALUE"""),"Xander Schauffele")</f>
        <v>Xander Schauffele</v>
      </c>
      <c r="D198">
        <f ca="1">IFERROR(__xludf.DUMMYFUNCTION("""COMPUTED_VALUE"""),12)</f>
        <v>12</v>
      </c>
      <c r="E198" t="str">
        <f ca="1">IFERROR(__xludf.DUMMYFUNCTION("""COMPUTED_VALUE"""),"39' 2""")</f>
        <v>39' 2"</v>
      </c>
      <c r="F198" s="2">
        <f ca="1">IFERROR(__xludf.DUMMYFUNCTION("""COMPUTED_VALUE"""),8382.75)</f>
        <v>8382.75</v>
      </c>
      <c r="G198">
        <f ca="1">IFERROR(__xludf.DUMMYFUNCTION("""COMPUTED_VALUE"""),214)</f>
        <v>214</v>
      </c>
      <c r="H198" t="str">
        <f ca="1">IFERROR(__xludf.DUMMYFUNCTION("""COMPUTED_VALUE"""),"Under")</f>
        <v>Under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IFERROR(__xludf.DUMMYFUNCTION("""COMPUTED_VALUE"""),"T187")</f>
        <v>T187</v>
      </c>
      <c r="C199" t="str">
        <f ca="1">IFERROR(__xludf.DUMMYFUNCTION("""COMPUTED_VALUE"""),"Troy Merritt")</f>
        <v>Troy Merritt</v>
      </c>
      <c r="D199">
        <f ca="1">IFERROR(__xludf.DUMMYFUNCTION("""COMPUTED_VALUE"""),20)</f>
        <v>20</v>
      </c>
      <c r="E199" t="str">
        <f ca="1">IFERROR(__xludf.DUMMYFUNCTION("""COMPUTED_VALUE"""),"39' 3""")</f>
        <v>39' 3"</v>
      </c>
      <c r="F199" s="2">
        <f ca="1">IFERROR(__xludf.DUMMYFUNCTION("""COMPUTED_VALUE"""),11271.833)</f>
        <v>11271.833000000001</v>
      </c>
      <c r="G199">
        <f ca="1">IFERROR(__xludf.DUMMYFUNCTION("""COMPUTED_VALUE"""),287)</f>
        <v>287</v>
      </c>
      <c r="H199" t="str">
        <f ca="1">IFERROR(__xludf.DUMMYFUNCTION("""COMPUTED_VALUE"""),"Over")</f>
        <v>Over</v>
      </c>
    </row>
    <row r="200" spans="1:8" ht="12.75">
      <c r="A200">
        <f ca="1">IFERROR(__xludf.DUMMYFUNCTION("""COMPUTED_VALUE"""),199)</f>
        <v>199</v>
      </c>
      <c r="B200" t="str">
        <f ca="1">IFERROR(__xludf.DUMMYFUNCTION("""COMPUTED_VALUE"""),"T242")</f>
        <v>T242</v>
      </c>
      <c r="C200" t="str">
        <f ca="1">IFERROR(__xludf.DUMMYFUNCTION("""COMPUTED_VALUE"""),"Graeme McDowell")</f>
        <v>Graeme McDowell</v>
      </c>
      <c r="D200">
        <f ca="1">IFERROR(__xludf.DUMMYFUNCTION("""COMPUTED_VALUE"""),8)</f>
        <v>8</v>
      </c>
      <c r="E200" t="str">
        <f ca="1">IFERROR(__xludf.DUMMYFUNCTION("""COMPUTED_VALUE"""),"39' 4""")</f>
        <v>39' 4"</v>
      </c>
      <c r="F200" s="2">
        <f ca="1">IFERROR(__xludf.DUMMYFUNCTION("""COMPUTED_VALUE"""),4246.167)</f>
        <v>4246.1670000000004</v>
      </c>
      <c r="G200">
        <f ca="1">IFERROR(__xludf.DUMMYFUNCTION("""COMPUTED_VALUE"""),108)</f>
        <v>108</v>
      </c>
      <c r="H200" t="str">
        <f ca="1">IFERROR(__xludf.DUMMYFUNCTION("""COMPUTED_VALUE"""),"Over")</f>
        <v>Over</v>
      </c>
    </row>
    <row r="201" spans="1:8" ht="12.75">
      <c r="A201" t="str">
        <f ca="1">IFERROR(__xludf.DUMMYFUNCTION("""COMPUTED_VALUE"""),"T200")</f>
        <v>T200</v>
      </c>
      <c r="B201" t="str">
        <f ca="1">IFERROR(__xludf.DUMMYFUNCTION("""COMPUTED_VALUE"""),"")</f>
        <v/>
      </c>
      <c r="C201" t="str">
        <f ca="1">IFERROR(__xludf.DUMMYFUNCTION("""COMPUTED_VALUE"""),"Padraig Harrington")</f>
        <v>Padraig Harrington</v>
      </c>
      <c r="D201">
        <f ca="1">IFERROR(__xludf.DUMMYFUNCTION("""COMPUTED_VALUE"""),8)</f>
        <v>8</v>
      </c>
      <c r="E201" t="str">
        <f ca="1">IFERROR(__xludf.DUMMYFUNCTION("""COMPUTED_VALUE"""),"39' 5""")</f>
        <v>39' 5"</v>
      </c>
      <c r="F201" s="2">
        <f ca="1">IFERROR(__xludf.DUMMYFUNCTION("""COMPUTED_VALUE"""),2837.75)</f>
        <v>2837.75</v>
      </c>
      <c r="G201">
        <f ca="1">IFERROR(__xludf.DUMMYFUNCTION("""COMPUTED_VALUE"""),72)</f>
        <v>72</v>
      </c>
      <c r="H201" t="str">
        <f ca="1">IFERROR(__xludf.DUMMYFUNCTION("""COMPUTED_VALUE"""),"Under")</f>
        <v>Under</v>
      </c>
    </row>
    <row r="202" spans="1:8" ht="12.75">
      <c r="A202" t="str">
        <f ca="1">IFERROR(__xludf.DUMMYFUNCTION("""COMPUTED_VALUE"""),"T200")</f>
        <v>T200</v>
      </c>
      <c r="B202">
        <f ca="1">IFERROR(__xludf.DUMMYFUNCTION("""COMPUTED_VALUE"""),198)</f>
        <v>198</v>
      </c>
      <c r="C202" t="str">
        <f ca="1">IFERROR(__xludf.DUMMYFUNCTION("""COMPUTED_VALUE"""),"Patrick Cantlay")</f>
        <v>Patrick Cantlay</v>
      </c>
      <c r="D202">
        <f ca="1">IFERROR(__xludf.DUMMYFUNCTION("""COMPUTED_VALUE"""),16)</f>
        <v>16</v>
      </c>
      <c r="E202" t="str">
        <f ca="1">IFERROR(__xludf.DUMMYFUNCTION("""COMPUTED_VALUE"""),"39' 5""")</f>
        <v>39' 5"</v>
      </c>
      <c r="F202" s="2">
        <f ca="1">IFERROR(__xludf.DUMMYFUNCTION("""COMPUTED_VALUE"""),11302.167)</f>
        <v>11302.166999999999</v>
      </c>
      <c r="G202">
        <f ca="1">IFERROR(__xludf.DUMMYFUNCTION("""COMPUTED_VALUE"""),287)</f>
        <v>287</v>
      </c>
      <c r="H202" t="str">
        <f ca="1">IFERROR(__xludf.DUMMYFUNCTION("""COMPUTED_VALUE"""),"Under")</f>
        <v>Under</v>
      </c>
    </row>
    <row r="203" spans="1:8" ht="12.75">
      <c r="A203">
        <f ca="1">IFERROR(__xludf.DUMMYFUNCTION("""COMPUTED_VALUE"""),202)</f>
        <v>202</v>
      </c>
      <c r="B203" t="str">
        <f ca="1">IFERROR(__xludf.DUMMYFUNCTION("""COMPUTED_VALUE"""),"T207")</f>
        <v>T207</v>
      </c>
      <c r="C203" t="str">
        <f ca="1">IFERROR(__xludf.DUMMYFUNCTION("""COMPUTED_VALUE"""),"Phil Mickelson")</f>
        <v>Phil Mickelson</v>
      </c>
      <c r="D203">
        <f ca="1">IFERROR(__xludf.DUMMYFUNCTION("""COMPUTED_VALUE"""),12)</f>
        <v>12</v>
      </c>
      <c r="E203" t="str">
        <f ca="1">IFERROR(__xludf.DUMMYFUNCTION("""COMPUTED_VALUE"""),"39' 6""")</f>
        <v>39' 6"</v>
      </c>
      <c r="F203" s="2">
        <f ca="1">IFERROR(__xludf.DUMMYFUNCTION("""COMPUTED_VALUE"""),8416.667)</f>
        <v>8416.6669999999995</v>
      </c>
      <c r="G203">
        <f ca="1">IFERROR(__xludf.DUMMYFUNCTION("""COMPUTED_VALUE"""),213)</f>
        <v>213</v>
      </c>
      <c r="H203" t="str">
        <f ca="1">IFERROR(__xludf.DUMMYFUNCTION("""COMPUTED_VALUE"""),"Over")</f>
        <v>Over</v>
      </c>
    </row>
    <row r="204" spans="1:8" ht="12.75">
      <c r="A204" t="str">
        <f ca="1">IFERROR(__xludf.DUMMYFUNCTION("""COMPUTED_VALUE"""),"T203")</f>
        <v>T203</v>
      </c>
      <c r="B204" t="str">
        <f ca="1">IFERROR(__xludf.DUMMYFUNCTION("""COMPUTED_VALUE"""),"T200")</f>
        <v>T200</v>
      </c>
      <c r="C204" t="str">
        <f ca="1">IFERROR(__xludf.DUMMYFUNCTION("""COMPUTED_VALUE"""),"Matt Kuchar")</f>
        <v>Matt Kuchar</v>
      </c>
      <c r="D204">
        <f ca="1">IFERROR(__xludf.DUMMYFUNCTION("""COMPUTED_VALUE"""),14)</f>
        <v>14</v>
      </c>
      <c r="E204" t="str">
        <f ca="1">IFERROR(__xludf.DUMMYFUNCTION("""COMPUTED_VALUE"""),"39' 7""")</f>
        <v>39' 7"</v>
      </c>
      <c r="F204" s="2">
        <f ca="1">IFERROR(__xludf.DUMMYFUNCTION("""COMPUTED_VALUE"""),9969.417)</f>
        <v>9969.4169999999995</v>
      </c>
      <c r="G204">
        <f ca="1">IFERROR(__xludf.DUMMYFUNCTION("""COMPUTED_VALUE"""),252)</f>
        <v>252</v>
      </c>
      <c r="H204" t="str">
        <f ca="1">IFERROR(__xludf.DUMMYFUNCTION("""COMPUTED_VALUE"""),"Under")</f>
        <v>Under</v>
      </c>
    </row>
    <row r="205" spans="1:8" ht="12.75">
      <c r="A205" t="str">
        <f ca="1">IFERROR(__xludf.DUMMYFUNCTION("""COMPUTED_VALUE"""),"T203")</f>
        <v>T203</v>
      </c>
      <c r="B205" t="str">
        <f ca="1">IFERROR(__xludf.DUMMYFUNCTION("""COMPUTED_VALUE"""),"T204")</f>
        <v>T204</v>
      </c>
      <c r="C205" t="str">
        <f ca="1">IFERROR(__xludf.DUMMYFUNCTION("""COMPUTED_VALUE"""),"Jason Day")</f>
        <v>Jason Day</v>
      </c>
      <c r="D205">
        <f ca="1">IFERROR(__xludf.DUMMYFUNCTION("""COMPUTED_VALUE"""),17)</f>
        <v>17</v>
      </c>
      <c r="E205" t="str">
        <f ca="1">IFERROR(__xludf.DUMMYFUNCTION("""COMPUTED_VALUE"""),"39' 7""")</f>
        <v>39' 7"</v>
      </c>
      <c r="F205" s="2">
        <f ca="1">IFERROR(__xludf.DUMMYFUNCTION("""COMPUTED_VALUE"""),11989.25)</f>
        <v>11989.25</v>
      </c>
      <c r="G205">
        <f ca="1">IFERROR(__xludf.DUMMYFUNCTION("""COMPUTED_VALUE"""),303)</f>
        <v>303</v>
      </c>
      <c r="H205" t="str">
        <f ca="1">IFERROR(__xludf.DUMMYFUNCTION("""COMPUTED_VALUE"""),"Under")</f>
        <v>Under</v>
      </c>
    </row>
    <row r="206" spans="1:8" ht="12.75">
      <c r="A206" t="str">
        <f ca="1">IFERROR(__xludf.DUMMYFUNCTION("""COMPUTED_VALUE"""),"T203")</f>
        <v>T203</v>
      </c>
      <c r="B206" t="str">
        <f ca="1">IFERROR(__xludf.DUMMYFUNCTION("""COMPUTED_VALUE"""),"T200")</f>
        <v>T200</v>
      </c>
      <c r="C206" t="str">
        <f ca="1">IFERROR(__xludf.DUMMYFUNCTION("""COMPUTED_VALUE"""),"Joaquin Niemann")</f>
        <v>Joaquin Niemann</v>
      </c>
      <c r="D206">
        <f ca="1">IFERROR(__xludf.DUMMYFUNCTION("""COMPUTED_VALUE"""),16)</f>
        <v>16</v>
      </c>
      <c r="E206" t="str">
        <f ca="1">IFERROR(__xludf.DUMMYFUNCTION("""COMPUTED_VALUE"""),"39' 7""")</f>
        <v>39' 7"</v>
      </c>
      <c r="F206" s="2">
        <f ca="1">IFERROR(__xludf.DUMMYFUNCTION("""COMPUTED_VALUE"""),11275.833)</f>
        <v>11275.833000000001</v>
      </c>
      <c r="G206">
        <f ca="1">IFERROR(__xludf.DUMMYFUNCTION("""COMPUTED_VALUE"""),285)</f>
        <v>285</v>
      </c>
      <c r="H206" t="str">
        <f ca="1">IFERROR(__xludf.DUMMYFUNCTION("""COMPUTED_VALUE"""),"Under")</f>
        <v>Under</v>
      </c>
    </row>
    <row r="207" spans="1:8" ht="12.75">
      <c r="A207" t="str">
        <f ca="1">IFERROR(__xludf.DUMMYFUNCTION("""COMPUTED_VALUE"""),"T206")</f>
        <v>T206</v>
      </c>
      <c r="B207" t="str">
        <f ca="1">IFERROR(__xludf.DUMMYFUNCTION("""COMPUTED_VALUE"""),"T147")</f>
        <v>T147</v>
      </c>
      <c r="C207" t="str">
        <f ca="1">IFERROR(__xludf.DUMMYFUNCTION("""COMPUTED_VALUE"""),"D.A. Points")</f>
        <v>D.A. Points</v>
      </c>
      <c r="D207">
        <f ca="1">IFERROR(__xludf.DUMMYFUNCTION("""COMPUTED_VALUE"""),12)</f>
        <v>12</v>
      </c>
      <c r="E207" t="str">
        <f ca="1">IFERROR(__xludf.DUMMYFUNCTION("""COMPUTED_VALUE"""),"39' 8""")</f>
        <v>39' 8"</v>
      </c>
      <c r="F207" s="2">
        <f ca="1">IFERROR(__xludf.DUMMYFUNCTION("""COMPUTED_VALUE"""),5669.25)</f>
        <v>5669.25</v>
      </c>
      <c r="G207">
        <f ca="1">IFERROR(__xludf.DUMMYFUNCTION("""COMPUTED_VALUE"""),143)</f>
        <v>143</v>
      </c>
      <c r="H207" t="str">
        <f ca="1">IFERROR(__xludf.DUMMYFUNCTION("""COMPUTED_VALUE"""),"Over")</f>
        <v>Over</v>
      </c>
    </row>
    <row r="208" spans="1:8" ht="12.75">
      <c r="A208" t="str">
        <f ca="1">IFERROR(__xludf.DUMMYFUNCTION("""COMPUTED_VALUE"""),"T206")</f>
        <v>T206</v>
      </c>
      <c r="B208" t="str">
        <f ca="1">IFERROR(__xludf.DUMMYFUNCTION("""COMPUTED_VALUE"""),"T204")</f>
        <v>T204</v>
      </c>
      <c r="C208" t="str">
        <f ca="1">IFERROR(__xludf.DUMMYFUNCTION("""COMPUTED_VALUE"""),"Marc Leishman")</f>
        <v>Marc Leishman</v>
      </c>
      <c r="D208">
        <f ca="1">IFERROR(__xludf.DUMMYFUNCTION("""COMPUTED_VALUE"""),10)</f>
        <v>10</v>
      </c>
      <c r="E208" t="str">
        <f ca="1">IFERROR(__xludf.DUMMYFUNCTION("""COMPUTED_VALUE"""),"39' 8""")</f>
        <v>39' 8"</v>
      </c>
      <c r="F208" s="2">
        <f ca="1">IFERROR(__xludf.DUMMYFUNCTION("""COMPUTED_VALUE"""),7014)</f>
        <v>7014</v>
      </c>
      <c r="G208">
        <f ca="1">IFERROR(__xludf.DUMMYFUNCTION("""COMPUTED_VALUE"""),177)</f>
        <v>177</v>
      </c>
      <c r="H208" t="str">
        <f ca="1">IFERROR(__xludf.DUMMYFUNCTION("""COMPUTED_VALUE"""),"Over")</f>
        <v>Over</v>
      </c>
    </row>
    <row r="209" spans="1:8" ht="12.75">
      <c r="A209">
        <f ca="1">IFERROR(__xludf.DUMMYFUNCTION("""COMPUTED_VALUE"""),208)</f>
        <v>208</v>
      </c>
      <c r="B209">
        <f ca="1">IFERROR(__xludf.DUMMYFUNCTION("""COMPUTED_VALUE"""),197)</f>
        <v>197</v>
      </c>
      <c r="C209" t="str">
        <f ca="1">IFERROR(__xludf.DUMMYFUNCTION("""COMPUTED_VALUE"""),"Wyndham Clark")</f>
        <v>Wyndham Clark</v>
      </c>
      <c r="D209">
        <f ca="1">IFERROR(__xludf.DUMMYFUNCTION("""COMPUTED_VALUE"""),16)</f>
        <v>16</v>
      </c>
      <c r="E209" t="str">
        <f ca="1">IFERROR(__xludf.DUMMYFUNCTION("""COMPUTED_VALUE"""),"39' 10""")</f>
        <v>39' 10"</v>
      </c>
      <c r="F209" s="2">
        <f ca="1">IFERROR(__xludf.DUMMYFUNCTION("""COMPUTED_VALUE"""),8556.917)</f>
        <v>8556.9169999999995</v>
      </c>
      <c r="G209">
        <f ca="1">IFERROR(__xludf.DUMMYFUNCTION("""COMPUTED_VALUE"""),215)</f>
        <v>215</v>
      </c>
      <c r="H209" t="str">
        <f ca="1">IFERROR(__xludf.DUMMYFUNCTION("""COMPUTED_VALUE"""),"Under")</f>
        <v>Under</v>
      </c>
    </row>
    <row r="210" spans="1:8" ht="12.75">
      <c r="A210" t="str">
        <f ca="1">IFERROR(__xludf.DUMMYFUNCTION("""COMPUTED_VALUE"""),"T209")</f>
        <v>T209</v>
      </c>
      <c r="B210" t="str">
        <f ca="1">IFERROR(__xludf.DUMMYFUNCTION("""COMPUTED_VALUE"""),"T207")</f>
        <v>T207</v>
      </c>
      <c r="C210" t="str">
        <f ca="1">IFERROR(__xludf.DUMMYFUNCTION("""COMPUTED_VALUE"""),"Louis Oosthuizen")</f>
        <v>Louis Oosthuizen</v>
      </c>
      <c r="D210">
        <f ca="1">IFERROR(__xludf.DUMMYFUNCTION("""COMPUTED_VALUE"""),12)</f>
        <v>12</v>
      </c>
      <c r="E210" t="str">
        <f ca="1">IFERROR(__xludf.DUMMYFUNCTION("""COMPUTED_VALUE"""),"39' 11""")</f>
        <v>39' 11"</v>
      </c>
      <c r="F210" s="2">
        <f ca="1">IFERROR(__xludf.DUMMYFUNCTION("""COMPUTED_VALUE"""),8579.417)</f>
        <v>8579.4169999999995</v>
      </c>
      <c r="G210">
        <f ca="1">IFERROR(__xludf.DUMMYFUNCTION("""COMPUTED_VALUE"""),215)</f>
        <v>215</v>
      </c>
      <c r="H210" t="str">
        <f ca="1">IFERROR(__xludf.DUMMYFUNCTION("""COMPUTED_VALUE"""),"Under")</f>
        <v>Under</v>
      </c>
    </row>
    <row r="211" spans="1:8" ht="12.75">
      <c r="A211" t="str">
        <f ca="1">IFERROR(__xludf.DUMMYFUNCTION("""COMPUTED_VALUE"""),"T209")</f>
        <v>T209</v>
      </c>
      <c r="B211" t="str">
        <f ca="1">IFERROR(__xludf.DUMMYFUNCTION("""COMPUTED_VALUE"""),"T200")</f>
        <v>T200</v>
      </c>
      <c r="C211" t="str">
        <f ca="1">IFERROR(__xludf.DUMMYFUNCTION("""COMPUTED_VALUE"""),"Kelly Kraft")</f>
        <v>Kelly Kraft</v>
      </c>
      <c r="D211">
        <f ca="1">IFERROR(__xludf.DUMMYFUNCTION("""COMPUTED_VALUE"""),14)</f>
        <v>14</v>
      </c>
      <c r="E211" t="str">
        <f ca="1">IFERROR(__xludf.DUMMYFUNCTION("""COMPUTED_VALUE"""),"39' 11""")</f>
        <v>39' 11"</v>
      </c>
      <c r="F211" s="2">
        <f ca="1">IFERROR(__xludf.DUMMYFUNCTION("""COMPUTED_VALUE"""),5743.917)</f>
        <v>5743.9170000000004</v>
      </c>
      <c r="G211">
        <f ca="1">IFERROR(__xludf.DUMMYFUNCTION("""COMPUTED_VALUE"""),144)</f>
        <v>144</v>
      </c>
      <c r="H211" t="str">
        <f ca="1">IFERROR(__xludf.DUMMYFUNCTION("""COMPUTED_VALUE"""),"Over")</f>
        <v>Over</v>
      </c>
    </row>
    <row r="212" spans="1:8" ht="12.75">
      <c r="A212" t="str">
        <f ca="1">IFERROR(__xludf.DUMMYFUNCTION("""COMPUTED_VALUE"""),"T209")</f>
        <v>T209</v>
      </c>
      <c r="B212" t="str">
        <f ca="1">IFERROR(__xludf.DUMMYFUNCTION("""COMPUTED_VALUE"""),"T207")</f>
        <v>T207</v>
      </c>
      <c r="C212" t="str">
        <f ca="1">IFERROR(__xludf.DUMMYFUNCTION("""COMPUTED_VALUE"""),"Davis Riley")</f>
        <v>Davis Riley</v>
      </c>
      <c r="D212">
        <f ca="1">IFERROR(__xludf.DUMMYFUNCTION("""COMPUTED_VALUE"""),4)</f>
        <v>4</v>
      </c>
      <c r="E212" t="str">
        <f ca="1">IFERROR(__xludf.DUMMYFUNCTION("""COMPUTED_VALUE"""),"39' 11""")</f>
        <v>39' 11"</v>
      </c>
      <c r="F212" s="2">
        <f ca="1">IFERROR(__xludf.DUMMYFUNCTION("""COMPUTED_VALUE"""),2872.917)</f>
        <v>2872.9169999999999</v>
      </c>
      <c r="G212">
        <f ca="1">IFERROR(__xludf.DUMMYFUNCTION("""COMPUTED_VALUE"""),72)</f>
        <v>72</v>
      </c>
      <c r="H212" t="str">
        <f ca="1">IFERROR(__xludf.DUMMYFUNCTION("""COMPUTED_VALUE"""),"Over")</f>
        <v>Over</v>
      </c>
    </row>
    <row r="213" spans="1:8" ht="12.75">
      <c r="A213" t="str">
        <f ca="1">IFERROR(__xludf.DUMMYFUNCTION("""COMPUTED_VALUE"""),"T212")</f>
        <v>T212</v>
      </c>
      <c r="B213">
        <f ca="1">IFERROR(__xludf.DUMMYFUNCTION("""COMPUTED_VALUE"""),210)</f>
        <v>210</v>
      </c>
      <c r="C213" t="str">
        <f ca="1">IFERROR(__xludf.DUMMYFUNCTION("""COMPUTED_VALUE"""),"Takumi Kanaya")</f>
        <v>Takumi Kanaya</v>
      </c>
      <c r="D213">
        <f ca="1">IFERROR(__xludf.DUMMYFUNCTION("""COMPUTED_VALUE"""),6)</f>
        <v>6</v>
      </c>
      <c r="E213" t="str">
        <f ca="1">IFERROR(__xludf.DUMMYFUNCTION("""COMPUTED_VALUE"""),"40' 0""")</f>
        <v>40' 0"</v>
      </c>
      <c r="F213" s="2">
        <f ca="1">IFERROR(__xludf.DUMMYFUNCTION("""COMPUTED_VALUE"""),4279.917)</f>
        <v>4279.9170000000004</v>
      </c>
      <c r="G213">
        <f ca="1">IFERROR(__xludf.DUMMYFUNCTION("""COMPUTED_VALUE"""),107)</f>
        <v>107</v>
      </c>
      <c r="H213" t="str">
        <f ca="1">IFERROR(__xludf.DUMMYFUNCTION("""COMPUTED_VALUE"""),"Under")</f>
        <v>Under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IFERROR(__xludf.DUMMYFUNCTION("""COMPUTED_VALUE"""),"T216")</f>
        <v>T216</v>
      </c>
      <c r="C214" t="str">
        <f ca="1">IFERROR(__xludf.DUMMYFUNCTION("""COMPUTED_VALUE"""),"J.T. Poston")</f>
        <v>J.T. Poston</v>
      </c>
      <c r="D214">
        <f ca="1">IFERROR(__xludf.DUMMYFUNCTION("""COMPUTED_VALUE"""),18)</f>
        <v>18</v>
      </c>
      <c r="E214" t="str">
        <f ca="1">IFERROR(__xludf.DUMMYFUNCTION("""COMPUTED_VALUE"""),"40' 0""")</f>
        <v>40' 0"</v>
      </c>
      <c r="F214" s="2">
        <f ca="1">IFERROR(__xludf.DUMMYFUNCTION("""COMPUTED_VALUE"""),12880.75)</f>
        <v>12880.75</v>
      </c>
      <c r="G214">
        <f ca="1">IFERROR(__xludf.DUMMYFUNCTION("""COMPUTED_VALUE"""),322)</f>
        <v>322</v>
      </c>
      <c r="H214" t="str">
        <f ca="1">IFERROR(__xludf.DUMMYFUNCTION("""COMPUTED_VALUE"""),"Under")</f>
        <v>Under</v>
      </c>
    </row>
    <row r="215" spans="1:8" ht="12.75">
      <c r="A215" t="str">
        <f ca="1">IFERROR(__xludf.DUMMYFUNCTION("""COMPUTED_VALUE"""),"T214")</f>
        <v>T214</v>
      </c>
      <c r="B215" t="str">
        <f ca="1">IFERROR(__xludf.DUMMYFUNCTION("""COMPUTED_VALUE"""),"T211")</f>
        <v>T211</v>
      </c>
      <c r="C215" t="str">
        <f ca="1">IFERROR(__xludf.DUMMYFUNCTION("""COMPUTED_VALUE"""),"Luke Schniederjans")</f>
        <v>Luke Schniederjans</v>
      </c>
      <c r="D215">
        <f ca="1">IFERROR(__xludf.DUMMYFUNCTION("""COMPUTED_VALUE"""),4)</f>
        <v>4</v>
      </c>
      <c r="E215" t="str">
        <f ca="1">IFERROR(__xludf.DUMMYFUNCTION("""COMPUTED_VALUE"""),"40' 2""")</f>
        <v>40' 2"</v>
      </c>
      <c r="F215" s="2">
        <f ca="1">IFERROR(__xludf.DUMMYFUNCTION("""COMPUTED_VALUE"""),1445.167)</f>
        <v>1445.1669999999999</v>
      </c>
      <c r="G215">
        <f ca="1">IFERROR(__xludf.DUMMYFUNCTION("""COMPUTED_VALUE"""),36)</f>
        <v>36</v>
      </c>
      <c r="H215" t="str">
        <f ca="1">IFERROR(__xludf.DUMMYFUNCTION("""COMPUTED_VALUE"""),"Over")</f>
        <v>Over</v>
      </c>
    </row>
    <row r="216" spans="1:8" ht="12.75">
      <c r="A216" t="str">
        <f ca="1">IFERROR(__xludf.DUMMYFUNCTION("""COMPUTED_VALUE"""),"T214")</f>
        <v>T214</v>
      </c>
      <c r="B216" t="str">
        <f ca="1">IFERROR(__xludf.DUMMYFUNCTION("""COMPUTED_VALUE"""),"T220")</f>
        <v>T220</v>
      </c>
      <c r="C216" t="str">
        <f ca="1">IFERROR(__xludf.DUMMYFUNCTION("""COMPUTED_VALUE"""),"Hideki Matsuyama")</f>
        <v>Hideki Matsuyama</v>
      </c>
      <c r="D216">
        <f ca="1">IFERROR(__xludf.DUMMYFUNCTION("""COMPUTED_VALUE"""),18)</f>
        <v>18</v>
      </c>
      <c r="E216" t="str">
        <f ca="1">IFERROR(__xludf.DUMMYFUNCTION("""COMPUTED_VALUE"""),"40' 2""")</f>
        <v>40' 2"</v>
      </c>
      <c r="F216" s="2">
        <f ca="1">IFERROR(__xludf.DUMMYFUNCTION("""COMPUTED_VALUE"""),12926.667)</f>
        <v>12926.666999999999</v>
      </c>
      <c r="G216">
        <f ca="1">IFERROR(__xludf.DUMMYFUNCTION("""COMPUTED_VALUE"""),322)</f>
        <v>322</v>
      </c>
      <c r="H216" t="str">
        <f ca="1">IFERROR(__xludf.DUMMYFUNCTION("""COMPUTED_VALUE"""),"Under")</f>
        <v>Under</v>
      </c>
    </row>
    <row r="217" spans="1:8" ht="12.75">
      <c r="A217" t="str">
        <f ca="1">IFERROR(__xludf.DUMMYFUNCTION("""COMPUTED_VALUE"""),"T214")</f>
        <v>T214</v>
      </c>
      <c r="B217" t="str">
        <f ca="1">IFERROR(__xludf.DUMMYFUNCTION("""COMPUTED_VALUE"""),"T218")</f>
        <v>T218</v>
      </c>
      <c r="C217" t="str">
        <f ca="1">IFERROR(__xludf.DUMMYFUNCTION("""COMPUTED_VALUE"""),"Jordan Spieth")</f>
        <v>Jordan Spieth</v>
      </c>
      <c r="D217">
        <f ca="1">IFERROR(__xludf.DUMMYFUNCTION("""COMPUTED_VALUE"""),14)</f>
        <v>14</v>
      </c>
      <c r="E217" t="str">
        <f ca="1">IFERROR(__xludf.DUMMYFUNCTION("""COMPUTED_VALUE"""),"40' 2""")</f>
        <v>40' 2"</v>
      </c>
      <c r="F217" s="2">
        <f ca="1">IFERROR(__xludf.DUMMYFUNCTION("""COMPUTED_VALUE"""),9926.833)</f>
        <v>9926.8330000000005</v>
      </c>
      <c r="G217">
        <f ca="1">IFERROR(__xludf.DUMMYFUNCTION("""COMPUTED_VALUE"""),247)</f>
        <v>247</v>
      </c>
      <c r="H217" t="str">
        <f ca="1">IFERROR(__xludf.DUMMYFUNCTION("""COMPUTED_VALUE"""),"Under")</f>
        <v>Under</v>
      </c>
    </row>
    <row r="218" spans="1:8" ht="12.75">
      <c r="A218" t="str">
        <f ca="1">IFERROR(__xludf.DUMMYFUNCTION("""COMPUTED_VALUE"""),"T214")</f>
        <v>T214</v>
      </c>
      <c r="B218" t="str">
        <f ca="1">IFERROR(__xludf.DUMMYFUNCTION("""COMPUTED_VALUE"""),"T211")</f>
        <v>T211</v>
      </c>
      <c r="C218" t="str">
        <f ca="1">IFERROR(__xludf.DUMMYFUNCTION("""COMPUTED_VALUE"""),"Jeongwoo Ham")</f>
        <v>Jeongwoo Ham</v>
      </c>
      <c r="D218">
        <f ca="1">IFERROR(__xludf.DUMMYFUNCTION("""COMPUTED_VALUE"""),4)</f>
        <v>4</v>
      </c>
      <c r="E218" t="str">
        <f ca="1">IFERROR(__xludf.DUMMYFUNCTION("""COMPUTED_VALUE"""),"40' 2""")</f>
        <v>40' 2"</v>
      </c>
      <c r="F218" s="2">
        <f ca="1">IFERROR(__xludf.DUMMYFUNCTION("""COMPUTED_VALUE"""),2852.75)</f>
        <v>2852.75</v>
      </c>
      <c r="G218">
        <f ca="1">IFERROR(__xludf.DUMMYFUNCTION("""COMPUTED_VALUE"""),71)</f>
        <v>71</v>
      </c>
      <c r="H218" t="str">
        <f ca="1">IFERROR(__xludf.DUMMYFUNCTION("""COMPUTED_VALUE"""),"Over")</f>
        <v>Over</v>
      </c>
    </row>
    <row r="219" spans="1:8" ht="12.75">
      <c r="A219" t="str">
        <f ca="1">IFERROR(__xludf.DUMMYFUNCTION("""COMPUTED_VALUE"""),"T218")</f>
        <v>T218</v>
      </c>
      <c r="B219">
        <f ca="1">IFERROR(__xludf.DUMMYFUNCTION("""COMPUTED_VALUE"""),213)</f>
        <v>213</v>
      </c>
      <c r="C219" t="str">
        <f ca="1">IFERROR(__xludf.DUMMYFUNCTION("""COMPUTED_VALUE"""),"Alex Cejka")</f>
        <v>Alex Cejka</v>
      </c>
      <c r="D219">
        <f ca="1">IFERROR(__xludf.DUMMYFUNCTION("""COMPUTED_VALUE"""),6)</f>
        <v>6</v>
      </c>
      <c r="E219" t="str">
        <f ca="1">IFERROR(__xludf.DUMMYFUNCTION("""COMPUTED_VALUE"""),"40' 3""")</f>
        <v>40' 3"</v>
      </c>
      <c r="F219" s="2">
        <f ca="1">IFERROR(__xludf.DUMMYFUNCTION("""COMPUTED_VALUE"""),1450.167)</f>
        <v>1450.1669999999999</v>
      </c>
      <c r="G219">
        <f ca="1">IFERROR(__xludf.DUMMYFUNCTION("""COMPUTED_VALUE"""),36)</f>
        <v>36</v>
      </c>
      <c r="H219" t="str">
        <f ca="1">IFERROR(__xludf.DUMMYFUNCTION("""COMPUTED_VALUE"""),"Over")</f>
        <v>Over</v>
      </c>
    </row>
    <row r="220" spans="1:8" ht="12.75">
      <c r="A220" t="str">
        <f ca="1">IFERROR(__xludf.DUMMYFUNCTION("""COMPUTED_VALUE"""),"T218")</f>
        <v>T218</v>
      </c>
      <c r="B220" t="str">
        <f ca="1">IFERROR(__xludf.DUMMYFUNCTION("""COMPUTED_VALUE"""),"")</f>
        <v/>
      </c>
      <c r="C220" t="str">
        <f ca="1">IFERROR(__xludf.DUMMYFUNCTION("""COMPUTED_VALUE"""),"Justin Harding")</f>
        <v>Justin Harding</v>
      </c>
      <c r="D220">
        <f ca="1">IFERROR(__xludf.DUMMYFUNCTION("""COMPUTED_VALUE"""),6)</f>
        <v>6</v>
      </c>
      <c r="E220" t="str">
        <f ca="1">IFERROR(__xludf.DUMMYFUNCTION("""COMPUTED_VALUE"""),"40' 3""")</f>
        <v>40' 3"</v>
      </c>
      <c r="F220" s="2">
        <f ca="1">IFERROR(__xludf.DUMMYFUNCTION("""COMPUTED_VALUE"""),4349.5)</f>
        <v>4349.5</v>
      </c>
      <c r="G220">
        <f ca="1">IFERROR(__xludf.DUMMYFUNCTION("""COMPUTED_VALUE"""),108)</f>
        <v>108</v>
      </c>
      <c r="H220" t="str">
        <f ca="1">IFERROR(__xludf.DUMMYFUNCTION("""COMPUTED_VALUE"""),"Over")</f>
        <v>Over</v>
      </c>
    </row>
    <row r="221" spans="1:8" ht="12.75">
      <c r="A221" t="str">
        <f ca="1">IFERROR(__xludf.DUMMYFUNCTION("""COMPUTED_VALUE"""),"T218")</f>
        <v>T218</v>
      </c>
      <c r="B221" t="str">
        <f ca="1">IFERROR(__xludf.DUMMYFUNCTION("""COMPUTED_VALUE"""),"T200")</f>
        <v>T200</v>
      </c>
      <c r="C221" t="str">
        <f ca="1">IFERROR(__xludf.DUMMYFUNCTION("""COMPUTED_VALUE"""),"Beau Hossler")</f>
        <v>Beau Hossler</v>
      </c>
      <c r="D221">
        <f ca="1">IFERROR(__xludf.DUMMYFUNCTION("""COMPUTED_VALUE"""),22)</f>
        <v>22</v>
      </c>
      <c r="E221" t="str">
        <f ca="1">IFERROR(__xludf.DUMMYFUNCTION("""COMPUTED_VALUE"""),"40' 3""")</f>
        <v>40' 3"</v>
      </c>
      <c r="F221" s="2">
        <f ca="1">IFERROR(__xludf.DUMMYFUNCTION("""COMPUTED_VALUE"""),10071.167)</f>
        <v>10071.166999999999</v>
      </c>
      <c r="G221">
        <f ca="1">IFERROR(__xludf.DUMMYFUNCTION("""COMPUTED_VALUE"""),250)</f>
        <v>250</v>
      </c>
      <c r="H221" t="str">
        <f ca="1">IFERROR(__xludf.DUMMYFUNCTION("""COMPUTED_VALUE"""),"Under")</f>
        <v>Under</v>
      </c>
    </row>
    <row r="222" spans="1:8" ht="12.75">
      <c r="A222" t="str">
        <f ca="1">IFERROR(__xludf.DUMMYFUNCTION("""COMPUTED_VALUE"""),"T218")</f>
        <v>T218</v>
      </c>
      <c r="B222">
        <f ca="1">IFERROR(__xludf.DUMMYFUNCTION("""COMPUTED_VALUE"""),206)</f>
        <v>206</v>
      </c>
      <c r="C222" t="str">
        <f ca="1">IFERROR(__xludf.DUMMYFUNCTION("""COMPUTED_VALUE"""),"Tyler Duncan")</f>
        <v>Tyler Duncan</v>
      </c>
      <c r="D222">
        <f ca="1">IFERROR(__xludf.DUMMYFUNCTION("""COMPUTED_VALUE"""),18)</f>
        <v>18</v>
      </c>
      <c r="E222" t="str">
        <f ca="1">IFERROR(__xludf.DUMMYFUNCTION("""COMPUTED_VALUE"""),"40' 3""")</f>
        <v>40' 3"</v>
      </c>
      <c r="F222" s="2">
        <f ca="1">IFERROR(__xludf.DUMMYFUNCTION("""COMPUTED_VALUE"""),13004.917)</f>
        <v>13004.916999999999</v>
      </c>
      <c r="G222">
        <f ca="1">IFERROR(__xludf.DUMMYFUNCTION("""COMPUTED_VALUE"""),323)</f>
        <v>323</v>
      </c>
      <c r="H222" t="str">
        <f ca="1">IFERROR(__xludf.DUMMYFUNCTION("""COMPUTED_VALUE"""),"Under")</f>
        <v>Under</v>
      </c>
    </row>
    <row r="223" spans="1:8" ht="12.75">
      <c r="A223">
        <f ca="1">IFERROR(__xludf.DUMMYFUNCTION("""COMPUTED_VALUE"""),222)</f>
        <v>222</v>
      </c>
      <c r="B223" t="str">
        <f ca="1">IFERROR(__xludf.DUMMYFUNCTION("""COMPUTED_VALUE"""),"T214")</f>
        <v>T214</v>
      </c>
      <c r="C223" t="str">
        <f ca="1">IFERROR(__xludf.DUMMYFUNCTION("""COMPUTED_VALUE"""),"Roger Sloan")</f>
        <v>Roger Sloan</v>
      </c>
      <c r="D223">
        <f ca="1">IFERROR(__xludf.DUMMYFUNCTION("""COMPUTED_VALUE"""),12)</f>
        <v>12</v>
      </c>
      <c r="E223" t="str">
        <f ca="1">IFERROR(__xludf.DUMMYFUNCTION("""COMPUTED_VALUE"""),"40' 5""")</f>
        <v>40' 5"</v>
      </c>
      <c r="F223" s="2">
        <f ca="1">IFERROR(__xludf.DUMMYFUNCTION("""COMPUTED_VALUE"""),4362.417)</f>
        <v>4362.4170000000004</v>
      </c>
      <c r="G223">
        <f ca="1">IFERROR(__xludf.DUMMYFUNCTION("""COMPUTED_VALUE"""),108)</f>
        <v>108</v>
      </c>
      <c r="H223" t="str">
        <f ca="1">IFERROR(__xludf.DUMMYFUNCTION("""COMPUTED_VALUE"""),"Under")</f>
        <v>Under</v>
      </c>
    </row>
    <row r="224" spans="1:8" ht="12.75">
      <c r="A224" t="str">
        <f ca="1">IFERROR(__xludf.DUMMYFUNCTION("""COMPUTED_VALUE"""),"T223")</f>
        <v>T223</v>
      </c>
      <c r="B224" t="str">
        <f ca="1">IFERROR(__xludf.DUMMYFUNCTION("""COMPUTED_VALUE"""),"T216")</f>
        <v>T216</v>
      </c>
      <c r="C224" t="str">
        <f ca="1">IFERROR(__xludf.DUMMYFUNCTION("""COMPUTED_VALUE"""),"Tommy Fleetwood")</f>
        <v>Tommy Fleetwood</v>
      </c>
      <c r="D224">
        <f ca="1">IFERROR(__xludf.DUMMYFUNCTION("""COMPUTED_VALUE"""),10)</f>
        <v>10</v>
      </c>
      <c r="E224" t="str">
        <f ca="1">IFERROR(__xludf.DUMMYFUNCTION("""COMPUTED_VALUE"""),"40' 6""")</f>
        <v>40' 6"</v>
      </c>
      <c r="F224" s="2">
        <f ca="1">IFERROR(__xludf.DUMMYFUNCTION("""COMPUTED_VALUE"""),7206.167)</f>
        <v>7206.1670000000004</v>
      </c>
      <c r="G224">
        <f ca="1">IFERROR(__xludf.DUMMYFUNCTION("""COMPUTED_VALUE"""),178)</f>
        <v>178</v>
      </c>
      <c r="H224" t="str">
        <f ca="1">IFERROR(__xludf.DUMMYFUNCTION("""COMPUTED_VALUE"""),"Under")</f>
        <v>Under</v>
      </c>
    </row>
    <row r="225" spans="1:8" ht="12.75">
      <c r="A225" t="str">
        <f ca="1">IFERROR(__xludf.DUMMYFUNCTION("""COMPUTED_VALUE"""),"T223")</f>
        <v>T223</v>
      </c>
      <c r="B225" t="str">
        <f ca="1">IFERROR(__xludf.DUMMYFUNCTION("""COMPUTED_VALUE"""),"T159")</f>
        <v>T159</v>
      </c>
      <c r="C225" t="str">
        <f ca="1">IFERROR(__xludf.DUMMYFUNCTION("""COMPUTED_VALUE"""),"Aaron Wise")</f>
        <v>Aaron Wise</v>
      </c>
      <c r="D225">
        <f ca="1">IFERROR(__xludf.DUMMYFUNCTION("""COMPUTED_VALUE"""),16)</f>
        <v>16</v>
      </c>
      <c r="E225" t="str">
        <f ca="1">IFERROR(__xludf.DUMMYFUNCTION("""COMPUTED_VALUE"""),"40' 6""")</f>
        <v>40' 6"</v>
      </c>
      <c r="F225" s="2">
        <f ca="1">IFERROR(__xludf.DUMMYFUNCTION("""COMPUTED_VALUE"""),8712.25)</f>
        <v>8712.25</v>
      </c>
      <c r="G225">
        <f ca="1">IFERROR(__xludf.DUMMYFUNCTION("""COMPUTED_VALUE"""),215)</f>
        <v>215</v>
      </c>
      <c r="H225" t="str">
        <f ca="1">IFERROR(__xludf.DUMMYFUNCTION("""COMPUTED_VALUE"""),"Under")</f>
        <v>Under</v>
      </c>
    </row>
    <row r="226" spans="1:8" ht="12.75">
      <c r="A226">
        <f ca="1">IFERROR(__xludf.DUMMYFUNCTION("""COMPUTED_VALUE"""),225)</f>
        <v>225</v>
      </c>
      <c r="B226" t="str">
        <f ca="1">IFERROR(__xludf.DUMMYFUNCTION("""COMPUTED_VALUE"""),"T218")</f>
        <v>T218</v>
      </c>
      <c r="C226" t="str">
        <f ca="1">IFERROR(__xludf.DUMMYFUNCTION("""COMPUTED_VALUE"""),"John Pak")</f>
        <v>John Pak</v>
      </c>
      <c r="D226">
        <f ca="1">IFERROR(__xludf.DUMMYFUNCTION("""COMPUTED_VALUE"""),4)</f>
        <v>4</v>
      </c>
      <c r="E226" t="str">
        <f ca="1">IFERROR(__xludf.DUMMYFUNCTION("""COMPUTED_VALUE"""),"40' 7""")</f>
        <v>40' 7"</v>
      </c>
      <c r="F226" s="2">
        <f ca="1">IFERROR(__xludf.DUMMYFUNCTION("""COMPUTED_VALUE"""),2922.417)</f>
        <v>2922.4169999999999</v>
      </c>
      <c r="G226">
        <f ca="1">IFERROR(__xludf.DUMMYFUNCTION("""COMPUTED_VALUE"""),72)</f>
        <v>72</v>
      </c>
      <c r="H226" t="str">
        <f ca="1">IFERROR(__xludf.DUMMYFUNCTION("""COMPUTED_VALUE"""),"Over")</f>
        <v>Over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IFERROR(__xludf.DUMMYFUNCTION("""COMPUTED_VALUE"""),"T220")</f>
        <v>T220</v>
      </c>
      <c r="C227" t="str">
        <f ca="1">IFERROR(__xludf.DUMMYFUNCTION("""COMPUTED_VALUE"""),"Jay McLuen")</f>
        <v>Jay McLuen</v>
      </c>
      <c r="D227">
        <f ca="1">IFERROR(__xludf.DUMMYFUNCTION("""COMPUTED_VALUE"""),4)</f>
        <v>4</v>
      </c>
      <c r="E227" t="str">
        <f ca="1">IFERROR(__xludf.DUMMYFUNCTION("""COMPUTED_VALUE"""),"40' 9""")</f>
        <v>40' 9"</v>
      </c>
      <c r="F227" s="2">
        <f ca="1">IFERROR(__xludf.DUMMYFUNCTION("""COMPUTED_VALUE"""),2932.333)</f>
        <v>2932.3330000000001</v>
      </c>
      <c r="G227">
        <f ca="1">IFERROR(__xludf.DUMMYFUNCTION("""COMPUTED_VALUE"""),72)</f>
        <v>72</v>
      </c>
      <c r="H227" t="str">
        <f ca="1">IFERROR(__xludf.DUMMYFUNCTION("""COMPUTED_VALUE"""),"Over")</f>
        <v>Over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IFERROR(__xludf.DUMMYFUNCTION("""COMPUTED_VALUE"""),"T220")</f>
        <v>T220</v>
      </c>
      <c r="C228" t="str">
        <f ca="1">IFERROR(__xludf.DUMMYFUNCTION("""COMPUTED_VALUE"""),"Chris Stroud")</f>
        <v>Chris Stroud</v>
      </c>
      <c r="D228">
        <f ca="1">IFERROR(__xludf.DUMMYFUNCTION("""COMPUTED_VALUE"""),6)</f>
        <v>6</v>
      </c>
      <c r="E228" t="str">
        <f ca="1">IFERROR(__xludf.DUMMYFUNCTION("""COMPUTED_VALUE"""),"40' 9""")</f>
        <v>40' 9"</v>
      </c>
      <c r="F228" s="2">
        <f ca="1">IFERROR(__xludf.DUMMYFUNCTION("""COMPUTED_VALUE"""),2936.917)</f>
        <v>2936.9169999999999</v>
      </c>
      <c r="G228">
        <f ca="1">IFERROR(__xludf.DUMMYFUNCTION("""COMPUTED_VALUE"""),72)</f>
        <v>72</v>
      </c>
      <c r="H228" t="str">
        <f ca="1">IFERROR(__xludf.DUMMYFUNCTION("""COMPUTED_VALUE"""),"Under")</f>
        <v>Under</v>
      </c>
    </row>
    <row r="229" spans="1:8" ht="12.75">
      <c r="A229" t="str">
        <f ca="1">IFERROR(__xludf.DUMMYFUNCTION("""COMPUTED_VALUE"""),"T226")</f>
        <v>T226</v>
      </c>
      <c r="B229" t="str">
        <f ca="1">IFERROR(__xludf.DUMMYFUNCTION("""COMPUTED_VALUE"""),"T220")</f>
        <v>T220</v>
      </c>
      <c r="C229" t="str">
        <f ca="1">IFERROR(__xludf.DUMMYFUNCTION("""COMPUTED_VALUE"""),"Rory McIlroy")</f>
        <v>Rory McIlroy</v>
      </c>
      <c r="D229">
        <f ca="1">IFERROR(__xludf.DUMMYFUNCTION("""COMPUTED_VALUE"""),12)</f>
        <v>12</v>
      </c>
      <c r="E229" t="str">
        <f ca="1">IFERROR(__xludf.DUMMYFUNCTION("""COMPUTED_VALUE"""),"40' 9""")</f>
        <v>40' 9"</v>
      </c>
      <c r="F229" s="2">
        <f ca="1">IFERROR(__xludf.DUMMYFUNCTION("""COMPUTED_VALUE"""),8676.083)</f>
        <v>8676.0830000000005</v>
      </c>
      <c r="G229">
        <f ca="1">IFERROR(__xludf.DUMMYFUNCTION("""COMPUTED_VALUE"""),213)</f>
        <v>213</v>
      </c>
      <c r="H229" t="str">
        <f ca="1">IFERROR(__xludf.DUMMYFUNCTION("""COMPUTED_VALUE"""),"Under")</f>
        <v>Under</v>
      </c>
    </row>
    <row r="230" spans="1:8" ht="12.75">
      <c r="A230" t="str">
        <f ca="1">IFERROR(__xludf.DUMMYFUNCTION("""COMPUTED_VALUE"""),"T226")</f>
        <v>T226</v>
      </c>
      <c r="B230" t="str">
        <f ca="1">IFERROR(__xludf.DUMMYFUNCTION("""COMPUTED_VALUE"""),"T220")</f>
        <v>T220</v>
      </c>
      <c r="C230" t="str">
        <f ca="1">IFERROR(__xludf.DUMMYFUNCTION("""COMPUTED_VALUE"""),"Steve Lewton")</f>
        <v>Steve Lewton</v>
      </c>
      <c r="D230">
        <f ca="1">IFERROR(__xludf.DUMMYFUNCTION("""COMPUTED_VALUE"""),4)</f>
        <v>4</v>
      </c>
      <c r="E230" t="str">
        <f ca="1">IFERROR(__xludf.DUMMYFUNCTION("""COMPUTED_VALUE"""),"40' 9""")</f>
        <v>40' 9"</v>
      </c>
      <c r="F230" s="2">
        <f ca="1">IFERROR(__xludf.DUMMYFUNCTION("""COMPUTED_VALUE"""),2936.5)</f>
        <v>2936.5</v>
      </c>
      <c r="G230">
        <f ca="1">IFERROR(__xludf.DUMMYFUNCTION("""COMPUTED_VALUE"""),72)</f>
        <v>72</v>
      </c>
      <c r="H230" t="str">
        <f ca="1">IFERROR(__xludf.DUMMYFUNCTION("""COMPUTED_VALUE"""),"Under")</f>
        <v>Under</v>
      </c>
    </row>
    <row r="231" spans="1:8" ht="12.75">
      <c r="A231">
        <f ca="1">IFERROR(__xludf.DUMMYFUNCTION("""COMPUTED_VALUE"""),230)</f>
        <v>230</v>
      </c>
      <c r="B231" t="str">
        <f ca="1">IFERROR(__xludf.DUMMYFUNCTION("""COMPUTED_VALUE"""),"T139")</f>
        <v>T139</v>
      </c>
      <c r="C231" t="str">
        <f ca="1">IFERROR(__xludf.DUMMYFUNCTION("""COMPUTED_VALUE"""),"Scott Harrington")</f>
        <v>Scott Harrington</v>
      </c>
      <c r="D231">
        <f ca="1">IFERROR(__xludf.DUMMYFUNCTION("""COMPUTED_VALUE"""),18)</f>
        <v>18</v>
      </c>
      <c r="E231" t="str">
        <f ca="1">IFERROR(__xludf.DUMMYFUNCTION("""COMPUTED_VALUE"""),"40' 10""")</f>
        <v>40' 10"</v>
      </c>
      <c r="F231" s="2">
        <f ca="1">IFERROR(__xludf.DUMMYFUNCTION("""COMPUTED_VALUE"""),8772.75)</f>
        <v>8772.75</v>
      </c>
      <c r="G231">
        <f ca="1">IFERROR(__xludf.DUMMYFUNCTION("""COMPUTED_VALUE"""),215)</f>
        <v>215</v>
      </c>
      <c r="H231" t="str">
        <f ca="1">IFERROR(__xludf.DUMMYFUNCTION("""COMPUTED_VALUE"""),"Under")</f>
        <v>Under</v>
      </c>
    </row>
    <row r="232" spans="1:8" ht="12.75">
      <c r="A232" t="str">
        <f ca="1">IFERROR(__xludf.DUMMYFUNCTION("""COMPUTED_VALUE"""),"T231")</f>
        <v>T231</v>
      </c>
      <c r="B232">
        <f ca="1">IFERROR(__xludf.DUMMYFUNCTION("""COMPUTED_VALUE"""),244)</f>
        <v>244</v>
      </c>
      <c r="C232" t="str">
        <f ca="1">IFERROR(__xludf.DUMMYFUNCTION("""COMPUTED_VALUE"""),"Kevin Stadler")</f>
        <v>Kevin Stadler</v>
      </c>
      <c r="D232">
        <f ca="1">IFERROR(__xludf.DUMMYFUNCTION("""COMPUTED_VALUE"""),8)</f>
        <v>8</v>
      </c>
      <c r="E232" t="str">
        <f ca="1">IFERROR(__xludf.DUMMYFUNCTION("""COMPUTED_VALUE"""),"40' 11""")</f>
        <v>40' 11"</v>
      </c>
      <c r="F232" s="2">
        <f ca="1">IFERROR(__xludf.DUMMYFUNCTION("""COMPUTED_VALUE"""),4340.917)</f>
        <v>4340.9170000000004</v>
      </c>
      <c r="G232">
        <f ca="1">IFERROR(__xludf.DUMMYFUNCTION("""COMPUTED_VALUE"""),106)</f>
        <v>106</v>
      </c>
      <c r="H232" t="str">
        <f ca="1">IFERROR(__xludf.DUMMYFUNCTION("""COMPUTED_VALUE"""),"Over")</f>
        <v>Over</v>
      </c>
    </row>
    <row r="233" spans="1:8" ht="12.75">
      <c r="A233" t="str">
        <f ca="1">IFERROR(__xludf.DUMMYFUNCTION("""COMPUTED_VALUE"""),"T231")</f>
        <v>T231</v>
      </c>
      <c r="B233">
        <f ca="1">IFERROR(__xludf.DUMMYFUNCTION("""COMPUTED_VALUE"""),226)</f>
        <v>226</v>
      </c>
      <c r="C233" t="str">
        <f ca="1">IFERROR(__xludf.DUMMYFUNCTION("""COMPUTED_VALUE"""),"Adam Hadwin")</f>
        <v>Adam Hadwin</v>
      </c>
      <c r="D233">
        <f ca="1">IFERROR(__xludf.DUMMYFUNCTION("""COMPUTED_VALUE"""),16)</f>
        <v>16</v>
      </c>
      <c r="E233" t="str">
        <f ca="1">IFERROR(__xludf.DUMMYFUNCTION("""COMPUTED_VALUE"""),"40' 11""")</f>
        <v>40' 11"</v>
      </c>
      <c r="F233" s="2">
        <f ca="1">IFERROR(__xludf.DUMMYFUNCTION("""COMPUTED_VALUE"""),11694.5)</f>
        <v>11694.5</v>
      </c>
      <c r="G233">
        <f ca="1">IFERROR(__xludf.DUMMYFUNCTION("""COMPUTED_VALUE"""),286)</f>
        <v>286</v>
      </c>
      <c r="H233" t="str">
        <f ca="1">IFERROR(__xludf.DUMMYFUNCTION("""COMPUTED_VALUE"""),"Under")</f>
        <v>Under</v>
      </c>
    </row>
    <row r="234" spans="1:8" ht="12.75">
      <c r="A234">
        <f ca="1">IFERROR(__xludf.DUMMYFUNCTION("""COMPUTED_VALUE"""),233)</f>
        <v>233</v>
      </c>
      <c r="B234" t="str">
        <f ca="1">IFERROR(__xludf.DUMMYFUNCTION("""COMPUTED_VALUE"""),"T214")</f>
        <v>T214</v>
      </c>
      <c r="C234" t="str">
        <f ca="1">IFERROR(__xludf.DUMMYFUNCTION("""COMPUTED_VALUE"""),"Matt Jones")</f>
        <v>Matt Jones</v>
      </c>
      <c r="D234">
        <f ca="1">IFERROR(__xludf.DUMMYFUNCTION("""COMPUTED_VALUE"""),20)</f>
        <v>20</v>
      </c>
      <c r="E234" t="str">
        <f ca="1">IFERROR(__xludf.DUMMYFUNCTION("""COMPUTED_VALUE"""),"41' 1""")</f>
        <v>41' 1"</v>
      </c>
      <c r="F234" s="2">
        <f ca="1">IFERROR(__xludf.DUMMYFUNCTION("""COMPUTED_VALUE"""),8743.083)</f>
        <v>8743.0830000000005</v>
      </c>
      <c r="G234">
        <f ca="1">IFERROR(__xludf.DUMMYFUNCTION("""COMPUTED_VALUE"""),213)</f>
        <v>213</v>
      </c>
      <c r="H234" t="str">
        <f ca="1">IFERROR(__xludf.DUMMYFUNCTION("""COMPUTED_VALUE"""),"Over")</f>
        <v>Over</v>
      </c>
    </row>
    <row r="235" spans="1:8" ht="12.75">
      <c r="A235">
        <f ca="1">IFERROR(__xludf.DUMMYFUNCTION("""COMPUTED_VALUE"""),234)</f>
        <v>234</v>
      </c>
      <c r="B235">
        <f ca="1">IFERROR(__xludf.DUMMYFUNCTION("""COMPUTED_VALUE"""),227)</f>
        <v>227</v>
      </c>
      <c r="C235" t="str">
        <f ca="1">IFERROR(__xludf.DUMMYFUNCTION("""COMPUTED_VALUE"""),"Patrick Reed")</f>
        <v>Patrick Reed</v>
      </c>
      <c r="D235">
        <f ca="1">IFERROR(__xludf.DUMMYFUNCTION("""COMPUTED_VALUE"""),8)</f>
        <v>8</v>
      </c>
      <c r="E235" t="str">
        <f ca="1">IFERROR(__xludf.DUMMYFUNCTION("""COMPUTED_VALUE"""),"41' 2""")</f>
        <v>41' 2"</v>
      </c>
      <c r="F235" s="2">
        <f ca="1">IFERROR(__xludf.DUMMYFUNCTION("""COMPUTED_VALUE"""),5844.417)</f>
        <v>5844.4170000000004</v>
      </c>
      <c r="G235">
        <f ca="1">IFERROR(__xludf.DUMMYFUNCTION("""COMPUTED_VALUE"""),142)</f>
        <v>142</v>
      </c>
      <c r="H235" t="str">
        <f ca="1">IFERROR(__xludf.DUMMYFUNCTION("""COMPUTED_VALUE"""),"Under")</f>
        <v>Under</v>
      </c>
    </row>
    <row r="236" spans="1:8" ht="12.75">
      <c r="A236">
        <f ca="1">IFERROR(__xludf.DUMMYFUNCTION("""COMPUTED_VALUE"""),235)</f>
        <v>235</v>
      </c>
      <c r="B236">
        <f ca="1">IFERROR(__xludf.DUMMYFUNCTION("""COMPUTED_VALUE"""),228)</f>
        <v>228</v>
      </c>
      <c r="C236" t="str">
        <f ca="1">IFERROR(__xludf.DUMMYFUNCTION("""COMPUTED_VALUE"""),"Kurt Kitayama")</f>
        <v>Kurt Kitayama</v>
      </c>
      <c r="D236">
        <f ca="1">IFERROR(__xludf.DUMMYFUNCTION("""COMPUTED_VALUE"""),4)</f>
        <v>4</v>
      </c>
      <c r="E236" t="str">
        <f ca="1">IFERROR(__xludf.DUMMYFUNCTION("""COMPUTED_VALUE"""),"41' 3""")</f>
        <v>41' 3"</v>
      </c>
      <c r="F236" s="2">
        <f ca="1">IFERROR(__xludf.DUMMYFUNCTION("""COMPUTED_VALUE"""),1484.417)</f>
        <v>1484.4169999999999</v>
      </c>
      <c r="G236">
        <f ca="1">IFERROR(__xludf.DUMMYFUNCTION("""COMPUTED_VALUE"""),36)</f>
        <v>36</v>
      </c>
      <c r="H236" t="str">
        <f ca="1">IFERROR(__xludf.DUMMYFUNCTION("""COMPUTED_VALUE"""),"Over")</f>
        <v>Over</v>
      </c>
    </row>
    <row r="237" spans="1:8" ht="12.75">
      <c r="A237" t="str">
        <f ca="1">IFERROR(__xludf.DUMMYFUNCTION("""COMPUTED_VALUE"""),"T236")</f>
        <v>T236</v>
      </c>
      <c r="B237" t="str">
        <f ca="1">IFERROR(__xludf.DUMMYFUNCTION("""COMPUTED_VALUE"""),"T229")</f>
        <v>T229</v>
      </c>
      <c r="C237" t="str">
        <f ca="1">IFERROR(__xludf.DUMMYFUNCTION("""COMPUTED_VALUE"""),"Ryo Ishikawa")</f>
        <v>Ryo Ishikawa</v>
      </c>
      <c r="D237">
        <f ca="1">IFERROR(__xludf.DUMMYFUNCTION("""COMPUTED_VALUE"""),8)</f>
        <v>8</v>
      </c>
      <c r="E237" t="str">
        <f ca="1">IFERROR(__xludf.DUMMYFUNCTION("""COMPUTED_VALUE"""),"41' 4""")</f>
        <v>41' 4"</v>
      </c>
      <c r="F237" s="2">
        <f ca="1">IFERROR(__xludf.DUMMYFUNCTION("""COMPUTED_VALUE"""),5953.833)</f>
        <v>5953.8329999999996</v>
      </c>
      <c r="G237">
        <f ca="1">IFERROR(__xludf.DUMMYFUNCTION("""COMPUTED_VALUE"""),144)</f>
        <v>144</v>
      </c>
      <c r="H237" t="str">
        <f ca="1">IFERROR(__xludf.DUMMYFUNCTION("""COMPUTED_VALUE"""),"Over")</f>
        <v>Over</v>
      </c>
    </row>
    <row r="238" spans="1:8" ht="12.75">
      <c r="A238" t="str">
        <f ca="1">IFERROR(__xludf.DUMMYFUNCTION("""COMPUTED_VALUE"""),"T236")</f>
        <v>T236</v>
      </c>
      <c r="B238" t="str">
        <f ca="1">IFERROR(__xludf.DUMMYFUNCTION("""COMPUTED_VALUE"""),"T229")</f>
        <v>T229</v>
      </c>
      <c r="C238" t="str">
        <f ca="1">IFERROR(__xludf.DUMMYFUNCTION("""COMPUTED_VALUE"""),"Rikuya Hoshino")</f>
        <v>Rikuya Hoshino</v>
      </c>
      <c r="D238">
        <f ca="1">IFERROR(__xludf.DUMMYFUNCTION("""COMPUTED_VALUE"""),4)</f>
        <v>4</v>
      </c>
      <c r="E238" t="str">
        <f ca="1">IFERROR(__xludf.DUMMYFUNCTION("""COMPUTED_VALUE"""),"41' 4""")</f>
        <v>41' 4"</v>
      </c>
      <c r="F238" s="2">
        <f ca="1">IFERROR(__xludf.DUMMYFUNCTION("""COMPUTED_VALUE"""),2976.917)</f>
        <v>2976.9169999999999</v>
      </c>
      <c r="G238">
        <f ca="1">IFERROR(__xludf.DUMMYFUNCTION("""COMPUTED_VALUE"""),72)</f>
        <v>72</v>
      </c>
      <c r="H238" t="str">
        <f ca="1">IFERROR(__xludf.DUMMYFUNCTION("""COMPUTED_VALUE"""),"Under")</f>
        <v>Under</v>
      </c>
    </row>
    <row r="239" spans="1:8" ht="12.75">
      <c r="A239" t="str">
        <f ca="1">IFERROR(__xludf.DUMMYFUNCTION("""COMPUTED_VALUE"""),"T236")</f>
        <v>T236</v>
      </c>
      <c r="B239" t="str">
        <f ca="1">IFERROR(__xludf.DUMMYFUNCTION("""COMPUTED_VALUE"""),"T229")</f>
        <v>T229</v>
      </c>
      <c r="C239" t="str">
        <f ca="1">IFERROR(__xludf.DUMMYFUNCTION("""COMPUTED_VALUE"""),"Jazz Janewattananond")</f>
        <v>Jazz Janewattananond</v>
      </c>
      <c r="D239">
        <f ca="1">IFERROR(__xludf.DUMMYFUNCTION("""COMPUTED_VALUE"""),6)</f>
        <v>6</v>
      </c>
      <c r="E239" t="str">
        <f ca="1">IFERROR(__xludf.DUMMYFUNCTION("""COMPUTED_VALUE"""),"41' 4""")</f>
        <v>41' 4"</v>
      </c>
      <c r="F239" s="2">
        <f ca="1">IFERROR(__xludf.DUMMYFUNCTION("""COMPUTED_VALUE"""),4462.333)</f>
        <v>4462.3329999999996</v>
      </c>
      <c r="G239">
        <f ca="1">IFERROR(__xludf.DUMMYFUNCTION("""COMPUTED_VALUE"""),108)</f>
        <v>108</v>
      </c>
      <c r="H239" t="str">
        <f ca="1">IFERROR(__xludf.DUMMYFUNCTION("""COMPUTED_VALUE"""),"Over")</f>
        <v>Over</v>
      </c>
    </row>
    <row r="240" spans="1:8" ht="12.75">
      <c r="A240" t="str">
        <f ca="1">IFERROR(__xludf.DUMMYFUNCTION("""COMPUTED_VALUE"""),"T239")</f>
        <v>T239</v>
      </c>
      <c r="B240" t="str">
        <f ca="1">IFERROR(__xludf.DUMMYFUNCTION("""COMPUTED_VALUE"""),"T232")</f>
        <v>T232</v>
      </c>
      <c r="C240" t="str">
        <f ca="1">IFERROR(__xludf.DUMMYFUNCTION("""COMPUTED_VALUE"""),"Seamus Power")</f>
        <v>Seamus Power</v>
      </c>
      <c r="D240">
        <f ca="1">IFERROR(__xludf.DUMMYFUNCTION("""COMPUTED_VALUE"""),8)</f>
        <v>8</v>
      </c>
      <c r="E240" t="str">
        <f ca="1">IFERROR(__xludf.DUMMYFUNCTION("""COMPUTED_VALUE"""),"41' 6""")</f>
        <v>41' 6"</v>
      </c>
      <c r="F240" s="2">
        <f ca="1">IFERROR(__xludf.DUMMYFUNCTION("""COMPUTED_VALUE"""),1494.75)</f>
        <v>1494.75</v>
      </c>
      <c r="G240">
        <f ca="1">IFERROR(__xludf.DUMMYFUNCTION("""COMPUTED_VALUE"""),36)</f>
        <v>36</v>
      </c>
      <c r="H240" t="str">
        <f ca="1">IFERROR(__xludf.DUMMYFUNCTION("""COMPUTED_VALUE"""),"Over")</f>
        <v>Over</v>
      </c>
    </row>
    <row r="241" spans="1:8" ht="12.75">
      <c r="A241" t="str">
        <f ca="1">IFERROR(__xludf.DUMMYFUNCTION("""COMPUTED_VALUE"""),"T239")</f>
        <v>T239</v>
      </c>
      <c r="B241" t="str">
        <f ca="1">IFERROR(__xludf.DUMMYFUNCTION("""COMPUTED_VALUE"""),"T232")</f>
        <v>T232</v>
      </c>
      <c r="C241" t="str">
        <f ca="1">IFERROR(__xludf.DUMMYFUNCTION("""COMPUTED_VALUE"""),"Romain Langasque")</f>
        <v>Romain Langasque</v>
      </c>
      <c r="D241">
        <f ca="1">IFERROR(__xludf.DUMMYFUNCTION("""COMPUTED_VALUE"""),4)</f>
        <v>4</v>
      </c>
      <c r="E241" t="str">
        <f ca="1">IFERROR(__xludf.DUMMYFUNCTION("""COMPUTED_VALUE"""),"41' 6""")</f>
        <v>41' 6"</v>
      </c>
      <c r="F241" s="2">
        <f ca="1">IFERROR(__xludf.DUMMYFUNCTION("""COMPUTED_VALUE"""),2988.5)</f>
        <v>2988.5</v>
      </c>
      <c r="G241">
        <f ca="1">IFERROR(__xludf.DUMMYFUNCTION("""COMPUTED_VALUE"""),72)</f>
        <v>72</v>
      </c>
      <c r="H241" t="str">
        <f ca="1">IFERROR(__xludf.DUMMYFUNCTION("""COMPUTED_VALUE"""),"Over")</f>
        <v>Over</v>
      </c>
    </row>
    <row r="242" spans="1:8" ht="12.75">
      <c r="A242" t="str">
        <f ca="1">IFERROR(__xludf.DUMMYFUNCTION("""COMPUTED_VALUE"""),"T241")</f>
        <v>T241</v>
      </c>
      <c r="B242" t="str">
        <f ca="1">IFERROR(__xludf.DUMMYFUNCTION("""COMPUTED_VALUE"""),"T234")</f>
        <v>T234</v>
      </c>
      <c r="C242" t="str">
        <f ca="1">IFERROR(__xludf.DUMMYFUNCTION("""COMPUTED_VALUE"""),"Bill Haas")</f>
        <v>Bill Haas</v>
      </c>
      <c r="D242">
        <f ca="1">IFERROR(__xludf.DUMMYFUNCTION("""COMPUTED_VALUE"""),10)</f>
        <v>10</v>
      </c>
      <c r="E242" t="str">
        <f ca="1">IFERROR(__xludf.DUMMYFUNCTION("""COMPUTED_VALUE"""),"41' 7""")</f>
        <v>41' 7"</v>
      </c>
      <c r="F242" s="2">
        <f ca="1">IFERROR(__xludf.DUMMYFUNCTION("""COMPUTED_VALUE"""),4493.667)</f>
        <v>4493.6670000000004</v>
      </c>
      <c r="G242">
        <f ca="1">IFERROR(__xludf.DUMMYFUNCTION("""COMPUTED_VALUE"""),108)</f>
        <v>108</v>
      </c>
      <c r="H242" t="str">
        <f ca="1">IFERROR(__xludf.DUMMYFUNCTION("""COMPUTED_VALUE"""),"Under")</f>
        <v>Under</v>
      </c>
    </row>
    <row r="243" spans="1:8" ht="12.75">
      <c r="A243" t="str">
        <f ca="1">IFERROR(__xludf.DUMMYFUNCTION("""COMPUTED_VALUE"""),"T241")</f>
        <v>T241</v>
      </c>
      <c r="B243" t="str">
        <f ca="1">IFERROR(__xludf.DUMMYFUNCTION("""COMPUTED_VALUE"""),"T234")</f>
        <v>T234</v>
      </c>
      <c r="C243" t="str">
        <f ca="1">IFERROR(__xludf.DUMMYFUNCTION("""COMPUTED_VALUE"""),"Brendon Todd")</f>
        <v>Brendon Todd</v>
      </c>
      <c r="D243">
        <f ca="1">IFERROR(__xludf.DUMMYFUNCTION("""COMPUTED_VALUE"""),14)</f>
        <v>14</v>
      </c>
      <c r="E243" t="str">
        <f ca="1">IFERROR(__xludf.DUMMYFUNCTION("""COMPUTED_VALUE"""),"41' 7""")</f>
        <v>41' 7"</v>
      </c>
      <c r="F243" s="2">
        <f ca="1">IFERROR(__xludf.DUMMYFUNCTION("""COMPUTED_VALUE"""),8862.583)</f>
        <v>8862.5830000000005</v>
      </c>
      <c r="G243">
        <f ca="1">IFERROR(__xludf.DUMMYFUNCTION("""COMPUTED_VALUE"""),213)</f>
        <v>213</v>
      </c>
      <c r="H243" t="str">
        <f ca="1">IFERROR(__xludf.DUMMYFUNCTION("""COMPUTED_VALUE"""),"Under")</f>
        <v>Under</v>
      </c>
    </row>
    <row r="244" spans="1:8" ht="12.75">
      <c r="A244">
        <f ca="1">IFERROR(__xludf.DUMMYFUNCTION("""COMPUTED_VALUE"""),243)</f>
        <v>243</v>
      </c>
      <c r="B244" t="str">
        <f ca="1">IFERROR(__xludf.DUMMYFUNCTION("""COMPUTED_VALUE"""),"T236")</f>
        <v>T236</v>
      </c>
      <c r="C244" t="str">
        <f ca="1">IFERROR(__xludf.DUMMYFUNCTION("""COMPUTED_VALUE"""),"Sung Kang")</f>
        <v>Sung Kang</v>
      </c>
      <c r="D244">
        <f ca="1">IFERROR(__xludf.DUMMYFUNCTION("""COMPUTED_VALUE"""),14)</f>
        <v>14</v>
      </c>
      <c r="E244" t="str">
        <f ca="1">IFERROR(__xludf.DUMMYFUNCTION("""COMPUTED_VALUE"""),"41' 8""")</f>
        <v>41' 8"</v>
      </c>
      <c r="F244" s="2">
        <f ca="1">IFERROR(__xludf.DUMMYFUNCTION("""COMPUTED_VALUE"""),10426.333)</f>
        <v>10426.333000000001</v>
      </c>
      <c r="G244">
        <f ca="1">IFERROR(__xludf.DUMMYFUNCTION("""COMPUTED_VALUE"""),250)</f>
        <v>250</v>
      </c>
      <c r="H244" t="str">
        <f ca="1">IFERROR(__xludf.DUMMYFUNCTION("""COMPUTED_VALUE"""),"Over")</f>
        <v>Over</v>
      </c>
    </row>
    <row r="245" spans="1:8" ht="12.75">
      <c r="A245">
        <f ca="1">IFERROR(__xludf.DUMMYFUNCTION("""COMPUTED_VALUE"""),244)</f>
        <v>244</v>
      </c>
      <c r="B245">
        <f ca="1">IFERROR(__xludf.DUMMYFUNCTION("""COMPUTED_VALUE"""),256)</f>
        <v>256</v>
      </c>
      <c r="C245" t="str">
        <f ca="1">IFERROR(__xludf.DUMMYFUNCTION("""COMPUTED_VALUE"""),"Adam Scott")</f>
        <v>Adam Scott</v>
      </c>
      <c r="D245">
        <f ca="1">IFERROR(__xludf.DUMMYFUNCTION("""COMPUTED_VALUE"""),8)</f>
        <v>8</v>
      </c>
      <c r="E245" t="str">
        <f ca="1">IFERROR(__xludf.DUMMYFUNCTION("""COMPUTED_VALUE"""),"41' 9""")</f>
        <v>41' 9"</v>
      </c>
      <c r="F245" s="2">
        <f ca="1">IFERROR(__xludf.DUMMYFUNCTION("""COMPUTED_VALUE"""),5930.167)</f>
        <v>5930.1670000000004</v>
      </c>
      <c r="G245">
        <f ca="1">IFERROR(__xludf.DUMMYFUNCTION("""COMPUTED_VALUE"""),142)</f>
        <v>142</v>
      </c>
      <c r="H245" t="str">
        <f ca="1">IFERROR(__xludf.DUMMYFUNCTION("""COMPUTED_VALUE"""),"Over")</f>
        <v>Over</v>
      </c>
    </row>
    <row r="246" spans="1:8" ht="12.75">
      <c r="A246" t="str">
        <f ca="1">IFERROR(__xludf.DUMMYFUNCTION("""COMPUTED_VALUE"""),"T245")</f>
        <v>T245</v>
      </c>
      <c r="B246">
        <f ca="1">IFERROR(__xludf.DUMMYFUNCTION("""COMPUTED_VALUE"""),238)</f>
        <v>238</v>
      </c>
      <c r="C246" t="str">
        <f ca="1">IFERROR(__xludf.DUMMYFUNCTION("""COMPUTED_VALUE"""),"Lucas Glover")</f>
        <v>Lucas Glover</v>
      </c>
      <c r="D246">
        <f ca="1">IFERROR(__xludf.DUMMYFUNCTION("""COMPUTED_VALUE"""),12)</f>
        <v>12</v>
      </c>
      <c r="E246" t="str">
        <f ca="1">IFERROR(__xludf.DUMMYFUNCTION("""COMPUTED_VALUE"""),"41' 11""")</f>
        <v>41' 11"</v>
      </c>
      <c r="F246" s="2">
        <f ca="1">IFERROR(__xludf.DUMMYFUNCTION("""COMPUTED_VALUE"""),9061.417)</f>
        <v>9061.4169999999995</v>
      </c>
      <c r="G246">
        <f ca="1">IFERROR(__xludf.DUMMYFUNCTION("""COMPUTED_VALUE"""),216)</f>
        <v>216</v>
      </c>
      <c r="H246" t="str">
        <f ca="1">IFERROR(__xludf.DUMMYFUNCTION("""COMPUTED_VALUE"""),"Over")</f>
        <v>Over</v>
      </c>
    </row>
    <row r="247" spans="1:8" ht="12.75">
      <c r="A247" t="str">
        <f ca="1">IFERROR(__xludf.DUMMYFUNCTION("""COMPUTED_VALUE"""),"T245")</f>
        <v>T245</v>
      </c>
      <c r="B247" t="str">
        <f ca="1">IFERROR(__xludf.DUMMYFUNCTION("""COMPUTED_VALUE"""),"T236")</f>
        <v>T236</v>
      </c>
      <c r="C247" t="str">
        <f ca="1">IFERROR(__xludf.DUMMYFUNCTION("""COMPUTED_VALUE"""),"Tae Hee Lee")</f>
        <v>Tae Hee Lee</v>
      </c>
      <c r="D247">
        <f ca="1">IFERROR(__xludf.DUMMYFUNCTION("""COMPUTED_VALUE"""),4)</f>
        <v>4</v>
      </c>
      <c r="E247" t="str">
        <f ca="1">IFERROR(__xludf.DUMMYFUNCTION("""COMPUTED_VALUE"""),"41' 11""")</f>
        <v>41' 11"</v>
      </c>
      <c r="F247" s="2">
        <f ca="1">IFERROR(__xludf.DUMMYFUNCTION("""COMPUTED_VALUE"""),2976.833)</f>
        <v>2976.8330000000001</v>
      </c>
      <c r="G247">
        <f ca="1">IFERROR(__xludf.DUMMYFUNCTION("""COMPUTED_VALUE"""),71)</f>
        <v>71</v>
      </c>
      <c r="H247" t="str">
        <f ca="1">IFERROR(__xludf.DUMMYFUNCTION("""COMPUTED_VALUE"""),"Over")</f>
        <v>Over</v>
      </c>
    </row>
    <row r="248" spans="1:8" ht="12.75">
      <c r="A248">
        <f ca="1">IFERROR(__xludf.DUMMYFUNCTION("""COMPUTED_VALUE"""),247)</f>
        <v>247</v>
      </c>
      <c r="B248" t="str">
        <f ca="1">IFERROR(__xludf.DUMMYFUNCTION("""COMPUTED_VALUE"""),"T239")</f>
        <v>T239</v>
      </c>
      <c r="C248" t="str">
        <f ca="1">IFERROR(__xludf.DUMMYFUNCTION("""COMPUTED_VALUE"""),"Rafa Cabrera Bello")</f>
        <v>Rafa Cabrera Bello</v>
      </c>
      <c r="D248">
        <f ca="1">IFERROR(__xludf.DUMMYFUNCTION("""COMPUTED_VALUE"""),14)</f>
        <v>14</v>
      </c>
      <c r="E248" t="str">
        <f ca="1">IFERROR(__xludf.DUMMYFUNCTION("""COMPUTED_VALUE"""),"42' 2""")</f>
        <v>42' 2"</v>
      </c>
      <c r="F248" s="2">
        <f ca="1">IFERROR(__xludf.DUMMYFUNCTION("""COMPUTED_VALUE"""),9030.333)</f>
        <v>9030.3330000000005</v>
      </c>
      <c r="G248">
        <f ca="1">IFERROR(__xludf.DUMMYFUNCTION("""COMPUTED_VALUE"""),214)</f>
        <v>214</v>
      </c>
      <c r="H248" t="str">
        <f ca="1">IFERROR(__xludf.DUMMYFUNCTION("""COMPUTED_VALUE"""),"Under")</f>
        <v>Under</v>
      </c>
    </row>
    <row r="249" spans="1:8" ht="12.75">
      <c r="A249">
        <f ca="1">IFERROR(__xludf.DUMMYFUNCTION("""COMPUTED_VALUE"""),248)</f>
        <v>248</v>
      </c>
      <c r="B249">
        <f ca="1">IFERROR(__xludf.DUMMYFUNCTION("""COMPUTED_VALUE"""),241)</f>
        <v>241</v>
      </c>
      <c r="C249" t="str">
        <f ca="1">IFERROR(__xludf.DUMMYFUNCTION("""COMPUTED_VALUE"""),"Thomas Pieters")</f>
        <v>Thomas Pieters</v>
      </c>
      <c r="D249">
        <f ca="1">IFERROR(__xludf.DUMMYFUNCTION("""COMPUTED_VALUE"""),4)</f>
        <v>4</v>
      </c>
      <c r="E249" t="str">
        <f ca="1">IFERROR(__xludf.DUMMYFUNCTION("""COMPUTED_VALUE"""),"42' 3""")</f>
        <v>42' 3"</v>
      </c>
      <c r="F249" s="2">
        <f ca="1">IFERROR(__xludf.DUMMYFUNCTION("""COMPUTED_VALUE"""),3044.167)</f>
        <v>3044.1669999999999</v>
      </c>
      <c r="G249">
        <f ca="1">IFERROR(__xludf.DUMMYFUNCTION("""COMPUTED_VALUE"""),72)</f>
        <v>72</v>
      </c>
      <c r="H249" t="str">
        <f ca="1">IFERROR(__xludf.DUMMYFUNCTION("""COMPUTED_VALUE"""),"Over")</f>
        <v>Over</v>
      </c>
    </row>
    <row r="250" spans="1:8" ht="12.75">
      <c r="A250">
        <f ca="1">IFERROR(__xludf.DUMMYFUNCTION("""COMPUTED_VALUE"""),249)</f>
        <v>249</v>
      </c>
      <c r="B250" t="str">
        <f ca="1">IFERROR(__xludf.DUMMYFUNCTION("""COMPUTED_VALUE"""),"T249")</f>
        <v>T249</v>
      </c>
      <c r="C250" t="str">
        <f ca="1">IFERROR(__xludf.DUMMYFUNCTION("""COMPUTED_VALUE"""),"Max Homa")</f>
        <v>Max Homa</v>
      </c>
      <c r="D250">
        <f ca="1">IFERROR(__xludf.DUMMYFUNCTION("""COMPUTED_VALUE"""),12)</f>
        <v>12</v>
      </c>
      <c r="E250" t="str">
        <f ca="1">IFERROR(__xludf.DUMMYFUNCTION("""COMPUTED_VALUE"""),"42' 4""")</f>
        <v>42' 4"</v>
      </c>
      <c r="F250" s="2">
        <f ca="1">IFERROR(__xludf.DUMMYFUNCTION("""COMPUTED_VALUE"""),5883.833)</f>
        <v>5883.8329999999996</v>
      </c>
      <c r="G250">
        <f ca="1">IFERROR(__xludf.DUMMYFUNCTION("""COMPUTED_VALUE"""),139)</f>
        <v>139</v>
      </c>
      <c r="H250" t="str">
        <f ca="1">IFERROR(__xludf.DUMMYFUNCTION("""COMPUTED_VALUE"""),"Over")</f>
        <v>Over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IFERROR(__xludf.DUMMYFUNCTION("""COMPUTED_VALUE"""),"T239")</f>
        <v>T239</v>
      </c>
      <c r="C251" t="str">
        <f ca="1">IFERROR(__xludf.DUMMYFUNCTION("""COMPUTED_VALUE"""),"Lee Westwood")</f>
        <v>Lee Westwood</v>
      </c>
      <c r="D251">
        <f ca="1">IFERROR(__xludf.DUMMYFUNCTION("""COMPUTED_VALUE"""),6)</f>
        <v>6</v>
      </c>
      <c r="E251" t="str">
        <f ca="1">IFERROR(__xludf.DUMMYFUNCTION("""COMPUTED_VALUE"""),"42' 5""")</f>
        <v>42' 5"</v>
      </c>
      <c r="F251" s="2">
        <f ca="1">IFERROR(__xludf.DUMMYFUNCTION("""COMPUTED_VALUE"""),4578)</f>
        <v>4578</v>
      </c>
      <c r="G251">
        <f ca="1">IFERROR(__xludf.DUMMYFUNCTION("""COMPUTED_VALUE"""),108)</f>
        <v>108</v>
      </c>
      <c r="H251" t="str">
        <f ca="1">IFERROR(__xludf.DUMMYFUNCTION("""COMPUTED_VALUE"""),"Over")</f>
        <v>Over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IFERROR(__xludf.DUMMYFUNCTION("""COMPUTED_VALUE"""),260)</f>
        <v>260</v>
      </c>
      <c r="C252" t="str">
        <f ca="1">IFERROR(__xludf.DUMMYFUNCTION("""COMPUTED_VALUE"""),"Danny Willett")</f>
        <v>Danny Willett</v>
      </c>
      <c r="D252">
        <f ca="1">IFERROR(__xludf.DUMMYFUNCTION("""COMPUTED_VALUE"""),7)</f>
        <v>7</v>
      </c>
      <c r="E252" t="str">
        <f ca="1">IFERROR(__xludf.DUMMYFUNCTION("""COMPUTED_VALUE"""),"42' 6""")</f>
        <v>42' 6"</v>
      </c>
      <c r="F252" s="2">
        <f ca="1">IFERROR(__xludf.DUMMYFUNCTION("""COMPUTED_VALUE"""),2294.583)</f>
        <v>2294.5830000000001</v>
      </c>
      <c r="G252">
        <f ca="1">IFERROR(__xludf.DUMMYFUNCTION("""COMPUTED_VALUE"""),54)</f>
        <v>54</v>
      </c>
      <c r="H252" t="str">
        <f ca="1">IFERROR(__xludf.DUMMYFUNCTION("""COMPUTED_VALUE"""),"Over")</f>
        <v>Over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IFERROR(__xludf.DUMMYFUNCTION("""COMPUTED_VALUE"""),248)</f>
        <v>248</v>
      </c>
      <c r="C253" t="str">
        <f ca="1">IFERROR(__xludf.DUMMYFUNCTION("""COMPUTED_VALUE"""),"Mackenzie Hughes")</f>
        <v>Mackenzie Hughes</v>
      </c>
      <c r="D253">
        <f ca="1">IFERROR(__xludf.DUMMYFUNCTION("""COMPUTED_VALUE"""),18)</f>
        <v>18</v>
      </c>
      <c r="E253" t="str">
        <f ca="1">IFERROR(__xludf.DUMMYFUNCTION("""COMPUTED_VALUE"""),"42' 9""")</f>
        <v>42' 9"</v>
      </c>
      <c r="F253" s="2">
        <f ca="1">IFERROR(__xludf.DUMMYFUNCTION("""COMPUTED_VALUE"""),10594.75)</f>
        <v>10594.75</v>
      </c>
      <c r="G253">
        <f ca="1">IFERROR(__xludf.DUMMYFUNCTION("""COMPUTED_VALUE"""),248)</f>
        <v>248</v>
      </c>
      <c r="H253" t="str">
        <f ca="1">IFERROR(__xludf.DUMMYFUNCTION("""COMPUTED_VALUE"""),"Under")</f>
        <v>Under</v>
      </c>
    </row>
    <row r="254" spans="1:8" ht="12.75">
      <c r="A254">
        <f ca="1">IFERROR(__xludf.DUMMYFUNCTION("""COMPUTED_VALUE"""),253)</f>
        <v>253</v>
      </c>
      <c r="B254" t="str">
        <f ca="1">IFERROR(__xludf.DUMMYFUNCTION("""COMPUTED_VALUE"""),"")</f>
        <v/>
      </c>
      <c r="C254" t="str">
        <f ca="1">IFERROR(__xludf.DUMMYFUNCTION("""COMPUTED_VALUE"""),"Greg Chalmers")</f>
        <v>Greg Chalmers</v>
      </c>
      <c r="D254">
        <f ca="1">IFERROR(__xludf.DUMMYFUNCTION("""COMPUTED_VALUE"""),6)</f>
        <v>6</v>
      </c>
      <c r="E254" t="str">
        <f ca="1">IFERROR(__xludf.DUMMYFUNCTION("""COMPUTED_VALUE"""),"42' 10""")</f>
        <v>42' 10"</v>
      </c>
      <c r="F254" s="2">
        <f ca="1">IFERROR(__xludf.DUMMYFUNCTION("""COMPUTED_VALUE"""),4623.167)</f>
        <v>4623.1670000000004</v>
      </c>
      <c r="G254">
        <f ca="1">IFERROR(__xludf.DUMMYFUNCTION("""COMPUTED_VALUE"""),108)</f>
        <v>108</v>
      </c>
      <c r="H254" t="str">
        <f ca="1">IFERROR(__xludf.DUMMYFUNCTION("""COMPUTED_VALUE"""),"Over")</f>
        <v>Over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IFERROR(__xludf.DUMMYFUNCTION("""COMPUTED_VALUE"""),247)</f>
        <v>247</v>
      </c>
      <c r="C255" t="str">
        <f ca="1">IFERROR(__xludf.DUMMYFUNCTION("""COMPUTED_VALUE"""),"Christiaan Bezuidenhout")</f>
        <v>Christiaan Bezuidenhout</v>
      </c>
      <c r="D255">
        <f ca="1">IFERROR(__xludf.DUMMYFUNCTION("""COMPUTED_VALUE"""),4)</f>
        <v>4</v>
      </c>
      <c r="E255" t="str">
        <f ca="1">IFERROR(__xludf.DUMMYFUNCTION("""COMPUTED_VALUE"""),"42' 11""")</f>
        <v>42' 11"</v>
      </c>
      <c r="F255" s="2">
        <f ca="1">IFERROR(__xludf.DUMMYFUNCTION("""COMPUTED_VALUE"""),3087.5)</f>
        <v>3087.5</v>
      </c>
      <c r="G255">
        <f ca="1">IFERROR(__xludf.DUMMYFUNCTION("""COMPUTED_VALUE"""),72)</f>
        <v>72</v>
      </c>
      <c r="H255" t="str">
        <f ca="1">IFERROR(__xludf.DUMMYFUNCTION("""COMPUTED_VALUE"""),"Over")</f>
        <v>Over</v>
      </c>
    </row>
    <row r="256" spans="1:8" ht="12.75">
      <c r="A256">
        <f ca="1">IFERROR(__xludf.DUMMYFUNCTION("""COMPUTED_VALUE"""),255)</f>
        <v>255</v>
      </c>
      <c r="B256" t="str">
        <f ca="1">IFERROR(__xludf.DUMMYFUNCTION("""COMPUTED_VALUE"""),"T242")</f>
        <v>T242</v>
      </c>
      <c r="C256" t="str">
        <f ca="1">IFERROR(__xludf.DUMMYFUNCTION("""COMPUTED_VALUE"""),"Alex Noren")</f>
        <v>Alex Noren</v>
      </c>
      <c r="D256">
        <f ca="1">IFERROR(__xludf.DUMMYFUNCTION("""COMPUTED_VALUE"""),14)</f>
        <v>14</v>
      </c>
      <c r="E256" t="str">
        <f ca="1">IFERROR(__xludf.DUMMYFUNCTION("""COMPUTED_VALUE"""),"43' 5""")</f>
        <v>43' 5"</v>
      </c>
      <c r="F256" s="2">
        <f ca="1">IFERROR(__xludf.DUMMYFUNCTION("""COMPUTED_VALUE"""),10764.083)</f>
        <v>10764.083000000001</v>
      </c>
      <c r="G256">
        <f ca="1">IFERROR(__xludf.DUMMYFUNCTION("""COMPUTED_VALUE"""),248)</f>
        <v>248</v>
      </c>
      <c r="H256" t="str">
        <f ca="1">IFERROR(__xludf.DUMMYFUNCTION("""COMPUTED_VALUE"""),"Over")</f>
        <v>Over</v>
      </c>
    </row>
    <row r="257" spans="1:8" ht="12.75">
      <c r="A257" t="str">
        <f ca="1">IFERROR(__xludf.DUMMYFUNCTION("""COMPUTED_VALUE"""),"T256")</f>
        <v>T256</v>
      </c>
      <c r="B257">
        <f ca="1">IFERROR(__xludf.DUMMYFUNCTION("""COMPUTED_VALUE"""),245)</f>
        <v>245</v>
      </c>
      <c r="C257" t="str">
        <f ca="1">IFERROR(__xludf.DUMMYFUNCTION("""COMPUTED_VALUE"""),"Jimmy Walker")</f>
        <v>Jimmy Walker</v>
      </c>
      <c r="D257">
        <f ca="1">IFERROR(__xludf.DUMMYFUNCTION("""COMPUTED_VALUE"""),10)</f>
        <v>10</v>
      </c>
      <c r="E257" t="str">
        <f ca="1">IFERROR(__xludf.DUMMYFUNCTION("""COMPUTED_VALUE"""),"43' 11""")</f>
        <v>43' 11"</v>
      </c>
      <c r="F257" s="2">
        <f ca="1">IFERROR(__xludf.DUMMYFUNCTION("""COMPUTED_VALUE"""),7772.583)</f>
        <v>7772.5829999999996</v>
      </c>
      <c r="G257">
        <f ca="1">IFERROR(__xludf.DUMMYFUNCTION("""COMPUTED_VALUE"""),177)</f>
        <v>177</v>
      </c>
      <c r="H257" t="str">
        <f ca="1">IFERROR(__xludf.DUMMYFUNCTION("""COMPUTED_VALUE"""),"Over")</f>
        <v>Over</v>
      </c>
    </row>
    <row r="258" spans="1:8" ht="12.75">
      <c r="A258" t="str">
        <f ca="1">IFERROR(__xludf.DUMMYFUNCTION("""COMPUTED_VALUE"""),"T256")</f>
        <v>T256</v>
      </c>
      <c r="B258" t="str">
        <f ca="1">IFERROR(__xludf.DUMMYFUNCTION("""COMPUTED_VALUE"""),"T249")</f>
        <v>T249</v>
      </c>
      <c r="C258" t="str">
        <f ca="1">IFERROR(__xludf.DUMMYFUNCTION("""COMPUTED_VALUE"""),"Billy Horschel")</f>
        <v>Billy Horschel</v>
      </c>
      <c r="D258">
        <f ca="1">IFERROR(__xludf.DUMMYFUNCTION("""COMPUTED_VALUE"""),12)</f>
        <v>12</v>
      </c>
      <c r="E258" t="str">
        <f ca="1">IFERROR(__xludf.DUMMYFUNCTION("""COMPUTED_VALUE"""),"43' 11""")</f>
        <v>43' 11"</v>
      </c>
      <c r="F258" s="2">
        <f ca="1">IFERROR(__xludf.DUMMYFUNCTION("""COMPUTED_VALUE"""),9316.083)</f>
        <v>9316.0830000000005</v>
      </c>
      <c r="G258">
        <f ca="1">IFERROR(__xludf.DUMMYFUNCTION("""COMPUTED_VALUE"""),212)</f>
        <v>212</v>
      </c>
      <c r="H258" t="str">
        <f ca="1">IFERROR(__xludf.DUMMYFUNCTION("""COMPUTED_VALUE"""),"Even")</f>
        <v>Even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IFERROR(__xludf.DUMMYFUNCTION("""COMPUTED_VALUE"""),252)</f>
        <v>252</v>
      </c>
      <c r="C259" t="str">
        <f ca="1">IFERROR(__xludf.DUMMYFUNCTION("""COMPUTED_VALUE"""),"Ian Poulter")</f>
        <v>Ian Poulter</v>
      </c>
      <c r="D259">
        <f ca="1">IFERROR(__xludf.DUMMYFUNCTION("""COMPUTED_VALUE"""),6)</f>
        <v>6</v>
      </c>
      <c r="E259" t="str">
        <f ca="1">IFERROR(__xludf.DUMMYFUNCTION("""COMPUTED_VALUE"""),"44' 4""")</f>
        <v>44' 4"</v>
      </c>
      <c r="F259" s="2">
        <f ca="1">IFERROR(__xludf.DUMMYFUNCTION("""COMPUTED_VALUE"""),4744.167)</f>
        <v>4744.1670000000004</v>
      </c>
      <c r="G259">
        <f ca="1">IFERROR(__xludf.DUMMYFUNCTION("""COMPUTED_VALUE"""),107)</f>
        <v>107</v>
      </c>
      <c r="H259" t="str">
        <f ca="1">IFERROR(__xludf.DUMMYFUNCTION("""COMPUTED_VALUE"""),"Over")</f>
        <v>Over</v>
      </c>
    </row>
    <row r="260" spans="1:8" ht="12.75">
      <c r="A260">
        <f ca="1">IFERROR(__xludf.DUMMYFUNCTION("""COMPUTED_VALUE"""),259)</f>
        <v>259</v>
      </c>
      <c r="B260" t="str">
        <f ca="1">IFERROR(__xludf.DUMMYFUNCTION("""COMPUTED_VALUE"""),"")</f>
        <v/>
      </c>
      <c r="C260" t="str">
        <f ca="1">IFERROR(__xludf.DUMMYFUNCTION("""COMPUTED_VALUE"""),"Ollie Schniederjans")</f>
        <v>Ollie Schniederjans</v>
      </c>
      <c r="D260">
        <f ca="1">IFERROR(__xludf.DUMMYFUNCTION("""COMPUTED_VALUE"""),6)</f>
        <v>6</v>
      </c>
      <c r="E260" t="str">
        <f ca="1">IFERROR(__xludf.DUMMYFUNCTION("""COMPUTED_VALUE"""),"44' 6""")</f>
        <v>44' 6"</v>
      </c>
      <c r="F260" s="2">
        <f ca="1">IFERROR(__xludf.DUMMYFUNCTION("""COMPUTED_VALUE"""),1601.75)</f>
        <v>1601.75</v>
      </c>
      <c r="G260">
        <f ca="1">IFERROR(__xludf.DUMMYFUNCTION("""COMPUTED_VALUE"""),36)</f>
        <v>36</v>
      </c>
      <c r="H260" t="str">
        <f ca="1">IFERROR(__xludf.DUMMYFUNCTION("""COMPUTED_VALUE"""),"Over")</f>
        <v>Over</v>
      </c>
    </row>
    <row r="261" spans="1:8" ht="12.75">
      <c r="A261">
        <f ca="1">IFERROR(__xludf.DUMMYFUNCTION("""COMPUTED_VALUE"""),260)</f>
        <v>260</v>
      </c>
      <c r="B261" t="str">
        <f ca="1">IFERROR(__xludf.DUMMYFUNCTION("""COMPUTED_VALUE"""),"T254")</f>
        <v>T254</v>
      </c>
      <c r="C261" t="str">
        <f ca="1">IFERROR(__xludf.DUMMYFUNCTION("""COMPUTED_VALUE"""),"Lucas Herbert")</f>
        <v>Lucas Herbert</v>
      </c>
      <c r="D261">
        <f ca="1">IFERROR(__xludf.DUMMYFUNCTION("""COMPUTED_VALUE"""),4)</f>
        <v>4</v>
      </c>
      <c r="E261" t="str">
        <f ca="1">IFERROR(__xludf.DUMMYFUNCTION("""COMPUTED_VALUE"""),"44' 8""")</f>
        <v>44' 8"</v>
      </c>
      <c r="F261" s="2">
        <f ca="1">IFERROR(__xludf.DUMMYFUNCTION("""COMPUTED_VALUE"""),3217.917)</f>
        <v>3217.9169999999999</v>
      </c>
      <c r="G261">
        <f ca="1">IFERROR(__xludf.DUMMYFUNCTION("""COMPUTED_VALUE"""),72)</f>
        <v>72</v>
      </c>
      <c r="H261" t="str">
        <f ca="1">IFERROR(__xludf.DUMMYFUNCTION("""COMPUTED_VALUE"""),"Over")</f>
        <v>Over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IFERROR(__xludf.DUMMYFUNCTION("""COMPUTED_VALUE"""),"Rory Sabbatini")</f>
        <v>Rory Sabbatini</v>
      </c>
      <c r="D262">
        <f ca="1">IFERROR(__xludf.DUMMYFUNCTION("""COMPUTED_VALUE"""),13)</f>
        <v>13</v>
      </c>
      <c r="E262" t="str">
        <f ca="1">IFERROR(__xludf.DUMMYFUNCTION("""COMPUTED_VALUE"""),"44' 9""")</f>
        <v>44' 9"</v>
      </c>
      <c r="F262" s="2">
        <f ca="1">IFERROR(__xludf.DUMMYFUNCTION("""COMPUTED_VALUE"""),10425.5)</f>
        <v>10425.5</v>
      </c>
      <c r="G262">
        <f ca="1">IFERROR(__xludf.DUMMYFUNCTION("""COMPUTED_VALUE"""),233)</f>
        <v>233</v>
      </c>
      <c r="H262" t="str">
        <f ca="1">IFERROR(__xludf.DUMMYFUNCTION("""COMPUTED_VALUE"""),"Over")</f>
        <v>Over</v>
      </c>
    </row>
    <row r="263" spans="1:8" ht="12.75">
      <c r="A263">
        <f ca="1">IFERROR(__xludf.DUMMYFUNCTION("""COMPUTED_VALUE"""),262)</f>
        <v>262</v>
      </c>
      <c r="B263" t="str">
        <f ca="1">IFERROR(__xludf.DUMMYFUNCTION("""COMPUTED_VALUE"""),"T254")</f>
        <v>T254</v>
      </c>
      <c r="C263" t="str">
        <f ca="1">IFERROR(__xludf.DUMMYFUNCTION("""COMPUTED_VALUE"""),"Tom Lewis")</f>
        <v>Tom Lewis</v>
      </c>
      <c r="D263">
        <f ca="1">IFERROR(__xludf.DUMMYFUNCTION("""COMPUTED_VALUE"""),12)</f>
        <v>12</v>
      </c>
      <c r="E263" t="str">
        <f ca="1">IFERROR(__xludf.DUMMYFUNCTION("""COMPUTED_VALUE"""),"44' 11""")</f>
        <v>44' 11"</v>
      </c>
      <c r="F263" s="2">
        <f ca="1">IFERROR(__xludf.DUMMYFUNCTION("""COMPUTED_VALUE"""),7951)</f>
        <v>7951</v>
      </c>
      <c r="G263">
        <f ca="1">IFERROR(__xludf.DUMMYFUNCTION("""COMPUTED_VALUE"""),177)</f>
        <v>177</v>
      </c>
      <c r="H263" t="str">
        <f ca="1">IFERROR(__xludf.DUMMYFUNCTION("""COMPUTED_VALUE"""),"Over")</f>
        <v>Over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IFERROR(__xludf.DUMMYFUNCTION("""COMPUTED_VALUE"""),257)</f>
        <v>257</v>
      </c>
      <c r="C264" t="str">
        <f ca="1">IFERROR(__xludf.DUMMYFUNCTION("""COMPUTED_VALUE"""),"Shugo Imahira")</f>
        <v>Shugo Imahira</v>
      </c>
      <c r="D264">
        <f ca="1">IFERROR(__xludf.DUMMYFUNCTION("""COMPUTED_VALUE"""),8)</f>
        <v>8</v>
      </c>
      <c r="E264" t="str">
        <f ca="1">IFERROR(__xludf.DUMMYFUNCTION("""COMPUTED_VALUE"""),"45' 2""")</f>
        <v>45' 2"</v>
      </c>
      <c r="F264" s="2">
        <f ca="1">IFERROR(__xludf.DUMMYFUNCTION("""COMPUTED_VALUE"""),6509.583)</f>
        <v>6509.5829999999996</v>
      </c>
      <c r="G264">
        <f ca="1">IFERROR(__xludf.DUMMYFUNCTION("""COMPUTED_VALUE"""),144)</f>
        <v>144</v>
      </c>
      <c r="H264" t="str">
        <f ca="1">IFERROR(__xludf.DUMMYFUNCTION("""COMPUTED_VALUE"""),"Over")</f>
        <v>Over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IFERROR(__xludf.DUMMYFUNCTION("""COMPUTED_VALUE"""),258)</f>
        <v>258</v>
      </c>
      <c r="C265" t="str">
        <f ca="1">IFERROR(__xludf.DUMMYFUNCTION("""COMPUTED_VALUE"""),"Parker McLachlin")</f>
        <v>Parker McLachlin</v>
      </c>
      <c r="D265">
        <f ca="1">IFERROR(__xludf.DUMMYFUNCTION("""COMPUTED_VALUE"""),4)</f>
        <v>4</v>
      </c>
      <c r="E265" t="str">
        <f ca="1">IFERROR(__xludf.DUMMYFUNCTION("""COMPUTED_VALUE"""),"45' 4""")</f>
        <v>45' 4"</v>
      </c>
      <c r="F265" s="2">
        <f ca="1">IFERROR(__xludf.DUMMYFUNCTION("""COMPUTED_VALUE"""),1632.833)</f>
        <v>1632.8330000000001</v>
      </c>
      <c r="G265">
        <f ca="1">IFERROR(__xludf.DUMMYFUNCTION("""COMPUTED_VALUE"""),36)</f>
        <v>36</v>
      </c>
      <c r="H265" t="str">
        <f ca="1">IFERROR(__xludf.DUMMYFUNCTION("""COMPUTED_VALUE"""),"Over")</f>
        <v>Over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IFERROR(__xludf.DUMMYFUNCTION("""COMPUTED_VALUE"""),246)</f>
        <v>246</v>
      </c>
      <c r="C266" t="str">
        <f ca="1">IFERROR(__xludf.DUMMYFUNCTION("""COMPUTED_VALUE"""),"Martin Trainer")</f>
        <v>Martin Trainer</v>
      </c>
      <c r="D266">
        <f ca="1">IFERROR(__xludf.DUMMYFUNCTION("""COMPUTED_VALUE"""),10)</f>
        <v>10</v>
      </c>
      <c r="E266" t="str">
        <f ca="1">IFERROR(__xludf.DUMMYFUNCTION("""COMPUTED_VALUE"""),"45' 8""")</f>
        <v>45' 8"</v>
      </c>
      <c r="F266" s="2">
        <f ca="1">IFERROR(__xludf.DUMMYFUNCTION("""COMPUTED_VALUE"""),6434.083)</f>
        <v>6434.0829999999996</v>
      </c>
      <c r="G266">
        <f ca="1">IFERROR(__xludf.DUMMYFUNCTION("""COMPUTED_VALUE"""),141)</f>
        <v>141</v>
      </c>
      <c r="H266" t="str">
        <f ca="1">IFERROR(__xludf.DUMMYFUNCTION("""COMPUTED_VALUE"""),"Over")</f>
        <v>Over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IFERROR(__xludf.DUMMYFUNCTION("""COMPUTED_VALUE"""),259)</f>
        <v>259</v>
      </c>
      <c r="C267" t="str">
        <f ca="1">IFERROR(__xludf.DUMMYFUNCTION("""COMPUTED_VALUE"""),"Bernd Wiesberger")</f>
        <v>Bernd Wiesberger</v>
      </c>
      <c r="D267">
        <f ca="1">IFERROR(__xludf.DUMMYFUNCTION("""COMPUTED_VALUE"""),4)</f>
        <v>4</v>
      </c>
      <c r="E267" t="str">
        <f ca="1">IFERROR(__xludf.DUMMYFUNCTION("""COMPUTED_VALUE"""),"46' 0""")</f>
        <v>46' 0"</v>
      </c>
      <c r="F267" s="2">
        <f ca="1">IFERROR(__xludf.DUMMYFUNCTION("""COMPUTED_VALUE"""),3312.167)</f>
        <v>3312.1669999999999</v>
      </c>
      <c r="G267">
        <f ca="1">IFERROR(__xludf.DUMMYFUNCTION("""COMPUTED_VALUE"""),72)</f>
        <v>72</v>
      </c>
      <c r="H267" t="str">
        <f ca="1">IFERROR(__xludf.DUMMYFUNCTION("""COMPUTED_VALUE"""),"Over")</f>
        <v>Over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IFERROR(__xludf.DUMMYFUNCTION("""COMPUTED_VALUE"""),251)</f>
        <v>251</v>
      </c>
      <c r="C268" t="str">
        <f ca="1">IFERROR(__xludf.DUMMYFUNCTION("""COMPUTED_VALUE"""),"Henrik Stenson")</f>
        <v>Henrik Stenson</v>
      </c>
      <c r="D268">
        <f ca="1">IFERROR(__xludf.DUMMYFUNCTION("""COMPUTED_VALUE"""),11)</f>
        <v>11</v>
      </c>
      <c r="E268" t="str">
        <f ca="1">IFERROR(__xludf.DUMMYFUNCTION("""COMPUTED_VALUE"""),"46' 1""")</f>
        <v>46' 1"</v>
      </c>
      <c r="F268" s="2">
        <f ca="1">IFERROR(__xludf.DUMMYFUNCTION("""COMPUTED_VALUE"""),4930.417)</f>
        <v>4930.4170000000004</v>
      </c>
      <c r="G268">
        <f ca="1">IFERROR(__xludf.DUMMYFUNCTION("""COMPUTED_VALUE"""),107)</f>
        <v>107</v>
      </c>
      <c r="H268" t="str">
        <f ca="1">IFERROR(__xludf.DUMMYFUNCTION("""COMPUTED_VALUE"""),"Over")</f>
        <v>Over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IFERROR(__xludf.DUMMYFUNCTION("""COMPUTED_VALUE"""),"Charles Howell III")</f>
        <v>Charles Howell III</v>
      </c>
      <c r="D269">
        <f ca="1">IFERROR(__xludf.DUMMYFUNCTION("""COMPUTED_VALUE"""),10)</f>
        <v>10</v>
      </c>
      <c r="E269" t="str">
        <f ca="1">IFERROR(__xludf.DUMMYFUNCTION("""COMPUTED_VALUE"""),"47' 6""")</f>
        <v>47' 6"</v>
      </c>
      <c r="F269" s="2">
        <f ca="1">IFERROR(__xludf.DUMMYFUNCTION("""COMPUTED_VALUE"""),6746.917)</f>
        <v>6746.9170000000004</v>
      </c>
      <c r="G269">
        <f ca="1">IFERROR(__xludf.DUMMYFUNCTION("""COMPUTED_VALUE"""),142)</f>
        <v>142</v>
      </c>
      <c r="H269" t="str">
        <f ca="1">IFERROR(__xludf.DUMMYFUNCTION("""COMPUTED_VALUE"""),"Under")</f>
        <v>Under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IFERROR(__xludf.DUMMYFUNCTION("""COMPUTED_VALUE"""),"Matthias Schwab")</f>
        <v>Matthias Schwab</v>
      </c>
      <c r="D270">
        <f ca="1">IFERROR(__xludf.DUMMYFUNCTION("""COMPUTED_VALUE"""),8)</f>
        <v>8</v>
      </c>
      <c r="E270" t="str">
        <f ca="1">IFERROR(__xludf.DUMMYFUNCTION("""COMPUTED_VALUE"""),"47' 8""")</f>
        <v>47' 8"</v>
      </c>
      <c r="F270" s="2">
        <f ca="1">IFERROR(__xludf.DUMMYFUNCTION("""COMPUTED_VALUE"""),3382.583)</f>
        <v>3382.5830000000001</v>
      </c>
      <c r="G270">
        <f ca="1">IFERROR(__xludf.DUMMYFUNCTION("""COMPUTED_VALUE"""),71)</f>
        <v>71</v>
      </c>
      <c r="H270" t="str">
        <f ca="1">IFERROR(__xludf.DUMMYFUNCTION("""COMPUTED_VALUE"""),"Over")</f>
        <v>Over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IFERROR(__xludf.DUMMYFUNCTION("""COMPUTED_VALUE"""),"Robert MacIntyre")</f>
        <v>Robert MacIntyre</v>
      </c>
      <c r="D271">
        <f ca="1">IFERROR(__xludf.DUMMYFUNCTION("""COMPUTED_VALUE"""),4)</f>
        <v>4</v>
      </c>
      <c r="E271" t="str">
        <f ca="1">IFERROR(__xludf.DUMMYFUNCTION("""COMPUTED_VALUE"""),"48' 1""")</f>
        <v>48' 1"</v>
      </c>
      <c r="F271" s="2">
        <f ca="1">IFERROR(__xludf.DUMMYFUNCTION("""COMPUTED_VALUE"""),3461.083)</f>
        <v>3461.0830000000001</v>
      </c>
      <c r="G271">
        <f ca="1">IFERROR(__xludf.DUMMYFUNCTION("""COMPUTED_VALUE"""),72)</f>
        <v>72</v>
      </c>
      <c r="H271" t="str">
        <f ca="1">IFERROR(__xludf.DUMMYFUNCTION("""COMPUTED_VALUE"""),"Over")</f>
        <v>Over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IFERROR(__xludf.DUMMYFUNCTION("""COMPUTED_VALUE"""),"Thomas Detry")</f>
        <v>Thomas Detry</v>
      </c>
      <c r="D272">
        <f ca="1">IFERROR(__xludf.DUMMYFUNCTION("""COMPUTED_VALUE"""),8)</f>
        <v>8</v>
      </c>
      <c r="E272" t="str">
        <f ca="1">IFERROR(__xludf.DUMMYFUNCTION("""COMPUTED_VALUE"""),"48' 9""")</f>
        <v>48' 9"</v>
      </c>
      <c r="F272" s="2">
        <f ca="1">IFERROR(__xludf.DUMMYFUNCTION("""COMPUTED_VALUE"""),3508.667)</f>
        <v>3508.6669999999999</v>
      </c>
      <c r="G272">
        <f ca="1">IFERROR(__xludf.DUMMYFUNCTION("""COMPUTED_VALUE"""),72)</f>
        <v>72</v>
      </c>
      <c r="H272" t="str">
        <f ca="1">IFERROR(__xludf.DUMMYFUNCTION("""COMPUTED_VALUE"""),"Over")</f>
        <v>Over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IFERROR(__xludf.DUMMYFUNCTION("""COMPUTED_VALUE"""),"Matt Wallace")</f>
        <v>Matt Wallace</v>
      </c>
      <c r="D273">
        <f ca="1">IFERROR(__xludf.DUMMYFUNCTION("""COMPUTED_VALUE"""),4)</f>
        <v>4</v>
      </c>
      <c r="E273" t="str">
        <f ca="1">IFERROR(__xludf.DUMMYFUNCTION("""COMPUTED_VALUE"""),"49' 3""")</f>
        <v>49' 3"</v>
      </c>
      <c r="F273" s="2">
        <f ca="1">IFERROR(__xludf.DUMMYFUNCTION("""COMPUTED_VALUE"""),3544.333)</f>
        <v>3544.3330000000001</v>
      </c>
      <c r="G273">
        <f ca="1">IFERROR(__xludf.DUMMYFUNCTION("""COMPUTED_VALUE"""),72)</f>
        <v>72</v>
      </c>
      <c r="H273" t="str">
        <f ca="1">IFERROR(__xludf.DUMMYFUNCTION("""COMPUTED_VALUE"""),"Over")</f>
        <v>Over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IFERROR(__xludf.DUMMYFUNCTION("""COMPUTED_VALUE"""),"Rasmus Hojgaard")</f>
        <v>Rasmus Hojgaard</v>
      </c>
      <c r="D274">
        <f ca="1">IFERROR(__xludf.DUMMYFUNCTION("""COMPUTED_VALUE"""),6)</f>
        <v>6</v>
      </c>
      <c r="E274" t="str">
        <f ca="1">IFERROR(__xludf.DUMMYFUNCTION("""COMPUTED_VALUE"""),"49' 4""")</f>
        <v>49' 4"</v>
      </c>
      <c r="F274" s="2">
        <f ca="1">IFERROR(__xludf.DUMMYFUNCTION("""COMPUTED_VALUE"""),1775.417)</f>
        <v>1775.4169999999999</v>
      </c>
      <c r="G274">
        <f ca="1">IFERROR(__xludf.DUMMYFUNCTION("""COMPUTED_VALUE"""),36)</f>
        <v>36</v>
      </c>
      <c r="H274" t="str">
        <f ca="1">IFERROR(__xludf.DUMMYFUNCTION("""COMPUTED_VALUE"""),"Over")</f>
        <v>Over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IFERROR(__xludf.DUMMYFUNCTION("""COMPUTED_VALUE"""),"Taylor Pendrith")</f>
        <v>Taylor Pendrith</v>
      </c>
      <c r="D275">
        <f ca="1">IFERROR(__xludf.DUMMYFUNCTION("""COMPUTED_VALUE"""),4)</f>
        <v>4</v>
      </c>
      <c r="E275" t="str">
        <f ca="1">IFERROR(__xludf.DUMMYFUNCTION("""COMPUTED_VALUE"""),"49' 10""")</f>
        <v>49' 10"</v>
      </c>
      <c r="F275" s="2">
        <f ca="1">IFERROR(__xludf.DUMMYFUNCTION("""COMPUTED_VALUE"""),3590.167)</f>
        <v>3590.1669999999999</v>
      </c>
      <c r="G275">
        <f ca="1">IFERROR(__xludf.DUMMYFUNCTION("""COMPUTED_VALUE"""),72)</f>
        <v>72</v>
      </c>
      <c r="H275" t="str">
        <f ca="1">IFERROR(__xludf.DUMMYFUNCTION("""COMPUTED_VALUE"""),"Over")</f>
        <v>Over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IFERROR(__xludf.DUMMYFUNCTION("""COMPUTED_VALUE"""),"Stephan Jaeger")</f>
        <v>Stephan Jaeger</v>
      </c>
      <c r="D276">
        <f ca="1">IFERROR(__xludf.DUMMYFUNCTION("""COMPUTED_VALUE"""),4)</f>
        <v>4</v>
      </c>
      <c r="E276" t="str">
        <f ca="1">IFERROR(__xludf.DUMMYFUNCTION("""COMPUTED_VALUE"""),"52' 2""")</f>
        <v>52' 2"</v>
      </c>
      <c r="F276" s="2">
        <f ca="1">IFERROR(__xludf.DUMMYFUNCTION("""COMPUTED_VALUE"""),3754.25)</f>
        <v>3754.25</v>
      </c>
      <c r="G276">
        <f ca="1">IFERROR(__xludf.DUMMYFUNCTION("""COMPUTED_VALUE"""),72)</f>
        <v>72</v>
      </c>
      <c r="H276" t="str">
        <f ca="1">IFERROR(__xludf.DUMMYFUNCTION("""COMPUTED_VALUE"""),"Over")</f>
        <v>Over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IFERROR(__xludf.DUMMYFUNCTION("""COMPUTED_VALUE"""),"Renato Paratore")</f>
        <v>Renato Paratore</v>
      </c>
      <c r="D277">
        <f ca="1">IFERROR(__xludf.DUMMYFUNCTION("""COMPUTED_VALUE"""),4)</f>
        <v>4</v>
      </c>
      <c r="E277" t="str">
        <f ca="1">IFERROR(__xludf.DUMMYFUNCTION("""COMPUTED_VALUE"""),"57' 1""")</f>
        <v>57' 1"</v>
      </c>
      <c r="F277" s="2">
        <f ca="1">IFERROR(__xludf.DUMMYFUNCTION("""COMPUTED_VALUE"""),4112.75)</f>
        <v>4112.75</v>
      </c>
      <c r="G277">
        <f ca="1">IFERROR(__xludf.DUMMYFUNCTION("""COMPUTED_VALUE"""),72)</f>
        <v>72</v>
      </c>
      <c r="H277" t="str">
        <f ca="1">IFERROR(__xludf.DUMMYFUNCTION("""COMPUTED_VALUE"""),"Over")</f>
        <v>Over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IFERROR(__xludf.DUMMYFUNCTION("importhtml(""http://www.pgatour.com/stats/stat.431.html"",""table"",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IFERROR(__xludf.DUMMYFUNCTION("""COMPUTED_VALUE"""),"ATTEMPTS")</f>
        <v>ATTEMPTS</v>
      </c>
      <c r="G1" t="str">
        <f ca="1">IFERROR(__xludf.DUMMYFUNCTION("""COMPUTED_VALUE"""),"TOTAL DISTANCE (FEET)")</f>
        <v>TOTAL DISTANCE (FEET)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IFERROR(__xludf.DUMMYFUNCTION("""COMPUTED_VALUE"""),"Ricky Barnes")</f>
        <v>Ricky Barnes</v>
      </c>
      <c r="D2">
        <f ca="1">IFERROR(__xludf.DUMMYFUNCTION("""COMPUTED_VALUE"""),12)</f>
        <v>12</v>
      </c>
      <c r="E2" t="str">
        <f ca="1">IFERROR(__xludf.DUMMYFUNCTION("""COMPUTED_VALUE"""),"20' 5""")</f>
        <v>20' 5"</v>
      </c>
      <c r="F2">
        <f ca="1">IFERROR(__xludf.DUMMYFUNCTION("""COMPUTED_VALUE"""),50)</f>
        <v>50</v>
      </c>
      <c r="G2" s="2">
        <f ca="1">IFERROR(__xludf.DUMMYFUNCTION("""COMPUTED_VALUE"""),1019.5)</f>
        <v>1019.5</v>
      </c>
      <c r="H2">
        <f ca="1">IFERROR(__xludf.DUMMYFUNCTION("""COMPUTED_VALUE"""),-9)</f>
        <v>-9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IFERROR(__xludf.DUMMYFUNCTION("""COMPUTED_VALUE"""),"Jim Furyk")</f>
        <v>Jim Furyk</v>
      </c>
      <c r="D3">
        <f ca="1">IFERROR(__xludf.DUMMYFUNCTION("""COMPUTED_VALUE"""),4)</f>
        <v>4</v>
      </c>
      <c r="E3" t="str">
        <f ca="1">IFERROR(__xludf.DUMMYFUNCTION("""COMPUTED_VALUE"""),"21' 5""")</f>
        <v>21' 5"</v>
      </c>
      <c r="F3">
        <f ca="1">IFERROR(__xludf.DUMMYFUNCTION("""COMPUTED_VALUE"""),61)</f>
        <v>61</v>
      </c>
      <c r="G3" s="2">
        <f ca="1">IFERROR(__xludf.DUMMYFUNCTION("""COMPUTED_VALUE"""),1308.333)</f>
        <v>1308.3330000000001</v>
      </c>
      <c r="H3">
        <f ca="1">IFERROR(__xludf.DUMMYFUNCTION("""COMPUTED_VALUE"""),-11)</f>
        <v>-11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IFERROR(__xludf.DUMMYFUNCTION("""COMPUTED_VALUE"""),"Ryan Blaum")</f>
        <v>Ryan Blaum</v>
      </c>
      <c r="D4">
        <f ca="1">IFERROR(__xludf.DUMMYFUNCTION("""COMPUTED_VALUE"""),8)</f>
        <v>8</v>
      </c>
      <c r="E4" t="str">
        <f ca="1">IFERROR(__xludf.DUMMYFUNCTION("""COMPUTED_VALUE"""),"23' 6""")</f>
        <v>23' 6"</v>
      </c>
      <c r="F4">
        <f ca="1">IFERROR(__xludf.DUMMYFUNCTION("""COMPUTED_VALUE"""),49)</f>
        <v>49</v>
      </c>
      <c r="G4" s="2">
        <f ca="1">IFERROR(__xludf.DUMMYFUNCTION("""COMPUTED_VALUE"""),1149.75)</f>
        <v>1149.75</v>
      </c>
      <c r="H4">
        <f ca="1">IFERROR(__xludf.DUMMYFUNCTION("""COMPUTED_VALUE"""),-11)</f>
        <v>-11</v>
      </c>
    </row>
    <row r="5" spans="1:8" ht="15.75" customHeight="1">
      <c r="A5" t="str">
        <f ca="1">IFERROR(__xludf.DUMMYFUNCTION("""COMPUTED_VALUE"""),"T4")</f>
        <v>T4</v>
      </c>
      <c r="B5" t="str">
        <f ca="1">IFERROR(__xludf.DUMMYFUNCTION("""COMPUTED_VALUE"""),"T6")</f>
        <v>T6</v>
      </c>
      <c r="C5" t="str">
        <f ca="1">IFERROR(__xludf.DUMMYFUNCTION("""COMPUTED_VALUE"""),"William McGirt")</f>
        <v>William McGirt</v>
      </c>
      <c r="D5">
        <f ca="1">IFERROR(__xludf.DUMMYFUNCTION("""COMPUTED_VALUE"""),6)</f>
        <v>6</v>
      </c>
      <c r="E5" t="str">
        <f ca="1">IFERROR(__xludf.DUMMYFUNCTION("""COMPUTED_VALUE"""),"24' 10""")</f>
        <v>24' 10"</v>
      </c>
      <c r="F5">
        <f ca="1">IFERROR(__xludf.DUMMYFUNCTION("""COMPUTED_VALUE"""),76)</f>
        <v>76</v>
      </c>
      <c r="G5" s="2">
        <f ca="1">IFERROR(__xludf.DUMMYFUNCTION("""COMPUTED_VALUE"""),1889.083)</f>
        <v>1889.0830000000001</v>
      </c>
      <c r="H5">
        <f ca="1">IFERROR(__xludf.DUMMYFUNCTION("""COMPUTED_VALUE"""),-5)</f>
        <v>-5</v>
      </c>
    </row>
    <row r="6" spans="1:8" ht="15.75" customHeight="1">
      <c r="A6" t="str">
        <f ca="1">IFERROR(__xludf.DUMMYFUNCTION("""COMPUTED_VALUE"""),"T4")</f>
        <v>T4</v>
      </c>
      <c r="B6" t="str">
        <f ca="1">IFERROR(__xludf.DUMMYFUNCTION("""COMPUTED_VALUE"""),"T6")</f>
        <v>T6</v>
      </c>
      <c r="C6" t="str">
        <f ca="1">IFERROR(__xludf.DUMMYFUNCTION("""COMPUTED_VALUE"""),"J.J. Spaun")</f>
        <v>J.J. Spaun</v>
      </c>
      <c r="D6">
        <f ca="1">IFERROR(__xludf.DUMMYFUNCTION("""COMPUTED_VALUE"""),10)</f>
        <v>10</v>
      </c>
      <c r="E6" t="str">
        <f ca="1">IFERROR(__xludf.DUMMYFUNCTION("""COMPUTED_VALUE"""),"24' 10""")</f>
        <v>24' 10"</v>
      </c>
      <c r="F6">
        <f ca="1">IFERROR(__xludf.DUMMYFUNCTION("""COMPUTED_VALUE"""),85)</f>
        <v>85</v>
      </c>
      <c r="G6" s="2">
        <f ca="1">IFERROR(__xludf.DUMMYFUNCTION("""COMPUTED_VALUE"""),2109.833)</f>
        <v>2109.8330000000001</v>
      </c>
      <c r="H6">
        <f ca="1">IFERROR(__xludf.DUMMYFUNCTION("""COMPUTED_VALUE"""),-13)</f>
        <v>-13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IFERROR(__xludf.DUMMYFUNCTION("""COMPUTED_VALUE"""),8)</f>
        <v>8</v>
      </c>
      <c r="C7" t="str">
        <f ca="1">IFERROR(__xludf.DUMMYFUNCTION("""COMPUTED_VALUE"""),"Ben Taylor")</f>
        <v>Ben Taylor</v>
      </c>
      <c r="D7">
        <f ca="1">IFERROR(__xludf.DUMMYFUNCTION("""COMPUTED_VALUE"""),10)</f>
        <v>10</v>
      </c>
      <c r="E7" t="str">
        <f ca="1">IFERROR(__xludf.DUMMYFUNCTION("""COMPUTED_VALUE"""),"25' 0""")</f>
        <v>25' 0"</v>
      </c>
      <c r="F7">
        <f ca="1">IFERROR(__xludf.DUMMYFUNCTION("""COMPUTED_VALUE"""),44)</f>
        <v>44</v>
      </c>
      <c r="G7" s="2">
        <f ca="1">IFERROR(__xludf.DUMMYFUNCTION("""COMPUTED_VALUE"""),1099.417)</f>
        <v>1099.4169999999999</v>
      </c>
      <c r="H7">
        <f ca="1">IFERROR(__xludf.DUMMYFUNCTION("""COMPUTED_VALUE"""),-9)</f>
        <v>-9</v>
      </c>
    </row>
    <row r="8" spans="1:8" ht="15.75" customHeight="1">
      <c r="A8">
        <f ca="1">IFERROR(__xludf.DUMMYFUNCTION("""COMPUTED_VALUE"""),7)</f>
        <v>7</v>
      </c>
      <c r="B8" t="str">
        <f ca="1">IFERROR(__xludf.DUMMYFUNCTION("""COMPUTED_VALUE"""),"T9")</f>
        <v>T9</v>
      </c>
      <c r="C8" t="str">
        <f ca="1">IFERROR(__xludf.DUMMYFUNCTION("""COMPUTED_VALUE"""),"Justin Suh")</f>
        <v>Justin Suh</v>
      </c>
      <c r="D8">
        <f ca="1">IFERROR(__xludf.DUMMYFUNCTION("""COMPUTED_VALUE"""),10)</f>
        <v>10</v>
      </c>
      <c r="E8" t="str">
        <f ca="1">IFERROR(__xludf.DUMMYFUNCTION("""COMPUTED_VALUE"""),"25' 2""")</f>
        <v>25' 2"</v>
      </c>
      <c r="F8">
        <f ca="1">IFERROR(__xludf.DUMMYFUNCTION("""COMPUTED_VALUE"""),50)</f>
        <v>50</v>
      </c>
      <c r="G8" s="2">
        <f ca="1">IFERROR(__xludf.DUMMYFUNCTION("""COMPUTED_VALUE"""),1256.75)</f>
        <v>1256.75</v>
      </c>
      <c r="H8">
        <f ca="1">IFERROR(__xludf.DUMMYFUNCTION("""COMPUTED_VALUE"""),-15)</f>
        <v>-15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IFERROR(__xludf.DUMMYFUNCTION("""COMPUTED_VALUE"""),11)</f>
        <v>11</v>
      </c>
      <c r="C9" t="str">
        <f ca="1">IFERROR(__xludf.DUMMYFUNCTION("""COMPUTED_VALUE"""),"Sebastian Cappelen")</f>
        <v>Sebastian Cappelen</v>
      </c>
      <c r="D9">
        <f ca="1">IFERROR(__xludf.DUMMYFUNCTION("""COMPUTED_VALUE"""),8)</f>
        <v>8</v>
      </c>
      <c r="E9" t="str">
        <f ca="1">IFERROR(__xludf.DUMMYFUNCTION("""COMPUTED_VALUE"""),"25' 4""")</f>
        <v>25' 4"</v>
      </c>
      <c r="F9">
        <f ca="1">IFERROR(__xludf.DUMMYFUNCTION("""COMPUTED_VALUE"""),47)</f>
        <v>47</v>
      </c>
      <c r="G9" s="2">
        <f ca="1">IFERROR(__xludf.DUMMYFUNCTION("""COMPUTED_VALUE"""),1192.583)</f>
        <v>1192.5830000000001</v>
      </c>
      <c r="H9">
        <f ca="1">IFERROR(__xludf.DUMMYFUNCTION("""COMPUTED_VALUE"""),-5)</f>
        <v>-5</v>
      </c>
    </row>
    <row r="10" spans="1:8" ht="15.75" customHeight="1">
      <c r="A10" t="str">
        <f ca="1">IFERROR(__xludf.DUMMYFUNCTION("""COMPUTED_VALUE"""),"T9")</f>
        <v>T9</v>
      </c>
      <c r="B10">
        <f ca="1">IFERROR(__xludf.DUMMYFUNCTION("""COMPUTED_VALUE"""),4)</f>
        <v>4</v>
      </c>
      <c r="C10" t="str">
        <f ca="1">IFERROR(__xludf.DUMMYFUNCTION("""COMPUTED_VALUE"""),"Russell Knox")</f>
        <v>Russell Knox</v>
      </c>
      <c r="D10">
        <f ca="1">IFERROR(__xludf.DUMMYFUNCTION("""COMPUTED_VALUE"""),16)</f>
        <v>16</v>
      </c>
      <c r="E10" t="str">
        <f ca="1">IFERROR(__xludf.DUMMYFUNCTION("""COMPUTED_VALUE"""),"25' 7""")</f>
        <v>25' 7"</v>
      </c>
      <c r="F10">
        <f ca="1">IFERROR(__xludf.DUMMYFUNCTION("""COMPUTED_VALUE"""),160)</f>
        <v>160</v>
      </c>
      <c r="G10" s="2">
        <f ca="1">IFERROR(__xludf.DUMMYFUNCTION("""COMPUTED_VALUE"""),4095.083)</f>
        <v>4095.0830000000001</v>
      </c>
      <c r="H10">
        <f ca="1">IFERROR(__xludf.DUMMYFUNCTION("""COMPUTED_VALUE"""),-30)</f>
        <v>-30</v>
      </c>
    </row>
    <row r="11" spans="1:8" ht="15.75" customHeight="1">
      <c r="A11" t="str">
        <f ca="1">IFERROR(__xludf.DUMMYFUNCTION("""COMPUTED_VALUE"""),"T9")</f>
        <v>T9</v>
      </c>
      <c r="B11">
        <f ca="1">IFERROR(__xludf.DUMMYFUNCTION("""COMPUTED_VALUE"""),12)</f>
        <v>12</v>
      </c>
      <c r="C11" t="str">
        <f ca="1">IFERROR(__xludf.DUMMYFUNCTION("""COMPUTED_VALUE"""),"George McNeill")</f>
        <v>George McNeill</v>
      </c>
      <c r="D11">
        <f ca="1">IFERROR(__xludf.DUMMYFUNCTION("""COMPUTED_VALUE"""),8)</f>
        <v>8</v>
      </c>
      <c r="E11" t="str">
        <f ca="1">IFERROR(__xludf.DUMMYFUNCTION("""COMPUTED_VALUE"""),"25' 7""")</f>
        <v>25' 7"</v>
      </c>
      <c r="F11">
        <f ca="1">IFERROR(__xludf.DUMMYFUNCTION("""COMPUTED_VALUE"""),22)</f>
        <v>22</v>
      </c>
      <c r="G11">
        <f ca="1">IFERROR(__xludf.DUMMYFUNCTION("""COMPUTED_VALUE"""),563.667)</f>
        <v>563.66700000000003</v>
      </c>
      <c r="H11" t="str">
        <f ca="1">IFERROR(__xludf.DUMMYFUNCTION("""COMPUTED_VALUE"""),"+3.00")</f>
        <v>+3.00</v>
      </c>
    </row>
    <row r="12" spans="1:8" ht="15.75" customHeight="1">
      <c r="A12">
        <f ca="1">IFERROR(__xludf.DUMMYFUNCTION("""COMPUTED_VALUE"""),11)</f>
        <v>11</v>
      </c>
      <c r="B12" t="str">
        <f ca="1">IFERROR(__xludf.DUMMYFUNCTION("""COMPUTED_VALUE"""),"T13")</f>
        <v>T13</v>
      </c>
      <c r="C12" t="str">
        <f ca="1">IFERROR(__xludf.DUMMYFUNCTION("""COMPUTED_VALUE"""),"Andy Zhang")</f>
        <v>Andy Zhang</v>
      </c>
      <c r="D12">
        <f ca="1">IFERROR(__xludf.DUMMYFUNCTION("""COMPUTED_VALUE"""),4)</f>
        <v>4</v>
      </c>
      <c r="E12" t="str">
        <f ca="1">IFERROR(__xludf.DUMMYFUNCTION("""COMPUTED_VALUE"""),"25' 9""")</f>
        <v>25' 9"</v>
      </c>
      <c r="F12">
        <f ca="1">IFERROR(__xludf.DUMMYFUNCTION("""COMPUTED_VALUE"""),42)</f>
        <v>42</v>
      </c>
      <c r="G12" s="2">
        <f ca="1">IFERROR(__xludf.DUMMYFUNCTION("""COMPUTED_VALUE"""),1080.833)</f>
        <v>1080.8330000000001</v>
      </c>
      <c r="H12">
        <f ca="1">IFERROR(__xludf.DUMMYFUNCTION("""COMPUTED_VALUE"""),-8)</f>
        <v>-8</v>
      </c>
    </row>
    <row r="13" spans="1:8" ht="15.75" customHeight="1">
      <c r="A13">
        <f ca="1">IFERROR(__xludf.DUMMYFUNCTION("""COMPUTED_VALUE"""),12)</f>
        <v>12</v>
      </c>
      <c r="B13" t="str">
        <f ca="1">IFERROR(__xludf.DUMMYFUNCTION("""COMPUTED_VALUE"""),"T15")</f>
        <v>T15</v>
      </c>
      <c r="C13" t="str">
        <f ca="1">IFERROR(__xludf.DUMMYFUNCTION("""COMPUTED_VALUE"""),"Cameron Percy")</f>
        <v>Cameron Percy</v>
      </c>
      <c r="D13">
        <f ca="1">IFERROR(__xludf.DUMMYFUNCTION("""COMPUTED_VALUE"""),16)</f>
        <v>16</v>
      </c>
      <c r="E13" t="str">
        <f ca="1">IFERROR(__xludf.DUMMYFUNCTION("""COMPUTED_VALUE"""),"25' 11""")</f>
        <v>25' 11"</v>
      </c>
      <c r="F13">
        <f ca="1">IFERROR(__xludf.DUMMYFUNCTION("""COMPUTED_VALUE"""),104)</f>
        <v>104</v>
      </c>
      <c r="G13" s="2">
        <f ca="1">IFERROR(__xludf.DUMMYFUNCTION("""COMPUTED_VALUE"""),2695.917)</f>
        <v>2695.9169999999999</v>
      </c>
      <c r="H13">
        <f ca="1">IFERROR(__xludf.DUMMYFUNCTION("""COMPUTED_VALUE"""),-17)</f>
        <v>-17</v>
      </c>
    </row>
    <row r="14" spans="1:8" ht="15.75" customHeight="1">
      <c r="A14">
        <f ca="1">IFERROR(__xludf.DUMMYFUNCTION("""COMPUTED_VALUE"""),13)</f>
        <v>13</v>
      </c>
      <c r="B14">
        <f ca="1">IFERROR(__xludf.DUMMYFUNCTION("""COMPUTED_VALUE"""),17)</f>
        <v>17</v>
      </c>
      <c r="C14" t="str">
        <f ca="1">IFERROR(__xludf.DUMMYFUNCTION("""COMPUTED_VALUE"""),"Anirban Lahiri")</f>
        <v>Anirban Lahiri</v>
      </c>
      <c r="D14">
        <f ca="1">IFERROR(__xludf.DUMMYFUNCTION("""COMPUTED_VALUE"""),16)</f>
        <v>16</v>
      </c>
      <c r="E14" t="str">
        <f ca="1">IFERROR(__xludf.DUMMYFUNCTION("""COMPUTED_VALUE"""),"26' 0""")</f>
        <v>26' 0"</v>
      </c>
      <c r="F14">
        <f ca="1">IFERROR(__xludf.DUMMYFUNCTION("""COMPUTED_VALUE"""),93)</f>
        <v>93</v>
      </c>
      <c r="G14" s="2">
        <f ca="1">IFERROR(__xludf.DUMMYFUNCTION("""COMPUTED_VALUE"""),2414.667)</f>
        <v>2414.6669999999999</v>
      </c>
      <c r="H14">
        <f ca="1">IFERROR(__xludf.DUMMYFUNCTION("""COMPUTED_VALUE"""),-20)</f>
        <v>-20</v>
      </c>
    </row>
    <row r="15" spans="1:8" ht="15.75" customHeight="1">
      <c r="A15" t="str">
        <f ca="1">IFERROR(__xludf.DUMMYFUNCTION("""COMPUTED_VALUE"""),"T14")</f>
        <v>T14</v>
      </c>
      <c r="B15" t="str">
        <f ca="1">IFERROR(__xludf.DUMMYFUNCTION("""COMPUTED_VALUE"""),"T13")</f>
        <v>T13</v>
      </c>
      <c r="C15" t="str">
        <f ca="1">IFERROR(__xludf.DUMMYFUNCTION("""COMPUTED_VALUE"""),"Jason Dufner")</f>
        <v>Jason Dufner</v>
      </c>
      <c r="D15">
        <f ca="1">IFERROR(__xludf.DUMMYFUNCTION("""COMPUTED_VALUE"""),14)</f>
        <v>14</v>
      </c>
      <c r="E15" t="str">
        <f ca="1">IFERROR(__xludf.DUMMYFUNCTION("""COMPUTED_VALUE"""),"26' 3""")</f>
        <v>26' 3"</v>
      </c>
      <c r="F15">
        <f ca="1">IFERROR(__xludf.DUMMYFUNCTION("""COMPUTED_VALUE"""),132)</f>
        <v>132</v>
      </c>
      <c r="G15" s="2">
        <f ca="1">IFERROR(__xludf.DUMMYFUNCTION("""COMPUTED_VALUE"""),3463.583)</f>
        <v>3463.5830000000001</v>
      </c>
      <c r="H15">
        <f ca="1">IFERROR(__xludf.DUMMYFUNCTION("""COMPUTED_VALUE"""),-14)</f>
        <v>-14</v>
      </c>
    </row>
    <row r="16" spans="1:8" ht="15.75" customHeight="1">
      <c r="A16" t="str">
        <f ca="1">IFERROR(__xludf.DUMMYFUNCTION("""COMPUTED_VALUE"""),"T14")</f>
        <v>T14</v>
      </c>
      <c r="B16">
        <f ca="1">IFERROR(__xludf.DUMMYFUNCTION("""COMPUTED_VALUE"""),20)</f>
        <v>20</v>
      </c>
      <c r="C16" t="str">
        <f ca="1">IFERROR(__xludf.DUMMYFUNCTION("""COMPUTED_VALUE"""),"Tyler McCumber")</f>
        <v>Tyler McCumber</v>
      </c>
      <c r="D16">
        <f ca="1">IFERROR(__xludf.DUMMYFUNCTION("""COMPUTED_VALUE"""),14)</f>
        <v>14</v>
      </c>
      <c r="E16" t="str">
        <f ca="1">IFERROR(__xludf.DUMMYFUNCTION("""COMPUTED_VALUE"""),"26' 3""")</f>
        <v>26' 3"</v>
      </c>
      <c r="F16">
        <f ca="1">IFERROR(__xludf.DUMMYFUNCTION("""COMPUTED_VALUE"""),89)</f>
        <v>89</v>
      </c>
      <c r="G16" s="2">
        <f ca="1">IFERROR(__xludf.DUMMYFUNCTION("""COMPUTED_VALUE"""),2339.083)</f>
        <v>2339.0830000000001</v>
      </c>
      <c r="H16">
        <f ca="1">IFERROR(__xludf.DUMMYFUNCTION("""COMPUTED_VALUE"""),-13)</f>
        <v>-13</v>
      </c>
    </row>
    <row r="17" spans="1:8" ht="15.75" customHeight="1">
      <c r="A17">
        <f ca="1">IFERROR(__xludf.DUMMYFUNCTION("""COMPUTED_VALUE"""),16)</f>
        <v>16</v>
      </c>
      <c r="B17">
        <f ca="1">IFERROR(__xludf.DUMMYFUNCTION("""COMPUTED_VALUE"""),5)</f>
        <v>5</v>
      </c>
      <c r="C17" t="str">
        <f ca="1">IFERROR(__xludf.DUMMYFUNCTION("""COMPUTED_VALUE"""),"Ryan Armour")</f>
        <v>Ryan Armour</v>
      </c>
      <c r="D17">
        <f ca="1">IFERROR(__xludf.DUMMYFUNCTION("""COMPUTED_VALUE"""),16)</f>
        <v>16</v>
      </c>
      <c r="E17" t="str">
        <f ca="1">IFERROR(__xludf.DUMMYFUNCTION("""COMPUTED_VALUE"""),"26' 4""")</f>
        <v>26' 4"</v>
      </c>
      <c r="F17">
        <f ca="1">IFERROR(__xludf.DUMMYFUNCTION("""COMPUTED_VALUE"""),145)</f>
        <v>145</v>
      </c>
      <c r="G17" s="2">
        <f ca="1">IFERROR(__xludf.DUMMYFUNCTION("""COMPUTED_VALUE"""),3813.583)</f>
        <v>3813.5830000000001</v>
      </c>
      <c r="H17">
        <f ca="1">IFERROR(__xludf.DUMMYFUNCTION("""COMPUTED_VALUE"""),-6)</f>
        <v>-6</v>
      </c>
    </row>
    <row r="18" spans="1:8" ht="15.75" customHeight="1">
      <c r="A18">
        <f ca="1">IFERROR(__xludf.DUMMYFUNCTION("""COMPUTED_VALUE"""),17)</f>
        <v>17</v>
      </c>
      <c r="B18">
        <f ca="1">IFERROR(__xludf.DUMMYFUNCTION("""COMPUTED_VALUE"""),22)</f>
        <v>22</v>
      </c>
      <c r="C18" t="str">
        <f ca="1">IFERROR(__xludf.DUMMYFUNCTION("""COMPUTED_VALUE"""),"Chez Reavie")</f>
        <v>Chez Reavie</v>
      </c>
      <c r="D18">
        <f ca="1">IFERROR(__xludf.DUMMYFUNCTION("""COMPUTED_VALUE"""),14)</f>
        <v>14</v>
      </c>
      <c r="E18" t="str">
        <f ca="1">IFERROR(__xludf.DUMMYFUNCTION("""COMPUTED_VALUE"""),"26' 6""")</f>
        <v>26' 6"</v>
      </c>
      <c r="F18">
        <f ca="1">IFERROR(__xludf.DUMMYFUNCTION("""COMPUTED_VALUE"""),205)</f>
        <v>205</v>
      </c>
      <c r="G18" s="2">
        <f ca="1">IFERROR(__xludf.DUMMYFUNCTION("""COMPUTED_VALUE"""),5441)</f>
        <v>5441</v>
      </c>
      <c r="H18">
        <f ca="1">IFERROR(__xludf.DUMMYFUNCTION("""COMPUTED_VALUE"""),-29)</f>
        <v>-29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IFERROR(__xludf.DUMMYFUNCTION("""COMPUTED_VALUE"""),"Ryan Brehm")</f>
        <v>Ryan Brehm</v>
      </c>
      <c r="D19">
        <f ca="1">IFERROR(__xludf.DUMMYFUNCTION("""COMPUTED_VALUE"""),10)</f>
        <v>10</v>
      </c>
      <c r="E19" t="str">
        <f ca="1">IFERROR(__xludf.DUMMYFUNCTION("""COMPUTED_VALUE"""),"26' 7""")</f>
        <v>26' 7"</v>
      </c>
      <c r="F19">
        <f ca="1">IFERROR(__xludf.DUMMYFUNCTION("""COMPUTED_VALUE"""),20)</f>
        <v>20</v>
      </c>
      <c r="G19">
        <f ca="1">IFERROR(__xludf.DUMMYFUNCTION("""COMPUTED_VALUE"""),531.5)</f>
        <v>531.5</v>
      </c>
      <c r="H19">
        <f ca="1">IFERROR(__xludf.DUMMYFUNCTION("""COMPUTED_VALUE"""),-1)</f>
        <v>-1</v>
      </c>
    </row>
    <row r="20" spans="1:8" ht="15.75" customHeight="1">
      <c r="A20" t="str">
        <f ca="1">IFERROR(__xludf.DUMMYFUNCTION("""COMPUTED_VALUE"""),"T19")</f>
        <v>T19</v>
      </c>
      <c r="B20" t="str">
        <f ca="1">IFERROR(__xludf.DUMMYFUNCTION("""COMPUTED_VALUE"""),"")</f>
        <v/>
      </c>
      <c r="C20" t="str">
        <f ca="1">IFERROR(__xludf.DUMMYFUNCTION("""COMPUTED_VALUE"""),"Erik Barnes")</f>
        <v>Erik Barnes</v>
      </c>
      <c r="D20">
        <f ca="1">IFERROR(__xludf.DUMMYFUNCTION("""COMPUTED_VALUE"""),4)</f>
        <v>4</v>
      </c>
      <c r="E20" t="str">
        <f ca="1">IFERROR(__xludf.DUMMYFUNCTION("""COMPUTED_VALUE"""),"26' 9""")</f>
        <v>26' 9"</v>
      </c>
      <c r="F20">
        <f ca="1">IFERROR(__xludf.DUMMYFUNCTION("""COMPUTED_VALUE"""),48)</f>
        <v>48</v>
      </c>
      <c r="G20" s="2">
        <f ca="1">IFERROR(__xludf.DUMMYFUNCTION("""COMPUTED_VALUE"""),1283.583)</f>
        <v>1283.5830000000001</v>
      </c>
      <c r="H20">
        <f ca="1">IFERROR(__xludf.DUMMYFUNCTION("""COMPUTED_VALUE"""),-7)</f>
        <v>-7</v>
      </c>
    </row>
    <row r="21" spans="1:8" ht="15.75" customHeight="1">
      <c r="A21" t="str">
        <f ca="1">IFERROR(__xludf.DUMMYFUNCTION("""COMPUTED_VALUE"""),"T19")</f>
        <v>T19</v>
      </c>
      <c r="B21" t="str">
        <f ca="1">IFERROR(__xludf.DUMMYFUNCTION("""COMPUTED_VALUE"""),"T24")</f>
        <v>T24</v>
      </c>
      <c r="C21" t="str">
        <f ca="1">IFERROR(__xludf.DUMMYFUNCTION("""COMPUTED_VALUE"""),"Hanbyeol Kim")</f>
        <v>Hanbyeol Kim</v>
      </c>
      <c r="D21">
        <f ca="1">IFERROR(__xludf.DUMMYFUNCTION("""COMPUTED_VALUE"""),4)</f>
        <v>4</v>
      </c>
      <c r="E21" t="str">
        <f ca="1">IFERROR(__xludf.DUMMYFUNCTION("""COMPUTED_VALUE"""),"26' 9""")</f>
        <v>26' 9"</v>
      </c>
      <c r="F21">
        <f ca="1">IFERROR(__xludf.DUMMYFUNCTION("""COMPUTED_VALUE"""),53)</f>
        <v>53</v>
      </c>
      <c r="G21" s="2">
        <f ca="1">IFERROR(__xludf.DUMMYFUNCTION("""COMPUTED_VALUE"""),1417.75)</f>
        <v>1417.75</v>
      </c>
      <c r="H21">
        <f ca="1">IFERROR(__xludf.DUMMYFUNCTION("""COMPUTED_VALUE"""),-5)</f>
        <v>-5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IFERROR(__xludf.DUMMYFUNCTION("""COMPUTED_VALUE"""),27)</f>
        <v>27</v>
      </c>
      <c r="C22" t="str">
        <f ca="1">IFERROR(__xludf.DUMMYFUNCTION("""COMPUTED_VALUE"""),"K.J. Choi")</f>
        <v>K.J. Choi</v>
      </c>
      <c r="D22">
        <f ca="1">IFERROR(__xludf.DUMMYFUNCTION("""COMPUTED_VALUE"""),6)</f>
        <v>6</v>
      </c>
      <c r="E22" t="str">
        <f ca="1">IFERROR(__xludf.DUMMYFUNCTION("""COMPUTED_VALUE"""),"27' 0""")</f>
        <v>27' 0"</v>
      </c>
      <c r="F22">
        <f ca="1">IFERROR(__xludf.DUMMYFUNCTION("""COMPUTED_VALUE"""),81)</f>
        <v>81</v>
      </c>
      <c r="G22" s="2">
        <f ca="1">IFERROR(__xludf.DUMMYFUNCTION("""COMPUTED_VALUE"""),2186.667)</f>
        <v>2186.6669999999999</v>
      </c>
      <c r="H22">
        <f ca="1">IFERROR(__xludf.DUMMYFUNCTION("""COMPUTED_VALUE"""),-4)</f>
        <v>-4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IFERROR(__xludf.DUMMYFUNCTION("""COMPUTED_VALUE"""),"T28")</f>
        <v>T28</v>
      </c>
      <c r="C23" t="str">
        <f ca="1">IFERROR(__xludf.DUMMYFUNCTION("""COMPUTED_VALUE"""),"Kyle Stanley")</f>
        <v>Kyle Stanley</v>
      </c>
      <c r="D23">
        <f ca="1">IFERROR(__xludf.DUMMYFUNCTION("""COMPUTED_VALUE"""),16)</f>
        <v>16</v>
      </c>
      <c r="E23" t="str">
        <f ca="1">IFERROR(__xludf.DUMMYFUNCTION("""COMPUTED_VALUE"""),"27' 1""")</f>
        <v>27' 1"</v>
      </c>
      <c r="F23">
        <f ca="1">IFERROR(__xludf.DUMMYFUNCTION("""COMPUTED_VALUE"""),108)</f>
        <v>108</v>
      </c>
      <c r="G23" s="2">
        <f ca="1">IFERROR(__xludf.DUMMYFUNCTION("""COMPUTED_VALUE"""),2922.167)</f>
        <v>2922.1669999999999</v>
      </c>
      <c r="H23">
        <f ca="1">IFERROR(__xludf.DUMMYFUNCTION("""COMPUTED_VALUE"""),-10)</f>
        <v>-10</v>
      </c>
    </row>
    <row r="24" spans="1:8" ht="15.75" customHeight="1">
      <c r="A24" t="str">
        <f ca="1">IFERROR(__xludf.DUMMYFUNCTION("""COMPUTED_VALUE"""),"T22")</f>
        <v>T22</v>
      </c>
      <c r="B24">
        <f ca="1">IFERROR(__xludf.DUMMYFUNCTION("""COMPUTED_VALUE"""),26)</f>
        <v>26</v>
      </c>
      <c r="C24" t="str">
        <f ca="1">IFERROR(__xludf.DUMMYFUNCTION("""COMPUTED_VALUE"""),"Emiliano Grillo")</f>
        <v>Emiliano Grillo</v>
      </c>
      <c r="D24">
        <f ca="1">IFERROR(__xludf.DUMMYFUNCTION("""COMPUTED_VALUE"""),22)</f>
        <v>22</v>
      </c>
      <c r="E24" t="str">
        <f ca="1">IFERROR(__xludf.DUMMYFUNCTION("""COMPUTED_VALUE"""),"27' 1""")</f>
        <v>27' 1"</v>
      </c>
      <c r="F24">
        <f ca="1">IFERROR(__xludf.DUMMYFUNCTION("""COMPUTED_VALUE"""),180)</f>
        <v>180</v>
      </c>
      <c r="G24" s="2">
        <f ca="1">IFERROR(__xludf.DUMMYFUNCTION("""COMPUTED_VALUE"""),4879.5)</f>
        <v>4879.5</v>
      </c>
      <c r="H24">
        <f ca="1">IFERROR(__xludf.DUMMYFUNCTION("""COMPUTED_VALUE"""),-28)</f>
        <v>-28</v>
      </c>
    </row>
    <row r="25" spans="1:8" ht="15.75" customHeight="1">
      <c r="A25" t="str">
        <f ca="1">IFERROR(__xludf.DUMMYFUNCTION("""COMPUTED_VALUE"""),"T22")</f>
        <v>T22</v>
      </c>
      <c r="B25" t="str">
        <f ca="1">IFERROR(__xludf.DUMMYFUNCTION("""COMPUTED_VALUE"""),"T24")</f>
        <v>T24</v>
      </c>
      <c r="C25" t="str">
        <f ca="1">IFERROR(__xludf.DUMMYFUNCTION("""COMPUTED_VALUE"""),"Tyrrell Hatton")</f>
        <v>Tyrrell Hatton</v>
      </c>
      <c r="D25">
        <f ca="1">IFERROR(__xludf.DUMMYFUNCTION("""COMPUTED_VALUE"""),14)</f>
        <v>14</v>
      </c>
      <c r="E25" t="str">
        <f ca="1">IFERROR(__xludf.DUMMYFUNCTION("""COMPUTED_VALUE"""),"27' 1""")</f>
        <v>27' 1"</v>
      </c>
      <c r="F25">
        <f ca="1">IFERROR(__xludf.DUMMYFUNCTION("""COMPUTED_VALUE"""),193)</f>
        <v>193</v>
      </c>
      <c r="G25" s="2">
        <f ca="1">IFERROR(__xludf.DUMMYFUNCTION("""COMPUTED_VALUE"""),5227.833)</f>
        <v>5227.8329999999996</v>
      </c>
      <c r="H25">
        <f ca="1">IFERROR(__xludf.DUMMYFUNCTION("""COMPUTED_VALUE"""),-36)</f>
        <v>-36</v>
      </c>
    </row>
    <row r="26" spans="1:8" ht="15.75" customHeight="1">
      <c r="A26" t="str">
        <f ca="1">IFERROR(__xludf.DUMMYFUNCTION("""COMPUTED_VALUE"""),"T22")</f>
        <v>T22</v>
      </c>
      <c r="B26" t="str">
        <f ca="1">IFERROR(__xludf.DUMMYFUNCTION("""COMPUTED_VALUE"""),"T15")</f>
        <v>T15</v>
      </c>
      <c r="C26" t="str">
        <f ca="1">IFERROR(__xludf.DUMMYFUNCTION("""COMPUTED_VALUE"""),"Sam Burns")</f>
        <v>Sam Burns</v>
      </c>
      <c r="D26">
        <f ca="1">IFERROR(__xludf.DUMMYFUNCTION("""COMPUTED_VALUE"""),18)</f>
        <v>18</v>
      </c>
      <c r="E26" t="str">
        <f ca="1">IFERROR(__xludf.DUMMYFUNCTION("""COMPUTED_VALUE"""),"27' 1""")</f>
        <v>27' 1"</v>
      </c>
      <c r="F26">
        <f ca="1">IFERROR(__xludf.DUMMYFUNCTION("""COMPUTED_VALUE"""),172)</f>
        <v>172</v>
      </c>
      <c r="G26" s="2">
        <f ca="1">IFERROR(__xludf.DUMMYFUNCTION("""COMPUTED_VALUE"""),4658.667)</f>
        <v>4658.6670000000004</v>
      </c>
      <c r="H26">
        <f ca="1">IFERROR(__xludf.DUMMYFUNCTION("""COMPUTED_VALUE"""),-36)</f>
        <v>-36</v>
      </c>
    </row>
    <row r="27" spans="1:8" ht="15.75" customHeight="1">
      <c r="A27" t="str">
        <f ca="1">IFERROR(__xludf.DUMMYFUNCTION("""COMPUTED_VALUE"""),"T22")</f>
        <v>T22</v>
      </c>
      <c r="B27" t="str">
        <f ca="1">IFERROR(__xludf.DUMMYFUNCTION("""COMPUTED_VALUE"""),"T28")</f>
        <v>T28</v>
      </c>
      <c r="C27" t="str">
        <f ca="1">IFERROR(__xludf.DUMMYFUNCTION("""COMPUTED_VALUE"""),"Luke Schniederjans")</f>
        <v>Luke Schniederjans</v>
      </c>
      <c r="D27">
        <f ca="1">IFERROR(__xludf.DUMMYFUNCTION("""COMPUTED_VALUE"""),4)</f>
        <v>4</v>
      </c>
      <c r="E27" t="str">
        <f ca="1">IFERROR(__xludf.DUMMYFUNCTION("""COMPUTED_VALUE"""),"27' 1""")</f>
        <v>27' 1"</v>
      </c>
      <c r="F27">
        <f ca="1">IFERROR(__xludf.DUMMYFUNCTION("""COMPUTED_VALUE"""),21)</f>
        <v>21</v>
      </c>
      <c r="G27">
        <f ca="1">IFERROR(__xludf.DUMMYFUNCTION("""COMPUTED_VALUE"""),568.833)</f>
        <v>568.83299999999997</v>
      </c>
      <c r="H27" t="str">
        <f ca="1">IFERROR(__xludf.DUMMYFUNCTION("""COMPUTED_VALUE"""),"+2.00")</f>
        <v>+2.00</v>
      </c>
    </row>
    <row r="28" spans="1:8" ht="15.75" customHeight="1">
      <c r="A28">
        <f ca="1">IFERROR(__xludf.DUMMYFUNCTION("""COMPUTED_VALUE"""),27)</f>
        <v>27</v>
      </c>
      <c r="B28">
        <f ca="1">IFERROR(__xludf.DUMMYFUNCTION("""COMPUTED_VALUE"""),31)</f>
        <v>31</v>
      </c>
      <c r="C28" t="str">
        <f ca="1">IFERROR(__xludf.DUMMYFUNCTION("""COMPUTED_VALUE"""),"Gary Woodland")</f>
        <v>Gary Woodland</v>
      </c>
      <c r="D28">
        <f ca="1">IFERROR(__xludf.DUMMYFUNCTION("""COMPUTED_VALUE"""),6)</f>
        <v>6</v>
      </c>
      <c r="E28" t="str">
        <f ca="1">IFERROR(__xludf.DUMMYFUNCTION("""COMPUTED_VALUE"""),"27' 3""")</f>
        <v>27' 3"</v>
      </c>
      <c r="F28">
        <f ca="1">IFERROR(__xludf.DUMMYFUNCTION("""COMPUTED_VALUE"""),70)</f>
        <v>70</v>
      </c>
      <c r="G28" s="2">
        <f ca="1">IFERROR(__xludf.DUMMYFUNCTION("""COMPUTED_VALUE"""),1909.5)</f>
        <v>1909.5</v>
      </c>
      <c r="H28" t="str">
        <f ca="1">IFERROR(__xludf.DUMMYFUNCTION("""COMPUTED_VALUE"""),"+1.00")</f>
        <v>+1.00</v>
      </c>
    </row>
    <row r="29" spans="1:8" ht="15.75" customHeight="1">
      <c r="A29" t="str">
        <f ca="1">IFERROR(__xludf.DUMMYFUNCTION("""COMPUTED_VALUE"""),"T28")</f>
        <v>T28</v>
      </c>
      <c r="B29" t="str">
        <f ca="1">IFERROR(__xludf.DUMMYFUNCTION("""COMPUTED_VALUE"""),"T32")</f>
        <v>T32</v>
      </c>
      <c r="C29" t="str">
        <f ca="1">IFERROR(__xludf.DUMMYFUNCTION("""COMPUTED_VALUE"""),"Akshay Bhatia")</f>
        <v>Akshay Bhatia</v>
      </c>
      <c r="D29">
        <f ca="1">IFERROR(__xludf.DUMMYFUNCTION("""COMPUTED_VALUE"""),6)</f>
        <v>6</v>
      </c>
      <c r="E29" t="str">
        <f ca="1">IFERROR(__xludf.DUMMYFUNCTION("""COMPUTED_VALUE"""),"27' 5""")</f>
        <v>27' 5"</v>
      </c>
      <c r="F29">
        <f ca="1">IFERROR(__xludf.DUMMYFUNCTION("""COMPUTED_VALUE"""),49)</f>
        <v>49</v>
      </c>
      <c r="G29" s="2">
        <f ca="1">IFERROR(__xludf.DUMMYFUNCTION("""COMPUTED_VALUE"""),1343.583)</f>
        <v>1343.5830000000001</v>
      </c>
      <c r="H29">
        <f ca="1">IFERROR(__xludf.DUMMYFUNCTION("""COMPUTED_VALUE"""),-15)</f>
        <v>-15</v>
      </c>
    </row>
    <row r="30" spans="1:8" ht="15.75" customHeight="1">
      <c r="A30" t="str">
        <f ca="1">IFERROR(__xludf.DUMMYFUNCTION("""COMPUTED_VALUE"""),"T28")</f>
        <v>T28</v>
      </c>
      <c r="B30" t="str">
        <f ca="1">IFERROR(__xludf.DUMMYFUNCTION("""COMPUTED_VALUE"""),"T32")</f>
        <v>T32</v>
      </c>
      <c r="C30" t="str">
        <f ca="1">IFERROR(__xludf.DUMMYFUNCTION("""COMPUTED_VALUE"""),"Jaekyeong Lee")</f>
        <v>Jaekyeong Lee</v>
      </c>
      <c r="D30">
        <f ca="1">IFERROR(__xludf.DUMMYFUNCTION("""COMPUTED_VALUE"""),4)</f>
        <v>4</v>
      </c>
      <c r="E30" t="str">
        <f ca="1">IFERROR(__xludf.DUMMYFUNCTION("""COMPUTED_VALUE"""),"27' 5""")</f>
        <v>27' 5"</v>
      </c>
      <c r="F30">
        <f ca="1">IFERROR(__xludf.DUMMYFUNCTION("""COMPUTED_VALUE"""),49)</f>
        <v>49</v>
      </c>
      <c r="G30" s="2">
        <f ca="1">IFERROR(__xludf.DUMMYFUNCTION("""COMPUTED_VALUE"""),1345.333)</f>
        <v>1345.3330000000001</v>
      </c>
      <c r="H30">
        <f ca="1">IFERROR(__xludf.DUMMYFUNCTION("""COMPUTED_VALUE"""),-4)</f>
        <v>-4</v>
      </c>
    </row>
    <row r="31" spans="1:8" ht="12.75">
      <c r="A31">
        <f ca="1">IFERROR(__xludf.DUMMYFUNCTION("""COMPUTED_VALUE"""),30)</f>
        <v>30</v>
      </c>
      <c r="B31" t="str">
        <f ca="1">IFERROR(__xludf.DUMMYFUNCTION("""COMPUTED_VALUE"""),"T37")</f>
        <v>T37</v>
      </c>
      <c r="C31" t="str">
        <f ca="1">IFERROR(__xludf.DUMMYFUNCTION("""COMPUTED_VALUE"""),"Maverick McNealy")</f>
        <v>Maverick McNealy</v>
      </c>
      <c r="D31">
        <f ca="1">IFERROR(__xludf.DUMMYFUNCTION("""COMPUTED_VALUE"""),16)</f>
        <v>16</v>
      </c>
      <c r="E31" t="str">
        <f ca="1">IFERROR(__xludf.DUMMYFUNCTION("""COMPUTED_VALUE"""),"27' 6""")</f>
        <v>27' 6"</v>
      </c>
      <c r="F31">
        <f ca="1">IFERROR(__xludf.DUMMYFUNCTION("""COMPUTED_VALUE"""),137)</f>
        <v>137</v>
      </c>
      <c r="G31" s="2">
        <f ca="1">IFERROR(__xludf.DUMMYFUNCTION("""COMPUTED_VALUE"""),3772.083)</f>
        <v>3772.0830000000001</v>
      </c>
      <c r="H31">
        <f ca="1">IFERROR(__xludf.DUMMYFUNCTION("""COMPUTED_VALUE"""),-18)</f>
        <v>-18</v>
      </c>
    </row>
    <row r="32" spans="1:8" ht="12.75">
      <c r="A32">
        <f ca="1">IFERROR(__xludf.DUMMYFUNCTION("""COMPUTED_VALUE"""),31)</f>
        <v>31</v>
      </c>
      <c r="B32">
        <f ca="1">IFERROR(__xludf.DUMMYFUNCTION("""COMPUTED_VALUE"""),36)</f>
        <v>36</v>
      </c>
      <c r="C32" t="str">
        <f ca="1">IFERROR(__xludf.DUMMYFUNCTION("""COMPUTED_VALUE"""),"Rafael Campos")</f>
        <v>Rafael Campos</v>
      </c>
      <c r="D32">
        <f ca="1">IFERROR(__xludf.DUMMYFUNCTION("""COMPUTED_VALUE"""),6)</f>
        <v>6</v>
      </c>
      <c r="E32" t="str">
        <f ca="1">IFERROR(__xludf.DUMMYFUNCTION("""COMPUTED_VALUE"""),"27' 7""")</f>
        <v>27' 7"</v>
      </c>
      <c r="F32">
        <f ca="1">IFERROR(__xludf.DUMMYFUNCTION("""COMPUTED_VALUE"""),24)</f>
        <v>24</v>
      </c>
      <c r="G32">
        <f ca="1">IFERROR(__xludf.DUMMYFUNCTION("""COMPUTED_VALUE"""),662.167)</f>
        <v>662.16700000000003</v>
      </c>
      <c r="H32">
        <f ca="1">IFERROR(__xludf.DUMMYFUNCTION("""COMPUTED_VALUE"""),-2)</f>
        <v>-2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IFERROR(__xludf.DUMMYFUNCTION("""COMPUTED_VALUE"""),"T41")</f>
        <v>T41</v>
      </c>
      <c r="C33" t="str">
        <f ca="1">IFERROR(__xludf.DUMMYFUNCTION("""COMPUTED_VALUE"""),"Bud Cauley")</f>
        <v>Bud Cauley</v>
      </c>
      <c r="D33">
        <f ca="1">IFERROR(__xludf.DUMMYFUNCTION("""COMPUTED_VALUE"""),4)</f>
        <v>4</v>
      </c>
      <c r="E33" t="str">
        <f ca="1">IFERROR(__xludf.DUMMYFUNCTION("""COMPUTED_VALUE"""),"27' 10""")</f>
        <v>27' 10"</v>
      </c>
      <c r="F33">
        <f ca="1">IFERROR(__xludf.DUMMYFUNCTION("""COMPUTED_VALUE"""),56)</f>
        <v>56</v>
      </c>
      <c r="G33" s="2">
        <f ca="1">IFERROR(__xludf.DUMMYFUNCTION("""COMPUTED_VALUE"""),1557.667)</f>
        <v>1557.6669999999999</v>
      </c>
      <c r="H33">
        <f ca="1">IFERROR(__xludf.DUMMYFUNCTION("""COMPUTED_VALUE"""),-12)</f>
        <v>-12</v>
      </c>
    </row>
    <row r="34" spans="1:8" ht="12.75">
      <c r="A34" t="str">
        <f ca="1">IFERROR(__xludf.DUMMYFUNCTION("""COMPUTED_VALUE"""),"T32")</f>
        <v>T32</v>
      </c>
      <c r="B34" t="str">
        <f ca="1">IFERROR(__xludf.DUMMYFUNCTION("""COMPUTED_VALUE"""),"T41")</f>
        <v>T41</v>
      </c>
      <c r="C34" t="str">
        <f ca="1">IFERROR(__xludf.DUMMYFUNCTION("""COMPUTED_VALUE"""),"Wes Roach")</f>
        <v>Wes Roach</v>
      </c>
      <c r="D34">
        <f ca="1">IFERROR(__xludf.DUMMYFUNCTION("""COMPUTED_VALUE"""),6)</f>
        <v>6</v>
      </c>
      <c r="E34" t="str">
        <f ca="1">IFERROR(__xludf.DUMMYFUNCTION("""COMPUTED_VALUE"""),"27' 10""")</f>
        <v>27' 10"</v>
      </c>
      <c r="F34">
        <f ca="1">IFERROR(__xludf.DUMMYFUNCTION("""COMPUTED_VALUE"""),30)</f>
        <v>30</v>
      </c>
      <c r="G34">
        <f ca="1">IFERROR(__xludf.DUMMYFUNCTION("""COMPUTED_VALUE"""),833.75)</f>
        <v>833.75</v>
      </c>
      <c r="H34">
        <f ca="1">IFERROR(__xludf.DUMMYFUNCTION("""COMPUTED_VALUE"""),-5)</f>
        <v>-5</v>
      </c>
    </row>
    <row r="35" spans="1:8" ht="12.75">
      <c r="A35" t="str">
        <f ca="1">IFERROR(__xludf.DUMMYFUNCTION("""COMPUTED_VALUE"""),"T34")</f>
        <v>T34</v>
      </c>
      <c r="B35" t="str">
        <f ca="1">IFERROR(__xludf.DUMMYFUNCTION("""COMPUTED_VALUE"""),"T46")</f>
        <v>T46</v>
      </c>
      <c r="C35" t="str">
        <f ca="1">IFERROR(__xludf.DUMMYFUNCTION("""COMPUTED_VALUE"""),"Romain Langasque")</f>
        <v>Romain Langasque</v>
      </c>
      <c r="D35">
        <f ca="1">IFERROR(__xludf.DUMMYFUNCTION("""COMPUTED_VALUE"""),4)</f>
        <v>4</v>
      </c>
      <c r="E35" t="str">
        <f ca="1">IFERROR(__xludf.DUMMYFUNCTION("""COMPUTED_VALUE"""),"27' 11""")</f>
        <v>27' 11"</v>
      </c>
      <c r="F35">
        <f ca="1">IFERROR(__xludf.DUMMYFUNCTION("""COMPUTED_VALUE"""),43)</f>
        <v>43</v>
      </c>
      <c r="G35" s="2">
        <f ca="1">IFERROR(__xludf.DUMMYFUNCTION("""COMPUTED_VALUE"""),1201.083)</f>
        <v>1201.0830000000001</v>
      </c>
      <c r="H35" t="str">
        <f ca="1">IFERROR(__xludf.DUMMYFUNCTION("""COMPUTED_VALUE"""),"+6.00")</f>
        <v>+6.00</v>
      </c>
    </row>
    <row r="36" spans="1:8" ht="12.75">
      <c r="A36" t="str">
        <f ca="1">IFERROR(__xludf.DUMMYFUNCTION("""COMPUTED_VALUE"""),"T34")</f>
        <v>T34</v>
      </c>
      <c r="B36" t="str">
        <f ca="1">IFERROR(__xludf.DUMMYFUNCTION("""COMPUTED_VALUE"""),"T56")</f>
        <v>T56</v>
      </c>
      <c r="C36" t="str">
        <f ca="1">IFERROR(__xludf.DUMMYFUNCTION("""COMPUTED_VALUE"""),"Sepp Straka")</f>
        <v>Sepp Straka</v>
      </c>
      <c r="D36">
        <f ca="1">IFERROR(__xludf.DUMMYFUNCTION("""COMPUTED_VALUE"""),22)</f>
        <v>22</v>
      </c>
      <c r="E36" t="str">
        <f ca="1">IFERROR(__xludf.DUMMYFUNCTION("""COMPUTED_VALUE"""),"27' 11""")</f>
        <v>27' 11"</v>
      </c>
      <c r="F36">
        <f ca="1">IFERROR(__xludf.DUMMYFUNCTION("""COMPUTED_VALUE"""),167)</f>
        <v>167</v>
      </c>
      <c r="G36" s="2">
        <f ca="1">IFERROR(__xludf.DUMMYFUNCTION("""COMPUTED_VALUE"""),4656.75)</f>
        <v>4656.75</v>
      </c>
      <c r="H36">
        <f ca="1">IFERROR(__xludf.DUMMYFUNCTION("""COMPUTED_VALUE"""),-39)</f>
        <v>-39</v>
      </c>
    </row>
    <row r="37" spans="1:8" ht="12.75">
      <c r="A37" t="str">
        <f ca="1">IFERROR(__xludf.DUMMYFUNCTION("""COMPUTED_VALUE"""),"T34")</f>
        <v>T34</v>
      </c>
      <c r="B37" t="str">
        <f ca="1">IFERROR(__xludf.DUMMYFUNCTION("""COMPUTED_VALUE"""),"T37")</f>
        <v>T37</v>
      </c>
      <c r="C37" t="str">
        <f ca="1">IFERROR(__xludf.DUMMYFUNCTION("""COMPUTED_VALUE"""),"Isaiah Salinda")</f>
        <v>Isaiah Salinda</v>
      </c>
      <c r="D37">
        <f ca="1">IFERROR(__xludf.DUMMYFUNCTION("""COMPUTED_VALUE"""),8)</f>
        <v>8</v>
      </c>
      <c r="E37" t="str">
        <f ca="1">IFERROR(__xludf.DUMMYFUNCTION("""COMPUTED_VALUE"""),"27' 11""")</f>
        <v>27' 11"</v>
      </c>
      <c r="F37">
        <f ca="1">IFERROR(__xludf.DUMMYFUNCTION("""COMPUTED_VALUE"""),101)</f>
        <v>101</v>
      </c>
      <c r="G37" s="2">
        <f ca="1">IFERROR(__xludf.DUMMYFUNCTION("""COMPUTED_VALUE"""),2816.5)</f>
        <v>2816.5</v>
      </c>
      <c r="H37">
        <f ca="1">IFERROR(__xludf.DUMMYFUNCTION("""COMPUTED_VALUE"""),-13)</f>
        <v>-13</v>
      </c>
    </row>
    <row r="38" spans="1:8" ht="12.75">
      <c r="A38" t="str">
        <f ca="1">IFERROR(__xludf.DUMMYFUNCTION("""COMPUTED_VALUE"""),"T37")</f>
        <v>T37</v>
      </c>
      <c r="B38" t="str">
        <f ca="1">IFERROR(__xludf.DUMMYFUNCTION("""COMPUTED_VALUE"""),"T39")</f>
        <v>T39</v>
      </c>
      <c r="C38" t="str">
        <f ca="1">IFERROR(__xludf.DUMMYFUNCTION("""COMPUTED_VALUE"""),"Tom Hoge")</f>
        <v>Tom Hoge</v>
      </c>
      <c r="D38">
        <f ca="1">IFERROR(__xludf.DUMMYFUNCTION("""COMPUTED_VALUE"""),22)</f>
        <v>22</v>
      </c>
      <c r="E38" t="str">
        <f ca="1">IFERROR(__xludf.DUMMYFUNCTION("""COMPUTED_VALUE"""),"28' 0""")</f>
        <v>28' 0"</v>
      </c>
      <c r="F38">
        <f ca="1">IFERROR(__xludf.DUMMYFUNCTION("""COMPUTED_VALUE"""),297)</f>
        <v>297</v>
      </c>
      <c r="G38" s="2">
        <f ca="1">IFERROR(__xludf.DUMMYFUNCTION("""COMPUTED_VALUE"""),8309)</f>
        <v>8309</v>
      </c>
      <c r="H38">
        <f ca="1">IFERROR(__xludf.DUMMYFUNCTION("""COMPUTED_VALUE"""),-62)</f>
        <v>-62</v>
      </c>
    </row>
    <row r="39" spans="1:8" ht="12.75">
      <c r="A39" t="str">
        <f ca="1">IFERROR(__xludf.DUMMYFUNCTION("""COMPUTED_VALUE"""),"T37")</f>
        <v>T37</v>
      </c>
      <c r="B39" t="str">
        <f ca="1">IFERROR(__xludf.DUMMYFUNCTION("""COMPUTED_VALUE"""),"T48")</f>
        <v>T48</v>
      </c>
      <c r="C39" t="str">
        <f ca="1">IFERROR(__xludf.DUMMYFUNCTION("""COMPUTED_VALUE"""),"Justin Thomas")</f>
        <v>Justin Thomas</v>
      </c>
      <c r="D39">
        <f ca="1">IFERROR(__xludf.DUMMYFUNCTION("""COMPUTED_VALUE"""),12)</f>
        <v>12</v>
      </c>
      <c r="E39" t="str">
        <f ca="1">IFERROR(__xludf.DUMMYFUNCTION("""COMPUTED_VALUE"""),"28' 0""")</f>
        <v>28' 0"</v>
      </c>
      <c r="F39">
        <f ca="1">IFERROR(__xludf.DUMMYFUNCTION("""COMPUTED_VALUE"""),166)</f>
        <v>166</v>
      </c>
      <c r="G39" s="2">
        <f ca="1">IFERROR(__xludf.DUMMYFUNCTION("""COMPUTED_VALUE"""),4643.583)</f>
        <v>4643.5829999999996</v>
      </c>
      <c r="H39">
        <f ca="1">IFERROR(__xludf.DUMMYFUNCTION("""COMPUTED_VALUE"""),-33)</f>
        <v>-33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IFERROR(__xludf.DUMMYFUNCTION("""COMPUTED_VALUE"""),"T18")</f>
        <v>T18</v>
      </c>
      <c r="C40" t="str">
        <f ca="1">IFERROR(__xludf.DUMMYFUNCTION("""COMPUTED_VALUE"""),"Xinjun Zhang")</f>
        <v>Xinjun Zhang</v>
      </c>
      <c r="D40">
        <f ca="1">IFERROR(__xludf.DUMMYFUNCTION("""COMPUTED_VALUE"""),14)</f>
        <v>14</v>
      </c>
      <c r="E40" t="str">
        <f ca="1">IFERROR(__xludf.DUMMYFUNCTION("""COMPUTED_VALUE"""),"28' 3""")</f>
        <v>28' 3"</v>
      </c>
      <c r="F40">
        <f ca="1">IFERROR(__xludf.DUMMYFUNCTION("""COMPUTED_VALUE"""),121)</f>
        <v>121</v>
      </c>
      <c r="G40" s="2">
        <f ca="1">IFERROR(__xludf.DUMMYFUNCTION("""COMPUTED_VALUE"""),3417.167)</f>
        <v>3417.1669999999999</v>
      </c>
      <c r="H40">
        <f ca="1">IFERROR(__xludf.DUMMYFUNCTION("""COMPUTED_VALUE"""),-12)</f>
        <v>-12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IFERROR(__xludf.DUMMYFUNCTION("""COMPUTED_VALUE"""),"T39")</f>
        <v>T39</v>
      </c>
      <c r="C41" t="str">
        <f ca="1">IFERROR(__xludf.DUMMYFUNCTION("""COMPUTED_VALUE"""),"C.T. Pan")</f>
        <v>C.T. Pan</v>
      </c>
      <c r="D41">
        <f ca="1">IFERROR(__xludf.DUMMYFUNCTION("""COMPUTED_VALUE"""),20)</f>
        <v>20</v>
      </c>
      <c r="E41" t="str">
        <f ca="1">IFERROR(__xludf.DUMMYFUNCTION("""COMPUTED_VALUE"""),"28' 3""")</f>
        <v>28' 3"</v>
      </c>
      <c r="F41">
        <f ca="1">IFERROR(__xludf.DUMMYFUNCTION("""COMPUTED_VALUE"""),204)</f>
        <v>204</v>
      </c>
      <c r="G41" s="2">
        <f ca="1">IFERROR(__xludf.DUMMYFUNCTION("""COMPUTED_VALUE"""),5763.75)</f>
        <v>5763.75</v>
      </c>
      <c r="H41">
        <f ca="1">IFERROR(__xludf.DUMMYFUNCTION("""COMPUTED_VALUE"""),-26)</f>
        <v>-26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IFERROR(__xludf.DUMMYFUNCTION("""COMPUTED_VALUE"""),"T48")</f>
        <v>T48</v>
      </c>
      <c r="C42" t="str">
        <f ca="1">IFERROR(__xludf.DUMMYFUNCTION("""COMPUTED_VALUE"""),"Camilo Villegas")</f>
        <v>Camilo Villegas</v>
      </c>
      <c r="D42">
        <f ca="1">IFERROR(__xludf.DUMMYFUNCTION("""COMPUTED_VALUE"""),14)</f>
        <v>14</v>
      </c>
      <c r="E42" t="str">
        <f ca="1">IFERROR(__xludf.DUMMYFUNCTION("""COMPUTED_VALUE"""),"28' 3""")</f>
        <v>28' 3"</v>
      </c>
      <c r="F42">
        <f ca="1">IFERROR(__xludf.DUMMYFUNCTION("""COMPUTED_VALUE"""),115)</f>
        <v>115</v>
      </c>
      <c r="G42" s="2">
        <f ca="1">IFERROR(__xludf.DUMMYFUNCTION("""COMPUTED_VALUE"""),3253.333)</f>
        <v>3253.3330000000001</v>
      </c>
      <c r="H42">
        <f ca="1">IFERROR(__xludf.DUMMYFUNCTION("""COMPUTED_VALUE"""),-9)</f>
        <v>-9</v>
      </c>
    </row>
    <row r="43" spans="1:8" ht="12.75">
      <c r="A43" t="str">
        <f ca="1">IFERROR(__xludf.DUMMYFUNCTION("""COMPUTED_VALUE"""),"T39")</f>
        <v>T39</v>
      </c>
      <c r="B43" t="str">
        <f ca="1">IFERROR(__xludf.DUMMYFUNCTION("""COMPUTED_VALUE"""),"T9")</f>
        <v>T9</v>
      </c>
      <c r="C43" t="str">
        <f ca="1">IFERROR(__xludf.DUMMYFUNCTION("""COMPUTED_VALUE"""),"Bo Van Pelt")</f>
        <v>Bo Van Pelt</v>
      </c>
      <c r="D43">
        <f ca="1">IFERROR(__xludf.DUMMYFUNCTION("""COMPUTED_VALUE"""),10)</f>
        <v>10</v>
      </c>
      <c r="E43" t="str">
        <f ca="1">IFERROR(__xludf.DUMMYFUNCTION("""COMPUTED_VALUE"""),"28' 3""")</f>
        <v>28' 3"</v>
      </c>
      <c r="F43">
        <f ca="1">IFERROR(__xludf.DUMMYFUNCTION("""COMPUTED_VALUE"""),81)</f>
        <v>81</v>
      </c>
      <c r="G43" s="2">
        <f ca="1">IFERROR(__xludf.DUMMYFUNCTION("""COMPUTED_VALUE"""),2289.667)</f>
        <v>2289.6669999999999</v>
      </c>
      <c r="H43">
        <f ca="1">IFERROR(__xludf.DUMMYFUNCTION("""COMPUTED_VALUE"""),-5)</f>
        <v>-5</v>
      </c>
    </row>
    <row r="44" spans="1:8" ht="12.75">
      <c r="A44" t="str">
        <f ca="1">IFERROR(__xludf.DUMMYFUNCTION("""COMPUTED_VALUE"""),"T39")</f>
        <v>T39</v>
      </c>
      <c r="B44">
        <f ca="1">IFERROR(__xludf.DUMMYFUNCTION("""COMPUTED_VALUE"""),52)</f>
        <v>52</v>
      </c>
      <c r="C44" t="str">
        <f ca="1">IFERROR(__xludf.DUMMYFUNCTION("""COMPUTED_VALUE"""),"Collin Morikawa")</f>
        <v>Collin Morikawa</v>
      </c>
      <c r="D44">
        <f ca="1">IFERROR(__xludf.DUMMYFUNCTION("""COMPUTED_VALUE"""),12)</f>
        <v>12</v>
      </c>
      <c r="E44" t="str">
        <f ca="1">IFERROR(__xludf.DUMMYFUNCTION("""COMPUTED_VALUE"""),"28' 3""")</f>
        <v>28' 3"</v>
      </c>
      <c r="F44">
        <f ca="1">IFERROR(__xludf.DUMMYFUNCTION("""COMPUTED_VALUE"""),166)</f>
        <v>166</v>
      </c>
      <c r="G44" s="2">
        <f ca="1">IFERROR(__xludf.DUMMYFUNCTION("""COMPUTED_VALUE"""),4694.833)</f>
        <v>4694.8329999999996</v>
      </c>
      <c r="H44">
        <f ca="1">IFERROR(__xludf.DUMMYFUNCTION("""COMPUTED_VALUE"""),-27)</f>
        <v>-27</v>
      </c>
    </row>
    <row r="45" spans="1:8" ht="12.75">
      <c r="A45">
        <f ca="1">IFERROR(__xludf.DUMMYFUNCTION("""COMPUTED_VALUE"""),44)</f>
        <v>44</v>
      </c>
      <c r="B45" t="str">
        <f ca="1">IFERROR(__xludf.DUMMYFUNCTION("""COMPUTED_VALUE"""),"T77")</f>
        <v>T77</v>
      </c>
      <c r="C45" t="str">
        <f ca="1">IFERROR(__xludf.DUMMYFUNCTION("""COMPUTED_VALUE"""),"Graham DeLaet")</f>
        <v>Graham DeLaet</v>
      </c>
      <c r="D45">
        <f ca="1">IFERROR(__xludf.DUMMYFUNCTION("""COMPUTED_VALUE"""),9)</f>
        <v>9</v>
      </c>
      <c r="E45" t="str">
        <f ca="1">IFERROR(__xludf.DUMMYFUNCTION("""COMPUTED_VALUE"""),"28' 4""")</f>
        <v>28' 4"</v>
      </c>
      <c r="F45">
        <f ca="1">IFERROR(__xludf.DUMMYFUNCTION("""COMPUTED_VALUE"""),62)</f>
        <v>62</v>
      </c>
      <c r="G45" s="2">
        <f ca="1">IFERROR(__xludf.DUMMYFUNCTION("""COMPUTED_VALUE"""),1754.417)</f>
        <v>1754.4169999999999</v>
      </c>
      <c r="H45" t="str">
        <f ca="1">IFERROR(__xludf.DUMMYFUNCTION("""COMPUTED_VALUE"""),"+2.00")</f>
        <v>+2.00</v>
      </c>
    </row>
    <row r="46" spans="1:8" ht="12.75">
      <c r="A46" t="str">
        <f ca="1">IFERROR(__xludf.DUMMYFUNCTION("""COMPUTED_VALUE"""),"T45")</f>
        <v>T45</v>
      </c>
      <c r="B46" t="str">
        <f ca="1">IFERROR(__xludf.DUMMYFUNCTION("""COMPUTED_VALUE"""),"T48")</f>
        <v>T48</v>
      </c>
      <c r="C46" t="str">
        <f ca="1">IFERROR(__xludf.DUMMYFUNCTION("""COMPUTED_VALUE"""),"Scott Brown")</f>
        <v>Scott Brown</v>
      </c>
      <c r="D46">
        <f ca="1">IFERROR(__xludf.DUMMYFUNCTION("""COMPUTED_VALUE"""),14)</f>
        <v>14</v>
      </c>
      <c r="E46" t="str">
        <f ca="1">IFERROR(__xludf.DUMMYFUNCTION("""COMPUTED_VALUE"""),"28' 5""")</f>
        <v>28' 5"</v>
      </c>
      <c r="F46">
        <f ca="1">IFERROR(__xludf.DUMMYFUNCTION("""COMPUTED_VALUE"""),115)</f>
        <v>115</v>
      </c>
      <c r="G46" s="2">
        <f ca="1">IFERROR(__xludf.DUMMYFUNCTION("""COMPUTED_VALUE"""),3266.333)</f>
        <v>3266.3330000000001</v>
      </c>
      <c r="H46">
        <f ca="1">IFERROR(__xludf.DUMMYFUNCTION("""COMPUTED_VALUE"""),-8)</f>
        <v>-8</v>
      </c>
    </row>
    <row r="47" spans="1:8" ht="12.75">
      <c r="A47" t="str">
        <f ca="1">IFERROR(__xludf.DUMMYFUNCTION("""COMPUTED_VALUE"""),"T45")</f>
        <v>T45</v>
      </c>
      <c r="B47" t="str">
        <f ca="1">IFERROR(__xludf.DUMMYFUNCTION("""COMPUTED_VALUE"""),"T53")</f>
        <v>T53</v>
      </c>
      <c r="C47" t="str">
        <f ca="1">IFERROR(__xludf.DUMMYFUNCTION("""COMPUTED_VALUE"""),"Mark Anderson")</f>
        <v>Mark Anderson</v>
      </c>
      <c r="D47">
        <f ca="1">IFERROR(__xludf.DUMMYFUNCTION("""COMPUTED_VALUE"""),14)</f>
        <v>14</v>
      </c>
      <c r="E47" t="str">
        <f ca="1">IFERROR(__xludf.DUMMYFUNCTION("""COMPUTED_VALUE"""),"28' 5""")</f>
        <v>28' 5"</v>
      </c>
      <c r="F47">
        <f ca="1">IFERROR(__xludf.DUMMYFUNCTION("""COMPUTED_VALUE"""),75)</f>
        <v>75</v>
      </c>
      <c r="G47" s="2">
        <f ca="1">IFERROR(__xludf.DUMMYFUNCTION("""COMPUTED_VALUE"""),2133.5)</f>
        <v>2133.5</v>
      </c>
      <c r="H47">
        <f ca="1">IFERROR(__xludf.DUMMYFUNCTION("""COMPUTED_VALUE"""),-10)</f>
        <v>-10</v>
      </c>
    </row>
    <row r="48" spans="1:8" ht="12.75">
      <c r="A48" t="str">
        <f ca="1">IFERROR(__xludf.DUMMYFUNCTION("""COMPUTED_VALUE"""),"T45")</f>
        <v>T45</v>
      </c>
      <c r="B48" t="str">
        <f ca="1">IFERROR(__xludf.DUMMYFUNCTION("""COMPUTED_VALUE"""),"T53")</f>
        <v>T53</v>
      </c>
      <c r="C48" t="str">
        <f ca="1">IFERROR(__xludf.DUMMYFUNCTION("""COMPUTED_VALUE"""),"Chan Kim")</f>
        <v>Chan Kim</v>
      </c>
      <c r="D48">
        <f ca="1">IFERROR(__xludf.DUMMYFUNCTION("""COMPUTED_VALUE"""),6)</f>
        <v>6</v>
      </c>
      <c r="E48" t="str">
        <f ca="1">IFERROR(__xludf.DUMMYFUNCTION("""COMPUTED_VALUE"""),"28' 5""")</f>
        <v>28' 5"</v>
      </c>
      <c r="F48">
        <f ca="1">IFERROR(__xludf.DUMMYFUNCTION("""COMPUTED_VALUE"""),87)</f>
        <v>87</v>
      </c>
      <c r="G48" s="2">
        <f ca="1">IFERROR(__xludf.DUMMYFUNCTION("""COMPUTED_VALUE"""),2471.333)</f>
        <v>2471.3330000000001</v>
      </c>
      <c r="H48">
        <f ca="1">IFERROR(__xludf.DUMMYFUNCTION("""COMPUTED_VALUE"""),-4)</f>
        <v>-4</v>
      </c>
    </row>
    <row r="49" spans="1:8" ht="12.75">
      <c r="A49" t="str">
        <f ca="1">IFERROR(__xludf.DUMMYFUNCTION("""COMPUTED_VALUE"""),"T45")</f>
        <v>T45</v>
      </c>
      <c r="B49" t="str">
        <f ca="1">IFERROR(__xludf.DUMMYFUNCTION("""COMPUTED_VALUE"""),"T53")</f>
        <v>T53</v>
      </c>
      <c r="C49" t="str">
        <f ca="1">IFERROR(__xludf.DUMMYFUNCTION("""COMPUTED_VALUE"""),"Zac Blair")</f>
        <v>Zac Blair</v>
      </c>
      <c r="D49">
        <f ca="1">IFERROR(__xludf.DUMMYFUNCTION("""COMPUTED_VALUE"""),10)</f>
        <v>10</v>
      </c>
      <c r="E49" t="str">
        <f ca="1">IFERROR(__xludf.DUMMYFUNCTION("""COMPUTED_VALUE"""),"28' 5""")</f>
        <v>28' 5"</v>
      </c>
      <c r="F49">
        <f ca="1">IFERROR(__xludf.DUMMYFUNCTION("""COMPUTED_VALUE"""),74)</f>
        <v>74</v>
      </c>
      <c r="G49" s="2">
        <f ca="1">IFERROR(__xludf.DUMMYFUNCTION("""COMPUTED_VALUE"""),2100.75)</f>
        <v>2100.75</v>
      </c>
      <c r="H49">
        <f ca="1">IFERROR(__xludf.DUMMYFUNCTION("""COMPUTED_VALUE"""),-3)</f>
        <v>-3</v>
      </c>
    </row>
    <row r="50" spans="1:8" ht="12.75">
      <c r="A50" t="str">
        <f ca="1">IFERROR(__xludf.DUMMYFUNCTION("""COMPUTED_VALUE"""),"T49")</f>
        <v>T49</v>
      </c>
      <c r="B50">
        <f ca="1">IFERROR(__xludf.DUMMYFUNCTION("""COMPUTED_VALUE"""),21)</f>
        <v>21</v>
      </c>
      <c r="C50" t="str">
        <f ca="1">IFERROR(__xludf.DUMMYFUNCTION("""COMPUTED_VALUE"""),"Austin Cook")</f>
        <v>Austin Cook</v>
      </c>
      <c r="D50">
        <f ca="1">IFERROR(__xludf.DUMMYFUNCTION("""COMPUTED_VALUE"""),14)</f>
        <v>14</v>
      </c>
      <c r="E50" t="str">
        <f ca="1">IFERROR(__xludf.DUMMYFUNCTION("""COMPUTED_VALUE"""),"28' 6""")</f>
        <v>28' 6"</v>
      </c>
      <c r="F50">
        <f ca="1">IFERROR(__xludf.DUMMYFUNCTION("""COMPUTED_VALUE"""),194)</f>
        <v>194</v>
      </c>
      <c r="G50" s="2">
        <f ca="1">IFERROR(__xludf.DUMMYFUNCTION("""COMPUTED_VALUE"""),5521.083)</f>
        <v>5521.0829999999996</v>
      </c>
      <c r="H50">
        <f ca="1">IFERROR(__xludf.DUMMYFUNCTION("""COMPUTED_VALUE"""),-33)</f>
        <v>-33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IFERROR(__xludf.DUMMYFUNCTION("""COMPUTED_VALUE"""),"T56")</f>
        <v>T56</v>
      </c>
      <c r="C51" t="str">
        <f ca="1">IFERROR(__xludf.DUMMYFUNCTION("""COMPUTED_VALUE"""),"Ryan Palmer")</f>
        <v>Ryan Palmer</v>
      </c>
      <c r="D51">
        <f ca="1">IFERROR(__xludf.DUMMYFUNCTION("""COMPUTED_VALUE"""),14)</f>
        <v>14</v>
      </c>
      <c r="E51" t="str">
        <f ca="1">IFERROR(__xludf.DUMMYFUNCTION("""COMPUTED_VALUE"""),"28' 6""")</f>
        <v>28' 6"</v>
      </c>
      <c r="F51">
        <f ca="1">IFERROR(__xludf.DUMMYFUNCTION("""COMPUTED_VALUE"""),180)</f>
        <v>180</v>
      </c>
      <c r="G51" s="2">
        <f ca="1">IFERROR(__xludf.DUMMYFUNCTION("""COMPUTED_VALUE"""),5135.083)</f>
        <v>5135.0829999999996</v>
      </c>
      <c r="H51">
        <f ca="1">IFERROR(__xludf.DUMMYFUNCTION("""COMPUTED_VALUE"""),-30)</f>
        <v>-30</v>
      </c>
    </row>
    <row r="52" spans="1:8" ht="12.75">
      <c r="A52" t="str">
        <f ca="1">IFERROR(__xludf.DUMMYFUNCTION("""COMPUTED_VALUE"""),"T51")</f>
        <v>T51</v>
      </c>
      <c r="B52" t="str">
        <f ca="1">IFERROR(__xludf.DUMMYFUNCTION("""COMPUTED_VALUE"""),"T59")</f>
        <v>T59</v>
      </c>
      <c r="C52" t="str">
        <f ca="1">IFERROR(__xludf.DUMMYFUNCTION("""COMPUTED_VALUE"""),"Jon Rahm")</f>
        <v>Jon Rahm</v>
      </c>
      <c r="D52">
        <f ca="1">IFERROR(__xludf.DUMMYFUNCTION("""COMPUTED_VALUE"""),12)</f>
        <v>12</v>
      </c>
      <c r="E52" t="str">
        <f ca="1">IFERROR(__xludf.DUMMYFUNCTION("""COMPUTED_VALUE"""),"28' 7""")</f>
        <v>28' 7"</v>
      </c>
      <c r="F52">
        <f ca="1">IFERROR(__xludf.DUMMYFUNCTION("""COMPUTED_VALUE"""),164)</f>
        <v>164</v>
      </c>
      <c r="G52" s="2">
        <f ca="1">IFERROR(__xludf.DUMMYFUNCTION("""COMPUTED_VALUE"""),4682.583)</f>
        <v>4682.5829999999996</v>
      </c>
      <c r="H52">
        <f ca="1">IFERROR(__xludf.DUMMYFUNCTION("""COMPUTED_VALUE"""),-26)</f>
        <v>-26</v>
      </c>
    </row>
    <row r="53" spans="1:8" ht="12.75">
      <c r="A53" t="str">
        <f ca="1">IFERROR(__xludf.DUMMYFUNCTION("""COMPUTED_VALUE"""),"T51")</f>
        <v>T51</v>
      </c>
      <c r="B53" t="str">
        <f ca="1">IFERROR(__xludf.DUMMYFUNCTION("""COMPUTED_VALUE"""),"T59")</f>
        <v>T59</v>
      </c>
      <c r="C53" t="str">
        <f ca="1">IFERROR(__xludf.DUMMYFUNCTION("""COMPUTED_VALUE"""),"Will Zalatoris")</f>
        <v>Will Zalatoris</v>
      </c>
      <c r="D53">
        <f ca="1">IFERROR(__xludf.DUMMYFUNCTION("""COMPUTED_VALUE"""),18)</f>
        <v>18</v>
      </c>
      <c r="E53" t="str">
        <f ca="1">IFERROR(__xludf.DUMMYFUNCTION("""COMPUTED_VALUE"""),"28' 7""")</f>
        <v>28' 7"</v>
      </c>
      <c r="F53">
        <f ca="1">IFERROR(__xludf.DUMMYFUNCTION("""COMPUTED_VALUE"""),129)</f>
        <v>129</v>
      </c>
      <c r="G53" s="2">
        <f ca="1">IFERROR(__xludf.DUMMYFUNCTION("""COMPUTED_VALUE"""),3691.25)</f>
        <v>3691.25</v>
      </c>
      <c r="H53">
        <f ca="1">IFERROR(__xludf.DUMMYFUNCTION("""COMPUTED_VALUE"""),-16)</f>
        <v>-16</v>
      </c>
    </row>
    <row r="54" spans="1:8" ht="12.75">
      <c r="A54" t="str">
        <f ca="1">IFERROR(__xludf.DUMMYFUNCTION("""COMPUTED_VALUE"""),"T53")</f>
        <v>T53</v>
      </c>
      <c r="B54" t="str">
        <f ca="1">IFERROR(__xludf.DUMMYFUNCTION("""COMPUTED_VALUE"""),"T56")</f>
        <v>T56</v>
      </c>
      <c r="C54" t="str">
        <f ca="1">IFERROR(__xludf.DUMMYFUNCTION("""COMPUTED_VALUE"""),"Martin Laird")</f>
        <v>Martin Laird</v>
      </c>
      <c r="D54">
        <f ca="1">IFERROR(__xludf.DUMMYFUNCTION("""COMPUTED_VALUE"""),16)</f>
        <v>16</v>
      </c>
      <c r="E54" t="str">
        <f ca="1">IFERROR(__xludf.DUMMYFUNCTION("""COMPUTED_VALUE"""),"28' 8""")</f>
        <v>28' 8"</v>
      </c>
      <c r="F54">
        <f ca="1">IFERROR(__xludf.DUMMYFUNCTION("""COMPUTED_VALUE"""),166)</f>
        <v>166</v>
      </c>
      <c r="G54" s="2">
        <f ca="1">IFERROR(__xludf.DUMMYFUNCTION("""COMPUTED_VALUE"""),4761.25)</f>
        <v>4761.25</v>
      </c>
      <c r="H54">
        <f ca="1">IFERROR(__xludf.DUMMYFUNCTION("""COMPUTED_VALUE"""),-30)</f>
        <v>-30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IFERROR(__xludf.DUMMYFUNCTION("""COMPUTED_VALUE"""),"T77")</f>
        <v>T77</v>
      </c>
      <c r="C55" t="str">
        <f ca="1">IFERROR(__xludf.DUMMYFUNCTION("""COMPUTED_VALUE"""),"Russell Henley")</f>
        <v>Russell Henley</v>
      </c>
      <c r="D55">
        <f ca="1">IFERROR(__xludf.DUMMYFUNCTION("""COMPUTED_VALUE"""),16)</f>
        <v>16</v>
      </c>
      <c r="E55" t="str">
        <f ca="1">IFERROR(__xludf.DUMMYFUNCTION("""COMPUTED_VALUE"""),"28' 8""")</f>
        <v>28' 8"</v>
      </c>
      <c r="F55">
        <f ca="1">IFERROR(__xludf.DUMMYFUNCTION("""COMPUTED_VALUE"""),236)</f>
        <v>236</v>
      </c>
      <c r="G55" s="2">
        <f ca="1">IFERROR(__xludf.DUMMYFUNCTION("""COMPUTED_VALUE"""),6768.333)</f>
        <v>6768.3329999999996</v>
      </c>
      <c r="H55">
        <f ca="1">IFERROR(__xludf.DUMMYFUNCTION("""COMPUTED_VALUE"""),-48)</f>
        <v>-48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IFERROR(__xludf.DUMMYFUNCTION("""COMPUTED_VALUE"""),"T41")</f>
        <v>T41</v>
      </c>
      <c r="C56" t="str">
        <f ca="1">IFERROR(__xludf.DUMMYFUNCTION("""COMPUTED_VALUE"""),"Hudson Swafford")</f>
        <v>Hudson Swafford</v>
      </c>
      <c r="D56">
        <f ca="1">IFERROR(__xludf.DUMMYFUNCTION("""COMPUTED_VALUE"""),18)</f>
        <v>18</v>
      </c>
      <c r="E56" t="str">
        <f ca="1">IFERROR(__xludf.DUMMYFUNCTION("""COMPUTED_VALUE"""),"28' 9""")</f>
        <v>28' 9"</v>
      </c>
      <c r="F56">
        <f ca="1">IFERROR(__xludf.DUMMYFUNCTION("""COMPUTED_VALUE"""),126)</f>
        <v>126</v>
      </c>
      <c r="G56" s="2">
        <f ca="1">IFERROR(__xludf.DUMMYFUNCTION("""COMPUTED_VALUE"""),3618.833)</f>
        <v>3618.8330000000001</v>
      </c>
      <c r="H56">
        <f ca="1">IFERROR(__xludf.DUMMYFUNCTION("""COMPUTED_VALUE"""),-11)</f>
        <v>-11</v>
      </c>
    </row>
    <row r="57" spans="1:8" ht="12.75">
      <c r="A57" t="str">
        <f ca="1">IFERROR(__xludf.DUMMYFUNCTION("""COMPUTED_VALUE"""),"T55")</f>
        <v>T55</v>
      </c>
      <c r="B57">
        <f ca="1">IFERROR(__xludf.DUMMYFUNCTION("""COMPUTED_VALUE"""),61)</f>
        <v>61</v>
      </c>
      <c r="C57" t="str">
        <f ca="1">IFERROR(__xludf.DUMMYFUNCTION("""COMPUTED_VALUE"""),"Brendan Steele")</f>
        <v>Brendan Steele</v>
      </c>
      <c r="D57">
        <f ca="1">IFERROR(__xludf.DUMMYFUNCTION("""COMPUTED_VALUE"""),14)</f>
        <v>14</v>
      </c>
      <c r="E57" t="str">
        <f ca="1">IFERROR(__xludf.DUMMYFUNCTION("""COMPUTED_VALUE"""),"28' 9""")</f>
        <v>28' 9"</v>
      </c>
      <c r="F57">
        <f ca="1">IFERROR(__xludf.DUMMYFUNCTION("""COMPUTED_VALUE"""),196)</f>
        <v>196</v>
      </c>
      <c r="G57" s="2">
        <f ca="1">IFERROR(__xludf.DUMMYFUNCTION("""COMPUTED_VALUE"""),5641.75)</f>
        <v>5641.75</v>
      </c>
      <c r="H57">
        <f ca="1">IFERROR(__xludf.DUMMYFUNCTION("""COMPUTED_VALUE"""),-21)</f>
        <v>-21</v>
      </c>
    </row>
    <row r="58" spans="1:8" ht="12.75">
      <c r="A58" t="str">
        <f ca="1">IFERROR(__xludf.DUMMYFUNCTION("""COMPUTED_VALUE"""),"T57")</f>
        <v>T57</v>
      </c>
      <c r="B58" t="str">
        <f ca="1">IFERROR(__xludf.DUMMYFUNCTION("""COMPUTED_VALUE"""),"T70")</f>
        <v>T70</v>
      </c>
      <c r="C58" t="str">
        <f ca="1">IFERROR(__xludf.DUMMYFUNCTION("""COMPUTED_VALUE"""),"Tony Finau")</f>
        <v>Tony Finau</v>
      </c>
      <c r="D58">
        <f ca="1">IFERROR(__xludf.DUMMYFUNCTION("""COMPUTED_VALUE"""),12)</f>
        <v>12</v>
      </c>
      <c r="E58" t="str">
        <f ca="1">IFERROR(__xludf.DUMMYFUNCTION("""COMPUTED_VALUE"""),"28' 10""")</f>
        <v>28' 10"</v>
      </c>
      <c r="F58">
        <f ca="1">IFERROR(__xludf.DUMMYFUNCTION("""COMPUTED_VALUE"""),146)</f>
        <v>146</v>
      </c>
      <c r="G58" s="2">
        <f ca="1">IFERROR(__xludf.DUMMYFUNCTION("""COMPUTED_VALUE"""),4214.5)</f>
        <v>4214.5</v>
      </c>
      <c r="H58">
        <f ca="1">IFERROR(__xludf.DUMMYFUNCTION("""COMPUTED_VALUE"""),-26)</f>
        <v>-26</v>
      </c>
    </row>
    <row r="59" spans="1:8" ht="12.75">
      <c r="A59" t="str">
        <f ca="1">IFERROR(__xludf.DUMMYFUNCTION("""COMPUTED_VALUE"""),"T57")</f>
        <v>T57</v>
      </c>
      <c r="B59" t="str">
        <f ca="1">IFERROR(__xludf.DUMMYFUNCTION("""COMPUTED_VALUE"""),"T62")</f>
        <v>T62</v>
      </c>
      <c r="C59" t="str">
        <f ca="1">IFERROR(__xludf.DUMMYFUNCTION("""COMPUTED_VALUE"""),"Sangmoon Bae")</f>
        <v>Sangmoon Bae</v>
      </c>
      <c r="D59">
        <f ca="1">IFERROR(__xludf.DUMMYFUNCTION("""COMPUTED_VALUE"""),8)</f>
        <v>8</v>
      </c>
      <c r="E59" t="str">
        <f ca="1">IFERROR(__xludf.DUMMYFUNCTION("""COMPUTED_VALUE"""),"28' 10""")</f>
        <v>28' 10"</v>
      </c>
      <c r="F59">
        <f ca="1">IFERROR(__xludf.DUMMYFUNCTION("""COMPUTED_VALUE"""),20)</f>
        <v>20</v>
      </c>
      <c r="G59">
        <f ca="1">IFERROR(__xludf.DUMMYFUNCTION("""COMPUTED_VALUE"""),577.167)</f>
        <v>577.16700000000003</v>
      </c>
      <c r="H59">
        <f ca="1">IFERROR(__xludf.DUMMYFUNCTION("""COMPUTED_VALUE"""),-1)</f>
        <v>-1</v>
      </c>
    </row>
    <row r="60" spans="1:8" ht="12.75">
      <c r="A60" t="str">
        <f ca="1">IFERROR(__xludf.DUMMYFUNCTION("""COMPUTED_VALUE"""),"T57")</f>
        <v>T57</v>
      </c>
      <c r="B60" t="str">
        <f ca="1">IFERROR(__xludf.DUMMYFUNCTION("""COMPUTED_VALUE"""),"T62")</f>
        <v>T62</v>
      </c>
      <c r="C60" t="str">
        <f ca="1">IFERROR(__xludf.DUMMYFUNCTION("""COMPUTED_VALUE"""),"J.B. Holmes")</f>
        <v>J.B. Holmes</v>
      </c>
      <c r="D60">
        <f ca="1">IFERROR(__xludf.DUMMYFUNCTION("""COMPUTED_VALUE"""),10)</f>
        <v>10</v>
      </c>
      <c r="E60" t="str">
        <f ca="1">IFERROR(__xludf.DUMMYFUNCTION("""COMPUTED_VALUE"""),"28' 10""")</f>
        <v>28' 10"</v>
      </c>
      <c r="F60">
        <f ca="1">IFERROR(__xludf.DUMMYFUNCTION("""COMPUTED_VALUE"""),104)</f>
        <v>104</v>
      </c>
      <c r="G60" s="2">
        <f ca="1">IFERROR(__xludf.DUMMYFUNCTION("""COMPUTED_VALUE"""),3001.833)</f>
        <v>3001.8330000000001</v>
      </c>
      <c r="H60">
        <f ca="1">IFERROR(__xludf.DUMMYFUNCTION("""COMPUTED_VALUE"""),-7)</f>
        <v>-7</v>
      </c>
    </row>
    <row r="61" spans="1:8" ht="12.75">
      <c r="A61" t="str">
        <f ca="1">IFERROR(__xludf.DUMMYFUNCTION("""COMPUTED_VALUE"""),"T60")</f>
        <v>T60</v>
      </c>
      <c r="B61" t="str">
        <f ca="1">IFERROR(__xludf.DUMMYFUNCTION("""COMPUTED_VALUE"""),"T65")</f>
        <v>T65</v>
      </c>
      <c r="C61" t="str">
        <f ca="1">IFERROR(__xludf.DUMMYFUNCTION("""COMPUTED_VALUE"""),"Thomas Pieters")</f>
        <v>Thomas Pieters</v>
      </c>
      <c r="D61">
        <f ca="1">IFERROR(__xludf.DUMMYFUNCTION("""COMPUTED_VALUE"""),4)</f>
        <v>4</v>
      </c>
      <c r="E61" t="str">
        <f ca="1">IFERROR(__xludf.DUMMYFUNCTION("""COMPUTED_VALUE"""),"29' 0""")</f>
        <v>29' 0"</v>
      </c>
      <c r="F61">
        <f ca="1">IFERROR(__xludf.DUMMYFUNCTION("""COMPUTED_VALUE"""),45)</f>
        <v>45</v>
      </c>
      <c r="G61" s="2">
        <f ca="1">IFERROR(__xludf.DUMMYFUNCTION("""COMPUTED_VALUE"""),1306.167)</f>
        <v>1306.1669999999999</v>
      </c>
      <c r="H61" t="str">
        <f ca="1">IFERROR(__xludf.DUMMYFUNCTION("""COMPUTED_VALUE"""),"E")</f>
        <v>E</v>
      </c>
    </row>
    <row r="62" spans="1:8" ht="12.75">
      <c r="A62" t="str">
        <f ca="1">IFERROR(__xludf.DUMMYFUNCTION("""COMPUTED_VALUE"""),"T60")</f>
        <v>T60</v>
      </c>
      <c r="B62" t="str">
        <f ca="1">IFERROR(__xludf.DUMMYFUNCTION("""COMPUTED_VALUE"""),"T65")</f>
        <v>T65</v>
      </c>
      <c r="C62" t="str">
        <f ca="1">IFERROR(__xludf.DUMMYFUNCTION("""COMPUTED_VALUE"""),"Joseph Bramlett")</f>
        <v>Joseph Bramlett</v>
      </c>
      <c r="D62">
        <f ca="1">IFERROR(__xludf.DUMMYFUNCTION("""COMPUTED_VALUE"""),18)</f>
        <v>18</v>
      </c>
      <c r="E62" t="str">
        <f ca="1">IFERROR(__xludf.DUMMYFUNCTION("""COMPUTED_VALUE"""),"29' 0""")</f>
        <v>29' 0"</v>
      </c>
      <c r="F62">
        <f ca="1">IFERROR(__xludf.DUMMYFUNCTION("""COMPUTED_VALUE"""),112)</f>
        <v>112</v>
      </c>
      <c r="G62" s="2">
        <f ca="1">IFERROR(__xludf.DUMMYFUNCTION("""COMPUTED_VALUE"""),3245.167)</f>
        <v>3245.1669999999999</v>
      </c>
      <c r="H62">
        <f ca="1">IFERROR(__xludf.DUMMYFUNCTION("""COMPUTED_VALUE"""),-12)</f>
        <v>-12</v>
      </c>
    </row>
    <row r="63" spans="1:8" ht="12.75">
      <c r="A63" t="str">
        <f ca="1">IFERROR(__xludf.DUMMYFUNCTION("""COMPUTED_VALUE"""),"T60")</f>
        <v>T60</v>
      </c>
      <c r="B63" t="str">
        <f ca="1">IFERROR(__xludf.DUMMYFUNCTION("""COMPUTED_VALUE"""),"T65")</f>
        <v>T65</v>
      </c>
      <c r="C63" t="str">
        <f ca="1">IFERROR(__xludf.DUMMYFUNCTION("""COMPUTED_VALUE"""),"Byeong Hun An")</f>
        <v>Byeong Hun An</v>
      </c>
      <c r="D63">
        <f ca="1">IFERROR(__xludf.DUMMYFUNCTION("""COMPUTED_VALUE"""),14)</f>
        <v>14</v>
      </c>
      <c r="E63" t="str">
        <f ca="1">IFERROR(__xludf.DUMMYFUNCTION("""COMPUTED_VALUE"""),"29' 0""")</f>
        <v>29' 0"</v>
      </c>
      <c r="F63">
        <f ca="1">IFERROR(__xludf.DUMMYFUNCTION("""COMPUTED_VALUE"""),170)</f>
        <v>170</v>
      </c>
      <c r="G63" s="2">
        <f ca="1">IFERROR(__xludf.DUMMYFUNCTION("""COMPUTED_VALUE"""),4927.833)</f>
        <v>4927.8329999999996</v>
      </c>
      <c r="H63">
        <f ca="1">IFERROR(__xludf.DUMMYFUNCTION("""COMPUTED_VALUE"""),-19)</f>
        <v>-19</v>
      </c>
    </row>
    <row r="64" spans="1:8" ht="12.75">
      <c r="A64" t="str">
        <f ca="1">IFERROR(__xludf.DUMMYFUNCTION("""COMPUTED_VALUE"""),"T60")</f>
        <v>T60</v>
      </c>
      <c r="B64" t="str">
        <f ca="1">IFERROR(__xludf.DUMMYFUNCTION("""COMPUTED_VALUE"""),"T65")</f>
        <v>T65</v>
      </c>
      <c r="C64" t="str">
        <f ca="1">IFERROR(__xludf.DUMMYFUNCTION("""COMPUTED_VALUE"""),"Harry Higgs")</f>
        <v>Harry Higgs</v>
      </c>
      <c r="D64">
        <f ca="1">IFERROR(__xludf.DUMMYFUNCTION("""COMPUTED_VALUE"""),14)</f>
        <v>14</v>
      </c>
      <c r="E64" t="str">
        <f ca="1">IFERROR(__xludf.DUMMYFUNCTION("""COMPUTED_VALUE"""),"29' 0""")</f>
        <v>29' 0"</v>
      </c>
      <c r="F64">
        <f ca="1">IFERROR(__xludf.DUMMYFUNCTION("""COMPUTED_VALUE"""),181)</f>
        <v>181</v>
      </c>
      <c r="G64" s="2">
        <f ca="1">IFERROR(__xludf.DUMMYFUNCTION("""COMPUTED_VALUE"""),5243.75)</f>
        <v>5243.75</v>
      </c>
      <c r="H64">
        <f ca="1">IFERROR(__xludf.DUMMYFUNCTION("""COMPUTED_VALUE"""),-39)</f>
        <v>-39</v>
      </c>
    </row>
    <row r="65" spans="1:8" ht="12.75">
      <c r="A65" t="str">
        <f ca="1">IFERROR(__xludf.DUMMYFUNCTION("""COMPUTED_VALUE"""),"T64")</f>
        <v>T64</v>
      </c>
      <c r="B65" t="str">
        <f ca="1">IFERROR(__xludf.DUMMYFUNCTION("""COMPUTED_VALUE"""),"T18")</f>
        <v>T18</v>
      </c>
      <c r="C65" t="str">
        <f ca="1">IFERROR(__xludf.DUMMYFUNCTION("""COMPUTED_VALUE"""),"Vaughn Taylor")</f>
        <v>Vaughn Taylor</v>
      </c>
      <c r="D65">
        <f ca="1">IFERROR(__xludf.DUMMYFUNCTION("""COMPUTED_VALUE"""),12)</f>
        <v>12</v>
      </c>
      <c r="E65" t="str">
        <f ca="1">IFERROR(__xludf.DUMMYFUNCTION("""COMPUTED_VALUE"""),"29' 1""")</f>
        <v>29' 1"</v>
      </c>
      <c r="F65">
        <f ca="1">IFERROR(__xludf.DUMMYFUNCTION("""COMPUTED_VALUE"""),87)</f>
        <v>87</v>
      </c>
      <c r="G65" s="2">
        <f ca="1">IFERROR(__xludf.DUMMYFUNCTION("""COMPUTED_VALUE"""),2529.667)</f>
        <v>2529.6669999999999</v>
      </c>
      <c r="H65" t="str">
        <f ca="1">IFERROR(__xludf.DUMMYFUNCTION("""COMPUTED_VALUE"""),"E")</f>
        <v>E</v>
      </c>
    </row>
    <row r="66" spans="1:8" ht="12.75">
      <c r="A66" t="str">
        <f ca="1">IFERROR(__xludf.DUMMYFUNCTION("""COMPUTED_VALUE"""),"T64")</f>
        <v>T64</v>
      </c>
      <c r="B66" t="str">
        <f ca="1">IFERROR(__xludf.DUMMYFUNCTION("""COMPUTED_VALUE"""),"T41")</f>
        <v>T41</v>
      </c>
      <c r="C66" t="str">
        <f ca="1">IFERROR(__xludf.DUMMYFUNCTION("""COMPUTED_VALUE"""),"Doc Redman")</f>
        <v>Doc Redman</v>
      </c>
      <c r="D66">
        <f ca="1">IFERROR(__xludf.DUMMYFUNCTION("""COMPUTED_VALUE"""),18)</f>
        <v>18</v>
      </c>
      <c r="E66" t="str">
        <f ca="1">IFERROR(__xludf.DUMMYFUNCTION("""COMPUTED_VALUE"""),"29' 1""")</f>
        <v>29' 1"</v>
      </c>
      <c r="F66">
        <f ca="1">IFERROR(__xludf.DUMMYFUNCTION("""COMPUTED_VALUE"""),192)</f>
        <v>192</v>
      </c>
      <c r="G66" s="2">
        <f ca="1">IFERROR(__xludf.DUMMYFUNCTION("""COMPUTED_VALUE"""),5584.5)</f>
        <v>5584.5</v>
      </c>
      <c r="H66">
        <f ca="1">IFERROR(__xludf.DUMMYFUNCTION("""COMPUTED_VALUE"""),-23)</f>
        <v>-23</v>
      </c>
    </row>
    <row r="67" spans="1:8" ht="12.75">
      <c r="A67">
        <f ca="1">IFERROR(__xludf.DUMMYFUNCTION("""COMPUTED_VALUE"""),66)</f>
        <v>66</v>
      </c>
      <c r="B67" t="str">
        <f ca="1">IFERROR(__xludf.DUMMYFUNCTION("""COMPUTED_VALUE"""),"T70")</f>
        <v>T70</v>
      </c>
      <c r="C67" t="str">
        <f ca="1">IFERROR(__xludf.DUMMYFUNCTION("""COMPUTED_VALUE"""),"Luke Donald")</f>
        <v>Luke Donald</v>
      </c>
      <c r="D67">
        <f ca="1">IFERROR(__xludf.DUMMYFUNCTION("""COMPUTED_VALUE"""),14)</f>
        <v>14</v>
      </c>
      <c r="E67" t="str">
        <f ca="1">IFERROR(__xludf.DUMMYFUNCTION("""COMPUTED_VALUE"""),"29' 2""")</f>
        <v>29' 2"</v>
      </c>
      <c r="F67">
        <f ca="1">IFERROR(__xludf.DUMMYFUNCTION("""COMPUTED_VALUE"""),124)</f>
        <v>124</v>
      </c>
      <c r="G67" s="2">
        <f ca="1">IFERROR(__xludf.DUMMYFUNCTION("""COMPUTED_VALUE"""),3612.083)</f>
        <v>3612.0830000000001</v>
      </c>
      <c r="H67">
        <f ca="1">IFERROR(__xludf.DUMMYFUNCTION("""COMPUTED_VALUE"""),-12)</f>
        <v>-12</v>
      </c>
    </row>
    <row r="68" spans="1:8" ht="12.75">
      <c r="A68">
        <f ca="1">IFERROR(__xludf.DUMMYFUNCTION("""COMPUTED_VALUE"""),67)</f>
        <v>67</v>
      </c>
      <c r="B68" t="str">
        <f ca="1">IFERROR(__xludf.DUMMYFUNCTION("""COMPUTED_VALUE"""),"T70")</f>
        <v>T70</v>
      </c>
      <c r="C68" t="str">
        <f ca="1">IFERROR(__xludf.DUMMYFUNCTION("""COMPUTED_VALUE"""),"Matthew Wolff")</f>
        <v>Matthew Wolff</v>
      </c>
      <c r="D68">
        <f ca="1">IFERROR(__xludf.DUMMYFUNCTION("""COMPUTED_VALUE"""),16)</f>
        <v>16</v>
      </c>
      <c r="E68" t="str">
        <f ca="1">IFERROR(__xludf.DUMMYFUNCTION("""COMPUTED_VALUE"""),"29' 3""")</f>
        <v>29' 3"</v>
      </c>
      <c r="F68">
        <f ca="1">IFERROR(__xludf.DUMMYFUNCTION("""COMPUTED_VALUE"""),205)</f>
        <v>205</v>
      </c>
      <c r="G68" s="2">
        <f ca="1">IFERROR(__xludf.DUMMYFUNCTION("""COMPUTED_VALUE"""),5993)</f>
        <v>5993</v>
      </c>
      <c r="H68">
        <f ca="1">IFERROR(__xludf.DUMMYFUNCTION("""COMPUTED_VALUE"""),-27)</f>
        <v>-27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IFERROR(__xludf.DUMMYFUNCTION("""COMPUTED_VALUE"""),"T74")</f>
        <v>T74</v>
      </c>
      <c r="C69" t="str">
        <f ca="1">IFERROR(__xludf.DUMMYFUNCTION("""COMPUTED_VALUE"""),"Carlos Ortiz")</f>
        <v>Carlos Ortiz</v>
      </c>
      <c r="D69">
        <f ca="1">IFERROR(__xludf.DUMMYFUNCTION("""COMPUTED_VALUE"""),20)</f>
        <v>20</v>
      </c>
      <c r="E69" t="str">
        <f ca="1">IFERROR(__xludf.DUMMYFUNCTION("""COMPUTED_VALUE"""),"29' 4""")</f>
        <v>29' 4"</v>
      </c>
      <c r="F69">
        <f ca="1">IFERROR(__xludf.DUMMYFUNCTION("""COMPUTED_VALUE"""),267)</f>
        <v>267</v>
      </c>
      <c r="G69" s="2">
        <f ca="1">IFERROR(__xludf.DUMMYFUNCTION("""COMPUTED_VALUE"""),7842.917)</f>
        <v>7842.9170000000004</v>
      </c>
      <c r="H69">
        <f ca="1">IFERROR(__xludf.DUMMYFUNCTION("""COMPUTED_VALUE"""),-46)</f>
        <v>-46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IFERROR(__xludf.DUMMYFUNCTION("""COMPUTED_VALUE"""),"T85")</f>
        <v>T85</v>
      </c>
      <c r="C70" t="str">
        <f ca="1">IFERROR(__xludf.DUMMYFUNCTION("""COMPUTED_VALUE"""),"Mark Hubbard")</f>
        <v>Mark Hubbard</v>
      </c>
      <c r="D70">
        <f ca="1">IFERROR(__xludf.DUMMYFUNCTION("""COMPUTED_VALUE"""),20)</f>
        <v>20</v>
      </c>
      <c r="E70" t="str">
        <f ca="1">IFERROR(__xludf.DUMMYFUNCTION("""COMPUTED_VALUE"""),"29' 4""")</f>
        <v>29' 4"</v>
      </c>
      <c r="F70">
        <f ca="1">IFERROR(__xludf.DUMMYFUNCTION("""COMPUTED_VALUE"""),269)</f>
        <v>269</v>
      </c>
      <c r="G70" s="2">
        <f ca="1">IFERROR(__xludf.DUMMYFUNCTION("""COMPUTED_VALUE"""),7882.167)</f>
        <v>7882.1670000000004</v>
      </c>
      <c r="H70">
        <f ca="1">IFERROR(__xludf.DUMMYFUNCTION("""COMPUTED_VALUE"""),-32)</f>
        <v>-32</v>
      </c>
    </row>
    <row r="71" spans="1:8" ht="12.75">
      <c r="A71" t="str">
        <f ca="1">IFERROR(__xludf.DUMMYFUNCTION("""COMPUTED_VALUE"""),"T68")</f>
        <v>T68</v>
      </c>
      <c r="B71" t="str">
        <f ca="1">IFERROR(__xludf.DUMMYFUNCTION("""COMPUTED_VALUE"""),"T32")</f>
        <v>T32</v>
      </c>
      <c r="C71" t="str">
        <f ca="1">IFERROR(__xludf.DUMMYFUNCTION("""COMPUTED_VALUE"""),"Brooks Koepka")</f>
        <v>Brooks Koepka</v>
      </c>
      <c r="D71">
        <f ca="1">IFERROR(__xludf.DUMMYFUNCTION("""COMPUTED_VALUE"""),8)</f>
        <v>8</v>
      </c>
      <c r="E71" t="str">
        <f ca="1">IFERROR(__xludf.DUMMYFUNCTION("""COMPUTED_VALUE"""),"29' 4""")</f>
        <v>29' 4"</v>
      </c>
      <c r="F71">
        <f ca="1">IFERROR(__xludf.DUMMYFUNCTION("""COMPUTED_VALUE"""),99)</f>
        <v>99</v>
      </c>
      <c r="G71" s="2">
        <f ca="1">IFERROR(__xludf.DUMMYFUNCTION("""COMPUTED_VALUE"""),2905.167)</f>
        <v>2905.1669999999999</v>
      </c>
      <c r="H71">
        <f ca="1">IFERROR(__xludf.DUMMYFUNCTION("""COMPUTED_VALUE"""),-20)</f>
        <v>-20</v>
      </c>
    </row>
    <row r="72" spans="1:8" ht="12.75">
      <c r="A72" t="str">
        <f ca="1">IFERROR(__xludf.DUMMYFUNCTION("""COMPUTED_VALUE"""),"T68")</f>
        <v>T68</v>
      </c>
      <c r="B72">
        <f ca="1">IFERROR(__xludf.DUMMYFUNCTION("""COMPUTED_VALUE"""),73)</f>
        <v>73</v>
      </c>
      <c r="C72" t="str">
        <f ca="1">IFERROR(__xludf.DUMMYFUNCTION("""COMPUTED_VALUE"""),"Brandon Hagy")</f>
        <v>Brandon Hagy</v>
      </c>
      <c r="D72">
        <f ca="1">IFERROR(__xludf.DUMMYFUNCTION("""COMPUTED_VALUE"""),10)</f>
        <v>10</v>
      </c>
      <c r="E72" t="str">
        <f ca="1">IFERROR(__xludf.DUMMYFUNCTION("""COMPUTED_VALUE"""),"29' 4""")</f>
        <v>29' 4"</v>
      </c>
      <c r="F72">
        <f ca="1">IFERROR(__xludf.DUMMYFUNCTION("""COMPUTED_VALUE"""),61)</f>
        <v>61</v>
      </c>
      <c r="G72" s="2">
        <f ca="1">IFERROR(__xludf.DUMMYFUNCTION("""COMPUTED_VALUE"""),1787.583)</f>
        <v>1787.5830000000001</v>
      </c>
      <c r="H72">
        <f ca="1">IFERROR(__xludf.DUMMYFUNCTION("""COMPUTED_VALUE"""),-3)</f>
        <v>-3</v>
      </c>
    </row>
    <row r="73" spans="1:8" ht="12.75">
      <c r="A73" t="str">
        <f ca="1">IFERROR(__xludf.DUMMYFUNCTION("""COMPUTED_VALUE"""),"T72")</f>
        <v>T72</v>
      </c>
      <c r="B73">
        <f ca="1">IFERROR(__xludf.DUMMYFUNCTION("""COMPUTED_VALUE"""),76)</f>
        <v>76</v>
      </c>
      <c r="C73" t="str">
        <f ca="1">IFERROR(__xludf.DUMMYFUNCTION("""COMPUTED_VALUE"""),"Zach Johnson")</f>
        <v>Zach Johnson</v>
      </c>
      <c r="D73">
        <f ca="1">IFERROR(__xludf.DUMMYFUNCTION("""COMPUTED_VALUE"""),16)</f>
        <v>16</v>
      </c>
      <c r="E73" t="str">
        <f ca="1">IFERROR(__xludf.DUMMYFUNCTION("""COMPUTED_VALUE"""),"29' 5""")</f>
        <v>29' 5"</v>
      </c>
      <c r="F73">
        <f ca="1">IFERROR(__xludf.DUMMYFUNCTION("""COMPUTED_VALUE"""),210)</f>
        <v>210</v>
      </c>
      <c r="G73" s="2">
        <f ca="1">IFERROR(__xludf.DUMMYFUNCTION("""COMPUTED_VALUE"""),6180.5)</f>
        <v>6180.5</v>
      </c>
      <c r="H73">
        <f ca="1">IFERROR(__xludf.DUMMYFUNCTION("""COMPUTED_VALUE"""),-23)</f>
        <v>-23</v>
      </c>
    </row>
    <row r="74" spans="1:8" ht="12.75">
      <c r="A74" t="str">
        <f ca="1">IFERROR(__xludf.DUMMYFUNCTION("""COMPUTED_VALUE"""),"T72")</f>
        <v>T72</v>
      </c>
      <c r="B74" t="str">
        <f ca="1">IFERROR(__xludf.DUMMYFUNCTION("""COMPUTED_VALUE"""),"T85")</f>
        <v>T85</v>
      </c>
      <c r="C74" t="str">
        <f ca="1">IFERROR(__xludf.DUMMYFUNCTION("""COMPUTED_VALUE"""),"Branden Grace")</f>
        <v>Branden Grace</v>
      </c>
      <c r="D74">
        <f ca="1">IFERROR(__xludf.DUMMYFUNCTION("""COMPUTED_VALUE"""),16)</f>
        <v>16</v>
      </c>
      <c r="E74" t="str">
        <f ca="1">IFERROR(__xludf.DUMMYFUNCTION("""COMPUTED_VALUE"""),"29' 5""")</f>
        <v>29' 5"</v>
      </c>
      <c r="F74">
        <f ca="1">IFERROR(__xludf.DUMMYFUNCTION("""COMPUTED_VALUE"""),112)</f>
        <v>112</v>
      </c>
      <c r="G74" s="2">
        <f ca="1">IFERROR(__xludf.DUMMYFUNCTION("""COMPUTED_VALUE"""),3298.417)</f>
        <v>3298.4169999999999</v>
      </c>
      <c r="H74">
        <f ca="1">IFERROR(__xludf.DUMMYFUNCTION("""COMPUTED_VALUE"""),-6)</f>
        <v>-6</v>
      </c>
    </row>
    <row r="75" spans="1:8" ht="12.75">
      <c r="A75">
        <f ca="1">IFERROR(__xludf.DUMMYFUNCTION("""COMPUTED_VALUE"""),74)</f>
        <v>74</v>
      </c>
      <c r="B75" t="str">
        <f ca="1">IFERROR(__xludf.DUMMYFUNCTION("""COMPUTED_VALUE"""),"T126")</f>
        <v>T126</v>
      </c>
      <c r="C75" t="str">
        <f ca="1">IFERROR(__xludf.DUMMYFUNCTION("""COMPUTED_VALUE"""),"Chris Kirk")</f>
        <v>Chris Kirk</v>
      </c>
      <c r="D75">
        <f ca="1">IFERROR(__xludf.DUMMYFUNCTION("""COMPUTED_VALUE"""),10)</f>
        <v>10</v>
      </c>
      <c r="E75" t="str">
        <f ca="1">IFERROR(__xludf.DUMMYFUNCTION("""COMPUTED_VALUE"""),"29' 7""")</f>
        <v>29' 7"</v>
      </c>
      <c r="F75">
        <f ca="1">IFERROR(__xludf.DUMMYFUNCTION("""COMPUTED_VALUE"""),98)</f>
        <v>98</v>
      </c>
      <c r="G75" s="2">
        <f ca="1">IFERROR(__xludf.DUMMYFUNCTION("""COMPUTED_VALUE"""),2900.583)</f>
        <v>2900.5830000000001</v>
      </c>
      <c r="H75">
        <f ca="1">IFERROR(__xludf.DUMMYFUNCTION("""COMPUTED_VALUE"""),-7)</f>
        <v>-7</v>
      </c>
    </row>
    <row r="76" spans="1:8" ht="12.75">
      <c r="A76">
        <f ca="1">IFERROR(__xludf.DUMMYFUNCTION("""COMPUTED_VALUE"""),75)</f>
        <v>75</v>
      </c>
      <c r="B76" t="str">
        <f ca="1">IFERROR(__xludf.DUMMYFUNCTION("""COMPUTED_VALUE"""),"T77")</f>
        <v>T77</v>
      </c>
      <c r="C76" t="str">
        <f ca="1">IFERROR(__xludf.DUMMYFUNCTION("""COMPUTED_VALUE"""),"Zack Sucher")</f>
        <v>Zack Sucher</v>
      </c>
      <c r="D76">
        <f ca="1">IFERROR(__xludf.DUMMYFUNCTION("""COMPUTED_VALUE"""),6)</f>
        <v>6</v>
      </c>
      <c r="E76" t="str">
        <f ca="1">IFERROR(__xludf.DUMMYFUNCTION("""COMPUTED_VALUE"""),"29' 8""")</f>
        <v>29' 8"</v>
      </c>
      <c r="F76">
        <f ca="1">IFERROR(__xludf.DUMMYFUNCTION("""COMPUTED_VALUE"""),22)</f>
        <v>22</v>
      </c>
      <c r="G76">
        <f ca="1">IFERROR(__xludf.DUMMYFUNCTION("""COMPUTED_VALUE"""),652.167)</f>
        <v>652.16700000000003</v>
      </c>
      <c r="H76" t="str">
        <f ca="1">IFERROR(__xludf.DUMMYFUNCTION("""COMPUTED_VALUE"""),"E")</f>
        <v>E</v>
      </c>
    </row>
    <row r="77" spans="1:8" ht="12.75">
      <c r="A77">
        <f ca="1">IFERROR(__xludf.DUMMYFUNCTION("""COMPUTED_VALUE"""),76)</f>
        <v>76</v>
      </c>
      <c r="B77">
        <f ca="1">IFERROR(__xludf.DUMMYFUNCTION("""COMPUTED_VALUE"""),108)</f>
        <v>108</v>
      </c>
      <c r="C77" t="str">
        <f ca="1">IFERROR(__xludf.DUMMYFUNCTION("""COMPUTED_VALUE"""),"Harold Varner III")</f>
        <v>Harold Varner III</v>
      </c>
      <c r="D77">
        <f ca="1">IFERROR(__xludf.DUMMYFUNCTION("""COMPUTED_VALUE"""),14)</f>
        <v>14</v>
      </c>
      <c r="E77" t="str">
        <f ca="1">IFERROR(__xludf.DUMMYFUNCTION("""COMPUTED_VALUE"""),"29' 9""")</f>
        <v>29' 9"</v>
      </c>
      <c r="F77">
        <f ca="1">IFERROR(__xludf.DUMMYFUNCTION("""COMPUTED_VALUE"""),155)</f>
        <v>155</v>
      </c>
      <c r="G77" s="2">
        <f ca="1">IFERROR(__xludf.DUMMYFUNCTION("""COMPUTED_VALUE"""),4610)</f>
        <v>4610</v>
      </c>
      <c r="H77">
        <f ca="1">IFERROR(__xludf.DUMMYFUNCTION("""COMPUTED_VALUE"""),-35)</f>
        <v>-35</v>
      </c>
    </row>
    <row r="78" spans="1:8" ht="12.75">
      <c r="A78" t="str">
        <f ca="1">IFERROR(__xludf.DUMMYFUNCTION("""COMPUTED_VALUE"""),"T77")</f>
        <v>T77</v>
      </c>
      <c r="B78" t="str">
        <f ca="1">IFERROR(__xludf.DUMMYFUNCTION("""COMPUTED_VALUE"""),"T82")</f>
        <v>T82</v>
      </c>
      <c r="C78" t="str">
        <f ca="1">IFERROR(__xludf.DUMMYFUNCTION("""COMPUTED_VALUE"""),"Matthew NeSmith")</f>
        <v>Matthew NeSmith</v>
      </c>
      <c r="D78">
        <f ca="1">IFERROR(__xludf.DUMMYFUNCTION("""COMPUTED_VALUE"""),16)</f>
        <v>16</v>
      </c>
      <c r="E78" t="str">
        <f ca="1">IFERROR(__xludf.DUMMYFUNCTION("""COMPUTED_VALUE"""),"29' 11""")</f>
        <v>29' 11"</v>
      </c>
      <c r="F78">
        <f ca="1">IFERROR(__xludf.DUMMYFUNCTION("""COMPUTED_VALUE"""),149)</f>
        <v>149</v>
      </c>
      <c r="G78" s="2">
        <f ca="1">IFERROR(__xludf.DUMMYFUNCTION("""COMPUTED_VALUE"""),4457.083)</f>
        <v>4457.0829999999996</v>
      </c>
      <c r="H78">
        <f ca="1">IFERROR(__xludf.DUMMYFUNCTION("""COMPUTED_VALUE"""),-27)</f>
        <v>-27</v>
      </c>
    </row>
    <row r="79" spans="1:8" ht="12.75">
      <c r="A79" t="str">
        <f ca="1">IFERROR(__xludf.DUMMYFUNCTION("""COMPUTED_VALUE"""),"T77")</f>
        <v>T77</v>
      </c>
      <c r="B79" t="str">
        <f ca="1">IFERROR(__xludf.DUMMYFUNCTION("""COMPUTED_VALUE"""),"T85")</f>
        <v>T85</v>
      </c>
      <c r="C79" t="str">
        <f ca="1">IFERROR(__xludf.DUMMYFUNCTION("""COMPUTED_VALUE"""),"John Senden")</f>
        <v>John Senden</v>
      </c>
      <c r="D79">
        <f ca="1">IFERROR(__xludf.DUMMYFUNCTION("""COMPUTED_VALUE"""),8)</f>
        <v>8</v>
      </c>
      <c r="E79" t="str">
        <f ca="1">IFERROR(__xludf.DUMMYFUNCTION("""COMPUTED_VALUE"""),"29' 11""")</f>
        <v>29' 11"</v>
      </c>
      <c r="F79">
        <f ca="1">IFERROR(__xludf.DUMMYFUNCTION("""COMPUTED_VALUE"""),22)</f>
        <v>22</v>
      </c>
      <c r="G79">
        <f ca="1">IFERROR(__xludf.DUMMYFUNCTION("""COMPUTED_VALUE"""),658.25)</f>
        <v>658.25</v>
      </c>
      <c r="H79">
        <f ca="1">IFERROR(__xludf.DUMMYFUNCTION("""COMPUTED_VALUE"""),-3)</f>
        <v>-3</v>
      </c>
    </row>
    <row r="80" spans="1:8" ht="12.75">
      <c r="A80" t="str">
        <f ca="1">IFERROR(__xludf.DUMMYFUNCTION("""COMPUTED_VALUE"""),"T77")</f>
        <v>T77</v>
      </c>
      <c r="B80" t="str">
        <f ca="1">IFERROR(__xludf.DUMMYFUNCTION("""COMPUTED_VALUE"""),"T88")</f>
        <v>T88</v>
      </c>
      <c r="C80" t="str">
        <f ca="1">IFERROR(__xludf.DUMMYFUNCTION("""COMPUTED_VALUE"""),"Will Gordon")</f>
        <v>Will Gordon</v>
      </c>
      <c r="D80">
        <f ca="1">IFERROR(__xludf.DUMMYFUNCTION("""COMPUTED_VALUE"""),20)</f>
        <v>20</v>
      </c>
      <c r="E80" t="str">
        <f ca="1">IFERROR(__xludf.DUMMYFUNCTION("""COMPUTED_VALUE"""),"29' 11""")</f>
        <v>29' 11"</v>
      </c>
      <c r="F80">
        <f ca="1">IFERROR(__xludf.DUMMYFUNCTION("""COMPUTED_VALUE"""),169)</f>
        <v>169</v>
      </c>
      <c r="G80" s="2">
        <f ca="1">IFERROR(__xludf.DUMMYFUNCTION("""COMPUTED_VALUE"""),5057.167)</f>
        <v>5057.1670000000004</v>
      </c>
      <c r="H80">
        <f ca="1">IFERROR(__xludf.DUMMYFUNCTION("""COMPUTED_VALUE"""),-28)</f>
        <v>-28</v>
      </c>
    </row>
    <row r="81" spans="1:8" ht="12.75">
      <c r="A81" t="str">
        <f ca="1">IFERROR(__xludf.DUMMYFUNCTION("""COMPUTED_VALUE"""),"T80")</f>
        <v>T80</v>
      </c>
      <c r="B81" t="str">
        <f ca="1">IFERROR(__xludf.DUMMYFUNCTION("""COMPUTED_VALUE"""),"T88")</f>
        <v>T88</v>
      </c>
      <c r="C81" t="str">
        <f ca="1">IFERROR(__xludf.DUMMYFUNCTION("""COMPUTED_VALUE"""),"Nick Watney")</f>
        <v>Nick Watney</v>
      </c>
      <c r="D81">
        <f ca="1">IFERROR(__xludf.DUMMYFUNCTION("""COMPUTED_VALUE"""),10)</f>
        <v>10</v>
      </c>
      <c r="E81" t="str">
        <f ca="1">IFERROR(__xludf.DUMMYFUNCTION("""COMPUTED_VALUE"""),"30' 1""")</f>
        <v>30' 1"</v>
      </c>
      <c r="F81">
        <f ca="1">IFERROR(__xludf.DUMMYFUNCTION("""COMPUTED_VALUE"""),94)</f>
        <v>94</v>
      </c>
      <c r="G81" s="2">
        <f ca="1">IFERROR(__xludf.DUMMYFUNCTION("""COMPUTED_VALUE"""),2831.167)</f>
        <v>2831.1669999999999</v>
      </c>
      <c r="H81">
        <f ca="1">IFERROR(__xludf.DUMMYFUNCTION("""COMPUTED_VALUE"""),-10)</f>
        <v>-10</v>
      </c>
    </row>
    <row r="82" spans="1:8" ht="12.75">
      <c r="A82" t="str">
        <f ca="1">IFERROR(__xludf.DUMMYFUNCTION("""COMPUTED_VALUE"""),"T80")</f>
        <v>T80</v>
      </c>
      <c r="B82" t="str">
        <f ca="1">IFERROR(__xludf.DUMMYFUNCTION("""COMPUTED_VALUE"""),"T88")</f>
        <v>T88</v>
      </c>
      <c r="C82" t="str">
        <f ca="1">IFERROR(__xludf.DUMMYFUNCTION("""COMPUTED_VALUE"""),"Nelson Ledesma")</f>
        <v>Nelson Ledesma</v>
      </c>
      <c r="D82">
        <f ca="1">IFERROR(__xludf.DUMMYFUNCTION("""COMPUTED_VALUE"""),8)</f>
        <v>8</v>
      </c>
      <c r="E82" t="str">
        <f ca="1">IFERROR(__xludf.DUMMYFUNCTION("""COMPUTED_VALUE"""),"30' 1""")</f>
        <v>30' 1"</v>
      </c>
      <c r="F82">
        <f ca="1">IFERROR(__xludf.DUMMYFUNCTION("""COMPUTED_VALUE"""),49)</f>
        <v>49</v>
      </c>
      <c r="G82" s="2">
        <f ca="1">IFERROR(__xludf.DUMMYFUNCTION("""COMPUTED_VALUE"""),1475.833)</f>
        <v>1475.8330000000001</v>
      </c>
      <c r="H82">
        <f ca="1">IFERROR(__xludf.DUMMYFUNCTION("""COMPUTED_VALUE"""),-11)</f>
        <v>-11</v>
      </c>
    </row>
    <row r="83" spans="1:8" ht="12.75">
      <c r="A83" t="str">
        <f ca="1">IFERROR(__xludf.DUMMYFUNCTION("""COMPUTED_VALUE"""),"T80")</f>
        <v>T80</v>
      </c>
      <c r="B83" t="str">
        <f ca="1">IFERROR(__xludf.DUMMYFUNCTION("""COMPUTED_VALUE"""),"T88")</f>
        <v>T88</v>
      </c>
      <c r="C83" t="str">
        <f ca="1">IFERROR(__xludf.DUMMYFUNCTION("""COMPUTED_VALUE"""),"Joohyung Kim")</f>
        <v>Joohyung Kim</v>
      </c>
      <c r="D83">
        <f ca="1">IFERROR(__xludf.DUMMYFUNCTION("""COMPUTED_VALUE"""),12)</f>
        <v>12</v>
      </c>
      <c r="E83" t="str">
        <f ca="1">IFERROR(__xludf.DUMMYFUNCTION("""COMPUTED_VALUE"""),"30' 1""")</f>
        <v>30' 1"</v>
      </c>
      <c r="F83">
        <f ca="1">IFERROR(__xludf.DUMMYFUNCTION("""COMPUTED_VALUE"""),110)</f>
        <v>110</v>
      </c>
      <c r="G83" s="2">
        <f ca="1">IFERROR(__xludf.DUMMYFUNCTION("""COMPUTED_VALUE"""),3305.5)</f>
        <v>3305.5</v>
      </c>
      <c r="H83">
        <f ca="1">IFERROR(__xludf.DUMMYFUNCTION("""COMPUTED_VALUE"""),-10)</f>
        <v>-10</v>
      </c>
    </row>
    <row r="84" spans="1:8" ht="12.75">
      <c r="A84" t="str">
        <f ca="1">IFERROR(__xludf.DUMMYFUNCTION("""COMPUTED_VALUE"""),"T83")</f>
        <v>T83</v>
      </c>
      <c r="B84" t="str">
        <f ca="1">IFERROR(__xludf.DUMMYFUNCTION("""COMPUTED_VALUE"""),"T94")</f>
        <v>T94</v>
      </c>
      <c r="C84" t="str">
        <f ca="1">IFERROR(__xludf.DUMMYFUNCTION("""COMPUTED_VALUE"""),"Cameron Smith")</f>
        <v>Cameron Smith</v>
      </c>
      <c r="D84">
        <f ca="1">IFERROR(__xludf.DUMMYFUNCTION("""COMPUTED_VALUE"""),16)</f>
        <v>16</v>
      </c>
      <c r="E84" t="str">
        <f ca="1">IFERROR(__xludf.DUMMYFUNCTION("""COMPUTED_VALUE"""),"30' 2""")</f>
        <v>30' 2"</v>
      </c>
      <c r="F84">
        <f ca="1">IFERROR(__xludf.DUMMYFUNCTION("""COMPUTED_VALUE"""),215)</f>
        <v>215</v>
      </c>
      <c r="G84" s="2">
        <f ca="1">IFERROR(__xludf.DUMMYFUNCTION("""COMPUTED_VALUE"""),6494.25)</f>
        <v>6494.25</v>
      </c>
      <c r="H84">
        <f ca="1">IFERROR(__xludf.DUMMYFUNCTION("""COMPUTED_VALUE"""),-33)</f>
        <v>-33</v>
      </c>
    </row>
    <row r="85" spans="1:8" ht="12.75">
      <c r="A85" t="str">
        <f ca="1">IFERROR(__xludf.DUMMYFUNCTION("""COMPUTED_VALUE"""),"T83")</f>
        <v>T83</v>
      </c>
      <c r="B85" t="str">
        <f ca="1">IFERROR(__xludf.DUMMYFUNCTION("""COMPUTED_VALUE"""),"T99")</f>
        <v>T99</v>
      </c>
      <c r="C85" t="str">
        <f ca="1">IFERROR(__xludf.DUMMYFUNCTION("""COMPUTED_VALUE"""),"Adam Long")</f>
        <v>Adam Long</v>
      </c>
      <c r="D85">
        <f ca="1">IFERROR(__xludf.DUMMYFUNCTION("""COMPUTED_VALUE"""),22)</f>
        <v>22</v>
      </c>
      <c r="E85" t="str">
        <f ca="1">IFERROR(__xludf.DUMMYFUNCTION("""COMPUTED_VALUE"""),"30' 2""")</f>
        <v>30' 2"</v>
      </c>
      <c r="F85">
        <f ca="1">IFERROR(__xludf.DUMMYFUNCTION("""COMPUTED_VALUE"""),254)</f>
        <v>254</v>
      </c>
      <c r="G85" s="2">
        <f ca="1">IFERROR(__xludf.DUMMYFUNCTION("""COMPUTED_VALUE"""),7653.167)</f>
        <v>7653.1670000000004</v>
      </c>
      <c r="H85">
        <f ca="1">IFERROR(__xludf.DUMMYFUNCTION("""COMPUTED_VALUE"""),-11)</f>
        <v>-11</v>
      </c>
    </row>
    <row r="86" spans="1:8" ht="12.75">
      <c r="A86" t="str">
        <f ca="1">IFERROR(__xludf.DUMMYFUNCTION("""COMPUTED_VALUE"""),"T83")</f>
        <v>T83</v>
      </c>
      <c r="B86" t="str">
        <f ca="1">IFERROR(__xludf.DUMMYFUNCTION("""COMPUTED_VALUE"""),"T46")</f>
        <v>T46</v>
      </c>
      <c r="C86" t="str">
        <f ca="1">IFERROR(__xludf.DUMMYFUNCTION("""COMPUTED_VALUE"""),"David Hearn")</f>
        <v>David Hearn</v>
      </c>
      <c r="D86">
        <f ca="1">IFERROR(__xludf.DUMMYFUNCTION("""COMPUTED_VALUE"""),16)</f>
        <v>16</v>
      </c>
      <c r="E86" t="str">
        <f ca="1">IFERROR(__xludf.DUMMYFUNCTION("""COMPUTED_VALUE"""),"30' 2""")</f>
        <v>30' 2"</v>
      </c>
      <c r="F86">
        <f ca="1">IFERROR(__xludf.DUMMYFUNCTION("""COMPUTED_VALUE"""),105)</f>
        <v>105</v>
      </c>
      <c r="G86" s="2">
        <f ca="1">IFERROR(__xludf.DUMMYFUNCTION("""COMPUTED_VALUE"""),3166.167)</f>
        <v>3166.1669999999999</v>
      </c>
      <c r="H86">
        <f ca="1">IFERROR(__xludf.DUMMYFUNCTION("""COMPUTED_VALUE"""),-14)</f>
        <v>-14</v>
      </c>
    </row>
    <row r="87" spans="1:8" ht="12.75">
      <c r="A87" t="str">
        <f ca="1">IFERROR(__xludf.DUMMYFUNCTION("""COMPUTED_VALUE"""),"T83")</f>
        <v>T83</v>
      </c>
      <c r="B87" t="str">
        <f ca="1">IFERROR(__xludf.DUMMYFUNCTION("""COMPUTED_VALUE"""),"T94")</f>
        <v>T94</v>
      </c>
      <c r="C87" t="str">
        <f ca="1">IFERROR(__xludf.DUMMYFUNCTION("""COMPUTED_VALUE"""),"Justin Rose")</f>
        <v>Justin Rose</v>
      </c>
      <c r="D87">
        <f ca="1">IFERROR(__xludf.DUMMYFUNCTION("""COMPUTED_VALUE"""),10)</f>
        <v>10</v>
      </c>
      <c r="E87" t="str">
        <f ca="1">IFERROR(__xludf.DUMMYFUNCTION("""COMPUTED_VALUE"""),"30' 2""")</f>
        <v>30' 2"</v>
      </c>
      <c r="F87">
        <f ca="1">IFERROR(__xludf.DUMMYFUNCTION("""COMPUTED_VALUE"""),123)</f>
        <v>123</v>
      </c>
      <c r="G87" s="2">
        <f ca="1">IFERROR(__xludf.DUMMYFUNCTION("""COMPUTED_VALUE"""),3711.083)</f>
        <v>3711.0830000000001</v>
      </c>
      <c r="H87">
        <f ca="1">IFERROR(__xludf.DUMMYFUNCTION("""COMPUTED_VALUE"""),-15)</f>
        <v>-15</v>
      </c>
    </row>
    <row r="88" spans="1:8" ht="12.75">
      <c r="A88" t="str">
        <f ca="1">IFERROR(__xludf.DUMMYFUNCTION("""COMPUTED_VALUE"""),"T83")</f>
        <v>T83</v>
      </c>
      <c r="B88" t="str">
        <f ca="1">IFERROR(__xludf.DUMMYFUNCTION("""COMPUTED_VALUE"""),"T28")</f>
        <v>T28</v>
      </c>
      <c r="C88" t="str">
        <f ca="1">IFERROR(__xludf.DUMMYFUNCTION("""COMPUTED_VALUE"""),"Aaron Wise")</f>
        <v>Aaron Wise</v>
      </c>
      <c r="D88">
        <f ca="1">IFERROR(__xludf.DUMMYFUNCTION("""COMPUTED_VALUE"""),16)</f>
        <v>16</v>
      </c>
      <c r="E88" t="str">
        <f ca="1">IFERROR(__xludf.DUMMYFUNCTION("""COMPUTED_VALUE"""),"30' 2""")</f>
        <v>30' 2"</v>
      </c>
      <c r="F88">
        <f ca="1">IFERROR(__xludf.DUMMYFUNCTION("""COMPUTED_VALUE"""),143)</f>
        <v>143</v>
      </c>
      <c r="G88" s="2">
        <f ca="1">IFERROR(__xludf.DUMMYFUNCTION("""COMPUTED_VALUE"""),4311.833)</f>
        <v>4311.8329999999996</v>
      </c>
      <c r="H88">
        <f ca="1">IFERROR(__xludf.DUMMYFUNCTION("""COMPUTED_VALUE"""),-24)</f>
        <v>-24</v>
      </c>
    </row>
    <row r="89" spans="1:8" ht="12.75">
      <c r="A89">
        <f ca="1">IFERROR(__xludf.DUMMYFUNCTION("""COMPUTED_VALUE"""),88)</f>
        <v>88</v>
      </c>
      <c r="B89" t="str">
        <f ca="1">IFERROR(__xludf.DUMMYFUNCTION("""COMPUTED_VALUE"""),"T119")</f>
        <v>T119</v>
      </c>
      <c r="C89" t="str">
        <f ca="1">IFERROR(__xludf.DUMMYFUNCTION("""COMPUTED_VALUE"""),"Corey Conners")</f>
        <v>Corey Conners</v>
      </c>
      <c r="D89">
        <f ca="1">IFERROR(__xludf.DUMMYFUNCTION("""COMPUTED_VALUE"""),20)</f>
        <v>20</v>
      </c>
      <c r="E89" t="str">
        <f ca="1">IFERROR(__xludf.DUMMYFUNCTION("""COMPUTED_VALUE"""),"30' 3""")</f>
        <v>30' 3"</v>
      </c>
      <c r="F89">
        <f ca="1">IFERROR(__xludf.DUMMYFUNCTION("""COMPUTED_VALUE"""),252)</f>
        <v>252</v>
      </c>
      <c r="G89" s="2">
        <f ca="1">IFERROR(__xludf.DUMMYFUNCTION("""COMPUTED_VALUE"""),7612.583)</f>
        <v>7612.5829999999996</v>
      </c>
      <c r="H89">
        <f ca="1">IFERROR(__xludf.DUMMYFUNCTION("""COMPUTED_VALUE"""),-28)</f>
        <v>-28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IFERROR(__xludf.DUMMYFUNCTION("""COMPUTED_VALUE"""),"T32")</f>
        <v>T32</v>
      </c>
      <c r="C90" t="str">
        <f ca="1">IFERROR(__xludf.DUMMYFUNCTION("""COMPUTED_VALUE"""),"John Huh")</f>
        <v>John Huh</v>
      </c>
      <c r="D90">
        <f ca="1">IFERROR(__xludf.DUMMYFUNCTION("""COMPUTED_VALUE"""),8)</f>
        <v>8</v>
      </c>
      <c r="E90" t="str">
        <f ca="1">IFERROR(__xludf.DUMMYFUNCTION("""COMPUTED_VALUE"""),"30' 4""")</f>
        <v>30' 4"</v>
      </c>
      <c r="F90">
        <f ca="1">IFERROR(__xludf.DUMMYFUNCTION("""COMPUTED_VALUE"""),109)</f>
        <v>109</v>
      </c>
      <c r="G90" s="2">
        <f ca="1">IFERROR(__xludf.DUMMYFUNCTION("""COMPUTED_VALUE"""),3304)</f>
        <v>3304</v>
      </c>
      <c r="H90">
        <f ca="1">IFERROR(__xludf.DUMMYFUNCTION("""COMPUTED_VALUE"""),-16)</f>
        <v>-16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IFERROR(__xludf.DUMMYFUNCTION("""COMPUTED_VALUE"""),"T99")</f>
        <v>T99</v>
      </c>
      <c r="C91" t="str">
        <f ca="1">IFERROR(__xludf.DUMMYFUNCTION("""COMPUTED_VALUE"""),"Bubba Watson")</f>
        <v>Bubba Watson</v>
      </c>
      <c r="D91">
        <f ca="1">IFERROR(__xludf.DUMMYFUNCTION("""COMPUTED_VALUE"""),12)</f>
        <v>12</v>
      </c>
      <c r="E91" t="str">
        <f ca="1">IFERROR(__xludf.DUMMYFUNCTION("""COMPUTED_VALUE"""),"30' 4""")</f>
        <v>30' 4"</v>
      </c>
      <c r="F91">
        <f ca="1">IFERROR(__xludf.DUMMYFUNCTION("""COMPUTED_VALUE"""),156)</f>
        <v>156</v>
      </c>
      <c r="G91" s="2">
        <f ca="1">IFERROR(__xludf.DUMMYFUNCTION("""COMPUTED_VALUE"""),4732.333)</f>
        <v>4732.3329999999996</v>
      </c>
      <c r="H91">
        <f ca="1">IFERROR(__xludf.DUMMYFUNCTION("""COMPUTED_VALUE"""),-23)</f>
        <v>-23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IFERROR(__xludf.DUMMYFUNCTION("""COMPUTED_VALUE"""),"T99")</f>
        <v>T99</v>
      </c>
      <c r="C92" t="str">
        <f ca="1">IFERROR(__xludf.DUMMYFUNCTION("""COMPUTED_VALUE"""),"Tim Wilkinson")</f>
        <v>Tim Wilkinson</v>
      </c>
      <c r="D92">
        <f ca="1">IFERROR(__xludf.DUMMYFUNCTION("""COMPUTED_VALUE"""),12)</f>
        <v>12</v>
      </c>
      <c r="E92" t="str">
        <f ca="1">IFERROR(__xludf.DUMMYFUNCTION("""COMPUTED_VALUE"""),"30' 4""")</f>
        <v>30' 4"</v>
      </c>
      <c r="F92">
        <f ca="1">IFERROR(__xludf.DUMMYFUNCTION("""COMPUTED_VALUE"""),82)</f>
        <v>82</v>
      </c>
      <c r="G92" s="2">
        <f ca="1">IFERROR(__xludf.DUMMYFUNCTION("""COMPUTED_VALUE"""),2485.417)</f>
        <v>2485.4169999999999</v>
      </c>
      <c r="H92">
        <f ca="1">IFERROR(__xludf.DUMMYFUNCTION("""COMPUTED_VALUE"""),-12)</f>
        <v>-12</v>
      </c>
    </row>
    <row r="93" spans="1:8" ht="12.75">
      <c r="A93" t="str">
        <f ca="1">IFERROR(__xludf.DUMMYFUNCTION("""COMPUTED_VALUE"""),"T89")</f>
        <v>T89</v>
      </c>
      <c r="B93" t="str">
        <f ca="1">IFERROR(__xludf.DUMMYFUNCTION("""COMPUTED_VALUE"""),"T99")</f>
        <v>T99</v>
      </c>
      <c r="C93" t="str">
        <f ca="1">IFERROR(__xludf.DUMMYFUNCTION("""COMPUTED_VALUE"""),"Rickie Fowler")</f>
        <v>Rickie Fowler</v>
      </c>
      <c r="D93">
        <f ca="1">IFERROR(__xludf.DUMMYFUNCTION("""COMPUTED_VALUE"""),14)</f>
        <v>14</v>
      </c>
      <c r="E93" t="str">
        <f ca="1">IFERROR(__xludf.DUMMYFUNCTION("""COMPUTED_VALUE"""),"30' 4""")</f>
        <v>30' 4"</v>
      </c>
      <c r="F93">
        <f ca="1">IFERROR(__xludf.DUMMYFUNCTION("""COMPUTED_VALUE"""),184)</f>
        <v>184</v>
      </c>
      <c r="G93" s="2">
        <f ca="1">IFERROR(__xludf.DUMMYFUNCTION("""COMPUTED_VALUE"""),5587.5)</f>
        <v>5587.5</v>
      </c>
      <c r="H93">
        <f ca="1">IFERROR(__xludf.DUMMYFUNCTION("""COMPUTED_VALUE"""),-19)</f>
        <v>-19</v>
      </c>
    </row>
    <row r="94" spans="1:8" ht="12.75">
      <c r="A94" t="str">
        <f ca="1">IFERROR(__xludf.DUMMYFUNCTION("""COMPUTED_VALUE"""),"T89")</f>
        <v>T89</v>
      </c>
      <c r="B94" t="str">
        <f ca="1">IFERROR(__xludf.DUMMYFUNCTION("""COMPUTED_VALUE"""),"T128")</f>
        <v>T128</v>
      </c>
      <c r="C94" t="str">
        <f ca="1">IFERROR(__xludf.DUMMYFUNCTION("""COMPUTED_VALUE"""),"Shane Lowry")</f>
        <v>Shane Lowry</v>
      </c>
      <c r="D94">
        <f ca="1">IFERROR(__xludf.DUMMYFUNCTION("""COMPUTED_VALUE"""),14)</f>
        <v>14</v>
      </c>
      <c r="E94" t="str">
        <f ca="1">IFERROR(__xludf.DUMMYFUNCTION("""COMPUTED_VALUE"""),"30' 4""")</f>
        <v>30' 4"</v>
      </c>
      <c r="F94">
        <f ca="1">IFERROR(__xludf.DUMMYFUNCTION("""COMPUTED_VALUE"""),189)</f>
        <v>189</v>
      </c>
      <c r="G94" s="2">
        <f ca="1">IFERROR(__xludf.DUMMYFUNCTION("""COMPUTED_VALUE"""),5727)</f>
        <v>5727</v>
      </c>
      <c r="H94">
        <f ca="1">IFERROR(__xludf.DUMMYFUNCTION("""COMPUTED_VALUE"""),-12)</f>
        <v>-12</v>
      </c>
    </row>
    <row r="95" spans="1:8" ht="12.75">
      <c r="A95" t="str">
        <f ca="1">IFERROR(__xludf.DUMMYFUNCTION("""COMPUTED_VALUE"""),"T89")</f>
        <v>T89</v>
      </c>
      <c r="B95" t="str">
        <f ca="1">IFERROR(__xludf.DUMMYFUNCTION("""COMPUTED_VALUE"""),"T99")</f>
        <v>T99</v>
      </c>
      <c r="C95" t="str">
        <f ca="1">IFERROR(__xludf.DUMMYFUNCTION("""COMPUTED_VALUE"""),"Seonghyeon Kim")</f>
        <v>Seonghyeon Kim</v>
      </c>
      <c r="D95">
        <f ca="1">IFERROR(__xludf.DUMMYFUNCTION("""COMPUTED_VALUE"""),4)</f>
        <v>4</v>
      </c>
      <c r="E95" t="str">
        <f ca="1">IFERROR(__xludf.DUMMYFUNCTION("""COMPUTED_VALUE"""),"30' 4""")</f>
        <v>30' 4"</v>
      </c>
      <c r="F95">
        <f ca="1">IFERROR(__xludf.DUMMYFUNCTION("""COMPUTED_VALUE"""),52)</f>
        <v>52</v>
      </c>
      <c r="G95" s="2">
        <f ca="1">IFERROR(__xludf.DUMMYFUNCTION("""COMPUTED_VALUE"""),1577.833)</f>
        <v>1577.8330000000001</v>
      </c>
      <c r="H95">
        <f ca="1">IFERROR(__xludf.DUMMYFUNCTION("""COMPUTED_VALUE"""),-4)</f>
        <v>-4</v>
      </c>
    </row>
    <row r="96" spans="1:8" ht="12.75">
      <c r="A96" t="str">
        <f ca="1">IFERROR(__xludf.DUMMYFUNCTION("""COMPUTED_VALUE"""),"T89")</f>
        <v>T89</v>
      </c>
      <c r="B96" t="str">
        <f ca="1">IFERROR(__xludf.DUMMYFUNCTION("""COMPUTED_VALUE"""),"T99")</f>
        <v>T99</v>
      </c>
      <c r="C96" t="str">
        <f ca="1">IFERROR(__xludf.DUMMYFUNCTION("""COMPUTED_VALUE"""),"Wesley Bryan")</f>
        <v>Wesley Bryan</v>
      </c>
      <c r="D96">
        <f ca="1">IFERROR(__xludf.DUMMYFUNCTION("""COMPUTED_VALUE"""),8)</f>
        <v>8</v>
      </c>
      <c r="E96" t="str">
        <f ca="1">IFERROR(__xludf.DUMMYFUNCTION("""COMPUTED_VALUE"""),"30' 4""")</f>
        <v>30' 4"</v>
      </c>
      <c r="F96">
        <f ca="1">IFERROR(__xludf.DUMMYFUNCTION("""COMPUTED_VALUE"""),68)</f>
        <v>68</v>
      </c>
      <c r="G96" s="2">
        <f ca="1">IFERROR(__xludf.DUMMYFUNCTION("""COMPUTED_VALUE"""),2061.667)</f>
        <v>2061.6669999999999</v>
      </c>
      <c r="H96">
        <f ca="1">IFERROR(__xludf.DUMMYFUNCTION("""COMPUTED_VALUE"""),-15)</f>
        <v>-15</v>
      </c>
    </row>
    <row r="97" spans="1:8" ht="12.75">
      <c r="A97" t="str">
        <f ca="1">IFERROR(__xludf.DUMMYFUNCTION("""COMPUTED_VALUE"""),"T96")</f>
        <v>T96</v>
      </c>
      <c r="B97" t="str">
        <f ca="1">IFERROR(__xludf.DUMMYFUNCTION("""COMPUTED_VALUE"""),"T94")</f>
        <v>T94</v>
      </c>
      <c r="C97" t="str">
        <f ca="1">IFERROR(__xludf.DUMMYFUNCTION("""COMPUTED_VALUE"""),"Keegan Bradley")</f>
        <v>Keegan Bradley</v>
      </c>
      <c r="D97">
        <f ca="1">IFERROR(__xludf.DUMMYFUNCTION("""COMPUTED_VALUE"""),16)</f>
        <v>16</v>
      </c>
      <c r="E97" t="str">
        <f ca="1">IFERROR(__xludf.DUMMYFUNCTION("""COMPUTED_VALUE"""),"30' 5""")</f>
        <v>30' 5"</v>
      </c>
      <c r="F97">
        <f ca="1">IFERROR(__xludf.DUMMYFUNCTION("""COMPUTED_VALUE"""),213)</f>
        <v>213</v>
      </c>
      <c r="G97" s="2">
        <f ca="1">IFERROR(__xludf.DUMMYFUNCTION("""COMPUTED_VALUE"""),6482.25)</f>
        <v>6482.25</v>
      </c>
      <c r="H97">
        <f ca="1">IFERROR(__xludf.DUMMYFUNCTION("""COMPUTED_VALUE"""),-15)</f>
        <v>-15</v>
      </c>
    </row>
    <row r="98" spans="1:8" ht="12.75">
      <c r="A98" t="str">
        <f ca="1">IFERROR(__xludf.DUMMYFUNCTION("""COMPUTED_VALUE"""),"T96")</f>
        <v>T96</v>
      </c>
      <c r="B98" t="str">
        <f ca="1">IFERROR(__xludf.DUMMYFUNCTION("""COMPUTED_VALUE"""),"T162")</f>
        <v>T162</v>
      </c>
      <c r="C98" t="str">
        <f ca="1">IFERROR(__xludf.DUMMYFUNCTION("""COMPUTED_VALUE"""),"Fabián Gómez")</f>
        <v>Fabián Gómez</v>
      </c>
      <c r="D98">
        <f ca="1">IFERROR(__xludf.DUMMYFUNCTION("""COMPUTED_VALUE"""),16)</f>
        <v>16</v>
      </c>
      <c r="E98" t="str">
        <f ca="1">IFERROR(__xludf.DUMMYFUNCTION("""COMPUTED_VALUE"""),"30' 5""")</f>
        <v>30' 5"</v>
      </c>
      <c r="F98">
        <f ca="1">IFERROR(__xludf.DUMMYFUNCTION("""COMPUTED_VALUE"""),130)</f>
        <v>130</v>
      </c>
      <c r="G98" s="2">
        <f ca="1">IFERROR(__xludf.DUMMYFUNCTION("""COMPUTED_VALUE"""),3958.583)</f>
        <v>3958.5830000000001</v>
      </c>
      <c r="H98">
        <f ca="1">IFERROR(__xludf.DUMMYFUNCTION("""COMPUTED_VALUE"""),-13)</f>
        <v>-13</v>
      </c>
    </row>
    <row r="99" spans="1:8" ht="12.75">
      <c r="A99" t="str">
        <f ca="1">IFERROR(__xludf.DUMMYFUNCTION("""COMPUTED_VALUE"""),"T96")</f>
        <v>T96</v>
      </c>
      <c r="B99" t="str">
        <f ca="1">IFERROR(__xludf.DUMMYFUNCTION("""COMPUTED_VALUE"""),"T74")</f>
        <v>T74</v>
      </c>
      <c r="C99" t="str">
        <f ca="1">IFERROR(__xludf.DUMMYFUNCTION("""COMPUTED_VALUE"""),"Scott Stallings")</f>
        <v>Scott Stallings</v>
      </c>
      <c r="D99">
        <f ca="1">IFERROR(__xludf.DUMMYFUNCTION("""COMPUTED_VALUE"""),14)</f>
        <v>14</v>
      </c>
      <c r="E99" t="str">
        <f ca="1">IFERROR(__xludf.DUMMYFUNCTION("""COMPUTED_VALUE"""),"30' 5""")</f>
        <v>30' 5"</v>
      </c>
      <c r="F99">
        <f ca="1">IFERROR(__xludf.DUMMYFUNCTION("""COMPUTED_VALUE"""),124)</f>
        <v>124</v>
      </c>
      <c r="G99" s="2">
        <f ca="1">IFERROR(__xludf.DUMMYFUNCTION("""COMPUTED_VALUE"""),3771.333)</f>
        <v>3771.3330000000001</v>
      </c>
      <c r="H99">
        <f ca="1">IFERROR(__xludf.DUMMYFUNCTION("""COMPUTED_VALUE"""),-18)</f>
        <v>-18</v>
      </c>
    </row>
    <row r="100" spans="1:8" ht="12.75">
      <c r="A100" t="str">
        <f ca="1">IFERROR(__xludf.DUMMYFUNCTION("""COMPUTED_VALUE"""),"T96")</f>
        <v>T96</v>
      </c>
      <c r="B100">
        <f ca="1">IFERROR(__xludf.DUMMYFUNCTION("""COMPUTED_VALUE"""),81)</f>
        <v>81</v>
      </c>
      <c r="C100" t="str">
        <f ca="1">IFERROR(__xludf.DUMMYFUNCTION("""COMPUTED_VALUE"""),"Scott Piercy")</f>
        <v>Scott Piercy</v>
      </c>
      <c r="D100">
        <f ca="1">IFERROR(__xludf.DUMMYFUNCTION("""COMPUTED_VALUE"""),18)</f>
        <v>18</v>
      </c>
      <c r="E100" t="str">
        <f ca="1">IFERROR(__xludf.DUMMYFUNCTION("""COMPUTED_VALUE"""),"30' 5""")</f>
        <v>30' 5"</v>
      </c>
      <c r="F100">
        <f ca="1">IFERROR(__xludf.DUMMYFUNCTION("""COMPUTED_VALUE"""),183)</f>
        <v>183</v>
      </c>
      <c r="G100" s="2">
        <f ca="1">IFERROR(__xludf.DUMMYFUNCTION("""COMPUTED_VALUE"""),5565.917)</f>
        <v>5565.9170000000004</v>
      </c>
      <c r="H100">
        <f ca="1">IFERROR(__xludf.DUMMYFUNCTION("""COMPUTED_VALUE"""),-24)</f>
        <v>-24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IFERROR(__xludf.DUMMYFUNCTION("""COMPUTED_VALUE"""),"T109")</f>
        <v>T109</v>
      </c>
      <c r="C101" t="str">
        <f ca="1">IFERROR(__xludf.DUMMYFUNCTION("""COMPUTED_VALUE"""),"Paul Casey")</f>
        <v>Paul Casey</v>
      </c>
      <c r="D101">
        <f ca="1">IFERROR(__xludf.DUMMYFUNCTION("""COMPUTED_VALUE"""),14)</f>
        <v>14</v>
      </c>
      <c r="E101" t="str">
        <f ca="1">IFERROR(__xludf.DUMMYFUNCTION("""COMPUTED_VALUE"""),"30' 6""")</f>
        <v>30' 6"</v>
      </c>
      <c r="F101">
        <f ca="1">IFERROR(__xludf.DUMMYFUNCTION("""COMPUTED_VALUE"""),182)</f>
        <v>182</v>
      </c>
      <c r="G101" s="2">
        <f ca="1">IFERROR(__xludf.DUMMYFUNCTION("""COMPUTED_VALUE"""),5546.583)</f>
        <v>5546.5829999999996</v>
      </c>
      <c r="H101">
        <f ca="1">IFERROR(__xludf.DUMMYFUNCTION("""COMPUTED_VALUE"""),-15)</f>
        <v>-15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IFERROR(__xludf.DUMMYFUNCTION("""COMPUTED_VALUE"""),"T88")</f>
        <v>T88</v>
      </c>
      <c r="C102" t="str">
        <f ca="1">IFERROR(__xludf.DUMMYFUNCTION("""COMPUTED_VALUE"""),"Erik van Rooyen")</f>
        <v>Erik van Rooyen</v>
      </c>
      <c r="D102">
        <f ca="1">IFERROR(__xludf.DUMMYFUNCTION("""COMPUTED_VALUE"""),10)</f>
        <v>10</v>
      </c>
      <c r="E102" t="str">
        <f ca="1">IFERROR(__xludf.DUMMYFUNCTION("""COMPUTED_VALUE"""),"30' 6""")</f>
        <v>30' 6"</v>
      </c>
      <c r="F102">
        <f ca="1">IFERROR(__xludf.DUMMYFUNCTION("""COMPUTED_VALUE"""),125)</f>
        <v>125</v>
      </c>
      <c r="G102" s="2">
        <f ca="1">IFERROR(__xludf.DUMMYFUNCTION("""COMPUTED_VALUE"""),3814.833)</f>
        <v>3814.8330000000001</v>
      </c>
      <c r="H102">
        <f ca="1">IFERROR(__xludf.DUMMYFUNCTION("""COMPUTED_VALUE"""),-8)</f>
        <v>-8</v>
      </c>
    </row>
    <row r="103" spans="1:8" ht="12.75">
      <c r="A103" t="str">
        <f ca="1">IFERROR(__xludf.DUMMYFUNCTION("""COMPUTED_VALUE"""),"T102")</f>
        <v>T102</v>
      </c>
      <c r="B103">
        <f ca="1">IFERROR(__xludf.DUMMYFUNCTION("""COMPUTED_VALUE"""),111)</f>
        <v>111</v>
      </c>
      <c r="C103" t="str">
        <f ca="1">IFERROR(__xludf.DUMMYFUNCTION("""COMPUTED_VALUE"""),"Chesson Hadley")</f>
        <v>Chesson Hadley</v>
      </c>
      <c r="D103">
        <f ca="1">IFERROR(__xludf.DUMMYFUNCTION("""COMPUTED_VALUE"""),16)</f>
        <v>16</v>
      </c>
      <c r="E103" t="str">
        <f ca="1">IFERROR(__xludf.DUMMYFUNCTION("""COMPUTED_VALUE"""),"30' 7""")</f>
        <v>30' 7"</v>
      </c>
      <c r="F103">
        <f ca="1">IFERROR(__xludf.DUMMYFUNCTION("""COMPUTED_VALUE"""),144)</f>
        <v>144</v>
      </c>
      <c r="G103" s="2">
        <f ca="1">IFERROR(__xludf.DUMMYFUNCTION("""COMPUTED_VALUE"""),4408.167)</f>
        <v>4408.1670000000004</v>
      </c>
      <c r="H103">
        <f ca="1">IFERROR(__xludf.DUMMYFUNCTION("""COMPUTED_VALUE"""),-7)</f>
        <v>-7</v>
      </c>
    </row>
    <row r="104" spans="1:8" ht="12.75">
      <c r="A104" t="str">
        <f ca="1">IFERROR(__xludf.DUMMYFUNCTION("""COMPUTED_VALUE"""),"T102")</f>
        <v>T102</v>
      </c>
      <c r="B104" t="str">
        <f ca="1">IFERROR(__xludf.DUMMYFUNCTION("""COMPUTED_VALUE"""),"T88")</f>
        <v>T88</v>
      </c>
      <c r="C104" t="str">
        <f ca="1">IFERROR(__xludf.DUMMYFUNCTION("""COMPUTED_VALUE"""),"Cameron Davis")</f>
        <v>Cameron Davis</v>
      </c>
      <c r="D104">
        <f ca="1">IFERROR(__xludf.DUMMYFUNCTION("""COMPUTED_VALUE"""),16)</f>
        <v>16</v>
      </c>
      <c r="E104" t="str">
        <f ca="1">IFERROR(__xludf.DUMMYFUNCTION("""COMPUTED_VALUE"""),"30' 7""")</f>
        <v>30' 7"</v>
      </c>
      <c r="F104">
        <f ca="1">IFERROR(__xludf.DUMMYFUNCTION("""COMPUTED_VALUE"""),191)</f>
        <v>191</v>
      </c>
      <c r="G104" s="2">
        <f ca="1">IFERROR(__xludf.DUMMYFUNCTION("""COMPUTED_VALUE"""),5848.083)</f>
        <v>5848.0829999999996</v>
      </c>
      <c r="H104">
        <f ca="1">IFERROR(__xludf.DUMMYFUNCTION("""COMPUTED_VALUE"""),-27)</f>
        <v>-27</v>
      </c>
    </row>
    <row r="105" spans="1:8" ht="12.75">
      <c r="A105">
        <f ca="1">IFERROR(__xludf.DUMMYFUNCTION("""COMPUTED_VALUE"""),104)</f>
        <v>104</v>
      </c>
      <c r="B105" t="str">
        <f ca="1">IFERROR(__xludf.DUMMYFUNCTION("""COMPUTED_VALUE"""),"T112")</f>
        <v>T112</v>
      </c>
      <c r="C105" t="str">
        <f ca="1">IFERROR(__xludf.DUMMYFUNCTION("""COMPUTED_VALUE"""),"Hank Lebioda")</f>
        <v>Hank Lebioda</v>
      </c>
      <c r="D105">
        <f ca="1">IFERROR(__xludf.DUMMYFUNCTION("""COMPUTED_VALUE"""),14)</f>
        <v>14</v>
      </c>
      <c r="E105" t="str">
        <f ca="1">IFERROR(__xludf.DUMMYFUNCTION("""COMPUTED_VALUE"""),"30' 9""")</f>
        <v>30' 9"</v>
      </c>
      <c r="F105">
        <f ca="1">IFERROR(__xludf.DUMMYFUNCTION("""COMPUTED_VALUE"""),67)</f>
        <v>67</v>
      </c>
      <c r="G105" s="2">
        <f ca="1">IFERROR(__xludf.DUMMYFUNCTION("""COMPUTED_VALUE"""),2062)</f>
        <v>2062</v>
      </c>
      <c r="H105">
        <f ca="1">IFERROR(__xludf.DUMMYFUNCTION("""COMPUTED_VALUE"""),-6)</f>
        <v>-6</v>
      </c>
    </row>
    <row r="106" spans="1:8" ht="12.75">
      <c r="A106" t="str">
        <f ca="1">IFERROR(__xludf.DUMMYFUNCTION("""COMPUTED_VALUE"""),"T105")</f>
        <v>T105</v>
      </c>
      <c r="B106" t="str">
        <f ca="1">IFERROR(__xludf.DUMMYFUNCTION("""COMPUTED_VALUE"""),"T139")</f>
        <v>T139</v>
      </c>
      <c r="C106" t="str">
        <f ca="1">IFERROR(__xludf.DUMMYFUNCTION("""COMPUTED_VALUE"""),"Jamie Lovemark")</f>
        <v>Jamie Lovemark</v>
      </c>
      <c r="D106">
        <f ca="1">IFERROR(__xludf.DUMMYFUNCTION("""COMPUTED_VALUE"""),18)</f>
        <v>18</v>
      </c>
      <c r="E106" t="str">
        <f ca="1">IFERROR(__xludf.DUMMYFUNCTION("""COMPUTED_VALUE"""),"30' 10""")</f>
        <v>30' 10"</v>
      </c>
      <c r="F106">
        <f ca="1">IFERROR(__xludf.DUMMYFUNCTION("""COMPUTED_VALUE"""),128)</f>
        <v>128</v>
      </c>
      <c r="G106" s="2">
        <f ca="1">IFERROR(__xludf.DUMMYFUNCTION("""COMPUTED_VALUE"""),3943.833)</f>
        <v>3943.8330000000001</v>
      </c>
      <c r="H106">
        <f ca="1">IFERROR(__xludf.DUMMYFUNCTION("""COMPUTED_VALUE"""),-3)</f>
        <v>-3</v>
      </c>
    </row>
    <row r="107" spans="1:8" ht="12.75">
      <c r="A107" t="str">
        <f ca="1">IFERROR(__xludf.DUMMYFUNCTION("""COMPUTED_VALUE"""),"T105")</f>
        <v>T105</v>
      </c>
      <c r="B107" t="str">
        <f ca="1">IFERROR(__xludf.DUMMYFUNCTION("""COMPUTED_VALUE"""),"T82")</f>
        <v>T82</v>
      </c>
      <c r="C107" t="str">
        <f ca="1">IFERROR(__xludf.DUMMYFUNCTION("""COMPUTED_VALUE"""),"Kevin Chappell")</f>
        <v>Kevin Chappell</v>
      </c>
      <c r="D107">
        <f ca="1">IFERROR(__xludf.DUMMYFUNCTION("""COMPUTED_VALUE"""),16)</f>
        <v>16</v>
      </c>
      <c r="E107" t="str">
        <f ca="1">IFERROR(__xludf.DUMMYFUNCTION("""COMPUTED_VALUE"""),"30' 10""")</f>
        <v>30' 10"</v>
      </c>
      <c r="F107">
        <f ca="1">IFERROR(__xludf.DUMMYFUNCTION("""COMPUTED_VALUE"""),160)</f>
        <v>160</v>
      </c>
      <c r="G107" s="2">
        <f ca="1">IFERROR(__xludf.DUMMYFUNCTION("""COMPUTED_VALUE"""),4935.75)</f>
        <v>4935.75</v>
      </c>
      <c r="H107">
        <f ca="1">IFERROR(__xludf.DUMMYFUNCTION("""COMPUTED_VALUE"""),-13)</f>
        <v>-13</v>
      </c>
    </row>
    <row r="108" spans="1:8" ht="12.75">
      <c r="A108" t="str">
        <f ca="1">IFERROR(__xludf.DUMMYFUNCTION("""COMPUTED_VALUE"""),"T105")</f>
        <v>T105</v>
      </c>
      <c r="B108" t="str">
        <f ca="1">IFERROR(__xludf.DUMMYFUNCTION("""COMPUTED_VALUE"""),"T115")</f>
        <v>T115</v>
      </c>
      <c r="C108" t="str">
        <f ca="1">IFERROR(__xludf.DUMMYFUNCTION("""COMPUTED_VALUE"""),"Michael Gligic")</f>
        <v>Michael Gligic</v>
      </c>
      <c r="D108">
        <f ca="1">IFERROR(__xludf.DUMMYFUNCTION("""COMPUTED_VALUE"""),18)</f>
        <v>18</v>
      </c>
      <c r="E108" t="str">
        <f ca="1">IFERROR(__xludf.DUMMYFUNCTION("""COMPUTED_VALUE"""),"30' 10""")</f>
        <v>30' 10"</v>
      </c>
      <c r="F108">
        <f ca="1">IFERROR(__xludf.DUMMYFUNCTION("""COMPUTED_VALUE"""),147)</f>
        <v>147</v>
      </c>
      <c r="G108" s="2">
        <f ca="1">IFERROR(__xludf.DUMMYFUNCTION("""COMPUTED_VALUE"""),4532)</f>
        <v>4532</v>
      </c>
      <c r="H108">
        <f ca="1">IFERROR(__xludf.DUMMYFUNCTION("""COMPUTED_VALUE"""),-36)</f>
        <v>-36</v>
      </c>
    </row>
    <row r="109" spans="1:8" ht="12.75">
      <c r="A109" t="str">
        <f ca="1">IFERROR(__xludf.DUMMYFUNCTION("""COMPUTED_VALUE"""),"T105")</f>
        <v>T105</v>
      </c>
      <c r="B109" t="str">
        <f ca="1">IFERROR(__xludf.DUMMYFUNCTION("""COMPUTED_VALUE"""),"T115")</f>
        <v>T115</v>
      </c>
      <c r="C109" t="str">
        <f ca="1">IFERROR(__xludf.DUMMYFUNCTION("""COMPUTED_VALUE"""),"Sahith Theegala")</f>
        <v>Sahith Theegala</v>
      </c>
      <c r="D109">
        <f ca="1">IFERROR(__xludf.DUMMYFUNCTION("""COMPUTED_VALUE"""),6)</f>
        <v>6</v>
      </c>
      <c r="E109" t="str">
        <f ca="1">IFERROR(__xludf.DUMMYFUNCTION("""COMPUTED_VALUE"""),"30' 10""")</f>
        <v>30' 10"</v>
      </c>
      <c r="F109">
        <f ca="1">IFERROR(__xludf.DUMMYFUNCTION("""COMPUTED_VALUE"""),68)</f>
        <v>68</v>
      </c>
      <c r="G109" s="2">
        <f ca="1">IFERROR(__xludf.DUMMYFUNCTION("""COMPUTED_VALUE"""),2098.917)</f>
        <v>2098.9169999999999</v>
      </c>
      <c r="H109">
        <f ca="1">IFERROR(__xludf.DUMMYFUNCTION("""COMPUTED_VALUE"""),-12)</f>
        <v>-12</v>
      </c>
    </row>
    <row r="110" spans="1:8" ht="12.75">
      <c r="A110" t="str">
        <f ca="1">IFERROR(__xludf.DUMMYFUNCTION("""COMPUTED_VALUE"""),"T109")</f>
        <v>T109</v>
      </c>
      <c r="B110" t="str">
        <f ca="1">IFERROR(__xludf.DUMMYFUNCTION("""COMPUTED_VALUE"""),"T139")</f>
        <v>T139</v>
      </c>
      <c r="C110" t="str">
        <f ca="1">IFERROR(__xludf.DUMMYFUNCTION("""COMPUTED_VALUE"""),"Nate Lashley")</f>
        <v>Nate Lashley</v>
      </c>
      <c r="D110">
        <f ca="1">IFERROR(__xludf.DUMMYFUNCTION("""COMPUTED_VALUE"""),16)</f>
        <v>16</v>
      </c>
      <c r="E110" t="str">
        <f ca="1">IFERROR(__xludf.DUMMYFUNCTION("""COMPUTED_VALUE"""),"30' 11""")</f>
        <v>30' 11"</v>
      </c>
      <c r="F110">
        <f ca="1">IFERROR(__xludf.DUMMYFUNCTION("""COMPUTED_VALUE"""),150)</f>
        <v>150</v>
      </c>
      <c r="G110" s="2">
        <f ca="1">IFERROR(__xludf.DUMMYFUNCTION("""COMPUTED_VALUE"""),4632.75)</f>
        <v>4632.75</v>
      </c>
      <c r="H110">
        <f ca="1">IFERROR(__xludf.DUMMYFUNCTION("""COMPUTED_VALUE"""),-22)</f>
        <v>-22</v>
      </c>
    </row>
    <row r="111" spans="1:8" ht="12.75">
      <c r="A111" t="str">
        <f ca="1">IFERROR(__xludf.DUMMYFUNCTION("""COMPUTED_VALUE"""),"T109")</f>
        <v>T109</v>
      </c>
      <c r="B111" t="str">
        <f ca="1">IFERROR(__xludf.DUMMYFUNCTION("""COMPUTED_VALUE"""),"T119")</f>
        <v>T119</v>
      </c>
      <c r="C111" t="str">
        <f ca="1">IFERROR(__xludf.DUMMYFUNCTION("""COMPUTED_VALUE"""),"Rob Oppenheim")</f>
        <v>Rob Oppenheim</v>
      </c>
      <c r="D111">
        <f ca="1">IFERROR(__xludf.DUMMYFUNCTION("""COMPUTED_VALUE"""),16)</f>
        <v>16</v>
      </c>
      <c r="E111" t="str">
        <f ca="1">IFERROR(__xludf.DUMMYFUNCTION("""COMPUTED_VALUE"""),"30' 11""")</f>
        <v>30' 11"</v>
      </c>
      <c r="F111">
        <f ca="1">IFERROR(__xludf.DUMMYFUNCTION("""COMPUTED_VALUE"""),135)</f>
        <v>135</v>
      </c>
      <c r="G111" s="2">
        <f ca="1">IFERROR(__xludf.DUMMYFUNCTION("""COMPUTED_VALUE"""),4177.25)</f>
        <v>4177.25</v>
      </c>
      <c r="H111">
        <f ca="1">IFERROR(__xludf.DUMMYFUNCTION("""COMPUTED_VALUE"""),-21)</f>
        <v>-21</v>
      </c>
    </row>
    <row r="112" spans="1:8" ht="12.75">
      <c r="A112" t="str">
        <f ca="1">IFERROR(__xludf.DUMMYFUNCTION("""COMPUTED_VALUE"""),"T109")</f>
        <v>T109</v>
      </c>
      <c r="B112" t="str">
        <f ca="1">IFERROR(__xludf.DUMMYFUNCTION("""COMPUTED_VALUE"""),"")</f>
        <v/>
      </c>
      <c r="C112" t="str">
        <f ca="1">IFERROR(__xludf.DUMMYFUNCTION("""COMPUTED_VALUE"""),"Francesco Molinari")</f>
        <v>Francesco Molinari</v>
      </c>
      <c r="D112">
        <f ca="1">IFERROR(__xludf.DUMMYFUNCTION("""COMPUTED_VALUE"""),6)</f>
        <v>6</v>
      </c>
      <c r="E112" t="str">
        <f ca="1">IFERROR(__xludf.DUMMYFUNCTION("""COMPUTED_VALUE"""),"30' 11""")</f>
        <v>30' 11"</v>
      </c>
      <c r="F112">
        <f ca="1">IFERROR(__xludf.DUMMYFUNCTION("""COMPUTED_VALUE"""),76)</f>
        <v>76</v>
      </c>
      <c r="G112" s="2">
        <f ca="1">IFERROR(__xludf.DUMMYFUNCTION("""COMPUTED_VALUE"""),2351.167)</f>
        <v>2351.1669999999999</v>
      </c>
      <c r="H112">
        <f ca="1">IFERROR(__xludf.DUMMYFUNCTION("""COMPUTED_VALUE"""),-8)</f>
        <v>-8</v>
      </c>
    </row>
    <row r="113" spans="1:8" ht="12.75">
      <c r="A113" t="str">
        <f ca="1">IFERROR(__xludf.DUMMYFUNCTION("""COMPUTED_VALUE"""),"T109")</f>
        <v>T109</v>
      </c>
      <c r="B113" t="str">
        <f ca="1">IFERROR(__xludf.DUMMYFUNCTION("""COMPUTED_VALUE"""),"T115")</f>
        <v>T115</v>
      </c>
      <c r="C113" t="str">
        <f ca="1">IFERROR(__xludf.DUMMYFUNCTION("""COMPUTED_VALUE"""),"Lanto Griffin")</f>
        <v>Lanto Griffin</v>
      </c>
      <c r="D113">
        <f ca="1">IFERROR(__xludf.DUMMYFUNCTION("""COMPUTED_VALUE"""),18)</f>
        <v>18</v>
      </c>
      <c r="E113" t="str">
        <f ca="1">IFERROR(__xludf.DUMMYFUNCTION("""COMPUTED_VALUE"""),"30' 11""")</f>
        <v>30' 11"</v>
      </c>
      <c r="F113">
        <f ca="1">IFERROR(__xludf.DUMMYFUNCTION("""COMPUTED_VALUE"""),239)</f>
        <v>239</v>
      </c>
      <c r="G113" s="2">
        <f ca="1">IFERROR(__xludf.DUMMYFUNCTION("""COMPUTED_VALUE"""),7386.667)</f>
        <v>7386.6670000000004</v>
      </c>
      <c r="H113">
        <f ca="1">IFERROR(__xludf.DUMMYFUNCTION("""COMPUTED_VALUE"""),-27)</f>
        <v>-27</v>
      </c>
    </row>
    <row r="114" spans="1:8" ht="12.75">
      <c r="A114" t="str">
        <f ca="1">IFERROR(__xludf.DUMMYFUNCTION("""COMPUTED_VALUE"""),"T109")</f>
        <v>T109</v>
      </c>
      <c r="B114" t="str">
        <f ca="1">IFERROR(__xludf.DUMMYFUNCTION("""COMPUTED_VALUE"""),"T119")</f>
        <v>T119</v>
      </c>
      <c r="C114" t="str">
        <f ca="1">IFERROR(__xludf.DUMMYFUNCTION("""COMPUTED_VALUE"""),"Mikumu Horikawa")</f>
        <v>Mikumu Horikawa</v>
      </c>
      <c r="D114">
        <f ca="1">IFERROR(__xludf.DUMMYFUNCTION("""COMPUTED_VALUE"""),4)</f>
        <v>4</v>
      </c>
      <c r="E114" t="str">
        <f ca="1">IFERROR(__xludf.DUMMYFUNCTION("""COMPUTED_VALUE"""),"30' 11""")</f>
        <v>30' 11"</v>
      </c>
      <c r="F114">
        <f ca="1">IFERROR(__xludf.DUMMYFUNCTION("""COMPUTED_VALUE"""),60)</f>
        <v>60</v>
      </c>
      <c r="G114" s="2">
        <f ca="1">IFERROR(__xludf.DUMMYFUNCTION("""COMPUTED_VALUE"""),1855.917)</f>
        <v>1855.9169999999999</v>
      </c>
      <c r="H114">
        <f ca="1">IFERROR(__xludf.DUMMYFUNCTION("""COMPUTED_VALUE"""),-5)</f>
        <v>-5</v>
      </c>
    </row>
    <row r="115" spans="1:8" ht="12.75">
      <c r="A115" t="str">
        <f ca="1">IFERROR(__xludf.DUMMYFUNCTION("""COMPUTED_VALUE"""),"T109")</f>
        <v>T109</v>
      </c>
      <c r="B115" t="str">
        <f ca="1">IFERROR(__xludf.DUMMYFUNCTION("""COMPUTED_VALUE"""),"T119")</f>
        <v>T119</v>
      </c>
      <c r="C115" t="str">
        <f ca="1">IFERROR(__xludf.DUMMYFUNCTION("""COMPUTED_VALUE"""),"Robert Streb")</f>
        <v>Robert Streb</v>
      </c>
      <c r="D115">
        <f ca="1">IFERROR(__xludf.DUMMYFUNCTION("""COMPUTED_VALUE"""),12)</f>
        <v>12</v>
      </c>
      <c r="E115" t="str">
        <f ca="1">IFERROR(__xludf.DUMMYFUNCTION("""COMPUTED_VALUE"""),"30' 11""")</f>
        <v>30' 11"</v>
      </c>
      <c r="F115">
        <f ca="1">IFERROR(__xludf.DUMMYFUNCTION("""COMPUTED_VALUE"""),51)</f>
        <v>51</v>
      </c>
      <c r="G115" s="2">
        <f ca="1">IFERROR(__xludf.DUMMYFUNCTION("""COMPUTED_VALUE"""),1577.5)</f>
        <v>1577.5</v>
      </c>
      <c r="H115">
        <f ca="1">IFERROR(__xludf.DUMMYFUNCTION("""COMPUTED_VALUE"""),-2)</f>
        <v>-2</v>
      </c>
    </row>
    <row r="116" spans="1:8" ht="12.75">
      <c r="A116" t="str">
        <f ca="1">IFERROR(__xludf.DUMMYFUNCTION("""COMPUTED_VALUE"""),"T109")</f>
        <v>T109</v>
      </c>
      <c r="B116" t="str">
        <f ca="1">IFERROR(__xludf.DUMMYFUNCTION("""COMPUTED_VALUE"""),"T154")</f>
        <v>T154</v>
      </c>
      <c r="C116" t="str">
        <f ca="1">IFERROR(__xludf.DUMMYFUNCTION("""COMPUTED_VALUE"""),"Robby Shelton")</f>
        <v>Robby Shelton</v>
      </c>
      <c r="D116">
        <f ca="1">IFERROR(__xludf.DUMMYFUNCTION("""COMPUTED_VALUE"""),14)</f>
        <v>14</v>
      </c>
      <c r="E116" t="str">
        <f ca="1">IFERROR(__xludf.DUMMYFUNCTION("""COMPUTED_VALUE"""),"30' 11""")</f>
        <v>30' 11"</v>
      </c>
      <c r="F116">
        <f ca="1">IFERROR(__xludf.DUMMYFUNCTION("""COMPUTED_VALUE"""),166)</f>
        <v>166</v>
      </c>
      <c r="G116" s="2">
        <f ca="1">IFERROR(__xludf.DUMMYFUNCTION("""COMPUTED_VALUE"""),5129.917)</f>
        <v>5129.9170000000004</v>
      </c>
      <c r="H116">
        <f ca="1">IFERROR(__xludf.DUMMYFUNCTION("""COMPUTED_VALUE"""),-12)</f>
        <v>-12</v>
      </c>
    </row>
    <row r="117" spans="1:8" ht="12.75">
      <c r="A117" t="str">
        <f ca="1">IFERROR(__xludf.DUMMYFUNCTION("""COMPUTED_VALUE"""),"T116")</f>
        <v>T116</v>
      </c>
      <c r="B117" t="str">
        <f ca="1">IFERROR(__xludf.DUMMYFUNCTION("""COMPUTED_VALUE"""),"T115")</f>
        <v>T115</v>
      </c>
      <c r="C117" t="str">
        <f ca="1">IFERROR(__xludf.DUMMYFUNCTION("""COMPUTED_VALUE"""),"Sergio Garcia")</f>
        <v>Sergio Garcia</v>
      </c>
      <c r="D117">
        <f ca="1">IFERROR(__xludf.DUMMYFUNCTION("""COMPUTED_VALUE"""),18)</f>
        <v>18</v>
      </c>
      <c r="E117" t="str">
        <f ca="1">IFERROR(__xludf.DUMMYFUNCTION("""COMPUTED_VALUE"""),"31' 0""")</f>
        <v>31' 0"</v>
      </c>
      <c r="F117">
        <f ca="1">IFERROR(__xludf.DUMMYFUNCTION("""COMPUTED_VALUE"""),220)</f>
        <v>220</v>
      </c>
      <c r="G117" s="2">
        <f ca="1">IFERROR(__xludf.DUMMYFUNCTION("""COMPUTED_VALUE"""),6822.5)</f>
        <v>6822.5</v>
      </c>
      <c r="H117">
        <f ca="1">IFERROR(__xludf.DUMMYFUNCTION("""COMPUTED_VALUE"""),-19)</f>
        <v>-19</v>
      </c>
    </row>
    <row r="118" spans="1:8" ht="12.75">
      <c r="A118" t="str">
        <f ca="1">IFERROR(__xludf.DUMMYFUNCTION("""COMPUTED_VALUE"""),"T116")</f>
        <v>T116</v>
      </c>
      <c r="B118" t="str">
        <f ca="1">IFERROR(__xludf.DUMMYFUNCTION("""COMPUTED_VALUE"""),"T112")</f>
        <v>T112</v>
      </c>
      <c r="C118" t="str">
        <f ca="1">IFERROR(__xludf.DUMMYFUNCTION("""COMPUTED_VALUE"""),"Charley Hoffman")</f>
        <v>Charley Hoffman</v>
      </c>
      <c r="D118">
        <f ca="1">IFERROR(__xludf.DUMMYFUNCTION("""COMPUTED_VALUE"""),20)</f>
        <v>20</v>
      </c>
      <c r="E118" t="str">
        <f ca="1">IFERROR(__xludf.DUMMYFUNCTION("""COMPUTED_VALUE"""),"31' 0""")</f>
        <v>31' 0"</v>
      </c>
      <c r="F118">
        <f ca="1">IFERROR(__xludf.DUMMYFUNCTION("""COMPUTED_VALUE"""),168)</f>
        <v>168</v>
      </c>
      <c r="G118" s="2">
        <f ca="1">IFERROR(__xludf.DUMMYFUNCTION("""COMPUTED_VALUE"""),5208.583)</f>
        <v>5208.5829999999996</v>
      </c>
      <c r="H118">
        <f ca="1">IFERROR(__xludf.DUMMYFUNCTION("""COMPUTED_VALUE"""),-27)</f>
        <v>-27</v>
      </c>
    </row>
    <row r="119" spans="1:8" ht="12.75">
      <c r="A119" t="str">
        <f ca="1">IFERROR(__xludf.DUMMYFUNCTION("""COMPUTED_VALUE"""),"T116")</f>
        <v>T116</v>
      </c>
      <c r="B119" t="str">
        <f ca="1">IFERROR(__xludf.DUMMYFUNCTION("""COMPUTED_VALUE"""),"T99")</f>
        <v>T99</v>
      </c>
      <c r="C119" t="str">
        <f ca="1">IFERROR(__xludf.DUMMYFUNCTION("""COMPUTED_VALUE"""),"Bronson Burgoon")</f>
        <v>Bronson Burgoon</v>
      </c>
      <c r="D119">
        <f ca="1">IFERROR(__xludf.DUMMYFUNCTION("""COMPUTED_VALUE"""),10)</f>
        <v>10</v>
      </c>
      <c r="E119" t="str">
        <f ca="1">IFERROR(__xludf.DUMMYFUNCTION("""COMPUTED_VALUE"""),"31' 0""")</f>
        <v>31' 0"</v>
      </c>
      <c r="F119">
        <f ca="1">IFERROR(__xludf.DUMMYFUNCTION("""COMPUTED_VALUE"""),95)</f>
        <v>95</v>
      </c>
      <c r="G119" s="2">
        <f ca="1">IFERROR(__xludf.DUMMYFUNCTION("""COMPUTED_VALUE"""),2942.167)</f>
        <v>2942.1669999999999</v>
      </c>
      <c r="H119" t="str">
        <f ca="1">IFERROR(__xludf.DUMMYFUNCTION("""COMPUTED_VALUE"""),"E")</f>
        <v>E</v>
      </c>
    </row>
    <row r="120" spans="1:8" ht="12.75">
      <c r="A120" t="str">
        <f ca="1">IFERROR(__xludf.DUMMYFUNCTION("""COMPUTED_VALUE"""),"T116")</f>
        <v>T116</v>
      </c>
      <c r="B120" t="str">
        <f ca="1">IFERROR(__xludf.DUMMYFUNCTION("""COMPUTED_VALUE"""),"T123")</f>
        <v>T123</v>
      </c>
      <c r="C120" t="str">
        <f ca="1">IFERROR(__xludf.DUMMYFUNCTION("""COMPUTED_VALUE"""),"Danny Lee")</f>
        <v>Danny Lee</v>
      </c>
      <c r="D120">
        <f ca="1">IFERROR(__xludf.DUMMYFUNCTION("""COMPUTED_VALUE"""),15)</f>
        <v>15</v>
      </c>
      <c r="E120" t="str">
        <f ca="1">IFERROR(__xludf.DUMMYFUNCTION("""COMPUTED_VALUE"""),"31' 0""")</f>
        <v>31' 0"</v>
      </c>
      <c r="F120">
        <f ca="1">IFERROR(__xludf.DUMMYFUNCTION("""COMPUTED_VALUE"""),200)</f>
        <v>200</v>
      </c>
      <c r="G120" s="2">
        <f ca="1">IFERROR(__xludf.DUMMYFUNCTION("""COMPUTED_VALUE"""),6203.25)</f>
        <v>6203.25</v>
      </c>
      <c r="H120">
        <f ca="1">IFERROR(__xludf.DUMMYFUNCTION("""COMPUTED_VALUE"""),-1)</f>
        <v>-1</v>
      </c>
    </row>
    <row r="121" spans="1:8" ht="12.75">
      <c r="A121" t="str">
        <f ca="1">IFERROR(__xludf.DUMMYFUNCTION("""COMPUTED_VALUE"""),"T116")</f>
        <v>T116</v>
      </c>
      <c r="B121" t="str">
        <f ca="1">IFERROR(__xludf.DUMMYFUNCTION("""COMPUTED_VALUE"""),"T123")</f>
        <v>T123</v>
      </c>
      <c r="C121" t="str">
        <f ca="1">IFERROR(__xludf.DUMMYFUNCTION("""COMPUTED_VALUE"""),"Rhein Gibson")</f>
        <v>Rhein Gibson</v>
      </c>
      <c r="D121">
        <f ca="1">IFERROR(__xludf.DUMMYFUNCTION("""COMPUTED_VALUE"""),10)</f>
        <v>10</v>
      </c>
      <c r="E121" t="str">
        <f ca="1">IFERROR(__xludf.DUMMYFUNCTION("""COMPUTED_VALUE"""),"31' 0""")</f>
        <v>31' 0"</v>
      </c>
      <c r="F121">
        <f ca="1">IFERROR(__xludf.DUMMYFUNCTION("""COMPUTED_VALUE"""),43)</f>
        <v>43</v>
      </c>
      <c r="G121" s="2">
        <f ca="1">IFERROR(__xludf.DUMMYFUNCTION("""COMPUTED_VALUE"""),1331.5)</f>
        <v>1331.5</v>
      </c>
      <c r="H121">
        <f ca="1">IFERROR(__xludf.DUMMYFUNCTION("""COMPUTED_VALUE"""),-5)</f>
        <v>-5</v>
      </c>
    </row>
    <row r="122" spans="1:8" ht="12.75">
      <c r="A122" t="str">
        <f ca="1">IFERROR(__xludf.DUMMYFUNCTION("""COMPUTED_VALUE"""),"T121")</f>
        <v>T121</v>
      </c>
      <c r="B122" t="str">
        <f ca="1">IFERROR(__xludf.DUMMYFUNCTION("""COMPUTED_VALUE"""),"T77")</f>
        <v>T77</v>
      </c>
      <c r="C122" t="str">
        <f ca="1">IFERROR(__xludf.DUMMYFUNCTION("""COMPUTED_VALUE"""),"Pat Perez")</f>
        <v>Pat Perez</v>
      </c>
      <c r="D122">
        <f ca="1">IFERROR(__xludf.DUMMYFUNCTION("""COMPUTED_VALUE"""),16)</f>
        <v>16</v>
      </c>
      <c r="E122" t="str">
        <f ca="1">IFERROR(__xludf.DUMMYFUNCTION("""COMPUTED_VALUE"""),"31' 1""")</f>
        <v>31' 1"</v>
      </c>
      <c r="F122">
        <f ca="1">IFERROR(__xludf.DUMMYFUNCTION("""COMPUTED_VALUE"""),130)</f>
        <v>130</v>
      </c>
      <c r="G122" s="2">
        <f ca="1">IFERROR(__xludf.DUMMYFUNCTION("""COMPUTED_VALUE"""),4037.083)</f>
        <v>4037.0830000000001</v>
      </c>
      <c r="H122">
        <f ca="1">IFERROR(__xludf.DUMMYFUNCTION("""COMPUTED_VALUE"""),-17)</f>
        <v>-17</v>
      </c>
    </row>
    <row r="123" spans="1:8" ht="12.75">
      <c r="A123" t="str">
        <f ca="1">IFERROR(__xludf.DUMMYFUNCTION("""COMPUTED_VALUE"""),"T121")</f>
        <v>T121</v>
      </c>
      <c r="B123" t="str">
        <f ca="1">IFERROR(__xludf.DUMMYFUNCTION("""COMPUTED_VALUE"""),"T126")</f>
        <v>T126</v>
      </c>
      <c r="C123" t="str">
        <f ca="1">IFERROR(__xludf.DUMMYFUNCTION("""COMPUTED_VALUE"""),"Gunn Charoenkul")</f>
        <v>Gunn Charoenkul</v>
      </c>
      <c r="D123">
        <f ca="1">IFERROR(__xludf.DUMMYFUNCTION("""COMPUTED_VALUE"""),4)</f>
        <v>4</v>
      </c>
      <c r="E123" t="str">
        <f ca="1">IFERROR(__xludf.DUMMYFUNCTION("""COMPUTED_VALUE"""),"31' 1""")</f>
        <v>31' 1"</v>
      </c>
      <c r="F123">
        <f ca="1">IFERROR(__xludf.DUMMYFUNCTION("""COMPUTED_VALUE"""),67)</f>
        <v>67</v>
      </c>
      <c r="G123" s="2">
        <f ca="1">IFERROR(__xludf.DUMMYFUNCTION("""COMPUTED_VALUE"""),2081)</f>
        <v>2081</v>
      </c>
      <c r="H123">
        <f ca="1">IFERROR(__xludf.DUMMYFUNCTION("""COMPUTED_VALUE"""),-9)</f>
        <v>-9</v>
      </c>
    </row>
    <row r="124" spans="1:8" ht="12.75">
      <c r="A124">
        <f ca="1">IFERROR(__xludf.DUMMYFUNCTION("""COMPUTED_VALUE"""),123)</f>
        <v>123</v>
      </c>
      <c r="B124" t="str">
        <f ca="1">IFERROR(__xludf.DUMMYFUNCTION("""COMPUTED_VALUE"""),"T213")</f>
        <v>T213</v>
      </c>
      <c r="C124" t="str">
        <f ca="1">IFERROR(__xludf.DUMMYFUNCTION("""COMPUTED_VALUE"""),"Adam Scott")</f>
        <v>Adam Scott</v>
      </c>
      <c r="D124">
        <f ca="1">IFERROR(__xludf.DUMMYFUNCTION("""COMPUTED_VALUE"""),8)</f>
        <v>8</v>
      </c>
      <c r="E124" t="str">
        <f ca="1">IFERROR(__xludf.DUMMYFUNCTION("""COMPUTED_VALUE"""),"31' 2""")</f>
        <v>31' 2"</v>
      </c>
      <c r="F124">
        <f ca="1">IFERROR(__xludf.DUMMYFUNCTION("""COMPUTED_VALUE"""),97)</f>
        <v>97</v>
      </c>
      <c r="G124" s="2">
        <f ca="1">IFERROR(__xludf.DUMMYFUNCTION("""COMPUTED_VALUE"""),3026.25)</f>
        <v>3026.25</v>
      </c>
      <c r="H124">
        <f ca="1">IFERROR(__xludf.DUMMYFUNCTION("""COMPUTED_VALUE"""),-6)</f>
        <v>-6</v>
      </c>
    </row>
    <row r="125" spans="1:8" ht="12.75">
      <c r="A125" t="str">
        <f ca="1">IFERROR(__xludf.DUMMYFUNCTION("""COMPUTED_VALUE"""),"T124")</f>
        <v>T124</v>
      </c>
      <c r="B125" t="str">
        <f ca="1">IFERROR(__xludf.DUMMYFUNCTION("""COMPUTED_VALUE"""),"T112")</f>
        <v>T112</v>
      </c>
      <c r="C125" t="str">
        <f ca="1">IFERROR(__xludf.DUMMYFUNCTION("""COMPUTED_VALUE"""),"Ted Potter, Jr.")</f>
        <v>Ted Potter, Jr.</v>
      </c>
      <c r="D125">
        <f ca="1">IFERROR(__xludf.DUMMYFUNCTION("""COMPUTED_VALUE"""),8)</f>
        <v>8</v>
      </c>
      <c r="E125" t="str">
        <f ca="1">IFERROR(__xludf.DUMMYFUNCTION("""COMPUTED_VALUE"""),"31' 3""")</f>
        <v>31' 3"</v>
      </c>
      <c r="F125">
        <f ca="1">IFERROR(__xludf.DUMMYFUNCTION("""COMPUTED_VALUE"""),92)</f>
        <v>92</v>
      </c>
      <c r="G125" s="2">
        <f ca="1">IFERROR(__xludf.DUMMYFUNCTION("""COMPUTED_VALUE"""),2878.5)</f>
        <v>2878.5</v>
      </c>
      <c r="H125">
        <f ca="1">IFERROR(__xludf.DUMMYFUNCTION("""COMPUTED_VALUE"""),-5)</f>
        <v>-5</v>
      </c>
    </row>
    <row r="126" spans="1:8" ht="12.75">
      <c r="A126" t="str">
        <f ca="1">IFERROR(__xludf.DUMMYFUNCTION("""COMPUTED_VALUE"""),"T124")</f>
        <v>T124</v>
      </c>
      <c r="B126" t="str">
        <f ca="1">IFERROR(__xludf.DUMMYFUNCTION("""COMPUTED_VALUE"""),"T99")</f>
        <v>T99</v>
      </c>
      <c r="C126" t="str">
        <f ca="1">IFERROR(__xludf.DUMMYFUNCTION("""COMPUTED_VALUE"""),"Kevin Tway")</f>
        <v>Kevin Tway</v>
      </c>
      <c r="D126">
        <f ca="1">IFERROR(__xludf.DUMMYFUNCTION("""COMPUTED_VALUE"""),16)</f>
        <v>16</v>
      </c>
      <c r="E126" t="str">
        <f ca="1">IFERROR(__xludf.DUMMYFUNCTION("""COMPUTED_VALUE"""),"31' 3""")</f>
        <v>31' 3"</v>
      </c>
      <c r="F126">
        <f ca="1">IFERROR(__xludf.DUMMYFUNCTION("""COMPUTED_VALUE"""),92)</f>
        <v>92</v>
      </c>
      <c r="G126" s="2">
        <f ca="1">IFERROR(__xludf.DUMMYFUNCTION("""COMPUTED_VALUE"""),2876.583)</f>
        <v>2876.5830000000001</v>
      </c>
      <c r="H126" t="str">
        <f ca="1">IFERROR(__xludf.DUMMYFUNCTION("""COMPUTED_VALUE"""),"E")</f>
        <v>E</v>
      </c>
    </row>
    <row r="127" spans="1:8" ht="12.75">
      <c r="A127" t="str">
        <f ca="1">IFERROR(__xludf.DUMMYFUNCTION("""COMPUTED_VALUE"""),"T124")</f>
        <v>T124</v>
      </c>
      <c r="B127" t="str">
        <f ca="1">IFERROR(__xludf.DUMMYFUNCTION("""COMPUTED_VALUE"""),"T130")</f>
        <v>T130</v>
      </c>
      <c r="C127" t="str">
        <f ca="1">IFERROR(__xludf.DUMMYFUNCTION("""COMPUTED_VALUE"""),"Peter Malnati")</f>
        <v>Peter Malnati</v>
      </c>
      <c r="D127">
        <f ca="1">IFERROR(__xludf.DUMMYFUNCTION("""COMPUTED_VALUE"""),18)</f>
        <v>18</v>
      </c>
      <c r="E127" t="str">
        <f ca="1">IFERROR(__xludf.DUMMYFUNCTION("""COMPUTED_VALUE"""),"31' 3""")</f>
        <v>31' 3"</v>
      </c>
      <c r="F127">
        <f ca="1">IFERROR(__xludf.DUMMYFUNCTION("""COMPUTED_VALUE"""),119)</f>
        <v>119</v>
      </c>
      <c r="G127" s="2">
        <f ca="1">IFERROR(__xludf.DUMMYFUNCTION("""COMPUTED_VALUE"""),3717.667)</f>
        <v>3717.6669999999999</v>
      </c>
      <c r="H127">
        <f ca="1">IFERROR(__xludf.DUMMYFUNCTION("""COMPUTED_VALUE"""),-30)</f>
        <v>-30</v>
      </c>
    </row>
    <row r="128" spans="1:8" ht="12.75">
      <c r="A128" t="str">
        <f ca="1">IFERROR(__xludf.DUMMYFUNCTION("""COMPUTED_VALUE"""),"T124")</f>
        <v>T124</v>
      </c>
      <c r="B128" t="str">
        <f ca="1">IFERROR(__xludf.DUMMYFUNCTION("""COMPUTED_VALUE"""),"T162")</f>
        <v>T162</v>
      </c>
      <c r="C128" t="str">
        <f ca="1">IFERROR(__xludf.DUMMYFUNCTION("""COMPUTED_VALUE"""),"Michael Kim")</f>
        <v>Michael Kim</v>
      </c>
      <c r="D128">
        <f ca="1">IFERROR(__xludf.DUMMYFUNCTION("""COMPUTED_VALUE"""),12)</f>
        <v>12</v>
      </c>
      <c r="E128" t="str">
        <f ca="1">IFERROR(__xludf.DUMMYFUNCTION("""COMPUTED_VALUE"""),"31' 3""")</f>
        <v>31' 3"</v>
      </c>
      <c r="F128">
        <f ca="1">IFERROR(__xludf.DUMMYFUNCTION("""COMPUTED_VALUE"""),92)</f>
        <v>92</v>
      </c>
      <c r="G128" s="2">
        <f ca="1">IFERROR(__xludf.DUMMYFUNCTION("""COMPUTED_VALUE"""),2875.917)</f>
        <v>2875.9169999999999</v>
      </c>
      <c r="H128">
        <f ca="1">IFERROR(__xludf.DUMMYFUNCTION("""COMPUTED_VALUE"""),-2)</f>
        <v>-2</v>
      </c>
    </row>
    <row r="129" spans="1:8" ht="12.75">
      <c r="A129" t="str">
        <f ca="1">IFERROR(__xludf.DUMMYFUNCTION("""COMPUTED_VALUE"""),"T124")</f>
        <v>T124</v>
      </c>
      <c r="B129" t="str">
        <f ca="1">IFERROR(__xludf.DUMMYFUNCTION("""COMPUTED_VALUE"""),"T130")</f>
        <v>T130</v>
      </c>
      <c r="C129" t="str">
        <f ca="1">IFERROR(__xludf.DUMMYFUNCTION("""COMPUTED_VALUE"""),"Joaquin Niemann")</f>
        <v>Joaquin Niemann</v>
      </c>
      <c r="D129">
        <f ca="1">IFERROR(__xludf.DUMMYFUNCTION("""COMPUTED_VALUE"""),16)</f>
        <v>16</v>
      </c>
      <c r="E129" t="str">
        <f ca="1">IFERROR(__xludf.DUMMYFUNCTION("""COMPUTED_VALUE"""),"31' 3""")</f>
        <v>31' 3"</v>
      </c>
      <c r="F129">
        <f ca="1">IFERROR(__xludf.DUMMYFUNCTION("""COMPUTED_VALUE"""),209)</f>
        <v>209</v>
      </c>
      <c r="G129" s="2">
        <f ca="1">IFERROR(__xludf.DUMMYFUNCTION("""COMPUTED_VALUE"""),6531.417)</f>
        <v>6531.4170000000004</v>
      </c>
      <c r="H129">
        <f ca="1">IFERROR(__xludf.DUMMYFUNCTION("""COMPUTED_VALUE"""),-34)</f>
        <v>-34</v>
      </c>
    </row>
    <row r="130" spans="1:8" ht="12.75">
      <c r="A130" t="str">
        <f ca="1">IFERROR(__xludf.DUMMYFUNCTION("""COMPUTED_VALUE"""),"T124")</f>
        <v>T124</v>
      </c>
      <c r="B130" t="str">
        <f ca="1">IFERROR(__xludf.DUMMYFUNCTION("""COMPUTED_VALUE"""),"T136")</f>
        <v>T136</v>
      </c>
      <c r="C130" t="str">
        <f ca="1">IFERROR(__xludf.DUMMYFUNCTION("""COMPUTED_VALUE"""),"Viktor Hovland")</f>
        <v>Viktor Hovland</v>
      </c>
      <c r="D130">
        <f ca="1">IFERROR(__xludf.DUMMYFUNCTION("""COMPUTED_VALUE"""),16)</f>
        <v>16</v>
      </c>
      <c r="E130" t="str">
        <f ca="1">IFERROR(__xludf.DUMMYFUNCTION("""COMPUTED_VALUE"""),"31' 3""")</f>
        <v>31' 3"</v>
      </c>
      <c r="F130">
        <f ca="1">IFERROR(__xludf.DUMMYFUNCTION("""COMPUTED_VALUE"""),204)</f>
        <v>204</v>
      </c>
      <c r="G130" s="2">
        <f ca="1">IFERROR(__xludf.DUMMYFUNCTION("""COMPUTED_VALUE"""),6371.667)</f>
        <v>6371.6670000000004</v>
      </c>
      <c r="H130">
        <f ca="1">IFERROR(__xludf.DUMMYFUNCTION("""COMPUTED_VALUE"""),-20)</f>
        <v>-20</v>
      </c>
    </row>
    <row r="131" spans="1:8" ht="12.75">
      <c r="A131" t="str">
        <f ca="1">IFERROR(__xludf.DUMMYFUNCTION("""COMPUTED_VALUE"""),"T124")</f>
        <v>T124</v>
      </c>
      <c r="B131" t="str">
        <f ca="1">IFERROR(__xludf.DUMMYFUNCTION("""COMPUTED_VALUE"""),"T130")</f>
        <v>T130</v>
      </c>
      <c r="C131" t="str">
        <f ca="1">IFERROR(__xludf.DUMMYFUNCTION("""COMPUTED_VALUE"""),"Michael Gellerman")</f>
        <v>Michael Gellerman</v>
      </c>
      <c r="D131">
        <f ca="1">IFERROR(__xludf.DUMMYFUNCTION("""COMPUTED_VALUE"""),5)</f>
        <v>5</v>
      </c>
      <c r="E131" t="str">
        <f ca="1">IFERROR(__xludf.DUMMYFUNCTION("""COMPUTED_VALUE"""),"31' 3""")</f>
        <v>31' 3"</v>
      </c>
      <c r="F131">
        <f ca="1">IFERROR(__xludf.DUMMYFUNCTION("""COMPUTED_VALUE"""),32)</f>
        <v>32</v>
      </c>
      <c r="G131" s="2">
        <f ca="1">IFERROR(__xludf.DUMMYFUNCTION("""COMPUTED_VALUE"""),1000.833)</f>
        <v>1000.833</v>
      </c>
      <c r="H131">
        <f ca="1">IFERROR(__xludf.DUMMYFUNCTION("""COMPUTED_VALUE"""),-1)</f>
        <v>-1</v>
      </c>
    </row>
    <row r="132" spans="1:8" ht="12.75">
      <c r="A132" t="str">
        <f ca="1">IFERROR(__xludf.DUMMYFUNCTION("""COMPUTED_VALUE"""),"T131")</f>
        <v>T131</v>
      </c>
      <c r="B132" t="str">
        <f ca="1">IFERROR(__xludf.DUMMYFUNCTION("""COMPUTED_VALUE"""),"T169")</f>
        <v>T169</v>
      </c>
      <c r="C132" t="str">
        <f ca="1">IFERROR(__xludf.DUMMYFUNCTION("""COMPUTED_VALUE"""),"Cameron Tringale")</f>
        <v>Cameron Tringale</v>
      </c>
      <c r="D132">
        <f ca="1">IFERROR(__xludf.DUMMYFUNCTION("""COMPUTED_VALUE"""),16)</f>
        <v>16</v>
      </c>
      <c r="E132" t="str">
        <f ca="1">IFERROR(__xludf.DUMMYFUNCTION("""COMPUTED_VALUE"""),"31' 4""")</f>
        <v>31' 4"</v>
      </c>
      <c r="F132">
        <f ca="1">IFERROR(__xludf.DUMMYFUNCTION("""COMPUTED_VALUE"""),162)</f>
        <v>162</v>
      </c>
      <c r="G132" s="2">
        <f ca="1">IFERROR(__xludf.DUMMYFUNCTION("""COMPUTED_VALUE"""),5077)</f>
        <v>5077</v>
      </c>
      <c r="H132">
        <f ca="1">IFERROR(__xludf.DUMMYFUNCTION("""COMPUTED_VALUE"""),-30)</f>
        <v>-30</v>
      </c>
    </row>
    <row r="133" spans="1:8" ht="12.75">
      <c r="A133" t="str">
        <f ca="1">IFERROR(__xludf.DUMMYFUNCTION("""COMPUTED_VALUE"""),"T131")</f>
        <v>T131</v>
      </c>
      <c r="B133" t="str">
        <f ca="1">IFERROR(__xludf.DUMMYFUNCTION("""COMPUTED_VALUE"""),"T48")</f>
        <v>T48</v>
      </c>
      <c r="C133" t="str">
        <f ca="1">IFERROR(__xludf.DUMMYFUNCTION("""COMPUTED_VALUE"""),"James Hahn")</f>
        <v>James Hahn</v>
      </c>
      <c r="D133">
        <f ca="1">IFERROR(__xludf.DUMMYFUNCTION("""COMPUTED_VALUE"""),16)</f>
        <v>16</v>
      </c>
      <c r="E133" t="str">
        <f ca="1">IFERROR(__xludf.DUMMYFUNCTION("""COMPUTED_VALUE"""),"31' 4""")</f>
        <v>31' 4"</v>
      </c>
      <c r="F133">
        <f ca="1">IFERROR(__xludf.DUMMYFUNCTION("""COMPUTED_VALUE"""),171)</f>
        <v>171</v>
      </c>
      <c r="G133" s="2">
        <f ca="1">IFERROR(__xludf.DUMMYFUNCTION("""COMPUTED_VALUE"""),5353.917)</f>
        <v>5353.9170000000004</v>
      </c>
      <c r="H133">
        <f ca="1">IFERROR(__xludf.DUMMYFUNCTION("""COMPUTED_VALUE"""),-31)</f>
        <v>-31</v>
      </c>
    </row>
    <row r="134" spans="1:8" ht="12.75">
      <c r="A134" t="str">
        <f ca="1">IFERROR(__xludf.DUMMYFUNCTION("""COMPUTED_VALUE"""),"T131")</f>
        <v>T131</v>
      </c>
      <c r="B134" t="str">
        <f ca="1">IFERROR(__xludf.DUMMYFUNCTION("""COMPUTED_VALUE"""),"T136")</f>
        <v>T136</v>
      </c>
      <c r="C134" t="str">
        <f ca="1">IFERROR(__xludf.DUMMYFUNCTION("""COMPUTED_VALUE"""),"Kevin Streelman")</f>
        <v>Kevin Streelman</v>
      </c>
      <c r="D134">
        <f ca="1">IFERROR(__xludf.DUMMYFUNCTION("""COMPUTED_VALUE"""),18)</f>
        <v>18</v>
      </c>
      <c r="E134" t="str">
        <f ca="1">IFERROR(__xludf.DUMMYFUNCTION("""COMPUTED_VALUE"""),"31' 4""")</f>
        <v>31' 4"</v>
      </c>
      <c r="F134">
        <f ca="1">IFERROR(__xludf.DUMMYFUNCTION("""COMPUTED_VALUE"""),239)</f>
        <v>239</v>
      </c>
      <c r="G134" s="2">
        <f ca="1">IFERROR(__xludf.DUMMYFUNCTION("""COMPUTED_VALUE"""),7486.333)</f>
        <v>7486.3329999999996</v>
      </c>
      <c r="H134">
        <f ca="1">IFERROR(__xludf.DUMMYFUNCTION("""COMPUTED_VALUE"""),-39)</f>
        <v>-39</v>
      </c>
    </row>
    <row r="135" spans="1:8" ht="12.75">
      <c r="A135" t="str">
        <f ca="1">IFERROR(__xludf.DUMMYFUNCTION("""COMPUTED_VALUE"""),"T131")</f>
        <v>T131</v>
      </c>
      <c r="B135" t="str">
        <f ca="1">IFERROR(__xludf.DUMMYFUNCTION("""COMPUTED_VALUE"""),"T133")</f>
        <v>T133</v>
      </c>
      <c r="C135" t="str">
        <f ca="1">IFERROR(__xludf.DUMMYFUNCTION("""COMPUTED_VALUE"""),"Sebastián Muñoz")</f>
        <v>Sebastián Muñoz</v>
      </c>
      <c r="D135">
        <f ca="1">IFERROR(__xludf.DUMMYFUNCTION("""COMPUTED_VALUE"""),20)</f>
        <v>20</v>
      </c>
      <c r="E135" t="str">
        <f ca="1">IFERROR(__xludf.DUMMYFUNCTION("""COMPUTED_VALUE"""),"31' 4""")</f>
        <v>31' 4"</v>
      </c>
      <c r="F135">
        <f ca="1">IFERROR(__xludf.DUMMYFUNCTION("""COMPUTED_VALUE"""),270)</f>
        <v>270</v>
      </c>
      <c r="G135" s="2">
        <f ca="1">IFERROR(__xludf.DUMMYFUNCTION("""COMPUTED_VALUE"""),8449.667)</f>
        <v>8449.6669999999995</v>
      </c>
      <c r="H135">
        <f ca="1">IFERROR(__xludf.DUMMYFUNCTION("""COMPUTED_VALUE"""),-31)</f>
        <v>-31</v>
      </c>
    </row>
    <row r="136" spans="1:8" ht="12.75">
      <c r="A136" t="str">
        <f ca="1">IFERROR(__xludf.DUMMYFUNCTION("""COMPUTED_VALUE"""),"T135")</f>
        <v>T135</v>
      </c>
      <c r="B136" t="str">
        <f ca="1">IFERROR(__xludf.DUMMYFUNCTION("""COMPUTED_VALUE"""),"T136")</f>
        <v>T136</v>
      </c>
      <c r="C136" t="str">
        <f ca="1">IFERROR(__xludf.DUMMYFUNCTION("""COMPUTED_VALUE"""),"Aaron Baddeley")</f>
        <v>Aaron Baddeley</v>
      </c>
      <c r="D136">
        <f ca="1">IFERROR(__xludf.DUMMYFUNCTION("""COMPUTED_VALUE"""),8)</f>
        <v>8</v>
      </c>
      <c r="E136" t="str">
        <f ca="1">IFERROR(__xludf.DUMMYFUNCTION("""COMPUTED_VALUE"""),"31' 5""")</f>
        <v>31' 5"</v>
      </c>
      <c r="F136">
        <f ca="1">IFERROR(__xludf.DUMMYFUNCTION("""COMPUTED_VALUE"""),49)</f>
        <v>49</v>
      </c>
      <c r="G136" s="2">
        <f ca="1">IFERROR(__xludf.DUMMYFUNCTION("""COMPUTED_VALUE"""),1538)</f>
        <v>1538</v>
      </c>
      <c r="H136">
        <f ca="1">IFERROR(__xludf.DUMMYFUNCTION("""COMPUTED_VALUE"""),-6)</f>
        <v>-6</v>
      </c>
    </row>
    <row r="137" spans="1:8" ht="12.75">
      <c r="A137" t="str">
        <f ca="1">IFERROR(__xludf.DUMMYFUNCTION("""COMPUTED_VALUE"""),"T135")</f>
        <v>T135</v>
      </c>
      <c r="B137" t="str">
        <f ca="1">IFERROR(__xludf.DUMMYFUNCTION("""COMPUTED_VALUE"""),"T99")</f>
        <v>T99</v>
      </c>
      <c r="C137" t="str">
        <f ca="1">IFERROR(__xludf.DUMMYFUNCTION("""COMPUTED_VALUE"""),"Kristoffer Ventura")</f>
        <v>Kristoffer Ventura</v>
      </c>
      <c r="D137">
        <f ca="1">IFERROR(__xludf.DUMMYFUNCTION("""COMPUTED_VALUE"""),20)</f>
        <v>20</v>
      </c>
      <c r="E137" t="str">
        <f ca="1">IFERROR(__xludf.DUMMYFUNCTION("""COMPUTED_VALUE"""),"31' 5""")</f>
        <v>31' 5"</v>
      </c>
      <c r="F137">
        <f ca="1">IFERROR(__xludf.DUMMYFUNCTION("""COMPUTED_VALUE"""),170)</f>
        <v>170</v>
      </c>
      <c r="G137" s="2">
        <f ca="1">IFERROR(__xludf.DUMMYFUNCTION("""COMPUTED_VALUE"""),5338.75)</f>
        <v>5338.75</v>
      </c>
      <c r="H137">
        <f ca="1">IFERROR(__xludf.DUMMYFUNCTION("""COMPUTED_VALUE"""),-26)</f>
        <v>-26</v>
      </c>
    </row>
    <row r="138" spans="1:8" ht="12.75">
      <c r="A138" t="str">
        <f ca="1">IFERROR(__xludf.DUMMYFUNCTION("""COMPUTED_VALUE"""),"T137")</f>
        <v>T137</v>
      </c>
      <c r="B138" t="str">
        <f ca="1">IFERROR(__xludf.DUMMYFUNCTION("""COMPUTED_VALUE"""),"T139")</f>
        <v>T139</v>
      </c>
      <c r="C138" t="str">
        <f ca="1">IFERROR(__xludf.DUMMYFUNCTION("""COMPUTED_VALUE"""),"Marc Leishman")</f>
        <v>Marc Leishman</v>
      </c>
      <c r="D138">
        <f ca="1">IFERROR(__xludf.DUMMYFUNCTION("""COMPUTED_VALUE"""),10)</f>
        <v>10</v>
      </c>
      <c r="E138" t="str">
        <f ca="1">IFERROR(__xludf.DUMMYFUNCTION("""COMPUTED_VALUE"""),"31' 6""")</f>
        <v>31' 6"</v>
      </c>
      <c r="F138">
        <f ca="1">IFERROR(__xludf.DUMMYFUNCTION("""COMPUTED_VALUE"""),135)</f>
        <v>135</v>
      </c>
      <c r="G138" s="2">
        <f ca="1">IFERROR(__xludf.DUMMYFUNCTION("""COMPUTED_VALUE"""),4255.167)</f>
        <v>4255.1670000000004</v>
      </c>
      <c r="H138">
        <f ca="1">IFERROR(__xludf.DUMMYFUNCTION("""COMPUTED_VALUE"""),-7)</f>
        <v>-7</v>
      </c>
    </row>
    <row r="139" spans="1:8" ht="12.75">
      <c r="A139" t="str">
        <f ca="1">IFERROR(__xludf.DUMMYFUNCTION("""COMPUTED_VALUE"""),"T137")</f>
        <v>T137</v>
      </c>
      <c r="B139" t="str">
        <f ca="1">IFERROR(__xludf.DUMMYFUNCTION("""COMPUTED_VALUE"""),"T139")</f>
        <v>T139</v>
      </c>
      <c r="C139" t="str">
        <f ca="1">IFERROR(__xludf.DUMMYFUNCTION("""COMPUTED_VALUE"""),"Doug Ghim")</f>
        <v>Doug Ghim</v>
      </c>
      <c r="D139">
        <f ca="1">IFERROR(__xludf.DUMMYFUNCTION("""COMPUTED_VALUE"""),14)</f>
        <v>14</v>
      </c>
      <c r="E139" t="str">
        <f ca="1">IFERROR(__xludf.DUMMYFUNCTION("""COMPUTED_VALUE"""),"31' 6""")</f>
        <v>31' 6"</v>
      </c>
      <c r="F139">
        <f ca="1">IFERROR(__xludf.DUMMYFUNCTION("""COMPUTED_VALUE"""),106)</f>
        <v>106</v>
      </c>
      <c r="G139" s="2">
        <f ca="1">IFERROR(__xludf.DUMMYFUNCTION("""COMPUTED_VALUE"""),3337.167)</f>
        <v>3337.1669999999999</v>
      </c>
      <c r="H139">
        <f ca="1">IFERROR(__xludf.DUMMYFUNCTION("""COMPUTED_VALUE"""),-21)</f>
        <v>-21</v>
      </c>
    </row>
    <row r="140" spans="1:8" ht="12.75">
      <c r="A140" t="str">
        <f ca="1">IFERROR(__xludf.DUMMYFUNCTION("""COMPUTED_VALUE"""),"T139")</f>
        <v>T139</v>
      </c>
      <c r="B140">
        <f ca="1">IFERROR(__xludf.DUMMYFUNCTION("""COMPUTED_VALUE"""),143)</f>
        <v>143</v>
      </c>
      <c r="C140" t="str">
        <f ca="1">IFERROR(__xludf.DUMMYFUNCTION("""COMPUTED_VALUE"""),"Jonathan Byrd")</f>
        <v>Jonathan Byrd</v>
      </c>
      <c r="D140">
        <f ca="1">IFERROR(__xludf.DUMMYFUNCTION("""COMPUTED_VALUE"""),14)</f>
        <v>14</v>
      </c>
      <c r="E140" t="str">
        <f ca="1">IFERROR(__xludf.DUMMYFUNCTION("""COMPUTED_VALUE"""),"31' 7""")</f>
        <v>31' 7"</v>
      </c>
      <c r="F140">
        <f ca="1">IFERROR(__xludf.DUMMYFUNCTION("""COMPUTED_VALUE"""),72)</f>
        <v>72</v>
      </c>
      <c r="G140" s="2">
        <f ca="1">IFERROR(__xludf.DUMMYFUNCTION("""COMPUTED_VALUE"""),2274.5)</f>
        <v>2274.5</v>
      </c>
      <c r="H140" t="str">
        <f ca="1">IFERROR(__xludf.DUMMYFUNCTION("""COMPUTED_VALUE"""),"+1.00")</f>
        <v>+1.00</v>
      </c>
    </row>
    <row r="141" spans="1:8" ht="12.75">
      <c r="A141" t="str">
        <f ca="1">IFERROR(__xludf.DUMMYFUNCTION("""COMPUTED_VALUE"""),"T139")</f>
        <v>T139</v>
      </c>
      <c r="B141" t="str">
        <f ca="1">IFERROR(__xludf.DUMMYFUNCTION("""COMPUTED_VALUE"""),"T82")</f>
        <v>T82</v>
      </c>
      <c r="C141" t="str">
        <f ca="1">IFERROR(__xludf.DUMMYFUNCTION("""COMPUTED_VALUE"""),"Stewart Cink")</f>
        <v>Stewart Cink</v>
      </c>
      <c r="D141">
        <f ca="1">IFERROR(__xludf.DUMMYFUNCTION("""COMPUTED_VALUE"""),18)</f>
        <v>18</v>
      </c>
      <c r="E141" t="str">
        <f ca="1">IFERROR(__xludf.DUMMYFUNCTION("""COMPUTED_VALUE"""),"31' 7""")</f>
        <v>31' 7"</v>
      </c>
      <c r="F141">
        <f ca="1">IFERROR(__xludf.DUMMYFUNCTION("""COMPUTED_VALUE"""),181)</f>
        <v>181</v>
      </c>
      <c r="G141" s="2">
        <f ca="1">IFERROR(__xludf.DUMMYFUNCTION("""COMPUTED_VALUE"""),5722.583)</f>
        <v>5722.5829999999996</v>
      </c>
      <c r="H141">
        <f ca="1">IFERROR(__xludf.DUMMYFUNCTION("""COMPUTED_VALUE"""),-36)</f>
        <v>-36</v>
      </c>
    </row>
    <row r="142" spans="1:8" ht="12.75">
      <c r="A142" t="str">
        <f ca="1">IFERROR(__xludf.DUMMYFUNCTION("""COMPUTED_VALUE"""),"T139")</f>
        <v>T139</v>
      </c>
      <c r="B142" t="str">
        <f ca="1">IFERROR(__xludf.DUMMYFUNCTION("""COMPUTED_VALUE"""),"")</f>
        <v/>
      </c>
      <c r="C142" t="str">
        <f ca="1">IFERROR(__xludf.DUMMYFUNCTION("""COMPUTED_VALUE"""),"Dawie van der Walt")</f>
        <v>Dawie van der Walt</v>
      </c>
      <c r="D142">
        <f ca="1">IFERROR(__xludf.DUMMYFUNCTION("""COMPUTED_VALUE"""),4)</f>
        <v>4</v>
      </c>
      <c r="E142" t="str">
        <f ca="1">IFERROR(__xludf.DUMMYFUNCTION("""COMPUTED_VALUE"""),"31' 7""")</f>
        <v>31' 7"</v>
      </c>
      <c r="F142">
        <f ca="1">IFERROR(__xludf.DUMMYFUNCTION("""COMPUTED_VALUE"""),54)</f>
        <v>54</v>
      </c>
      <c r="G142" s="2">
        <f ca="1">IFERROR(__xludf.DUMMYFUNCTION("""COMPUTED_VALUE"""),1706)</f>
        <v>1706</v>
      </c>
      <c r="H142">
        <f ca="1">IFERROR(__xludf.DUMMYFUNCTION("""COMPUTED_VALUE"""),-4)</f>
        <v>-4</v>
      </c>
    </row>
    <row r="143" spans="1:8" ht="12.75">
      <c r="A143" t="str">
        <f ca="1">IFERROR(__xludf.DUMMYFUNCTION("""COMPUTED_VALUE"""),"T142")</f>
        <v>T142</v>
      </c>
      <c r="B143" t="str">
        <f ca="1">IFERROR(__xludf.DUMMYFUNCTION("""COMPUTED_VALUE"""),"T109")</f>
        <v>T109</v>
      </c>
      <c r="C143" t="str">
        <f ca="1">IFERROR(__xludf.DUMMYFUNCTION("""COMPUTED_VALUE"""),"Brian Stuard")</f>
        <v>Brian Stuard</v>
      </c>
      <c r="D143">
        <f ca="1">IFERROR(__xludf.DUMMYFUNCTION("""COMPUTED_VALUE"""),18)</f>
        <v>18</v>
      </c>
      <c r="E143" t="str">
        <f ca="1">IFERROR(__xludf.DUMMYFUNCTION("""COMPUTED_VALUE"""),"31' 8""")</f>
        <v>31' 8"</v>
      </c>
      <c r="F143">
        <f ca="1">IFERROR(__xludf.DUMMYFUNCTION("""COMPUTED_VALUE"""),160)</f>
        <v>160</v>
      </c>
      <c r="G143" s="2">
        <f ca="1">IFERROR(__xludf.DUMMYFUNCTION("""COMPUTED_VALUE"""),5060.583)</f>
        <v>5060.5829999999996</v>
      </c>
      <c r="H143">
        <f ca="1">IFERROR(__xludf.DUMMYFUNCTION("""COMPUTED_VALUE"""),-21)</f>
        <v>-21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IFERROR(__xludf.DUMMYFUNCTION("""COMPUTED_VALUE"""),"T128")</f>
        <v>T128</v>
      </c>
      <c r="C144" t="str">
        <f ca="1">IFERROR(__xludf.DUMMYFUNCTION("""COMPUTED_VALUE"""),"Luke List")</f>
        <v>Luke List</v>
      </c>
      <c r="D144">
        <f ca="1">IFERROR(__xludf.DUMMYFUNCTION("""COMPUTED_VALUE"""),18)</f>
        <v>18</v>
      </c>
      <c r="E144" t="str">
        <f ca="1">IFERROR(__xludf.DUMMYFUNCTION("""COMPUTED_VALUE"""),"31' 8""")</f>
        <v>31' 8"</v>
      </c>
      <c r="F144">
        <f ca="1">IFERROR(__xludf.DUMMYFUNCTION("""COMPUTED_VALUE"""),118)</f>
        <v>118</v>
      </c>
      <c r="G144" s="2">
        <f ca="1">IFERROR(__xludf.DUMMYFUNCTION("""COMPUTED_VALUE"""),3741.083)</f>
        <v>3741.0830000000001</v>
      </c>
      <c r="H144">
        <f ca="1">IFERROR(__xludf.DUMMYFUNCTION("""COMPUTED_VALUE"""),-9)</f>
        <v>-9</v>
      </c>
    </row>
    <row r="145" spans="1:8" ht="12.75">
      <c r="A145" t="str">
        <f ca="1">IFERROR(__xludf.DUMMYFUNCTION("""COMPUTED_VALUE"""),"T142")</f>
        <v>T142</v>
      </c>
      <c r="B145" t="str">
        <f ca="1">IFERROR(__xludf.DUMMYFUNCTION("""COMPUTED_VALUE"""),"T62")</f>
        <v>T62</v>
      </c>
      <c r="C145" t="str">
        <f ca="1">IFERROR(__xludf.DUMMYFUNCTION("""COMPUTED_VALUE"""),"Grayson Murray")</f>
        <v>Grayson Murray</v>
      </c>
      <c r="D145">
        <f ca="1">IFERROR(__xludf.DUMMYFUNCTION("""COMPUTED_VALUE"""),10)</f>
        <v>10</v>
      </c>
      <c r="E145" t="str">
        <f ca="1">IFERROR(__xludf.DUMMYFUNCTION("""COMPUTED_VALUE"""),"31' 8""")</f>
        <v>31' 8"</v>
      </c>
      <c r="F145">
        <f ca="1">IFERROR(__xludf.DUMMYFUNCTION("""COMPUTED_VALUE"""),98)</f>
        <v>98</v>
      </c>
      <c r="G145" s="2">
        <f ca="1">IFERROR(__xludf.DUMMYFUNCTION("""COMPUTED_VALUE"""),3102.083)</f>
        <v>3102.0830000000001</v>
      </c>
      <c r="H145">
        <f ca="1">IFERROR(__xludf.DUMMYFUNCTION("""COMPUTED_VALUE"""),-2)</f>
        <v>-2</v>
      </c>
    </row>
    <row r="146" spans="1:8" ht="12.75">
      <c r="A146" t="str">
        <f ca="1">IFERROR(__xludf.DUMMYFUNCTION("""COMPUTED_VALUE"""),"T142")</f>
        <v>T142</v>
      </c>
      <c r="B146">
        <f ca="1">IFERROR(__xludf.DUMMYFUNCTION("""COMPUTED_VALUE"""),144)</f>
        <v>144</v>
      </c>
      <c r="C146" t="str">
        <f ca="1">IFERROR(__xludf.DUMMYFUNCTION("""COMPUTED_VALUE"""),"MJ Daffue")</f>
        <v>MJ Daffue</v>
      </c>
      <c r="D146">
        <f ca="1">IFERROR(__xludf.DUMMYFUNCTION("""COMPUTED_VALUE"""),10)</f>
        <v>10</v>
      </c>
      <c r="E146" t="str">
        <f ca="1">IFERROR(__xludf.DUMMYFUNCTION("""COMPUTED_VALUE"""),"31' 8""")</f>
        <v>31' 8"</v>
      </c>
      <c r="F146">
        <f ca="1">IFERROR(__xludf.DUMMYFUNCTION("""COMPUTED_VALUE"""),110)</f>
        <v>110</v>
      </c>
      <c r="G146" s="2">
        <f ca="1">IFERROR(__xludf.DUMMYFUNCTION("""COMPUTED_VALUE"""),3480.25)</f>
        <v>3480.25</v>
      </c>
      <c r="H146">
        <f ca="1">IFERROR(__xludf.DUMMYFUNCTION("""COMPUTED_VALUE"""),-10)</f>
        <v>-10</v>
      </c>
    </row>
    <row r="147" spans="1:8" ht="12.75">
      <c r="A147" t="str">
        <f ca="1">IFERROR(__xludf.DUMMYFUNCTION("""COMPUTED_VALUE"""),"T146")</f>
        <v>T146</v>
      </c>
      <c r="B147" t="str">
        <f ca="1">IFERROR(__xludf.DUMMYFUNCTION("""COMPUTED_VALUE"""),"T123")</f>
        <v>T123</v>
      </c>
      <c r="C147" t="str">
        <f ca="1">IFERROR(__xludf.DUMMYFUNCTION("""COMPUTED_VALUE"""),"Andrew Landry")</f>
        <v>Andrew Landry</v>
      </c>
      <c r="D147">
        <f ca="1">IFERROR(__xludf.DUMMYFUNCTION("""COMPUTED_VALUE"""),14)</f>
        <v>14</v>
      </c>
      <c r="E147" t="str">
        <f ca="1">IFERROR(__xludf.DUMMYFUNCTION("""COMPUTED_VALUE"""),"31' 9""")</f>
        <v>31' 9"</v>
      </c>
      <c r="F147">
        <f ca="1">IFERROR(__xludf.DUMMYFUNCTION("""COMPUTED_VALUE"""),195)</f>
        <v>195</v>
      </c>
      <c r="G147" s="2">
        <f ca="1">IFERROR(__xludf.DUMMYFUNCTION("""COMPUTED_VALUE"""),6195.75)</f>
        <v>6195.75</v>
      </c>
      <c r="H147">
        <f ca="1">IFERROR(__xludf.DUMMYFUNCTION("""COMPUTED_VALUE"""),-25)</f>
        <v>-25</v>
      </c>
    </row>
    <row r="148" spans="1:8" ht="12.75">
      <c r="A148" t="str">
        <f ca="1">IFERROR(__xludf.DUMMYFUNCTION("""COMPUTED_VALUE"""),"T146")</f>
        <v>T146</v>
      </c>
      <c r="B148" t="str">
        <f ca="1">IFERROR(__xludf.DUMMYFUNCTION("""COMPUTED_VALUE"""),"T97")</f>
        <v>T97</v>
      </c>
      <c r="C148" t="str">
        <f ca="1">IFERROR(__xludf.DUMMYFUNCTION("""COMPUTED_VALUE"""),"Sam Ryder")</f>
        <v>Sam Ryder</v>
      </c>
      <c r="D148">
        <f ca="1">IFERROR(__xludf.DUMMYFUNCTION("""COMPUTED_VALUE"""),12)</f>
        <v>12</v>
      </c>
      <c r="E148" t="str">
        <f ca="1">IFERROR(__xludf.DUMMYFUNCTION("""COMPUTED_VALUE"""),"31' 9""")</f>
        <v>31' 9"</v>
      </c>
      <c r="F148">
        <f ca="1">IFERROR(__xludf.DUMMYFUNCTION("""COMPUTED_VALUE"""),103)</f>
        <v>103</v>
      </c>
      <c r="G148" s="2">
        <f ca="1">IFERROR(__xludf.DUMMYFUNCTION("""COMPUTED_VALUE"""),3273.917)</f>
        <v>3273.9169999999999</v>
      </c>
      <c r="H148">
        <f ca="1">IFERROR(__xludf.DUMMYFUNCTION("""COMPUTED_VALUE"""),-4)</f>
        <v>-4</v>
      </c>
    </row>
    <row r="149" spans="1:8" ht="12.75">
      <c r="A149" t="str">
        <f ca="1">IFERROR(__xludf.DUMMYFUNCTION("""COMPUTED_VALUE"""),"T146")</f>
        <v>T146</v>
      </c>
      <c r="B149" t="str">
        <f ca="1">IFERROR(__xludf.DUMMYFUNCTION("""COMPUTED_VALUE"""),"T41")</f>
        <v>T41</v>
      </c>
      <c r="C149" t="str">
        <f ca="1">IFERROR(__xludf.DUMMYFUNCTION("""COMPUTED_VALUE"""),"Keith Mitchell")</f>
        <v>Keith Mitchell</v>
      </c>
      <c r="D149">
        <f ca="1">IFERROR(__xludf.DUMMYFUNCTION("""COMPUTED_VALUE"""),14)</f>
        <v>14</v>
      </c>
      <c r="E149" t="str">
        <f ca="1">IFERROR(__xludf.DUMMYFUNCTION("""COMPUTED_VALUE"""),"31' 9""")</f>
        <v>31' 9"</v>
      </c>
      <c r="F149">
        <f ca="1">IFERROR(__xludf.DUMMYFUNCTION("""COMPUTED_VALUE"""),64)</f>
        <v>64</v>
      </c>
      <c r="G149" s="2">
        <f ca="1">IFERROR(__xludf.DUMMYFUNCTION("""COMPUTED_VALUE"""),2030)</f>
        <v>2030</v>
      </c>
      <c r="H149" t="str">
        <f ca="1">IFERROR(__xludf.DUMMYFUNCTION("""COMPUTED_VALUE"""),"+4.00")</f>
        <v>+4.00</v>
      </c>
    </row>
    <row r="150" spans="1:8" ht="12.75">
      <c r="A150" t="str">
        <f ca="1">IFERROR(__xludf.DUMMYFUNCTION("""COMPUTED_VALUE"""),"T146")</f>
        <v>T146</v>
      </c>
      <c r="B150" t="str">
        <f ca="1">IFERROR(__xludf.DUMMYFUNCTION("""COMPUTED_VALUE"""),"T157")</f>
        <v>T157</v>
      </c>
      <c r="C150" t="str">
        <f ca="1">IFERROR(__xludf.DUMMYFUNCTION("""COMPUTED_VALUE"""),"Brian Harman")</f>
        <v>Brian Harman</v>
      </c>
      <c r="D150">
        <f ca="1">IFERROR(__xludf.DUMMYFUNCTION("""COMPUTED_VALUE"""),24)</f>
        <v>24</v>
      </c>
      <c r="E150" t="str">
        <f ca="1">IFERROR(__xludf.DUMMYFUNCTION("""COMPUTED_VALUE"""),"31' 9""")</f>
        <v>31' 9"</v>
      </c>
      <c r="F150">
        <f ca="1">IFERROR(__xludf.DUMMYFUNCTION("""COMPUTED_VALUE"""),331)</f>
        <v>331</v>
      </c>
      <c r="G150" s="2">
        <f ca="1">IFERROR(__xludf.DUMMYFUNCTION("""COMPUTED_VALUE"""),10500.833)</f>
        <v>10500.833000000001</v>
      </c>
      <c r="H150">
        <f ca="1">IFERROR(__xludf.DUMMYFUNCTION("""COMPUTED_VALUE"""),-37)</f>
        <v>-37</v>
      </c>
    </row>
    <row r="151" spans="1:8" ht="12.75">
      <c r="A151" t="str">
        <f ca="1">IFERROR(__xludf.DUMMYFUNCTION("""COMPUTED_VALUE"""),"T146")</f>
        <v>T146</v>
      </c>
      <c r="B151" t="str">
        <f ca="1">IFERROR(__xludf.DUMMYFUNCTION("""COMPUTED_VALUE"""),"T133")</f>
        <v>T133</v>
      </c>
      <c r="C151" t="str">
        <f ca="1">IFERROR(__xludf.DUMMYFUNCTION("""COMPUTED_VALUE"""),"Sean O'Hair")</f>
        <v>Sean O'Hair</v>
      </c>
      <c r="D151">
        <f ca="1">IFERROR(__xludf.DUMMYFUNCTION("""COMPUTED_VALUE"""),14)</f>
        <v>14</v>
      </c>
      <c r="E151" t="str">
        <f ca="1">IFERROR(__xludf.DUMMYFUNCTION("""COMPUTED_VALUE"""),"31' 9""")</f>
        <v>31' 9"</v>
      </c>
      <c r="F151">
        <f ca="1">IFERROR(__xludf.DUMMYFUNCTION("""COMPUTED_VALUE"""),122)</f>
        <v>122</v>
      </c>
      <c r="G151" s="2">
        <f ca="1">IFERROR(__xludf.DUMMYFUNCTION("""COMPUTED_VALUE"""),3869.417)</f>
        <v>3869.4169999999999</v>
      </c>
      <c r="H151">
        <f ca="1">IFERROR(__xludf.DUMMYFUNCTION("""COMPUTED_VALUE"""),-2)</f>
        <v>-2</v>
      </c>
    </row>
    <row r="152" spans="1:8" ht="12.75">
      <c r="A152" t="str">
        <f ca="1">IFERROR(__xludf.DUMMYFUNCTION("""COMPUTED_VALUE"""),"T146")</f>
        <v>T146</v>
      </c>
      <c r="B152">
        <f ca="1">IFERROR(__xludf.DUMMYFUNCTION("""COMPUTED_VALUE"""),145)</f>
        <v>145</v>
      </c>
      <c r="C152" t="str">
        <f ca="1">IFERROR(__xludf.DUMMYFUNCTION("""COMPUTED_VALUE"""),"Rory McIlroy")</f>
        <v>Rory McIlroy</v>
      </c>
      <c r="D152">
        <f ca="1">IFERROR(__xludf.DUMMYFUNCTION("""COMPUTED_VALUE"""),12)</f>
        <v>12</v>
      </c>
      <c r="E152" t="str">
        <f ca="1">IFERROR(__xludf.DUMMYFUNCTION("""COMPUTED_VALUE"""),"31' 9""")</f>
        <v>31' 9"</v>
      </c>
      <c r="F152">
        <f ca="1">IFERROR(__xludf.DUMMYFUNCTION("""COMPUTED_VALUE"""),155)</f>
        <v>155</v>
      </c>
      <c r="G152" s="2">
        <f ca="1">IFERROR(__xludf.DUMMYFUNCTION("""COMPUTED_VALUE"""),4924.583)</f>
        <v>4924.5829999999996</v>
      </c>
      <c r="H152">
        <f ca="1">IFERROR(__xludf.DUMMYFUNCTION("""COMPUTED_VALUE"""),-25)</f>
        <v>-25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IFERROR(__xludf.DUMMYFUNCTION("""COMPUTED_VALUE"""),"T147")</f>
        <v>T147</v>
      </c>
      <c r="C153" t="str">
        <f ca="1">IFERROR(__xludf.DUMMYFUNCTION("""COMPUTED_VALUE"""),"Harris English")</f>
        <v>Harris English</v>
      </c>
      <c r="D153">
        <f ca="1">IFERROR(__xludf.DUMMYFUNCTION("""COMPUTED_VALUE"""),14)</f>
        <v>14</v>
      </c>
      <c r="E153" t="str">
        <f ca="1">IFERROR(__xludf.DUMMYFUNCTION("""COMPUTED_VALUE"""),"31' 11""")</f>
        <v>31' 11"</v>
      </c>
      <c r="F153">
        <f ca="1">IFERROR(__xludf.DUMMYFUNCTION("""COMPUTED_VALUE"""),192)</f>
        <v>192</v>
      </c>
      <c r="G153" s="2">
        <f ca="1">IFERROR(__xludf.DUMMYFUNCTION("""COMPUTED_VALUE"""),6125.333)</f>
        <v>6125.3329999999996</v>
      </c>
      <c r="H153">
        <f ca="1">IFERROR(__xludf.DUMMYFUNCTION("""COMPUTED_VALUE"""),-36)</f>
        <v>-36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IFERROR(__xludf.DUMMYFUNCTION("""COMPUTED_VALUE"""),"T147")</f>
        <v>T147</v>
      </c>
      <c r="C154" t="str">
        <f ca="1">IFERROR(__xludf.DUMMYFUNCTION("""COMPUTED_VALUE"""),"Cameron Champ")</f>
        <v>Cameron Champ</v>
      </c>
      <c r="D154">
        <f ca="1">IFERROR(__xludf.DUMMYFUNCTION("""COMPUTED_VALUE"""),12)</f>
        <v>12</v>
      </c>
      <c r="E154" t="str">
        <f ca="1">IFERROR(__xludf.DUMMYFUNCTION("""COMPUTED_VALUE"""),"31' 11""")</f>
        <v>31' 11"</v>
      </c>
      <c r="F154">
        <f ca="1">IFERROR(__xludf.DUMMYFUNCTION("""COMPUTED_VALUE"""),149)</f>
        <v>149</v>
      </c>
      <c r="G154" s="2">
        <f ca="1">IFERROR(__xludf.DUMMYFUNCTION("""COMPUTED_VALUE"""),4758.583)</f>
        <v>4758.5829999999996</v>
      </c>
      <c r="H154">
        <f ca="1">IFERROR(__xludf.DUMMYFUNCTION("""COMPUTED_VALUE"""),-23)</f>
        <v>-23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IFERROR(__xludf.DUMMYFUNCTION("""COMPUTED_VALUE"""),"T149")</f>
        <v>T149</v>
      </c>
      <c r="C155" t="str">
        <f ca="1">IFERROR(__xludf.DUMMYFUNCTION("""COMPUTED_VALUE"""),"Chase Seiffert")</f>
        <v>Chase Seiffert</v>
      </c>
      <c r="D155">
        <f ca="1">IFERROR(__xludf.DUMMYFUNCTION("""COMPUTED_VALUE"""),14)</f>
        <v>14</v>
      </c>
      <c r="E155" t="str">
        <f ca="1">IFERROR(__xludf.DUMMYFUNCTION("""COMPUTED_VALUE"""),"32' 0""")</f>
        <v>32' 0"</v>
      </c>
      <c r="F155">
        <f ca="1">IFERROR(__xludf.DUMMYFUNCTION("""COMPUTED_VALUE"""),104)</f>
        <v>104</v>
      </c>
      <c r="G155" s="2">
        <f ca="1">IFERROR(__xludf.DUMMYFUNCTION("""COMPUTED_VALUE"""),3325.75)</f>
        <v>3325.75</v>
      </c>
      <c r="H155">
        <f ca="1">IFERROR(__xludf.DUMMYFUNCTION("""COMPUTED_VALUE"""),-16)</f>
        <v>-16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IFERROR(__xludf.DUMMYFUNCTION("""COMPUTED_VALUE"""),"T133")</f>
        <v>T133</v>
      </c>
      <c r="C156" t="str">
        <f ca="1">IFERROR(__xludf.DUMMYFUNCTION("""COMPUTED_VALUE"""),"Sungjae Im")</f>
        <v>Sungjae Im</v>
      </c>
      <c r="D156">
        <f ca="1">IFERROR(__xludf.DUMMYFUNCTION("""COMPUTED_VALUE"""),24)</f>
        <v>24</v>
      </c>
      <c r="E156" t="str">
        <f ca="1">IFERROR(__xludf.DUMMYFUNCTION("""COMPUTED_VALUE"""),"32' 0""")</f>
        <v>32' 0"</v>
      </c>
      <c r="F156">
        <f ca="1">IFERROR(__xludf.DUMMYFUNCTION("""COMPUTED_VALUE"""),310)</f>
        <v>310</v>
      </c>
      <c r="G156" s="2">
        <f ca="1">IFERROR(__xludf.DUMMYFUNCTION("""COMPUTED_VALUE"""),9927.75)</f>
        <v>9927.75</v>
      </c>
      <c r="H156">
        <f ca="1">IFERROR(__xludf.DUMMYFUNCTION("""COMPUTED_VALUE"""),-49)</f>
        <v>-49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IFERROR(__xludf.DUMMYFUNCTION("""COMPUTED_VALUE"""),"T190")</f>
        <v>T190</v>
      </c>
      <c r="C157" t="str">
        <f ca="1">IFERROR(__xludf.DUMMYFUNCTION("""COMPUTED_VALUE"""),"Patrick Rodgers")</f>
        <v>Patrick Rodgers</v>
      </c>
      <c r="D157">
        <f ca="1">IFERROR(__xludf.DUMMYFUNCTION("""COMPUTED_VALUE"""),18)</f>
        <v>18</v>
      </c>
      <c r="E157" t="str">
        <f ca="1">IFERROR(__xludf.DUMMYFUNCTION("""COMPUTED_VALUE"""),"32' 0""")</f>
        <v>32' 0"</v>
      </c>
      <c r="F157">
        <f ca="1">IFERROR(__xludf.DUMMYFUNCTION("""COMPUTED_VALUE"""),104)</f>
        <v>104</v>
      </c>
      <c r="G157" s="2">
        <f ca="1">IFERROR(__xludf.DUMMYFUNCTION("""COMPUTED_VALUE"""),3329.25)</f>
        <v>3329.25</v>
      </c>
      <c r="H157">
        <f ca="1">IFERROR(__xludf.DUMMYFUNCTION("""COMPUTED_VALUE"""),-7)</f>
        <v>-7</v>
      </c>
    </row>
    <row r="158" spans="1:8" ht="12.75">
      <c r="A158" t="str">
        <f ca="1">IFERROR(__xludf.DUMMYFUNCTION("""COMPUTED_VALUE"""),"T154")</f>
        <v>T154</v>
      </c>
      <c r="B158" t="str">
        <f ca="1">IFERROR(__xludf.DUMMYFUNCTION("""COMPUTED_VALUE"""),"T149")</f>
        <v>T149</v>
      </c>
      <c r="C158" t="str">
        <f ca="1">IFERROR(__xludf.DUMMYFUNCTION("""COMPUTED_VALUE"""),"Abraham Ancer")</f>
        <v>Abraham Ancer</v>
      </c>
      <c r="D158">
        <f ca="1">IFERROR(__xludf.DUMMYFUNCTION("""COMPUTED_VALUE"""),16)</f>
        <v>16</v>
      </c>
      <c r="E158" t="str">
        <f ca="1">IFERROR(__xludf.DUMMYFUNCTION("""COMPUTED_VALUE"""),"32' 0""")</f>
        <v>32' 0"</v>
      </c>
      <c r="F158">
        <f ca="1">IFERROR(__xludf.DUMMYFUNCTION("""COMPUTED_VALUE"""),227)</f>
        <v>227</v>
      </c>
      <c r="G158" s="2">
        <f ca="1">IFERROR(__xludf.DUMMYFUNCTION("""COMPUTED_VALUE"""),7265.5)</f>
        <v>7265.5</v>
      </c>
      <c r="H158">
        <f ca="1">IFERROR(__xludf.DUMMYFUNCTION("""COMPUTED_VALUE"""),-21)</f>
        <v>-21</v>
      </c>
    </row>
    <row r="159" spans="1:8" ht="12.75">
      <c r="A159" t="str">
        <f ca="1">IFERROR(__xludf.DUMMYFUNCTION("""COMPUTED_VALUE"""),"T154")</f>
        <v>T154</v>
      </c>
      <c r="B159" t="str">
        <f ca="1">IFERROR(__xludf.DUMMYFUNCTION("""COMPUTED_VALUE"""),"T149")</f>
        <v>T149</v>
      </c>
      <c r="C159" t="str">
        <f ca="1">IFERROR(__xludf.DUMMYFUNCTION("""COMPUTED_VALUE"""),"Shaun Norris")</f>
        <v>Shaun Norris</v>
      </c>
      <c r="D159">
        <f ca="1">IFERROR(__xludf.DUMMYFUNCTION("""COMPUTED_VALUE"""),6)</f>
        <v>6</v>
      </c>
      <c r="E159" t="str">
        <f ca="1">IFERROR(__xludf.DUMMYFUNCTION("""COMPUTED_VALUE"""),"32' 0""")</f>
        <v>32' 0"</v>
      </c>
      <c r="F159">
        <f ca="1">IFERROR(__xludf.DUMMYFUNCTION("""COMPUTED_VALUE"""),87)</f>
        <v>87</v>
      </c>
      <c r="G159" s="2">
        <f ca="1">IFERROR(__xludf.DUMMYFUNCTION("""COMPUTED_VALUE"""),2783.5)</f>
        <v>2783.5</v>
      </c>
      <c r="H159">
        <f ca="1">IFERROR(__xludf.DUMMYFUNCTION("""COMPUTED_VALUE"""),-9)</f>
        <v>-9</v>
      </c>
    </row>
    <row r="160" spans="1:8" ht="12.75">
      <c r="A160" t="str">
        <f ca="1">IFERROR(__xludf.DUMMYFUNCTION("""COMPUTED_VALUE"""),"T154")</f>
        <v>T154</v>
      </c>
      <c r="B160" t="str">
        <f ca="1">IFERROR(__xludf.DUMMYFUNCTION("""COMPUTED_VALUE"""),"T149")</f>
        <v>T149</v>
      </c>
      <c r="C160" t="str">
        <f ca="1">IFERROR(__xludf.DUMMYFUNCTION("""COMPUTED_VALUE"""),"Bryson DeChambeau")</f>
        <v>Bryson DeChambeau</v>
      </c>
      <c r="D160">
        <f ca="1">IFERROR(__xludf.DUMMYFUNCTION("""COMPUTED_VALUE"""),8)</f>
        <v>8</v>
      </c>
      <c r="E160" t="str">
        <f ca="1">IFERROR(__xludf.DUMMYFUNCTION("""COMPUTED_VALUE"""),"32' 0""")</f>
        <v>32' 0"</v>
      </c>
      <c r="F160">
        <f ca="1">IFERROR(__xludf.DUMMYFUNCTION("""COMPUTED_VALUE"""),92)</f>
        <v>92</v>
      </c>
      <c r="G160" s="2">
        <f ca="1">IFERROR(__xludf.DUMMYFUNCTION("""COMPUTED_VALUE"""),2940.417)</f>
        <v>2940.4169999999999</v>
      </c>
      <c r="H160">
        <f ca="1">IFERROR(__xludf.DUMMYFUNCTION("""COMPUTED_VALUE"""),-15)</f>
        <v>-15</v>
      </c>
    </row>
    <row r="161" spans="1:8" ht="12.75">
      <c r="A161" t="str">
        <f ca="1">IFERROR(__xludf.DUMMYFUNCTION("""COMPUTED_VALUE"""),"T160")</f>
        <v>T160</v>
      </c>
      <c r="B161" t="str">
        <f ca="1">IFERROR(__xludf.DUMMYFUNCTION("""COMPUTED_VALUE"""),"T154")</f>
        <v>T154</v>
      </c>
      <c r="C161" t="str">
        <f ca="1">IFERROR(__xludf.DUMMYFUNCTION("""COMPUTED_VALUE"""),"Alex Cejka")</f>
        <v>Alex Cejka</v>
      </c>
      <c r="D161">
        <f ca="1">IFERROR(__xludf.DUMMYFUNCTION("""COMPUTED_VALUE"""),6)</f>
        <v>6</v>
      </c>
      <c r="E161" t="str">
        <f ca="1">IFERROR(__xludf.DUMMYFUNCTION("""COMPUTED_VALUE"""),"32' 1""")</f>
        <v>32' 1"</v>
      </c>
      <c r="F161">
        <f ca="1">IFERROR(__xludf.DUMMYFUNCTION("""COMPUTED_VALUE"""),21)</f>
        <v>21</v>
      </c>
      <c r="G161">
        <f ca="1">IFERROR(__xludf.DUMMYFUNCTION("""COMPUTED_VALUE"""),673.5)</f>
        <v>673.5</v>
      </c>
      <c r="H161" t="str">
        <f ca="1">IFERROR(__xludf.DUMMYFUNCTION("""COMPUTED_VALUE"""),"+1.00")</f>
        <v>+1.00</v>
      </c>
    </row>
    <row r="162" spans="1:8" ht="12.75">
      <c r="A162" t="str">
        <f ca="1">IFERROR(__xludf.DUMMYFUNCTION("""COMPUTED_VALUE"""),"T160")</f>
        <v>T160</v>
      </c>
      <c r="B162" t="str">
        <f ca="1">IFERROR(__xludf.DUMMYFUNCTION("""COMPUTED_VALUE"""),"T154")</f>
        <v>T154</v>
      </c>
      <c r="C162" t="str">
        <f ca="1">IFERROR(__xludf.DUMMYFUNCTION("""COMPUTED_VALUE"""),"Webb Simpson")</f>
        <v>Webb Simpson</v>
      </c>
      <c r="D162">
        <f ca="1">IFERROR(__xludf.DUMMYFUNCTION("""COMPUTED_VALUE"""),12)</f>
        <v>12</v>
      </c>
      <c r="E162" t="str">
        <f ca="1">IFERROR(__xludf.DUMMYFUNCTION("""COMPUTED_VALUE"""),"32' 1""")</f>
        <v>32' 1"</v>
      </c>
      <c r="F162">
        <f ca="1">IFERROR(__xludf.DUMMYFUNCTION("""COMPUTED_VALUE"""),162)</f>
        <v>162</v>
      </c>
      <c r="G162" s="2">
        <f ca="1">IFERROR(__xludf.DUMMYFUNCTION("""COMPUTED_VALUE"""),5197.083)</f>
        <v>5197.0829999999996</v>
      </c>
      <c r="H162">
        <f ca="1">IFERROR(__xludf.DUMMYFUNCTION("""COMPUTED_VALUE"""),-35)</f>
        <v>-35</v>
      </c>
    </row>
    <row r="163" spans="1:8" ht="12.75">
      <c r="A163" t="str">
        <f ca="1">IFERROR(__xludf.DUMMYFUNCTION("""COMPUTED_VALUE"""),"T162")</f>
        <v>T162</v>
      </c>
      <c r="B163" t="str">
        <f ca="1">IFERROR(__xludf.DUMMYFUNCTION("""COMPUTED_VALUE"""),"T157")</f>
        <v>T157</v>
      </c>
      <c r="C163" t="str">
        <f ca="1">IFERROR(__xludf.DUMMYFUNCTION("""COMPUTED_VALUE"""),"Joel Dahmen")</f>
        <v>Joel Dahmen</v>
      </c>
      <c r="D163">
        <f ca="1">IFERROR(__xludf.DUMMYFUNCTION("""COMPUTED_VALUE"""),18)</f>
        <v>18</v>
      </c>
      <c r="E163" t="str">
        <f ca="1">IFERROR(__xludf.DUMMYFUNCTION("""COMPUTED_VALUE"""),"32' 2""")</f>
        <v>32' 2"</v>
      </c>
      <c r="F163">
        <f ca="1">IFERROR(__xludf.DUMMYFUNCTION("""COMPUTED_VALUE"""),252)</f>
        <v>252</v>
      </c>
      <c r="G163" s="2">
        <f ca="1">IFERROR(__xludf.DUMMYFUNCTION("""COMPUTED_VALUE"""),8100.75)</f>
        <v>8100.75</v>
      </c>
      <c r="H163">
        <f ca="1">IFERROR(__xludf.DUMMYFUNCTION("""COMPUTED_VALUE"""),-34)</f>
        <v>-34</v>
      </c>
    </row>
    <row r="164" spans="1:8" ht="12.75">
      <c r="A164" t="str">
        <f ca="1">IFERROR(__xludf.DUMMYFUNCTION("""COMPUTED_VALUE"""),"T162")</f>
        <v>T162</v>
      </c>
      <c r="B164" t="str">
        <f ca="1">IFERROR(__xludf.DUMMYFUNCTION("""COMPUTED_VALUE"""),"T157")</f>
        <v>T157</v>
      </c>
      <c r="C164" t="str">
        <f ca="1">IFERROR(__xludf.DUMMYFUNCTION("""COMPUTED_VALUE"""),"Richy Werenski")</f>
        <v>Richy Werenski</v>
      </c>
      <c r="D164">
        <f ca="1">IFERROR(__xludf.DUMMYFUNCTION("""COMPUTED_VALUE"""),16)</f>
        <v>16</v>
      </c>
      <c r="E164" t="str">
        <f ca="1">IFERROR(__xludf.DUMMYFUNCTION("""COMPUTED_VALUE"""),"32' 2""")</f>
        <v>32' 2"</v>
      </c>
      <c r="F164">
        <f ca="1">IFERROR(__xludf.DUMMYFUNCTION("""COMPUTED_VALUE"""),212)</f>
        <v>212</v>
      </c>
      <c r="G164" s="2">
        <f ca="1">IFERROR(__xludf.DUMMYFUNCTION("""COMPUTED_VALUE"""),6817.25)</f>
        <v>6817.25</v>
      </c>
      <c r="H164">
        <f ca="1">IFERROR(__xludf.DUMMYFUNCTION("""COMPUTED_VALUE"""),-12)</f>
        <v>-12</v>
      </c>
    </row>
    <row r="165" spans="1:8" ht="12.75">
      <c r="A165" t="str">
        <f ca="1">IFERROR(__xludf.DUMMYFUNCTION("""COMPUTED_VALUE"""),"T162")</f>
        <v>T162</v>
      </c>
      <c r="B165" t="str">
        <f ca="1">IFERROR(__xludf.DUMMYFUNCTION("""COMPUTED_VALUE"""),"T149")</f>
        <v>T149</v>
      </c>
      <c r="C165" t="str">
        <f ca="1">IFERROR(__xludf.DUMMYFUNCTION("""COMPUTED_VALUE"""),"Wyndham Clark")</f>
        <v>Wyndham Clark</v>
      </c>
      <c r="D165">
        <f ca="1">IFERROR(__xludf.DUMMYFUNCTION("""COMPUTED_VALUE"""),16)</f>
        <v>16</v>
      </c>
      <c r="E165" t="str">
        <f ca="1">IFERROR(__xludf.DUMMYFUNCTION("""COMPUTED_VALUE"""),"32' 2""")</f>
        <v>32' 2"</v>
      </c>
      <c r="F165">
        <f ca="1">IFERROR(__xludf.DUMMYFUNCTION("""COMPUTED_VALUE"""),137)</f>
        <v>137</v>
      </c>
      <c r="G165" s="2">
        <f ca="1">IFERROR(__xludf.DUMMYFUNCTION("""COMPUTED_VALUE"""),4405.167)</f>
        <v>4405.1670000000004</v>
      </c>
      <c r="H165">
        <f ca="1">IFERROR(__xludf.DUMMYFUNCTION("""COMPUTED_VALUE"""),-15)</f>
        <v>-15</v>
      </c>
    </row>
    <row r="166" spans="1:8" ht="12.75">
      <c r="A166" t="str">
        <f ca="1">IFERROR(__xludf.DUMMYFUNCTION("""COMPUTED_VALUE"""),"T165")</f>
        <v>T165</v>
      </c>
      <c r="B166" t="str">
        <f ca="1">IFERROR(__xludf.DUMMYFUNCTION("""COMPUTED_VALUE"""),"T97")</f>
        <v>T97</v>
      </c>
      <c r="C166" t="str">
        <f ca="1">IFERROR(__xludf.DUMMYFUNCTION("""COMPUTED_VALUE"""),"Brice Garnett")</f>
        <v>Brice Garnett</v>
      </c>
      <c r="D166">
        <f ca="1">IFERROR(__xludf.DUMMYFUNCTION("""COMPUTED_VALUE"""),22)</f>
        <v>22</v>
      </c>
      <c r="E166" t="str">
        <f ca="1">IFERROR(__xludf.DUMMYFUNCTION("""COMPUTED_VALUE"""),"32' 3""")</f>
        <v>32' 3"</v>
      </c>
      <c r="F166">
        <f ca="1">IFERROR(__xludf.DUMMYFUNCTION("""COMPUTED_VALUE"""),200)</f>
        <v>200</v>
      </c>
      <c r="G166" s="2">
        <f ca="1">IFERROR(__xludf.DUMMYFUNCTION("""COMPUTED_VALUE"""),6450.25)</f>
        <v>6450.25</v>
      </c>
      <c r="H166">
        <f ca="1">IFERROR(__xludf.DUMMYFUNCTION("""COMPUTED_VALUE"""),-27)</f>
        <v>-27</v>
      </c>
    </row>
    <row r="167" spans="1:8" ht="12.75">
      <c r="A167" t="str">
        <f ca="1">IFERROR(__xludf.DUMMYFUNCTION("""COMPUTED_VALUE"""),"T165")</f>
        <v>T165</v>
      </c>
      <c r="B167" t="str">
        <f ca="1">IFERROR(__xludf.DUMMYFUNCTION("""COMPUTED_VALUE"""),"")</f>
        <v/>
      </c>
      <c r="C167" t="str">
        <f ca="1">IFERROR(__xludf.DUMMYFUNCTION("""COMPUTED_VALUE"""),"Padraig Harrington")</f>
        <v>Padraig Harrington</v>
      </c>
      <c r="D167">
        <f ca="1">IFERROR(__xludf.DUMMYFUNCTION("""COMPUTED_VALUE"""),8)</f>
        <v>8</v>
      </c>
      <c r="E167" t="str">
        <f ca="1">IFERROR(__xludf.DUMMYFUNCTION("""COMPUTED_VALUE"""),"32' 3""")</f>
        <v>32' 3"</v>
      </c>
      <c r="F167">
        <f ca="1">IFERROR(__xludf.DUMMYFUNCTION("""COMPUTED_VALUE"""),49)</f>
        <v>49</v>
      </c>
      <c r="G167" s="2">
        <f ca="1">IFERROR(__xludf.DUMMYFUNCTION("""COMPUTED_VALUE"""),1580.583)</f>
        <v>1580.5830000000001</v>
      </c>
      <c r="H167">
        <f ca="1">IFERROR(__xludf.DUMMYFUNCTION("""COMPUTED_VALUE"""),-7)</f>
        <v>-7</v>
      </c>
    </row>
    <row r="168" spans="1:8" ht="12.75">
      <c r="A168" t="str">
        <f ca="1">IFERROR(__xludf.DUMMYFUNCTION("""COMPUTED_VALUE"""),"T165")</f>
        <v>T165</v>
      </c>
      <c r="B168">
        <f ca="1">IFERROR(__xludf.DUMMYFUNCTION("""COMPUTED_VALUE"""),69)</f>
        <v>69</v>
      </c>
      <c r="C168" t="str">
        <f ca="1">IFERROR(__xludf.DUMMYFUNCTION("""COMPUTED_VALUE"""),"Scott Harrington")</f>
        <v>Scott Harrington</v>
      </c>
      <c r="D168">
        <f ca="1">IFERROR(__xludf.DUMMYFUNCTION("""COMPUTED_VALUE"""),18)</f>
        <v>18</v>
      </c>
      <c r="E168" t="str">
        <f ca="1">IFERROR(__xludf.DUMMYFUNCTION("""COMPUTED_VALUE"""),"32' 3""")</f>
        <v>32' 3"</v>
      </c>
      <c r="F168">
        <f ca="1">IFERROR(__xludf.DUMMYFUNCTION("""COMPUTED_VALUE"""),147)</f>
        <v>147</v>
      </c>
      <c r="G168" s="2">
        <f ca="1">IFERROR(__xludf.DUMMYFUNCTION("""COMPUTED_VALUE"""),4744.75)</f>
        <v>4744.75</v>
      </c>
      <c r="H168">
        <f ca="1">IFERROR(__xludf.DUMMYFUNCTION("""COMPUTED_VALUE"""),-22)</f>
        <v>-22</v>
      </c>
    </row>
    <row r="169" spans="1:8" ht="12.75">
      <c r="A169">
        <f ca="1">IFERROR(__xludf.DUMMYFUNCTION("""COMPUTED_VALUE"""),168)</f>
        <v>168</v>
      </c>
      <c r="B169" t="str">
        <f ca="1">IFERROR(__xludf.DUMMYFUNCTION("""COMPUTED_VALUE"""),"T165")</f>
        <v>T165</v>
      </c>
      <c r="C169" t="str">
        <f ca="1">IFERROR(__xludf.DUMMYFUNCTION("""COMPUTED_VALUE"""),"Hideki Matsuyama")</f>
        <v>Hideki Matsuyama</v>
      </c>
      <c r="D169">
        <f ca="1">IFERROR(__xludf.DUMMYFUNCTION("""COMPUTED_VALUE"""),18)</f>
        <v>18</v>
      </c>
      <c r="E169" t="str">
        <f ca="1">IFERROR(__xludf.DUMMYFUNCTION("""COMPUTED_VALUE"""),"32' 5""")</f>
        <v>32' 5"</v>
      </c>
      <c r="F169">
        <f ca="1">IFERROR(__xludf.DUMMYFUNCTION("""COMPUTED_VALUE"""),235)</f>
        <v>235</v>
      </c>
      <c r="G169" s="2">
        <f ca="1">IFERROR(__xludf.DUMMYFUNCTION("""COMPUTED_VALUE"""),7618.417)</f>
        <v>7618.4170000000004</v>
      </c>
      <c r="H169">
        <f ca="1">IFERROR(__xludf.DUMMYFUNCTION("""COMPUTED_VALUE"""),-35)</f>
        <v>-35</v>
      </c>
    </row>
    <row r="170" spans="1:8" ht="12.75">
      <c r="A170">
        <f ca="1">IFERROR(__xludf.DUMMYFUNCTION("""COMPUTED_VALUE"""),169)</f>
        <v>169</v>
      </c>
      <c r="B170" t="str">
        <f ca="1">IFERROR(__xludf.DUMMYFUNCTION("""COMPUTED_VALUE"""),"T173")</f>
        <v>T173</v>
      </c>
      <c r="C170" t="str">
        <f ca="1">IFERROR(__xludf.DUMMYFUNCTION("""COMPUTED_VALUE"""),"Talor Gooch")</f>
        <v>Talor Gooch</v>
      </c>
      <c r="D170">
        <f ca="1">IFERROR(__xludf.DUMMYFUNCTION("""COMPUTED_VALUE"""),20)</f>
        <v>20</v>
      </c>
      <c r="E170" t="str">
        <f ca="1">IFERROR(__xludf.DUMMYFUNCTION("""COMPUTED_VALUE"""),"32' 7""")</f>
        <v>32' 7"</v>
      </c>
      <c r="F170">
        <f ca="1">IFERROR(__xludf.DUMMYFUNCTION("""COMPUTED_VALUE"""),267)</f>
        <v>267</v>
      </c>
      <c r="G170" s="2">
        <f ca="1">IFERROR(__xludf.DUMMYFUNCTION("""COMPUTED_VALUE"""),8703.167)</f>
        <v>8703.1669999999995</v>
      </c>
      <c r="H170">
        <f ca="1">IFERROR(__xludf.DUMMYFUNCTION("""COMPUTED_VALUE"""),-48)</f>
        <v>-48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IFERROR(__xludf.DUMMYFUNCTION("""COMPUTED_VALUE"""),"T167")</f>
        <v>T167</v>
      </c>
      <c r="C171" t="str">
        <f ca="1">IFERROR(__xludf.DUMMYFUNCTION("""COMPUTED_VALUE"""),"Chris Baker")</f>
        <v>Chris Baker</v>
      </c>
      <c r="D171">
        <f ca="1">IFERROR(__xludf.DUMMYFUNCTION("""COMPUTED_VALUE"""),8)</f>
        <v>8</v>
      </c>
      <c r="E171" t="str">
        <f ca="1">IFERROR(__xludf.DUMMYFUNCTION("""COMPUTED_VALUE"""),"32' 8""")</f>
        <v>32' 8"</v>
      </c>
      <c r="F171">
        <f ca="1">IFERROR(__xludf.DUMMYFUNCTION("""COMPUTED_VALUE"""),53)</f>
        <v>53</v>
      </c>
      <c r="G171" s="2">
        <f ca="1">IFERROR(__xludf.DUMMYFUNCTION("""COMPUTED_VALUE"""),1729.583)</f>
        <v>1729.5830000000001</v>
      </c>
      <c r="H171">
        <f ca="1">IFERROR(__xludf.DUMMYFUNCTION("""COMPUTED_VALUE"""),-1)</f>
        <v>-1</v>
      </c>
    </row>
    <row r="172" spans="1:8" ht="12.75">
      <c r="A172" t="str">
        <f ca="1">IFERROR(__xludf.DUMMYFUNCTION("""COMPUTED_VALUE"""),"T170")</f>
        <v>T170</v>
      </c>
      <c r="B172" t="str">
        <f ca="1">IFERROR(__xludf.DUMMYFUNCTION("""COMPUTED_VALUE"""),"T157")</f>
        <v>T157</v>
      </c>
      <c r="C172" t="str">
        <f ca="1">IFERROR(__xludf.DUMMYFUNCTION("""COMPUTED_VALUE"""),"Dylan Frittelli")</f>
        <v>Dylan Frittelli</v>
      </c>
      <c r="D172">
        <f ca="1">IFERROR(__xludf.DUMMYFUNCTION("""COMPUTED_VALUE"""),16)</f>
        <v>16</v>
      </c>
      <c r="E172" t="str">
        <f ca="1">IFERROR(__xludf.DUMMYFUNCTION("""COMPUTED_VALUE"""),"32' 8""")</f>
        <v>32' 8"</v>
      </c>
      <c r="F172">
        <f ca="1">IFERROR(__xludf.DUMMYFUNCTION("""COMPUTED_VALUE"""),205)</f>
        <v>205</v>
      </c>
      <c r="G172" s="2">
        <f ca="1">IFERROR(__xludf.DUMMYFUNCTION("""COMPUTED_VALUE"""),6704.917)</f>
        <v>6704.9170000000004</v>
      </c>
      <c r="H172">
        <f ca="1">IFERROR(__xludf.DUMMYFUNCTION("""COMPUTED_VALUE"""),-25)</f>
        <v>-25</v>
      </c>
    </row>
    <row r="173" spans="1:8" ht="12.75">
      <c r="A173">
        <f ca="1">IFERROR(__xludf.DUMMYFUNCTION("""COMPUTED_VALUE"""),172)</f>
        <v>172</v>
      </c>
      <c r="B173" t="str">
        <f ca="1">IFERROR(__xludf.DUMMYFUNCTION("""COMPUTED_VALUE"""),"T169")</f>
        <v>T169</v>
      </c>
      <c r="C173" t="str">
        <f ca="1">IFERROR(__xludf.DUMMYFUNCTION("""COMPUTED_VALUE"""),"Adam Hadwin")</f>
        <v>Adam Hadwin</v>
      </c>
      <c r="D173">
        <f ca="1">IFERROR(__xludf.DUMMYFUNCTION("""COMPUTED_VALUE"""),16)</f>
        <v>16</v>
      </c>
      <c r="E173" t="str">
        <f ca="1">IFERROR(__xludf.DUMMYFUNCTION("""COMPUTED_VALUE"""),"32' 9""")</f>
        <v>32' 9"</v>
      </c>
      <c r="F173">
        <f ca="1">IFERROR(__xludf.DUMMYFUNCTION("""COMPUTED_VALUE"""),217)</f>
        <v>217</v>
      </c>
      <c r="G173" s="2">
        <f ca="1">IFERROR(__xludf.DUMMYFUNCTION("""COMPUTED_VALUE"""),7107)</f>
        <v>7107</v>
      </c>
      <c r="H173">
        <f ca="1">IFERROR(__xludf.DUMMYFUNCTION("""COMPUTED_VALUE"""),-22)</f>
        <v>-22</v>
      </c>
    </row>
    <row r="174" spans="1:8" ht="12.75">
      <c r="A174">
        <f ca="1">IFERROR(__xludf.DUMMYFUNCTION("""COMPUTED_VALUE"""),173)</f>
        <v>173</v>
      </c>
      <c r="B174" t="str">
        <f ca="1">IFERROR(__xludf.DUMMYFUNCTION("""COMPUTED_VALUE"""),"T171")</f>
        <v>T171</v>
      </c>
      <c r="C174" t="str">
        <f ca="1">IFERROR(__xludf.DUMMYFUNCTION("""COMPUTED_VALUE"""),"Daniel Berger")</f>
        <v>Daniel Berger</v>
      </c>
      <c r="D174">
        <f ca="1">IFERROR(__xludf.DUMMYFUNCTION("""COMPUTED_VALUE"""),12)</f>
        <v>12</v>
      </c>
      <c r="E174" t="str">
        <f ca="1">IFERROR(__xludf.DUMMYFUNCTION("""COMPUTED_VALUE"""),"32' 10""")</f>
        <v>32' 10"</v>
      </c>
      <c r="F174">
        <f ca="1">IFERROR(__xludf.DUMMYFUNCTION("""COMPUTED_VALUE"""),158)</f>
        <v>158</v>
      </c>
      <c r="G174" s="2">
        <f ca="1">IFERROR(__xludf.DUMMYFUNCTION("""COMPUTED_VALUE"""),5193.333)</f>
        <v>5193.3329999999996</v>
      </c>
      <c r="H174">
        <f ca="1">IFERROR(__xludf.DUMMYFUNCTION("""COMPUTED_VALUE"""),-7)</f>
        <v>-7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IFERROR(__xludf.DUMMYFUNCTION("""COMPUTED_VALUE"""),"T173")</f>
        <v>T173</v>
      </c>
      <c r="C175" t="str">
        <f ca="1">IFERROR(__xludf.DUMMYFUNCTION("""COMPUTED_VALUE"""),"Jason Kokrak")</f>
        <v>Jason Kokrak</v>
      </c>
      <c r="D175">
        <f ca="1">IFERROR(__xludf.DUMMYFUNCTION("""COMPUTED_VALUE"""),14)</f>
        <v>14</v>
      </c>
      <c r="E175" t="str">
        <f ca="1">IFERROR(__xludf.DUMMYFUNCTION("""COMPUTED_VALUE"""),"32' 11""")</f>
        <v>32' 11"</v>
      </c>
      <c r="F175">
        <f ca="1">IFERROR(__xludf.DUMMYFUNCTION("""COMPUTED_VALUE"""),195)</f>
        <v>195</v>
      </c>
      <c r="G175" s="2">
        <f ca="1">IFERROR(__xludf.DUMMYFUNCTION("""COMPUTED_VALUE"""),6419.667)</f>
        <v>6419.6670000000004</v>
      </c>
      <c r="H175">
        <f ca="1">IFERROR(__xludf.DUMMYFUNCTION("""COMPUTED_VALUE"""),-42)</f>
        <v>-42</v>
      </c>
    </row>
    <row r="176" spans="1:8" ht="12.75">
      <c r="A176" t="str">
        <f ca="1">IFERROR(__xludf.DUMMYFUNCTION("""COMPUTED_VALUE"""),"T174")</f>
        <v>T174</v>
      </c>
      <c r="B176" t="str">
        <f ca="1">IFERROR(__xludf.DUMMYFUNCTION("""COMPUTED_VALUE"""),"T173")</f>
        <v>T173</v>
      </c>
      <c r="C176" t="str">
        <f ca="1">IFERROR(__xludf.DUMMYFUNCTION("""COMPUTED_VALUE"""),"Tommy Fleetwood")</f>
        <v>Tommy Fleetwood</v>
      </c>
      <c r="D176">
        <f ca="1">IFERROR(__xludf.DUMMYFUNCTION("""COMPUTED_VALUE"""),10)</f>
        <v>10</v>
      </c>
      <c r="E176" t="str">
        <f ca="1">IFERROR(__xludf.DUMMYFUNCTION("""COMPUTED_VALUE"""),"32' 11""")</f>
        <v>32' 11"</v>
      </c>
      <c r="F176">
        <f ca="1">IFERROR(__xludf.DUMMYFUNCTION("""COMPUTED_VALUE"""),132)</f>
        <v>132</v>
      </c>
      <c r="G176" s="2">
        <f ca="1">IFERROR(__xludf.DUMMYFUNCTION("""COMPUTED_VALUE"""),4344.417)</f>
        <v>4344.4170000000004</v>
      </c>
      <c r="H176">
        <f ca="1">IFERROR(__xludf.DUMMYFUNCTION("""COMPUTED_VALUE"""),-8)</f>
        <v>-8</v>
      </c>
    </row>
    <row r="177" spans="1:8" ht="12.75">
      <c r="A177" t="str">
        <f ca="1">IFERROR(__xludf.DUMMYFUNCTION("""COMPUTED_VALUE"""),"T174")</f>
        <v>T174</v>
      </c>
      <c r="B177">
        <f ca="1">IFERROR(__xludf.DUMMYFUNCTION("""COMPUTED_VALUE"""),253)</f>
        <v>253</v>
      </c>
      <c r="C177" t="str">
        <f ca="1">IFERROR(__xludf.DUMMYFUNCTION("""COMPUTED_VALUE"""),"Graeme McDowell")</f>
        <v>Graeme McDowell</v>
      </c>
      <c r="D177">
        <f ca="1">IFERROR(__xludf.DUMMYFUNCTION("""COMPUTED_VALUE"""),8)</f>
        <v>8</v>
      </c>
      <c r="E177" t="str">
        <f ca="1">IFERROR(__xludf.DUMMYFUNCTION("""COMPUTED_VALUE"""),"32' 11""")</f>
        <v>32' 11"</v>
      </c>
      <c r="F177">
        <f ca="1">IFERROR(__xludf.DUMMYFUNCTION("""COMPUTED_VALUE"""),76)</f>
        <v>76</v>
      </c>
      <c r="G177" s="2">
        <f ca="1">IFERROR(__xludf.DUMMYFUNCTION("""COMPUTED_VALUE"""),2498.917)</f>
        <v>2498.9169999999999</v>
      </c>
      <c r="H177" t="str">
        <f ca="1">IFERROR(__xludf.DUMMYFUNCTION("""COMPUTED_VALUE"""),"+8.00")</f>
        <v>+8.00</v>
      </c>
    </row>
    <row r="178" spans="1:8" ht="12.75">
      <c r="A178" t="str">
        <f ca="1">IFERROR(__xludf.DUMMYFUNCTION("""COMPUTED_VALUE"""),"T174")</f>
        <v>T174</v>
      </c>
      <c r="B178" t="str">
        <f ca="1">IFERROR(__xludf.DUMMYFUNCTION("""COMPUTED_VALUE"""),"T173")</f>
        <v>T173</v>
      </c>
      <c r="C178" t="str">
        <f ca="1">IFERROR(__xludf.DUMMYFUNCTION("""COMPUTED_VALUE"""),"Bill Haas")</f>
        <v>Bill Haas</v>
      </c>
      <c r="D178">
        <f ca="1">IFERROR(__xludf.DUMMYFUNCTION("""COMPUTED_VALUE"""),10)</f>
        <v>10</v>
      </c>
      <c r="E178" t="str">
        <f ca="1">IFERROR(__xludf.DUMMYFUNCTION("""COMPUTED_VALUE"""),"32' 11""")</f>
        <v>32' 11"</v>
      </c>
      <c r="F178">
        <f ca="1">IFERROR(__xludf.DUMMYFUNCTION("""COMPUTED_VALUE"""),67)</f>
        <v>67</v>
      </c>
      <c r="G178" s="2">
        <f ca="1">IFERROR(__xludf.DUMMYFUNCTION("""COMPUTED_VALUE"""),2205.25)</f>
        <v>2205.25</v>
      </c>
      <c r="H178">
        <f ca="1">IFERROR(__xludf.DUMMYFUNCTION("""COMPUTED_VALUE"""),-10)</f>
        <v>-10</v>
      </c>
    </row>
    <row r="179" spans="1:8" ht="12.75">
      <c r="A179" t="str">
        <f ca="1">IFERROR(__xludf.DUMMYFUNCTION("""COMPUTED_VALUE"""),"T178")</f>
        <v>T178</v>
      </c>
      <c r="B179" t="str">
        <f ca="1">IFERROR(__xludf.DUMMYFUNCTION("""COMPUTED_VALUE"""),"T198")</f>
        <v>T198</v>
      </c>
      <c r="C179" t="str">
        <f ca="1">IFERROR(__xludf.DUMMYFUNCTION("""COMPUTED_VALUE"""),"Charl Schwartzel")</f>
        <v>Charl Schwartzel</v>
      </c>
      <c r="D179">
        <f ca="1">IFERROR(__xludf.DUMMYFUNCTION("""COMPUTED_VALUE"""),12)</f>
        <v>12</v>
      </c>
      <c r="E179" t="str">
        <f ca="1">IFERROR(__xludf.DUMMYFUNCTION("""COMPUTED_VALUE"""),"33' 0""")</f>
        <v>33' 0"</v>
      </c>
      <c r="F179">
        <f ca="1">IFERROR(__xludf.DUMMYFUNCTION("""COMPUTED_VALUE"""),147)</f>
        <v>147</v>
      </c>
      <c r="G179" s="2">
        <f ca="1">IFERROR(__xludf.DUMMYFUNCTION("""COMPUTED_VALUE"""),4849.917)</f>
        <v>4849.9170000000004</v>
      </c>
      <c r="H179">
        <f ca="1">IFERROR(__xludf.DUMMYFUNCTION("""COMPUTED_VALUE"""),-20)</f>
        <v>-20</v>
      </c>
    </row>
    <row r="180" spans="1:8" ht="12.75">
      <c r="A180" t="str">
        <f ca="1">IFERROR(__xludf.DUMMYFUNCTION("""COMPUTED_VALUE"""),"T178")</f>
        <v>T178</v>
      </c>
      <c r="B180" t="str">
        <f ca="1">IFERROR(__xludf.DUMMYFUNCTION("""COMPUTED_VALUE"""),"T171")</f>
        <v>T171</v>
      </c>
      <c r="C180" t="str">
        <f ca="1">IFERROR(__xludf.DUMMYFUNCTION("""COMPUTED_VALUE"""),"Andrew Putnam")</f>
        <v>Andrew Putnam</v>
      </c>
      <c r="D180">
        <f ca="1">IFERROR(__xludf.DUMMYFUNCTION("""COMPUTED_VALUE"""),19)</f>
        <v>19</v>
      </c>
      <c r="E180" t="str">
        <f ca="1">IFERROR(__xludf.DUMMYFUNCTION("""COMPUTED_VALUE"""),"33' 0""")</f>
        <v>33' 0"</v>
      </c>
      <c r="F180">
        <f ca="1">IFERROR(__xludf.DUMMYFUNCTION("""COMPUTED_VALUE"""),173)</f>
        <v>173</v>
      </c>
      <c r="G180" s="2">
        <f ca="1">IFERROR(__xludf.DUMMYFUNCTION("""COMPUTED_VALUE"""),5714.75)</f>
        <v>5714.75</v>
      </c>
      <c r="H180">
        <f ca="1">IFERROR(__xludf.DUMMYFUNCTION("""COMPUTED_VALUE"""),-18)</f>
        <v>-18</v>
      </c>
    </row>
    <row r="181" spans="1:8" ht="12.75">
      <c r="A181" t="str">
        <f ca="1">IFERROR(__xludf.DUMMYFUNCTION("""COMPUTED_VALUE"""),"T180")</f>
        <v>T180</v>
      </c>
      <c r="B181" t="str">
        <f ca="1">IFERROR(__xludf.DUMMYFUNCTION("""COMPUTED_VALUE"""),"T162")</f>
        <v>T162</v>
      </c>
      <c r="C181" t="str">
        <f ca="1">IFERROR(__xludf.DUMMYFUNCTION("""COMPUTED_VALUE"""),"Brandt Snedeker")</f>
        <v>Brandt Snedeker</v>
      </c>
      <c r="D181">
        <f ca="1">IFERROR(__xludf.DUMMYFUNCTION("""COMPUTED_VALUE"""),16)</f>
        <v>16</v>
      </c>
      <c r="E181" t="str">
        <f ca="1">IFERROR(__xludf.DUMMYFUNCTION("""COMPUTED_VALUE"""),"33' 1""")</f>
        <v>33' 1"</v>
      </c>
      <c r="F181">
        <f ca="1">IFERROR(__xludf.DUMMYFUNCTION("""COMPUTED_VALUE"""),209)</f>
        <v>209</v>
      </c>
      <c r="G181" s="2">
        <f ca="1">IFERROR(__xludf.DUMMYFUNCTION("""COMPUTED_VALUE"""),6919.25)</f>
        <v>6919.25</v>
      </c>
      <c r="H181">
        <f ca="1">IFERROR(__xludf.DUMMYFUNCTION("""COMPUTED_VALUE"""),-17)</f>
        <v>-17</v>
      </c>
    </row>
    <row r="182" spans="1:8" ht="12.75">
      <c r="A182" t="str">
        <f ca="1">IFERROR(__xludf.DUMMYFUNCTION("""COMPUTED_VALUE"""),"T180")</f>
        <v>T180</v>
      </c>
      <c r="B182" t="str">
        <f ca="1">IFERROR(__xludf.DUMMYFUNCTION("""COMPUTED_VALUE"""),"T157")</f>
        <v>T157</v>
      </c>
      <c r="C182" t="str">
        <f ca="1">IFERROR(__xludf.DUMMYFUNCTION("""COMPUTED_VALUE"""),"Jhonattan Vegas")</f>
        <v>Jhonattan Vegas</v>
      </c>
      <c r="D182">
        <f ca="1">IFERROR(__xludf.DUMMYFUNCTION("""COMPUTED_VALUE"""),16)</f>
        <v>16</v>
      </c>
      <c r="E182" t="str">
        <f ca="1">IFERROR(__xludf.DUMMYFUNCTION("""COMPUTED_VALUE"""),"33' 1""")</f>
        <v>33' 1"</v>
      </c>
      <c r="F182">
        <f ca="1">IFERROR(__xludf.DUMMYFUNCTION("""COMPUTED_VALUE"""),120)</f>
        <v>120</v>
      </c>
      <c r="G182" s="2">
        <f ca="1">IFERROR(__xludf.DUMMYFUNCTION("""COMPUTED_VALUE"""),3974.667)</f>
        <v>3974.6669999999999</v>
      </c>
      <c r="H182">
        <f ca="1">IFERROR(__xludf.DUMMYFUNCTION("""COMPUTED_VALUE"""),-8)</f>
        <v>-8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IFERROR(__xludf.DUMMYFUNCTION("""COMPUTED_VALUE"""),"T179")</f>
        <v>T179</v>
      </c>
      <c r="C183" t="str">
        <f ca="1">IFERROR(__xludf.DUMMYFUNCTION("""COMPUTED_VALUE"""),"Patrick Cantlay")</f>
        <v>Patrick Cantlay</v>
      </c>
      <c r="D183">
        <f ca="1">IFERROR(__xludf.DUMMYFUNCTION("""COMPUTED_VALUE"""),16)</f>
        <v>16</v>
      </c>
      <c r="E183" t="str">
        <f ca="1">IFERROR(__xludf.DUMMYFUNCTION("""COMPUTED_VALUE"""),"33' 2""")</f>
        <v>33' 2"</v>
      </c>
      <c r="F183">
        <f ca="1">IFERROR(__xludf.DUMMYFUNCTION("""COMPUTED_VALUE"""),211)</f>
        <v>211</v>
      </c>
      <c r="G183" s="2">
        <f ca="1">IFERROR(__xludf.DUMMYFUNCTION("""COMPUTED_VALUE"""),7003.833)</f>
        <v>7003.8329999999996</v>
      </c>
      <c r="H183">
        <f ca="1">IFERROR(__xludf.DUMMYFUNCTION("""COMPUTED_VALUE"""),-30)</f>
        <v>-30</v>
      </c>
    </row>
    <row r="184" spans="1:8" ht="12.75">
      <c r="A184" t="str">
        <f ca="1">IFERROR(__xludf.DUMMYFUNCTION("""COMPUTED_VALUE"""),"T182")</f>
        <v>T182</v>
      </c>
      <c r="B184">
        <f ca="1">IFERROR(__xludf.DUMMYFUNCTION("""COMPUTED_VALUE"""),189)</f>
        <v>189</v>
      </c>
      <c r="C184" t="str">
        <f ca="1">IFERROR(__xludf.DUMMYFUNCTION("""COMPUTED_VALUE"""),"Kelly Kraft")</f>
        <v>Kelly Kraft</v>
      </c>
      <c r="D184">
        <f ca="1">IFERROR(__xludf.DUMMYFUNCTION("""COMPUTED_VALUE"""),14)</f>
        <v>14</v>
      </c>
      <c r="E184" t="str">
        <f ca="1">IFERROR(__xludf.DUMMYFUNCTION("""COMPUTED_VALUE"""),"33' 2""")</f>
        <v>33' 2"</v>
      </c>
      <c r="F184">
        <f ca="1">IFERROR(__xludf.DUMMYFUNCTION("""COMPUTED_VALUE"""),97)</f>
        <v>97</v>
      </c>
      <c r="G184" s="2">
        <f ca="1">IFERROR(__xludf.DUMMYFUNCTION("""COMPUTED_VALUE"""),3218.333)</f>
        <v>3218.3330000000001</v>
      </c>
      <c r="H184">
        <f ca="1">IFERROR(__xludf.DUMMYFUNCTION("""COMPUTED_VALUE"""),-10)</f>
        <v>-10</v>
      </c>
    </row>
    <row r="185" spans="1:8" ht="12.75">
      <c r="A185" t="str">
        <f ca="1">IFERROR(__xludf.DUMMYFUNCTION("""COMPUTED_VALUE"""),"T184")</f>
        <v>T184</v>
      </c>
      <c r="B185" t="str">
        <f ca="1">IFERROR(__xludf.DUMMYFUNCTION("""COMPUTED_VALUE"""),"T165")</f>
        <v>T165</v>
      </c>
      <c r="C185" t="str">
        <f ca="1">IFERROR(__xludf.DUMMYFUNCTION("""COMPUTED_VALUE"""),"Henrik Norlander")</f>
        <v>Henrik Norlander</v>
      </c>
      <c r="D185">
        <f ca="1">IFERROR(__xludf.DUMMYFUNCTION("""COMPUTED_VALUE"""),16)</f>
        <v>16</v>
      </c>
      <c r="E185" t="str">
        <f ca="1">IFERROR(__xludf.DUMMYFUNCTION("""COMPUTED_VALUE"""),"33' 3""")</f>
        <v>33' 3"</v>
      </c>
      <c r="F185">
        <f ca="1">IFERROR(__xludf.DUMMYFUNCTION("""COMPUTED_VALUE"""),169)</f>
        <v>169</v>
      </c>
      <c r="G185" s="2">
        <f ca="1">IFERROR(__xludf.DUMMYFUNCTION("""COMPUTED_VALUE"""),5618.417)</f>
        <v>5618.4170000000004</v>
      </c>
      <c r="H185">
        <f ca="1">IFERROR(__xludf.DUMMYFUNCTION("""COMPUTED_VALUE"""),-20)</f>
        <v>-20</v>
      </c>
    </row>
    <row r="186" spans="1:8" ht="12.75">
      <c r="A186" t="str">
        <f ca="1">IFERROR(__xludf.DUMMYFUNCTION("""COMPUTED_VALUE"""),"T184")</f>
        <v>T184</v>
      </c>
      <c r="B186">
        <f ca="1">IFERROR(__xludf.DUMMYFUNCTION("""COMPUTED_VALUE"""),182)</f>
        <v>182</v>
      </c>
      <c r="C186" t="str">
        <f ca="1">IFERROR(__xludf.DUMMYFUNCTION("""COMPUTED_VALUE"""),"Xander Schauffele")</f>
        <v>Xander Schauffele</v>
      </c>
      <c r="D186">
        <f ca="1">IFERROR(__xludf.DUMMYFUNCTION("""COMPUTED_VALUE"""),12)</f>
        <v>12</v>
      </c>
      <c r="E186" t="str">
        <f ca="1">IFERROR(__xludf.DUMMYFUNCTION("""COMPUTED_VALUE"""),"33' 3""")</f>
        <v>33' 3"</v>
      </c>
      <c r="F186">
        <f ca="1">IFERROR(__xludf.DUMMYFUNCTION("""COMPUTED_VALUE"""),151)</f>
        <v>151</v>
      </c>
      <c r="G186" s="2">
        <f ca="1">IFERROR(__xludf.DUMMYFUNCTION("""COMPUTED_VALUE"""),5018.75)</f>
        <v>5018.75</v>
      </c>
      <c r="H186">
        <f ca="1">IFERROR(__xludf.DUMMYFUNCTION("""COMPUTED_VALUE"""),-37)</f>
        <v>-37</v>
      </c>
    </row>
    <row r="187" spans="1:8" ht="12.75">
      <c r="A187" t="str">
        <f ca="1">IFERROR(__xludf.DUMMYFUNCTION("""COMPUTED_VALUE"""),"T184")</f>
        <v>T184</v>
      </c>
      <c r="B187" t="str">
        <f ca="1">IFERROR(__xludf.DUMMYFUNCTION("""COMPUTED_VALUE"""),"")</f>
        <v/>
      </c>
      <c r="C187" t="str">
        <f ca="1">IFERROR(__xludf.DUMMYFUNCTION("""COMPUTED_VALUE"""),"Ollie Schniederjans")</f>
        <v>Ollie Schniederjans</v>
      </c>
      <c r="D187">
        <f ca="1">IFERROR(__xludf.DUMMYFUNCTION("""COMPUTED_VALUE"""),6)</f>
        <v>6</v>
      </c>
      <c r="E187" t="str">
        <f ca="1">IFERROR(__xludf.DUMMYFUNCTION("""COMPUTED_VALUE"""),"33' 3""")</f>
        <v>33' 3"</v>
      </c>
      <c r="F187">
        <f ca="1">IFERROR(__xludf.DUMMYFUNCTION("""COMPUTED_VALUE"""),23)</f>
        <v>23</v>
      </c>
      <c r="G187">
        <f ca="1">IFERROR(__xludf.DUMMYFUNCTION("""COMPUTED_VALUE"""),764.917)</f>
        <v>764.91700000000003</v>
      </c>
      <c r="H187">
        <f ca="1">IFERROR(__xludf.DUMMYFUNCTION("""COMPUTED_VALUE"""),-2)</f>
        <v>-2</v>
      </c>
    </row>
    <row r="188" spans="1:8" ht="12.75">
      <c r="A188" t="str">
        <f ca="1">IFERROR(__xludf.DUMMYFUNCTION("""COMPUTED_VALUE"""),"T187")</f>
        <v>T187</v>
      </c>
      <c r="B188" t="str">
        <f ca="1">IFERROR(__xludf.DUMMYFUNCTION("""COMPUTED_VALUE"""),"T177")</f>
        <v>T177</v>
      </c>
      <c r="C188" t="str">
        <f ca="1">IFERROR(__xludf.DUMMYFUNCTION("""COMPUTED_VALUE"""),"Patton Kizzire")</f>
        <v>Patton Kizzire</v>
      </c>
      <c r="D188">
        <f ca="1">IFERROR(__xludf.DUMMYFUNCTION("""COMPUTED_VALUE"""),18)</f>
        <v>18</v>
      </c>
      <c r="E188" t="str">
        <f ca="1">IFERROR(__xludf.DUMMYFUNCTION("""COMPUTED_VALUE"""),"33' 4""")</f>
        <v>33' 4"</v>
      </c>
      <c r="F188">
        <f ca="1">IFERROR(__xludf.DUMMYFUNCTION("""COMPUTED_VALUE"""),164)</f>
        <v>164</v>
      </c>
      <c r="G188" s="2">
        <f ca="1">IFERROR(__xludf.DUMMYFUNCTION("""COMPUTED_VALUE"""),5469.667)</f>
        <v>5469.6670000000004</v>
      </c>
      <c r="H188">
        <f ca="1">IFERROR(__xludf.DUMMYFUNCTION("""COMPUTED_VALUE"""),-24)</f>
        <v>-24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IFERROR(__xludf.DUMMYFUNCTION("""COMPUTED_VALUE"""),"T183")</f>
        <v>T183</v>
      </c>
      <c r="C189" t="str">
        <f ca="1">IFERROR(__xludf.DUMMYFUNCTION("""COMPUTED_VALUE"""),"Tiger Woods")</f>
        <v>Tiger Woods</v>
      </c>
      <c r="D189">
        <f ca="1">IFERROR(__xludf.DUMMYFUNCTION("""COMPUTED_VALUE"""),6)</f>
        <v>6</v>
      </c>
      <c r="E189" t="str">
        <f ca="1">IFERROR(__xludf.DUMMYFUNCTION("""COMPUTED_VALUE"""),"33' 4""")</f>
        <v>33' 4"</v>
      </c>
      <c r="F189">
        <f ca="1">IFERROR(__xludf.DUMMYFUNCTION("""COMPUTED_VALUE"""),87)</f>
        <v>87</v>
      </c>
      <c r="G189" s="2">
        <f ca="1">IFERROR(__xludf.DUMMYFUNCTION("""COMPUTED_VALUE"""),2901.75)</f>
        <v>2901.75</v>
      </c>
      <c r="H189">
        <f ca="1">IFERROR(__xludf.DUMMYFUNCTION("""COMPUTED_VALUE"""),-5)</f>
        <v>-5</v>
      </c>
    </row>
    <row r="190" spans="1:8" ht="12.75">
      <c r="A190" t="str">
        <f ca="1">IFERROR(__xludf.DUMMYFUNCTION("""COMPUTED_VALUE"""),"T187")</f>
        <v>T187</v>
      </c>
      <c r="B190" t="str">
        <f ca="1">IFERROR(__xludf.DUMMYFUNCTION("""COMPUTED_VALUE"""),"T183")</f>
        <v>T183</v>
      </c>
      <c r="C190" t="str">
        <f ca="1">IFERROR(__xludf.DUMMYFUNCTION("""COMPUTED_VALUE"""),"Matthew Fitzpatrick")</f>
        <v>Matthew Fitzpatrick</v>
      </c>
      <c r="D190">
        <f ca="1">IFERROR(__xludf.DUMMYFUNCTION("""COMPUTED_VALUE"""),10)</f>
        <v>10</v>
      </c>
      <c r="E190" t="str">
        <f ca="1">IFERROR(__xludf.DUMMYFUNCTION("""COMPUTED_VALUE"""),"33' 4""")</f>
        <v>33' 4"</v>
      </c>
      <c r="F190">
        <f ca="1">IFERROR(__xludf.DUMMYFUNCTION("""COMPUTED_VALUE"""),144)</f>
        <v>144</v>
      </c>
      <c r="G190" s="2">
        <f ca="1">IFERROR(__xludf.DUMMYFUNCTION("""COMPUTED_VALUE"""),4805.667)</f>
        <v>4805.6670000000004</v>
      </c>
      <c r="H190">
        <f ca="1">IFERROR(__xludf.DUMMYFUNCTION("""COMPUTED_VALUE"""),-20)</f>
        <v>-20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IFERROR(__xludf.DUMMYFUNCTION("""COMPUTED_VALUE"""),"T185")</f>
        <v>T185</v>
      </c>
      <c r="C191" t="str">
        <f ca="1">IFERROR(__xludf.DUMMYFUNCTION("""COMPUTED_VALUE"""),"Chris Stroud")</f>
        <v>Chris Stroud</v>
      </c>
      <c r="D191">
        <f ca="1">IFERROR(__xludf.DUMMYFUNCTION("""COMPUTED_VALUE"""),6)</f>
        <v>6</v>
      </c>
      <c r="E191" t="str">
        <f ca="1">IFERROR(__xludf.DUMMYFUNCTION("""COMPUTED_VALUE"""),"33' 5""")</f>
        <v>33' 5"</v>
      </c>
      <c r="F191">
        <f ca="1">IFERROR(__xludf.DUMMYFUNCTION("""COMPUTED_VALUE"""),47)</f>
        <v>47</v>
      </c>
      <c r="G191" s="2">
        <f ca="1">IFERROR(__xludf.DUMMYFUNCTION("""COMPUTED_VALUE"""),1569.75)</f>
        <v>1569.75</v>
      </c>
      <c r="H191">
        <f ca="1">IFERROR(__xludf.DUMMYFUNCTION("""COMPUTED_VALUE"""),-4)</f>
        <v>-4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IFERROR(__xludf.DUMMYFUNCTION("""COMPUTED_VALUE"""),"")</f>
        <v/>
      </c>
      <c r="C192" t="str">
        <f ca="1">IFERROR(__xludf.DUMMYFUNCTION("""COMPUTED_VALUE"""),"Justin Harding")</f>
        <v>Justin Harding</v>
      </c>
      <c r="D192">
        <f ca="1">IFERROR(__xludf.DUMMYFUNCTION("""COMPUTED_VALUE"""),6)</f>
        <v>6</v>
      </c>
      <c r="E192" t="str">
        <f ca="1">IFERROR(__xludf.DUMMYFUNCTION("""COMPUTED_VALUE"""),"33' 5""")</f>
        <v>33' 5"</v>
      </c>
      <c r="F192">
        <f ca="1">IFERROR(__xludf.DUMMYFUNCTION("""COMPUTED_VALUE"""),76)</f>
        <v>76</v>
      </c>
      <c r="G192" s="2">
        <f ca="1">IFERROR(__xludf.DUMMYFUNCTION("""COMPUTED_VALUE"""),2541.667)</f>
        <v>2541.6669999999999</v>
      </c>
      <c r="H192" t="str">
        <f ca="1">IFERROR(__xludf.DUMMYFUNCTION("""COMPUTED_VALUE"""),"+3.00")</f>
        <v>+3.00</v>
      </c>
    </row>
    <row r="193" spans="1:8" ht="12.75">
      <c r="A193" t="str">
        <f ca="1">IFERROR(__xludf.DUMMYFUNCTION("""COMPUTED_VALUE"""),"T190")</f>
        <v>T190</v>
      </c>
      <c r="B193" t="str">
        <f ca="1">IFERROR(__xludf.DUMMYFUNCTION("""COMPUTED_VALUE"""),"T185")</f>
        <v>T185</v>
      </c>
      <c r="C193" t="str">
        <f ca="1">IFERROR(__xludf.DUMMYFUNCTION("""COMPUTED_VALUE"""),"George Markham")</f>
        <v>George Markham</v>
      </c>
      <c r="D193">
        <f ca="1">IFERROR(__xludf.DUMMYFUNCTION("""COMPUTED_VALUE"""),4)</f>
        <v>4</v>
      </c>
      <c r="E193" t="str">
        <f ca="1">IFERROR(__xludf.DUMMYFUNCTION("""COMPUTED_VALUE"""),"33' 5""")</f>
        <v>33' 5"</v>
      </c>
      <c r="F193">
        <f ca="1">IFERROR(__xludf.DUMMYFUNCTION("""COMPUTED_VALUE"""),55)</f>
        <v>55</v>
      </c>
      <c r="G193" s="2">
        <f ca="1">IFERROR(__xludf.DUMMYFUNCTION("""COMPUTED_VALUE"""),1835.833)</f>
        <v>1835.8330000000001</v>
      </c>
      <c r="H193">
        <f ca="1">IFERROR(__xludf.DUMMYFUNCTION("""COMPUTED_VALUE"""),-3)</f>
        <v>-3</v>
      </c>
    </row>
    <row r="194" spans="1:8" ht="12.75">
      <c r="A194" t="str">
        <f ca="1">IFERROR(__xludf.DUMMYFUNCTION("""COMPUTED_VALUE"""),"T193")</f>
        <v>T193</v>
      </c>
      <c r="B194" t="str">
        <f ca="1">IFERROR(__xludf.DUMMYFUNCTION("""COMPUTED_VALUE"""),"T179")</f>
        <v>T179</v>
      </c>
      <c r="C194" t="str">
        <f ca="1">IFERROR(__xludf.DUMMYFUNCTION("""COMPUTED_VALUE"""),"Troy Merritt")</f>
        <v>Troy Merritt</v>
      </c>
      <c r="D194">
        <f ca="1">IFERROR(__xludf.DUMMYFUNCTION("""COMPUTED_VALUE"""),20)</f>
        <v>20</v>
      </c>
      <c r="E194" t="str">
        <f ca="1">IFERROR(__xludf.DUMMYFUNCTION("""COMPUTED_VALUE"""),"33' 6""")</f>
        <v>33' 6"</v>
      </c>
      <c r="F194">
        <f ca="1">IFERROR(__xludf.DUMMYFUNCTION("""COMPUTED_VALUE"""),208)</f>
        <v>208</v>
      </c>
      <c r="G194" s="2">
        <f ca="1">IFERROR(__xludf.DUMMYFUNCTION("""COMPUTED_VALUE"""),6968.417)</f>
        <v>6968.4170000000004</v>
      </c>
      <c r="H194">
        <f ca="1">IFERROR(__xludf.DUMMYFUNCTION("""COMPUTED_VALUE"""),-6)</f>
        <v>-6</v>
      </c>
    </row>
    <row r="195" spans="1:8" ht="12.75">
      <c r="A195" t="str">
        <f ca="1">IFERROR(__xludf.DUMMYFUNCTION("""COMPUTED_VALUE"""),"T193")</f>
        <v>T193</v>
      </c>
      <c r="B195" t="str">
        <f ca="1">IFERROR(__xludf.DUMMYFUNCTION("""COMPUTED_VALUE"""),"T177")</f>
        <v>T177</v>
      </c>
      <c r="C195" t="str">
        <f ca="1">IFERROR(__xludf.DUMMYFUNCTION("""COMPUTED_VALUE"""),"Denny McCarthy")</f>
        <v>Denny McCarthy</v>
      </c>
      <c r="D195">
        <f ca="1">IFERROR(__xludf.DUMMYFUNCTION("""COMPUTED_VALUE"""),22)</f>
        <v>22</v>
      </c>
      <c r="E195" t="str">
        <f ca="1">IFERROR(__xludf.DUMMYFUNCTION("""COMPUTED_VALUE"""),"33' 6""")</f>
        <v>33' 6"</v>
      </c>
      <c r="F195">
        <f ca="1">IFERROR(__xludf.DUMMYFUNCTION("""COMPUTED_VALUE"""),184)</f>
        <v>184</v>
      </c>
      <c r="G195" s="2">
        <f ca="1">IFERROR(__xludf.DUMMYFUNCTION("""COMPUTED_VALUE"""),6159.833)</f>
        <v>6159.8329999999996</v>
      </c>
      <c r="H195">
        <f ca="1">IFERROR(__xludf.DUMMYFUNCTION("""COMPUTED_VALUE"""),-18)</f>
        <v>-18</v>
      </c>
    </row>
    <row r="196" spans="1:8" ht="12.75">
      <c r="A196" t="str">
        <f ca="1">IFERROR(__xludf.DUMMYFUNCTION("""COMPUTED_VALUE"""),"T195")</f>
        <v>T195</v>
      </c>
      <c r="B196" t="str">
        <f ca="1">IFERROR(__xludf.DUMMYFUNCTION("""COMPUTED_VALUE"""),"T187")</f>
        <v>T187</v>
      </c>
      <c r="C196" t="str">
        <f ca="1">IFERROR(__xludf.DUMMYFUNCTION("""COMPUTED_VALUE"""),"Jim Herman")</f>
        <v>Jim Herman</v>
      </c>
      <c r="D196">
        <f ca="1">IFERROR(__xludf.DUMMYFUNCTION("""COMPUTED_VALUE"""),12)</f>
        <v>12</v>
      </c>
      <c r="E196" t="str">
        <f ca="1">IFERROR(__xludf.DUMMYFUNCTION("""COMPUTED_VALUE"""),"33' 7""")</f>
        <v>33' 7"</v>
      </c>
      <c r="F196">
        <f ca="1">IFERROR(__xludf.DUMMYFUNCTION("""COMPUTED_VALUE"""),158)</f>
        <v>158</v>
      </c>
      <c r="G196" s="2">
        <f ca="1">IFERROR(__xludf.DUMMYFUNCTION("""COMPUTED_VALUE"""),5311.917)</f>
        <v>5311.9170000000004</v>
      </c>
      <c r="H196">
        <f ca="1">IFERROR(__xludf.DUMMYFUNCTION("""COMPUTED_VALUE"""),-3)</f>
        <v>-3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IFERROR(__xludf.DUMMYFUNCTION("""COMPUTED_VALUE"""),"T211")</f>
        <v>T211</v>
      </c>
      <c r="C197" t="str">
        <f ca="1">IFERROR(__xludf.DUMMYFUNCTION("""COMPUTED_VALUE"""),"J.T. Poston")</f>
        <v>J.T. Poston</v>
      </c>
      <c r="D197">
        <f ca="1">IFERROR(__xludf.DUMMYFUNCTION("""COMPUTED_VALUE"""),18)</f>
        <v>18</v>
      </c>
      <c r="E197" t="str">
        <f ca="1">IFERROR(__xludf.DUMMYFUNCTION("""COMPUTED_VALUE"""),"33' 7""")</f>
        <v>33' 7"</v>
      </c>
      <c r="F197">
        <f ca="1">IFERROR(__xludf.DUMMYFUNCTION("""COMPUTED_VALUE"""),220)</f>
        <v>220</v>
      </c>
      <c r="G197" s="2">
        <f ca="1">IFERROR(__xludf.DUMMYFUNCTION("""COMPUTED_VALUE"""),7386.417)</f>
        <v>7386.4170000000004</v>
      </c>
      <c r="H197">
        <f ca="1">IFERROR(__xludf.DUMMYFUNCTION("""COMPUTED_VALUE"""),-24)</f>
        <v>-24</v>
      </c>
    </row>
    <row r="198" spans="1:8" ht="12.75">
      <c r="A198" t="str">
        <f ca="1">IFERROR(__xludf.DUMMYFUNCTION("""COMPUTED_VALUE"""),"T195")</f>
        <v>T195</v>
      </c>
      <c r="B198" t="str">
        <f ca="1">IFERROR(__xludf.DUMMYFUNCTION("""COMPUTED_VALUE"""),"T187")</f>
        <v>T187</v>
      </c>
      <c r="C198" t="str">
        <f ca="1">IFERROR(__xludf.DUMMYFUNCTION("""COMPUTED_VALUE"""),"Naoki Sekito")</f>
        <v>Naoki Sekito</v>
      </c>
      <c r="D198">
        <f ca="1">IFERROR(__xludf.DUMMYFUNCTION("""COMPUTED_VALUE"""),4)</f>
        <v>4</v>
      </c>
      <c r="E198" t="str">
        <f ca="1">IFERROR(__xludf.DUMMYFUNCTION("""COMPUTED_VALUE"""),"33' 7""")</f>
        <v>33' 7"</v>
      </c>
      <c r="F198">
        <f ca="1">IFERROR(__xludf.DUMMYFUNCTION("""COMPUTED_VALUE"""),66)</f>
        <v>66</v>
      </c>
      <c r="G198" s="2">
        <f ca="1">IFERROR(__xludf.DUMMYFUNCTION("""COMPUTED_VALUE"""),2216.333)</f>
        <v>2216.3330000000001</v>
      </c>
      <c r="H198">
        <f ca="1">IFERROR(__xludf.DUMMYFUNCTION("""COMPUTED_VALUE"""),-6)</f>
        <v>-6</v>
      </c>
    </row>
    <row r="199" spans="1:8" ht="12.75">
      <c r="A199" t="str">
        <f ca="1">IFERROR(__xludf.DUMMYFUNCTION("""COMPUTED_VALUE"""),"T198")</f>
        <v>T198</v>
      </c>
      <c r="B199" t="str">
        <f ca="1">IFERROR(__xludf.DUMMYFUNCTION("""COMPUTED_VALUE"""),"T198")</f>
        <v>T198</v>
      </c>
      <c r="C199" t="str">
        <f ca="1">IFERROR(__xludf.DUMMYFUNCTION("""COMPUTED_VALUE"""),"Jason Day")</f>
        <v>Jason Day</v>
      </c>
      <c r="D199">
        <f ca="1">IFERROR(__xludf.DUMMYFUNCTION("""COMPUTED_VALUE"""),17)</f>
        <v>17</v>
      </c>
      <c r="E199" t="str">
        <f ca="1">IFERROR(__xludf.DUMMYFUNCTION("""COMPUTED_VALUE"""),"33' 9""")</f>
        <v>33' 9"</v>
      </c>
      <c r="F199">
        <f ca="1">IFERROR(__xludf.DUMMYFUNCTION("""COMPUTED_VALUE"""),218)</f>
        <v>218</v>
      </c>
      <c r="G199" s="2">
        <f ca="1">IFERROR(__xludf.DUMMYFUNCTION("""COMPUTED_VALUE"""),7362.75)</f>
        <v>7362.75</v>
      </c>
      <c r="H199">
        <f ca="1">IFERROR(__xludf.DUMMYFUNCTION("""COMPUTED_VALUE"""),-17)</f>
        <v>-17</v>
      </c>
    </row>
    <row r="200" spans="1:8" ht="12.75">
      <c r="A200" t="str">
        <f ca="1">IFERROR(__xludf.DUMMYFUNCTION("""COMPUTED_VALUE"""),"T198")</f>
        <v>T198</v>
      </c>
      <c r="B200" t="str">
        <f ca="1">IFERROR(__xludf.DUMMYFUNCTION("""COMPUTED_VALUE"""),"T190")</f>
        <v>T190</v>
      </c>
      <c r="C200" t="str">
        <f ca="1">IFERROR(__xludf.DUMMYFUNCTION("""COMPUTED_VALUE"""),"Matt Kuchar")</f>
        <v>Matt Kuchar</v>
      </c>
      <c r="D200">
        <f ca="1">IFERROR(__xludf.DUMMYFUNCTION("""COMPUTED_VALUE"""),14)</f>
        <v>14</v>
      </c>
      <c r="E200" t="str">
        <f ca="1">IFERROR(__xludf.DUMMYFUNCTION("""COMPUTED_VALUE"""),"33' 9""")</f>
        <v>33' 9"</v>
      </c>
      <c r="F200">
        <f ca="1">IFERROR(__xludf.DUMMYFUNCTION("""COMPUTED_VALUE"""),203)</f>
        <v>203</v>
      </c>
      <c r="G200" s="2">
        <f ca="1">IFERROR(__xludf.DUMMYFUNCTION("""COMPUTED_VALUE"""),6852.583)</f>
        <v>6852.5829999999996</v>
      </c>
      <c r="H200">
        <f ca="1">IFERROR(__xludf.DUMMYFUNCTION("""COMPUTED_VALUE"""),-17)</f>
        <v>-17</v>
      </c>
    </row>
    <row r="201" spans="1:8" ht="12.75">
      <c r="A201" t="str">
        <f ca="1">IFERROR(__xludf.DUMMYFUNCTION("""COMPUTED_VALUE"""),"T198")</f>
        <v>T198</v>
      </c>
      <c r="B201" t="str">
        <f ca="1">IFERROR(__xludf.DUMMYFUNCTION("""COMPUTED_VALUE"""),"T190")</f>
        <v>T190</v>
      </c>
      <c r="C201" t="str">
        <f ca="1">IFERROR(__xludf.DUMMYFUNCTION("""COMPUTED_VALUE"""),"Takumi Kanaya")</f>
        <v>Takumi Kanaya</v>
      </c>
      <c r="D201">
        <f ca="1">IFERROR(__xludf.DUMMYFUNCTION("""COMPUTED_VALUE"""),6)</f>
        <v>6</v>
      </c>
      <c r="E201" t="str">
        <f ca="1">IFERROR(__xludf.DUMMYFUNCTION("""COMPUTED_VALUE"""),"33' 9""")</f>
        <v>33' 9"</v>
      </c>
      <c r="F201">
        <f ca="1">IFERROR(__xludf.DUMMYFUNCTION("""COMPUTED_VALUE"""),82)</f>
        <v>82</v>
      </c>
      <c r="G201" s="2">
        <f ca="1">IFERROR(__xludf.DUMMYFUNCTION("""COMPUTED_VALUE"""),2766.167)</f>
        <v>2766.1669999999999</v>
      </c>
      <c r="H201">
        <f ca="1">IFERROR(__xludf.DUMMYFUNCTION("""COMPUTED_VALUE"""),-18)</f>
        <v>-18</v>
      </c>
    </row>
    <row r="202" spans="1:8" ht="12.75">
      <c r="A202" t="str">
        <f ca="1">IFERROR(__xludf.DUMMYFUNCTION("""COMPUTED_VALUE"""),"T201")</f>
        <v>T201</v>
      </c>
      <c r="B202" t="str">
        <f ca="1">IFERROR(__xludf.DUMMYFUNCTION("""COMPUTED_VALUE"""),"T194")</f>
        <v>T194</v>
      </c>
      <c r="C202" t="str">
        <f ca="1">IFERROR(__xludf.DUMMYFUNCTION("""COMPUTED_VALUE"""),"Steve Lewton")</f>
        <v>Steve Lewton</v>
      </c>
      <c r="D202">
        <f ca="1">IFERROR(__xludf.DUMMYFUNCTION("""COMPUTED_VALUE"""),4)</f>
        <v>4</v>
      </c>
      <c r="E202" t="str">
        <f ca="1">IFERROR(__xludf.DUMMYFUNCTION("""COMPUTED_VALUE"""),"33' 10""")</f>
        <v>33' 10"</v>
      </c>
      <c r="F202">
        <f ca="1">IFERROR(__xludf.DUMMYFUNCTION("""COMPUTED_VALUE"""),45)</f>
        <v>45</v>
      </c>
      <c r="G202" s="2">
        <f ca="1">IFERROR(__xludf.DUMMYFUNCTION("""COMPUTED_VALUE"""),1520.833)</f>
        <v>1520.8330000000001</v>
      </c>
      <c r="H202">
        <f ca="1">IFERROR(__xludf.DUMMYFUNCTION("""COMPUTED_VALUE"""),-4)</f>
        <v>-4</v>
      </c>
    </row>
    <row r="203" spans="1:8" ht="12.75">
      <c r="A203" t="str">
        <f ca="1">IFERROR(__xludf.DUMMYFUNCTION("""COMPUTED_VALUE"""),"T201")</f>
        <v>T201</v>
      </c>
      <c r="B203" t="str">
        <f ca="1">IFERROR(__xludf.DUMMYFUNCTION("""COMPUTED_VALUE"""),"T179")</f>
        <v>T179</v>
      </c>
      <c r="C203" t="str">
        <f ca="1">IFERROR(__xludf.DUMMYFUNCTION("""COMPUTED_VALUE"""),"Kyoung-Hoon Lee")</f>
        <v>Kyoung-Hoon Lee</v>
      </c>
      <c r="D203">
        <f ca="1">IFERROR(__xludf.DUMMYFUNCTION("""COMPUTED_VALUE"""),20)</f>
        <v>20</v>
      </c>
      <c r="E203" t="str">
        <f ca="1">IFERROR(__xludf.DUMMYFUNCTION("""COMPUTED_VALUE"""),"33' 10""")</f>
        <v>33' 10"</v>
      </c>
      <c r="F203">
        <f ca="1">IFERROR(__xludf.DUMMYFUNCTION("""COMPUTED_VALUE"""),183)</f>
        <v>183</v>
      </c>
      <c r="G203" s="2">
        <f ca="1">IFERROR(__xludf.DUMMYFUNCTION("""COMPUTED_VALUE"""),6192.5)</f>
        <v>6192.5</v>
      </c>
      <c r="H203">
        <f ca="1">IFERROR(__xludf.DUMMYFUNCTION("""COMPUTED_VALUE"""),-5)</f>
        <v>-5</v>
      </c>
    </row>
    <row r="204" spans="1:8" ht="12.75">
      <c r="A204" t="str">
        <f ca="1">IFERROR(__xludf.DUMMYFUNCTION("""COMPUTED_VALUE"""),"T201")</f>
        <v>T201</v>
      </c>
      <c r="B204" t="str">
        <f ca="1">IFERROR(__xludf.DUMMYFUNCTION("""COMPUTED_VALUE"""),"T194")</f>
        <v>T194</v>
      </c>
      <c r="C204" t="str">
        <f ca="1">IFERROR(__xludf.DUMMYFUNCTION("""COMPUTED_VALUE"""),"Scottie Scheffler")</f>
        <v>Scottie Scheffler</v>
      </c>
      <c r="D204">
        <f ca="1">IFERROR(__xludf.DUMMYFUNCTION("""COMPUTED_VALUE"""),18)</f>
        <v>18</v>
      </c>
      <c r="E204" t="str">
        <f ca="1">IFERROR(__xludf.DUMMYFUNCTION("""COMPUTED_VALUE"""),"33' 10""")</f>
        <v>33' 10"</v>
      </c>
      <c r="F204">
        <f ca="1">IFERROR(__xludf.DUMMYFUNCTION("""COMPUTED_VALUE"""),248)</f>
        <v>248</v>
      </c>
      <c r="G204" s="2">
        <f ca="1">IFERROR(__xludf.DUMMYFUNCTION("""COMPUTED_VALUE"""),8395)</f>
        <v>8395</v>
      </c>
      <c r="H204">
        <f ca="1">IFERROR(__xludf.DUMMYFUNCTION("""COMPUTED_VALUE"""),-32)</f>
        <v>-32</v>
      </c>
    </row>
    <row r="205" spans="1:8" ht="12.75">
      <c r="A205" t="str">
        <f ca="1">IFERROR(__xludf.DUMMYFUNCTION("""COMPUTED_VALUE"""),"T204")</f>
        <v>T204</v>
      </c>
      <c r="B205" t="str">
        <f ca="1">IFERROR(__xludf.DUMMYFUNCTION("""COMPUTED_VALUE"""),"T167")</f>
        <v>T167</v>
      </c>
      <c r="C205" t="str">
        <f ca="1">IFERROR(__xludf.DUMMYFUNCTION("""COMPUTED_VALUE"""),"Bo Hoag")</f>
        <v>Bo Hoag</v>
      </c>
      <c r="D205">
        <f ca="1">IFERROR(__xludf.DUMMYFUNCTION("""COMPUTED_VALUE"""),14)</f>
        <v>14</v>
      </c>
      <c r="E205" t="str">
        <f ca="1">IFERROR(__xludf.DUMMYFUNCTION("""COMPUTED_VALUE"""),"33' 11""")</f>
        <v>33' 11"</v>
      </c>
      <c r="F205">
        <f ca="1">IFERROR(__xludf.DUMMYFUNCTION("""COMPUTED_VALUE"""),134)</f>
        <v>134</v>
      </c>
      <c r="G205" s="2">
        <f ca="1">IFERROR(__xludf.DUMMYFUNCTION("""COMPUTED_VALUE"""),4540.333)</f>
        <v>4540.3329999999996</v>
      </c>
      <c r="H205">
        <f ca="1">IFERROR(__xludf.DUMMYFUNCTION("""COMPUTED_VALUE"""),-4)</f>
        <v>-4</v>
      </c>
    </row>
    <row r="206" spans="1:8" ht="12.75">
      <c r="A206" t="str">
        <f ca="1">IFERROR(__xludf.DUMMYFUNCTION("""COMPUTED_VALUE"""),"T204")</f>
        <v>T204</v>
      </c>
      <c r="B206" t="str">
        <f ca="1">IFERROR(__xludf.DUMMYFUNCTION("""COMPUTED_VALUE"""),"T196")</f>
        <v>T196</v>
      </c>
      <c r="C206" t="str">
        <f ca="1">IFERROR(__xludf.DUMMYFUNCTION("""COMPUTED_VALUE"""),"Kiradech Aphibarnrat")</f>
        <v>Kiradech Aphibarnrat</v>
      </c>
      <c r="D206">
        <f ca="1">IFERROR(__xludf.DUMMYFUNCTION("""COMPUTED_VALUE"""),12)</f>
        <v>12</v>
      </c>
      <c r="E206" t="str">
        <f ca="1">IFERROR(__xludf.DUMMYFUNCTION("""COMPUTED_VALUE"""),"33' 11""")</f>
        <v>33' 11"</v>
      </c>
      <c r="F206">
        <f ca="1">IFERROR(__xludf.DUMMYFUNCTION("""COMPUTED_VALUE"""),40)</f>
        <v>40</v>
      </c>
      <c r="G206" s="2">
        <f ca="1">IFERROR(__xludf.DUMMYFUNCTION("""COMPUTED_VALUE"""),1355.5)</f>
        <v>1355.5</v>
      </c>
      <c r="H206">
        <f ca="1">IFERROR(__xludf.DUMMYFUNCTION("""COMPUTED_VALUE"""),-1)</f>
        <v>-1</v>
      </c>
    </row>
    <row r="207" spans="1:8" ht="12.75">
      <c r="A207" t="str">
        <f ca="1">IFERROR(__xludf.DUMMYFUNCTION("""COMPUTED_VALUE"""),"T206")</f>
        <v>T206</v>
      </c>
      <c r="B207">
        <f ca="1">IFERROR(__xludf.DUMMYFUNCTION("""COMPUTED_VALUE"""),210)</f>
        <v>210</v>
      </c>
      <c r="C207" t="str">
        <f ca="1">IFERROR(__xludf.DUMMYFUNCTION("""COMPUTED_VALUE"""),"Satoshi Kodaira")</f>
        <v>Satoshi Kodaira</v>
      </c>
      <c r="D207">
        <f ca="1">IFERROR(__xludf.DUMMYFUNCTION("""COMPUTED_VALUE"""),12)</f>
        <v>12</v>
      </c>
      <c r="E207" t="str">
        <f ca="1">IFERROR(__xludf.DUMMYFUNCTION("""COMPUTED_VALUE"""),"34' 0""")</f>
        <v>34' 0"</v>
      </c>
      <c r="F207">
        <f ca="1">IFERROR(__xludf.DUMMYFUNCTION("""COMPUTED_VALUE"""),174)</f>
        <v>174</v>
      </c>
      <c r="G207" s="2">
        <f ca="1">IFERROR(__xludf.DUMMYFUNCTION("""COMPUTED_VALUE"""),5916.417)</f>
        <v>5916.4170000000004</v>
      </c>
      <c r="H207">
        <f ca="1">IFERROR(__xludf.DUMMYFUNCTION("""COMPUTED_VALUE"""),-18)</f>
        <v>-18</v>
      </c>
    </row>
    <row r="208" spans="1:8" ht="12.75">
      <c r="A208" t="str">
        <f ca="1">IFERROR(__xludf.DUMMYFUNCTION("""COMPUTED_VALUE"""),"T206")</f>
        <v>T206</v>
      </c>
      <c r="B208" t="str">
        <f ca="1">IFERROR(__xludf.DUMMYFUNCTION("""COMPUTED_VALUE"""),"T198")</f>
        <v>T198</v>
      </c>
      <c r="C208" t="str">
        <f ca="1">IFERROR(__xludf.DUMMYFUNCTION("""COMPUTED_VALUE"""),"Jay McLuen")</f>
        <v>Jay McLuen</v>
      </c>
      <c r="D208">
        <f ca="1">IFERROR(__xludf.DUMMYFUNCTION("""COMPUTED_VALUE"""),4)</f>
        <v>4</v>
      </c>
      <c r="E208" t="str">
        <f ca="1">IFERROR(__xludf.DUMMYFUNCTION("""COMPUTED_VALUE"""),"34' 0""")</f>
        <v>34' 0"</v>
      </c>
      <c r="F208">
        <f ca="1">IFERROR(__xludf.DUMMYFUNCTION("""COMPUTED_VALUE"""),49)</f>
        <v>49</v>
      </c>
      <c r="G208" s="2">
        <f ca="1">IFERROR(__xludf.DUMMYFUNCTION("""COMPUTED_VALUE"""),1665)</f>
        <v>1665</v>
      </c>
      <c r="H208">
        <f ca="1">IFERROR(__xludf.DUMMYFUNCTION("""COMPUTED_VALUE"""),-4)</f>
        <v>-4</v>
      </c>
    </row>
    <row r="209" spans="1:8" ht="12.75">
      <c r="A209" t="str">
        <f ca="1">IFERROR(__xludf.DUMMYFUNCTION("""COMPUTED_VALUE"""),"T206")</f>
        <v>T206</v>
      </c>
      <c r="B209" t="str">
        <f ca="1">IFERROR(__xludf.DUMMYFUNCTION("""COMPUTED_VALUE"""),"T198")</f>
        <v>T198</v>
      </c>
      <c r="C209" t="str">
        <f ca="1">IFERROR(__xludf.DUMMYFUNCTION("""COMPUTED_VALUE"""),"Shawn Stefani")</f>
        <v>Shawn Stefani</v>
      </c>
      <c r="D209">
        <f ca="1">IFERROR(__xludf.DUMMYFUNCTION("""COMPUTED_VALUE"""),5)</f>
        <v>5</v>
      </c>
      <c r="E209" t="str">
        <f ca="1">IFERROR(__xludf.DUMMYFUNCTION("""COMPUTED_VALUE"""),"34' 0""")</f>
        <v>34' 0"</v>
      </c>
      <c r="F209">
        <f ca="1">IFERROR(__xludf.DUMMYFUNCTION("""COMPUTED_VALUE"""),23)</f>
        <v>23</v>
      </c>
      <c r="G209">
        <f ca="1">IFERROR(__xludf.DUMMYFUNCTION("""COMPUTED_VALUE"""),781.917)</f>
        <v>781.91700000000003</v>
      </c>
      <c r="H209" t="str">
        <f ca="1">IFERROR(__xludf.DUMMYFUNCTION("""COMPUTED_VALUE"""),"E")</f>
        <v>E</v>
      </c>
    </row>
    <row r="210" spans="1:8" ht="12.75">
      <c r="A210" t="str">
        <f ca="1">IFERROR(__xludf.DUMMYFUNCTION("""COMPUTED_VALUE"""),"T206")</f>
        <v>T206</v>
      </c>
      <c r="B210">
        <f ca="1">IFERROR(__xludf.DUMMYFUNCTION("""COMPUTED_VALUE"""),146)</f>
        <v>146</v>
      </c>
      <c r="C210" t="str">
        <f ca="1">IFERROR(__xludf.DUMMYFUNCTION("""COMPUTED_VALUE"""),"Max Homa")</f>
        <v>Max Homa</v>
      </c>
      <c r="D210">
        <f ca="1">IFERROR(__xludf.DUMMYFUNCTION("""COMPUTED_VALUE"""),12)</f>
        <v>12</v>
      </c>
      <c r="E210" t="str">
        <f ca="1">IFERROR(__xludf.DUMMYFUNCTION("""COMPUTED_VALUE"""),"34' 0""")</f>
        <v>34' 0"</v>
      </c>
      <c r="F210">
        <f ca="1">IFERROR(__xludf.DUMMYFUNCTION("""COMPUTED_VALUE"""),98)</f>
        <v>98</v>
      </c>
      <c r="G210" s="2">
        <f ca="1">IFERROR(__xludf.DUMMYFUNCTION("""COMPUTED_VALUE"""),3333.25)</f>
        <v>3333.25</v>
      </c>
      <c r="H210" t="str">
        <f ca="1">IFERROR(__xludf.DUMMYFUNCTION("""COMPUTED_VALUE"""),"+6.00")</f>
        <v>+6.00</v>
      </c>
    </row>
    <row r="211" spans="1:8" ht="12.75">
      <c r="A211" t="str">
        <f ca="1">IFERROR(__xludf.DUMMYFUNCTION("""COMPUTED_VALUE"""),"T210")</f>
        <v>T210</v>
      </c>
      <c r="B211" t="str">
        <f ca="1">IFERROR(__xludf.DUMMYFUNCTION("""COMPUTED_VALUE"""),"T202")</f>
        <v>T202</v>
      </c>
      <c r="C211" t="str">
        <f ca="1">IFERROR(__xludf.DUMMYFUNCTION("""COMPUTED_VALUE"""),"Kevin Na")</f>
        <v>Kevin Na</v>
      </c>
      <c r="D211">
        <f ca="1">IFERROR(__xludf.DUMMYFUNCTION("""COMPUTED_VALUE"""),14)</f>
        <v>14</v>
      </c>
      <c r="E211" t="str">
        <f ca="1">IFERROR(__xludf.DUMMYFUNCTION("""COMPUTED_VALUE"""),"34' 1""")</f>
        <v>34' 1"</v>
      </c>
      <c r="F211">
        <f ca="1">IFERROR(__xludf.DUMMYFUNCTION("""COMPUTED_VALUE"""),191)</f>
        <v>191</v>
      </c>
      <c r="G211" s="2">
        <f ca="1">IFERROR(__xludf.DUMMYFUNCTION("""COMPUTED_VALUE"""),6506.667)</f>
        <v>6506.6670000000004</v>
      </c>
      <c r="H211">
        <f ca="1">IFERROR(__xludf.DUMMYFUNCTION("""COMPUTED_VALUE"""),-22)</f>
        <v>-22</v>
      </c>
    </row>
    <row r="212" spans="1:8" ht="12.75">
      <c r="A212" t="str">
        <f ca="1">IFERROR(__xludf.DUMMYFUNCTION("""COMPUTED_VALUE"""),"T210")</f>
        <v>T210</v>
      </c>
      <c r="B212" t="str">
        <f ca="1">IFERROR(__xludf.DUMMYFUNCTION("""COMPUTED_VALUE"""),"T190")</f>
        <v>T190</v>
      </c>
      <c r="C212" t="str">
        <f ca="1">IFERROR(__xludf.DUMMYFUNCTION("""COMPUTED_VALUE"""),"Adam Schenk")</f>
        <v>Adam Schenk</v>
      </c>
      <c r="D212">
        <f ca="1">IFERROR(__xludf.DUMMYFUNCTION("""COMPUTED_VALUE"""),22)</f>
        <v>22</v>
      </c>
      <c r="E212" t="str">
        <f ca="1">IFERROR(__xludf.DUMMYFUNCTION("""COMPUTED_VALUE"""),"34' 1""")</f>
        <v>34' 1"</v>
      </c>
      <c r="F212">
        <f ca="1">IFERROR(__xludf.DUMMYFUNCTION("""COMPUTED_VALUE"""),169)</f>
        <v>169</v>
      </c>
      <c r="G212" s="2">
        <f ca="1">IFERROR(__xludf.DUMMYFUNCTION("""COMPUTED_VALUE"""),5753.917)</f>
        <v>5753.9170000000004</v>
      </c>
      <c r="H212">
        <f ca="1">IFERROR(__xludf.DUMMYFUNCTION("""COMPUTED_VALUE"""),-15)</f>
        <v>-15</v>
      </c>
    </row>
    <row r="213" spans="1:8" ht="12.75">
      <c r="A213" t="str">
        <f ca="1">IFERROR(__xludf.DUMMYFUNCTION("""COMPUTED_VALUE"""),"T212")</f>
        <v>T212</v>
      </c>
      <c r="B213" t="str">
        <f ca="1">IFERROR(__xludf.DUMMYFUNCTION("""COMPUTED_VALUE"""),"T204")</f>
        <v>T204</v>
      </c>
      <c r="C213" t="str">
        <f ca="1">IFERROR(__xludf.DUMMYFUNCTION("""COMPUTED_VALUE"""),"Nick Taylor")</f>
        <v>Nick Taylor</v>
      </c>
      <c r="D213">
        <f ca="1">IFERROR(__xludf.DUMMYFUNCTION("""COMPUTED_VALUE"""),12)</f>
        <v>12</v>
      </c>
      <c r="E213" t="str">
        <f ca="1">IFERROR(__xludf.DUMMYFUNCTION("""COMPUTED_VALUE"""),"34' 2""")</f>
        <v>34' 2"</v>
      </c>
      <c r="F213">
        <f ca="1">IFERROR(__xludf.DUMMYFUNCTION("""COMPUTED_VALUE"""),163)</f>
        <v>163</v>
      </c>
      <c r="G213" s="2">
        <f ca="1">IFERROR(__xludf.DUMMYFUNCTION("""COMPUTED_VALUE"""),5570.583)</f>
        <v>5570.5829999999996</v>
      </c>
      <c r="H213">
        <f ca="1">IFERROR(__xludf.DUMMYFUNCTION("""COMPUTED_VALUE"""),-12)</f>
        <v>-12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IFERROR(__xludf.DUMMYFUNCTION("""COMPUTED_VALUE"""),"T213")</f>
        <v>T213</v>
      </c>
      <c r="C214" t="str">
        <f ca="1">IFERROR(__xludf.DUMMYFUNCTION("""COMPUTED_VALUE"""),"Kevin Stadler")</f>
        <v>Kevin Stadler</v>
      </c>
      <c r="D214">
        <f ca="1">IFERROR(__xludf.DUMMYFUNCTION("""COMPUTED_VALUE"""),8)</f>
        <v>8</v>
      </c>
      <c r="E214" t="str">
        <f ca="1">IFERROR(__xludf.DUMMYFUNCTION("""COMPUTED_VALUE"""),"34' 2""")</f>
        <v>34' 2"</v>
      </c>
      <c r="F214">
        <f ca="1">IFERROR(__xludf.DUMMYFUNCTION("""COMPUTED_VALUE"""),74)</f>
        <v>74</v>
      </c>
      <c r="G214" s="2">
        <f ca="1">IFERROR(__xludf.DUMMYFUNCTION("""COMPUTED_VALUE"""),2527.417)</f>
        <v>2527.4169999999999</v>
      </c>
      <c r="H214" t="str">
        <f ca="1">IFERROR(__xludf.DUMMYFUNCTION("""COMPUTED_VALUE"""),"+4.00")</f>
        <v>+4.00</v>
      </c>
    </row>
    <row r="215" spans="1:8" ht="12.75">
      <c r="A215" t="str">
        <f ca="1">IFERROR(__xludf.DUMMYFUNCTION("""COMPUTED_VALUE"""),"T212")</f>
        <v>T212</v>
      </c>
      <c r="B215" t="str">
        <f ca="1">IFERROR(__xludf.DUMMYFUNCTION("""COMPUTED_VALUE"""),"T204")</f>
        <v>T204</v>
      </c>
      <c r="C215" t="str">
        <f ca="1">IFERROR(__xludf.DUMMYFUNCTION("""COMPUTED_VALUE"""),"Dominic Bozzelli")</f>
        <v>Dominic Bozzelli</v>
      </c>
      <c r="D215">
        <f ca="1">IFERROR(__xludf.DUMMYFUNCTION("""COMPUTED_VALUE"""),8)</f>
        <v>8</v>
      </c>
      <c r="E215" t="str">
        <f ca="1">IFERROR(__xludf.DUMMYFUNCTION("""COMPUTED_VALUE"""),"34' 2""")</f>
        <v>34' 2"</v>
      </c>
      <c r="F215">
        <f ca="1">IFERROR(__xludf.DUMMYFUNCTION("""COMPUTED_VALUE"""),24)</f>
        <v>24</v>
      </c>
      <c r="G215">
        <f ca="1">IFERROR(__xludf.DUMMYFUNCTION("""COMPUTED_VALUE"""),819.75)</f>
        <v>819.75</v>
      </c>
      <c r="H215" t="str">
        <f ca="1">IFERROR(__xludf.DUMMYFUNCTION("""COMPUTED_VALUE"""),"E")</f>
        <v>E</v>
      </c>
    </row>
    <row r="216" spans="1:8" ht="12.75">
      <c r="A216" t="str">
        <f ca="1">IFERROR(__xludf.DUMMYFUNCTION("""COMPUTED_VALUE"""),"T212")</f>
        <v>T212</v>
      </c>
      <c r="B216">
        <f ca="1">IFERROR(__xludf.DUMMYFUNCTION("""COMPUTED_VALUE"""),241)</f>
        <v>241</v>
      </c>
      <c r="C216" t="str">
        <f ca="1">IFERROR(__xludf.DUMMYFUNCTION("""COMPUTED_VALUE"""),"Kramer Hickok")</f>
        <v>Kramer Hickok</v>
      </c>
      <c r="D216">
        <f ca="1">IFERROR(__xludf.DUMMYFUNCTION("""COMPUTED_VALUE"""),16)</f>
        <v>16</v>
      </c>
      <c r="E216" t="str">
        <f ca="1">IFERROR(__xludf.DUMMYFUNCTION("""COMPUTED_VALUE"""),"34' 2""")</f>
        <v>34' 2"</v>
      </c>
      <c r="F216">
        <f ca="1">IFERROR(__xludf.DUMMYFUNCTION("""COMPUTED_VALUE"""),102)</f>
        <v>102</v>
      </c>
      <c r="G216" s="2">
        <f ca="1">IFERROR(__xludf.DUMMYFUNCTION("""COMPUTED_VALUE"""),3486.583)</f>
        <v>3486.5830000000001</v>
      </c>
      <c r="H216" t="str">
        <f ca="1">IFERROR(__xludf.DUMMYFUNCTION("""COMPUTED_VALUE"""),"+7.00")</f>
        <v>+7.00</v>
      </c>
    </row>
    <row r="217" spans="1:8" ht="12.75">
      <c r="A217" t="str">
        <f ca="1">IFERROR(__xludf.DUMMYFUNCTION("""COMPUTED_VALUE"""),"T216")</f>
        <v>T216</v>
      </c>
      <c r="B217" t="str">
        <f ca="1">IFERROR(__xludf.DUMMYFUNCTION("""COMPUTED_VALUE"""),"T196")</f>
        <v>T196</v>
      </c>
      <c r="C217" t="str">
        <f ca="1">IFERROR(__xludf.DUMMYFUNCTION("""COMPUTED_VALUE"""),"Si Woo Kim")</f>
        <v>Si Woo Kim</v>
      </c>
      <c r="D217">
        <f ca="1">IFERROR(__xludf.DUMMYFUNCTION("""COMPUTED_VALUE"""),20)</f>
        <v>20</v>
      </c>
      <c r="E217" t="str">
        <f ca="1">IFERROR(__xludf.DUMMYFUNCTION("""COMPUTED_VALUE"""),"34' 3""")</f>
        <v>34' 3"</v>
      </c>
      <c r="F217">
        <f ca="1">IFERROR(__xludf.DUMMYFUNCTION("""COMPUTED_VALUE"""),251)</f>
        <v>251</v>
      </c>
      <c r="G217" s="2">
        <f ca="1">IFERROR(__xludf.DUMMYFUNCTION("""COMPUTED_VALUE"""),8600.167)</f>
        <v>8600.1669999999995</v>
      </c>
      <c r="H217">
        <f ca="1">IFERROR(__xludf.DUMMYFUNCTION("""COMPUTED_VALUE"""),-34)</f>
        <v>-34</v>
      </c>
    </row>
    <row r="218" spans="1:8" ht="12.75">
      <c r="A218" t="str">
        <f ca="1">IFERROR(__xludf.DUMMYFUNCTION("""COMPUTED_VALUE"""),"T216")</f>
        <v>T216</v>
      </c>
      <c r="B218" t="str">
        <f ca="1">IFERROR(__xludf.DUMMYFUNCTION("""COMPUTED_VALUE"""),"T224")</f>
        <v>T224</v>
      </c>
      <c r="C218" t="str">
        <f ca="1">IFERROR(__xludf.DUMMYFUNCTION("""COMPUTED_VALUE"""),"Mackenzie Hughes")</f>
        <v>Mackenzie Hughes</v>
      </c>
      <c r="D218">
        <f ca="1">IFERROR(__xludf.DUMMYFUNCTION("""COMPUTED_VALUE"""),18)</f>
        <v>18</v>
      </c>
      <c r="E218" t="str">
        <f ca="1">IFERROR(__xludf.DUMMYFUNCTION("""COMPUTED_VALUE"""),"34' 3""")</f>
        <v>34' 3"</v>
      </c>
      <c r="F218">
        <f ca="1">IFERROR(__xludf.DUMMYFUNCTION("""COMPUTED_VALUE"""),176)</f>
        <v>176</v>
      </c>
      <c r="G218" s="2">
        <f ca="1">IFERROR(__xludf.DUMMYFUNCTION("""COMPUTED_VALUE"""),6033.083)</f>
        <v>6033.0829999999996</v>
      </c>
      <c r="H218">
        <f ca="1">IFERROR(__xludf.DUMMYFUNCTION("""COMPUTED_VALUE"""),-24)</f>
        <v>-24</v>
      </c>
    </row>
    <row r="219" spans="1:8" ht="12.75">
      <c r="A219" t="str">
        <f ca="1">IFERROR(__xludf.DUMMYFUNCTION("""COMPUTED_VALUE"""),"T216")</f>
        <v>T216</v>
      </c>
      <c r="B219" t="str">
        <f ca="1">IFERROR(__xludf.DUMMYFUNCTION("""COMPUTED_VALUE"""),"T226")</f>
        <v>T226</v>
      </c>
      <c r="C219" t="str">
        <f ca="1">IFERROR(__xludf.DUMMYFUNCTION("""COMPUTED_VALUE"""),"Lee Westwood")</f>
        <v>Lee Westwood</v>
      </c>
      <c r="D219">
        <f ca="1">IFERROR(__xludf.DUMMYFUNCTION("""COMPUTED_VALUE"""),6)</f>
        <v>6</v>
      </c>
      <c r="E219" t="str">
        <f ca="1">IFERROR(__xludf.DUMMYFUNCTION("""COMPUTED_VALUE"""),"34' 3""")</f>
        <v>34' 3"</v>
      </c>
      <c r="F219">
        <f ca="1">IFERROR(__xludf.DUMMYFUNCTION("""COMPUTED_VALUE"""),76)</f>
        <v>76</v>
      </c>
      <c r="G219" s="2">
        <f ca="1">IFERROR(__xludf.DUMMYFUNCTION("""COMPUTED_VALUE"""),2602.333)</f>
        <v>2602.3330000000001</v>
      </c>
      <c r="H219" t="str">
        <f ca="1">IFERROR(__xludf.DUMMYFUNCTION("""COMPUTED_VALUE"""),"+3.00")</f>
        <v>+3.00</v>
      </c>
    </row>
    <row r="220" spans="1:8" ht="12.75">
      <c r="A220" t="str">
        <f ca="1">IFERROR(__xludf.DUMMYFUNCTION("""COMPUTED_VALUE"""),"T216")</f>
        <v>T216</v>
      </c>
      <c r="B220" t="str">
        <f ca="1">IFERROR(__xludf.DUMMYFUNCTION("""COMPUTED_VALUE"""),"T207")</f>
        <v>T207</v>
      </c>
      <c r="C220" t="str">
        <f ca="1">IFERROR(__xludf.DUMMYFUNCTION("""COMPUTED_VALUE"""),"Ryo Ishikawa")</f>
        <v>Ryo Ishikawa</v>
      </c>
      <c r="D220">
        <f ca="1">IFERROR(__xludf.DUMMYFUNCTION("""COMPUTED_VALUE"""),8)</f>
        <v>8</v>
      </c>
      <c r="E220" t="str">
        <f ca="1">IFERROR(__xludf.DUMMYFUNCTION("""COMPUTED_VALUE"""),"34' 3""")</f>
        <v>34' 3"</v>
      </c>
      <c r="F220">
        <f ca="1">IFERROR(__xludf.DUMMYFUNCTION("""COMPUTED_VALUE"""),105)</f>
        <v>105</v>
      </c>
      <c r="G220" s="2">
        <f ca="1">IFERROR(__xludf.DUMMYFUNCTION("""COMPUTED_VALUE"""),3595.75)</f>
        <v>3595.75</v>
      </c>
      <c r="H220">
        <f ca="1">IFERROR(__xludf.DUMMYFUNCTION("""COMPUTED_VALUE"""),-2)</f>
        <v>-2</v>
      </c>
    </row>
    <row r="221" spans="1:8" ht="12.75">
      <c r="A221" t="str">
        <f ca="1">IFERROR(__xludf.DUMMYFUNCTION("""COMPUTED_VALUE"""),"T216")</f>
        <v>T216</v>
      </c>
      <c r="B221" t="str">
        <f ca="1">IFERROR(__xludf.DUMMYFUNCTION("""COMPUTED_VALUE"""),"T207")</f>
        <v>T207</v>
      </c>
      <c r="C221" t="str">
        <f ca="1">IFERROR(__xludf.DUMMYFUNCTION("""COMPUTED_VALUE"""),"Kevin Kisner")</f>
        <v>Kevin Kisner</v>
      </c>
      <c r="D221">
        <f ca="1">IFERROR(__xludf.DUMMYFUNCTION("""COMPUTED_VALUE"""),10)</f>
        <v>10</v>
      </c>
      <c r="E221" t="str">
        <f ca="1">IFERROR(__xludf.DUMMYFUNCTION("""COMPUTED_VALUE"""),"34' 3""")</f>
        <v>34' 3"</v>
      </c>
      <c r="F221">
        <f ca="1">IFERROR(__xludf.DUMMYFUNCTION("""COMPUTED_VALUE"""),141)</f>
        <v>141</v>
      </c>
      <c r="G221" s="2">
        <f ca="1">IFERROR(__xludf.DUMMYFUNCTION("""COMPUTED_VALUE"""),4828.083)</f>
        <v>4828.0829999999996</v>
      </c>
      <c r="H221">
        <f ca="1">IFERROR(__xludf.DUMMYFUNCTION("""COMPUTED_VALUE"""),-15)</f>
        <v>-15</v>
      </c>
    </row>
    <row r="222" spans="1:8" ht="12.75">
      <c r="A222">
        <f ca="1">IFERROR(__xludf.DUMMYFUNCTION("""COMPUTED_VALUE"""),221)</f>
        <v>221</v>
      </c>
      <c r="B222">
        <f ca="1">IFERROR(__xludf.DUMMYFUNCTION("""COMPUTED_VALUE"""),209)</f>
        <v>209</v>
      </c>
      <c r="C222" t="str">
        <f ca="1">IFERROR(__xludf.DUMMYFUNCTION("""COMPUTED_VALUE"""),"Phil Mickelson")</f>
        <v>Phil Mickelson</v>
      </c>
      <c r="D222">
        <f ca="1">IFERROR(__xludf.DUMMYFUNCTION("""COMPUTED_VALUE"""),12)</f>
        <v>12</v>
      </c>
      <c r="E222" t="str">
        <f ca="1">IFERROR(__xludf.DUMMYFUNCTION("""COMPUTED_VALUE"""),"34' 4""")</f>
        <v>34' 4"</v>
      </c>
      <c r="F222">
        <f ca="1">IFERROR(__xludf.DUMMYFUNCTION("""COMPUTED_VALUE"""),125)</f>
        <v>125</v>
      </c>
      <c r="G222" s="2">
        <f ca="1">IFERROR(__xludf.DUMMYFUNCTION("""COMPUTED_VALUE"""),4287.5)</f>
        <v>4287.5</v>
      </c>
      <c r="H222" t="str">
        <f ca="1">IFERROR(__xludf.DUMMYFUNCTION("""COMPUTED_VALUE"""),"+10.00")</f>
        <v>+10.00</v>
      </c>
    </row>
    <row r="223" spans="1:8" ht="12.75">
      <c r="A223">
        <f ca="1">IFERROR(__xludf.DUMMYFUNCTION("""COMPUTED_VALUE"""),222)</f>
        <v>222</v>
      </c>
      <c r="B223" t="str">
        <f ca="1">IFERROR(__xludf.DUMMYFUNCTION("""COMPUTED_VALUE"""),"T211")</f>
        <v>T211</v>
      </c>
      <c r="C223" t="str">
        <f ca="1">IFERROR(__xludf.DUMMYFUNCTION("""COMPUTED_VALUE"""),"Tom Lewis")</f>
        <v>Tom Lewis</v>
      </c>
      <c r="D223">
        <f ca="1">IFERROR(__xludf.DUMMYFUNCTION("""COMPUTED_VALUE"""),12)</f>
        <v>12</v>
      </c>
      <c r="E223" t="str">
        <f ca="1">IFERROR(__xludf.DUMMYFUNCTION("""COMPUTED_VALUE"""),"34' 5""")</f>
        <v>34' 5"</v>
      </c>
      <c r="F223">
        <f ca="1">IFERROR(__xludf.DUMMYFUNCTION("""COMPUTED_VALUE"""),114)</f>
        <v>114</v>
      </c>
      <c r="G223" s="2">
        <f ca="1">IFERROR(__xludf.DUMMYFUNCTION("""COMPUTED_VALUE"""),3920.667)</f>
        <v>3920.6669999999999</v>
      </c>
      <c r="H223">
        <f ca="1">IFERROR(__xludf.DUMMYFUNCTION("""COMPUTED_VALUE"""),-8)</f>
        <v>-8</v>
      </c>
    </row>
    <row r="224" spans="1:8" ht="12.75">
      <c r="A224">
        <f ca="1">IFERROR(__xludf.DUMMYFUNCTION("""COMPUTED_VALUE"""),223)</f>
        <v>223</v>
      </c>
      <c r="B224" t="str">
        <f ca="1">IFERROR(__xludf.DUMMYFUNCTION("""COMPUTED_VALUE"""),"T254")</f>
        <v>T254</v>
      </c>
      <c r="C224" t="str">
        <f ca="1">IFERROR(__xludf.DUMMYFUNCTION("""COMPUTED_VALUE"""),"Dustin Johnson")</f>
        <v>Dustin Johnson</v>
      </c>
      <c r="D224">
        <f ca="1">IFERROR(__xludf.DUMMYFUNCTION("""COMPUTED_VALUE"""),8)</f>
        <v>8</v>
      </c>
      <c r="E224" t="str">
        <f ca="1">IFERROR(__xludf.DUMMYFUNCTION("""COMPUTED_VALUE"""),"34' 6""")</f>
        <v>34' 6"</v>
      </c>
      <c r="F224">
        <f ca="1">IFERROR(__xludf.DUMMYFUNCTION("""COMPUTED_VALUE"""),102)</f>
        <v>102</v>
      </c>
      <c r="G224" s="2">
        <f ca="1">IFERROR(__xludf.DUMMYFUNCTION("""COMPUTED_VALUE"""),3521.083)</f>
        <v>3521.0830000000001</v>
      </c>
      <c r="H224">
        <f ca="1">IFERROR(__xludf.DUMMYFUNCTION("""COMPUTED_VALUE"""),-12)</f>
        <v>-12</v>
      </c>
    </row>
    <row r="225" spans="1:8" ht="12.75">
      <c r="A225" t="str">
        <f ca="1">IFERROR(__xludf.DUMMYFUNCTION("""COMPUTED_VALUE"""),"T224")</f>
        <v>T224</v>
      </c>
      <c r="B225" t="str">
        <f ca="1">IFERROR(__xludf.DUMMYFUNCTION("""COMPUTED_VALUE"""),"T213")</f>
        <v>T213</v>
      </c>
      <c r="C225" t="str">
        <f ca="1">IFERROR(__xludf.DUMMYFUNCTION("""COMPUTED_VALUE"""),"Peter Uihlein")</f>
        <v>Peter Uihlein</v>
      </c>
      <c r="D225">
        <f ca="1">IFERROR(__xludf.DUMMYFUNCTION("""COMPUTED_VALUE"""),8)</f>
        <v>8</v>
      </c>
      <c r="E225" t="str">
        <f ca="1">IFERROR(__xludf.DUMMYFUNCTION("""COMPUTED_VALUE"""),"34' 8""")</f>
        <v>34' 8"</v>
      </c>
      <c r="F225">
        <f ca="1">IFERROR(__xludf.DUMMYFUNCTION("""COMPUTED_VALUE"""),20)</f>
        <v>20</v>
      </c>
      <c r="G225">
        <f ca="1">IFERROR(__xludf.DUMMYFUNCTION("""COMPUTED_VALUE"""),692.917)</f>
        <v>692.91700000000003</v>
      </c>
      <c r="H225" t="str">
        <f ca="1">IFERROR(__xludf.DUMMYFUNCTION("""COMPUTED_VALUE"""),"+1.00")</f>
        <v>+1.00</v>
      </c>
    </row>
    <row r="226" spans="1:8" ht="12.75">
      <c r="A226" t="str">
        <f ca="1">IFERROR(__xludf.DUMMYFUNCTION("""COMPUTED_VALUE"""),"T224")</f>
        <v>T224</v>
      </c>
      <c r="B226" t="str">
        <f ca="1">IFERROR(__xludf.DUMMYFUNCTION("""COMPUTED_VALUE"""),"T213")</f>
        <v>T213</v>
      </c>
      <c r="C226" t="str">
        <f ca="1">IFERROR(__xludf.DUMMYFUNCTION("""COMPUTED_VALUE"""),"Brad Kennedy")</f>
        <v>Brad Kennedy</v>
      </c>
      <c r="D226">
        <f ca="1">IFERROR(__xludf.DUMMYFUNCTION("""COMPUTED_VALUE"""),4)</f>
        <v>4</v>
      </c>
      <c r="E226" t="str">
        <f ca="1">IFERROR(__xludf.DUMMYFUNCTION("""COMPUTED_VALUE"""),"34' 8""")</f>
        <v>34' 8"</v>
      </c>
      <c r="F226">
        <f ca="1">IFERROR(__xludf.DUMMYFUNCTION("""COMPUTED_VALUE"""),68)</f>
        <v>68</v>
      </c>
      <c r="G226" s="2">
        <f ca="1">IFERROR(__xludf.DUMMYFUNCTION("""COMPUTED_VALUE"""),2358.833)</f>
        <v>2358.8330000000001</v>
      </c>
      <c r="H226">
        <f ca="1">IFERROR(__xludf.DUMMYFUNCTION("""COMPUTED_VALUE"""),-10)</f>
        <v>-10</v>
      </c>
    </row>
    <row r="227" spans="1:8" ht="12.75">
      <c r="A227">
        <f ca="1">IFERROR(__xludf.DUMMYFUNCTION("""COMPUTED_VALUE"""),226)</f>
        <v>226</v>
      </c>
      <c r="B227" t="str">
        <f ca="1">IFERROR(__xludf.DUMMYFUNCTION("""COMPUTED_VALUE"""),"T220")</f>
        <v>T220</v>
      </c>
      <c r="C227" t="str">
        <f ca="1">IFERROR(__xludf.DUMMYFUNCTION("""COMPUTED_VALUE"""),"Sung Kang")</f>
        <v>Sung Kang</v>
      </c>
      <c r="D227">
        <f ca="1">IFERROR(__xludf.DUMMYFUNCTION("""COMPUTED_VALUE"""),14)</f>
        <v>14</v>
      </c>
      <c r="E227" t="str">
        <f ca="1">IFERROR(__xludf.DUMMYFUNCTION("""COMPUTED_VALUE"""),"34' 9""")</f>
        <v>34' 9"</v>
      </c>
      <c r="F227">
        <f ca="1">IFERROR(__xludf.DUMMYFUNCTION("""COMPUTED_VALUE"""),171)</f>
        <v>171</v>
      </c>
      <c r="G227" s="2">
        <f ca="1">IFERROR(__xludf.DUMMYFUNCTION("""COMPUTED_VALUE"""),5948.75)</f>
        <v>5948.75</v>
      </c>
      <c r="H227" t="str">
        <f ca="1">IFERROR(__xludf.DUMMYFUNCTION("""COMPUTED_VALUE"""),"+18.00")</f>
        <v>+18.00</v>
      </c>
    </row>
    <row r="228" spans="1:8" ht="12.75">
      <c r="A228" t="str">
        <f ca="1">IFERROR(__xludf.DUMMYFUNCTION("""COMPUTED_VALUE"""),"T227")</f>
        <v>T227</v>
      </c>
      <c r="B228">
        <f ca="1">IFERROR(__xludf.DUMMYFUNCTION("""COMPUTED_VALUE"""),239)</f>
        <v>239</v>
      </c>
      <c r="C228" t="str">
        <f ca="1">IFERROR(__xludf.DUMMYFUNCTION("""COMPUTED_VALUE"""),"Michael Thompson")</f>
        <v>Michael Thompson</v>
      </c>
      <c r="D228">
        <f ca="1">IFERROR(__xludf.DUMMYFUNCTION("""COMPUTED_VALUE"""),16)</f>
        <v>16</v>
      </c>
      <c r="E228" t="str">
        <f ca="1">IFERROR(__xludf.DUMMYFUNCTION("""COMPUTED_VALUE"""),"34' 11""")</f>
        <v>34' 11"</v>
      </c>
      <c r="F228">
        <f ca="1">IFERROR(__xludf.DUMMYFUNCTION("""COMPUTED_VALUE"""),228)</f>
        <v>228</v>
      </c>
      <c r="G228" s="2">
        <f ca="1">IFERROR(__xludf.DUMMYFUNCTION("""COMPUTED_VALUE"""),7966.5)</f>
        <v>7966.5</v>
      </c>
      <c r="H228" t="str">
        <f ca="1">IFERROR(__xludf.DUMMYFUNCTION("""COMPUTED_VALUE"""),"+3.00")</f>
        <v>+3.00</v>
      </c>
    </row>
    <row r="229" spans="1:8" ht="12.75">
      <c r="A229" t="str">
        <f ca="1">IFERROR(__xludf.DUMMYFUNCTION("""COMPUTED_VALUE"""),"T227")</f>
        <v>T227</v>
      </c>
      <c r="B229" t="str">
        <f ca="1">IFERROR(__xludf.DUMMYFUNCTION("""COMPUTED_VALUE"""),"T231")</f>
        <v>T231</v>
      </c>
      <c r="C229" t="str">
        <f ca="1">IFERROR(__xludf.DUMMYFUNCTION("""COMPUTED_VALUE"""),"Jordan Spieth")</f>
        <v>Jordan Spieth</v>
      </c>
      <c r="D229">
        <f ca="1">IFERROR(__xludf.DUMMYFUNCTION("""COMPUTED_VALUE"""),14)</f>
        <v>14</v>
      </c>
      <c r="E229" t="str">
        <f ca="1">IFERROR(__xludf.DUMMYFUNCTION("""COMPUTED_VALUE"""),"34' 11""")</f>
        <v>34' 11"</v>
      </c>
      <c r="F229">
        <f ca="1">IFERROR(__xludf.DUMMYFUNCTION("""COMPUTED_VALUE"""),158)</f>
        <v>158</v>
      </c>
      <c r="G229" s="2">
        <f ca="1">IFERROR(__xludf.DUMMYFUNCTION("""COMPUTED_VALUE"""),5520.333)</f>
        <v>5520.3329999999996</v>
      </c>
      <c r="H229">
        <f ca="1">IFERROR(__xludf.DUMMYFUNCTION("""COMPUTED_VALUE"""),-10)</f>
        <v>-10</v>
      </c>
    </row>
    <row r="230" spans="1:8" ht="12.75">
      <c r="A230" t="str">
        <f ca="1">IFERROR(__xludf.DUMMYFUNCTION("""COMPUTED_VALUE"""),"T227")</f>
        <v>T227</v>
      </c>
      <c r="B230" t="str">
        <f ca="1">IFERROR(__xludf.DUMMYFUNCTION("""COMPUTED_VALUE"""),"T218")</f>
        <v>T218</v>
      </c>
      <c r="C230" t="str">
        <f ca="1">IFERROR(__xludf.DUMMYFUNCTION("""COMPUTED_VALUE"""),"Davis Riley")</f>
        <v>Davis Riley</v>
      </c>
      <c r="D230">
        <f ca="1">IFERROR(__xludf.DUMMYFUNCTION("""COMPUTED_VALUE"""),4)</f>
        <v>4</v>
      </c>
      <c r="E230" t="str">
        <f ca="1">IFERROR(__xludf.DUMMYFUNCTION("""COMPUTED_VALUE"""),"34' 11""")</f>
        <v>34' 11"</v>
      </c>
      <c r="F230">
        <f ca="1">IFERROR(__xludf.DUMMYFUNCTION("""COMPUTED_VALUE"""),48)</f>
        <v>48</v>
      </c>
      <c r="G230" s="2">
        <f ca="1">IFERROR(__xludf.DUMMYFUNCTION("""COMPUTED_VALUE"""),1677.333)</f>
        <v>1677.3330000000001</v>
      </c>
      <c r="H230" t="str">
        <f ca="1">IFERROR(__xludf.DUMMYFUNCTION("""COMPUTED_VALUE"""),"+1.00")</f>
        <v>+1.00</v>
      </c>
    </row>
    <row r="231" spans="1:8" ht="12.75">
      <c r="A231" t="str">
        <f ca="1">IFERROR(__xludf.DUMMYFUNCTION("""COMPUTED_VALUE"""),"T227")</f>
        <v>T227</v>
      </c>
      <c r="B231" t="str">
        <f ca="1">IFERROR(__xludf.DUMMYFUNCTION("""COMPUTED_VALUE"""),"T218")</f>
        <v>T218</v>
      </c>
      <c r="C231" t="str">
        <f ca="1">IFERROR(__xludf.DUMMYFUNCTION("""COMPUTED_VALUE"""),"Jeongwoo Ham")</f>
        <v>Jeongwoo Ham</v>
      </c>
      <c r="D231">
        <f ca="1">IFERROR(__xludf.DUMMYFUNCTION("""COMPUTED_VALUE"""),4)</f>
        <v>4</v>
      </c>
      <c r="E231" t="str">
        <f ca="1">IFERROR(__xludf.DUMMYFUNCTION("""COMPUTED_VALUE"""),"34' 11""")</f>
        <v>34' 11"</v>
      </c>
      <c r="F231">
        <f ca="1">IFERROR(__xludf.DUMMYFUNCTION("""COMPUTED_VALUE"""),52)</f>
        <v>52</v>
      </c>
      <c r="G231" s="2">
        <f ca="1">IFERROR(__xludf.DUMMYFUNCTION("""COMPUTED_VALUE"""),1817.167)</f>
        <v>1817.1669999999999</v>
      </c>
      <c r="H231">
        <f ca="1">IFERROR(__xludf.DUMMYFUNCTION("""COMPUTED_VALUE"""),-6)</f>
        <v>-6</v>
      </c>
    </row>
    <row r="232" spans="1:8" ht="12.75">
      <c r="A232">
        <f ca="1">IFERROR(__xludf.DUMMYFUNCTION("""COMPUTED_VALUE"""),231)</f>
        <v>231</v>
      </c>
      <c r="B232" t="str">
        <f ca="1">IFERROR(__xludf.DUMMYFUNCTION("""COMPUTED_VALUE"""),"T220")</f>
        <v>T220</v>
      </c>
      <c r="C232" t="str">
        <f ca="1">IFERROR(__xludf.DUMMYFUNCTION("""COMPUTED_VALUE"""),"D.J. Trahan")</f>
        <v>D.J. Trahan</v>
      </c>
      <c r="D232">
        <f ca="1">IFERROR(__xludf.DUMMYFUNCTION("""COMPUTED_VALUE"""),16)</f>
        <v>16</v>
      </c>
      <c r="E232" t="str">
        <f ca="1">IFERROR(__xludf.DUMMYFUNCTION("""COMPUTED_VALUE"""),"35' 0""")</f>
        <v>35' 0"</v>
      </c>
      <c r="F232">
        <f ca="1">IFERROR(__xludf.DUMMYFUNCTION("""COMPUTED_VALUE"""),92)</f>
        <v>92</v>
      </c>
      <c r="G232" s="2">
        <f ca="1">IFERROR(__xludf.DUMMYFUNCTION("""COMPUTED_VALUE"""),3216.583)</f>
        <v>3216.5830000000001</v>
      </c>
      <c r="H232">
        <f ca="1">IFERROR(__xludf.DUMMYFUNCTION("""COMPUTED_VALUE"""),-17)</f>
        <v>-17</v>
      </c>
    </row>
    <row r="233" spans="1:8" ht="12.75">
      <c r="A233" t="str">
        <f ca="1">IFERROR(__xludf.DUMMYFUNCTION("""COMPUTED_VALUE"""),"T232")</f>
        <v>T232</v>
      </c>
      <c r="B233" t="str">
        <f ca="1">IFERROR(__xludf.DUMMYFUNCTION("""COMPUTED_VALUE"""),"T222")</f>
        <v>T222</v>
      </c>
      <c r="C233" t="str">
        <f ca="1">IFERROR(__xludf.DUMMYFUNCTION("""COMPUTED_VALUE"""),"Matt Every")</f>
        <v>Matt Every</v>
      </c>
      <c r="D233">
        <f ca="1">IFERROR(__xludf.DUMMYFUNCTION("""COMPUTED_VALUE"""),8)</f>
        <v>8</v>
      </c>
      <c r="E233" t="str">
        <f ca="1">IFERROR(__xludf.DUMMYFUNCTION("""COMPUTED_VALUE"""),"35' 1""")</f>
        <v>35' 1"</v>
      </c>
      <c r="F233">
        <f ca="1">IFERROR(__xludf.DUMMYFUNCTION("""COMPUTED_VALUE"""),43)</f>
        <v>43</v>
      </c>
      <c r="G233" s="2">
        <f ca="1">IFERROR(__xludf.DUMMYFUNCTION("""COMPUTED_VALUE"""),1509.417)</f>
        <v>1509.4169999999999</v>
      </c>
      <c r="H233">
        <f ca="1">IFERROR(__xludf.DUMMYFUNCTION("""COMPUTED_VALUE"""),-2)</f>
        <v>-2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IFERROR(__xludf.DUMMYFUNCTION("""COMPUTED_VALUE"""),"T222")</f>
        <v>T222</v>
      </c>
      <c r="C234" t="str">
        <f ca="1">IFERROR(__xludf.DUMMYFUNCTION("""COMPUTED_VALUE"""),"John Pak")</f>
        <v>John Pak</v>
      </c>
      <c r="D234">
        <f ca="1">IFERROR(__xludf.DUMMYFUNCTION("""COMPUTED_VALUE"""),4)</f>
        <v>4</v>
      </c>
      <c r="E234" t="str">
        <f ca="1">IFERROR(__xludf.DUMMYFUNCTION("""COMPUTED_VALUE"""),"35' 1""")</f>
        <v>35' 1"</v>
      </c>
      <c r="F234">
        <f ca="1">IFERROR(__xludf.DUMMYFUNCTION("""COMPUTED_VALUE"""),51)</f>
        <v>51</v>
      </c>
      <c r="G234" s="2">
        <f ca="1">IFERROR(__xludf.DUMMYFUNCTION("""COMPUTED_VALUE"""),1788.167)</f>
        <v>1788.1669999999999</v>
      </c>
      <c r="H234" t="str">
        <f ca="1">IFERROR(__xludf.DUMMYFUNCTION("""COMPUTED_VALUE"""),"+16.00")</f>
        <v>+16.00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IFERROR(__xludf.DUMMYFUNCTION("""COMPUTED_VALUE"""),"T226")</f>
        <v>T226</v>
      </c>
      <c r="C235" t="str">
        <f ca="1">IFERROR(__xludf.DUMMYFUNCTION("""COMPUTED_VALUE"""),"Brian Gay")</f>
        <v>Brian Gay</v>
      </c>
      <c r="D235">
        <f ca="1">IFERROR(__xludf.DUMMYFUNCTION("""COMPUTED_VALUE"""),8)</f>
        <v>8</v>
      </c>
      <c r="E235" t="str">
        <f ca="1">IFERROR(__xludf.DUMMYFUNCTION("""COMPUTED_VALUE"""),"35' 4""")</f>
        <v>35' 4"</v>
      </c>
      <c r="F235">
        <f ca="1">IFERROR(__xludf.DUMMYFUNCTION("""COMPUTED_VALUE"""),47)</f>
        <v>47</v>
      </c>
      <c r="G235" s="2">
        <f ca="1">IFERROR(__xludf.DUMMYFUNCTION("""COMPUTED_VALUE"""),1661)</f>
        <v>1661</v>
      </c>
      <c r="H235">
        <f ca="1">IFERROR(__xludf.DUMMYFUNCTION("""COMPUTED_VALUE"""),-3)</f>
        <v>-3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IFERROR(__xludf.DUMMYFUNCTION("""COMPUTED_VALUE"""),"T226")</f>
        <v>T226</v>
      </c>
      <c r="C236" t="str">
        <f ca="1">IFERROR(__xludf.DUMMYFUNCTION("""COMPUTED_VALUE"""),"Louis Oosthuizen")</f>
        <v>Louis Oosthuizen</v>
      </c>
      <c r="D236">
        <f ca="1">IFERROR(__xludf.DUMMYFUNCTION("""COMPUTED_VALUE"""),12)</f>
        <v>12</v>
      </c>
      <c r="E236" t="str">
        <f ca="1">IFERROR(__xludf.DUMMYFUNCTION("""COMPUTED_VALUE"""),"35' 4""")</f>
        <v>35' 4"</v>
      </c>
      <c r="F236">
        <f ca="1">IFERROR(__xludf.DUMMYFUNCTION("""COMPUTED_VALUE"""),161)</f>
        <v>161</v>
      </c>
      <c r="G236" s="2">
        <f ca="1">IFERROR(__xludf.DUMMYFUNCTION("""COMPUTED_VALUE"""),5692.75)</f>
        <v>5692.75</v>
      </c>
      <c r="H236">
        <f ca="1">IFERROR(__xludf.DUMMYFUNCTION("""COMPUTED_VALUE"""),-11)</f>
        <v>-11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IFERROR(__xludf.DUMMYFUNCTION("""COMPUTED_VALUE"""),"T226")</f>
        <v>T226</v>
      </c>
      <c r="C237" t="str">
        <f ca="1">IFERROR(__xludf.DUMMYFUNCTION("""COMPUTED_VALUE"""),"Tae Hee Lee")</f>
        <v>Tae Hee Lee</v>
      </c>
      <c r="D237">
        <f ca="1">IFERROR(__xludf.DUMMYFUNCTION("""COMPUTED_VALUE"""),4)</f>
        <v>4</v>
      </c>
      <c r="E237" t="str">
        <f ca="1">IFERROR(__xludf.DUMMYFUNCTION("""COMPUTED_VALUE"""),"35' 4""")</f>
        <v>35' 4"</v>
      </c>
      <c r="F237">
        <f ca="1">IFERROR(__xludf.DUMMYFUNCTION("""COMPUTED_VALUE"""),47)</f>
        <v>47</v>
      </c>
      <c r="G237" s="2">
        <f ca="1">IFERROR(__xludf.DUMMYFUNCTION("""COMPUTED_VALUE"""),1658.75)</f>
        <v>1658.75</v>
      </c>
      <c r="H237" t="str">
        <f ca="1">IFERROR(__xludf.DUMMYFUNCTION("""COMPUTED_VALUE"""),"+10.00")</f>
        <v>+10.00</v>
      </c>
    </row>
    <row r="238" spans="1:8" ht="12.75">
      <c r="A238" t="str">
        <f ca="1">IFERROR(__xludf.DUMMYFUNCTION("""COMPUTED_VALUE"""),"T237")</f>
        <v>T237</v>
      </c>
      <c r="B238">
        <f ca="1">IFERROR(__xludf.DUMMYFUNCTION("""COMPUTED_VALUE"""),217)</f>
        <v>217</v>
      </c>
      <c r="C238" t="str">
        <f ca="1">IFERROR(__xludf.DUMMYFUNCTION("""COMPUTED_VALUE"""),"Jimmy Walker")</f>
        <v>Jimmy Walker</v>
      </c>
      <c r="D238">
        <f ca="1">IFERROR(__xludf.DUMMYFUNCTION("""COMPUTED_VALUE"""),10)</f>
        <v>10</v>
      </c>
      <c r="E238" t="str">
        <f ca="1">IFERROR(__xludf.DUMMYFUNCTION("""COMPUTED_VALUE"""),"35' 6""")</f>
        <v>35' 6"</v>
      </c>
      <c r="F238">
        <f ca="1">IFERROR(__xludf.DUMMYFUNCTION("""COMPUTED_VALUE"""),95)</f>
        <v>95</v>
      </c>
      <c r="G238" s="2">
        <f ca="1">IFERROR(__xludf.DUMMYFUNCTION("""COMPUTED_VALUE"""),3373.25)</f>
        <v>3373.25</v>
      </c>
      <c r="H238" t="str">
        <f ca="1">IFERROR(__xludf.DUMMYFUNCTION("""COMPUTED_VALUE"""),"+8.00")</f>
        <v>+8.00</v>
      </c>
    </row>
    <row r="239" spans="1:8" ht="12.75">
      <c r="A239" t="str">
        <f ca="1">IFERROR(__xludf.DUMMYFUNCTION("""COMPUTED_VALUE"""),"T237")</f>
        <v>T237</v>
      </c>
      <c r="B239" t="str">
        <f ca="1">IFERROR(__xludf.DUMMYFUNCTION("""COMPUTED_VALUE"""),"T204")</f>
        <v>T204</v>
      </c>
      <c r="C239" t="str">
        <f ca="1">IFERROR(__xludf.DUMMYFUNCTION("""COMPUTED_VALUE"""),"Hunter Mahan")</f>
        <v>Hunter Mahan</v>
      </c>
      <c r="D239">
        <f ca="1">IFERROR(__xludf.DUMMYFUNCTION("""COMPUTED_VALUE"""),14)</f>
        <v>14</v>
      </c>
      <c r="E239" t="str">
        <f ca="1">IFERROR(__xludf.DUMMYFUNCTION("""COMPUTED_VALUE"""),"35' 6""")</f>
        <v>35' 6"</v>
      </c>
      <c r="F239">
        <f ca="1">IFERROR(__xludf.DUMMYFUNCTION("""COMPUTED_VALUE"""),110)</f>
        <v>110</v>
      </c>
      <c r="G239" s="2">
        <f ca="1">IFERROR(__xludf.DUMMYFUNCTION("""COMPUTED_VALUE"""),3904.833)</f>
        <v>3904.8330000000001</v>
      </c>
      <c r="H239" t="str">
        <f ca="1">IFERROR(__xludf.DUMMYFUNCTION("""COMPUTED_VALUE"""),"+1.00")</f>
        <v>+1.00</v>
      </c>
    </row>
    <row r="240" spans="1:8" ht="12.75">
      <c r="A240">
        <f ca="1">IFERROR(__xludf.DUMMYFUNCTION("""COMPUTED_VALUE"""),239)</f>
        <v>239</v>
      </c>
      <c r="B240">
        <f ca="1">IFERROR(__xludf.DUMMYFUNCTION("""COMPUTED_VALUE"""),230)</f>
        <v>230</v>
      </c>
      <c r="C240" t="str">
        <f ca="1">IFERROR(__xludf.DUMMYFUNCTION("""COMPUTED_VALUE"""),"Rasmus Hojgaard")</f>
        <v>Rasmus Hojgaard</v>
      </c>
      <c r="D240">
        <f ca="1">IFERROR(__xludf.DUMMYFUNCTION("""COMPUTED_VALUE"""),6)</f>
        <v>6</v>
      </c>
      <c r="E240" t="str">
        <f ca="1">IFERROR(__xludf.DUMMYFUNCTION("""COMPUTED_VALUE"""),"35' 7""")</f>
        <v>35' 7"</v>
      </c>
      <c r="F240">
        <f ca="1">IFERROR(__xludf.DUMMYFUNCTION("""COMPUTED_VALUE"""),20)</f>
        <v>20</v>
      </c>
      <c r="G240">
        <f ca="1">IFERROR(__xludf.DUMMYFUNCTION("""COMPUTED_VALUE"""),712.417)</f>
        <v>712.41700000000003</v>
      </c>
      <c r="H240" t="str">
        <f ca="1">IFERROR(__xludf.DUMMYFUNCTION("""COMPUTED_VALUE"""),"+5.00")</f>
        <v>+5.00</v>
      </c>
    </row>
    <row r="241" spans="1:8" ht="12.75">
      <c r="A241" t="str">
        <f ca="1">IFERROR(__xludf.DUMMYFUNCTION("""COMPUTED_VALUE"""),"T240")</f>
        <v>T240</v>
      </c>
      <c r="B241" t="str">
        <f ca="1">IFERROR(__xludf.DUMMYFUNCTION("""COMPUTED_VALUE"""),"T224")</f>
        <v>T224</v>
      </c>
      <c r="C241" t="str">
        <f ca="1">IFERROR(__xludf.DUMMYFUNCTION("""COMPUTED_VALUE"""),"Lucas Glover")</f>
        <v>Lucas Glover</v>
      </c>
      <c r="D241">
        <f ca="1">IFERROR(__xludf.DUMMYFUNCTION("""COMPUTED_VALUE"""),12)</f>
        <v>12</v>
      </c>
      <c r="E241" t="str">
        <f ca="1">IFERROR(__xludf.DUMMYFUNCTION("""COMPUTED_VALUE"""),"35' 9""")</f>
        <v>35' 9"</v>
      </c>
      <c r="F241">
        <f ca="1">IFERROR(__xludf.DUMMYFUNCTION("""COMPUTED_VALUE"""),147)</f>
        <v>147</v>
      </c>
      <c r="G241" s="2">
        <f ca="1">IFERROR(__xludf.DUMMYFUNCTION("""COMPUTED_VALUE"""),5257.75)</f>
        <v>5257.75</v>
      </c>
      <c r="H241" t="str">
        <f ca="1">IFERROR(__xludf.DUMMYFUNCTION("""COMPUTED_VALUE"""),"+2.00")</f>
        <v>+2.00</v>
      </c>
    </row>
    <row r="242" spans="1:8" ht="12.75">
      <c r="A242" t="str">
        <f ca="1">IFERROR(__xludf.DUMMYFUNCTION("""COMPUTED_VALUE"""),"T240")</f>
        <v>T240</v>
      </c>
      <c r="B242" t="str">
        <f ca="1">IFERROR(__xludf.DUMMYFUNCTION("""COMPUTED_VALUE"""),"T231")</f>
        <v>T231</v>
      </c>
      <c r="C242" t="str">
        <f ca="1">IFERROR(__xludf.DUMMYFUNCTION("""COMPUTED_VALUE"""),"Josh Teater")</f>
        <v>Josh Teater</v>
      </c>
      <c r="D242">
        <f ca="1">IFERROR(__xludf.DUMMYFUNCTION("""COMPUTED_VALUE"""),6)</f>
        <v>6</v>
      </c>
      <c r="E242" t="str">
        <f ca="1">IFERROR(__xludf.DUMMYFUNCTION("""COMPUTED_VALUE"""),"35' 9""")</f>
        <v>35' 9"</v>
      </c>
      <c r="F242">
        <f ca="1">IFERROR(__xludf.DUMMYFUNCTION("""COMPUTED_VALUE"""),25)</f>
        <v>25</v>
      </c>
      <c r="G242">
        <f ca="1">IFERROR(__xludf.DUMMYFUNCTION("""COMPUTED_VALUE"""),893)</f>
        <v>893</v>
      </c>
      <c r="H242">
        <f ca="1">IFERROR(__xludf.DUMMYFUNCTION("""COMPUTED_VALUE"""),-6)</f>
        <v>-6</v>
      </c>
    </row>
    <row r="243" spans="1:8" ht="12.75">
      <c r="A243">
        <f ca="1">IFERROR(__xludf.DUMMYFUNCTION("""COMPUTED_VALUE"""),242)</f>
        <v>242</v>
      </c>
      <c r="B243">
        <f ca="1">IFERROR(__xludf.DUMMYFUNCTION("""COMPUTED_VALUE"""),234)</f>
        <v>234</v>
      </c>
      <c r="C243" t="str">
        <f ca="1">IFERROR(__xludf.DUMMYFUNCTION("""COMPUTED_VALUE"""),"Vincent Whaley")</f>
        <v>Vincent Whaley</v>
      </c>
      <c r="D243">
        <f ca="1">IFERROR(__xludf.DUMMYFUNCTION("""COMPUTED_VALUE"""),14)</f>
        <v>14</v>
      </c>
      <c r="E243" t="str">
        <f ca="1">IFERROR(__xludf.DUMMYFUNCTION("""COMPUTED_VALUE"""),"35' 11""")</f>
        <v>35' 11"</v>
      </c>
      <c r="F243">
        <f ca="1">IFERROR(__xludf.DUMMYFUNCTION("""COMPUTED_VALUE"""),91)</f>
        <v>91</v>
      </c>
      <c r="G243" s="2">
        <f ca="1">IFERROR(__xludf.DUMMYFUNCTION("""COMPUTED_VALUE"""),3266)</f>
        <v>3266</v>
      </c>
      <c r="H243">
        <f ca="1">IFERROR(__xludf.DUMMYFUNCTION("""COMPUTED_VALUE"""),-14)</f>
        <v>-14</v>
      </c>
    </row>
    <row r="244" spans="1:8" ht="12.75">
      <c r="A244" t="str">
        <f ca="1">IFERROR(__xludf.DUMMYFUNCTION("""COMPUTED_VALUE"""),"T243")</f>
        <v>T243</v>
      </c>
      <c r="B244" t="str">
        <f ca="1">IFERROR(__xludf.DUMMYFUNCTION("""COMPUTED_VALUE"""),"")</f>
        <v/>
      </c>
      <c r="C244" t="str">
        <f ca="1">IFERROR(__xludf.DUMMYFUNCTION("""COMPUTED_VALUE"""),"Greg Chalmers")</f>
        <v>Greg Chalmers</v>
      </c>
      <c r="D244">
        <f ca="1">IFERROR(__xludf.DUMMYFUNCTION("""COMPUTED_VALUE"""),6)</f>
        <v>6</v>
      </c>
      <c r="E244" t="str">
        <f ca="1">IFERROR(__xludf.DUMMYFUNCTION("""COMPUTED_VALUE"""),"36' 1""")</f>
        <v>36' 1"</v>
      </c>
      <c r="F244">
        <f ca="1">IFERROR(__xludf.DUMMYFUNCTION("""COMPUTED_VALUE"""),74)</f>
        <v>74</v>
      </c>
      <c r="G244" s="2">
        <f ca="1">IFERROR(__xludf.DUMMYFUNCTION("""COMPUTED_VALUE"""),2671.75)</f>
        <v>2671.75</v>
      </c>
      <c r="H244">
        <f ca="1">IFERROR(__xludf.DUMMYFUNCTION("""COMPUTED_VALUE"""),-1)</f>
        <v>-1</v>
      </c>
    </row>
    <row r="245" spans="1:8" ht="12.75">
      <c r="A245" t="str">
        <f ca="1">IFERROR(__xludf.DUMMYFUNCTION("""COMPUTED_VALUE"""),"T243")</f>
        <v>T243</v>
      </c>
      <c r="B245">
        <f ca="1">IFERROR(__xludf.DUMMYFUNCTION("""COMPUTED_VALUE"""),236)</f>
        <v>236</v>
      </c>
      <c r="C245" t="str">
        <f ca="1">IFERROR(__xludf.DUMMYFUNCTION("""COMPUTED_VALUE"""),"Tyler Duncan")</f>
        <v>Tyler Duncan</v>
      </c>
      <c r="D245">
        <f ca="1">IFERROR(__xludf.DUMMYFUNCTION("""COMPUTED_VALUE"""),18)</f>
        <v>18</v>
      </c>
      <c r="E245" t="str">
        <f ca="1">IFERROR(__xludf.DUMMYFUNCTION("""COMPUTED_VALUE"""),"36' 1""")</f>
        <v>36' 1"</v>
      </c>
      <c r="F245">
        <f ca="1">IFERROR(__xludf.DUMMYFUNCTION("""COMPUTED_VALUE"""),254)</f>
        <v>254</v>
      </c>
      <c r="G245" s="2">
        <f ca="1">IFERROR(__xludf.DUMMYFUNCTION("""COMPUTED_VALUE"""),9173.917)</f>
        <v>9173.9169999999995</v>
      </c>
      <c r="H245">
        <f ca="1">IFERROR(__xludf.DUMMYFUNCTION("""COMPUTED_VALUE"""),-18)</f>
        <v>-18</v>
      </c>
    </row>
    <row r="246" spans="1:8" ht="12.75">
      <c r="A246">
        <f ca="1">IFERROR(__xludf.DUMMYFUNCTION("""COMPUTED_VALUE"""),245)</f>
        <v>245</v>
      </c>
      <c r="B246">
        <f ca="1">IFERROR(__xludf.DUMMYFUNCTION("""COMPUTED_VALUE"""),235)</f>
        <v>235</v>
      </c>
      <c r="C246" t="str">
        <f ca="1">IFERROR(__xludf.DUMMYFUNCTION("""COMPUTED_VALUE"""),"Kurt Kitayama")</f>
        <v>Kurt Kitayama</v>
      </c>
      <c r="D246">
        <f ca="1">IFERROR(__xludf.DUMMYFUNCTION("""COMPUTED_VALUE"""),4)</f>
        <v>4</v>
      </c>
      <c r="E246" t="str">
        <f ca="1">IFERROR(__xludf.DUMMYFUNCTION("""COMPUTED_VALUE"""),"36' 2""")</f>
        <v>36' 2"</v>
      </c>
      <c r="F246">
        <f ca="1">IFERROR(__xludf.DUMMYFUNCTION("""COMPUTED_VALUE"""),19)</f>
        <v>19</v>
      </c>
      <c r="G246">
        <f ca="1">IFERROR(__xludf.DUMMYFUNCTION("""COMPUTED_VALUE"""),687)</f>
        <v>687</v>
      </c>
      <c r="H246" t="str">
        <f ca="1">IFERROR(__xludf.DUMMYFUNCTION("""COMPUTED_VALUE"""),"+3.00")</f>
        <v>+3.00</v>
      </c>
    </row>
    <row r="247" spans="1:8" ht="12.75">
      <c r="A247" t="str">
        <f ca="1">IFERROR(__xludf.DUMMYFUNCTION("""COMPUTED_VALUE"""),"T246")</f>
        <v>T246</v>
      </c>
      <c r="B247" t="str">
        <f ca="1">IFERROR(__xludf.DUMMYFUNCTION("""COMPUTED_VALUE"""),"T237")</f>
        <v>T237</v>
      </c>
      <c r="C247" t="str">
        <f ca="1">IFERROR(__xludf.DUMMYFUNCTION("""COMPUTED_VALUE"""),"Lucas Herbert")</f>
        <v>Lucas Herbert</v>
      </c>
      <c r="D247">
        <f ca="1">IFERROR(__xludf.DUMMYFUNCTION("""COMPUTED_VALUE"""),4)</f>
        <v>4</v>
      </c>
      <c r="E247" t="str">
        <f ca="1">IFERROR(__xludf.DUMMYFUNCTION("""COMPUTED_VALUE"""),"36' 5""")</f>
        <v>36' 5"</v>
      </c>
      <c r="F247">
        <f ca="1">IFERROR(__xludf.DUMMYFUNCTION("""COMPUTED_VALUE"""),48)</f>
        <v>48</v>
      </c>
      <c r="G247" s="2">
        <f ca="1">IFERROR(__xludf.DUMMYFUNCTION("""COMPUTED_VALUE"""),1749.167)</f>
        <v>1749.1669999999999</v>
      </c>
      <c r="H247" t="str">
        <f ca="1">IFERROR(__xludf.DUMMYFUNCTION("""COMPUTED_VALUE"""),"+4.00")</f>
        <v>+4.00</v>
      </c>
    </row>
    <row r="248" spans="1:8" ht="12.75">
      <c r="A248" t="str">
        <f ca="1">IFERROR(__xludf.DUMMYFUNCTION("""COMPUTED_VALUE"""),"T246")</f>
        <v>T246</v>
      </c>
      <c r="B248" t="str">
        <f ca="1">IFERROR(__xludf.DUMMYFUNCTION("""COMPUTED_VALUE"""),"T202")</f>
        <v>T202</v>
      </c>
      <c r="C248" t="str">
        <f ca="1">IFERROR(__xludf.DUMMYFUNCTION("""COMPUTED_VALUE"""),"D.A. Points")</f>
        <v>D.A. Points</v>
      </c>
      <c r="D248">
        <f ca="1">IFERROR(__xludf.DUMMYFUNCTION("""COMPUTED_VALUE"""),12)</f>
        <v>12</v>
      </c>
      <c r="E248" t="str">
        <f ca="1">IFERROR(__xludf.DUMMYFUNCTION("""COMPUTED_VALUE"""),"36' 5""")</f>
        <v>36' 5"</v>
      </c>
      <c r="F248">
        <f ca="1">IFERROR(__xludf.DUMMYFUNCTION("""COMPUTED_VALUE"""),93)</f>
        <v>93</v>
      </c>
      <c r="G248" s="2">
        <f ca="1">IFERROR(__xludf.DUMMYFUNCTION("""COMPUTED_VALUE"""),3389.333)</f>
        <v>3389.3330000000001</v>
      </c>
      <c r="H248" t="str">
        <f ca="1">IFERROR(__xludf.DUMMYFUNCTION("""COMPUTED_VALUE"""),"+5.00")</f>
        <v>+5.00</v>
      </c>
    </row>
    <row r="249" spans="1:8" ht="12.75">
      <c r="A249">
        <f ca="1">IFERROR(__xludf.DUMMYFUNCTION("""COMPUTED_VALUE"""),248)</f>
        <v>248</v>
      </c>
      <c r="B249">
        <f ca="1">IFERROR(__xludf.DUMMYFUNCTION("""COMPUTED_VALUE"""),233)</f>
        <v>233</v>
      </c>
      <c r="C249" t="str">
        <f ca="1">IFERROR(__xludf.DUMMYFUNCTION("""COMPUTED_VALUE"""),"Alex Noren")</f>
        <v>Alex Noren</v>
      </c>
      <c r="D249">
        <f ca="1">IFERROR(__xludf.DUMMYFUNCTION("""COMPUTED_VALUE"""),14)</f>
        <v>14</v>
      </c>
      <c r="E249" t="str">
        <f ca="1">IFERROR(__xludf.DUMMYFUNCTION("""COMPUTED_VALUE"""),"36' 6""")</f>
        <v>36' 6"</v>
      </c>
      <c r="F249">
        <f ca="1">IFERROR(__xludf.DUMMYFUNCTION("""COMPUTED_VALUE"""),170)</f>
        <v>170</v>
      </c>
      <c r="G249" s="2">
        <f ca="1">IFERROR(__xludf.DUMMYFUNCTION("""COMPUTED_VALUE"""),6199.75)</f>
        <v>6199.75</v>
      </c>
      <c r="H249">
        <f ca="1">IFERROR(__xludf.DUMMYFUNCTION("""COMPUTED_VALUE"""),-4)</f>
        <v>-4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IFERROR(__xludf.DUMMYFUNCTION("""COMPUTED_VALUE"""),240)</f>
        <v>240</v>
      </c>
      <c r="C250" t="str">
        <f ca="1">IFERROR(__xludf.DUMMYFUNCTION("""COMPUTED_VALUE"""),"Brendon Todd")</f>
        <v>Brendon Todd</v>
      </c>
      <c r="D250">
        <f ca="1">IFERROR(__xludf.DUMMYFUNCTION("""COMPUTED_VALUE"""),14)</f>
        <v>14</v>
      </c>
      <c r="E250" t="str">
        <f ca="1">IFERROR(__xludf.DUMMYFUNCTION("""COMPUTED_VALUE"""),"36' 9""")</f>
        <v>36' 9"</v>
      </c>
      <c r="F250">
        <f ca="1">IFERROR(__xludf.DUMMYFUNCTION("""COMPUTED_VALUE"""),170)</f>
        <v>170</v>
      </c>
      <c r="G250" s="2">
        <f ca="1">IFERROR(__xludf.DUMMYFUNCTION("""COMPUTED_VALUE"""),6248.667)</f>
        <v>6248.6670000000004</v>
      </c>
      <c r="H250">
        <f ca="1">IFERROR(__xludf.DUMMYFUNCTION("""COMPUTED_VALUE"""),-18)</f>
        <v>-18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IFERROR(__xludf.DUMMYFUNCTION("""COMPUTED_VALUE"""),"T237")</f>
        <v>T237</v>
      </c>
      <c r="C251" t="str">
        <f ca="1">IFERROR(__xludf.DUMMYFUNCTION("""COMPUTED_VALUE"""),"Matt Jones")</f>
        <v>Matt Jones</v>
      </c>
      <c r="D251">
        <f ca="1">IFERROR(__xludf.DUMMYFUNCTION("""COMPUTED_VALUE"""),20)</f>
        <v>20</v>
      </c>
      <c r="E251" t="str">
        <f ca="1">IFERROR(__xludf.DUMMYFUNCTION("""COMPUTED_VALUE"""),"36' 11""")</f>
        <v>36' 11"</v>
      </c>
      <c r="F251">
        <f ca="1">IFERROR(__xludf.DUMMYFUNCTION("""COMPUTED_VALUE"""),146)</f>
        <v>146</v>
      </c>
      <c r="G251" s="2">
        <f ca="1">IFERROR(__xludf.DUMMYFUNCTION("""COMPUTED_VALUE"""),5388.417)</f>
        <v>5388.4170000000004</v>
      </c>
      <c r="H251">
        <f ca="1">IFERROR(__xludf.DUMMYFUNCTION("""COMPUTED_VALUE"""),-4)</f>
        <v>-4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IFERROR(__xludf.DUMMYFUNCTION("""COMPUTED_VALUE"""),243)</f>
        <v>243</v>
      </c>
      <c r="C252" t="str">
        <f ca="1">IFERROR(__xludf.DUMMYFUNCTION("""COMPUTED_VALUE"""),"Patrick Reed")</f>
        <v>Patrick Reed</v>
      </c>
      <c r="D252">
        <f ca="1">IFERROR(__xludf.DUMMYFUNCTION("""COMPUTED_VALUE"""),8)</f>
        <v>8</v>
      </c>
      <c r="E252" t="str">
        <f ca="1">IFERROR(__xludf.DUMMYFUNCTION("""COMPUTED_VALUE"""),"37' 4""")</f>
        <v>37' 4"</v>
      </c>
      <c r="F252">
        <f ca="1">IFERROR(__xludf.DUMMYFUNCTION("""COMPUTED_VALUE"""),97)</f>
        <v>97</v>
      </c>
      <c r="G252" s="2">
        <f ca="1">IFERROR(__xludf.DUMMYFUNCTION("""COMPUTED_VALUE"""),3625.333)</f>
        <v>3625.3330000000001</v>
      </c>
      <c r="H252">
        <f ca="1">IFERROR(__xludf.DUMMYFUNCTION("""COMPUTED_VALUE"""),-12)</f>
        <v>-12</v>
      </c>
    </row>
    <row r="253" spans="1:8" ht="12.75">
      <c r="A253" t="str">
        <f ca="1">IFERROR(__xludf.DUMMYFUNCTION("""COMPUTED_VALUE"""),"T252")</f>
        <v>T252</v>
      </c>
      <c r="B253" t="str">
        <f ca="1">IFERROR(__xludf.DUMMYFUNCTION("""COMPUTED_VALUE"""),"T244")</f>
        <v>T244</v>
      </c>
      <c r="C253" t="str">
        <f ca="1">IFERROR(__xludf.DUMMYFUNCTION("""COMPUTED_VALUE"""),"Rafa Cabrera Bello")</f>
        <v>Rafa Cabrera Bello</v>
      </c>
      <c r="D253">
        <f ca="1">IFERROR(__xludf.DUMMYFUNCTION("""COMPUTED_VALUE"""),14)</f>
        <v>14</v>
      </c>
      <c r="E253" t="str">
        <f ca="1">IFERROR(__xludf.DUMMYFUNCTION("""COMPUTED_VALUE"""),"37' 8""")</f>
        <v>37' 8"</v>
      </c>
      <c r="F253">
        <f ca="1">IFERROR(__xludf.DUMMYFUNCTION("""COMPUTED_VALUE"""),150)</f>
        <v>150</v>
      </c>
      <c r="G253" s="2">
        <f ca="1">IFERROR(__xludf.DUMMYFUNCTION("""COMPUTED_VALUE"""),5648.083)</f>
        <v>5648.0829999999996</v>
      </c>
      <c r="H253">
        <f ca="1">IFERROR(__xludf.DUMMYFUNCTION("""COMPUTED_VALUE"""),-6)</f>
        <v>-6</v>
      </c>
    </row>
    <row r="254" spans="1:8" ht="12.75">
      <c r="A254" t="str">
        <f ca="1">IFERROR(__xludf.DUMMYFUNCTION("""COMPUTED_VALUE"""),"T252")</f>
        <v>T252</v>
      </c>
      <c r="B254" t="str">
        <f ca="1">IFERROR(__xludf.DUMMYFUNCTION("""COMPUTED_VALUE"""),"T244")</f>
        <v>T244</v>
      </c>
      <c r="C254" t="str">
        <f ca="1">IFERROR(__xludf.DUMMYFUNCTION("""COMPUTED_VALUE"""),"Johnson Wagner")</f>
        <v>Johnson Wagner</v>
      </c>
      <c r="D254">
        <f ca="1">IFERROR(__xludf.DUMMYFUNCTION("""COMPUTED_VALUE"""),8)</f>
        <v>8</v>
      </c>
      <c r="E254" t="str">
        <f ca="1">IFERROR(__xludf.DUMMYFUNCTION("""COMPUTED_VALUE"""),"37' 8""")</f>
        <v>37' 8"</v>
      </c>
      <c r="F254">
        <f ca="1">IFERROR(__xludf.DUMMYFUNCTION("""COMPUTED_VALUE"""),30)</f>
        <v>30</v>
      </c>
      <c r="G254" s="2">
        <f ca="1">IFERROR(__xludf.DUMMYFUNCTION("""COMPUTED_VALUE"""),1130)</f>
        <v>1130</v>
      </c>
      <c r="H254">
        <f ca="1">IFERROR(__xludf.DUMMYFUNCTION("""COMPUTED_VALUE"""),-2)</f>
        <v>-2</v>
      </c>
    </row>
    <row r="255" spans="1:8" ht="12.75">
      <c r="A255">
        <f ca="1">IFERROR(__xludf.DUMMYFUNCTION("""COMPUTED_VALUE"""),254)</f>
        <v>254</v>
      </c>
      <c r="B255" t="str">
        <f ca="1">IFERROR(__xludf.DUMMYFUNCTION("""COMPUTED_VALUE"""),"T261")</f>
        <v>T261</v>
      </c>
      <c r="C255" t="str">
        <f ca="1">IFERROR(__xludf.DUMMYFUNCTION("""COMPUTED_VALUE"""),"Danny Willett")</f>
        <v>Danny Willett</v>
      </c>
      <c r="D255">
        <f ca="1">IFERROR(__xludf.DUMMYFUNCTION("""COMPUTED_VALUE"""),7)</f>
        <v>7</v>
      </c>
      <c r="E255" t="str">
        <f ca="1">IFERROR(__xludf.DUMMYFUNCTION("""COMPUTED_VALUE"""),"37' 10""")</f>
        <v>37' 10"</v>
      </c>
      <c r="F255">
        <f ca="1">IFERROR(__xludf.DUMMYFUNCTION("""COMPUTED_VALUE"""),33)</f>
        <v>33</v>
      </c>
      <c r="G255" s="2">
        <f ca="1">IFERROR(__xludf.DUMMYFUNCTION("""COMPUTED_VALUE"""),1247.583)</f>
        <v>1247.5830000000001</v>
      </c>
      <c r="H255" t="str">
        <f ca="1">IFERROR(__xludf.DUMMYFUNCTION("""COMPUTED_VALUE"""),"+7.00")</f>
        <v>+7.00</v>
      </c>
    </row>
    <row r="256" spans="1:8" ht="12.75">
      <c r="A256">
        <f ca="1">IFERROR(__xludf.DUMMYFUNCTION("""COMPUTED_VALUE"""),255)</f>
        <v>255</v>
      </c>
      <c r="B256">
        <f ca="1">IFERROR(__xludf.DUMMYFUNCTION("""COMPUTED_VALUE"""),246)</f>
        <v>246</v>
      </c>
      <c r="C256" t="str">
        <f ca="1">IFERROR(__xludf.DUMMYFUNCTION("""COMPUTED_VALUE"""),"Rikuya Hoshino")</f>
        <v>Rikuya Hoshino</v>
      </c>
      <c r="D256">
        <f ca="1">IFERROR(__xludf.DUMMYFUNCTION("""COMPUTED_VALUE"""),4)</f>
        <v>4</v>
      </c>
      <c r="E256" t="str">
        <f ca="1">IFERROR(__xludf.DUMMYFUNCTION("""COMPUTED_VALUE"""),"37' 11""")</f>
        <v>37' 11"</v>
      </c>
      <c r="F256">
        <f ca="1">IFERROR(__xludf.DUMMYFUNCTION("""COMPUTED_VALUE"""),63)</f>
        <v>63</v>
      </c>
      <c r="G256" s="2">
        <f ca="1">IFERROR(__xludf.DUMMYFUNCTION("""COMPUTED_VALUE"""),2391)</f>
        <v>2391</v>
      </c>
      <c r="H256">
        <f ca="1">IFERROR(__xludf.DUMMYFUNCTION("""COMPUTED_VALUE"""),-6)</f>
        <v>-6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IFERROR(__xludf.DUMMYFUNCTION("""COMPUTED_VALUE"""),247)</f>
        <v>247</v>
      </c>
      <c r="C257" t="str">
        <f ca="1">IFERROR(__xludf.DUMMYFUNCTION("""COMPUTED_VALUE"""),"Charles Howell III")</f>
        <v>Charles Howell III</v>
      </c>
      <c r="D257">
        <f ca="1">IFERROR(__xludf.DUMMYFUNCTION("""COMPUTED_VALUE"""),10)</f>
        <v>10</v>
      </c>
      <c r="E257" t="str">
        <f ca="1">IFERROR(__xludf.DUMMYFUNCTION("""COMPUTED_VALUE"""),"38' 0""")</f>
        <v>38' 0"</v>
      </c>
      <c r="F257">
        <f ca="1">IFERROR(__xludf.DUMMYFUNCTION("""COMPUTED_VALUE"""),90)</f>
        <v>90</v>
      </c>
      <c r="G257" s="2">
        <f ca="1">IFERROR(__xludf.DUMMYFUNCTION("""COMPUTED_VALUE"""),3421.75)</f>
        <v>3421.75</v>
      </c>
      <c r="H257">
        <f ca="1">IFERROR(__xludf.DUMMYFUNCTION("""COMPUTED_VALUE"""),-9)</f>
        <v>-9</v>
      </c>
    </row>
    <row r="258" spans="1:8" ht="12.75">
      <c r="A258">
        <f ca="1">IFERROR(__xludf.DUMMYFUNCTION("""COMPUTED_VALUE"""),257)</f>
        <v>257</v>
      </c>
      <c r="B258" t="str">
        <f ca="1">IFERROR(__xludf.DUMMYFUNCTION("""COMPUTED_VALUE"""),"T249")</f>
        <v>T249</v>
      </c>
      <c r="C258" t="str">
        <f ca="1">IFERROR(__xludf.DUMMYFUNCTION("""COMPUTED_VALUE"""),"Roger Sloan")</f>
        <v>Roger Sloan</v>
      </c>
      <c r="D258">
        <f ca="1">IFERROR(__xludf.DUMMYFUNCTION("""COMPUTED_VALUE"""),12)</f>
        <v>12</v>
      </c>
      <c r="E258" t="str">
        <f ca="1">IFERROR(__xludf.DUMMYFUNCTION("""COMPUTED_VALUE"""),"38' 2""")</f>
        <v>38' 2"</v>
      </c>
      <c r="F258">
        <f ca="1">IFERROR(__xludf.DUMMYFUNCTION("""COMPUTED_VALUE"""),71)</f>
        <v>71</v>
      </c>
      <c r="G258" s="2">
        <f ca="1">IFERROR(__xludf.DUMMYFUNCTION("""COMPUTED_VALUE"""),2710.167)</f>
        <v>2710.1669999999999</v>
      </c>
      <c r="H258">
        <f ca="1">IFERROR(__xludf.DUMMYFUNCTION("""COMPUTED_VALUE"""),-10)</f>
        <v>-10</v>
      </c>
    </row>
    <row r="259" spans="1:8" ht="12.75">
      <c r="A259" t="str">
        <f ca="1">IFERROR(__xludf.DUMMYFUNCTION("""COMPUTED_VALUE"""),"T258")</f>
        <v>T258</v>
      </c>
      <c r="B259" t="str">
        <f ca="1">IFERROR(__xludf.DUMMYFUNCTION("""COMPUTED_VALUE"""),"T251")</f>
        <v>T251</v>
      </c>
      <c r="C259" t="str">
        <f ca="1">IFERROR(__xludf.DUMMYFUNCTION("""COMPUTED_VALUE"""),"Christiaan Bezuidenhout")</f>
        <v>Christiaan Bezuidenhout</v>
      </c>
      <c r="D259">
        <f ca="1">IFERROR(__xludf.DUMMYFUNCTION("""COMPUTED_VALUE"""),4)</f>
        <v>4</v>
      </c>
      <c r="E259" t="str">
        <f ca="1">IFERROR(__xludf.DUMMYFUNCTION("""COMPUTED_VALUE"""),"38' 4""")</f>
        <v>38' 4"</v>
      </c>
      <c r="F259">
        <f ca="1">IFERROR(__xludf.DUMMYFUNCTION("""COMPUTED_VALUE"""),52)</f>
        <v>52</v>
      </c>
      <c r="G259" s="2">
        <f ca="1">IFERROR(__xludf.DUMMYFUNCTION("""COMPUTED_VALUE"""),1993.167)</f>
        <v>1993.1669999999999</v>
      </c>
      <c r="H259" t="str">
        <f ca="1">IFERROR(__xludf.DUMMYFUNCTION("""COMPUTED_VALUE"""),"+6.00")</f>
        <v>+6.00</v>
      </c>
    </row>
    <row r="260" spans="1:8" ht="12.75">
      <c r="A260" t="str">
        <f ca="1">IFERROR(__xludf.DUMMYFUNCTION("""COMPUTED_VALUE"""),"T258")</f>
        <v>T258</v>
      </c>
      <c r="B260" t="str">
        <f ca="1">IFERROR(__xludf.DUMMYFUNCTION("""COMPUTED_VALUE"""),"T251")</f>
        <v>T251</v>
      </c>
      <c r="C260" t="str">
        <f ca="1">IFERROR(__xludf.DUMMYFUNCTION("""COMPUTED_VALUE"""),"Jazz Janewattananond")</f>
        <v>Jazz Janewattananond</v>
      </c>
      <c r="D260">
        <f ca="1">IFERROR(__xludf.DUMMYFUNCTION("""COMPUTED_VALUE"""),6)</f>
        <v>6</v>
      </c>
      <c r="E260" t="str">
        <f ca="1">IFERROR(__xludf.DUMMYFUNCTION("""COMPUTED_VALUE"""),"38' 4""")</f>
        <v>38' 4"</v>
      </c>
      <c r="F260">
        <f ca="1">IFERROR(__xludf.DUMMYFUNCTION("""COMPUTED_VALUE"""),88)</f>
        <v>88</v>
      </c>
      <c r="G260" s="2">
        <f ca="1">IFERROR(__xludf.DUMMYFUNCTION("""COMPUTED_VALUE"""),3371.417)</f>
        <v>3371.4169999999999</v>
      </c>
      <c r="H260">
        <f ca="1">IFERROR(__xludf.DUMMYFUNCTION("""COMPUTED_VALUE"""),-4)</f>
        <v>-4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IFERROR(__xludf.DUMMYFUNCTION("""COMPUTED_VALUE"""),248)</f>
        <v>248</v>
      </c>
      <c r="C261" t="str">
        <f ca="1">IFERROR(__xludf.DUMMYFUNCTION("""COMPUTED_VALUE"""),"Henrik Stenson")</f>
        <v>Henrik Stenson</v>
      </c>
      <c r="D261">
        <f ca="1">IFERROR(__xludf.DUMMYFUNCTION("""COMPUTED_VALUE"""),11)</f>
        <v>11</v>
      </c>
      <c r="E261" t="str">
        <f ca="1">IFERROR(__xludf.DUMMYFUNCTION("""COMPUTED_VALUE"""),"38' 10""")</f>
        <v>38' 10"</v>
      </c>
      <c r="F261">
        <f ca="1">IFERROR(__xludf.DUMMYFUNCTION("""COMPUTED_VALUE"""),76)</f>
        <v>76</v>
      </c>
      <c r="G261" s="2">
        <f ca="1">IFERROR(__xludf.DUMMYFUNCTION("""COMPUTED_VALUE"""),2950)</f>
        <v>2950</v>
      </c>
      <c r="H261" t="str">
        <f ca="1">IFERROR(__xludf.DUMMYFUNCTION("""COMPUTED_VALUE"""),"+12.00")</f>
        <v>+12.00</v>
      </c>
    </row>
    <row r="262" spans="1:8" ht="12.75">
      <c r="A262" t="str">
        <f ca="1">IFERROR(__xludf.DUMMYFUNCTION("""COMPUTED_VALUE"""),"T261")</f>
        <v>T261</v>
      </c>
      <c r="B262" t="str">
        <f ca="1">IFERROR(__xludf.DUMMYFUNCTION("""COMPUTED_VALUE"""),"T256")</f>
        <v>T256</v>
      </c>
      <c r="C262" t="str">
        <f ca="1">IFERROR(__xludf.DUMMYFUNCTION("""COMPUTED_VALUE"""),"Billy Horschel")</f>
        <v>Billy Horschel</v>
      </c>
      <c r="D262">
        <f ca="1">IFERROR(__xludf.DUMMYFUNCTION("""COMPUTED_VALUE"""),12)</f>
        <v>12</v>
      </c>
      <c r="E262" t="str">
        <f ca="1">IFERROR(__xludf.DUMMYFUNCTION("""COMPUTED_VALUE"""),"38' 11""")</f>
        <v>38' 11"</v>
      </c>
      <c r="F262">
        <f ca="1">IFERROR(__xludf.DUMMYFUNCTION("""COMPUTED_VALUE"""),155)</f>
        <v>155</v>
      </c>
      <c r="G262" s="2">
        <f ca="1">IFERROR(__xludf.DUMMYFUNCTION("""COMPUTED_VALUE"""),6026.417)</f>
        <v>6026.4170000000004</v>
      </c>
      <c r="H262">
        <f ca="1">IFERROR(__xludf.DUMMYFUNCTION("""COMPUTED_VALUE"""),-8)</f>
        <v>-8</v>
      </c>
    </row>
    <row r="263" spans="1:8" ht="12.75">
      <c r="A263" t="str">
        <f ca="1">IFERROR(__xludf.DUMMYFUNCTION("""COMPUTED_VALUE"""),"T261")</f>
        <v>T261</v>
      </c>
      <c r="B263" t="str">
        <f ca="1">IFERROR(__xludf.DUMMYFUNCTION("""COMPUTED_VALUE"""),"T256")</f>
        <v>T256</v>
      </c>
      <c r="C263" t="str">
        <f ca="1">IFERROR(__xludf.DUMMYFUNCTION("""COMPUTED_VALUE"""),"Matt Wallace")</f>
        <v>Matt Wallace</v>
      </c>
      <c r="D263">
        <f ca="1">IFERROR(__xludf.DUMMYFUNCTION("""COMPUTED_VALUE"""),4)</f>
        <v>4</v>
      </c>
      <c r="E263" t="str">
        <f ca="1">IFERROR(__xludf.DUMMYFUNCTION("""COMPUTED_VALUE"""),"38' 11""")</f>
        <v>38' 11"</v>
      </c>
      <c r="F263">
        <f ca="1">IFERROR(__xludf.DUMMYFUNCTION("""COMPUTED_VALUE"""),51)</f>
        <v>51</v>
      </c>
      <c r="G263" s="2">
        <f ca="1">IFERROR(__xludf.DUMMYFUNCTION("""COMPUTED_VALUE"""),1982.75)</f>
        <v>1982.75</v>
      </c>
      <c r="H263" t="str">
        <f ca="1">IFERROR(__xludf.DUMMYFUNCTION("""COMPUTED_VALUE"""),"+9.00")</f>
        <v>+9.00</v>
      </c>
    </row>
    <row r="264" spans="1:8" ht="12.75">
      <c r="A264">
        <f ca="1">IFERROR(__xludf.DUMMYFUNCTION("""COMPUTED_VALUE"""),263)</f>
        <v>263</v>
      </c>
      <c r="B264" t="str">
        <f ca="1">IFERROR(__xludf.DUMMYFUNCTION("""COMPUTED_VALUE"""),"T249")</f>
        <v>T249</v>
      </c>
      <c r="C264" t="str">
        <f ca="1">IFERROR(__xludf.DUMMYFUNCTION("""COMPUTED_VALUE"""),"Beau Hossler")</f>
        <v>Beau Hossler</v>
      </c>
      <c r="D264">
        <f ca="1">IFERROR(__xludf.DUMMYFUNCTION("""COMPUTED_VALUE"""),22)</f>
        <v>22</v>
      </c>
      <c r="E264" t="str">
        <f ca="1">IFERROR(__xludf.DUMMYFUNCTION("""COMPUTED_VALUE"""),"39' 0""")</f>
        <v>39' 0"</v>
      </c>
      <c r="F264">
        <f ca="1">IFERROR(__xludf.DUMMYFUNCTION("""COMPUTED_VALUE"""),156)</f>
        <v>156</v>
      </c>
      <c r="G264" s="2">
        <f ca="1">IFERROR(__xludf.DUMMYFUNCTION("""COMPUTED_VALUE"""),6090.333)</f>
        <v>6090.3329999999996</v>
      </c>
      <c r="H264">
        <f ca="1">IFERROR(__xludf.DUMMYFUNCTION("""COMPUTED_VALUE"""),-16)</f>
        <v>-16</v>
      </c>
    </row>
    <row r="265" spans="1:8" ht="12.75">
      <c r="A265" t="str">
        <f ca="1">IFERROR(__xludf.DUMMYFUNCTION("""COMPUTED_VALUE"""),"T264")</f>
        <v>T264</v>
      </c>
      <c r="B265">
        <f ca="1">IFERROR(__xludf.DUMMYFUNCTION("""COMPUTED_VALUE"""),242)</f>
        <v>242</v>
      </c>
      <c r="C265" t="str">
        <f ca="1">IFERROR(__xludf.DUMMYFUNCTION("""COMPUTED_VALUE"""),"Martin Trainer")</f>
        <v>Martin Trainer</v>
      </c>
      <c r="D265">
        <f ca="1">IFERROR(__xludf.DUMMYFUNCTION("""COMPUTED_VALUE"""),10)</f>
        <v>10</v>
      </c>
      <c r="E265" t="str">
        <f ca="1">IFERROR(__xludf.DUMMYFUNCTION("""COMPUTED_VALUE"""),"39' 2""")</f>
        <v>39' 2"</v>
      </c>
      <c r="F265">
        <f ca="1">IFERROR(__xludf.DUMMYFUNCTION("""COMPUTED_VALUE"""),83)</f>
        <v>83</v>
      </c>
      <c r="G265" s="2">
        <f ca="1">IFERROR(__xludf.DUMMYFUNCTION("""COMPUTED_VALUE"""),3250.583)</f>
        <v>3250.5830000000001</v>
      </c>
      <c r="H265" t="str">
        <f ca="1">IFERROR(__xludf.DUMMYFUNCTION("""COMPUTED_VALUE"""),"+3.00")</f>
        <v>+3.00</v>
      </c>
    </row>
    <row r="266" spans="1:8" ht="12.75">
      <c r="A266" t="str">
        <f ca="1">IFERROR(__xludf.DUMMYFUNCTION("""COMPUTED_VALUE"""),"T264")</f>
        <v>T264</v>
      </c>
      <c r="B266">
        <f ca="1">IFERROR(__xludf.DUMMYFUNCTION("""COMPUTED_VALUE"""),258)</f>
        <v>258</v>
      </c>
      <c r="C266" t="str">
        <f ca="1">IFERROR(__xludf.DUMMYFUNCTION("""COMPUTED_VALUE"""),"Taylor Pendrith")</f>
        <v>Taylor Pendrith</v>
      </c>
      <c r="D266">
        <f ca="1">IFERROR(__xludf.DUMMYFUNCTION("""COMPUTED_VALUE"""),4)</f>
        <v>4</v>
      </c>
      <c r="E266" t="str">
        <f ca="1">IFERROR(__xludf.DUMMYFUNCTION("""COMPUTED_VALUE"""),"39' 2""")</f>
        <v>39' 2"</v>
      </c>
      <c r="F266">
        <f ca="1">IFERROR(__xludf.DUMMYFUNCTION("""COMPUTED_VALUE"""),39)</f>
        <v>39</v>
      </c>
      <c r="G266" s="2">
        <f ca="1">IFERROR(__xludf.DUMMYFUNCTION("""COMPUTED_VALUE"""),1526.083)</f>
        <v>1526.0830000000001</v>
      </c>
      <c r="H266" t="str">
        <f ca="1">IFERROR(__xludf.DUMMYFUNCTION("""COMPUTED_VALUE"""),"+1.00")</f>
        <v>+1.00</v>
      </c>
    </row>
    <row r="267" spans="1:8" ht="12.75">
      <c r="A267">
        <f ca="1">IFERROR(__xludf.DUMMYFUNCTION("""COMPUTED_VALUE"""),266)</f>
        <v>266</v>
      </c>
      <c r="B267" t="str">
        <f ca="1">IFERROR(__xludf.DUMMYFUNCTION("""COMPUTED_VALUE"""),"T254")</f>
        <v>T254</v>
      </c>
      <c r="C267" t="str">
        <f ca="1">IFERROR(__xludf.DUMMYFUNCTION("""COMPUTED_VALUE"""),"Rory Sabbatini")</f>
        <v>Rory Sabbatini</v>
      </c>
      <c r="D267">
        <f ca="1">IFERROR(__xludf.DUMMYFUNCTION("""COMPUTED_VALUE"""),13)</f>
        <v>13</v>
      </c>
      <c r="E267" t="str">
        <f ca="1">IFERROR(__xludf.DUMMYFUNCTION("""COMPUTED_VALUE"""),"39' 3""")</f>
        <v>39' 3"</v>
      </c>
      <c r="F267">
        <f ca="1">IFERROR(__xludf.DUMMYFUNCTION("""COMPUTED_VALUE"""),162)</f>
        <v>162</v>
      </c>
      <c r="G267" s="2">
        <f ca="1">IFERROR(__xludf.DUMMYFUNCTION("""COMPUTED_VALUE"""),6359.333)</f>
        <v>6359.3329999999996</v>
      </c>
      <c r="H267" t="str">
        <f ca="1">IFERROR(__xludf.DUMMYFUNCTION("""COMPUTED_VALUE"""),"+1.00")</f>
        <v>+1.00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IFERROR(__xludf.DUMMYFUNCTION("""COMPUTED_VALUE"""),"Thomas Detry")</f>
        <v>Thomas Detry</v>
      </c>
      <c r="D268">
        <f ca="1">IFERROR(__xludf.DUMMYFUNCTION("""COMPUTED_VALUE"""),8)</f>
        <v>8</v>
      </c>
      <c r="E268" t="str">
        <f ca="1">IFERROR(__xludf.DUMMYFUNCTION("""COMPUTED_VALUE"""),"39' 9""")</f>
        <v>39' 9"</v>
      </c>
      <c r="F268">
        <f ca="1">IFERROR(__xludf.DUMMYFUNCTION("""COMPUTED_VALUE"""),51)</f>
        <v>51</v>
      </c>
      <c r="G268" s="2">
        <f ca="1">IFERROR(__xludf.DUMMYFUNCTION("""COMPUTED_VALUE"""),2027.25)</f>
        <v>2027.25</v>
      </c>
      <c r="H268" t="str">
        <f ca="1">IFERROR(__xludf.DUMMYFUNCTION("""COMPUTED_VALUE"""),"+7.00")</f>
        <v>+7.00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IFERROR(__xludf.DUMMYFUNCTION("""COMPUTED_VALUE"""),"Parker McLachlin")</f>
        <v>Parker McLachlin</v>
      </c>
      <c r="D269">
        <f ca="1">IFERROR(__xludf.DUMMYFUNCTION("""COMPUTED_VALUE"""),4)</f>
        <v>4</v>
      </c>
      <c r="E269" t="str">
        <f ca="1">IFERROR(__xludf.DUMMYFUNCTION("""COMPUTED_VALUE"""),"39' 10""")</f>
        <v>39' 10"</v>
      </c>
      <c r="F269">
        <f ca="1">IFERROR(__xludf.DUMMYFUNCTION("""COMPUTED_VALUE"""),18)</f>
        <v>18</v>
      </c>
      <c r="G269">
        <f ca="1">IFERROR(__xludf.DUMMYFUNCTION("""COMPUTED_VALUE"""),716.5)</f>
        <v>716.5</v>
      </c>
      <c r="H269" t="str">
        <f ca="1">IFERROR(__xludf.DUMMYFUNCTION("""COMPUTED_VALUE"""),"+6.00")</f>
        <v>+6.00</v>
      </c>
    </row>
    <row r="270" spans="1:8" ht="12.75">
      <c r="A270" t="str">
        <f ca="1">IFERROR(__xludf.DUMMYFUNCTION("""COMPUTED_VALUE"""),"T269")</f>
        <v>T269</v>
      </c>
      <c r="B270" t="str">
        <f ca="1">IFERROR(__xludf.DUMMYFUNCTION("""COMPUTED_VALUE"""),"T261")</f>
        <v>T261</v>
      </c>
      <c r="C270" t="str">
        <f ca="1">IFERROR(__xludf.DUMMYFUNCTION("""COMPUTED_VALUE"""),"Shugo Imahira")</f>
        <v>Shugo Imahira</v>
      </c>
      <c r="D270">
        <f ca="1">IFERROR(__xludf.DUMMYFUNCTION("""COMPUTED_VALUE"""),8)</f>
        <v>8</v>
      </c>
      <c r="E270" t="str">
        <f ca="1">IFERROR(__xludf.DUMMYFUNCTION("""COMPUTED_VALUE"""),"40' 3""")</f>
        <v>40' 3"</v>
      </c>
      <c r="F270">
        <f ca="1">IFERROR(__xludf.DUMMYFUNCTION("""COMPUTED_VALUE"""),108)</f>
        <v>108</v>
      </c>
      <c r="G270" s="2">
        <f ca="1">IFERROR(__xludf.DUMMYFUNCTION("""COMPUTED_VALUE"""),4348.75)</f>
        <v>4348.75</v>
      </c>
      <c r="H270" t="str">
        <f ca="1">IFERROR(__xludf.DUMMYFUNCTION("""COMPUTED_VALUE"""),"+12.00")</f>
        <v>+12.00</v>
      </c>
    </row>
    <row r="271" spans="1:8" ht="12.75">
      <c r="A271" t="str">
        <f ca="1">IFERROR(__xludf.DUMMYFUNCTION("""COMPUTED_VALUE"""),"T269")</f>
        <v>T269</v>
      </c>
      <c r="B271" t="str">
        <f ca="1">IFERROR(__xludf.DUMMYFUNCTION("""COMPUTED_VALUE"""),"T261")</f>
        <v>T261</v>
      </c>
      <c r="C271" t="str">
        <f ca="1">IFERROR(__xludf.DUMMYFUNCTION("""COMPUTED_VALUE"""),"Matthias Schwab")</f>
        <v>Matthias Schwab</v>
      </c>
      <c r="D271">
        <f ca="1">IFERROR(__xludf.DUMMYFUNCTION("""COMPUTED_VALUE"""),8)</f>
        <v>8</v>
      </c>
      <c r="E271" t="str">
        <f ca="1">IFERROR(__xludf.DUMMYFUNCTION("""COMPUTED_VALUE"""),"40' 3""")</f>
        <v>40' 3"</v>
      </c>
      <c r="F271">
        <f ca="1">IFERROR(__xludf.DUMMYFUNCTION("""COMPUTED_VALUE"""),43)</f>
        <v>43</v>
      </c>
      <c r="G271" s="2">
        <f ca="1">IFERROR(__xludf.DUMMYFUNCTION("""COMPUTED_VALUE"""),1729.417)</f>
        <v>1729.4169999999999</v>
      </c>
      <c r="H271" t="str">
        <f ca="1">IFERROR(__xludf.DUMMYFUNCTION("""COMPUTED_VALUE"""),"+8.00")</f>
        <v>+8.00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IFERROR(__xludf.DUMMYFUNCTION("""COMPUTED_VALUE"""),"Ian Poulter")</f>
        <v>Ian Poulter</v>
      </c>
      <c r="D272">
        <f ca="1">IFERROR(__xludf.DUMMYFUNCTION("""COMPUTED_VALUE"""),6)</f>
        <v>6</v>
      </c>
      <c r="E272" t="str">
        <f ca="1">IFERROR(__xludf.DUMMYFUNCTION("""COMPUTED_VALUE"""),"40' 8""")</f>
        <v>40' 8"</v>
      </c>
      <c r="F272">
        <f ca="1">IFERROR(__xludf.DUMMYFUNCTION("""COMPUTED_VALUE"""),75)</f>
        <v>75</v>
      </c>
      <c r="G272" s="2">
        <f ca="1">IFERROR(__xludf.DUMMYFUNCTION("""COMPUTED_VALUE"""),3052.417)</f>
        <v>3052.4169999999999</v>
      </c>
      <c r="H272">
        <f ca="1">IFERROR(__xludf.DUMMYFUNCTION("""COMPUTED_VALUE"""),-4)</f>
        <v>-4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IFERROR(__xludf.DUMMYFUNCTION("""COMPUTED_VALUE"""),"Seamus Power")</f>
        <v>Seamus Power</v>
      </c>
      <c r="D273">
        <f ca="1">IFERROR(__xludf.DUMMYFUNCTION("""COMPUTED_VALUE"""),8)</f>
        <v>8</v>
      </c>
      <c r="E273" t="str">
        <f ca="1">IFERROR(__xludf.DUMMYFUNCTION("""COMPUTED_VALUE"""),"42' 11""")</f>
        <v>42' 11"</v>
      </c>
      <c r="F273">
        <f ca="1">IFERROR(__xludf.DUMMYFUNCTION("""COMPUTED_VALUE"""),24)</f>
        <v>24</v>
      </c>
      <c r="G273" s="2">
        <f ca="1">IFERROR(__xludf.DUMMYFUNCTION("""COMPUTED_VALUE"""),1029.25)</f>
        <v>1029.25</v>
      </c>
      <c r="H273">
        <f ca="1">IFERROR(__xludf.DUMMYFUNCTION("""COMPUTED_VALUE"""),-1)</f>
        <v>-1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IFERROR(__xludf.DUMMYFUNCTION("""COMPUTED_VALUE"""),"Stephan Jaeger")</f>
        <v>Stephan Jaeger</v>
      </c>
      <c r="D274">
        <f ca="1">IFERROR(__xludf.DUMMYFUNCTION("""COMPUTED_VALUE"""),4)</f>
        <v>4</v>
      </c>
      <c r="E274" t="str">
        <f ca="1">IFERROR(__xludf.DUMMYFUNCTION("""COMPUTED_VALUE"""),"43' 8""")</f>
        <v>43' 8"</v>
      </c>
      <c r="F274">
        <f ca="1">IFERROR(__xludf.DUMMYFUNCTION("""COMPUTED_VALUE"""),42)</f>
        <v>42</v>
      </c>
      <c r="G274" s="2">
        <f ca="1">IFERROR(__xludf.DUMMYFUNCTION("""COMPUTED_VALUE"""),1835)</f>
        <v>1835</v>
      </c>
      <c r="H274" t="str">
        <f ca="1">IFERROR(__xludf.DUMMYFUNCTION("""COMPUTED_VALUE"""),"+1.00")</f>
        <v>+1.00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IFERROR(__xludf.DUMMYFUNCTION("""COMPUTED_VALUE"""),"Robert MacIntyre")</f>
        <v>Robert MacIntyre</v>
      </c>
      <c r="D275">
        <f ca="1">IFERROR(__xludf.DUMMYFUNCTION("""COMPUTED_VALUE"""),4)</f>
        <v>4</v>
      </c>
      <c r="E275" t="str">
        <f ca="1">IFERROR(__xludf.DUMMYFUNCTION("""COMPUTED_VALUE"""),"44' 10""")</f>
        <v>44' 10"</v>
      </c>
      <c r="F275">
        <f ca="1">IFERROR(__xludf.DUMMYFUNCTION("""COMPUTED_VALUE"""),35)</f>
        <v>35</v>
      </c>
      <c r="G275" s="2">
        <f ca="1">IFERROR(__xludf.DUMMYFUNCTION("""COMPUTED_VALUE"""),1569.667)</f>
        <v>1569.6669999999999</v>
      </c>
      <c r="H275" t="str">
        <f ca="1">IFERROR(__xludf.DUMMYFUNCTION("""COMPUTED_VALUE"""),"+8.00")</f>
        <v>+8.00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IFERROR(__xludf.DUMMYFUNCTION("""COMPUTED_VALUE"""),"Renato Paratore")</f>
        <v>Renato Paratore</v>
      </c>
      <c r="D276">
        <f ca="1">IFERROR(__xludf.DUMMYFUNCTION("""COMPUTED_VALUE"""),4)</f>
        <v>4</v>
      </c>
      <c r="E276" t="str">
        <f ca="1">IFERROR(__xludf.DUMMYFUNCTION("""COMPUTED_VALUE"""),"45' 5""")</f>
        <v>45' 5"</v>
      </c>
      <c r="F276">
        <f ca="1">IFERROR(__xludf.DUMMYFUNCTION("""COMPUTED_VALUE"""),35)</f>
        <v>35</v>
      </c>
      <c r="G276" s="2">
        <f ca="1">IFERROR(__xludf.DUMMYFUNCTION("""COMPUTED_VALUE"""),1590)</f>
        <v>1590</v>
      </c>
      <c r="H276" t="str">
        <f ca="1">IFERROR(__xludf.DUMMYFUNCTION("""COMPUTED_VALUE"""),"+2.00")</f>
        <v>+2.00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IFERROR(__xludf.DUMMYFUNCTION("""COMPUTED_VALUE"""),"Bernd Wiesberger")</f>
        <v>Bernd Wiesberger</v>
      </c>
      <c r="D277">
        <f ca="1">IFERROR(__xludf.DUMMYFUNCTION("""COMPUTED_VALUE"""),4)</f>
        <v>4</v>
      </c>
      <c r="E277" t="str">
        <f ca="1">IFERROR(__xludf.DUMMYFUNCTION("""COMPUTED_VALUE"""),"46' 4""")</f>
        <v>46' 4"</v>
      </c>
      <c r="F277">
        <f ca="1">IFERROR(__xludf.DUMMYFUNCTION("""COMPUTED_VALUE"""),46)</f>
        <v>46</v>
      </c>
      <c r="G277" s="2">
        <f ca="1">IFERROR(__xludf.DUMMYFUNCTION("""COMPUTED_VALUE"""),2132.75)</f>
        <v>2132.75</v>
      </c>
      <c r="H277" t="str">
        <f ca="1">IFERROR(__xludf.DUMMYFUNCTION("""COMPUTED_VALUE"""),"+11.00")</f>
        <v>+11.00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IFERROR(__xludf.DUMMYFUNCTION("importhtml(""http://www.pgatour.com/stats/stat.340.html"",""table"",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IFERROR(__xludf.DUMMYFUNCTION("""COMPUTED_VALUE"""),"Robert MacIntyre")</f>
        <v>Robert MacIntyre</v>
      </c>
      <c r="D2">
        <f ca="1">IFERROR(__xludf.DUMMYFUNCTION("""COMPUTED_VALUE"""),4)</f>
        <v>4</v>
      </c>
      <c r="E2" t="str">
        <f ca="1">IFERROR(__xludf.DUMMYFUNCTION("""COMPUTED_VALUE"""),"3' 7""")</f>
        <v>3' 7"</v>
      </c>
      <c r="F2">
        <f ca="1">IFERROR(__xludf.DUMMYFUNCTION("""COMPUTED_VALUE"""),3.583)</f>
        <v>3.5830000000000002</v>
      </c>
      <c r="G2">
        <f ca="1">IFERROR(__xludf.DUMMYFUNCTION("""COMPUTED_VALUE"""),1)</f>
        <v>1</v>
      </c>
      <c r="H2" t="str">
        <f ca="1">IFERROR(__xludf.DUMMYFUNCTION("""COMPUTED_VALUE"""),"E")</f>
        <v>E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IFERROR(__xludf.DUMMYFUNCTION("""COMPUTED_VALUE"""),"Parker McLachlin")</f>
        <v>Parker McLachlin</v>
      </c>
      <c r="D3">
        <f ca="1">IFERROR(__xludf.DUMMYFUNCTION("""COMPUTED_VALUE"""),4)</f>
        <v>4</v>
      </c>
      <c r="E3" t="str">
        <f ca="1">IFERROR(__xludf.DUMMYFUNCTION("""COMPUTED_VALUE"""),"8' 11""")</f>
        <v>8' 11"</v>
      </c>
      <c r="F3">
        <f ca="1">IFERROR(__xludf.DUMMYFUNCTION("""COMPUTED_VALUE"""),8.917)</f>
        <v>8.9169999999999998</v>
      </c>
      <c r="G3">
        <f ca="1">IFERROR(__xludf.DUMMYFUNCTION("""COMPUTED_VALUE"""),1)</f>
        <v>1</v>
      </c>
      <c r="H3" t="str">
        <f ca="1">IFERROR(__xludf.DUMMYFUNCTION("""COMPUTED_VALUE"""),"E")</f>
        <v>E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IFERROR(__xludf.DUMMYFUNCTION("""COMPUTED_VALUE"""),"Stephan Jaeger")</f>
        <v>Stephan Jaeger</v>
      </c>
      <c r="D4">
        <f ca="1">IFERROR(__xludf.DUMMYFUNCTION("""COMPUTED_VALUE"""),4)</f>
        <v>4</v>
      </c>
      <c r="E4" t="str">
        <f ca="1">IFERROR(__xludf.DUMMYFUNCTION("""COMPUTED_VALUE"""),"10' 1""")</f>
        <v>10' 1"</v>
      </c>
      <c r="F4">
        <f ca="1">IFERROR(__xludf.DUMMYFUNCTION("""COMPUTED_VALUE"""),50.583)</f>
        <v>50.582999999999998</v>
      </c>
      <c r="G4">
        <f ca="1">IFERROR(__xludf.DUMMYFUNCTION("""COMPUTED_VALUE"""),5)</f>
        <v>5</v>
      </c>
      <c r="H4" t="str">
        <f ca="1">IFERROR(__xludf.DUMMYFUNCTION("""COMPUTED_VALUE"""),"+1")</f>
        <v>+1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IFERROR(__xludf.DUMMYFUNCTION("""COMPUTED_VALUE"""),"Josh Teater")</f>
        <v>Josh Teater</v>
      </c>
      <c r="D5">
        <f ca="1">IFERROR(__xludf.DUMMYFUNCTION("""COMPUTED_VALUE"""),6)</f>
        <v>6</v>
      </c>
      <c r="E5" t="str">
        <f ca="1">IFERROR(__xludf.DUMMYFUNCTION("""COMPUTED_VALUE"""),"10' 2""")</f>
        <v>10' 2"</v>
      </c>
      <c r="F5">
        <f ca="1">IFERROR(__xludf.DUMMYFUNCTION("""COMPUTED_VALUE"""),60.917)</f>
        <v>60.917000000000002</v>
      </c>
      <c r="G5">
        <f ca="1">IFERROR(__xludf.DUMMYFUNCTION("""COMPUTED_VALUE"""),6)</f>
        <v>6</v>
      </c>
      <c r="H5">
        <f ca="1">IFERROR(__xludf.DUMMYFUNCTION("""COMPUTED_VALUE"""),-2)</f>
        <v>-2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IFERROR(__xludf.DUMMYFUNCTION("""COMPUTED_VALUE"""),"George McNeill")</f>
        <v>George McNeill</v>
      </c>
      <c r="D6">
        <f ca="1">IFERROR(__xludf.DUMMYFUNCTION("""COMPUTED_VALUE"""),8)</f>
        <v>8</v>
      </c>
      <c r="E6" t="str">
        <f ca="1">IFERROR(__xludf.DUMMYFUNCTION("""COMPUTED_VALUE"""),"10' 9""")</f>
        <v>10' 9"</v>
      </c>
      <c r="F6">
        <f ca="1">IFERROR(__xludf.DUMMYFUNCTION("""COMPUTED_VALUE"""),43.083)</f>
        <v>43.082999999999998</v>
      </c>
      <c r="G6">
        <f ca="1">IFERROR(__xludf.DUMMYFUNCTION("""COMPUTED_VALUE"""),4)</f>
        <v>4</v>
      </c>
      <c r="H6">
        <f ca="1">IFERROR(__xludf.DUMMYFUNCTION("""COMPUTED_VALUE"""),-1)</f>
        <v>-1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IFERROR(__xludf.DUMMYFUNCTION("""COMPUTED_VALUE"""),"Kevin Kisner")</f>
        <v>Kevin Kisner</v>
      </c>
      <c r="D7">
        <f ca="1">IFERROR(__xludf.DUMMYFUNCTION("""COMPUTED_VALUE"""),10)</f>
        <v>10</v>
      </c>
      <c r="E7" t="str">
        <f ca="1">IFERROR(__xludf.DUMMYFUNCTION("""COMPUTED_VALUE"""),"11' 8""")</f>
        <v>11' 8"</v>
      </c>
      <c r="F7">
        <f ca="1">IFERROR(__xludf.DUMMYFUNCTION("""COMPUTED_VALUE"""),232.833)</f>
        <v>232.833</v>
      </c>
      <c r="G7">
        <f ca="1">IFERROR(__xludf.DUMMYFUNCTION("""COMPUTED_VALUE"""),20)</f>
        <v>20</v>
      </c>
      <c r="H7">
        <f ca="1">IFERROR(__xludf.DUMMYFUNCTION("""COMPUTED_VALUE"""),-9)</f>
        <v>-9</v>
      </c>
    </row>
    <row r="8" spans="1:8" ht="15.75" customHeight="1">
      <c r="A8" t="str">
        <f ca="1">IFERROR(__xludf.DUMMYFUNCTION("""COMPUTED_VALUE"""),"T7")</f>
        <v>T7</v>
      </c>
      <c r="B8" t="str">
        <f ca="1">IFERROR(__xludf.DUMMYFUNCTION("""COMPUTED_VALUE"""),"T7")</f>
        <v>T7</v>
      </c>
      <c r="C8" t="str">
        <f ca="1">IFERROR(__xludf.DUMMYFUNCTION("""COMPUTED_VALUE"""),"Thomas Pieters")</f>
        <v>Thomas Pieters</v>
      </c>
      <c r="D8">
        <f ca="1">IFERROR(__xludf.DUMMYFUNCTION("""COMPUTED_VALUE"""),4)</f>
        <v>4</v>
      </c>
      <c r="E8" t="str">
        <f ca="1">IFERROR(__xludf.DUMMYFUNCTION("""COMPUTED_VALUE"""),"11' 9""")</f>
        <v>11' 9"</v>
      </c>
      <c r="F8">
        <f ca="1">IFERROR(__xludf.DUMMYFUNCTION("""COMPUTED_VALUE"""),82.333)</f>
        <v>82.332999999999998</v>
      </c>
      <c r="G8">
        <f ca="1">IFERROR(__xludf.DUMMYFUNCTION("""COMPUTED_VALUE"""),7)</f>
        <v>7</v>
      </c>
      <c r="H8">
        <f ca="1">IFERROR(__xludf.DUMMYFUNCTION("""COMPUTED_VALUE"""),-1)</f>
        <v>-1</v>
      </c>
    </row>
    <row r="9" spans="1:8" ht="15.75" customHeight="1">
      <c r="A9" t="str">
        <f ca="1">IFERROR(__xludf.DUMMYFUNCTION("""COMPUTED_VALUE"""),"T7")</f>
        <v>T7</v>
      </c>
      <c r="B9" t="str">
        <f ca="1">IFERROR(__xludf.DUMMYFUNCTION("""COMPUTED_VALUE"""),"T7")</f>
        <v>T7</v>
      </c>
      <c r="C9" t="str">
        <f ca="1">IFERROR(__xludf.DUMMYFUNCTION("""COMPUTED_VALUE"""),"Ricky Barnes")</f>
        <v>Ricky Barnes</v>
      </c>
      <c r="D9">
        <f ca="1">IFERROR(__xludf.DUMMYFUNCTION("""COMPUTED_VALUE"""),12)</f>
        <v>12</v>
      </c>
      <c r="E9" t="str">
        <f ca="1">IFERROR(__xludf.DUMMYFUNCTION("""COMPUTED_VALUE"""),"11' 9""")</f>
        <v>11' 9"</v>
      </c>
      <c r="F9">
        <f ca="1">IFERROR(__xludf.DUMMYFUNCTION("""COMPUTED_VALUE"""),222.667)</f>
        <v>222.667</v>
      </c>
      <c r="G9">
        <f ca="1">IFERROR(__xludf.DUMMYFUNCTION("""COMPUTED_VALUE"""),19)</f>
        <v>19</v>
      </c>
      <c r="H9">
        <f ca="1">IFERROR(__xludf.DUMMYFUNCTION("""COMPUTED_VALUE"""),-6)</f>
        <v>-6</v>
      </c>
    </row>
    <row r="10" spans="1:8" ht="15.75" customHeight="1">
      <c r="A10">
        <f ca="1">IFERROR(__xludf.DUMMYFUNCTION("""COMPUTED_VALUE"""),9)</f>
        <v>9</v>
      </c>
      <c r="B10" t="str">
        <f ca="1">IFERROR(__xludf.DUMMYFUNCTION("""COMPUTED_VALUE"""),"T9")</f>
        <v>T9</v>
      </c>
      <c r="C10" t="str">
        <f ca="1">IFERROR(__xludf.DUMMYFUNCTION("""COMPUTED_VALUE"""),"Wesley Bryan")</f>
        <v>Wesley Bryan</v>
      </c>
      <c r="D10">
        <f ca="1">IFERROR(__xludf.DUMMYFUNCTION("""COMPUTED_VALUE"""),8)</f>
        <v>8</v>
      </c>
      <c r="E10" t="str">
        <f ca="1">IFERROR(__xludf.DUMMYFUNCTION("""COMPUTED_VALUE"""),"11' 11""")</f>
        <v>11' 11"</v>
      </c>
      <c r="F10">
        <f ca="1">IFERROR(__xludf.DUMMYFUNCTION("""COMPUTED_VALUE"""),155.167)</f>
        <v>155.167</v>
      </c>
      <c r="G10">
        <f ca="1">IFERROR(__xludf.DUMMYFUNCTION("""COMPUTED_VALUE"""),13)</f>
        <v>13</v>
      </c>
      <c r="H10">
        <f ca="1">IFERROR(__xludf.DUMMYFUNCTION("""COMPUTED_VALUE"""),-4)</f>
        <v>-4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IFERROR(__xludf.DUMMYFUNCTION("""COMPUTED_VALUE"""),11)</f>
        <v>11</v>
      </c>
      <c r="C11" t="str">
        <f ca="1">IFERROR(__xludf.DUMMYFUNCTION("""COMPUTED_VALUE"""),"Takumi Kanaya")</f>
        <v>Takumi Kanaya</v>
      </c>
      <c r="D11">
        <f ca="1">IFERROR(__xludf.DUMMYFUNCTION("""COMPUTED_VALUE"""),6)</f>
        <v>6</v>
      </c>
      <c r="E11" t="str">
        <f ca="1">IFERROR(__xludf.DUMMYFUNCTION("""COMPUTED_VALUE"""),"12' 5""")</f>
        <v>12' 5"</v>
      </c>
      <c r="F11">
        <f ca="1">IFERROR(__xludf.DUMMYFUNCTION("""COMPUTED_VALUE"""),136.75)</f>
        <v>136.75</v>
      </c>
      <c r="G11">
        <f ca="1">IFERROR(__xludf.DUMMYFUNCTION("""COMPUTED_VALUE"""),11)</f>
        <v>11</v>
      </c>
      <c r="H11">
        <f ca="1">IFERROR(__xludf.DUMMYFUNCTION("""COMPUTED_VALUE"""),-3)</f>
        <v>-3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IFERROR(__xludf.DUMMYFUNCTION("""COMPUTED_VALUE"""),12)</f>
        <v>12</v>
      </c>
      <c r="C12" t="str">
        <f ca="1">IFERROR(__xludf.DUMMYFUNCTION("""COMPUTED_VALUE"""),"Nelson Ledesma")</f>
        <v>Nelson Ledesma</v>
      </c>
      <c r="D12">
        <f ca="1">IFERROR(__xludf.DUMMYFUNCTION("""COMPUTED_VALUE"""),8)</f>
        <v>8</v>
      </c>
      <c r="E12" t="str">
        <f ca="1">IFERROR(__xludf.DUMMYFUNCTION("""COMPUTED_VALUE"""),"12' 8""")</f>
        <v>12' 8"</v>
      </c>
      <c r="F12">
        <f ca="1">IFERROR(__xludf.DUMMYFUNCTION("""COMPUTED_VALUE"""),114.167)</f>
        <v>114.167</v>
      </c>
      <c r="G12">
        <f ca="1">IFERROR(__xludf.DUMMYFUNCTION("""COMPUTED_VALUE"""),9)</f>
        <v>9</v>
      </c>
      <c r="H12">
        <f ca="1">IFERROR(__xludf.DUMMYFUNCTION("""COMPUTED_VALUE"""),-6)</f>
        <v>-6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IFERROR(__xludf.DUMMYFUNCTION("""COMPUTED_VALUE"""),14)</f>
        <v>14</v>
      </c>
      <c r="C13" t="str">
        <f ca="1">IFERROR(__xludf.DUMMYFUNCTION("""COMPUTED_VALUE"""),"D.J. Trahan")</f>
        <v>D.J. Trahan</v>
      </c>
      <c r="D13">
        <f ca="1">IFERROR(__xludf.DUMMYFUNCTION("""COMPUTED_VALUE"""),16)</f>
        <v>16</v>
      </c>
      <c r="E13" t="str">
        <f ca="1">IFERROR(__xludf.DUMMYFUNCTION("""COMPUTED_VALUE"""),"13' 1""")</f>
        <v>13' 1"</v>
      </c>
      <c r="F13">
        <f ca="1">IFERROR(__xludf.DUMMYFUNCTION("""COMPUTED_VALUE"""),248.083)</f>
        <v>248.083</v>
      </c>
      <c r="G13">
        <f ca="1">IFERROR(__xludf.DUMMYFUNCTION("""COMPUTED_VALUE"""),19)</f>
        <v>19</v>
      </c>
      <c r="H13">
        <f ca="1">IFERROR(__xludf.DUMMYFUNCTION("""COMPUTED_VALUE"""),-7)</f>
        <v>-7</v>
      </c>
    </row>
    <row r="14" spans="1:8" ht="15.75" customHeight="1">
      <c r="A14">
        <f ca="1">IFERROR(__xludf.DUMMYFUNCTION("""COMPUTED_VALUE"""),13)</f>
        <v>13</v>
      </c>
      <c r="B14">
        <f ca="1">IFERROR(__xludf.DUMMYFUNCTION("""COMPUTED_VALUE"""),15)</f>
        <v>15</v>
      </c>
      <c r="C14" t="str">
        <f ca="1">IFERROR(__xludf.DUMMYFUNCTION("""COMPUTED_VALUE"""),"Renato Paratore")</f>
        <v>Renato Paratore</v>
      </c>
      <c r="D14">
        <f ca="1">IFERROR(__xludf.DUMMYFUNCTION("""COMPUTED_VALUE"""),4)</f>
        <v>4</v>
      </c>
      <c r="E14" t="str">
        <f ca="1">IFERROR(__xludf.DUMMYFUNCTION("""COMPUTED_VALUE"""),"13' 2""")</f>
        <v>13' 2"</v>
      </c>
      <c r="F14">
        <f ca="1">IFERROR(__xludf.DUMMYFUNCTION("""COMPUTED_VALUE"""),26.25)</f>
        <v>26.25</v>
      </c>
      <c r="G14">
        <f ca="1">IFERROR(__xludf.DUMMYFUNCTION("""COMPUTED_VALUE"""),2)</f>
        <v>2</v>
      </c>
      <c r="H14" t="str">
        <f ca="1">IFERROR(__xludf.DUMMYFUNCTION("""COMPUTED_VALUE"""),"+2")</f>
        <v>+2</v>
      </c>
    </row>
    <row r="15" spans="1:8" ht="15.75" customHeight="1">
      <c r="A15">
        <f ca="1">IFERROR(__xludf.DUMMYFUNCTION("""COMPUTED_VALUE"""),14)</f>
        <v>14</v>
      </c>
      <c r="B15">
        <f ca="1">IFERROR(__xludf.DUMMYFUNCTION("""COMPUTED_VALUE"""),16)</f>
        <v>16</v>
      </c>
      <c r="C15" t="str">
        <f ca="1">IFERROR(__xludf.DUMMYFUNCTION("""COMPUTED_VALUE"""),"Matthew Fitzpatrick")</f>
        <v>Matthew Fitzpatrick</v>
      </c>
      <c r="D15">
        <f ca="1">IFERROR(__xludf.DUMMYFUNCTION("""COMPUTED_VALUE"""),10)</f>
        <v>10</v>
      </c>
      <c r="E15" t="str">
        <f ca="1">IFERROR(__xludf.DUMMYFUNCTION("""COMPUTED_VALUE"""),"13' 3""")</f>
        <v>13' 3"</v>
      </c>
      <c r="F15">
        <f ca="1">IFERROR(__xludf.DUMMYFUNCTION("""COMPUTED_VALUE"""),238.167)</f>
        <v>238.167</v>
      </c>
      <c r="G15">
        <f ca="1">IFERROR(__xludf.DUMMYFUNCTION("""COMPUTED_VALUE"""),18)</f>
        <v>18</v>
      </c>
      <c r="H15">
        <f ca="1">IFERROR(__xludf.DUMMYFUNCTION("""COMPUTED_VALUE"""),-3)</f>
        <v>-3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IFERROR(__xludf.DUMMYFUNCTION("""COMPUTED_VALUE"""),17)</f>
        <v>17</v>
      </c>
      <c r="C16" t="str">
        <f ca="1">IFERROR(__xludf.DUMMYFUNCTION("""COMPUTED_VALUE"""),"William McGirt")</f>
        <v>William McGirt</v>
      </c>
      <c r="D16">
        <f ca="1">IFERROR(__xludf.DUMMYFUNCTION("""COMPUTED_VALUE"""),6)</f>
        <v>6</v>
      </c>
      <c r="E16" t="str">
        <f ca="1">IFERROR(__xludf.DUMMYFUNCTION("""COMPUTED_VALUE"""),"13' 4""")</f>
        <v>13' 4"</v>
      </c>
      <c r="F16">
        <f ca="1">IFERROR(__xludf.DUMMYFUNCTION("""COMPUTED_VALUE"""),266.917)</f>
        <v>266.91699999999997</v>
      </c>
      <c r="G16">
        <f ca="1">IFERROR(__xludf.DUMMYFUNCTION("""COMPUTED_VALUE"""),20)</f>
        <v>20</v>
      </c>
      <c r="H16">
        <f ca="1">IFERROR(__xludf.DUMMYFUNCTION("""COMPUTED_VALUE"""),-5)</f>
        <v>-5</v>
      </c>
    </row>
    <row r="17" spans="1:8" ht="15.75" customHeight="1">
      <c r="A17">
        <f ca="1">IFERROR(__xludf.DUMMYFUNCTION("""COMPUTED_VALUE"""),16)</f>
        <v>16</v>
      </c>
      <c r="B17" t="str">
        <f ca="1">IFERROR(__xludf.DUMMYFUNCTION("""COMPUTED_VALUE"""),"T18")</f>
        <v>T18</v>
      </c>
      <c r="C17" t="str">
        <f ca="1">IFERROR(__xludf.DUMMYFUNCTION("""COMPUTED_VALUE"""),"Andy Zhang")</f>
        <v>Andy Zhang</v>
      </c>
      <c r="D17">
        <f ca="1">IFERROR(__xludf.DUMMYFUNCTION("""COMPUTED_VALUE"""),4)</f>
        <v>4</v>
      </c>
      <c r="E17" t="str">
        <f ca="1">IFERROR(__xludf.DUMMYFUNCTION("""COMPUTED_VALUE"""),"13' 6""")</f>
        <v>13' 6"</v>
      </c>
      <c r="F17">
        <f ca="1">IFERROR(__xludf.DUMMYFUNCTION("""COMPUTED_VALUE"""),188.583)</f>
        <v>188.583</v>
      </c>
      <c r="G17">
        <f ca="1">IFERROR(__xludf.DUMMYFUNCTION("""COMPUTED_VALUE"""),14)</f>
        <v>14</v>
      </c>
      <c r="H17">
        <f ca="1">IFERROR(__xludf.DUMMYFUNCTION("""COMPUTED_VALUE"""),-6)</f>
        <v>-6</v>
      </c>
    </row>
    <row r="18" spans="1:8" ht="15.75" customHeight="1">
      <c r="A18">
        <f ca="1">IFERROR(__xludf.DUMMYFUNCTION("""COMPUTED_VALUE"""),17)</f>
        <v>17</v>
      </c>
      <c r="B18" t="str">
        <f ca="1">IFERROR(__xludf.DUMMYFUNCTION("""COMPUTED_VALUE"""),"T9")</f>
        <v>T9</v>
      </c>
      <c r="C18" t="str">
        <f ca="1">IFERROR(__xludf.DUMMYFUNCTION("""COMPUTED_VALUE"""),"Bo Van Pelt")</f>
        <v>Bo Van Pelt</v>
      </c>
      <c r="D18">
        <f ca="1">IFERROR(__xludf.DUMMYFUNCTION("""COMPUTED_VALUE"""),10)</f>
        <v>10</v>
      </c>
      <c r="E18" t="str">
        <f ca="1">IFERROR(__xludf.DUMMYFUNCTION("""COMPUTED_VALUE"""),"13' 8""")</f>
        <v>13' 8"</v>
      </c>
      <c r="F18">
        <f ca="1">IFERROR(__xludf.DUMMYFUNCTION("""COMPUTED_VALUE"""),301.167)</f>
        <v>301.16699999999997</v>
      </c>
      <c r="G18">
        <f ca="1">IFERROR(__xludf.DUMMYFUNCTION("""COMPUTED_VALUE"""),22)</f>
        <v>22</v>
      </c>
      <c r="H18">
        <f ca="1">IFERROR(__xludf.DUMMYFUNCTION("""COMPUTED_VALUE"""),-9)</f>
        <v>-9</v>
      </c>
    </row>
    <row r="19" spans="1:8" ht="15.75" customHeight="1">
      <c r="A19" t="str">
        <f ca="1">IFERROR(__xludf.DUMMYFUNCTION("""COMPUTED_VALUE"""),"T18")</f>
        <v>T18</v>
      </c>
      <c r="B19" t="str">
        <f ca="1">IFERROR(__xludf.DUMMYFUNCTION("""COMPUTED_VALUE"""),"T21")</f>
        <v>T21</v>
      </c>
      <c r="C19" t="str">
        <f ca="1">IFERROR(__xludf.DUMMYFUNCTION("""COMPUTED_VALUE"""),"Bud Cauley")</f>
        <v>Bud Cauley</v>
      </c>
      <c r="D19">
        <f ca="1">IFERROR(__xludf.DUMMYFUNCTION("""COMPUTED_VALUE"""),4)</f>
        <v>4</v>
      </c>
      <c r="E19" t="str">
        <f ca="1">IFERROR(__xludf.DUMMYFUNCTION("""COMPUTED_VALUE"""),"13' 9""")</f>
        <v>13' 9"</v>
      </c>
      <c r="F19">
        <f ca="1">IFERROR(__xludf.DUMMYFUNCTION("""COMPUTED_VALUE"""),178.583)</f>
        <v>178.583</v>
      </c>
      <c r="G19">
        <f ca="1">IFERROR(__xludf.DUMMYFUNCTION("""COMPUTED_VALUE"""),13)</f>
        <v>13</v>
      </c>
      <c r="H19">
        <f ca="1">IFERROR(__xludf.DUMMYFUNCTION("""COMPUTED_VALUE"""),-3)</f>
        <v>-3</v>
      </c>
    </row>
    <row r="20" spans="1:8" ht="15.75" customHeight="1">
      <c r="A20" t="str">
        <f ca="1">IFERROR(__xludf.DUMMYFUNCTION("""COMPUTED_VALUE"""),"T18")</f>
        <v>T18</v>
      </c>
      <c r="B20" t="str">
        <f ca="1">IFERROR(__xludf.DUMMYFUNCTION("""COMPUTED_VALUE"""),"T21")</f>
        <v>T21</v>
      </c>
      <c r="C20" t="str">
        <f ca="1">IFERROR(__xludf.DUMMYFUNCTION("""COMPUTED_VALUE"""),"George Markham")</f>
        <v>George Markham</v>
      </c>
      <c r="D20">
        <f ca="1">IFERROR(__xludf.DUMMYFUNCTION("""COMPUTED_VALUE"""),4)</f>
        <v>4</v>
      </c>
      <c r="E20" t="str">
        <f ca="1">IFERROR(__xludf.DUMMYFUNCTION("""COMPUTED_VALUE"""),"13' 9""")</f>
        <v>13' 9"</v>
      </c>
      <c r="F20">
        <f ca="1">IFERROR(__xludf.DUMMYFUNCTION("""COMPUTED_VALUE"""),151.5)</f>
        <v>151.5</v>
      </c>
      <c r="G20">
        <f ca="1">IFERROR(__xludf.DUMMYFUNCTION("""COMPUTED_VALUE"""),11)</f>
        <v>11</v>
      </c>
      <c r="H20">
        <f ca="1">IFERROR(__xludf.DUMMYFUNCTION("""COMPUTED_VALUE"""),-4)</f>
        <v>-4</v>
      </c>
    </row>
    <row r="21" spans="1:8" ht="15.75" customHeight="1">
      <c r="A21" t="str">
        <f ca="1">IFERROR(__xludf.DUMMYFUNCTION("""COMPUTED_VALUE"""),"T20")</f>
        <v>T20</v>
      </c>
      <c r="B21">
        <f ca="1">IFERROR(__xludf.DUMMYFUNCTION("""COMPUTED_VALUE"""),25)</f>
        <v>25</v>
      </c>
      <c r="C21" t="str">
        <f ca="1">IFERROR(__xludf.DUMMYFUNCTION("""COMPUTED_VALUE"""),"Luke List")</f>
        <v>Luke List</v>
      </c>
      <c r="D21">
        <f ca="1">IFERROR(__xludf.DUMMYFUNCTION("""COMPUTED_VALUE"""),18)</f>
        <v>18</v>
      </c>
      <c r="E21" t="str">
        <f ca="1">IFERROR(__xludf.DUMMYFUNCTION("""COMPUTED_VALUE"""),"13' 10""")</f>
        <v>13' 10"</v>
      </c>
      <c r="F21">
        <f ca="1">IFERROR(__xludf.DUMMYFUNCTION("""COMPUTED_VALUE"""),331.333)</f>
        <v>331.33300000000003</v>
      </c>
      <c r="G21">
        <f ca="1">IFERROR(__xludf.DUMMYFUNCTION("""COMPUTED_VALUE"""),24)</f>
        <v>24</v>
      </c>
      <c r="H21">
        <f ca="1">IFERROR(__xludf.DUMMYFUNCTION("""COMPUTED_VALUE"""),-4)</f>
        <v>-4</v>
      </c>
    </row>
    <row r="22" spans="1:8" ht="15.75" customHeight="1">
      <c r="A22" t="str">
        <f ca="1">IFERROR(__xludf.DUMMYFUNCTION("""COMPUTED_VALUE"""),"T20")</f>
        <v>T20</v>
      </c>
      <c r="B22">
        <f ca="1">IFERROR(__xludf.DUMMYFUNCTION("""COMPUTED_VALUE"""),35)</f>
        <v>35</v>
      </c>
      <c r="C22" t="str">
        <f ca="1">IFERROR(__xludf.DUMMYFUNCTION("""COMPUTED_VALUE"""),"Sepp Straka")</f>
        <v>Sepp Straka</v>
      </c>
      <c r="D22">
        <f ca="1">IFERROR(__xludf.DUMMYFUNCTION("""COMPUTED_VALUE"""),22)</f>
        <v>22</v>
      </c>
      <c r="E22" t="str">
        <f ca="1">IFERROR(__xludf.DUMMYFUNCTION("""COMPUTED_VALUE"""),"13' 10""")</f>
        <v>13' 10"</v>
      </c>
      <c r="F22">
        <f ca="1">IFERROR(__xludf.DUMMYFUNCTION("""COMPUTED_VALUE"""),593.583)</f>
        <v>593.58299999999997</v>
      </c>
      <c r="G22">
        <f ca="1">IFERROR(__xludf.DUMMYFUNCTION("""COMPUTED_VALUE"""),43)</f>
        <v>43</v>
      </c>
      <c r="H22">
        <f ca="1">IFERROR(__xludf.DUMMYFUNCTION("""COMPUTED_VALUE"""),-21)</f>
        <v>-21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IFERROR(__xludf.DUMMYFUNCTION("""COMPUTED_VALUE"""),23)</f>
        <v>23</v>
      </c>
      <c r="C23" t="str">
        <f ca="1">IFERROR(__xludf.DUMMYFUNCTION("""COMPUTED_VALUE"""),"J.J. Spaun")</f>
        <v>J.J. Spaun</v>
      </c>
      <c r="D23">
        <f ca="1">IFERROR(__xludf.DUMMYFUNCTION("""COMPUTED_VALUE"""),10)</f>
        <v>10</v>
      </c>
      <c r="E23" t="str">
        <f ca="1">IFERROR(__xludf.DUMMYFUNCTION("""COMPUTED_VALUE"""),"13' 11""")</f>
        <v>13' 11"</v>
      </c>
      <c r="F23">
        <f ca="1">IFERROR(__xludf.DUMMYFUNCTION("""COMPUTED_VALUE"""),347.5)</f>
        <v>347.5</v>
      </c>
      <c r="G23">
        <f ca="1">IFERROR(__xludf.DUMMYFUNCTION("""COMPUTED_VALUE"""),25)</f>
        <v>25</v>
      </c>
      <c r="H23">
        <f ca="1">IFERROR(__xludf.DUMMYFUNCTION("""COMPUTED_VALUE"""),-5)</f>
        <v>-5</v>
      </c>
    </row>
    <row r="24" spans="1:8" ht="15.75" customHeight="1">
      <c r="A24">
        <f ca="1">IFERROR(__xludf.DUMMYFUNCTION("""COMPUTED_VALUE"""),23)</f>
        <v>23</v>
      </c>
      <c r="B24" t="str">
        <f ca="1">IFERROR(__xludf.DUMMYFUNCTION("""COMPUTED_VALUE"""),"T18")</f>
        <v>T18</v>
      </c>
      <c r="C24" t="str">
        <f ca="1">IFERROR(__xludf.DUMMYFUNCTION("""COMPUTED_VALUE"""),"Satoshi Kodaira")</f>
        <v>Satoshi Kodaira</v>
      </c>
      <c r="D24">
        <f ca="1">IFERROR(__xludf.DUMMYFUNCTION("""COMPUTED_VALUE"""),12)</f>
        <v>12</v>
      </c>
      <c r="E24" t="str">
        <f ca="1">IFERROR(__xludf.DUMMYFUNCTION("""COMPUTED_VALUE"""),"14' 1""")</f>
        <v>14' 1"</v>
      </c>
      <c r="F24">
        <f ca="1">IFERROR(__xludf.DUMMYFUNCTION("""COMPUTED_VALUE"""),367.167)</f>
        <v>367.16699999999997</v>
      </c>
      <c r="G24">
        <f ca="1">IFERROR(__xludf.DUMMYFUNCTION("""COMPUTED_VALUE"""),26)</f>
        <v>26</v>
      </c>
      <c r="H24">
        <f ca="1">IFERROR(__xludf.DUMMYFUNCTION("""COMPUTED_VALUE"""),-7)</f>
        <v>-7</v>
      </c>
    </row>
    <row r="25" spans="1:8" ht="15.75" customHeight="1">
      <c r="A25" t="str">
        <f ca="1">IFERROR(__xludf.DUMMYFUNCTION("""COMPUTED_VALUE"""),"T24")</f>
        <v>T24</v>
      </c>
      <c r="B25" t="str">
        <f ca="1">IFERROR(__xludf.DUMMYFUNCTION("""COMPUTED_VALUE"""),"")</f>
        <v/>
      </c>
      <c r="C25" t="str">
        <f ca="1">IFERROR(__xludf.DUMMYFUNCTION("""COMPUTED_VALUE"""),"Padraig Harrington")</f>
        <v>Padraig Harrington</v>
      </c>
      <c r="D25">
        <f ca="1">IFERROR(__xludf.DUMMYFUNCTION("""COMPUTED_VALUE"""),8)</f>
        <v>8</v>
      </c>
      <c r="E25" t="str">
        <f ca="1">IFERROR(__xludf.DUMMYFUNCTION("""COMPUTED_VALUE"""),"14' 2""")</f>
        <v>14' 2"</v>
      </c>
      <c r="F25">
        <f ca="1">IFERROR(__xludf.DUMMYFUNCTION("""COMPUTED_VALUE"""),99.083)</f>
        <v>99.082999999999998</v>
      </c>
      <c r="G25">
        <f ca="1">IFERROR(__xludf.DUMMYFUNCTION("""COMPUTED_VALUE"""),7)</f>
        <v>7</v>
      </c>
      <c r="H25">
        <f ca="1">IFERROR(__xludf.DUMMYFUNCTION("""COMPUTED_VALUE"""),-1)</f>
        <v>-1</v>
      </c>
    </row>
    <row r="26" spans="1:8" ht="15.75" customHeight="1">
      <c r="A26" t="str">
        <f ca="1">IFERROR(__xludf.DUMMYFUNCTION("""COMPUTED_VALUE"""),"T24")</f>
        <v>T24</v>
      </c>
      <c r="B26" t="str">
        <f ca="1">IFERROR(__xludf.DUMMYFUNCTION("""COMPUTED_VALUE"""),"T26")</f>
        <v>T26</v>
      </c>
      <c r="C26" t="str">
        <f ca="1">IFERROR(__xludf.DUMMYFUNCTION("""COMPUTED_VALUE"""),"Jon Rahm")</f>
        <v>Jon Rahm</v>
      </c>
      <c r="D26">
        <f ca="1">IFERROR(__xludf.DUMMYFUNCTION("""COMPUTED_VALUE"""),12)</f>
        <v>12</v>
      </c>
      <c r="E26" t="str">
        <f ca="1">IFERROR(__xludf.DUMMYFUNCTION("""COMPUTED_VALUE"""),"14' 2""")</f>
        <v>14' 2"</v>
      </c>
      <c r="F26">
        <f ca="1">IFERROR(__xludf.DUMMYFUNCTION("""COMPUTED_VALUE"""),369.333)</f>
        <v>369.33300000000003</v>
      </c>
      <c r="G26">
        <f ca="1">IFERROR(__xludf.DUMMYFUNCTION("""COMPUTED_VALUE"""),26)</f>
        <v>26</v>
      </c>
      <c r="H26">
        <f ca="1">IFERROR(__xludf.DUMMYFUNCTION("""COMPUTED_VALUE"""),-4)</f>
        <v>-4</v>
      </c>
    </row>
    <row r="27" spans="1:8" ht="15.75" customHeight="1">
      <c r="A27" t="str">
        <f ca="1">IFERROR(__xludf.DUMMYFUNCTION("""COMPUTED_VALUE"""),"T26")</f>
        <v>T26</v>
      </c>
      <c r="B27" t="str">
        <f ca="1">IFERROR(__xludf.DUMMYFUNCTION("""COMPUTED_VALUE"""),"T28")</f>
        <v>T28</v>
      </c>
      <c r="C27" t="str">
        <f ca="1">IFERROR(__xludf.DUMMYFUNCTION("""COMPUTED_VALUE"""),"Cameron Smith")</f>
        <v>Cameron Smith</v>
      </c>
      <c r="D27">
        <f ca="1">IFERROR(__xludf.DUMMYFUNCTION("""COMPUTED_VALUE"""),16)</f>
        <v>16</v>
      </c>
      <c r="E27" t="str">
        <f ca="1">IFERROR(__xludf.DUMMYFUNCTION("""COMPUTED_VALUE"""),"14' 3""")</f>
        <v>14' 3"</v>
      </c>
      <c r="F27">
        <f ca="1">IFERROR(__xludf.DUMMYFUNCTION("""COMPUTED_VALUE"""),513.583)</f>
        <v>513.58299999999997</v>
      </c>
      <c r="G27">
        <f ca="1">IFERROR(__xludf.DUMMYFUNCTION("""COMPUTED_VALUE"""),36)</f>
        <v>36</v>
      </c>
      <c r="H27">
        <f ca="1">IFERROR(__xludf.DUMMYFUNCTION("""COMPUTED_VALUE"""),-10)</f>
        <v>-10</v>
      </c>
    </row>
    <row r="28" spans="1:8" ht="15.75" customHeight="1">
      <c r="A28" t="str">
        <f ca="1">IFERROR(__xludf.DUMMYFUNCTION("""COMPUTED_VALUE"""),"T26")</f>
        <v>T26</v>
      </c>
      <c r="B28" t="str">
        <f ca="1">IFERROR(__xludf.DUMMYFUNCTION("""COMPUTED_VALUE"""),"T28")</f>
        <v>T28</v>
      </c>
      <c r="C28" t="str">
        <f ca="1">IFERROR(__xludf.DUMMYFUNCTION("""COMPUTED_VALUE"""),"Byeong Hun An")</f>
        <v>Byeong Hun An</v>
      </c>
      <c r="D28">
        <f ca="1">IFERROR(__xludf.DUMMYFUNCTION("""COMPUTED_VALUE"""),14)</f>
        <v>14</v>
      </c>
      <c r="E28" t="str">
        <f ca="1">IFERROR(__xludf.DUMMYFUNCTION("""COMPUTED_VALUE"""),"14' 3""")</f>
        <v>14' 3"</v>
      </c>
      <c r="F28">
        <f ca="1">IFERROR(__xludf.DUMMYFUNCTION("""COMPUTED_VALUE"""),328.5)</f>
        <v>328.5</v>
      </c>
      <c r="G28">
        <f ca="1">IFERROR(__xludf.DUMMYFUNCTION("""COMPUTED_VALUE"""),23)</f>
        <v>23</v>
      </c>
      <c r="H28">
        <f ca="1">IFERROR(__xludf.DUMMYFUNCTION("""COMPUTED_VALUE"""),-5)</f>
        <v>-5</v>
      </c>
    </row>
    <row r="29" spans="1:8" ht="15.75" customHeight="1">
      <c r="A29">
        <f ca="1">IFERROR(__xludf.DUMMYFUNCTION("""COMPUTED_VALUE"""),28)</f>
        <v>28</v>
      </c>
      <c r="B29">
        <f ca="1">IFERROR(__xludf.DUMMYFUNCTION("""COMPUTED_VALUE"""),34)</f>
        <v>34</v>
      </c>
      <c r="C29" t="str">
        <f ca="1">IFERROR(__xludf.DUMMYFUNCTION("""COMPUTED_VALUE"""),"Shane Lowry")</f>
        <v>Shane Lowry</v>
      </c>
      <c r="D29">
        <f ca="1">IFERROR(__xludf.DUMMYFUNCTION("""COMPUTED_VALUE"""),14)</f>
        <v>14</v>
      </c>
      <c r="E29" t="str">
        <f ca="1">IFERROR(__xludf.DUMMYFUNCTION("""COMPUTED_VALUE"""),"14' 5""")</f>
        <v>14' 5"</v>
      </c>
      <c r="F29">
        <f ca="1">IFERROR(__xludf.DUMMYFUNCTION("""COMPUTED_VALUE"""),506)</f>
        <v>506</v>
      </c>
      <c r="G29">
        <f ca="1">IFERROR(__xludf.DUMMYFUNCTION("""COMPUTED_VALUE"""),35)</f>
        <v>35</v>
      </c>
      <c r="H29">
        <f ca="1">IFERROR(__xludf.DUMMYFUNCTION("""COMPUTED_VALUE"""),-4)</f>
        <v>-4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IFERROR(__xludf.DUMMYFUNCTION("""COMPUTED_VALUE"""),"T36")</f>
        <v>T36</v>
      </c>
      <c r="C30" t="str">
        <f ca="1">IFERROR(__xludf.DUMMYFUNCTION("""COMPUTED_VALUE"""),"Jim Furyk")</f>
        <v>Jim Furyk</v>
      </c>
      <c r="D30">
        <f ca="1">IFERROR(__xludf.DUMMYFUNCTION("""COMPUTED_VALUE"""),4)</f>
        <v>4</v>
      </c>
      <c r="E30" t="str">
        <f ca="1">IFERROR(__xludf.DUMMYFUNCTION("""COMPUTED_VALUE"""),"14' 7""")</f>
        <v>14' 7"</v>
      </c>
      <c r="F30">
        <f ca="1">IFERROR(__xludf.DUMMYFUNCTION("""COMPUTED_VALUE"""),262)</f>
        <v>262</v>
      </c>
      <c r="G30">
        <f ca="1">IFERROR(__xludf.DUMMYFUNCTION("""COMPUTED_VALUE"""),18)</f>
        <v>18</v>
      </c>
      <c r="H30">
        <f ca="1">IFERROR(__xludf.DUMMYFUNCTION("""COMPUTED_VALUE"""),-5)</f>
        <v>-5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IFERROR(__xludf.DUMMYFUNCTION("""COMPUTED_VALUE"""),"T45")</f>
        <v>T45</v>
      </c>
      <c r="C31" t="str">
        <f ca="1">IFERROR(__xludf.DUMMYFUNCTION("""COMPUTED_VALUE"""),"Aaron Wise")</f>
        <v>Aaron Wise</v>
      </c>
      <c r="D31">
        <f ca="1">IFERROR(__xludf.DUMMYFUNCTION("""COMPUTED_VALUE"""),16)</f>
        <v>16</v>
      </c>
      <c r="E31" t="str">
        <f ca="1">IFERROR(__xludf.DUMMYFUNCTION("""COMPUTED_VALUE"""),"14' 7""")</f>
        <v>14' 7"</v>
      </c>
      <c r="F31">
        <f ca="1">IFERROR(__xludf.DUMMYFUNCTION("""COMPUTED_VALUE"""),539.917)</f>
        <v>539.91700000000003</v>
      </c>
      <c r="G31">
        <f ca="1">IFERROR(__xludf.DUMMYFUNCTION("""COMPUTED_VALUE"""),37)</f>
        <v>37</v>
      </c>
      <c r="H31">
        <f ca="1">IFERROR(__xludf.DUMMYFUNCTION("""COMPUTED_VALUE"""),-9)</f>
        <v>-9</v>
      </c>
    </row>
    <row r="32" spans="1:8" ht="12.75">
      <c r="A32" t="str">
        <f ca="1">IFERROR(__xludf.DUMMYFUNCTION("""COMPUTED_VALUE"""),"T29")</f>
        <v>T29</v>
      </c>
      <c r="B32" t="str">
        <f ca="1">IFERROR(__xludf.DUMMYFUNCTION("""COMPUTED_VALUE"""),"T36")</f>
        <v>T36</v>
      </c>
      <c r="C32" t="str">
        <f ca="1">IFERROR(__xludf.DUMMYFUNCTION("""COMPUTED_VALUE"""),"Justin Suh")</f>
        <v>Justin Suh</v>
      </c>
      <c r="D32">
        <f ca="1">IFERROR(__xludf.DUMMYFUNCTION("""COMPUTED_VALUE"""),10)</f>
        <v>10</v>
      </c>
      <c r="E32" t="str">
        <f ca="1">IFERROR(__xludf.DUMMYFUNCTION("""COMPUTED_VALUE"""),"14' 7""")</f>
        <v>14' 7"</v>
      </c>
      <c r="F32">
        <f ca="1">IFERROR(__xludf.DUMMYFUNCTION("""COMPUTED_VALUE"""),218.25)</f>
        <v>218.25</v>
      </c>
      <c r="G32">
        <f ca="1">IFERROR(__xludf.DUMMYFUNCTION("""COMPUTED_VALUE"""),15)</f>
        <v>15</v>
      </c>
      <c r="H32">
        <f ca="1">IFERROR(__xludf.DUMMYFUNCTION("""COMPUTED_VALUE"""),-3)</f>
        <v>-3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IFERROR(__xludf.DUMMYFUNCTION("""COMPUTED_VALUE"""),"T30")</f>
        <v>T30</v>
      </c>
      <c r="C33" t="str">
        <f ca="1">IFERROR(__xludf.DUMMYFUNCTION("""COMPUTED_VALUE"""),"Jason Day")</f>
        <v>Jason Day</v>
      </c>
      <c r="D33">
        <f ca="1">IFERROR(__xludf.DUMMYFUNCTION("""COMPUTED_VALUE"""),17)</f>
        <v>17</v>
      </c>
      <c r="E33" t="str">
        <f ca="1">IFERROR(__xludf.DUMMYFUNCTION("""COMPUTED_VALUE"""),"14' 8""")</f>
        <v>14' 8"</v>
      </c>
      <c r="F33">
        <f ca="1">IFERROR(__xludf.DUMMYFUNCTION("""COMPUTED_VALUE"""),410)</f>
        <v>410</v>
      </c>
      <c r="G33">
        <f ca="1">IFERROR(__xludf.DUMMYFUNCTION("""COMPUTED_VALUE"""),28)</f>
        <v>28</v>
      </c>
      <c r="H33">
        <f ca="1">IFERROR(__xludf.DUMMYFUNCTION("""COMPUTED_VALUE"""),-5)</f>
        <v>-5</v>
      </c>
    </row>
    <row r="34" spans="1:8" ht="12.75">
      <c r="A34" t="str">
        <f ca="1">IFERROR(__xludf.DUMMYFUNCTION("""COMPUTED_VALUE"""),"T32")</f>
        <v>T32</v>
      </c>
      <c r="B34">
        <f ca="1">IFERROR(__xludf.DUMMYFUNCTION("""COMPUTED_VALUE"""),39)</f>
        <v>39</v>
      </c>
      <c r="C34" t="str">
        <f ca="1">IFERROR(__xludf.DUMMYFUNCTION("""COMPUTED_VALUE"""),"Justin Thomas")</f>
        <v>Justin Thomas</v>
      </c>
      <c r="D34">
        <f ca="1">IFERROR(__xludf.DUMMYFUNCTION("""COMPUTED_VALUE"""),12)</f>
        <v>12</v>
      </c>
      <c r="E34" t="str">
        <f ca="1">IFERROR(__xludf.DUMMYFUNCTION("""COMPUTED_VALUE"""),"14' 8""")</f>
        <v>14' 8"</v>
      </c>
      <c r="F34">
        <f ca="1">IFERROR(__xludf.DUMMYFUNCTION("""COMPUTED_VALUE"""),513.083)</f>
        <v>513.08299999999997</v>
      </c>
      <c r="G34">
        <f ca="1">IFERROR(__xludf.DUMMYFUNCTION("""COMPUTED_VALUE"""),35)</f>
        <v>35</v>
      </c>
      <c r="H34">
        <f ca="1">IFERROR(__xludf.DUMMYFUNCTION("""COMPUTED_VALUE"""),-6)</f>
        <v>-6</v>
      </c>
    </row>
    <row r="35" spans="1:8" ht="12.75">
      <c r="A35">
        <f ca="1">IFERROR(__xludf.DUMMYFUNCTION("""COMPUTED_VALUE"""),34)</f>
        <v>34</v>
      </c>
      <c r="B35" t="str">
        <f ca="1">IFERROR(__xludf.DUMMYFUNCTION("""COMPUTED_VALUE"""),"T40")</f>
        <v>T40</v>
      </c>
      <c r="C35" t="str">
        <f ca="1">IFERROR(__xludf.DUMMYFUNCTION("""COMPUTED_VALUE"""),"Kevin Na")</f>
        <v>Kevin Na</v>
      </c>
      <c r="D35">
        <f ca="1">IFERROR(__xludf.DUMMYFUNCTION("""COMPUTED_VALUE"""),14)</f>
        <v>14</v>
      </c>
      <c r="E35" t="str">
        <f ca="1">IFERROR(__xludf.DUMMYFUNCTION("""COMPUTED_VALUE"""),"14' 9""")</f>
        <v>14' 9"</v>
      </c>
      <c r="F35">
        <f ca="1">IFERROR(__xludf.DUMMYFUNCTION("""COMPUTED_VALUE"""),397.167)</f>
        <v>397.16699999999997</v>
      </c>
      <c r="G35">
        <f ca="1">IFERROR(__xludf.DUMMYFUNCTION("""COMPUTED_VALUE"""),27)</f>
        <v>27</v>
      </c>
      <c r="H35">
        <f ca="1">IFERROR(__xludf.DUMMYFUNCTION("""COMPUTED_VALUE"""),-5)</f>
        <v>-5</v>
      </c>
    </row>
    <row r="36" spans="1:8" ht="12.75">
      <c r="A36">
        <f ca="1">IFERROR(__xludf.DUMMYFUNCTION("""COMPUTED_VALUE"""),35)</f>
        <v>35</v>
      </c>
      <c r="B36" t="str">
        <f ca="1">IFERROR(__xludf.DUMMYFUNCTION("""COMPUTED_VALUE"""),"T45")</f>
        <v>T45</v>
      </c>
      <c r="C36" t="str">
        <f ca="1">IFERROR(__xludf.DUMMYFUNCTION("""COMPUTED_VALUE"""),"Scott Piercy")</f>
        <v>Scott Piercy</v>
      </c>
      <c r="D36">
        <f ca="1">IFERROR(__xludf.DUMMYFUNCTION("""COMPUTED_VALUE"""),18)</f>
        <v>18</v>
      </c>
      <c r="E36" t="str">
        <f ca="1">IFERROR(__xludf.DUMMYFUNCTION("""COMPUTED_VALUE"""),"14' 11""")</f>
        <v>14' 11"</v>
      </c>
      <c r="F36">
        <f ca="1">IFERROR(__xludf.DUMMYFUNCTION("""COMPUTED_VALUE"""),507.333)</f>
        <v>507.33300000000003</v>
      </c>
      <c r="G36">
        <f ca="1">IFERROR(__xludf.DUMMYFUNCTION("""COMPUTED_VALUE"""),34)</f>
        <v>34</v>
      </c>
      <c r="H36">
        <f ca="1">IFERROR(__xludf.DUMMYFUNCTION("""COMPUTED_VALUE"""),-10)</f>
        <v>-10</v>
      </c>
    </row>
    <row r="37" spans="1:8" ht="12.75">
      <c r="A37" t="str">
        <f ca="1">IFERROR(__xludf.DUMMYFUNCTION("""COMPUTED_VALUE"""),"T36")</f>
        <v>T36</v>
      </c>
      <c r="B37" t="str">
        <f ca="1">IFERROR(__xludf.DUMMYFUNCTION("""COMPUTED_VALUE"""),"T30")</f>
        <v>T30</v>
      </c>
      <c r="C37" t="str">
        <f ca="1">IFERROR(__xludf.DUMMYFUNCTION("""COMPUTED_VALUE"""),"Russell Henley")</f>
        <v>Russell Henley</v>
      </c>
      <c r="D37">
        <f ca="1">IFERROR(__xludf.DUMMYFUNCTION("""COMPUTED_VALUE"""),16)</f>
        <v>16</v>
      </c>
      <c r="E37" t="str">
        <f ca="1">IFERROR(__xludf.DUMMYFUNCTION("""COMPUTED_VALUE"""),"15' 0""")</f>
        <v>15' 0"</v>
      </c>
      <c r="F37">
        <f ca="1">IFERROR(__xludf.DUMMYFUNCTION("""COMPUTED_VALUE"""),570.167)</f>
        <v>570.16700000000003</v>
      </c>
      <c r="G37">
        <f ca="1">IFERROR(__xludf.DUMMYFUNCTION("""COMPUTED_VALUE"""),38)</f>
        <v>38</v>
      </c>
      <c r="H37">
        <f ca="1">IFERROR(__xludf.DUMMYFUNCTION("""COMPUTED_VALUE"""),-7)</f>
        <v>-7</v>
      </c>
    </row>
    <row r="38" spans="1:8" ht="12.75">
      <c r="A38" t="str">
        <f ca="1">IFERROR(__xludf.DUMMYFUNCTION("""COMPUTED_VALUE"""),"T36")</f>
        <v>T36</v>
      </c>
      <c r="B38" t="str">
        <f ca="1">IFERROR(__xludf.DUMMYFUNCTION("""COMPUTED_VALUE"""),"T30")</f>
        <v>T30</v>
      </c>
      <c r="C38" t="str">
        <f ca="1">IFERROR(__xludf.DUMMYFUNCTION("""COMPUTED_VALUE"""),"John Huh")</f>
        <v>John Huh</v>
      </c>
      <c r="D38">
        <f ca="1">IFERROR(__xludf.DUMMYFUNCTION("""COMPUTED_VALUE"""),8)</f>
        <v>8</v>
      </c>
      <c r="E38" t="str">
        <f ca="1">IFERROR(__xludf.DUMMYFUNCTION("""COMPUTED_VALUE"""),"15' 0""")</f>
        <v>15' 0"</v>
      </c>
      <c r="F38">
        <f ca="1">IFERROR(__xludf.DUMMYFUNCTION("""COMPUTED_VALUE"""),239.917)</f>
        <v>239.917</v>
      </c>
      <c r="G38">
        <f ca="1">IFERROR(__xludf.DUMMYFUNCTION("""COMPUTED_VALUE"""),16)</f>
        <v>16</v>
      </c>
      <c r="H38">
        <f ca="1">IFERROR(__xludf.DUMMYFUNCTION("""COMPUTED_VALUE"""),-4)</f>
        <v>-4</v>
      </c>
    </row>
    <row r="39" spans="1:8" ht="12.75">
      <c r="A39" t="str">
        <f ca="1">IFERROR(__xludf.DUMMYFUNCTION("""COMPUTED_VALUE"""),"T36")</f>
        <v>T36</v>
      </c>
      <c r="B39" t="str">
        <f ca="1">IFERROR(__xludf.DUMMYFUNCTION("""COMPUTED_VALUE"""),"T47")</f>
        <v>T47</v>
      </c>
      <c r="C39" t="str">
        <f ca="1">IFERROR(__xludf.DUMMYFUNCTION("""COMPUTED_VALUE"""),"Tyler McCumber")</f>
        <v>Tyler McCumber</v>
      </c>
      <c r="D39">
        <f ca="1">IFERROR(__xludf.DUMMYFUNCTION("""COMPUTED_VALUE"""),14)</f>
        <v>14</v>
      </c>
      <c r="E39" t="str">
        <f ca="1">IFERROR(__xludf.DUMMYFUNCTION("""COMPUTED_VALUE"""),"15' 0""")</f>
        <v>15' 0"</v>
      </c>
      <c r="F39">
        <f ca="1">IFERROR(__xludf.DUMMYFUNCTION("""COMPUTED_VALUE"""),359.75)</f>
        <v>359.75</v>
      </c>
      <c r="G39">
        <f ca="1">IFERROR(__xludf.DUMMYFUNCTION("""COMPUTED_VALUE"""),24)</f>
        <v>24</v>
      </c>
      <c r="H39">
        <f ca="1">IFERROR(__xludf.DUMMYFUNCTION("""COMPUTED_VALUE"""),-4)</f>
        <v>-4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IFERROR(__xludf.DUMMYFUNCTION("""COMPUTED_VALUE"""),"T49")</f>
        <v>T49</v>
      </c>
      <c r="C40" t="str">
        <f ca="1">IFERROR(__xludf.DUMMYFUNCTION("""COMPUTED_VALUE"""),"Romain Langasque")</f>
        <v>Romain Langasque</v>
      </c>
      <c r="D40">
        <f ca="1">IFERROR(__xludf.DUMMYFUNCTION("""COMPUTED_VALUE"""),4)</f>
        <v>4</v>
      </c>
      <c r="E40" t="str">
        <f ca="1">IFERROR(__xludf.DUMMYFUNCTION("""COMPUTED_VALUE"""),"15' 1""")</f>
        <v>15' 1"</v>
      </c>
      <c r="F40">
        <f ca="1">IFERROR(__xludf.DUMMYFUNCTION("""COMPUTED_VALUE"""),105.583)</f>
        <v>105.583</v>
      </c>
      <c r="G40">
        <f ca="1">IFERROR(__xludf.DUMMYFUNCTION("""COMPUTED_VALUE"""),7)</f>
        <v>7</v>
      </c>
      <c r="H40" t="str">
        <f ca="1">IFERROR(__xludf.DUMMYFUNCTION("""COMPUTED_VALUE"""),"+2")</f>
        <v>+2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IFERROR(__xludf.DUMMYFUNCTION("""COMPUTED_VALUE"""),"T60")</f>
        <v>T60</v>
      </c>
      <c r="C41" t="str">
        <f ca="1">IFERROR(__xludf.DUMMYFUNCTION("""COMPUTED_VALUE"""),"Kevin Streelman")</f>
        <v>Kevin Streelman</v>
      </c>
      <c r="D41">
        <f ca="1">IFERROR(__xludf.DUMMYFUNCTION("""COMPUTED_VALUE"""),18)</f>
        <v>18</v>
      </c>
      <c r="E41" t="str">
        <f ca="1">IFERROR(__xludf.DUMMYFUNCTION("""COMPUTED_VALUE"""),"15' 1""")</f>
        <v>15' 1"</v>
      </c>
      <c r="F41">
        <f ca="1">IFERROR(__xludf.DUMMYFUNCTION("""COMPUTED_VALUE"""),754.917)</f>
        <v>754.91700000000003</v>
      </c>
      <c r="G41">
        <f ca="1">IFERROR(__xludf.DUMMYFUNCTION("""COMPUTED_VALUE"""),50)</f>
        <v>50</v>
      </c>
      <c r="H41">
        <f ca="1">IFERROR(__xludf.DUMMYFUNCTION("""COMPUTED_VALUE"""),-14)</f>
        <v>-14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IFERROR(__xludf.DUMMYFUNCTION("""COMPUTED_VALUE"""),"T54")</f>
        <v>T54</v>
      </c>
      <c r="C42" t="str">
        <f ca="1">IFERROR(__xludf.DUMMYFUNCTION("""COMPUTED_VALUE"""),"Brandt Snedeker")</f>
        <v>Brandt Snedeker</v>
      </c>
      <c r="D42">
        <f ca="1">IFERROR(__xludf.DUMMYFUNCTION("""COMPUTED_VALUE"""),16)</f>
        <v>16</v>
      </c>
      <c r="E42" t="str">
        <f ca="1">IFERROR(__xludf.DUMMYFUNCTION("""COMPUTED_VALUE"""),"15' 1""")</f>
        <v>15' 1"</v>
      </c>
      <c r="F42">
        <f ca="1">IFERROR(__xludf.DUMMYFUNCTION("""COMPUTED_VALUE"""),634.417)</f>
        <v>634.41700000000003</v>
      </c>
      <c r="G42">
        <f ca="1">IFERROR(__xludf.DUMMYFUNCTION("""COMPUTED_VALUE"""),42)</f>
        <v>42</v>
      </c>
      <c r="H42">
        <f ca="1">IFERROR(__xludf.DUMMYFUNCTION("""COMPUTED_VALUE"""),-10)</f>
        <v>-10</v>
      </c>
    </row>
    <row r="43" spans="1:8" ht="12.75">
      <c r="A43" t="str">
        <f ca="1">IFERROR(__xludf.DUMMYFUNCTION("""COMPUTED_VALUE"""),"T42")</f>
        <v>T42</v>
      </c>
      <c r="B43">
        <f ca="1">IFERROR(__xludf.DUMMYFUNCTION("""COMPUTED_VALUE"""),51)</f>
        <v>51</v>
      </c>
      <c r="C43" t="str">
        <f ca="1">IFERROR(__xludf.DUMMYFUNCTION("""COMPUTED_VALUE"""),"Brendan Steele")</f>
        <v>Brendan Steele</v>
      </c>
      <c r="D43">
        <f ca="1">IFERROR(__xludf.DUMMYFUNCTION("""COMPUTED_VALUE"""),14)</f>
        <v>14</v>
      </c>
      <c r="E43" t="str">
        <f ca="1">IFERROR(__xludf.DUMMYFUNCTION("""COMPUTED_VALUE"""),"15' 2""")</f>
        <v>15' 2"</v>
      </c>
      <c r="F43">
        <f ca="1">IFERROR(__xludf.DUMMYFUNCTION("""COMPUTED_VALUE"""),470.25)</f>
        <v>470.25</v>
      </c>
      <c r="G43">
        <f ca="1">IFERROR(__xludf.DUMMYFUNCTION("""COMPUTED_VALUE"""),31)</f>
        <v>31</v>
      </c>
      <c r="H43">
        <f ca="1">IFERROR(__xludf.DUMMYFUNCTION("""COMPUTED_VALUE"""),-9)</f>
        <v>-9</v>
      </c>
    </row>
    <row r="44" spans="1:8" ht="12.75">
      <c r="A44" t="str">
        <f ca="1">IFERROR(__xludf.DUMMYFUNCTION("""COMPUTED_VALUE"""),"T42")</f>
        <v>T42</v>
      </c>
      <c r="B44" t="str">
        <f ca="1">IFERROR(__xludf.DUMMYFUNCTION("""COMPUTED_VALUE"""),"T76")</f>
        <v>T76</v>
      </c>
      <c r="C44" t="str">
        <f ca="1">IFERROR(__xludf.DUMMYFUNCTION("""COMPUTED_VALUE"""),"Austin Cook")</f>
        <v>Austin Cook</v>
      </c>
      <c r="D44">
        <f ca="1">IFERROR(__xludf.DUMMYFUNCTION("""COMPUTED_VALUE"""),14)</f>
        <v>14</v>
      </c>
      <c r="E44" t="str">
        <f ca="1">IFERROR(__xludf.DUMMYFUNCTION("""COMPUTED_VALUE"""),"15' 2""")</f>
        <v>15' 2"</v>
      </c>
      <c r="F44">
        <f ca="1">IFERROR(__xludf.DUMMYFUNCTION("""COMPUTED_VALUE"""),696.167)</f>
        <v>696.16700000000003</v>
      </c>
      <c r="G44">
        <f ca="1">IFERROR(__xludf.DUMMYFUNCTION("""COMPUTED_VALUE"""),46)</f>
        <v>46</v>
      </c>
      <c r="H44">
        <f ca="1">IFERROR(__xludf.DUMMYFUNCTION("""COMPUTED_VALUE"""),-17)</f>
        <v>-17</v>
      </c>
    </row>
    <row r="45" spans="1:8" ht="12.75">
      <c r="A45" t="str">
        <f ca="1">IFERROR(__xludf.DUMMYFUNCTION("""COMPUTED_VALUE"""),"T44")</f>
        <v>T44</v>
      </c>
      <c r="B45" t="str">
        <f ca="1">IFERROR(__xludf.DUMMYFUNCTION("""COMPUTED_VALUE"""),"T54")</f>
        <v>T54</v>
      </c>
      <c r="C45" t="str">
        <f ca="1">IFERROR(__xludf.DUMMYFUNCTION("""COMPUTED_VALUE"""),"Ryan Blaum")</f>
        <v>Ryan Blaum</v>
      </c>
      <c r="D45">
        <f ca="1">IFERROR(__xludf.DUMMYFUNCTION("""COMPUTED_VALUE"""),8)</f>
        <v>8</v>
      </c>
      <c r="E45" t="str">
        <f ca="1">IFERROR(__xludf.DUMMYFUNCTION("""COMPUTED_VALUE"""),"15' 4""")</f>
        <v>15' 4"</v>
      </c>
      <c r="F45">
        <f ca="1">IFERROR(__xludf.DUMMYFUNCTION("""COMPUTED_VALUE"""),276.333)</f>
        <v>276.33300000000003</v>
      </c>
      <c r="G45">
        <f ca="1">IFERROR(__xludf.DUMMYFUNCTION("""COMPUTED_VALUE"""),18)</f>
        <v>18</v>
      </c>
      <c r="H45">
        <f ca="1">IFERROR(__xludf.DUMMYFUNCTION("""COMPUTED_VALUE"""),-8)</f>
        <v>-8</v>
      </c>
    </row>
    <row r="46" spans="1:8" ht="12.75">
      <c r="A46" t="str">
        <f ca="1">IFERROR(__xludf.DUMMYFUNCTION("""COMPUTED_VALUE"""),"T44")</f>
        <v>T44</v>
      </c>
      <c r="B46" t="str">
        <f ca="1">IFERROR(__xludf.DUMMYFUNCTION("""COMPUTED_VALUE"""),"T40")</f>
        <v>T40</v>
      </c>
      <c r="C46" t="str">
        <f ca="1">IFERROR(__xludf.DUMMYFUNCTION("""COMPUTED_VALUE"""),"Russell Knox")</f>
        <v>Russell Knox</v>
      </c>
      <c r="D46">
        <f ca="1">IFERROR(__xludf.DUMMYFUNCTION("""COMPUTED_VALUE"""),16)</f>
        <v>16</v>
      </c>
      <c r="E46" t="str">
        <f ca="1">IFERROR(__xludf.DUMMYFUNCTION("""COMPUTED_VALUE"""),"15' 4""")</f>
        <v>15' 4"</v>
      </c>
      <c r="F46">
        <f ca="1">IFERROR(__xludf.DUMMYFUNCTION("""COMPUTED_VALUE"""),581.917)</f>
        <v>581.91700000000003</v>
      </c>
      <c r="G46">
        <f ca="1">IFERROR(__xludf.DUMMYFUNCTION("""COMPUTED_VALUE"""),38)</f>
        <v>38</v>
      </c>
      <c r="H46">
        <f ca="1">IFERROR(__xludf.DUMMYFUNCTION("""COMPUTED_VALUE"""),-7)</f>
        <v>-7</v>
      </c>
    </row>
    <row r="47" spans="1:8" ht="12.75">
      <c r="A47" t="str">
        <f ca="1">IFERROR(__xludf.DUMMYFUNCTION("""COMPUTED_VALUE"""),"T44")</f>
        <v>T44</v>
      </c>
      <c r="B47" t="str">
        <f ca="1">IFERROR(__xludf.DUMMYFUNCTION("""COMPUTED_VALUE"""),"T54")</f>
        <v>T54</v>
      </c>
      <c r="C47" t="str">
        <f ca="1">IFERROR(__xludf.DUMMYFUNCTION("""COMPUTED_VALUE"""),"Sahith Theegala")</f>
        <v>Sahith Theegala</v>
      </c>
      <c r="D47">
        <f ca="1">IFERROR(__xludf.DUMMYFUNCTION("""COMPUTED_VALUE"""),6)</f>
        <v>6</v>
      </c>
      <c r="E47" t="str">
        <f ca="1">IFERROR(__xludf.DUMMYFUNCTION("""COMPUTED_VALUE"""),"15' 4""")</f>
        <v>15' 4"</v>
      </c>
      <c r="F47">
        <f ca="1">IFERROR(__xludf.DUMMYFUNCTION("""COMPUTED_VALUE"""),183.583)</f>
        <v>183.583</v>
      </c>
      <c r="G47">
        <f ca="1">IFERROR(__xludf.DUMMYFUNCTION("""COMPUTED_VALUE"""),12)</f>
        <v>12</v>
      </c>
      <c r="H47">
        <f ca="1">IFERROR(__xludf.DUMMYFUNCTION("""COMPUTED_VALUE"""),-5)</f>
        <v>-5</v>
      </c>
    </row>
    <row r="48" spans="1:8" ht="12.75">
      <c r="A48" t="str">
        <f ca="1">IFERROR(__xludf.DUMMYFUNCTION("""COMPUTED_VALUE"""),"T47")</f>
        <v>T47</v>
      </c>
      <c r="B48" t="str">
        <f ca="1">IFERROR(__xludf.DUMMYFUNCTION("""COMPUTED_VALUE"""),"T60")</f>
        <v>T60</v>
      </c>
      <c r="C48" t="str">
        <f ca="1">IFERROR(__xludf.DUMMYFUNCTION("""COMPUTED_VALUE"""),"Jason Dufner")</f>
        <v>Jason Dufner</v>
      </c>
      <c r="D48">
        <f ca="1">IFERROR(__xludf.DUMMYFUNCTION("""COMPUTED_VALUE"""),14)</f>
        <v>14</v>
      </c>
      <c r="E48" t="str">
        <f ca="1">IFERROR(__xludf.DUMMYFUNCTION("""COMPUTED_VALUE"""),"15' 5""")</f>
        <v>15' 5"</v>
      </c>
      <c r="F48">
        <f ca="1">IFERROR(__xludf.DUMMYFUNCTION("""COMPUTED_VALUE"""),677.417)</f>
        <v>677.41700000000003</v>
      </c>
      <c r="G48">
        <f ca="1">IFERROR(__xludf.DUMMYFUNCTION("""COMPUTED_VALUE"""),44)</f>
        <v>44</v>
      </c>
      <c r="H48">
        <f ca="1">IFERROR(__xludf.DUMMYFUNCTION("""COMPUTED_VALUE"""),-10)</f>
        <v>-10</v>
      </c>
    </row>
    <row r="49" spans="1:8" ht="12.75">
      <c r="A49" t="str">
        <f ca="1">IFERROR(__xludf.DUMMYFUNCTION("""COMPUTED_VALUE"""),"T47")</f>
        <v>T47</v>
      </c>
      <c r="B49">
        <f ca="1">IFERROR(__xludf.DUMMYFUNCTION("""COMPUTED_VALUE"""),13)</f>
        <v>13</v>
      </c>
      <c r="C49" t="str">
        <f ca="1">IFERROR(__xludf.DUMMYFUNCTION("""COMPUTED_VALUE"""),"Adam Scott")</f>
        <v>Adam Scott</v>
      </c>
      <c r="D49">
        <f ca="1">IFERROR(__xludf.DUMMYFUNCTION("""COMPUTED_VALUE"""),8)</f>
        <v>8</v>
      </c>
      <c r="E49" t="str">
        <f ca="1">IFERROR(__xludf.DUMMYFUNCTION("""COMPUTED_VALUE"""),"15' 5""")</f>
        <v>15' 5"</v>
      </c>
      <c r="F49">
        <f ca="1">IFERROR(__xludf.DUMMYFUNCTION("""COMPUTED_VALUE"""),276.833)</f>
        <v>276.83300000000003</v>
      </c>
      <c r="G49">
        <f ca="1">IFERROR(__xludf.DUMMYFUNCTION("""COMPUTED_VALUE"""),18)</f>
        <v>18</v>
      </c>
      <c r="H49" t="str">
        <f ca="1">IFERROR(__xludf.DUMMYFUNCTION("""COMPUTED_VALUE"""),"+1")</f>
        <v>+1</v>
      </c>
    </row>
    <row r="50" spans="1:8" ht="12.75">
      <c r="A50" t="str">
        <f ca="1">IFERROR(__xludf.DUMMYFUNCTION("""COMPUTED_VALUE"""),"T47")</f>
        <v>T47</v>
      </c>
      <c r="B50" t="str">
        <f ca="1">IFERROR(__xludf.DUMMYFUNCTION("""COMPUTED_VALUE"""),"T64")</f>
        <v>T64</v>
      </c>
      <c r="C50" t="str">
        <f ca="1">IFERROR(__xludf.DUMMYFUNCTION("""COMPUTED_VALUE"""),"Maverick McNealy")</f>
        <v>Maverick McNealy</v>
      </c>
      <c r="D50">
        <f ca="1">IFERROR(__xludf.DUMMYFUNCTION("""COMPUTED_VALUE"""),16)</f>
        <v>16</v>
      </c>
      <c r="E50" t="str">
        <f ca="1">IFERROR(__xludf.DUMMYFUNCTION("""COMPUTED_VALUE"""),"15' 5""")</f>
        <v>15' 5"</v>
      </c>
      <c r="F50">
        <f ca="1">IFERROR(__xludf.DUMMYFUNCTION("""COMPUTED_VALUE"""),508.167)</f>
        <v>508.16699999999997</v>
      </c>
      <c r="G50">
        <f ca="1">IFERROR(__xludf.DUMMYFUNCTION("""COMPUTED_VALUE"""),33)</f>
        <v>33</v>
      </c>
      <c r="H50">
        <f ca="1">IFERROR(__xludf.DUMMYFUNCTION("""COMPUTED_VALUE"""),-8)</f>
        <v>-8</v>
      </c>
    </row>
    <row r="51" spans="1:8" ht="12.75">
      <c r="A51">
        <f ca="1">IFERROR(__xludf.DUMMYFUNCTION("""COMPUTED_VALUE"""),50)</f>
        <v>50</v>
      </c>
      <c r="B51" t="str">
        <f ca="1">IFERROR(__xludf.DUMMYFUNCTION("""COMPUTED_VALUE"""),"T60")</f>
        <v>T60</v>
      </c>
      <c r="C51" t="str">
        <f ca="1">IFERROR(__xludf.DUMMYFUNCTION("""COMPUTED_VALUE"""),"Dominic Bozzelli")</f>
        <v>Dominic Bozzelli</v>
      </c>
      <c r="D51">
        <f ca="1">IFERROR(__xludf.DUMMYFUNCTION("""COMPUTED_VALUE"""),8)</f>
        <v>8</v>
      </c>
      <c r="E51" t="str">
        <f ca="1">IFERROR(__xludf.DUMMYFUNCTION("""COMPUTED_VALUE"""),"15' 6""")</f>
        <v>15' 6"</v>
      </c>
      <c r="F51">
        <f ca="1">IFERROR(__xludf.DUMMYFUNCTION("""COMPUTED_VALUE"""),108.75)</f>
        <v>108.75</v>
      </c>
      <c r="G51">
        <f ca="1">IFERROR(__xludf.DUMMYFUNCTION("""COMPUTED_VALUE"""),7)</f>
        <v>7</v>
      </c>
      <c r="H51" t="str">
        <f ca="1">IFERROR(__xludf.DUMMYFUNCTION("""COMPUTED_VALUE"""),"E")</f>
        <v>E</v>
      </c>
    </row>
    <row r="52" spans="1:8" ht="12.75">
      <c r="A52">
        <f ca="1">IFERROR(__xludf.DUMMYFUNCTION("""COMPUTED_VALUE"""),51)</f>
        <v>51</v>
      </c>
      <c r="B52" t="str">
        <f ca="1">IFERROR(__xludf.DUMMYFUNCTION("""COMPUTED_VALUE"""),"T64")</f>
        <v>T64</v>
      </c>
      <c r="C52" t="str">
        <f ca="1">IFERROR(__xludf.DUMMYFUNCTION("""COMPUTED_VALUE"""),"Michael Gligic")</f>
        <v>Michael Gligic</v>
      </c>
      <c r="D52">
        <f ca="1">IFERROR(__xludf.DUMMYFUNCTION("""COMPUTED_VALUE"""),18)</f>
        <v>18</v>
      </c>
      <c r="E52" t="str">
        <f ca="1">IFERROR(__xludf.DUMMYFUNCTION("""COMPUTED_VALUE"""),"15' 7""")</f>
        <v>15' 7"</v>
      </c>
      <c r="F52">
        <f ca="1">IFERROR(__xludf.DUMMYFUNCTION("""COMPUTED_VALUE"""),685.917)</f>
        <v>685.91700000000003</v>
      </c>
      <c r="G52">
        <f ca="1">IFERROR(__xludf.DUMMYFUNCTION("""COMPUTED_VALUE"""),44)</f>
        <v>44</v>
      </c>
      <c r="H52">
        <f ca="1">IFERROR(__xludf.DUMMYFUNCTION("""COMPUTED_VALUE"""),-17)</f>
        <v>-17</v>
      </c>
    </row>
    <row r="53" spans="1:8" ht="12.75">
      <c r="A53" t="str">
        <f ca="1">IFERROR(__xludf.DUMMYFUNCTION("""COMPUTED_VALUE"""),"T52")</f>
        <v>T52</v>
      </c>
      <c r="B53" t="str">
        <f ca="1">IFERROR(__xludf.DUMMYFUNCTION("""COMPUTED_VALUE"""),"T52")</f>
        <v>T52</v>
      </c>
      <c r="C53" t="str">
        <f ca="1">IFERROR(__xludf.DUMMYFUNCTION("""COMPUTED_VALUE"""),"Brian Stuard")</f>
        <v>Brian Stuard</v>
      </c>
      <c r="D53">
        <f ca="1">IFERROR(__xludf.DUMMYFUNCTION("""COMPUTED_VALUE"""),18)</f>
        <v>18</v>
      </c>
      <c r="E53" t="str">
        <f ca="1">IFERROR(__xludf.DUMMYFUNCTION("""COMPUTED_VALUE"""),"15' 8""")</f>
        <v>15' 8"</v>
      </c>
      <c r="F53">
        <f ca="1">IFERROR(__xludf.DUMMYFUNCTION("""COMPUTED_VALUE"""),470.083)</f>
        <v>470.08300000000003</v>
      </c>
      <c r="G53">
        <f ca="1">IFERROR(__xludf.DUMMYFUNCTION("""COMPUTED_VALUE"""),30)</f>
        <v>30</v>
      </c>
      <c r="H53">
        <f ca="1">IFERROR(__xludf.DUMMYFUNCTION("""COMPUTED_VALUE"""),-8)</f>
        <v>-8</v>
      </c>
    </row>
    <row r="54" spans="1:8" ht="12.75">
      <c r="A54" t="str">
        <f ca="1">IFERROR(__xludf.DUMMYFUNCTION("""COMPUTED_VALUE"""),"T52")</f>
        <v>T52</v>
      </c>
      <c r="B54">
        <f ca="1">IFERROR(__xludf.DUMMYFUNCTION("""COMPUTED_VALUE"""),68)</f>
        <v>68</v>
      </c>
      <c r="C54" t="str">
        <f ca="1">IFERROR(__xludf.DUMMYFUNCTION("""COMPUTED_VALUE"""),"K.J. Choi")</f>
        <v>K.J. Choi</v>
      </c>
      <c r="D54">
        <f ca="1">IFERROR(__xludf.DUMMYFUNCTION("""COMPUTED_VALUE"""),6)</f>
        <v>6</v>
      </c>
      <c r="E54" t="str">
        <f ca="1">IFERROR(__xludf.DUMMYFUNCTION("""COMPUTED_VALUE"""),"15' 8""")</f>
        <v>15' 8"</v>
      </c>
      <c r="F54">
        <f ca="1">IFERROR(__xludf.DUMMYFUNCTION("""COMPUTED_VALUE"""),360.583)</f>
        <v>360.58300000000003</v>
      </c>
      <c r="G54">
        <f ca="1">IFERROR(__xludf.DUMMYFUNCTION("""COMPUTED_VALUE"""),23)</f>
        <v>23</v>
      </c>
      <c r="H54">
        <f ca="1">IFERROR(__xludf.DUMMYFUNCTION("""COMPUTED_VALUE"""),-6)</f>
        <v>-6</v>
      </c>
    </row>
    <row r="55" spans="1:8" ht="12.75">
      <c r="A55" t="str">
        <f ca="1">IFERROR(__xludf.DUMMYFUNCTION("""COMPUTED_VALUE"""),"T52")</f>
        <v>T52</v>
      </c>
      <c r="B55" t="str">
        <f ca="1">IFERROR(__xludf.DUMMYFUNCTION("""COMPUTED_VALUE"""),"T52")</f>
        <v>T52</v>
      </c>
      <c r="C55" t="str">
        <f ca="1">IFERROR(__xludf.DUMMYFUNCTION("""COMPUTED_VALUE"""),"Sam Burns")</f>
        <v>Sam Burns</v>
      </c>
      <c r="D55">
        <f ca="1">IFERROR(__xludf.DUMMYFUNCTION("""COMPUTED_VALUE"""),18)</f>
        <v>18</v>
      </c>
      <c r="E55" t="str">
        <f ca="1">IFERROR(__xludf.DUMMYFUNCTION("""COMPUTED_VALUE"""),"15' 8""")</f>
        <v>15' 8"</v>
      </c>
      <c r="F55">
        <f ca="1">IFERROR(__xludf.DUMMYFUNCTION("""COMPUTED_VALUE"""),703.917)</f>
        <v>703.91700000000003</v>
      </c>
      <c r="G55">
        <f ca="1">IFERROR(__xludf.DUMMYFUNCTION("""COMPUTED_VALUE"""),45)</f>
        <v>45</v>
      </c>
      <c r="H55">
        <f ca="1">IFERROR(__xludf.DUMMYFUNCTION("""COMPUTED_VALUE"""),-11)</f>
        <v>-11</v>
      </c>
    </row>
    <row r="56" spans="1:8" ht="12.75">
      <c r="A56" t="str">
        <f ca="1">IFERROR(__xludf.DUMMYFUNCTION("""COMPUTED_VALUE"""),"T55")</f>
        <v>T55</v>
      </c>
      <c r="B56">
        <f ca="1">IFERROR(__xludf.DUMMYFUNCTION("""COMPUTED_VALUE"""),69)</f>
        <v>69</v>
      </c>
      <c r="C56" t="str">
        <f ca="1">IFERROR(__xludf.DUMMYFUNCTION("""COMPUTED_VALUE"""),"Nick Taylor")</f>
        <v>Nick Taylor</v>
      </c>
      <c r="D56">
        <f ca="1">IFERROR(__xludf.DUMMYFUNCTION("""COMPUTED_VALUE"""),12)</f>
        <v>12</v>
      </c>
      <c r="E56" t="str">
        <f ca="1">IFERROR(__xludf.DUMMYFUNCTION("""COMPUTED_VALUE"""),"15' 9""")</f>
        <v>15' 9"</v>
      </c>
      <c r="F56">
        <f ca="1">IFERROR(__xludf.DUMMYFUNCTION("""COMPUTED_VALUE"""),441.917)</f>
        <v>441.91699999999997</v>
      </c>
      <c r="G56">
        <f ca="1">IFERROR(__xludf.DUMMYFUNCTION("""COMPUTED_VALUE"""),28)</f>
        <v>28</v>
      </c>
      <c r="H56">
        <f ca="1">IFERROR(__xludf.DUMMYFUNCTION("""COMPUTED_VALUE"""),-4)</f>
        <v>-4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IFERROR(__xludf.DUMMYFUNCTION("""COMPUTED_VALUE"""),"T70")</f>
        <v>T70</v>
      </c>
      <c r="C57" t="str">
        <f ca="1">IFERROR(__xludf.DUMMYFUNCTION("""COMPUTED_VALUE"""),"Keegan Bradley")</f>
        <v>Keegan Bradley</v>
      </c>
      <c r="D57">
        <f ca="1">IFERROR(__xludf.DUMMYFUNCTION("""COMPUTED_VALUE"""),16)</f>
        <v>16</v>
      </c>
      <c r="E57" t="str">
        <f ca="1">IFERROR(__xludf.DUMMYFUNCTION("""COMPUTED_VALUE"""),"15' 9""")</f>
        <v>15' 9"</v>
      </c>
      <c r="F57">
        <f ca="1">IFERROR(__xludf.DUMMYFUNCTION("""COMPUTED_VALUE"""),519.083)</f>
        <v>519.08299999999997</v>
      </c>
      <c r="G57">
        <f ca="1">IFERROR(__xludf.DUMMYFUNCTION("""COMPUTED_VALUE"""),33)</f>
        <v>33</v>
      </c>
      <c r="H57">
        <f ca="1">IFERROR(__xludf.DUMMYFUNCTION("""COMPUTED_VALUE"""),-3)</f>
        <v>-3</v>
      </c>
    </row>
    <row r="58" spans="1:8" ht="12.75">
      <c r="A58" t="str">
        <f ca="1">IFERROR(__xludf.DUMMYFUNCTION("""COMPUTED_VALUE"""),"T57")</f>
        <v>T57</v>
      </c>
      <c r="B58" t="str">
        <f ca="1">IFERROR(__xludf.DUMMYFUNCTION("""COMPUTED_VALUE"""),"T70")</f>
        <v>T70</v>
      </c>
      <c r="C58" t="str">
        <f ca="1">IFERROR(__xludf.DUMMYFUNCTION("""COMPUTED_VALUE"""),"Brad Kennedy")</f>
        <v>Brad Kennedy</v>
      </c>
      <c r="D58">
        <f ca="1">IFERROR(__xludf.DUMMYFUNCTION("""COMPUTED_VALUE"""),4)</f>
        <v>4</v>
      </c>
      <c r="E58" t="str">
        <f ca="1">IFERROR(__xludf.DUMMYFUNCTION("""COMPUTED_VALUE"""),"15' 10""")</f>
        <v>15' 10"</v>
      </c>
      <c r="F58">
        <f ca="1">IFERROR(__xludf.DUMMYFUNCTION("""COMPUTED_VALUE"""),268.583)</f>
        <v>268.58300000000003</v>
      </c>
      <c r="G58">
        <f ca="1">IFERROR(__xludf.DUMMYFUNCTION("""COMPUTED_VALUE"""),17)</f>
        <v>17</v>
      </c>
      <c r="H58">
        <f ca="1">IFERROR(__xludf.DUMMYFUNCTION("""COMPUTED_VALUE"""),-4)</f>
        <v>-4</v>
      </c>
    </row>
    <row r="59" spans="1:8" ht="12.75">
      <c r="A59" t="str">
        <f ca="1">IFERROR(__xludf.DUMMYFUNCTION("""COMPUTED_VALUE"""),"T57")</f>
        <v>T57</v>
      </c>
      <c r="B59" t="str">
        <f ca="1">IFERROR(__xludf.DUMMYFUNCTION("""COMPUTED_VALUE"""),"T70")</f>
        <v>T70</v>
      </c>
      <c r="C59" t="str">
        <f ca="1">IFERROR(__xludf.DUMMYFUNCTION("""COMPUTED_VALUE"""),"Justin Rose")</f>
        <v>Justin Rose</v>
      </c>
      <c r="D59">
        <f ca="1">IFERROR(__xludf.DUMMYFUNCTION("""COMPUTED_VALUE"""),10)</f>
        <v>10</v>
      </c>
      <c r="E59" t="str">
        <f ca="1">IFERROR(__xludf.DUMMYFUNCTION("""COMPUTED_VALUE"""),"15' 10""")</f>
        <v>15' 10"</v>
      </c>
      <c r="F59">
        <f ca="1">IFERROR(__xludf.DUMMYFUNCTION("""COMPUTED_VALUE"""),316.25)</f>
        <v>316.25</v>
      </c>
      <c r="G59">
        <f ca="1">IFERROR(__xludf.DUMMYFUNCTION("""COMPUTED_VALUE"""),20)</f>
        <v>20</v>
      </c>
      <c r="H59">
        <f ca="1">IFERROR(__xludf.DUMMYFUNCTION("""COMPUTED_VALUE"""),-1)</f>
        <v>-1</v>
      </c>
    </row>
    <row r="60" spans="1:8" ht="12.75">
      <c r="A60" t="str">
        <f ca="1">IFERROR(__xludf.DUMMYFUNCTION("""COMPUTED_VALUE"""),"T57")</f>
        <v>T57</v>
      </c>
      <c r="B60" t="str">
        <f ca="1">IFERROR(__xludf.DUMMYFUNCTION("""COMPUTED_VALUE"""),"T60")</f>
        <v>T60</v>
      </c>
      <c r="C60" t="str">
        <f ca="1">IFERROR(__xludf.DUMMYFUNCTION("""COMPUTED_VALUE"""),"Mark Hubbard")</f>
        <v>Mark Hubbard</v>
      </c>
      <c r="D60">
        <f ca="1">IFERROR(__xludf.DUMMYFUNCTION("""COMPUTED_VALUE"""),20)</f>
        <v>20</v>
      </c>
      <c r="E60" t="str">
        <f ca="1">IFERROR(__xludf.DUMMYFUNCTION("""COMPUTED_VALUE"""),"15' 10""")</f>
        <v>15' 10"</v>
      </c>
      <c r="F60">
        <f ca="1">IFERROR(__xludf.DUMMYFUNCTION("""COMPUTED_VALUE"""),806.333)</f>
        <v>806.33299999999997</v>
      </c>
      <c r="G60">
        <f ca="1">IFERROR(__xludf.DUMMYFUNCTION("""COMPUTED_VALUE"""),51)</f>
        <v>51</v>
      </c>
      <c r="H60">
        <f ca="1">IFERROR(__xludf.DUMMYFUNCTION("""COMPUTED_VALUE"""),-13)</f>
        <v>-13</v>
      </c>
    </row>
    <row r="61" spans="1:8" ht="12.75">
      <c r="A61" t="str">
        <f ca="1">IFERROR(__xludf.DUMMYFUNCTION("""COMPUTED_VALUE"""),"T57")</f>
        <v>T57</v>
      </c>
      <c r="B61" t="str">
        <f ca="1">IFERROR(__xludf.DUMMYFUNCTION("""COMPUTED_VALUE"""),"T92")</f>
        <v>T92</v>
      </c>
      <c r="C61" t="str">
        <f ca="1">IFERROR(__xludf.DUMMYFUNCTION("""COMPUTED_VALUE"""),"Andrew Landry")</f>
        <v>Andrew Landry</v>
      </c>
      <c r="D61">
        <f ca="1">IFERROR(__xludf.DUMMYFUNCTION("""COMPUTED_VALUE"""),14)</f>
        <v>14</v>
      </c>
      <c r="E61" t="str">
        <f ca="1">IFERROR(__xludf.DUMMYFUNCTION("""COMPUTED_VALUE"""),"15' 10""")</f>
        <v>15' 10"</v>
      </c>
      <c r="F61">
        <f ca="1">IFERROR(__xludf.DUMMYFUNCTION("""COMPUTED_VALUE"""),586.417)</f>
        <v>586.41700000000003</v>
      </c>
      <c r="G61">
        <f ca="1">IFERROR(__xludf.DUMMYFUNCTION("""COMPUTED_VALUE"""),37)</f>
        <v>37</v>
      </c>
      <c r="H61">
        <f ca="1">IFERROR(__xludf.DUMMYFUNCTION("""COMPUTED_VALUE"""),-6)</f>
        <v>-6</v>
      </c>
    </row>
    <row r="62" spans="1:8" ht="12.75">
      <c r="A62" t="str">
        <f ca="1">IFERROR(__xludf.DUMMYFUNCTION("""COMPUTED_VALUE"""),"T57")</f>
        <v>T57</v>
      </c>
      <c r="B62" t="str">
        <f ca="1">IFERROR(__xludf.DUMMYFUNCTION("""COMPUTED_VALUE"""),"T70")</f>
        <v>T70</v>
      </c>
      <c r="C62" t="str">
        <f ca="1">IFERROR(__xludf.DUMMYFUNCTION("""COMPUTED_VALUE"""),"Collin Morikawa")</f>
        <v>Collin Morikawa</v>
      </c>
      <c r="D62">
        <f ca="1">IFERROR(__xludf.DUMMYFUNCTION("""COMPUTED_VALUE"""),12)</f>
        <v>12</v>
      </c>
      <c r="E62" t="str">
        <f ca="1">IFERROR(__xludf.DUMMYFUNCTION("""COMPUTED_VALUE"""),"15' 10""")</f>
        <v>15' 10"</v>
      </c>
      <c r="F62">
        <f ca="1">IFERROR(__xludf.DUMMYFUNCTION("""COMPUTED_VALUE"""),364.083)</f>
        <v>364.08300000000003</v>
      </c>
      <c r="G62">
        <f ca="1">IFERROR(__xludf.DUMMYFUNCTION("""COMPUTED_VALUE"""),23)</f>
        <v>23</v>
      </c>
      <c r="H62">
        <f ca="1">IFERROR(__xludf.DUMMYFUNCTION("""COMPUTED_VALUE"""),-3)</f>
        <v>-3</v>
      </c>
    </row>
    <row r="63" spans="1:8" ht="12.75">
      <c r="A63" t="str">
        <f ca="1">IFERROR(__xludf.DUMMYFUNCTION("""COMPUTED_VALUE"""),"T57")</f>
        <v>T57</v>
      </c>
      <c r="B63" t="str">
        <f ca="1">IFERROR(__xludf.DUMMYFUNCTION("""COMPUTED_VALUE"""),"T26")</f>
        <v>T26</v>
      </c>
      <c r="C63" t="str">
        <f ca="1">IFERROR(__xludf.DUMMYFUNCTION("""COMPUTED_VALUE"""),"Denny McCarthy")</f>
        <v>Denny McCarthy</v>
      </c>
      <c r="D63">
        <f ca="1">IFERROR(__xludf.DUMMYFUNCTION("""COMPUTED_VALUE"""),22)</f>
        <v>22</v>
      </c>
      <c r="E63" t="str">
        <f ca="1">IFERROR(__xludf.DUMMYFUNCTION("""COMPUTED_VALUE"""),"15' 10""")</f>
        <v>15' 10"</v>
      </c>
      <c r="F63">
        <f ca="1">IFERROR(__xludf.DUMMYFUNCTION("""COMPUTED_VALUE"""),538)</f>
        <v>538</v>
      </c>
      <c r="G63">
        <f ca="1">IFERROR(__xludf.DUMMYFUNCTION("""COMPUTED_VALUE"""),34)</f>
        <v>34</v>
      </c>
      <c r="H63">
        <f ca="1">IFERROR(__xludf.DUMMYFUNCTION("""COMPUTED_VALUE"""),-8)</f>
        <v>-8</v>
      </c>
    </row>
    <row r="64" spans="1:8" ht="12.75">
      <c r="A64" t="str">
        <f ca="1">IFERROR(__xludf.DUMMYFUNCTION("""COMPUTED_VALUE"""),"T63")</f>
        <v>T63</v>
      </c>
      <c r="B64" t="str">
        <f ca="1">IFERROR(__xludf.DUMMYFUNCTION("""COMPUTED_VALUE"""),"T43")</f>
        <v>T43</v>
      </c>
      <c r="C64" t="str">
        <f ca="1">IFERROR(__xludf.DUMMYFUNCTION("""COMPUTED_VALUE"""),"Erik van Rooyen")</f>
        <v>Erik van Rooyen</v>
      </c>
      <c r="D64">
        <f ca="1">IFERROR(__xludf.DUMMYFUNCTION("""COMPUTED_VALUE"""),10)</f>
        <v>10</v>
      </c>
      <c r="E64" t="str">
        <f ca="1">IFERROR(__xludf.DUMMYFUNCTION("""COMPUTED_VALUE"""),"15' 11""")</f>
        <v>15' 11"</v>
      </c>
      <c r="F64">
        <f ca="1">IFERROR(__xludf.DUMMYFUNCTION("""COMPUTED_VALUE"""),287.167)</f>
        <v>287.16699999999997</v>
      </c>
      <c r="G64">
        <f ca="1">IFERROR(__xludf.DUMMYFUNCTION("""COMPUTED_VALUE"""),18)</f>
        <v>18</v>
      </c>
      <c r="H64">
        <f ca="1">IFERROR(__xludf.DUMMYFUNCTION("""COMPUTED_VALUE"""),-2)</f>
        <v>-2</v>
      </c>
    </row>
    <row r="65" spans="1:8" ht="12.75">
      <c r="A65" t="str">
        <f ca="1">IFERROR(__xludf.DUMMYFUNCTION("""COMPUTED_VALUE"""),"T63")</f>
        <v>T63</v>
      </c>
      <c r="B65" t="str">
        <f ca="1">IFERROR(__xludf.DUMMYFUNCTION("""COMPUTED_VALUE"""),"T36")</f>
        <v>T36</v>
      </c>
      <c r="C65" t="str">
        <f ca="1">IFERROR(__xludf.DUMMYFUNCTION("""COMPUTED_VALUE"""),"Phil Mickelson")</f>
        <v>Phil Mickelson</v>
      </c>
      <c r="D65">
        <f ca="1">IFERROR(__xludf.DUMMYFUNCTION("""COMPUTED_VALUE"""),12)</f>
        <v>12</v>
      </c>
      <c r="E65" t="str">
        <f ca="1">IFERROR(__xludf.DUMMYFUNCTION("""COMPUTED_VALUE"""),"15' 11""")</f>
        <v>15' 11"</v>
      </c>
      <c r="F65">
        <f ca="1">IFERROR(__xludf.DUMMYFUNCTION("""COMPUTED_VALUE"""),301.667)</f>
        <v>301.66699999999997</v>
      </c>
      <c r="G65">
        <f ca="1">IFERROR(__xludf.DUMMYFUNCTION("""COMPUTED_VALUE"""),19)</f>
        <v>19</v>
      </c>
      <c r="H65">
        <f ca="1">IFERROR(__xludf.DUMMYFUNCTION("""COMPUTED_VALUE"""),-5)</f>
        <v>-5</v>
      </c>
    </row>
    <row r="66" spans="1:8" ht="12.75">
      <c r="A66" t="str">
        <f ca="1">IFERROR(__xludf.DUMMYFUNCTION("""COMPUTED_VALUE"""),"T63")</f>
        <v>T63</v>
      </c>
      <c r="B66" t="str">
        <f ca="1">IFERROR(__xludf.DUMMYFUNCTION("""COMPUTED_VALUE"""),"T76")</f>
        <v>T76</v>
      </c>
      <c r="C66" t="str">
        <f ca="1">IFERROR(__xludf.DUMMYFUNCTION("""COMPUTED_VALUE"""),"Chez Reavie")</f>
        <v>Chez Reavie</v>
      </c>
      <c r="D66">
        <f ca="1">IFERROR(__xludf.DUMMYFUNCTION("""COMPUTED_VALUE"""),14)</f>
        <v>14</v>
      </c>
      <c r="E66" t="str">
        <f ca="1">IFERROR(__xludf.DUMMYFUNCTION("""COMPUTED_VALUE"""),"15' 11""")</f>
        <v>15' 11"</v>
      </c>
      <c r="F66">
        <f ca="1">IFERROR(__xludf.DUMMYFUNCTION("""COMPUTED_VALUE"""),699.25)</f>
        <v>699.25</v>
      </c>
      <c r="G66">
        <f ca="1">IFERROR(__xludf.DUMMYFUNCTION("""COMPUTED_VALUE"""),44)</f>
        <v>44</v>
      </c>
      <c r="H66">
        <f ca="1">IFERROR(__xludf.DUMMYFUNCTION("""COMPUTED_VALUE"""),-6)</f>
        <v>-6</v>
      </c>
    </row>
    <row r="67" spans="1:8" ht="12.75">
      <c r="A67" t="str">
        <f ca="1">IFERROR(__xludf.DUMMYFUNCTION("""COMPUTED_VALUE"""),"T66")</f>
        <v>T66</v>
      </c>
      <c r="B67">
        <f ca="1">IFERROR(__xludf.DUMMYFUNCTION("""COMPUTED_VALUE"""),79)</f>
        <v>79</v>
      </c>
      <c r="C67" t="str">
        <f ca="1">IFERROR(__xludf.DUMMYFUNCTION("""COMPUTED_VALUE"""),"Brendon Todd")</f>
        <v>Brendon Todd</v>
      </c>
      <c r="D67">
        <f ca="1">IFERROR(__xludf.DUMMYFUNCTION("""COMPUTED_VALUE"""),14)</f>
        <v>14</v>
      </c>
      <c r="E67" t="str">
        <f ca="1">IFERROR(__xludf.DUMMYFUNCTION("""COMPUTED_VALUE"""),"16' 0""")</f>
        <v>16' 0"</v>
      </c>
      <c r="F67">
        <f ca="1">IFERROR(__xludf.DUMMYFUNCTION("""COMPUTED_VALUE"""),415.667)</f>
        <v>415.66699999999997</v>
      </c>
      <c r="G67">
        <f ca="1">IFERROR(__xludf.DUMMYFUNCTION("""COMPUTED_VALUE"""),26)</f>
        <v>26</v>
      </c>
      <c r="H67">
        <f ca="1">IFERROR(__xludf.DUMMYFUNCTION("""COMPUTED_VALUE"""),-6)</f>
        <v>-6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IFERROR(__xludf.DUMMYFUNCTION("""COMPUTED_VALUE"""),"")</f>
        <v/>
      </c>
      <c r="C68" t="str">
        <f ca="1">IFERROR(__xludf.DUMMYFUNCTION("""COMPUTED_VALUE"""),"Erik Barnes")</f>
        <v>Erik Barnes</v>
      </c>
      <c r="D68">
        <f ca="1">IFERROR(__xludf.DUMMYFUNCTION("""COMPUTED_VALUE"""),4)</f>
        <v>4</v>
      </c>
      <c r="E68" t="str">
        <f ca="1">IFERROR(__xludf.DUMMYFUNCTION("""COMPUTED_VALUE"""),"16' 0""")</f>
        <v>16' 0"</v>
      </c>
      <c r="F68">
        <f ca="1">IFERROR(__xludf.DUMMYFUNCTION("""COMPUTED_VALUE"""),127.833)</f>
        <v>127.833</v>
      </c>
      <c r="G68">
        <f ca="1">IFERROR(__xludf.DUMMYFUNCTION("""COMPUTED_VALUE"""),8)</f>
        <v>8</v>
      </c>
      <c r="H68" t="str">
        <f ca="1">IFERROR(__xludf.DUMMYFUNCTION("""COMPUTED_VALUE"""),"E")</f>
        <v>E</v>
      </c>
    </row>
    <row r="69" spans="1:8" ht="12.75">
      <c r="A69" t="str">
        <f ca="1">IFERROR(__xludf.DUMMYFUNCTION("""COMPUTED_VALUE"""),"T66")</f>
        <v>T66</v>
      </c>
      <c r="B69" t="str">
        <f ca="1">IFERROR(__xludf.DUMMYFUNCTION("""COMPUTED_VALUE"""),"T70")</f>
        <v>T70</v>
      </c>
      <c r="C69" t="str">
        <f ca="1">IFERROR(__xludf.DUMMYFUNCTION("""COMPUTED_VALUE"""),"Tom Hoge")</f>
        <v>Tom Hoge</v>
      </c>
      <c r="D69">
        <f ca="1">IFERROR(__xludf.DUMMYFUNCTION("""COMPUTED_VALUE"""),22)</f>
        <v>22</v>
      </c>
      <c r="E69" t="str">
        <f ca="1">IFERROR(__xludf.DUMMYFUNCTION("""COMPUTED_VALUE"""),"16' 0""")</f>
        <v>16' 0"</v>
      </c>
      <c r="F69" s="2">
        <f ca="1">IFERROR(__xludf.DUMMYFUNCTION("""COMPUTED_VALUE"""),1086.917)</f>
        <v>1086.9169999999999</v>
      </c>
      <c r="G69">
        <f ca="1">IFERROR(__xludf.DUMMYFUNCTION("""COMPUTED_VALUE"""),68)</f>
        <v>68</v>
      </c>
      <c r="H69">
        <f ca="1">IFERROR(__xludf.DUMMYFUNCTION("""COMPUTED_VALUE"""),-14)</f>
        <v>-14</v>
      </c>
    </row>
    <row r="70" spans="1:8" ht="12.75">
      <c r="A70" t="str">
        <f ca="1">IFERROR(__xludf.DUMMYFUNCTION("""COMPUTED_VALUE"""),"T66")</f>
        <v>T66</v>
      </c>
      <c r="B70" t="str">
        <f ca="1">IFERROR(__xludf.DUMMYFUNCTION("""COMPUTED_VALUE"""),"T171")</f>
        <v>T171</v>
      </c>
      <c r="C70" t="str">
        <f ca="1">IFERROR(__xludf.DUMMYFUNCTION("""COMPUTED_VALUE"""),"Keith Mitchell")</f>
        <v>Keith Mitchell</v>
      </c>
      <c r="D70">
        <f ca="1">IFERROR(__xludf.DUMMYFUNCTION("""COMPUTED_VALUE"""),14)</f>
        <v>14</v>
      </c>
      <c r="E70" t="str">
        <f ca="1">IFERROR(__xludf.DUMMYFUNCTION("""COMPUTED_VALUE"""),"16' 0""")</f>
        <v>16' 0"</v>
      </c>
      <c r="F70">
        <f ca="1">IFERROR(__xludf.DUMMYFUNCTION("""COMPUTED_VALUE"""),224.417)</f>
        <v>224.417</v>
      </c>
      <c r="G70">
        <f ca="1">IFERROR(__xludf.DUMMYFUNCTION("""COMPUTED_VALUE"""),14)</f>
        <v>14</v>
      </c>
      <c r="H70">
        <f ca="1">IFERROR(__xludf.DUMMYFUNCTION("""COMPUTED_VALUE"""),-1)</f>
        <v>-1</v>
      </c>
    </row>
    <row r="71" spans="1:8" ht="12.75">
      <c r="A71" t="str">
        <f ca="1">IFERROR(__xludf.DUMMYFUNCTION("""COMPUTED_VALUE"""),"T66")</f>
        <v>T66</v>
      </c>
      <c r="B71" t="str">
        <f ca="1">IFERROR(__xludf.DUMMYFUNCTION("""COMPUTED_VALUE"""),"T40")</f>
        <v>T40</v>
      </c>
      <c r="C71" t="str">
        <f ca="1">IFERROR(__xludf.DUMMYFUNCTION("""COMPUTED_VALUE"""),"Doc Redman")</f>
        <v>Doc Redman</v>
      </c>
      <c r="D71">
        <f ca="1">IFERROR(__xludf.DUMMYFUNCTION("""COMPUTED_VALUE"""),18)</f>
        <v>18</v>
      </c>
      <c r="E71" t="str">
        <f ca="1">IFERROR(__xludf.DUMMYFUNCTION("""COMPUTED_VALUE"""),"16' 0""")</f>
        <v>16' 0"</v>
      </c>
      <c r="F71">
        <f ca="1">IFERROR(__xludf.DUMMYFUNCTION("""COMPUTED_VALUE"""),591.75)</f>
        <v>591.75</v>
      </c>
      <c r="G71">
        <f ca="1">IFERROR(__xludf.DUMMYFUNCTION("""COMPUTED_VALUE"""),37)</f>
        <v>37</v>
      </c>
      <c r="H71">
        <f ca="1">IFERROR(__xludf.DUMMYFUNCTION("""COMPUTED_VALUE"""),-6)</f>
        <v>-6</v>
      </c>
    </row>
    <row r="72" spans="1:8" ht="12.75">
      <c r="A72" t="str">
        <f ca="1">IFERROR(__xludf.DUMMYFUNCTION("""COMPUTED_VALUE"""),"T71")</f>
        <v>T71</v>
      </c>
      <c r="B72" t="str">
        <f ca="1">IFERROR(__xludf.DUMMYFUNCTION("""COMPUTED_VALUE"""),"T58")</f>
        <v>T58</v>
      </c>
      <c r="C72" t="str">
        <f ca="1">IFERROR(__xludf.DUMMYFUNCTION("""COMPUTED_VALUE"""),"Cameron Tringale")</f>
        <v>Cameron Tringale</v>
      </c>
      <c r="D72">
        <f ca="1">IFERROR(__xludf.DUMMYFUNCTION("""COMPUTED_VALUE"""),16)</f>
        <v>16</v>
      </c>
      <c r="E72" t="str">
        <f ca="1">IFERROR(__xludf.DUMMYFUNCTION("""COMPUTED_VALUE"""),"16' 1""")</f>
        <v>16' 1"</v>
      </c>
      <c r="F72">
        <f ca="1">IFERROR(__xludf.DUMMYFUNCTION("""COMPUTED_VALUE"""),612.333)</f>
        <v>612.33299999999997</v>
      </c>
      <c r="G72">
        <f ca="1">IFERROR(__xludf.DUMMYFUNCTION("""COMPUTED_VALUE"""),38)</f>
        <v>38</v>
      </c>
      <c r="H72">
        <f ca="1">IFERROR(__xludf.DUMMYFUNCTION("""COMPUTED_VALUE"""),-12)</f>
        <v>-12</v>
      </c>
    </row>
    <row r="73" spans="1:8" ht="12.75">
      <c r="A73" t="str">
        <f ca="1">IFERROR(__xludf.DUMMYFUNCTION("""COMPUTED_VALUE"""),"T71")</f>
        <v>T71</v>
      </c>
      <c r="B73" t="str">
        <f ca="1">IFERROR(__xludf.DUMMYFUNCTION("""COMPUTED_VALUE"""),"T80")</f>
        <v>T80</v>
      </c>
      <c r="C73" t="str">
        <f ca="1">IFERROR(__xludf.DUMMYFUNCTION("""COMPUTED_VALUE"""),"Paul Casey")</f>
        <v>Paul Casey</v>
      </c>
      <c r="D73">
        <f ca="1">IFERROR(__xludf.DUMMYFUNCTION("""COMPUTED_VALUE"""),14)</f>
        <v>14</v>
      </c>
      <c r="E73" t="str">
        <f ca="1">IFERROR(__xludf.DUMMYFUNCTION("""COMPUTED_VALUE"""),"16' 1""")</f>
        <v>16' 1"</v>
      </c>
      <c r="F73">
        <f ca="1">IFERROR(__xludf.DUMMYFUNCTION("""COMPUTED_VALUE"""),434.333)</f>
        <v>434.33300000000003</v>
      </c>
      <c r="G73">
        <f ca="1">IFERROR(__xludf.DUMMYFUNCTION("""COMPUTED_VALUE"""),27)</f>
        <v>27</v>
      </c>
      <c r="H73">
        <f ca="1">IFERROR(__xludf.DUMMYFUNCTION("""COMPUTED_VALUE"""),-3)</f>
        <v>-3</v>
      </c>
    </row>
    <row r="74" spans="1:8" ht="12.75">
      <c r="A74" t="str">
        <f ca="1">IFERROR(__xludf.DUMMYFUNCTION("""COMPUTED_VALUE"""),"T71")</f>
        <v>T71</v>
      </c>
      <c r="B74" t="str">
        <f ca="1">IFERROR(__xludf.DUMMYFUNCTION("""COMPUTED_VALUE"""),"T30")</f>
        <v>T30</v>
      </c>
      <c r="C74" t="str">
        <f ca="1">IFERROR(__xludf.DUMMYFUNCTION("""COMPUTED_VALUE"""),"Zach Johnson")</f>
        <v>Zach Johnson</v>
      </c>
      <c r="D74">
        <f ca="1">IFERROR(__xludf.DUMMYFUNCTION("""COMPUTED_VALUE"""),16)</f>
        <v>16</v>
      </c>
      <c r="E74" t="str">
        <f ca="1">IFERROR(__xludf.DUMMYFUNCTION("""COMPUTED_VALUE"""),"16' 1""")</f>
        <v>16' 1"</v>
      </c>
      <c r="F74">
        <f ca="1">IFERROR(__xludf.DUMMYFUNCTION("""COMPUTED_VALUE"""),691.667)</f>
        <v>691.66700000000003</v>
      </c>
      <c r="G74">
        <f ca="1">IFERROR(__xludf.DUMMYFUNCTION("""COMPUTED_VALUE"""),43)</f>
        <v>43</v>
      </c>
      <c r="H74">
        <f ca="1">IFERROR(__xludf.DUMMYFUNCTION("""COMPUTED_VALUE"""),-12)</f>
        <v>-12</v>
      </c>
    </row>
    <row r="75" spans="1:8" ht="12.75">
      <c r="A75" t="str">
        <f ca="1">IFERROR(__xludf.DUMMYFUNCTION("""COMPUTED_VALUE"""),"T74")</f>
        <v>T74</v>
      </c>
      <c r="B75" t="str">
        <f ca="1">IFERROR(__xludf.DUMMYFUNCTION("""COMPUTED_VALUE"""),"T83")</f>
        <v>T83</v>
      </c>
      <c r="C75" t="str">
        <f ca="1">IFERROR(__xludf.DUMMYFUNCTION("""COMPUTED_VALUE"""),"Ryan Palmer")</f>
        <v>Ryan Palmer</v>
      </c>
      <c r="D75">
        <f ca="1">IFERROR(__xludf.DUMMYFUNCTION("""COMPUTED_VALUE"""),14)</f>
        <v>14</v>
      </c>
      <c r="E75" t="str">
        <f ca="1">IFERROR(__xludf.DUMMYFUNCTION("""COMPUTED_VALUE"""),"16' 2""")</f>
        <v>16' 2"</v>
      </c>
      <c r="F75">
        <f ca="1">IFERROR(__xludf.DUMMYFUNCTION("""COMPUTED_VALUE"""),598.75)</f>
        <v>598.75</v>
      </c>
      <c r="G75">
        <f ca="1">IFERROR(__xludf.DUMMYFUNCTION("""COMPUTED_VALUE"""),37)</f>
        <v>37</v>
      </c>
      <c r="H75">
        <f ca="1">IFERROR(__xludf.DUMMYFUNCTION("""COMPUTED_VALUE"""),-8)</f>
        <v>-8</v>
      </c>
    </row>
    <row r="76" spans="1:8" ht="12.75">
      <c r="A76" t="str">
        <f ca="1">IFERROR(__xludf.DUMMYFUNCTION("""COMPUTED_VALUE"""),"T74")</f>
        <v>T74</v>
      </c>
      <c r="B76" t="str">
        <f ca="1">IFERROR(__xludf.DUMMYFUNCTION("""COMPUTED_VALUE"""),"T83")</f>
        <v>T83</v>
      </c>
      <c r="C76" t="str">
        <f ca="1">IFERROR(__xludf.DUMMYFUNCTION("""COMPUTED_VALUE"""),"Mark Anderson")</f>
        <v>Mark Anderson</v>
      </c>
      <c r="D76">
        <f ca="1">IFERROR(__xludf.DUMMYFUNCTION("""COMPUTED_VALUE"""),14)</f>
        <v>14</v>
      </c>
      <c r="E76" t="str">
        <f ca="1">IFERROR(__xludf.DUMMYFUNCTION("""COMPUTED_VALUE"""),"16' 2""")</f>
        <v>16' 2"</v>
      </c>
      <c r="F76">
        <f ca="1">IFERROR(__xludf.DUMMYFUNCTION("""COMPUTED_VALUE"""),307.083)</f>
        <v>307.08300000000003</v>
      </c>
      <c r="G76">
        <f ca="1">IFERROR(__xludf.DUMMYFUNCTION("""COMPUTED_VALUE"""),19)</f>
        <v>19</v>
      </c>
      <c r="H76">
        <f ca="1">IFERROR(__xludf.DUMMYFUNCTION("""COMPUTED_VALUE"""),-5)</f>
        <v>-5</v>
      </c>
    </row>
    <row r="77" spans="1:8" ht="12.75">
      <c r="A77" t="str">
        <f ca="1">IFERROR(__xludf.DUMMYFUNCTION("""COMPUTED_VALUE"""),"T76")</f>
        <v>T76</v>
      </c>
      <c r="B77" t="str">
        <f ca="1">IFERROR(__xludf.DUMMYFUNCTION("""COMPUTED_VALUE"""),"T58")</f>
        <v>T58</v>
      </c>
      <c r="C77" t="str">
        <f ca="1">IFERROR(__xludf.DUMMYFUNCTION("""COMPUTED_VALUE"""),"Camilo Villegas")</f>
        <v>Camilo Villegas</v>
      </c>
      <c r="D77">
        <f ca="1">IFERROR(__xludf.DUMMYFUNCTION("""COMPUTED_VALUE"""),14)</f>
        <v>14</v>
      </c>
      <c r="E77" t="str">
        <f ca="1">IFERROR(__xludf.DUMMYFUNCTION("""COMPUTED_VALUE"""),"16' 3""")</f>
        <v>16' 3"</v>
      </c>
      <c r="F77">
        <f ca="1">IFERROR(__xludf.DUMMYFUNCTION("""COMPUTED_VALUE"""),454.25)</f>
        <v>454.25</v>
      </c>
      <c r="G77">
        <f ca="1">IFERROR(__xludf.DUMMYFUNCTION("""COMPUTED_VALUE"""),28)</f>
        <v>28</v>
      </c>
      <c r="H77">
        <f ca="1">IFERROR(__xludf.DUMMYFUNCTION("""COMPUTED_VALUE"""),-3)</f>
        <v>-3</v>
      </c>
    </row>
    <row r="78" spans="1:8" ht="12.75">
      <c r="A78" t="str">
        <f ca="1">IFERROR(__xludf.DUMMYFUNCTION("""COMPUTED_VALUE"""),"T76")</f>
        <v>T76</v>
      </c>
      <c r="B78" t="str">
        <f ca="1">IFERROR(__xludf.DUMMYFUNCTION("""COMPUTED_VALUE"""),"T86")</f>
        <v>T86</v>
      </c>
      <c r="C78" t="str">
        <f ca="1">IFERROR(__xludf.DUMMYFUNCTION("""COMPUTED_VALUE"""),"Chesson Hadley")</f>
        <v>Chesson Hadley</v>
      </c>
      <c r="D78">
        <f ca="1">IFERROR(__xludf.DUMMYFUNCTION("""COMPUTED_VALUE"""),16)</f>
        <v>16</v>
      </c>
      <c r="E78" t="str">
        <f ca="1">IFERROR(__xludf.DUMMYFUNCTION("""COMPUTED_VALUE"""),"16' 3""")</f>
        <v>16' 3"</v>
      </c>
      <c r="F78">
        <f ca="1">IFERROR(__xludf.DUMMYFUNCTION("""COMPUTED_VALUE"""),503.167)</f>
        <v>503.16699999999997</v>
      </c>
      <c r="G78">
        <f ca="1">IFERROR(__xludf.DUMMYFUNCTION("""COMPUTED_VALUE"""),31)</f>
        <v>31</v>
      </c>
      <c r="H78">
        <f ca="1">IFERROR(__xludf.DUMMYFUNCTION("""COMPUTED_VALUE"""),-3)</f>
        <v>-3</v>
      </c>
    </row>
    <row r="79" spans="1:8" ht="12.75">
      <c r="A79" t="str">
        <f ca="1">IFERROR(__xludf.DUMMYFUNCTION("""COMPUTED_VALUE"""),"T76")</f>
        <v>T76</v>
      </c>
      <c r="B79" t="str">
        <f ca="1">IFERROR(__xludf.DUMMYFUNCTION("""COMPUTED_VALUE"""),"T86")</f>
        <v>T86</v>
      </c>
      <c r="C79" t="str">
        <f ca="1">IFERROR(__xludf.DUMMYFUNCTION("""COMPUTED_VALUE"""),"Joohyung Kim")</f>
        <v>Joohyung Kim</v>
      </c>
      <c r="D79">
        <f ca="1">IFERROR(__xludf.DUMMYFUNCTION("""COMPUTED_VALUE"""),12)</f>
        <v>12</v>
      </c>
      <c r="E79" t="str">
        <f ca="1">IFERROR(__xludf.DUMMYFUNCTION("""COMPUTED_VALUE"""),"16' 3""")</f>
        <v>16' 3"</v>
      </c>
      <c r="F79">
        <f ca="1">IFERROR(__xludf.DUMMYFUNCTION("""COMPUTED_VALUE"""),324.667)</f>
        <v>324.66699999999997</v>
      </c>
      <c r="G79">
        <f ca="1">IFERROR(__xludf.DUMMYFUNCTION("""COMPUTED_VALUE"""),20)</f>
        <v>20</v>
      </c>
      <c r="H79">
        <f ca="1">IFERROR(__xludf.DUMMYFUNCTION("""COMPUTED_VALUE"""),-2)</f>
        <v>-2</v>
      </c>
    </row>
    <row r="80" spans="1:8" ht="12.75">
      <c r="A80" t="str">
        <f ca="1">IFERROR(__xludf.DUMMYFUNCTION("""COMPUTED_VALUE"""),"T76")</f>
        <v>T76</v>
      </c>
      <c r="B80" t="str">
        <f ca="1">IFERROR(__xludf.DUMMYFUNCTION("""COMPUTED_VALUE"""),"T86")</f>
        <v>T86</v>
      </c>
      <c r="C80" t="str">
        <f ca="1">IFERROR(__xludf.DUMMYFUNCTION("""COMPUTED_VALUE"""),"Richy Werenski")</f>
        <v>Richy Werenski</v>
      </c>
      <c r="D80">
        <f ca="1">IFERROR(__xludf.DUMMYFUNCTION("""COMPUTED_VALUE"""),16)</f>
        <v>16</v>
      </c>
      <c r="E80" t="str">
        <f ca="1">IFERROR(__xludf.DUMMYFUNCTION("""COMPUTED_VALUE"""),"16' 3""")</f>
        <v>16' 3"</v>
      </c>
      <c r="F80">
        <f ca="1">IFERROR(__xludf.DUMMYFUNCTION("""COMPUTED_VALUE"""),584.75)</f>
        <v>584.75</v>
      </c>
      <c r="G80">
        <f ca="1">IFERROR(__xludf.DUMMYFUNCTION("""COMPUTED_VALUE"""),36)</f>
        <v>36</v>
      </c>
      <c r="H80">
        <f ca="1">IFERROR(__xludf.DUMMYFUNCTION("""COMPUTED_VALUE"""),-4)</f>
        <v>-4</v>
      </c>
    </row>
    <row r="81" spans="1:8" ht="12.75">
      <c r="A81">
        <f ca="1">IFERROR(__xludf.DUMMYFUNCTION("""COMPUTED_VALUE"""),80)</f>
        <v>80</v>
      </c>
      <c r="B81" t="str">
        <f ca="1">IFERROR(__xludf.DUMMYFUNCTION("""COMPUTED_VALUE"""),"T90")</f>
        <v>T90</v>
      </c>
      <c r="C81" t="str">
        <f ca="1">IFERROR(__xludf.DUMMYFUNCTION("""COMPUTED_VALUE"""),"Bubba Watson")</f>
        <v>Bubba Watson</v>
      </c>
      <c r="D81">
        <f ca="1">IFERROR(__xludf.DUMMYFUNCTION("""COMPUTED_VALUE"""),12)</f>
        <v>12</v>
      </c>
      <c r="E81" t="str">
        <f ca="1">IFERROR(__xludf.DUMMYFUNCTION("""COMPUTED_VALUE"""),"16' 4""")</f>
        <v>16' 4"</v>
      </c>
      <c r="F81">
        <f ca="1">IFERROR(__xludf.DUMMYFUNCTION("""COMPUTED_VALUE"""),359.833)</f>
        <v>359.83300000000003</v>
      </c>
      <c r="G81">
        <f ca="1">IFERROR(__xludf.DUMMYFUNCTION("""COMPUTED_VALUE"""),22)</f>
        <v>22</v>
      </c>
      <c r="H81">
        <f ca="1">IFERROR(__xludf.DUMMYFUNCTION("""COMPUTED_VALUE"""),-3)</f>
        <v>-3</v>
      </c>
    </row>
    <row r="82" spans="1:8" ht="12.75">
      <c r="A82" t="str">
        <f ca="1">IFERROR(__xludf.DUMMYFUNCTION("""COMPUTED_VALUE"""),"T81")</f>
        <v>T81</v>
      </c>
      <c r="B82" t="str">
        <f ca="1">IFERROR(__xludf.DUMMYFUNCTION("""COMPUTED_VALUE"""),"T92")</f>
        <v>T92</v>
      </c>
      <c r="C82" t="str">
        <f ca="1">IFERROR(__xludf.DUMMYFUNCTION("""COMPUTED_VALUE"""),"Marc Leishman")</f>
        <v>Marc Leishman</v>
      </c>
      <c r="D82">
        <f ca="1">IFERROR(__xludf.DUMMYFUNCTION("""COMPUTED_VALUE"""),10)</f>
        <v>10</v>
      </c>
      <c r="E82" t="str">
        <f ca="1">IFERROR(__xludf.DUMMYFUNCTION("""COMPUTED_VALUE"""),"16' 5""")</f>
        <v>16' 5"</v>
      </c>
      <c r="F82">
        <f ca="1">IFERROR(__xludf.DUMMYFUNCTION("""COMPUTED_VALUE"""),361.167)</f>
        <v>361.16699999999997</v>
      </c>
      <c r="G82">
        <f ca="1">IFERROR(__xludf.DUMMYFUNCTION("""COMPUTED_VALUE"""),22)</f>
        <v>22</v>
      </c>
      <c r="H82">
        <f ca="1">IFERROR(__xludf.DUMMYFUNCTION("""COMPUTED_VALUE"""),-2)</f>
        <v>-2</v>
      </c>
    </row>
    <row r="83" spans="1:8" ht="12.75">
      <c r="A83" t="str">
        <f ca="1">IFERROR(__xludf.DUMMYFUNCTION("""COMPUTED_VALUE"""),"T81")</f>
        <v>T81</v>
      </c>
      <c r="B83" t="str">
        <f ca="1">IFERROR(__xludf.DUMMYFUNCTION("""COMPUTED_VALUE"""),"T47")</f>
        <v>T47</v>
      </c>
      <c r="C83" t="str">
        <f ca="1">IFERROR(__xludf.DUMMYFUNCTION("""COMPUTED_VALUE"""),"James Hahn")</f>
        <v>James Hahn</v>
      </c>
      <c r="D83">
        <f ca="1">IFERROR(__xludf.DUMMYFUNCTION("""COMPUTED_VALUE"""),16)</f>
        <v>16</v>
      </c>
      <c r="E83" t="str">
        <f ca="1">IFERROR(__xludf.DUMMYFUNCTION("""COMPUTED_VALUE"""),"16' 5""")</f>
        <v>16' 5"</v>
      </c>
      <c r="F83">
        <f ca="1">IFERROR(__xludf.DUMMYFUNCTION("""COMPUTED_VALUE"""),427.417)</f>
        <v>427.41699999999997</v>
      </c>
      <c r="G83">
        <f ca="1">IFERROR(__xludf.DUMMYFUNCTION("""COMPUTED_VALUE"""),26)</f>
        <v>26</v>
      </c>
      <c r="H83">
        <f ca="1">IFERROR(__xludf.DUMMYFUNCTION("""COMPUTED_VALUE"""),-10)</f>
        <v>-10</v>
      </c>
    </row>
    <row r="84" spans="1:8" ht="12.75">
      <c r="A84" t="str">
        <f ca="1">IFERROR(__xludf.DUMMYFUNCTION("""COMPUTED_VALUE"""),"T81")</f>
        <v>T81</v>
      </c>
      <c r="B84" t="str">
        <f ca="1">IFERROR(__xludf.DUMMYFUNCTION("""COMPUTED_VALUE"""),"T92")</f>
        <v>T92</v>
      </c>
      <c r="C84" t="str">
        <f ca="1">IFERROR(__xludf.DUMMYFUNCTION("""COMPUTED_VALUE"""),"Chan Kim")</f>
        <v>Chan Kim</v>
      </c>
      <c r="D84">
        <f ca="1">IFERROR(__xludf.DUMMYFUNCTION("""COMPUTED_VALUE"""),6)</f>
        <v>6</v>
      </c>
      <c r="E84" t="str">
        <f ca="1">IFERROR(__xludf.DUMMYFUNCTION("""COMPUTED_VALUE"""),"16' 5""")</f>
        <v>16' 5"</v>
      </c>
      <c r="F84">
        <f ca="1">IFERROR(__xludf.DUMMYFUNCTION("""COMPUTED_VALUE"""),279.417)</f>
        <v>279.41699999999997</v>
      </c>
      <c r="G84">
        <f ca="1">IFERROR(__xludf.DUMMYFUNCTION("""COMPUTED_VALUE"""),17)</f>
        <v>17</v>
      </c>
      <c r="H84">
        <f ca="1">IFERROR(__xludf.DUMMYFUNCTION("""COMPUTED_VALUE"""),-4)</f>
        <v>-4</v>
      </c>
    </row>
    <row r="85" spans="1:8" ht="12.75">
      <c r="A85" t="str">
        <f ca="1">IFERROR(__xludf.DUMMYFUNCTION("""COMPUTED_VALUE"""),"T84")</f>
        <v>T84</v>
      </c>
      <c r="B85">
        <f ca="1">IFERROR(__xludf.DUMMYFUNCTION("""COMPUTED_VALUE"""),24)</f>
        <v>24</v>
      </c>
      <c r="C85" t="str">
        <f ca="1">IFERROR(__xludf.DUMMYFUNCTION("""COMPUTED_VALUE"""),"Kevin Chappell")</f>
        <v>Kevin Chappell</v>
      </c>
      <c r="D85">
        <f ca="1">IFERROR(__xludf.DUMMYFUNCTION("""COMPUTED_VALUE"""),16)</f>
        <v>16</v>
      </c>
      <c r="E85" t="str">
        <f ca="1">IFERROR(__xludf.DUMMYFUNCTION("""COMPUTED_VALUE"""),"16' 6""")</f>
        <v>16' 6"</v>
      </c>
      <c r="F85">
        <f ca="1">IFERROR(__xludf.DUMMYFUNCTION("""COMPUTED_VALUE"""),661)</f>
        <v>661</v>
      </c>
      <c r="G85">
        <f ca="1">IFERROR(__xludf.DUMMYFUNCTION("""COMPUTED_VALUE"""),40)</f>
        <v>40</v>
      </c>
      <c r="H85">
        <f ca="1">IFERROR(__xludf.DUMMYFUNCTION("""COMPUTED_VALUE"""),-8)</f>
        <v>-8</v>
      </c>
    </row>
    <row r="86" spans="1:8" ht="12.75">
      <c r="A86" t="str">
        <f ca="1">IFERROR(__xludf.DUMMYFUNCTION("""COMPUTED_VALUE"""),"T84")</f>
        <v>T84</v>
      </c>
      <c r="B86" t="str">
        <f ca="1">IFERROR(__xludf.DUMMYFUNCTION("""COMPUTED_VALUE"""),"T175")</f>
        <v>T175</v>
      </c>
      <c r="C86" t="str">
        <f ca="1">IFERROR(__xludf.DUMMYFUNCTION("""COMPUTED_VALUE"""),"Chris Kirk")</f>
        <v>Chris Kirk</v>
      </c>
      <c r="D86">
        <f ca="1">IFERROR(__xludf.DUMMYFUNCTION("""COMPUTED_VALUE"""),10)</f>
        <v>10</v>
      </c>
      <c r="E86" t="str">
        <f ca="1">IFERROR(__xludf.DUMMYFUNCTION("""COMPUTED_VALUE"""),"16' 6""")</f>
        <v>16' 6"</v>
      </c>
      <c r="F86">
        <f ca="1">IFERROR(__xludf.DUMMYFUNCTION("""COMPUTED_VALUE"""),280.5)</f>
        <v>280.5</v>
      </c>
      <c r="G86">
        <f ca="1">IFERROR(__xludf.DUMMYFUNCTION("""COMPUTED_VALUE"""),17)</f>
        <v>17</v>
      </c>
      <c r="H86">
        <f ca="1">IFERROR(__xludf.DUMMYFUNCTION("""COMPUTED_VALUE"""),-4)</f>
        <v>-4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IFERROR(__xludf.DUMMYFUNCTION("""COMPUTED_VALUE"""),"T70")</f>
        <v>T70</v>
      </c>
      <c r="C87" t="str">
        <f ca="1">IFERROR(__xludf.DUMMYFUNCTION("""COMPUTED_VALUE"""),"C.T. Pan")</f>
        <v>C.T. Pan</v>
      </c>
      <c r="D87">
        <f ca="1">IFERROR(__xludf.DUMMYFUNCTION("""COMPUTED_VALUE"""),20)</f>
        <v>20</v>
      </c>
      <c r="E87" t="str">
        <f ca="1">IFERROR(__xludf.DUMMYFUNCTION("""COMPUTED_VALUE"""),"16' 7""")</f>
        <v>16' 7"</v>
      </c>
      <c r="F87">
        <f ca="1">IFERROR(__xludf.DUMMYFUNCTION("""COMPUTED_VALUE"""),645.75)</f>
        <v>645.75</v>
      </c>
      <c r="G87">
        <f ca="1">IFERROR(__xludf.DUMMYFUNCTION("""COMPUTED_VALUE"""),39)</f>
        <v>39</v>
      </c>
      <c r="H87">
        <f ca="1">IFERROR(__xludf.DUMMYFUNCTION("""COMPUTED_VALUE"""),-5)</f>
        <v>-5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IFERROR(__xludf.DUMMYFUNCTION("""COMPUTED_VALUE"""),"T96")</f>
        <v>T96</v>
      </c>
      <c r="C88" t="str">
        <f ca="1">IFERROR(__xludf.DUMMYFUNCTION("""COMPUTED_VALUE"""),"J.B. Holmes")</f>
        <v>J.B. Holmes</v>
      </c>
      <c r="D88">
        <f ca="1">IFERROR(__xludf.DUMMYFUNCTION("""COMPUTED_VALUE"""),10)</f>
        <v>10</v>
      </c>
      <c r="E88" t="str">
        <f ca="1">IFERROR(__xludf.DUMMYFUNCTION("""COMPUTED_VALUE"""),"16' 7""")</f>
        <v>16' 7"</v>
      </c>
      <c r="F88">
        <f ca="1">IFERROR(__xludf.DUMMYFUNCTION("""COMPUTED_VALUE"""),465.333)</f>
        <v>465.33300000000003</v>
      </c>
      <c r="G88">
        <f ca="1">IFERROR(__xludf.DUMMYFUNCTION("""COMPUTED_VALUE"""),28)</f>
        <v>28</v>
      </c>
      <c r="H88">
        <f ca="1">IFERROR(__xludf.DUMMYFUNCTION("""COMPUTED_VALUE"""),-4)</f>
        <v>-4</v>
      </c>
    </row>
    <row r="89" spans="1:8" ht="12.75">
      <c r="A89">
        <f ca="1">IFERROR(__xludf.DUMMYFUNCTION("""COMPUTED_VALUE"""),88)</f>
        <v>88</v>
      </c>
      <c r="B89" t="str">
        <f ca="1">IFERROR(__xludf.DUMMYFUNCTION("""COMPUTED_VALUE"""),"T98")</f>
        <v>T98</v>
      </c>
      <c r="C89" t="str">
        <f ca="1">IFERROR(__xludf.DUMMYFUNCTION("""COMPUTED_VALUE"""),"Chris Baker")</f>
        <v>Chris Baker</v>
      </c>
      <c r="D89">
        <f ca="1">IFERROR(__xludf.DUMMYFUNCTION("""COMPUTED_VALUE"""),8)</f>
        <v>8</v>
      </c>
      <c r="E89" t="str">
        <f ca="1">IFERROR(__xludf.DUMMYFUNCTION("""COMPUTED_VALUE"""),"16' 8""")</f>
        <v>16' 8"</v>
      </c>
      <c r="F89">
        <f ca="1">IFERROR(__xludf.DUMMYFUNCTION("""COMPUTED_VALUE"""),166.833)</f>
        <v>166.833</v>
      </c>
      <c r="G89">
        <f ca="1">IFERROR(__xludf.DUMMYFUNCTION("""COMPUTED_VALUE"""),10)</f>
        <v>10</v>
      </c>
      <c r="H89">
        <f ca="1">IFERROR(__xludf.DUMMYFUNCTION("""COMPUTED_VALUE"""),-1)</f>
        <v>-1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IFERROR(__xludf.DUMMYFUNCTION("""COMPUTED_VALUE"""),"T100")</f>
        <v>T100</v>
      </c>
      <c r="C90" t="str">
        <f ca="1">IFERROR(__xludf.DUMMYFUNCTION("""COMPUTED_VALUE"""),"Gunn Charoenkul")</f>
        <v>Gunn Charoenkul</v>
      </c>
      <c r="D90">
        <f ca="1">IFERROR(__xludf.DUMMYFUNCTION("""COMPUTED_VALUE"""),4)</f>
        <v>4</v>
      </c>
      <c r="E90" t="str">
        <f ca="1">IFERROR(__xludf.DUMMYFUNCTION("""COMPUTED_VALUE"""),"16' 9""")</f>
        <v>16' 9"</v>
      </c>
      <c r="F90">
        <f ca="1">IFERROR(__xludf.DUMMYFUNCTION("""COMPUTED_VALUE"""),100.667)</f>
        <v>100.667</v>
      </c>
      <c r="G90">
        <f ca="1">IFERROR(__xludf.DUMMYFUNCTION("""COMPUTED_VALUE"""),6)</f>
        <v>6</v>
      </c>
      <c r="H90">
        <f ca="1">IFERROR(__xludf.DUMMYFUNCTION("""COMPUTED_VALUE"""),-2)</f>
        <v>-2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IFERROR(__xludf.DUMMYFUNCTION("""COMPUTED_VALUE"""),"T76")</f>
        <v>T76</v>
      </c>
      <c r="C91" t="str">
        <f ca="1">IFERROR(__xludf.DUMMYFUNCTION("""COMPUTED_VALUE"""),"Adam Long")</f>
        <v>Adam Long</v>
      </c>
      <c r="D91">
        <f ca="1">IFERROR(__xludf.DUMMYFUNCTION("""COMPUTED_VALUE"""),22)</f>
        <v>22</v>
      </c>
      <c r="E91" t="str">
        <f ca="1">IFERROR(__xludf.DUMMYFUNCTION("""COMPUTED_VALUE"""),"16' 9""")</f>
        <v>16' 9"</v>
      </c>
      <c r="F91">
        <f ca="1">IFERROR(__xludf.DUMMYFUNCTION("""COMPUTED_VALUE"""),753.583)</f>
        <v>753.58299999999997</v>
      </c>
      <c r="G91">
        <f ca="1">IFERROR(__xludf.DUMMYFUNCTION("""COMPUTED_VALUE"""),45)</f>
        <v>45</v>
      </c>
      <c r="H91" t="str">
        <f ca="1">IFERROR(__xludf.DUMMYFUNCTION("""COMPUTED_VALUE"""),"+1")</f>
        <v>+1</v>
      </c>
    </row>
    <row r="92" spans="1:8" ht="12.75">
      <c r="A92" t="str">
        <f ca="1">IFERROR(__xludf.DUMMYFUNCTION("""COMPUTED_VALUE"""),"T91")</f>
        <v>T91</v>
      </c>
      <c r="B92" t="str">
        <f ca="1">IFERROR(__xludf.DUMMYFUNCTION("""COMPUTED_VALUE"""),"")</f>
        <v/>
      </c>
      <c r="C92" t="str">
        <f ca="1">IFERROR(__xludf.DUMMYFUNCTION("""COMPUTED_VALUE"""),"Greg Chalmers")</f>
        <v>Greg Chalmers</v>
      </c>
      <c r="D92">
        <f ca="1">IFERROR(__xludf.DUMMYFUNCTION("""COMPUTED_VALUE"""),6)</f>
        <v>6</v>
      </c>
      <c r="E92" t="str">
        <f ca="1">IFERROR(__xludf.DUMMYFUNCTION("""COMPUTED_VALUE"""),"16' 10""")</f>
        <v>16' 10"</v>
      </c>
      <c r="F92">
        <f ca="1">IFERROR(__xludf.DUMMYFUNCTION("""COMPUTED_VALUE"""),286.583)</f>
        <v>286.58300000000003</v>
      </c>
      <c r="G92">
        <f ca="1">IFERROR(__xludf.DUMMYFUNCTION("""COMPUTED_VALUE"""),17)</f>
        <v>17</v>
      </c>
      <c r="H92">
        <f ca="1">IFERROR(__xludf.DUMMYFUNCTION("""COMPUTED_VALUE"""),-2)</f>
        <v>-2</v>
      </c>
    </row>
    <row r="93" spans="1:8" ht="12.75">
      <c r="A93" t="str">
        <f ca="1">IFERROR(__xludf.DUMMYFUNCTION("""COMPUTED_VALUE"""),"T91")</f>
        <v>T91</v>
      </c>
      <c r="B93">
        <f ca="1">IFERROR(__xludf.DUMMYFUNCTION("""COMPUTED_VALUE"""),102)</f>
        <v>102</v>
      </c>
      <c r="C93" t="str">
        <f ca="1">IFERROR(__xludf.DUMMYFUNCTION("""COMPUTED_VALUE"""),"Ryan Brehm")</f>
        <v>Ryan Brehm</v>
      </c>
      <c r="D93">
        <f ca="1">IFERROR(__xludf.DUMMYFUNCTION("""COMPUTED_VALUE"""),10)</f>
        <v>10</v>
      </c>
      <c r="E93" t="str">
        <f ca="1">IFERROR(__xludf.DUMMYFUNCTION("""COMPUTED_VALUE"""),"16' 10""")</f>
        <v>16' 10"</v>
      </c>
      <c r="F93">
        <f ca="1">IFERROR(__xludf.DUMMYFUNCTION("""COMPUTED_VALUE"""),151.333)</f>
        <v>151.333</v>
      </c>
      <c r="G93">
        <f ca="1">IFERROR(__xludf.DUMMYFUNCTION("""COMPUTED_VALUE"""),9)</f>
        <v>9</v>
      </c>
      <c r="H93">
        <f ca="1">IFERROR(__xludf.DUMMYFUNCTION("""COMPUTED_VALUE"""),-3)</f>
        <v>-3</v>
      </c>
    </row>
    <row r="94" spans="1:8" ht="12.75">
      <c r="A94" t="str">
        <f ca="1">IFERROR(__xludf.DUMMYFUNCTION("""COMPUTED_VALUE"""),"T93")</f>
        <v>T93</v>
      </c>
      <c r="B94" t="str">
        <f ca="1">IFERROR(__xludf.DUMMYFUNCTION("""COMPUTED_VALUE"""),"T103")</f>
        <v>T103</v>
      </c>
      <c r="C94" t="str">
        <f ca="1">IFERROR(__xludf.DUMMYFUNCTION("""COMPUTED_VALUE"""),"Cameron Percy")</f>
        <v>Cameron Percy</v>
      </c>
      <c r="D94">
        <f ca="1">IFERROR(__xludf.DUMMYFUNCTION("""COMPUTED_VALUE"""),16)</f>
        <v>16</v>
      </c>
      <c r="E94" t="str">
        <f ca="1">IFERROR(__xludf.DUMMYFUNCTION("""COMPUTED_VALUE"""),"16' 11""")</f>
        <v>16' 11"</v>
      </c>
      <c r="F94">
        <f ca="1">IFERROR(__xludf.DUMMYFUNCTION("""COMPUTED_VALUE"""),557.083)</f>
        <v>557.08299999999997</v>
      </c>
      <c r="G94">
        <f ca="1">IFERROR(__xludf.DUMMYFUNCTION("""COMPUTED_VALUE"""),33)</f>
        <v>33</v>
      </c>
      <c r="H94">
        <f ca="1">IFERROR(__xludf.DUMMYFUNCTION("""COMPUTED_VALUE"""),-6)</f>
        <v>-6</v>
      </c>
    </row>
    <row r="95" spans="1:8" ht="12.75">
      <c r="A95" t="str">
        <f ca="1">IFERROR(__xludf.DUMMYFUNCTION("""COMPUTED_VALUE"""),"T93")</f>
        <v>T93</v>
      </c>
      <c r="B95" t="str">
        <f ca="1">IFERROR(__xludf.DUMMYFUNCTION("""COMPUTED_VALUE"""),"T103")</f>
        <v>T103</v>
      </c>
      <c r="C95" t="str">
        <f ca="1">IFERROR(__xludf.DUMMYFUNCTION("""COMPUTED_VALUE"""),"Aaron Baddeley")</f>
        <v>Aaron Baddeley</v>
      </c>
      <c r="D95">
        <f ca="1">IFERROR(__xludf.DUMMYFUNCTION("""COMPUTED_VALUE"""),8)</f>
        <v>8</v>
      </c>
      <c r="E95" t="str">
        <f ca="1">IFERROR(__xludf.DUMMYFUNCTION("""COMPUTED_VALUE"""),"16' 11""")</f>
        <v>16' 11"</v>
      </c>
      <c r="F95">
        <f ca="1">IFERROR(__xludf.DUMMYFUNCTION("""COMPUTED_VALUE"""),185.833)</f>
        <v>185.833</v>
      </c>
      <c r="G95">
        <f ca="1">IFERROR(__xludf.DUMMYFUNCTION("""COMPUTED_VALUE"""),11)</f>
        <v>11</v>
      </c>
      <c r="H95">
        <f ca="1">IFERROR(__xludf.DUMMYFUNCTION("""COMPUTED_VALUE"""),-5)</f>
        <v>-5</v>
      </c>
    </row>
    <row r="96" spans="1:8" ht="12.75">
      <c r="A96" t="str">
        <f ca="1">IFERROR(__xludf.DUMMYFUNCTION("""COMPUTED_VALUE"""),"T93")</f>
        <v>T93</v>
      </c>
      <c r="B96" t="str">
        <f ca="1">IFERROR(__xludf.DUMMYFUNCTION("""COMPUTED_VALUE"""),"T103")</f>
        <v>T103</v>
      </c>
      <c r="C96" t="str">
        <f ca="1">IFERROR(__xludf.DUMMYFUNCTION("""COMPUTED_VALUE"""),"Tiger Woods")</f>
        <v>Tiger Woods</v>
      </c>
      <c r="D96">
        <f ca="1">IFERROR(__xludf.DUMMYFUNCTION("""COMPUTED_VALUE"""),6)</f>
        <v>6</v>
      </c>
      <c r="E96" t="str">
        <f ca="1">IFERROR(__xludf.DUMMYFUNCTION("""COMPUTED_VALUE"""),"16' 11""")</f>
        <v>16' 11"</v>
      </c>
      <c r="F96">
        <f ca="1">IFERROR(__xludf.DUMMYFUNCTION("""COMPUTED_VALUE"""),236.75)</f>
        <v>236.75</v>
      </c>
      <c r="G96">
        <f ca="1">IFERROR(__xludf.DUMMYFUNCTION("""COMPUTED_VALUE"""),14)</f>
        <v>14</v>
      </c>
      <c r="H96">
        <f ca="1">IFERROR(__xludf.DUMMYFUNCTION("""COMPUTED_VALUE"""),-1)</f>
        <v>-1</v>
      </c>
    </row>
    <row r="97" spans="1:8" ht="12.75">
      <c r="A97" t="str">
        <f ca="1">IFERROR(__xludf.DUMMYFUNCTION("""COMPUTED_VALUE"""),"T93")</f>
        <v>T93</v>
      </c>
      <c r="B97" t="str">
        <f ca="1">IFERROR(__xludf.DUMMYFUNCTION("""COMPUTED_VALUE"""),"T103")</f>
        <v>T103</v>
      </c>
      <c r="C97" t="str">
        <f ca="1">IFERROR(__xludf.DUMMYFUNCTION("""COMPUTED_VALUE"""),"Thomas Detry")</f>
        <v>Thomas Detry</v>
      </c>
      <c r="D97">
        <f ca="1">IFERROR(__xludf.DUMMYFUNCTION("""COMPUTED_VALUE"""),8)</f>
        <v>8</v>
      </c>
      <c r="E97" t="str">
        <f ca="1">IFERROR(__xludf.DUMMYFUNCTION("""COMPUTED_VALUE"""),"16' 11""")</f>
        <v>16' 11"</v>
      </c>
      <c r="F97">
        <f ca="1">IFERROR(__xludf.DUMMYFUNCTION("""COMPUTED_VALUE"""),118.167)</f>
        <v>118.167</v>
      </c>
      <c r="G97">
        <f ca="1">IFERROR(__xludf.DUMMYFUNCTION("""COMPUTED_VALUE"""),7)</f>
        <v>7</v>
      </c>
      <c r="H97" t="str">
        <f ca="1">IFERROR(__xludf.DUMMYFUNCTION("""COMPUTED_VALUE"""),"+2")</f>
        <v>+2</v>
      </c>
    </row>
    <row r="98" spans="1:8" ht="12.75">
      <c r="A98" t="str">
        <f ca="1">IFERROR(__xludf.DUMMYFUNCTION("""COMPUTED_VALUE"""),"T97")</f>
        <v>T97</v>
      </c>
      <c r="B98" t="str">
        <f ca="1">IFERROR(__xludf.DUMMYFUNCTION("""COMPUTED_VALUE"""),"T80")</f>
        <v>T80</v>
      </c>
      <c r="C98" t="str">
        <f ca="1">IFERROR(__xludf.DUMMYFUNCTION("""COMPUTED_VALUE"""),"Matthew NeSmith")</f>
        <v>Matthew NeSmith</v>
      </c>
      <c r="D98">
        <f ca="1">IFERROR(__xludf.DUMMYFUNCTION("""COMPUTED_VALUE"""),16)</f>
        <v>16</v>
      </c>
      <c r="E98" t="str">
        <f ca="1">IFERROR(__xludf.DUMMYFUNCTION("""COMPUTED_VALUE"""),"17' 0""")</f>
        <v>17' 0"</v>
      </c>
      <c r="F98">
        <f ca="1">IFERROR(__xludf.DUMMYFUNCTION("""COMPUTED_VALUE"""),408.5)</f>
        <v>408.5</v>
      </c>
      <c r="G98">
        <f ca="1">IFERROR(__xludf.DUMMYFUNCTION("""COMPUTED_VALUE"""),24)</f>
        <v>24</v>
      </c>
      <c r="H98">
        <f ca="1">IFERROR(__xludf.DUMMYFUNCTION("""COMPUTED_VALUE"""),-3)</f>
        <v>-3</v>
      </c>
    </row>
    <row r="99" spans="1:8" ht="12.75">
      <c r="A99" t="str">
        <f ca="1">IFERROR(__xludf.DUMMYFUNCTION("""COMPUTED_VALUE"""),"T97")</f>
        <v>T97</v>
      </c>
      <c r="B99">
        <f ca="1">IFERROR(__xludf.DUMMYFUNCTION("""COMPUTED_VALUE"""),107)</f>
        <v>107</v>
      </c>
      <c r="C99" t="str">
        <f ca="1">IFERROR(__xludf.DUMMYFUNCTION("""COMPUTED_VALUE"""),"Zac Blair")</f>
        <v>Zac Blair</v>
      </c>
      <c r="D99">
        <f ca="1">IFERROR(__xludf.DUMMYFUNCTION("""COMPUTED_VALUE"""),10)</f>
        <v>10</v>
      </c>
      <c r="E99" t="str">
        <f ca="1">IFERROR(__xludf.DUMMYFUNCTION("""COMPUTED_VALUE"""),"17' 0""")</f>
        <v>17' 0"</v>
      </c>
      <c r="F99">
        <f ca="1">IFERROR(__xludf.DUMMYFUNCTION("""COMPUTED_VALUE"""),322.333)</f>
        <v>322.33300000000003</v>
      </c>
      <c r="G99">
        <f ca="1">IFERROR(__xludf.DUMMYFUNCTION("""COMPUTED_VALUE"""),19)</f>
        <v>19</v>
      </c>
      <c r="H99">
        <f ca="1">IFERROR(__xludf.DUMMYFUNCTION("""COMPUTED_VALUE"""),-3)</f>
        <v>-3</v>
      </c>
    </row>
    <row r="100" spans="1:8" ht="12.75">
      <c r="A100" t="str">
        <f ca="1">IFERROR(__xludf.DUMMYFUNCTION("""COMPUTED_VALUE"""),"T99")</f>
        <v>T99</v>
      </c>
      <c r="B100" t="str">
        <f ca="1">IFERROR(__xludf.DUMMYFUNCTION("""COMPUTED_VALUE"""),"T108")</f>
        <v>T108</v>
      </c>
      <c r="C100" t="str">
        <f ca="1">IFERROR(__xludf.DUMMYFUNCTION("""COMPUTED_VALUE"""),"Shaun Norris")</f>
        <v>Shaun Norris</v>
      </c>
      <c r="D100">
        <f ca="1">IFERROR(__xludf.DUMMYFUNCTION("""COMPUTED_VALUE"""),6)</f>
        <v>6</v>
      </c>
      <c r="E100" t="str">
        <f ca="1">IFERROR(__xludf.DUMMYFUNCTION("""COMPUTED_VALUE"""),"17' 1""")</f>
        <v>17' 1"</v>
      </c>
      <c r="F100">
        <f ca="1">IFERROR(__xludf.DUMMYFUNCTION("""COMPUTED_VALUE"""),290.583)</f>
        <v>290.58300000000003</v>
      </c>
      <c r="G100">
        <f ca="1">IFERROR(__xludf.DUMMYFUNCTION("""COMPUTED_VALUE"""),17)</f>
        <v>17</v>
      </c>
      <c r="H100" t="str">
        <f ca="1">IFERROR(__xludf.DUMMYFUNCTION("""COMPUTED_VALUE"""),"+4")</f>
        <v>+4</v>
      </c>
    </row>
    <row r="101" spans="1:8" ht="12.75">
      <c r="A101" t="str">
        <f ca="1">IFERROR(__xludf.DUMMYFUNCTION("""COMPUTED_VALUE"""),"T99")</f>
        <v>T99</v>
      </c>
      <c r="B101" t="str">
        <f ca="1">IFERROR(__xludf.DUMMYFUNCTION("""COMPUTED_VALUE"""),"")</f>
        <v/>
      </c>
      <c r="C101" t="str">
        <f ca="1">IFERROR(__xludf.DUMMYFUNCTION("""COMPUTED_VALUE"""),"Francesco Molinari")</f>
        <v>Francesco Molinari</v>
      </c>
      <c r="D101">
        <f ca="1">IFERROR(__xludf.DUMMYFUNCTION("""COMPUTED_VALUE"""),6)</f>
        <v>6</v>
      </c>
      <c r="E101" t="str">
        <f ca="1">IFERROR(__xludf.DUMMYFUNCTION("""COMPUTED_VALUE"""),"17' 1""")</f>
        <v>17' 1"</v>
      </c>
      <c r="F101">
        <f ca="1">IFERROR(__xludf.DUMMYFUNCTION("""COMPUTED_VALUE"""),188.333)</f>
        <v>188.333</v>
      </c>
      <c r="G101">
        <f ca="1">IFERROR(__xludf.DUMMYFUNCTION("""COMPUTED_VALUE"""),11)</f>
        <v>11</v>
      </c>
      <c r="H101">
        <f ca="1">IFERROR(__xludf.DUMMYFUNCTION("""COMPUTED_VALUE"""),-1)</f>
        <v>-1</v>
      </c>
    </row>
    <row r="102" spans="1:8" ht="12.75">
      <c r="A102" t="str">
        <f ca="1">IFERROR(__xludf.DUMMYFUNCTION("""COMPUTED_VALUE"""),"T99")</f>
        <v>T99</v>
      </c>
      <c r="B102" t="str">
        <f ca="1">IFERROR(__xludf.DUMMYFUNCTION("""COMPUTED_VALUE"""),"T108")</f>
        <v>T108</v>
      </c>
      <c r="C102" t="str">
        <f ca="1">IFERROR(__xludf.DUMMYFUNCTION("""COMPUTED_VALUE"""),"Anirban Lahiri")</f>
        <v>Anirban Lahiri</v>
      </c>
      <c r="D102">
        <f ca="1">IFERROR(__xludf.DUMMYFUNCTION("""COMPUTED_VALUE"""),16)</f>
        <v>16</v>
      </c>
      <c r="E102" t="str">
        <f ca="1">IFERROR(__xludf.DUMMYFUNCTION("""COMPUTED_VALUE"""),"17' 1""")</f>
        <v>17' 1"</v>
      </c>
      <c r="F102">
        <f ca="1">IFERROR(__xludf.DUMMYFUNCTION("""COMPUTED_VALUE"""),478)</f>
        <v>478</v>
      </c>
      <c r="G102">
        <f ca="1">IFERROR(__xludf.DUMMYFUNCTION("""COMPUTED_VALUE"""),28)</f>
        <v>28</v>
      </c>
      <c r="H102">
        <f ca="1">IFERROR(__xludf.DUMMYFUNCTION("""COMPUTED_VALUE"""),-5)</f>
        <v>-5</v>
      </c>
    </row>
    <row r="103" spans="1:8" ht="12.75">
      <c r="A103" t="str">
        <f ca="1">IFERROR(__xludf.DUMMYFUNCTION("""COMPUTED_VALUE"""),"T99")</f>
        <v>T99</v>
      </c>
      <c r="B103" t="str">
        <f ca="1">IFERROR(__xludf.DUMMYFUNCTION("""COMPUTED_VALUE"""),"T108")</f>
        <v>T108</v>
      </c>
      <c r="C103" t="str">
        <f ca="1">IFERROR(__xludf.DUMMYFUNCTION("""COMPUTED_VALUE"""),"Vincent Whaley")</f>
        <v>Vincent Whaley</v>
      </c>
      <c r="D103">
        <f ca="1">IFERROR(__xludf.DUMMYFUNCTION("""COMPUTED_VALUE"""),14)</f>
        <v>14</v>
      </c>
      <c r="E103" t="str">
        <f ca="1">IFERROR(__xludf.DUMMYFUNCTION("""COMPUTED_VALUE"""),"17' 1""")</f>
        <v>17' 1"</v>
      </c>
      <c r="F103">
        <f ca="1">IFERROR(__xludf.DUMMYFUNCTION("""COMPUTED_VALUE"""),307.167)</f>
        <v>307.16699999999997</v>
      </c>
      <c r="G103">
        <f ca="1">IFERROR(__xludf.DUMMYFUNCTION("""COMPUTED_VALUE"""),18)</f>
        <v>18</v>
      </c>
      <c r="H103">
        <f ca="1">IFERROR(__xludf.DUMMYFUNCTION("""COMPUTED_VALUE"""),-5)</f>
        <v>-5</v>
      </c>
    </row>
    <row r="104" spans="1:8" ht="12.75">
      <c r="A104" t="str">
        <f ca="1">IFERROR(__xludf.DUMMYFUNCTION("""COMPUTED_VALUE"""),"T103")</f>
        <v>T103</v>
      </c>
      <c r="B104" t="str">
        <f ca="1">IFERROR(__xludf.DUMMYFUNCTION("""COMPUTED_VALUE"""),"T128")</f>
        <v>T128</v>
      </c>
      <c r="C104" t="str">
        <f ca="1">IFERROR(__xludf.DUMMYFUNCTION("""COMPUTED_VALUE"""),"Ted Potter, Jr.")</f>
        <v>Ted Potter, Jr.</v>
      </c>
      <c r="D104">
        <f ca="1">IFERROR(__xludf.DUMMYFUNCTION("""COMPUTED_VALUE"""),8)</f>
        <v>8</v>
      </c>
      <c r="E104" t="str">
        <f ca="1">IFERROR(__xludf.DUMMYFUNCTION("""COMPUTED_VALUE"""),"17' 2""")</f>
        <v>17' 2"</v>
      </c>
      <c r="F104">
        <f ca="1">IFERROR(__xludf.DUMMYFUNCTION("""COMPUTED_VALUE"""),325.667)</f>
        <v>325.66699999999997</v>
      </c>
      <c r="G104">
        <f ca="1">IFERROR(__xludf.DUMMYFUNCTION("""COMPUTED_VALUE"""),19)</f>
        <v>19</v>
      </c>
      <c r="H104">
        <f ca="1">IFERROR(__xludf.DUMMYFUNCTION("""COMPUTED_VALUE"""),-1)</f>
        <v>-1</v>
      </c>
    </row>
    <row r="105" spans="1:8" ht="12.75">
      <c r="A105" t="str">
        <f ca="1">IFERROR(__xludf.DUMMYFUNCTION("""COMPUTED_VALUE"""),"T103")</f>
        <v>T103</v>
      </c>
      <c r="B105" t="str">
        <f ca="1">IFERROR(__xludf.DUMMYFUNCTION("""COMPUTED_VALUE"""),"T98")</f>
        <v>T98</v>
      </c>
      <c r="C105" t="str">
        <f ca="1">IFERROR(__xludf.DUMMYFUNCTION("""COMPUTED_VALUE"""),"Luke Donald")</f>
        <v>Luke Donald</v>
      </c>
      <c r="D105">
        <f ca="1">IFERROR(__xludf.DUMMYFUNCTION("""COMPUTED_VALUE"""),14)</f>
        <v>14</v>
      </c>
      <c r="E105" t="str">
        <f ca="1">IFERROR(__xludf.DUMMYFUNCTION("""COMPUTED_VALUE"""),"17' 2""")</f>
        <v>17' 2"</v>
      </c>
      <c r="F105">
        <f ca="1">IFERROR(__xludf.DUMMYFUNCTION("""COMPUTED_VALUE"""),550.5)</f>
        <v>550.5</v>
      </c>
      <c r="G105">
        <f ca="1">IFERROR(__xludf.DUMMYFUNCTION("""COMPUTED_VALUE"""),32)</f>
        <v>32</v>
      </c>
      <c r="H105">
        <f ca="1">IFERROR(__xludf.DUMMYFUNCTION("""COMPUTED_VALUE"""),-8)</f>
        <v>-8</v>
      </c>
    </row>
    <row r="106" spans="1:8" ht="12.75">
      <c r="A106" t="str">
        <f ca="1">IFERROR(__xludf.DUMMYFUNCTION("""COMPUTED_VALUE"""),"T103")</f>
        <v>T103</v>
      </c>
      <c r="B106" t="str">
        <f ca="1">IFERROR(__xludf.DUMMYFUNCTION("""COMPUTED_VALUE"""),"T54")</f>
        <v>T54</v>
      </c>
      <c r="C106" t="str">
        <f ca="1">IFERROR(__xludf.DUMMYFUNCTION("""COMPUTED_VALUE"""),"Harold Varner III")</f>
        <v>Harold Varner III</v>
      </c>
      <c r="D106">
        <f ca="1">IFERROR(__xludf.DUMMYFUNCTION("""COMPUTED_VALUE"""),14)</f>
        <v>14</v>
      </c>
      <c r="E106" t="str">
        <f ca="1">IFERROR(__xludf.DUMMYFUNCTION("""COMPUTED_VALUE"""),"17' 2""")</f>
        <v>17' 2"</v>
      </c>
      <c r="F106">
        <f ca="1">IFERROR(__xludf.DUMMYFUNCTION("""COMPUTED_VALUE"""),531.167)</f>
        <v>531.16700000000003</v>
      </c>
      <c r="G106">
        <f ca="1">IFERROR(__xludf.DUMMYFUNCTION("""COMPUTED_VALUE"""),31)</f>
        <v>31</v>
      </c>
      <c r="H106">
        <f ca="1">IFERROR(__xludf.DUMMYFUNCTION("""COMPUTED_VALUE"""),-8)</f>
        <v>-8</v>
      </c>
    </row>
    <row r="107" spans="1:8" ht="12.75">
      <c r="A107" t="str">
        <f ca="1">IFERROR(__xludf.DUMMYFUNCTION("""COMPUTED_VALUE"""),"T103")</f>
        <v>T103</v>
      </c>
      <c r="B107">
        <f ca="1">IFERROR(__xludf.DUMMYFUNCTION("""COMPUTED_VALUE"""),114)</f>
        <v>114</v>
      </c>
      <c r="C107" t="str">
        <f ca="1">IFERROR(__xludf.DUMMYFUNCTION("""COMPUTED_VALUE"""),"Joseph Bramlett")</f>
        <v>Joseph Bramlett</v>
      </c>
      <c r="D107">
        <f ca="1">IFERROR(__xludf.DUMMYFUNCTION("""COMPUTED_VALUE"""),18)</f>
        <v>18</v>
      </c>
      <c r="E107" t="str">
        <f ca="1">IFERROR(__xludf.DUMMYFUNCTION("""COMPUTED_VALUE"""),"17' 2""")</f>
        <v>17' 2"</v>
      </c>
      <c r="F107">
        <f ca="1">IFERROR(__xludf.DUMMYFUNCTION("""COMPUTED_VALUE"""),531.417)</f>
        <v>531.41700000000003</v>
      </c>
      <c r="G107">
        <f ca="1">IFERROR(__xludf.DUMMYFUNCTION("""COMPUTED_VALUE"""),31)</f>
        <v>31</v>
      </c>
      <c r="H107">
        <f ca="1">IFERROR(__xludf.DUMMYFUNCTION("""COMPUTED_VALUE"""),-4)</f>
        <v>-4</v>
      </c>
    </row>
    <row r="108" spans="1:8" ht="12.75">
      <c r="A108" t="str">
        <f ca="1">IFERROR(__xludf.DUMMYFUNCTION("""COMPUTED_VALUE"""),"T107")</f>
        <v>T107</v>
      </c>
      <c r="B108" t="str">
        <f ca="1">IFERROR(__xludf.DUMMYFUNCTION("""COMPUTED_VALUE"""),"T135")</f>
        <v>T135</v>
      </c>
      <c r="C108" t="str">
        <f ca="1">IFERROR(__xludf.DUMMYFUNCTION("""COMPUTED_VALUE"""),"Andrew Putnam")</f>
        <v>Andrew Putnam</v>
      </c>
      <c r="D108">
        <f ca="1">IFERROR(__xludf.DUMMYFUNCTION("""COMPUTED_VALUE"""),19)</f>
        <v>19</v>
      </c>
      <c r="E108" t="str">
        <f ca="1">IFERROR(__xludf.DUMMYFUNCTION("""COMPUTED_VALUE"""),"17' 3""")</f>
        <v>17' 3"</v>
      </c>
      <c r="F108">
        <f ca="1">IFERROR(__xludf.DUMMYFUNCTION("""COMPUTED_VALUE"""),671.333)</f>
        <v>671.33299999999997</v>
      </c>
      <c r="G108">
        <f ca="1">IFERROR(__xludf.DUMMYFUNCTION("""COMPUTED_VALUE"""),39)</f>
        <v>39</v>
      </c>
      <c r="H108">
        <f ca="1">IFERROR(__xludf.DUMMYFUNCTION("""COMPUTED_VALUE"""),-6)</f>
        <v>-6</v>
      </c>
    </row>
    <row r="109" spans="1:8" ht="12.75">
      <c r="A109" t="str">
        <f ca="1">IFERROR(__xludf.DUMMYFUNCTION("""COMPUTED_VALUE"""),"T107")</f>
        <v>T107</v>
      </c>
      <c r="B109" t="str">
        <f ca="1">IFERROR(__xludf.DUMMYFUNCTION("""COMPUTED_VALUE"""),"T115")</f>
        <v>T115</v>
      </c>
      <c r="C109" t="str">
        <f ca="1">IFERROR(__xludf.DUMMYFUNCTION("""COMPUTED_VALUE"""),"Mikumu Horikawa")</f>
        <v>Mikumu Horikawa</v>
      </c>
      <c r="D109">
        <f ca="1">IFERROR(__xludf.DUMMYFUNCTION("""COMPUTED_VALUE"""),4)</f>
        <v>4</v>
      </c>
      <c r="E109" t="str">
        <f ca="1">IFERROR(__xludf.DUMMYFUNCTION("""COMPUTED_VALUE"""),"17' 3""")</f>
        <v>17' 3"</v>
      </c>
      <c r="F109">
        <f ca="1">IFERROR(__xludf.DUMMYFUNCTION("""COMPUTED_VALUE"""),120.75)</f>
        <v>120.75</v>
      </c>
      <c r="G109">
        <f ca="1">IFERROR(__xludf.DUMMYFUNCTION("""COMPUTED_VALUE"""),7)</f>
        <v>7</v>
      </c>
      <c r="H109">
        <f ca="1">IFERROR(__xludf.DUMMYFUNCTION("""COMPUTED_VALUE"""),-1)</f>
        <v>-1</v>
      </c>
    </row>
    <row r="110" spans="1:8" ht="12.75">
      <c r="A110" t="str">
        <f ca="1">IFERROR(__xludf.DUMMYFUNCTION("""COMPUTED_VALUE"""),"T107")</f>
        <v>T107</v>
      </c>
      <c r="B110" t="str">
        <f ca="1">IFERROR(__xludf.DUMMYFUNCTION("""COMPUTED_VALUE"""),"T115")</f>
        <v>T115</v>
      </c>
      <c r="C110" t="str">
        <f ca="1">IFERROR(__xludf.DUMMYFUNCTION("""COMPUTED_VALUE"""),"Peter Malnati")</f>
        <v>Peter Malnati</v>
      </c>
      <c r="D110">
        <f ca="1">IFERROR(__xludf.DUMMYFUNCTION("""COMPUTED_VALUE"""),18)</f>
        <v>18</v>
      </c>
      <c r="E110" t="str">
        <f ca="1">IFERROR(__xludf.DUMMYFUNCTION("""COMPUTED_VALUE"""),"17' 3""")</f>
        <v>17' 3"</v>
      </c>
      <c r="F110">
        <f ca="1">IFERROR(__xludf.DUMMYFUNCTION("""COMPUTED_VALUE"""),603.833)</f>
        <v>603.83299999999997</v>
      </c>
      <c r="G110">
        <f ca="1">IFERROR(__xludf.DUMMYFUNCTION("""COMPUTED_VALUE"""),35)</f>
        <v>35</v>
      </c>
      <c r="H110">
        <f ca="1">IFERROR(__xludf.DUMMYFUNCTION("""COMPUTED_VALUE"""),-14)</f>
        <v>-14</v>
      </c>
    </row>
    <row r="111" spans="1:8" ht="12.75">
      <c r="A111" t="str">
        <f ca="1">IFERROR(__xludf.DUMMYFUNCTION("""COMPUTED_VALUE"""),"T107")</f>
        <v>T107</v>
      </c>
      <c r="B111" t="str">
        <f ca="1">IFERROR(__xludf.DUMMYFUNCTION("""COMPUTED_VALUE"""),"T192")</f>
        <v>T192</v>
      </c>
      <c r="C111" t="str">
        <f ca="1">IFERROR(__xludf.DUMMYFUNCTION("""COMPUTED_VALUE"""),"Danny Willett")</f>
        <v>Danny Willett</v>
      </c>
      <c r="D111">
        <f ca="1">IFERROR(__xludf.DUMMYFUNCTION("""COMPUTED_VALUE"""),7)</f>
        <v>7</v>
      </c>
      <c r="E111" t="str">
        <f ca="1">IFERROR(__xludf.DUMMYFUNCTION("""COMPUTED_VALUE"""),"17' 3""")</f>
        <v>17' 3"</v>
      </c>
      <c r="F111">
        <f ca="1">IFERROR(__xludf.DUMMYFUNCTION("""COMPUTED_VALUE"""),86.333)</f>
        <v>86.332999999999998</v>
      </c>
      <c r="G111">
        <f ca="1">IFERROR(__xludf.DUMMYFUNCTION("""COMPUTED_VALUE"""),5)</f>
        <v>5</v>
      </c>
      <c r="H111">
        <f ca="1">IFERROR(__xludf.DUMMYFUNCTION("""COMPUTED_VALUE"""),-2)</f>
        <v>-2</v>
      </c>
    </row>
    <row r="112" spans="1:8" ht="12.75">
      <c r="A112" t="str">
        <f ca="1">IFERROR(__xludf.DUMMYFUNCTION("""COMPUTED_VALUE"""),"T107")</f>
        <v>T107</v>
      </c>
      <c r="B112" t="str">
        <f ca="1">IFERROR(__xludf.DUMMYFUNCTION("""COMPUTED_VALUE"""),"T144")</f>
        <v>T144</v>
      </c>
      <c r="C112" t="str">
        <f ca="1">IFERROR(__xludf.DUMMYFUNCTION("""COMPUTED_VALUE"""),"Tony Finau")</f>
        <v>Tony Finau</v>
      </c>
      <c r="D112">
        <f ca="1">IFERROR(__xludf.DUMMYFUNCTION("""COMPUTED_VALUE"""),12)</f>
        <v>12</v>
      </c>
      <c r="E112" t="str">
        <f ca="1">IFERROR(__xludf.DUMMYFUNCTION("""COMPUTED_VALUE"""),"17' 3""")</f>
        <v>17' 3"</v>
      </c>
      <c r="F112">
        <f ca="1">IFERROR(__xludf.DUMMYFUNCTION("""COMPUTED_VALUE"""),413)</f>
        <v>413</v>
      </c>
      <c r="G112">
        <f ca="1">IFERROR(__xludf.DUMMYFUNCTION("""COMPUTED_VALUE"""),24)</f>
        <v>24</v>
      </c>
      <c r="H112">
        <f ca="1">IFERROR(__xludf.DUMMYFUNCTION("""COMPUTED_VALUE"""),-8)</f>
        <v>-8</v>
      </c>
    </row>
    <row r="113" spans="1:8" ht="12.75">
      <c r="A113" t="str">
        <f ca="1">IFERROR(__xludf.DUMMYFUNCTION("""COMPUTED_VALUE"""),"T107")</f>
        <v>T107</v>
      </c>
      <c r="B113" t="str">
        <f ca="1">IFERROR(__xludf.DUMMYFUNCTION("""COMPUTED_VALUE"""),"T135")</f>
        <v>T135</v>
      </c>
      <c r="C113" t="str">
        <f ca="1">IFERROR(__xludf.DUMMYFUNCTION("""COMPUTED_VALUE"""),"Robby Shelton")</f>
        <v>Robby Shelton</v>
      </c>
      <c r="D113">
        <f ca="1">IFERROR(__xludf.DUMMYFUNCTION("""COMPUTED_VALUE"""),14)</f>
        <v>14</v>
      </c>
      <c r="E113" t="str">
        <f ca="1">IFERROR(__xludf.DUMMYFUNCTION("""COMPUTED_VALUE"""),"17' 3""")</f>
        <v>17' 3"</v>
      </c>
      <c r="F113">
        <f ca="1">IFERROR(__xludf.DUMMYFUNCTION("""COMPUTED_VALUE"""),673.333)</f>
        <v>673.33299999999997</v>
      </c>
      <c r="G113">
        <f ca="1">IFERROR(__xludf.DUMMYFUNCTION("""COMPUTED_VALUE"""),39)</f>
        <v>39</v>
      </c>
      <c r="H113" t="str">
        <f ca="1">IFERROR(__xludf.DUMMYFUNCTION("""COMPUTED_VALUE"""),"E")</f>
        <v>E</v>
      </c>
    </row>
    <row r="114" spans="1:8" ht="12.75">
      <c r="A114" t="str">
        <f ca="1">IFERROR(__xludf.DUMMYFUNCTION("""COMPUTED_VALUE"""),"T113")</f>
        <v>T113</v>
      </c>
      <c r="B114" t="str">
        <f ca="1">IFERROR(__xludf.DUMMYFUNCTION("""COMPUTED_VALUE"""),"T86")</f>
        <v>T86</v>
      </c>
      <c r="C114" t="str">
        <f ca="1">IFERROR(__xludf.DUMMYFUNCTION("""COMPUTED_VALUE"""),"Emiliano Grillo")</f>
        <v>Emiliano Grillo</v>
      </c>
      <c r="D114">
        <f ca="1">IFERROR(__xludf.DUMMYFUNCTION("""COMPUTED_VALUE"""),22)</f>
        <v>22</v>
      </c>
      <c r="E114" t="str">
        <f ca="1">IFERROR(__xludf.DUMMYFUNCTION("""COMPUTED_VALUE"""),"17' 4""")</f>
        <v>17' 4"</v>
      </c>
      <c r="F114">
        <f ca="1">IFERROR(__xludf.DUMMYFUNCTION("""COMPUTED_VALUE"""),744.167)</f>
        <v>744.16700000000003</v>
      </c>
      <c r="G114">
        <f ca="1">IFERROR(__xludf.DUMMYFUNCTION("""COMPUTED_VALUE"""),43)</f>
        <v>43</v>
      </c>
      <c r="H114">
        <f ca="1">IFERROR(__xludf.DUMMYFUNCTION("""COMPUTED_VALUE"""),-5)</f>
        <v>-5</v>
      </c>
    </row>
    <row r="115" spans="1:8" ht="12.75">
      <c r="A115" t="str">
        <f ca="1">IFERROR(__xludf.DUMMYFUNCTION("""COMPUTED_VALUE"""),"T113")</f>
        <v>T113</v>
      </c>
      <c r="B115" t="str">
        <f ca="1">IFERROR(__xludf.DUMMYFUNCTION("""COMPUTED_VALUE"""),"T64")</f>
        <v>T64</v>
      </c>
      <c r="C115" t="str">
        <f ca="1">IFERROR(__xludf.DUMMYFUNCTION("""COMPUTED_VALUE"""),"Vaughn Taylor")</f>
        <v>Vaughn Taylor</v>
      </c>
      <c r="D115">
        <f ca="1">IFERROR(__xludf.DUMMYFUNCTION("""COMPUTED_VALUE"""),12)</f>
        <v>12</v>
      </c>
      <c r="E115" t="str">
        <f ca="1">IFERROR(__xludf.DUMMYFUNCTION("""COMPUTED_VALUE"""),"17' 4""")</f>
        <v>17' 4"</v>
      </c>
      <c r="F115">
        <f ca="1">IFERROR(__xludf.DUMMYFUNCTION("""COMPUTED_VALUE"""),328.833)</f>
        <v>328.83300000000003</v>
      </c>
      <c r="G115">
        <f ca="1">IFERROR(__xludf.DUMMYFUNCTION("""COMPUTED_VALUE"""),19)</f>
        <v>19</v>
      </c>
      <c r="H115" t="str">
        <f ca="1">IFERROR(__xludf.DUMMYFUNCTION("""COMPUTED_VALUE"""),"+4")</f>
        <v>+4</v>
      </c>
    </row>
    <row r="116" spans="1:8" ht="12.75">
      <c r="A116" t="str">
        <f ca="1">IFERROR(__xludf.DUMMYFUNCTION("""COMPUTED_VALUE"""),"T113")</f>
        <v>T113</v>
      </c>
      <c r="B116" t="str">
        <f ca="1">IFERROR(__xludf.DUMMYFUNCTION("""COMPUTED_VALUE"""),"T108")</f>
        <v>T108</v>
      </c>
      <c r="C116" t="str">
        <f ca="1">IFERROR(__xludf.DUMMYFUNCTION("""COMPUTED_VALUE"""),"Stewart Cink")</f>
        <v>Stewart Cink</v>
      </c>
      <c r="D116">
        <f ca="1">IFERROR(__xludf.DUMMYFUNCTION("""COMPUTED_VALUE"""),18)</f>
        <v>18</v>
      </c>
      <c r="E116" t="str">
        <f ca="1">IFERROR(__xludf.DUMMYFUNCTION("""COMPUTED_VALUE"""),"17' 4""")</f>
        <v>17' 4"</v>
      </c>
      <c r="F116">
        <f ca="1">IFERROR(__xludf.DUMMYFUNCTION("""COMPUTED_VALUE"""),797.25)</f>
        <v>797.25</v>
      </c>
      <c r="G116">
        <f ca="1">IFERROR(__xludf.DUMMYFUNCTION("""COMPUTED_VALUE"""),46)</f>
        <v>46</v>
      </c>
      <c r="H116">
        <f ca="1">IFERROR(__xludf.DUMMYFUNCTION("""COMPUTED_VALUE"""),-11)</f>
        <v>-11</v>
      </c>
    </row>
    <row r="117" spans="1:8" ht="12.75">
      <c r="A117" t="str">
        <f ca="1">IFERROR(__xludf.DUMMYFUNCTION("""COMPUTED_VALUE"""),"T113")</f>
        <v>T113</v>
      </c>
      <c r="B117">
        <f ca="1">IFERROR(__xludf.DUMMYFUNCTION("""COMPUTED_VALUE"""),118)</f>
        <v>118</v>
      </c>
      <c r="C117" t="str">
        <f ca="1">IFERROR(__xludf.DUMMYFUNCTION("""COMPUTED_VALUE"""),"Joel Dahmen")</f>
        <v>Joel Dahmen</v>
      </c>
      <c r="D117">
        <f ca="1">IFERROR(__xludf.DUMMYFUNCTION("""COMPUTED_VALUE"""),18)</f>
        <v>18</v>
      </c>
      <c r="E117" t="str">
        <f ca="1">IFERROR(__xludf.DUMMYFUNCTION("""COMPUTED_VALUE"""),"17' 4""")</f>
        <v>17' 4"</v>
      </c>
      <c r="F117">
        <f ca="1">IFERROR(__xludf.DUMMYFUNCTION("""COMPUTED_VALUE"""),919.083)</f>
        <v>919.08299999999997</v>
      </c>
      <c r="G117">
        <f ca="1">IFERROR(__xludf.DUMMYFUNCTION("""COMPUTED_VALUE"""),53)</f>
        <v>53</v>
      </c>
      <c r="H117">
        <f ca="1">IFERROR(__xludf.DUMMYFUNCTION("""COMPUTED_VALUE"""),-7)</f>
        <v>-7</v>
      </c>
    </row>
    <row r="118" spans="1:8" ht="12.75">
      <c r="A118" t="str">
        <f ca="1">IFERROR(__xludf.DUMMYFUNCTION("""COMPUTED_VALUE"""),"T117")</f>
        <v>T117</v>
      </c>
      <c r="B118" t="str">
        <f ca="1">IFERROR(__xludf.DUMMYFUNCTION("""COMPUTED_VALUE"""),"T119")</f>
        <v>T119</v>
      </c>
      <c r="C118" t="str">
        <f ca="1">IFERROR(__xludf.DUMMYFUNCTION("""COMPUTED_VALUE"""),"Sebastian Cappelen")</f>
        <v>Sebastian Cappelen</v>
      </c>
      <c r="D118">
        <f ca="1">IFERROR(__xludf.DUMMYFUNCTION("""COMPUTED_VALUE"""),8)</f>
        <v>8</v>
      </c>
      <c r="E118" t="str">
        <f ca="1">IFERROR(__xludf.DUMMYFUNCTION("""COMPUTED_VALUE"""),"17' 5""")</f>
        <v>17' 5"</v>
      </c>
      <c r="F118">
        <f ca="1">IFERROR(__xludf.DUMMYFUNCTION("""COMPUTED_VALUE"""),191.25)</f>
        <v>191.25</v>
      </c>
      <c r="G118">
        <f ca="1">IFERROR(__xludf.DUMMYFUNCTION("""COMPUTED_VALUE"""),11)</f>
        <v>11</v>
      </c>
      <c r="H118">
        <f ca="1">IFERROR(__xludf.DUMMYFUNCTION("""COMPUTED_VALUE"""),-2)</f>
        <v>-2</v>
      </c>
    </row>
    <row r="119" spans="1:8" ht="12.75">
      <c r="A119" t="str">
        <f ca="1">IFERROR(__xludf.DUMMYFUNCTION("""COMPUTED_VALUE"""),"T117")</f>
        <v>T117</v>
      </c>
      <c r="B119" t="str">
        <f ca="1">IFERROR(__xludf.DUMMYFUNCTION("""COMPUTED_VALUE"""),"T119")</f>
        <v>T119</v>
      </c>
      <c r="C119" t="str">
        <f ca="1">IFERROR(__xludf.DUMMYFUNCTION("""COMPUTED_VALUE"""),"Chase Seiffert")</f>
        <v>Chase Seiffert</v>
      </c>
      <c r="D119">
        <f ca="1">IFERROR(__xludf.DUMMYFUNCTION("""COMPUTED_VALUE"""),14)</f>
        <v>14</v>
      </c>
      <c r="E119" t="str">
        <f ca="1">IFERROR(__xludf.DUMMYFUNCTION("""COMPUTED_VALUE"""),"17' 5""")</f>
        <v>17' 5"</v>
      </c>
      <c r="F119">
        <f ca="1">IFERROR(__xludf.DUMMYFUNCTION("""COMPUTED_VALUE"""),452.417)</f>
        <v>452.41699999999997</v>
      </c>
      <c r="G119">
        <f ca="1">IFERROR(__xludf.DUMMYFUNCTION("""COMPUTED_VALUE"""),26)</f>
        <v>26</v>
      </c>
      <c r="H119">
        <f ca="1">IFERROR(__xludf.DUMMYFUNCTION("""COMPUTED_VALUE"""),-9)</f>
        <v>-9</v>
      </c>
    </row>
    <row r="120" spans="1:8" ht="12.75">
      <c r="A120" t="str">
        <f ca="1">IFERROR(__xludf.DUMMYFUNCTION("""COMPUTED_VALUE"""),"T119")</f>
        <v>T119</v>
      </c>
      <c r="B120" t="str">
        <f ca="1">IFERROR(__xludf.DUMMYFUNCTION("""COMPUTED_VALUE"""),"T121")</f>
        <v>T121</v>
      </c>
      <c r="C120" t="str">
        <f ca="1">IFERROR(__xludf.DUMMYFUNCTION("""COMPUTED_VALUE"""),"Matt Kuchar")</f>
        <v>Matt Kuchar</v>
      </c>
      <c r="D120">
        <f ca="1">IFERROR(__xludf.DUMMYFUNCTION("""COMPUTED_VALUE"""),14)</f>
        <v>14</v>
      </c>
      <c r="E120" t="str">
        <f ca="1">IFERROR(__xludf.DUMMYFUNCTION("""COMPUTED_VALUE"""),"17' 6""")</f>
        <v>17' 6"</v>
      </c>
      <c r="F120">
        <f ca="1">IFERROR(__xludf.DUMMYFUNCTION("""COMPUTED_VALUE"""),593.667)</f>
        <v>593.66700000000003</v>
      </c>
      <c r="G120">
        <f ca="1">IFERROR(__xludf.DUMMYFUNCTION("""COMPUTED_VALUE"""),34)</f>
        <v>34</v>
      </c>
      <c r="H120">
        <f ca="1">IFERROR(__xludf.DUMMYFUNCTION("""COMPUTED_VALUE"""),-9)</f>
        <v>-9</v>
      </c>
    </row>
    <row r="121" spans="1:8" ht="12.75">
      <c r="A121" t="str">
        <f ca="1">IFERROR(__xludf.DUMMYFUNCTION("""COMPUTED_VALUE"""),"T119")</f>
        <v>T119</v>
      </c>
      <c r="B121" t="str">
        <f ca="1">IFERROR(__xludf.DUMMYFUNCTION("""COMPUTED_VALUE"""),"T121")</f>
        <v>T121</v>
      </c>
      <c r="C121" t="str">
        <f ca="1">IFERROR(__xludf.DUMMYFUNCTION("""COMPUTED_VALUE"""),"Bill Haas")</f>
        <v>Bill Haas</v>
      </c>
      <c r="D121">
        <f ca="1">IFERROR(__xludf.DUMMYFUNCTION("""COMPUTED_VALUE"""),10)</f>
        <v>10</v>
      </c>
      <c r="E121" t="str">
        <f ca="1">IFERROR(__xludf.DUMMYFUNCTION("""COMPUTED_VALUE"""),"17' 6""")</f>
        <v>17' 6"</v>
      </c>
      <c r="F121">
        <f ca="1">IFERROR(__xludf.DUMMYFUNCTION("""COMPUTED_VALUE"""),263.083)</f>
        <v>263.08300000000003</v>
      </c>
      <c r="G121">
        <f ca="1">IFERROR(__xludf.DUMMYFUNCTION("""COMPUTED_VALUE"""),15)</f>
        <v>15</v>
      </c>
      <c r="H121">
        <f ca="1">IFERROR(__xludf.DUMMYFUNCTION("""COMPUTED_VALUE"""),-4)</f>
        <v>-4</v>
      </c>
    </row>
    <row r="122" spans="1:8" ht="12.75">
      <c r="A122" t="str">
        <f ca="1">IFERROR(__xludf.DUMMYFUNCTION("""COMPUTED_VALUE"""),"T119")</f>
        <v>T119</v>
      </c>
      <c r="B122" t="str">
        <f ca="1">IFERROR(__xludf.DUMMYFUNCTION("""COMPUTED_VALUE"""),"T125")</f>
        <v>T125</v>
      </c>
      <c r="C122" t="str">
        <f ca="1">IFERROR(__xludf.DUMMYFUNCTION("""COMPUTED_VALUE"""),"Will Gordon")</f>
        <v>Will Gordon</v>
      </c>
      <c r="D122">
        <f ca="1">IFERROR(__xludf.DUMMYFUNCTION("""COMPUTED_VALUE"""),20)</f>
        <v>20</v>
      </c>
      <c r="E122" t="str">
        <f ca="1">IFERROR(__xludf.DUMMYFUNCTION("""COMPUTED_VALUE"""),"17' 6""")</f>
        <v>17' 6"</v>
      </c>
      <c r="F122">
        <f ca="1">IFERROR(__xludf.DUMMYFUNCTION("""COMPUTED_VALUE"""),682.917)</f>
        <v>682.91700000000003</v>
      </c>
      <c r="G122">
        <f ca="1">IFERROR(__xludf.DUMMYFUNCTION("""COMPUTED_VALUE"""),39)</f>
        <v>39</v>
      </c>
      <c r="H122">
        <f ca="1">IFERROR(__xludf.DUMMYFUNCTION("""COMPUTED_VALUE"""),-3)</f>
        <v>-3</v>
      </c>
    </row>
    <row r="123" spans="1:8" ht="12.75">
      <c r="A123" t="str">
        <f ca="1">IFERROR(__xludf.DUMMYFUNCTION("""COMPUTED_VALUE"""),"T122")</f>
        <v>T122</v>
      </c>
      <c r="B123" t="str">
        <f ca="1">IFERROR(__xludf.DUMMYFUNCTION("""COMPUTED_VALUE"""),"T18")</f>
        <v>T18</v>
      </c>
      <c r="C123" t="str">
        <f ca="1">IFERROR(__xludf.DUMMYFUNCTION("""COMPUTED_VALUE"""),"Lee Westwood")</f>
        <v>Lee Westwood</v>
      </c>
      <c r="D123">
        <f ca="1">IFERROR(__xludf.DUMMYFUNCTION("""COMPUTED_VALUE"""),6)</f>
        <v>6</v>
      </c>
      <c r="E123" t="str">
        <f ca="1">IFERROR(__xludf.DUMMYFUNCTION("""COMPUTED_VALUE"""),"17' 7""")</f>
        <v>17' 7"</v>
      </c>
      <c r="F123">
        <f ca="1">IFERROR(__xludf.DUMMYFUNCTION("""COMPUTED_VALUE"""),158.333)</f>
        <v>158.333</v>
      </c>
      <c r="G123">
        <f ca="1">IFERROR(__xludf.DUMMYFUNCTION("""COMPUTED_VALUE"""),9)</f>
        <v>9</v>
      </c>
      <c r="H123">
        <f ca="1">IFERROR(__xludf.DUMMYFUNCTION("""COMPUTED_VALUE"""),-2)</f>
        <v>-2</v>
      </c>
    </row>
    <row r="124" spans="1:8" ht="12.75">
      <c r="A124" t="str">
        <f ca="1">IFERROR(__xludf.DUMMYFUNCTION("""COMPUTED_VALUE"""),"T122")</f>
        <v>T122</v>
      </c>
      <c r="B124">
        <f ca="1">IFERROR(__xludf.DUMMYFUNCTION("""COMPUTED_VALUE"""),124)</f>
        <v>124</v>
      </c>
      <c r="C124" t="str">
        <f ca="1">IFERROR(__xludf.DUMMYFUNCTION("""COMPUTED_VALUE"""),"Matt Wallace")</f>
        <v>Matt Wallace</v>
      </c>
      <c r="D124">
        <f ca="1">IFERROR(__xludf.DUMMYFUNCTION("""COMPUTED_VALUE"""),4)</f>
        <v>4</v>
      </c>
      <c r="E124" t="str">
        <f ca="1">IFERROR(__xludf.DUMMYFUNCTION("""COMPUTED_VALUE"""),"17' 7""")</f>
        <v>17' 7"</v>
      </c>
      <c r="F124">
        <f ca="1">IFERROR(__xludf.DUMMYFUNCTION("""COMPUTED_VALUE"""),87.833)</f>
        <v>87.832999999999998</v>
      </c>
      <c r="G124">
        <f ca="1">IFERROR(__xludf.DUMMYFUNCTION("""COMPUTED_VALUE"""),5)</f>
        <v>5</v>
      </c>
      <c r="H124">
        <f ca="1">IFERROR(__xludf.DUMMYFUNCTION("""COMPUTED_VALUE"""),-1)</f>
        <v>-1</v>
      </c>
    </row>
    <row r="125" spans="1:8" ht="12.75">
      <c r="A125" t="str">
        <f ca="1">IFERROR(__xludf.DUMMYFUNCTION("""COMPUTED_VALUE"""),"T124")</f>
        <v>T124</v>
      </c>
      <c r="B125" t="str">
        <f ca="1">IFERROR(__xludf.DUMMYFUNCTION("""COMPUTED_VALUE"""),"T125")</f>
        <v>T125</v>
      </c>
      <c r="C125" t="str">
        <f ca="1">IFERROR(__xludf.DUMMYFUNCTION("""COMPUTED_VALUE"""),"Tommy Fleetwood")</f>
        <v>Tommy Fleetwood</v>
      </c>
      <c r="D125">
        <f ca="1">IFERROR(__xludf.DUMMYFUNCTION("""COMPUTED_VALUE"""),10)</f>
        <v>10</v>
      </c>
      <c r="E125" t="str">
        <f ca="1">IFERROR(__xludf.DUMMYFUNCTION("""COMPUTED_VALUE"""),"17' 8""")</f>
        <v>17' 8"</v>
      </c>
      <c r="F125">
        <f ca="1">IFERROR(__xludf.DUMMYFUNCTION("""COMPUTED_VALUE"""),370.25)</f>
        <v>370.25</v>
      </c>
      <c r="G125">
        <f ca="1">IFERROR(__xludf.DUMMYFUNCTION("""COMPUTED_VALUE"""),21)</f>
        <v>21</v>
      </c>
      <c r="H125">
        <f ca="1">IFERROR(__xludf.DUMMYFUNCTION("""COMPUTED_VALUE"""),-1)</f>
        <v>-1</v>
      </c>
    </row>
    <row r="126" spans="1:8" ht="12.75">
      <c r="A126" t="str">
        <f ca="1">IFERROR(__xludf.DUMMYFUNCTION("""COMPUTED_VALUE"""),"T124")</f>
        <v>T124</v>
      </c>
      <c r="B126" t="str">
        <f ca="1">IFERROR(__xludf.DUMMYFUNCTION("""COMPUTED_VALUE"""),"T125")</f>
        <v>T125</v>
      </c>
      <c r="C126" t="str">
        <f ca="1">IFERROR(__xludf.DUMMYFUNCTION("""COMPUTED_VALUE"""),"Rhein Gibson")</f>
        <v>Rhein Gibson</v>
      </c>
      <c r="D126">
        <f ca="1">IFERROR(__xludf.DUMMYFUNCTION("""COMPUTED_VALUE"""),10)</f>
        <v>10</v>
      </c>
      <c r="E126" t="str">
        <f ca="1">IFERROR(__xludf.DUMMYFUNCTION("""COMPUTED_VALUE"""),"17' 8""")</f>
        <v>17' 8"</v>
      </c>
      <c r="F126">
        <f ca="1">IFERROR(__xludf.DUMMYFUNCTION("""COMPUTED_VALUE"""),193.917)</f>
        <v>193.917</v>
      </c>
      <c r="G126">
        <f ca="1">IFERROR(__xludf.DUMMYFUNCTION("""COMPUTED_VALUE"""),11)</f>
        <v>11</v>
      </c>
      <c r="H126" t="str">
        <f ca="1">IFERROR(__xludf.DUMMYFUNCTION("""COMPUTED_VALUE"""),"E")</f>
        <v>E</v>
      </c>
    </row>
    <row r="127" spans="1:8" ht="12.75">
      <c r="A127" t="str">
        <f ca="1">IFERROR(__xludf.DUMMYFUNCTION("""COMPUTED_VALUE"""),"T124")</f>
        <v>T124</v>
      </c>
      <c r="B127" t="str">
        <f ca="1">IFERROR(__xludf.DUMMYFUNCTION("""COMPUTED_VALUE"""),"T64")</f>
        <v>T64</v>
      </c>
      <c r="C127" t="str">
        <f ca="1">IFERROR(__xludf.DUMMYFUNCTION("""COMPUTED_VALUE"""),"Lanto Griffin")</f>
        <v>Lanto Griffin</v>
      </c>
      <c r="D127">
        <f ca="1">IFERROR(__xludf.DUMMYFUNCTION("""COMPUTED_VALUE"""),18)</f>
        <v>18</v>
      </c>
      <c r="E127" t="str">
        <f ca="1">IFERROR(__xludf.DUMMYFUNCTION("""COMPUTED_VALUE"""),"17' 8""")</f>
        <v>17' 8"</v>
      </c>
      <c r="F127">
        <f ca="1">IFERROR(__xludf.DUMMYFUNCTION("""COMPUTED_VALUE"""),547.917)</f>
        <v>547.91700000000003</v>
      </c>
      <c r="G127">
        <f ca="1">IFERROR(__xludf.DUMMYFUNCTION("""COMPUTED_VALUE"""),31)</f>
        <v>31</v>
      </c>
      <c r="H127">
        <f ca="1">IFERROR(__xludf.DUMMYFUNCTION("""COMPUTED_VALUE"""),-6)</f>
        <v>-6</v>
      </c>
    </row>
    <row r="128" spans="1:8" ht="12.75">
      <c r="A128" t="str">
        <f ca="1">IFERROR(__xludf.DUMMYFUNCTION("""COMPUTED_VALUE"""),"T127")</f>
        <v>T127</v>
      </c>
      <c r="B128" t="str">
        <f ca="1">IFERROR(__xludf.DUMMYFUNCTION("""COMPUTED_VALUE"""),"T133")</f>
        <v>T133</v>
      </c>
      <c r="C128" t="str">
        <f ca="1">IFERROR(__xludf.DUMMYFUNCTION("""COMPUTED_VALUE"""),"Sungjae Im")</f>
        <v>Sungjae Im</v>
      </c>
      <c r="D128">
        <f ca="1">IFERROR(__xludf.DUMMYFUNCTION("""COMPUTED_VALUE"""),24)</f>
        <v>24</v>
      </c>
      <c r="E128" t="str">
        <f ca="1">IFERROR(__xludf.DUMMYFUNCTION("""COMPUTED_VALUE"""),"17' 9""")</f>
        <v>17' 9"</v>
      </c>
      <c r="F128">
        <f ca="1">IFERROR(__xludf.DUMMYFUNCTION("""COMPUTED_VALUE"""),870.583)</f>
        <v>870.58299999999997</v>
      </c>
      <c r="G128">
        <f ca="1">IFERROR(__xludf.DUMMYFUNCTION("""COMPUTED_VALUE"""),49)</f>
        <v>49</v>
      </c>
      <c r="H128">
        <f ca="1">IFERROR(__xludf.DUMMYFUNCTION("""COMPUTED_VALUE"""),-8)</f>
        <v>-8</v>
      </c>
    </row>
    <row r="129" spans="1:8" ht="12.75">
      <c r="A129" t="str">
        <f ca="1">IFERROR(__xludf.DUMMYFUNCTION("""COMPUTED_VALUE"""),"T127")</f>
        <v>T127</v>
      </c>
      <c r="B129" t="str">
        <f ca="1">IFERROR(__xludf.DUMMYFUNCTION("""COMPUTED_VALUE"""),"T128")</f>
        <v>T128</v>
      </c>
      <c r="C129" t="str">
        <f ca="1">IFERROR(__xludf.DUMMYFUNCTION("""COMPUTED_VALUE"""),"Will Zalatoris")</f>
        <v>Will Zalatoris</v>
      </c>
      <c r="D129">
        <f ca="1">IFERROR(__xludf.DUMMYFUNCTION("""COMPUTED_VALUE"""),18)</f>
        <v>18</v>
      </c>
      <c r="E129" t="str">
        <f ca="1">IFERROR(__xludf.DUMMYFUNCTION("""COMPUTED_VALUE"""),"17' 9""")</f>
        <v>17' 9"</v>
      </c>
      <c r="F129">
        <f ca="1">IFERROR(__xludf.DUMMYFUNCTION("""COMPUTED_VALUE"""),569.25)</f>
        <v>569.25</v>
      </c>
      <c r="G129">
        <f ca="1">IFERROR(__xludf.DUMMYFUNCTION("""COMPUTED_VALUE"""),32)</f>
        <v>32</v>
      </c>
      <c r="H129" t="str">
        <f ca="1">IFERROR(__xludf.DUMMYFUNCTION("""COMPUTED_VALUE"""),"E")</f>
        <v>E</v>
      </c>
    </row>
    <row r="130" spans="1:8" ht="12.75">
      <c r="A130" t="str">
        <f ca="1">IFERROR(__xludf.DUMMYFUNCTION("""COMPUTED_VALUE"""),"T129")</f>
        <v>T129</v>
      </c>
      <c r="B130">
        <f ca="1">IFERROR(__xludf.DUMMYFUNCTION("""COMPUTED_VALUE"""),143)</f>
        <v>143</v>
      </c>
      <c r="C130" t="str">
        <f ca="1">IFERROR(__xludf.DUMMYFUNCTION("""COMPUTED_VALUE"""),"Dylan Frittelli")</f>
        <v>Dylan Frittelli</v>
      </c>
      <c r="D130">
        <f ca="1">IFERROR(__xludf.DUMMYFUNCTION("""COMPUTED_VALUE"""),16)</f>
        <v>16</v>
      </c>
      <c r="E130" t="str">
        <f ca="1">IFERROR(__xludf.DUMMYFUNCTION("""COMPUTED_VALUE"""),"17' 10""")</f>
        <v>17' 10"</v>
      </c>
      <c r="F130">
        <f ca="1">IFERROR(__xludf.DUMMYFUNCTION("""COMPUTED_VALUE"""),731.833)</f>
        <v>731.83299999999997</v>
      </c>
      <c r="G130">
        <f ca="1">IFERROR(__xludf.DUMMYFUNCTION("""COMPUTED_VALUE"""),41)</f>
        <v>41</v>
      </c>
      <c r="H130">
        <f ca="1">IFERROR(__xludf.DUMMYFUNCTION("""COMPUTED_VALUE"""),-10)</f>
        <v>-10</v>
      </c>
    </row>
    <row r="131" spans="1:8" ht="12.75">
      <c r="A131" t="str">
        <f ca="1">IFERROR(__xludf.DUMMYFUNCTION("""COMPUTED_VALUE"""),"T129")</f>
        <v>T129</v>
      </c>
      <c r="B131" t="str">
        <f ca="1">IFERROR(__xludf.DUMMYFUNCTION("""COMPUTED_VALUE"""),"T130")</f>
        <v>T130</v>
      </c>
      <c r="C131" t="str">
        <f ca="1">IFERROR(__xludf.DUMMYFUNCTION("""COMPUTED_VALUE"""),"Sangmoon Bae")</f>
        <v>Sangmoon Bae</v>
      </c>
      <c r="D131">
        <f ca="1">IFERROR(__xludf.DUMMYFUNCTION("""COMPUTED_VALUE"""),8)</f>
        <v>8</v>
      </c>
      <c r="E131" t="str">
        <f ca="1">IFERROR(__xludf.DUMMYFUNCTION("""COMPUTED_VALUE"""),"17' 10""")</f>
        <v>17' 10"</v>
      </c>
      <c r="F131">
        <f ca="1">IFERROR(__xludf.DUMMYFUNCTION("""COMPUTED_VALUE"""),89.25)</f>
        <v>89.25</v>
      </c>
      <c r="G131">
        <f ca="1">IFERROR(__xludf.DUMMYFUNCTION("""COMPUTED_VALUE"""),5)</f>
        <v>5</v>
      </c>
      <c r="H131">
        <f ca="1">IFERROR(__xludf.DUMMYFUNCTION("""COMPUTED_VALUE"""),-2)</f>
        <v>-2</v>
      </c>
    </row>
    <row r="132" spans="1:8" ht="12.75">
      <c r="A132" t="str">
        <f ca="1">IFERROR(__xludf.DUMMYFUNCTION("""COMPUTED_VALUE"""),"T129")</f>
        <v>T129</v>
      </c>
      <c r="B132" t="str">
        <f ca="1">IFERROR(__xludf.DUMMYFUNCTION("""COMPUTED_VALUE"""),"T130")</f>
        <v>T130</v>
      </c>
      <c r="C132" t="str">
        <f ca="1">IFERROR(__xludf.DUMMYFUNCTION("""COMPUTED_VALUE"""),"Rob Oppenheim")</f>
        <v>Rob Oppenheim</v>
      </c>
      <c r="D132">
        <f ca="1">IFERROR(__xludf.DUMMYFUNCTION("""COMPUTED_VALUE"""),16)</f>
        <v>16</v>
      </c>
      <c r="E132" t="str">
        <f ca="1">IFERROR(__xludf.DUMMYFUNCTION("""COMPUTED_VALUE"""),"17' 10""")</f>
        <v>17' 10"</v>
      </c>
      <c r="F132">
        <f ca="1">IFERROR(__xludf.DUMMYFUNCTION("""COMPUTED_VALUE"""),517)</f>
        <v>517</v>
      </c>
      <c r="G132">
        <f ca="1">IFERROR(__xludf.DUMMYFUNCTION("""COMPUTED_VALUE"""),29)</f>
        <v>29</v>
      </c>
      <c r="H132">
        <f ca="1">IFERROR(__xludf.DUMMYFUNCTION("""COMPUTED_VALUE"""),-6)</f>
        <v>-6</v>
      </c>
    </row>
    <row r="133" spans="1:8" ht="12.75">
      <c r="A133" t="str">
        <f ca="1">IFERROR(__xludf.DUMMYFUNCTION("""COMPUTED_VALUE"""),"T129")</f>
        <v>T129</v>
      </c>
      <c r="B133" t="str">
        <f ca="1">IFERROR(__xludf.DUMMYFUNCTION("""COMPUTED_VALUE"""),"T130")</f>
        <v>T130</v>
      </c>
      <c r="C133" t="str">
        <f ca="1">IFERROR(__xludf.DUMMYFUNCTION("""COMPUTED_VALUE"""),"Jonathan Byrd")</f>
        <v>Jonathan Byrd</v>
      </c>
      <c r="D133">
        <f ca="1">IFERROR(__xludf.DUMMYFUNCTION("""COMPUTED_VALUE"""),14)</f>
        <v>14</v>
      </c>
      <c r="E133" t="str">
        <f ca="1">IFERROR(__xludf.DUMMYFUNCTION("""COMPUTED_VALUE"""),"17' 10""")</f>
        <v>17' 10"</v>
      </c>
      <c r="F133">
        <f ca="1">IFERROR(__xludf.DUMMYFUNCTION("""COMPUTED_VALUE"""),339.417)</f>
        <v>339.41699999999997</v>
      </c>
      <c r="G133">
        <f ca="1">IFERROR(__xludf.DUMMYFUNCTION("""COMPUTED_VALUE"""),19)</f>
        <v>19</v>
      </c>
      <c r="H133">
        <f ca="1">IFERROR(__xludf.DUMMYFUNCTION("""COMPUTED_VALUE"""),-5)</f>
        <v>-5</v>
      </c>
    </row>
    <row r="134" spans="1:8" ht="12.75">
      <c r="A134" t="str">
        <f ca="1">IFERROR(__xludf.DUMMYFUNCTION("""COMPUTED_VALUE"""),"T129")</f>
        <v>T129</v>
      </c>
      <c r="B134" t="str">
        <f ca="1">IFERROR(__xludf.DUMMYFUNCTION("""COMPUTED_VALUE"""),"T175")</f>
        <v>T175</v>
      </c>
      <c r="C134" t="str">
        <f ca="1">IFERROR(__xludf.DUMMYFUNCTION("""COMPUTED_VALUE"""),"Adam Schenk")</f>
        <v>Adam Schenk</v>
      </c>
      <c r="D134">
        <f ca="1">IFERROR(__xludf.DUMMYFUNCTION("""COMPUTED_VALUE"""),22)</f>
        <v>22</v>
      </c>
      <c r="E134" t="str">
        <f ca="1">IFERROR(__xludf.DUMMYFUNCTION("""COMPUTED_VALUE"""),"17' 10""")</f>
        <v>17' 10"</v>
      </c>
      <c r="F134">
        <f ca="1">IFERROR(__xludf.DUMMYFUNCTION("""COMPUTED_VALUE"""),463.333)</f>
        <v>463.33300000000003</v>
      </c>
      <c r="G134">
        <f ca="1">IFERROR(__xludf.DUMMYFUNCTION("""COMPUTED_VALUE"""),26)</f>
        <v>26</v>
      </c>
      <c r="H134">
        <f ca="1">IFERROR(__xludf.DUMMYFUNCTION("""COMPUTED_VALUE"""),-2)</f>
        <v>-2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IFERROR(__xludf.DUMMYFUNCTION("""COMPUTED_VALUE"""),"T144")</f>
        <v>T144</v>
      </c>
      <c r="C135" t="str">
        <f ca="1">IFERROR(__xludf.DUMMYFUNCTION("""COMPUTED_VALUE"""),"Nate Lashley")</f>
        <v>Nate Lashley</v>
      </c>
      <c r="D135">
        <f ca="1">IFERROR(__xludf.DUMMYFUNCTION("""COMPUTED_VALUE"""),16)</f>
        <v>16</v>
      </c>
      <c r="E135" t="str">
        <f ca="1">IFERROR(__xludf.DUMMYFUNCTION("""COMPUTED_VALUE"""),"17' 11""")</f>
        <v>17' 11"</v>
      </c>
      <c r="F135">
        <f ca="1">IFERROR(__xludf.DUMMYFUNCTION("""COMPUTED_VALUE"""),483.833)</f>
        <v>483.83300000000003</v>
      </c>
      <c r="G135">
        <f ca="1">IFERROR(__xludf.DUMMYFUNCTION("""COMPUTED_VALUE"""),27)</f>
        <v>27</v>
      </c>
      <c r="H135">
        <f ca="1">IFERROR(__xludf.DUMMYFUNCTION("""COMPUTED_VALUE"""),-5)</f>
        <v>-5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IFERROR(__xludf.DUMMYFUNCTION("""COMPUTED_VALUE"""),"T49")</f>
        <v>T49</v>
      </c>
      <c r="C136" t="str">
        <f ca="1">IFERROR(__xludf.DUMMYFUNCTION("""COMPUTED_VALUE"""),"Grayson Murray")</f>
        <v>Grayson Murray</v>
      </c>
      <c r="D136">
        <f ca="1">IFERROR(__xludf.DUMMYFUNCTION("""COMPUTED_VALUE"""),10)</f>
        <v>10</v>
      </c>
      <c r="E136" t="str">
        <f ca="1">IFERROR(__xludf.DUMMYFUNCTION("""COMPUTED_VALUE"""),"17' 11""")</f>
        <v>17' 11"</v>
      </c>
      <c r="F136">
        <f ca="1">IFERROR(__xludf.DUMMYFUNCTION("""COMPUTED_VALUE"""),429.667)</f>
        <v>429.66699999999997</v>
      </c>
      <c r="G136">
        <f ca="1">IFERROR(__xludf.DUMMYFUNCTION("""COMPUTED_VALUE"""),24)</f>
        <v>24</v>
      </c>
      <c r="H136" t="str">
        <f ca="1">IFERROR(__xludf.DUMMYFUNCTION("""COMPUTED_VALUE"""),"+2")</f>
        <v>+2</v>
      </c>
    </row>
    <row r="137" spans="1:8" ht="12.75">
      <c r="A137" t="str">
        <f ca="1">IFERROR(__xludf.DUMMYFUNCTION("""COMPUTED_VALUE"""),"T136")</f>
        <v>T136</v>
      </c>
      <c r="B137" t="str">
        <f ca="1">IFERROR(__xludf.DUMMYFUNCTION("""COMPUTED_VALUE"""),"T135")</f>
        <v>T135</v>
      </c>
      <c r="C137" t="str">
        <f ca="1">IFERROR(__xludf.DUMMYFUNCTION("""COMPUTED_VALUE"""),"Abraham Ancer")</f>
        <v>Abraham Ancer</v>
      </c>
      <c r="D137">
        <f ca="1">IFERROR(__xludf.DUMMYFUNCTION("""COMPUTED_VALUE"""),16)</f>
        <v>16</v>
      </c>
      <c r="E137" t="str">
        <f ca="1">IFERROR(__xludf.DUMMYFUNCTION("""COMPUTED_VALUE"""),"18' 0""")</f>
        <v>18' 0"</v>
      </c>
      <c r="F137">
        <f ca="1">IFERROR(__xludf.DUMMYFUNCTION("""COMPUTED_VALUE"""),754.75)</f>
        <v>754.75</v>
      </c>
      <c r="G137">
        <f ca="1">IFERROR(__xludf.DUMMYFUNCTION("""COMPUTED_VALUE"""),42)</f>
        <v>42</v>
      </c>
      <c r="H137">
        <f ca="1">IFERROR(__xludf.DUMMYFUNCTION("""COMPUTED_VALUE"""),-5)</f>
        <v>-5</v>
      </c>
    </row>
    <row r="138" spans="1:8" ht="12.75">
      <c r="A138" t="str">
        <f ca="1">IFERROR(__xludf.DUMMYFUNCTION("""COMPUTED_VALUE"""),"T136")</f>
        <v>T136</v>
      </c>
      <c r="B138" t="str">
        <f ca="1">IFERROR(__xludf.DUMMYFUNCTION("""COMPUTED_VALUE"""),"T121")</f>
        <v>T121</v>
      </c>
      <c r="C138" t="str">
        <f ca="1">IFERROR(__xludf.DUMMYFUNCTION("""COMPUTED_VALUE"""),"Ryan Armour")</f>
        <v>Ryan Armour</v>
      </c>
      <c r="D138">
        <f ca="1">IFERROR(__xludf.DUMMYFUNCTION("""COMPUTED_VALUE"""),16)</f>
        <v>16</v>
      </c>
      <c r="E138" t="str">
        <f ca="1">IFERROR(__xludf.DUMMYFUNCTION("""COMPUTED_VALUE"""),"18' 0""")</f>
        <v>18' 0"</v>
      </c>
      <c r="F138">
        <f ca="1">IFERROR(__xludf.DUMMYFUNCTION("""COMPUTED_VALUE"""),684.75)</f>
        <v>684.75</v>
      </c>
      <c r="G138">
        <f ca="1">IFERROR(__xludf.DUMMYFUNCTION("""COMPUTED_VALUE"""),38)</f>
        <v>38</v>
      </c>
      <c r="H138">
        <f ca="1">IFERROR(__xludf.DUMMYFUNCTION("""COMPUTED_VALUE"""),-2)</f>
        <v>-2</v>
      </c>
    </row>
    <row r="139" spans="1:8" ht="12.75">
      <c r="A139" t="str">
        <f ca="1">IFERROR(__xludf.DUMMYFUNCTION("""COMPUTED_VALUE"""),"T136")</f>
        <v>T136</v>
      </c>
      <c r="B139" t="str">
        <f ca="1">IFERROR(__xludf.DUMMYFUNCTION("""COMPUTED_VALUE"""),"T138")</f>
        <v>T138</v>
      </c>
      <c r="C139" t="str">
        <f ca="1">IFERROR(__xludf.DUMMYFUNCTION("""COMPUTED_VALUE"""),"Brian Harman")</f>
        <v>Brian Harman</v>
      </c>
      <c r="D139">
        <f ca="1">IFERROR(__xludf.DUMMYFUNCTION("""COMPUTED_VALUE"""),24)</f>
        <v>24</v>
      </c>
      <c r="E139" t="str">
        <f ca="1">IFERROR(__xludf.DUMMYFUNCTION("""COMPUTED_VALUE"""),"18' 0""")</f>
        <v>18' 0"</v>
      </c>
      <c r="F139" s="2">
        <f ca="1">IFERROR(__xludf.DUMMYFUNCTION("""COMPUTED_VALUE"""),1203.5)</f>
        <v>1203.5</v>
      </c>
      <c r="G139">
        <f ca="1">IFERROR(__xludf.DUMMYFUNCTION("""COMPUTED_VALUE"""),67)</f>
        <v>67</v>
      </c>
      <c r="H139">
        <f ca="1">IFERROR(__xludf.DUMMYFUNCTION("""COMPUTED_VALUE"""),-9)</f>
        <v>-9</v>
      </c>
    </row>
    <row r="140" spans="1:8" ht="12.75">
      <c r="A140" t="str">
        <f ca="1">IFERROR(__xludf.DUMMYFUNCTION("""COMPUTED_VALUE"""),"T136")</f>
        <v>T136</v>
      </c>
      <c r="B140" t="str">
        <f ca="1">IFERROR(__xludf.DUMMYFUNCTION("""COMPUTED_VALUE"""),"T144")</f>
        <v>T144</v>
      </c>
      <c r="C140" t="str">
        <f ca="1">IFERROR(__xludf.DUMMYFUNCTION("""COMPUTED_VALUE"""),"J.T. Poston")</f>
        <v>J.T. Poston</v>
      </c>
      <c r="D140">
        <f ca="1">IFERROR(__xludf.DUMMYFUNCTION("""COMPUTED_VALUE"""),18)</f>
        <v>18</v>
      </c>
      <c r="E140" t="str">
        <f ca="1">IFERROR(__xludf.DUMMYFUNCTION("""COMPUTED_VALUE"""),"18' 0""")</f>
        <v>18' 0"</v>
      </c>
      <c r="F140">
        <f ca="1">IFERROR(__xludf.DUMMYFUNCTION("""COMPUTED_VALUE"""),592.917)</f>
        <v>592.91700000000003</v>
      </c>
      <c r="G140">
        <f ca="1">IFERROR(__xludf.DUMMYFUNCTION("""COMPUTED_VALUE"""),33)</f>
        <v>33</v>
      </c>
      <c r="H140">
        <f ca="1">IFERROR(__xludf.DUMMYFUNCTION("""COMPUTED_VALUE"""),-4)</f>
        <v>-4</v>
      </c>
    </row>
    <row r="141" spans="1:8" ht="12.75">
      <c r="A141" t="str">
        <f ca="1">IFERROR(__xludf.DUMMYFUNCTION("""COMPUTED_VALUE"""),"T140")</f>
        <v>T140</v>
      </c>
      <c r="B141" t="str">
        <f ca="1">IFERROR(__xludf.DUMMYFUNCTION("""COMPUTED_VALUE"""),"T108")</f>
        <v>T108</v>
      </c>
      <c r="C141" t="str">
        <f ca="1">IFERROR(__xludf.DUMMYFUNCTION("""COMPUTED_VALUE"""),"Sergio Garcia")</f>
        <v>Sergio Garcia</v>
      </c>
      <c r="D141">
        <f ca="1">IFERROR(__xludf.DUMMYFUNCTION("""COMPUTED_VALUE"""),18)</f>
        <v>18</v>
      </c>
      <c r="E141" t="str">
        <f ca="1">IFERROR(__xludf.DUMMYFUNCTION("""COMPUTED_VALUE"""),"18' 1""")</f>
        <v>18' 1"</v>
      </c>
      <c r="F141" s="2">
        <f ca="1">IFERROR(__xludf.DUMMYFUNCTION("""COMPUTED_VALUE"""),1030.083)</f>
        <v>1030.0830000000001</v>
      </c>
      <c r="G141">
        <f ca="1">IFERROR(__xludf.DUMMYFUNCTION("""COMPUTED_VALUE"""),57)</f>
        <v>57</v>
      </c>
      <c r="H141">
        <f ca="1">IFERROR(__xludf.DUMMYFUNCTION("""COMPUTED_VALUE"""),-14)</f>
        <v>-14</v>
      </c>
    </row>
    <row r="142" spans="1:8" ht="12.75">
      <c r="A142" t="str">
        <f ca="1">IFERROR(__xludf.DUMMYFUNCTION("""COMPUTED_VALUE"""),"T140")</f>
        <v>T140</v>
      </c>
      <c r="B142">
        <f ca="1">IFERROR(__xludf.DUMMYFUNCTION("""COMPUTED_VALUE"""),95)</f>
        <v>95</v>
      </c>
      <c r="C142" t="str">
        <f ca="1">IFERROR(__xludf.DUMMYFUNCTION("""COMPUTED_VALUE"""),"Hudson Swafford")</f>
        <v>Hudson Swafford</v>
      </c>
      <c r="D142">
        <f ca="1">IFERROR(__xludf.DUMMYFUNCTION("""COMPUTED_VALUE"""),18)</f>
        <v>18</v>
      </c>
      <c r="E142" t="str">
        <f ca="1">IFERROR(__xludf.DUMMYFUNCTION("""COMPUTED_VALUE"""),"18' 1""")</f>
        <v>18' 1"</v>
      </c>
      <c r="F142">
        <f ca="1">IFERROR(__xludf.DUMMYFUNCTION("""COMPUTED_VALUE"""),596.5)</f>
        <v>596.5</v>
      </c>
      <c r="G142">
        <f ca="1">IFERROR(__xludf.DUMMYFUNCTION("""COMPUTED_VALUE"""),33)</f>
        <v>33</v>
      </c>
      <c r="H142">
        <f ca="1">IFERROR(__xludf.DUMMYFUNCTION("""COMPUTED_VALUE"""),-4)</f>
        <v>-4</v>
      </c>
    </row>
    <row r="143" spans="1:8" ht="12.75">
      <c r="A143" t="str">
        <f ca="1">IFERROR(__xludf.DUMMYFUNCTION("""COMPUTED_VALUE"""),"T140")</f>
        <v>T140</v>
      </c>
      <c r="B143" t="str">
        <f ca="1">IFERROR(__xludf.DUMMYFUNCTION("""COMPUTED_VALUE"""),"T138")</f>
        <v>T138</v>
      </c>
      <c r="C143" t="str">
        <f ca="1">IFERROR(__xludf.DUMMYFUNCTION("""COMPUTED_VALUE"""),"Roger Sloan")</f>
        <v>Roger Sloan</v>
      </c>
      <c r="D143">
        <f ca="1">IFERROR(__xludf.DUMMYFUNCTION("""COMPUTED_VALUE"""),12)</f>
        <v>12</v>
      </c>
      <c r="E143" t="str">
        <f ca="1">IFERROR(__xludf.DUMMYFUNCTION("""COMPUTED_VALUE"""),"18' 1""")</f>
        <v>18' 1"</v>
      </c>
      <c r="F143">
        <f ca="1">IFERROR(__xludf.DUMMYFUNCTION("""COMPUTED_VALUE"""),271.833)</f>
        <v>271.83300000000003</v>
      </c>
      <c r="G143">
        <f ca="1">IFERROR(__xludf.DUMMYFUNCTION("""COMPUTED_VALUE"""),15)</f>
        <v>15</v>
      </c>
      <c r="H143">
        <f ca="1">IFERROR(__xludf.DUMMYFUNCTION("""COMPUTED_VALUE"""),-4)</f>
        <v>-4</v>
      </c>
    </row>
    <row r="144" spans="1:8" ht="12.75">
      <c r="A144" t="str">
        <f ca="1">IFERROR(__xludf.DUMMYFUNCTION("""COMPUTED_VALUE"""),"T143")</f>
        <v>T143</v>
      </c>
      <c r="B144" t="str">
        <f ca="1">IFERROR(__xludf.DUMMYFUNCTION("""COMPUTED_VALUE"""),"T141")</f>
        <v>T141</v>
      </c>
      <c r="C144" t="str">
        <f ca="1">IFERROR(__xludf.DUMMYFUNCTION("""COMPUTED_VALUE"""),"Naoki Sekito")</f>
        <v>Naoki Sekito</v>
      </c>
      <c r="D144">
        <f ca="1">IFERROR(__xludf.DUMMYFUNCTION("""COMPUTED_VALUE"""),4)</f>
        <v>4</v>
      </c>
      <c r="E144" t="str">
        <f ca="1">IFERROR(__xludf.DUMMYFUNCTION("""COMPUTED_VALUE"""),"18' 2""")</f>
        <v>18' 2"</v>
      </c>
      <c r="F144">
        <f ca="1">IFERROR(__xludf.DUMMYFUNCTION("""COMPUTED_VALUE"""),236.083)</f>
        <v>236.083</v>
      </c>
      <c r="G144">
        <f ca="1">IFERROR(__xludf.DUMMYFUNCTION("""COMPUTED_VALUE"""),13)</f>
        <v>13</v>
      </c>
      <c r="H144">
        <f ca="1">IFERROR(__xludf.DUMMYFUNCTION("""COMPUTED_VALUE"""),-1)</f>
        <v>-1</v>
      </c>
    </row>
    <row r="145" spans="1:8" ht="12.75">
      <c r="A145" t="str">
        <f ca="1">IFERROR(__xludf.DUMMYFUNCTION("""COMPUTED_VALUE"""),"T143")</f>
        <v>T143</v>
      </c>
      <c r="B145" t="str">
        <f ca="1">IFERROR(__xludf.DUMMYFUNCTION("""COMPUTED_VALUE"""),"T141")</f>
        <v>T141</v>
      </c>
      <c r="C145" t="str">
        <f ca="1">IFERROR(__xludf.DUMMYFUNCTION("""COMPUTED_VALUE"""),"Seonghyeon Kim")</f>
        <v>Seonghyeon Kim</v>
      </c>
      <c r="D145">
        <f ca="1">IFERROR(__xludf.DUMMYFUNCTION("""COMPUTED_VALUE"""),4)</f>
        <v>4</v>
      </c>
      <c r="E145" t="str">
        <f ca="1">IFERROR(__xludf.DUMMYFUNCTION("""COMPUTED_VALUE"""),"18' 2""")</f>
        <v>18' 2"</v>
      </c>
      <c r="F145">
        <f ca="1">IFERROR(__xludf.DUMMYFUNCTION("""COMPUTED_VALUE"""),218.083)</f>
        <v>218.083</v>
      </c>
      <c r="G145">
        <f ca="1">IFERROR(__xludf.DUMMYFUNCTION("""COMPUTED_VALUE"""),12)</f>
        <v>12</v>
      </c>
      <c r="H145" t="str">
        <f ca="1">IFERROR(__xludf.DUMMYFUNCTION("""COMPUTED_VALUE"""),"E")</f>
        <v>E</v>
      </c>
    </row>
    <row r="146" spans="1:8" ht="12.75">
      <c r="A146">
        <f ca="1">IFERROR(__xludf.DUMMYFUNCTION("""COMPUTED_VALUE"""),145)</f>
        <v>145</v>
      </c>
      <c r="B146" t="str">
        <f ca="1">IFERROR(__xludf.DUMMYFUNCTION("""COMPUTED_VALUE"""),"T183")</f>
        <v>T183</v>
      </c>
      <c r="C146" t="str">
        <f ca="1">IFERROR(__xludf.DUMMYFUNCTION("""COMPUTED_VALUE"""),"Tyrrell Hatton")</f>
        <v>Tyrrell Hatton</v>
      </c>
      <c r="D146">
        <f ca="1">IFERROR(__xludf.DUMMYFUNCTION("""COMPUTED_VALUE"""),14)</f>
        <v>14</v>
      </c>
      <c r="E146" t="str">
        <f ca="1">IFERROR(__xludf.DUMMYFUNCTION("""COMPUTED_VALUE"""),"18' 3""")</f>
        <v>18' 3"</v>
      </c>
      <c r="F146">
        <f ca="1">IFERROR(__xludf.DUMMYFUNCTION("""COMPUTED_VALUE"""),676.25)</f>
        <v>676.25</v>
      </c>
      <c r="G146">
        <f ca="1">IFERROR(__xludf.DUMMYFUNCTION("""COMPUTED_VALUE"""),37)</f>
        <v>37</v>
      </c>
      <c r="H146">
        <f ca="1">IFERROR(__xludf.DUMMYFUNCTION("""COMPUTED_VALUE"""),-4)</f>
        <v>-4</v>
      </c>
    </row>
    <row r="147" spans="1:8" ht="12.75">
      <c r="A147" t="str">
        <f ca="1">IFERROR(__xludf.DUMMYFUNCTION("""COMPUTED_VALUE"""),"T146")</f>
        <v>T146</v>
      </c>
      <c r="B147" t="str">
        <f ca="1">IFERROR(__xludf.DUMMYFUNCTION("""COMPUTED_VALUE"""),"T144")</f>
        <v>T144</v>
      </c>
      <c r="C147" t="str">
        <f ca="1">IFERROR(__xludf.DUMMYFUNCTION("""COMPUTED_VALUE"""),"Patrick Cantlay")</f>
        <v>Patrick Cantlay</v>
      </c>
      <c r="D147">
        <f ca="1">IFERROR(__xludf.DUMMYFUNCTION("""COMPUTED_VALUE"""),16)</f>
        <v>16</v>
      </c>
      <c r="E147" t="str">
        <f ca="1">IFERROR(__xludf.DUMMYFUNCTION("""COMPUTED_VALUE"""),"18' 4""")</f>
        <v>18' 4"</v>
      </c>
      <c r="F147">
        <f ca="1">IFERROR(__xludf.DUMMYFUNCTION("""COMPUTED_VALUE"""),549)</f>
        <v>549</v>
      </c>
      <c r="G147">
        <f ca="1">IFERROR(__xludf.DUMMYFUNCTION("""COMPUTED_VALUE"""),30)</f>
        <v>30</v>
      </c>
      <c r="H147">
        <f ca="1">IFERROR(__xludf.DUMMYFUNCTION("""COMPUTED_VALUE"""),-11)</f>
        <v>-11</v>
      </c>
    </row>
    <row r="148" spans="1:8" ht="12.75">
      <c r="A148" t="str">
        <f ca="1">IFERROR(__xludf.DUMMYFUNCTION("""COMPUTED_VALUE"""),"T146")</f>
        <v>T146</v>
      </c>
      <c r="B148" t="str">
        <f ca="1">IFERROR(__xludf.DUMMYFUNCTION("""COMPUTED_VALUE"""),"T186")</f>
        <v>T186</v>
      </c>
      <c r="C148" t="str">
        <f ca="1">IFERROR(__xludf.DUMMYFUNCTION("""COMPUTED_VALUE"""),"Scott Brown")</f>
        <v>Scott Brown</v>
      </c>
      <c r="D148">
        <f ca="1">IFERROR(__xludf.DUMMYFUNCTION("""COMPUTED_VALUE"""),14)</f>
        <v>14</v>
      </c>
      <c r="E148" t="str">
        <f ca="1">IFERROR(__xludf.DUMMYFUNCTION("""COMPUTED_VALUE"""),"18' 4""")</f>
        <v>18' 4"</v>
      </c>
      <c r="F148">
        <f ca="1">IFERROR(__xludf.DUMMYFUNCTION("""COMPUTED_VALUE"""),403.75)</f>
        <v>403.75</v>
      </c>
      <c r="G148">
        <f ca="1">IFERROR(__xludf.DUMMYFUNCTION("""COMPUTED_VALUE"""),22)</f>
        <v>22</v>
      </c>
      <c r="H148" t="str">
        <f ca="1">IFERROR(__xludf.DUMMYFUNCTION("""COMPUTED_VALUE"""),"+4")</f>
        <v>+4</v>
      </c>
    </row>
    <row r="149" spans="1:8" ht="12.75">
      <c r="A149" t="str">
        <f ca="1">IFERROR(__xludf.DUMMYFUNCTION("""COMPUTED_VALUE"""),"T146")</f>
        <v>T146</v>
      </c>
      <c r="B149" t="str">
        <f ca="1">IFERROR(__xludf.DUMMYFUNCTION("""COMPUTED_VALUE"""),"T144")</f>
        <v>T144</v>
      </c>
      <c r="C149" t="str">
        <f ca="1">IFERROR(__xludf.DUMMYFUNCTION("""COMPUTED_VALUE"""),"Peter Uihlein")</f>
        <v>Peter Uihlein</v>
      </c>
      <c r="D149">
        <f ca="1">IFERROR(__xludf.DUMMYFUNCTION("""COMPUTED_VALUE"""),8)</f>
        <v>8</v>
      </c>
      <c r="E149" t="str">
        <f ca="1">IFERROR(__xludf.DUMMYFUNCTION("""COMPUTED_VALUE"""),"18' 4""")</f>
        <v>18' 4"</v>
      </c>
      <c r="F149">
        <f ca="1">IFERROR(__xludf.DUMMYFUNCTION("""COMPUTED_VALUE"""),54.917)</f>
        <v>54.917000000000002</v>
      </c>
      <c r="G149">
        <f ca="1">IFERROR(__xludf.DUMMYFUNCTION("""COMPUTED_VALUE"""),3)</f>
        <v>3</v>
      </c>
      <c r="H149" t="str">
        <f ca="1">IFERROR(__xludf.DUMMYFUNCTION("""COMPUTED_VALUE"""),"+1")</f>
        <v>+1</v>
      </c>
    </row>
    <row r="150" spans="1:8" ht="12.75">
      <c r="A150" t="str">
        <f ca="1">IFERROR(__xludf.DUMMYFUNCTION("""COMPUTED_VALUE"""),"T146")</f>
        <v>T146</v>
      </c>
      <c r="B150" t="str">
        <f ca="1">IFERROR(__xludf.DUMMYFUNCTION("""COMPUTED_VALUE"""),"T144")</f>
        <v>T144</v>
      </c>
      <c r="C150" t="str">
        <f ca="1">IFERROR(__xludf.DUMMYFUNCTION("""COMPUTED_VALUE"""),"Michael Gellerman")</f>
        <v>Michael Gellerman</v>
      </c>
      <c r="D150">
        <f ca="1">IFERROR(__xludf.DUMMYFUNCTION("""COMPUTED_VALUE"""),5)</f>
        <v>5</v>
      </c>
      <c r="E150" t="str">
        <f ca="1">IFERROR(__xludf.DUMMYFUNCTION("""COMPUTED_VALUE"""),"18' 4""")</f>
        <v>18' 4"</v>
      </c>
      <c r="F150">
        <f ca="1">IFERROR(__xludf.DUMMYFUNCTION("""COMPUTED_VALUE"""),109.833)</f>
        <v>109.833</v>
      </c>
      <c r="G150">
        <f ca="1">IFERROR(__xludf.DUMMYFUNCTION("""COMPUTED_VALUE"""),6)</f>
        <v>6</v>
      </c>
      <c r="H150">
        <f ca="1">IFERROR(__xludf.DUMMYFUNCTION("""COMPUTED_VALUE"""),-1)</f>
        <v>-1</v>
      </c>
    </row>
    <row r="151" spans="1:8" ht="12.75">
      <c r="A151" t="str">
        <f ca="1">IFERROR(__xludf.DUMMYFUNCTION("""COMPUTED_VALUE"""),"T150")</f>
        <v>T150</v>
      </c>
      <c r="B151" t="str">
        <f ca="1">IFERROR(__xludf.DUMMYFUNCTION("""COMPUTED_VALUE"""),"T133")</f>
        <v>T133</v>
      </c>
      <c r="C151" t="str">
        <f ca="1">IFERROR(__xludf.DUMMYFUNCTION("""COMPUTED_VALUE"""),"Graeme McDowell")</f>
        <v>Graeme McDowell</v>
      </c>
      <c r="D151">
        <f ca="1">IFERROR(__xludf.DUMMYFUNCTION("""COMPUTED_VALUE"""),8)</f>
        <v>8</v>
      </c>
      <c r="E151" t="str">
        <f ca="1">IFERROR(__xludf.DUMMYFUNCTION("""COMPUTED_VALUE"""),"18' 5""")</f>
        <v>18' 5"</v>
      </c>
      <c r="F151">
        <f ca="1">IFERROR(__xludf.DUMMYFUNCTION("""COMPUTED_VALUE"""),331.333)</f>
        <v>331.33300000000003</v>
      </c>
      <c r="G151">
        <f ca="1">IFERROR(__xludf.DUMMYFUNCTION("""COMPUTED_VALUE"""),18)</f>
        <v>18</v>
      </c>
      <c r="H151">
        <f ca="1">IFERROR(__xludf.DUMMYFUNCTION("""COMPUTED_VALUE"""),-2)</f>
        <v>-2</v>
      </c>
    </row>
    <row r="152" spans="1:8" ht="12.75">
      <c r="A152" t="str">
        <f ca="1">IFERROR(__xludf.DUMMYFUNCTION("""COMPUTED_VALUE"""),"T150")</f>
        <v>T150</v>
      </c>
      <c r="B152" t="str">
        <f ca="1">IFERROR(__xludf.DUMMYFUNCTION("""COMPUTED_VALUE"""),"T153")</f>
        <v>T153</v>
      </c>
      <c r="C152" t="str">
        <f ca="1">IFERROR(__xludf.DUMMYFUNCTION("""COMPUTED_VALUE"""),"Patrick Reed")</f>
        <v>Patrick Reed</v>
      </c>
      <c r="D152">
        <f ca="1">IFERROR(__xludf.DUMMYFUNCTION("""COMPUTED_VALUE"""),8)</f>
        <v>8</v>
      </c>
      <c r="E152" t="str">
        <f ca="1">IFERROR(__xludf.DUMMYFUNCTION("""COMPUTED_VALUE"""),"18' 5""")</f>
        <v>18' 5"</v>
      </c>
      <c r="F152">
        <f ca="1">IFERROR(__xludf.DUMMYFUNCTION("""COMPUTED_VALUE"""),202.333)</f>
        <v>202.333</v>
      </c>
      <c r="G152">
        <f ca="1">IFERROR(__xludf.DUMMYFUNCTION("""COMPUTED_VALUE"""),11)</f>
        <v>11</v>
      </c>
      <c r="H152" t="str">
        <f ca="1">IFERROR(__xludf.DUMMYFUNCTION("""COMPUTED_VALUE"""),"+4")</f>
        <v>+4</v>
      </c>
    </row>
    <row r="153" spans="1:8" ht="12.75">
      <c r="A153" t="str">
        <f ca="1">IFERROR(__xludf.DUMMYFUNCTION("""COMPUTED_VALUE"""),"T150")</f>
        <v>T150</v>
      </c>
      <c r="B153" t="str">
        <f ca="1">IFERROR(__xludf.DUMMYFUNCTION("""COMPUTED_VALUE"""),"T153")</f>
        <v>T153</v>
      </c>
      <c r="C153" t="str">
        <f ca="1">IFERROR(__xludf.DUMMYFUNCTION("""COMPUTED_VALUE"""),"Harry Higgs")</f>
        <v>Harry Higgs</v>
      </c>
      <c r="D153">
        <f ca="1">IFERROR(__xludf.DUMMYFUNCTION("""COMPUTED_VALUE"""),14)</f>
        <v>14</v>
      </c>
      <c r="E153" t="str">
        <f ca="1">IFERROR(__xludf.DUMMYFUNCTION("""COMPUTED_VALUE"""),"18' 5""")</f>
        <v>18' 5"</v>
      </c>
      <c r="F153">
        <f ca="1">IFERROR(__xludf.DUMMYFUNCTION("""COMPUTED_VALUE"""),627.25)</f>
        <v>627.25</v>
      </c>
      <c r="G153">
        <f ca="1">IFERROR(__xludf.DUMMYFUNCTION("""COMPUTED_VALUE"""),34)</f>
        <v>34</v>
      </c>
      <c r="H153">
        <f ca="1">IFERROR(__xludf.DUMMYFUNCTION("""COMPUTED_VALUE"""),-7)</f>
        <v>-7</v>
      </c>
    </row>
    <row r="154" spans="1:8" ht="12.75">
      <c r="A154" t="str">
        <f ca="1">IFERROR(__xludf.DUMMYFUNCTION("""COMPUTED_VALUE"""),"T150")</f>
        <v>T150</v>
      </c>
      <c r="B154" t="str">
        <f ca="1">IFERROR(__xludf.DUMMYFUNCTION("""COMPUTED_VALUE"""),"T153")</f>
        <v>T153</v>
      </c>
      <c r="C154" t="str">
        <f ca="1">IFERROR(__xludf.DUMMYFUNCTION("""COMPUTED_VALUE"""),"Joaquin Niemann")</f>
        <v>Joaquin Niemann</v>
      </c>
      <c r="D154">
        <f ca="1">IFERROR(__xludf.DUMMYFUNCTION("""COMPUTED_VALUE"""),16)</f>
        <v>16</v>
      </c>
      <c r="E154" t="str">
        <f ca="1">IFERROR(__xludf.DUMMYFUNCTION("""COMPUTED_VALUE"""),"18' 5""")</f>
        <v>18' 5"</v>
      </c>
      <c r="F154">
        <f ca="1">IFERROR(__xludf.DUMMYFUNCTION("""COMPUTED_VALUE"""),737.167)</f>
        <v>737.16700000000003</v>
      </c>
      <c r="G154">
        <f ca="1">IFERROR(__xludf.DUMMYFUNCTION("""COMPUTED_VALUE"""),40)</f>
        <v>40</v>
      </c>
      <c r="H154">
        <f ca="1">IFERROR(__xludf.DUMMYFUNCTION("""COMPUTED_VALUE"""),-10)</f>
        <v>-10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IFERROR(__xludf.DUMMYFUNCTION("""COMPUTED_VALUE"""),"T171")</f>
        <v>T171</v>
      </c>
      <c r="C155" t="str">
        <f ca="1">IFERROR(__xludf.DUMMYFUNCTION("""COMPUTED_VALUE"""),"Charl Schwartzel")</f>
        <v>Charl Schwartzel</v>
      </c>
      <c r="D155">
        <f ca="1">IFERROR(__xludf.DUMMYFUNCTION("""COMPUTED_VALUE"""),12)</f>
        <v>12</v>
      </c>
      <c r="E155" t="str">
        <f ca="1">IFERROR(__xludf.DUMMYFUNCTION("""COMPUTED_VALUE"""),"18' 6""")</f>
        <v>18' 6"</v>
      </c>
      <c r="F155">
        <f ca="1">IFERROR(__xludf.DUMMYFUNCTION("""COMPUTED_VALUE"""),628.583)</f>
        <v>628.58299999999997</v>
      </c>
      <c r="G155">
        <f ca="1">IFERROR(__xludf.DUMMYFUNCTION("""COMPUTED_VALUE"""),34)</f>
        <v>34</v>
      </c>
      <c r="H155">
        <f ca="1">IFERROR(__xludf.DUMMYFUNCTION("""COMPUTED_VALUE"""),-8)</f>
        <v>-8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IFERROR(__xludf.DUMMYFUNCTION("""COMPUTED_VALUE"""),"T43")</f>
        <v>T43</v>
      </c>
      <c r="C156" t="str">
        <f ca="1">IFERROR(__xludf.DUMMYFUNCTION("""COMPUTED_VALUE"""),"Scott Stallings")</f>
        <v>Scott Stallings</v>
      </c>
      <c r="D156">
        <f ca="1">IFERROR(__xludf.DUMMYFUNCTION("""COMPUTED_VALUE"""),14)</f>
        <v>14</v>
      </c>
      <c r="E156" t="str">
        <f ca="1">IFERROR(__xludf.DUMMYFUNCTION("""COMPUTED_VALUE"""),"18' 6""")</f>
        <v>18' 6"</v>
      </c>
      <c r="F156">
        <f ca="1">IFERROR(__xludf.DUMMYFUNCTION("""COMPUTED_VALUE"""),556.167)</f>
        <v>556.16700000000003</v>
      </c>
      <c r="G156">
        <f ca="1">IFERROR(__xludf.DUMMYFUNCTION("""COMPUTED_VALUE"""),30)</f>
        <v>30</v>
      </c>
      <c r="H156">
        <f ca="1">IFERROR(__xludf.DUMMYFUNCTION("""COMPUTED_VALUE"""),-5)</f>
        <v>-5</v>
      </c>
    </row>
    <row r="157" spans="1:8" ht="12.75">
      <c r="A157" t="str">
        <f ca="1">IFERROR(__xludf.DUMMYFUNCTION("""COMPUTED_VALUE"""),"T156")</f>
        <v>T156</v>
      </c>
      <c r="B157">
        <f ca="1">IFERROR(__xludf.DUMMYFUNCTION("""COMPUTED_VALUE"""),250)</f>
        <v>250</v>
      </c>
      <c r="C157" t="str">
        <f ca="1">IFERROR(__xludf.DUMMYFUNCTION("""COMPUTED_VALUE"""),"Dustin Johnson")</f>
        <v>Dustin Johnson</v>
      </c>
      <c r="D157">
        <f ca="1">IFERROR(__xludf.DUMMYFUNCTION("""COMPUTED_VALUE"""),8)</f>
        <v>8</v>
      </c>
      <c r="E157" t="str">
        <f ca="1">IFERROR(__xludf.DUMMYFUNCTION("""COMPUTED_VALUE"""),"18' 7""")</f>
        <v>18' 7"</v>
      </c>
      <c r="F157">
        <f ca="1">IFERROR(__xludf.DUMMYFUNCTION("""COMPUTED_VALUE"""),315.25)</f>
        <v>315.25</v>
      </c>
      <c r="G157">
        <f ca="1">IFERROR(__xludf.DUMMYFUNCTION("""COMPUTED_VALUE"""),17)</f>
        <v>17</v>
      </c>
      <c r="H157">
        <f ca="1">IFERROR(__xludf.DUMMYFUNCTION("""COMPUTED_VALUE"""),-5)</f>
        <v>-5</v>
      </c>
    </row>
    <row r="158" spans="1:8" ht="12.75">
      <c r="A158" t="str">
        <f ca="1">IFERROR(__xludf.DUMMYFUNCTION("""COMPUTED_VALUE"""),"T156")</f>
        <v>T156</v>
      </c>
      <c r="B158" t="str">
        <f ca="1">IFERROR(__xludf.DUMMYFUNCTION("""COMPUTED_VALUE"""),"T157")</f>
        <v>T157</v>
      </c>
      <c r="C158" t="str">
        <f ca="1">IFERROR(__xludf.DUMMYFUNCTION("""COMPUTED_VALUE"""),"Gary Woodland")</f>
        <v>Gary Woodland</v>
      </c>
      <c r="D158">
        <f ca="1">IFERROR(__xludf.DUMMYFUNCTION("""COMPUTED_VALUE"""),6)</f>
        <v>6</v>
      </c>
      <c r="E158" t="str">
        <f ca="1">IFERROR(__xludf.DUMMYFUNCTION("""COMPUTED_VALUE"""),"18' 7""")</f>
        <v>18' 7"</v>
      </c>
      <c r="F158">
        <f ca="1">IFERROR(__xludf.DUMMYFUNCTION("""COMPUTED_VALUE"""),241.5)</f>
        <v>241.5</v>
      </c>
      <c r="G158">
        <f ca="1">IFERROR(__xludf.DUMMYFUNCTION("""COMPUTED_VALUE"""),13)</f>
        <v>13</v>
      </c>
      <c r="H158" t="str">
        <f ca="1">IFERROR(__xludf.DUMMYFUNCTION("""COMPUTED_VALUE"""),"+4")</f>
        <v>+4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IFERROR(__xludf.DUMMYFUNCTION("""COMPUTED_VALUE"""),"T200")</f>
        <v>T200</v>
      </c>
      <c r="C159" t="str">
        <f ca="1">IFERROR(__xludf.DUMMYFUNCTION("""COMPUTED_VALUE"""),"Troy Merritt")</f>
        <v>Troy Merritt</v>
      </c>
      <c r="D159">
        <f ca="1">IFERROR(__xludf.DUMMYFUNCTION("""COMPUTED_VALUE"""),20)</f>
        <v>20</v>
      </c>
      <c r="E159" t="str">
        <f ca="1">IFERROR(__xludf.DUMMYFUNCTION("""COMPUTED_VALUE"""),"18' 8""")</f>
        <v>18' 8"</v>
      </c>
      <c r="F159">
        <f ca="1">IFERROR(__xludf.DUMMYFUNCTION("""COMPUTED_VALUE"""),860.167)</f>
        <v>860.16700000000003</v>
      </c>
      <c r="G159">
        <f ca="1">IFERROR(__xludf.DUMMYFUNCTION("""COMPUTED_VALUE"""),46)</f>
        <v>46</v>
      </c>
      <c r="H159" t="str">
        <f ca="1">IFERROR(__xludf.DUMMYFUNCTION("""COMPUTED_VALUE"""),"E")</f>
        <v>E</v>
      </c>
    </row>
    <row r="160" spans="1:8" ht="12.75">
      <c r="A160" t="str">
        <f ca="1">IFERROR(__xludf.DUMMYFUNCTION("""COMPUTED_VALUE"""),"T158")</f>
        <v>T158</v>
      </c>
      <c r="B160" t="str">
        <f ca="1">IFERROR(__xludf.DUMMYFUNCTION("""COMPUTED_VALUE"""),"T144")</f>
        <v>T144</v>
      </c>
      <c r="C160" t="str">
        <f ca="1">IFERROR(__xludf.DUMMYFUNCTION("""COMPUTED_VALUE"""),"Danny Lee")</f>
        <v>Danny Lee</v>
      </c>
      <c r="D160">
        <f ca="1">IFERROR(__xludf.DUMMYFUNCTION("""COMPUTED_VALUE"""),15)</f>
        <v>15</v>
      </c>
      <c r="E160" t="str">
        <f ca="1">IFERROR(__xludf.DUMMYFUNCTION("""COMPUTED_VALUE"""),"18' 8""")</f>
        <v>18' 8"</v>
      </c>
      <c r="F160">
        <f ca="1">IFERROR(__xludf.DUMMYFUNCTION("""COMPUTED_VALUE"""),615.25)</f>
        <v>615.25</v>
      </c>
      <c r="G160">
        <f ca="1">IFERROR(__xludf.DUMMYFUNCTION("""COMPUTED_VALUE"""),33)</f>
        <v>33</v>
      </c>
      <c r="H160" t="str">
        <f ca="1">IFERROR(__xludf.DUMMYFUNCTION("""COMPUTED_VALUE"""),"+2")</f>
        <v>+2</v>
      </c>
    </row>
    <row r="161" spans="1:8" ht="12.75">
      <c r="A161" t="str">
        <f ca="1">IFERROR(__xludf.DUMMYFUNCTION("""COMPUTED_VALUE"""),"T160")</f>
        <v>T160</v>
      </c>
      <c r="B161" t="str">
        <f ca="1">IFERROR(__xludf.DUMMYFUNCTION("""COMPUTED_VALUE"""),"T160")</f>
        <v>T160</v>
      </c>
      <c r="C161" t="str">
        <f ca="1">IFERROR(__xludf.DUMMYFUNCTION("""COMPUTED_VALUE"""),"Nick Watney")</f>
        <v>Nick Watney</v>
      </c>
      <c r="D161">
        <f ca="1">IFERROR(__xludf.DUMMYFUNCTION("""COMPUTED_VALUE"""),10)</f>
        <v>10</v>
      </c>
      <c r="E161" t="str">
        <f ca="1">IFERROR(__xludf.DUMMYFUNCTION("""COMPUTED_VALUE"""),"18' 9""")</f>
        <v>18' 9"</v>
      </c>
      <c r="F161">
        <f ca="1">IFERROR(__xludf.DUMMYFUNCTION("""COMPUTED_VALUE"""),467.75)</f>
        <v>467.75</v>
      </c>
      <c r="G161">
        <f ca="1">IFERROR(__xludf.DUMMYFUNCTION("""COMPUTED_VALUE"""),25)</f>
        <v>25</v>
      </c>
      <c r="H161">
        <f ca="1">IFERROR(__xludf.DUMMYFUNCTION("""COMPUTED_VALUE"""),-3)</f>
        <v>-3</v>
      </c>
    </row>
    <row r="162" spans="1:8" ht="12.75">
      <c r="A162" t="str">
        <f ca="1">IFERROR(__xludf.DUMMYFUNCTION("""COMPUTED_VALUE"""),"T160")</f>
        <v>T160</v>
      </c>
      <c r="B162">
        <f ca="1">IFERROR(__xludf.DUMMYFUNCTION("""COMPUTED_VALUE"""),156)</f>
        <v>156</v>
      </c>
      <c r="C162" t="str">
        <f ca="1">IFERROR(__xludf.DUMMYFUNCTION("""COMPUTED_VALUE"""),"Corey Conners")</f>
        <v>Corey Conners</v>
      </c>
      <c r="D162">
        <f ca="1">IFERROR(__xludf.DUMMYFUNCTION("""COMPUTED_VALUE"""),20)</f>
        <v>20</v>
      </c>
      <c r="E162" t="str">
        <f ca="1">IFERROR(__xludf.DUMMYFUNCTION("""COMPUTED_VALUE"""),"18' 9""")</f>
        <v>18' 9"</v>
      </c>
      <c r="F162">
        <f ca="1">IFERROR(__xludf.DUMMYFUNCTION("""COMPUTED_VALUE"""),806.833)</f>
        <v>806.83299999999997</v>
      </c>
      <c r="G162">
        <f ca="1">IFERROR(__xludf.DUMMYFUNCTION("""COMPUTED_VALUE"""),43)</f>
        <v>43</v>
      </c>
      <c r="H162">
        <f ca="1">IFERROR(__xludf.DUMMYFUNCTION("""COMPUTED_VALUE"""),-10)</f>
        <v>-10</v>
      </c>
    </row>
    <row r="163" spans="1:8" ht="12.75">
      <c r="A163" t="str">
        <f ca="1">IFERROR(__xludf.DUMMYFUNCTION("""COMPUTED_VALUE"""),"T160")</f>
        <v>T160</v>
      </c>
      <c r="B163" t="str">
        <f ca="1">IFERROR(__xludf.DUMMYFUNCTION("""COMPUTED_VALUE"""),"T160")</f>
        <v>T160</v>
      </c>
      <c r="C163" t="str">
        <f ca="1">IFERROR(__xludf.DUMMYFUNCTION("""COMPUTED_VALUE"""),"Bryson DeChambeau")</f>
        <v>Bryson DeChambeau</v>
      </c>
      <c r="D163">
        <f ca="1">IFERROR(__xludf.DUMMYFUNCTION("""COMPUTED_VALUE"""),8)</f>
        <v>8</v>
      </c>
      <c r="E163" t="str">
        <f ca="1">IFERROR(__xludf.DUMMYFUNCTION("""COMPUTED_VALUE"""),"18' 9""")</f>
        <v>18' 9"</v>
      </c>
      <c r="F163">
        <f ca="1">IFERROR(__xludf.DUMMYFUNCTION("""COMPUTED_VALUE"""),281.25)</f>
        <v>281.25</v>
      </c>
      <c r="G163">
        <f ca="1">IFERROR(__xludf.DUMMYFUNCTION("""COMPUTED_VALUE"""),15)</f>
        <v>15</v>
      </c>
      <c r="H163" t="str">
        <f ca="1">IFERROR(__xludf.DUMMYFUNCTION("""COMPUTED_VALUE"""),"+2")</f>
        <v>+2</v>
      </c>
    </row>
    <row r="164" spans="1:8" ht="12.75">
      <c r="A164" t="str">
        <f ca="1">IFERROR(__xludf.DUMMYFUNCTION("""COMPUTED_VALUE"""),"T160")</f>
        <v>T160</v>
      </c>
      <c r="B164" t="str">
        <f ca="1">IFERROR(__xludf.DUMMYFUNCTION("""COMPUTED_VALUE"""),"T160")</f>
        <v>T160</v>
      </c>
      <c r="C164" t="str">
        <f ca="1">IFERROR(__xludf.DUMMYFUNCTION("""COMPUTED_VALUE"""),"Matthew Wolff")</f>
        <v>Matthew Wolff</v>
      </c>
      <c r="D164">
        <f ca="1">IFERROR(__xludf.DUMMYFUNCTION("""COMPUTED_VALUE"""),16)</f>
        <v>16</v>
      </c>
      <c r="E164" t="str">
        <f ca="1">IFERROR(__xludf.DUMMYFUNCTION("""COMPUTED_VALUE"""),"18' 9""")</f>
        <v>18' 9"</v>
      </c>
      <c r="F164">
        <f ca="1">IFERROR(__xludf.DUMMYFUNCTION("""COMPUTED_VALUE"""),656.917)</f>
        <v>656.91700000000003</v>
      </c>
      <c r="G164">
        <f ca="1">IFERROR(__xludf.DUMMYFUNCTION("""COMPUTED_VALUE"""),35)</f>
        <v>35</v>
      </c>
      <c r="H164">
        <f ca="1">IFERROR(__xludf.DUMMYFUNCTION("""COMPUTED_VALUE"""),-9)</f>
        <v>-9</v>
      </c>
    </row>
    <row r="165" spans="1:8" ht="12.75">
      <c r="A165">
        <f ca="1">IFERROR(__xludf.DUMMYFUNCTION("""COMPUTED_VALUE"""),164)</f>
        <v>164</v>
      </c>
      <c r="B165" t="str">
        <f ca="1">IFERROR(__xludf.DUMMYFUNCTION("""COMPUTED_VALUE"""),"T160")</f>
        <v>T160</v>
      </c>
      <c r="C165" t="str">
        <f ca="1">IFERROR(__xludf.DUMMYFUNCTION("""COMPUTED_VALUE"""),"Mackenzie Hughes")</f>
        <v>Mackenzie Hughes</v>
      </c>
      <c r="D165">
        <f ca="1">IFERROR(__xludf.DUMMYFUNCTION("""COMPUTED_VALUE"""),18)</f>
        <v>18</v>
      </c>
      <c r="E165" t="str">
        <f ca="1">IFERROR(__xludf.DUMMYFUNCTION("""COMPUTED_VALUE"""),"18' 10""")</f>
        <v>18' 10"</v>
      </c>
      <c r="F165">
        <f ca="1">IFERROR(__xludf.DUMMYFUNCTION("""COMPUTED_VALUE"""),451.75)</f>
        <v>451.75</v>
      </c>
      <c r="G165">
        <f ca="1">IFERROR(__xludf.DUMMYFUNCTION("""COMPUTED_VALUE"""),24)</f>
        <v>24</v>
      </c>
      <c r="H165">
        <f ca="1">IFERROR(__xludf.DUMMYFUNCTION("""COMPUTED_VALUE"""),-4)</f>
        <v>-4</v>
      </c>
    </row>
    <row r="166" spans="1:8" ht="12.75">
      <c r="A166">
        <f ca="1">IFERROR(__xludf.DUMMYFUNCTION("""COMPUTED_VALUE"""),165)</f>
        <v>165</v>
      </c>
      <c r="B166" t="str">
        <f ca="1">IFERROR(__xludf.DUMMYFUNCTION("""COMPUTED_VALUE"""),"T164")</f>
        <v>T164</v>
      </c>
      <c r="C166" t="str">
        <f ca="1">IFERROR(__xludf.DUMMYFUNCTION("""COMPUTED_VALUE"""),"Brandon Hagy")</f>
        <v>Brandon Hagy</v>
      </c>
      <c r="D166">
        <f ca="1">IFERROR(__xludf.DUMMYFUNCTION("""COMPUTED_VALUE"""),10)</f>
        <v>10</v>
      </c>
      <c r="E166" t="str">
        <f ca="1">IFERROR(__xludf.DUMMYFUNCTION("""COMPUTED_VALUE"""),"18' 11""")</f>
        <v>18' 11"</v>
      </c>
      <c r="F166">
        <f ca="1">IFERROR(__xludf.DUMMYFUNCTION("""COMPUTED_VALUE"""),340.75)</f>
        <v>340.75</v>
      </c>
      <c r="G166">
        <f ca="1">IFERROR(__xludf.DUMMYFUNCTION("""COMPUTED_VALUE"""),18)</f>
        <v>18</v>
      </c>
      <c r="H166" t="str">
        <f ca="1">IFERROR(__xludf.DUMMYFUNCTION("""COMPUTED_VALUE"""),"+1")</f>
        <v>+1</v>
      </c>
    </row>
    <row r="167" spans="1:8" ht="12.75">
      <c r="A167" t="str">
        <f ca="1">IFERROR(__xludf.DUMMYFUNCTION("""COMPUTED_VALUE"""),"T166")</f>
        <v>T166</v>
      </c>
      <c r="B167" t="str">
        <f ca="1">IFERROR(__xludf.DUMMYFUNCTION("""COMPUTED_VALUE"""),"T80")</f>
        <v>T80</v>
      </c>
      <c r="C167" t="str">
        <f ca="1">IFERROR(__xludf.DUMMYFUNCTION("""COMPUTED_VALUE"""),"Brooks Koepka")</f>
        <v>Brooks Koepka</v>
      </c>
      <c r="D167">
        <f ca="1">IFERROR(__xludf.DUMMYFUNCTION("""COMPUTED_VALUE"""),8)</f>
        <v>8</v>
      </c>
      <c r="E167" t="str">
        <f ca="1">IFERROR(__xludf.DUMMYFUNCTION("""COMPUTED_VALUE"""),"19' 1""")</f>
        <v>19' 1"</v>
      </c>
      <c r="F167">
        <f ca="1">IFERROR(__xludf.DUMMYFUNCTION("""COMPUTED_VALUE"""),420.417)</f>
        <v>420.41699999999997</v>
      </c>
      <c r="G167">
        <f ca="1">IFERROR(__xludf.DUMMYFUNCTION("""COMPUTED_VALUE"""),22)</f>
        <v>22</v>
      </c>
      <c r="H167">
        <f ca="1">IFERROR(__xludf.DUMMYFUNCTION("""COMPUTED_VALUE"""),-4)</f>
        <v>-4</v>
      </c>
    </row>
    <row r="168" spans="1:8" ht="12.75">
      <c r="A168" t="str">
        <f ca="1">IFERROR(__xludf.DUMMYFUNCTION("""COMPUTED_VALUE"""),"T166")</f>
        <v>T166</v>
      </c>
      <c r="B168" t="str">
        <f ca="1">IFERROR(__xludf.DUMMYFUNCTION("""COMPUTED_VALUE"""),"T167")</f>
        <v>T167</v>
      </c>
      <c r="C168" t="str">
        <f ca="1">IFERROR(__xludf.DUMMYFUNCTION("""COMPUTED_VALUE"""),"Jay McLuen")</f>
        <v>Jay McLuen</v>
      </c>
      <c r="D168">
        <f ca="1">IFERROR(__xludf.DUMMYFUNCTION("""COMPUTED_VALUE"""),4)</f>
        <v>4</v>
      </c>
      <c r="E168" t="str">
        <f ca="1">IFERROR(__xludf.DUMMYFUNCTION("""COMPUTED_VALUE"""),"19' 1""")</f>
        <v>19' 1"</v>
      </c>
      <c r="F168">
        <f ca="1">IFERROR(__xludf.DUMMYFUNCTION("""COMPUTED_VALUE"""),229.25)</f>
        <v>229.25</v>
      </c>
      <c r="G168">
        <f ca="1">IFERROR(__xludf.DUMMYFUNCTION("""COMPUTED_VALUE"""),12)</f>
        <v>12</v>
      </c>
      <c r="H168">
        <f ca="1">IFERROR(__xludf.DUMMYFUNCTION("""COMPUTED_VALUE"""),-5)</f>
        <v>-5</v>
      </c>
    </row>
    <row r="169" spans="1:8" ht="12.75">
      <c r="A169" t="str">
        <f ca="1">IFERROR(__xludf.DUMMYFUNCTION("""COMPUTED_VALUE"""),"T166")</f>
        <v>T166</v>
      </c>
      <c r="B169" t="str">
        <f ca="1">IFERROR(__xludf.DUMMYFUNCTION("""COMPUTED_VALUE"""),"T167")</f>
        <v>T167</v>
      </c>
      <c r="C169" t="str">
        <f ca="1">IFERROR(__xludf.DUMMYFUNCTION("""COMPUTED_VALUE"""),"Rickie Fowler")</f>
        <v>Rickie Fowler</v>
      </c>
      <c r="D169">
        <f ca="1">IFERROR(__xludf.DUMMYFUNCTION("""COMPUTED_VALUE"""),14)</f>
        <v>14</v>
      </c>
      <c r="E169" t="str">
        <f ca="1">IFERROR(__xludf.DUMMYFUNCTION("""COMPUTED_VALUE"""),"19' 1""")</f>
        <v>19' 1"</v>
      </c>
      <c r="F169">
        <f ca="1">IFERROR(__xludf.DUMMYFUNCTION("""COMPUTED_VALUE"""),666.5)</f>
        <v>666.5</v>
      </c>
      <c r="G169">
        <f ca="1">IFERROR(__xludf.DUMMYFUNCTION("""COMPUTED_VALUE"""),35)</f>
        <v>35</v>
      </c>
      <c r="H169">
        <f ca="1">IFERROR(__xludf.DUMMYFUNCTION("""COMPUTED_VALUE"""),-2)</f>
        <v>-2</v>
      </c>
    </row>
    <row r="170" spans="1:8" ht="12.75">
      <c r="A170" t="str">
        <f ca="1">IFERROR(__xludf.DUMMYFUNCTION("""COMPUTED_VALUE"""),"T166")</f>
        <v>T166</v>
      </c>
      <c r="B170" t="str">
        <f ca="1">IFERROR(__xludf.DUMMYFUNCTION("""COMPUTED_VALUE"""),"T167")</f>
        <v>T167</v>
      </c>
      <c r="C170" t="str">
        <f ca="1">IFERROR(__xludf.DUMMYFUNCTION("""COMPUTED_VALUE"""),"Akshay Bhatia")</f>
        <v>Akshay Bhatia</v>
      </c>
      <c r="D170">
        <f ca="1">IFERROR(__xludf.DUMMYFUNCTION("""COMPUTED_VALUE"""),6)</f>
        <v>6</v>
      </c>
      <c r="E170" t="str">
        <f ca="1">IFERROR(__xludf.DUMMYFUNCTION("""COMPUTED_VALUE"""),"19' 1""")</f>
        <v>19' 1"</v>
      </c>
      <c r="F170">
        <f ca="1">IFERROR(__xludf.DUMMYFUNCTION("""COMPUTED_VALUE"""),209.75)</f>
        <v>209.75</v>
      </c>
      <c r="G170">
        <f ca="1">IFERROR(__xludf.DUMMYFUNCTION("""COMPUTED_VALUE"""),11)</f>
        <v>11</v>
      </c>
      <c r="H170">
        <f ca="1">IFERROR(__xludf.DUMMYFUNCTION("""COMPUTED_VALUE"""),-6)</f>
        <v>-6</v>
      </c>
    </row>
    <row r="171" spans="1:8" ht="12.75">
      <c r="A171">
        <f ca="1">IFERROR(__xludf.DUMMYFUNCTION("""COMPUTED_VALUE"""),170)</f>
        <v>170</v>
      </c>
      <c r="B171" t="str">
        <f ca="1">IFERROR(__xludf.DUMMYFUNCTION("""COMPUTED_VALUE"""),"T171")</f>
        <v>T171</v>
      </c>
      <c r="C171" t="str">
        <f ca="1">IFERROR(__xludf.DUMMYFUNCTION("""COMPUTED_VALUE"""),"Tim Wilkinson")</f>
        <v>Tim Wilkinson</v>
      </c>
      <c r="D171">
        <f ca="1">IFERROR(__xludf.DUMMYFUNCTION("""COMPUTED_VALUE"""),12)</f>
        <v>12</v>
      </c>
      <c r="E171" t="str">
        <f ca="1">IFERROR(__xludf.DUMMYFUNCTION("""COMPUTED_VALUE"""),"19' 2""")</f>
        <v>19' 2"</v>
      </c>
      <c r="F171">
        <f ca="1">IFERROR(__xludf.DUMMYFUNCTION("""COMPUTED_VALUE"""),249.167)</f>
        <v>249.167</v>
      </c>
      <c r="G171">
        <f ca="1">IFERROR(__xludf.DUMMYFUNCTION("""COMPUTED_VALUE"""),13)</f>
        <v>13</v>
      </c>
      <c r="H171">
        <f ca="1">IFERROR(__xludf.DUMMYFUNCTION("""COMPUTED_VALUE"""),-4)</f>
        <v>-4</v>
      </c>
    </row>
    <row r="172" spans="1:8" ht="12.75">
      <c r="A172" t="str">
        <f ca="1">IFERROR(__xludf.DUMMYFUNCTION("""COMPUTED_VALUE"""),"T171")</f>
        <v>T171</v>
      </c>
      <c r="B172" t="str">
        <f ca="1">IFERROR(__xludf.DUMMYFUNCTION("""COMPUTED_VALUE"""),"T144")</f>
        <v>T144</v>
      </c>
      <c r="C172" t="str">
        <f ca="1">IFERROR(__xludf.DUMMYFUNCTION("""COMPUTED_VALUE"""),"Scott Harrington")</f>
        <v>Scott Harrington</v>
      </c>
      <c r="D172">
        <f ca="1">IFERROR(__xludf.DUMMYFUNCTION("""COMPUTED_VALUE"""),18)</f>
        <v>18</v>
      </c>
      <c r="E172" t="str">
        <f ca="1">IFERROR(__xludf.DUMMYFUNCTION("""COMPUTED_VALUE"""),"19' 3""")</f>
        <v>19' 3"</v>
      </c>
      <c r="F172">
        <f ca="1">IFERROR(__xludf.DUMMYFUNCTION("""COMPUTED_VALUE"""),674.5)</f>
        <v>674.5</v>
      </c>
      <c r="G172">
        <f ca="1">IFERROR(__xludf.DUMMYFUNCTION("""COMPUTED_VALUE"""),35)</f>
        <v>35</v>
      </c>
      <c r="H172">
        <f ca="1">IFERROR(__xludf.DUMMYFUNCTION("""COMPUTED_VALUE"""),-9)</f>
        <v>-9</v>
      </c>
    </row>
    <row r="173" spans="1:8" ht="12.75">
      <c r="A173" t="str">
        <f ca="1">IFERROR(__xludf.DUMMYFUNCTION("""COMPUTED_VALUE"""),"T171")</f>
        <v>T171</v>
      </c>
      <c r="B173" t="str">
        <f ca="1">IFERROR(__xludf.DUMMYFUNCTION("""COMPUTED_VALUE"""),"T210")</f>
        <v>T210</v>
      </c>
      <c r="C173" t="str">
        <f ca="1">IFERROR(__xludf.DUMMYFUNCTION("""COMPUTED_VALUE"""),"Hideki Matsuyama")</f>
        <v>Hideki Matsuyama</v>
      </c>
      <c r="D173">
        <f ca="1">IFERROR(__xludf.DUMMYFUNCTION("""COMPUTED_VALUE"""),18)</f>
        <v>18</v>
      </c>
      <c r="E173" t="str">
        <f ca="1">IFERROR(__xludf.DUMMYFUNCTION("""COMPUTED_VALUE"""),"19' 3""")</f>
        <v>19' 3"</v>
      </c>
      <c r="F173">
        <f ca="1">IFERROR(__xludf.DUMMYFUNCTION("""COMPUTED_VALUE"""),635.083)</f>
        <v>635.08299999999997</v>
      </c>
      <c r="G173">
        <f ca="1">IFERROR(__xludf.DUMMYFUNCTION("""COMPUTED_VALUE"""),33)</f>
        <v>33</v>
      </c>
      <c r="H173">
        <f ca="1">IFERROR(__xludf.DUMMYFUNCTION("""COMPUTED_VALUE"""),-8)</f>
        <v>-8</v>
      </c>
    </row>
    <row r="174" spans="1:8" ht="12.75">
      <c r="A174" t="str">
        <f ca="1">IFERROR(__xludf.DUMMYFUNCTION("""COMPUTED_VALUE"""),"T171")</f>
        <v>T171</v>
      </c>
      <c r="B174" t="str">
        <f ca="1">IFERROR(__xludf.DUMMYFUNCTION("""COMPUTED_VALUE"""),"T175")</f>
        <v>T175</v>
      </c>
      <c r="C174" t="str">
        <f ca="1">IFERROR(__xludf.DUMMYFUNCTION("""COMPUTED_VALUE"""),"Harris English")</f>
        <v>Harris English</v>
      </c>
      <c r="D174">
        <f ca="1">IFERROR(__xludf.DUMMYFUNCTION("""COMPUTED_VALUE"""),14)</f>
        <v>14</v>
      </c>
      <c r="E174" t="str">
        <f ca="1">IFERROR(__xludf.DUMMYFUNCTION("""COMPUTED_VALUE"""),"19' 3""")</f>
        <v>19' 3"</v>
      </c>
      <c r="F174">
        <f ca="1">IFERROR(__xludf.DUMMYFUNCTION("""COMPUTED_VALUE"""),500.917)</f>
        <v>500.91699999999997</v>
      </c>
      <c r="G174">
        <f ca="1">IFERROR(__xludf.DUMMYFUNCTION("""COMPUTED_VALUE"""),26)</f>
        <v>26</v>
      </c>
      <c r="H174">
        <f ca="1">IFERROR(__xludf.DUMMYFUNCTION("""COMPUTED_VALUE"""),-6)</f>
        <v>-6</v>
      </c>
    </row>
    <row r="175" spans="1:8" ht="12.75">
      <c r="A175" t="str">
        <f ca="1">IFERROR(__xludf.DUMMYFUNCTION("""COMPUTED_VALUE"""),"T171")</f>
        <v>T171</v>
      </c>
      <c r="B175" t="str">
        <f ca="1">IFERROR(__xludf.DUMMYFUNCTION("""COMPUTED_VALUE"""),"T197")</f>
        <v>T197</v>
      </c>
      <c r="C175" t="str">
        <f ca="1">IFERROR(__xludf.DUMMYFUNCTION("""COMPUTED_VALUE"""),"Talor Gooch")</f>
        <v>Talor Gooch</v>
      </c>
      <c r="D175">
        <f ca="1">IFERROR(__xludf.DUMMYFUNCTION("""COMPUTED_VALUE"""),20)</f>
        <v>20</v>
      </c>
      <c r="E175" t="str">
        <f ca="1">IFERROR(__xludf.DUMMYFUNCTION("""COMPUTED_VALUE"""),"19' 3""")</f>
        <v>19' 3"</v>
      </c>
      <c r="F175">
        <f ca="1">IFERROR(__xludf.DUMMYFUNCTION("""COMPUTED_VALUE"""),693.667)</f>
        <v>693.66700000000003</v>
      </c>
      <c r="G175">
        <f ca="1">IFERROR(__xludf.DUMMYFUNCTION("""COMPUTED_VALUE"""),36)</f>
        <v>36</v>
      </c>
      <c r="H175">
        <f ca="1">IFERROR(__xludf.DUMMYFUNCTION("""COMPUTED_VALUE"""),-9)</f>
        <v>-9</v>
      </c>
    </row>
    <row r="176" spans="1:8" ht="12.75">
      <c r="A176" t="str">
        <f ca="1">IFERROR(__xludf.DUMMYFUNCTION("""COMPUTED_VALUE"""),"T175")</f>
        <v>T175</v>
      </c>
      <c r="B176">
        <f ca="1">IFERROR(__xludf.DUMMYFUNCTION("""COMPUTED_VALUE"""),179)</f>
        <v>179</v>
      </c>
      <c r="C176" t="str">
        <f ca="1">IFERROR(__xludf.DUMMYFUNCTION("""COMPUTED_VALUE"""),"Daniel Berger")</f>
        <v>Daniel Berger</v>
      </c>
      <c r="D176">
        <f ca="1">IFERROR(__xludf.DUMMYFUNCTION("""COMPUTED_VALUE"""),12)</f>
        <v>12</v>
      </c>
      <c r="E176" t="str">
        <f ca="1">IFERROR(__xludf.DUMMYFUNCTION("""COMPUTED_VALUE"""),"19' 4""")</f>
        <v>19' 4"</v>
      </c>
      <c r="F176">
        <f ca="1">IFERROR(__xludf.DUMMYFUNCTION("""COMPUTED_VALUE"""),425.5)</f>
        <v>425.5</v>
      </c>
      <c r="G176">
        <f ca="1">IFERROR(__xludf.DUMMYFUNCTION("""COMPUTED_VALUE"""),22)</f>
        <v>22</v>
      </c>
      <c r="H176">
        <f ca="1">IFERROR(__xludf.DUMMYFUNCTION("""COMPUTED_VALUE"""),-2)</f>
        <v>-2</v>
      </c>
    </row>
    <row r="177" spans="1:8" ht="12.75">
      <c r="A177" t="str">
        <f ca="1">IFERROR(__xludf.DUMMYFUNCTION("""COMPUTED_VALUE"""),"T175")</f>
        <v>T175</v>
      </c>
      <c r="B177" t="str">
        <f ca="1">IFERROR(__xludf.DUMMYFUNCTION("""COMPUTED_VALUE"""),"T90")</f>
        <v>T90</v>
      </c>
      <c r="C177" t="str">
        <f ca="1">IFERROR(__xludf.DUMMYFUNCTION("""COMPUTED_VALUE"""),"Kevin Tway")</f>
        <v>Kevin Tway</v>
      </c>
      <c r="D177">
        <f ca="1">IFERROR(__xludf.DUMMYFUNCTION("""COMPUTED_VALUE"""),16)</f>
        <v>16</v>
      </c>
      <c r="E177" t="str">
        <f ca="1">IFERROR(__xludf.DUMMYFUNCTION("""COMPUTED_VALUE"""),"19' 4""")</f>
        <v>19' 4"</v>
      </c>
      <c r="F177">
        <f ca="1">IFERROR(__xludf.DUMMYFUNCTION("""COMPUTED_VALUE"""),387.083)</f>
        <v>387.08300000000003</v>
      </c>
      <c r="G177">
        <f ca="1">IFERROR(__xludf.DUMMYFUNCTION("""COMPUTED_VALUE"""),20)</f>
        <v>20</v>
      </c>
      <c r="H177">
        <f ca="1">IFERROR(__xludf.DUMMYFUNCTION("""COMPUTED_VALUE"""),-2)</f>
        <v>-2</v>
      </c>
    </row>
    <row r="178" spans="1:8" ht="12.75">
      <c r="A178" t="str">
        <f ca="1">IFERROR(__xludf.DUMMYFUNCTION("""COMPUTED_VALUE"""),"T177")</f>
        <v>T177</v>
      </c>
      <c r="B178" t="str">
        <f ca="1">IFERROR(__xludf.DUMMYFUNCTION("""COMPUTED_VALUE"""),"T157")</f>
        <v>T157</v>
      </c>
      <c r="C178" t="str">
        <f ca="1">IFERROR(__xludf.DUMMYFUNCTION("""COMPUTED_VALUE"""),"Sean O'Hair")</f>
        <v>Sean O'Hair</v>
      </c>
      <c r="D178">
        <f ca="1">IFERROR(__xludf.DUMMYFUNCTION("""COMPUTED_VALUE"""),14)</f>
        <v>14</v>
      </c>
      <c r="E178" t="str">
        <f ca="1">IFERROR(__xludf.DUMMYFUNCTION("""COMPUTED_VALUE"""),"19' 5""")</f>
        <v>19' 5"</v>
      </c>
      <c r="F178">
        <f ca="1">IFERROR(__xludf.DUMMYFUNCTION("""COMPUTED_VALUE"""),503.917)</f>
        <v>503.91699999999997</v>
      </c>
      <c r="G178">
        <f ca="1">IFERROR(__xludf.DUMMYFUNCTION("""COMPUTED_VALUE"""),26)</f>
        <v>26</v>
      </c>
      <c r="H178" t="str">
        <f ca="1">IFERROR(__xludf.DUMMYFUNCTION("""COMPUTED_VALUE"""),"+1")</f>
        <v>+1</v>
      </c>
    </row>
    <row r="179" spans="1:8" ht="12.75">
      <c r="A179" t="str">
        <f ca="1">IFERROR(__xludf.DUMMYFUNCTION("""COMPUTED_VALUE"""),"T177")</f>
        <v>T177</v>
      </c>
      <c r="B179">
        <f ca="1">IFERROR(__xludf.DUMMYFUNCTION("""COMPUTED_VALUE"""),180)</f>
        <v>180</v>
      </c>
      <c r="C179" t="str">
        <f ca="1">IFERROR(__xludf.DUMMYFUNCTION("""COMPUTED_VALUE"""),"Davis Riley")</f>
        <v>Davis Riley</v>
      </c>
      <c r="D179">
        <f ca="1">IFERROR(__xludf.DUMMYFUNCTION("""COMPUTED_VALUE"""),4)</f>
        <v>4</v>
      </c>
      <c r="E179" t="str">
        <f ca="1">IFERROR(__xludf.DUMMYFUNCTION("""COMPUTED_VALUE"""),"19' 5""")</f>
        <v>19' 5"</v>
      </c>
      <c r="F179">
        <f ca="1">IFERROR(__xludf.DUMMYFUNCTION("""COMPUTED_VALUE"""),155)</f>
        <v>155</v>
      </c>
      <c r="G179">
        <f ca="1">IFERROR(__xludf.DUMMYFUNCTION("""COMPUTED_VALUE"""),8)</f>
        <v>8</v>
      </c>
      <c r="H179">
        <f ca="1">IFERROR(__xludf.DUMMYFUNCTION("""COMPUTED_VALUE"""),-1)</f>
        <v>-1</v>
      </c>
    </row>
    <row r="180" spans="1:8" ht="12.75">
      <c r="A180" t="str">
        <f ca="1">IFERROR(__xludf.DUMMYFUNCTION("""COMPUTED_VALUE"""),"T179")</f>
        <v>T179</v>
      </c>
      <c r="B180" t="str">
        <f ca="1">IFERROR(__xludf.DUMMYFUNCTION("""COMPUTED_VALUE"""),"T181")</f>
        <v>T181</v>
      </c>
      <c r="C180" t="str">
        <f ca="1">IFERROR(__xludf.DUMMYFUNCTION("""COMPUTED_VALUE"""),"Ben Taylor")</f>
        <v>Ben Taylor</v>
      </c>
      <c r="D180">
        <f ca="1">IFERROR(__xludf.DUMMYFUNCTION("""COMPUTED_VALUE"""),10)</f>
        <v>10</v>
      </c>
      <c r="E180" t="str">
        <f ca="1">IFERROR(__xludf.DUMMYFUNCTION("""COMPUTED_VALUE"""),"19' 6""")</f>
        <v>19' 6"</v>
      </c>
      <c r="F180">
        <f ca="1">IFERROR(__xludf.DUMMYFUNCTION("""COMPUTED_VALUE"""),214.083)</f>
        <v>214.083</v>
      </c>
      <c r="G180">
        <f ca="1">IFERROR(__xludf.DUMMYFUNCTION("""COMPUTED_VALUE"""),11)</f>
        <v>11</v>
      </c>
      <c r="H180">
        <f ca="1">IFERROR(__xludf.DUMMYFUNCTION("""COMPUTED_VALUE"""),-1)</f>
        <v>-1</v>
      </c>
    </row>
    <row r="181" spans="1:8" ht="12.75">
      <c r="A181" t="str">
        <f ca="1">IFERROR(__xludf.DUMMYFUNCTION("""COMPUTED_VALUE"""),"T179")</f>
        <v>T179</v>
      </c>
      <c r="B181" t="str">
        <f ca="1">IFERROR(__xludf.DUMMYFUNCTION("""COMPUTED_VALUE"""),"T181")</f>
        <v>T181</v>
      </c>
      <c r="C181" t="str">
        <f ca="1">IFERROR(__xludf.DUMMYFUNCTION("""COMPUTED_VALUE"""),"Hank Lebioda")</f>
        <v>Hank Lebioda</v>
      </c>
      <c r="D181">
        <f ca="1">IFERROR(__xludf.DUMMYFUNCTION("""COMPUTED_VALUE"""),14)</f>
        <v>14</v>
      </c>
      <c r="E181" t="str">
        <f ca="1">IFERROR(__xludf.DUMMYFUNCTION("""COMPUTED_VALUE"""),"19' 6""")</f>
        <v>19' 6"</v>
      </c>
      <c r="F181">
        <f ca="1">IFERROR(__xludf.DUMMYFUNCTION("""COMPUTED_VALUE"""),389.417)</f>
        <v>389.41699999999997</v>
      </c>
      <c r="G181">
        <f ca="1">IFERROR(__xludf.DUMMYFUNCTION("""COMPUTED_VALUE"""),20)</f>
        <v>20</v>
      </c>
      <c r="H181">
        <f ca="1">IFERROR(__xludf.DUMMYFUNCTION("""COMPUTED_VALUE"""),-1)</f>
        <v>-1</v>
      </c>
    </row>
    <row r="182" spans="1:8" ht="12.75">
      <c r="A182" t="str">
        <f ca="1">IFERROR(__xludf.DUMMYFUNCTION("""COMPUTED_VALUE"""),"T181")</f>
        <v>T181</v>
      </c>
      <c r="B182" t="str">
        <f ca="1">IFERROR(__xludf.DUMMYFUNCTION("""COMPUTED_VALUE"""),"T100")</f>
        <v>T100</v>
      </c>
      <c r="C182" t="str">
        <f ca="1">IFERROR(__xludf.DUMMYFUNCTION("""COMPUTED_VALUE"""),"Xinjun Zhang")</f>
        <v>Xinjun Zhang</v>
      </c>
      <c r="D182">
        <f ca="1">IFERROR(__xludf.DUMMYFUNCTION("""COMPUTED_VALUE"""),14)</f>
        <v>14</v>
      </c>
      <c r="E182" t="str">
        <f ca="1">IFERROR(__xludf.DUMMYFUNCTION("""COMPUTED_VALUE"""),"19' 7""")</f>
        <v>19' 7"</v>
      </c>
      <c r="F182">
        <f ca="1">IFERROR(__xludf.DUMMYFUNCTION("""COMPUTED_VALUE"""),489.917)</f>
        <v>489.91699999999997</v>
      </c>
      <c r="G182">
        <f ca="1">IFERROR(__xludf.DUMMYFUNCTION("""COMPUTED_VALUE"""),25)</f>
        <v>25</v>
      </c>
      <c r="H182">
        <f ca="1">IFERROR(__xludf.DUMMYFUNCTION("""COMPUTED_VALUE"""),-1)</f>
        <v>-1</v>
      </c>
    </row>
    <row r="183" spans="1:8" ht="12.75">
      <c r="A183" t="str">
        <f ca="1">IFERROR(__xludf.DUMMYFUNCTION("""COMPUTED_VALUE"""),"T181")</f>
        <v>T181</v>
      </c>
      <c r="B183" t="str">
        <f ca="1">IFERROR(__xludf.DUMMYFUNCTION("""COMPUTED_VALUE"""),"T183")</f>
        <v>T183</v>
      </c>
      <c r="C183" t="str">
        <f ca="1">IFERROR(__xludf.DUMMYFUNCTION("""COMPUTED_VALUE"""),"Webb Simpson")</f>
        <v>Webb Simpson</v>
      </c>
      <c r="D183">
        <f ca="1">IFERROR(__xludf.DUMMYFUNCTION("""COMPUTED_VALUE"""),12)</f>
        <v>12</v>
      </c>
      <c r="E183" t="str">
        <f ca="1">IFERROR(__xludf.DUMMYFUNCTION("""COMPUTED_VALUE"""),"19' 7""")</f>
        <v>19' 7"</v>
      </c>
      <c r="F183">
        <f ca="1">IFERROR(__xludf.DUMMYFUNCTION("""COMPUTED_VALUE"""),411.583)</f>
        <v>411.58300000000003</v>
      </c>
      <c r="G183">
        <f ca="1">IFERROR(__xludf.DUMMYFUNCTION("""COMPUTED_VALUE"""),21)</f>
        <v>21</v>
      </c>
      <c r="H183">
        <f ca="1">IFERROR(__xludf.DUMMYFUNCTION("""COMPUTED_VALUE"""),-4)</f>
        <v>-4</v>
      </c>
    </row>
    <row r="184" spans="1:8" ht="12.75">
      <c r="A184" t="str">
        <f ca="1">IFERROR(__xludf.DUMMYFUNCTION("""COMPUTED_VALUE"""),"T181")</f>
        <v>T181</v>
      </c>
      <c r="B184">
        <f ca="1">IFERROR(__xludf.DUMMYFUNCTION("""COMPUTED_VALUE"""),166)</f>
        <v>166</v>
      </c>
      <c r="C184" t="str">
        <f ca="1">IFERROR(__xludf.DUMMYFUNCTION("""COMPUTED_VALUE"""),"Kelly Kraft")</f>
        <v>Kelly Kraft</v>
      </c>
      <c r="D184">
        <f ca="1">IFERROR(__xludf.DUMMYFUNCTION("""COMPUTED_VALUE"""),14)</f>
        <v>14</v>
      </c>
      <c r="E184" t="str">
        <f ca="1">IFERROR(__xludf.DUMMYFUNCTION("""COMPUTED_VALUE"""),"19' 7""")</f>
        <v>19' 7"</v>
      </c>
      <c r="F184">
        <f ca="1">IFERROR(__xludf.DUMMYFUNCTION("""COMPUTED_VALUE"""),392.167)</f>
        <v>392.16699999999997</v>
      </c>
      <c r="G184">
        <f ca="1">IFERROR(__xludf.DUMMYFUNCTION("""COMPUTED_VALUE"""),20)</f>
        <v>20</v>
      </c>
      <c r="H184">
        <f ca="1">IFERROR(__xludf.DUMMYFUNCTION("""COMPUTED_VALUE"""),-8)</f>
        <v>-8</v>
      </c>
    </row>
    <row r="185" spans="1:8" ht="12.75">
      <c r="A185" t="str">
        <f ca="1">IFERROR(__xludf.DUMMYFUNCTION("""COMPUTED_VALUE"""),"T184")</f>
        <v>T184</v>
      </c>
      <c r="B185" t="str">
        <f ca="1">IFERROR(__xludf.DUMMYFUNCTION("""COMPUTED_VALUE"""),"T167")</f>
        <v>T167</v>
      </c>
      <c r="C185" t="str">
        <f ca="1">IFERROR(__xludf.DUMMYFUNCTION("""COMPUTED_VALUE"""),"Cameron Davis")</f>
        <v>Cameron Davis</v>
      </c>
      <c r="D185">
        <f ca="1">IFERROR(__xludf.DUMMYFUNCTION("""COMPUTED_VALUE"""),16)</f>
        <v>16</v>
      </c>
      <c r="E185" t="str">
        <f ca="1">IFERROR(__xludf.DUMMYFUNCTION("""COMPUTED_VALUE"""),"19' 8""")</f>
        <v>19' 8"</v>
      </c>
      <c r="F185">
        <f ca="1">IFERROR(__xludf.DUMMYFUNCTION("""COMPUTED_VALUE"""),964.333)</f>
        <v>964.33299999999997</v>
      </c>
      <c r="G185">
        <f ca="1">IFERROR(__xludf.DUMMYFUNCTION("""COMPUTED_VALUE"""),49)</f>
        <v>49</v>
      </c>
      <c r="H185">
        <f ca="1">IFERROR(__xludf.DUMMYFUNCTION("""COMPUTED_VALUE"""),-10)</f>
        <v>-10</v>
      </c>
    </row>
    <row r="186" spans="1:8" ht="12.75">
      <c r="A186" t="str">
        <f ca="1">IFERROR(__xludf.DUMMYFUNCTION("""COMPUTED_VALUE"""),"T184")</f>
        <v>T184</v>
      </c>
      <c r="B186" t="str">
        <f ca="1">IFERROR(__xludf.DUMMYFUNCTION("""COMPUTED_VALUE"""),"T190")</f>
        <v>T190</v>
      </c>
      <c r="C186" t="str">
        <f ca="1">IFERROR(__xludf.DUMMYFUNCTION("""COMPUTED_VALUE"""),"Bronson Burgoon")</f>
        <v>Bronson Burgoon</v>
      </c>
      <c r="D186">
        <f ca="1">IFERROR(__xludf.DUMMYFUNCTION("""COMPUTED_VALUE"""),10)</f>
        <v>10</v>
      </c>
      <c r="E186" t="str">
        <f ca="1">IFERROR(__xludf.DUMMYFUNCTION("""COMPUTED_VALUE"""),"19' 8""")</f>
        <v>19' 8"</v>
      </c>
      <c r="F186">
        <f ca="1">IFERROR(__xludf.DUMMYFUNCTION("""COMPUTED_VALUE"""),472.083)</f>
        <v>472.08300000000003</v>
      </c>
      <c r="G186">
        <f ca="1">IFERROR(__xludf.DUMMYFUNCTION("""COMPUTED_VALUE"""),24)</f>
        <v>24</v>
      </c>
      <c r="H186">
        <f ca="1">IFERROR(__xludf.DUMMYFUNCTION("""COMPUTED_VALUE"""),-3)</f>
        <v>-3</v>
      </c>
    </row>
    <row r="187" spans="1:8" ht="12.75">
      <c r="A187" t="str">
        <f ca="1">IFERROR(__xludf.DUMMYFUNCTION("""COMPUTED_VALUE"""),"T184")</f>
        <v>T184</v>
      </c>
      <c r="B187">
        <f ca="1">IFERROR(__xludf.DUMMYFUNCTION("""COMPUTED_VALUE"""),185)</f>
        <v>185</v>
      </c>
      <c r="C187" t="str">
        <f ca="1">IFERROR(__xludf.DUMMYFUNCTION("""COMPUTED_VALUE"""),"John Pak")</f>
        <v>John Pak</v>
      </c>
      <c r="D187">
        <f ca="1">IFERROR(__xludf.DUMMYFUNCTION("""COMPUTED_VALUE"""),4)</f>
        <v>4</v>
      </c>
      <c r="E187" t="str">
        <f ca="1">IFERROR(__xludf.DUMMYFUNCTION("""COMPUTED_VALUE"""),"19' 8""")</f>
        <v>19' 8"</v>
      </c>
      <c r="F187">
        <f ca="1">IFERROR(__xludf.DUMMYFUNCTION("""COMPUTED_VALUE"""),177.167)</f>
        <v>177.167</v>
      </c>
      <c r="G187">
        <f ca="1">IFERROR(__xludf.DUMMYFUNCTION("""COMPUTED_VALUE"""),9)</f>
        <v>9</v>
      </c>
      <c r="H187" t="str">
        <f ca="1">IFERROR(__xludf.DUMMYFUNCTION("""COMPUTED_VALUE"""),"+1")</f>
        <v>+1</v>
      </c>
    </row>
    <row r="188" spans="1:8" ht="12.75">
      <c r="A188" t="str">
        <f ca="1">IFERROR(__xludf.DUMMYFUNCTION("""COMPUTED_VALUE"""),"T187")</f>
        <v>T187</v>
      </c>
      <c r="B188" t="str">
        <f ca="1">IFERROR(__xludf.DUMMYFUNCTION("""COMPUTED_VALUE"""),"T115")</f>
        <v>T115</v>
      </c>
      <c r="C188" t="str">
        <f ca="1">IFERROR(__xludf.DUMMYFUNCTION("""COMPUTED_VALUE"""),"Fabián Gómez")</f>
        <v>Fabián Gómez</v>
      </c>
      <c r="D188">
        <f ca="1">IFERROR(__xludf.DUMMYFUNCTION("""COMPUTED_VALUE"""),16)</f>
        <v>16</v>
      </c>
      <c r="E188" t="str">
        <f ca="1">IFERROR(__xludf.DUMMYFUNCTION("""COMPUTED_VALUE"""),"19' 9""")</f>
        <v>19' 9"</v>
      </c>
      <c r="F188">
        <f ca="1">IFERROR(__xludf.DUMMYFUNCTION("""COMPUTED_VALUE"""),413.917)</f>
        <v>413.91699999999997</v>
      </c>
      <c r="G188">
        <f ca="1">IFERROR(__xludf.DUMMYFUNCTION("""COMPUTED_VALUE"""),21)</f>
        <v>21</v>
      </c>
      <c r="H188" t="str">
        <f ca="1">IFERROR(__xludf.DUMMYFUNCTION("""COMPUTED_VALUE"""),"+1")</f>
        <v>+1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IFERROR(__xludf.DUMMYFUNCTION("""COMPUTED_VALUE"""),"T186")</f>
        <v>T186</v>
      </c>
      <c r="C189" t="str">
        <f ca="1">IFERROR(__xludf.DUMMYFUNCTION("""COMPUTED_VALUE"""),"Kyle Stanley")</f>
        <v>Kyle Stanley</v>
      </c>
      <c r="D189">
        <f ca="1">IFERROR(__xludf.DUMMYFUNCTION("""COMPUTED_VALUE"""),16)</f>
        <v>16</v>
      </c>
      <c r="E189" t="str">
        <f ca="1">IFERROR(__xludf.DUMMYFUNCTION("""COMPUTED_VALUE"""),"19' 9""")</f>
        <v>19' 9"</v>
      </c>
      <c r="F189">
        <f ca="1">IFERROR(__xludf.DUMMYFUNCTION("""COMPUTED_VALUE"""),572.75)</f>
        <v>572.75</v>
      </c>
      <c r="G189">
        <f ca="1">IFERROR(__xludf.DUMMYFUNCTION("""COMPUTED_VALUE"""),29)</f>
        <v>29</v>
      </c>
      <c r="H189">
        <f ca="1">IFERROR(__xludf.DUMMYFUNCTION("""COMPUTED_VALUE"""),-1)</f>
        <v>-1</v>
      </c>
    </row>
    <row r="190" spans="1:8" ht="12.75">
      <c r="A190" t="str">
        <f ca="1">IFERROR(__xludf.DUMMYFUNCTION("""COMPUTED_VALUE"""),"T187")</f>
        <v>T187</v>
      </c>
      <c r="B190" t="str">
        <f ca="1">IFERROR(__xludf.DUMMYFUNCTION("""COMPUTED_VALUE"""),"T186")</f>
        <v>T186</v>
      </c>
      <c r="C190" t="str">
        <f ca="1">IFERROR(__xludf.DUMMYFUNCTION("""COMPUTED_VALUE"""),"Rikuya Hoshino")</f>
        <v>Rikuya Hoshino</v>
      </c>
      <c r="D190">
        <f ca="1">IFERROR(__xludf.DUMMYFUNCTION("""COMPUTED_VALUE"""),4)</f>
        <v>4</v>
      </c>
      <c r="E190" t="str">
        <f ca="1">IFERROR(__xludf.DUMMYFUNCTION("""COMPUTED_VALUE"""),"19' 9""")</f>
        <v>19' 9"</v>
      </c>
      <c r="F190">
        <f ca="1">IFERROR(__xludf.DUMMYFUNCTION("""COMPUTED_VALUE"""),138.083)</f>
        <v>138.083</v>
      </c>
      <c r="G190">
        <f ca="1">IFERROR(__xludf.DUMMYFUNCTION("""COMPUTED_VALUE"""),7)</f>
        <v>7</v>
      </c>
      <c r="H190">
        <f ca="1">IFERROR(__xludf.DUMMYFUNCTION("""COMPUTED_VALUE"""),-2)</f>
        <v>-2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IFERROR(__xludf.DUMMYFUNCTION("""COMPUTED_VALUE"""),"T96")</f>
        <v>T96</v>
      </c>
      <c r="C191" t="str">
        <f ca="1">IFERROR(__xludf.DUMMYFUNCTION("""COMPUTED_VALUE"""),"David Hearn")</f>
        <v>David Hearn</v>
      </c>
      <c r="D191">
        <f ca="1">IFERROR(__xludf.DUMMYFUNCTION("""COMPUTED_VALUE"""),16)</f>
        <v>16</v>
      </c>
      <c r="E191" t="str">
        <f ca="1">IFERROR(__xludf.DUMMYFUNCTION("""COMPUTED_VALUE"""),"19' 10""")</f>
        <v>19' 10"</v>
      </c>
      <c r="F191">
        <f ca="1">IFERROR(__xludf.DUMMYFUNCTION("""COMPUTED_VALUE"""),376.25)</f>
        <v>376.25</v>
      </c>
      <c r="G191">
        <f ca="1">IFERROR(__xludf.DUMMYFUNCTION("""COMPUTED_VALUE"""),19)</f>
        <v>19</v>
      </c>
      <c r="H191">
        <f ca="1">IFERROR(__xludf.DUMMYFUNCTION("""COMPUTED_VALUE"""),-1)</f>
        <v>-1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IFERROR(__xludf.DUMMYFUNCTION("""COMPUTED_VALUE"""),"T190")</f>
        <v>T190</v>
      </c>
      <c r="C192" t="str">
        <f ca="1">IFERROR(__xludf.DUMMYFUNCTION("""COMPUTED_VALUE"""),"Tyler Duncan")</f>
        <v>Tyler Duncan</v>
      </c>
      <c r="D192">
        <f ca="1">IFERROR(__xludf.DUMMYFUNCTION("""COMPUTED_VALUE"""),18)</f>
        <v>18</v>
      </c>
      <c r="E192" t="str">
        <f ca="1">IFERROR(__xludf.DUMMYFUNCTION("""COMPUTED_VALUE"""),"19' 10""")</f>
        <v>19' 10"</v>
      </c>
      <c r="F192">
        <f ca="1">IFERROR(__xludf.DUMMYFUNCTION("""COMPUTED_VALUE"""),715.417)</f>
        <v>715.41700000000003</v>
      </c>
      <c r="G192">
        <f ca="1">IFERROR(__xludf.DUMMYFUNCTION("""COMPUTED_VALUE"""),36)</f>
        <v>36</v>
      </c>
      <c r="H192">
        <f ca="1">IFERROR(__xludf.DUMMYFUNCTION("""COMPUTED_VALUE"""),-3)</f>
        <v>-3</v>
      </c>
    </row>
    <row r="193" spans="1:8" ht="12.75">
      <c r="A193" t="str">
        <f ca="1">IFERROR(__xludf.DUMMYFUNCTION("""COMPUTED_VALUE"""),"T192")</f>
        <v>T192</v>
      </c>
      <c r="B193" t="str">
        <f ca="1">IFERROR(__xludf.DUMMYFUNCTION("""COMPUTED_VALUE"""),"T192")</f>
        <v>T192</v>
      </c>
      <c r="C193" t="str">
        <f ca="1">IFERROR(__xludf.DUMMYFUNCTION("""COMPUTED_VALUE"""),"Sebastián Muñoz")</f>
        <v>Sebastián Muñoz</v>
      </c>
      <c r="D193">
        <f ca="1">IFERROR(__xludf.DUMMYFUNCTION("""COMPUTED_VALUE"""),20)</f>
        <v>20</v>
      </c>
      <c r="E193" t="str">
        <f ca="1">IFERROR(__xludf.DUMMYFUNCTION("""COMPUTED_VALUE"""),"20' 0""")</f>
        <v>20' 0"</v>
      </c>
      <c r="F193">
        <f ca="1">IFERROR(__xludf.DUMMYFUNCTION("""COMPUTED_VALUE"""),999.917)</f>
        <v>999.91700000000003</v>
      </c>
      <c r="G193">
        <f ca="1">IFERROR(__xludf.DUMMYFUNCTION("""COMPUTED_VALUE"""),50)</f>
        <v>50</v>
      </c>
      <c r="H193">
        <f ca="1">IFERROR(__xludf.DUMMYFUNCTION("""COMPUTED_VALUE"""),-4)</f>
        <v>-4</v>
      </c>
    </row>
    <row r="194" spans="1:8" ht="12.75">
      <c r="A194" t="str">
        <f ca="1">IFERROR(__xludf.DUMMYFUNCTION("""COMPUTED_VALUE"""),"T192")</f>
        <v>T192</v>
      </c>
      <c r="B194" t="str">
        <f ca="1">IFERROR(__xludf.DUMMYFUNCTION("""COMPUTED_VALUE"""),"T83")</f>
        <v>T83</v>
      </c>
      <c r="C194" t="str">
        <f ca="1">IFERROR(__xludf.DUMMYFUNCTION("""COMPUTED_VALUE"""),"Isaiah Salinda")</f>
        <v>Isaiah Salinda</v>
      </c>
      <c r="D194">
        <f ca="1">IFERROR(__xludf.DUMMYFUNCTION("""COMPUTED_VALUE"""),8)</f>
        <v>8</v>
      </c>
      <c r="E194" t="str">
        <f ca="1">IFERROR(__xludf.DUMMYFUNCTION("""COMPUTED_VALUE"""),"20' 0""")</f>
        <v>20' 0"</v>
      </c>
      <c r="F194">
        <f ca="1">IFERROR(__xludf.DUMMYFUNCTION("""COMPUTED_VALUE"""),479.833)</f>
        <v>479.83300000000003</v>
      </c>
      <c r="G194">
        <f ca="1">IFERROR(__xludf.DUMMYFUNCTION("""COMPUTED_VALUE"""),24)</f>
        <v>24</v>
      </c>
      <c r="H194">
        <f ca="1">IFERROR(__xludf.DUMMYFUNCTION("""COMPUTED_VALUE"""),-1)</f>
        <v>-1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IFERROR(__xludf.DUMMYFUNCTION("""COMPUTED_VALUE"""),"T108")</f>
        <v>T108</v>
      </c>
      <c r="C195" t="str">
        <f ca="1">IFERROR(__xludf.DUMMYFUNCTION("""COMPUTED_VALUE"""),"Kristoffer Ventura")</f>
        <v>Kristoffer Ventura</v>
      </c>
      <c r="D195">
        <f ca="1">IFERROR(__xludf.DUMMYFUNCTION("""COMPUTED_VALUE"""),20)</f>
        <v>20</v>
      </c>
      <c r="E195" t="str">
        <f ca="1">IFERROR(__xludf.DUMMYFUNCTION("""COMPUTED_VALUE"""),"20' 1""")</f>
        <v>20' 1"</v>
      </c>
      <c r="F195">
        <f ca="1">IFERROR(__xludf.DUMMYFUNCTION("""COMPUTED_VALUE"""),724)</f>
        <v>724</v>
      </c>
      <c r="G195">
        <f ca="1">IFERROR(__xludf.DUMMYFUNCTION("""COMPUTED_VALUE"""),36)</f>
        <v>36</v>
      </c>
      <c r="H195">
        <f ca="1">IFERROR(__xludf.DUMMYFUNCTION("""COMPUTED_VALUE"""),-10)</f>
        <v>-10</v>
      </c>
    </row>
    <row r="196" spans="1:8" ht="12.75">
      <c r="A196" t="str">
        <f ca="1">IFERROR(__xludf.DUMMYFUNCTION("""COMPUTED_VALUE"""),"T194")</f>
        <v>T194</v>
      </c>
      <c r="B196" t="str">
        <f ca="1">IFERROR(__xludf.DUMMYFUNCTION("""COMPUTED_VALUE"""),"T195")</f>
        <v>T195</v>
      </c>
      <c r="C196" t="str">
        <f ca="1">IFERROR(__xludf.DUMMYFUNCTION("""COMPUTED_VALUE"""),"Charles Howell III")</f>
        <v>Charles Howell III</v>
      </c>
      <c r="D196">
        <f ca="1">IFERROR(__xludf.DUMMYFUNCTION("""COMPUTED_VALUE"""),10)</f>
        <v>10</v>
      </c>
      <c r="E196" t="str">
        <f ca="1">IFERROR(__xludf.DUMMYFUNCTION("""COMPUTED_VALUE"""),"20' 1""")</f>
        <v>20' 1"</v>
      </c>
      <c r="F196">
        <f ca="1">IFERROR(__xludf.DUMMYFUNCTION("""COMPUTED_VALUE"""),341.833)</f>
        <v>341.83300000000003</v>
      </c>
      <c r="G196">
        <f ca="1">IFERROR(__xludf.DUMMYFUNCTION("""COMPUTED_VALUE"""),17)</f>
        <v>17</v>
      </c>
      <c r="H196">
        <f ca="1">IFERROR(__xludf.DUMMYFUNCTION("""COMPUTED_VALUE"""),-3)</f>
        <v>-3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IFERROR(__xludf.DUMMYFUNCTION("""COMPUTED_VALUE"""),"T195")</f>
        <v>T195</v>
      </c>
      <c r="C197" t="str">
        <f ca="1">IFERROR(__xludf.DUMMYFUNCTION("""COMPUTED_VALUE"""),"Doug Ghim")</f>
        <v>Doug Ghim</v>
      </c>
      <c r="D197">
        <f ca="1">IFERROR(__xludf.DUMMYFUNCTION("""COMPUTED_VALUE"""),14)</f>
        <v>14</v>
      </c>
      <c r="E197" t="str">
        <f ca="1">IFERROR(__xludf.DUMMYFUNCTION("""COMPUTED_VALUE"""),"20' 1""")</f>
        <v>20' 1"</v>
      </c>
      <c r="F197">
        <f ca="1">IFERROR(__xludf.DUMMYFUNCTION("""COMPUTED_VALUE"""),401.833)</f>
        <v>401.83300000000003</v>
      </c>
      <c r="G197">
        <f ca="1">IFERROR(__xludf.DUMMYFUNCTION("""COMPUTED_VALUE"""),20)</f>
        <v>20</v>
      </c>
      <c r="H197">
        <f ca="1">IFERROR(__xludf.DUMMYFUNCTION("""COMPUTED_VALUE"""),-2)</f>
        <v>-2</v>
      </c>
    </row>
    <row r="198" spans="1:8" ht="12.75">
      <c r="A198" t="str">
        <f ca="1">IFERROR(__xludf.DUMMYFUNCTION("""COMPUTED_VALUE"""),"T194")</f>
        <v>T194</v>
      </c>
      <c r="B198" t="str">
        <f ca="1">IFERROR(__xludf.DUMMYFUNCTION("""COMPUTED_VALUE"""),"")</f>
        <v/>
      </c>
      <c r="C198" t="str">
        <f ca="1">IFERROR(__xludf.DUMMYFUNCTION("""COMPUTED_VALUE"""),"Ollie Schniederjans")</f>
        <v>Ollie Schniederjans</v>
      </c>
      <c r="D198">
        <f ca="1">IFERROR(__xludf.DUMMYFUNCTION("""COMPUTED_VALUE"""),6)</f>
        <v>6</v>
      </c>
      <c r="E198" t="str">
        <f ca="1">IFERROR(__xludf.DUMMYFUNCTION("""COMPUTED_VALUE"""),"20' 1""")</f>
        <v>20' 1"</v>
      </c>
      <c r="F198">
        <f ca="1">IFERROR(__xludf.DUMMYFUNCTION("""COMPUTED_VALUE"""),60.333)</f>
        <v>60.332999999999998</v>
      </c>
      <c r="G198">
        <f ca="1">IFERROR(__xludf.DUMMYFUNCTION("""COMPUTED_VALUE"""),3)</f>
        <v>3</v>
      </c>
      <c r="H198" t="str">
        <f ca="1">IFERROR(__xludf.DUMMYFUNCTION("""COMPUTED_VALUE"""),"+1")</f>
        <v>+1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IFERROR(__xludf.DUMMYFUNCTION("""COMPUTED_VALUE"""),"T138")</f>
        <v>T138</v>
      </c>
      <c r="C199" t="str">
        <f ca="1">IFERROR(__xludf.DUMMYFUNCTION("""COMPUTED_VALUE"""),"Lucas Glover")</f>
        <v>Lucas Glover</v>
      </c>
      <c r="D199">
        <f ca="1">IFERROR(__xludf.DUMMYFUNCTION("""COMPUTED_VALUE"""),12)</f>
        <v>12</v>
      </c>
      <c r="E199" t="str">
        <f ca="1">IFERROR(__xludf.DUMMYFUNCTION("""COMPUTED_VALUE"""),"20' 2""")</f>
        <v>20' 2"</v>
      </c>
      <c r="F199">
        <f ca="1">IFERROR(__xludf.DUMMYFUNCTION("""COMPUTED_VALUE"""),424)</f>
        <v>424</v>
      </c>
      <c r="G199">
        <f ca="1">IFERROR(__xludf.DUMMYFUNCTION("""COMPUTED_VALUE"""),21)</f>
        <v>21</v>
      </c>
      <c r="H199" t="str">
        <f ca="1">IFERROR(__xludf.DUMMYFUNCTION("""COMPUTED_VALUE"""),"+1")</f>
        <v>+1</v>
      </c>
    </row>
    <row r="200" spans="1:8" ht="12.75">
      <c r="A200" t="str">
        <f ca="1">IFERROR(__xludf.DUMMYFUNCTION("""COMPUTED_VALUE"""),"T199")</f>
        <v>T199</v>
      </c>
      <c r="B200">
        <f ca="1">IFERROR(__xludf.DUMMYFUNCTION("""COMPUTED_VALUE"""),159)</f>
        <v>159</v>
      </c>
      <c r="C200" t="str">
        <f ca="1">IFERROR(__xludf.DUMMYFUNCTION("""COMPUTED_VALUE"""),"Jimmy Walker")</f>
        <v>Jimmy Walker</v>
      </c>
      <c r="D200">
        <f ca="1">IFERROR(__xludf.DUMMYFUNCTION("""COMPUTED_VALUE"""),10)</f>
        <v>10</v>
      </c>
      <c r="E200" t="str">
        <f ca="1">IFERROR(__xludf.DUMMYFUNCTION("""COMPUTED_VALUE"""),"20' 3""")</f>
        <v>20' 3"</v>
      </c>
      <c r="F200">
        <f ca="1">IFERROR(__xludf.DUMMYFUNCTION("""COMPUTED_VALUE"""),222.917)</f>
        <v>222.917</v>
      </c>
      <c r="G200">
        <f ca="1">IFERROR(__xludf.DUMMYFUNCTION("""COMPUTED_VALUE"""),11)</f>
        <v>11</v>
      </c>
      <c r="H200" t="str">
        <f ca="1">IFERROR(__xludf.DUMMYFUNCTION("""COMPUTED_VALUE"""),"E")</f>
        <v>E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IFERROR(__xludf.DUMMYFUNCTION("""COMPUTED_VALUE"""),"T192")</f>
        <v>T192</v>
      </c>
      <c r="C201" t="str">
        <f ca="1">IFERROR(__xludf.DUMMYFUNCTION("""COMPUTED_VALUE"""),"Henrik Norlander")</f>
        <v>Henrik Norlander</v>
      </c>
      <c r="D201">
        <f ca="1">IFERROR(__xludf.DUMMYFUNCTION("""COMPUTED_VALUE"""),16)</f>
        <v>16</v>
      </c>
      <c r="E201" t="str">
        <f ca="1">IFERROR(__xludf.DUMMYFUNCTION("""COMPUTED_VALUE"""),"20' 3""")</f>
        <v>20' 3"</v>
      </c>
      <c r="F201">
        <f ca="1">IFERROR(__xludf.DUMMYFUNCTION("""COMPUTED_VALUE"""),506.833)</f>
        <v>506.83300000000003</v>
      </c>
      <c r="G201">
        <f ca="1">IFERROR(__xludf.DUMMYFUNCTION("""COMPUTED_VALUE"""),25)</f>
        <v>25</v>
      </c>
      <c r="H201">
        <f ca="1">IFERROR(__xludf.DUMMYFUNCTION("""COMPUTED_VALUE"""),-3)</f>
        <v>-3</v>
      </c>
    </row>
    <row r="202" spans="1:8" ht="12.75">
      <c r="A202" t="str">
        <f ca="1">IFERROR(__xludf.DUMMYFUNCTION("""COMPUTED_VALUE"""),"T199")</f>
        <v>T199</v>
      </c>
      <c r="B202">
        <f ca="1">IFERROR(__xludf.DUMMYFUNCTION("""COMPUTED_VALUE"""),189)</f>
        <v>189</v>
      </c>
      <c r="C202" t="str">
        <f ca="1">IFERROR(__xludf.DUMMYFUNCTION("""COMPUTED_VALUE"""),"Branden Grace")</f>
        <v>Branden Grace</v>
      </c>
      <c r="D202">
        <f ca="1">IFERROR(__xludf.DUMMYFUNCTION("""COMPUTED_VALUE"""),16)</f>
        <v>16</v>
      </c>
      <c r="E202" t="str">
        <f ca="1">IFERROR(__xludf.DUMMYFUNCTION("""COMPUTED_VALUE"""),"20' 3""")</f>
        <v>20' 3"</v>
      </c>
      <c r="F202">
        <f ca="1">IFERROR(__xludf.DUMMYFUNCTION("""COMPUTED_VALUE"""),607.417)</f>
        <v>607.41700000000003</v>
      </c>
      <c r="G202">
        <f ca="1">IFERROR(__xludf.DUMMYFUNCTION("""COMPUTED_VALUE"""),30)</f>
        <v>30</v>
      </c>
      <c r="H202">
        <f ca="1">IFERROR(__xludf.DUMMYFUNCTION("""COMPUTED_VALUE"""),-2)</f>
        <v>-2</v>
      </c>
    </row>
    <row r="203" spans="1:8" ht="12.75">
      <c r="A203" t="str">
        <f ca="1">IFERROR(__xludf.DUMMYFUNCTION("""COMPUTED_VALUE"""),"T199")</f>
        <v>T199</v>
      </c>
      <c r="B203" t="str">
        <f ca="1">IFERROR(__xludf.DUMMYFUNCTION("""COMPUTED_VALUE"""),"")</f>
        <v/>
      </c>
      <c r="C203" t="str">
        <f ca="1">IFERROR(__xludf.DUMMYFUNCTION("""COMPUTED_VALUE"""),"Dawie van der Walt")</f>
        <v>Dawie van der Walt</v>
      </c>
      <c r="D203">
        <f ca="1">IFERROR(__xludf.DUMMYFUNCTION("""COMPUTED_VALUE"""),4)</f>
        <v>4</v>
      </c>
      <c r="E203" t="str">
        <f ca="1">IFERROR(__xludf.DUMMYFUNCTION("""COMPUTED_VALUE"""),"20' 3""")</f>
        <v>20' 3"</v>
      </c>
      <c r="F203">
        <f ca="1">IFERROR(__xludf.DUMMYFUNCTION("""COMPUTED_VALUE"""),243.083)</f>
        <v>243.083</v>
      </c>
      <c r="G203">
        <f ca="1">IFERROR(__xludf.DUMMYFUNCTION("""COMPUTED_VALUE"""),12)</f>
        <v>12</v>
      </c>
      <c r="H203">
        <f ca="1">IFERROR(__xludf.DUMMYFUNCTION("""COMPUTED_VALUE"""),-1)</f>
        <v>-1</v>
      </c>
    </row>
    <row r="204" spans="1:8" ht="12.75">
      <c r="A204">
        <f ca="1">IFERROR(__xludf.DUMMYFUNCTION("""COMPUTED_VALUE"""),203)</f>
        <v>203</v>
      </c>
      <c r="B204" t="str">
        <f ca="1">IFERROR(__xludf.DUMMYFUNCTION("""COMPUTED_VALUE"""),"T164")</f>
        <v>T164</v>
      </c>
      <c r="C204" t="str">
        <f ca="1">IFERROR(__xludf.DUMMYFUNCTION("""COMPUTED_VALUE"""),"Kyoung-Hoon Lee")</f>
        <v>Kyoung-Hoon Lee</v>
      </c>
      <c r="D204">
        <f ca="1">IFERROR(__xludf.DUMMYFUNCTION("""COMPUTED_VALUE"""),20)</f>
        <v>20</v>
      </c>
      <c r="E204" t="str">
        <f ca="1">IFERROR(__xludf.DUMMYFUNCTION("""COMPUTED_VALUE"""),"20' 5""")</f>
        <v>20' 5"</v>
      </c>
      <c r="F204">
        <f ca="1">IFERROR(__xludf.DUMMYFUNCTION("""COMPUTED_VALUE"""),735.417)</f>
        <v>735.41700000000003</v>
      </c>
      <c r="G204">
        <f ca="1">IFERROR(__xludf.DUMMYFUNCTION("""COMPUTED_VALUE"""),36)</f>
        <v>36</v>
      </c>
      <c r="H204" t="str">
        <f ca="1">IFERROR(__xludf.DUMMYFUNCTION("""COMPUTED_VALUE"""),"E")</f>
        <v>E</v>
      </c>
    </row>
    <row r="205" spans="1:8" ht="12.75">
      <c r="A205">
        <f ca="1">IFERROR(__xludf.DUMMYFUNCTION("""COMPUTED_VALUE"""),204)</f>
        <v>204</v>
      </c>
      <c r="B205">
        <f ca="1">IFERROR(__xludf.DUMMYFUNCTION("""COMPUTED_VALUE"""),207)</f>
        <v>207</v>
      </c>
      <c r="C205" t="str">
        <f ca="1">IFERROR(__xludf.DUMMYFUNCTION("""COMPUTED_VALUE"""),"Wyndham Clark")</f>
        <v>Wyndham Clark</v>
      </c>
      <c r="D205">
        <f ca="1">IFERROR(__xludf.DUMMYFUNCTION("""COMPUTED_VALUE"""),16)</f>
        <v>16</v>
      </c>
      <c r="E205" t="str">
        <f ca="1">IFERROR(__xludf.DUMMYFUNCTION("""COMPUTED_VALUE"""),"20' 6""")</f>
        <v>20' 6"</v>
      </c>
      <c r="F205">
        <f ca="1">IFERROR(__xludf.DUMMYFUNCTION("""COMPUTED_VALUE"""),676.167)</f>
        <v>676.16700000000003</v>
      </c>
      <c r="G205">
        <f ca="1">IFERROR(__xludf.DUMMYFUNCTION("""COMPUTED_VALUE"""),33)</f>
        <v>33</v>
      </c>
      <c r="H205">
        <f ca="1">IFERROR(__xludf.DUMMYFUNCTION("""COMPUTED_VALUE"""),-1)</f>
        <v>-1</v>
      </c>
    </row>
    <row r="206" spans="1:8" ht="12.75">
      <c r="A206">
        <f ca="1">IFERROR(__xludf.DUMMYFUNCTION("""COMPUTED_VALUE"""),205)</f>
        <v>205</v>
      </c>
      <c r="B206" t="str">
        <f ca="1">IFERROR(__xludf.DUMMYFUNCTION("""COMPUTED_VALUE"""),"T200")</f>
        <v>T200</v>
      </c>
      <c r="C206" t="str">
        <f ca="1">IFERROR(__xludf.DUMMYFUNCTION("""COMPUTED_VALUE"""),"Billy Horschel")</f>
        <v>Billy Horschel</v>
      </c>
      <c r="D206">
        <f ca="1">IFERROR(__xludf.DUMMYFUNCTION("""COMPUTED_VALUE"""),12)</f>
        <v>12</v>
      </c>
      <c r="E206" t="str">
        <f ca="1">IFERROR(__xludf.DUMMYFUNCTION("""COMPUTED_VALUE"""),"20' 7""")</f>
        <v>20' 7"</v>
      </c>
      <c r="F206">
        <f ca="1">IFERROR(__xludf.DUMMYFUNCTION("""COMPUTED_VALUE"""),226.833)</f>
        <v>226.833</v>
      </c>
      <c r="G206">
        <f ca="1">IFERROR(__xludf.DUMMYFUNCTION("""COMPUTED_VALUE"""),11)</f>
        <v>11</v>
      </c>
      <c r="H206" t="str">
        <f ca="1">IFERROR(__xludf.DUMMYFUNCTION("""COMPUTED_VALUE"""),"+1")</f>
        <v>+1</v>
      </c>
    </row>
    <row r="207" spans="1:8" ht="12.75">
      <c r="A207" t="str">
        <f ca="1">IFERROR(__xludf.DUMMYFUNCTION("""COMPUTED_VALUE"""),"T206")</f>
        <v>T206</v>
      </c>
      <c r="B207" t="str">
        <f ca="1">IFERROR(__xludf.DUMMYFUNCTION("""COMPUTED_VALUE"""),"T200")</f>
        <v>T200</v>
      </c>
      <c r="C207" t="str">
        <f ca="1">IFERROR(__xludf.DUMMYFUNCTION("""COMPUTED_VALUE"""),"Si Woo Kim")</f>
        <v>Si Woo Kim</v>
      </c>
      <c r="D207">
        <f ca="1">IFERROR(__xludf.DUMMYFUNCTION("""COMPUTED_VALUE"""),20)</f>
        <v>20</v>
      </c>
      <c r="E207" t="str">
        <f ca="1">IFERROR(__xludf.DUMMYFUNCTION("""COMPUTED_VALUE"""),"20' 8""")</f>
        <v>20' 8"</v>
      </c>
      <c r="F207" s="2">
        <f ca="1">IFERROR(__xludf.DUMMYFUNCTION("""COMPUTED_VALUE"""),1097.417)</f>
        <v>1097.4169999999999</v>
      </c>
      <c r="G207">
        <f ca="1">IFERROR(__xludf.DUMMYFUNCTION("""COMPUTED_VALUE"""),53)</f>
        <v>53</v>
      </c>
      <c r="H207">
        <f ca="1">IFERROR(__xludf.DUMMYFUNCTION("""COMPUTED_VALUE"""),-8)</f>
        <v>-8</v>
      </c>
    </row>
    <row r="208" spans="1:8" ht="12.75">
      <c r="A208" t="str">
        <f ca="1">IFERROR(__xludf.DUMMYFUNCTION("""COMPUTED_VALUE"""),"T206")</f>
        <v>T206</v>
      </c>
      <c r="B208" t="str">
        <f ca="1">IFERROR(__xludf.DUMMYFUNCTION("""COMPUTED_VALUE"""),"T197")</f>
        <v>T197</v>
      </c>
      <c r="C208" t="str">
        <f ca="1">IFERROR(__xludf.DUMMYFUNCTION("""COMPUTED_VALUE"""),"Carlos Ortiz")</f>
        <v>Carlos Ortiz</v>
      </c>
      <c r="D208">
        <f ca="1">IFERROR(__xludf.DUMMYFUNCTION("""COMPUTED_VALUE"""),20)</f>
        <v>20</v>
      </c>
      <c r="E208" t="str">
        <f ca="1">IFERROR(__xludf.DUMMYFUNCTION("""COMPUTED_VALUE"""),"20' 8""")</f>
        <v>20' 8"</v>
      </c>
      <c r="F208" s="2">
        <f ca="1">IFERROR(__xludf.DUMMYFUNCTION("""COMPUTED_VALUE"""),1138.333)</f>
        <v>1138.3330000000001</v>
      </c>
      <c r="G208">
        <f ca="1">IFERROR(__xludf.DUMMYFUNCTION("""COMPUTED_VALUE"""),55)</f>
        <v>55</v>
      </c>
      <c r="H208">
        <f ca="1">IFERROR(__xludf.DUMMYFUNCTION("""COMPUTED_VALUE"""),-9)</f>
        <v>-9</v>
      </c>
    </row>
    <row r="209" spans="1:8" ht="12.75">
      <c r="A209">
        <f ca="1">IFERROR(__xludf.DUMMYFUNCTION("""COMPUTED_VALUE"""),208)</f>
        <v>208</v>
      </c>
      <c r="B209" t="str">
        <f ca="1">IFERROR(__xludf.DUMMYFUNCTION("""COMPUTED_VALUE"""),"T224")</f>
        <v>T224</v>
      </c>
      <c r="C209" t="str">
        <f ca="1">IFERROR(__xludf.DUMMYFUNCTION("""COMPUTED_VALUE"""),"Matt Jones")</f>
        <v>Matt Jones</v>
      </c>
      <c r="D209">
        <f ca="1">IFERROR(__xludf.DUMMYFUNCTION("""COMPUTED_VALUE"""),20)</f>
        <v>20</v>
      </c>
      <c r="E209" t="str">
        <f ca="1">IFERROR(__xludf.DUMMYFUNCTION("""COMPUTED_VALUE"""),"20' 9""")</f>
        <v>20' 9"</v>
      </c>
      <c r="F209">
        <f ca="1">IFERROR(__xludf.DUMMYFUNCTION("""COMPUTED_VALUE"""),643.5)</f>
        <v>643.5</v>
      </c>
      <c r="G209">
        <f ca="1">IFERROR(__xludf.DUMMYFUNCTION("""COMPUTED_VALUE"""),31)</f>
        <v>31</v>
      </c>
      <c r="H209" t="str">
        <f ca="1">IFERROR(__xludf.DUMMYFUNCTION("""COMPUTED_VALUE"""),"+2")</f>
        <v>+2</v>
      </c>
    </row>
    <row r="210" spans="1:8" ht="12.75">
      <c r="A210">
        <f ca="1">IFERROR(__xludf.DUMMYFUNCTION("""COMPUTED_VALUE"""),209)</f>
        <v>209</v>
      </c>
      <c r="B210" t="str">
        <f ca="1">IFERROR(__xludf.DUMMYFUNCTION("""COMPUTED_VALUE"""),"T175")</f>
        <v>T175</v>
      </c>
      <c r="C210" t="str">
        <f ca="1">IFERROR(__xludf.DUMMYFUNCTION("""COMPUTED_VALUE"""),"Beau Hossler")</f>
        <v>Beau Hossler</v>
      </c>
      <c r="D210">
        <f ca="1">IFERROR(__xludf.DUMMYFUNCTION("""COMPUTED_VALUE"""),22)</f>
        <v>22</v>
      </c>
      <c r="E210" t="str">
        <f ca="1">IFERROR(__xludf.DUMMYFUNCTION("""COMPUTED_VALUE"""),"20' 11""")</f>
        <v>20' 11"</v>
      </c>
      <c r="F210">
        <f ca="1">IFERROR(__xludf.DUMMYFUNCTION("""COMPUTED_VALUE"""),856.75)</f>
        <v>856.75</v>
      </c>
      <c r="G210">
        <f ca="1">IFERROR(__xludf.DUMMYFUNCTION("""COMPUTED_VALUE"""),41)</f>
        <v>41</v>
      </c>
      <c r="H210">
        <f ca="1">IFERROR(__xludf.DUMMYFUNCTION("""COMPUTED_VALUE"""),-14)</f>
        <v>-14</v>
      </c>
    </row>
    <row r="211" spans="1:8" ht="12.75">
      <c r="A211" t="str">
        <f ca="1">IFERROR(__xludf.DUMMYFUNCTION("""COMPUTED_VALUE"""),"T210")</f>
        <v>T210</v>
      </c>
      <c r="B211" t="str">
        <f ca="1">IFERROR(__xludf.DUMMYFUNCTION("""COMPUTED_VALUE"""),"T215")</f>
        <v>T215</v>
      </c>
      <c r="C211" t="str">
        <f ca="1">IFERROR(__xludf.DUMMYFUNCTION("""COMPUTED_VALUE"""),"Pat Perez")</f>
        <v>Pat Perez</v>
      </c>
      <c r="D211">
        <f ca="1">IFERROR(__xludf.DUMMYFUNCTION("""COMPUTED_VALUE"""),16)</f>
        <v>16</v>
      </c>
      <c r="E211" t="str">
        <f ca="1">IFERROR(__xludf.DUMMYFUNCTION("""COMPUTED_VALUE"""),"21' 0""")</f>
        <v>21' 0"</v>
      </c>
      <c r="F211">
        <f ca="1">IFERROR(__xludf.DUMMYFUNCTION("""COMPUTED_VALUE"""),754.667)</f>
        <v>754.66700000000003</v>
      </c>
      <c r="G211">
        <f ca="1">IFERROR(__xludf.DUMMYFUNCTION("""COMPUTED_VALUE"""),36)</f>
        <v>36</v>
      </c>
      <c r="H211">
        <f ca="1">IFERROR(__xludf.DUMMYFUNCTION("""COMPUTED_VALUE"""),-4)</f>
        <v>-4</v>
      </c>
    </row>
    <row r="212" spans="1:8" ht="12.75">
      <c r="A212" t="str">
        <f ca="1">IFERROR(__xludf.DUMMYFUNCTION("""COMPUTED_VALUE"""),"T210")</f>
        <v>T210</v>
      </c>
      <c r="B212">
        <f ca="1">IFERROR(__xludf.DUMMYFUNCTION("""COMPUTED_VALUE"""),206)</f>
        <v>206</v>
      </c>
      <c r="C212" t="str">
        <f ca="1">IFERROR(__xludf.DUMMYFUNCTION("""COMPUTED_VALUE"""),"Chris Stroud")</f>
        <v>Chris Stroud</v>
      </c>
      <c r="D212">
        <f ca="1">IFERROR(__xludf.DUMMYFUNCTION("""COMPUTED_VALUE"""),6)</f>
        <v>6</v>
      </c>
      <c r="E212" t="str">
        <f ca="1">IFERROR(__xludf.DUMMYFUNCTION("""COMPUTED_VALUE"""),"21' 0""")</f>
        <v>21' 0"</v>
      </c>
      <c r="F212">
        <f ca="1">IFERROR(__xludf.DUMMYFUNCTION("""COMPUTED_VALUE"""),189.333)</f>
        <v>189.333</v>
      </c>
      <c r="G212">
        <f ca="1">IFERROR(__xludf.DUMMYFUNCTION("""COMPUTED_VALUE"""),9)</f>
        <v>9</v>
      </c>
      <c r="H212" t="str">
        <f ca="1">IFERROR(__xludf.DUMMYFUNCTION("""COMPUTED_VALUE"""),"+1")</f>
        <v>+1</v>
      </c>
    </row>
    <row r="213" spans="1:8" ht="12.75">
      <c r="A213" t="str">
        <f ca="1">IFERROR(__xludf.DUMMYFUNCTION("""COMPUTED_VALUE"""),"T210")</f>
        <v>T210</v>
      </c>
      <c r="B213">
        <f ca="1">IFERROR(__xludf.DUMMYFUNCTION("""COMPUTED_VALUE"""),208)</f>
        <v>208</v>
      </c>
      <c r="C213" t="str">
        <f ca="1">IFERROR(__xludf.DUMMYFUNCTION("""COMPUTED_VALUE"""),"Michael Thompson")</f>
        <v>Michael Thompson</v>
      </c>
      <c r="D213">
        <f ca="1">IFERROR(__xludf.DUMMYFUNCTION("""COMPUTED_VALUE"""),16)</f>
        <v>16</v>
      </c>
      <c r="E213" t="str">
        <f ca="1">IFERROR(__xludf.DUMMYFUNCTION("""COMPUTED_VALUE"""),"21' 0""")</f>
        <v>21' 0"</v>
      </c>
      <c r="F213">
        <f ca="1">IFERROR(__xludf.DUMMYFUNCTION("""COMPUTED_VALUE"""),672.917)</f>
        <v>672.91700000000003</v>
      </c>
      <c r="G213">
        <f ca="1">IFERROR(__xludf.DUMMYFUNCTION("""COMPUTED_VALUE"""),32)</f>
        <v>32</v>
      </c>
      <c r="H213" t="str">
        <f ca="1">IFERROR(__xludf.DUMMYFUNCTION("""COMPUTED_VALUE"""),"E")</f>
        <v>E</v>
      </c>
    </row>
    <row r="214" spans="1:8" ht="12.75">
      <c r="A214">
        <f ca="1">IFERROR(__xludf.DUMMYFUNCTION("""COMPUTED_VALUE"""),213)</f>
        <v>213</v>
      </c>
      <c r="B214">
        <f ca="1">IFERROR(__xludf.DUMMYFUNCTION("""COMPUTED_VALUE"""),218)</f>
        <v>218</v>
      </c>
      <c r="C214" t="str">
        <f ca="1">IFERROR(__xludf.DUMMYFUNCTION("""COMPUTED_VALUE"""),"Martin Laird")</f>
        <v>Martin Laird</v>
      </c>
      <c r="D214">
        <f ca="1">IFERROR(__xludf.DUMMYFUNCTION("""COMPUTED_VALUE"""),16)</f>
        <v>16</v>
      </c>
      <c r="E214" t="str">
        <f ca="1">IFERROR(__xludf.DUMMYFUNCTION("""COMPUTED_VALUE"""),"21' 2""")</f>
        <v>21' 2"</v>
      </c>
      <c r="F214">
        <f ca="1">IFERROR(__xludf.DUMMYFUNCTION("""COMPUTED_VALUE"""),782.333)</f>
        <v>782.33299999999997</v>
      </c>
      <c r="G214">
        <f ca="1">IFERROR(__xludf.DUMMYFUNCTION("""COMPUTED_VALUE"""),37)</f>
        <v>37</v>
      </c>
      <c r="H214">
        <f ca="1">IFERROR(__xludf.DUMMYFUNCTION("""COMPUTED_VALUE"""),-11)</f>
        <v>-11</v>
      </c>
    </row>
    <row r="215" spans="1:8" ht="12.75">
      <c r="A215" t="str">
        <f ca="1">IFERROR(__xludf.DUMMYFUNCTION("""COMPUTED_VALUE"""),"T214")</f>
        <v>T214</v>
      </c>
      <c r="B215">
        <f ca="1">IFERROR(__xludf.DUMMYFUNCTION("""COMPUTED_VALUE"""),209)</f>
        <v>209</v>
      </c>
      <c r="C215" t="str">
        <f ca="1">IFERROR(__xludf.DUMMYFUNCTION("""COMPUTED_VALUE"""),"Brice Garnett")</f>
        <v>Brice Garnett</v>
      </c>
      <c r="D215">
        <f ca="1">IFERROR(__xludf.DUMMYFUNCTION("""COMPUTED_VALUE"""),22)</f>
        <v>22</v>
      </c>
      <c r="E215" t="str">
        <f ca="1">IFERROR(__xludf.DUMMYFUNCTION("""COMPUTED_VALUE"""),"21' 4""")</f>
        <v>21' 4"</v>
      </c>
      <c r="F215">
        <f ca="1">IFERROR(__xludf.DUMMYFUNCTION("""COMPUTED_VALUE"""),832.417)</f>
        <v>832.41700000000003</v>
      </c>
      <c r="G215">
        <f ca="1">IFERROR(__xludf.DUMMYFUNCTION("""COMPUTED_VALUE"""),39)</f>
        <v>39</v>
      </c>
      <c r="H215">
        <f ca="1">IFERROR(__xludf.DUMMYFUNCTION("""COMPUTED_VALUE"""),-7)</f>
        <v>-7</v>
      </c>
    </row>
    <row r="216" spans="1:8" ht="12.75">
      <c r="A216" t="str">
        <f ca="1">IFERROR(__xludf.DUMMYFUNCTION("""COMPUTED_VALUE"""),"T214")</f>
        <v>T214</v>
      </c>
      <c r="B216" t="str">
        <f ca="1">IFERROR(__xludf.DUMMYFUNCTION("""COMPUTED_VALUE"""),"T171")</f>
        <v>T171</v>
      </c>
      <c r="C216" t="str">
        <f ca="1">IFERROR(__xludf.DUMMYFUNCTION("""COMPUTED_VALUE"""),"Rory Sabbatini")</f>
        <v>Rory Sabbatini</v>
      </c>
      <c r="D216">
        <f ca="1">IFERROR(__xludf.DUMMYFUNCTION("""COMPUTED_VALUE"""),13)</f>
        <v>13</v>
      </c>
      <c r="E216" t="str">
        <f ca="1">IFERROR(__xludf.DUMMYFUNCTION("""COMPUTED_VALUE"""),"21' 4""")</f>
        <v>21' 4"</v>
      </c>
      <c r="F216">
        <f ca="1">IFERROR(__xludf.DUMMYFUNCTION("""COMPUTED_VALUE"""),532.583)</f>
        <v>532.58299999999997</v>
      </c>
      <c r="G216">
        <f ca="1">IFERROR(__xludf.DUMMYFUNCTION("""COMPUTED_VALUE"""),25)</f>
        <v>25</v>
      </c>
      <c r="H216">
        <f ca="1">IFERROR(__xludf.DUMMYFUNCTION("""COMPUTED_VALUE"""),-3)</f>
        <v>-3</v>
      </c>
    </row>
    <row r="217" spans="1:8" ht="12.75">
      <c r="A217" t="str">
        <f ca="1">IFERROR(__xludf.DUMMYFUNCTION("""COMPUTED_VALUE"""),"T214")</f>
        <v>T214</v>
      </c>
      <c r="B217" t="str">
        <f ca="1">IFERROR(__xludf.DUMMYFUNCTION("""COMPUTED_VALUE"""),"T210")</f>
        <v>T210</v>
      </c>
      <c r="C217" t="str">
        <f ca="1">IFERROR(__xludf.DUMMYFUNCTION("""COMPUTED_VALUE"""),"Ian Poulter")</f>
        <v>Ian Poulter</v>
      </c>
      <c r="D217">
        <f ca="1">IFERROR(__xludf.DUMMYFUNCTION("""COMPUTED_VALUE"""),6)</f>
        <v>6</v>
      </c>
      <c r="E217" t="str">
        <f ca="1">IFERROR(__xludf.DUMMYFUNCTION("""COMPUTED_VALUE"""),"21' 4""")</f>
        <v>21' 4"</v>
      </c>
      <c r="F217">
        <f ca="1">IFERROR(__xludf.DUMMYFUNCTION("""COMPUTED_VALUE"""),127.917)</f>
        <v>127.917</v>
      </c>
      <c r="G217">
        <f ca="1">IFERROR(__xludf.DUMMYFUNCTION("""COMPUTED_VALUE"""),6)</f>
        <v>6</v>
      </c>
      <c r="H217" t="str">
        <f ca="1">IFERROR(__xludf.DUMMYFUNCTION("""COMPUTED_VALUE"""),"+1")</f>
        <v>+1</v>
      </c>
    </row>
    <row r="218" spans="1:8" ht="12.75">
      <c r="A218" t="str">
        <f ca="1">IFERROR(__xludf.DUMMYFUNCTION("""COMPUTED_VALUE"""),"T214")</f>
        <v>T214</v>
      </c>
      <c r="B218" t="str">
        <f ca="1">IFERROR(__xludf.DUMMYFUNCTION("""COMPUTED_VALUE"""),"T210")</f>
        <v>T210</v>
      </c>
      <c r="C218" t="str">
        <f ca="1">IFERROR(__xludf.DUMMYFUNCTION("""COMPUTED_VALUE"""),"MJ Daffue")</f>
        <v>MJ Daffue</v>
      </c>
      <c r="D218">
        <f ca="1">IFERROR(__xludf.DUMMYFUNCTION("""COMPUTED_VALUE"""),10)</f>
        <v>10</v>
      </c>
      <c r="E218" t="str">
        <f ca="1">IFERROR(__xludf.DUMMYFUNCTION("""COMPUTED_VALUE"""),"21' 4""")</f>
        <v>21' 4"</v>
      </c>
      <c r="F218">
        <f ca="1">IFERROR(__xludf.DUMMYFUNCTION("""COMPUTED_VALUE"""),575.917)</f>
        <v>575.91700000000003</v>
      </c>
      <c r="G218">
        <f ca="1">IFERROR(__xludf.DUMMYFUNCTION("""COMPUTED_VALUE"""),27)</f>
        <v>27</v>
      </c>
      <c r="H218">
        <f ca="1">IFERROR(__xludf.DUMMYFUNCTION("""COMPUTED_VALUE"""),-1)</f>
        <v>-1</v>
      </c>
    </row>
    <row r="219" spans="1:8" ht="12.75">
      <c r="A219" t="str">
        <f ca="1">IFERROR(__xludf.DUMMYFUNCTION("""COMPUTED_VALUE"""),"T214")</f>
        <v>T214</v>
      </c>
      <c r="B219" t="str">
        <f ca="1">IFERROR(__xludf.DUMMYFUNCTION("""COMPUTED_VALUE"""),"T200")</f>
        <v>T200</v>
      </c>
      <c r="C219" t="str">
        <f ca="1">IFERROR(__xludf.DUMMYFUNCTION("""COMPUTED_VALUE"""),"Tom Lewis")</f>
        <v>Tom Lewis</v>
      </c>
      <c r="D219">
        <f ca="1">IFERROR(__xludf.DUMMYFUNCTION("""COMPUTED_VALUE"""),12)</f>
        <v>12</v>
      </c>
      <c r="E219" t="str">
        <f ca="1">IFERROR(__xludf.DUMMYFUNCTION("""COMPUTED_VALUE"""),"21' 4""")</f>
        <v>21' 4"</v>
      </c>
      <c r="F219">
        <f ca="1">IFERROR(__xludf.DUMMYFUNCTION("""COMPUTED_VALUE"""),447.167)</f>
        <v>447.16699999999997</v>
      </c>
      <c r="G219">
        <f ca="1">IFERROR(__xludf.DUMMYFUNCTION("""COMPUTED_VALUE"""),21)</f>
        <v>21</v>
      </c>
      <c r="H219">
        <f ca="1">IFERROR(__xludf.DUMMYFUNCTION("""COMPUTED_VALUE"""),-7)</f>
        <v>-7</v>
      </c>
    </row>
    <row r="220" spans="1:8" ht="12.75">
      <c r="A220" t="str">
        <f ca="1">IFERROR(__xludf.DUMMYFUNCTION("""COMPUTED_VALUE"""),"T219")</f>
        <v>T219</v>
      </c>
      <c r="B220" t="str">
        <f ca="1">IFERROR(__xludf.DUMMYFUNCTION("""COMPUTED_VALUE"""),"T210")</f>
        <v>T210</v>
      </c>
      <c r="C220" t="str">
        <f ca="1">IFERROR(__xludf.DUMMYFUNCTION("""COMPUTED_VALUE"""),"Jamie Lovemark")</f>
        <v>Jamie Lovemark</v>
      </c>
      <c r="D220">
        <f ca="1">IFERROR(__xludf.DUMMYFUNCTION("""COMPUTED_VALUE"""),18)</f>
        <v>18</v>
      </c>
      <c r="E220" t="str">
        <f ca="1">IFERROR(__xludf.DUMMYFUNCTION("""COMPUTED_VALUE"""),"21' 6""")</f>
        <v>21' 6"</v>
      </c>
      <c r="F220">
        <f ca="1">IFERROR(__xludf.DUMMYFUNCTION("""COMPUTED_VALUE"""),710.417)</f>
        <v>710.41700000000003</v>
      </c>
      <c r="G220">
        <f ca="1">IFERROR(__xludf.DUMMYFUNCTION("""COMPUTED_VALUE"""),33)</f>
        <v>33</v>
      </c>
      <c r="H220">
        <f ca="1">IFERROR(__xludf.DUMMYFUNCTION("""COMPUTED_VALUE"""),-4)</f>
        <v>-4</v>
      </c>
    </row>
    <row r="221" spans="1:8" ht="12.75">
      <c r="A221" t="str">
        <f ca="1">IFERROR(__xludf.DUMMYFUNCTION("""COMPUTED_VALUE"""),"T219")</f>
        <v>T219</v>
      </c>
      <c r="B221">
        <f ca="1">IFERROR(__xludf.DUMMYFUNCTION("""COMPUTED_VALUE"""),214)</f>
        <v>214</v>
      </c>
      <c r="C221" t="str">
        <f ca="1">IFERROR(__xludf.DUMMYFUNCTION("""COMPUTED_VALUE"""),"Shugo Imahira")</f>
        <v>Shugo Imahira</v>
      </c>
      <c r="D221">
        <f ca="1">IFERROR(__xludf.DUMMYFUNCTION("""COMPUTED_VALUE"""),8)</f>
        <v>8</v>
      </c>
      <c r="E221" t="str">
        <f ca="1">IFERROR(__xludf.DUMMYFUNCTION("""COMPUTED_VALUE"""),"21' 6""")</f>
        <v>21' 6"</v>
      </c>
      <c r="F221">
        <f ca="1">IFERROR(__xludf.DUMMYFUNCTION("""COMPUTED_VALUE"""),300.833)</f>
        <v>300.83300000000003</v>
      </c>
      <c r="G221">
        <f ca="1">IFERROR(__xludf.DUMMYFUNCTION("""COMPUTED_VALUE"""),14)</f>
        <v>14</v>
      </c>
      <c r="H221" t="str">
        <f ca="1">IFERROR(__xludf.DUMMYFUNCTION("""COMPUTED_VALUE"""),"+3")</f>
        <v>+3</v>
      </c>
    </row>
    <row r="222" spans="1:8" ht="12.75">
      <c r="A222">
        <f ca="1">IFERROR(__xludf.DUMMYFUNCTION("""COMPUTED_VALUE"""),221)</f>
        <v>221</v>
      </c>
      <c r="B222" t="str">
        <f ca="1">IFERROR(__xludf.DUMMYFUNCTION("""COMPUTED_VALUE"""),"T215")</f>
        <v>T215</v>
      </c>
      <c r="C222" t="str">
        <f ca="1">IFERROR(__xludf.DUMMYFUNCTION("""COMPUTED_VALUE"""),"Christiaan Bezuidenhout")</f>
        <v>Christiaan Bezuidenhout</v>
      </c>
      <c r="D222">
        <f ca="1">IFERROR(__xludf.DUMMYFUNCTION("""COMPUTED_VALUE"""),4)</f>
        <v>4</v>
      </c>
      <c r="E222" t="str">
        <f ca="1">IFERROR(__xludf.DUMMYFUNCTION("""COMPUTED_VALUE"""),"21' 7""")</f>
        <v>21' 7"</v>
      </c>
      <c r="F222">
        <f ca="1">IFERROR(__xludf.DUMMYFUNCTION("""COMPUTED_VALUE"""),215.417)</f>
        <v>215.417</v>
      </c>
      <c r="G222">
        <f ca="1">IFERROR(__xludf.DUMMYFUNCTION("""COMPUTED_VALUE"""),10)</f>
        <v>10</v>
      </c>
      <c r="H222" t="str">
        <f ca="1">IFERROR(__xludf.DUMMYFUNCTION("""COMPUTED_VALUE"""),"+2")</f>
        <v>+2</v>
      </c>
    </row>
    <row r="223" spans="1:8" ht="12.75">
      <c r="A223" t="str">
        <f ca="1">IFERROR(__xludf.DUMMYFUNCTION("""COMPUTED_VALUE"""),"T222")</f>
        <v>T222</v>
      </c>
      <c r="B223" t="str">
        <f ca="1">IFERROR(__xludf.DUMMYFUNCTION("""COMPUTED_VALUE"""),"T219")</f>
        <v>T219</v>
      </c>
      <c r="C223" t="str">
        <f ca="1">IFERROR(__xludf.DUMMYFUNCTION("""COMPUTED_VALUE"""),"Wes Roach")</f>
        <v>Wes Roach</v>
      </c>
      <c r="D223">
        <f ca="1">IFERROR(__xludf.DUMMYFUNCTION("""COMPUTED_VALUE"""),6)</f>
        <v>6</v>
      </c>
      <c r="E223" t="str">
        <f ca="1">IFERROR(__xludf.DUMMYFUNCTION("""COMPUTED_VALUE"""),"21' 9""")</f>
        <v>21' 9"</v>
      </c>
      <c r="F223">
        <f ca="1">IFERROR(__xludf.DUMMYFUNCTION("""COMPUTED_VALUE"""),195.417)</f>
        <v>195.417</v>
      </c>
      <c r="G223">
        <f ca="1">IFERROR(__xludf.DUMMYFUNCTION("""COMPUTED_VALUE"""),9)</f>
        <v>9</v>
      </c>
      <c r="H223">
        <f ca="1">IFERROR(__xludf.DUMMYFUNCTION("""COMPUTED_VALUE"""),-3)</f>
        <v>-3</v>
      </c>
    </row>
    <row r="224" spans="1:8" ht="12.75">
      <c r="A224" t="str">
        <f ca="1">IFERROR(__xludf.DUMMYFUNCTION("""COMPUTED_VALUE"""),"T222")</f>
        <v>T222</v>
      </c>
      <c r="B224" t="str">
        <f ca="1">IFERROR(__xludf.DUMMYFUNCTION("""COMPUTED_VALUE"""),"T219")</f>
        <v>T219</v>
      </c>
      <c r="C224" t="str">
        <f ca="1">IFERROR(__xludf.DUMMYFUNCTION("""COMPUTED_VALUE"""),"Ryo Ishikawa")</f>
        <v>Ryo Ishikawa</v>
      </c>
      <c r="D224">
        <f ca="1">IFERROR(__xludf.DUMMYFUNCTION("""COMPUTED_VALUE"""),8)</f>
        <v>8</v>
      </c>
      <c r="E224" t="str">
        <f ca="1">IFERROR(__xludf.DUMMYFUNCTION("""COMPUTED_VALUE"""),"21' 9""")</f>
        <v>21' 9"</v>
      </c>
      <c r="F224">
        <f ca="1">IFERROR(__xludf.DUMMYFUNCTION("""COMPUTED_VALUE"""),412.583)</f>
        <v>412.58300000000003</v>
      </c>
      <c r="G224">
        <f ca="1">IFERROR(__xludf.DUMMYFUNCTION("""COMPUTED_VALUE"""),19)</f>
        <v>19</v>
      </c>
      <c r="H224">
        <f ca="1">IFERROR(__xludf.DUMMYFUNCTION("""COMPUTED_VALUE"""),-1)</f>
        <v>-1</v>
      </c>
    </row>
    <row r="225" spans="1:8" ht="12.75">
      <c r="A225" t="str">
        <f ca="1">IFERROR(__xludf.DUMMYFUNCTION("""COMPUTED_VALUE"""),"T222")</f>
        <v>T222</v>
      </c>
      <c r="B225" t="str">
        <f ca="1">IFERROR(__xludf.DUMMYFUNCTION("""COMPUTED_VALUE"""),"T200")</f>
        <v>T200</v>
      </c>
      <c r="C225" t="str">
        <f ca="1">IFERROR(__xludf.DUMMYFUNCTION("""COMPUTED_VALUE"""),"Charley Hoffman")</f>
        <v>Charley Hoffman</v>
      </c>
      <c r="D225">
        <f ca="1">IFERROR(__xludf.DUMMYFUNCTION("""COMPUTED_VALUE"""),20)</f>
        <v>20</v>
      </c>
      <c r="E225" t="str">
        <f ca="1">IFERROR(__xludf.DUMMYFUNCTION("""COMPUTED_VALUE"""),"21' 9""")</f>
        <v>21' 9"</v>
      </c>
      <c r="F225">
        <f ca="1">IFERROR(__xludf.DUMMYFUNCTION("""COMPUTED_VALUE"""),933.667)</f>
        <v>933.66700000000003</v>
      </c>
      <c r="G225">
        <f ca="1">IFERROR(__xludf.DUMMYFUNCTION("""COMPUTED_VALUE"""),43)</f>
        <v>43</v>
      </c>
      <c r="H225">
        <f ca="1">IFERROR(__xludf.DUMMYFUNCTION("""COMPUTED_VALUE"""),-4)</f>
        <v>-4</v>
      </c>
    </row>
    <row r="226" spans="1:8" ht="12.75">
      <c r="A226" t="str">
        <f ca="1">IFERROR(__xludf.DUMMYFUNCTION("""COMPUTED_VALUE"""),"T225")</f>
        <v>T225</v>
      </c>
      <c r="B226" t="str">
        <f ca="1">IFERROR(__xludf.DUMMYFUNCTION("""COMPUTED_VALUE"""),"T221")</f>
        <v>T221</v>
      </c>
      <c r="C226" t="str">
        <f ca="1">IFERROR(__xludf.DUMMYFUNCTION("""COMPUTED_VALUE"""),"Scottie Scheffler")</f>
        <v>Scottie Scheffler</v>
      </c>
      <c r="D226">
        <f ca="1">IFERROR(__xludf.DUMMYFUNCTION("""COMPUTED_VALUE"""),18)</f>
        <v>18</v>
      </c>
      <c r="E226" t="str">
        <f ca="1">IFERROR(__xludf.DUMMYFUNCTION("""COMPUTED_VALUE"""),"21' 11""")</f>
        <v>21' 11"</v>
      </c>
      <c r="F226" s="2">
        <f ca="1">IFERROR(__xludf.DUMMYFUNCTION("""COMPUTED_VALUE"""),1094)</f>
        <v>1094</v>
      </c>
      <c r="G226">
        <f ca="1">IFERROR(__xludf.DUMMYFUNCTION("""COMPUTED_VALUE"""),50)</f>
        <v>50</v>
      </c>
      <c r="H226">
        <f ca="1">IFERROR(__xludf.DUMMYFUNCTION("""COMPUTED_VALUE"""),-4)</f>
        <v>-4</v>
      </c>
    </row>
    <row r="227" spans="1:8" ht="12.75">
      <c r="A227" t="str">
        <f ca="1">IFERROR(__xludf.DUMMYFUNCTION("""COMPUTED_VALUE"""),"T225")</f>
        <v>T225</v>
      </c>
      <c r="B227">
        <f ca="1">IFERROR(__xludf.DUMMYFUNCTION("""COMPUTED_VALUE"""),223)</f>
        <v>223</v>
      </c>
      <c r="C227" t="str">
        <f ca="1">IFERROR(__xludf.DUMMYFUNCTION("""COMPUTED_VALUE"""),"Xander Schauffele")</f>
        <v>Xander Schauffele</v>
      </c>
      <c r="D227">
        <f ca="1">IFERROR(__xludf.DUMMYFUNCTION("""COMPUTED_VALUE"""),12)</f>
        <v>12</v>
      </c>
      <c r="E227" t="str">
        <f ca="1">IFERROR(__xludf.DUMMYFUNCTION("""COMPUTED_VALUE"""),"21' 11""")</f>
        <v>21' 11"</v>
      </c>
      <c r="F227">
        <f ca="1">IFERROR(__xludf.DUMMYFUNCTION("""COMPUTED_VALUE"""),459.917)</f>
        <v>459.91699999999997</v>
      </c>
      <c r="G227">
        <f ca="1">IFERROR(__xludf.DUMMYFUNCTION("""COMPUTED_VALUE"""),21)</f>
        <v>21</v>
      </c>
      <c r="H227">
        <f ca="1">IFERROR(__xludf.DUMMYFUNCTION("""COMPUTED_VALUE"""),-9)</f>
        <v>-9</v>
      </c>
    </row>
    <row r="228" spans="1:8" ht="12.75">
      <c r="A228" t="str">
        <f ca="1">IFERROR(__xludf.DUMMYFUNCTION("""COMPUTED_VALUE"""),"T227")</f>
        <v>T227</v>
      </c>
      <c r="B228" t="str">
        <f ca="1">IFERROR(__xludf.DUMMYFUNCTION("""COMPUTED_VALUE"""),"T224")</f>
        <v>T224</v>
      </c>
      <c r="C228" t="str">
        <f ca="1">IFERROR(__xludf.DUMMYFUNCTION("""COMPUTED_VALUE"""),"Matt Every")</f>
        <v>Matt Every</v>
      </c>
      <c r="D228">
        <f ca="1">IFERROR(__xludf.DUMMYFUNCTION("""COMPUTED_VALUE"""),8)</f>
        <v>8</v>
      </c>
      <c r="E228" t="str">
        <f ca="1">IFERROR(__xludf.DUMMYFUNCTION("""COMPUTED_VALUE"""),"22' 1""")</f>
        <v>22' 1"</v>
      </c>
      <c r="F228">
        <f ca="1">IFERROR(__xludf.DUMMYFUNCTION("""COMPUTED_VALUE"""),220.667)</f>
        <v>220.667</v>
      </c>
      <c r="G228">
        <f ca="1">IFERROR(__xludf.DUMMYFUNCTION("""COMPUTED_VALUE"""),10)</f>
        <v>10</v>
      </c>
      <c r="H228">
        <f ca="1">IFERROR(__xludf.DUMMYFUNCTION("""COMPUTED_VALUE"""),-3)</f>
        <v>-3</v>
      </c>
    </row>
    <row r="229" spans="1:8" ht="12.75">
      <c r="A229" t="str">
        <f ca="1">IFERROR(__xludf.DUMMYFUNCTION("""COMPUTED_VALUE"""),"T227")</f>
        <v>T227</v>
      </c>
      <c r="B229" t="str">
        <f ca="1">IFERROR(__xludf.DUMMYFUNCTION("""COMPUTED_VALUE"""),"T224")</f>
        <v>T224</v>
      </c>
      <c r="C229" t="str">
        <f ca="1">IFERROR(__xludf.DUMMYFUNCTION("""COMPUTED_VALUE"""),"Rafael Campos")</f>
        <v>Rafael Campos</v>
      </c>
      <c r="D229">
        <f ca="1">IFERROR(__xludf.DUMMYFUNCTION("""COMPUTED_VALUE"""),6)</f>
        <v>6</v>
      </c>
      <c r="E229" t="str">
        <f ca="1">IFERROR(__xludf.DUMMYFUNCTION("""COMPUTED_VALUE"""),"22' 1""")</f>
        <v>22' 1"</v>
      </c>
      <c r="F229">
        <f ca="1">IFERROR(__xludf.DUMMYFUNCTION("""COMPUTED_VALUE"""),132.417)</f>
        <v>132.417</v>
      </c>
      <c r="G229">
        <f ca="1">IFERROR(__xludf.DUMMYFUNCTION("""COMPUTED_VALUE"""),6)</f>
        <v>6</v>
      </c>
      <c r="H229" t="str">
        <f ca="1">IFERROR(__xludf.DUMMYFUNCTION("""COMPUTED_VALUE"""),"E")</f>
        <v>E</v>
      </c>
    </row>
    <row r="230" spans="1:8" ht="12.75">
      <c r="A230">
        <f ca="1">IFERROR(__xludf.DUMMYFUNCTION("""COMPUTED_VALUE"""),229)</f>
        <v>229</v>
      </c>
      <c r="B230" t="str">
        <f ca="1">IFERROR(__xludf.DUMMYFUNCTION("""COMPUTED_VALUE"""),"T144")</f>
        <v>T144</v>
      </c>
      <c r="C230" t="str">
        <f ca="1">IFERROR(__xludf.DUMMYFUNCTION("""COMPUTED_VALUE"""),"Viktor Hovland")</f>
        <v>Viktor Hovland</v>
      </c>
      <c r="D230">
        <f ca="1">IFERROR(__xludf.DUMMYFUNCTION("""COMPUTED_VALUE"""),16)</f>
        <v>16</v>
      </c>
      <c r="E230" t="str">
        <f ca="1">IFERROR(__xludf.DUMMYFUNCTION("""COMPUTED_VALUE"""),"22' 2""")</f>
        <v>22' 2"</v>
      </c>
      <c r="F230">
        <f ca="1">IFERROR(__xludf.DUMMYFUNCTION("""COMPUTED_VALUE"""),664.917)</f>
        <v>664.91700000000003</v>
      </c>
      <c r="G230">
        <f ca="1">IFERROR(__xludf.DUMMYFUNCTION("""COMPUTED_VALUE"""),30)</f>
        <v>30</v>
      </c>
      <c r="H230" t="str">
        <f ca="1">IFERROR(__xludf.DUMMYFUNCTION("""COMPUTED_VALUE"""),"+2")</f>
        <v>+2</v>
      </c>
    </row>
    <row r="231" spans="1:8" ht="12.75">
      <c r="A231" t="str">
        <f ca="1">IFERROR(__xludf.DUMMYFUNCTION("""COMPUTED_VALUE"""),"T230")</f>
        <v>T230</v>
      </c>
      <c r="B231" t="str">
        <f ca="1">IFERROR(__xludf.DUMMYFUNCTION("""COMPUTED_VALUE"""),"T227")</f>
        <v>T227</v>
      </c>
      <c r="C231" t="str">
        <f ca="1">IFERROR(__xludf.DUMMYFUNCTION("""COMPUTED_VALUE"""),"Louis Oosthuizen")</f>
        <v>Louis Oosthuizen</v>
      </c>
      <c r="D231">
        <f ca="1">IFERROR(__xludf.DUMMYFUNCTION("""COMPUTED_VALUE"""),12)</f>
        <v>12</v>
      </c>
      <c r="E231" t="str">
        <f ca="1">IFERROR(__xludf.DUMMYFUNCTION("""COMPUTED_VALUE"""),"22' 3""")</f>
        <v>22' 3"</v>
      </c>
      <c r="F231">
        <f ca="1">IFERROR(__xludf.DUMMYFUNCTION("""COMPUTED_VALUE"""),555.917)</f>
        <v>555.91700000000003</v>
      </c>
      <c r="G231">
        <f ca="1">IFERROR(__xludf.DUMMYFUNCTION("""COMPUTED_VALUE"""),25)</f>
        <v>25</v>
      </c>
      <c r="H231" t="str">
        <f ca="1">IFERROR(__xludf.DUMMYFUNCTION("""COMPUTED_VALUE"""),"+4")</f>
        <v>+4</v>
      </c>
    </row>
    <row r="232" spans="1:8" ht="12.75">
      <c r="A232" t="str">
        <f ca="1">IFERROR(__xludf.DUMMYFUNCTION("""COMPUTED_VALUE"""),"T230")</f>
        <v>T230</v>
      </c>
      <c r="B232">
        <f ca="1">IFERROR(__xludf.DUMMYFUNCTION("""COMPUTED_VALUE"""),229)</f>
        <v>229</v>
      </c>
      <c r="C232" t="str">
        <f ca="1">IFERROR(__xludf.DUMMYFUNCTION("""COMPUTED_VALUE"""),"Jhonattan Vegas")</f>
        <v>Jhonattan Vegas</v>
      </c>
      <c r="D232">
        <f ca="1">IFERROR(__xludf.DUMMYFUNCTION("""COMPUTED_VALUE"""),16)</f>
        <v>16</v>
      </c>
      <c r="E232" t="str">
        <f ca="1">IFERROR(__xludf.DUMMYFUNCTION("""COMPUTED_VALUE"""),"22' 3""")</f>
        <v>22' 3"</v>
      </c>
      <c r="F232">
        <f ca="1">IFERROR(__xludf.DUMMYFUNCTION("""COMPUTED_VALUE"""),601.5)</f>
        <v>601.5</v>
      </c>
      <c r="G232">
        <f ca="1">IFERROR(__xludf.DUMMYFUNCTION("""COMPUTED_VALUE"""),27)</f>
        <v>27</v>
      </c>
      <c r="H232">
        <f ca="1">IFERROR(__xludf.DUMMYFUNCTION("""COMPUTED_VALUE"""),-5)</f>
        <v>-5</v>
      </c>
    </row>
    <row r="233" spans="1:8" ht="12.75">
      <c r="A233" t="str">
        <f ca="1">IFERROR(__xludf.DUMMYFUNCTION("""COMPUTED_VALUE"""),"T230")</f>
        <v>T230</v>
      </c>
      <c r="B233" t="str">
        <f ca="1">IFERROR(__xludf.DUMMYFUNCTION("""COMPUTED_VALUE"""),"T215")</f>
        <v>T215</v>
      </c>
      <c r="C233" t="str">
        <f ca="1">IFERROR(__xludf.DUMMYFUNCTION("""COMPUTED_VALUE"""),"Patrick Rodgers")</f>
        <v>Patrick Rodgers</v>
      </c>
      <c r="D233">
        <f ca="1">IFERROR(__xludf.DUMMYFUNCTION("""COMPUTED_VALUE"""),18)</f>
        <v>18</v>
      </c>
      <c r="E233" t="str">
        <f ca="1">IFERROR(__xludf.DUMMYFUNCTION("""COMPUTED_VALUE"""),"22' 3""")</f>
        <v>22' 3"</v>
      </c>
      <c r="F233">
        <f ca="1">IFERROR(__xludf.DUMMYFUNCTION("""COMPUTED_VALUE"""),779.417)</f>
        <v>779.41700000000003</v>
      </c>
      <c r="G233">
        <f ca="1">IFERROR(__xludf.DUMMYFUNCTION("""COMPUTED_VALUE"""),35)</f>
        <v>35</v>
      </c>
      <c r="H233">
        <f ca="1">IFERROR(__xludf.DUMMYFUNCTION("""COMPUTED_VALUE"""),-2)</f>
        <v>-2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IFERROR(__xludf.DUMMYFUNCTION("""COMPUTED_VALUE"""),230)</f>
        <v>230</v>
      </c>
      <c r="C234" t="str">
        <f ca="1">IFERROR(__xludf.DUMMYFUNCTION("""COMPUTED_VALUE"""),"Jason Kokrak")</f>
        <v>Jason Kokrak</v>
      </c>
      <c r="D234">
        <f ca="1">IFERROR(__xludf.DUMMYFUNCTION("""COMPUTED_VALUE"""),14)</f>
        <v>14</v>
      </c>
      <c r="E234" t="str">
        <f ca="1">IFERROR(__xludf.DUMMYFUNCTION("""COMPUTED_VALUE"""),"22' 6""")</f>
        <v>22' 6"</v>
      </c>
      <c r="F234">
        <f ca="1">IFERROR(__xludf.DUMMYFUNCTION("""COMPUTED_VALUE"""),653.333)</f>
        <v>653.33299999999997</v>
      </c>
      <c r="G234">
        <f ca="1">IFERROR(__xludf.DUMMYFUNCTION("""COMPUTED_VALUE"""),29)</f>
        <v>29</v>
      </c>
      <c r="H234">
        <f ca="1">IFERROR(__xludf.DUMMYFUNCTION("""COMPUTED_VALUE"""),-6)</f>
        <v>-6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IFERROR(__xludf.DUMMYFUNCTION("""COMPUTED_VALUE"""),"T235")</f>
        <v>T235</v>
      </c>
      <c r="C235" t="str">
        <f ca="1">IFERROR(__xludf.DUMMYFUNCTION("""COMPUTED_VALUE"""),"Kevin Stadler")</f>
        <v>Kevin Stadler</v>
      </c>
      <c r="D235">
        <f ca="1">IFERROR(__xludf.DUMMYFUNCTION("""COMPUTED_VALUE"""),8)</f>
        <v>8</v>
      </c>
      <c r="E235" t="str">
        <f ca="1">IFERROR(__xludf.DUMMYFUNCTION("""COMPUTED_VALUE"""),"22' 7""")</f>
        <v>22' 7"</v>
      </c>
      <c r="F235">
        <f ca="1">IFERROR(__xludf.DUMMYFUNCTION("""COMPUTED_VALUE"""),338.5)</f>
        <v>338.5</v>
      </c>
      <c r="G235">
        <f ca="1">IFERROR(__xludf.DUMMYFUNCTION("""COMPUTED_VALUE"""),15)</f>
        <v>15</v>
      </c>
      <c r="H235">
        <f ca="1">IFERROR(__xludf.DUMMYFUNCTION("""COMPUTED_VALUE"""),-1)</f>
        <v>-1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IFERROR(__xludf.DUMMYFUNCTION("""COMPUTED_VALUE"""),"T231")</f>
        <v>T231</v>
      </c>
      <c r="C236" t="str">
        <f ca="1">IFERROR(__xludf.DUMMYFUNCTION("""COMPUTED_VALUE"""),"Brian Gay")</f>
        <v>Brian Gay</v>
      </c>
      <c r="D236">
        <f ca="1">IFERROR(__xludf.DUMMYFUNCTION("""COMPUTED_VALUE"""),8)</f>
        <v>8</v>
      </c>
      <c r="E236" t="str">
        <f ca="1">IFERROR(__xludf.DUMMYFUNCTION("""COMPUTED_VALUE"""),"22' 7""")</f>
        <v>22' 7"</v>
      </c>
      <c r="F236">
        <f ca="1">IFERROR(__xludf.DUMMYFUNCTION("""COMPUTED_VALUE"""),316.083)</f>
        <v>316.08300000000003</v>
      </c>
      <c r="G236">
        <f ca="1">IFERROR(__xludf.DUMMYFUNCTION("""COMPUTED_VALUE"""),14)</f>
        <v>14</v>
      </c>
      <c r="H236">
        <f ca="1">IFERROR(__xludf.DUMMYFUNCTION("""COMPUTED_VALUE"""),-4)</f>
        <v>-4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IFERROR(__xludf.DUMMYFUNCTION("""COMPUTED_VALUE"""),"T231")</f>
        <v>T231</v>
      </c>
      <c r="C237" t="str">
        <f ca="1">IFERROR(__xludf.DUMMYFUNCTION("""COMPUTED_VALUE"""),"Hanbyeol Kim")</f>
        <v>Hanbyeol Kim</v>
      </c>
      <c r="D237">
        <f ca="1">IFERROR(__xludf.DUMMYFUNCTION("""COMPUTED_VALUE"""),4)</f>
        <v>4</v>
      </c>
      <c r="E237" t="str">
        <f ca="1">IFERROR(__xludf.DUMMYFUNCTION("""COMPUTED_VALUE"""),"22' 7""")</f>
        <v>22' 7"</v>
      </c>
      <c r="F237">
        <f ca="1">IFERROR(__xludf.DUMMYFUNCTION("""COMPUTED_VALUE"""),339.083)</f>
        <v>339.08300000000003</v>
      </c>
      <c r="G237">
        <f ca="1">IFERROR(__xludf.DUMMYFUNCTION("""COMPUTED_VALUE"""),15)</f>
        <v>15</v>
      </c>
      <c r="H237" t="str">
        <f ca="1">IFERROR(__xludf.DUMMYFUNCTION("""COMPUTED_VALUE"""),"+4")</f>
        <v>+4</v>
      </c>
    </row>
    <row r="238" spans="1:8" ht="12.75">
      <c r="A238">
        <f ca="1">IFERROR(__xludf.DUMMYFUNCTION("""COMPUTED_VALUE"""),237)</f>
        <v>237</v>
      </c>
      <c r="B238">
        <f ca="1">IFERROR(__xludf.DUMMYFUNCTION("""COMPUTED_VALUE"""),233)</f>
        <v>233</v>
      </c>
      <c r="C238" t="str">
        <f ca="1">IFERROR(__xludf.DUMMYFUNCTION("""COMPUTED_VALUE"""),"Robert Streb")</f>
        <v>Robert Streb</v>
      </c>
      <c r="D238">
        <f ca="1">IFERROR(__xludf.DUMMYFUNCTION("""COMPUTED_VALUE"""),12)</f>
        <v>12</v>
      </c>
      <c r="E238" t="str">
        <f ca="1">IFERROR(__xludf.DUMMYFUNCTION("""COMPUTED_VALUE"""),"22' 8""")</f>
        <v>22' 8"</v>
      </c>
      <c r="F238">
        <f ca="1">IFERROR(__xludf.DUMMYFUNCTION("""COMPUTED_VALUE"""),248.917)</f>
        <v>248.917</v>
      </c>
      <c r="G238">
        <f ca="1">IFERROR(__xludf.DUMMYFUNCTION("""COMPUTED_VALUE"""),11)</f>
        <v>11</v>
      </c>
      <c r="H238" t="str">
        <f ca="1">IFERROR(__xludf.DUMMYFUNCTION("""COMPUTED_VALUE"""),"+1")</f>
        <v>+1</v>
      </c>
    </row>
    <row r="239" spans="1:8" ht="12.75">
      <c r="A239" t="str">
        <f ca="1">IFERROR(__xludf.DUMMYFUNCTION("""COMPUTED_VALUE"""),"T238")</f>
        <v>T238</v>
      </c>
      <c r="B239" t="str">
        <f ca="1">IFERROR(__xludf.DUMMYFUNCTION("""COMPUTED_VALUE"""),"T221")</f>
        <v>T221</v>
      </c>
      <c r="C239" t="str">
        <f ca="1">IFERROR(__xludf.DUMMYFUNCTION("""COMPUTED_VALUE"""),"Sam Ryder")</f>
        <v>Sam Ryder</v>
      </c>
      <c r="D239">
        <f ca="1">IFERROR(__xludf.DUMMYFUNCTION("""COMPUTED_VALUE"""),12)</f>
        <v>12</v>
      </c>
      <c r="E239" t="str">
        <f ca="1">IFERROR(__xludf.DUMMYFUNCTION("""COMPUTED_VALUE"""),"22' 9""")</f>
        <v>22' 9"</v>
      </c>
      <c r="F239">
        <f ca="1">IFERROR(__xludf.DUMMYFUNCTION("""COMPUTED_VALUE"""),546.25)</f>
        <v>546.25</v>
      </c>
      <c r="G239">
        <f ca="1">IFERROR(__xludf.DUMMYFUNCTION("""COMPUTED_VALUE"""),24)</f>
        <v>24</v>
      </c>
      <c r="H239" t="str">
        <f ca="1">IFERROR(__xludf.DUMMYFUNCTION("""COMPUTED_VALUE"""),"+6")</f>
        <v>+6</v>
      </c>
    </row>
    <row r="240" spans="1:8" ht="12.75">
      <c r="A240" t="str">
        <f ca="1">IFERROR(__xludf.DUMMYFUNCTION("""COMPUTED_VALUE"""),"T238")</f>
        <v>T238</v>
      </c>
      <c r="B240" t="str">
        <f ca="1">IFERROR(__xludf.DUMMYFUNCTION("""COMPUTED_VALUE"""),"T238")</f>
        <v>T238</v>
      </c>
      <c r="C240" t="str">
        <f ca="1">IFERROR(__xludf.DUMMYFUNCTION("""COMPUTED_VALUE"""),"Kramer Hickok")</f>
        <v>Kramer Hickok</v>
      </c>
      <c r="D240">
        <f ca="1">IFERROR(__xludf.DUMMYFUNCTION("""COMPUTED_VALUE"""),16)</f>
        <v>16</v>
      </c>
      <c r="E240" t="str">
        <f ca="1">IFERROR(__xludf.DUMMYFUNCTION("""COMPUTED_VALUE"""),"22' 9""")</f>
        <v>22' 9"</v>
      </c>
      <c r="F240">
        <f ca="1">IFERROR(__xludf.DUMMYFUNCTION("""COMPUTED_VALUE"""),409.833)</f>
        <v>409.83300000000003</v>
      </c>
      <c r="G240">
        <f ca="1">IFERROR(__xludf.DUMMYFUNCTION("""COMPUTED_VALUE"""),18)</f>
        <v>18</v>
      </c>
      <c r="H240" t="str">
        <f ca="1">IFERROR(__xludf.DUMMYFUNCTION("""COMPUTED_VALUE"""),"+1")</f>
        <v>+1</v>
      </c>
    </row>
    <row r="241" spans="1:8" ht="12.75">
      <c r="A241" t="str">
        <f ca="1">IFERROR(__xludf.DUMMYFUNCTION("""COMPUTED_VALUE"""),"T238")</f>
        <v>T238</v>
      </c>
      <c r="B241">
        <f ca="1">IFERROR(__xludf.DUMMYFUNCTION("""COMPUTED_VALUE"""),234)</f>
        <v>234</v>
      </c>
      <c r="C241" t="str">
        <f ca="1">IFERROR(__xludf.DUMMYFUNCTION("""COMPUTED_VALUE"""),"Cameron Champ")</f>
        <v>Cameron Champ</v>
      </c>
      <c r="D241">
        <f ca="1">IFERROR(__xludf.DUMMYFUNCTION("""COMPUTED_VALUE"""),12)</f>
        <v>12</v>
      </c>
      <c r="E241" t="str">
        <f ca="1">IFERROR(__xludf.DUMMYFUNCTION("""COMPUTED_VALUE"""),"22' 9""")</f>
        <v>22' 9"</v>
      </c>
      <c r="F241">
        <f ca="1">IFERROR(__xludf.DUMMYFUNCTION("""COMPUTED_VALUE"""),455.167)</f>
        <v>455.16699999999997</v>
      </c>
      <c r="G241">
        <f ca="1">IFERROR(__xludf.DUMMYFUNCTION("""COMPUTED_VALUE"""),20)</f>
        <v>20</v>
      </c>
      <c r="H241" t="str">
        <f ca="1">IFERROR(__xludf.DUMMYFUNCTION("""COMPUTED_VALUE"""),"+1")</f>
        <v>+1</v>
      </c>
    </row>
    <row r="242" spans="1:8" ht="12.75">
      <c r="A242">
        <f ca="1">IFERROR(__xludf.DUMMYFUNCTION("""COMPUTED_VALUE"""),241)</f>
        <v>241</v>
      </c>
      <c r="B242">
        <f ca="1">IFERROR(__xludf.DUMMYFUNCTION("""COMPUTED_VALUE"""),237)</f>
        <v>237</v>
      </c>
      <c r="C242" t="str">
        <f ca="1">IFERROR(__xludf.DUMMYFUNCTION("""COMPUTED_VALUE"""),"Rafa Cabrera Bello")</f>
        <v>Rafa Cabrera Bello</v>
      </c>
      <c r="D242">
        <f ca="1">IFERROR(__xludf.DUMMYFUNCTION("""COMPUTED_VALUE"""),14)</f>
        <v>14</v>
      </c>
      <c r="E242" t="str">
        <f ca="1">IFERROR(__xludf.DUMMYFUNCTION("""COMPUTED_VALUE"""),"23' 1""")</f>
        <v>23' 1"</v>
      </c>
      <c r="F242">
        <f ca="1">IFERROR(__xludf.DUMMYFUNCTION("""COMPUTED_VALUE"""),600.667)</f>
        <v>600.66700000000003</v>
      </c>
      <c r="G242">
        <f ca="1">IFERROR(__xludf.DUMMYFUNCTION("""COMPUTED_VALUE"""),26)</f>
        <v>26</v>
      </c>
      <c r="H242" t="str">
        <f ca="1">IFERROR(__xludf.DUMMYFUNCTION("""COMPUTED_VALUE"""),"+3")</f>
        <v>+3</v>
      </c>
    </row>
    <row r="243" spans="1:8" ht="12.75">
      <c r="A243">
        <f ca="1">IFERROR(__xludf.DUMMYFUNCTION("""COMPUTED_VALUE"""),242)</f>
        <v>242</v>
      </c>
      <c r="B243">
        <f ca="1">IFERROR(__xludf.DUMMYFUNCTION("""COMPUTED_VALUE"""),244)</f>
        <v>244</v>
      </c>
      <c r="C243" t="str">
        <f ca="1">IFERROR(__xludf.DUMMYFUNCTION("""COMPUTED_VALUE"""),"Hunter Mahan")</f>
        <v>Hunter Mahan</v>
      </c>
      <c r="D243">
        <f ca="1">IFERROR(__xludf.DUMMYFUNCTION("""COMPUTED_VALUE"""),14)</f>
        <v>14</v>
      </c>
      <c r="E243" t="str">
        <f ca="1">IFERROR(__xludf.DUMMYFUNCTION("""COMPUTED_VALUE"""),"23' 2""")</f>
        <v>23' 2"</v>
      </c>
      <c r="F243">
        <f ca="1">IFERROR(__xludf.DUMMYFUNCTION("""COMPUTED_VALUE"""),809.417)</f>
        <v>809.41700000000003</v>
      </c>
      <c r="G243">
        <f ca="1">IFERROR(__xludf.DUMMYFUNCTION("""COMPUTED_VALUE"""),35)</f>
        <v>35</v>
      </c>
      <c r="H243">
        <f ca="1">IFERROR(__xludf.DUMMYFUNCTION("""COMPUTED_VALUE"""),-1)</f>
        <v>-1</v>
      </c>
    </row>
    <row r="244" spans="1:8" ht="12.75">
      <c r="A244" t="str">
        <f ca="1">IFERROR(__xludf.DUMMYFUNCTION("""COMPUTED_VALUE"""),"T243")</f>
        <v>T243</v>
      </c>
      <c r="B244" t="str">
        <f ca="1">IFERROR(__xludf.DUMMYFUNCTION("""COMPUTED_VALUE"""),"T238")</f>
        <v>T238</v>
      </c>
      <c r="C244" t="str">
        <f ca="1">IFERROR(__xludf.DUMMYFUNCTION("""COMPUTED_VALUE"""),"Johnson Wagner")</f>
        <v>Johnson Wagner</v>
      </c>
      <c r="D244">
        <f ca="1">IFERROR(__xludf.DUMMYFUNCTION("""COMPUTED_VALUE"""),8)</f>
        <v>8</v>
      </c>
      <c r="E244" t="str">
        <f ca="1">IFERROR(__xludf.DUMMYFUNCTION("""COMPUTED_VALUE"""),"23' 3""")</f>
        <v>23' 3"</v>
      </c>
      <c r="F244">
        <f ca="1">IFERROR(__xludf.DUMMYFUNCTION("""COMPUTED_VALUE"""),162.917)</f>
        <v>162.917</v>
      </c>
      <c r="G244">
        <f ca="1">IFERROR(__xludf.DUMMYFUNCTION("""COMPUTED_VALUE"""),7)</f>
        <v>7</v>
      </c>
      <c r="H244">
        <f ca="1">IFERROR(__xludf.DUMMYFUNCTION("""COMPUTED_VALUE"""),-1)</f>
        <v>-1</v>
      </c>
    </row>
    <row r="245" spans="1:8" ht="12.75">
      <c r="A245" t="str">
        <f ca="1">IFERROR(__xludf.DUMMYFUNCTION("""COMPUTED_VALUE"""),"T243")</f>
        <v>T243</v>
      </c>
      <c r="B245" t="str">
        <f ca="1">IFERROR(__xludf.DUMMYFUNCTION("""COMPUTED_VALUE"""),"T227")</f>
        <v>T227</v>
      </c>
      <c r="C245" t="str">
        <f ca="1">IFERROR(__xludf.DUMMYFUNCTION("""COMPUTED_VALUE"""),"Bo Hoag")</f>
        <v>Bo Hoag</v>
      </c>
      <c r="D245">
        <f ca="1">IFERROR(__xludf.DUMMYFUNCTION("""COMPUTED_VALUE"""),14)</f>
        <v>14</v>
      </c>
      <c r="E245" t="str">
        <f ca="1">IFERROR(__xludf.DUMMYFUNCTION("""COMPUTED_VALUE"""),"23' 3""")</f>
        <v>23' 3"</v>
      </c>
      <c r="F245">
        <f ca="1">IFERROR(__xludf.DUMMYFUNCTION("""COMPUTED_VALUE"""),766)</f>
        <v>766</v>
      </c>
      <c r="G245">
        <f ca="1">IFERROR(__xludf.DUMMYFUNCTION("""COMPUTED_VALUE"""),33)</f>
        <v>33</v>
      </c>
      <c r="H245" t="str">
        <f ca="1">IFERROR(__xludf.DUMMYFUNCTION("""COMPUTED_VALUE"""),"+1")</f>
        <v>+1</v>
      </c>
    </row>
    <row r="246" spans="1:8" ht="12.75">
      <c r="A246" t="str">
        <f ca="1">IFERROR(__xludf.DUMMYFUNCTION("""COMPUTED_VALUE"""),"T243")</f>
        <v>T243</v>
      </c>
      <c r="B246" t="str">
        <f ca="1">IFERROR(__xludf.DUMMYFUNCTION("""COMPUTED_VALUE"""),"T238")</f>
        <v>T238</v>
      </c>
      <c r="C246" t="str">
        <f ca="1">IFERROR(__xludf.DUMMYFUNCTION("""COMPUTED_VALUE"""),"Shawn Stefani")</f>
        <v>Shawn Stefani</v>
      </c>
      <c r="D246">
        <f ca="1">IFERROR(__xludf.DUMMYFUNCTION("""COMPUTED_VALUE"""),5)</f>
        <v>5</v>
      </c>
      <c r="E246" t="str">
        <f ca="1">IFERROR(__xludf.DUMMYFUNCTION("""COMPUTED_VALUE"""),"23' 3""")</f>
        <v>23' 3"</v>
      </c>
      <c r="F246">
        <f ca="1">IFERROR(__xludf.DUMMYFUNCTION("""COMPUTED_VALUE"""),116.167)</f>
        <v>116.167</v>
      </c>
      <c r="G246">
        <f ca="1">IFERROR(__xludf.DUMMYFUNCTION("""COMPUTED_VALUE"""),5)</f>
        <v>5</v>
      </c>
      <c r="H246" t="str">
        <f ca="1">IFERROR(__xludf.DUMMYFUNCTION("""COMPUTED_VALUE"""),"+1")</f>
        <v>+1</v>
      </c>
    </row>
    <row r="247" spans="1:8" ht="12.75">
      <c r="A247">
        <f ca="1">IFERROR(__xludf.DUMMYFUNCTION("""COMPUTED_VALUE"""),246)</f>
        <v>246</v>
      </c>
      <c r="B247">
        <f ca="1">IFERROR(__xludf.DUMMYFUNCTION("""COMPUTED_VALUE"""),241)</f>
        <v>241</v>
      </c>
      <c r="C247" t="str">
        <f ca="1">IFERROR(__xludf.DUMMYFUNCTION("""COMPUTED_VALUE"""),"Jim Herman")</f>
        <v>Jim Herman</v>
      </c>
      <c r="D247">
        <f ca="1">IFERROR(__xludf.DUMMYFUNCTION("""COMPUTED_VALUE"""),12)</f>
        <v>12</v>
      </c>
      <c r="E247" t="str">
        <f ca="1">IFERROR(__xludf.DUMMYFUNCTION("""COMPUTED_VALUE"""),"23' 4""")</f>
        <v>23' 4"</v>
      </c>
      <c r="F247">
        <f ca="1">IFERROR(__xludf.DUMMYFUNCTION("""COMPUTED_VALUE"""),583.083)</f>
        <v>583.08299999999997</v>
      </c>
      <c r="G247">
        <f ca="1">IFERROR(__xludf.DUMMYFUNCTION("""COMPUTED_VALUE"""),25)</f>
        <v>25</v>
      </c>
      <c r="H247" t="str">
        <f ca="1">IFERROR(__xludf.DUMMYFUNCTION("""COMPUTED_VALUE"""),"+2")</f>
        <v>+2</v>
      </c>
    </row>
    <row r="248" spans="1:8" ht="12.75">
      <c r="A248">
        <f ca="1">IFERROR(__xludf.DUMMYFUNCTION("""COMPUTED_VALUE"""),247)</f>
        <v>247</v>
      </c>
      <c r="B248">
        <f ca="1">IFERROR(__xludf.DUMMYFUNCTION("""COMPUTED_VALUE"""),242)</f>
        <v>242</v>
      </c>
      <c r="C248" t="str">
        <f ca="1">IFERROR(__xludf.DUMMYFUNCTION("""COMPUTED_VALUE"""),"John Senden")</f>
        <v>John Senden</v>
      </c>
      <c r="D248">
        <f ca="1">IFERROR(__xludf.DUMMYFUNCTION("""COMPUTED_VALUE"""),8)</f>
        <v>8</v>
      </c>
      <c r="E248" t="str">
        <f ca="1">IFERROR(__xludf.DUMMYFUNCTION("""COMPUTED_VALUE"""),"23' 7""")</f>
        <v>23' 7"</v>
      </c>
      <c r="F248">
        <f ca="1">IFERROR(__xludf.DUMMYFUNCTION("""COMPUTED_VALUE"""),141.583)</f>
        <v>141.583</v>
      </c>
      <c r="G248">
        <f ca="1">IFERROR(__xludf.DUMMYFUNCTION("""COMPUTED_VALUE"""),6)</f>
        <v>6</v>
      </c>
      <c r="H248">
        <f ca="1">IFERROR(__xludf.DUMMYFUNCTION("""COMPUTED_VALUE"""),-1)</f>
        <v>-1</v>
      </c>
    </row>
    <row r="249" spans="1:8" ht="12.75">
      <c r="A249" t="str">
        <f ca="1">IFERROR(__xludf.DUMMYFUNCTION("""COMPUTED_VALUE"""),"T248")</f>
        <v>T248</v>
      </c>
      <c r="B249">
        <f ca="1">IFERROR(__xludf.DUMMYFUNCTION("""COMPUTED_VALUE"""),243)</f>
        <v>243</v>
      </c>
      <c r="C249" t="str">
        <f ca="1">IFERROR(__xludf.DUMMYFUNCTION("""COMPUTED_VALUE"""),"Adam Hadwin")</f>
        <v>Adam Hadwin</v>
      </c>
      <c r="D249">
        <f ca="1">IFERROR(__xludf.DUMMYFUNCTION("""COMPUTED_VALUE"""),16)</f>
        <v>16</v>
      </c>
      <c r="E249" t="str">
        <f ca="1">IFERROR(__xludf.DUMMYFUNCTION("""COMPUTED_VALUE"""),"23' 10""")</f>
        <v>23' 10"</v>
      </c>
      <c r="F249">
        <f ca="1">IFERROR(__xludf.DUMMYFUNCTION("""COMPUTED_VALUE"""),856.5)</f>
        <v>856.5</v>
      </c>
      <c r="G249">
        <f ca="1">IFERROR(__xludf.DUMMYFUNCTION("""COMPUTED_VALUE"""),36)</f>
        <v>36</v>
      </c>
      <c r="H249">
        <f ca="1">IFERROR(__xludf.DUMMYFUNCTION("""COMPUTED_VALUE"""),-3)</f>
        <v>-3</v>
      </c>
    </row>
    <row r="250" spans="1:8" ht="12.75">
      <c r="A250" t="str">
        <f ca="1">IFERROR(__xludf.DUMMYFUNCTION("""COMPUTED_VALUE"""),"T248")</f>
        <v>T248</v>
      </c>
      <c r="B250">
        <f ca="1">IFERROR(__xludf.DUMMYFUNCTION("""COMPUTED_VALUE"""),199)</f>
        <v>199</v>
      </c>
      <c r="C250" t="str">
        <f ca="1">IFERROR(__xludf.DUMMYFUNCTION("""COMPUTED_VALUE"""),"Jordan Spieth")</f>
        <v>Jordan Spieth</v>
      </c>
      <c r="D250">
        <f ca="1">IFERROR(__xludf.DUMMYFUNCTION("""COMPUTED_VALUE"""),14)</f>
        <v>14</v>
      </c>
      <c r="E250" t="str">
        <f ca="1">IFERROR(__xludf.DUMMYFUNCTION("""COMPUTED_VALUE"""),"23' 10""")</f>
        <v>23' 10"</v>
      </c>
      <c r="F250">
        <f ca="1">IFERROR(__xludf.DUMMYFUNCTION("""COMPUTED_VALUE"""),666.917)</f>
        <v>666.91700000000003</v>
      </c>
      <c r="G250">
        <f ca="1">IFERROR(__xludf.DUMMYFUNCTION("""COMPUTED_VALUE"""),28)</f>
        <v>28</v>
      </c>
      <c r="H250" t="str">
        <f ca="1">IFERROR(__xludf.DUMMYFUNCTION("""COMPUTED_VALUE"""),"+1")</f>
        <v>+1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IFERROR(__xludf.DUMMYFUNCTION("""COMPUTED_VALUE"""),205)</f>
        <v>205</v>
      </c>
      <c r="C251" t="str">
        <f ca="1">IFERROR(__xludf.DUMMYFUNCTION("""COMPUTED_VALUE"""),"Max Homa")</f>
        <v>Max Homa</v>
      </c>
      <c r="D251">
        <f ca="1">IFERROR(__xludf.DUMMYFUNCTION("""COMPUTED_VALUE"""),12)</f>
        <v>12</v>
      </c>
      <c r="E251" t="str">
        <f ca="1">IFERROR(__xludf.DUMMYFUNCTION("""COMPUTED_VALUE"""),"23' 11""")</f>
        <v>23' 11"</v>
      </c>
      <c r="F251">
        <f ca="1">IFERROR(__xludf.DUMMYFUNCTION("""COMPUTED_VALUE"""),310.667)</f>
        <v>310.66699999999997</v>
      </c>
      <c r="G251">
        <f ca="1">IFERROR(__xludf.DUMMYFUNCTION("""COMPUTED_VALUE"""),13)</f>
        <v>13</v>
      </c>
      <c r="H251">
        <f ca="1">IFERROR(__xludf.DUMMYFUNCTION("""COMPUTED_VALUE"""),-3)</f>
        <v>-3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IFERROR(__xludf.DUMMYFUNCTION("""COMPUTED_VALUE"""),254)</f>
        <v>254</v>
      </c>
      <c r="C252" t="str">
        <f ca="1">IFERROR(__xludf.DUMMYFUNCTION("""COMPUTED_VALUE"""),"Martin Trainer")</f>
        <v>Martin Trainer</v>
      </c>
      <c r="D252">
        <f ca="1">IFERROR(__xludf.DUMMYFUNCTION("""COMPUTED_VALUE"""),10)</f>
        <v>10</v>
      </c>
      <c r="E252" t="str">
        <f ca="1">IFERROR(__xludf.DUMMYFUNCTION("""COMPUTED_VALUE"""),"24' 0""")</f>
        <v>24' 0"</v>
      </c>
      <c r="F252">
        <f ca="1">IFERROR(__xludf.DUMMYFUNCTION("""COMPUTED_VALUE"""),456)</f>
        <v>456</v>
      </c>
      <c r="G252">
        <f ca="1">IFERROR(__xludf.DUMMYFUNCTION("""COMPUTED_VALUE"""),19)</f>
        <v>19</v>
      </c>
      <c r="H252" t="str">
        <f ca="1">IFERROR(__xludf.DUMMYFUNCTION("""COMPUTED_VALUE"""),"E")</f>
        <v>E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IFERROR(__xludf.DUMMYFUNCTION("""COMPUTED_VALUE"""),245)</f>
        <v>245</v>
      </c>
      <c r="C253" t="str">
        <f ca="1">IFERROR(__xludf.DUMMYFUNCTION("""COMPUTED_VALUE"""),"Seamus Power")</f>
        <v>Seamus Power</v>
      </c>
      <c r="D253">
        <f ca="1">IFERROR(__xludf.DUMMYFUNCTION("""COMPUTED_VALUE"""),8)</f>
        <v>8</v>
      </c>
      <c r="E253" t="str">
        <f ca="1">IFERROR(__xludf.DUMMYFUNCTION("""COMPUTED_VALUE"""),"24' 1""")</f>
        <v>24' 1"</v>
      </c>
      <c r="F253">
        <f ca="1">IFERROR(__xludf.DUMMYFUNCTION("""COMPUTED_VALUE"""),96.167)</f>
        <v>96.167000000000002</v>
      </c>
      <c r="G253">
        <f ca="1">IFERROR(__xludf.DUMMYFUNCTION("""COMPUTED_VALUE"""),4)</f>
        <v>4</v>
      </c>
      <c r="H253" t="str">
        <f ca="1">IFERROR(__xludf.DUMMYFUNCTION("""COMPUTED_VALUE"""),"+2")</f>
        <v>+2</v>
      </c>
    </row>
    <row r="254" spans="1:8" ht="12.75">
      <c r="A254">
        <f ca="1">IFERROR(__xludf.DUMMYFUNCTION("""COMPUTED_VALUE"""),253)</f>
        <v>253</v>
      </c>
      <c r="B254" t="str">
        <f ca="1">IFERROR(__xludf.DUMMYFUNCTION("""COMPUTED_VALUE"""),"T235")</f>
        <v>T235</v>
      </c>
      <c r="C254" t="str">
        <f ca="1">IFERROR(__xludf.DUMMYFUNCTION("""COMPUTED_VALUE"""),"Sung Kang")</f>
        <v>Sung Kang</v>
      </c>
      <c r="D254">
        <f ca="1">IFERROR(__xludf.DUMMYFUNCTION("""COMPUTED_VALUE"""),14)</f>
        <v>14</v>
      </c>
      <c r="E254" t="str">
        <f ca="1">IFERROR(__xludf.DUMMYFUNCTION("""COMPUTED_VALUE"""),"24' 4""")</f>
        <v>24' 4"</v>
      </c>
      <c r="F254">
        <f ca="1">IFERROR(__xludf.DUMMYFUNCTION("""COMPUTED_VALUE"""),633.583)</f>
        <v>633.58299999999997</v>
      </c>
      <c r="G254">
        <f ca="1">IFERROR(__xludf.DUMMYFUNCTION("""COMPUTED_VALUE"""),26)</f>
        <v>26</v>
      </c>
      <c r="H254" t="str">
        <f ca="1">IFERROR(__xludf.DUMMYFUNCTION("""COMPUTED_VALUE"""),"+5")</f>
        <v>+5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IFERROR(__xludf.DUMMYFUNCTION("""COMPUTED_VALUE"""),247)</f>
        <v>247</v>
      </c>
      <c r="C255" t="str">
        <f ca="1">IFERROR(__xludf.DUMMYFUNCTION("""COMPUTED_VALUE"""),"Steve Lewton")</f>
        <v>Steve Lewton</v>
      </c>
      <c r="D255">
        <f ca="1">IFERROR(__xludf.DUMMYFUNCTION("""COMPUTED_VALUE"""),4)</f>
        <v>4</v>
      </c>
      <c r="E255" t="str">
        <f ca="1">IFERROR(__xludf.DUMMYFUNCTION("""COMPUTED_VALUE"""),"24' 5""")</f>
        <v>24' 5"</v>
      </c>
      <c r="F255">
        <f ca="1">IFERROR(__xludf.DUMMYFUNCTION("""COMPUTED_VALUE"""),268.833)</f>
        <v>268.83300000000003</v>
      </c>
      <c r="G255">
        <f ca="1">IFERROR(__xludf.DUMMYFUNCTION("""COMPUTED_VALUE"""),11)</f>
        <v>11</v>
      </c>
      <c r="H255" t="str">
        <f ca="1">IFERROR(__xludf.DUMMYFUNCTION("""COMPUTED_VALUE"""),"E")</f>
        <v>E</v>
      </c>
    </row>
    <row r="256" spans="1:8" ht="12.75">
      <c r="A256" t="str">
        <f ca="1">IFERROR(__xludf.DUMMYFUNCTION("""COMPUTED_VALUE"""),"T255")</f>
        <v>T255</v>
      </c>
      <c r="B256" t="str">
        <f ca="1">IFERROR(__xludf.DUMMYFUNCTION("""COMPUTED_VALUE"""),"T248")</f>
        <v>T248</v>
      </c>
      <c r="C256" t="str">
        <f ca="1">IFERROR(__xludf.DUMMYFUNCTION("""COMPUTED_VALUE"""),"Alex Noren")</f>
        <v>Alex Noren</v>
      </c>
      <c r="D256">
        <f ca="1">IFERROR(__xludf.DUMMYFUNCTION("""COMPUTED_VALUE"""),14)</f>
        <v>14</v>
      </c>
      <c r="E256" t="str">
        <f ca="1">IFERROR(__xludf.DUMMYFUNCTION("""COMPUTED_VALUE"""),"24' 6""")</f>
        <v>24' 6"</v>
      </c>
      <c r="F256">
        <f ca="1">IFERROR(__xludf.DUMMYFUNCTION("""COMPUTED_VALUE"""),539.417)</f>
        <v>539.41700000000003</v>
      </c>
      <c r="G256">
        <f ca="1">IFERROR(__xludf.DUMMYFUNCTION("""COMPUTED_VALUE"""),22)</f>
        <v>22</v>
      </c>
      <c r="H256" t="str">
        <f ca="1">IFERROR(__xludf.DUMMYFUNCTION("""COMPUTED_VALUE"""),"+3")</f>
        <v>+3</v>
      </c>
    </row>
    <row r="257" spans="1:8" ht="12.75">
      <c r="A257" t="str">
        <f ca="1">IFERROR(__xludf.DUMMYFUNCTION("""COMPUTED_VALUE"""),"T255")</f>
        <v>T255</v>
      </c>
      <c r="B257" t="str">
        <f ca="1">IFERROR(__xludf.DUMMYFUNCTION("""COMPUTED_VALUE"""),"T248")</f>
        <v>T248</v>
      </c>
      <c r="C257" t="str">
        <f ca="1">IFERROR(__xludf.DUMMYFUNCTION("""COMPUTED_VALUE"""),"Tae Hee Lee")</f>
        <v>Tae Hee Lee</v>
      </c>
      <c r="D257">
        <f ca="1">IFERROR(__xludf.DUMMYFUNCTION("""COMPUTED_VALUE"""),4)</f>
        <v>4</v>
      </c>
      <c r="E257" t="str">
        <f ca="1">IFERROR(__xludf.DUMMYFUNCTION("""COMPUTED_VALUE"""),"24' 6""")</f>
        <v>24' 6"</v>
      </c>
      <c r="F257">
        <f ca="1">IFERROR(__xludf.DUMMYFUNCTION("""COMPUTED_VALUE"""),146.75)</f>
        <v>146.75</v>
      </c>
      <c r="G257">
        <f ca="1">IFERROR(__xludf.DUMMYFUNCTION("""COMPUTED_VALUE"""),6)</f>
        <v>6</v>
      </c>
      <c r="H257" t="str">
        <f ca="1">IFERROR(__xludf.DUMMYFUNCTION("""COMPUTED_VALUE"""),"+1")</f>
        <v>+1</v>
      </c>
    </row>
    <row r="258" spans="1:8" ht="12.75">
      <c r="A258">
        <f ca="1">IFERROR(__xludf.DUMMYFUNCTION("""COMPUTED_VALUE"""),257)</f>
        <v>257</v>
      </c>
      <c r="B258">
        <f ca="1">IFERROR(__xludf.DUMMYFUNCTION("""COMPUTED_VALUE"""),251)</f>
        <v>251</v>
      </c>
      <c r="C258" t="str">
        <f ca="1">IFERROR(__xludf.DUMMYFUNCTION("""COMPUTED_VALUE"""),"Rory McIlroy")</f>
        <v>Rory McIlroy</v>
      </c>
      <c r="D258">
        <f ca="1">IFERROR(__xludf.DUMMYFUNCTION("""COMPUTED_VALUE"""),12)</f>
        <v>12</v>
      </c>
      <c r="E258" t="str">
        <f ca="1">IFERROR(__xludf.DUMMYFUNCTION("""COMPUTED_VALUE"""),"24' 9""")</f>
        <v>24' 9"</v>
      </c>
      <c r="F258">
        <f ca="1">IFERROR(__xludf.DUMMYFUNCTION("""COMPUTED_VALUE"""),272.25)</f>
        <v>272.25</v>
      </c>
      <c r="G258">
        <f ca="1">IFERROR(__xludf.DUMMYFUNCTION("""COMPUTED_VALUE"""),11)</f>
        <v>11</v>
      </c>
      <c r="H258" t="str">
        <f ca="1">IFERROR(__xludf.DUMMYFUNCTION("""COMPUTED_VALUE"""),"E")</f>
        <v>E</v>
      </c>
    </row>
    <row r="259" spans="1:8" ht="12.75">
      <c r="A259">
        <f ca="1">IFERROR(__xludf.DUMMYFUNCTION("""COMPUTED_VALUE"""),258)</f>
        <v>258</v>
      </c>
      <c r="B259" t="str">
        <f ca="1">IFERROR(__xludf.DUMMYFUNCTION("""COMPUTED_VALUE"""),"T252")</f>
        <v>T252</v>
      </c>
      <c r="C259" t="str">
        <f ca="1">IFERROR(__xludf.DUMMYFUNCTION("""COMPUTED_VALUE"""),"Matthias Schwab")</f>
        <v>Matthias Schwab</v>
      </c>
      <c r="D259">
        <f ca="1">IFERROR(__xludf.DUMMYFUNCTION("""COMPUTED_VALUE"""),8)</f>
        <v>8</v>
      </c>
      <c r="E259" t="str">
        <f ca="1">IFERROR(__xludf.DUMMYFUNCTION("""COMPUTED_VALUE"""),"25' 5""")</f>
        <v>25' 5"</v>
      </c>
      <c r="F259">
        <f ca="1">IFERROR(__xludf.DUMMYFUNCTION("""COMPUTED_VALUE"""),253.833)</f>
        <v>253.833</v>
      </c>
      <c r="G259">
        <f ca="1">IFERROR(__xludf.DUMMYFUNCTION("""COMPUTED_VALUE"""),10)</f>
        <v>10</v>
      </c>
      <c r="H259" t="str">
        <f ca="1">IFERROR(__xludf.DUMMYFUNCTION("""COMPUTED_VALUE"""),"+1")</f>
        <v>+1</v>
      </c>
    </row>
    <row r="260" spans="1:8" ht="12.75">
      <c r="A260">
        <f ca="1">IFERROR(__xludf.DUMMYFUNCTION("""COMPUTED_VALUE"""),259)</f>
        <v>259</v>
      </c>
      <c r="B260">
        <f ca="1">IFERROR(__xludf.DUMMYFUNCTION("""COMPUTED_VALUE"""),265)</f>
        <v>265</v>
      </c>
      <c r="C260" t="str">
        <f ca="1">IFERROR(__xludf.DUMMYFUNCTION("""COMPUTED_VALUE"""),"Henrik Stenson")</f>
        <v>Henrik Stenson</v>
      </c>
      <c r="D260">
        <f ca="1">IFERROR(__xludf.DUMMYFUNCTION("""COMPUTED_VALUE"""),11)</f>
        <v>11</v>
      </c>
      <c r="E260" t="str">
        <f ca="1">IFERROR(__xludf.DUMMYFUNCTION("""COMPUTED_VALUE"""),"25' 6""")</f>
        <v>25' 6"</v>
      </c>
      <c r="F260">
        <f ca="1">IFERROR(__xludf.DUMMYFUNCTION("""COMPUTED_VALUE"""),204.25)</f>
        <v>204.25</v>
      </c>
      <c r="G260">
        <f ca="1">IFERROR(__xludf.DUMMYFUNCTION("""COMPUTED_VALUE"""),8)</f>
        <v>8</v>
      </c>
      <c r="H260" t="str">
        <f ca="1">IFERROR(__xludf.DUMMYFUNCTION("""COMPUTED_VALUE"""),"+3")</f>
        <v>+3</v>
      </c>
    </row>
    <row r="261" spans="1:8" ht="12.75">
      <c r="A261" t="str">
        <f ca="1">IFERROR(__xludf.DUMMYFUNCTION("""COMPUTED_VALUE"""),"T260")</f>
        <v>T260</v>
      </c>
      <c r="B261">
        <f ca="1">IFERROR(__xludf.DUMMYFUNCTION("""COMPUTED_VALUE"""),255)</f>
        <v>255</v>
      </c>
      <c r="C261" t="str">
        <f ca="1">IFERROR(__xludf.DUMMYFUNCTION("""COMPUTED_VALUE"""),"Graham DeLaet")</f>
        <v>Graham DeLaet</v>
      </c>
      <c r="D261">
        <f ca="1">IFERROR(__xludf.DUMMYFUNCTION("""COMPUTED_VALUE"""),9)</f>
        <v>9</v>
      </c>
      <c r="E261" t="str">
        <f ca="1">IFERROR(__xludf.DUMMYFUNCTION("""COMPUTED_VALUE"""),"25' 7""")</f>
        <v>25' 7"</v>
      </c>
      <c r="F261">
        <f ca="1">IFERROR(__xludf.DUMMYFUNCTION("""COMPUTED_VALUE"""),332.083)</f>
        <v>332.08300000000003</v>
      </c>
      <c r="G261">
        <f ca="1">IFERROR(__xludf.DUMMYFUNCTION("""COMPUTED_VALUE"""),13)</f>
        <v>13</v>
      </c>
      <c r="H261" t="str">
        <f ca="1">IFERROR(__xludf.DUMMYFUNCTION("""COMPUTED_VALUE"""),"+4")</f>
        <v>+4</v>
      </c>
    </row>
    <row r="262" spans="1:8" ht="12.75">
      <c r="A262" t="str">
        <f ca="1">IFERROR(__xludf.DUMMYFUNCTION("""COMPUTED_VALUE"""),"T260")</f>
        <v>T260</v>
      </c>
      <c r="B262">
        <f ca="1">IFERROR(__xludf.DUMMYFUNCTION("""COMPUTED_VALUE"""),262)</f>
        <v>262</v>
      </c>
      <c r="C262" t="str">
        <f ca="1">IFERROR(__xludf.DUMMYFUNCTION("""COMPUTED_VALUE"""),"Patton Kizzire")</f>
        <v>Patton Kizzire</v>
      </c>
      <c r="D262">
        <f ca="1">IFERROR(__xludf.DUMMYFUNCTION("""COMPUTED_VALUE"""),18)</f>
        <v>18</v>
      </c>
      <c r="E262" t="str">
        <f ca="1">IFERROR(__xludf.DUMMYFUNCTION("""COMPUTED_VALUE"""),"25' 7""")</f>
        <v>25' 7"</v>
      </c>
      <c r="F262">
        <f ca="1">IFERROR(__xludf.DUMMYFUNCTION("""COMPUTED_VALUE"""),767.833)</f>
        <v>767.83299999999997</v>
      </c>
      <c r="G262">
        <f ca="1">IFERROR(__xludf.DUMMYFUNCTION("""COMPUTED_VALUE"""),30)</f>
        <v>30</v>
      </c>
      <c r="H262">
        <f ca="1">IFERROR(__xludf.DUMMYFUNCTION("""COMPUTED_VALUE"""),-4)</f>
        <v>-4</v>
      </c>
    </row>
    <row r="263" spans="1:8" ht="12.75">
      <c r="A263" t="str">
        <f ca="1">IFERROR(__xludf.DUMMYFUNCTION("""COMPUTED_VALUE"""),"T262")</f>
        <v>T262</v>
      </c>
      <c r="B263" t="str">
        <f ca="1">IFERROR(__xludf.DUMMYFUNCTION("""COMPUTED_VALUE"""),"")</f>
        <v/>
      </c>
      <c r="C263" t="str">
        <f ca="1">IFERROR(__xludf.DUMMYFUNCTION("""COMPUTED_VALUE"""),"Justin Harding")</f>
        <v>Justin Harding</v>
      </c>
      <c r="D263">
        <f ca="1">IFERROR(__xludf.DUMMYFUNCTION("""COMPUTED_VALUE"""),6)</f>
        <v>6</v>
      </c>
      <c r="E263" t="str">
        <f ca="1">IFERROR(__xludf.DUMMYFUNCTION("""COMPUTED_VALUE"""),"26' 4""")</f>
        <v>26' 4"</v>
      </c>
      <c r="F263">
        <f ca="1">IFERROR(__xludf.DUMMYFUNCTION("""COMPUTED_VALUE"""),368.833)</f>
        <v>368.83300000000003</v>
      </c>
      <c r="G263">
        <f ca="1">IFERROR(__xludf.DUMMYFUNCTION("""COMPUTED_VALUE"""),14)</f>
        <v>14</v>
      </c>
      <c r="H263" t="str">
        <f ca="1">IFERROR(__xludf.DUMMYFUNCTION("""COMPUTED_VALUE"""),"+4")</f>
        <v>+4</v>
      </c>
    </row>
    <row r="264" spans="1:8" ht="12.75">
      <c r="A264" t="str">
        <f ca="1">IFERROR(__xludf.DUMMYFUNCTION("""COMPUTED_VALUE"""),"T262")</f>
        <v>T262</v>
      </c>
      <c r="B264" t="str">
        <f ca="1">IFERROR(__xludf.DUMMYFUNCTION("""COMPUTED_VALUE"""),"T252")</f>
        <v>T252</v>
      </c>
      <c r="C264" t="str">
        <f ca="1">IFERROR(__xludf.DUMMYFUNCTION("""COMPUTED_VALUE"""),"Michael Kim")</f>
        <v>Michael Kim</v>
      </c>
      <c r="D264">
        <f ca="1">IFERROR(__xludf.DUMMYFUNCTION("""COMPUTED_VALUE"""),12)</f>
        <v>12</v>
      </c>
      <c r="E264" t="str">
        <f ca="1">IFERROR(__xludf.DUMMYFUNCTION("""COMPUTED_VALUE"""),"26' 4""")</f>
        <v>26' 4"</v>
      </c>
      <c r="F264">
        <f ca="1">IFERROR(__xludf.DUMMYFUNCTION("""COMPUTED_VALUE"""),632.417)</f>
        <v>632.41700000000003</v>
      </c>
      <c r="G264">
        <f ca="1">IFERROR(__xludf.DUMMYFUNCTION("""COMPUTED_VALUE"""),24)</f>
        <v>24</v>
      </c>
      <c r="H264" t="str">
        <f ca="1">IFERROR(__xludf.DUMMYFUNCTION("""COMPUTED_VALUE"""),"+1")</f>
        <v>+1</v>
      </c>
    </row>
    <row r="265" spans="1:8" ht="12.75">
      <c r="A265" t="str">
        <f ca="1">IFERROR(__xludf.DUMMYFUNCTION("""COMPUTED_VALUE"""),"T262")</f>
        <v>T262</v>
      </c>
      <c r="B265">
        <f ca="1">IFERROR(__xludf.DUMMYFUNCTION("""COMPUTED_VALUE"""),256)</f>
        <v>256</v>
      </c>
      <c r="C265" t="str">
        <f ca="1">IFERROR(__xludf.DUMMYFUNCTION("""COMPUTED_VALUE"""),"Jeongwoo Ham")</f>
        <v>Jeongwoo Ham</v>
      </c>
      <c r="D265">
        <f ca="1">IFERROR(__xludf.DUMMYFUNCTION("""COMPUTED_VALUE"""),4)</f>
        <v>4</v>
      </c>
      <c r="E265" t="str">
        <f ca="1">IFERROR(__xludf.DUMMYFUNCTION("""COMPUTED_VALUE"""),"26' 4""")</f>
        <v>26' 4"</v>
      </c>
      <c r="F265">
        <f ca="1">IFERROR(__xludf.DUMMYFUNCTION("""COMPUTED_VALUE"""),237.333)</f>
        <v>237.333</v>
      </c>
      <c r="G265">
        <f ca="1">IFERROR(__xludf.DUMMYFUNCTION("""COMPUTED_VALUE"""),9)</f>
        <v>9</v>
      </c>
      <c r="H265" t="str">
        <f ca="1">IFERROR(__xludf.DUMMYFUNCTION("""COMPUTED_VALUE"""),"E")</f>
        <v>E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IFERROR(__xludf.DUMMYFUNCTION("""COMPUTED_VALUE"""),"Lucas Herbert")</f>
        <v>Lucas Herbert</v>
      </c>
      <c r="D266">
        <f ca="1">IFERROR(__xludf.DUMMYFUNCTION("""COMPUTED_VALUE"""),4)</f>
        <v>4</v>
      </c>
      <c r="E266" t="str">
        <f ca="1">IFERROR(__xludf.DUMMYFUNCTION("""COMPUTED_VALUE"""),"26' 5""")</f>
        <v>26' 5"</v>
      </c>
      <c r="F266">
        <f ca="1">IFERROR(__xludf.DUMMYFUNCTION("""COMPUTED_VALUE"""),185.083)</f>
        <v>185.083</v>
      </c>
      <c r="G266">
        <f ca="1">IFERROR(__xludf.DUMMYFUNCTION("""COMPUTED_VALUE"""),7)</f>
        <v>7</v>
      </c>
      <c r="H266" t="str">
        <f ca="1">IFERROR(__xludf.DUMMYFUNCTION("""COMPUTED_VALUE"""),"+5")</f>
        <v>+5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IFERROR(__xludf.DUMMYFUNCTION("""COMPUTED_VALUE"""),258)</f>
        <v>258</v>
      </c>
      <c r="C267" t="str">
        <f ca="1">IFERROR(__xludf.DUMMYFUNCTION("""COMPUTED_VALUE"""),"Taylor Pendrith")</f>
        <v>Taylor Pendrith</v>
      </c>
      <c r="D267">
        <f ca="1">IFERROR(__xludf.DUMMYFUNCTION("""COMPUTED_VALUE"""),4)</f>
        <v>4</v>
      </c>
      <c r="E267" t="str">
        <f ca="1">IFERROR(__xludf.DUMMYFUNCTION("""COMPUTED_VALUE"""),"26' 7""")</f>
        <v>26' 7"</v>
      </c>
      <c r="F267">
        <f ca="1">IFERROR(__xludf.DUMMYFUNCTION("""COMPUTED_VALUE"""),106.167)</f>
        <v>106.167</v>
      </c>
      <c r="G267">
        <f ca="1">IFERROR(__xludf.DUMMYFUNCTION("""COMPUTED_VALUE"""),4)</f>
        <v>4</v>
      </c>
      <c r="H267" t="str">
        <f ca="1">IFERROR(__xludf.DUMMYFUNCTION("""COMPUTED_VALUE"""),"E")</f>
        <v>E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IFERROR(__xludf.DUMMYFUNCTION("""COMPUTED_VALUE"""),"Jazz Janewattananond")</f>
        <v>Jazz Janewattananond</v>
      </c>
      <c r="D268">
        <f ca="1">IFERROR(__xludf.DUMMYFUNCTION("""COMPUTED_VALUE"""),6)</f>
        <v>6</v>
      </c>
      <c r="E268" t="str">
        <f ca="1">IFERROR(__xludf.DUMMYFUNCTION("""COMPUTED_VALUE"""),"27' 0""")</f>
        <v>27' 0"</v>
      </c>
      <c r="F268">
        <f ca="1">IFERROR(__xludf.DUMMYFUNCTION("""COMPUTED_VALUE"""),323.667)</f>
        <v>323.66699999999997</v>
      </c>
      <c r="G268">
        <f ca="1">IFERROR(__xludf.DUMMYFUNCTION("""COMPUTED_VALUE"""),12)</f>
        <v>12</v>
      </c>
      <c r="H268" t="str">
        <f ca="1">IFERROR(__xludf.DUMMYFUNCTION("""COMPUTED_VALUE"""),"+2")</f>
        <v>+2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IFERROR(__xludf.DUMMYFUNCTION("""COMPUTED_VALUE"""),"Jaekyeong Lee")</f>
        <v>Jaekyeong Lee</v>
      </c>
      <c r="D269">
        <f ca="1">IFERROR(__xludf.DUMMYFUNCTION("""COMPUTED_VALUE"""),4)</f>
        <v>4</v>
      </c>
      <c r="E269" t="str">
        <f ca="1">IFERROR(__xludf.DUMMYFUNCTION("""COMPUTED_VALUE"""),"27' 1""")</f>
        <v>27' 1"</v>
      </c>
      <c r="F269">
        <f ca="1">IFERROR(__xludf.DUMMYFUNCTION("""COMPUTED_VALUE"""),298)</f>
        <v>298</v>
      </c>
      <c r="G269">
        <f ca="1">IFERROR(__xludf.DUMMYFUNCTION("""COMPUTED_VALUE"""),11)</f>
        <v>11</v>
      </c>
      <c r="H269">
        <f ca="1">IFERROR(__xludf.DUMMYFUNCTION("""COMPUTED_VALUE"""),-1)</f>
        <v>-1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IFERROR(__xludf.DUMMYFUNCTION("""COMPUTED_VALUE"""),261)</f>
        <v>261</v>
      </c>
      <c r="C270" t="str">
        <f ca="1">IFERROR(__xludf.DUMMYFUNCTION("""COMPUTED_VALUE"""),"Kiradech Aphibarnrat")</f>
        <v>Kiradech Aphibarnrat</v>
      </c>
      <c r="D270">
        <f ca="1">IFERROR(__xludf.DUMMYFUNCTION("""COMPUTED_VALUE"""),12)</f>
        <v>12</v>
      </c>
      <c r="E270" t="str">
        <f ca="1">IFERROR(__xludf.DUMMYFUNCTION("""COMPUTED_VALUE"""),"27' 4""")</f>
        <v>27' 4"</v>
      </c>
      <c r="F270">
        <f ca="1">IFERROR(__xludf.DUMMYFUNCTION("""COMPUTED_VALUE"""),246.083)</f>
        <v>246.083</v>
      </c>
      <c r="G270">
        <f ca="1">IFERROR(__xludf.DUMMYFUNCTION("""COMPUTED_VALUE"""),9)</f>
        <v>9</v>
      </c>
      <c r="H270">
        <f ca="1">IFERROR(__xludf.DUMMYFUNCTION("""COMPUTED_VALUE"""),-3)</f>
        <v>-3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IFERROR(__xludf.DUMMYFUNCTION("""COMPUTED_VALUE"""),"Bernd Wiesberger")</f>
        <v>Bernd Wiesberger</v>
      </c>
      <c r="D271">
        <f ca="1">IFERROR(__xludf.DUMMYFUNCTION("""COMPUTED_VALUE"""),4)</f>
        <v>4</v>
      </c>
      <c r="E271" t="str">
        <f ca="1">IFERROR(__xludf.DUMMYFUNCTION("""COMPUTED_VALUE"""),"28' 9""")</f>
        <v>28' 9"</v>
      </c>
      <c r="F271">
        <f ca="1">IFERROR(__xludf.DUMMYFUNCTION("""COMPUTED_VALUE"""),229.833)</f>
        <v>229.833</v>
      </c>
      <c r="G271">
        <f ca="1">IFERROR(__xludf.DUMMYFUNCTION("""COMPUTED_VALUE"""),8)</f>
        <v>8</v>
      </c>
      <c r="H271" t="str">
        <f ca="1">IFERROR(__xludf.DUMMYFUNCTION("""COMPUTED_VALUE"""),"+2")</f>
        <v>+2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IFERROR(__xludf.DUMMYFUNCTION("""COMPUTED_VALUE"""),246)</f>
        <v>246</v>
      </c>
      <c r="C272" t="str">
        <f ca="1">IFERROR(__xludf.DUMMYFUNCTION("""COMPUTED_VALUE"""),"D.A. Points")</f>
        <v>D.A. Points</v>
      </c>
      <c r="D272">
        <f ca="1">IFERROR(__xludf.DUMMYFUNCTION("""COMPUTED_VALUE"""),12)</f>
        <v>12</v>
      </c>
      <c r="E272" t="str">
        <f ca="1">IFERROR(__xludf.DUMMYFUNCTION("""COMPUTED_VALUE"""),"28' 11""")</f>
        <v>28' 11"</v>
      </c>
      <c r="F272">
        <f ca="1">IFERROR(__xludf.DUMMYFUNCTION("""COMPUTED_VALUE"""),549.5)</f>
        <v>549.5</v>
      </c>
      <c r="G272">
        <f ca="1">IFERROR(__xludf.DUMMYFUNCTION("""COMPUTED_VALUE"""),19)</f>
        <v>19</v>
      </c>
      <c r="H272" t="str">
        <f ca="1">IFERROR(__xludf.DUMMYFUNCTION("""COMPUTED_VALUE"""),"+5")</f>
        <v>+5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IFERROR(__xludf.DUMMYFUNCTION("""COMPUTED_VALUE"""),"Alex Cejka")</f>
        <v>Alex Cejka</v>
      </c>
      <c r="D273">
        <f ca="1">IFERROR(__xludf.DUMMYFUNCTION("""COMPUTED_VALUE"""),6)</f>
        <v>6</v>
      </c>
      <c r="E273" t="str">
        <f ca="1">IFERROR(__xludf.DUMMYFUNCTION("""COMPUTED_VALUE"""),"30' 0""")</f>
        <v>30' 0"</v>
      </c>
      <c r="F273">
        <f ca="1">IFERROR(__xludf.DUMMYFUNCTION("""COMPUTED_VALUE"""),150.083)</f>
        <v>150.083</v>
      </c>
      <c r="G273">
        <f ca="1">IFERROR(__xludf.DUMMYFUNCTION("""COMPUTED_VALUE"""),5)</f>
        <v>5</v>
      </c>
      <c r="H273" t="str">
        <f ca="1">IFERROR(__xludf.DUMMYFUNCTION("""COMPUTED_VALUE"""),"E")</f>
        <v>E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IFERROR(__xludf.DUMMYFUNCTION("""COMPUTED_VALUE"""),"Luke Schniederjans")</f>
        <v>Luke Schniederjans</v>
      </c>
      <c r="D274">
        <f ca="1">IFERROR(__xludf.DUMMYFUNCTION("""COMPUTED_VALUE"""),4)</f>
        <v>4</v>
      </c>
      <c r="E274" t="str">
        <f ca="1">IFERROR(__xludf.DUMMYFUNCTION("""COMPUTED_VALUE"""),"31' 11""")</f>
        <v>31' 11"</v>
      </c>
      <c r="F274">
        <f ca="1">IFERROR(__xludf.DUMMYFUNCTION("""COMPUTED_VALUE"""),191.5)</f>
        <v>191.5</v>
      </c>
      <c r="G274">
        <f ca="1">IFERROR(__xludf.DUMMYFUNCTION("""COMPUTED_VALUE"""),6)</f>
        <v>6</v>
      </c>
      <c r="H274" t="str">
        <f ca="1">IFERROR(__xludf.DUMMYFUNCTION("""COMPUTED_VALUE"""),"E")</f>
        <v>E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IFERROR(__xludf.DUMMYFUNCTION("""COMPUTED_VALUE"""),"Zack Sucher")</f>
        <v>Zack Sucher</v>
      </c>
      <c r="D275">
        <f ca="1">IFERROR(__xludf.DUMMYFUNCTION("""COMPUTED_VALUE"""),6)</f>
        <v>6</v>
      </c>
      <c r="E275" t="str">
        <f ca="1">IFERROR(__xludf.DUMMYFUNCTION("""COMPUTED_VALUE"""),"34' 2""")</f>
        <v>34' 2"</v>
      </c>
      <c r="F275">
        <f ca="1">IFERROR(__xludf.DUMMYFUNCTION("""COMPUTED_VALUE"""),136.5)</f>
        <v>136.5</v>
      </c>
      <c r="G275">
        <f ca="1">IFERROR(__xludf.DUMMYFUNCTION("""COMPUTED_VALUE"""),4)</f>
        <v>4</v>
      </c>
      <c r="H275" t="str">
        <f ca="1">IFERROR(__xludf.DUMMYFUNCTION("""COMPUTED_VALUE"""),"+1")</f>
        <v>+1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IFERROR(__xludf.DUMMYFUNCTION("""COMPUTED_VALUE"""),"Rasmus Hojgaard")</f>
        <v>Rasmus Hojgaard</v>
      </c>
      <c r="D276">
        <f ca="1">IFERROR(__xludf.DUMMYFUNCTION("""COMPUTED_VALUE"""),6)</f>
        <v>6</v>
      </c>
      <c r="E276" t="str">
        <f ca="1">IFERROR(__xludf.DUMMYFUNCTION("""COMPUTED_VALUE"""),"34' 11""")</f>
        <v>34' 11"</v>
      </c>
      <c r="F276">
        <f ca="1">IFERROR(__xludf.DUMMYFUNCTION("""COMPUTED_VALUE"""),139.667)</f>
        <v>139.667</v>
      </c>
      <c r="G276">
        <f ca="1">IFERROR(__xludf.DUMMYFUNCTION("""COMPUTED_VALUE"""),4)</f>
        <v>4</v>
      </c>
      <c r="H276" t="str">
        <f ca="1">IFERROR(__xludf.DUMMYFUNCTION("""COMPUTED_VALUE"""),"+3")</f>
        <v>+3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IFERROR(__xludf.DUMMYFUNCTION("""COMPUTED_VALUE"""),"Kurt Kitayama")</f>
        <v>Kurt Kitayama</v>
      </c>
      <c r="D277">
        <f ca="1">IFERROR(__xludf.DUMMYFUNCTION("""COMPUTED_VALUE"""),4)</f>
        <v>4</v>
      </c>
      <c r="E277" t="str">
        <f ca="1">IFERROR(__xludf.DUMMYFUNCTION("""COMPUTED_VALUE"""),"41' 2""")</f>
        <v>41' 2"</v>
      </c>
      <c r="F277">
        <f ca="1">IFERROR(__xludf.DUMMYFUNCTION("""COMPUTED_VALUE"""),82.25)</f>
        <v>82.25</v>
      </c>
      <c r="G277">
        <f ca="1">IFERROR(__xludf.DUMMYFUNCTION("""COMPUTED_VALUE"""),2)</f>
        <v>2</v>
      </c>
      <c r="H277" t="str">
        <f ca="1">IFERROR(__xludf.DUMMYFUNCTION("""COMPUTED_VALUE"""),"E")</f>
        <v>E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IFERROR(__xludf.DUMMYFUNCTION("importhtml(""http://www.pgatour.com/stats/stat.339.html"",""table"",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IFERROR(__xludf.DUMMYFUNCTION("""COMPUTED_VALUE"""),2)</f>
        <v>2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 t="str">
        <f ca="1">IFERROR(__xludf.DUMMYFUNCTION("""COMPUTED_VALUE"""),"11' 11""")</f>
        <v>11' 11"</v>
      </c>
      <c r="F2">
        <f ca="1">IFERROR(__xludf.DUMMYFUNCTION("""COMPUTED_VALUE"""),142.75)</f>
        <v>142.75</v>
      </c>
      <c r="G2">
        <f ca="1">IFERROR(__xludf.DUMMYFUNCTION("""COMPUTED_VALUE"""),12)</f>
        <v>12</v>
      </c>
      <c r="H2">
        <f ca="1">IFERROR(__xludf.DUMMYFUNCTION("""COMPUTED_VALUE"""),-3)</f>
        <v>-3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IFERROR(__xludf.DUMMYFUNCTION("""COMPUTED_VALUE"""),4)</f>
        <v>4</v>
      </c>
      <c r="C3" t="str">
        <f ca="1">IFERROR(__xludf.DUMMYFUNCTION("""COMPUTED_VALUE"""),"Rafael Campos")</f>
        <v>Rafael Campos</v>
      </c>
      <c r="D3">
        <f ca="1">IFERROR(__xludf.DUMMYFUNCTION("""COMPUTED_VALUE"""),6)</f>
        <v>6</v>
      </c>
      <c r="E3" t="str">
        <f ca="1">IFERROR(__xludf.DUMMYFUNCTION("""COMPUTED_VALUE"""),"13' 9""")</f>
        <v>13' 9"</v>
      </c>
      <c r="F3">
        <f ca="1">IFERROR(__xludf.DUMMYFUNCTION("""COMPUTED_VALUE"""),68.667)</f>
        <v>68.667000000000002</v>
      </c>
      <c r="G3">
        <f ca="1">IFERROR(__xludf.DUMMYFUNCTION("""COMPUTED_VALUE"""),5)</f>
        <v>5</v>
      </c>
      <c r="H3">
        <f ca="1">IFERROR(__xludf.DUMMYFUNCTION("""COMPUTED_VALUE"""),-3)</f>
        <v>-3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IFERROR(__xludf.DUMMYFUNCTION("""COMPUTED_VALUE"""),"Ben Taylor")</f>
        <v>Ben Taylor</v>
      </c>
      <c r="D4">
        <f ca="1">IFERROR(__xludf.DUMMYFUNCTION("""COMPUTED_VALUE"""),10)</f>
        <v>10</v>
      </c>
      <c r="E4" t="str">
        <f ca="1">IFERROR(__xludf.DUMMYFUNCTION("""COMPUTED_VALUE"""),"14' 0""")</f>
        <v>14' 0"</v>
      </c>
      <c r="F4">
        <f ca="1">IFERROR(__xludf.DUMMYFUNCTION("""COMPUTED_VALUE"""),98.167)</f>
        <v>98.167000000000002</v>
      </c>
      <c r="G4">
        <f ca="1">IFERROR(__xludf.DUMMYFUNCTION("""COMPUTED_VALUE"""),7)</f>
        <v>7</v>
      </c>
      <c r="H4">
        <f ca="1">IFERROR(__xludf.DUMMYFUNCTION("""COMPUTED_VALUE"""),-2)</f>
        <v>-2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IFERROR(__xludf.DUMMYFUNCTION("""COMPUTED_VALUE"""),"Hanbyeol Kim")</f>
        <v>Hanbyeol Kim</v>
      </c>
      <c r="D5">
        <f ca="1">IFERROR(__xludf.DUMMYFUNCTION("""COMPUTED_VALUE"""),4)</f>
        <v>4</v>
      </c>
      <c r="E5" t="str">
        <f ca="1">IFERROR(__xludf.DUMMYFUNCTION("""COMPUTED_VALUE"""),"14' 2""")</f>
        <v>14' 2"</v>
      </c>
      <c r="F5">
        <f ca="1">IFERROR(__xludf.DUMMYFUNCTION("""COMPUTED_VALUE"""),99.083)</f>
        <v>99.082999999999998</v>
      </c>
      <c r="G5">
        <f ca="1">IFERROR(__xludf.DUMMYFUNCTION("""COMPUTED_VALUE"""),7)</f>
        <v>7</v>
      </c>
      <c r="H5">
        <f ca="1">IFERROR(__xludf.DUMMYFUNCTION("""COMPUTED_VALUE"""),-3)</f>
        <v>-3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IFERROR(__xludf.DUMMYFUNCTION("""COMPUTED_VALUE"""),1)</f>
        <v>1</v>
      </c>
      <c r="C6" t="str">
        <f ca="1">IFERROR(__xludf.DUMMYFUNCTION("""COMPUTED_VALUE"""),"Patrick Rodgers")</f>
        <v>Patrick Rodgers</v>
      </c>
      <c r="D6">
        <f ca="1">IFERROR(__xludf.DUMMYFUNCTION("""COMPUTED_VALUE"""),18)</f>
        <v>18</v>
      </c>
      <c r="E6" t="str">
        <f ca="1">IFERROR(__xludf.DUMMYFUNCTION("""COMPUTED_VALUE"""),"15' 0""")</f>
        <v>15' 0"</v>
      </c>
      <c r="F6">
        <f ca="1">IFERROR(__xludf.DUMMYFUNCTION("""COMPUTED_VALUE"""),105.167)</f>
        <v>105.167</v>
      </c>
      <c r="G6">
        <f ca="1">IFERROR(__xludf.DUMMYFUNCTION("""COMPUTED_VALUE"""),7)</f>
        <v>7</v>
      </c>
      <c r="H6">
        <f ca="1">IFERROR(__xludf.DUMMYFUNCTION("""COMPUTED_VALUE"""),-3)</f>
        <v>-3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IFERROR(__xludf.DUMMYFUNCTION("""COMPUTED_VALUE"""),16)</f>
        <v>16</v>
      </c>
      <c r="C7" t="str">
        <f ca="1">IFERROR(__xludf.DUMMYFUNCTION("""COMPUTED_VALUE"""),"Tom Hoge")</f>
        <v>Tom Hoge</v>
      </c>
      <c r="D7">
        <f ca="1">IFERROR(__xludf.DUMMYFUNCTION("""COMPUTED_VALUE"""),22)</f>
        <v>22</v>
      </c>
      <c r="E7" t="str">
        <f ca="1">IFERROR(__xludf.DUMMYFUNCTION("""COMPUTED_VALUE"""),"15' 6""")</f>
        <v>15' 6"</v>
      </c>
      <c r="F7">
        <f ca="1">IFERROR(__xludf.DUMMYFUNCTION("""COMPUTED_VALUE"""),634.417)</f>
        <v>634.41700000000003</v>
      </c>
      <c r="G7">
        <f ca="1">IFERROR(__xludf.DUMMYFUNCTION("""COMPUTED_VALUE"""),41)</f>
        <v>41</v>
      </c>
      <c r="H7">
        <f ca="1">IFERROR(__xludf.DUMMYFUNCTION("""COMPUTED_VALUE"""),-16)</f>
        <v>-16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IFERROR(__xludf.DUMMYFUNCTION("""COMPUTED_VALUE"""),13)</f>
        <v>13</v>
      </c>
      <c r="C8" t="str">
        <f ca="1">IFERROR(__xludf.DUMMYFUNCTION("""COMPUTED_VALUE"""),"Wesley Bryan")</f>
        <v>Wesley Bryan</v>
      </c>
      <c r="D8">
        <f ca="1">IFERROR(__xludf.DUMMYFUNCTION("""COMPUTED_VALUE"""),8)</f>
        <v>8</v>
      </c>
      <c r="E8" t="str">
        <f ca="1">IFERROR(__xludf.DUMMYFUNCTION("""COMPUTED_VALUE"""),"15' 7""")</f>
        <v>15' 7"</v>
      </c>
      <c r="F8">
        <f ca="1">IFERROR(__xludf.DUMMYFUNCTION("""COMPUTED_VALUE"""),218.417)</f>
        <v>218.417</v>
      </c>
      <c r="G8">
        <f ca="1">IFERROR(__xludf.DUMMYFUNCTION("""COMPUTED_VALUE"""),14)</f>
        <v>14</v>
      </c>
      <c r="H8">
        <f ca="1">IFERROR(__xludf.DUMMYFUNCTION("""COMPUTED_VALUE"""),-5)</f>
        <v>-5</v>
      </c>
    </row>
    <row r="9" spans="1:8" ht="15.75" customHeight="1">
      <c r="A9" t="str">
        <f ca="1">IFERROR(__xludf.DUMMYFUNCTION("""COMPUTED_VALUE"""),"T8")</f>
        <v>T8</v>
      </c>
      <c r="B9">
        <f ca="1">IFERROR(__xludf.DUMMYFUNCTION("""COMPUTED_VALUE"""),20)</f>
        <v>20</v>
      </c>
      <c r="C9" t="str">
        <f ca="1">IFERROR(__xludf.DUMMYFUNCTION("""COMPUTED_VALUE"""),"Ryan Armour")</f>
        <v>Ryan Armour</v>
      </c>
      <c r="D9">
        <f ca="1">IFERROR(__xludf.DUMMYFUNCTION("""COMPUTED_VALUE"""),16)</f>
        <v>16</v>
      </c>
      <c r="E9" t="str">
        <f ca="1">IFERROR(__xludf.DUMMYFUNCTION("""COMPUTED_VALUE"""),"15' 11""")</f>
        <v>15' 11"</v>
      </c>
      <c r="F9">
        <f ca="1">IFERROR(__xludf.DUMMYFUNCTION("""COMPUTED_VALUE"""),397.917)</f>
        <v>397.91699999999997</v>
      </c>
      <c r="G9">
        <f ca="1">IFERROR(__xludf.DUMMYFUNCTION("""COMPUTED_VALUE"""),25)</f>
        <v>25</v>
      </c>
      <c r="H9">
        <f ca="1">IFERROR(__xludf.DUMMYFUNCTION("""COMPUTED_VALUE"""),-9)</f>
        <v>-9</v>
      </c>
    </row>
    <row r="10" spans="1:8" ht="15.75" customHeight="1">
      <c r="A10" t="str">
        <f ca="1">IFERROR(__xludf.DUMMYFUNCTION("""COMPUTED_VALUE"""),"T8")</f>
        <v>T8</v>
      </c>
      <c r="B10">
        <f ca="1">IFERROR(__xludf.DUMMYFUNCTION("""COMPUTED_VALUE"""),14)</f>
        <v>14</v>
      </c>
      <c r="C10" t="str">
        <f ca="1">IFERROR(__xludf.DUMMYFUNCTION("""COMPUTED_VALUE"""),"Ricky Barnes")</f>
        <v>Ricky Barnes</v>
      </c>
      <c r="D10">
        <f ca="1">IFERROR(__xludf.DUMMYFUNCTION("""COMPUTED_VALUE"""),12)</f>
        <v>12</v>
      </c>
      <c r="E10" t="str">
        <f ca="1">IFERROR(__xludf.DUMMYFUNCTION("""COMPUTED_VALUE"""),"15' 11""")</f>
        <v>15' 11"</v>
      </c>
      <c r="F10">
        <f ca="1">IFERROR(__xludf.DUMMYFUNCTION("""COMPUTED_VALUE"""),79.583)</f>
        <v>79.582999999999998</v>
      </c>
      <c r="G10">
        <f ca="1">IFERROR(__xludf.DUMMYFUNCTION("""COMPUTED_VALUE"""),5)</f>
        <v>5</v>
      </c>
      <c r="H10">
        <f ca="1">IFERROR(__xludf.DUMMYFUNCTION("""COMPUTED_VALUE"""),-2)</f>
        <v>-2</v>
      </c>
    </row>
    <row r="11" spans="1:8" ht="15.75" customHeight="1">
      <c r="A11">
        <f ca="1">IFERROR(__xludf.DUMMYFUNCTION("""COMPUTED_VALUE"""),10)</f>
        <v>10</v>
      </c>
      <c r="B11" t="str">
        <f ca="1">IFERROR(__xludf.DUMMYFUNCTION("""COMPUTED_VALUE"""),"T10")</f>
        <v>T10</v>
      </c>
      <c r="C11" t="str">
        <f ca="1">IFERROR(__xludf.DUMMYFUNCTION("""COMPUTED_VALUE"""),"Lanto Griffin")</f>
        <v>Lanto Griffin</v>
      </c>
      <c r="D11">
        <f ca="1">IFERROR(__xludf.DUMMYFUNCTION("""COMPUTED_VALUE"""),18)</f>
        <v>18</v>
      </c>
      <c r="E11" t="str">
        <f ca="1">IFERROR(__xludf.DUMMYFUNCTION("""COMPUTED_VALUE"""),"16' 0""")</f>
        <v>16' 0"</v>
      </c>
      <c r="F11">
        <f ca="1">IFERROR(__xludf.DUMMYFUNCTION("""COMPUTED_VALUE"""),720.25)</f>
        <v>720.25</v>
      </c>
      <c r="G11">
        <f ca="1">IFERROR(__xludf.DUMMYFUNCTION("""COMPUTED_VALUE"""),45)</f>
        <v>45</v>
      </c>
      <c r="H11">
        <f ca="1">IFERROR(__xludf.DUMMYFUNCTION("""COMPUTED_VALUE"""),-14)</f>
        <v>-14</v>
      </c>
    </row>
    <row r="12" spans="1:8" ht="15.75" customHeight="1">
      <c r="A12" t="str">
        <f ca="1">IFERROR(__xludf.DUMMYFUNCTION("""COMPUTED_VALUE"""),"T11")</f>
        <v>T11</v>
      </c>
      <c r="B12" t="str">
        <f ca="1">IFERROR(__xludf.DUMMYFUNCTION("""COMPUTED_VALUE"""),"T17")</f>
        <v>T17</v>
      </c>
      <c r="C12" t="str">
        <f ca="1">IFERROR(__xludf.DUMMYFUNCTION("""COMPUTED_VALUE"""),"Renato Paratore")</f>
        <v>Renato Paratore</v>
      </c>
      <c r="D12">
        <f ca="1">IFERROR(__xludf.DUMMYFUNCTION("""COMPUTED_VALUE"""),4)</f>
        <v>4</v>
      </c>
      <c r="E12" t="str">
        <f ca="1">IFERROR(__xludf.DUMMYFUNCTION("""COMPUTED_VALUE"""),"16' 4""")</f>
        <v>16' 4"</v>
      </c>
      <c r="F12">
        <f ca="1">IFERROR(__xludf.DUMMYFUNCTION("""COMPUTED_VALUE"""),114.583)</f>
        <v>114.583</v>
      </c>
      <c r="G12">
        <f ca="1">IFERROR(__xludf.DUMMYFUNCTION("""COMPUTED_VALUE"""),7)</f>
        <v>7</v>
      </c>
      <c r="H12">
        <f ca="1">IFERROR(__xludf.DUMMYFUNCTION("""COMPUTED_VALUE"""),-2)</f>
        <v>-2</v>
      </c>
    </row>
    <row r="13" spans="1:8" ht="15.75" customHeight="1">
      <c r="A13" t="str">
        <f ca="1">IFERROR(__xludf.DUMMYFUNCTION("""COMPUTED_VALUE"""),"T11")</f>
        <v>T11</v>
      </c>
      <c r="B13">
        <f ca="1">IFERROR(__xludf.DUMMYFUNCTION("""COMPUTED_VALUE"""),29)</f>
        <v>29</v>
      </c>
      <c r="C13" t="str">
        <f ca="1">IFERROR(__xludf.DUMMYFUNCTION("""COMPUTED_VALUE"""),"David Hearn")</f>
        <v>David Hearn</v>
      </c>
      <c r="D13">
        <f ca="1">IFERROR(__xludf.DUMMYFUNCTION("""COMPUTED_VALUE"""),16)</f>
        <v>16</v>
      </c>
      <c r="E13" t="str">
        <f ca="1">IFERROR(__xludf.DUMMYFUNCTION("""COMPUTED_VALUE"""),"16' 4""")</f>
        <v>16' 4"</v>
      </c>
      <c r="F13">
        <f ca="1">IFERROR(__xludf.DUMMYFUNCTION("""COMPUTED_VALUE"""),375.167)</f>
        <v>375.16699999999997</v>
      </c>
      <c r="G13">
        <f ca="1">IFERROR(__xludf.DUMMYFUNCTION("""COMPUTED_VALUE"""),23)</f>
        <v>23</v>
      </c>
      <c r="H13">
        <f ca="1">IFERROR(__xludf.DUMMYFUNCTION("""COMPUTED_VALUE"""),-5)</f>
        <v>-5</v>
      </c>
    </row>
    <row r="14" spans="1:8" ht="15.75" customHeight="1">
      <c r="A14" t="str">
        <f ca="1">IFERROR(__xludf.DUMMYFUNCTION("""COMPUTED_VALUE"""),"T11")</f>
        <v>T11</v>
      </c>
      <c r="B14" t="str">
        <f ca="1">IFERROR(__xludf.DUMMYFUNCTION("""COMPUTED_VALUE"""),"T17")</f>
        <v>T17</v>
      </c>
      <c r="C14" t="str">
        <f ca="1">IFERROR(__xludf.DUMMYFUNCTION("""COMPUTED_VALUE"""),"K.J. Choi")</f>
        <v>K.J. Choi</v>
      </c>
      <c r="D14">
        <f ca="1">IFERROR(__xludf.DUMMYFUNCTION("""COMPUTED_VALUE"""),6)</f>
        <v>6</v>
      </c>
      <c r="E14" t="str">
        <f ca="1">IFERROR(__xludf.DUMMYFUNCTION("""COMPUTED_VALUE"""),"16' 4""")</f>
        <v>16' 4"</v>
      </c>
      <c r="F14">
        <f ca="1">IFERROR(__xludf.DUMMYFUNCTION("""COMPUTED_VALUE"""),228.25)</f>
        <v>228.25</v>
      </c>
      <c r="G14">
        <f ca="1">IFERROR(__xludf.DUMMYFUNCTION("""COMPUTED_VALUE"""),14)</f>
        <v>14</v>
      </c>
      <c r="H14">
        <f ca="1">IFERROR(__xludf.DUMMYFUNCTION("""COMPUTED_VALUE"""),-1)</f>
        <v>-1</v>
      </c>
    </row>
    <row r="15" spans="1:8" ht="15.75" customHeight="1">
      <c r="A15" t="str">
        <f ca="1">IFERROR(__xludf.DUMMYFUNCTION("""COMPUTED_VALUE"""),"T11")</f>
        <v>T11</v>
      </c>
      <c r="B15">
        <f ca="1">IFERROR(__xludf.DUMMYFUNCTION("""COMPUTED_VALUE"""),9)</f>
        <v>9</v>
      </c>
      <c r="C15" t="str">
        <f ca="1">IFERROR(__xludf.DUMMYFUNCTION("""COMPUTED_VALUE"""),"Russell Knox")</f>
        <v>Russell Knox</v>
      </c>
      <c r="D15">
        <f ca="1">IFERROR(__xludf.DUMMYFUNCTION("""COMPUTED_VALUE"""),16)</f>
        <v>16</v>
      </c>
      <c r="E15" t="str">
        <f ca="1">IFERROR(__xludf.DUMMYFUNCTION("""COMPUTED_VALUE"""),"16' 4""")</f>
        <v>16' 4"</v>
      </c>
      <c r="F15">
        <f ca="1">IFERROR(__xludf.DUMMYFUNCTION("""COMPUTED_VALUE"""),522.25)</f>
        <v>522.25</v>
      </c>
      <c r="G15">
        <f ca="1">IFERROR(__xludf.DUMMYFUNCTION("""COMPUTED_VALUE"""),32)</f>
        <v>32</v>
      </c>
      <c r="H15">
        <f ca="1">IFERROR(__xludf.DUMMYFUNCTION("""COMPUTED_VALUE"""),-7)</f>
        <v>-7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IFERROR(__xludf.DUMMYFUNCTION("""COMPUTED_VALUE"""),19)</f>
        <v>19</v>
      </c>
      <c r="C16" t="str">
        <f ca="1">IFERROR(__xludf.DUMMYFUNCTION("""COMPUTED_VALUE"""),"J.J. Spaun")</f>
        <v>J.J. Spaun</v>
      </c>
      <c r="D16">
        <f ca="1">IFERROR(__xludf.DUMMYFUNCTION("""COMPUTED_VALUE"""),10)</f>
        <v>10</v>
      </c>
      <c r="E16" t="str">
        <f ca="1">IFERROR(__xludf.DUMMYFUNCTION("""COMPUTED_VALUE"""),"16' 5""")</f>
        <v>16' 5"</v>
      </c>
      <c r="F16">
        <f ca="1">IFERROR(__xludf.DUMMYFUNCTION("""COMPUTED_VALUE"""),296.083)</f>
        <v>296.08300000000003</v>
      </c>
      <c r="G16">
        <f ca="1">IFERROR(__xludf.DUMMYFUNCTION("""COMPUTED_VALUE"""),18)</f>
        <v>18</v>
      </c>
      <c r="H16">
        <f ca="1">IFERROR(__xludf.DUMMYFUNCTION("""COMPUTED_VALUE"""),-6)</f>
        <v>-6</v>
      </c>
    </row>
    <row r="17" spans="1:8" ht="15.75" customHeight="1">
      <c r="A17">
        <f ca="1">IFERROR(__xludf.DUMMYFUNCTION("""COMPUTED_VALUE"""),16)</f>
        <v>16</v>
      </c>
      <c r="B17">
        <f ca="1">IFERROR(__xludf.DUMMYFUNCTION("""COMPUTED_VALUE"""),21)</f>
        <v>21</v>
      </c>
      <c r="C17" t="str">
        <f ca="1">IFERROR(__xludf.DUMMYFUNCTION("""COMPUTED_VALUE"""),"Justin Suh")</f>
        <v>Justin Suh</v>
      </c>
      <c r="D17">
        <f ca="1">IFERROR(__xludf.DUMMYFUNCTION("""COMPUTED_VALUE"""),10)</f>
        <v>10</v>
      </c>
      <c r="E17" t="str">
        <f ca="1">IFERROR(__xludf.DUMMYFUNCTION("""COMPUTED_VALUE"""),"16' 9""")</f>
        <v>16' 9"</v>
      </c>
      <c r="F17">
        <f ca="1">IFERROR(__xludf.DUMMYFUNCTION("""COMPUTED_VALUE"""),150.833)</f>
        <v>150.833</v>
      </c>
      <c r="G17">
        <f ca="1">IFERROR(__xludf.DUMMYFUNCTION("""COMPUTED_VALUE"""),9)</f>
        <v>9</v>
      </c>
      <c r="H17">
        <f ca="1">IFERROR(__xludf.DUMMYFUNCTION("""COMPUTED_VALUE"""),-5)</f>
        <v>-5</v>
      </c>
    </row>
    <row r="18" spans="1:8" ht="15.75" customHeight="1">
      <c r="A18" t="str">
        <f ca="1">IFERROR(__xludf.DUMMYFUNCTION("""COMPUTED_VALUE"""),"T17")</f>
        <v>T17</v>
      </c>
      <c r="B18" t="str">
        <f ca="1">IFERROR(__xludf.DUMMYFUNCTION("""COMPUTED_VALUE"""),"T23")</f>
        <v>T23</v>
      </c>
      <c r="C18" t="str">
        <f ca="1">IFERROR(__xludf.DUMMYFUNCTION("""COMPUTED_VALUE"""),"Roger Sloan")</f>
        <v>Roger Sloan</v>
      </c>
      <c r="D18">
        <f ca="1">IFERROR(__xludf.DUMMYFUNCTION("""COMPUTED_VALUE"""),12)</f>
        <v>12</v>
      </c>
      <c r="E18" t="str">
        <f ca="1">IFERROR(__xludf.DUMMYFUNCTION("""COMPUTED_VALUE"""),"16' 11""")</f>
        <v>16' 11"</v>
      </c>
      <c r="F18">
        <f ca="1">IFERROR(__xludf.DUMMYFUNCTION("""COMPUTED_VALUE"""),152)</f>
        <v>152</v>
      </c>
      <c r="G18">
        <f ca="1">IFERROR(__xludf.DUMMYFUNCTION("""COMPUTED_VALUE"""),9)</f>
        <v>9</v>
      </c>
      <c r="H18">
        <f ca="1">IFERROR(__xludf.DUMMYFUNCTION("""COMPUTED_VALUE"""),-1)</f>
        <v>-1</v>
      </c>
    </row>
    <row r="19" spans="1:8" ht="15.75" customHeight="1">
      <c r="A19" t="str">
        <f ca="1">IFERROR(__xludf.DUMMYFUNCTION("""COMPUTED_VALUE"""),"T17")</f>
        <v>T17</v>
      </c>
      <c r="B19" t="str">
        <f ca="1">IFERROR(__xludf.DUMMYFUNCTION("""COMPUTED_VALUE"""),"T23")</f>
        <v>T23</v>
      </c>
      <c r="C19" t="str">
        <f ca="1">IFERROR(__xludf.DUMMYFUNCTION("""COMPUTED_VALUE"""),"Bubba Watson")</f>
        <v>Bubba Watson</v>
      </c>
      <c r="D19">
        <f ca="1">IFERROR(__xludf.DUMMYFUNCTION("""COMPUTED_VALUE"""),12)</f>
        <v>12</v>
      </c>
      <c r="E19" t="str">
        <f ca="1">IFERROR(__xludf.DUMMYFUNCTION("""COMPUTED_VALUE"""),"16' 11""")</f>
        <v>16' 11"</v>
      </c>
      <c r="F19">
        <f ca="1">IFERROR(__xludf.DUMMYFUNCTION("""COMPUTED_VALUE"""),355.083)</f>
        <v>355.08300000000003</v>
      </c>
      <c r="G19">
        <f ca="1">IFERROR(__xludf.DUMMYFUNCTION("""COMPUTED_VALUE"""),21)</f>
        <v>21</v>
      </c>
      <c r="H19">
        <f ca="1">IFERROR(__xludf.DUMMYFUNCTION("""COMPUTED_VALUE"""),-4)</f>
        <v>-4</v>
      </c>
    </row>
    <row r="20" spans="1:8" ht="15.75" customHeight="1">
      <c r="A20">
        <f ca="1">IFERROR(__xludf.DUMMYFUNCTION("""COMPUTED_VALUE"""),19)</f>
        <v>19</v>
      </c>
      <c r="B20" t="str">
        <f ca="1">IFERROR(__xludf.DUMMYFUNCTION("""COMPUTED_VALUE"""),"T33")</f>
        <v>T33</v>
      </c>
      <c r="C20" t="str">
        <f ca="1">IFERROR(__xludf.DUMMYFUNCTION("""COMPUTED_VALUE"""),"Russell Henley")</f>
        <v>Russell Henley</v>
      </c>
      <c r="D20">
        <f ca="1">IFERROR(__xludf.DUMMYFUNCTION("""COMPUTED_VALUE"""),16)</f>
        <v>16</v>
      </c>
      <c r="E20" t="str">
        <f ca="1">IFERROR(__xludf.DUMMYFUNCTION("""COMPUTED_VALUE"""),"17' 1""")</f>
        <v>17' 1"</v>
      </c>
      <c r="F20">
        <f ca="1">IFERROR(__xludf.DUMMYFUNCTION("""COMPUTED_VALUE"""),665.917)</f>
        <v>665.91700000000003</v>
      </c>
      <c r="G20">
        <f ca="1">IFERROR(__xludf.DUMMYFUNCTION("""COMPUTED_VALUE"""),39)</f>
        <v>39</v>
      </c>
      <c r="H20">
        <f ca="1">IFERROR(__xludf.DUMMYFUNCTION("""COMPUTED_VALUE"""),-12)</f>
        <v>-12</v>
      </c>
    </row>
    <row r="21" spans="1:8" ht="15.75" customHeight="1">
      <c r="A21">
        <f ca="1">IFERROR(__xludf.DUMMYFUNCTION("""COMPUTED_VALUE"""),20)</f>
        <v>20</v>
      </c>
      <c r="B21" t="str">
        <f ca="1">IFERROR(__xludf.DUMMYFUNCTION("""COMPUTED_VALUE"""),"T27")</f>
        <v>T27</v>
      </c>
      <c r="C21" t="str">
        <f ca="1">IFERROR(__xludf.DUMMYFUNCTION("""COMPUTED_VALUE"""),"Nelson Ledesma")</f>
        <v>Nelson Ledesma</v>
      </c>
      <c r="D21">
        <f ca="1">IFERROR(__xludf.DUMMYFUNCTION("""COMPUTED_VALUE"""),8)</f>
        <v>8</v>
      </c>
      <c r="E21" t="str">
        <f ca="1">IFERROR(__xludf.DUMMYFUNCTION("""COMPUTED_VALUE"""),"17' 2""")</f>
        <v>17' 2"</v>
      </c>
      <c r="F21">
        <f ca="1">IFERROR(__xludf.DUMMYFUNCTION("""COMPUTED_VALUE"""),206.083)</f>
        <v>206.083</v>
      </c>
      <c r="G21">
        <f ca="1">IFERROR(__xludf.DUMMYFUNCTION("""COMPUTED_VALUE"""),12)</f>
        <v>12</v>
      </c>
      <c r="H21">
        <f ca="1">IFERROR(__xludf.DUMMYFUNCTION("""COMPUTED_VALUE"""),-6)</f>
        <v>-6</v>
      </c>
    </row>
    <row r="22" spans="1:8" ht="15.75" customHeight="1">
      <c r="A22" t="str">
        <f ca="1">IFERROR(__xludf.DUMMYFUNCTION("""COMPUTED_VALUE"""),"T21")</f>
        <v>T21</v>
      </c>
      <c r="B22" t="str">
        <f ca="1">IFERROR(__xludf.DUMMYFUNCTION("""COMPUTED_VALUE"""),"T30")</f>
        <v>T30</v>
      </c>
      <c r="C22" t="str">
        <f ca="1">IFERROR(__xludf.DUMMYFUNCTION("""COMPUTED_VALUE"""),"Steve Lewton")</f>
        <v>Steve Lewton</v>
      </c>
      <c r="D22">
        <f ca="1">IFERROR(__xludf.DUMMYFUNCTION("""COMPUTED_VALUE"""),4)</f>
        <v>4</v>
      </c>
      <c r="E22" t="str">
        <f ca="1">IFERROR(__xludf.DUMMYFUNCTION("""COMPUTED_VALUE"""),"17' 4""")</f>
        <v>17' 4"</v>
      </c>
      <c r="F22">
        <f ca="1">IFERROR(__xludf.DUMMYFUNCTION("""COMPUTED_VALUE"""),173)</f>
        <v>173</v>
      </c>
      <c r="G22">
        <f ca="1">IFERROR(__xludf.DUMMYFUNCTION("""COMPUTED_VALUE"""),10)</f>
        <v>10</v>
      </c>
      <c r="H22">
        <f ca="1">IFERROR(__xludf.DUMMYFUNCTION("""COMPUTED_VALUE"""),-3)</f>
        <v>-3</v>
      </c>
    </row>
    <row r="23" spans="1:8" ht="15.75" customHeight="1">
      <c r="A23" t="str">
        <f ca="1">IFERROR(__xludf.DUMMYFUNCTION("""COMPUTED_VALUE"""),"T21")</f>
        <v>T21</v>
      </c>
      <c r="B23" t="str">
        <f ca="1">IFERROR(__xludf.DUMMYFUNCTION("""COMPUTED_VALUE"""),"T30")</f>
        <v>T30</v>
      </c>
      <c r="C23" t="str">
        <f ca="1">IFERROR(__xludf.DUMMYFUNCTION("""COMPUTED_VALUE"""),"Rob Oppenheim")</f>
        <v>Rob Oppenheim</v>
      </c>
      <c r="D23">
        <f ca="1">IFERROR(__xludf.DUMMYFUNCTION("""COMPUTED_VALUE"""),16)</f>
        <v>16</v>
      </c>
      <c r="E23" t="str">
        <f ca="1">IFERROR(__xludf.DUMMYFUNCTION("""COMPUTED_VALUE"""),"17' 4""")</f>
        <v>17' 4"</v>
      </c>
      <c r="F23">
        <f ca="1">IFERROR(__xludf.DUMMYFUNCTION("""COMPUTED_VALUE"""),399.417)</f>
        <v>399.41699999999997</v>
      </c>
      <c r="G23">
        <f ca="1">IFERROR(__xludf.DUMMYFUNCTION("""COMPUTED_VALUE"""),23)</f>
        <v>23</v>
      </c>
      <c r="H23">
        <f ca="1">IFERROR(__xludf.DUMMYFUNCTION("""COMPUTED_VALUE"""),-7)</f>
        <v>-7</v>
      </c>
    </row>
    <row r="24" spans="1:8" ht="15.75" customHeight="1">
      <c r="A24" t="str">
        <f ca="1">IFERROR(__xludf.DUMMYFUNCTION("""COMPUTED_VALUE"""),"T21")</f>
        <v>T21</v>
      </c>
      <c r="B24" t="str">
        <f ca="1">IFERROR(__xludf.DUMMYFUNCTION("""COMPUTED_VALUE"""),"T118")</f>
        <v>T118</v>
      </c>
      <c r="C24" t="str">
        <f ca="1">IFERROR(__xludf.DUMMYFUNCTION("""COMPUTED_VALUE"""),"Jamie Lovemark")</f>
        <v>Jamie Lovemark</v>
      </c>
      <c r="D24">
        <f ca="1">IFERROR(__xludf.DUMMYFUNCTION("""COMPUTED_VALUE"""),18)</f>
        <v>18</v>
      </c>
      <c r="E24" t="str">
        <f ca="1">IFERROR(__xludf.DUMMYFUNCTION("""COMPUTED_VALUE"""),"17' 4""")</f>
        <v>17' 4"</v>
      </c>
      <c r="F24">
        <f ca="1">IFERROR(__xludf.DUMMYFUNCTION("""COMPUTED_VALUE"""),381.333)</f>
        <v>381.33300000000003</v>
      </c>
      <c r="G24">
        <f ca="1">IFERROR(__xludf.DUMMYFUNCTION("""COMPUTED_VALUE"""),22)</f>
        <v>22</v>
      </c>
      <c r="H24">
        <f ca="1">IFERROR(__xludf.DUMMYFUNCTION("""COMPUTED_VALUE"""),-3)</f>
        <v>-3</v>
      </c>
    </row>
    <row r="25" spans="1:8" ht="15.75" customHeight="1">
      <c r="A25" t="str">
        <f ca="1">IFERROR(__xludf.DUMMYFUNCTION("""COMPUTED_VALUE"""),"T24")</f>
        <v>T24</v>
      </c>
      <c r="B25" t="str">
        <f ca="1">IFERROR(__xludf.DUMMYFUNCTION("""COMPUTED_VALUE"""),"T38")</f>
        <v>T38</v>
      </c>
      <c r="C25" t="str">
        <f ca="1">IFERROR(__xludf.DUMMYFUNCTION("""COMPUTED_VALUE"""),"Jason Dufner")</f>
        <v>Jason Dufner</v>
      </c>
      <c r="D25">
        <f ca="1">IFERROR(__xludf.DUMMYFUNCTION("""COMPUTED_VALUE"""),14)</f>
        <v>14</v>
      </c>
      <c r="E25" t="str">
        <f ca="1">IFERROR(__xludf.DUMMYFUNCTION("""COMPUTED_VALUE"""),"17' 5""")</f>
        <v>17' 5"</v>
      </c>
      <c r="F25">
        <f ca="1">IFERROR(__xludf.DUMMYFUNCTION("""COMPUTED_VALUE"""),417.167)</f>
        <v>417.16699999999997</v>
      </c>
      <c r="G25">
        <f ca="1">IFERROR(__xludf.DUMMYFUNCTION("""COMPUTED_VALUE"""),24)</f>
        <v>24</v>
      </c>
      <c r="H25">
        <f ca="1">IFERROR(__xludf.DUMMYFUNCTION("""COMPUTED_VALUE"""),-7)</f>
        <v>-7</v>
      </c>
    </row>
    <row r="26" spans="1:8" ht="15.75" customHeight="1">
      <c r="A26" t="str">
        <f ca="1">IFERROR(__xludf.DUMMYFUNCTION("""COMPUTED_VALUE"""),"T24")</f>
        <v>T24</v>
      </c>
      <c r="B26">
        <f ca="1">IFERROR(__xludf.DUMMYFUNCTION("""COMPUTED_VALUE"""),32)</f>
        <v>32</v>
      </c>
      <c r="C26" t="str">
        <f ca="1">IFERROR(__xludf.DUMMYFUNCTION("""COMPUTED_VALUE"""),"Chez Reavie")</f>
        <v>Chez Reavie</v>
      </c>
      <c r="D26">
        <f ca="1">IFERROR(__xludf.DUMMYFUNCTION("""COMPUTED_VALUE"""),14)</f>
        <v>14</v>
      </c>
      <c r="E26" t="str">
        <f ca="1">IFERROR(__xludf.DUMMYFUNCTION("""COMPUTED_VALUE"""),"17' 5""")</f>
        <v>17' 5"</v>
      </c>
      <c r="F26">
        <f ca="1">IFERROR(__xludf.DUMMYFUNCTION("""COMPUTED_VALUE"""),975.833)</f>
        <v>975.83299999999997</v>
      </c>
      <c r="G26">
        <f ca="1">IFERROR(__xludf.DUMMYFUNCTION("""COMPUTED_VALUE"""),56)</f>
        <v>56</v>
      </c>
      <c r="H26">
        <f ca="1">IFERROR(__xludf.DUMMYFUNCTION("""COMPUTED_VALUE"""),-15)</f>
        <v>-15</v>
      </c>
    </row>
    <row r="27" spans="1:8" ht="15.75" customHeight="1">
      <c r="A27" t="str">
        <f ca="1">IFERROR(__xludf.DUMMYFUNCTION("""COMPUTED_VALUE"""),"T26")</f>
        <v>T26</v>
      </c>
      <c r="B27" t="str">
        <f ca="1">IFERROR(__xludf.DUMMYFUNCTION("""COMPUTED_VALUE"""),"T33")</f>
        <v>T33</v>
      </c>
      <c r="C27" t="str">
        <f ca="1">IFERROR(__xludf.DUMMYFUNCTION("""COMPUTED_VALUE"""),"Collin Morikawa")</f>
        <v>Collin Morikawa</v>
      </c>
      <c r="D27">
        <f ca="1">IFERROR(__xludf.DUMMYFUNCTION("""COMPUTED_VALUE"""),12)</f>
        <v>12</v>
      </c>
      <c r="E27" t="str">
        <f ca="1">IFERROR(__xludf.DUMMYFUNCTION("""COMPUTED_VALUE"""),"17' 6""")</f>
        <v>17' 6"</v>
      </c>
      <c r="F27">
        <f ca="1">IFERROR(__xludf.DUMMYFUNCTION("""COMPUTED_VALUE"""),542.5)</f>
        <v>542.5</v>
      </c>
      <c r="G27">
        <f ca="1">IFERROR(__xludf.DUMMYFUNCTION("""COMPUTED_VALUE"""),31)</f>
        <v>31</v>
      </c>
      <c r="H27">
        <f ca="1">IFERROR(__xludf.DUMMYFUNCTION("""COMPUTED_VALUE"""),-2)</f>
        <v>-2</v>
      </c>
    </row>
    <row r="28" spans="1:8" ht="15.75" customHeight="1">
      <c r="A28" t="str">
        <f ca="1">IFERROR(__xludf.DUMMYFUNCTION("""COMPUTED_VALUE"""),"T26")</f>
        <v>T26</v>
      </c>
      <c r="B28" t="str">
        <f ca="1">IFERROR(__xludf.DUMMYFUNCTION("""COMPUTED_VALUE"""),"T33")</f>
        <v>T33</v>
      </c>
      <c r="C28" t="str">
        <f ca="1">IFERROR(__xludf.DUMMYFUNCTION("""COMPUTED_VALUE"""),"Chase Seiffert")</f>
        <v>Chase Seiffert</v>
      </c>
      <c r="D28">
        <f ca="1">IFERROR(__xludf.DUMMYFUNCTION("""COMPUTED_VALUE"""),14)</f>
        <v>14</v>
      </c>
      <c r="E28" t="str">
        <f ca="1">IFERROR(__xludf.DUMMYFUNCTION("""COMPUTED_VALUE"""),"17' 6""")</f>
        <v>17' 6"</v>
      </c>
      <c r="F28">
        <f ca="1">IFERROR(__xludf.DUMMYFUNCTION("""COMPUTED_VALUE"""),262)</f>
        <v>262</v>
      </c>
      <c r="G28">
        <f ca="1">IFERROR(__xludf.DUMMYFUNCTION("""COMPUTED_VALUE"""),15)</f>
        <v>15</v>
      </c>
      <c r="H28">
        <f ca="1">IFERROR(__xludf.DUMMYFUNCTION("""COMPUTED_VALUE"""),-4)</f>
        <v>-4</v>
      </c>
    </row>
    <row r="29" spans="1:8" ht="15.75" customHeight="1">
      <c r="A29">
        <f ca="1">IFERROR(__xludf.DUMMYFUNCTION("""COMPUTED_VALUE"""),28)</f>
        <v>28</v>
      </c>
      <c r="B29">
        <f ca="1">IFERROR(__xludf.DUMMYFUNCTION("""COMPUTED_VALUE"""),37)</f>
        <v>37</v>
      </c>
      <c r="C29" t="str">
        <f ca="1">IFERROR(__xludf.DUMMYFUNCTION("""COMPUTED_VALUE"""),"Takumi Kanaya")</f>
        <v>Takumi Kanaya</v>
      </c>
      <c r="D29">
        <f ca="1">IFERROR(__xludf.DUMMYFUNCTION("""COMPUTED_VALUE"""),6)</f>
        <v>6</v>
      </c>
      <c r="E29" t="str">
        <f ca="1">IFERROR(__xludf.DUMMYFUNCTION("""COMPUTED_VALUE"""),"17' 7""")</f>
        <v>17' 7"</v>
      </c>
      <c r="F29">
        <f ca="1">IFERROR(__xludf.DUMMYFUNCTION("""COMPUTED_VALUE"""),122.917)</f>
        <v>122.917</v>
      </c>
      <c r="G29">
        <f ca="1">IFERROR(__xludf.DUMMYFUNCTION("""COMPUTED_VALUE"""),7)</f>
        <v>7</v>
      </c>
      <c r="H29">
        <f ca="1">IFERROR(__xludf.DUMMYFUNCTION("""COMPUTED_VALUE"""),-1)</f>
        <v>-1</v>
      </c>
    </row>
    <row r="30" spans="1:8" ht="15.75" customHeight="1">
      <c r="A30">
        <f ca="1">IFERROR(__xludf.DUMMYFUNCTION("""COMPUTED_VALUE"""),29)</f>
        <v>29</v>
      </c>
      <c r="B30" t="str">
        <f ca="1">IFERROR(__xludf.DUMMYFUNCTION("""COMPUTED_VALUE"""),"T38")</f>
        <v>T38</v>
      </c>
      <c r="C30" t="str">
        <f ca="1">IFERROR(__xludf.DUMMYFUNCTION("""COMPUTED_VALUE"""),"D.J. Trahan")</f>
        <v>D.J. Trahan</v>
      </c>
      <c r="D30">
        <f ca="1">IFERROR(__xludf.DUMMYFUNCTION("""COMPUTED_VALUE"""),16)</f>
        <v>16</v>
      </c>
      <c r="E30" t="str">
        <f ca="1">IFERROR(__xludf.DUMMYFUNCTION("""COMPUTED_VALUE"""),"17' 8""")</f>
        <v>17' 8"</v>
      </c>
      <c r="F30">
        <f ca="1">IFERROR(__xludf.DUMMYFUNCTION("""COMPUTED_VALUE"""),264.667)</f>
        <v>264.66699999999997</v>
      </c>
      <c r="G30">
        <f ca="1">IFERROR(__xludf.DUMMYFUNCTION("""COMPUTED_VALUE"""),15)</f>
        <v>15</v>
      </c>
      <c r="H30">
        <f ca="1">IFERROR(__xludf.DUMMYFUNCTION("""COMPUTED_VALUE"""),-3)</f>
        <v>-3</v>
      </c>
    </row>
    <row r="31" spans="1:8" ht="12.75">
      <c r="A31">
        <f ca="1">IFERROR(__xludf.DUMMYFUNCTION("""COMPUTED_VALUE"""),30)</f>
        <v>30</v>
      </c>
      <c r="B31" t="str">
        <f ca="1">IFERROR(__xludf.DUMMYFUNCTION("""COMPUTED_VALUE"""),"T40")</f>
        <v>T40</v>
      </c>
      <c r="C31" t="str">
        <f ca="1">IFERROR(__xludf.DUMMYFUNCTION("""COMPUTED_VALUE"""),"Matthew Wolff")</f>
        <v>Matthew Wolff</v>
      </c>
      <c r="D31">
        <f ca="1">IFERROR(__xludf.DUMMYFUNCTION("""COMPUTED_VALUE"""),16)</f>
        <v>16</v>
      </c>
      <c r="E31" t="str">
        <f ca="1">IFERROR(__xludf.DUMMYFUNCTION("""COMPUTED_VALUE"""),"17' 10""")</f>
        <v>17' 10"</v>
      </c>
      <c r="F31">
        <f ca="1">IFERROR(__xludf.DUMMYFUNCTION("""COMPUTED_VALUE"""),534.083)</f>
        <v>534.08299999999997</v>
      </c>
      <c r="G31">
        <f ca="1">IFERROR(__xludf.DUMMYFUNCTION("""COMPUTED_VALUE"""),30)</f>
        <v>30</v>
      </c>
      <c r="H31">
        <f ca="1">IFERROR(__xludf.DUMMYFUNCTION("""COMPUTED_VALUE"""),-5)</f>
        <v>-5</v>
      </c>
    </row>
    <row r="32" spans="1:8" ht="12.75">
      <c r="A32" t="str">
        <f ca="1">IFERROR(__xludf.DUMMYFUNCTION("""COMPUTED_VALUE"""),"T31")</f>
        <v>T31</v>
      </c>
      <c r="B32" t="str">
        <f ca="1">IFERROR(__xludf.DUMMYFUNCTION("""COMPUTED_VALUE"""),"T25")</f>
        <v>T25</v>
      </c>
      <c r="C32" t="str">
        <f ca="1">IFERROR(__xludf.DUMMYFUNCTION("""COMPUTED_VALUE"""),"Satoshi Kodaira")</f>
        <v>Satoshi Kodaira</v>
      </c>
      <c r="D32">
        <f ca="1">IFERROR(__xludf.DUMMYFUNCTION("""COMPUTED_VALUE"""),12)</f>
        <v>12</v>
      </c>
      <c r="E32" t="str">
        <f ca="1">IFERROR(__xludf.DUMMYFUNCTION("""COMPUTED_VALUE"""),"17' 11""")</f>
        <v>17' 11"</v>
      </c>
      <c r="F32">
        <f ca="1">IFERROR(__xludf.DUMMYFUNCTION("""COMPUTED_VALUE"""),484.417)</f>
        <v>484.41699999999997</v>
      </c>
      <c r="G32">
        <f ca="1">IFERROR(__xludf.DUMMYFUNCTION("""COMPUTED_VALUE"""),27)</f>
        <v>27</v>
      </c>
      <c r="H32">
        <f ca="1">IFERROR(__xludf.DUMMYFUNCTION("""COMPUTED_VALUE"""),-4)</f>
        <v>-4</v>
      </c>
    </row>
    <row r="33" spans="1:8" ht="12.75">
      <c r="A33" t="str">
        <f ca="1">IFERROR(__xludf.DUMMYFUNCTION("""COMPUTED_VALUE"""),"T31")</f>
        <v>T31</v>
      </c>
      <c r="B33" t="str">
        <f ca="1">IFERROR(__xludf.DUMMYFUNCTION("""COMPUTED_VALUE"""),"T42")</f>
        <v>T42</v>
      </c>
      <c r="C33" t="str">
        <f ca="1">IFERROR(__xludf.DUMMYFUNCTION("""COMPUTED_VALUE"""),"Rickie Fowler")</f>
        <v>Rickie Fowler</v>
      </c>
      <c r="D33">
        <f ca="1">IFERROR(__xludf.DUMMYFUNCTION("""COMPUTED_VALUE"""),14)</f>
        <v>14</v>
      </c>
      <c r="E33" t="str">
        <f ca="1">IFERROR(__xludf.DUMMYFUNCTION("""COMPUTED_VALUE"""),"17' 11""")</f>
        <v>17' 11"</v>
      </c>
      <c r="F33">
        <f ca="1">IFERROR(__xludf.DUMMYFUNCTION("""COMPUTED_VALUE"""),628.25)</f>
        <v>628.25</v>
      </c>
      <c r="G33">
        <f ca="1">IFERROR(__xludf.DUMMYFUNCTION("""COMPUTED_VALUE"""),35)</f>
        <v>35</v>
      </c>
      <c r="H33">
        <f ca="1">IFERROR(__xludf.DUMMYFUNCTION("""COMPUTED_VALUE"""),-11)</f>
        <v>-11</v>
      </c>
    </row>
    <row r="34" spans="1:8" ht="12.75">
      <c r="A34" t="str">
        <f ca="1">IFERROR(__xludf.DUMMYFUNCTION("""COMPUTED_VALUE"""),"T31")</f>
        <v>T31</v>
      </c>
      <c r="B34" t="str">
        <f ca="1">IFERROR(__xludf.DUMMYFUNCTION("""COMPUTED_VALUE"""),"T42")</f>
        <v>T42</v>
      </c>
      <c r="C34" t="str">
        <f ca="1">IFERROR(__xludf.DUMMYFUNCTION("""COMPUTED_VALUE"""),"Thomas Detry")</f>
        <v>Thomas Detry</v>
      </c>
      <c r="D34">
        <f ca="1">IFERROR(__xludf.DUMMYFUNCTION("""COMPUTED_VALUE"""),8)</f>
        <v>8</v>
      </c>
      <c r="E34" t="str">
        <f ca="1">IFERROR(__xludf.DUMMYFUNCTION("""COMPUTED_VALUE"""),"17' 11""")</f>
        <v>17' 11"</v>
      </c>
      <c r="F34">
        <f ca="1">IFERROR(__xludf.DUMMYFUNCTION("""COMPUTED_VALUE"""),143)</f>
        <v>143</v>
      </c>
      <c r="G34">
        <f ca="1">IFERROR(__xludf.DUMMYFUNCTION("""COMPUTED_VALUE"""),8)</f>
        <v>8</v>
      </c>
      <c r="H34" t="str">
        <f ca="1">IFERROR(__xludf.DUMMYFUNCTION("""COMPUTED_VALUE"""),"E")</f>
        <v>E</v>
      </c>
    </row>
    <row r="35" spans="1:8" ht="12.75">
      <c r="A35">
        <f ca="1">IFERROR(__xludf.DUMMYFUNCTION("""COMPUTED_VALUE"""),34)</f>
        <v>34</v>
      </c>
      <c r="B35" t="str">
        <f ca="1">IFERROR(__xludf.DUMMYFUNCTION("""COMPUTED_VALUE"""),"T45")</f>
        <v>T45</v>
      </c>
      <c r="C35" t="str">
        <f ca="1">IFERROR(__xludf.DUMMYFUNCTION("""COMPUTED_VALUE"""),"Bud Cauley")</f>
        <v>Bud Cauley</v>
      </c>
      <c r="D35">
        <f ca="1">IFERROR(__xludf.DUMMYFUNCTION("""COMPUTED_VALUE"""),4)</f>
        <v>4</v>
      </c>
      <c r="E35" t="str">
        <f ca="1">IFERROR(__xludf.DUMMYFUNCTION("""COMPUTED_VALUE"""),"18' 0""")</f>
        <v>18' 0"</v>
      </c>
      <c r="F35">
        <f ca="1">IFERROR(__xludf.DUMMYFUNCTION("""COMPUTED_VALUE"""),233.833)</f>
        <v>233.833</v>
      </c>
      <c r="G35">
        <f ca="1">IFERROR(__xludf.DUMMYFUNCTION("""COMPUTED_VALUE"""),13)</f>
        <v>13</v>
      </c>
      <c r="H35">
        <f ca="1">IFERROR(__xludf.DUMMYFUNCTION("""COMPUTED_VALUE"""),-2)</f>
        <v>-2</v>
      </c>
    </row>
    <row r="36" spans="1:8" ht="12.75">
      <c r="A36" t="str">
        <f ca="1">IFERROR(__xludf.DUMMYFUNCTION("""COMPUTED_VALUE"""),"T35")</f>
        <v>T35</v>
      </c>
      <c r="B36" t="str">
        <f ca="1">IFERROR(__xludf.DUMMYFUNCTION("""COMPUTED_VALUE"""),"T47")</f>
        <v>T47</v>
      </c>
      <c r="C36" t="str">
        <f ca="1">IFERROR(__xludf.DUMMYFUNCTION("""COMPUTED_VALUE"""),"Bryson DeChambeau")</f>
        <v>Bryson DeChambeau</v>
      </c>
      <c r="D36">
        <f ca="1">IFERROR(__xludf.DUMMYFUNCTION("""COMPUTED_VALUE"""),8)</f>
        <v>8</v>
      </c>
      <c r="E36" t="str">
        <f ca="1">IFERROR(__xludf.DUMMYFUNCTION("""COMPUTED_VALUE"""),"18' 2""")</f>
        <v>18' 2"</v>
      </c>
      <c r="F36">
        <f ca="1">IFERROR(__xludf.DUMMYFUNCTION("""COMPUTED_VALUE"""),272.583)</f>
        <v>272.58300000000003</v>
      </c>
      <c r="G36">
        <f ca="1">IFERROR(__xludf.DUMMYFUNCTION("""COMPUTED_VALUE"""),15)</f>
        <v>15</v>
      </c>
      <c r="H36">
        <f ca="1">IFERROR(__xludf.DUMMYFUNCTION("""COMPUTED_VALUE"""),-5)</f>
        <v>-5</v>
      </c>
    </row>
    <row r="37" spans="1:8" ht="12.75">
      <c r="A37" t="str">
        <f ca="1">IFERROR(__xludf.DUMMYFUNCTION("""COMPUTED_VALUE"""),"T35")</f>
        <v>T35</v>
      </c>
      <c r="B37" t="str">
        <f ca="1">IFERROR(__xludf.DUMMYFUNCTION("""COMPUTED_VALUE"""),"T47")</f>
        <v>T47</v>
      </c>
      <c r="C37" t="str">
        <f ca="1">IFERROR(__xludf.DUMMYFUNCTION("""COMPUTED_VALUE"""),"Taylor Pendrith")</f>
        <v>Taylor Pendrith</v>
      </c>
      <c r="D37">
        <f ca="1">IFERROR(__xludf.DUMMYFUNCTION("""COMPUTED_VALUE"""),4)</f>
        <v>4</v>
      </c>
      <c r="E37" t="str">
        <f ca="1">IFERROR(__xludf.DUMMYFUNCTION("""COMPUTED_VALUE"""),"18' 2""")</f>
        <v>18' 2"</v>
      </c>
      <c r="F37">
        <f ca="1">IFERROR(__xludf.DUMMYFUNCTION("""COMPUTED_VALUE"""),127.417)</f>
        <v>127.417</v>
      </c>
      <c r="G37">
        <f ca="1">IFERROR(__xludf.DUMMYFUNCTION("""COMPUTED_VALUE"""),7)</f>
        <v>7</v>
      </c>
      <c r="H37">
        <f ca="1">IFERROR(__xludf.DUMMYFUNCTION("""COMPUTED_VALUE"""),-3)</f>
        <v>-3</v>
      </c>
    </row>
    <row r="38" spans="1:8" ht="12.75">
      <c r="A38" t="str">
        <f ca="1">IFERROR(__xludf.DUMMYFUNCTION("""COMPUTED_VALUE"""),"T35")</f>
        <v>T35</v>
      </c>
      <c r="B38" t="str">
        <f ca="1">IFERROR(__xludf.DUMMYFUNCTION("""COMPUTED_VALUE"""),"T47")</f>
        <v>T47</v>
      </c>
      <c r="C38" t="str">
        <f ca="1">IFERROR(__xludf.DUMMYFUNCTION("""COMPUTED_VALUE"""),"Seamus Power")</f>
        <v>Seamus Power</v>
      </c>
      <c r="D38">
        <f ca="1">IFERROR(__xludf.DUMMYFUNCTION("""COMPUTED_VALUE"""),8)</f>
        <v>8</v>
      </c>
      <c r="E38" t="str">
        <f ca="1">IFERROR(__xludf.DUMMYFUNCTION("""COMPUTED_VALUE"""),"18' 2""")</f>
        <v>18' 2"</v>
      </c>
      <c r="F38">
        <f ca="1">IFERROR(__xludf.DUMMYFUNCTION("""COMPUTED_VALUE"""),90.833)</f>
        <v>90.832999999999998</v>
      </c>
      <c r="G38">
        <f ca="1">IFERROR(__xludf.DUMMYFUNCTION("""COMPUTED_VALUE"""),5)</f>
        <v>5</v>
      </c>
      <c r="H38">
        <f ca="1">IFERROR(__xludf.DUMMYFUNCTION("""COMPUTED_VALUE"""),-3)</f>
        <v>-3</v>
      </c>
    </row>
    <row r="39" spans="1:8" ht="12.75">
      <c r="A39" t="str">
        <f ca="1">IFERROR(__xludf.DUMMYFUNCTION("""COMPUTED_VALUE"""),"T35")</f>
        <v>T35</v>
      </c>
      <c r="B39" t="str">
        <f ca="1">IFERROR(__xludf.DUMMYFUNCTION("""COMPUTED_VALUE"""),"T40")</f>
        <v>T40</v>
      </c>
      <c r="C39" t="str">
        <f ca="1">IFERROR(__xludf.DUMMYFUNCTION("""COMPUTED_VALUE"""),"Vaughn Taylor")</f>
        <v>Vaughn Taylor</v>
      </c>
      <c r="D39">
        <f ca="1">IFERROR(__xludf.DUMMYFUNCTION("""COMPUTED_VALUE"""),12)</f>
        <v>12</v>
      </c>
      <c r="E39" t="str">
        <f ca="1">IFERROR(__xludf.DUMMYFUNCTION("""COMPUTED_VALUE"""),"18' 2""")</f>
        <v>18' 2"</v>
      </c>
      <c r="F39">
        <f ca="1">IFERROR(__xludf.DUMMYFUNCTION("""COMPUTED_VALUE"""),418.667)</f>
        <v>418.66699999999997</v>
      </c>
      <c r="G39">
        <f ca="1">IFERROR(__xludf.DUMMYFUNCTION("""COMPUTED_VALUE"""),23)</f>
        <v>23</v>
      </c>
      <c r="H39">
        <f ca="1">IFERROR(__xludf.DUMMYFUNCTION("""COMPUTED_VALUE"""),-2)</f>
        <v>-2</v>
      </c>
    </row>
    <row r="40" spans="1:8" ht="12.75">
      <c r="A40" t="str">
        <f ca="1">IFERROR(__xludf.DUMMYFUNCTION("""COMPUTED_VALUE"""),"T39")</f>
        <v>T39</v>
      </c>
      <c r="B40">
        <f ca="1">IFERROR(__xludf.DUMMYFUNCTION("""COMPUTED_VALUE"""),50)</f>
        <v>50</v>
      </c>
      <c r="C40" t="str">
        <f ca="1">IFERROR(__xludf.DUMMYFUNCTION("""COMPUTED_VALUE"""),"Marc Leishman")</f>
        <v>Marc Leishman</v>
      </c>
      <c r="D40">
        <f ca="1">IFERROR(__xludf.DUMMYFUNCTION("""COMPUTED_VALUE"""),10)</f>
        <v>10</v>
      </c>
      <c r="E40" t="str">
        <f ca="1">IFERROR(__xludf.DUMMYFUNCTION("""COMPUTED_VALUE"""),"18' 3""")</f>
        <v>18' 3"</v>
      </c>
      <c r="F40">
        <f ca="1">IFERROR(__xludf.DUMMYFUNCTION("""COMPUTED_VALUE"""),328.5)</f>
        <v>328.5</v>
      </c>
      <c r="G40">
        <f ca="1">IFERROR(__xludf.DUMMYFUNCTION("""COMPUTED_VALUE"""),18)</f>
        <v>18</v>
      </c>
      <c r="H40">
        <f ca="1">IFERROR(__xludf.DUMMYFUNCTION("""COMPUTED_VALUE"""),-2)</f>
        <v>-2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IFERROR(__xludf.DUMMYFUNCTION("""COMPUTED_VALUE"""),"T52")</f>
        <v>T52</v>
      </c>
      <c r="C41" t="str">
        <f ca="1">IFERROR(__xludf.DUMMYFUNCTION("""COMPUTED_VALUE"""),"Branden Grace")</f>
        <v>Branden Grace</v>
      </c>
      <c r="D41">
        <f ca="1">IFERROR(__xludf.DUMMYFUNCTION("""COMPUTED_VALUE"""),16)</f>
        <v>16</v>
      </c>
      <c r="E41" t="str">
        <f ca="1">IFERROR(__xludf.DUMMYFUNCTION("""COMPUTED_VALUE"""),"18' 3""")</f>
        <v>18' 3"</v>
      </c>
      <c r="F41">
        <f ca="1">IFERROR(__xludf.DUMMYFUNCTION("""COMPUTED_VALUE"""),365.5)</f>
        <v>365.5</v>
      </c>
      <c r="G41">
        <f ca="1">IFERROR(__xludf.DUMMYFUNCTION("""COMPUTED_VALUE"""),20)</f>
        <v>20</v>
      </c>
      <c r="H41">
        <f ca="1">IFERROR(__xludf.DUMMYFUNCTION("""COMPUTED_VALUE"""),-3)</f>
        <v>-3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IFERROR(__xludf.DUMMYFUNCTION("""COMPUTED_VALUE"""),"T68")</f>
        <v>T68</v>
      </c>
      <c r="C42" t="str">
        <f ca="1">IFERROR(__xludf.DUMMYFUNCTION("""COMPUTED_VALUE"""),"Emiliano Grillo")</f>
        <v>Emiliano Grillo</v>
      </c>
      <c r="D42">
        <f ca="1">IFERROR(__xludf.DUMMYFUNCTION("""COMPUTED_VALUE"""),22)</f>
        <v>22</v>
      </c>
      <c r="E42" t="str">
        <f ca="1">IFERROR(__xludf.DUMMYFUNCTION("""COMPUTED_VALUE"""),"18' 3""")</f>
        <v>18' 3"</v>
      </c>
      <c r="F42">
        <f ca="1">IFERROR(__xludf.DUMMYFUNCTION("""COMPUTED_VALUE"""),728.583)</f>
        <v>728.58299999999997</v>
      </c>
      <c r="G42">
        <f ca="1">IFERROR(__xludf.DUMMYFUNCTION("""COMPUTED_VALUE"""),40)</f>
        <v>40</v>
      </c>
      <c r="H42">
        <f ca="1">IFERROR(__xludf.DUMMYFUNCTION("""COMPUTED_VALUE"""),-7)</f>
        <v>-7</v>
      </c>
    </row>
    <row r="43" spans="1:8" ht="12.75">
      <c r="A43" t="str">
        <f ca="1">IFERROR(__xludf.DUMMYFUNCTION("""COMPUTED_VALUE"""),"T39")</f>
        <v>T39</v>
      </c>
      <c r="B43">
        <f ca="1">IFERROR(__xludf.DUMMYFUNCTION("""COMPUTED_VALUE"""),15)</f>
        <v>15</v>
      </c>
      <c r="C43" t="str">
        <f ca="1">IFERROR(__xludf.DUMMYFUNCTION("""COMPUTED_VALUE"""),"Kyoung-Hoon Lee")</f>
        <v>Kyoung-Hoon Lee</v>
      </c>
      <c r="D43">
        <f ca="1">IFERROR(__xludf.DUMMYFUNCTION("""COMPUTED_VALUE"""),20)</f>
        <v>20</v>
      </c>
      <c r="E43" t="str">
        <f ca="1">IFERROR(__xludf.DUMMYFUNCTION("""COMPUTED_VALUE"""),"18' 3""")</f>
        <v>18' 3"</v>
      </c>
      <c r="F43">
        <f ca="1">IFERROR(__xludf.DUMMYFUNCTION("""COMPUTED_VALUE"""),566.583)</f>
        <v>566.58299999999997</v>
      </c>
      <c r="G43">
        <f ca="1">IFERROR(__xludf.DUMMYFUNCTION("""COMPUTED_VALUE"""),31)</f>
        <v>31</v>
      </c>
      <c r="H43">
        <f ca="1">IFERROR(__xludf.DUMMYFUNCTION("""COMPUTED_VALUE"""),-7)</f>
        <v>-7</v>
      </c>
    </row>
    <row r="44" spans="1:8" ht="12.75">
      <c r="A44" t="str">
        <f ca="1">IFERROR(__xludf.DUMMYFUNCTION("""COMPUTED_VALUE"""),"T39")</f>
        <v>T39</v>
      </c>
      <c r="B44" t="str">
        <f ca="1">IFERROR(__xludf.DUMMYFUNCTION("""COMPUTED_VALUE"""),"T33")</f>
        <v>T33</v>
      </c>
      <c r="C44" t="str">
        <f ca="1">IFERROR(__xludf.DUMMYFUNCTION("""COMPUTED_VALUE"""),"Xinjun Zhang")</f>
        <v>Xinjun Zhang</v>
      </c>
      <c r="D44">
        <f ca="1">IFERROR(__xludf.DUMMYFUNCTION("""COMPUTED_VALUE"""),14)</f>
        <v>14</v>
      </c>
      <c r="E44" t="str">
        <f ca="1">IFERROR(__xludf.DUMMYFUNCTION("""COMPUTED_VALUE"""),"18' 3""")</f>
        <v>18' 3"</v>
      </c>
      <c r="F44">
        <f ca="1">IFERROR(__xludf.DUMMYFUNCTION("""COMPUTED_VALUE"""),491.917)</f>
        <v>491.91699999999997</v>
      </c>
      <c r="G44">
        <f ca="1">IFERROR(__xludf.DUMMYFUNCTION("""COMPUTED_VALUE"""),27)</f>
        <v>27</v>
      </c>
      <c r="H44">
        <f ca="1">IFERROR(__xludf.DUMMYFUNCTION("""COMPUTED_VALUE"""),-6)</f>
        <v>-6</v>
      </c>
    </row>
    <row r="45" spans="1:8" ht="12.75">
      <c r="A45">
        <f ca="1">IFERROR(__xludf.DUMMYFUNCTION("""COMPUTED_VALUE"""),44)</f>
        <v>44</v>
      </c>
      <c r="B45">
        <f ca="1">IFERROR(__xludf.DUMMYFUNCTION("""COMPUTED_VALUE"""),51)</f>
        <v>51</v>
      </c>
      <c r="C45" t="str">
        <f ca="1">IFERROR(__xludf.DUMMYFUNCTION("""COMPUTED_VALUE"""),"Jon Rahm")</f>
        <v>Jon Rahm</v>
      </c>
      <c r="D45">
        <f ca="1">IFERROR(__xludf.DUMMYFUNCTION("""COMPUTED_VALUE"""),12)</f>
        <v>12</v>
      </c>
      <c r="E45" t="str">
        <f ca="1">IFERROR(__xludf.DUMMYFUNCTION("""COMPUTED_VALUE"""),"18' 4""")</f>
        <v>18' 4"</v>
      </c>
      <c r="F45">
        <f ca="1">IFERROR(__xludf.DUMMYFUNCTION("""COMPUTED_VALUE"""),385.25)</f>
        <v>385.25</v>
      </c>
      <c r="G45">
        <f ca="1">IFERROR(__xludf.DUMMYFUNCTION("""COMPUTED_VALUE"""),21)</f>
        <v>21</v>
      </c>
      <c r="H45">
        <f ca="1">IFERROR(__xludf.DUMMYFUNCTION("""COMPUTED_VALUE"""),-4)</f>
        <v>-4</v>
      </c>
    </row>
    <row r="46" spans="1:8" ht="12.75">
      <c r="A46">
        <f ca="1">IFERROR(__xludf.DUMMYFUNCTION("""COMPUTED_VALUE"""),45)</f>
        <v>45</v>
      </c>
      <c r="B46" t="str">
        <f ca="1">IFERROR(__xludf.DUMMYFUNCTION("""COMPUTED_VALUE"""),"T45")</f>
        <v>T45</v>
      </c>
      <c r="C46" t="str">
        <f ca="1">IFERROR(__xludf.DUMMYFUNCTION("""COMPUTED_VALUE"""),"Dustin Johnson")</f>
        <v>Dustin Johnson</v>
      </c>
      <c r="D46">
        <f ca="1">IFERROR(__xludf.DUMMYFUNCTION("""COMPUTED_VALUE"""),8)</f>
        <v>8</v>
      </c>
      <c r="E46" t="str">
        <f ca="1">IFERROR(__xludf.DUMMYFUNCTION("""COMPUTED_VALUE"""),"18' 6""")</f>
        <v>18' 6"</v>
      </c>
      <c r="F46">
        <f ca="1">IFERROR(__xludf.DUMMYFUNCTION("""COMPUTED_VALUE"""),369.583)</f>
        <v>369.58300000000003</v>
      </c>
      <c r="G46">
        <f ca="1">IFERROR(__xludf.DUMMYFUNCTION("""COMPUTED_VALUE"""),20)</f>
        <v>20</v>
      </c>
      <c r="H46">
        <f ca="1">IFERROR(__xludf.DUMMYFUNCTION("""COMPUTED_VALUE"""),-7)</f>
        <v>-7</v>
      </c>
    </row>
    <row r="47" spans="1:8" ht="12.75">
      <c r="A47" t="str">
        <f ca="1">IFERROR(__xludf.DUMMYFUNCTION("""COMPUTED_VALUE"""),"T46")</f>
        <v>T46</v>
      </c>
      <c r="B47" t="str">
        <f ca="1">IFERROR(__xludf.DUMMYFUNCTION("""COMPUTED_VALUE"""),"T54")</f>
        <v>T54</v>
      </c>
      <c r="C47" t="str">
        <f ca="1">IFERROR(__xludf.DUMMYFUNCTION("""COMPUTED_VALUE"""),"Doug Ghim")</f>
        <v>Doug Ghim</v>
      </c>
      <c r="D47">
        <f ca="1">IFERROR(__xludf.DUMMYFUNCTION("""COMPUTED_VALUE"""),14)</f>
        <v>14</v>
      </c>
      <c r="E47" t="str">
        <f ca="1">IFERROR(__xludf.DUMMYFUNCTION("""COMPUTED_VALUE"""),"18' 7""")</f>
        <v>18' 7"</v>
      </c>
      <c r="F47">
        <f ca="1">IFERROR(__xludf.DUMMYFUNCTION("""COMPUTED_VALUE"""),539.25)</f>
        <v>539.25</v>
      </c>
      <c r="G47">
        <f ca="1">IFERROR(__xludf.DUMMYFUNCTION("""COMPUTED_VALUE"""),29)</f>
        <v>29</v>
      </c>
      <c r="H47">
        <f ca="1">IFERROR(__xludf.DUMMYFUNCTION("""COMPUTED_VALUE"""),-5)</f>
        <v>-5</v>
      </c>
    </row>
    <row r="48" spans="1:8" ht="12.75">
      <c r="A48" t="str">
        <f ca="1">IFERROR(__xludf.DUMMYFUNCTION("""COMPUTED_VALUE"""),"T46")</f>
        <v>T46</v>
      </c>
      <c r="B48" t="str">
        <f ca="1">IFERROR(__xludf.DUMMYFUNCTION("""COMPUTED_VALUE"""),"T54")</f>
        <v>T54</v>
      </c>
      <c r="C48" t="str">
        <f ca="1">IFERROR(__xludf.DUMMYFUNCTION("""COMPUTED_VALUE"""),"Rhein Gibson")</f>
        <v>Rhein Gibson</v>
      </c>
      <c r="D48">
        <f ca="1">IFERROR(__xludf.DUMMYFUNCTION("""COMPUTED_VALUE"""),10)</f>
        <v>10</v>
      </c>
      <c r="E48" t="str">
        <f ca="1">IFERROR(__xludf.DUMMYFUNCTION("""COMPUTED_VALUE"""),"18' 7""")</f>
        <v>18' 7"</v>
      </c>
      <c r="F48">
        <f ca="1">IFERROR(__xludf.DUMMYFUNCTION("""COMPUTED_VALUE"""),111.583)</f>
        <v>111.583</v>
      </c>
      <c r="G48">
        <f ca="1">IFERROR(__xludf.DUMMYFUNCTION("""COMPUTED_VALUE"""),6)</f>
        <v>6</v>
      </c>
      <c r="H48">
        <f ca="1">IFERROR(__xludf.DUMMYFUNCTION("""COMPUTED_VALUE"""),-1)</f>
        <v>-1</v>
      </c>
    </row>
    <row r="49" spans="1:8" ht="12.75">
      <c r="A49" t="str">
        <f ca="1">IFERROR(__xludf.DUMMYFUNCTION("""COMPUTED_VALUE"""),"T46")</f>
        <v>T46</v>
      </c>
      <c r="B49" t="str">
        <f ca="1">IFERROR(__xludf.DUMMYFUNCTION("""COMPUTED_VALUE"""),"T54")</f>
        <v>T54</v>
      </c>
      <c r="C49" t="str">
        <f ca="1">IFERROR(__xludf.DUMMYFUNCTION("""COMPUTED_VALUE"""),"Justin Thomas")</f>
        <v>Justin Thomas</v>
      </c>
      <c r="D49">
        <f ca="1">IFERROR(__xludf.DUMMYFUNCTION("""COMPUTED_VALUE"""),12)</f>
        <v>12</v>
      </c>
      <c r="E49" t="str">
        <f ca="1">IFERROR(__xludf.DUMMYFUNCTION("""COMPUTED_VALUE"""),"18' 7""")</f>
        <v>18' 7"</v>
      </c>
      <c r="F49">
        <f ca="1">IFERROR(__xludf.DUMMYFUNCTION("""COMPUTED_VALUE"""),390.417)</f>
        <v>390.41699999999997</v>
      </c>
      <c r="G49">
        <f ca="1">IFERROR(__xludf.DUMMYFUNCTION("""COMPUTED_VALUE"""),21)</f>
        <v>21</v>
      </c>
      <c r="H49">
        <f ca="1">IFERROR(__xludf.DUMMYFUNCTION("""COMPUTED_VALUE"""),-6)</f>
        <v>-6</v>
      </c>
    </row>
    <row r="50" spans="1:8" ht="12.75">
      <c r="A50">
        <f ca="1">IFERROR(__xludf.DUMMYFUNCTION("""COMPUTED_VALUE"""),49)</f>
        <v>49</v>
      </c>
      <c r="B50" t="str">
        <f ca="1">IFERROR(__xludf.DUMMYFUNCTION("""COMPUTED_VALUE"""),"")</f>
        <v/>
      </c>
      <c r="C50" t="str">
        <f ca="1">IFERROR(__xludf.DUMMYFUNCTION("""COMPUTED_VALUE"""),"Francesco Molinari")</f>
        <v>Francesco Molinari</v>
      </c>
      <c r="D50">
        <f ca="1">IFERROR(__xludf.DUMMYFUNCTION("""COMPUTED_VALUE"""),6)</f>
        <v>6</v>
      </c>
      <c r="E50" t="str">
        <f ca="1">IFERROR(__xludf.DUMMYFUNCTION("""COMPUTED_VALUE"""),"18' 8""")</f>
        <v>18' 8"</v>
      </c>
      <c r="F50">
        <f ca="1">IFERROR(__xludf.DUMMYFUNCTION("""COMPUTED_VALUE"""),298.75)</f>
        <v>298.75</v>
      </c>
      <c r="G50">
        <f ca="1">IFERROR(__xludf.DUMMYFUNCTION("""COMPUTED_VALUE"""),16)</f>
        <v>16</v>
      </c>
      <c r="H50">
        <f ca="1">IFERROR(__xludf.DUMMYFUNCTION("""COMPUTED_VALUE"""),-5)</f>
        <v>-5</v>
      </c>
    </row>
    <row r="51" spans="1:8" ht="12.75">
      <c r="A51">
        <f ca="1">IFERROR(__xludf.DUMMYFUNCTION("""COMPUTED_VALUE"""),50)</f>
        <v>50</v>
      </c>
      <c r="B51">
        <f ca="1">IFERROR(__xludf.DUMMYFUNCTION("""COMPUTED_VALUE"""),59)</f>
        <v>59</v>
      </c>
      <c r="C51" t="str">
        <f ca="1">IFERROR(__xludf.DUMMYFUNCTION("""COMPUTED_VALUE"""),"Kevin Kisner")</f>
        <v>Kevin Kisner</v>
      </c>
      <c r="D51">
        <f ca="1">IFERROR(__xludf.DUMMYFUNCTION("""COMPUTED_VALUE"""),10)</f>
        <v>10</v>
      </c>
      <c r="E51" t="str">
        <f ca="1">IFERROR(__xludf.DUMMYFUNCTION("""COMPUTED_VALUE"""),"18' 9""")</f>
        <v>18' 9"</v>
      </c>
      <c r="F51">
        <f ca="1">IFERROR(__xludf.DUMMYFUNCTION("""COMPUTED_VALUE"""),355.5)</f>
        <v>355.5</v>
      </c>
      <c r="G51">
        <f ca="1">IFERROR(__xludf.DUMMYFUNCTION("""COMPUTED_VALUE"""),19)</f>
        <v>19</v>
      </c>
      <c r="H51">
        <f ca="1">IFERROR(__xludf.DUMMYFUNCTION("""COMPUTED_VALUE"""),-5)</f>
        <v>-5</v>
      </c>
    </row>
    <row r="52" spans="1:8" ht="12.75">
      <c r="A52">
        <f ca="1">IFERROR(__xludf.DUMMYFUNCTION("""COMPUTED_VALUE"""),51)</f>
        <v>51</v>
      </c>
      <c r="B52" t="str">
        <f ca="1">IFERROR(__xludf.DUMMYFUNCTION("""COMPUTED_VALUE"""),"T101")</f>
        <v>T101</v>
      </c>
      <c r="C52" t="str">
        <f ca="1">IFERROR(__xludf.DUMMYFUNCTION("""COMPUTED_VALUE"""),"Harold Varner III")</f>
        <v>Harold Varner III</v>
      </c>
      <c r="D52">
        <f ca="1">IFERROR(__xludf.DUMMYFUNCTION("""COMPUTED_VALUE"""),14)</f>
        <v>14</v>
      </c>
      <c r="E52" t="str">
        <f ca="1">IFERROR(__xludf.DUMMYFUNCTION("""COMPUTED_VALUE"""),"18' 10""")</f>
        <v>18' 10"</v>
      </c>
      <c r="F52">
        <f ca="1">IFERROR(__xludf.DUMMYFUNCTION("""COMPUTED_VALUE"""),696.25)</f>
        <v>696.25</v>
      </c>
      <c r="G52">
        <f ca="1">IFERROR(__xludf.DUMMYFUNCTION("""COMPUTED_VALUE"""),37)</f>
        <v>37</v>
      </c>
      <c r="H52">
        <f ca="1">IFERROR(__xludf.DUMMYFUNCTION("""COMPUTED_VALUE"""),-11)</f>
        <v>-11</v>
      </c>
    </row>
    <row r="53" spans="1:8" ht="12.75">
      <c r="A53">
        <f ca="1">IFERROR(__xludf.DUMMYFUNCTION("""COMPUTED_VALUE"""),52)</f>
        <v>52</v>
      </c>
      <c r="B53">
        <f ca="1">IFERROR(__xludf.DUMMYFUNCTION("""COMPUTED_VALUE"""),60)</f>
        <v>60</v>
      </c>
      <c r="C53" t="str">
        <f ca="1">IFERROR(__xludf.DUMMYFUNCTION("""COMPUTED_VALUE"""),"Kyle Stanley")</f>
        <v>Kyle Stanley</v>
      </c>
      <c r="D53">
        <f ca="1">IFERROR(__xludf.DUMMYFUNCTION("""COMPUTED_VALUE"""),16)</f>
        <v>16</v>
      </c>
      <c r="E53" t="str">
        <f ca="1">IFERROR(__xludf.DUMMYFUNCTION("""COMPUTED_VALUE"""),"18' 11""")</f>
        <v>18' 11"</v>
      </c>
      <c r="F53">
        <f ca="1">IFERROR(__xludf.DUMMYFUNCTION("""COMPUTED_VALUE"""),472.917)</f>
        <v>472.91699999999997</v>
      </c>
      <c r="G53">
        <f ca="1">IFERROR(__xludf.DUMMYFUNCTION("""COMPUTED_VALUE"""),25)</f>
        <v>25</v>
      </c>
      <c r="H53">
        <f ca="1">IFERROR(__xludf.DUMMYFUNCTION("""COMPUTED_VALUE"""),-4)</f>
        <v>-4</v>
      </c>
    </row>
    <row r="54" spans="1:8" ht="12.75">
      <c r="A54" t="str">
        <f ca="1">IFERROR(__xludf.DUMMYFUNCTION("""COMPUTED_VALUE"""),"T53")</f>
        <v>T53</v>
      </c>
      <c r="B54" t="str">
        <f ca="1">IFERROR(__xludf.DUMMYFUNCTION("""COMPUTED_VALUE"""),"T10")</f>
        <v>T10</v>
      </c>
      <c r="C54" t="str">
        <f ca="1">IFERROR(__xludf.DUMMYFUNCTION("""COMPUTED_VALUE"""),"Kramer Hickok")</f>
        <v>Kramer Hickok</v>
      </c>
      <c r="D54">
        <f ca="1">IFERROR(__xludf.DUMMYFUNCTION("""COMPUTED_VALUE"""),16)</f>
        <v>16</v>
      </c>
      <c r="E54" t="str">
        <f ca="1">IFERROR(__xludf.DUMMYFUNCTION("""COMPUTED_VALUE"""),"19' 0""")</f>
        <v>19' 0"</v>
      </c>
      <c r="F54">
        <f ca="1">IFERROR(__xludf.DUMMYFUNCTION("""COMPUTED_VALUE"""),360.5)</f>
        <v>360.5</v>
      </c>
      <c r="G54">
        <f ca="1">IFERROR(__xludf.DUMMYFUNCTION("""COMPUTED_VALUE"""),19)</f>
        <v>19</v>
      </c>
      <c r="H54">
        <f ca="1">IFERROR(__xludf.DUMMYFUNCTION("""COMPUTED_VALUE"""),-4)</f>
        <v>-4</v>
      </c>
    </row>
    <row r="55" spans="1:8" ht="12.75">
      <c r="A55" t="str">
        <f ca="1">IFERROR(__xludf.DUMMYFUNCTION("""COMPUTED_VALUE"""),"T53")</f>
        <v>T53</v>
      </c>
      <c r="B55">
        <f ca="1">IFERROR(__xludf.DUMMYFUNCTION("""COMPUTED_VALUE"""),61)</f>
        <v>61</v>
      </c>
      <c r="C55" t="str">
        <f ca="1">IFERROR(__xludf.DUMMYFUNCTION("""COMPUTED_VALUE"""),"William McGirt")</f>
        <v>William McGirt</v>
      </c>
      <c r="D55">
        <f ca="1">IFERROR(__xludf.DUMMYFUNCTION("""COMPUTED_VALUE"""),6)</f>
        <v>6</v>
      </c>
      <c r="E55" t="str">
        <f ca="1">IFERROR(__xludf.DUMMYFUNCTION("""COMPUTED_VALUE"""),"19' 0""")</f>
        <v>19' 0"</v>
      </c>
      <c r="F55">
        <f ca="1">IFERROR(__xludf.DUMMYFUNCTION("""COMPUTED_VALUE"""),285.333)</f>
        <v>285.33300000000003</v>
      </c>
      <c r="G55">
        <f ca="1">IFERROR(__xludf.DUMMYFUNCTION("""COMPUTED_VALUE"""),15)</f>
        <v>15</v>
      </c>
      <c r="H55" t="str">
        <f ca="1">IFERROR(__xludf.DUMMYFUNCTION("""COMPUTED_VALUE"""),"E")</f>
        <v>E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IFERROR(__xludf.DUMMYFUNCTION("""COMPUTED_VALUE"""),"T62")</f>
        <v>T62</v>
      </c>
      <c r="C56" t="str">
        <f ca="1">IFERROR(__xludf.DUMMYFUNCTION("""COMPUTED_VALUE"""),"Jaekyeong Lee")</f>
        <v>Jaekyeong Lee</v>
      </c>
      <c r="D56">
        <f ca="1">IFERROR(__xludf.DUMMYFUNCTION("""COMPUTED_VALUE"""),4)</f>
        <v>4</v>
      </c>
      <c r="E56" t="str">
        <f ca="1">IFERROR(__xludf.DUMMYFUNCTION("""COMPUTED_VALUE"""),"19' 1""")</f>
        <v>19' 1"</v>
      </c>
      <c r="F56">
        <f ca="1">IFERROR(__xludf.DUMMYFUNCTION("""COMPUTED_VALUE"""),114.333)</f>
        <v>114.333</v>
      </c>
      <c r="G56">
        <f ca="1">IFERROR(__xludf.DUMMYFUNCTION("""COMPUTED_VALUE"""),6)</f>
        <v>6</v>
      </c>
      <c r="H56" t="str">
        <f ca="1">IFERROR(__xludf.DUMMYFUNCTION("""COMPUTED_VALUE"""),"E")</f>
        <v>E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IFERROR(__xludf.DUMMYFUNCTION("""COMPUTED_VALUE"""),"T27")</f>
        <v>T27</v>
      </c>
      <c r="C57" t="str">
        <f ca="1">IFERROR(__xludf.DUMMYFUNCTION("""COMPUTED_VALUE"""),"Patton Kizzire")</f>
        <v>Patton Kizzire</v>
      </c>
      <c r="D57">
        <f ca="1">IFERROR(__xludf.DUMMYFUNCTION("""COMPUTED_VALUE"""),18)</f>
        <v>18</v>
      </c>
      <c r="E57" t="str">
        <f ca="1">IFERROR(__xludf.DUMMYFUNCTION("""COMPUTED_VALUE"""),"19' 1""")</f>
        <v>19' 1"</v>
      </c>
      <c r="F57">
        <f ca="1">IFERROR(__xludf.DUMMYFUNCTION("""COMPUTED_VALUE"""),533.25)</f>
        <v>533.25</v>
      </c>
      <c r="G57">
        <f ca="1">IFERROR(__xludf.DUMMYFUNCTION("""COMPUTED_VALUE"""),28)</f>
        <v>28</v>
      </c>
      <c r="H57">
        <f ca="1">IFERROR(__xludf.DUMMYFUNCTION("""COMPUTED_VALUE"""),-7)</f>
        <v>-7</v>
      </c>
    </row>
    <row r="58" spans="1:8" ht="12.75">
      <c r="A58" t="str">
        <f ca="1">IFERROR(__xludf.DUMMYFUNCTION("""COMPUTED_VALUE"""),"T55")</f>
        <v>T55</v>
      </c>
      <c r="B58">
        <f ca="1">IFERROR(__xludf.DUMMYFUNCTION("""COMPUTED_VALUE"""),22)</f>
        <v>22</v>
      </c>
      <c r="C58" t="str">
        <f ca="1">IFERROR(__xludf.DUMMYFUNCTION("""COMPUTED_VALUE"""),"Camilo Villegas")</f>
        <v>Camilo Villegas</v>
      </c>
      <c r="D58">
        <f ca="1">IFERROR(__xludf.DUMMYFUNCTION("""COMPUTED_VALUE"""),14)</f>
        <v>14</v>
      </c>
      <c r="E58" t="str">
        <f ca="1">IFERROR(__xludf.DUMMYFUNCTION("""COMPUTED_VALUE"""),"19' 1""")</f>
        <v>19' 1"</v>
      </c>
      <c r="F58">
        <f ca="1">IFERROR(__xludf.DUMMYFUNCTION("""COMPUTED_VALUE"""),324.5)</f>
        <v>324.5</v>
      </c>
      <c r="G58">
        <f ca="1">IFERROR(__xludf.DUMMYFUNCTION("""COMPUTED_VALUE"""),17)</f>
        <v>17</v>
      </c>
      <c r="H58" t="str">
        <f ca="1">IFERROR(__xludf.DUMMYFUNCTION("""COMPUTED_VALUE"""),"+2")</f>
        <v>+2</v>
      </c>
    </row>
    <row r="59" spans="1:8" ht="12.75">
      <c r="A59" t="str">
        <f ca="1">IFERROR(__xludf.DUMMYFUNCTION("""COMPUTED_VALUE"""),"T55")</f>
        <v>T55</v>
      </c>
      <c r="B59" t="str">
        <f ca="1">IFERROR(__xludf.DUMMYFUNCTION("""COMPUTED_VALUE"""),"T62")</f>
        <v>T62</v>
      </c>
      <c r="C59" t="str">
        <f ca="1">IFERROR(__xludf.DUMMYFUNCTION("""COMPUTED_VALUE"""),"Nick Watney")</f>
        <v>Nick Watney</v>
      </c>
      <c r="D59">
        <f ca="1">IFERROR(__xludf.DUMMYFUNCTION("""COMPUTED_VALUE"""),10)</f>
        <v>10</v>
      </c>
      <c r="E59" t="str">
        <f ca="1">IFERROR(__xludf.DUMMYFUNCTION("""COMPUTED_VALUE"""),"19' 1""")</f>
        <v>19' 1"</v>
      </c>
      <c r="F59">
        <f ca="1">IFERROR(__xludf.DUMMYFUNCTION("""COMPUTED_VALUE"""),324.5)</f>
        <v>324.5</v>
      </c>
      <c r="G59">
        <f ca="1">IFERROR(__xludf.DUMMYFUNCTION("""COMPUTED_VALUE"""),17)</f>
        <v>17</v>
      </c>
      <c r="H59">
        <f ca="1">IFERROR(__xludf.DUMMYFUNCTION("""COMPUTED_VALUE"""),-4)</f>
        <v>-4</v>
      </c>
    </row>
    <row r="60" spans="1:8" ht="12.75">
      <c r="A60" t="str">
        <f ca="1">IFERROR(__xludf.DUMMYFUNCTION("""COMPUTED_VALUE"""),"T55")</f>
        <v>T55</v>
      </c>
      <c r="B60" t="str">
        <f ca="1">IFERROR(__xludf.DUMMYFUNCTION("""COMPUTED_VALUE"""),"T62")</f>
        <v>T62</v>
      </c>
      <c r="C60" t="str">
        <f ca="1">IFERROR(__xludf.DUMMYFUNCTION("""COMPUTED_VALUE"""),"Wes Roach")</f>
        <v>Wes Roach</v>
      </c>
      <c r="D60">
        <f ca="1">IFERROR(__xludf.DUMMYFUNCTION("""COMPUTED_VALUE"""),6)</f>
        <v>6</v>
      </c>
      <c r="E60" t="str">
        <f ca="1">IFERROR(__xludf.DUMMYFUNCTION("""COMPUTED_VALUE"""),"19' 1""")</f>
        <v>19' 1"</v>
      </c>
      <c r="F60">
        <f ca="1">IFERROR(__xludf.DUMMYFUNCTION("""COMPUTED_VALUE"""),114.333)</f>
        <v>114.333</v>
      </c>
      <c r="G60">
        <f ca="1">IFERROR(__xludf.DUMMYFUNCTION("""COMPUTED_VALUE"""),6)</f>
        <v>6</v>
      </c>
      <c r="H60">
        <f ca="1">IFERROR(__xludf.DUMMYFUNCTION("""COMPUTED_VALUE"""),-1)</f>
        <v>-1</v>
      </c>
    </row>
    <row r="61" spans="1:8" ht="12.75">
      <c r="A61" t="str">
        <f ca="1">IFERROR(__xludf.DUMMYFUNCTION("""COMPUTED_VALUE"""),"T60")</f>
        <v>T60</v>
      </c>
      <c r="B61">
        <f ca="1">IFERROR(__xludf.DUMMYFUNCTION("""COMPUTED_VALUE"""),66)</f>
        <v>66</v>
      </c>
      <c r="C61" t="str">
        <f ca="1">IFERROR(__xludf.DUMMYFUNCTION("""COMPUTED_VALUE"""),"Naoki Sekito")</f>
        <v>Naoki Sekito</v>
      </c>
      <c r="D61">
        <f ca="1">IFERROR(__xludf.DUMMYFUNCTION("""COMPUTED_VALUE"""),4)</f>
        <v>4</v>
      </c>
      <c r="E61" t="str">
        <f ca="1">IFERROR(__xludf.DUMMYFUNCTION("""COMPUTED_VALUE"""),"19' 2""")</f>
        <v>19' 2"</v>
      </c>
      <c r="F61">
        <f ca="1">IFERROR(__xludf.DUMMYFUNCTION("""COMPUTED_VALUE"""),115)</f>
        <v>115</v>
      </c>
      <c r="G61">
        <f ca="1">IFERROR(__xludf.DUMMYFUNCTION("""COMPUTED_VALUE"""),6)</f>
        <v>6</v>
      </c>
      <c r="H61">
        <f ca="1">IFERROR(__xludf.DUMMYFUNCTION("""COMPUTED_VALUE"""),-1)</f>
        <v>-1</v>
      </c>
    </row>
    <row r="62" spans="1:8" ht="12.75">
      <c r="A62" t="str">
        <f ca="1">IFERROR(__xludf.DUMMYFUNCTION("""COMPUTED_VALUE"""),"T60")</f>
        <v>T60</v>
      </c>
      <c r="B62">
        <f ca="1">IFERROR(__xludf.DUMMYFUNCTION("""COMPUTED_VALUE"""),91)</f>
        <v>91</v>
      </c>
      <c r="C62" t="str">
        <f ca="1">IFERROR(__xludf.DUMMYFUNCTION("""COMPUTED_VALUE"""),"Bronson Burgoon")</f>
        <v>Bronson Burgoon</v>
      </c>
      <c r="D62">
        <f ca="1">IFERROR(__xludf.DUMMYFUNCTION("""COMPUTED_VALUE"""),10)</f>
        <v>10</v>
      </c>
      <c r="E62" t="str">
        <f ca="1">IFERROR(__xludf.DUMMYFUNCTION("""COMPUTED_VALUE"""),"19' 2""")</f>
        <v>19' 2"</v>
      </c>
      <c r="F62">
        <f ca="1">IFERROR(__xludf.DUMMYFUNCTION("""COMPUTED_VALUE"""),382.667)</f>
        <v>382.66699999999997</v>
      </c>
      <c r="G62">
        <f ca="1">IFERROR(__xludf.DUMMYFUNCTION("""COMPUTED_VALUE"""),20)</f>
        <v>20</v>
      </c>
      <c r="H62">
        <f ca="1">IFERROR(__xludf.DUMMYFUNCTION("""COMPUTED_VALUE"""),-2)</f>
        <v>-2</v>
      </c>
    </row>
    <row r="63" spans="1:8" ht="12.75">
      <c r="A63" t="str">
        <f ca="1">IFERROR(__xludf.DUMMYFUNCTION("""COMPUTED_VALUE"""),"T60")</f>
        <v>T60</v>
      </c>
      <c r="B63" t="str">
        <f ca="1">IFERROR(__xludf.DUMMYFUNCTION("""COMPUTED_VALUE"""),"T10")</f>
        <v>T10</v>
      </c>
      <c r="C63" t="str">
        <f ca="1">IFERROR(__xludf.DUMMYFUNCTION("""COMPUTED_VALUE"""),"Hideki Matsuyama")</f>
        <v>Hideki Matsuyama</v>
      </c>
      <c r="D63">
        <f ca="1">IFERROR(__xludf.DUMMYFUNCTION("""COMPUTED_VALUE"""),18)</f>
        <v>18</v>
      </c>
      <c r="E63" t="str">
        <f ca="1">IFERROR(__xludf.DUMMYFUNCTION("""COMPUTED_VALUE"""),"19' 2""")</f>
        <v>19' 2"</v>
      </c>
      <c r="F63">
        <f ca="1">IFERROR(__xludf.DUMMYFUNCTION("""COMPUTED_VALUE"""),689.25)</f>
        <v>689.25</v>
      </c>
      <c r="G63">
        <f ca="1">IFERROR(__xludf.DUMMYFUNCTION("""COMPUTED_VALUE"""),36)</f>
        <v>36</v>
      </c>
      <c r="H63">
        <f ca="1">IFERROR(__xludf.DUMMYFUNCTION("""COMPUTED_VALUE"""),-14)</f>
        <v>-14</v>
      </c>
    </row>
    <row r="64" spans="1:8" ht="12.75">
      <c r="A64">
        <f ca="1">IFERROR(__xludf.DUMMYFUNCTION("""COMPUTED_VALUE"""),63)</f>
        <v>63</v>
      </c>
      <c r="B64">
        <f ca="1">IFERROR(__xludf.DUMMYFUNCTION("""COMPUTED_VALUE"""),67)</f>
        <v>67</v>
      </c>
      <c r="C64" t="str">
        <f ca="1">IFERROR(__xludf.DUMMYFUNCTION("""COMPUTED_VALUE"""),"Jay McLuen")</f>
        <v>Jay McLuen</v>
      </c>
      <c r="D64">
        <f ca="1">IFERROR(__xludf.DUMMYFUNCTION("""COMPUTED_VALUE"""),4)</f>
        <v>4</v>
      </c>
      <c r="E64" t="str">
        <f ca="1">IFERROR(__xludf.DUMMYFUNCTION("""COMPUTED_VALUE"""),"19' 3""")</f>
        <v>19' 3"</v>
      </c>
      <c r="F64">
        <f ca="1">IFERROR(__xludf.DUMMYFUNCTION("""COMPUTED_VALUE"""),192.083)</f>
        <v>192.083</v>
      </c>
      <c r="G64">
        <f ca="1">IFERROR(__xludf.DUMMYFUNCTION("""COMPUTED_VALUE"""),10)</f>
        <v>10</v>
      </c>
      <c r="H64">
        <f ca="1">IFERROR(__xludf.DUMMYFUNCTION("""COMPUTED_VALUE"""),-1)</f>
        <v>-1</v>
      </c>
    </row>
    <row r="65" spans="1:8" ht="12.75">
      <c r="A65" t="str">
        <f ca="1">IFERROR(__xludf.DUMMYFUNCTION("""COMPUTED_VALUE"""),"T64")</f>
        <v>T64</v>
      </c>
      <c r="B65">
        <f ca="1">IFERROR(__xludf.DUMMYFUNCTION("""COMPUTED_VALUE"""),8)</f>
        <v>8</v>
      </c>
      <c r="C65" t="str">
        <f ca="1">IFERROR(__xludf.DUMMYFUNCTION("""COMPUTED_VALUE"""),"Aaron Wise")</f>
        <v>Aaron Wise</v>
      </c>
      <c r="D65">
        <f ca="1">IFERROR(__xludf.DUMMYFUNCTION("""COMPUTED_VALUE"""),16)</f>
        <v>16</v>
      </c>
      <c r="E65" t="str">
        <f ca="1">IFERROR(__xludf.DUMMYFUNCTION("""COMPUTED_VALUE"""),"19' 4""")</f>
        <v>19' 4"</v>
      </c>
      <c r="F65">
        <f ca="1">IFERROR(__xludf.DUMMYFUNCTION("""COMPUTED_VALUE"""),483.75)</f>
        <v>483.75</v>
      </c>
      <c r="G65">
        <f ca="1">IFERROR(__xludf.DUMMYFUNCTION("""COMPUTED_VALUE"""),25)</f>
        <v>25</v>
      </c>
      <c r="H65">
        <f ca="1">IFERROR(__xludf.DUMMYFUNCTION("""COMPUTED_VALUE"""),-3)</f>
        <v>-3</v>
      </c>
    </row>
    <row r="66" spans="1:8" ht="12.75">
      <c r="A66" t="str">
        <f ca="1">IFERROR(__xludf.DUMMYFUNCTION("""COMPUTED_VALUE"""),"T64")</f>
        <v>T64</v>
      </c>
      <c r="B66" t="str">
        <f ca="1">IFERROR(__xludf.DUMMYFUNCTION("""COMPUTED_VALUE"""),"T68")</f>
        <v>T68</v>
      </c>
      <c r="C66" t="str">
        <f ca="1">IFERROR(__xludf.DUMMYFUNCTION("""COMPUTED_VALUE"""),"George McNeill")</f>
        <v>George McNeill</v>
      </c>
      <c r="D66">
        <f ca="1">IFERROR(__xludf.DUMMYFUNCTION("""COMPUTED_VALUE"""),8)</f>
        <v>8</v>
      </c>
      <c r="E66" t="str">
        <f ca="1">IFERROR(__xludf.DUMMYFUNCTION("""COMPUTED_VALUE"""),"19' 4""")</f>
        <v>19' 4"</v>
      </c>
      <c r="F66">
        <f ca="1">IFERROR(__xludf.DUMMYFUNCTION("""COMPUTED_VALUE"""),115.75)</f>
        <v>115.75</v>
      </c>
      <c r="G66">
        <f ca="1">IFERROR(__xludf.DUMMYFUNCTION("""COMPUTED_VALUE"""),6)</f>
        <v>6</v>
      </c>
      <c r="H66">
        <f ca="1">IFERROR(__xludf.DUMMYFUNCTION("""COMPUTED_VALUE"""),-1)</f>
        <v>-1</v>
      </c>
    </row>
    <row r="67" spans="1:8" ht="12.75">
      <c r="A67" t="str">
        <f ca="1">IFERROR(__xludf.DUMMYFUNCTION("""COMPUTED_VALUE"""),"T64")</f>
        <v>T64</v>
      </c>
      <c r="B67">
        <f ca="1">IFERROR(__xludf.DUMMYFUNCTION("""COMPUTED_VALUE"""),7)</f>
        <v>7</v>
      </c>
      <c r="C67" t="str">
        <f ca="1">IFERROR(__xludf.DUMMYFUNCTION("""COMPUTED_VALUE"""),"Brooks Koepka")</f>
        <v>Brooks Koepka</v>
      </c>
      <c r="D67">
        <f ca="1">IFERROR(__xludf.DUMMYFUNCTION("""COMPUTED_VALUE"""),8)</f>
        <v>8</v>
      </c>
      <c r="E67" t="str">
        <f ca="1">IFERROR(__xludf.DUMMYFUNCTION("""COMPUTED_VALUE"""),"19' 4""")</f>
        <v>19' 4"</v>
      </c>
      <c r="F67">
        <f ca="1">IFERROR(__xludf.DUMMYFUNCTION("""COMPUTED_VALUE"""),367.667)</f>
        <v>367.66699999999997</v>
      </c>
      <c r="G67">
        <f ca="1">IFERROR(__xludf.DUMMYFUNCTION("""COMPUTED_VALUE"""),19)</f>
        <v>19</v>
      </c>
      <c r="H67">
        <f ca="1">IFERROR(__xludf.DUMMYFUNCTION("""COMPUTED_VALUE"""),-6)</f>
        <v>-6</v>
      </c>
    </row>
    <row r="68" spans="1:8" ht="12.75">
      <c r="A68" t="str">
        <f ca="1">IFERROR(__xludf.DUMMYFUNCTION("""COMPUTED_VALUE"""),"T64")</f>
        <v>T64</v>
      </c>
      <c r="B68" t="str">
        <f ca="1">IFERROR(__xludf.DUMMYFUNCTION("""COMPUTED_VALUE"""),"T68")</f>
        <v>T68</v>
      </c>
      <c r="C68" t="str">
        <f ca="1">IFERROR(__xludf.DUMMYFUNCTION("""COMPUTED_VALUE"""),"Adam Hadwin")</f>
        <v>Adam Hadwin</v>
      </c>
      <c r="D68">
        <f ca="1">IFERROR(__xludf.DUMMYFUNCTION("""COMPUTED_VALUE"""),16)</f>
        <v>16</v>
      </c>
      <c r="E68" t="str">
        <f ca="1">IFERROR(__xludf.DUMMYFUNCTION("""COMPUTED_VALUE"""),"19' 4""")</f>
        <v>19' 4"</v>
      </c>
      <c r="F68">
        <f ca="1">IFERROR(__xludf.DUMMYFUNCTION("""COMPUTED_VALUE"""),618.083)</f>
        <v>618.08299999999997</v>
      </c>
      <c r="G68">
        <f ca="1">IFERROR(__xludf.DUMMYFUNCTION("""COMPUTED_VALUE"""),32)</f>
        <v>32</v>
      </c>
      <c r="H68">
        <f ca="1">IFERROR(__xludf.DUMMYFUNCTION("""COMPUTED_VALUE"""),-10)</f>
        <v>-10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IFERROR(__xludf.DUMMYFUNCTION("""COMPUTED_VALUE"""),"T72")</f>
        <v>T72</v>
      </c>
      <c r="C69" t="str">
        <f ca="1">IFERROR(__xludf.DUMMYFUNCTION("""COMPUTED_VALUE"""),"Brandon Hagy")</f>
        <v>Brandon Hagy</v>
      </c>
      <c r="D69">
        <f ca="1">IFERROR(__xludf.DUMMYFUNCTION("""COMPUTED_VALUE"""),10)</f>
        <v>10</v>
      </c>
      <c r="E69" t="str">
        <f ca="1">IFERROR(__xludf.DUMMYFUNCTION("""COMPUTED_VALUE"""),"19' 5""")</f>
        <v>19' 5"</v>
      </c>
      <c r="F69">
        <f ca="1">IFERROR(__xludf.DUMMYFUNCTION("""COMPUTED_VALUE"""),116.417)</f>
        <v>116.417</v>
      </c>
      <c r="G69">
        <f ca="1">IFERROR(__xludf.DUMMYFUNCTION("""COMPUTED_VALUE"""),6)</f>
        <v>6</v>
      </c>
      <c r="H69">
        <f ca="1">IFERROR(__xludf.DUMMYFUNCTION("""COMPUTED_VALUE"""),-2)</f>
        <v>-2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IFERROR(__xludf.DUMMYFUNCTION("""COMPUTED_VALUE"""),"T72")</f>
        <v>T72</v>
      </c>
      <c r="C70" t="str">
        <f ca="1">IFERROR(__xludf.DUMMYFUNCTION("""COMPUTED_VALUE"""),"Zack Sucher")</f>
        <v>Zack Sucher</v>
      </c>
      <c r="D70">
        <f ca="1">IFERROR(__xludf.DUMMYFUNCTION("""COMPUTED_VALUE"""),6)</f>
        <v>6</v>
      </c>
      <c r="E70" t="str">
        <f ca="1">IFERROR(__xludf.DUMMYFUNCTION("""COMPUTED_VALUE"""),"19' 5""")</f>
        <v>19' 5"</v>
      </c>
      <c r="F70">
        <f ca="1">IFERROR(__xludf.DUMMYFUNCTION("""COMPUTED_VALUE"""),77.583)</f>
        <v>77.582999999999998</v>
      </c>
      <c r="G70">
        <f ca="1">IFERROR(__xludf.DUMMYFUNCTION("""COMPUTED_VALUE"""),4)</f>
        <v>4</v>
      </c>
      <c r="H70">
        <f ca="1">IFERROR(__xludf.DUMMYFUNCTION("""COMPUTED_VALUE"""),-1)</f>
        <v>-1</v>
      </c>
    </row>
    <row r="71" spans="1:8" ht="12.75">
      <c r="A71" t="str">
        <f ca="1">IFERROR(__xludf.DUMMYFUNCTION("""COMPUTED_VALUE"""),"T68")</f>
        <v>T68</v>
      </c>
      <c r="B71" t="str">
        <f ca="1">IFERROR(__xludf.DUMMYFUNCTION("""COMPUTED_VALUE"""),"T72")</f>
        <v>T72</v>
      </c>
      <c r="C71" t="str">
        <f ca="1">IFERROR(__xludf.DUMMYFUNCTION("""COMPUTED_VALUE"""),"Sebastian Cappelen")</f>
        <v>Sebastian Cappelen</v>
      </c>
      <c r="D71">
        <f ca="1">IFERROR(__xludf.DUMMYFUNCTION("""COMPUTED_VALUE"""),8)</f>
        <v>8</v>
      </c>
      <c r="E71" t="str">
        <f ca="1">IFERROR(__xludf.DUMMYFUNCTION("""COMPUTED_VALUE"""),"19' 5""")</f>
        <v>19' 5"</v>
      </c>
      <c r="F71">
        <f ca="1">IFERROR(__xludf.DUMMYFUNCTION("""COMPUTED_VALUE"""),194.25)</f>
        <v>194.25</v>
      </c>
      <c r="G71">
        <f ca="1">IFERROR(__xludf.DUMMYFUNCTION("""COMPUTED_VALUE"""),10)</f>
        <v>10</v>
      </c>
      <c r="H71">
        <f ca="1">IFERROR(__xludf.DUMMYFUNCTION("""COMPUTED_VALUE"""),-2)</f>
        <v>-2</v>
      </c>
    </row>
    <row r="72" spans="1:8" ht="12.75">
      <c r="A72" t="str">
        <f ca="1">IFERROR(__xludf.DUMMYFUNCTION("""COMPUTED_VALUE"""),"T71")</f>
        <v>T71</v>
      </c>
      <c r="B72" t="str">
        <f ca="1">IFERROR(__xludf.DUMMYFUNCTION("""COMPUTED_VALUE"""),"T75")</f>
        <v>T75</v>
      </c>
      <c r="C72" t="str">
        <f ca="1">IFERROR(__xludf.DUMMYFUNCTION("""COMPUTED_VALUE"""),"Sebastián Muñoz")</f>
        <v>Sebastián Muñoz</v>
      </c>
      <c r="D72">
        <f ca="1">IFERROR(__xludf.DUMMYFUNCTION("""COMPUTED_VALUE"""),20)</f>
        <v>20</v>
      </c>
      <c r="E72" t="str">
        <f ca="1">IFERROR(__xludf.DUMMYFUNCTION("""COMPUTED_VALUE"""),"19' 6""")</f>
        <v>19' 6"</v>
      </c>
      <c r="F72">
        <f ca="1">IFERROR(__xludf.DUMMYFUNCTION("""COMPUTED_VALUE"""),683.917)</f>
        <v>683.91700000000003</v>
      </c>
      <c r="G72">
        <f ca="1">IFERROR(__xludf.DUMMYFUNCTION("""COMPUTED_VALUE"""),35)</f>
        <v>35</v>
      </c>
      <c r="H72">
        <f ca="1">IFERROR(__xludf.DUMMYFUNCTION("""COMPUTED_VALUE"""),-6)</f>
        <v>-6</v>
      </c>
    </row>
    <row r="73" spans="1:8" ht="12.75">
      <c r="A73" t="str">
        <f ca="1">IFERROR(__xludf.DUMMYFUNCTION("""COMPUTED_VALUE"""),"T71")</f>
        <v>T71</v>
      </c>
      <c r="B73" t="str">
        <f ca="1">IFERROR(__xludf.DUMMYFUNCTION("""COMPUTED_VALUE"""),"T75")</f>
        <v>T75</v>
      </c>
      <c r="C73" t="str">
        <f ca="1">IFERROR(__xludf.DUMMYFUNCTION("""COMPUTED_VALUE"""),"Tim Wilkinson")</f>
        <v>Tim Wilkinson</v>
      </c>
      <c r="D73">
        <f ca="1">IFERROR(__xludf.DUMMYFUNCTION("""COMPUTED_VALUE"""),12)</f>
        <v>12</v>
      </c>
      <c r="E73" t="str">
        <f ca="1">IFERROR(__xludf.DUMMYFUNCTION("""COMPUTED_VALUE"""),"19' 6""")</f>
        <v>19' 6"</v>
      </c>
      <c r="F73">
        <f ca="1">IFERROR(__xludf.DUMMYFUNCTION("""COMPUTED_VALUE"""),468.667)</f>
        <v>468.66699999999997</v>
      </c>
      <c r="G73">
        <f ca="1">IFERROR(__xludf.DUMMYFUNCTION("""COMPUTED_VALUE"""),24)</f>
        <v>24</v>
      </c>
      <c r="H73" t="str">
        <f ca="1">IFERROR(__xludf.DUMMYFUNCTION("""COMPUTED_VALUE"""),"E")</f>
        <v>E</v>
      </c>
    </row>
    <row r="74" spans="1:8" ht="12.75">
      <c r="A74" t="str">
        <f ca="1">IFERROR(__xludf.DUMMYFUNCTION("""COMPUTED_VALUE"""),"T73")</f>
        <v>T73</v>
      </c>
      <c r="B74" t="str">
        <f ca="1">IFERROR(__xludf.DUMMYFUNCTION("""COMPUTED_VALUE"""),"T75")</f>
        <v>T75</v>
      </c>
      <c r="C74" t="str">
        <f ca="1">IFERROR(__xludf.DUMMYFUNCTION("""COMPUTED_VALUE"""),"Sam Burns")</f>
        <v>Sam Burns</v>
      </c>
      <c r="D74">
        <f ca="1">IFERROR(__xludf.DUMMYFUNCTION("""COMPUTED_VALUE"""),18)</f>
        <v>18</v>
      </c>
      <c r="E74" t="str">
        <f ca="1">IFERROR(__xludf.DUMMYFUNCTION("""COMPUTED_VALUE"""),"19' 7""")</f>
        <v>19' 7"</v>
      </c>
      <c r="F74">
        <f ca="1">IFERROR(__xludf.DUMMYFUNCTION("""COMPUTED_VALUE"""),606.333)</f>
        <v>606.33299999999997</v>
      </c>
      <c r="G74">
        <f ca="1">IFERROR(__xludf.DUMMYFUNCTION("""COMPUTED_VALUE"""),31)</f>
        <v>31</v>
      </c>
      <c r="H74">
        <f ca="1">IFERROR(__xludf.DUMMYFUNCTION("""COMPUTED_VALUE"""),-7)</f>
        <v>-7</v>
      </c>
    </row>
    <row r="75" spans="1:8" ht="12.75">
      <c r="A75" t="str">
        <f ca="1">IFERROR(__xludf.DUMMYFUNCTION("""COMPUTED_VALUE"""),"T73")</f>
        <v>T73</v>
      </c>
      <c r="B75">
        <f ca="1">IFERROR(__xludf.DUMMYFUNCTION("""COMPUTED_VALUE"""),80)</f>
        <v>80</v>
      </c>
      <c r="C75" t="str">
        <f ca="1">IFERROR(__xludf.DUMMYFUNCTION("""COMPUTED_VALUE"""),"Thomas Pieters")</f>
        <v>Thomas Pieters</v>
      </c>
      <c r="D75">
        <f ca="1">IFERROR(__xludf.DUMMYFUNCTION("""COMPUTED_VALUE"""),4)</f>
        <v>4</v>
      </c>
      <c r="E75" t="str">
        <f ca="1">IFERROR(__xludf.DUMMYFUNCTION("""COMPUTED_VALUE"""),"19' 7""")</f>
        <v>19' 7"</v>
      </c>
      <c r="F75">
        <f ca="1">IFERROR(__xludf.DUMMYFUNCTION("""COMPUTED_VALUE"""),156.5)</f>
        <v>156.5</v>
      </c>
      <c r="G75">
        <f ca="1">IFERROR(__xludf.DUMMYFUNCTION("""COMPUTED_VALUE"""),8)</f>
        <v>8</v>
      </c>
      <c r="H75" t="str">
        <f ca="1">IFERROR(__xludf.DUMMYFUNCTION("""COMPUTED_VALUE"""),"E")</f>
        <v>E</v>
      </c>
    </row>
    <row r="76" spans="1:8" ht="12.75">
      <c r="A76" t="str">
        <f ca="1">IFERROR(__xludf.DUMMYFUNCTION("""COMPUTED_VALUE"""),"T73")</f>
        <v>T73</v>
      </c>
      <c r="B76" t="str">
        <f ca="1">IFERROR(__xludf.DUMMYFUNCTION("""COMPUTED_VALUE"""),"T146")</f>
        <v>T146</v>
      </c>
      <c r="C76" t="str">
        <f ca="1">IFERROR(__xludf.DUMMYFUNCTION("""COMPUTED_VALUE"""),"Mackenzie Hughes")</f>
        <v>Mackenzie Hughes</v>
      </c>
      <c r="D76">
        <f ca="1">IFERROR(__xludf.DUMMYFUNCTION("""COMPUTED_VALUE"""),18)</f>
        <v>18</v>
      </c>
      <c r="E76" t="str">
        <f ca="1">IFERROR(__xludf.DUMMYFUNCTION("""COMPUTED_VALUE"""),"19' 7""")</f>
        <v>19' 7"</v>
      </c>
      <c r="F76">
        <f ca="1">IFERROR(__xludf.DUMMYFUNCTION("""COMPUTED_VALUE"""),451.167)</f>
        <v>451.16699999999997</v>
      </c>
      <c r="G76">
        <f ca="1">IFERROR(__xludf.DUMMYFUNCTION("""COMPUTED_VALUE"""),23)</f>
        <v>23</v>
      </c>
      <c r="H76">
        <f ca="1">IFERROR(__xludf.DUMMYFUNCTION("""COMPUTED_VALUE"""),-4)</f>
        <v>-4</v>
      </c>
    </row>
    <row r="77" spans="1:8" ht="12.75">
      <c r="A77">
        <f ca="1">IFERROR(__xludf.DUMMYFUNCTION("""COMPUTED_VALUE"""),76)</f>
        <v>76</v>
      </c>
      <c r="B77">
        <f ca="1">IFERROR(__xludf.DUMMYFUNCTION("""COMPUTED_VALUE"""),81)</f>
        <v>81</v>
      </c>
      <c r="C77" t="str">
        <f ca="1">IFERROR(__xludf.DUMMYFUNCTION("""COMPUTED_VALUE"""),"Tae Hee Lee")</f>
        <v>Tae Hee Lee</v>
      </c>
      <c r="D77">
        <f ca="1">IFERROR(__xludf.DUMMYFUNCTION("""COMPUTED_VALUE"""),4)</f>
        <v>4</v>
      </c>
      <c r="E77" t="str">
        <f ca="1">IFERROR(__xludf.DUMMYFUNCTION("""COMPUTED_VALUE"""),"19' 8""")</f>
        <v>19' 8"</v>
      </c>
      <c r="F77">
        <f ca="1">IFERROR(__xludf.DUMMYFUNCTION("""COMPUTED_VALUE"""),117.833)</f>
        <v>117.833</v>
      </c>
      <c r="G77">
        <f ca="1">IFERROR(__xludf.DUMMYFUNCTION("""COMPUTED_VALUE"""),6)</f>
        <v>6</v>
      </c>
      <c r="H77">
        <f ca="1">IFERROR(__xludf.DUMMYFUNCTION("""COMPUTED_VALUE"""),-1)</f>
        <v>-1</v>
      </c>
    </row>
    <row r="78" spans="1:8" ht="12.75">
      <c r="A78" t="str">
        <f ca="1">IFERROR(__xludf.DUMMYFUNCTION("""COMPUTED_VALUE"""),"T77")</f>
        <v>T77</v>
      </c>
      <c r="B78" t="str">
        <f ca="1">IFERROR(__xludf.DUMMYFUNCTION("""COMPUTED_VALUE"""),"T25")</f>
        <v>T25</v>
      </c>
      <c r="C78" t="str">
        <f ca="1">IFERROR(__xludf.DUMMYFUNCTION("""COMPUTED_VALUE"""),"Doc Redman")</f>
        <v>Doc Redman</v>
      </c>
      <c r="D78">
        <f ca="1">IFERROR(__xludf.DUMMYFUNCTION("""COMPUTED_VALUE"""),18)</f>
        <v>18</v>
      </c>
      <c r="E78" t="str">
        <f ca="1">IFERROR(__xludf.DUMMYFUNCTION("""COMPUTED_VALUE"""),"19' 9""")</f>
        <v>19' 9"</v>
      </c>
      <c r="F78">
        <f ca="1">IFERROR(__xludf.DUMMYFUNCTION("""COMPUTED_VALUE"""),828.167)</f>
        <v>828.16700000000003</v>
      </c>
      <c r="G78">
        <f ca="1">IFERROR(__xludf.DUMMYFUNCTION("""COMPUTED_VALUE"""),42)</f>
        <v>42</v>
      </c>
      <c r="H78">
        <f ca="1">IFERROR(__xludf.DUMMYFUNCTION("""COMPUTED_VALUE"""),-11)</f>
        <v>-11</v>
      </c>
    </row>
    <row r="79" spans="1:8" ht="12.75">
      <c r="A79" t="str">
        <f ca="1">IFERROR(__xludf.DUMMYFUNCTION("""COMPUTED_VALUE"""),"T77")</f>
        <v>T77</v>
      </c>
      <c r="B79" t="str">
        <f ca="1">IFERROR(__xludf.DUMMYFUNCTION("""COMPUTED_VALUE"""),"T82")</f>
        <v>T82</v>
      </c>
      <c r="C79" t="str">
        <f ca="1">IFERROR(__xludf.DUMMYFUNCTION("""COMPUTED_VALUE"""),"Zac Blair")</f>
        <v>Zac Blair</v>
      </c>
      <c r="D79">
        <f ca="1">IFERROR(__xludf.DUMMYFUNCTION("""COMPUTED_VALUE"""),10)</f>
        <v>10</v>
      </c>
      <c r="E79" t="str">
        <f ca="1">IFERROR(__xludf.DUMMYFUNCTION("""COMPUTED_VALUE"""),"19' 9""")</f>
        <v>19' 9"</v>
      </c>
      <c r="F79">
        <f ca="1">IFERROR(__xludf.DUMMYFUNCTION("""COMPUTED_VALUE"""),276.917)</f>
        <v>276.91699999999997</v>
      </c>
      <c r="G79">
        <f ca="1">IFERROR(__xludf.DUMMYFUNCTION("""COMPUTED_VALUE"""),14)</f>
        <v>14</v>
      </c>
      <c r="H79">
        <f ca="1">IFERROR(__xludf.DUMMYFUNCTION("""COMPUTED_VALUE"""),-2)</f>
        <v>-2</v>
      </c>
    </row>
    <row r="80" spans="1:8" ht="12.75">
      <c r="A80" t="str">
        <f ca="1">IFERROR(__xludf.DUMMYFUNCTION("""COMPUTED_VALUE"""),"T77")</f>
        <v>T77</v>
      </c>
      <c r="B80" t="str">
        <f ca="1">IFERROR(__xludf.DUMMYFUNCTION("""COMPUTED_VALUE"""),"T82")</f>
        <v>T82</v>
      </c>
      <c r="C80" t="str">
        <f ca="1">IFERROR(__xludf.DUMMYFUNCTION("""COMPUTED_VALUE"""),"Ryan Palmer")</f>
        <v>Ryan Palmer</v>
      </c>
      <c r="D80">
        <f ca="1">IFERROR(__xludf.DUMMYFUNCTION("""COMPUTED_VALUE"""),14)</f>
        <v>14</v>
      </c>
      <c r="E80" t="str">
        <f ca="1">IFERROR(__xludf.DUMMYFUNCTION("""COMPUTED_VALUE"""),"19' 9""")</f>
        <v>19' 9"</v>
      </c>
      <c r="F80">
        <f ca="1">IFERROR(__xludf.DUMMYFUNCTION("""COMPUTED_VALUE"""),532.833)</f>
        <v>532.83299999999997</v>
      </c>
      <c r="G80">
        <f ca="1">IFERROR(__xludf.DUMMYFUNCTION("""COMPUTED_VALUE"""),27)</f>
        <v>27</v>
      </c>
      <c r="H80">
        <f ca="1">IFERROR(__xludf.DUMMYFUNCTION("""COMPUTED_VALUE"""),-7)</f>
        <v>-7</v>
      </c>
    </row>
    <row r="81" spans="1:8" ht="12.75">
      <c r="A81">
        <f ca="1">IFERROR(__xludf.DUMMYFUNCTION("""COMPUTED_VALUE"""),80)</f>
        <v>80</v>
      </c>
      <c r="B81" t="str">
        <f ca="1">IFERROR(__xludf.DUMMYFUNCTION("""COMPUTED_VALUE"""),"T84")</f>
        <v>T84</v>
      </c>
      <c r="C81" t="str">
        <f ca="1">IFERROR(__xludf.DUMMYFUNCTION("""COMPUTED_VALUE"""),"Jeongwoo Ham")</f>
        <v>Jeongwoo Ham</v>
      </c>
      <c r="D81">
        <f ca="1">IFERROR(__xludf.DUMMYFUNCTION("""COMPUTED_VALUE"""),4)</f>
        <v>4</v>
      </c>
      <c r="E81" t="str">
        <f ca="1">IFERROR(__xludf.DUMMYFUNCTION("""COMPUTED_VALUE"""),"19' 10""")</f>
        <v>19' 10"</v>
      </c>
      <c r="F81">
        <f ca="1">IFERROR(__xludf.DUMMYFUNCTION("""COMPUTED_VALUE"""),158.5)</f>
        <v>158.5</v>
      </c>
      <c r="G81">
        <f ca="1">IFERROR(__xludf.DUMMYFUNCTION("""COMPUTED_VALUE"""),8)</f>
        <v>8</v>
      </c>
      <c r="H81">
        <f ca="1">IFERROR(__xludf.DUMMYFUNCTION("""COMPUTED_VALUE"""),-1)</f>
        <v>-1</v>
      </c>
    </row>
    <row r="82" spans="1:8" ht="12.75">
      <c r="A82" t="str">
        <f ca="1">IFERROR(__xludf.DUMMYFUNCTION("""COMPUTED_VALUE"""),"T81")</f>
        <v>T81</v>
      </c>
      <c r="B82" t="str">
        <f ca="1">IFERROR(__xludf.DUMMYFUNCTION("""COMPUTED_VALUE"""),"T86")</f>
        <v>T86</v>
      </c>
      <c r="C82" t="str">
        <f ca="1">IFERROR(__xludf.DUMMYFUNCTION("""COMPUTED_VALUE"""),"Hank Lebioda")</f>
        <v>Hank Lebioda</v>
      </c>
      <c r="D82">
        <f ca="1">IFERROR(__xludf.DUMMYFUNCTION("""COMPUTED_VALUE"""),14)</f>
        <v>14</v>
      </c>
      <c r="E82" t="str">
        <f ca="1">IFERROR(__xludf.DUMMYFUNCTION("""COMPUTED_VALUE"""),"19' 11""")</f>
        <v>19' 11"</v>
      </c>
      <c r="F82">
        <f ca="1">IFERROR(__xludf.DUMMYFUNCTION("""COMPUTED_VALUE"""),178.917)</f>
        <v>178.917</v>
      </c>
      <c r="G82">
        <f ca="1">IFERROR(__xludf.DUMMYFUNCTION("""COMPUTED_VALUE"""),9)</f>
        <v>9</v>
      </c>
      <c r="H82">
        <f ca="1">IFERROR(__xludf.DUMMYFUNCTION("""COMPUTED_VALUE"""),-2)</f>
        <v>-2</v>
      </c>
    </row>
    <row r="83" spans="1:8" ht="12.75">
      <c r="A83" t="str">
        <f ca="1">IFERROR(__xludf.DUMMYFUNCTION("""COMPUTED_VALUE"""),"T81")</f>
        <v>T81</v>
      </c>
      <c r="B83" t="str">
        <f ca="1">IFERROR(__xludf.DUMMYFUNCTION("""COMPUTED_VALUE"""),"T68")</f>
        <v>T68</v>
      </c>
      <c r="C83" t="str">
        <f ca="1">IFERROR(__xludf.DUMMYFUNCTION("""COMPUTED_VALUE"""),"C.T. Pan")</f>
        <v>C.T. Pan</v>
      </c>
      <c r="D83">
        <f ca="1">IFERROR(__xludf.DUMMYFUNCTION("""COMPUTED_VALUE"""),20)</f>
        <v>20</v>
      </c>
      <c r="E83" t="str">
        <f ca="1">IFERROR(__xludf.DUMMYFUNCTION("""COMPUTED_VALUE"""),"19' 11""")</f>
        <v>19' 11"</v>
      </c>
      <c r="F83">
        <f ca="1">IFERROR(__xludf.DUMMYFUNCTION("""COMPUTED_VALUE"""),877.583)</f>
        <v>877.58299999999997</v>
      </c>
      <c r="G83">
        <f ca="1">IFERROR(__xludf.DUMMYFUNCTION("""COMPUTED_VALUE"""),44)</f>
        <v>44</v>
      </c>
      <c r="H83">
        <f ca="1">IFERROR(__xludf.DUMMYFUNCTION("""COMPUTED_VALUE"""),-11)</f>
        <v>-11</v>
      </c>
    </row>
    <row r="84" spans="1:8" ht="12.75">
      <c r="A84" t="str">
        <f ca="1">IFERROR(__xludf.DUMMYFUNCTION("""COMPUTED_VALUE"""),"T81")</f>
        <v>T81</v>
      </c>
      <c r="B84" t="str">
        <f ca="1">IFERROR(__xludf.DUMMYFUNCTION("""COMPUTED_VALUE"""),"T86")</f>
        <v>T86</v>
      </c>
      <c r="C84" t="str">
        <f ca="1">IFERROR(__xludf.DUMMYFUNCTION("""COMPUTED_VALUE"""),"Sangmoon Bae")</f>
        <v>Sangmoon Bae</v>
      </c>
      <c r="D84">
        <f ca="1">IFERROR(__xludf.DUMMYFUNCTION("""COMPUTED_VALUE"""),8)</f>
        <v>8</v>
      </c>
      <c r="E84" t="str">
        <f ca="1">IFERROR(__xludf.DUMMYFUNCTION("""COMPUTED_VALUE"""),"19' 11""")</f>
        <v>19' 11"</v>
      </c>
      <c r="F84">
        <f ca="1">IFERROR(__xludf.DUMMYFUNCTION("""COMPUTED_VALUE"""),79.583)</f>
        <v>79.582999999999998</v>
      </c>
      <c r="G84">
        <f ca="1">IFERROR(__xludf.DUMMYFUNCTION("""COMPUTED_VALUE"""),4)</f>
        <v>4</v>
      </c>
      <c r="H84">
        <f ca="1">IFERROR(__xludf.DUMMYFUNCTION("""COMPUTED_VALUE"""),-1)</f>
        <v>-1</v>
      </c>
    </row>
    <row r="85" spans="1:8" ht="12.75">
      <c r="A85" t="str">
        <f ca="1">IFERROR(__xludf.DUMMYFUNCTION("""COMPUTED_VALUE"""),"T81")</f>
        <v>T81</v>
      </c>
      <c r="B85" t="str">
        <f ca="1">IFERROR(__xludf.DUMMYFUNCTION("""COMPUTED_VALUE"""),"T75")</f>
        <v>T75</v>
      </c>
      <c r="C85" t="str">
        <f ca="1">IFERROR(__xludf.DUMMYFUNCTION("""COMPUTED_VALUE"""),"Corey Conners")</f>
        <v>Corey Conners</v>
      </c>
      <c r="D85">
        <f ca="1">IFERROR(__xludf.DUMMYFUNCTION("""COMPUTED_VALUE"""),20)</f>
        <v>20</v>
      </c>
      <c r="E85" t="str">
        <f ca="1">IFERROR(__xludf.DUMMYFUNCTION("""COMPUTED_VALUE"""),"19' 11""")</f>
        <v>19' 11"</v>
      </c>
      <c r="F85">
        <f ca="1">IFERROR(__xludf.DUMMYFUNCTION("""COMPUTED_VALUE"""),815.25)</f>
        <v>815.25</v>
      </c>
      <c r="G85">
        <f ca="1">IFERROR(__xludf.DUMMYFUNCTION("""COMPUTED_VALUE"""),41)</f>
        <v>41</v>
      </c>
      <c r="H85">
        <f ca="1">IFERROR(__xludf.DUMMYFUNCTION("""COMPUTED_VALUE"""),-4)</f>
        <v>-4</v>
      </c>
    </row>
    <row r="86" spans="1:8" ht="12.75">
      <c r="A86">
        <f ca="1">IFERROR(__xludf.DUMMYFUNCTION("""COMPUTED_VALUE"""),85)</f>
        <v>85</v>
      </c>
      <c r="B86" t="str">
        <f ca="1">IFERROR(__xludf.DUMMYFUNCTION("""COMPUTED_VALUE"""),"T136")</f>
        <v>T136</v>
      </c>
      <c r="C86" t="str">
        <f ca="1">IFERROR(__xludf.DUMMYFUNCTION("""COMPUTED_VALUE"""),"Graeme McDowell")</f>
        <v>Graeme McDowell</v>
      </c>
      <c r="D86">
        <f ca="1">IFERROR(__xludf.DUMMYFUNCTION("""COMPUTED_VALUE"""),8)</f>
        <v>8</v>
      </c>
      <c r="E86" t="str">
        <f ca="1">IFERROR(__xludf.DUMMYFUNCTION("""COMPUTED_VALUE"""),"20' 0""")</f>
        <v>20' 0"</v>
      </c>
      <c r="F86">
        <f ca="1">IFERROR(__xludf.DUMMYFUNCTION("""COMPUTED_VALUE"""),320.5)</f>
        <v>320.5</v>
      </c>
      <c r="G86">
        <f ca="1">IFERROR(__xludf.DUMMYFUNCTION("""COMPUTED_VALUE"""),16)</f>
        <v>16</v>
      </c>
      <c r="H86" t="str">
        <f ca="1">IFERROR(__xludf.DUMMYFUNCTION("""COMPUTED_VALUE"""),"E")</f>
        <v>E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IFERROR(__xludf.DUMMYFUNCTION("""COMPUTED_VALUE"""),"T92")</f>
        <v>T92</v>
      </c>
      <c r="C87" t="str">
        <f ca="1">IFERROR(__xludf.DUMMYFUNCTION("""COMPUTED_VALUE"""),"Mikumu Horikawa")</f>
        <v>Mikumu Horikawa</v>
      </c>
      <c r="D87">
        <f ca="1">IFERROR(__xludf.DUMMYFUNCTION("""COMPUTED_VALUE"""),4)</f>
        <v>4</v>
      </c>
      <c r="E87" t="str">
        <f ca="1">IFERROR(__xludf.DUMMYFUNCTION("""COMPUTED_VALUE"""),"20' 1""")</f>
        <v>20' 1"</v>
      </c>
      <c r="F87">
        <f ca="1">IFERROR(__xludf.DUMMYFUNCTION("""COMPUTED_VALUE"""),120.333)</f>
        <v>120.333</v>
      </c>
      <c r="G87">
        <f ca="1">IFERROR(__xludf.DUMMYFUNCTION("""COMPUTED_VALUE"""),6)</f>
        <v>6</v>
      </c>
      <c r="H87">
        <f ca="1">IFERROR(__xludf.DUMMYFUNCTION("""COMPUTED_VALUE"""),-1)</f>
        <v>-1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IFERROR(__xludf.DUMMYFUNCTION("""COMPUTED_VALUE"""),"T95")</f>
        <v>T95</v>
      </c>
      <c r="C88" t="str">
        <f ca="1">IFERROR(__xludf.DUMMYFUNCTION("""COMPUTED_VALUE"""),"Mark Hubbard")</f>
        <v>Mark Hubbard</v>
      </c>
      <c r="D88">
        <f ca="1">IFERROR(__xludf.DUMMYFUNCTION("""COMPUTED_VALUE"""),20)</f>
        <v>20</v>
      </c>
      <c r="E88" t="str">
        <f ca="1">IFERROR(__xludf.DUMMYFUNCTION("""COMPUTED_VALUE"""),"20' 1""")</f>
        <v>20' 1"</v>
      </c>
      <c r="F88">
        <f ca="1">IFERROR(__xludf.DUMMYFUNCTION("""COMPUTED_VALUE"""),722)</f>
        <v>722</v>
      </c>
      <c r="G88">
        <f ca="1">IFERROR(__xludf.DUMMYFUNCTION("""COMPUTED_VALUE"""),36)</f>
        <v>36</v>
      </c>
      <c r="H88">
        <f ca="1">IFERROR(__xludf.DUMMYFUNCTION("""COMPUTED_VALUE"""),-5)</f>
        <v>-5</v>
      </c>
    </row>
    <row r="89" spans="1:8" ht="12.75">
      <c r="A89" t="str">
        <f ca="1">IFERROR(__xludf.DUMMYFUNCTION("""COMPUTED_VALUE"""),"T86")</f>
        <v>T86</v>
      </c>
      <c r="B89" t="str">
        <f ca="1">IFERROR(__xludf.DUMMYFUNCTION("""COMPUTED_VALUE"""),"T92")</f>
        <v>T92</v>
      </c>
      <c r="C89" t="str">
        <f ca="1">IFERROR(__xludf.DUMMYFUNCTION("""COMPUTED_VALUE"""),"Gunn Charoenkul")</f>
        <v>Gunn Charoenkul</v>
      </c>
      <c r="D89">
        <f ca="1">IFERROR(__xludf.DUMMYFUNCTION("""COMPUTED_VALUE"""),4)</f>
        <v>4</v>
      </c>
      <c r="E89" t="str">
        <f ca="1">IFERROR(__xludf.DUMMYFUNCTION("""COMPUTED_VALUE"""),"20' 1""")</f>
        <v>20' 1"</v>
      </c>
      <c r="F89">
        <f ca="1">IFERROR(__xludf.DUMMYFUNCTION("""COMPUTED_VALUE"""),200.667)</f>
        <v>200.667</v>
      </c>
      <c r="G89">
        <f ca="1">IFERROR(__xludf.DUMMYFUNCTION("""COMPUTED_VALUE"""),10)</f>
        <v>10</v>
      </c>
      <c r="H89">
        <f ca="1">IFERROR(__xludf.DUMMYFUNCTION("""COMPUTED_VALUE"""),-2)</f>
        <v>-2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IFERROR(__xludf.DUMMYFUNCTION("""COMPUTED_VALUE"""),"T97")</f>
        <v>T97</v>
      </c>
      <c r="C90" t="str">
        <f ca="1">IFERROR(__xludf.DUMMYFUNCTION("""COMPUTED_VALUE"""),"Joohyung Kim")</f>
        <v>Joohyung Kim</v>
      </c>
      <c r="D90">
        <f ca="1">IFERROR(__xludf.DUMMYFUNCTION("""COMPUTED_VALUE"""),12)</f>
        <v>12</v>
      </c>
      <c r="E90" t="str">
        <f ca="1">IFERROR(__xludf.DUMMYFUNCTION("""COMPUTED_VALUE"""),"20' 3""")</f>
        <v>20' 3"</v>
      </c>
      <c r="F90">
        <f ca="1">IFERROR(__xludf.DUMMYFUNCTION("""COMPUTED_VALUE"""),424.75)</f>
        <v>424.75</v>
      </c>
      <c r="G90">
        <f ca="1">IFERROR(__xludf.DUMMYFUNCTION("""COMPUTED_VALUE"""),21)</f>
        <v>21</v>
      </c>
      <c r="H90">
        <f ca="1">IFERROR(__xludf.DUMMYFUNCTION("""COMPUTED_VALUE"""),-4)</f>
        <v>-4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IFERROR(__xludf.DUMMYFUNCTION("""COMPUTED_VALUE"""),"T97")</f>
        <v>T97</v>
      </c>
      <c r="C91" t="str">
        <f ca="1">IFERROR(__xludf.DUMMYFUNCTION("""COMPUTED_VALUE"""),"Harry Higgs")</f>
        <v>Harry Higgs</v>
      </c>
      <c r="D91">
        <f ca="1">IFERROR(__xludf.DUMMYFUNCTION("""COMPUTED_VALUE"""),14)</f>
        <v>14</v>
      </c>
      <c r="E91" t="str">
        <f ca="1">IFERROR(__xludf.DUMMYFUNCTION("""COMPUTED_VALUE"""),"20' 3""")</f>
        <v>20' 3"</v>
      </c>
      <c r="F91">
        <f ca="1">IFERROR(__xludf.DUMMYFUNCTION("""COMPUTED_VALUE"""),628.5)</f>
        <v>628.5</v>
      </c>
      <c r="G91">
        <f ca="1">IFERROR(__xludf.DUMMYFUNCTION("""COMPUTED_VALUE"""),31)</f>
        <v>31</v>
      </c>
      <c r="H91">
        <f ca="1">IFERROR(__xludf.DUMMYFUNCTION("""COMPUTED_VALUE"""),-9)</f>
        <v>-9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IFERROR(__xludf.DUMMYFUNCTION("""COMPUTED_VALUE"""),"T75")</f>
        <v>T75</v>
      </c>
      <c r="C92" t="str">
        <f ca="1">IFERROR(__xludf.DUMMYFUNCTION("""COMPUTED_VALUE"""),"Zach Johnson")</f>
        <v>Zach Johnson</v>
      </c>
      <c r="D92">
        <f ca="1">IFERROR(__xludf.DUMMYFUNCTION("""COMPUTED_VALUE"""),16)</f>
        <v>16</v>
      </c>
      <c r="E92" t="str">
        <f ca="1">IFERROR(__xludf.DUMMYFUNCTION("""COMPUTED_VALUE"""),"20' 3""")</f>
        <v>20' 3"</v>
      </c>
      <c r="F92">
        <f ca="1">IFERROR(__xludf.DUMMYFUNCTION("""COMPUTED_VALUE"""),750.5)</f>
        <v>750.5</v>
      </c>
      <c r="G92">
        <f ca="1">IFERROR(__xludf.DUMMYFUNCTION("""COMPUTED_VALUE"""),37)</f>
        <v>37</v>
      </c>
      <c r="H92">
        <f ca="1">IFERROR(__xludf.DUMMYFUNCTION("""COMPUTED_VALUE"""),-5)</f>
        <v>-5</v>
      </c>
    </row>
    <row r="93" spans="1:8" ht="12.75">
      <c r="A93" t="str">
        <f ca="1">IFERROR(__xludf.DUMMYFUNCTION("""COMPUTED_VALUE"""),"T89")</f>
        <v>T89</v>
      </c>
      <c r="B93" t="str">
        <f ca="1">IFERROR(__xludf.DUMMYFUNCTION("""COMPUTED_VALUE"""),"T128")</f>
        <v>T128</v>
      </c>
      <c r="C93" t="str">
        <f ca="1">IFERROR(__xludf.DUMMYFUNCTION("""COMPUTED_VALUE"""),"Nate Lashley")</f>
        <v>Nate Lashley</v>
      </c>
      <c r="D93">
        <f ca="1">IFERROR(__xludf.DUMMYFUNCTION("""COMPUTED_VALUE"""),16)</f>
        <v>16</v>
      </c>
      <c r="E93" t="str">
        <f ca="1">IFERROR(__xludf.DUMMYFUNCTION("""COMPUTED_VALUE"""),"20' 3""")</f>
        <v>20' 3"</v>
      </c>
      <c r="F93">
        <f ca="1">IFERROR(__xludf.DUMMYFUNCTION("""COMPUTED_VALUE"""),669.25)</f>
        <v>669.25</v>
      </c>
      <c r="G93">
        <f ca="1">IFERROR(__xludf.DUMMYFUNCTION("""COMPUTED_VALUE"""),33)</f>
        <v>33</v>
      </c>
      <c r="H93">
        <f ca="1">IFERROR(__xludf.DUMMYFUNCTION("""COMPUTED_VALUE"""),-9)</f>
        <v>-9</v>
      </c>
    </row>
    <row r="94" spans="1:8" ht="12.75">
      <c r="A94" t="str">
        <f ca="1">IFERROR(__xludf.DUMMYFUNCTION("""COMPUTED_VALUE"""),"T93")</f>
        <v>T93</v>
      </c>
      <c r="B94" t="str">
        <f ca="1">IFERROR(__xludf.DUMMYFUNCTION("""COMPUTED_VALUE"""),"T136")</f>
        <v>T136</v>
      </c>
      <c r="C94" t="str">
        <f ca="1">IFERROR(__xludf.DUMMYFUNCTION("""COMPUTED_VALUE"""),"Viktor Hovland")</f>
        <v>Viktor Hovland</v>
      </c>
      <c r="D94">
        <f ca="1">IFERROR(__xludf.DUMMYFUNCTION("""COMPUTED_VALUE"""),16)</f>
        <v>16</v>
      </c>
      <c r="E94" t="str">
        <f ca="1">IFERROR(__xludf.DUMMYFUNCTION("""COMPUTED_VALUE"""),"20' 4""")</f>
        <v>20' 4"</v>
      </c>
      <c r="F94">
        <f ca="1">IFERROR(__xludf.DUMMYFUNCTION("""COMPUTED_VALUE"""),670.833)</f>
        <v>670.83299999999997</v>
      </c>
      <c r="G94">
        <f ca="1">IFERROR(__xludf.DUMMYFUNCTION("""COMPUTED_VALUE"""),33)</f>
        <v>33</v>
      </c>
      <c r="H94">
        <f ca="1">IFERROR(__xludf.DUMMYFUNCTION("""COMPUTED_VALUE"""),-7)</f>
        <v>-7</v>
      </c>
    </row>
    <row r="95" spans="1:8" ht="12.75">
      <c r="A95" t="str">
        <f ca="1">IFERROR(__xludf.DUMMYFUNCTION("""COMPUTED_VALUE"""),"T93")</f>
        <v>T93</v>
      </c>
      <c r="B95" t="str">
        <f ca="1">IFERROR(__xludf.DUMMYFUNCTION("""COMPUTED_VALUE"""),"T57")</f>
        <v>T57</v>
      </c>
      <c r="C95" t="str">
        <f ca="1">IFERROR(__xludf.DUMMYFUNCTION("""COMPUTED_VALUE"""),"Hunter Mahan")</f>
        <v>Hunter Mahan</v>
      </c>
      <c r="D95">
        <f ca="1">IFERROR(__xludf.DUMMYFUNCTION("""COMPUTED_VALUE"""),14)</f>
        <v>14</v>
      </c>
      <c r="E95" t="str">
        <f ca="1">IFERROR(__xludf.DUMMYFUNCTION("""COMPUTED_VALUE"""),"20' 4""")</f>
        <v>20' 4"</v>
      </c>
      <c r="F95">
        <f ca="1">IFERROR(__xludf.DUMMYFUNCTION("""COMPUTED_VALUE"""),284.667)</f>
        <v>284.66699999999997</v>
      </c>
      <c r="G95">
        <f ca="1">IFERROR(__xludf.DUMMYFUNCTION("""COMPUTED_VALUE"""),14)</f>
        <v>14</v>
      </c>
      <c r="H95">
        <f ca="1">IFERROR(__xludf.DUMMYFUNCTION("""COMPUTED_VALUE"""),-1)</f>
        <v>-1</v>
      </c>
    </row>
    <row r="96" spans="1:8" ht="12.75">
      <c r="A96" t="str">
        <f ca="1">IFERROR(__xludf.DUMMYFUNCTION("""COMPUTED_VALUE"""),"T93")</f>
        <v>T93</v>
      </c>
      <c r="B96" t="str">
        <f ca="1">IFERROR(__xludf.DUMMYFUNCTION("""COMPUTED_VALUE"""),"T99")</f>
        <v>T99</v>
      </c>
      <c r="C96" t="str">
        <f ca="1">IFERROR(__xludf.DUMMYFUNCTION("""COMPUTED_VALUE"""),"Byeong Hun An")</f>
        <v>Byeong Hun An</v>
      </c>
      <c r="D96">
        <f ca="1">IFERROR(__xludf.DUMMYFUNCTION("""COMPUTED_VALUE"""),14)</f>
        <v>14</v>
      </c>
      <c r="E96" t="str">
        <f ca="1">IFERROR(__xludf.DUMMYFUNCTION("""COMPUTED_VALUE"""),"20' 4""")</f>
        <v>20' 4"</v>
      </c>
      <c r="F96">
        <f ca="1">IFERROR(__xludf.DUMMYFUNCTION("""COMPUTED_VALUE"""),590.167)</f>
        <v>590.16700000000003</v>
      </c>
      <c r="G96">
        <f ca="1">IFERROR(__xludf.DUMMYFUNCTION("""COMPUTED_VALUE"""),29)</f>
        <v>29</v>
      </c>
      <c r="H96" t="str">
        <f ca="1">IFERROR(__xludf.DUMMYFUNCTION("""COMPUTED_VALUE"""),"E")</f>
        <v>E</v>
      </c>
    </row>
    <row r="97" spans="1:8" ht="12.75">
      <c r="A97" t="str">
        <f ca="1">IFERROR(__xludf.DUMMYFUNCTION("""COMPUTED_VALUE"""),"T96")</f>
        <v>T96</v>
      </c>
      <c r="B97" t="str">
        <f ca="1">IFERROR(__xludf.DUMMYFUNCTION("""COMPUTED_VALUE"""),"T160")</f>
        <v>T160</v>
      </c>
      <c r="C97" t="str">
        <f ca="1">IFERROR(__xludf.DUMMYFUNCTION("""COMPUTED_VALUE"""),"Sepp Straka")</f>
        <v>Sepp Straka</v>
      </c>
      <c r="D97">
        <f ca="1">IFERROR(__xludf.DUMMYFUNCTION("""COMPUTED_VALUE"""),22)</f>
        <v>22</v>
      </c>
      <c r="E97" t="str">
        <f ca="1">IFERROR(__xludf.DUMMYFUNCTION("""COMPUTED_VALUE"""),"20' 6""")</f>
        <v>20' 6"</v>
      </c>
      <c r="F97">
        <f ca="1">IFERROR(__xludf.DUMMYFUNCTION("""COMPUTED_VALUE"""),655.667)</f>
        <v>655.66700000000003</v>
      </c>
      <c r="G97">
        <f ca="1">IFERROR(__xludf.DUMMYFUNCTION("""COMPUTED_VALUE"""),32)</f>
        <v>32</v>
      </c>
      <c r="H97">
        <f ca="1">IFERROR(__xludf.DUMMYFUNCTION("""COMPUTED_VALUE"""),-9)</f>
        <v>-9</v>
      </c>
    </row>
    <row r="98" spans="1:8" ht="12.75">
      <c r="A98" t="str">
        <f ca="1">IFERROR(__xludf.DUMMYFUNCTION("""COMPUTED_VALUE"""),"T96")</f>
        <v>T96</v>
      </c>
      <c r="B98" t="str">
        <f ca="1">IFERROR(__xludf.DUMMYFUNCTION("""COMPUTED_VALUE"""),"T101")</f>
        <v>T101</v>
      </c>
      <c r="C98" t="str">
        <f ca="1">IFERROR(__xludf.DUMMYFUNCTION("""COMPUTED_VALUE"""),"Cameron Smith")</f>
        <v>Cameron Smith</v>
      </c>
      <c r="D98">
        <f ca="1">IFERROR(__xludf.DUMMYFUNCTION("""COMPUTED_VALUE"""),16)</f>
        <v>16</v>
      </c>
      <c r="E98" t="str">
        <f ca="1">IFERROR(__xludf.DUMMYFUNCTION("""COMPUTED_VALUE"""),"20' 6""")</f>
        <v>20' 6"</v>
      </c>
      <c r="F98">
        <f ca="1">IFERROR(__xludf.DUMMYFUNCTION("""COMPUTED_VALUE"""),676.917)</f>
        <v>676.91700000000003</v>
      </c>
      <c r="G98">
        <f ca="1">IFERROR(__xludf.DUMMYFUNCTION("""COMPUTED_VALUE"""),33)</f>
        <v>33</v>
      </c>
      <c r="H98">
        <f ca="1">IFERROR(__xludf.DUMMYFUNCTION("""COMPUTED_VALUE"""),-7)</f>
        <v>-7</v>
      </c>
    </row>
    <row r="99" spans="1:8" ht="12.75">
      <c r="A99" t="str">
        <f ca="1">IFERROR(__xludf.DUMMYFUNCTION("""COMPUTED_VALUE"""),"T96")</f>
        <v>T96</v>
      </c>
      <c r="B99" t="str">
        <f ca="1">IFERROR(__xludf.DUMMYFUNCTION("""COMPUTED_VALUE"""),"T86")</f>
        <v>T86</v>
      </c>
      <c r="C99" t="str">
        <f ca="1">IFERROR(__xludf.DUMMYFUNCTION("""COMPUTED_VALUE"""),"Pat Perez")</f>
        <v>Pat Perez</v>
      </c>
      <c r="D99">
        <f ca="1">IFERROR(__xludf.DUMMYFUNCTION("""COMPUTED_VALUE"""),16)</f>
        <v>16</v>
      </c>
      <c r="E99" t="str">
        <f ca="1">IFERROR(__xludf.DUMMYFUNCTION("""COMPUTED_VALUE"""),"20' 6""")</f>
        <v>20' 6"</v>
      </c>
      <c r="F99">
        <f ca="1">IFERROR(__xludf.DUMMYFUNCTION("""COMPUTED_VALUE"""),491.5)</f>
        <v>491.5</v>
      </c>
      <c r="G99">
        <f ca="1">IFERROR(__xludf.DUMMYFUNCTION("""COMPUTED_VALUE"""),24)</f>
        <v>24</v>
      </c>
      <c r="H99">
        <f ca="1">IFERROR(__xludf.DUMMYFUNCTION("""COMPUTED_VALUE"""),-7)</f>
        <v>-7</v>
      </c>
    </row>
    <row r="100" spans="1:8" ht="12.75">
      <c r="A100" t="str">
        <f ca="1">IFERROR(__xludf.DUMMYFUNCTION("""COMPUTED_VALUE"""),"T99")</f>
        <v>T99</v>
      </c>
      <c r="B100" t="str">
        <f ca="1">IFERROR(__xludf.DUMMYFUNCTION("""COMPUTED_VALUE"""),"T136")</f>
        <v>T136</v>
      </c>
      <c r="C100" t="str">
        <f ca="1">IFERROR(__xludf.DUMMYFUNCTION("""COMPUTED_VALUE"""),"Robby Shelton")</f>
        <v>Robby Shelton</v>
      </c>
      <c r="D100">
        <f ca="1">IFERROR(__xludf.DUMMYFUNCTION("""COMPUTED_VALUE"""),14)</f>
        <v>14</v>
      </c>
      <c r="E100" t="str">
        <f ca="1">IFERROR(__xludf.DUMMYFUNCTION("""COMPUTED_VALUE"""),"20' 7""")</f>
        <v>20' 7"</v>
      </c>
      <c r="F100">
        <f ca="1">IFERROR(__xludf.DUMMYFUNCTION("""COMPUTED_VALUE"""),493.417)</f>
        <v>493.41699999999997</v>
      </c>
      <c r="G100">
        <f ca="1">IFERROR(__xludf.DUMMYFUNCTION("""COMPUTED_VALUE"""),24)</f>
        <v>24</v>
      </c>
      <c r="H100">
        <f ca="1">IFERROR(__xludf.DUMMYFUNCTION("""COMPUTED_VALUE"""),-3)</f>
        <v>-3</v>
      </c>
    </row>
    <row r="101" spans="1:8" ht="12.75">
      <c r="A101" t="str">
        <f ca="1">IFERROR(__xludf.DUMMYFUNCTION("""COMPUTED_VALUE"""),"T99")</f>
        <v>T99</v>
      </c>
      <c r="B101" t="str">
        <f ca="1">IFERROR(__xludf.DUMMYFUNCTION("""COMPUTED_VALUE"""),"T229")</f>
        <v>T229</v>
      </c>
      <c r="C101" t="str">
        <f ca="1">IFERROR(__xludf.DUMMYFUNCTION("""COMPUTED_VALUE"""),"Adam Scott")</f>
        <v>Adam Scott</v>
      </c>
      <c r="D101">
        <f ca="1">IFERROR(__xludf.DUMMYFUNCTION("""COMPUTED_VALUE"""),8)</f>
        <v>8</v>
      </c>
      <c r="E101" t="str">
        <f ca="1">IFERROR(__xludf.DUMMYFUNCTION("""COMPUTED_VALUE"""),"20' 7""")</f>
        <v>20' 7"</v>
      </c>
      <c r="F101">
        <f ca="1">IFERROR(__xludf.DUMMYFUNCTION("""COMPUTED_VALUE"""),412.25)</f>
        <v>412.25</v>
      </c>
      <c r="G101">
        <f ca="1">IFERROR(__xludf.DUMMYFUNCTION("""COMPUTED_VALUE"""),20)</f>
        <v>20</v>
      </c>
      <c r="H101">
        <f ca="1">IFERROR(__xludf.DUMMYFUNCTION("""COMPUTED_VALUE"""),-1)</f>
        <v>-1</v>
      </c>
    </row>
    <row r="102" spans="1:8" ht="12.75">
      <c r="A102" t="str">
        <f ca="1">IFERROR(__xludf.DUMMYFUNCTION("""COMPUTED_VALUE"""),"T99")</f>
        <v>T99</v>
      </c>
      <c r="B102" t="str">
        <f ca="1">IFERROR(__xludf.DUMMYFUNCTION("""COMPUTED_VALUE"""),"T103")</f>
        <v>T103</v>
      </c>
      <c r="C102" t="str">
        <f ca="1">IFERROR(__xludf.DUMMYFUNCTION("""COMPUTED_VALUE"""),"Bill Haas")</f>
        <v>Bill Haas</v>
      </c>
      <c r="D102">
        <f ca="1">IFERROR(__xludf.DUMMYFUNCTION("""COMPUTED_VALUE"""),10)</f>
        <v>10</v>
      </c>
      <c r="E102" t="str">
        <f ca="1">IFERROR(__xludf.DUMMYFUNCTION("""COMPUTED_VALUE"""),"20' 7""")</f>
        <v>20' 7"</v>
      </c>
      <c r="F102">
        <f ca="1">IFERROR(__xludf.DUMMYFUNCTION("""COMPUTED_VALUE"""),267.667)</f>
        <v>267.66699999999997</v>
      </c>
      <c r="G102">
        <f ca="1">IFERROR(__xludf.DUMMYFUNCTION("""COMPUTED_VALUE"""),13)</f>
        <v>13</v>
      </c>
      <c r="H102">
        <f ca="1">IFERROR(__xludf.DUMMYFUNCTION("""COMPUTED_VALUE"""),-1)</f>
        <v>-1</v>
      </c>
    </row>
    <row r="103" spans="1:8" ht="12.75">
      <c r="A103" t="str">
        <f ca="1">IFERROR(__xludf.DUMMYFUNCTION("""COMPUTED_VALUE"""),"T99")</f>
        <v>T99</v>
      </c>
      <c r="B103" t="str">
        <f ca="1">IFERROR(__xludf.DUMMYFUNCTION("""COMPUTED_VALUE"""),"T95")</f>
        <v>T95</v>
      </c>
      <c r="C103" t="str">
        <f ca="1">IFERROR(__xludf.DUMMYFUNCTION("""COMPUTED_VALUE"""),"Henrik Norlander")</f>
        <v>Henrik Norlander</v>
      </c>
      <c r="D103">
        <f ca="1">IFERROR(__xludf.DUMMYFUNCTION("""COMPUTED_VALUE"""),16)</f>
        <v>16</v>
      </c>
      <c r="E103" t="str">
        <f ca="1">IFERROR(__xludf.DUMMYFUNCTION("""COMPUTED_VALUE"""),"20' 7""")</f>
        <v>20' 7"</v>
      </c>
      <c r="F103">
        <f ca="1">IFERROR(__xludf.DUMMYFUNCTION("""COMPUTED_VALUE"""),906.833)</f>
        <v>906.83299999999997</v>
      </c>
      <c r="G103">
        <f ca="1">IFERROR(__xludf.DUMMYFUNCTION("""COMPUTED_VALUE"""),44)</f>
        <v>44</v>
      </c>
      <c r="H103">
        <f ca="1">IFERROR(__xludf.DUMMYFUNCTION("""COMPUTED_VALUE"""),-4)</f>
        <v>-4</v>
      </c>
    </row>
    <row r="104" spans="1:8" ht="12.75">
      <c r="A104" t="str">
        <f ca="1">IFERROR(__xludf.DUMMYFUNCTION("""COMPUTED_VALUE"""),"T99")</f>
        <v>T99</v>
      </c>
      <c r="B104" t="str">
        <f ca="1">IFERROR(__xludf.DUMMYFUNCTION("""COMPUTED_VALUE"""),"T103")</f>
        <v>T103</v>
      </c>
      <c r="C104" t="str">
        <f ca="1">IFERROR(__xludf.DUMMYFUNCTION("""COMPUTED_VALUE"""),"Mark Anderson")</f>
        <v>Mark Anderson</v>
      </c>
      <c r="D104">
        <f ca="1">IFERROR(__xludf.DUMMYFUNCTION("""COMPUTED_VALUE"""),14)</f>
        <v>14</v>
      </c>
      <c r="E104" t="str">
        <f ca="1">IFERROR(__xludf.DUMMYFUNCTION("""COMPUTED_VALUE"""),"20' 7""")</f>
        <v>20' 7"</v>
      </c>
      <c r="F104">
        <f ca="1">IFERROR(__xludf.DUMMYFUNCTION("""COMPUTED_VALUE"""),288.25)</f>
        <v>288.25</v>
      </c>
      <c r="G104">
        <f ca="1">IFERROR(__xludf.DUMMYFUNCTION("""COMPUTED_VALUE"""),14)</f>
        <v>14</v>
      </c>
      <c r="H104">
        <f ca="1">IFERROR(__xludf.DUMMYFUNCTION("""COMPUTED_VALUE"""),-1)</f>
        <v>-1</v>
      </c>
    </row>
    <row r="105" spans="1:8" ht="12.75">
      <c r="A105" t="str">
        <f ca="1">IFERROR(__xludf.DUMMYFUNCTION("""COMPUTED_VALUE"""),"T104")</f>
        <v>T104</v>
      </c>
      <c r="B105" t="str">
        <f ca="1">IFERROR(__xludf.DUMMYFUNCTION("""COMPUTED_VALUE"""),"T105")</f>
        <v>T105</v>
      </c>
      <c r="C105" t="str">
        <f ca="1">IFERROR(__xludf.DUMMYFUNCTION("""COMPUTED_VALUE"""),"Xander Schauffele")</f>
        <v>Xander Schauffele</v>
      </c>
      <c r="D105">
        <f ca="1">IFERROR(__xludf.DUMMYFUNCTION("""COMPUTED_VALUE"""),12)</f>
        <v>12</v>
      </c>
      <c r="E105" t="str">
        <f ca="1">IFERROR(__xludf.DUMMYFUNCTION("""COMPUTED_VALUE"""),"20' 8""")</f>
        <v>20' 8"</v>
      </c>
      <c r="F105">
        <f ca="1">IFERROR(__xludf.DUMMYFUNCTION("""COMPUTED_VALUE"""),330.083)</f>
        <v>330.08300000000003</v>
      </c>
      <c r="G105">
        <f ca="1">IFERROR(__xludf.DUMMYFUNCTION("""COMPUTED_VALUE"""),16)</f>
        <v>16</v>
      </c>
      <c r="H105" t="str">
        <f ca="1">IFERROR(__xludf.DUMMYFUNCTION("""COMPUTED_VALUE"""),"E")</f>
        <v>E</v>
      </c>
    </row>
    <row r="106" spans="1:8" ht="12.75">
      <c r="A106" t="str">
        <f ca="1">IFERROR(__xludf.DUMMYFUNCTION("""COMPUTED_VALUE"""),"T104")</f>
        <v>T104</v>
      </c>
      <c r="B106" t="str">
        <f ca="1">IFERROR(__xludf.DUMMYFUNCTION("""COMPUTED_VALUE"""),"T84")</f>
        <v>T84</v>
      </c>
      <c r="C106" t="str">
        <f ca="1">IFERROR(__xludf.DUMMYFUNCTION("""COMPUTED_VALUE"""),"Dylan Frittelli")</f>
        <v>Dylan Frittelli</v>
      </c>
      <c r="D106">
        <f ca="1">IFERROR(__xludf.DUMMYFUNCTION("""COMPUTED_VALUE"""),16)</f>
        <v>16</v>
      </c>
      <c r="E106" t="str">
        <f ca="1">IFERROR(__xludf.DUMMYFUNCTION("""COMPUTED_VALUE"""),"20' 8""")</f>
        <v>20' 8"</v>
      </c>
      <c r="F106">
        <f ca="1">IFERROR(__xludf.DUMMYFUNCTION("""COMPUTED_VALUE"""),703.583)</f>
        <v>703.58299999999997</v>
      </c>
      <c r="G106">
        <f ca="1">IFERROR(__xludf.DUMMYFUNCTION("""COMPUTED_VALUE"""),34)</f>
        <v>34</v>
      </c>
      <c r="H106">
        <f ca="1">IFERROR(__xludf.DUMMYFUNCTION("""COMPUTED_VALUE"""),-2)</f>
        <v>-2</v>
      </c>
    </row>
    <row r="107" spans="1:8" ht="12.75">
      <c r="A107" t="str">
        <f ca="1">IFERROR(__xludf.DUMMYFUNCTION("""COMPUTED_VALUE"""),"T106")</f>
        <v>T106</v>
      </c>
      <c r="B107" t="str">
        <f ca="1">IFERROR(__xludf.DUMMYFUNCTION("""COMPUTED_VALUE"""),"T86")</f>
        <v>T86</v>
      </c>
      <c r="C107" t="str">
        <f ca="1">IFERROR(__xludf.DUMMYFUNCTION("""COMPUTED_VALUE"""),"Bo Van Pelt")</f>
        <v>Bo Van Pelt</v>
      </c>
      <c r="D107">
        <f ca="1">IFERROR(__xludf.DUMMYFUNCTION("""COMPUTED_VALUE"""),10)</f>
        <v>10</v>
      </c>
      <c r="E107" t="str">
        <f ca="1">IFERROR(__xludf.DUMMYFUNCTION("""COMPUTED_VALUE"""),"20' 9""")</f>
        <v>20' 9"</v>
      </c>
      <c r="F107">
        <f ca="1">IFERROR(__xludf.DUMMYFUNCTION("""COMPUTED_VALUE"""),393.583)</f>
        <v>393.58300000000003</v>
      </c>
      <c r="G107">
        <f ca="1">IFERROR(__xludf.DUMMYFUNCTION("""COMPUTED_VALUE"""),19)</f>
        <v>19</v>
      </c>
      <c r="H107" t="str">
        <f ca="1">IFERROR(__xludf.DUMMYFUNCTION("""COMPUTED_VALUE"""),"E")</f>
        <v>E</v>
      </c>
    </row>
    <row r="108" spans="1:8" ht="12.75">
      <c r="A108" t="str">
        <f ca="1">IFERROR(__xludf.DUMMYFUNCTION("""COMPUTED_VALUE"""),"T106")</f>
        <v>T106</v>
      </c>
      <c r="B108" t="str">
        <f ca="1">IFERROR(__xludf.DUMMYFUNCTION("""COMPUTED_VALUE"""),"T92")</f>
        <v>T92</v>
      </c>
      <c r="C108" t="str">
        <f ca="1">IFERROR(__xludf.DUMMYFUNCTION("""COMPUTED_VALUE"""),"Si Woo Kim")</f>
        <v>Si Woo Kim</v>
      </c>
      <c r="D108">
        <f ca="1">IFERROR(__xludf.DUMMYFUNCTION("""COMPUTED_VALUE"""),20)</f>
        <v>20</v>
      </c>
      <c r="E108" t="str">
        <f ca="1">IFERROR(__xludf.DUMMYFUNCTION("""COMPUTED_VALUE"""),"20' 9""")</f>
        <v>20' 9"</v>
      </c>
      <c r="F108">
        <f ca="1">IFERROR(__xludf.DUMMYFUNCTION("""COMPUTED_VALUE"""),766.917)</f>
        <v>766.91700000000003</v>
      </c>
      <c r="G108">
        <f ca="1">IFERROR(__xludf.DUMMYFUNCTION("""COMPUTED_VALUE"""),37)</f>
        <v>37</v>
      </c>
      <c r="H108">
        <f ca="1">IFERROR(__xludf.DUMMYFUNCTION("""COMPUTED_VALUE"""),-9)</f>
        <v>-9</v>
      </c>
    </row>
    <row r="109" spans="1:8" ht="12.75">
      <c r="A109">
        <f ca="1">IFERROR(__xludf.DUMMYFUNCTION("""COMPUTED_VALUE"""),108)</f>
        <v>108</v>
      </c>
      <c r="B109" t="str">
        <f ca="1">IFERROR(__xludf.DUMMYFUNCTION("""COMPUTED_VALUE"""),"T107")</f>
        <v>T107</v>
      </c>
      <c r="C109" t="str">
        <f ca="1">IFERROR(__xludf.DUMMYFUNCTION("""COMPUTED_VALUE"""),"J.B. Holmes")</f>
        <v>J.B. Holmes</v>
      </c>
      <c r="D109">
        <f ca="1">IFERROR(__xludf.DUMMYFUNCTION("""COMPUTED_VALUE"""),10)</f>
        <v>10</v>
      </c>
      <c r="E109" t="str">
        <f ca="1">IFERROR(__xludf.DUMMYFUNCTION("""COMPUTED_VALUE"""),"20' 10""")</f>
        <v>20' 10"</v>
      </c>
      <c r="F109">
        <f ca="1">IFERROR(__xludf.DUMMYFUNCTION("""COMPUTED_VALUE"""),499.75)</f>
        <v>499.75</v>
      </c>
      <c r="G109">
        <f ca="1">IFERROR(__xludf.DUMMYFUNCTION("""COMPUTED_VALUE"""),24)</f>
        <v>24</v>
      </c>
      <c r="H109">
        <f ca="1">IFERROR(__xludf.DUMMYFUNCTION("""COMPUTED_VALUE"""),-2)</f>
        <v>-2</v>
      </c>
    </row>
    <row r="110" spans="1:8" ht="12.75">
      <c r="A110" t="str">
        <f ca="1">IFERROR(__xludf.DUMMYFUNCTION("""COMPUTED_VALUE"""),"T109")</f>
        <v>T109</v>
      </c>
      <c r="B110">
        <f ca="1">IFERROR(__xludf.DUMMYFUNCTION("""COMPUTED_VALUE"""),109)</f>
        <v>109</v>
      </c>
      <c r="C110" t="str">
        <f ca="1">IFERROR(__xludf.DUMMYFUNCTION("""COMPUTED_VALUE"""),"Will Zalatoris")</f>
        <v>Will Zalatoris</v>
      </c>
      <c r="D110">
        <f ca="1">IFERROR(__xludf.DUMMYFUNCTION("""COMPUTED_VALUE"""),18)</f>
        <v>18</v>
      </c>
      <c r="E110" t="str">
        <f ca="1">IFERROR(__xludf.DUMMYFUNCTION("""COMPUTED_VALUE"""),"20' 11""")</f>
        <v>20' 11"</v>
      </c>
      <c r="F110">
        <f ca="1">IFERROR(__xludf.DUMMYFUNCTION("""COMPUTED_VALUE"""),627.083)</f>
        <v>627.08299999999997</v>
      </c>
      <c r="G110">
        <f ca="1">IFERROR(__xludf.DUMMYFUNCTION("""COMPUTED_VALUE"""),30)</f>
        <v>30</v>
      </c>
      <c r="H110">
        <f ca="1">IFERROR(__xludf.DUMMYFUNCTION("""COMPUTED_VALUE"""),-2)</f>
        <v>-2</v>
      </c>
    </row>
    <row r="111" spans="1:8" ht="12.75">
      <c r="A111" t="str">
        <f ca="1">IFERROR(__xludf.DUMMYFUNCTION("""COMPUTED_VALUE"""),"T109")</f>
        <v>T109</v>
      </c>
      <c r="B111" t="str">
        <f ca="1">IFERROR(__xludf.DUMMYFUNCTION("""COMPUTED_VALUE"""),"T146")</f>
        <v>T146</v>
      </c>
      <c r="C111" t="str">
        <f ca="1">IFERROR(__xludf.DUMMYFUNCTION("""COMPUTED_VALUE"""),"Isaiah Salinda")</f>
        <v>Isaiah Salinda</v>
      </c>
      <c r="D111">
        <f ca="1">IFERROR(__xludf.DUMMYFUNCTION("""COMPUTED_VALUE"""),8)</f>
        <v>8</v>
      </c>
      <c r="E111" t="str">
        <f ca="1">IFERROR(__xludf.DUMMYFUNCTION("""COMPUTED_VALUE"""),"20' 11""")</f>
        <v>20' 11"</v>
      </c>
      <c r="F111">
        <f ca="1">IFERROR(__xludf.DUMMYFUNCTION("""COMPUTED_VALUE"""),502)</f>
        <v>502</v>
      </c>
      <c r="G111">
        <f ca="1">IFERROR(__xludf.DUMMYFUNCTION("""COMPUTED_VALUE"""),24)</f>
        <v>24</v>
      </c>
      <c r="H111">
        <f ca="1">IFERROR(__xludf.DUMMYFUNCTION("""COMPUTED_VALUE"""),-2)</f>
        <v>-2</v>
      </c>
    </row>
    <row r="112" spans="1:8" ht="12.75">
      <c r="A112" t="str">
        <f ca="1">IFERROR(__xludf.DUMMYFUNCTION("""COMPUTED_VALUE"""),"T109")</f>
        <v>T109</v>
      </c>
      <c r="B112" t="str">
        <f ca="1">IFERROR(__xludf.DUMMYFUNCTION("""COMPUTED_VALUE"""),"T112")</f>
        <v>T112</v>
      </c>
      <c r="C112" t="str">
        <f ca="1">IFERROR(__xludf.DUMMYFUNCTION("""COMPUTED_VALUE"""),"Phil Mickelson")</f>
        <v>Phil Mickelson</v>
      </c>
      <c r="D112">
        <f ca="1">IFERROR(__xludf.DUMMYFUNCTION("""COMPUTED_VALUE"""),12)</f>
        <v>12</v>
      </c>
      <c r="E112" t="str">
        <f ca="1">IFERROR(__xludf.DUMMYFUNCTION("""COMPUTED_VALUE"""),"20' 11""")</f>
        <v>20' 11"</v>
      </c>
      <c r="F112">
        <f ca="1">IFERROR(__xludf.DUMMYFUNCTION("""COMPUTED_VALUE"""),334.667)</f>
        <v>334.66699999999997</v>
      </c>
      <c r="G112">
        <f ca="1">IFERROR(__xludf.DUMMYFUNCTION("""COMPUTED_VALUE"""),16)</f>
        <v>16</v>
      </c>
      <c r="H112" t="str">
        <f ca="1">IFERROR(__xludf.DUMMYFUNCTION("""COMPUTED_VALUE"""),"+2")</f>
        <v>+2</v>
      </c>
    </row>
    <row r="113" spans="1:8" ht="12.75">
      <c r="A113" t="str">
        <f ca="1">IFERROR(__xludf.DUMMYFUNCTION("""COMPUTED_VALUE"""),"T109")</f>
        <v>T109</v>
      </c>
      <c r="B113" t="str">
        <f ca="1">IFERROR(__xludf.DUMMYFUNCTION("""COMPUTED_VALUE"""),"T141")</f>
        <v>T141</v>
      </c>
      <c r="C113" t="str">
        <f ca="1">IFERROR(__xludf.DUMMYFUNCTION("""COMPUTED_VALUE"""),"Ted Potter, Jr.")</f>
        <v>Ted Potter, Jr.</v>
      </c>
      <c r="D113">
        <f ca="1">IFERROR(__xludf.DUMMYFUNCTION("""COMPUTED_VALUE"""),8)</f>
        <v>8</v>
      </c>
      <c r="E113" t="str">
        <f ca="1">IFERROR(__xludf.DUMMYFUNCTION("""COMPUTED_VALUE"""),"20' 11""")</f>
        <v>20' 11"</v>
      </c>
      <c r="F113">
        <f ca="1">IFERROR(__xludf.DUMMYFUNCTION("""COMPUTED_VALUE"""),397)</f>
        <v>397</v>
      </c>
      <c r="G113">
        <f ca="1">IFERROR(__xludf.DUMMYFUNCTION("""COMPUTED_VALUE"""),19)</f>
        <v>19</v>
      </c>
      <c r="H113">
        <f ca="1">IFERROR(__xludf.DUMMYFUNCTION("""COMPUTED_VALUE"""),-3)</f>
        <v>-3</v>
      </c>
    </row>
    <row r="114" spans="1:8" ht="12.75">
      <c r="A114" t="str">
        <f ca="1">IFERROR(__xludf.DUMMYFUNCTION("""COMPUTED_VALUE"""),"T109")</f>
        <v>T109</v>
      </c>
      <c r="B114" t="str">
        <f ca="1">IFERROR(__xludf.DUMMYFUNCTION("""COMPUTED_VALUE"""),"T86")</f>
        <v>T86</v>
      </c>
      <c r="C114" t="str">
        <f ca="1">IFERROR(__xludf.DUMMYFUNCTION("""COMPUTED_VALUE"""),"Scottie Scheffler")</f>
        <v>Scottie Scheffler</v>
      </c>
      <c r="D114">
        <f ca="1">IFERROR(__xludf.DUMMYFUNCTION("""COMPUTED_VALUE"""),18)</f>
        <v>18</v>
      </c>
      <c r="E114" t="str">
        <f ca="1">IFERROR(__xludf.DUMMYFUNCTION("""COMPUTED_VALUE"""),"20' 11""")</f>
        <v>20' 11"</v>
      </c>
      <c r="F114">
        <f ca="1">IFERROR(__xludf.DUMMYFUNCTION("""COMPUTED_VALUE"""),919)</f>
        <v>919</v>
      </c>
      <c r="G114">
        <f ca="1">IFERROR(__xludf.DUMMYFUNCTION("""COMPUTED_VALUE"""),44)</f>
        <v>44</v>
      </c>
      <c r="H114">
        <f ca="1">IFERROR(__xludf.DUMMYFUNCTION("""COMPUTED_VALUE"""),-12)</f>
        <v>-12</v>
      </c>
    </row>
    <row r="115" spans="1:8" ht="12.75">
      <c r="A115" t="str">
        <f ca="1">IFERROR(__xludf.DUMMYFUNCTION("""COMPUTED_VALUE"""),"T114")</f>
        <v>T114</v>
      </c>
      <c r="B115" t="str">
        <f ca="1">IFERROR(__xludf.DUMMYFUNCTION("""COMPUTED_VALUE"""),"T99")</f>
        <v>T99</v>
      </c>
      <c r="C115" t="str">
        <f ca="1">IFERROR(__xludf.DUMMYFUNCTION("""COMPUTED_VALUE"""),"Martin Laird")</f>
        <v>Martin Laird</v>
      </c>
      <c r="D115">
        <f ca="1">IFERROR(__xludf.DUMMYFUNCTION("""COMPUTED_VALUE"""),16)</f>
        <v>16</v>
      </c>
      <c r="E115" t="str">
        <f ca="1">IFERROR(__xludf.DUMMYFUNCTION("""COMPUTED_VALUE"""),"21' 0""")</f>
        <v>21' 0"</v>
      </c>
      <c r="F115">
        <f ca="1">IFERROR(__xludf.DUMMYFUNCTION("""COMPUTED_VALUE"""),609.583)</f>
        <v>609.58299999999997</v>
      </c>
      <c r="G115">
        <f ca="1">IFERROR(__xludf.DUMMYFUNCTION("""COMPUTED_VALUE"""),29)</f>
        <v>29</v>
      </c>
      <c r="H115">
        <f ca="1">IFERROR(__xludf.DUMMYFUNCTION("""COMPUTED_VALUE"""),-9)</f>
        <v>-9</v>
      </c>
    </row>
    <row r="116" spans="1:8" ht="12.75">
      <c r="A116" t="str">
        <f ca="1">IFERROR(__xludf.DUMMYFUNCTION("""COMPUTED_VALUE"""),"T114")</f>
        <v>T114</v>
      </c>
      <c r="B116">
        <f ca="1">IFERROR(__xludf.DUMMYFUNCTION("""COMPUTED_VALUE"""),3)</f>
        <v>3</v>
      </c>
      <c r="C116" t="str">
        <f ca="1">IFERROR(__xludf.DUMMYFUNCTION("""COMPUTED_VALUE"""),"Chris Kirk")</f>
        <v>Chris Kirk</v>
      </c>
      <c r="D116">
        <f ca="1">IFERROR(__xludf.DUMMYFUNCTION("""COMPUTED_VALUE"""),10)</f>
        <v>10</v>
      </c>
      <c r="E116" t="str">
        <f ca="1">IFERROR(__xludf.DUMMYFUNCTION("""COMPUTED_VALUE"""),"21' 0""")</f>
        <v>21' 0"</v>
      </c>
      <c r="F116">
        <f ca="1">IFERROR(__xludf.DUMMYFUNCTION("""COMPUTED_VALUE"""),420.75)</f>
        <v>420.75</v>
      </c>
      <c r="G116">
        <f ca="1">IFERROR(__xludf.DUMMYFUNCTION("""COMPUTED_VALUE"""),20)</f>
        <v>20</v>
      </c>
      <c r="H116">
        <f ca="1">IFERROR(__xludf.DUMMYFUNCTION("""COMPUTED_VALUE"""),-4)</f>
        <v>-4</v>
      </c>
    </row>
    <row r="117" spans="1:8" ht="12.75">
      <c r="A117">
        <f ca="1">IFERROR(__xludf.DUMMYFUNCTION("""COMPUTED_VALUE"""),116)</f>
        <v>116</v>
      </c>
      <c r="B117" t="str">
        <f ca="1">IFERROR(__xludf.DUMMYFUNCTION("""COMPUTED_VALUE"""),"")</f>
        <v/>
      </c>
      <c r="C117" t="str">
        <f ca="1">IFERROR(__xludf.DUMMYFUNCTION("""COMPUTED_VALUE"""),"Padraig Harrington")</f>
        <v>Padraig Harrington</v>
      </c>
      <c r="D117">
        <f ca="1">IFERROR(__xludf.DUMMYFUNCTION("""COMPUTED_VALUE"""),8)</f>
        <v>8</v>
      </c>
      <c r="E117" t="str">
        <f ca="1">IFERROR(__xludf.DUMMYFUNCTION("""COMPUTED_VALUE"""),"21' 1""")</f>
        <v>21' 1"</v>
      </c>
      <c r="F117">
        <f ca="1">IFERROR(__xludf.DUMMYFUNCTION("""COMPUTED_VALUE"""),231.5)</f>
        <v>231.5</v>
      </c>
      <c r="G117">
        <f ca="1">IFERROR(__xludf.DUMMYFUNCTION("""COMPUTED_VALUE"""),11)</f>
        <v>11</v>
      </c>
      <c r="H117">
        <f ca="1">IFERROR(__xludf.DUMMYFUNCTION("""COMPUTED_VALUE"""),-4)</f>
        <v>-4</v>
      </c>
    </row>
    <row r="118" spans="1:8" ht="12.75">
      <c r="A118">
        <f ca="1">IFERROR(__xludf.DUMMYFUNCTION("""COMPUTED_VALUE"""),117)</f>
        <v>117</v>
      </c>
      <c r="B118" t="str">
        <f ca="1">IFERROR(__xludf.DUMMYFUNCTION("""COMPUTED_VALUE"""),"T112")</f>
        <v>T112</v>
      </c>
      <c r="C118" t="str">
        <f ca="1">IFERROR(__xludf.DUMMYFUNCTION("""COMPUTED_VALUE"""),"Peter Malnati")</f>
        <v>Peter Malnati</v>
      </c>
      <c r="D118">
        <f ca="1">IFERROR(__xludf.DUMMYFUNCTION("""COMPUTED_VALUE"""),18)</f>
        <v>18</v>
      </c>
      <c r="E118" t="str">
        <f ca="1">IFERROR(__xludf.DUMMYFUNCTION("""COMPUTED_VALUE"""),"21' 2""")</f>
        <v>21' 2"</v>
      </c>
      <c r="F118">
        <f ca="1">IFERROR(__xludf.DUMMYFUNCTION("""COMPUTED_VALUE"""),402.917)</f>
        <v>402.91699999999997</v>
      </c>
      <c r="G118">
        <f ca="1">IFERROR(__xludf.DUMMYFUNCTION("""COMPUTED_VALUE"""),19)</f>
        <v>19</v>
      </c>
      <c r="H118">
        <f ca="1">IFERROR(__xludf.DUMMYFUNCTION("""COMPUTED_VALUE"""),-6)</f>
        <v>-6</v>
      </c>
    </row>
    <row r="119" spans="1:8" ht="12.75">
      <c r="A119" t="str">
        <f ca="1">IFERROR(__xludf.DUMMYFUNCTION("""COMPUTED_VALUE"""),"T118")</f>
        <v>T118</v>
      </c>
      <c r="B119" t="str">
        <f ca="1">IFERROR(__xludf.DUMMYFUNCTION("""COMPUTED_VALUE"""),"T114")</f>
        <v>T114</v>
      </c>
      <c r="C119" t="str">
        <f ca="1">IFERROR(__xludf.DUMMYFUNCTION("""COMPUTED_VALUE"""),"Anirban Lahiri")</f>
        <v>Anirban Lahiri</v>
      </c>
      <c r="D119">
        <f ca="1">IFERROR(__xludf.DUMMYFUNCTION("""COMPUTED_VALUE"""),16)</f>
        <v>16</v>
      </c>
      <c r="E119" t="str">
        <f ca="1">IFERROR(__xludf.DUMMYFUNCTION("""COMPUTED_VALUE"""),"21' 3""")</f>
        <v>21' 3"</v>
      </c>
      <c r="F119">
        <f ca="1">IFERROR(__xludf.DUMMYFUNCTION("""COMPUTED_VALUE"""),340.5)</f>
        <v>340.5</v>
      </c>
      <c r="G119">
        <f ca="1">IFERROR(__xludf.DUMMYFUNCTION("""COMPUTED_VALUE"""),16)</f>
        <v>16</v>
      </c>
      <c r="H119">
        <f ca="1">IFERROR(__xludf.DUMMYFUNCTION("""COMPUTED_VALUE"""),-3)</f>
        <v>-3</v>
      </c>
    </row>
    <row r="120" spans="1:8" ht="12.75">
      <c r="A120" t="str">
        <f ca="1">IFERROR(__xludf.DUMMYFUNCTION("""COMPUTED_VALUE"""),"T118")</f>
        <v>T118</v>
      </c>
      <c r="B120" t="str">
        <f ca="1">IFERROR(__xludf.DUMMYFUNCTION("""COMPUTED_VALUE"""),"T114")</f>
        <v>T114</v>
      </c>
      <c r="C120" t="str">
        <f ca="1">IFERROR(__xludf.DUMMYFUNCTION("""COMPUTED_VALUE"""),"Michael Gligic")</f>
        <v>Michael Gligic</v>
      </c>
      <c r="D120">
        <f ca="1">IFERROR(__xludf.DUMMYFUNCTION("""COMPUTED_VALUE"""),18)</f>
        <v>18</v>
      </c>
      <c r="E120" t="str">
        <f ca="1">IFERROR(__xludf.DUMMYFUNCTION("""COMPUTED_VALUE"""),"21' 3""")</f>
        <v>21' 3"</v>
      </c>
      <c r="F120">
        <f ca="1">IFERROR(__xludf.DUMMYFUNCTION("""COMPUTED_VALUE"""),530.25)</f>
        <v>530.25</v>
      </c>
      <c r="G120">
        <f ca="1">IFERROR(__xludf.DUMMYFUNCTION("""COMPUTED_VALUE"""),25)</f>
        <v>25</v>
      </c>
      <c r="H120">
        <f ca="1">IFERROR(__xludf.DUMMYFUNCTION("""COMPUTED_VALUE"""),-6)</f>
        <v>-6</v>
      </c>
    </row>
    <row r="121" spans="1:8" ht="12.75">
      <c r="A121">
        <f ca="1">IFERROR(__xludf.DUMMYFUNCTION("""COMPUTED_VALUE"""),120)</f>
        <v>120</v>
      </c>
      <c r="B121" t="str">
        <f ca="1">IFERROR(__xludf.DUMMYFUNCTION("""COMPUTED_VALUE"""),"T149")</f>
        <v>T149</v>
      </c>
      <c r="C121" t="str">
        <f ca="1">IFERROR(__xludf.DUMMYFUNCTION("""COMPUTED_VALUE"""),"Lucas Glover")</f>
        <v>Lucas Glover</v>
      </c>
      <c r="D121">
        <f ca="1">IFERROR(__xludf.DUMMYFUNCTION("""COMPUTED_VALUE"""),12)</f>
        <v>12</v>
      </c>
      <c r="E121" t="str">
        <f ca="1">IFERROR(__xludf.DUMMYFUNCTION("""COMPUTED_VALUE"""),"21' 4""")</f>
        <v>21' 4"</v>
      </c>
      <c r="F121">
        <f ca="1">IFERROR(__xludf.DUMMYFUNCTION("""COMPUTED_VALUE"""),660.083)</f>
        <v>660.08299999999997</v>
      </c>
      <c r="G121">
        <f ca="1">IFERROR(__xludf.DUMMYFUNCTION("""COMPUTED_VALUE"""),31)</f>
        <v>31</v>
      </c>
      <c r="H121">
        <f ca="1">IFERROR(__xludf.DUMMYFUNCTION("""COMPUTED_VALUE"""),-1)</f>
        <v>-1</v>
      </c>
    </row>
    <row r="122" spans="1:8" ht="12.75">
      <c r="A122" t="str">
        <f ca="1">IFERROR(__xludf.DUMMYFUNCTION("""COMPUTED_VALUE"""),"T121")</f>
        <v>T121</v>
      </c>
      <c r="B122" t="str">
        <f ca="1">IFERROR(__xludf.DUMMYFUNCTION("""COMPUTED_VALUE"""),"T118")</f>
        <v>T118</v>
      </c>
      <c r="C122" t="str">
        <f ca="1">IFERROR(__xludf.DUMMYFUNCTION("""COMPUTED_VALUE"""),"Louis Oosthuizen")</f>
        <v>Louis Oosthuizen</v>
      </c>
      <c r="D122">
        <f ca="1">IFERROR(__xludf.DUMMYFUNCTION("""COMPUTED_VALUE"""),12)</f>
        <v>12</v>
      </c>
      <c r="E122" t="str">
        <f ca="1">IFERROR(__xludf.DUMMYFUNCTION("""COMPUTED_VALUE"""),"21' 5""")</f>
        <v>21' 5"</v>
      </c>
      <c r="F122">
        <f ca="1">IFERROR(__xludf.DUMMYFUNCTION("""COMPUTED_VALUE"""),705.583)</f>
        <v>705.58299999999997</v>
      </c>
      <c r="G122">
        <f ca="1">IFERROR(__xludf.DUMMYFUNCTION("""COMPUTED_VALUE"""),33)</f>
        <v>33</v>
      </c>
      <c r="H122">
        <f ca="1">IFERROR(__xludf.DUMMYFUNCTION("""COMPUTED_VALUE"""),-5)</f>
        <v>-5</v>
      </c>
    </row>
    <row r="123" spans="1:8" ht="12.75">
      <c r="A123" t="str">
        <f ca="1">IFERROR(__xludf.DUMMYFUNCTION("""COMPUTED_VALUE"""),"T121")</f>
        <v>T121</v>
      </c>
      <c r="B123" t="str">
        <f ca="1">IFERROR(__xludf.DUMMYFUNCTION("""COMPUTED_VALUE"""),"T118")</f>
        <v>T118</v>
      </c>
      <c r="C123" t="str">
        <f ca="1">IFERROR(__xludf.DUMMYFUNCTION("""COMPUTED_VALUE"""),"Brian Gay")</f>
        <v>Brian Gay</v>
      </c>
      <c r="D123">
        <f ca="1">IFERROR(__xludf.DUMMYFUNCTION("""COMPUTED_VALUE"""),8)</f>
        <v>8</v>
      </c>
      <c r="E123" t="str">
        <f ca="1">IFERROR(__xludf.DUMMYFUNCTION("""COMPUTED_VALUE"""),"21' 5""")</f>
        <v>21' 5"</v>
      </c>
      <c r="F123">
        <f ca="1">IFERROR(__xludf.DUMMYFUNCTION("""COMPUTED_VALUE"""),214.083)</f>
        <v>214.083</v>
      </c>
      <c r="G123">
        <f ca="1">IFERROR(__xludf.DUMMYFUNCTION("""COMPUTED_VALUE"""),10)</f>
        <v>10</v>
      </c>
      <c r="H123" t="str">
        <f ca="1">IFERROR(__xludf.DUMMYFUNCTION("""COMPUTED_VALUE"""),"+2")</f>
        <v>+2</v>
      </c>
    </row>
    <row r="124" spans="1:8" ht="12.75">
      <c r="A124" t="str">
        <f ca="1">IFERROR(__xludf.DUMMYFUNCTION("""COMPUTED_VALUE"""),"T121")</f>
        <v>T121</v>
      </c>
      <c r="B124" t="str">
        <f ca="1">IFERROR(__xludf.DUMMYFUNCTION("""COMPUTED_VALUE"""),"T118")</f>
        <v>T118</v>
      </c>
      <c r="C124" t="str">
        <f ca="1">IFERROR(__xludf.DUMMYFUNCTION("""COMPUTED_VALUE"""),"Gary Woodland")</f>
        <v>Gary Woodland</v>
      </c>
      <c r="D124">
        <f ca="1">IFERROR(__xludf.DUMMYFUNCTION("""COMPUTED_VALUE"""),6)</f>
        <v>6</v>
      </c>
      <c r="E124" t="str">
        <f ca="1">IFERROR(__xludf.DUMMYFUNCTION("""COMPUTED_VALUE"""),"21' 5""")</f>
        <v>21' 5"</v>
      </c>
      <c r="F124">
        <f ca="1">IFERROR(__xludf.DUMMYFUNCTION("""COMPUTED_VALUE"""),235.417)</f>
        <v>235.417</v>
      </c>
      <c r="G124">
        <f ca="1">IFERROR(__xludf.DUMMYFUNCTION("""COMPUTED_VALUE"""),11)</f>
        <v>11</v>
      </c>
      <c r="H124" t="str">
        <f ca="1">IFERROR(__xludf.DUMMYFUNCTION("""COMPUTED_VALUE"""),"+1")</f>
        <v>+1</v>
      </c>
    </row>
    <row r="125" spans="1:8" ht="12.75">
      <c r="A125" t="str">
        <f ca="1">IFERROR(__xludf.DUMMYFUNCTION("""COMPUTED_VALUE"""),"T124")</f>
        <v>T124</v>
      </c>
      <c r="B125" t="str">
        <f ca="1">IFERROR(__xludf.DUMMYFUNCTION("""COMPUTED_VALUE"""),"T123")</f>
        <v>T123</v>
      </c>
      <c r="C125" t="str">
        <f ca="1">IFERROR(__xludf.DUMMYFUNCTION("""COMPUTED_VALUE"""),"Akshay Bhatia")</f>
        <v>Akshay Bhatia</v>
      </c>
      <c r="D125">
        <f ca="1">IFERROR(__xludf.DUMMYFUNCTION("""COMPUTED_VALUE"""),6)</f>
        <v>6</v>
      </c>
      <c r="E125" t="str">
        <f ca="1">IFERROR(__xludf.DUMMYFUNCTION("""COMPUTED_VALUE"""),"21' 6""")</f>
        <v>21' 6"</v>
      </c>
      <c r="F125">
        <f ca="1">IFERROR(__xludf.DUMMYFUNCTION("""COMPUTED_VALUE"""),258.333)</f>
        <v>258.33300000000003</v>
      </c>
      <c r="G125">
        <f ca="1">IFERROR(__xludf.DUMMYFUNCTION("""COMPUTED_VALUE"""),12)</f>
        <v>12</v>
      </c>
      <c r="H125">
        <f ca="1">IFERROR(__xludf.DUMMYFUNCTION("""COMPUTED_VALUE"""),-3)</f>
        <v>-3</v>
      </c>
    </row>
    <row r="126" spans="1:8" ht="12.75">
      <c r="A126" t="str">
        <f ca="1">IFERROR(__xludf.DUMMYFUNCTION("""COMPUTED_VALUE"""),"T124")</f>
        <v>T124</v>
      </c>
      <c r="B126" t="str">
        <f ca="1">IFERROR(__xludf.DUMMYFUNCTION("""COMPUTED_VALUE"""),"T123")</f>
        <v>T123</v>
      </c>
      <c r="C126" t="str">
        <f ca="1">IFERROR(__xludf.DUMMYFUNCTION("""COMPUTED_VALUE"""),"Ryan Blaum")</f>
        <v>Ryan Blaum</v>
      </c>
      <c r="D126">
        <f ca="1">IFERROR(__xludf.DUMMYFUNCTION("""COMPUTED_VALUE"""),8)</f>
        <v>8</v>
      </c>
      <c r="E126" t="str">
        <f ca="1">IFERROR(__xludf.DUMMYFUNCTION("""COMPUTED_VALUE"""),"21' 6""")</f>
        <v>21' 6"</v>
      </c>
      <c r="F126">
        <f ca="1">IFERROR(__xludf.DUMMYFUNCTION("""COMPUTED_VALUE"""),172)</f>
        <v>172</v>
      </c>
      <c r="G126">
        <f ca="1">IFERROR(__xludf.DUMMYFUNCTION("""COMPUTED_VALUE"""),8)</f>
        <v>8</v>
      </c>
      <c r="H126" t="str">
        <f ca="1">IFERROR(__xludf.DUMMYFUNCTION("""COMPUTED_VALUE"""),"E")</f>
        <v>E</v>
      </c>
    </row>
    <row r="127" spans="1:8" ht="12.75">
      <c r="A127" t="str">
        <f ca="1">IFERROR(__xludf.DUMMYFUNCTION("""COMPUTED_VALUE"""),"T124")</f>
        <v>T124</v>
      </c>
      <c r="B127" t="str">
        <f ca="1">IFERROR(__xludf.DUMMYFUNCTION("""COMPUTED_VALUE"""),"T123")</f>
        <v>T123</v>
      </c>
      <c r="C127" t="str">
        <f ca="1">IFERROR(__xludf.DUMMYFUNCTION("""COMPUTED_VALUE"""),"Charles Howell III")</f>
        <v>Charles Howell III</v>
      </c>
      <c r="D127">
        <f ca="1">IFERROR(__xludf.DUMMYFUNCTION("""COMPUTED_VALUE"""),10)</f>
        <v>10</v>
      </c>
      <c r="E127" t="str">
        <f ca="1">IFERROR(__xludf.DUMMYFUNCTION("""COMPUTED_VALUE"""),"21' 6""")</f>
        <v>21' 6"</v>
      </c>
      <c r="F127">
        <f ca="1">IFERROR(__xludf.DUMMYFUNCTION("""COMPUTED_VALUE"""),387.667)</f>
        <v>387.66699999999997</v>
      </c>
      <c r="G127">
        <f ca="1">IFERROR(__xludf.DUMMYFUNCTION("""COMPUTED_VALUE"""),18)</f>
        <v>18</v>
      </c>
      <c r="H127">
        <f ca="1">IFERROR(__xludf.DUMMYFUNCTION("""COMPUTED_VALUE"""),-3)</f>
        <v>-3</v>
      </c>
    </row>
    <row r="128" spans="1:8" ht="12.75">
      <c r="A128" t="str">
        <f ca="1">IFERROR(__xludf.DUMMYFUNCTION("""COMPUTED_VALUE"""),"T124")</f>
        <v>T124</v>
      </c>
      <c r="B128" t="str">
        <f ca="1">IFERROR(__xludf.DUMMYFUNCTION("""COMPUTED_VALUE"""),"T123")</f>
        <v>T123</v>
      </c>
      <c r="C128" t="str">
        <f ca="1">IFERROR(__xludf.DUMMYFUNCTION("""COMPUTED_VALUE"""),"Cameron Percy")</f>
        <v>Cameron Percy</v>
      </c>
      <c r="D128">
        <f ca="1">IFERROR(__xludf.DUMMYFUNCTION("""COMPUTED_VALUE"""),16)</f>
        <v>16</v>
      </c>
      <c r="E128" t="str">
        <f ca="1">IFERROR(__xludf.DUMMYFUNCTION("""COMPUTED_VALUE"""),"21' 6""")</f>
        <v>21' 6"</v>
      </c>
      <c r="F128">
        <f ca="1">IFERROR(__xludf.DUMMYFUNCTION("""COMPUTED_VALUE"""),301.333)</f>
        <v>301.33300000000003</v>
      </c>
      <c r="G128">
        <f ca="1">IFERROR(__xludf.DUMMYFUNCTION("""COMPUTED_VALUE"""),14)</f>
        <v>14</v>
      </c>
      <c r="H128">
        <f ca="1">IFERROR(__xludf.DUMMYFUNCTION("""COMPUTED_VALUE"""),-1)</f>
        <v>-1</v>
      </c>
    </row>
    <row r="129" spans="1:8" ht="12.75">
      <c r="A129" t="str">
        <f ca="1">IFERROR(__xludf.DUMMYFUNCTION("""COMPUTED_VALUE"""),"T124")</f>
        <v>T124</v>
      </c>
      <c r="B129" t="str">
        <f ca="1">IFERROR(__xludf.DUMMYFUNCTION("""COMPUTED_VALUE"""),"T146")</f>
        <v>T146</v>
      </c>
      <c r="C129" t="str">
        <f ca="1">IFERROR(__xludf.DUMMYFUNCTION("""COMPUTED_VALUE"""),"Rory Sabbatini")</f>
        <v>Rory Sabbatini</v>
      </c>
      <c r="D129">
        <f ca="1">IFERROR(__xludf.DUMMYFUNCTION("""COMPUTED_VALUE"""),13)</f>
        <v>13</v>
      </c>
      <c r="E129" t="str">
        <f ca="1">IFERROR(__xludf.DUMMYFUNCTION("""COMPUTED_VALUE"""),"21' 6""")</f>
        <v>21' 6"</v>
      </c>
      <c r="F129">
        <f ca="1">IFERROR(__xludf.DUMMYFUNCTION("""COMPUTED_VALUE"""),601.25)</f>
        <v>601.25</v>
      </c>
      <c r="G129">
        <f ca="1">IFERROR(__xludf.DUMMYFUNCTION("""COMPUTED_VALUE"""),28)</f>
        <v>28</v>
      </c>
      <c r="H129">
        <f ca="1">IFERROR(__xludf.DUMMYFUNCTION("""COMPUTED_VALUE"""),-4)</f>
        <v>-4</v>
      </c>
    </row>
    <row r="130" spans="1:8" ht="12.75">
      <c r="A130">
        <f ca="1">IFERROR(__xludf.DUMMYFUNCTION("""COMPUTED_VALUE"""),129)</f>
        <v>129</v>
      </c>
      <c r="B130" t="str">
        <f ca="1">IFERROR(__xludf.DUMMYFUNCTION("""COMPUTED_VALUE"""),"T128")</f>
        <v>T128</v>
      </c>
      <c r="C130" t="str">
        <f ca="1">IFERROR(__xludf.DUMMYFUNCTION("""COMPUTED_VALUE"""),"Webb Simpson")</f>
        <v>Webb Simpson</v>
      </c>
      <c r="D130">
        <f ca="1">IFERROR(__xludf.DUMMYFUNCTION("""COMPUTED_VALUE"""),12)</f>
        <v>12</v>
      </c>
      <c r="E130" t="str">
        <f ca="1">IFERROR(__xludf.DUMMYFUNCTION("""COMPUTED_VALUE"""),"21' 7""")</f>
        <v>21' 7"</v>
      </c>
      <c r="F130">
        <f ca="1">IFERROR(__xludf.DUMMYFUNCTION("""COMPUTED_VALUE"""),517.667)</f>
        <v>517.66700000000003</v>
      </c>
      <c r="G130">
        <f ca="1">IFERROR(__xludf.DUMMYFUNCTION("""COMPUTED_VALUE"""),24)</f>
        <v>24</v>
      </c>
      <c r="H130">
        <f ca="1">IFERROR(__xludf.DUMMYFUNCTION("""COMPUTED_VALUE"""),-5)</f>
        <v>-5</v>
      </c>
    </row>
    <row r="131" spans="1:8" ht="12.75">
      <c r="A131" t="str">
        <f ca="1">IFERROR(__xludf.DUMMYFUNCTION("""COMPUTED_VALUE"""),"T130")</f>
        <v>T130</v>
      </c>
      <c r="B131" t="str">
        <f ca="1">IFERROR(__xludf.DUMMYFUNCTION("""COMPUTED_VALUE"""),"T130")</f>
        <v>T130</v>
      </c>
      <c r="C131" t="str">
        <f ca="1">IFERROR(__xludf.DUMMYFUNCTION("""COMPUTED_VALUE"""),"Brendan Steele")</f>
        <v>Brendan Steele</v>
      </c>
      <c r="D131">
        <f ca="1">IFERROR(__xludf.DUMMYFUNCTION("""COMPUTED_VALUE"""),14)</f>
        <v>14</v>
      </c>
      <c r="E131" t="str">
        <f ca="1">IFERROR(__xludf.DUMMYFUNCTION("""COMPUTED_VALUE"""),"21' 8""")</f>
        <v>21' 8"</v>
      </c>
      <c r="F131">
        <f ca="1">IFERROR(__xludf.DUMMYFUNCTION("""COMPUTED_VALUE"""),866.083)</f>
        <v>866.08299999999997</v>
      </c>
      <c r="G131">
        <f ca="1">IFERROR(__xludf.DUMMYFUNCTION("""COMPUTED_VALUE"""),40)</f>
        <v>40</v>
      </c>
      <c r="H131" t="str">
        <f ca="1">IFERROR(__xludf.DUMMYFUNCTION("""COMPUTED_VALUE"""),"+4")</f>
        <v>+4</v>
      </c>
    </row>
    <row r="132" spans="1:8" ht="12.75">
      <c r="A132" t="str">
        <f ca="1">IFERROR(__xludf.DUMMYFUNCTION("""COMPUTED_VALUE"""),"T130")</f>
        <v>T130</v>
      </c>
      <c r="B132" t="str">
        <f ca="1">IFERROR(__xludf.DUMMYFUNCTION("""COMPUTED_VALUE"""),"T130")</f>
        <v>T130</v>
      </c>
      <c r="C132" t="str">
        <f ca="1">IFERROR(__xludf.DUMMYFUNCTION("""COMPUTED_VALUE"""),"Matt Kuchar")</f>
        <v>Matt Kuchar</v>
      </c>
      <c r="D132">
        <f ca="1">IFERROR(__xludf.DUMMYFUNCTION("""COMPUTED_VALUE"""),14)</f>
        <v>14</v>
      </c>
      <c r="E132" t="str">
        <f ca="1">IFERROR(__xludf.DUMMYFUNCTION("""COMPUTED_VALUE"""),"21' 8""")</f>
        <v>21' 8"</v>
      </c>
      <c r="F132">
        <f ca="1">IFERROR(__xludf.DUMMYFUNCTION("""COMPUTED_VALUE"""),692.167)</f>
        <v>692.16700000000003</v>
      </c>
      <c r="G132">
        <f ca="1">IFERROR(__xludf.DUMMYFUNCTION("""COMPUTED_VALUE"""),32)</f>
        <v>32</v>
      </c>
      <c r="H132" t="str">
        <f ca="1">IFERROR(__xludf.DUMMYFUNCTION("""COMPUTED_VALUE"""),"E")</f>
        <v>E</v>
      </c>
    </row>
    <row r="133" spans="1:8" ht="12.75">
      <c r="A133" t="str">
        <f ca="1">IFERROR(__xludf.DUMMYFUNCTION("""COMPUTED_VALUE"""),"T130")</f>
        <v>T130</v>
      </c>
      <c r="B133" t="str">
        <f ca="1">IFERROR(__xludf.DUMMYFUNCTION("""COMPUTED_VALUE"""),"T107")</f>
        <v>T107</v>
      </c>
      <c r="C133" t="str">
        <f ca="1">IFERROR(__xludf.DUMMYFUNCTION("""COMPUTED_VALUE"""),"Luke List")</f>
        <v>Luke List</v>
      </c>
      <c r="D133">
        <f ca="1">IFERROR(__xludf.DUMMYFUNCTION("""COMPUTED_VALUE"""),18)</f>
        <v>18</v>
      </c>
      <c r="E133" t="str">
        <f ca="1">IFERROR(__xludf.DUMMYFUNCTION("""COMPUTED_VALUE"""),"21' 8""")</f>
        <v>21' 8"</v>
      </c>
      <c r="F133">
        <f ca="1">IFERROR(__xludf.DUMMYFUNCTION("""COMPUTED_VALUE"""),607.167)</f>
        <v>607.16700000000003</v>
      </c>
      <c r="G133">
        <f ca="1">IFERROR(__xludf.DUMMYFUNCTION("""COMPUTED_VALUE"""),28)</f>
        <v>28</v>
      </c>
      <c r="H133" t="str">
        <f ca="1">IFERROR(__xludf.DUMMYFUNCTION("""COMPUTED_VALUE"""),"+2")</f>
        <v>+2</v>
      </c>
    </row>
    <row r="134" spans="1:8" ht="12.75">
      <c r="A134" t="str">
        <f ca="1">IFERROR(__xludf.DUMMYFUNCTION("""COMPUTED_VALUE"""),"T130")</f>
        <v>T130</v>
      </c>
      <c r="B134" t="str">
        <f ca="1">IFERROR(__xludf.DUMMYFUNCTION("""COMPUTED_VALUE"""),"T130")</f>
        <v>T130</v>
      </c>
      <c r="C134" t="str">
        <f ca="1">IFERROR(__xludf.DUMMYFUNCTION("""COMPUTED_VALUE"""),"Nick Taylor")</f>
        <v>Nick Taylor</v>
      </c>
      <c r="D134">
        <f ca="1">IFERROR(__xludf.DUMMYFUNCTION("""COMPUTED_VALUE"""),12)</f>
        <v>12</v>
      </c>
      <c r="E134" t="str">
        <f ca="1">IFERROR(__xludf.DUMMYFUNCTION("""COMPUTED_VALUE"""),"21' 8""")</f>
        <v>21' 8"</v>
      </c>
      <c r="F134">
        <f ca="1">IFERROR(__xludf.DUMMYFUNCTION("""COMPUTED_VALUE"""),563.75)</f>
        <v>563.75</v>
      </c>
      <c r="G134">
        <f ca="1">IFERROR(__xludf.DUMMYFUNCTION("""COMPUTED_VALUE"""),26)</f>
        <v>26</v>
      </c>
      <c r="H134">
        <f ca="1">IFERROR(__xludf.DUMMYFUNCTION("""COMPUTED_VALUE"""),-7)</f>
        <v>-7</v>
      </c>
    </row>
    <row r="135" spans="1:8" ht="12.75">
      <c r="A135" t="str">
        <f ca="1">IFERROR(__xludf.DUMMYFUNCTION("""COMPUTED_VALUE"""),"T130")</f>
        <v>T130</v>
      </c>
      <c r="B135">
        <f ca="1">IFERROR(__xludf.DUMMYFUNCTION("""COMPUTED_VALUE"""),117)</f>
        <v>117</v>
      </c>
      <c r="C135" t="str">
        <f ca="1">IFERROR(__xludf.DUMMYFUNCTION("""COMPUTED_VALUE"""),"Tyler Duncan")</f>
        <v>Tyler Duncan</v>
      </c>
      <c r="D135">
        <f ca="1">IFERROR(__xludf.DUMMYFUNCTION("""COMPUTED_VALUE"""),18)</f>
        <v>18</v>
      </c>
      <c r="E135" t="str">
        <f ca="1">IFERROR(__xludf.DUMMYFUNCTION("""COMPUTED_VALUE"""),"21' 8""")</f>
        <v>21' 8"</v>
      </c>
      <c r="F135">
        <f ca="1">IFERROR(__xludf.DUMMYFUNCTION("""COMPUTED_VALUE"""),845.75)</f>
        <v>845.75</v>
      </c>
      <c r="G135">
        <f ca="1">IFERROR(__xludf.DUMMYFUNCTION("""COMPUTED_VALUE"""),39)</f>
        <v>39</v>
      </c>
      <c r="H135">
        <f ca="1">IFERROR(__xludf.DUMMYFUNCTION("""COMPUTED_VALUE"""),-2)</f>
        <v>-2</v>
      </c>
    </row>
    <row r="136" spans="1:8" ht="12.75">
      <c r="A136" t="str">
        <f ca="1">IFERROR(__xludf.DUMMYFUNCTION("""COMPUTED_VALUE"""),"T135")</f>
        <v>T135</v>
      </c>
      <c r="B136" t="str">
        <f ca="1">IFERROR(__xludf.DUMMYFUNCTION("""COMPUTED_VALUE"""),"T133")</f>
        <v>T133</v>
      </c>
      <c r="C136" t="str">
        <f ca="1">IFERROR(__xludf.DUMMYFUNCTION("""COMPUTED_VALUE"""),"Luke Schniederjans")</f>
        <v>Luke Schniederjans</v>
      </c>
      <c r="D136">
        <f ca="1">IFERROR(__xludf.DUMMYFUNCTION("""COMPUTED_VALUE"""),4)</f>
        <v>4</v>
      </c>
      <c r="E136" t="str">
        <f ca="1">IFERROR(__xludf.DUMMYFUNCTION("""COMPUTED_VALUE"""),"21' 9""")</f>
        <v>21' 9"</v>
      </c>
      <c r="F136">
        <f ca="1">IFERROR(__xludf.DUMMYFUNCTION("""COMPUTED_VALUE"""),86.833)</f>
        <v>86.832999999999998</v>
      </c>
      <c r="G136">
        <f ca="1">IFERROR(__xludf.DUMMYFUNCTION("""COMPUTED_VALUE"""),4)</f>
        <v>4</v>
      </c>
      <c r="H136" t="str">
        <f ca="1">IFERROR(__xludf.DUMMYFUNCTION("""COMPUTED_VALUE"""),"+1")</f>
        <v>+1</v>
      </c>
    </row>
    <row r="137" spans="1:8" ht="12.75">
      <c r="A137" t="str">
        <f ca="1">IFERROR(__xludf.DUMMYFUNCTION("""COMPUTED_VALUE"""),"T135")</f>
        <v>T135</v>
      </c>
      <c r="B137" t="str">
        <f ca="1">IFERROR(__xludf.DUMMYFUNCTION("""COMPUTED_VALUE"""),"T133")</f>
        <v>T133</v>
      </c>
      <c r="C137" t="str">
        <f ca="1">IFERROR(__xludf.DUMMYFUNCTION("""COMPUTED_VALUE"""),"Tommy Fleetwood")</f>
        <v>Tommy Fleetwood</v>
      </c>
      <c r="D137">
        <f ca="1">IFERROR(__xludf.DUMMYFUNCTION("""COMPUTED_VALUE"""),10)</f>
        <v>10</v>
      </c>
      <c r="E137" t="str">
        <f ca="1">IFERROR(__xludf.DUMMYFUNCTION("""COMPUTED_VALUE"""),"21' 9""")</f>
        <v>21' 9"</v>
      </c>
      <c r="F137">
        <f ca="1">IFERROR(__xludf.DUMMYFUNCTION("""COMPUTED_VALUE"""),391.167)</f>
        <v>391.16699999999997</v>
      </c>
      <c r="G137">
        <f ca="1">IFERROR(__xludf.DUMMYFUNCTION("""COMPUTED_VALUE"""),18)</f>
        <v>18</v>
      </c>
      <c r="H137" t="str">
        <f ca="1">IFERROR(__xludf.DUMMYFUNCTION("""COMPUTED_VALUE"""),"+1")</f>
        <v>+1</v>
      </c>
    </row>
    <row r="138" spans="1:8" ht="12.75">
      <c r="A138" t="str">
        <f ca="1">IFERROR(__xludf.DUMMYFUNCTION("""COMPUTED_VALUE"""),"T137")</f>
        <v>T137</v>
      </c>
      <c r="B138" t="str">
        <f ca="1">IFERROR(__xludf.DUMMYFUNCTION("""COMPUTED_VALUE"""),"T136")</f>
        <v>T136</v>
      </c>
      <c r="C138" t="str">
        <f ca="1">IFERROR(__xludf.DUMMYFUNCTION("""COMPUTED_VALUE"""),"Matt Every")</f>
        <v>Matt Every</v>
      </c>
      <c r="D138">
        <f ca="1">IFERROR(__xludf.DUMMYFUNCTION("""COMPUTED_VALUE"""),8)</f>
        <v>8</v>
      </c>
      <c r="E138" t="str">
        <f ca="1">IFERROR(__xludf.DUMMYFUNCTION("""COMPUTED_VALUE"""),"21' 10""")</f>
        <v>21' 10"</v>
      </c>
      <c r="F138">
        <f ca="1">IFERROR(__xludf.DUMMYFUNCTION("""COMPUTED_VALUE"""),218)</f>
        <v>218</v>
      </c>
      <c r="G138">
        <f ca="1">IFERROR(__xludf.DUMMYFUNCTION("""COMPUTED_VALUE"""),10)</f>
        <v>10</v>
      </c>
      <c r="H138" t="str">
        <f ca="1">IFERROR(__xludf.DUMMYFUNCTION("""COMPUTED_VALUE"""),"+1")</f>
        <v>+1</v>
      </c>
    </row>
    <row r="139" spans="1:8" ht="12.75">
      <c r="A139" t="str">
        <f ca="1">IFERROR(__xludf.DUMMYFUNCTION("""COMPUTED_VALUE"""),"T137")</f>
        <v>T137</v>
      </c>
      <c r="B139" t="str">
        <f ca="1">IFERROR(__xludf.DUMMYFUNCTION("""COMPUTED_VALUE"""),"T133")</f>
        <v>T133</v>
      </c>
      <c r="C139" t="str">
        <f ca="1">IFERROR(__xludf.DUMMYFUNCTION("""COMPUTED_VALUE"""),"Hudson Swafford")</f>
        <v>Hudson Swafford</v>
      </c>
      <c r="D139">
        <f ca="1">IFERROR(__xludf.DUMMYFUNCTION("""COMPUTED_VALUE"""),18)</f>
        <v>18</v>
      </c>
      <c r="E139" t="str">
        <f ca="1">IFERROR(__xludf.DUMMYFUNCTION("""COMPUTED_VALUE"""),"21' 10""")</f>
        <v>21' 10"</v>
      </c>
      <c r="F139">
        <f ca="1">IFERROR(__xludf.DUMMYFUNCTION("""COMPUTED_VALUE"""),567.167)</f>
        <v>567.16700000000003</v>
      </c>
      <c r="G139">
        <f ca="1">IFERROR(__xludf.DUMMYFUNCTION("""COMPUTED_VALUE"""),26)</f>
        <v>26</v>
      </c>
      <c r="H139">
        <f ca="1">IFERROR(__xludf.DUMMYFUNCTION("""COMPUTED_VALUE"""),-4)</f>
        <v>-4</v>
      </c>
    </row>
    <row r="140" spans="1:8" ht="12.75">
      <c r="A140" t="str">
        <f ca="1">IFERROR(__xludf.DUMMYFUNCTION("""COMPUTED_VALUE"""),"T139")</f>
        <v>T139</v>
      </c>
      <c r="B140" t="str">
        <f ca="1">IFERROR(__xludf.DUMMYFUNCTION("""COMPUTED_VALUE"""),"T42")</f>
        <v>T42</v>
      </c>
      <c r="C140" t="str">
        <f ca="1">IFERROR(__xludf.DUMMYFUNCTION("""COMPUTED_VALUE"""),"Keith Mitchell")</f>
        <v>Keith Mitchell</v>
      </c>
      <c r="D140">
        <f ca="1">IFERROR(__xludf.DUMMYFUNCTION("""COMPUTED_VALUE"""),14)</f>
        <v>14</v>
      </c>
      <c r="E140" t="str">
        <f ca="1">IFERROR(__xludf.DUMMYFUNCTION("""COMPUTED_VALUE"""),"21' 11""")</f>
        <v>21' 11"</v>
      </c>
      <c r="F140">
        <f ca="1">IFERROR(__xludf.DUMMYFUNCTION("""COMPUTED_VALUE"""),306.333)</f>
        <v>306.33300000000003</v>
      </c>
      <c r="G140">
        <f ca="1">IFERROR(__xludf.DUMMYFUNCTION("""COMPUTED_VALUE"""),14)</f>
        <v>14</v>
      </c>
      <c r="H140" t="str">
        <f ca="1">IFERROR(__xludf.DUMMYFUNCTION("""COMPUTED_VALUE"""),"E")</f>
        <v>E</v>
      </c>
    </row>
    <row r="141" spans="1:8" ht="12.75">
      <c r="A141" t="str">
        <f ca="1">IFERROR(__xludf.DUMMYFUNCTION("""COMPUTED_VALUE"""),"T139")</f>
        <v>T139</v>
      </c>
      <c r="B141" t="str">
        <f ca="1">IFERROR(__xludf.DUMMYFUNCTION("""COMPUTED_VALUE"""),"T141")</f>
        <v>T141</v>
      </c>
      <c r="C141" t="str">
        <f ca="1">IFERROR(__xludf.DUMMYFUNCTION("""COMPUTED_VALUE"""),"Chan Kim")</f>
        <v>Chan Kim</v>
      </c>
      <c r="D141">
        <f ca="1">IFERROR(__xludf.DUMMYFUNCTION("""COMPUTED_VALUE"""),6)</f>
        <v>6</v>
      </c>
      <c r="E141" t="str">
        <f ca="1">IFERROR(__xludf.DUMMYFUNCTION("""COMPUTED_VALUE"""),"21' 11""")</f>
        <v>21' 11"</v>
      </c>
      <c r="F141">
        <f ca="1">IFERROR(__xludf.DUMMYFUNCTION("""COMPUTED_VALUE"""),328.917)</f>
        <v>328.91699999999997</v>
      </c>
      <c r="G141">
        <f ca="1">IFERROR(__xludf.DUMMYFUNCTION("""COMPUTED_VALUE"""),15)</f>
        <v>15</v>
      </c>
      <c r="H141" t="str">
        <f ca="1">IFERROR(__xludf.DUMMYFUNCTION("""COMPUTED_VALUE"""),"+1")</f>
        <v>+1</v>
      </c>
    </row>
    <row r="142" spans="1:8" ht="12.75">
      <c r="A142" t="str">
        <f ca="1">IFERROR(__xludf.DUMMYFUNCTION("""COMPUTED_VALUE"""),"T139")</f>
        <v>T139</v>
      </c>
      <c r="B142" t="str">
        <f ca="1">IFERROR(__xludf.DUMMYFUNCTION("""COMPUTED_VALUE"""),"T141")</f>
        <v>T141</v>
      </c>
      <c r="C142" t="str">
        <f ca="1">IFERROR(__xludf.DUMMYFUNCTION("""COMPUTED_VALUE"""),"Joseph Bramlett")</f>
        <v>Joseph Bramlett</v>
      </c>
      <c r="D142">
        <f ca="1">IFERROR(__xludf.DUMMYFUNCTION("""COMPUTED_VALUE"""),18)</f>
        <v>18</v>
      </c>
      <c r="E142" t="str">
        <f ca="1">IFERROR(__xludf.DUMMYFUNCTION("""COMPUTED_VALUE"""),"21' 11""")</f>
        <v>21' 11"</v>
      </c>
      <c r="F142">
        <f ca="1">IFERROR(__xludf.DUMMYFUNCTION("""COMPUTED_VALUE"""),350.667)</f>
        <v>350.66699999999997</v>
      </c>
      <c r="G142">
        <f ca="1">IFERROR(__xludf.DUMMYFUNCTION("""COMPUTED_VALUE"""),16)</f>
        <v>16</v>
      </c>
      <c r="H142" t="str">
        <f ca="1">IFERROR(__xludf.DUMMYFUNCTION("""COMPUTED_VALUE"""),"E")</f>
        <v>E</v>
      </c>
    </row>
    <row r="143" spans="1:8" ht="12.75">
      <c r="A143" t="str">
        <f ca="1">IFERROR(__xludf.DUMMYFUNCTION("""COMPUTED_VALUE"""),"T139")</f>
        <v>T139</v>
      </c>
      <c r="B143" t="str">
        <f ca="1">IFERROR(__xludf.DUMMYFUNCTION("""COMPUTED_VALUE"""),"T212")</f>
        <v>T212</v>
      </c>
      <c r="C143" t="str">
        <f ca="1">IFERROR(__xludf.DUMMYFUNCTION("""COMPUTED_VALUE"""),"Shane Lowry")</f>
        <v>Shane Lowry</v>
      </c>
      <c r="D143">
        <f ca="1">IFERROR(__xludf.DUMMYFUNCTION("""COMPUTED_VALUE"""),14)</f>
        <v>14</v>
      </c>
      <c r="E143" t="str">
        <f ca="1">IFERROR(__xludf.DUMMYFUNCTION("""COMPUTED_VALUE"""),"21' 11""")</f>
        <v>21' 11"</v>
      </c>
      <c r="F143">
        <f ca="1">IFERROR(__xludf.DUMMYFUNCTION("""COMPUTED_VALUE"""),680.5)</f>
        <v>680.5</v>
      </c>
      <c r="G143">
        <f ca="1">IFERROR(__xludf.DUMMYFUNCTION("""COMPUTED_VALUE"""),31)</f>
        <v>31</v>
      </c>
      <c r="H143">
        <f ca="1">IFERROR(__xludf.DUMMYFUNCTION("""COMPUTED_VALUE"""),-3)</f>
        <v>-3</v>
      </c>
    </row>
    <row r="144" spans="1:8" ht="12.75">
      <c r="A144" t="str">
        <f ca="1">IFERROR(__xludf.DUMMYFUNCTION("""COMPUTED_VALUE"""),"T143")</f>
        <v>T143</v>
      </c>
      <c r="B144" t="str">
        <f ca="1">IFERROR(__xludf.DUMMYFUNCTION("""COMPUTED_VALUE"""),"T144")</f>
        <v>T144</v>
      </c>
      <c r="C144" t="str">
        <f ca="1">IFERROR(__xludf.DUMMYFUNCTION("""COMPUTED_VALUE"""),"Patrick Reed")</f>
        <v>Patrick Reed</v>
      </c>
      <c r="D144">
        <f ca="1">IFERROR(__xludf.DUMMYFUNCTION("""COMPUTED_VALUE"""),8)</f>
        <v>8</v>
      </c>
      <c r="E144" t="str">
        <f ca="1">IFERROR(__xludf.DUMMYFUNCTION("""COMPUTED_VALUE"""),"22' 0""")</f>
        <v>22' 0"</v>
      </c>
      <c r="F144">
        <f ca="1">IFERROR(__xludf.DUMMYFUNCTION("""COMPUTED_VALUE"""),175.75)</f>
        <v>175.75</v>
      </c>
      <c r="G144">
        <f ca="1">IFERROR(__xludf.DUMMYFUNCTION("""COMPUTED_VALUE"""),8)</f>
        <v>8</v>
      </c>
      <c r="H144">
        <f ca="1">IFERROR(__xludf.DUMMYFUNCTION("""COMPUTED_VALUE"""),-1)</f>
        <v>-1</v>
      </c>
    </row>
    <row r="145" spans="1:8" ht="12.75">
      <c r="A145" t="str">
        <f ca="1">IFERROR(__xludf.DUMMYFUNCTION("""COMPUTED_VALUE"""),"T143")</f>
        <v>T143</v>
      </c>
      <c r="B145" t="str">
        <f ca="1">IFERROR(__xludf.DUMMYFUNCTION("""COMPUTED_VALUE"""),"T189")</f>
        <v>T189</v>
      </c>
      <c r="C145" t="str">
        <f ca="1">IFERROR(__xludf.DUMMYFUNCTION("""COMPUTED_VALUE"""),"Danny Lee")</f>
        <v>Danny Lee</v>
      </c>
      <c r="D145">
        <f ca="1">IFERROR(__xludf.DUMMYFUNCTION("""COMPUTED_VALUE"""),15)</f>
        <v>15</v>
      </c>
      <c r="E145" t="str">
        <f ca="1">IFERROR(__xludf.DUMMYFUNCTION("""COMPUTED_VALUE"""),"22' 0""")</f>
        <v>22' 0"</v>
      </c>
      <c r="F145">
        <f ca="1">IFERROR(__xludf.DUMMYFUNCTION("""COMPUTED_VALUE"""),550.083)</f>
        <v>550.08299999999997</v>
      </c>
      <c r="G145">
        <f ca="1">IFERROR(__xludf.DUMMYFUNCTION("""COMPUTED_VALUE"""),25)</f>
        <v>25</v>
      </c>
      <c r="H145" t="str">
        <f ca="1">IFERROR(__xludf.DUMMYFUNCTION("""COMPUTED_VALUE"""),"+1")</f>
        <v>+1</v>
      </c>
    </row>
    <row r="146" spans="1:8" ht="12.75">
      <c r="A146" t="str">
        <f ca="1">IFERROR(__xludf.DUMMYFUNCTION("""COMPUTED_VALUE"""),"T143")</f>
        <v>T143</v>
      </c>
      <c r="B146" t="str">
        <f ca="1">IFERROR(__xludf.DUMMYFUNCTION("""COMPUTED_VALUE"""),"T105")</f>
        <v>T105</v>
      </c>
      <c r="C146" t="str">
        <f ca="1">IFERROR(__xludf.DUMMYFUNCTION("""COMPUTED_VALUE"""),"Brian Stuard")</f>
        <v>Brian Stuard</v>
      </c>
      <c r="D146">
        <f ca="1">IFERROR(__xludf.DUMMYFUNCTION("""COMPUTED_VALUE"""),18)</f>
        <v>18</v>
      </c>
      <c r="E146" t="str">
        <f ca="1">IFERROR(__xludf.DUMMYFUNCTION("""COMPUTED_VALUE"""),"22' 0""")</f>
        <v>22' 0"</v>
      </c>
      <c r="F146">
        <f ca="1">IFERROR(__xludf.DUMMYFUNCTION("""COMPUTED_VALUE"""),812.667)</f>
        <v>812.66700000000003</v>
      </c>
      <c r="G146">
        <f ca="1">IFERROR(__xludf.DUMMYFUNCTION("""COMPUTED_VALUE"""),37)</f>
        <v>37</v>
      </c>
      <c r="H146">
        <f ca="1">IFERROR(__xludf.DUMMYFUNCTION("""COMPUTED_VALUE"""),-9)</f>
        <v>-9</v>
      </c>
    </row>
    <row r="147" spans="1:8" ht="12.75">
      <c r="A147" t="str">
        <f ca="1">IFERROR(__xludf.DUMMYFUNCTION("""COMPUTED_VALUE"""),"T143")</f>
        <v>T143</v>
      </c>
      <c r="B147" t="str">
        <f ca="1">IFERROR(__xludf.DUMMYFUNCTION("""COMPUTED_VALUE"""),"T177")</f>
        <v>T177</v>
      </c>
      <c r="C147" t="str">
        <f ca="1">IFERROR(__xludf.DUMMYFUNCTION("""COMPUTED_VALUE"""),"Kevin Streelman")</f>
        <v>Kevin Streelman</v>
      </c>
      <c r="D147">
        <f ca="1">IFERROR(__xludf.DUMMYFUNCTION("""COMPUTED_VALUE"""),18)</f>
        <v>18</v>
      </c>
      <c r="E147" t="str">
        <f ca="1">IFERROR(__xludf.DUMMYFUNCTION("""COMPUTED_VALUE"""),"22' 0""")</f>
        <v>22' 0"</v>
      </c>
      <c r="F147">
        <f ca="1">IFERROR(__xludf.DUMMYFUNCTION("""COMPUTED_VALUE"""),925.25)</f>
        <v>925.25</v>
      </c>
      <c r="G147">
        <f ca="1">IFERROR(__xludf.DUMMYFUNCTION("""COMPUTED_VALUE"""),42)</f>
        <v>42</v>
      </c>
      <c r="H147">
        <f ca="1">IFERROR(__xludf.DUMMYFUNCTION("""COMPUTED_VALUE"""),-5)</f>
        <v>-5</v>
      </c>
    </row>
    <row r="148" spans="1:8" ht="12.75">
      <c r="A148" t="str">
        <f ca="1">IFERROR(__xludf.DUMMYFUNCTION("""COMPUTED_VALUE"""),"T147")</f>
        <v>T147</v>
      </c>
      <c r="B148">
        <f ca="1">IFERROR(__xludf.DUMMYFUNCTION("""COMPUTED_VALUE"""),233)</f>
        <v>233</v>
      </c>
      <c r="C148" t="str">
        <f ca="1">IFERROR(__xludf.DUMMYFUNCTION("""COMPUTED_VALUE"""),"Kevin Stadler")</f>
        <v>Kevin Stadler</v>
      </c>
      <c r="D148">
        <f ca="1">IFERROR(__xludf.DUMMYFUNCTION("""COMPUTED_VALUE"""),8)</f>
        <v>8</v>
      </c>
      <c r="E148" t="str">
        <f ca="1">IFERROR(__xludf.DUMMYFUNCTION("""COMPUTED_VALUE"""),"22' 1""")</f>
        <v>22' 1"</v>
      </c>
      <c r="F148">
        <f ca="1">IFERROR(__xludf.DUMMYFUNCTION("""COMPUTED_VALUE"""),220.917)</f>
        <v>220.917</v>
      </c>
      <c r="G148">
        <f ca="1">IFERROR(__xludf.DUMMYFUNCTION("""COMPUTED_VALUE"""),10)</f>
        <v>10</v>
      </c>
      <c r="H148">
        <f ca="1">IFERROR(__xludf.DUMMYFUNCTION("""COMPUTED_VALUE"""),-2)</f>
        <v>-2</v>
      </c>
    </row>
    <row r="149" spans="1:8" ht="12.75">
      <c r="A149" t="str">
        <f ca="1">IFERROR(__xludf.DUMMYFUNCTION("""COMPUTED_VALUE"""),"T147")</f>
        <v>T147</v>
      </c>
      <c r="B149" t="str">
        <f ca="1">IFERROR(__xludf.DUMMYFUNCTION("""COMPUTED_VALUE"""),"T170")</f>
        <v>T170</v>
      </c>
      <c r="C149" t="str">
        <f ca="1">IFERROR(__xludf.DUMMYFUNCTION("""COMPUTED_VALUE"""),"D.A. Points")</f>
        <v>D.A. Points</v>
      </c>
      <c r="D149">
        <f ca="1">IFERROR(__xludf.DUMMYFUNCTION("""COMPUTED_VALUE"""),12)</f>
        <v>12</v>
      </c>
      <c r="E149" t="str">
        <f ca="1">IFERROR(__xludf.DUMMYFUNCTION("""COMPUTED_VALUE"""),"22' 1""")</f>
        <v>22' 1"</v>
      </c>
      <c r="F149">
        <f ca="1">IFERROR(__xludf.DUMMYFUNCTION("""COMPUTED_VALUE"""),419.5)</f>
        <v>419.5</v>
      </c>
      <c r="G149">
        <f ca="1">IFERROR(__xludf.DUMMYFUNCTION("""COMPUTED_VALUE"""),19)</f>
        <v>19</v>
      </c>
      <c r="H149">
        <f ca="1">IFERROR(__xludf.DUMMYFUNCTION("""COMPUTED_VALUE"""),-2)</f>
        <v>-2</v>
      </c>
    </row>
    <row r="150" spans="1:8" ht="12.75">
      <c r="A150" t="str">
        <f ca="1">IFERROR(__xludf.DUMMYFUNCTION("""COMPUTED_VALUE"""),"T147")</f>
        <v>T147</v>
      </c>
      <c r="B150" t="str">
        <f ca="1">IFERROR(__xludf.DUMMYFUNCTION("""COMPUTED_VALUE"""),"T195")</f>
        <v>T195</v>
      </c>
      <c r="C150" t="str">
        <f ca="1">IFERROR(__xludf.DUMMYFUNCTION("""COMPUTED_VALUE"""),"Jordan Spieth")</f>
        <v>Jordan Spieth</v>
      </c>
      <c r="D150">
        <f ca="1">IFERROR(__xludf.DUMMYFUNCTION("""COMPUTED_VALUE"""),14)</f>
        <v>14</v>
      </c>
      <c r="E150" t="str">
        <f ca="1">IFERROR(__xludf.DUMMYFUNCTION("""COMPUTED_VALUE"""),"22' 1""")</f>
        <v>22' 1"</v>
      </c>
      <c r="F150">
        <f ca="1">IFERROR(__xludf.DUMMYFUNCTION("""COMPUTED_VALUE"""),552.5)</f>
        <v>552.5</v>
      </c>
      <c r="G150">
        <f ca="1">IFERROR(__xludf.DUMMYFUNCTION("""COMPUTED_VALUE"""),25)</f>
        <v>25</v>
      </c>
      <c r="H150">
        <f ca="1">IFERROR(__xludf.DUMMYFUNCTION("""COMPUTED_VALUE"""),-4)</f>
        <v>-4</v>
      </c>
    </row>
    <row r="151" spans="1:8" ht="12.75">
      <c r="A151" t="str">
        <f ca="1">IFERROR(__xludf.DUMMYFUNCTION("""COMPUTED_VALUE"""),"T150")</f>
        <v>T150</v>
      </c>
      <c r="B151" t="str">
        <f ca="1">IFERROR(__xludf.DUMMYFUNCTION("""COMPUTED_VALUE"""),"T172")</f>
        <v>T172</v>
      </c>
      <c r="C151" t="str">
        <f ca="1">IFERROR(__xludf.DUMMYFUNCTION("""COMPUTED_VALUE"""),"Wyndham Clark")</f>
        <v>Wyndham Clark</v>
      </c>
      <c r="D151">
        <f ca="1">IFERROR(__xludf.DUMMYFUNCTION("""COMPUTED_VALUE"""),16)</f>
        <v>16</v>
      </c>
      <c r="E151" t="str">
        <f ca="1">IFERROR(__xludf.DUMMYFUNCTION("""COMPUTED_VALUE"""),"22' 2""")</f>
        <v>22' 2"</v>
      </c>
      <c r="F151">
        <f ca="1">IFERROR(__xludf.DUMMYFUNCTION("""COMPUTED_VALUE"""),643)</f>
        <v>643</v>
      </c>
      <c r="G151">
        <f ca="1">IFERROR(__xludf.DUMMYFUNCTION("""COMPUTED_VALUE"""),29)</f>
        <v>29</v>
      </c>
      <c r="H151">
        <f ca="1">IFERROR(__xludf.DUMMYFUNCTION("""COMPUTED_VALUE"""),-1)</f>
        <v>-1</v>
      </c>
    </row>
    <row r="152" spans="1:8" ht="12.75">
      <c r="A152" t="str">
        <f ca="1">IFERROR(__xludf.DUMMYFUNCTION("""COMPUTED_VALUE"""),"T150")</f>
        <v>T150</v>
      </c>
      <c r="B152" t="str">
        <f ca="1">IFERROR(__xludf.DUMMYFUNCTION("""COMPUTED_VALUE"""),"T149")</f>
        <v>T149</v>
      </c>
      <c r="C152" t="str">
        <f ca="1">IFERROR(__xludf.DUMMYFUNCTION("""COMPUTED_VALUE"""),"Chesson Hadley")</f>
        <v>Chesson Hadley</v>
      </c>
      <c r="D152">
        <f ca="1">IFERROR(__xludf.DUMMYFUNCTION("""COMPUTED_VALUE"""),16)</f>
        <v>16</v>
      </c>
      <c r="E152" t="str">
        <f ca="1">IFERROR(__xludf.DUMMYFUNCTION("""COMPUTED_VALUE"""),"22' 2""")</f>
        <v>22' 2"</v>
      </c>
      <c r="F152">
        <f ca="1">IFERROR(__xludf.DUMMYFUNCTION("""COMPUTED_VALUE"""),576.333)</f>
        <v>576.33299999999997</v>
      </c>
      <c r="G152">
        <f ca="1">IFERROR(__xludf.DUMMYFUNCTION("""COMPUTED_VALUE"""),26)</f>
        <v>26</v>
      </c>
      <c r="H152">
        <f ca="1">IFERROR(__xludf.DUMMYFUNCTION("""COMPUTED_VALUE"""),-9)</f>
        <v>-9</v>
      </c>
    </row>
    <row r="153" spans="1:8" ht="12.75">
      <c r="A153" t="str">
        <f ca="1">IFERROR(__xludf.DUMMYFUNCTION("""COMPUTED_VALUE"""),"T150")</f>
        <v>T150</v>
      </c>
      <c r="B153" t="str">
        <f ca="1">IFERROR(__xludf.DUMMYFUNCTION("""COMPUTED_VALUE"""),"T149")</f>
        <v>T149</v>
      </c>
      <c r="C153" t="str">
        <f ca="1">IFERROR(__xludf.DUMMYFUNCTION("""COMPUTED_VALUE"""),"Rory McIlroy")</f>
        <v>Rory McIlroy</v>
      </c>
      <c r="D153">
        <f ca="1">IFERROR(__xludf.DUMMYFUNCTION("""COMPUTED_VALUE"""),12)</f>
        <v>12</v>
      </c>
      <c r="E153" t="str">
        <f ca="1">IFERROR(__xludf.DUMMYFUNCTION("""COMPUTED_VALUE"""),"22' 2""")</f>
        <v>22' 2"</v>
      </c>
      <c r="F153">
        <f ca="1">IFERROR(__xludf.DUMMYFUNCTION("""COMPUTED_VALUE"""),576.083)</f>
        <v>576.08299999999997</v>
      </c>
      <c r="G153">
        <f ca="1">IFERROR(__xludf.DUMMYFUNCTION("""COMPUTED_VALUE"""),26)</f>
        <v>26</v>
      </c>
      <c r="H153" t="str">
        <f ca="1">IFERROR(__xludf.DUMMYFUNCTION("""COMPUTED_VALUE"""),"+1")</f>
        <v>+1</v>
      </c>
    </row>
    <row r="154" spans="1:8" ht="12.75">
      <c r="A154" t="str">
        <f ca="1">IFERROR(__xludf.DUMMYFUNCTION("""COMPUTED_VALUE"""),"T150")</f>
        <v>T150</v>
      </c>
      <c r="B154" t="str">
        <f ca="1">IFERROR(__xludf.DUMMYFUNCTION("""COMPUTED_VALUE"""),"T222")</f>
        <v>T222</v>
      </c>
      <c r="C154" t="str">
        <f ca="1">IFERROR(__xludf.DUMMYFUNCTION("""COMPUTED_VALUE"""),"Scott Brown")</f>
        <v>Scott Brown</v>
      </c>
      <c r="D154">
        <f ca="1">IFERROR(__xludf.DUMMYFUNCTION("""COMPUTED_VALUE"""),14)</f>
        <v>14</v>
      </c>
      <c r="E154" t="str">
        <f ca="1">IFERROR(__xludf.DUMMYFUNCTION("""COMPUTED_VALUE"""),"22' 2""")</f>
        <v>22' 2"</v>
      </c>
      <c r="F154">
        <f ca="1">IFERROR(__xludf.DUMMYFUNCTION("""COMPUTED_VALUE"""),576.75)</f>
        <v>576.75</v>
      </c>
      <c r="G154">
        <f ca="1">IFERROR(__xludf.DUMMYFUNCTION("""COMPUTED_VALUE"""),26)</f>
        <v>26</v>
      </c>
      <c r="H154" t="str">
        <f ca="1">IFERROR(__xludf.DUMMYFUNCTION("""COMPUTED_VALUE"""),"+1")</f>
        <v>+1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IFERROR(__xludf.DUMMYFUNCTION("""COMPUTED_VALUE"""),"T57")</f>
        <v>T57</v>
      </c>
      <c r="C155" t="str">
        <f ca="1">IFERROR(__xludf.DUMMYFUNCTION("""COMPUTED_VALUE"""),"Tony Finau")</f>
        <v>Tony Finau</v>
      </c>
      <c r="D155">
        <f ca="1">IFERROR(__xludf.DUMMYFUNCTION("""COMPUTED_VALUE"""),12)</f>
        <v>12</v>
      </c>
      <c r="E155" t="str">
        <f ca="1">IFERROR(__xludf.DUMMYFUNCTION("""COMPUTED_VALUE"""),"22' 3""")</f>
        <v>22' 3"</v>
      </c>
      <c r="F155">
        <f ca="1">IFERROR(__xludf.DUMMYFUNCTION("""COMPUTED_VALUE"""),355.917)</f>
        <v>355.91699999999997</v>
      </c>
      <c r="G155">
        <f ca="1">IFERROR(__xludf.DUMMYFUNCTION("""COMPUTED_VALUE"""),16)</f>
        <v>16</v>
      </c>
      <c r="H155">
        <f ca="1">IFERROR(__xludf.DUMMYFUNCTION("""COMPUTED_VALUE"""),-5)</f>
        <v>-5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IFERROR(__xludf.DUMMYFUNCTION("""COMPUTED_VALUE"""),"T203")</f>
        <v>T203</v>
      </c>
      <c r="C156" t="str">
        <f ca="1">IFERROR(__xludf.DUMMYFUNCTION("""COMPUTED_VALUE"""),"Jhonattan Vegas")</f>
        <v>Jhonattan Vegas</v>
      </c>
      <c r="D156">
        <f ca="1">IFERROR(__xludf.DUMMYFUNCTION("""COMPUTED_VALUE"""),16)</f>
        <v>16</v>
      </c>
      <c r="E156" t="str">
        <f ca="1">IFERROR(__xludf.DUMMYFUNCTION("""COMPUTED_VALUE"""),"22' 3""")</f>
        <v>22' 3"</v>
      </c>
      <c r="F156">
        <f ca="1">IFERROR(__xludf.DUMMYFUNCTION("""COMPUTED_VALUE"""),488.583)</f>
        <v>488.58300000000003</v>
      </c>
      <c r="G156">
        <f ca="1">IFERROR(__xludf.DUMMYFUNCTION("""COMPUTED_VALUE"""),22)</f>
        <v>22</v>
      </c>
      <c r="H156">
        <f ca="1">IFERROR(__xludf.DUMMYFUNCTION("""COMPUTED_VALUE"""),-1)</f>
        <v>-1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IFERROR(__xludf.DUMMYFUNCTION("""COMPUTED_VALUE"""),"T154")</f>
        <v>T154</v>
      </c>
      <c r="C157" t="str">
        <f ca="1">IFERROR(__xludf.DUMMYFUNCTION("""COMPUTED_VALUE"""),"Andrew Putnam")</f>
        <v>Andrew Putnam</v>
      </c>
      <c r="D157">
        <f ca="1">IFERROR(__xludf.DUMMYFUNCTION("""COMPUTED_VALUE"""),19)</f>
        <v>19</v>
      </c>
      <c r="E157" t="str">
        <f ca="1">IFERROR(__xludf.DUMMYFUNCTION("""COMPUTED_VALUE"""),"22' 3""")</f>
        <v>22' 3"</v>
      </c>
      <c r="F157">
        <f ca="1">IFERROR(__xludf.DUMMYFUNCTION("""COMPUTED_VALUE"""),645.167)</f>
        <v>645.16700000000003</v>
      </c>
      <c r="G157">
        <f ca="1">IFERROR(__xludf.DUMMYFUNCTION("""COMPUTED_VALUE"""),29)</f>
        <v>29</v>
      </c>
      <c r="H157">
        <f ca="1">IFERROR(__xludf.DUMMYFUNCTION("""COMPUTED_VALUE"""),-6)</f>
        <v>-6</v>
      </c>
    </row>
    <row r="158" spans="1:8" ht="12.75">
      <c r="A158" t="str">
        <f ca="1">IFERROR(__xludf.DUMMYFUNCTION("""COMPUTED_VALUE"""),"T154")</f>
        <v>T154</v>
      </c>
      <c r="B158" t="str">
        <f ca="1">IFERROR(__xludf.DUMMYFUNCTION("""COMPUTED_VALUE"""),"T182")</f>
        <v>T182</v>
      </c>
      <c r="C158" t="str">
        <f ca="1">IFERROR(__xludf.DUMMYFUNCTION("""COMPUTED_VALUE"""),"Bo Hoag")</f>
        <v>Bo Hoag</v>
      </c>
      <c r="D158">
        <f ca="1">IFERROR(__xludf.DUMMYFUNCTION("""COMPUTED_VALUE"""),14)</f>
        <v>14</v>
      </c>
      <c r="E158" t="str">
        <f ca="1">IFERROR(__xludf.DUMMYFUNCTION("""COMPUTED_VALUE"""),"22' 3""")</f>
        <v>22' 3"</v>
      </c>
      <c r="F158">
        <f ca="1">IFERROR(__xludf.DUMMYFUNCTION("""COMPUTED_VALUE"""),578.25)</f>
        <v>578.25</v>
      </c>
      <c r="G158">
        <f ca="1">IFERROR(__xludf.DUMMYFUNCTION("""COMPUTED_VALUE"""),26)</f>
        <v>26</v>
      </c>
      <c r="H158">
        <f ca="1">IFERROR(__xludf.DUMMYFUNCTION("""COMPUTED_VALUE"""),-5)</f>
        <v>-5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IFERROR(__xludf.DUMMYFUNCTION("""COMPUTED_VALUE"""),"T52")</f>
        <v>T52</v>
      </c>
      <c r="C159" t="str">
        <f ca="1">IFERROR(__xludf.DUMMYFUNCTION("""COMPUTED_VALUE"""),"Will Gordon")</f>
        <v>Will Gordon</v>
      </c>
      <c r="D159">
        <f ca="1">IFERROR(__xludf.DUMMYFUNCTION("""COMPUTED_VALUE"""),20)</f>
        <v>20</v>
      </c>
      <c r="E159" t="str">
        <f ca="1">IFERROR(__xludf.DUMMYFUNCTION("""COMPUTED_VALUE"""),"22' 4""")</f>
        <v>22' 4"</v>
      </c>
      <c r="F159">
        <f ca="1">IFERROR(__xludf.DUMMYFUNCTION("""COMPUTED_VALUE"""),469.083)</f>
        <v>469.08300000000003</v>
      </c>
      <c r="G159">
        <f ca="1">IFERROR(__xludf.DUMMYFUNCTION("""COMPUTED_VALUE"""),21)</f>
        <v>21</v>
      </c>
      <c r="H159">
        <f ca="1">IFERROR(__xludf.DUMMYFUNCTION("""COMPUTED_VALUE"""),-8)</f>
        <v>-8</v>
      </c>
    </row>
    <row r="160" spans="1:8" ht="12.75">
      <c r="A160" t="str">
        <f ca="1">IFERROR(__xludf.DUMMYFUNCTION("""COMPUTED_VALUE"""),"T158")</f>
        <v>T158</v>
      </c>
      <c r="B160">
        <f ca="1">IFERROR(__xludf.DUMMYFUNCTION("""COMPUTED_VALUE"""),153)</f>
        <v>153</v>
      </c>
      <c r="C160" t="str">
        <f ca="1">IFERROR(__xludf.DUMMYFUNCTION("""COMPUTED_VALUE"""),"Carlos Ortiz")</f>
        <v>Carlos Ortiz</v>
      </c>
      <c r="D160">
        <f ca="1">IFERROR(__xludf.DUMMYFUNCTION("""COMPUTED_VALUE"""),20)</f>
        <v>20</v>
      </c>
      <c r="E160" t="str">
        <f ca="1">IFERROR(__xludf.DUMMYFUNCTION("""COMPUTED_VALUE"""),"22' 4""")</f>
        <v>22' 4"</v>
      </c>
      <c r="F160" s="2">
        <f ca="1">IFERROR(__xludf.DUMMYFUNCTION("""COMPUTED_VALUE"""),1050.417)</f>
        <v>1050.4169999999999</v>
      </c>
      <c r="G160">
        <f ca="1">IFERROR(__xludf.DUMMYFUNCTION("""COMPUTED_VALUE"""),47)</f>
        <v>47</v>
      </c>
      <c r="H160">
        <f ca="1">IFERROR(__xludf.DUMMYFUNCTION("""COMPUTED_VALUE"""),-7)</f>
        <v>-7</v>
      </c>
    </row>
    <row r="161" spans="1:8" ht="12.75">
      <c r="A161" t="str">
        <f ca="1">IFERROR(__xludf.DUMMYFUNCTION("""COMPUTED_VALUE"""),"T158")</f>
        <v>T158</v>
      </c>
      <c r="B161" t="str">
        <f ca="1">IFERROR(__xludf.DUMMYFUNCTION("""COMPUTED_VALUE"""),"T229")</f>
        <v>T229</v>
      </c>
      <c r="C161" t="str">
        <f ca="1">IFERROR(__xludf.DUMMYFUNCTION("""COMPUTED_VALUE"""),"Max Homa")</f>
        <v>Max Homa</v>
      </c>
      <c r="D161">
        <f ca="1">IFERROR(__xludf.DUMMYFUNCTION("""COMPUTED_VALUE"""),12)</f>
        <v>12</v>
      </c>
      <c r="E161" t="str">
        <f ca="1">IFERROR(__xludf.DUMMYFUNCTION("""COMPUTED_VALUE"""),"22' 4""")</f>
        <v>22' 4"</v>
      </c>
      <c r="F161">
        <f ca="1">IFERROR(__xludf.DUMMYFUNCTION("""COMPUTED_VALUE"""),602.083)</f>
        <v>602.08299999999997</v>
      </c>
      <c r="G161">
        <f ca="1">IFERROR(__xludf.DUMMYFUNCTION("""COMPUTED_VALUE"""),27)</f>
        <v>27</v>
      </c>
      <c r="H161" t="str">
        <f ca="1">IFERROR(__xludf.DUMMYFUNCTION("""COMPUTED_VALUE"""),"E")</f>
        <v>E</v>
      </c>
    </row>
    <row r="162" spans="1:8" ht="12.75">
      <c r="A162" t="str">
        <f ca="1">IFERROR(__xludf.DUMMYFUNCTION("""COMPUTED_VALUE"""),"T158")</f>
        <v>T158</v>
      </c>
      <c r="B162" t="str">
        <f ca="1">IFERROR(__xludf.DUMMYFUNCTION("""COMPUTED_VALUE"""),"T62")</f>
        <v>T62</v>
      </c>
      <c r="C162" t="str">
        <f ca="1">IFERROR(__xludf.DUMMYFUNCTION("""COMPUTED_VALUE"""),"Austin Cook")</f>
        <v>Austin Cook</v>
      </c>
      <c r="D162">
        <f ca="1">IFERROR(__xludf.DUMMYFUNCTION("""COMPUTED_VALUE"""),14)</f>
        <v>14</v>
      </c>
      <c r="E162" t="str">
        <f ca="1">IFERROR(__xludf.DUMMYFUNCTION("""COMPUTED_VALUE"""),"22' 4""")</f>
        <v>22' 4"</v>
      </c>
      <c r="F162">
        <f ca="1">IFERROR(__xludf.DUMMYFUNCTION("""COMPUTED_VALUE"""),960.833)</f>
        <v>960.83299999999997</v>
      </c>
      <c r="G162">
        <f ca="1">IFERROR(__xludf.DUMMYFUNCTION("""COMPUTED_VALUE"""),43)</f>
        <v>43</v>
      </c>
      <c r="H162">
        <f ca="1">IFERROR(__xludf.DUMMYFUNCTION("""COMPUTED_VALUE"""),-6)</f>
        <v>-6</v>
      </c>
    </row>
    <row r="163" spans="1:8" ht="12.75">
      <c r="A163" t="str">
        <f ca="1">IFERROR(__xludf.DUMMYFUNCTION("""COMPUTED_VALUE"""),"T158")</f>
        <v>T158</v>
      </c>
      <c r="B163" t="str">
        <f ca="1">IFERROR(__xludf.DUMMYFUNCTION("""COMPUTED_VALUE"""),"T154")</f>
        <v>T154</v>
      </c>
      <c r="C163" t="str">
        <f ca="1">IFERROR(__xludf.DUMMYFUNCTION("""COMPUTED_VALUE"""),"Daniel Berger")</f>
        <v>Daniel Berger</v>
      </c>
      <c r="D163">
        <f ca="1">IFERROR(__xludf.DUMMYFUNCTION("""COMPUTED_VALUE"""),12)</f>
        <v>12</v>
      </c>
      <c r="E163" t="str">
        <f ca="1">IFERROR(__xludf.DUMMYFUNCTION("""COMPUTED_VALUE"""),"22' 4""")</f>
        <v>22' 4"</v>
      </c>
      <c r="F163">
        <f ca="1">IFERROR(__xludf.DUMMYFUNCTION("""COMPUTED_VALUE"""),513.083)</f>
        <v>513.08299999999997</v>
      </c>
      <c r="G163">
        <f ca="1">IFERROR(__xludf.DUMMYFUNCTION("""COMPUTED_VALUE"""),23)</f>
        <v>23</v>
      </c>
      <c r="H163">
        <f ca="1">IFERROR(__xludf.DUMMYFUNCTION("""COMPUTED_VALUE"""),-5)</f>
        <v>-5</v>
      </c>
    </row>
    <row r="164" spans="1:8" ht="12.75">
      <c r="A164" t="str">
        <f ca="1">IFERROR(__xludf.DUMMYFUNCTION("""COMPUTED_VALUE"""),"T158")</f>
        <v>T158</v>
      </c>
      <c r="B164" t="str">
        <f ca="1">IFERROR(__xludf.DUMMYFUNCTION("""COMPUTED_VALUE"""),"T154")</f>
        <v>T154</v>
      </c>
      <c r="C164" t="str">
        <f ca="1">IFERROR(__xludf.DUMMYFUNCTION("""COMPUTED_VALUE"""),"Chris Stroud")</f>
        <v>Chris Stroud</v>
      </c>
      <c r="D164">
        <f ca="1">IFERROR(__xludf.DUMMYFUNCTION("""COMPUTED_VALUE"""),6)</f>
        <v>6</v>
      </c>
      <c r="E164" t="str">
        <f ca="1">IFERROR(__xludf.DUMMYFUNCTION("""COMPUTED_VALUE"""),"22' 4""")</f>
        <v>22' 4"</v>
      </c>
      <c r="F164">
        <f ca="1">IFERROR(__xludf.DUMMYFUNCTION("""COMPUTED_VALUE"""),290.417)</f>
        <v>290.41699999999997</v>
      </c>
      <c r="G164">
        <f ca="1">IFERROR(__xludf.DUMMYFUNCTION("""COMPUTED_VALUE"""),13)</f>
        <v>13</v>
      </c>
      <c r="H164">
        <f ca="1">IFERROR(__xludf.DUMMYFUNCTION("""COMPUTED_VALUE"""),-4)</f>
        <v>-4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IFERROR(__xludf.DUMMYFUNCTION("""COMPUTED_VALUE"""),"T157")</f>
        <v>T157</v>
      </c>
      <c r="C165" t="str">
        <f ca="1">IFERROR(__xludf.DUMMYFUNCTION("""COMPUTED_VALUE"""),"Richy Werenski")</f>
        <v>Richy Werenski</v>
      </c>
      <c r="D165">
        <f ca="1">IFERROR(__xludf.DUMMYFUNCTION("""COMPUTED_VALUE"""),16)</f>
        <v>16</v>
      </c>
      <c r="E165" t="str">
        <f ca="1">IFERROR(__xludf.DUMMYFUNCTION("""COMPUTED_VALUE"""),"22' 5""")</f>
        <v>22' 5"</v>
      </c>
      <c r="F165">
        <f ca="1">IFERROR(__xludf.DUMMYFUNCTION("""COMPUTED_VALUE"""),673.5)</f>
        <v>673.5</v>
      </c>
      <c r="G165">
        <f ca="1">IFERROR(__xludf.DUMMYFUNCTION("""COMPUTED_VALUE"""),30)</f>
        <v>30</v>
      </c>
      <c r="H165" t="str">
        <f ca="1">IFERROR(__xludf.DUMMYFUNCTION("""COMPUTED_VALUE"""),"+4")</f>
        <v>+4</v>
      </c>
    </row>
    <row r="166" spans="1:8" ht="12.75">
      <c r="A166" t="str">
        <f ca="1">IFERROR(__xludf.DUMMYFUNCTION("""COMPUTED_VALUE"""),"T164")</f>
        <v>T164</v>
      </c>
      <c r="B166" t="str">
        <f ca="1">IFERROR(__xludf.DUMMYFUNCTION("""COMPUTED_VALUE"""),"T174")</f>
        <v>T174</v>
      </c>
      <c r="C166" t="str">
        <f ca="1">IFERROR(__xludf.DUMMYFUNCTION("""COMPUTED_VALUE"""),"Charl Schwartzel")</f>
        <v>Charl Schwartzel</v>
      </c>
      <c r="D166">
        <f ca="1">IFERROR(__xludf.DUMMYFUNCTION("""COMPUTED_VALUE"""),12)</f>
        <v>12</v>
      </c>
      <c r="E166" t="str">
        <f ca="1">IFERROR(__xludf.DUMMYFUNCTION("""COMPUTED_VALUE"""),"22' 5""")</f>
        <v>22' 5"</v>
      </c>
      <c r="F166">
        <f ca="1">IFERROR(__xludf.DUMMYFUNCTION("""COMPUTED_VALUE"""),673.417)</f>
        <v>673.41700000000003</v>
      </c>
      <c r="G166">
        <f ca="1">IFERROR(__xludf.DUMMYFUNCTION("""COMPUTED_VALUE"""),30)</f>
        <v>30</v>
      </c>
      <c r="H166">
        <f ca="1">IFERROR(__xludf.DUMMYFUNCTION("""COMPUTED_VALUE"""),-8)</f>
        <v>-8</v>
      </c>
    </row>
    <row r="167" spans="1:8" ht="12.75">
      <c r="A167" t="str">
        <f ca="1">IFERROR(__xludf.DUMMYFUNCTION("""COMPUTED_VALUE"""),"T164")</f>
        <v>T164</v>
      </c>
      <c r="B167" t="str">
        <f ca="1">IFERROR(__xludf.DUMMYFUNCTION("""COMPUTED_VALUE"""),"T157")</f>
        <v>T157</v>
      </c>
      <c r="C167" t="str">
        <f ca="1">IFERROR(__xludf.DUMMYFUNCTION("""COMPUTED_VALUE"""),"Matthew Fitzpatrick")</f>
        <v>Matthew Fitzpatrick</v>
      </c>
      <c r="D167">
        <f ca="1">IFERROR(__xludf.DUMMYFUNCTION("""COMPUTED_VALUE"""),10)</f>
        <v>10</v>
      </c>
      <c r="E167" t="str">
        <f ca="1">IFERROR(__xludf.DUMMYFUNCTION("""COMPUTED_VALUE"""),"22' 5""")</f>
        <v>22' 5"</v>
      </c>
      <c r="F167">
        <f ca="1">IFERROR(__xludf.DUMMYFUNCTION("""COMPUTED_VALUE"""),403.25)</f>
        <v>403.25</v>
      </c>
      <c r="G167">
        <f ca="1">IFERROR(__xludf.DUMMYFUNCTION("""COMPUTED_VALUE"""),18)</f>
        <v>18</v>
      </c>
      <c r="H167">
        <f ca="1">IFERROR(__xludf.DUMMYFUNCTION("""COMPUTED_VALUE"""),-4)</f>
        <v>-4</v>
      </c>
    </row>
    <row r="168" spans="1:8" ht="12.75">
      <c r="A168" t="str">
        <f ca="1">IFERROR(__xludf.DUMMYFUNCTION("""COMPUTED_VALUE"""),"T164")</f>
        <v>T164</v>
      </c>
      <c r="B168" t="str">
        <f ca="1">IFERROR(__xludf.DUMMYFUNCTION("""COMPUTED_VALUE"""),"T157")</f>
        <v>T157</v>
      </c>
      <c r="C168" t="str">
        <f ca="1">IFERROR(__xludf.DUMMYFUNCTION("""COMPUTED_VALUE"""),"Joaquin Niemann")</f>
        <v>Joaquin Niemann</v>
      </c>
      <c r="D168">
        <f ca="1">IFERROR(__xludf.DUMMYFUNCTION("""COMPUTED_VALUE"""),16)</f>
        <v>16</v>
      </c>
      <c r="E168" t="str">
        <f ca="1">IFERROR(__xludf.DUMMYFUNCTION("""COMPUTED_VALUE"""),"22' 5""")</f>
        <v>22' 5"</v>
      </c>
      <c r="F168">
        <f ca="1">IFERROR(__xludf.DUMMYFUNCTION("""COMPUTED_VALUE"""),716.167)</f>
        <v>716.16700000000003</v>
      </c>
      <c r="G168">
        <f ca="1">IFERROR(__xludf.DUMMYFUNCTION("""COMPUTED_VALUE"""),32)</f>
        <v>32</v>
      </c>
      <c r="H168">
        <f ca="1">IFERROR(__xludf.DUMMYFUNCTION("""COMPUTED_VALUE"""),-7)</f>
        <v>-7</v>
      </c>
    </row>
    <row r="169" spans="1:8" ht="12.75">
      <c r="A169" t="str">
        <f ca="1">IFERROR(__xludf.DUMMYFUNCTION("""COMPUTED_VALUE"""),"T168")</f>
        <v>T168</v>
      </c>
      <c r="B169" t="str">
        <f ca="1">IFERROR(__xludf.DUMMYFUNCTION("""COMPUTED_VALUE"""),"")</f>
        <v/>
      </c>
      <c r="C169" t="str">
        <f ca="1">IFERROR(__xludf.DUMMYFUNCTION("""COMPUTED_VALUE"""),"Greg Chalmers")</f>
        <v>Greg Chalmers</v>
      </c>
      <c r="D169">
        <f ca="1">IFERROR(__xludf.DUMMYFUNCTION("""COMPUTED_VALUE"""),6)</f>
        <v>6</v>
      </c>
      <c r="E169" t="str">
        <f ca="1">IFERROR(__xludf.DUMMYFUNCTION("""COMPUTED_VALUE"""),"22' 6""")</f>
        <v>22' 6"</v>
      </c>
      <c r="F169">
        <f ca="1">IFERROR(__xludf.DUMMYFUNCTION("""COMPUTED_VALUE"""),269.583)</f>
        <v>269.58300000000003</v>
      </c>
      <c r="G169">
        <f ca="1">IFERROR(__xludf.DUMMYFUNCTION("""COMPUTED_VALUE"""),12)</f>
        <v>12</v>
      </c>
      <c r="H169">
        <f ca="1">IFERROR(__xludf.DUMMYFUNCTION("""COMPUTED_VALUE"""),-1)</f>
        <v>-1</v>
      </c>
    </row>
    <row r="170" spans="1:8" ht="12.75">
      <c r="A170" t="str">
        <f ca="1">IFERROR(__xludf.DUMMYFUNCTION("""COMPUTED_VALUE"""),"T168")</f>
        <v>T168</v>
      </c>
      <c r="B170" t="str">
        <f ca="1">IFERROR(__xludf.DUMMYFUNCTION("""COMPUTED_VALUE"""),"T136")</f>
        <v>T136</v>
      </c>
      <c r="C170" t="str">
        <f ca="1">IFERROR(__xludf.DUMMYFUNCTION("""COMPUTED_VALUE"""),"Keegan Bradley")</f>
        <v>Keegan Bradley</v>
      </c>
      <c r="D170">
        <f ca="1">IFERROR(__xludf.DUMMYFUNCTION("""COMPUTED_VALUE"""),16)</f>
        <v>16</v>
      </c>
      <c r="E170" t="str">
        <f ca="1">IFERROR(__xludf.DUMMYFUNCTION("""COMPUTED_VALUE"""),"22' 6""")</f>
        <v>22' 6"</v>
      </c>
      <c r="F170">
        <f ca="1">IFERROR(__xludf.DUMMYFUNCTION("""COMPUTED_VALUE"""),877.75)</f>
        <v>877.75</v>
      </c>
      <c r="G170">
        <f ca="1">IFERROR(__xludf.DUMMYFUNCTION("""COMPUTED_VALUE"""),39)</f>
        <v>39</v>
      </c>
      <c r="H170">
        <f ca="1">IFERROR(__xludf.DUMMYFUNCTION("""COMPUTED_VALUE"""),-1)</f>
        <v>-1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IFERROR(__xludf.DUMMYFUNCTION("""COMPUTED_VALUE"""),"T205")</f>
        <v>T205</v>
      </c>
      <c r="C171" t="str">
        <f ca="1">IFERROR(__xludf.DUMMYFUNCTION("""COMPUTED_VALUE"""),"Graham DeLaet")</f>
        <v>Graham DeLaet</v>
      </c>
      <c r="D171">
        <f ca="1">IFERROR(__xludf.DUMMYFUNCTION("""COMPUTED_VALUE"""),9)</f>
        <v>9</v>
      </c>
      <c r="E171" t="str">
        <f ca="1">IFERROR(__xludf.DUMMYFUNCTION("""COMPUTED_VALUE"""),"22' 7""")</f>
        <v>22' 7"</v>
      </c>
      <c r="F171">
        <f ca="1">IFERROR(__xludf.DUMMYFUNCTION("""COMPUTED_VALUE"""),406.333)</f>
        <v>406.33300000000003</v>
      </c>
      <c r="G171">
        <f ca="1">IFERROR(__xludf.DUMMYFUNCTION("""COMPUTED_VALUE"""),18)</f>
        <v>18</v>
      </c>
      <c r="H171" t="str">
        <f ca="1">IFERROR(__xludf.DUMMYFUNCTION("""COMPUTED_VALUE"""),"+1")</f>
        <v>+1</v>
      </c>
    </row>
    <row r="172" spans="1:8" ht="12.75">
      <c r="A172" t="str">
        <f ca="1">IFERROR(__xludf.DUMMYFUNCTION("""COMPUTED_VALUE"""),"T170")</f>
        <v>T170</v>
      </c>
      <c r="B172">
        <f ca="1">IFERROR(__xludf.DUMMYFUNCTION("""COMPUTED_VALUE"""),239)</f>
        <v>239</v>
      </c>
      <c r="C172" t="str">
        <f ca="1">IFERROR(__xludf.DUMMYFUNCTION("""COMPUTED_VALUE"""),"Michael Kim")</f>
        <v>Michael Kim</v>
      </c>
      <c r="D172">
        <f ca="1">IFERROR(__xludf.DUMMYFUNCTION("""COMPUTED_VALUE"""),12)</f>
        <v>12</v>
      </c>
      <c r="E172" t="str">
        <f ca="1">IFERROR(__xludf.DUMMYFUNCTION("""COMPUTED_VALUE"""),"22' 7""")</f>
        <v>22' 7"</v>
      </c>
      <c r="F172">
        <f ca="1">IFERROR(__xludf.DUMMYFUNCTION("""COMPUTED_VALUE"""),450.833)</f>
        <v>450.83300000000003</v>
      </c>
      <c r="G172">
        <f ca="1">IFERROR(__xludf.DUMMYFUNCTION("""COMPUTED_VALUE"""),20)</f>
        <v>20</v>
      </c>
      <c r="H172">
        <f ca="1">IFERROR(__xludf.DUMMYFUNCTION("""COMPUTED_VALUE"""),-3)</f>
        <v>-3</v>
      </c>
    </row>
    <row r="173" spans="1:8" ht="12.75">
      <c r="A173" t="str">
        <f ca="1">IFERROR(__xludf.DUMMYFUNCTION("""COMPUTED_VALUE"""),"T170")</f>
        <v>T170</v>
      </c>
      <c r="B173" t="str">
        <f ca="1">IFERROR(__xludf.DUMMYFUNCTION("""COMPUTED_VALUE"""),"T160")</f>
        <v>T160</v>
      </c>
      <c r="C173" t="str">
        <f ca="1">IFERROR(__xludf.DUMMYFUNCTION("""COMPUTED_VALUE"""),"Sam Ryder")</f>
        <v>Sam Ryder</v>
      </c>
      <c r="D173">
        <f ca="1">IFERROR(__xludf.DUMMYFUNCTION("""COMPUTED_VALUE"""),12)</f>
        <v>12</v>
      </c>
      <c r="E173" t="str">
        <f ca="1">IFERROR(__xludf.DUMMYFUNCTION("""COMPUTED_VALUE"""),"22' 7""")</f>
        <v>22' 7"</v>
      </c>
      <c r="F173">
        <f ca="1">IFERROR(__xludf.DUMMYFUNCTION("""COMPUTED_VALUE"""),588.083)</f>
        <v>588.08299999999997</v>
      </c>
      <c r="G173">
        <f ca="1">IFERROR(__xludf.DUMMYFUNCTION("""COMPUTED_VALUE"""),26)</f>
        <v>26</v>
      </c>
      <c r="H173">
        <f ca="1">IFERROR(__xludf.DUMMYFUNCTION("""COMPUTED_VALUE"""),-2)</f>
        <v>-2</v>
      </c>
    </row>
    <row r="174" spans="1:8" ht="12.75">
      <c r="A174" t="str">
        <f ca="1">IFERROR(__xludf.DUMMYFUNCTION("""COMPUTED_VALUE"""),"T173")</f>
        <v>T173</v>
      </c>
      <c r="B174" t="str">
        <f ca="1">IFERROR(__xludf.DUMMYFUNCTION("""COMPUTED_VALUE"""),"T160")</f>
        <v>T160</v>
      </c>
      <c r="C174" t="str">
        <f ca="1">IFERROR(__xludf.DUMMYFUNCTION("""COMPUTED_VALUE"""),"Matthias Schwab")</f>
        <v>Matthias Schwab</v>
      </c>
      <c r="D174">
        <f ca="1">IFERROR(__xludf.DUMMYFUNCTION("""COMPUTED_VALUE"""),8)</f>
        <v>8</v>
      </c>
      <c r="E174" t="str">
        <f ca="1">IFERROR(__xludf.DUMMYFUNCTION("""COMPUTED_VALUE"""),"22' 8""")</f>
        <v>22' 8"</v>
      </c>
      <c r="F174">
        <f ca="1">IFERROR(__xludf.DUMMYFUNCTION("""COMPUTED_VALUE"""),90.75)</f>
        <v>90.75</v>
      </c>
      <c r="G174">
        <f ca="1">IFERROR(__xludf.DUMMYFUNCTION("""COMPUTED_VALUE"""),4)</f>
        <v>4</v>
      </c>
      <c r="H174" t="str">
        <f ca="1">IFERROR(__xludf.DUMMYFUNCTION("""COMPUTED_VALUE"""),"+1")</f>
        <v>+1</v>
      </c>
    </row>
    <row r="175" spans="1:8" ht="12.75">
      <c r="A175" t="str">
        <f ca="1">IFERROR(__xludf.DUMMYFUNCTION("""COMPUTED_VALUE"""),"T173")</f>
        <v>T173</v>
      </c>
      <c r="B175" t="str">
        <f ca="1">IFERROR(__xludf.DUMMYFUNCTION("""COMPUTED_VALUE"""),"T123")</f>
        <v>T123</v>
      </c>
      <c r="C175" t="str">
        <f ca="1">IFERROR(__xludf.DUMMYFUNCTION("""COMPUTED_VALUE"""),"Brice Garnett")</f>
        <v>Brice Garnett</v>
      </c>
      <c r="D175">
        <f ca="1">IFERROR(__xludf.DUMMYFUNCTION("""COMPUTED_VALUE"""),22)</f>
        <v>22</v>
      </c>
      <c r="E175" t="str">
        <f ca="1">IFERROR(__xludf.DUMMYFUNCTION("""COMPUTED_VALUE"""),"22' 8""")</f>
        <v>22' 8"</v>
      </c>
      <c r="F175">
        <f ca="1">IFERROR(__xludf.DUMMYFUNCTION("""COMPUTED_VALUE"""),953.583)</f>
        <v>953.58299999999997</v>
      </c>
      <c r="G175">
        <f ca="1">IFERROR(__xludf.DUMMYFUNCTION("""COMPUTED_VALUE"""),42)</f>
        <v>42</v>
      </c>
      <c r="H175">
        <f ca="1">IFERROR(__xludf.DUMMYFUNCTION("""COMPUTED_VALUE"""),-9)</f>
        <v>-9</v>
      </c>
    </row>
    <row r="176" spans="1:8" ht="12.75">
      <c r="A176" t="str">
        <f ca="1">IFERROR(__xludf.DUMMYFUNCTION("""COMPUTED_VALUE"""),"T175")</f>
        <v>T175</v>
      </c>
      <c r="B176" t="str">
        <f ca="1">IFERROR(__xludf.DUMMYFUNCTION("""COMPUTED_VALUE"""),"T174")</f>
        <v>T174</v>
      </c>
      <c r="C176" t="str">
        <f ca="1">IFERROR(__xludf.DUMMYFUNCTION("""COMPUTED_VALUE"""),"Stewart Cink")</f>
        <v>Stewart Cink</v>
      </c>
      <c r="D176">
        <f ca="1">IFERROR(__xludf.DUMMYFUNCTION("""COMPUTED_VALUE"""),18)</f>
        <v>18</v>
      </c>
      <c r="E176" t="str">
        <f ca="1">IFERROR(__xludf.DUMMYFUNCTION("""COMPUTED_VALUE"""),"22' 9""")</f>
        <v>22' 9"</v>
      </c>
      <c r="F176">
        <f ca="1">IFERROR(__xludf.DUMMYFUNCTION("""COMPUTED_VALUE"""),682)</f>
        <v>682</v>
      </c>
      <c r="G176">
        <f ca="1">IFERROR(__xludf.DUMMYFUNCTION("""COMPUTED_VALUE"""),30)</f>
        <v>30</v>
      </c>
      <c r="H176">
        <f ca="1">IFERROR(__xludf.DUMMYFUNCTION("""COMPUTED_VALUE"""),-3)</f>
        <v>-3</v>
      </c>
    </row>
    <row r="177" spans="1:8" ht="12.75">
      <c r="A177" t="str">
        <f ca="1">IFERROR(__xludf.DUMMYFUNCTION("""COMPUTED_VALUE"""),"T175")</f>
        <v>T175</v>
      </c>
      <c r="B177" t="str">
        <f ca="1">IFERROR(__xludf.DUMMYFUNCTION("""COMPUTED_VALUE"""),"T164")</f>
        <v>T164</v>
      </c>
      <c r="C177" t="str">
        <f ca="1">IFERROR(__xludf.DUMMYFUNCTION("""COMPUTED_VALUE"""),"MJ Daffue")</f>
        <v>MJ Daffue</v>
      </c>
      <c r="D177">
        <f ca="1">IFERROR(__xludf.DUMMYFUNCTION("""COMPUTED_VALUE"""),10)</f>
        <v>10</v>
      </c>
      <c r="E177" t="str">
        <f ca="1">IFERROR(__xludf.DUMMYFUNCTION("""COMPUTED_VALUE"""),"22' 9""")</f>
        <v>22' 9"</v>
      </c>
      <c r="F177">
        <f ca="1">IFERROR(__xludf.DUMMYFUNCTION("""COMPUTED_VALUE"""),477.917)</f>
        <v>477.91699999999997</v>
      </c>
      <c r="G177">
        <f ca="1">IFERROR(__xludf.DUMMYFUNCTION("""COMPUTED_VALUE"""),21)</f>
        <v>21</v>
      </c>
      <c r="H177">
        <f ca="1">IFERROR(__xludf.DUMMYFUNCTION("""COMPUTED_VALUE"""),-3)</f>
        <v>-3</v>
      </c>
    </row>
    <row r="178" spans="1:8" ht="12.75">
      <c r="A178" t="str">
        <f ca="1">IFERROR(__xludf.DUMMYFUNCTION("""COMPUTED_VALUE"""),"T175")</f>
        <v>T175</v>
      </c>
      <c r="B178" t="str">
        <f ca="1">IFERROR(__xludf.DUMMYFUNCTION("""COMPUTED_VALUE"""),"T149")</f>
        <v>T149</v>
      </c>
      <c r="C178" t="str">
        <f ca="1">IFERROR(__xludf.DUMMYFUNCTION("""COMPUTED_VALUE"""),"Adam Long")</f>
        <v>Adam Long</v>
      </c>
      <c r="D178">
        <f ca="1">IFERROR(__xludf.DUMMYFUNCTION("""COMPUTED_VALUE"""),22)</f>
        <v>22</v>
      </c>
      <c r="E178" t="str">
        <f ca="1">IFERROR(__xludf.DUMMYFUNCTION("""COMPUTED_VALUE"""),"22' 9""")</f>
        <v>22' 9"</v>
      </c>
      <c r="F178">
        <f ca="1">IFERROR(__xludf.DUMMYFUNCTION("""COMPUTED_VALUE"""),979.417)</f>
        <v>979.41700000000003</v>
      </c>
      <c r="G178">
        <f ca="1">IFERROR(__xludf.DUMMYFUNCTION("""COMPUTED_VALUE"""),43)</f>
        <v>43</v>
      </c>
      <c r="H178">
        <f ca="1">IFERROR(__xludf.DUMMYFUNCTION("""COMPUTED_VALUE"""),-3)</f>
        <v>-3</v>
      </c>
    </row>
    <row r="179" spans="1:8" ht="12.75">
      <c r="A179" t="str">
        <f ca="1">IFERROR(__xludf.DUMMYFUNCTION("""COMPUTED_VALUE"""),"T175")</f>
        <v>T175</v>
      </c>
      <c r="B179" t="str">
        <f ca="1">IFERROR(__xludf.DUMMYFUNCTION("""COMPUTED_VALUE"""),"T226")</f>
        <v>T226</v>
      </c>
      <c r="C179" t="str">
        <f ca="1">IFERROR(__xludf.DUMMYFUNCTION("""COMPUTED_VALUE"""),"Erik van Rooyen")</f>
        <v>Erik van Rooyen</v>
      </c>
      <c r="D179">
        <f ca="1">IFERROR(__xludf.DUMMYFUNCTION("""COMPUTED_VALUE"""),10)</f>
        <v>10</v>
      </c>
      <c r="E179" t="str">
        <f ca="1">IFERROR(__xludf.DUMMYFUNCTION("""COMPUTED_VALUE"""),"22' 9""")</f>
        <v>22' 9"</v>
      </c>
      <c r="F179">
        <f ca="1">IFERROR(__xludf.DUMMYFUNCTION("""COMPUTED_VALUE"""),590.417)</f>
        <v>590.41700000000003</v>
      </c>
      <c r="G179">
        <f ca="1">IFERROR(__xludf.DUMMYFUNCTION("""COMPUTED_VALUE"""),26)</f>
        <v>26</v>
      </c>
      <c r="H179">
        <f ca="1">IFERROR(__xludf.DUMMYFUNCTION("""COMPUTED_VALUE"""),-6)</f>
        <v>-6</v>
      </c>
    </row>
    <row r="180" spans="1:8" ht="12.75">
      <c r="A180" t="str">
        <f ca="1">IFERROR(__xludf.DUMMYFUNCTION("""COMPUTED_VALUE"""),"T179")</f>
        <v>T179</v>
      </c>
      <c r="B180" t="str">
        <f ca="1">IFERROR(__xludf.DUMMYFUNCTION("""COMPUTED_VALUE"""),"T166")</f>
        <v>T166</v>
      </c>
      <c r="C180" t="str">
        <f ca="1">IFERROR(__xludf.DUMMYFUNCTION("""COMPUTED_VALUE"""),"Lucas Herbert")</f>
        <v>Lucas Herbert</v>
      </c>
      <c r="D180">
        <f ca="1">IFERROR(__xludf.DUMMYFUNCTION("""COMPUTED_VALUE"""),4)</f>
        <v>4</v>
      </c>
      <c r="E180" t="str">
        <f ca="1">IFERROR(__xludf.DUMMYFUNCTION("""COMPUTED_VALUE"""),"22' 10""")</f>
        <v>22' 10"</v>
      </c>
      <c r="F180">
        <f ca="1">IFERROR(__xludf.DUMMYFUNCTION("""COMPUTED_VALUE"""),137)</f>
        <v>137</v>
      </c>
      <c r="G180">
        <f ca="1">IFERROR(__xludf.DUMMYFUNCTION("""COMPUTED_VALUE"""),6)</f>
        <v>6</v>
      </c>
      <c r="H180">
        <f ca="1">IFERROR(__xludf.DUMMYFUNCTION("""COMPUTED_VALUE"""),-1)</f>
        <v>-1</v>
      </c>
    </row>
    <row r="181" spans="1:8" ht="12.75">
      <c r="A181" t="str">
        <f ca="1">IFERROR(__xludf.DUMMYFUNCTION("""COMPUTED_VALUE"""),"T179")</f>
        <v>T179</v>
      </c>
      <c r="B181" t="str">
        <f ca="1">IFERROR(__xludf.DUMMYFUNCTION("""COMPUTED_VALUE"""),"T166")</f>
        <v>T166</v>
      </c>
      <c r="C181" t="str">
        <f ca="1">IFERROR(__xludf.DUMMYFUNCTION("""COMPUTED_VALUE"""),"Harris English")</f>
        <v>Harris English</v>
      </c>
      <c r="D181">
        <f ca="1">IFERROR(__xludf.DUMMYFUNCTION("""COMPUTED_VALUE"""),14)</f>
        <v>14</v>
      </c>
      <c r="E181" t="str">
        <f ca="1">IFERROR(__xludf.DUMMYFUNCTION("""COMPUTED_VALUE"""),"22' 10""")</f>
        <v>22' 10"</v>
      </c>
      <c r="F181">
        <f ca="1">IFERROR(__xludf.DUMMYFUNCTION("""COMPUTED_VALUE"""),639.5)</f>
        <v>639.5</v>
      </c>
      <c r="G181">
        <f ca="1">IFERROR(__xludf.DUMMYFUNCTION("""COMPUTED_VALUE"""),28)</f>
        <v>28</v>
      </c>
      <c r="H181">
        <f ca="1">IFERROR(__xludf.DUMMYFUNCTION("""COMPUTED_VALUE"""),-4)</f>
        <v>-4</v>
      </c>
    </row>
    <row r="182" spans="1:8" ht="12.75">
      <c r="A182" t="str">
        <f ca="1">IFERROR(__xludf.DUMMYFUNCTION("""COMPUTED_VALUE"""),"T179")</f>
        <v>T179</v>
      </c>
      <c r="B182" t="str">
        <f ca="1">IFERROR(__xludf.DUMMYFUNCTION("""COMPUTED_VALUE"""),"T166")</f>
        <v>T166</v>
      </c>
      <c r="C182" t="str">
        <f ca="1">IFERROR(__xludf.DUMMYFUNCTION("""COMPUTED_VALUE"""),"Aaron Baddeley")</f>
        <v>Aaron Baddeley</v>
      </c>
      <c r="D182">
        <f ca="1">IFERROR(__xludf.DUMMYFUNCTION("""COMPUTED_VALUE"""),8)</f>
        <v>8</v>
      </c>
      <c r="E182" t="str">
        <f ca="1">IFERROR(__xludf.DUMMYFUNCTION("""COMPUTED_VALUE"""),"22' 10""")</f>
        <v>22' 10"</v>
      </c>
      <c r="F182">
        <f ca="1">IFERROR(__xludf.DUMMYFUNCTION("""COMPUTED_VALUE"""),250.917)</f>
        <v>250.917</v>
      </c>
      <c r="G182">
        <f ca="1">IFERROR(__xludf.DUMMYFUNCTION("""COMPUTED_VALUE"""),11)</f>
        <v>11</v>
      </c>
      <c r="H182" t="str">
        <f ca="1">IFERROR(__xludf.DUMMYFUNCTION("""COMPUTED_VALUE"""),"+1")</f>
        <v>+1</v>
      </c>
    </row>
    <row r="183" spans="1:8" ht="12.75">
      <c r="A183" t="str">
        <f ca="1">IFERROR(__xludf.DUMMYFUNCTION("""COMPUTED_VALUE"""),"T179")</f>
        <v>T179</v>
      </c>
      <c r="B183" t="str">
        <f ca="1">IFERROR(__xludf.DUMMYFUNCTION("""COMPUTED_VALUE"""),"T160")</f>
        <v>T160</v>
      </c>
      <c r="C183" t="str">
        <f ca="1">IFERROR(__xludf.DUMMYFUNCTION("""COMPUTED_VALUE"""),"Kevin Chappell")</f>
        <v>Kevin Chappell</v>
      </c>
      <c r="D183">
        <f ca="1">IFERROR(__xludf.DUMMYFUNCTION("""COMPUTED_VALUE"""),16)</f>
        <v>16</v>
      </c>
      <c r="E183" t="str">
        <f ca="1">IFERROR(__xludf.DUMMYFUNCTION("""COMPUTED_VALUE"""),"22' 10""")</f>
        <v>22' 10"</v>
      </c>
      <c r="F183">
        <f ca="1">IFERROR(__xludf.DUMMYFUNCTION("""COMPUTED_VALUE"""),640.167)</f>
        <v>640.16700000000003</v>
      </c>
      <c r="G183">
        <f ca="1">IFERROR(__xludf.DUMMYFUNCTION("""COMPUTED_VALUE"""),28)</f>
        <v>28</v>
      </c>
      <c r="H183">
        <f ca="1">IFERROR(__xludf.DUMMYFUNCTION("""COMPUTED_VALUE"""),-3)</f>
        <v>-3</v>
      </c>
    </row>
    <row r="184" spans="1:8" ht="12.75">
      <c r="A184" t="str">
        <f ca="1">IFERROR(__xludf.DUMMYFUNCTION("""COMPUTED_VALUE"""),"T179")</f>
        <v>T179</v>
      </c>
      <c r="B184" t="str">
        <f ca="1">IFERROR(__xludf.DUMMYFUNCTION("""COMPUTED_VALUE"""),"T166")</f>
        <v>T166</v>
      </c>
      <c r="C184" t="str">
        <f ca="1">IFERROR(__xludf.DUMMYFUNCTION("""COMPUTED_VALUE"""),"Jason Kokrak")</f>
        <v>Jason Kokrak</v>
      </c>
      <c r="D184">
        <f ca="1">IFERROR(__xludf.DUMMYFUNCTION("""COMPUTED_VALUE"""),14)</f>
        <v>14</v>
      </c>
      <c r="E184" t="str">
        <f ca="1">IFERROR(__xludf.DUMMYFUNCTION("""COMPUTED_VALUE"""),"22' 10""")</f>
        <v>22' 10"</v>
      </c>
      <c r="F184">
        <f ca="1">IFERROR(__xludf.DUMMYFUNCTION("""COMPUTED_VALUE"""),571.75)</f>
        <v>571.75</v>
      </c>
      <c r="G184">
        <f ca="1">IFERROR(__xludf.DUMMYFUNCTION("""COMPUTED_VALUE"""),25)</f>
        <v>25</v>
      </c>
      <c r="H184">
        <f ca="1">IFERROR(__xludf.DUMMYFUNCTION("""COMPUTED_VALUE"""),-7)</f>
        <v>-7</v>
      </c>
    </row>
    <row r="185" spans="1:8" ht="12.75">
      <c r="A185" t="str">
        <f ca="1">IFERROR(__xludf.DUMMYFUNCTION("""COMPUTED_VALUE"""),"T184")</f>
        <v>T184</v>
      </c>
      <c r="B185" t="str">
        <f ca="1">IFERROR(__xludf.DUMMYFUNCTION("""COMPUTED_VALUE"""),"T170")</f>
        <v>T170</v>
      </c>
      <c r="C185" t="str">
        <f ca="1">IFERROR(__xludf.DUMMYFUNCTION("""COMPUTED_VALUE"""),"George Markham")</f>
        <v>George Markham</v>
      </c>
      <c r="D185">
        <f ca="1">IFERROR(__xludf.DUMMYFUNCTION("""COMPUTED_VALUE"""),4)</f>
        <v>4</v>
      </c>
      <c r="E185" t="str">
        <f ca="1">IFERROR(__xludf.DUMMYFUNCTION("""COMPUTED_VALUE"""),"22' 11""")</f>
        <v>22' 11"</v>
      </c>
      <c r="F185">
        <f ca="1">IFERROR(__xludf.DUMMYFUNCTION("""COMPUTED_VALUE"""),343.917)</f>
        <v>343.91699999999997</v>
      </c>
      <c r="G185">
        <f ca="1">IFERROR(__xludf.DUMMYFUNCTION("""COMPUTED_VALUE"""),15)</f>
        <v>15</v>
      </c>
      <c r="H185" t="str">
        <f ca="1">IFERROR(__xludf.DUMMYFUNCTION("""COMPUTED_VALUE"""),"E")</f>
        <v>E</v>
      </c>
    </row>
    <row r="186" spans="1:8" ht="12.75">
      <c r="A186" t="str">
        <f ca="1">IFERROR(__xludf.DUMMYFUNCTION("""COMPUTED_VALUE"""),"T184")</f>
        <v>T184</v>
      </c>
      <c r="B186" t="str">
        <f ca="1">IFERROR(__xludf.DUMMYFUNCTION("""COMPUTED_VALUE"""),"T207")</f>
        <v>T207</v>
      </c>
      <c r="C186" t="str">
        <f ca="1">IFERROR(__xludf.DUMMYFUNCTION("""COMPUTED_VALUE"""),"Cameron Tringale")</f>
        <v>Cameron Tringale</v>
      </c>
      <c r="D186">
        <f ca="1">IFERROR(__xludf.DUMMYFUNCTION("""COMPUTED_VALUE"""),16)</f>
        <v>16</v>
      </c>
      <c r="E186" t="str">
        <f ca="1">IFERROR(__xludf.DUMMYFUNCTION("""COMPUTED_VALUE"""),"22' 11""")</f>
        <v>22' 11"</v>
      </c>
      <c r="F186">
        <f ca="1">IFERROR(__xludf.DUMMYFUNCTION("""COMPUTED_VALUE"""),550.583)</f>
        <v>550.58299999999997</v>
      </c>
      <c r="G186">
        <f ca="1">IFERROR(__xludf.DUMMYFUNCTION("""COMPUTED_VALUE"""),24)</f>
        <v>24</v>
      </c>
      <c r="H186">
        <f ca="1">IFERROR(__xludf.DUMMYFUNCTION("""COMPUTED_VALUE"""),-5)</f>
        <v>-5</v>
      </c>
    </row>
    <row r="187" spans="1:8" ht="12.75">
      <c r="A187" t="str">
        <f ca="1">IFERROR(__xludf.DUMMYFUNCTION("""COMPUTED_VALUE"""),"T186")</f>
        <v>T186</v>
      </c>
      <c r="B187" t="str">
        <f ca="1">IFERROR(__xludf.DUMMYFUNCTION("""COMPUTED_VALUE"""),"T174")</f>
        <v>T174</v>
      </c>
      <c r="C187" t="str">
        <f ca="1">IFERROR(__xludf.DUMMYFUNCTION("""COMPUTED_VALUE"""),"Talor Gooch")</f>
        <v>Talor Gooch</v>
      </c>
      <c r="D187">
        <f ca="1">IFERROR(__xludf.DUMMYFUNCTION("""COMPUTED_VALUE"""),20)</f>
        <v>20</v>
      </c>
      <c r="E187" t="str">
        <f ca="1">IFERROR(__xludf.DUMMYFUNCTION("""COMPUTED_VALUE"""),"23' 0""")</f>
        <v>23' 0"</v>
      </c>
      <c r="F187">
        <f ca="1">IFERROR(__xludf.DUMMYFUNCTION("""COMPUTED_VALUE"""),895.75)</f>
        <v>895.75</v>
      </c>
      <c r="G187">
        <f ca="1">IFERROR(__xludf.DUMMYFUNCTION("""COMPUTED_VALUE"""),39)</f>
        <v>39</v>
      </c>
      <c r="H187">
        <f ca="1">IFERROR(__xludf.DUMMYFUNCTION("""COMPUTED_VALUE"""),-5)</f>
        <v>-5</v>
      </c>
    </row>
    <row r="188" spans="1:8" ht="12.75">
      <c r="A188" t="str">
        <f ca="1">IFERROR(__xludf.DUMMYFUNCTION("""COMPUTED_VALUE"""),"T186")</f>
        <v>T186</v>
      </c>
      <c r="B188" t="str">
        <f ca="1">IFERROR(__xludf.DUMMYFUNCTION("""COMPUTED_VALUE"""),"T186")</f>
        <v>T186</v>
      </c>
      <c r="C188" t="str">
        <f ca="1">IFERROR(__xludf.DUMMYFUNCTION("""COMPUTED_VALUE"""),"Luke Donald")</f>
        <v>Luke Donald</v>
      </c>
      <c r="D188">
        <f ca="1">IFERROR(__xludf.DUMMYFUNCTION("""COMPUTED_VALUE"""),14)</f>
        <v>14</v>
      </c>
      <c r="E188" t="str">
        <f ca="1">IFERROR(__xludf.DUMMYFUNCTION("""COMPUTED_VALUE"""),"23' 0""")</f>
        <v>23' 0"</v>
      </c>
      <c r="F188">
        <f ca="1">IFERROR(__xludf.DUMMYFUNCTION("""COMPUTED_VALUE"""),460.167)</f>
        <v>460.16699999999997</v>
      </c>
      <c r="G188">
        <f ca="1">IFERROR(__xludf.DUMMYFUNCTION("""COMPUTED_VALUE"""),20)</f>
        <v>20</v>
      </c>
      <c r="H188" t="str">
        <f ca="1">IFERROR(__xludf.DUMMYFUNCTION("""COMPUTED_VALUE"""),"E")</f>
        <v>E</v>
      </c>
    </row>
    <row r="189" spans="1:8" ht="12.75">
      <c r="A189">
        <f ca="1">IFERROR(__xludf.DUMMYFUNCTION("""COMPUTED_VALUE"""),188)</f>
        <v>188</v>
      </c>
      <c r="B189" t="str">
        <f ca="1">IFERROR(__xludf.DUMMYFUNCTION("""COMPUTED_VALUE"""),"T201")</f>
        <v>T201</v>
      </c>
      <c r="C189" t="str">
        <f ca="1">IFERROR(__xludf.DUMMYFUNCTION("""COMPUTED_VALUE"""),"John Huh")</f>
        <v>John Huh</v>
      </c>
      <c r="D189">
        <f ca="1">IFERROR(__xludf.DUMMYFUNCTION("""COMPUTED_VALUE"""),8)</f>
        <v>8</v>
      </c>
      <c r="E189" t="str">
        <f ca="1">IFERROR(__xludf.DUMMYFUNCTION("""COMPUTED_VALUE"""),"23' 1""")</f>
        <v>23' 1"</v>
      </c>
      <c r="F189">
        <f ca="1">IFERROR(__xludf.DUMMYFUNCTION("""COMPUTED_VALUE"""),553.667)</f>
        <v>553.66700000000003</v>
      </c>
      <c r="G189">
        <f ca="1">IFERROR(__xludf.DUMMYFUNCTION("""COMPUTED_VALUE"""),24)</f>
        <v>24</v>
      </c>
      <c r="H189">
        <f ca="1">IFERROR(__xludf.DUMMYFUNCTION("""COMPUTED_VALUE"""),-1)</f>
        <v>-1</v>
      </c>
    </row>
    <row r="190" spans="1:8" ht="12.75">
      <c r="A190" t="str">
        <f ca="1">IFERROR(__xludf.DUMMYFUNCTION("""COMPUTED_VALUE"""),"T189")</f>
        <v>T189</v>
      </c>
      <c r="B190" t="str">
        <f ca="1">IFERROR(__xludf.DUMMYFUNCTION("""COMPUTED_VALUE"""),"T210")</f>
        <v>T210</v>
      </c>
      <c r="C190" t="str">
        <f ca="1">IFERROR(__xludf.DUMMYFUNCTION("""COMPUTED_VALUE"""),"Scott Piercy")</f>
        <v>Scott Piercy</v>
      </c>
      <c r="D190">
        <f ca="1">IFERROR(__xludf.DUMMYFUNCTION("""COMPUTED_VALUE"""),18)</f>
        <v>18</v>
      </c>
      <c r="E190" t="str">
        <f ca="1">IFERROR(__xludf.DUMMYFUNCTION("""COMPUTED_VALUE"""),"23' 2""")</f>
        <v>23' 2"</v>
      </c>
      <c r="F190">
        <f ca="1">IFERROR(__xludf.DUMMYFUNCTION("""COMPUTED_VALUE"""),857.25)</f>
        <v>857.25</v>
      </c>
      <c r="G190">
        <f ca="1">IFERROR(__xludf.DUMMYFUNCTION("""COMPUTED_VALUE"""),37)</f>
        <v>37</v>
      </c>
      <c r="H190">
        <f ca="1">IFERROR(__xludf.DUMMYFUNCTION("""COMPUTED_VALUE"""),-1)</f>
        <v>-1</v>
      </c>
    </row>
    <row r="191" spans="1:8" ht="12.75">
      <c r="A191" t="str">
        <f ca="1">IFERROR(__xludf.DUMMYFUNCTION("""COMPUTED_VALUE"""),"T189")</f>
        <v>T189</v>
      </c>
      <c r="B191" t="str">
        <f ca="1">IFERROR(__xludf.DUMMYFUNCTION("""COMPUTED_VALUE"""),"T177")</f>
        <v>T177</v>
      </c>
      <c r="C191" t="str">
        <f ca="1">IFERROR(__xludf.DUMMYFUNCTION("""COMPUTED_VALUE"""),"Jim Herman")</f>
        <v>Jim Herman</v>
      </c>
      <c r="D191">
        <f ca="1">IFERROR(__xludf.DUMMYFUNCTION("""COMPUTED_VALUE"""),12)</f>
        <v>12</v>
      </c>
      <c r="E191" t="str">
        <f ca="1">IFERROR(__xludf.DUMMYFUNCTION("""COMPUTED_VALUE"""),"23' 2""")</f>
        <v>23' 2"</v>
      </c>
      <c r="F191">
        <f ca="1">IFERROR(__xludf.DUMMYFUNCTION("""COMPUTED_VALUE"""),417.167)</f>
        <v>417.16699999999997</v>
      </c>
      <c r="G191">
        <f ca="1">IFERROR(__xludf.DUMMYFUNCTION("""COMPUTED_VALUE"""),18)</f>
        <v>18</v>
      </c>
      <c r="H191">
        <f ca="1">IFERROR(__xludf.DUMMYFUNCTION("""COMPUTED_VALUE"""),-3)</f>
        <v>-3</v>
      </c>
    </row>
    <row r="192" spans="1:8" ht="12.75">
      <c r="A192" t="str">
        <f ca="1">IFERROR(__xludf.DUMMYFUNCTION("""COMPUTED_VALUE"""),"T189")</f>
        <v>T189</v>
      </c>
      <c r="B192">
        <f ca="1">IFERROR(__xludf.DUMMYFUNCTION("""COMPUTED_VALUE"""),111)</f>
        <v>111</v>
      </c>
      <c r="C192" t="str">
        <f ca="1">IFERROR(__xludf.DUMMYFUNCTION("""COMPUTED_VALUE"""),"Brandt Snedeker")</f>
        <v>Brandt Snedeker</v>
      </c>
      <c r="D192">
        <f ca="1">IFERROR(__xludf.DUMMYFUNCTION("""COMPUTED_VALUE"""),16)</f>
        <v>16</v>
      </c>
      <c r="E192" t="str">
        <f ca="1">IFERROR(__xludf.DUMMYFUNCTION("""COMPUTED_VALUE"""),"23' 2""")</f>
        <v>23' 2"</v>
      </c>
      <c r="F192">
        <f ca="1">IFERROR(__xludf.DUMMYFUNCTION("""COMPUTED_VALUE"""),788.833)</f>
        <v>788.83299999999997</v>
      </c>
      <c r="G192">
        <f ca="1">IFERROR(__xludf.DUMMYFUNCTION("""COMPUTED_VALUE"""),34)</f>
        <v>34</v>
      </c>
      <c r="H192">
        <f ca="1">IFERROR(__xludf.DUMMYFUNCTION("""COMPUTED_VALUE"""),-1)</f>
        <v>-1</v>
      </c>
    </row>
    <row r="193" spans="1:8" ht="12.75">
      <c r="A193" t="str">
        <f ca="1">IFERROR(__xludf.DUMMYFUNCTION("""COMPUTED_VALUE"""),"T192")</f>
        <v>T192</v>
      </c>
      <c r="B193" t="str">
        <f ca="1">IFERROR(__xludf.DUMMYFUNCTION("""COMPUTED_VALUE"""),"T195")</f>
        <v>T195</v>
      </c>
      <c r="C193" t="str">
        <f ca="1">IFERROR(__xludf.DUMMYFUNCTION("""COMPUTED_VALUE"""),"Troy Merritt")</f>
        <v>Troy Merritt</v>
      </c>
      <c r="D193">
        <f ca="1">IFERROR(__xludf.DUMMYFUNCTION("""COMPUTED_VALUE"""),20)</f>
        <v>20</v>
      </c>
      <c r="E193" t="str">
        <f ca="1">IFERROR(__xludf.DUMMYFUNCTION("""COMPUTED_VALUE"""),"23' 3""")</f>
        <v>23' 3"</v>
      </c>
      <c r="F193">
        <f ca="1">IFERROR(__xludf.DUMMYFUNCTION("""COMPUTED_VALUE"""),721.917)</f>
        <v>721.91700000000003</v>
      </c>
      <c r="G193">
        <f ca="1">IFERROR(__xludf.DUMMYFUNCTION("""COMPUTED_VALUE"""),31)</f>
        <v>31</v>
      </c>
      <c r="H193">
        <f ca="1">IFERROR(__xludf.DUMMYFUNCTION("""COMPUTED_VALUE"""),-5)</f>
        <v>-5</v>
      </c>
    </row>
    <row r="194" spans="1:8" ht="12.75">
      <c r="A194" t="str">
        <f ca="1">IFERROR(__xludf.DUMMYFUNCTION("""COMPUTED_VALUE"""),"T192")</f>
        <v>T192</v>
      </c>
      <c r="B194" t="str">
        <f ca="1">IFERROR(__xludf.DUMMYFUNCTION("""COMPUTED_VALUE"""),"")</f>
        <v/>
      </c>
      <c r="C194" t="str">
        <f ca="1">IFERROR(__xludf.DUMMYFUNCTION("""COMPUTED_VALUE"""),"Erik Barnes")</f>
        <v>Erik Barnes</v>
      </c>
      <c r="D194">
        <f ca="1">IFERROR(__xludf.DUMMYFUNCTION("""COMPUTED_VALUE"""),4)</f>
        <v>4</v>
      </c>
      <c r="E194" t="str">
        <f ca="1">IFERROR(__xludf.DUMMYFUNCTION("""COMPUTED_VALUE"""),"23' 3""")</f>
        <v>23' 3"</v>
      </c>
      <c r="F194">
        <f ca="1">IFERROR(__xludf.DUMMYFUNCTION("""COMPUTED_VALUE"""),255.667)</f>
        <v>255.667</v>
      </c>
      <c r="G194">
        <f ca="1">IFERROR(__xludf.DUMMYFUNCTION("""COMPUTED_VALUE"""),11)</f>
        <v>11</v>
      </c>
      <c r="H194">
        <f ca="1">IFERROR(__xludf.DUMMYFUNCTION("""COMPUTED_VALUE"""),-1)</f>
        <v>-1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IFERROR(__xludf.DUMMYFUNCTION("""COMPUTED_VALUE"""),"T177")</f>
        <v>T177</v>
      </c>
      <c r="C195" t="str">
        <f ca="1">IFERROR(__xludf.DUMMYFUNCTION("""COMPUTED_VALUE"""),"Sungjae Im")</f>
        <v>Sungjae Im</v>
      </c>
      <c r="D195">
        <f ca="1">IFERROR(__xludf.DUMMYFUNCTION("""COMPUTED_VALUE"""),24)</f>
        <v>24</v>
      </c>
      <c r="E195" t="str">
        <f ca="1">IFERROR(__xludf.DUMMYFUNCTION("""COMPUTED_VALUE"""),"23' 4""")</f>
        <v>23' 4"</v>
      </c>
      <c r="F195" s="2">
        <f ca="1">IFERROR(__xludf.DUMMYFUNCTION("""COMPUTED_VALUE"""),1049.75)</f>
        <v>1049.75</v>
      </c>
      <c r="G195">
        <f ca="1">IFERROR(__xludf.DUMMYFUNCTION("""COMPUTED_VALUE"""),45)</f>
        <v>45</v>
      </c>
      <c r="H195">
        <f ca="1">IFERROR(__xludf.DUMMYFUNCTION("""COMPUTED_VALUE"""),-4)</f>
        <v>-4</v>
      </c>
    </row>
    <row r="196" spans="1:8" ht="12.75">
      <c r="A196" t="str">
        <f ca="1">IFERROR(__xludf.DUMMYFUNCTION("""COMPUTED_VALUE"""),"T194")</f>
        <v>T194</v>
      </c>
      <c r="B196">
        <f ca="1">IFERROR(__xludf.DUMMYFUNCTION("""COMPUTED_VALUE"""),181)</f>
        <v>181</v>
      </c>
      <c r="C196" t="str">
        <f ca="1">IFERROR(__xludf.DUMMYFUNCTION("""COMPUTED_VALUE"""),"Christiaan Bezuidenhout")</f>
        <v>Christiaan Bezuidenhout</v>
      </c>
      <c r="D196">
        <f ca="1">IFERROR(__xludf.DUMMYFUNCTION("""COMPUTED_VALUE"""),4)</f>
        <v>4</v>
      </c>
      <c r="E196" t="str">
        <f ca="1">IFERROR(__xludf.DUMMYFUNCTION("""COMPUTED_VALUE"""),"23' 4""")</f>
        <v>23' 4"</v>
      </c>
      <c r="F196">
        <f ca="1">IFERROR(__xludf.DUMMYFUNCTION("""COMPUTED_VALUE"""),163.417)</f>
        <v>163.417</v>
      </c>
      <c r="G196">
        <f ca="1">IFERROR(__xludf.DUMMYFUNCTION("""COMPUTED_VALUE"""),7)</f>
        <v>7</v>
      </c>
      <c r="H196" t="str">
        <f ca="1">IFERROR(__xludf.DUMMYFUNCTION("""COMPUTED_VALUE"""),"E")</f>
        <v>E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IFERROR(__xludf.DUMMYFUNCTION("""COMPUTED_VALUE"""),"")</f>
        <v/>
      </c>
      <c r="C197" t="str">
        <f ca="1">IFERROR(__xludf.DUMMYFUNCTION("""COMPUTED_VALUE"""),"Dawie van der Walt")</f>
        <v>Dawie van der Walt</v>
      </c>
      <c r="D197">
        <f ca="1">IFERROR(__xludf.DUMMYFUNCTION("""COMPUTED_VALUE"""),4)</f>
        <v>4</v>
      </c>
      <c r="E197" t="str">
        <f ca="1">IFERROR(__xludf.DUMMYFUNCTION("""COMPUTED_VALUE"""),"23' 4""")</f>
        <v>23' 4"</v>
      </c>
      <c r="F197">
        <f ca="1">IFERROR(__xludf.DUMMYFUNCTION("""COMPUTED_VALUE"""),279.833)</f>
        <v>279.83300000000003</v>
      </c>
      <c r="G197">
        <f ca="1">IFERROR(__xludf.DUMMYFUNCTION("""COMPUTED_VALUE"""),12)</f>
        <v>12</v>
      </c>
      <c r="H197">
        <f ca="1">IFERROR(__xludf.DUMMYFUNCTION("""COMPUTED_VALUE"""),-4)</f>
        <v>-4</v>
      </c>
    </row>
    <row r="198" spans="1:8" ht="12.75">
      <c r="A198">
        <f ca="1">IFERROR(__xludf.DUMMYFUNCTION("""COMPUTED_VALUE"""),197)</f>
        <v>197</v>
      </c>
      <c r="B198" t="str">
        <f ca="1">IFERROR(__xludf.DUMMYFUNCTION("""COMPUTED_VALUE"""),"T182")</f>
        <v>T182</v>
      </c>
      <c r="C198" t="str">
        <f ca="1">IFERROR(__xludf.DUMMYFUNCTION("""COMPUTED_VALUE"""),"Tyler McCumber")</f>
        <v>Tyler McCumber</v>
      </c>
      <c r="D198">
        <f ca="1">IFERROR(__xludf.DUMMYFUNCTION("""COMPUTED_VALUE"""),14)</f>
        <v>14</v>
      </c>
      <c r="E198" t="str">
        <f ca="1">IFERROR(__xludf.DUMMYFUNCTION("""COMPUTED_VALUE"""),"23' 5""")</f>
        <v>23' 5"</v>
      </c>
      <c r="F198">
        <f ca="1">IFERROR(__xludf.DUMMYFUNCTION("""COMPUTED_VALUE"""),328.333)</f>
        <v>328.33300000000003</v>
      </c>
      <c r="G198">
        <f ca="1">IFERROR(__xludf.DUMMYFUNCTION("""COMPUTED_VALUE"""),14)</f>
        <v>14</v>
      </c>
      <c r="H198" t="str">
        <f ca="1">IFERROR(__xludf.DUMMYFUNCTION("""COMPUTED_VALUE"""),"+1")</f>
        <v>+1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IFERROR(__xludf.DUMMYFUNCTION("""COMPUTED_VALUE"""),"T210")</f>
        <v>T210</v>
      </c>
      <c r="C199" t="str">
        <f ca="1">IFERROR(__xludf.DUMMYFUNCTION("""COMPUTED_VALUE"""),"Andrew Landry")</f>
        <v>Andrew Landry</v>
      </c>
      <c r="D199">
        <f ca="1">IFERROR(__xludf.DUMMYFUNCTION("""COMPUTED_VALUE"""),14)</f>
        <v>14</v>
      </c>
      <c r="E199" t="str">
        <f ca="1">IFERROR(__xludf.DUMMYFUNCTION("""COMPUTED_VALUE"""),"23' 6""")</f>
        <v>23' 6"</v>
      </c>
      <c r="F199">
        <f ca="1">IFERROR(__xludf.DUMMYFUNCTION("""COMPUTED_VALUE"""),588.083)</f>
        <v>588.08299999999997</v>
      </c>
      <c r="G199">
        <f ca="1">IFERROR(__xludf.DUMMYFUNCTION("""COMPUTED_VALUE"""),25)</f>
        <v>25</v>
      </c>
      <c r="H199">
        <f ca="1">IFERROR(__xludf.DUMMYFUNCTION("""COMPUTED_VALUE"""),-4)</f>
        <v>-4</v>
      </c>
    </row>
    <row r="200" spans="1:8" ht="12.75">
      <c r="A200" t="str">
        <f ca="1">IFERROR(__xludf.DUMMYFUNCTION("""COMPUTED_VALUE"""),"T199")</f>
        <v>T199</v>
      </c>
      <c r="B200" t="str">
        <f ca="1">IFERROR(__xludf.DUMMYFUNCTION("""COMPUTED_VALUE"""),"T186")</f>
        <v>T186</v>
      </c>
      <c r="C200" t="str">
        <f ca="1">IFERROR(__xludf.DUMMYFUNCTION("""COMPUTED_VALUE"""),"Johnson Wagner")</f>
        <v>Johnson Wagner</v>
      </c>
      <c r="D200">
        <f ca="1">IFERROR(__xludf.DUMMYFUNCTION("""COMPUTED_VALUE"""),8)</f>
        <v>8</v>
      </c>
      <c r="E200" t="str">
        <f ca="1">IFERROR(__xludf.DUMMYFUNCTION("""COMPUTED_VALUE"""),"23' 7""")</f>
        <v>23' 7"</v>
      </c>
      <c r="F200">
        <f ca="1">IFERROR(__xludf.DUMMYFUNCTION("""COMPUTED_VALUE"""),141.25)</f>
        <v>141.25</v>
      </c>
      <c r="G200">
        <f ca="1">IFERROR(__xludf.DUMMYFUNCTION("""COMPUTED_VALUE"""),6)</f>
        <v>6</v>
      </c>
      <c r="H200">
        <f ca="1">IFERROR(__xludf.DUMMYFUNCTION("""COMPUTED_VALUE"""),-1)</f>
        <v>-1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IFERROR(__xludf.DUMMYFUNCTION("""COMPUTED_VALUE"""),"T186")</f>
        <v>T186</v>
      </c>
      <c r="C201" t="str">
        <f ca="1">IFERROR(__xludf.DUMMYFUNCTION("""COMPUTED_VALUE"""),"Alex Cejka")</f>
        <v>Alex Cejka</v>
      </c>
      <c r="D201">
        <f ca="1">IFERROR(__xludf.DUMMYFUNCTION("""COMPUTED_VALUE"""),6)</f>
        <v>6</v>
      </c>
      <c r="E201" t="str">
        <f ca="1">IFERROR(__xludf.DUMMYFUNCTION("""COMPUTED_VALUE"""),"23' 7""")</f>
        <v>23' 7"</v>
      </c>
      <c r="F201">
        <f ca="1">IFERROR(__xludf.DUMMYFUNCTION("""COMPUTED_VALUE"""),23.583)</f>
        <v>23.582999999999998</v>
      </c>
      <c r="G201">
        <f ca="1">IFERROR(__xludf.DUMMYFUNCTION("""COMPUTED_VALUE"""),1)</f>
        <v>1</v>
      </c>
      <c r="H201" t="str">
        <f ca="1">IFERROR(__xludf.DUMMYFUNCTION("""COMPUTED_VALUE"""),"E")</f>
        <v>E</v>
      </c>
    </row>
    <row r="202" spans="1:8" ht="12.75">
      <c r="A202">
        <f ca="1">IFERROR(__xludf.DUMMYFUNCTION("""COMPUTED_VALUE"""),201)</f>
        <v>201</v>
      </c>
      <c r="B202" t="str">
        <f ca="1">IFERROR(__xludf.DUMMYFUNCTION("""COMPUTED_VALUE"""),"T144")</f>
        <v>T144</v>
      </c>
      <c r="C202" t="str">
        <f ca="1">IFERROR(__xludf.DUMMYFUNCTION("""COMPUTED_VALUE"""),"Charley Hoffman")</f>
        <v>Charley Hoffman</v>
      </c>
      <c r="D202">
        <f ca="1">IFERROR(__xludf.DUMMYFUNCTION("""COMPUTED_VALUE"""),20)</f>
        <v>20</v>
      </c>
      <c r="E202" t="str">
        <f ca="1">IFERROR(__xludf.DUMMYFUNCTION("""COMPUTED_VALUE"""),"23' 8""")</f>
        <v>23' 8"</v>
      </c>
      <c r="F202">
        <f ca="1">IFERROR(__xludf.DUMMYFUNCTION("""COMPUTED_VALUE"""),687.333)</f>
        <v>687.33299999999997</v>
      </c>
      <c r="G202">
        <f ca="1">IFERROR(__xludf.DUMMYFUNCTION("""COMPUTED_VALUE"""),29)</f>
        <v>29</v>
      </c>
      <c r="H202">
        <f ca="1">IFERROR(__xludf.DUMMYFUNCTION("""COMPUTED_VALUE"""),-2)</f>
        <v>-2</v>
      </c>
    </row>
    <row r="203" spans="1:8" ht="12.75">
      <c r="A203" t="str">
        <f ca="1">IFERROR(__xludf.DUMMYFUNCTION("""COMPUTED_VALUE"""),"T202")</f>
        <v>T202</v>
      </c>
      <c r="B203" t="str">
        <f ca="1">IFERROR(__xludf.DUMMYFUNCTION("""COMPUTED_VALUE"""),"T182")</f>
        <v>T182</v>
      </c>
      <c r="C203" t="str">
        <f ca="1">IFERROR(__xludf.DUMMYFUNCTION("""COMPUTED_VALUE"""),"Scott Stallings")</f>
        <v>Scott Stallings</v>
      </c>
      <c r="D203">
        <f ca="1">IFERROR(__xludf.DUMMYFUNCTION("""COMPUTED_VALUE"""),14)</f>
        <v>14</v>
      </c>
      <c r="E203" t="str">
        <f ca="1">IFERROR(__xludf.DUMMYFUNCTION("""COMPUTED_VALUE"""),"23' 9""")</f>
        <v>23' 9"</v>
      </c>
      <c r="F203">
        <f ca="1">IFERROR(__xludf.DUMMYFUNCTION("""COMPUTED_VALUE"""),450.583)</f>
        <v>450.58300000000003</v>
      </c>
      <c r="G203">
        <f ca="1">IFERROR(__xludf.DUMMYFUNCTION("""COMPUTED_VALUE"""),19)</f>
        <v>19</v>
      </c>
      <c r="H203">
        <f ca="1">IFERROR(__xludf.DUMMYFUNCTION("""COMPUTED_VALUE"""),-1)</f>
        <v>-1</v>
      </c>
    </row>
    <row r="204" spans="1:8" ht="12.75">
      <c r="A204" t="str">
        <f ca="1">IFERROR(__xludf.DUMMYFUNCTION("""COMPUTED_VALUE"""),"T202")</f>
        <v>T202</v>
      </c>
      <c r="B204" t="str">
        <f ca="1">IFERROR(__xludf.DUMMYFUNCTION("""COMPUTED_VALUE"""),"T189")</f>
        <v>T189</v>
      </c>
      <c r="C204" t="str">
        <f ca="1">IFERROR(__xludf.DUMMYFUNCTION("""COMPUTED_VALUE"""),"Kiradech Aphibarnrat")</f>
        <v>Kiradech Aphibarnrat</v>
      </c>
      <c r="D204">
        <f ca="1">IFERROR(__xludf.DUMMYFUNCTION("""COMPUTED_VALUE"""),12)</f>
        <v>12</v>
      </c>
      <c r="E204" t="str">
        <f ca="1">IFERROR(__xludf.DUMMYFUNCTION("""COMPUTED_VALUE"""),"23' 9""")</f>
        <v>23' 9"</v>
      </c>
      <c r="F204">
        <f ca="1">IFERROR(__xludf.DUMMYFUNCTION("""COMPUTED_VALUE"""),95)</f>
        <v>95</v>
      </c>
      <c r="G204">
        <f ca="1">IFERROR(__xludf.DUMMYFUNCTION("""COMPUTED_VALUE"""),4)</f>
        <v>4</v>
      </c>
      <c r="H204">
        <f ca="1">IFERROR(__xludf.DUMMYFUNCTION("""COMPUTED_VALUE"""),-1)</f>
        <v>-1</v>
      </c>
    </row>
    <row r="205" spans="1:8" ht="12.75">
      <c r="A205" t="str">
        <f ca="1">IFERROR(__xludf.DUMMYFUNCTION("""COMPUTED_VALUE"""),"T202")</f>
        <v>T202</v>
      </c>
      <c r="B205" t="str">
        <f ca="1">IFERROR(__xludf.DUMMYFUNCTION("""COMPUTED_VALUE"""),"T197")</f>
        <v>T197</v>
      </c>
      <c r="C205" t="str">
        <f ca="1">IFERROR(__xludf.DUMMYFUNCTION("""COMPUTED_VALUE"""),"Tyrrell Hatton")</f>
        <v>Tyrrell Hatton</v>
      </c>
      <c r="D205">
        <f ca="1">IFERROR(__xludf.DUMMYFUNCTION("""COMPUTED_VALUE"""),14)</f>
        <v>14</v>
      </c>
      <c r="E205" t="str">
        <f ca="1">IFERROR(__xludf.DUMMYFUNCTION("""COMPUTED_VALUE"""),"23' 9""")</f>
        <v>23' 9"</v>
      </c>
      <c r="F205">
        <f ca="1">IFERROR(__xludf.DUMMYFUNCTION("""COMPUTED_VALUE"""),688.25)</f>
        <v>688.25</v>
      </c>
      <c r="G205">
        <f ca="1">IFERROR(__xludf.DUMMYFUNCTION("""COMPUTED_VALUE"""),29)</f>
        <v>29</v>
      </c>
      <c r="H205">
        <f ca="1">IFERROR(__xludf.DUMMYFUNCTION("""COMPUTED_VALUE"""),-4)</f>
        <v>-4</v>
      </c>
    </row>
    <row r="206" spans="1:8" ht="12.75">
      <c r="A206" t="str">
        <f ca="1">IFERROR(__xludf.DUMMYFUNCTION("""COMPUTED_VALUE"""),"T205")</f>
        <v>T205</v>
      </c>
      <c r="B206">
        <f ca="1">IFERROR(__xludf.DUMMYFUNCTION("""COMPUTED_VALUE"""),110)</f>
        <v>110</v>
      </c>
      <c r="C206" t="str">
        <f ca="1">IFERROR(__xludf.DUMMYFUNCTION("""COMPUTED_VALUE"""),"Denny McCarthy")</f>
        <v>Denny McCarthy</v>
      </c>
      <c r="D206">
        <f ca="1">IFERROR(__xludf.DUMMYFUNCTION("""COMPUTED_VALUE"""),22)</f>
        <v>22</v>
      </c>
      <c r="E206" t="str">
        <f ca="1">IFERROR(__xludf.DUMMYFUNCTION("""COMPUTED_VALUE"""),"23' 10""")</f>
        <v>23' 10"</v>
      </c>
      <c r="F206">
        <f ca="1">IFERROR(__xludf.DUMMYFUNCTION("""COMPUTED_VALUE"""),905.25)</f>
        <v>905.25</v>
      </c>
      <c r="G206">
        <f ca="1">IFERROR(__xludf.DUMMYFUNCTION("""COMPUTED_VALUE"""),38)</f>
        <v>38</v>
      </c>
      <c r="H206">
        <f ca="1">IFERROR(__xludf.DUMMYFUNCTION("""COMPUTED_VALUE"""),-7)</f>
        <v>-7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IFERROR(__xludf.DUMMYFUNCTION("""COMPUTED_VALUE"""),"T226")</f>
        <v>T226</v>
      </c>
      <c r="C207" t="str">
        <f ca="1">IFERROR(__xludf.DUMMYFUNCTION("""COMPUTED_VALUE"""),"J.T. Poston")</f>
        <v>J.T. Poston</v>
      </c>
      <c r="D207">
        <f ca="1">IFERROR(__xludf.DUMMYFUNCTION("""COMPUTED_VALUE"""),18)</f>
        <v>18</v>
      </c>
      <c r="E207" t="str">
        <f ca="1">IFERROR(__xludf.DUMMYFUNCTION("""COMPUTED_VALUE"""),"23' 10""")</f>
        <v>23' 10"</v>
      </c>
      <c r="F207">
        <f ca="1">IFERROR(__xludf.DUMMYFUNCTION("""COMPUTED_VALUE"""),978.417)</f>
        <v>978.41700000000003</v>
      </c>
      <c r="G207">
        <f ca="1">IFERROR(__xludf.DUMMYFUNCTION("""COMPUTED_VALUE"""),41)</f>
        <v>41</v>
      </c>
      <c r="H207">
        <f ca="1">IFERROR(__xludf.DUMMYFUNCTION("""COMPUTED_VALUE"""),-4)</f>
        <v>-4</v>
      </c>
    </row>
    <row r="208" spans="1:8" ht="12.75">
      <c r="A208" t="str">
        <f ca="1">IFERROR(__xludf.DUMMYFUNCTION("""COMPUTED_VALUE"""),"T205")</f>
        <v>T205</v>
      </c>
      <c r="B208" t="str">
        <f ca="1">IFERROR(__xludf.DUMMYFUNCTION("""COMPUTED_VALUE"""),"T182")</f>
        <v>T182</v>
      </c>
      <c r="C208" t="str">
        <f ca="1">IFERROR(__xludf.DUMMYFUNCTION("""COMPUTED_VALUE"""),"Fabián Gómez")</f>
        <v>Fabián Gómez</v>
      </c>
      <c r="D208">
        <f ca="1">IFERROR(__xludf.DUMMYFUNCTION("""COMPUTED_VALUE"""),16)</f>
        <v>16</v>
      </c>
      <c r="E208" t="str">
        <f ca="1">IFERROR(__xludf.DUMMYFUNCTION("""COMPUTED_VALUE"""),"23' 10""")</f>
        <v>23' 10"</v>
      </c>
      <c r="F208">
        <f ca="1">IFERROR(__xludf.DUMMYFUNCTION("""COMPUTED_VALUE"""),739.5)</f>
        <v>739.5</v>
      </c>
      <c r="G208">
        <f ca="1">IFERROR(__xludf.DUMMYFUNCTION("""COMPUTED_VALUE"""),31)</f>
        <v>31</v>
      </c>
      <c r="H208">
        <f ca="1">IFERROR(__xludf.DUMMYFUNCTION("""COMPUTED_VALUE"""),-6)</f>
        <v>-6</v>
      </c>
    </row>
    <row r="209" spans="1:8" ht="12.75">
      <c r="A209" t="str">
        <f ca="1">IFERROR(__xludf.DUMMYFUNCTION("""COMPUTED_VALUE"""),"T205")</f>
        <v>T205</v>
      </c>
      <c r="B209">
        <f ca="1">IFERROR(__xludf.DUMMYFUNCTION("""COMPUTED_VALUE"""),191)</f>
        <v>191</v>
      </c>
      <c r="C209" t="str">
        <f ca="1">IFERROR(__xludf.DUMMYFUNCTION("""COMPUTED_VALUE"""),"Jonathan Byrd")</f>
        <v>Jonathan Byrd</v>
      </c>
      <c r="D209">
        <f ca="1">IFERROR(__xludf.DUMMYFUNCTION("""COMPUTED_VALUE"""),14)</f>
        <v>14</v>
      </c>
      <c r="E209" t="str">
        <f ca="1">IFERROR(__xludf.DUMMYFUNCTION("""COMPUTED_VALUE"""),"23' 10""")</f>
        <v>23' 10"</v>
      </c>
      <c r="F209">
        <f ca="1">IFERROR(__xludf.DUMMYFUNCTION("""COMPUTED_VALUE"""),333.583)</f>
        <v>333.58300000000003</v>
      </c>
      <c r="G209">
        <f ca="1">IFERROR(__xludf.DUMMYFUNCTION("""COMPUTED_VALUE"""),14)</f>
        <v>14</v>
      </c>
      <c r="H209">
        <f ca="1">IFERROR(__xludf.DUMMYFUNCTION("""COMPUTED_VALUE"""),-1)</f>
        <v>-1</v>
      </c>
    </row>
    <row r="210" spans="1:8" ht="12.75">
      <c r="A210">
        <f ca="1">IFERROR(__xludf.DUMMYFUNCTION("""COMPUTED_VALUE"""),209)</f>
        <v>209</v>
      </c>
      <c r="B210" t="str">
        <f ca="1">IFERROR(__xludf.DUMMYFUNCTION("""COMPUTED_VALUE"""),"T118")</f>
        <v>T118</v>
      </c>
      <c r="C210" t="str">
        <f ca="1">IFERROR(__xludf.DUMMYFUNCTION("""COMPUTED_VALUE"""),"Jimmy Walker")</f>
        <v>Jimmy Walker</v>
      </c>
      <c r="D210">
        <f ca="1">IFERROR(__xludf.DUMMYFUNCTION("""COMPUTED_VALUE"""),10)</f>
        <v>10</v>
      </c>
      <c r="E210" t="str">
        <f ca="1">IFERROR(__xludf.DUMMYFUNCTION("""COMPUTED_VALUE"""),"23' 11""")</f>
        <v>23' 11"</v>
      </c>
      <c r="F210">
        <f ca="1">IFERROR(__xludf.DUMMYFUNCTION("""COMPUTED_VALUE"""),477.75)</f>
        <v>477.75</v>
      </c>
      <c r="G210">
        <f ca="1">IFERROR(__xludf.DUMMYFUNCTION("""COMPUTED_VALUE"""),20)</f>
        <v>20</v>
      </c>
      <c r="H210" t="str">
        <f ca="1">IFERROR(__xludf.DUMMYFUNCTION("""COMPUTED_VALUE"""),"+1")</f>
        <v>+1</v>
      </c>
    </row>
    <row r="211" spans="1:8" ht="12.75">
      <c r="A211" t="str">
        <f ca="1">IFERROR(__xludf.DUMMYFUNCTION("""COMPUTED_VALUE"""),"T210")</f>
        <v>T210</v>
      </c>
      <c r="B211" t="str">
        <f ca="1">IFERROR(__xludf.DUMMYFUNCTION("""COMPUTED_VALUE"""),"T164")</f>
        <v>T164</v>
      </c>
      <c r="C211" t="str">
        <f ca="1">IFERROR(__xludf.DUMMYFUNCTION("""COMPUTED_VALUE"""),"Adam Schenk")</f>
        <v>Adam Schenk</v>
      </c>
      <c r="D211">
        <f ca="1">IFERROR(__xludf.DUMMYFUNCTION("""COMPUTED_VALUE"""),22)</f>
        <v>22</v>
      </c>
      <c r="E211" t="str">
        <f ca="1">IFERROR(__xludf.DUMMYFUNCTION("""COMPUTED_VALUE"""),"24' 1""")</f>
        <v>24' 1"</v>
      </c>
      <c r="F211">
        <f ca="1">IFERROR(__xludf.DUMMYFUNCTION("""COMPUTED_VALUE"""),793.417)</f>
        <v>793.41700000000003</v>
      </c>
      <c r="G211">
        <f ca="1">IFERROR(__xludf.DUMMYFUNCTION("""COMPUTED_VALUE"""),33)</f>
        <v>33</v>
      </c>
      <c r="H211">
        <f ca="1">IFERROR(__xludf.DUMMYFUNCTION("""COMPUTED_VALUE"""),-4)</f>
        <v>-4</v>
      </c>
    </row>
    <row r="212" spans="1:8" ht="12.75">
      <c r="A212" t="str">
        <f ca="1">IFERROR(__xludf.DUMMYFUNCTION("""COMPUTED_VALUE"""),"T210")</f>
        <v>T210</v>
      </c>
      <c r="B212">
        <f ca="1">IFERROR(__xludf.DUMMYFUNCTION("""COMPUTED_VALUE"""),193)</f>
        <v>193</v>
      </c>
      <c r="C212" t="str">
        <f ca="1">IFERROR(__xludf.DUMMYFUNCTION("""COMPUTED_VALUE"""),"Cameron Champ")</f>
        <v>Cameron Champ</v>
      </c>
      <c r="D212">
        <f ca="1">IFERROR(__xludf.DUMMYFUNCTION("""COMPUTED_VALUE"""),12)</f>
        <v>12</v>
      </c>
      <c r="E212" t="str">
        <f ca="1">IFERROR(__xludf.DUMMYFUNCTION("""COMPUTED_VALUE"""),"24' 1""")</f>
        <v>24' 1"</v>
      </c>
      <c r="F212">
        <f ca="1">IFERROR(__xludf.DUMMYFUNCTION("""COMPUTED_VALUE"""),505.583)</f>
        <v>505.58300000000003</v>
      </c>
      <c r="G212">
        <f ca="1">IFERROR(__xludf.DUMMYFUNCTION("""COMPUTED_VALUE"""),21)</f>
        <v>21</v>
      </c>
      <c r="H212">
        <f ca="1">IFERROR(__xludf.DUMMYFUNCTION("""COMPUTED_VALUE"""),-1)</f>
        <v>-1</v>
      </c>
    </row>
    <row r="213" spans="1:8" ht="12.75">
      <c r="A213">
        <f ca="1">IFERROR(__xludf.DUMMYFUNCTION("""COMPUTED_VALUE"""),212)</f>
        <v>212</v>
      </c>
      <c r="B213">
        <f ca="1">IFERROR(__xludf.DUMMYFUNCTION("""COMPUTED_VALUE"""),194)</f>
        <v>194</v>
      </c>
      <c r="C213" t="str">
        <f ca="1">IFERROR(__xludf.DUMMYFUNCTION("""COMPUTED_VALUE"""),"Michael Thompson")</f>
        <v>Michael Thompson</v>
      </c>
      <c r="D213">
        <f ca="1">IFERROR(__xludf.DUMMYFUNCTION("""COMPUTED_VALUE"""),16)</f>
        <v>16</v>
      </c>
      <c r="E213" t="str">
        <f ca="1">IFERROR(__xludf.DUMMYFUNCTION("""COMPUTED_VALUE"""),"24' 2""")</f>
        <v>24' 2"</v>
      </c>
      <c r="F213">
        <f ca="1">IFERROR(__xludf.DUMMYFUNCTION("""COMPUTED_VALUE"""),556.417)</f>
        <v>556.41700000000003</v>
      </c>
      <c r="G213">
        <f ca="1">IFERROR(__xludf.DUMMYFUNCTION("""COMPUTED_VALUE"""),23)</f>
        <v>23</v>
      </c>
      <c r="H213" t="str">
        <f ca="1">IFERROR(__xludf.DUMMYFUNCTION("""COMPUTED_VALUE"""),"+3")</f>
        <v>+3</v>
      </c>
    </row>
    <row r="214" spans="1:8" ht="12.75">
      <c r="A214">
        <f ca="1">IFERROR(__xludf.DUMMYFUNCTION("""COMPUTED_VALUE"""),213)</f>
        <v>213</v>
      </c>
      <c r="B214" t="str">
        <f ca="1">IFERROR(__xludf.DUMMYFUNCTION("""COMPUTED_VALUE"""),"T172")</f>
        <v>T172</v>
      </c>
      <c r="C214" t="str">
        <f ca="1">IFERROR(__xludf.DUMMYFUNCTION("""COMPUTED_VALUE"""),"Alex Noren")</f>
        <v>Alex Noren</v>
      </c>
      <c r="D214">
        <f ca="1">IFERROR(__xludf.DUMMYFUNCTION("""COMPUTED_VALUE"""),14)</f>
        <v>14</v>
      </c>
      <c r="E214" t="str">
        <f ca="1">IFERROR(__xludf.DUMMYFUNCTION("""COMPUTED_VALUE"""),"24' 3""")</f>
        <v>24' 3"</v>
      </c>
      <c r="F214">
        <f ca="1">IFERROR(__xludf.DUMMYFUNCTION("""COMPUTED_VALUE"""),606.583)</f>
        <v>606.58299999999997</v>
      </c>
      <c r="G214">
        <f ca="1">IFERROR(__xludf.DUMMYFUNCTION("""COMPUTED_VALUE"""),25)</f>
        <v>25</v>
      </c>
      <c r="H214">
        <f ca="1">IFERROR(__xludf.DUMMYFUNCTION("""COMPUTED_VALUE"""),-3)</f>
        <v>-3</v>
      </c>
    </row>
    <row r="215" spans="1:8" ht="12.75">
      <c r="A215">
        <f ca="1">IFERROR(__xludf.DUMMYFUNCTION("""COMPUTED_VALUE"""),214)</f>
        <v>214</v>
      </c>
      <c r="B215" t="str">
        <f ca="1">IFERROR(__xludf.DUMMYFUNCTION("""COMPUTED_VALUE"""),"T197")</f>
        <v>T197</v>
      </c>
      <c r="C215" t="str">
        <f ca="1">IFERROR(__xludf.DUMMYFUNCTION("""COMPUTED_VALUE"""),"Brendon Todd")</f>
        <v>Brendon Todd</v>
      </c>
      <c r="D215">
        <f ca="1">IFERROR(__xludf.DUMMYFUNCTION("""COMPUTED_VALUE"""),14)</f>
        <v>14</v>
      </c>
      <c r="E215" t="str">
        <f ca="1">IFERROR(__xludf.DUMMYFUNCTION("""COMPUTED_VALUE"""),"24' 4""")</f>
        <v>24' 4"</v>
      </c>
      <c r="F215">
        <f ca="1">IFERROR(__xludf.DUMMYFUNCTION("""COMPUTED_VALUE"""),413.083)</f>
        <v>413.08300000000003</v>
      </c>
      <c r="G215">
        <f ca="1">IFERROR(__xludf.DUMMYFUNCTION("""COMPUTED_VALUE"""),17)</f>
        <v>17</v>
      </c>
      <c r="H215" t="str">
        <f ca="1">IFERROR(__xludf.DUMMYFUNCTION("""COMPUTED_VALUE"""),"E")</f>
        <v>E</v>
      </c>
    </row>
    <row r="216" spans="1:8" ht="12.75">
      <c r="A216">
        <f ca="1">IFERROR(__xludf.DUMMYFUNCTION("""COMPUTED_VALUE"""),215)</f>
        <v>215</v>
      </c>
      <c r="B216">
        <f ca="1">IFERROR(__xludf.DUMMYFUNCTION("""COMPUTED_VALUE"""),200)</f>
        <v>200</v>
      </c>
      <c r="C216" t="str">
        <f ca="1">IFERROR(__xludf.DUMMYFUNCTION("""COMPUTED_VALUE"""),"Davis Riley")</f>
        <v>Davis Riley</v>
      </c>
      <c r="D216">
        <f ca="1">IFERROR(__xludf.DUMMYFUNCTION("""COMPUTED_VALUE"""),4)</f>
        <v>4</v>
      </c>
      <c r="E216" t="str">
        <f ca="1">IFERROR(__xludf.DUMMYFUNCTION("""COMPUTED_VALUE"""),"24' 6""")</f>
        <v>24' 6"</v>
      </c>
      <c r="F216">
        <f ca="1">IFERROR(__xludf.DUMMYFUNCTION("""COMPUTED_VALUE"""),220.417)</f>
        <v>220.417</v>
      </c>
      <c r="G216">
        <f ca="1">IFERROR(__xludf.DUMMYFUNCTION("""COMPUTED_VALUE"""),9)</f>
        <v>9</v>
      </c>
      <c r="H216" t="str">
        <f ca="1">IFERROR(__xludf.DUMMYFUNCTION("""COMPUTED_VALUE"""),"E")</f>
        <v>E</v>
      </c>
    </row>
    <row r="217" spans="1:8" ht="12.75">
      <c r="A217">
        <f ca="1">IFERROR(__xludf.DUMMYFUNCTION("""COMPUTED_VALUE"""),216)</f>
        <v>216</v>
      </c>
      <c r="B217" t="str">
        <f ca="1">IFERROR(__xludf.DUMMYFUNCTION("""COMPUTED_VALUE"""),"T201")</f>
        <v>T201</v>
      </c>
      <c r="C217" t="str">
        <f ca="1">IFERROR(__xludf.DUMMYFUNCTION("""COMPUTED_VALUE"""),"Joel Dahmen")</f>
        <v>Joel Dahmen</v>
      </c>
      <c r="D217">
        <f ca="1">IFERROR(__xludf.DUMMYFUNCTION("""COMPUTED_VALUE"""),18)</f>
        <v>18</v>
      </c>
      <c r="E217" t="str">
        <f ca="1">IFERROR(__xludf.DUMMYFUNCTION("""COMPUTED_VALUE"""),"24' 7""")</f>
        <v>24' 7"</v>
      </c>
      <c r="F217">
        <f ca="1">IFERROR(__xludf.DUMMYFUNCTION("""COMPUTED_VALUE"""),737.25)</f>
        <v>737.25</v>
      </c>
      <c r="G217">
        <f ca="1">IFERROR(__xludf.DUMMYFUNCTION("""COMPUTED_VALUE"""),30)</f>
        <v>30</v>
      </c>
      <c r="H217">
        <f ca="1">IFERROR(__xludf.DUMMYFUNCTION("""COMPUTED_VALUE"""),-3)</f>
        <v>-3</v>
      </c>
    </row>
    <row r="218" spans="1:8" ht="12.75">
      <c r="A218" t="str">
        <f ca="1">IFERROR(__xludf.DUMMYFUNCTION("""COMPUTED_VALUE"""),"T217")</f>
        <v>T217</v>
      </c>
      <c r="B218" t="str">
        <f ca="1">IFERROR(__xludf.DUMMYFUNCTION("""COMPUTED_VALUE"""),"T203")</f>
        <v>T203</v>
      </c>
      <c r="C218" t="str">
        <f ca="1">IFERROR(__xludf.DUMMYFUNCTION("""COMPUTED_VALUE"""),"Abraham Ancer")</f>
        <v>Abraham Ancer</v>
      </c>
      <c r="D218">
        <f ca="1">IFERROR(__xludf.DUMMYFUNCTION("""COMPUTED_VALUE"""),16)</f>
        <v>16</v>
      </c>
      <c r="E218" t="str">
        <f ca="1">IFERROR(__xludf.DUMMYFUNCTION("""COMPUTED_VALUE"""),"24' 8""")</f>
        <v>24' 8"</v>
      </c>
      <c r="F218">
        <f ca="1">IFERROR(__xludf.DUMMYFUNCTION("""COMPUTED_VALUE"""),813.333)</f>
        <v>813.33299999999997</v>
      </c>
      <c r="G218">
        <f ca="1">IFERROR(__xludf.DUMMYFUNCTION("""COMPUTED_VALUE"""),33)</f>
        <v>33</v>
      </c>
      <c r="H218">
        <f ca="1">IFERROR(__xludf.DUMMYFUNCTION("""COMPUTED_VALUE"""),-7)</f>
        <v>-7</v>
      </c>
    </row>
    <row r="219" spans="1:8" ht="12.75">
      <c r="A219" t="str">
        <f ca="1">IFERROR(__xludf.DUMMYFUNCTION("""COMPUTED_VALUE"""),"T217")</f>
        <v>T217</v>
      </c>
      <c r="B219" t="str">
        <f ca="1">IFERROR(__xludf.DUMMYFUNCTION("""COMPUTED_VALUE"""),"T234")</f>
        <v>T234</v>
      </c>
      <c r="C219" t="str">
        <f ca="1">IFERROR(__xludf.DUMMYFUNCTION("""COMPUTED_VALUE"""),"Henrik Stenson")</f>
        <v>Henrik Stenson</v>
      </c>
      <c r="D219">
        <f ca="1">IFERROR(__xludf.DUMMYFUNCTION("""COMPUTED_VALUE"""),11)</f>
        <v>11</v>
      </c>
      <c r="E219" t="str">
        <f ca="1">IFERROR(__xludf.DUMMYFUNCTION("""COMPUTED_VALUE"""),"24' 8""")</f>
        <v>24' 8"</v>
      </c>
      <c r="F219">
        <f ca="1">IFERROR(__xludf.DUMMYFUNCTION("""COMPUTED_VALUE"""),394)</f>
        <v>394</v>
      </c>
      <c r="G219">
        <f ca="1">IFERROR(__xludf.DUMMYFUNCTION("""COMPUTED_VALUE"""),16)</f>
        <v>16</v>
      </c>
      <c r="H219">
        <f ca="1">IFERROR(__xludf.DUMMYFUNCTION("""COMPUTED_VALUE"""),-2)</f>
        <v>-2</v>
      </c>
    </row>
    <row r="220" spans="1:8" ht="12.75">
      <c r="A220">
        <f ca="1">IFERROR(__xludf.DUMMYFUNCTION("""COMPUTED_VALUE"""),219)</f>
        <v>219</v>
      </c>
      <c r="B220" t="str">
        <f ca="1">IFERROR(__xludf.DUMMYFUNCTION("""COMPUTED_VALUE"""),"T234")</f>
        <v>T234</v>
      </c>
      <c r="C220" t="str">
        <f ca="1">IFERROR(__xludf.DUMMYFUNCTION("""COMPUTED_VALUE"""),"Martin Trainer")</f>
        <v>Martin Trainer</v>
      </c>
      <c r="D220">
        <f ca="1">IFERROR(__xludf.DUMMYFUNCTION("""COMPUTED_VALUE"""),10)</f>
        <v>10</v>
      </c>
      <c r="E220" t="str">
        <f ca="1">IFERROR(__xludf.DUMMYFUNCTION("""COMPUTED_VALUE"""),"24' 9""")</f>
        <v>24' 9"</v>
      </c>
      <c r="F220">
        <f ca="1">IFERROR(__xludf.DUMMYFUNCTION("""COMPUTED_VALUE"""),371.25)</f>
        <v>371.25</v>
      </c>
      <c r="G220">
        <f ca="1">IFERROR(__xludf.DUMMYFUNCTION("""COMPUTED_VALUE"""),15)</f>
        <v>15</v>
      </c>
      <c r="H220">
        <f ca="1">IFERROR(__xludf.DUMMYFUNCTION("""COMPUTED_VALUE"""),-2)</f>
        <v>-2</v>
      </c>
    </row>
    <row r="221" spans="1:8" ht="12.75">
      <c r="A221" t="str">
        <f ca="1">IFERROR(__xludf.DUMMYFUNCTION("""COMPUTED_VALUE"""),"T220")</f>
        <v>T220</v>
      </c>
      <c r="B221" t="str">
        <f ca="1">IFERROR(__xludf.DUMMYFUNCTION("""COMPUTED_VALUE"""),"T207")</f>
        <v>T207</v>
      </c>
      <c r="C221" t="str">
        <f ca="1">IFERROR(__xludf.DUMMYFUNCTION("""COMPUTED_VALUE"""),"Patrick Cantlay")</f>
        <v>Patrick Cantlay</v>
      </c>
      <c r="D221">
        <f ca="1">IFERROR(__xludf.DUMMYFUNCTION("""COMPUTED_VALUE"""),16)</f>
        <v>16</v>
      </c>
      <c r="E221" t="str">
        <f ca="1">IFERROR(__xludf.DUMMYFUNCTION("""COMPUTED_VALUE"""),"24' 10""")</f>
        <v>24' 10"</v>
      </c>
      <c r="F221">
        <f ca="1">IFERROR(__xludf.DUMMYFUNCTION("""COMPUTED_VALUE"""),596.417)</f>
        <v>596.41700000000003</v>
      </c>
      <c r="G221">
        <f ca="1">IFERROR(__xludf.DUMMYFUNCTION("""COMPUTED_VALUE"""),24)</f>
        <v>24</v>
      </c>
      <c r="H221" t="str">
        <f ca="1">IFERROR(__xludf.DUMMYFUNCTION("""COMPUTED_VALUE"""),"+3")</f>
        <v>+3</v>
      </c>
    </row>
    <row r="222" spans="1:8" ht="12.75">
      <c r="A222" t="str">
        <f ca="1">IFERROR(__xludf.DUMMYFUNCTION("""COMPUTED_VALUE"""),"T220")</f>
        <v>T220</v>
      </c>
      <c r="B222" t="str">
        <f ca="1">IFERROR(__xludf.DUMMYFUNCTION("""COMPUTED_VALUE"""),"T207")</f>
        <v>T207</v>
      </c>
      <c r="C222" t="str">
        <f ca="1">IFERROR(__xludf.DUMMYFUNCTION("""COMPUTED_VALUE"""),"Sung Kang")</f>
        <v>Sung Kang</v>
      </c>
      <c r="D222">
        <f ca="1">IFERROR(__xludf.DUMMYFUNCTION("""COMPUTED_VALUE"""),14)</f>
        <v>14</v>
      </c>
      <c r="E222" t="str">
        <f ca="1">IFERROR(__xludf.DUMMYFUNCTION("""COMPUTED_VALUE"""),"24' 10""")</f>
        <v>24' 10"</v>
      </c>
      <c r="F222">
        <f ca="1">IFERROR(__xludf.DUMMYFUNCTION("""COMPUTED_VALUE"""),919.25)</f>
        <v>919.25</v>
      </c>
      <c r="G222">
        <f ca="1">IFERROR(__xludf.DUMMYFUNCTION("""COMPUTED_VALUE"""),37)</f>
        <v>37</v>
      </c>
      <c r="H222" t="str">
        <f ca="1">IFERROR(__xludf.DUMMYFUNCTION("""COMPUTED_VALUE"""),"+7")</f>
        <v>+7</v>
      </c>
    </row>
    <row r="223" spans="1:8" ht="12.75">
      <c r="A223" t="str">
        <f ca="1">IFERROR(__xludf.DUMMYFUNCTION("""COMPUTED_VALUE"""),"T220")</f>
        <v>T220</v>
      </c>
      <c r="B223" t="str">
        <f ca="1">IFERROR(__xludf.DUMMYFUNCTION("""COMPUTED_VALUE"""),"T212")</f>
        <v>T212</v>
      </c>
      <c r="C223" t="str">
        <f ca="1">IFERROR(__xludf.DUMMYFUNCTION("""COMPUTED_VALUE"""),"Brian Harman")</f>
        <v>Brian Harman</v>
      </c>
      <c r="D223">
        <f ca="1">IFERROR(__xludf.DUMMYFUNCTION("""COMPUTED_VALUE"""),24)</f>
        <v>24</v>
      </c>
      <c r="E223" t="str">
        <f ca="1">IFERROR(__xludf.DUMMYFUNCTION("""COMPUTED_VALUE"""),"24' 10""")</f>
        <v>24' 10"</v>
      </c>
      <c r="F223" s="2">
        <f ca="1">IFERROR(__xludf.DUMMYFUNCTION("""COMPUTED_VALUE"""),1242.5)</f>
        <v>1242.5</v>
      </c>
      <c r="G223">
        <f ca="1">IFERROR(__xludf.DUMMYFUNCTION("""COMPUTED_VALUE"""),50)</f>
        <v>50</v>
      </c>
      <c r="H223">
        <f ca="1">IFERROR(__xludf.DUMMYFUNCTION("""COMPUTED_VALUE"""),-5)</f>
        <v>-5</v>
      </c>
    </row>
    <row r="224" spans="1:8" ht="12.75">
      <c r="A224">
        <f ca="1">IFERROR(__xludf.DUMMYFUNCTION("""COMPUTED_VALUE"""),223)</f>
        <v>223</v>
      </c>
      <c r="B224">
        <f ca="1">IFERROR(__xludf.DUMMYFUNCTION("""COMPUTED_VALUE"""),255)</f>
        <v>255</v>
      </c>
      <c r="C224" t="str">
        <f ca="1">IFERROR(__xludf.DUMMYFUNCTION("""COMPUTED_VALUE"""),"Matthew NeSmith")</f>
        <v>Matthew NeSmith</v>
      </c>
      <c r="D224">
        <f ca="1">IFERROR(__xludf.DUMMYFUNCTION("""COMPUTED_VALUE"""),16)</f>
        <v>16</v>
      </c>
      <c r="E224" t="str">
        <f ca="1">IFERROR(__xludf.DUMMYFUNCTION("""COMPUTED_VALUE"""),"24' 11""")</f>
        <v>24' 11"</v>
      </c>
      <c r="F224">
        <f ca="1">IFERROR(__xludf.DUMMYFUNCTION("""COMPUTED_VALUE"""),598)</f>
        <v>598</v>
      </c>
      <c r="G224">
        <f ca="1">IFERROR(__xludf.DUMMYFUNCTION("""COMPUTED_VALUE"""),24)</f>
        <v>24</v>
      </c>
      <c r="H224">
        <f ca="1">IFERROR(__xludf.DUMMYFUNCTION("""COMPUTED_VALUE"""),-7)</f>
        <v>-7</v>
      </c>
    </row>
    <row r="225" spans="1:8" ht="12.75">
      <c r="A225" t="str">
        <f ca="1">IFERROR(__xludf.DUMMYFUNCTION("""COMPUTED_VALUE"""),"T224")</f>
        <v>T224</v>
      </c>
      <c r="B225" t="str">
        <f ca="1">IFERROR(__xludf.DUMMYFUNCTION("""COMPUTED_VALUE"""),"T212")</f>
        <v>T212</v>
      </c>
      <c r="C225" t="str">
        <f ca="1">IFERROR(__xludf.DUMMYFUNCTION("""COMPUTED_VALUE"""),"Seonghyeon Kim")</f>
        <v>Seonghyeon Kim</v>
      </c>
      <c r="D225">
        <f ca="1">IFERROR(__xludf.DUMMYFUNCTION("""COMPUTED_VALUE"""),4)</f>
        <v>4</v>
      </c>
      <c r="E225" t="str">
        <f ca="1">IFERROR(__xludf.DUMMYFUNCTION("""COMPUTED_VALUE"""),"25' 0""")</f>
        <v>25' 0"</v>
      </c>
      <c r="F225">
        <f ca="1">IFERROR(__xludf.DUMMYFUNCTION("""COMPUTED_VALUE"""),274.583)</f>
        <v>274.58300000000003</v>
      </c>
      <c r="G225">
        <f ca="1">IFERROR(__xludf.DUMMYFUNCTION("""COMPUTED_VALUE"""),11)</f>
        <v>11</v>
      </c>
      <c r="H225">
        <f ca="1">IFERROR(__xludf.DUMMYFUNCTION("""COMPUTED_VALUE"""),-1)</f>
        <v>-1</v>
      </c>
    </row>
    <row r="226" spans="1:8" ht="12.75">
      <c r="A226" t="str">
        <f ca="1">IFERROR(__xludf.DUMMYFUNCTION("""COMPUTED_VALUE"""),"T224")</f>
        <v>T224</v>
      </c>
      <c r="B226">
        <f ca="1">IFERROR(__xludf.DUMMYFUNCTION("""COMPUTED_VALUE"""),231)</f>
        <v>231</v>
      </c>
      <c r="C226" t="str">
        <f ca="1">IFERROR(__xludf.DUMMYFUNCTION("""COMPUTED_VALUE"""),"Sergio Garcia")</f>
        <v>Sergio Garcia</v>
      </c>
      <c r="D226">
        <f ca="1">IFERROR(__xludf.DUMMYFUNCTION("""COMPUTED_VALUE"""),18)</f>
        <v>18</v>
      </c>
      <c r="E226" t="str">
        <f ca="1">IFERROR(__xludf.DUMMYFUNCTION("""COMPUTED_VALUE"""),"25' 0""")</f>
        <v>25' 0"</v>
      </c>
      <c r="F226">
        <f ca="1">IFERROR(__xludf.DUMMYFUNCTION("""COMPUTED_VALUE"""),850.583)</f>
        <v>850.58299999999997</v>
      </c>
      <c r="G226">
        <f ca="1">IFERROR(__xludf.DUMMYFUNCTION("""COMPUTED_VALUE"""),34)</f>
        <v>34</v>
      </c>
      <c r="H226">
        <f ca="1">IFERROR(__xludf.DUMMYFUNCTION("""COMPUTED_VALUE"""),-1)</f>
        <v>-1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IFERROR(__xludf.DUMMYFUNCTION("""COMPUTED_VALUE"""),"T216")</f>
        <v>T216</v>
      </c>
      <c r="C227" t="str">
        <f ca="1">IFERROR(__xludf.DUMMYFUNCTION("""COMPUTED_VALUE"""),"Justin Rose")</f>
        <v>Justin Rose</v>
      </c>
      <c r="D227">
        <f ca="1">IFERROR(__xludf.DUMMYFUNCTION("""COMPUTED_VALUE"""),10)</f>
        <v>10</v>
      </c>
      <c r="E227" t="str">
        <f ca="1">IFERROR(__xludf.DUMMYFUNCTION("""COMPUTED_VALUE"""),"25' 2""")</f>
        <v>25' 2"</v>
      </c>
      <c r="F227">
        <f ca="1">IFERROR(__xludf.DUMMYFUNCTION("""COMPUTED_VALUE"""),352.5)</f>
        <v>352.5</v>
      </c>
      <c r="G227">
        <f ca="1">IFERROR(__xludf.DUMMYFUNCTION("""COMPUTED_VALUE"""),14)</f>
        <v>14</v>
      </c>
      <c r="H227">
        <f ca="1">IFERROR(__xludf.DUMMYFUNCTION("""COMPUTED_VALUE"""),-1)</f>
        <v>-1</v>
      </c>
    </row>
    <row r="228" spans="1:8" ht="12.75">
      <c r="A228" t="str">
        <f ca="1">IFERROR(__xludf.DUMMYFUNCTION("""COMPUTED_VALUE"""),"T226")</f>
        <v>T226</v>
      </c>
      <c r="B228">
        <f ca="1">IFERROR(__xludf.DUMMYFUNCTION("""COMPUTED_VALUE"""),215)</f>
        <v>215</v>
      </c>
      <c r="C228" t="str">
        <f ca="1">IFERROR(__xludf.DUMMYFUNCTION("""COMPUTED_VALUE"""),"Jason Day")</f>
        <v>Jason Day</v>
      </c>
      <c r="D228">
        <f ca="1">IFERROR(__xludf.DUMMYFUNCTION("""COMPUTED_VALUE"""),17)</f>
        <v>17</v>
      </c>
      <c r="E228" t="str">
        <f ca="1">IFERROR(__xludf.DUMMYFUNCTION("""COMPUTED_VALUE"""),"25' 2""")</f>
        <v>25' 2"</v>
      </c>
      <c r="F228">
        <f ca="1">IFERROR(__xludf.DUMMYFUNCTION("""COMPUTED_VALUE"""),729.75)</f>
        <v>729.75</v>
      </c>
      <c r="G228">
        <f ca="1">IFERROR(__xludf.DUMMYFUNCTION("""COMPUTED_VALUE"""),29)</f>
        <v>29</v>
      </c>
      <c r="H228" t="str">
        <f ca="1">IFERROR(__xludf.DUMMYFUNCTION("""COMPUTED_VALUE"""),"E")</f>
        <v>E</v>
      </c>
    </row>
    <row r="229" spans="1:8" ht="12.75">
      <c r="A229" t="str">
        <f ca="1">IFERROR(__xludf.DUMMYFUNCTION("""COMPUTED_VALUE"""),"T226")</f>
        <v>T226</v>
      </c>
      <c r="B229" t="str">
        <f ca="1">IFERROR(__xludf.DUMMYFUNCTION("""COMPUTED_VALUE"""),"T216")</f>
        <v>T216</v>
      </c>
      <c r="C229" t="str">
        <f ca="1">IFERROR(__xludf.DUMMYFUNCTION("""COMPUTED_VALUE"""),"Romain Langasque")</f>
        <v>Romain Langasque</v>
      </c>
      <c r="D229">
        <f ca="1">IFERROR(__xludf.DUMMYFUNCTION("""COMPUTED_VALUE"""),4)</f>
        <v>4</v>
      </c>
      <c r="E229" t="str">
        <f ca="1">IFERROR(__xludf.DUMMYFUNCTION("""COMPUTED_VALUE"""),"25' 2""")</f>
        <v>25' 2"</v>
      </c>
      <c r="F229">
        <f ca="1">IFERROR(__xludf.DUMMYFUNCTION("""COMPUTED_VALUE"""),201.333)</f>
        <v>201.333</v>
      </c>
      <c r="G229">
        <f ca="1">IFERROR(__xludf.DUMMYFUNCTION("""COMPUTED_VALUE"""),8)</f>
        <v>8</v>
      </c>
      <c r="H229" t="str">
        <f ca="1">IFERROR(__xludf.DUMMYFUNCTION("""COMPUTED_VALUE"""),"E")</f>
        <v>E</v>
      </c>
    </row>
    <row r="230" spans="1:8" ht="12.75">
      <c r="A230" t="str">
        <f ca="1">IFERROR(__xludf.DUMMYFUNCTION("""COMPUTED_VALUE"""),"T229")</f>
        <v>T229</v>
      </c>
      <c r="B230" t="str">
        <f ca="1">IFERROR(__xludf.DUMMYFUNCTION("""COMPUTED_VALUE"""),"T242")</f>
        <v>T242</v>
      </c>
      <c r="C230" t="str">
        <f ca="1">IFERROR(__xludf.DUMMYFUNCTION("""COMPUTED_VALUE"""),"Maverick McNealy")</f>
        <v>Maverick McNealy</v>
      </c>
      <c r="D230">
        <f ca="1">IFERROR(__xludf.DUMMYFUNCTION("""COMPUTED_VALUE"""),16)</f>
        <v>16</v>
      </c>
      <c r="E230" t="str">
        <f ca="1">IFERROR(__xludf.DUMMYFUNCTION("""COMPUTED_VALUE"""),"25' 3""")</f>
        <v>25' 3"</v>
      </c>
      <c r="F230">
        <f ca="1">IFERROR(__xludf.DUMMYFUNCTION("""COMPUTED_VALUE"""),630.667)</f>
        <v>630.66700000000003</v>
      </c>
      <c r="G230">
        <f ca="1">IFERROR(__xludf.DUMMYFUNCTION("""COMPUTED_VALUE"""),25)</f>
        <v>25</v>
      </c>
      <c r="H230">
        <f ca="1">IFERROR(__xludf.DUMMYFUNCTION("""COMPUTED_VALUE"""),-8)</f>
        <v>-8</v>
      </c>
    </row>
    <row r="231" spans="1:8" ht="12.75">
      <c r="A231" t="str">
        <f ca="1">IFERROR(__xludf.DUMMYFUNCTION("""COMPUTED_VALUE"""),"T229")</f>
        <v>T229</v>
      </c>
      <c r="B231" t="str">
        <f ca="1">IFERROR(__xludf.DUMMYFUNCTION("""COMPUTED_VALUE"""),"T219")</f>
        <v>T219</v>
      </c>
      <c r="C231" t="str">
        <f ca="1">IFERROR(__xludf.DUMMYFUNCTION("""COMPUTED_VALUE"""),"Vincent Whaley")</f>
        <v>Vincent Whaley</v>
      </c>
      <c r="D231">
        <f ca="1">IFERROR(__xludf.DUMMYFUNCTION("""COMPUTED_VALUE"""),14)</f>
        <v>14</v>
      </c>
      <c r="E231" t="str">
        <f ca="1">IFERROR(__xludf.DUMMYFUNCTION("""COMPUTED_VALUE"""),"25' 3""")</f>
        <v>25' 3"</v>
      </c>
      <c r="F231">
        <f ca="1">IFERROR(__xludf.DUMMYFUNCTION("""COMPUTED_VALUE"""),455.167)</f>
        <v>455.16699999999997</v>
      </c>
      <c r="G231">
        <f ca="1">IFERROR(__xludf.DUMMYFUNCTION("""COMPUTED_VALUE"""),18)</f>
        <v>18</v>
      </c>
      <c r="H231" t="str">
        <f ca="1">IFERROR(__xludf.DUMMYFUNCTION("""COMPUTED_VALUE"""),"E")</f>
        <v>E</v>
      </c>
    </row>
    <row r="232" spans="1:8" ht="12.75">
      <c r="A232" t="str">
        <f ca="1">IFERROR(__xludf.DUMMYFUNCTION("""COMPUTED_VALUE"""),"T229")</f>
        <v>T229</v>
      </c>
      <c r="B232" t="str">
        <f ca="1">IFERROR(__xludf.DUMMYFUNCTION("""COMPUTED_VALUE"""),"T219")</f>
        <v>T219</v>
      </c>
      <c r="C232" t="str">
        <f ca="1">IFERROR(__xludf.DUMMYFUNCTION("""COMPUTED_VALUE"""),"Shawn Stefani")</f>
        <v>Shawn Stefani</v>
      </c>
      <c r="D232">
        <f ca="1">IFERROR(__xludf.DUMMYFUNCTION("""COMPUTED_VALUE"""),5)</f>
        <v>5</v>
      </c>
      <c r="E232" t="str">
        <f ca="1">IFERROR(__xludf.DUMMYFUNCTION("""COMPUTED_VALUE"""),"25' 3""")</f>
        <v>25' 3"</v>
      </c>
      <c r="F232">
        <f ca="1">IFERROR(__xludf.DUMMYFUNCTION("""COMPUTED_VALUE"""),151.417)</f>
        <v>151.417</v>
      </c>
      <c r="G232">
        <f ca="1">IFERROR(__xludf.DUMMYFUNCTION("""COMPUTED_VALUE"""),6)</f>
        <v>6</v>
      </c>
      <c r="H232">
        <f ca="1">IFERROR(__xludf.DUMMYFUNCTION("""COMPUTED_VALUE"""),-2)</f>
        <v>-2</v>
      </c>
    </row>
    <row r="233" spans="1:8" ht="12.75">
      <c r="A233">
        <f ca="1">IFERROR(__xludf.DUMMYFUNCTION("""COMPUTED_VALUE"""),232)</f>
        <v>232</v>
      </c>
      <c r="B233">
        <f ca="1">IFERROR(__xludf.DUMMYFUNCTION("""COMPUTED_VALUE"""),192)</f>
        <v>192</v>
      </c>
      <c r="C233" t="str">
        <f ca="1">IFERROR(__xludf.DUMMYFUNCTION("""COMPUTED_VALUE"""),"Scott Harrington")</f>
        <v>Scott Harrington</v>
      </c>
      <c r="D233">
        <f ca="1">IFERROR(__xludf.DUMMYFUNCTION("""COMPUTED_VALUE"""),18)</f>
        <v>18</v>
      </c>
      <c r="E233" t="str">
        <f ca="1">IFERROR(__xludf.DUMMYFUNCTION("""COMPUTED_VALUE"""),"25' 4""")</f>
        <v>25' 4"</v>
      </c>
      <c r="F233">
        <f ca="1">IFERROR(__xludf.DUMMYFUNCTION("""COMPUTED_VALUE"""),657.75)</f>
        <v>657.75</v>
      </c>
      <c r="G233">
        <f ca="1">IFERROR(__xludf.DUMMYFUNCTION("""COMPUTED_VALUE"""),26)</f>
        <v>26</v>
      </c>
      <c r="H233">
        <f ca="1">IFERROR(__xludf.DUMMYFUNCTION("""COMPUTED_VALUE"""),-1)</f>
        <v>-1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IFERROR(__xludf.DUMMYFUNCTION("""COMPUTED_VALUE"""),238)</f>
        <v>238</v>
      </c>
      <c r="C234" t="str">
        <f ca="1">IFERROR(__xludf.DUMMYFUNCTION("""COMPUTED_VALUE"""),"Tom Lewis")</f>
        <v>Tom Lewis</v>
      </c>
      <c r="D234">
        <f ca="1">IFERROR(__xludf.DUMMYFUNCTION("""COMPUTED_VALUE"""),12)</f>
        <v>12</v>
      </c>
      <c r="E234" t="str">
        <f ca="1">IFERROR(__xludf.DUMMYFUNCTION("""COMPUTED_VALUE"""),"25' 5""")</f>
        <v>25' 5"</v>
      </c>
      <c r="F234">
        <f ca="1">IFERROR(__xludf.DUMMYFUNCTION("""COMPUTED_VALUE"""),533.667)</f>
        <v>533.66700000000003</v>
      </c>
      <c r="G234">
        <f ca="1">IFERROR(__xludf.DUMMYFUNCTION("""COMPUTED_VALUE"""),21)</f>
        <v>21</v>
      </c>
      <c r="H234" t="str">
        <f ca="1">IFERROR(__xludf.DUMMYFUNCTION("""COMPUTED_VALUE"""),"+1")</f>
        <v>+1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IFERROR(__xludf.DUMMYFUNCTION("""COMPUTED_VALUE"""),"T205")</f>
        <v>T205</v>
      </c>
      <c r="C235" t="str">
        <f ca="1">IFERROR(__xludf.DUMMYFUNCTION("""COMPUTED_VALUE"""),"Beau Hossler")</f>
        <v>Beau Hossler</v>
      </c>
      <c r="D235">
        <f ca="1">IFERROR(__xludf.DUMMYFUNCTION("""COMPUTED_VALUE"""),22)</f>
        <v>22</v>
      </c>
      <c r="E235" t="str">
        <f ca="1">IFERROR(__xludf.DUMMYFUNCTION("""COMPUTED_VALUE"""),"25' 6""")</f>
        <v>25' 6"</v>
      </c>
      <c r="F235">
        <f ca="1">IFERROR(__xludf.DUMMYFUNCTION("""COMPUTED_VALUE"""),586)</f>
        <v>586</v>
      </c>
      <c r="G235">
        <f ca="1">IFERROR(__xludf.DUMMYFUNCTION("""COMPUTED_VALUE"""),23)</f>
        <v>23</v>
      </c>
      <c r="H235" t="str">
        <f ca="1">IFERROR(__xludf.DUMMYFUNCTION("""COMPUTED_VALUE"""),"+4")</f>
        <v>+4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IFERROR(__xludf.DUMMYFUNCTION("""COMPUTED_VALUE"""),"T177")</f>
        <v>T177</v>
      </c>
      <c r="C236" t="str">
        <f ca="1">IFERROR(__xludf.DUMMYFUNCTION("""COMPUTED_VALUE"""),"Cameron Davis")</f>
        <v>Cameron Davis</v>
      </c>
      <c r="D236">
        <f ca="1">IFERROR(__xludf.DUMMYFUNCTION("""COMPUTED_VALUE"""),16)</f>
        <v>16</v>
      </c>
      <c r="E236" t="str">
        <f ca="1">IFERROR(__xludf.DUMMYFUNCTION("""COMPUTED_VALUE"""),"25' 6""")</f>
        <v>25' 6"</v>
      </c>
      <c r="F236">
        <f ca="1">IFERROR(__xludf.DUMMYFUNCTION("""COMPUTED_VALUE"""),766.167)</f>
        <v>766.16700000000003</v>
      </c>
      <c r="G236">
        <f ca="1">IFERROR(__xludf.DUMMYFUNCTION("""COMPUTED_VALUE"""),30)</f>
        <v>30</v>
      </c>
      <c r="H236" t="str">
        <f ca="1">IFERROR(__xludf.DUMMYFUNCTION("""COMPUTED_VALUE"""),"+2")</f>
        <v>+2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IFERROR(__xludf.DUMMYFUNCTION("""COMPUTED_VALUE"""),"T216")</f>
        <v>T216</v>
      </c>
      <c r="C237" t="str">
        <f ca="1">IFERROR(__xludf.DUMMYFUNCTION("""COMPUTED_VALUE"""),"Matt Jones")</f>
        <v>Matt Jones</v>
      </c>
      <c r="D237">
        <f ca="1">IFERROR(__xludf.DUMMYFUNCTION("""COMPUTED_VALUE"""),20)</f>
        <v>20</v>
      </c>
      <c r="E237" t="str">
        <f ca="1">IFERROR(__xludf.DUMMYFUNCTION("""COMPUTED_VALUE"""),"25' 6""")</f>
        <v>25' 6"</v>
      </c>
      <c r="F237">
        <f ca="1">IFERROR(__xludf.DUMMYFUNCTION("""COMPUTED_VALUE"""),637.75)</f>
        <v>637.75</v>
      </c>
      <c r="G237">
        <f ca="1">IFERROR(__xludf.DUMMYFUNCTION("""COMPUTED_VALUE"""),25)</f>
        <v>25</v>
      </c>
      <c r="H237">
        <f ca="1">IFERROR(__xludf.DUMMYFUNCTION("""COMPUTED_VALUE"""),-2)</f>
        <v>-2</v>
      </c>
    </row>
    <row r="238" spans="1:8" ht="12.75">
      <c r="A238">
        <f ca="1">IFERROR(__xludf.DUMMYFUNCTION("""COMPUTED_VALUE"""),237)</f>
        <v>237</v>
      </c>
      <c r="B238">
        <f ca="1">IFERROR(__xludf.DUMMYFUNCTION("""COMPUTED_VALUE"""),221)</f>
        <v>221</v>
      </c>
      <c r="C238" t="str">
        <f ca="1">IFERROR(__xludf.DUMMYFUNCTION("""COMPUTED_VALUE"""),"Ryo Ishikawa")</f>
        <v>Ryo Ishikawa</v>
      </c>
      <c r="D238">
        <f ca="1">IFERROR(__xludf.DUMMYFUNCTION("""COMPUTED_VALUE"""),8)</f>
        <v>8</v>
      </c>
      <c r="E238" t="str">
        <f ca="1">IFERROR(__xludf.DUMMYFUNCTION("""COMPUTED_VALUE"""),"25' 7""")</f>
        <v>25' 7"</v>
      </c>
      <c r="F238">
        <f ca="1">IFERROR(__xludf.DUMMYFUNCTION("""COMPUTED_VALUE"""),306.5)</f>
        <v>306.5</v>
      </c>
      <c r="G238">
        <f ca="1">IFERROR(__xludf.DUMMYFUNCTION("""COMPUTED_VALUE"""),12)</f>
        <v>12</v>
      </c>
      <c r="H238" t="str">
        <f ca="1">IFERROR(__xludf.DUMMYFUNCTION("""COMPUTED_VALUE"""),"E")</f>
        <v>E</v>
      </c>
    </row>
    <row r="239" spans="1:8" ht="12.75">
      <c r="A239">
        <f ca="1">IFERROR(__xludf.DUMMYFUNCTION("""COMPUTED_VALUE"""),238)</f>
        <v>238</v>
      </c>
      <c r="B239" t="str">
        <f ca="1">IFERROR(__xludf.DUMMYFUNCTION("""COMPUTED_VALUE"""),"T222")</f>
        <v>T222</v>
      </c>
      <c r="C239" t="str">
        <f ca="1">IFERROR(__xludf.DUMMYFUNCTION("""COMPUTED_VALUE"""),"Paul Casey")</f>
        <v>Paul Casey</v>
      </c>
      <c r="D239">
        <f ca="1">IFERROR(__xludf.DUMMYFUNCTION("""COMPUTED_VALUE"""),14)</f>
        <v>14</v>
      </c>
      <c r="E239" t="str">
        <f ca="1">IFERROR(__xludf.DUMMYFUNCTION("""COMPUTED_VALUE"""),"25' 9""")</f>
        <v>25' 9"</v>
      </c>
      <c r="F239">
        <f ca="1">IFERROR(__xludf.DUMMYFUNCTION("""COMPUTED_VALUE"""),644.083)</f>
        <v>644.08299999999997</v>
      </c>
      <c r="G239">
        <f ca="1">IFERROR(__xludf.DUMMYFUNCTION("""COMPUTED_VALUE"""),25)</f>
        <v>25</v>
      </c>
      <c r="H239">
        <f ca="1">IFERROR(__xludf.DUMMYFUNCTION("""COMPUTED_VALUE"""),-2)</f>
        <v>-2</v>
      </c>
    </row>
    <row r="240" spans="1:8" ht="12.75">
      <c r="A240" t="str">
        <f ca="1">IFERROR(__xludf.DUMMYFUNCTION("""COMPUTED_VALUE"""),"T239")</f>
        <v>T239</v>
      </c>
      <c r="B240" t="str">
        <f ca="1">IFERROR(__xludf.DUMMYFUNCTION("""COMPUTED_VALUE"""),"T224")</f>
        <v>T224</v>
      </c>
      <c r="C240" t="str">
        <f ca="1">IFERROR(__xludf.DUMMYFUNCTION("""COMPUTED_VALUE"""),"Kevin Na")</f>
        <v>Kevin Na</v>
      </c>
      <c r="D240">
        <f ca="1">IFERROR(__xludf.DUMMYFUNCTION("""COMPUTED_VALUE"""),14)</f>
        <v>14</v>
      </c>
      <c r="E240" t="str">
        <f ca="1">IFERROR(__xludf.DUMMYFUNCTION("""COMPUTED_VALUE"""),"25' 11""")</f>
        <v>25' 11"</v>
      </c>
      <c r="F240">
        <f ca="1">IFERROR(__xludf.DUMMYFUNCTION("""COMPUTED_VALUE"""),908)</f>
        <v>908</v>
      </c>
      <c r="G240">
        <f ca="1">IFERROR(__xludf.DUMMYFUNCTION("""COMPUTED_VALUE"""),35)</f>
        <v>35</v>
      </c>
      <c r="H240" t="str">
        <f ca="1">IFERROR(__xludf.DUMMYFUNCTION("""COMPUTED_VALUE"""),"E")</f>
        <v>E</v>
      </c>
    </row>
    <row r="241" spans="1:8" ht="12.75">
      <c r="A241" t="str">
        <f ca="1">IFERROR(__xludf.DUMMYFUNCTION("""COMPUTED_VALUE"""),"T239")</f>
        <v>T239</v>
      </c>
      <c r="B241" t="str">
        <f ca="1">IFERROR(__xludf.DUMMYFUNCTION("""COMPUTED_VALUE"""),"T224")</f>
        <v>T224</v>
      </c>
      <c r="C241" t="str">
        <f ca="1">IFERROR(__xludf.DUMMYFUNCTION("""COMPUTED_VALUE"""),"Shaun Norris")</f>
        <v>Shaun Norris</v>
      </c>
      <c r="D241">
        <f ca="1">IFERROR(__xludf.DUMMYFUNCTION("""COMPUTED_VALUE"""),6)</f>
        <v>6</v>
      </c>
      <c r="E241" t="str">
        <f ca="1">IFERROR(__xludf.DUMMYFUNCTION("""COMPUTED_VALUE"""),"25' 11""")</f>
        <v>25' 11"</v>
      </c>
      <c r="F241">
        <f ca="1">IFERROR(__xludf.DUMMYFUNCTION("""COMPUTED_VALUE"""),207.417)</f>
        <v>207.417</v>
      </c>
      <c r="G241">
        <f ca="1">IFERROR(__xludf.DUMMYFUNCTION("""COMPUTED_VALUE"""),8)</f>
        <v>8</v>
      </c>
      <c r="H241">
        <f ca="1">IFERROR(__xludf.DUMMYFUNCTION("""COMPUTED_VALUE"""),-2)</f>
        <v>-2</v>
      </c>
    </row>
    <row r="242" spans="1:8" ht="12.75">
      <c r="A242">
        <f ca="1">IFERROR(__xludf.DUMMYFUNCTION("""COMPUTED_VALUE"""),241)</f>
        <v>241</v>
      </c>
      <c r="B242" t="str">
        <f ca="1">IFERROR(__xludf.DUMMYFUNCTION("""COMPUTED_VALUE"""),"")</f>
        <v/>
      </c>
      <c r="C242" t="str">
        <f ca="1">IFERROR(__xludf.DUMMYFUNCTION("""COMPUTED_VALUE"""),"Ollie Schniederjans")</f>
        <v>Ollie Schniederjans</v>
      </c>
      <c r="D242">
        <f ca="1">IFERROR(__xludf.DUMMYFUNCTION("""COMPUTED_VALUE"""),6)</f>
        <v>6</v>
      </c>
      <c r="E242" t="str">
        <f ca="1">IFERROR(__xludf.DUMMYFUNCTION("""COMPUTED_VALUE"""),"26' 0""")</f>
        <v>26' 0"</v>
      </c>
      <c r="F242">
        <f ca="1">IFERROR(__xludf.DUMMYFUNCTION("""COMPUTED_VALUE"""),155.917)</f>
        <v>155.917</v>
      </c>
      <c r="G242">
        <f ca="1">IFERROR(__xludf.DUMMYFUNCTION("""COMPUTED_VALUE"""),6)</f>
        <v>6</v>
      </c>
      <c r="H242">
        <f ca="1">IFERROR(__xludf.DUMMYFUNCTION("""COMPUTED_VALUE"""),-2)</f>
        <v>-2</v>
      </c>
    </row>
    <row r="243" spans="1:8" ht="12.75">
      <c r="A243" t="str">
        <f ca="1">IFERROR(__xludf.DUMMYFUNCTION("""COMPUTED_VALUE"""),"T242")</f>
        <v>T242</v>
      </c>
      <c r="B243">
        <f ca="1">IFERROR(__xludf.DUMMYFUNCTION("""COMPUTED_VALUE"""),228)</f>
        <v>228</v>
      </c>
      <c r="C243" t="str">
        <f ca="1">IFERROR(__xludf.DUMMYFUNCTION("""COMPUTED_VALUE"""),"Robert MacIntyre")</f>
        <v>Robert MacIntyre</v>
      </c>
      <c r="D243">
        <f ca="1">IFERROR(__xludf.DUMMYFUNCTION("""COMPUTED_VALUE"""),4)</f>
        <v>4</v>
      </c>
      <c r="E243" t="str">
        <f ca="1">IFERROR(__xludf.DUMMYFUNCTION("""COMPUTED_VALUE"""),"26' 1""")</f>
        <v>26' 1"</v>
      </c>
      <c r="F243">
        <f ca="1">IFERROR(__xludf.DUMMYFUNCTION("""COMPUTED_VALUE"""),130.333)</f>
        <v>130.333</v>
      </c>
      <c r="G243">
        <f ca="1">IFERROR(__xludf.DUMMYFUNCTION("""COMPUTED_VALUE"""),5)</f>
        <v>5</v>
      </c>
      <c r="H243">
        <f ca="1">IFERROR(__xludf.DUMMYFUNCTION("""COMPUTED_VALUE"""),-2)</f>
        <v>-2</v>
      </c>
    </row>
    <row r="244" spans="1:8" ht="12.75">
      <c r="A244" t="str">
        <f ca="1">IFERROR(__xludf.DUMMYFUNCTION("""COMPUTED_VALUE"""),"T242")</f>
        <v>T242</v>
      </c>
      <c r="B244" t="str">
        <f ca="1">IFERROR(__xludf.DUMMYFUNCTION("""COMPUTED_VALUE"""),"T240")</f>
        <v>T240</v>
      </c>
      <c r="C244" t="str">
        <f ca="1">IFERROR(__xludf.DUMMYFUNCTION("""COMPUTED_VALUE"""),"Sean O'Hair")</f>
        <v>Sean O'Hair</v>
      </c>
      <c r="D244">
        <f ca="1">IFERROR(__xludf.DUMMYFUNCTION("""COMPUTED_VALUE"""),14)</f>
        <v>14</v>
      </c>
      <c r="E244" t="str">
        <f ca="1">IFERROR(__xludf.DUMMYFUNCTION("""COMPUTED_VALUE"""),"26' 1""")</f>
        <v>26' 1"</v>
      </c>
      <c r="F244">
        <f ca="1">IFERROR(__xludf.DUMMYFUNCTION("""COMPUTED_VALUE"""),625.667)</f>
        <v>625.66700000000003</v>
      </c>
      <c r="G244">
        <f ca="1">IFERROR(__xludf.DUMMYFUNCTION("""COMPUTED_VALUE"""),24)</f>
        <v>24</v>
      </c>
      <c r="H244">
        <f ca="1">IFERROR(__xludf.DUMMYFUNCTION("""COMPUTED_VALUE"""),-1)</f>
        <v>-1</v>
      </c>
    </row>
    <row r="245" spans="1:8" ht="12.75">
      <c r="A245" t="str">
        <f ca="1">IFERROR(__xludf.DUMMYFUNCTION("""COMPUTED_VALUE"""),"T242")</f>
        <v>T242</v>
      </c>
      <c r="B245" t="str">
        <f ca="1">IFERROR(__xludf.DUMMYFUNCTION("""COMPUTED_VALUE"""),"T197")</f>
        <v>T197</v>
      </c>
      <c r="C245" t="str">
        <f ca="1">IFERROR(__xludf.DUMMYFUNCTION("""COMPUTED_VALUE"""),"James Hahn")</f>
        <v>James Hahn</v>
      </c>
      <c r="D245">
        <f ca="1">IFERROR(__xludf.DUMMYFUNCTION("""COMPUTED_VALUE"""),16)</f>
        <v>16</v>
      </c>
      <c r="E245" t="str">
        <f ca="1">IFERROR(__xludf.DUMMYFUNCTION("""COMPUTED_VALUE"""),"26' 1""")</f>
        <v>26' 1"</v>
      </c>
      <c r="F245">
        <f ca="1">IFERROR(__xludf.DUMMYFUNCTION("""COMPUTED_VALUE"""),913.333)</f>
        <v>913.33299999999997</v>
      </c>
      <c r="G245">
        <f ca="1">IFERROR(__xludf.DUMMYFUNCTION("""COMPUTED_VALUE"""),35)</f>
        <v>35</v>
      </c>
      <c r="H245">
        <f ca="1">IFERROR(__xludf.DUMMYFUNCTION("""COMPUTED_VALUE"""),-6)</f>
        <v>-6</v>
      </c>
    </row>
    <row r="246" spans="1:8" ht="12.75">
      <c r="A246">
        <f ca="1">IFERROR(__xludf.DUMMYFUNCTION("""COMPUTED_VALUE"""),245)</f>
        <v>245</v>
      </c>
      <c r="B246">
        <f ca="1">IFERROR(__xludf.DUMMYFUNCTION("""COMPUTED_VALUE"""),232)</f>
        <v>232</v>
      </c>
      <c r="C246" t="str">
        <f ca="1">IFERROR(__xludf.DUMMYFUNCTION("""COMPUTED_VALUE"""),"Kevin Tway")</f>
        <v>Kevin Tway</v>
      </c>
      <c r="D246">
        <f ca="1">IFERROR(__xludf.DUMMYFUNCTION("""COMPUTED_VALUE"""),16)</f>
        <v>16</v>
      </c>
      <c r="E246" t="str">
        <f ca="1">IFERROR(__xludf.DUMMYFUNCTION("""COMPUTED_VALUE"""),"26' 2""")</f>
        <v>26' 2"</v>
      </c>
      <c r="F246">
        <f ca="1">IFERROR(__xludf.DUMMYFUNCTION("""COMPUTED_VALUE"""),497.333)</f>
        <v>497.33300000000003</v>
      </c>
      <c r="G246">
        <f ca="1">IFERROR(__xludf.DUMMYFUNCTION("""COMPUTED_VALUE"""),19)</f>
        <v>19</v>
      </c>
      <c r="H246">
        <f ca="1">IFERROR(__xludf.DUMMYFUNCTION("""COMPUTED_VALUE"""),-3)</f>
        <v>-3</v>
      </c>
    </row>
    <row r="247" spans="1:8" ht="12.75">
      <c r="A247">
        <f ca="1">IFERROR(__xludf.DUMMYFUNCTION("""COMPUTED_VALUE"""),246)</f>
        <v>246</v>
      </c>
      <c r="B247" t="str">
        <f ca="1">IFERROR(__xludf.DUMMYFUNCTION("""COMPUTED_VALUE"""),"")</f>
        <v/>
      </c>
      <c r="C247" t="str">
        <f ca="1">IFERROR(__xludf.DUMMYFUNCTION("""COMPUTED_VALUE"""),"Justin Harding")</f>
        <v>Justin Harding</v>
      </c>
      <c r="D247">
        <f ca="1">IFERROR(__xludf.DUMMYFUNCTION("""COMPUTED_VALUE"""),6)</f>
        <v>6</v>
      </c>
      <c r="E247" t="str">
        <f ca="1">IFERROR(__xludf.DUMMYFUNCTION("""COMPUTED_VALUE"""),"26' 3""")</f>
        <v>26' 3"</v>
      </c>
      <c r="F247">
        <f ca="1">IFERROR(__xludf.DUMMYFUNCTION("""COMPUTED_VALUE"""),393.5)</f>
        <v>393.5</v>
      </c>
      <c r="G247">
        <f ca="1">IFERROR(__xludf.DUMMYFUNCTION("""COMPUTED_VALUE"""),15)</f>
        <v>15</v>
      </c>
      <c r="H247">
        <f ca="1">IFERROR(__xludf.DUMMYFUNCTION("""COMPUTED_VALUE"""),-1)</f>
        <v>-1</v>
      </c>
    </row>
    <row r="248" spans="1:8" ht="12.75">
      <c r="A248">
        <f ca="1">IFERROR(__xludf.DUMMYFUNCTION("""COMPUTED_VALUE"""),247)</f>
        <v>247</v>
      </c>
      <c r="B248" t="str">
        <f ca="1">IFERROR(__xludf.DUMMYFUNCTION("""COMPUTED_VALUE"""),"T114")</f>
        <v>T114</v>
      </c>
      <c r="C248" t="str">
        <f ca="1">IFERROR(__xludf.DUMMYFUNCTION("""COMPUTED_VALUE"""),"Kristoffer Ventura")</f>
        <v>Kristoffer Ventura</v>
      </c>
      <c r="D248">
        <f ca="1">IFERROR(__xludf.DUMMYFUNCTION("""COMPUTED_VALUE"""),20)</f>
        <v>20</v>
      </c>
      <c r="E248" t="str">
        <f ca="1">IFERROR(__xludf.DUMMYFUNCTION("""COMPUTED_VALUE"""),"26' 4""")</f>
        <v>26' 4"</v>
      </c>
      <c r="F248">
        <f ca="1">IFERROR(__xludf.DUMMYFUNCTION("""COMPUTED_VALUE"""),896.333)</f>
        <v>896.33299999999997</v>
      </c>
      <c r="G248">
        <f ca="1">IFERROR(__xludf.DUMMYFUNCTION("""COMPUTED_VALUE"""),34)</f>
        <v>34</v>
      </c>
      <c r="H248">
        <f ca="1">IFERROR(__xludf.DUMMYFUNCTION("""COMPUTED_VALUE"""),-6)</f>
        <v>-6</v>
      </c>
    </row>
    <row r="249" spans="1:8" ht="12.75">
      <c r="A249">
        <f ca="1">IFERROR(__xludf.DUMMYFUNCTION("""COMPUTED_VALUE"""),248)</f>
        <v>248</v>
      </c>
      <c r="B249" t="str">
        <f ca="1">IFERROR(__xludf.DUMMYFUNCTION("""COMPUTED_VALUE"""),"T234")</f>
        <v>T234</v>
      </c>
      <c r="C249" t="str">
        <f ca="1">IFERROR(__xludf.DUMMYFUNCTION("""COMPUTED_VALUE"""),"Rafa Cabrera Bello")</f>
        <v>Rafa Cabrera Bello</v>
      </c>
      <c r="D249">
        <f ca="1">IFERROR(__xludf.DUMMYFUNCTION("""COMPUTED_VALUE"""),14)</f>
        <v>14</v>
      </c>
      <c r="E249" t="str">
        <f ca="1">IFERROR(__xludf.DUMMYFUNCTION("""COMPUTED_VALUE"""),"26' 8""")</f>
        <v>26' 8"</v>
      </c>
      <c r="F249">
        <f ca="1">IFERROR(__xludf.DUMMYFUNCTION("""COMPUTED_VALUE"""),801.167)</f>
        <v>801.16700000000003</v>
      </c>
      <c r="G249">
        <f ca="1">IFERROR(__xludf.DUMMYFUNCTION("""COMPUTED_VALUE"""),30)</f>
        <v>30</v>
      </c>
      <c r="H249">
        <f ca="1">IFERROR(__xludf.DUMMYFUNCTION("""COMPUTED_VALUE"""),-7)</f>
        <v>-7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IFERROR(__xludf.DUMMYFUNCTION("""COMPUTED_VALUE"""),237)</f>
        <v>237</v>
      </c>
      <c r="C250" t="str">
        <f ca="1">IFERROR(__xludf.DUMMYFUNCTION("""COMPUTED_VALUE"""),"Billy Horschel")</f>
        <v>Billy Horschel</v>
      </c>
      <c r="D250">
        <f ca="1">IFERROR(__xludf.DUMMYFUNCTION("""COMPUTED_VALUE"""),12)</f>
        <v>12</v>
      </c>
      <c r="E250" t="str">
        <f ca="1">IFERROR(__xludf.DUMMYFUNCTION("""COMPUTED_VALUE"""),"26' 10""")</f>
        <v>26' 10"</v>
      </c>
      <c r="F250">
        <f ca="1">IFERROR(__xludf.DUMMYFUNCTION("""COMPUTED_VALUE"""),536.5)</f>
        <v>536.5</v>
      </c>
      <c r="G250">
        <f ca="1">IFERROR(__xludf.DUMMYFUNCTION("""COMPUTED_VALUE"""),20)</f>
        <v>20</v>
      </c>
      <c r="H250" t="str">
        <f ca="1">IFERROR(__xludf.DUMMYFUNCTION("""COMPUTED_VALUE"""),"E")</f>
        <v>E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IFERROR(__xludf.DUMMYFUNCTION("""COMPUTED_VALUE"""),"T240")</f>
        <v>T240</v>
      </c>
      <c r="C251" t="str">
        <f ca="1">IFERROR(__xludf.DUMMYFUNCTION("""COMPUTED_VALUE"""),"Chris Baker")</f>
        <v>Chris Baker</v>
      </c>
      <c r="D251">
        <f ca="1">IFERROR(__xludf.DUMMYFUNCTION("""COMPUTED_VALUE"""),8)</f>
        <v>8</v>
      </c>
      <c r="E251" t="str">
        <f ca="1">IFERROR(__xludf.DUMMYFUNCTION("""COMPUTED_VALUE"""),"27' 7""")</f>
        <v>27' 7"</v>
      </c>
      <c r="F251">
        <f ca="1">IFERROR(__xludf.DUMMYFUNCTION("""COMPUTED_VALUE"""),275.417)</f>
        <v>275.41699999999997</v>
      </c>
      <c r="G251">
        <f ca="1">IFERROR(__xludf.DUMMYFUNCTION("""COMPUTED_VALUE"""),10)</f>
        <v>10</v>
      </c>
      <c r="H251" t="str">
        <f ca="1">IFERROR(__xludf.DUMMYFUNCTION("""COMPUTED_VALUE"""),"E")</f>
        <v>E</v>
      </c>
    </row>
    <row r="252" spans="1:8" ht="12.75">
      <c r="A252">
        <f ca="1">IFERROR(__xludf.DUMMYFUNCTION("""COMPUTED_VALUE"""),251)</f>
        <v>251</v>
      </c>
      <c r="B252" t="str">
        <f ca="1">IFERROR(__xludf.DUMMYFUNCTION("""COMPUTED_VALUE"""),"T242")</f>
        <v>T242</v>
      </c>
      <c r="C252" t="str">
        <f ca="1">IFERROR(__xludf.DUMMYFUNCTION("""COMPUTED_VALUE"""),"Jazz Janewattananond")</f>
        <v>Jazz Janewattananond</v>
      </c>
      <c r="D252">
        <f ca="1">IFERROR(__xludf.DUMMYFUNCTION("""COMPUTED_VALUE"""),6)</f>
        <v>6</v>
      </c>
      <c r="E252" t="str">
        <f ca="1">IFERROR(__xludf.DUMMYFUNCTION("""COMPUTED_VALUE"""),"27' 8""")</f>
        <v>27' 8"</v>
      </c>
      <c r="F252">
        <f ca="1">IFERROR(__xludf.DUMMYFUNCTION("""COMPUTED_VALUE"""),221.333)</f>
        <v>221.333</v>
      </c>
      <c r="G252">
        <f ca="1">IFERROR(__xludf.DUMMYFUNCTION("""COMPUTED_VALUE"""),8)</f>
        <v>8</v>
      </c>
      <c r="H252" t="str">
        <f ca="1">IFERROR(__xludf.DUMMYFUNCTION("""COMPUTED_VALUE"""),"+1")</f>
        <v>+1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IFERROR(__xludf.DUMMYFUNCTION("""COMPUTED_VALUE"""),244)</f>
        <v>244</v>
      </c>
      <c r="C253" t="str">
        <f ca="1">IFERROR(__xludf.DUMMYFUNCTION("""COMPUTED_VALUE"""),"Tiger Woods")</f>
        <v>Tiger Woods</v>
      </c>
      <c r="D253">
        <f ca="1">IFERROR(__xludf.DUMMYFUNCTION("""COMPUTED_VALUE"""),6)</f>
        <v>6</v>
      </c>
      <c r="E253" t="str">
        <f ca="1">IFERROR(__xludf.DUMMYFUNCTION("""COMPUTED_VALUE"""),"27' 9""")</f>
        <v>27' 9"</v>
      </c>
      <c r="F253">
        <f ca="1">IFERROR(__xludf.DUMMYFUNCTION("""COMPUTED_VALUE"""),277.25)</f>
        <v>277.25</v>
      </c>
      <c r="G253">
        <f ca="1">IFERROR(__xludf.DUMMYFUNCTION("""COMPUTED_VALUE"""),10)</f>
        <v>10</v>
      </c>
      <c r="H253" t="str">
        <f ca="1">IFERROR(__xludf.DUMMYFUNCTION("""COMPUTED_VALUE"""),"E")</f>
        <v>E</v>
      </c>
    </row>
    <row r="254" spans="1:8" ht="12.75">
      <c r="A254">
        <f ca="1">IFERROR(__xludf.DUMMYFUNCTION("""COMPUTED_VALUE"""),253)</f>
        <v>253</v>
      </c>
      <c r="B254">
        <f ca="1">IFERROR(__xludf.DUMMYFUNCTION("""COMPUTED_VALUE"""),245)</f>
        <v>245</v>
      </c>
      <c r="C254" t="str">
        <f ca="1">IFERROR(__xludf.DUMMYFUNCTION("""COMPUTED_VALUE"""),"Peter Uihlein")</f>
        <v>Peter Uihlein</v>
      </c>
      <c r="D254">
        <f ca="1">IFERROR(__xludf.DUMMYFUNCTION("""COMPUTED_VALUE"""),8)</f>
        <v>8</v>
      </c>
      <c r="E254" t="str">
        <f ca="1">IFERROR(__xludf.DUMMYFUNCTION("""COMPUTED_VALUE"""),"27' 10""")</f>
        <v>27' 10"</v>
      </c>
      <c r="F254">
        <f ca="1">IFERROR(__xludf.DUMMYFUNCTION("""COMPUTED_VALUE"""),139.083)</f>
        <v>139.083</v>
      </c>
      <c r="G254">
        <f ca="1">IFERROR(__xludf.DUMMYFUNCTION("""COMPUTED_VALUE"""),5)</f>
        <v>5</v>
      </c>
      <c r="H254" t="str">
        <f ca="1">IFERROR(__xludf.DUMMYFUNCTION("""COMPUTED_VALUE"""),"+1")</f>
        <v>+1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IFERROR(__xludf.DUMMYFUNCTION("""COMPUTED_VALUE"""),257)</f>
        <v>257</v>
      </c>
      <c r="C255" t="str">
        <f ca="1">IFERROR(__xludf.DUMMYFUNCTION("""COMPUTED_VALUE"""),"Kelly Kraft")</f>
        <v>Kelly Kraft</v>
      </c>
      <c r="D255">
        <f ca="1">IFERROR(__xludf.DUMMYFUNCTION("""COMPUTED_VALUE"""),14)</f>
        <v>14</v>
      </c>
      <c r="E255" t="str">
        <f ca="1">IFERROR(__xludf.DUMMYFUNCTION("""COMPUTED_VALUE"""),"27' 11""")</f>
        <v>27' 11"</v>
      </c>
      <c r="F255">
        <f ca="1">IFERROR(__xludf.DUMMYFUNCTION("""COMPUTED_VALUE"""),418.833)</f>
        <v>418.83300000000003</v>
      </c>
      <c r="G255">
        <f ca="1">IFERROR(__xludf.DUMMYFUNCTION("""COMPUTED_VALUE"""),15)</f>
        <v>15</v>
      </c>
      <c r="H255">
        <f ca="1">IFERROR(__xludf.DUMMYFUNCTION("""COMPUTED_VALUE"""),-1)</f>
        <v>-1</v>
      </c>
    </row>
    <row r="256" spans="1:8" ht="12.75">
      <c r="A256">
        <f ca="1">IFERROR(__xludf.DUMMYFUNCTION("""COMPUTED_VALUE"""),255)</f>
        <v>255</v>
      </c>
      <c r="B256">
        <f ca="1">IFERROR(__xludf.DUMMYFUNCTION("""COMPUTED_VALUE"""),246)</f>
        <v>246</v>
      </c>
      <c r="C256" t="str">
        <f ca="1">IFERROR(__xludf.DUMMYFUNCTION("""COMPUTED_VALUE"""),"Sahith Theegala")</f>
        <v>Sahith Theegala</v>
      </c>
      <c r="D256">
        <f ca="1">IFERROR(__xludf.DUMMYFUNCTION("""COMPUTED_VALUE"""),6)</f>
        <v>6</v>
      </c>
      <c r="E256" t="str">
        <f ca="1">IFERROR(__xludf.DUMMYFUNCTION("""COMPUTED_VALUE"""),"28' 0""")</f>
        <v>28' 0"</v>
      </c>
      <c r="F256">
        <f ca="1">IFERROR(__xludf.DUMMYFUNCTION("""COMPUTED_VALUE"""),503.917)</f>
        <v>503.91699999999997</v>
      </c>
      <c r="G256">
        <f ca="1">IFERROR(__xludf.DUMMYFUNCTION("""COMPUTED_VALUE"""),18)</f>
        <v>18</v>
      </c>
      <c r="H256">
        <f ca="1">IFERROR(__xludf.DUMMYFUNCTION("""COMPUTED_VALUE"""),-2)</f>
        <v>-2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IFERROR(__xludf.DUMMYFUNCTION("""COMPUTED_VALUE"""),250)</f>
        <v>250</v>
      </c>
      <c r="C257" t="str">
        <f ca="1">IFERROR(__xludf.DUMMYFUNCTION("""COMPUTED_VALUE"""),"Grayson Murray")</f>
        <v>Grayson Murray</v>
      </c>
      <c r="D257">
        <f ca="1">IFERROR(__xludf.DUMMYFUNCTION("""COMPUTED_VALUE"""),10)</f>
        <v>10</v>
      </c>
      <c r="E257" t="str">
        <f ca="1">IFERROR(__xludf.DUMMYFUNCTION("""COMPUTED_VALUE"""),"28' 3""")</f>
        <v>28' 3"</v>
      </c>
      <c r="F257">
        <f ca="1">IFERROR(__xludf.DUMMYFUNCTION("""COMPUTED_VALUE"""),480.75)</f>
        <v>480.75</v>
      </c>
      <c r="G257">
        <f ca="1">IFERROR(__xludf.DUMMYFUNCTION("""COMPUTED_VALUE"""),17)</f>
        <v>17</v>
      </c>
      <c r="H257" t="str">
        <f ca="1">IFERROR(__xludf.DUMMYFUNCTION("""COMPUTED_VALUE"""),"+1")</f>
        <v>+1</v>
      </c>
    </row>
    <row r="258" spans="1:8" ht="12.75">
      <c r="A258">
        <f ca="1">IFERROR(__xludf.DUMMYFUNCTION("""COMPUTED_VALUE"""),257)</f>
        <v>257</v>
      </c>
      <c r="B258">
        <f ca="1">IFERROR(__xludf.DUMMYFUNCTION("""COMPUTED_VALUE"""),248)</f>
        <v>248</v>
      </c>
      <c r="C258" t="str">
        <f ca="1">IFERROR(__xludf.DUMMYFUNCTION("""COMPUTED_VALUE"""),"Rikuya Hoshino")</f>
        <v>Rikuya Hoshino</v>
      </c>
      <c r="D258">
        <f ca="1">IFERROR(__xludf.DUMMYFUNCTION("""COMPUTED_VALUE"""),4)</f>
        <v>4</v>
      </c>
      <c r="E258" t="str">
        <f ca="1">IFERROR(__xludf.DUMMYFUNCTION("""COMPUTED_VALUE"""),"28' 8""")</f>
        <v>28' 8"</v>
      </c>
      <c r="F258">
        <f ca="1">IFERROR(__xludf.DUMMYFUNCTION("""COMPUTED_VALUE"""),257.667)</f>
        <v>257.66699999999997</v>
      </c>
      <c r="G258">
        <f ca="1">IFERROR(__xludf.DUMMYFUNCTION("""COMPUTED_VALUE"""),9)</f>
        <v>9</v>
      </c>
      <c r="H258">
        <f ca="1">IFERROR(__xludf.DUMMYFUNCTION("""COMPUTED_VALUE"""),-1)</f>
        <v>-1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IFERROR(__xludf.DUMMYFUNCTION("""COMPUTED_VALUE"""),249)</f>
        <v>249</v>
      </c>
      <c r="C259" t="str">
        <f ca="1">IFERROR(__xludf.DUMMYFUNCTION("""COMPUTED_VALUE"""),"Michael Gellerman")</f>
        <v>Michael Gellerman</v>
      </c>
      <c r="D259">
        <f ca="1">IFERROR(__xludf.DUMMYFUNCTION("""COMPUTED_VALUE"""),5)</f>
        <v>5</v>
      </c>
      <c r="E259" t="str">
        <f ca="1">IFERROR(__xludf.DUMMYFUNCTION("""COMPUTED_VALUE"""),"29' 3""")</f>
        <v>29' 3"</v>
      </c>
      <c r="F259">
        <f ca="1">IFERROR(__xludf.DUMMYFUNCTION("""COMPUTED_VALUE"""),263.583)</f>
        <v>263.58300000000003</v>
      </c>
      <c r="G259">
        <f ca="1">IFERROR(__xludf.DUMMYFUNCTION("""COMPUTED_VALUE"""),9)</f>
        <v>9</v>
      </c>
      <c r="H259" t="str">
        <f ca="1">IFERROR(__xludf.DUMMYFUNCTION("""COMPUTED_VALUE"""),"+1")</f>
        <v>+1</v>
      </c>
    </row>
    <row r="260" spans="1:8" ht="12.75">
      <c r="A260" t="str">
        <f ca="1">IFERROR(__xludf.DUMMYFUNCTION("""COMPUTED_VALUE"""),"T259")</f>
        <v>T259</v>
      </c>
      <c r="B260" t="str">
        <f ca="1">IFERROR(__xludf.DUMMYFUNCTION("""COMPUTED_VALUE"""),"T251")</f>
        <v>T251</v>
      </c>
      <c r="C260" t="str">
        <f ca="1">IFERROR(__xludf.DUMMYFUNCTION("""COMPUTED_VALUE"""),"John Senden")</f>
        <v>John Senden</v>
      </c>
      <c r="D260">
        <f ca="1">IFERROR(__xludf.DUMMYFUNCTION("""COMPUTED_VALUE"""),8)</f>
        <v>8</v>
      </c>
      <c r="E260" t="str">
        <f ca="1">IFERROR(__xludf.DUMMYFUNCTION("""COMPUTED_VALUE"""),"29' 8""")</f>
        <v>29' 8"</v>
      </c>
      <c r="F260">
        <f ca="1">IFERROR(__xludf.DUMMYFUNCTION("""COMPUTED_VALUE"""),118.5)</f>
        <v>118.5</v>
      </c>
      <c r="G260">
        <f ca="1">IFERROR(__xludf.DUMMYFUNCTION("""COMPUTED_VALUE"""),4)</f>
        <v>4</v>
      </c>
      <c r="H260" t="str">
        <f ca="1">IFERROR(__xludf.DUMMYFUNCTION("""COMPUTED_VALUE"""),"+1")</f>
        <v>+1</v>
      </c>
    </row>
    <row r="261" spans="1:8" ht="12.75">
      <c r="A261" t="str">
        <f ca="1">IFERROR(__xludf.DUMMYFUNCTION("""COMPUTED_VALUE"""),"T259")</f>
        <v>T259</v>
      </c>
      <c r="B261" t="str">
        <f ca="1">IFERROR(__xludf.DUMMYFUNCTION("""COMPUTED_VALUE"""),"T251")</f>
        <v>T251</v>
      </c>
      <c r="C261" t="str">
        <f ca="1">IFERROR(__xludf.DUMMYFUNCTION("""COMPUTED_VALUE"""),"Brad Kennedy")</f>
        <v>Brad Kennedy</v>
      </c>
      <c r="D261">
        <f ca="1">IFERROR(__xludf.DUMMYFUNCTION("""COMPUTED_VALUE"""),4)</f>
        <v>4</v>
      </c>
      <c r="E261" t="str">
        <f ca="1">IFERROR(__xludf.DUMMYFUNCTION("""COMPUTED_VALUE"""),"29' 8""")</f>
        <v>29' 8"</v>
      </c>
      <c r="F261">
        <f ca="1">IFERROR(__xludf.DUMMYFUNCTION("""COMPUTED_VALUE"""),59.25)</f>
        <v>59.25</v>
      </c>
      <c r="G261">
        <f ca="1">IFERROR(__xludf.DUMMYFUNCTION("""COMPUTED_VALUE"""),2)</f>
        <v>2</v>
      </c>
      <c r="H261">
        <f ca="1">IFERROR(__xludf.DUMMYFUNCTION("""COMPUTED_VALUE"""),-1)</f>
        <v>-1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IFERROR(__xludf.DUMMYFUNCTION("""COMPUTED_VALUE"""),260)</f>
        <v>260</v>
      </c>
      <c r="C262" t="str">
        <f ca="1">IFERROR(__xludf.DUMMYFUNCTION("""COMPUTED_VALUE"""),"Lee Westwood")</f>
        <v>Lee Westwood</v>
      </c>
      <c r="D262">
        <f ca="1">IFERROR(__xludf.DUMMYFUNCTION("""COMPUTED_VALUE"""),6)</f>
        <v>6</v>
      </c>
      <c r="E262" t="str">
        <f ca="1">IFERROR(__xludf.DUMMYFUNCTION("""COMPUTED_VALUE"""),"30' 0""")</f>
        <v>30' 0"</v>
      </c>
      <c r="F262">
        <f ca="1">IFERROR(__xludf.DUMMYFUNCTION("""COMPUTED_VALUE"""),480.25)</f>
        <v>480.25</v>
      </c>
      <c r="G262">
        <f ca="1">IFERROR(__xludf.DUMMYFUNCTION("""COMPUTED_VALUE"""),16)</f>
        <v>16</v>
      </c>
      <c r="H262">
        <f ca="1">IFERROR(__xludf.DUMMYFUNCTION("""COMPUTED_VALUE"""),-2)</f>
        <v>-2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IFERROR(__xludf.DUMMYFUNCTION("""COMPUTED_VALUE"""),253)</f>
        <v>253</v>
      </c>
      <c r="C263" t="str">
        <f ca="1">IFERROR(__xludf.DUMMYFUNCTION("""COMPUTED_VALUE"""),"Shugo Imahira")</f>
        <v>Shugo Imahira</v>
      </c>
      <c r="D263">
        <f ca="1">IFERROR(__xludf.DUMMYFUNCTION("""COMPUTED_VALUE"""),8)</f>
        <v>8</v>
      </c>
      <c r="E263" t="str">
        <f ca="1">IFERROR(__xludf.DUMMYFUNCTION("""COMPUTED_VALUE"""),"30' 5""")</f>
        <v>30' 5"</v>
      </c>
      <c r="F263">
        <f ca="1">IFERROR(__xludf.DUMMYFUNCTION("""COMPUTED_VALUE"""),273.917)</f>
        <v>273.91699999999997</v>
      </c>
      <c r="G263">
        <f ca="1">IFERROR(__xludf.DUMMYFUNCTION("""COMPUTED_VALUE"""),9)</f>
        <v>9</v>
      </c>
      <c r="H263">
        <f ca="1">IFERROR(__xludf.DUMMYFUNCTION("""COMPUTED_VALUE"""),-1)</f>
        <v>-1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IFERROR(__xludf.DUMMYFUNCTION("""COMPUTED_VALUE"""),254)</f>
        <v>254</v>
      </c>
      <c r="C264" t="str">
        <f ca="1">IFERROR(__xludf.DUMMYFUNCTION("""COMPUTED_VALUE"""),"Robert Streb")</f>
        <v>Robert Streb</v>
      </c>
      <c r="D264">
        <f ca="1">IFERROR(__xludf.DUMMYFUNCTION("""COMPUTED_VALUE"""),12)</f>
        <v>12</v>
      </c>
      <c r="E264" t="str">
        <f ca="1">IFERROR(__xludf.DUMMYFUNCTION("""COMPUTED_VALUE"""),"31' 4""")</f>
        <v>31' 4"</v>
      </c>
      <c r="F264">
        <f ca="1">IFERROR(__xludf.DUMMYFUNCTION("""COMPUTED_VALUE"""),375.583)</f>
        <v>375.58300000000003</v>
      </c>
      <c r="G264">
        <f ca="1">IFERROR(__xludf.DUMMYFUNCTION("""COMPUTED_VALUE"""),12)</f>
        <v>12</v>
      </c>
      <c r="H264" t="str">
        <f ca="1">IFERROR(__xludf.DUMMYFUNCTION("""COMPUTED_VALUE"""),"+1")</f>
        <v>+1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IFERROR(__xludf.DUMMYFUNCTION("""COMPUTED_VALUE"""),256)</f>
        <v>256</v>
      </c>
      <c r="C265" t="str">
        <f ca="1">IFERROR(__xludf.DUMMYFUNCTION("""COMPUTED_VALUE"""),"Andy Zhang")</f>
        <v>Andy Zhang</v>
      </c>
      <c r="D265">
        <f ca="1">IFERROR(__xludf.DUMMYFUNCTION("""COMPUTED_VALUE"""),4)</f>
        <v>4</v>
      </c>
      <c r="E265" t="str">
        <f ca="1">IFERROR(__xludf.DUMMYFUNCTION("""COMPUTED_VALUE"""),"31' 8""")</f>
        <v>31' 8"</v>
      </c>
      <c r="F265">
        <f ca="1">IFERROR(__xludf.DUMMYFUNCTION("""COMPUTED_VALUE"""),189.75)</f>
        <v>189.75</v>
      </c>
      <c r="G265">
        <f ca="1">IFERROR(__xludf.DUMMYFUNCTION("""COMPUTED_VALUE"""),6)</f>
        <v>6</v>
      </c>
      <c r="H265" t="str">
        <f ca="1">IFERROR(__xludf.DUMMYFUNCTION("""COMPUTED_VALUE"""),"E")</f>
        <v>E</v>
      </c>
    </row>
    <row r="266" spans="1:8" ht="12.75">
      <c r="A266" t="str">
        <f ca="1">IFERROR(__xludf.DUMMYFUNCTION("""COMPUTED_VALUE"""),"T265")</f>
        <v>T265</v>
      </c>
      <c r="B266">
        <f ca="1">IFERROR(__xludf.DUMMYFUNCTION("""COMPUTED_VALUE"""),258)</f>
        <v>258</v>
      </c>
      <c r="C266" t="str">
        <f ca="1">IFERROR(__xludf.DUMMYFUNCTION("""COMPUTED_VALUE"""),"John Pak")</f>
        <v>John Pak</v>
      </c>
      <c r="D266">
        <f ca="1">IFERROR(__xludf.DUMMYFUNCTION("""COMPUTED_VALUE"""),4)</f>
        <v>4</v>
      </c>
      <c r="E266" t="str">
        <f ca="1">IFERROR(__xludf.DUMMYFUNCTION("""COMPUTED_VALUE"""),"31' 11""")</f>
        <v>31' 11"</v>
      </c>
      <c r="F266">
        <f ca="1">IFERROR(__xludf.DUMMYFUNCTION("""COMPUTED_VALUE"""),95.833)</f>
        <v>95.832999999999998</v>
      </c>
      <c r="G266">
        <f ca="1">IFERROR(__xludf.DUMMYFUNCTION("""COMPUTED_VALUE"""),3)</f>
        <v>3</v>
      </c>
      <c r="H266" t="str">
        <f ca="1">IFERROR(__xludf.DUMMYFUNCTION("""COMPUTED_VALUE"""),"+1")</f>
        <v>+1</v>
      </c>
    </row>
    <row r="267" spans="1:8" ht="12.75">
      <c r="A267" t="str">
        <f ca="1">IFERROR(__xludf.DUMMYFUNCTION("""COMPUTED_VALUE"""),"T265")</f>
        <v>T265</v>
      </c>
      <c r="B267">
        <f ca="1">IFERROR(__xludf.DUMMYFUNCTION("""COMPUTED_VALUE"""),247)</f>
        <v>247</v>
      </c>
      <c r="C267" t="str">
        <f ca="1">IFERROR(__xludf.DUMMYFUNCTION("""COMPUTED_VALUE"""),"Danny Willett")</f>
        <v>Danny Willett</v>
      </c>
      <c r="D267">
        <f ca="1">IFERROR(__xludf.DUMMYFUNCTION("""COMPUTED_VALUE"""),7)</f>
        <v>7</v>
      </c>
      <c r="E267" t="str">
        <f ca="1">IFERROR(__xludf.DUMMYFUNCTION("""COMPUTED_VALUE"""),"31' 11""")</f>
        <v>31' 11"</v>
      </c>
      <c r="F267">
        <f ca="1">IFERROR(__xludf.DUMMYFUNCTION("""COMPUTED_VALUE"""),255.167)</f>
        <v>255.167</v>
      </c>
      <c r="G267">
        <f ca="1">IFERROR(__xludf.DUMMYFUNCTION("""COMPUTED_VALUE"""),8)</f>
        <v>8</v>
      </c>
      <c r="H267" t="str">
        <f ca="1">IFERROR(__xludf.DUMMYFUNCTION("""COMPUTED_VALUE"""),"+4")</f>
        <v>+4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IFERROR(__xludf.DUMMYFUNCTION("""COMPUTED_VALUE"""),"Josh Teater")</f>
        <v>Josh Teater</v>
      </c>
      <c r="D268">
        <f ca="1">IFERROR(__xludf.DUMMYFUNCTION("""COMPUTED_VALUE"""),6)</f>
        <v>6</v>
      </c>
      <c r="E268" t="str">
        <f ca="1">IFERROR(__xludf.DUMMYFUNCTION("""COMPUTED_VALUE"""),"32' 3""")</f>
        <v>32' 3"</v>
      </c>
      <c r="F268">
        <f ca="1">IFERROR(__xludf.DUMMYFUNCTION("""COMPUTED_VALUE"""),129.083)</f>
        <v>129.083</v>
      </c>
      <c r="G268">
        <f ca="1">IFERROR(__xludf.DUMMYFUNCTION("""COMPUTED_VALUE"""),4)</f>
        <v>4</v>
      </c>
      <c r="H268" t="str">
        <f ca="1">IFERROR(__xludf.DUMMYFUNCTION("""COMPUTED_VALUE"""),"E")</f>
        <v>E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IFERROR(__xludf.DUMMYFUNCTION("""COMPUTED_VALUE"""),"Stephan Jaeger")</f>
        <v>Stephan Jaeger</v>
      </c>
      <c r="D269">
        <f ca="1">IFERROR(__xludf.DUMMYFUNCTION("""COMPUTED_VALUE"""),4)</f>
        <v>4</v>
      </c>
      <c r="E269" t="str">
        <f ca="1">IFERROR(__xludf.DUMMYFUNCTION("""COMPUTED_VALUE"""),"36' 0""")</f>
        <v>36' 0"</v>
      </c>
      <c r="F269">
        <f ca="1">IFERROR(__xludf.DUMMYFUNCTION("""COMPUTED_VALUE"""),108.083)</f>
        <v>108.083</v>
      </c>
      <c r="G269">
        <f ca="1">IFERROR(__xludf.DUMMYFUNCTION("""COMPUTED_VALUE"""),3)</f>
        <v>3</v>
      </c>
      <c r="H269" t="str">
        <f ca="1">IFERROR(__xludf.DUMMYFUNCTION("""COMPUTED_VALUE"""),"E")</f>
        <v>E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IFERROR(__xludf.DUMMYFUNCTION("""COMPUTED_VALUE"""),"Ian Poulter")</f>
        <v>Ian Poulter</v>
      </c>
      <c r="D270">
        <f ca="1">IFERROR(__xludf.DUMMYFUNCTION("""COMPUTED_VALUE"""),6)</f>
        <v>6</v>
      </c>
      <c r="E270" t="str">
        <f ca="1">IFERROR(__xludf.DUMMYFUNCTION("""COMPUTED_VALUE"""),"40' 7""")</f>
        <v>40' 7"</v>
      </c>
      <c r="F270">
        <f ca="1">IFERROR(__xludf.DUMMYFUNCTION("""COMPUTED_VALUE"""),486.75)</f>
        <v>486.75</v>
      </c>
      <c r="G270">
        <f ca="1">IFERROR(__xludf.DUMMYFUNCTION("""COMPUTED_VALUE"""),12)</f>
        <v>12</v>
      </c>
      <c r="H270" t="str">
        <f ca="1">IFERROR(__xludf.DUMMYFUNCTION("""COMPUTED_VALUE"""),"+3")</f>
        <v>+3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IFERROR(__xludf.DUMMYFUNCTION("""COMPUTED_VALUE"""),"Dominic Bozzelli")</f>
        <v>Dominic Bozzelli</v>
      </c>
      <c r="D271">
        <f ca="1">IFERROR(__xludf.DUMMYFUNCTION("""COMPUTED_VALUE"""),8)</f>
        <v>8</v>
      </c>
      <c r="E271" t="str">
        <f ca="1">IFERROR(__xludf.DUMMYFUNCTION("""COMPUTED_VALUE"""),"41' 1""")</f>
        <v>41' 1"</v>
      </c>
      <c r="F271">
        <f ca="1">IFERROR(__xludf.DUMMYFUNCTION("""COMPUTED_VALUE"""),164.25)</f>
        <v>164.25</v>
      </c>
      <c r="G271">
        <f ca="1">IFERROR(__xludf.DUMMYFUNCTION("""COMPUTED_VALUE"""),4)</f>
        <v>4</v>
      </c>
      <c r="H271" t="str">
        <f ca="1">IFERROR(__xludf.DUMMYFUNCTION("""COMPUTED_VALUE"""),"E")</f>
        <v>E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IFERROR(__xludf.DUMMYFUNCTION("""COMPUTED_VALUE"""),"Matt Wallace")</f>
        <v>Matt Wallace</v>
      </c>
      <c r="D272">
        <f ca="1">IFERROR(__xludf.DUMMYFUNCTION("""COMPUTED_VALUE"""),4)</f>
        <v>4</v>
      </c>
      <c r="E272" t="str">
        <f ca="1">IFERROR(__xludf.DUMMYFUNCTION("""COMPUTED_VALUE"""),"41' 8""")</f>
        <v>41' 8"</v>
      </c>
      <c r="F272">
        <f ca="1">IFERROR(__xludf.DUMMYFUNCTION("""COMPUTED_VALUE"""),125)</f>
        <v>125</v>
      </c>
      <c r="G272">
        <f ca="1">IFERROR(__xludf.DUMMYFUNCTION("""COMPUTED_VALUE"""),3)</f>
        <v>3</v>
      </c>
      <c r="H272" t="str">
        <f ca="1">IFERROR(__xludf.DUMMYFUNCTION("""COMPUTED_VALUE"""),"+1")</f>
        <v>+1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IFERROR(__xludf.DUMMYFUNCTION("""COMPUTED_VALUE"""),"Rasmus Hojgaard")</f>
        <v>Rasmus Hojgaard</v>
      </c>
      <c r="D273">
        <f ca="1">IFERROR(__xludf.DUMMYFUNCTION("""COMPUTED_VALUE"""),6)</f>
        <v>6</v>
      </c>
      <c r="E273" t="str">
        <f ca="1">IFERROR(__xludf.DUMMYFUNCTION("""COMPUTED_VALUE"""),"43' 8""")</f>
        <v>43' 8"</v>
      </c>
      <c r="F273">
        <f ca="1">IFERROR(__xludf.DUMMYFUNCTION("""COMPUTED_VALUE"""),43.667)</f>
        <v>43.667000000000002</v>
      </c>
      <c r="G273">
        <f ca="1">IFERROR(__xludf.DUMMYFUNCTION("""COMPUTED_VALUE"""),1)</f>
        <v>1</v>
      </c>
      <c r="H273" t="str">
        <f ca="1">IFERROR(__xludf.DUMMYFUNCTION("""COMPUTED_VALUE"""),"E")</f>
        <v>E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IFERROR(__xludf.DUMMYFUNCTION("""COMPUTED_VALUE"""),"Parker McLachlin")</f>
        <v>Parker McLachlin</v>
      </c>
      <c r="D274">
        <f ca="1">IFERROR(__xludf.DUMMYFUNCTION("""COMPUTED_VALUE"""),4)</f>
        <v>4</v>
      </c>
      <c r="E274" t="str">
        <f ca="1">IFERROR(__xludf.DUMMYFUNCTION("""COMPUTED_VALUE"""),"44' 2""")</f>
        <v>44' 2"</v>
      </c>
      <c r="F274">
        <f ca="1">IFERROR(__xludf.DUMMYFUNCTION("""COMPUTED_VALUE"""),132.583)</f>
        <v>132.583</v>
      </c>
      <c r="G274">
        <f ca="1">IFERROR(__xludf.DUMMYFUNCTION("""COMPUTED_VALUE"""),3)</f>
        <v>3</v>
      </c>
      <c r="H274" t="str">
        <f ca="1">IFERROR(__xludf.DUMMYFUNCTION("""COMPUTED_VALUE"""),"+1")</f>
        <v>+1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IFERROR(__xludf.DUMMYFUNCTION("""COMPUTED_VALUE"""),"Bernd Wiesberger")</f>
        <v>Bernd Wiesberger</v>
      </c>
      <c r="D275">
        <f ca="1">IFERROR(__xludf.DUMMYFUNCTION("""COMPUTED_VALUE"""),4)</f>
        <v>4</v>
      </c>
      <c r="E275" t="str">
        <f ca="1">IFERROR(__xludf.DUMMYFUNCTION("""COMPUTED_VALUE"""),"45' 1""")</f>
        <v>45' 1"</v>
      </c>
      <c r="F275">
        <f ca="1">IFERROR(__xludf.DUMMYFUNCTION("""COMPUTED_VALUE"""),180.25)</f>
        <v>180.25</v>
      </c>
      <c r="G275">
        <f ca="1">IFERROR(__xludf.DUMMYFUNCTION("""COMPUTED_VALUE"""),4)</f>
        <v>4</v>
      </c>
      <c r="H275" t="str">
        <f ca="1">IFERROR(__xludf.DUMMYFUNCTION("""COMPUTED_VALUE"""),"E")</f>
        <v>E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IFERROR(__xludf.DUMMYFUNCTION("""COMPUTED_VALUE"""),"Ryan Brehm")</f>
        <v>Ryan Brehm</v>
      </c>
      <c r="D276">
        <f ca="1">IFERROR(__xludf.DUMMYFUNCTION("""COMPUTED_VALUE"""),10)</f>
        <v>10</v>
      </c>
      <c r="E276" t="str">
        <f ca="1">IFERROR(__xludf.DUMMYFUNCTION("""COMPUTED_VALUE"""),"45' 4""")</f>
        <v>45' 4"</v>
      </c>
      <c r="F276">
        <f ca="1">IFERROR(__xludf.DUMMYFUNCTION("""COMPUTED_VALUE"""),45.333)</f>
        <v>45.332999999999998</v>
      </c>
      <c r="G276">
        <f ca="1">IFERROR(__xludf.DUMMYFUNCTION("""COMPUTED_VALUE"""),1)</f>
        <v>1</v>
      </c>
      <c r="H276" t="str">
        <f ca="1">IFERROR(__xludf.DUMMYFUNCTION("""COMPUTED_VALUE"""),"+1")</f>
        <v>+1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IFERROR(__xludf.DUMMYFUNCTION("""COMPUTED_VALUE"""),"Kurt Kitayama")</f>
        <v>Kurt Kitayama</v>
      </c>
      <c r="D277">
        <f ca="1">IFERROR(__xludf.DUMMYFUNCTION("""COMPUTED_VALUE"""),4)</f>
        <v>4</v>
      </c>
      <c r="E277" t="str">
        <f ca="1">IFERROR(__xludf.DUMMYFUNCTION("""COMPUTED_VALUE"""),"49' 2""")</f>
        <v>49' 2"</v>
      </c>
      <c r="F277">
        <f ca="1">IFERROR(__xludf.DUMMYFUNCTION("""COMPUTED_VALUE"""),246)</f>
        <v>246</v>
      </c>
      <c r="G277">
        <f ca="1">IFERROR(__xludf.DUMMYFUNCTION("""COMPUTED_VALUE"""),5)</f>
        <v>5</v>
      </c>
      <c r="H277" t="str">
        <f ca="1">IFERROR(__xludf.DUMMYFUNCTION("""COMPUTED_VALUE"""),"+1")</f>
        <v>+1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IFERROR(__xludf.DUMMYFUNCTION("importhtml(""http://www.pgatour.com/stats/stat.338.html"",""table"",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IFERROR(__xludf.DUMMYFUNCTION("""COMPUTED_VALUE"""),"Nelson Ledesma")</f>
        <v>Nelson Ledesma</v>
      </c>
      <c r="D2">
        <f ca="1">IFERROR(__xludf.DUMMYFUNCTION("""COMPUTED_VALUE"""),8)</f>
        <v>8</v>
      </c>
      <c r="E2" t="str">
        <f ca="1">IFERROR(__xludf.DUMMYFUNCTION("""COMPUTED_VALUE"""),"12' 6""")</f>
        <v>12' 6"</v>
      </c>
      <c r="F2">
        <f ca="1">IFERROR(__xludf.DUMMYFUNCTION("""COMPUTED_VALUE"""),87.333)</f>
        <v>87.332999999999998</v>
      </c>
      <c r="G2">
        <f ca="1">IFERROR(__xludf.DUMMYFUNCTION("""COMPUTED_VALUE"""),7)</f>
        <v>7</v>
      </c>
      <c r="H2">
        <f ca="1">IFERROR(__xludf.DUMMYFUNCTION("""COMPUTED_VALUE"""),-1)</f>
        <v>-1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IFERROR(__xludf.DUMMYFUNCTION("""COMPUTED_VALUE"""),"Kurt Kitayama")</f>
        <v>Kurt Kitayama</v>
      </c>
      <c r="D3">
        <f ca="1">IFERROR(__xludf.DUMMYFUNCTION("""COMPUTED_VALUE"""),4)</f>
        <v>4</v>
      </c>
      <c r="E3" t="str">
        <f ca="1">IFERROR(__xludf.DUMMYFUNCTION("""COMPUTED_VALUE"""),"14' 5""")</f>
        <v>14' 5"</v>
      </c>
      <c r="F3">
        <f ca="1">IFERROR(__xludf.DUMMYFUNCTION("""COMPUTED_VALUE"""),43.167)</f>
        <v>43.167000000000002</v>
      </c>
      <c r="G3">
        <f ca="1">IFERROR(__xludf.DUMMYFUNCTION("""COMPUTED_VALUE"""),3)</f>
        <v>3</v>
      </c>
      <c r="H3">
        <f ca="1">IFERROR(__xludf.DUMMYFUNCTION("""COMPUTED_VALUE"""),-1)</f>
        <v>-1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IFERROR(__xludf.DUMMYFUNCTION("""COMPUTED_VALUE"""),"Ryan Brehm")</f>
        <v>Ryan Brehm</v>
      </c>
      <c r="D4">
        <f ca="1">IFERROR(__xludf.DUMMYFUNCTION("""COMPUTED_VALUE"""),10)</f>
        <v>10</v>
      </c>
      <c r="E4" t="str">
        <f ca="1">IFERROR(__xludf.DUMMYFUNCTION("""COMPUTED_VALUE"""),"17' 8""")</f>
        <v>17' 8"</v>
      </c>
      <c r="F4">
        <f ca="1">IFERROR(__xludf.DUMMYFUNCTION("""COMPUTED_VALUE"""),35.25)</f>
        <v>35.25</v>
      </c>
      <c r="G4">
        <f ca="1">IFERROR(__xludf.DUMMYFUNCTION("""COMPUTED_VALUE"""),2)</f>
        <v>2</v>
      </c>
      <c r="H4">
        <f ca="1">IFERROR(__xludf.DUMMYFUNCTION("""COMPUTED_VALUE"""),-1)</f>
        <v>-1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IFERROR(__xludf.DUMMYFUNCTION("""COMPUTED_VALUE"""),"Mark Anderson")</f>
        <v>Mark Anderson</v>
      </c>
      <c r="D5">
        <f ca="1">IFERROR(__xludf.DUMMYFUNCTION("""COMPUTED_VALUE"""),14)</f>
        <v>14</v>
      </c>
      <c r="E5" t="str">
        <f ca="1">IFERROR(__xludf.DUMMYFUNCTION("""COMPUTED_VALUE"""),"17' 9""")</f>
        <v>17' 9"</v>
      </c>
      <c r="F5">
        <f ca="1">IFERROR(__xludf.DUMMYFUNCTION("""COMPUTED_VALUE"""),249)</f>
        <v>249</v>
      </c>
      <c r="G5">
        <f ca="1">IFERROR(__xludf.DUMMYFUNCTION("""COMPUTED_VALUE"""),14)</f>
        <v>14</v>
      </c>
      <c r="H5">
        <f ca="1">IFERROR(__xludf.DUMMYFUNCTION("""COMPUTED_VALUE"""),-2)</f>
        <v>-2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IFERROR(__xludf.DUMMYFUNCTION("""COMPUTED_VALUE"""),9)</f>
        <v>9</v>
      </c>
      <c r="C6" t="str">
        <f ca="1">IFERROR(__xludf.DUMMYFUNCTION("""COMPUTED_VALUE"""),"Michael Gellerman")</f>
        <v>Michael Gellerman</v>
      </c>
      <c r="D6">
        <f ca="1">IFERROR(__xludf.DUMMYFUNCTION("""COMPUTED_VALUE"""),5)</f>
        <v>5</v>
      </c>
      <c r="E6" t="str">
        <f ca="1">IFERROR(__xludf.DUMMYFUNCTION("""COMPUTED_VALUE"""),"18' 2""")</f>
        <v>18' 2"</v>
      </c>
      <c r="F6">
        <f ca="1">IFERROR(__xludf.DUMMYFUNCTION("""COMPUTED_VALUE"""),163.583)</f>
        <v>163.583</v>
      </c>
      <c r="G6">
        <f ca="1">IFERROR(__xludf.DUMMYFUNCTION("""COMPUTED_VALUE"""),9)</f>
        <v>9</v>
      </c>
      <c r="H6">
        <f ca="1">IFERROR(__xludf.DUMMYFUNCTION("""COMPUTED_VALUE"""),-1)</f>
        <v>-1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IFERROR(__xludf.DUMMYFUNCTION("""COMPUTED_VALUE"""),10)</f>
        <v>10</v>
      </c>
      <c r="C7" t="str">
        <f ca="1">IFERROR(__xludf.DUMMYFUNCTION("""COMPUTED_VALUE"""),"Matthew Wolff")</f>
        <v>Matthew Wolff</v>
      </c>
      <c r="D7">
        <f ca="1">IFERROR(__xludf.DUMMYFUNCTION("""COMPUTED_VALUE"""),16)</f>
        <v>16</v>
      </c>
      <c r="E7" t="str">
        <f ca="1">IFERROR(__xludf.DUMMYFUNCTION("""COMPUTED_VALUE"""),"18' 5""")</f>
        <v>18' 5"</v>
      </c>
      <c r="F7">
        <f ca="1">IFERROR(__xludf.DUMMYFUNCTION("""COMPUTED_VALUE"""),735.833)</f>
        <v>735.83299999999997</v>
      </c>
      <c r="G7">
        <f ca="1">IFERROR(__xludf.DUMMYFUNCTION("""COMPUTED_VALUE"""),40)</f>
        <v>40</v>
      </c>
      <c r="H7">
        <f ca="1">IFERROR(__xludf.DUMMYFUNCTION("""COMPUTED_VALUE"""),-12)</f>
        <v>-12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IFERROR(__xludf.DUMMYFUNCTION("""COMPUTED_VALUE"""),11)</f>
        <v>11</v>
      </c>
      <c r="C8" t="str">
        <f ca="1">IFERROR(__xludf.DUMMYFUNCTION("""COMPUTED_VALUE"""),"Rasmus Hojgaard")</f>
        <v>Rasmus Hojgaard</v>
      </c>
      <c r="D8">
        <f ca="1">IFERROR(__xludf.DUMMYFUNCTION("""COMPUTED_VALUE"""),6)</f>
        <v>6</v>
      </c>
      <c r="E8" t="str">
        <f ca="1">IFERROR(__xludf.DUMMYFUNCTION("""COMPUTED_VALUE"""),"18' 9""")</f>
        <v>18' 9"</v>
      </c>
      <c r="F8">
        <f ca="1">IFERROR(__xludf.DUMMYFUNCTION("""COMPUTED_VALUE"""),93.583)</f>
        <v>93.582999999999998</v>
      </c>
      <c r="G8">
        <f ca="1">IFERROR(__xludf.DUMMYFUNCTION("""COMPUTED_VALUE"""),5)</f>
        <v>5</v>
      </c>
      <c r="H8" t="str">
        <f ca="1">IFERROR(__xludf.DUMMYFUNCTION("""COMPUTED_VALUE"""),"E")</f>
        <v>E</v>
      </c>
    </row>
    <row r="9" spans="1:8" ht="15.75" customHeight="1">
      <c r="A9" t="str">
        <f ca="1">IFERROR(__xludf.DUMMYFUNCTION("""COMPUTED_VALUE"""),"T8")</f>
        <v>T8</v>
      </c>
      <c r="B9">
        <f ca="1">IFERROR(__xludf.DUMMYFUNCTION("""COMPUTED_VALUE"""),13)</f>
        <v>13</v>
      </c>
      <c r="C9" t="str">
        <f ca="1">IFERROR(__xludf.DUMMYFUNCTION("""COMPUTED_VALUE"""),"John Senden")</f>
        <v>John Senden</v>
      </c>
      <c r="D9">
        <f ca="1">IFERROR(__xludf.DUMMYFUNCTION("""COMPUTED_VALUE"""),8)</f>
        <v>8</v>
      </c>
      <c r="E9" t="str">
        <f ca="1">IFERROR(__xludf.DUMMYFUNCTION("""COMPUTED_VALUE"""),"19' 0""")</f>
        <v>19' 0"</v>
      </c>
      <c r="F9">
        <f ca="1">IFERROR(__xludf.DUMMYFUNCTION("""COMPUTED_VALUE"""),57.083)</f>
        <v>57.082999999999998</v>
      </c>
      <c r="G9">
        <f ca="1">IFERROR(__xludf.DUMMYFUNCTION("""COMPUTED_VALUE"""),3)</f>
        <v>3</v>
      </c>
      <c r="H9">
        <f ca="1">IFERROR(__xludf.DUMMYFUNCTION("""COMPUTED_VALUE"""),-2)</f>
        <v>-2</v>
      </c>
    </row>
    <row r="10" spans="1:8" ht="15.75" customHeight="1">
      <c r="A10" t="str">
        <f ca="1">IFERROR(__xludf.DUMMYFUNCTION("""COMPUTED_VALUE"""),"T8")</f>
        <v>T8</v>
      </c>
      <c r="B10">
        <f ca="1">IFERROR(__xludf.DUMMYFUNCTION("""COMPUTED_VALUE"""),8)</f>
        <v>8</v>
      </c>
      <c r="C10" t="str">
        <f ca="1">IFERROR(__xludf.DUMMYFUNCTION("""COMPUTED_VALUE"""),"Camilo Villegas")</f>
        <v>Camilo Villegas</v>
      </c>
      <c r="D10">
        <f ca="1">IFERROR(__xludf.DUMMYFUNCTION("""COMPUTED_VALUE"""),14)</f>
        <v>14</v>
      </c>
      <c r="E10" t="str">
        <f ca="1">IFERROR(__xludf.DUMMYFUNCTION("""COMPUTED_VALUE"""),"19' 0""")</f>
        <v>19' 0"</v>
      </c>
      <c r="F10">
        <f ca="1">IFERROR(__xludf.DUMMYFUNCTION("""COMPUTED_VALUE"""),361.5)</f>
        <v>361.5</v>
      </c>
      <c r="G10">
        <f ca="1">IFERROR(__xludf.DUMMYFUNCTION("""COMPUTED_VALUE"""),19)</f>
        <v>19</v>
      </c>
      <c r="H10">
        <f ca="1">IFERROR(__xludf.DUMMYFUNCTION("""COMPUTED_VALUE"""),-1)</f>
        <v>-1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IFERROR(__xludf.DUMMYFUNCTION("""COMPUTED_VALUE"""),14)</f>
        <v>14</v>
      </c>
      <c r="C11" t="str">
        <f ca="1">IFERROR(__xludf.DUMMYFUNCTION("""COMPUTED_VALUE"""),"Luke Schniederjans")</f>
        <v>Luke Schniederjans</v>
      </c>
      <c r="D11">
        <f ca="1">IFERROR(__xludf.DUMMYFUNCTION("""COMPUTED_VALUE"""),4)</f>
        <v>4</v>
      </c>
      <c r="E11" t="str">
        <f ca="1">IFERROR(__xludf.DUMMYFUNCTION("""COMPUTED_VALUE"""),"19' 3""")</f>
        <v>19' 3"</v>
      </c>
      <c r="F11">
        <f ca="1">IFERROR(__xludf.DUMMYFUNCTION("""COMPUTED_VALUE"""),96.417)</f>
        <v>96.417000000000002</v>
      </c>
      <c r="G11">
        <f ca="1">IFERROR(__xludf.DUMMYFUNCTION("""COMPUTED_VALUE"""),5)</f>
        <v>5</v>
      </c>
      <c r="H11" t="str">
        <f ca="1">IFERROR(__xludf.DUMMYFUNCTION("""COMPUTED_VALUE"""),"+1")</f>
        <v>+1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IFERROR(__xludf.DUMMYFUNCTION("""COMPUTED_VALUE"""),15)</f>
        <v>15</v>
      </c>
      <c r="C12" t="str">
        <f ca="1">IFERROR(__xludf.DUMMYFUNCTION("""COMPUTED_VALUE"""),"Collin Morikawa")</f>
        <v>Collin Morikawa</v>
      </c>
      <c r="D12">
        <f ca="1">IFERROR(__xludf.DUMMYFUNCTION("""COMPUTED_VALUE"""),12)</f>
        <v>12</v>
      </c>
      <c r="E12" t="str">
        <f ca="1">IFERROR(__xludf.DUMMYFUNCTION("""COMPUTED_VALUE"""),"19' 5""")</f>
        <v>19' 5"</v>
      </c>
      <c r="F12">
        <f ca="1">IFERROR(__xludf.DUMMYFUNCTION("""COMPUTED_VALUE"""),581.833)</f>
        <v>581.83299999999997</v>
      </c>
      <c r="G12">
        <f ca="1">IFERROR(__xludf.DUMMYFUNCTION("""COMPUTED_VALUE"""),30)</f>
        <v>30</v>
      </c>
      <c r="H12">
        <f ca="1">IFERROR(__xludf.DUMMYFUNCTION("""COMPUTED_VALUE"""),-1)</f>
        <v>-1</v>
      </c>
    </row>
    <row r="13" spans="1:8" ht="15.75" customHeight="1">
      <c r="A13" t="str">
        <f ca="1">IFERROR(__xludf.DUMMYFUNCTION("""COMPUTED_VALUE"""),"T12")</f>
        <v>T12</v>
      </c>
      <c r="B13" t="str">
        <f ca="1">IFERROR(__xludf.DUMMYFUNCTION("""COMPUTED_VALUE"""),"T16")</f>
        <v>T16</v>
      </c>
      <c r="C13" t="str">
        <f ca="1">IFERROR(__xludf.DUMMYFUNCTION("""COMPUTED_VALUE"""),"Mikumu Horikawa")</f>
        <v>Mikumu Horikawa</v>
      </c>
      <c r="D13">
        <f ca="1">IFERROR(__xludf.DUMMYFUNCTION("""COMPUTED_VALUE"""),4)</f>
        <v>4</v>
      </c>
      <c r="E13" t="str">
        <f ca="1">IFERROR(__xludf.DUMMYFUNCTION("""COMPUTED_VALUE"""),"19' 6""")</f>
        <v>19' 6"</v>
      </c>
      <c r="F13">
        <f ca="1">IFERROR(__xludf.DUMMYFUNCTION("""COMPUTED_VALUE"""),331.083)</f>
        <v>331.08300000000003</v>
      </c>
      <c r="G13">
        <f ca="1">IFERROR(__xludf.DUMMYFUNCTION("""COMPUTED_VALUE"""),17)</f>
        <v>17</v>
      </c>
      <c r="H13">
        <f ca="1">IFERROR(__xludf.DUMMYFUNCTION("""COMPUTED_VALUE"""),-4)</f>
        <v>-4</v>
      </c>
    </row>
    <row r="14" spans="1:8" ht="15.75" customHeight="1">
      <c r="A14" t="str">
        <f ca="1">IFERROR(__xludf.DUMMYFUNCTION("""COMPUTED_VALUE"""),"T12")</f>
        <v>T12</v>
      </c>
      <c r="B14" t="str">
        <f ca="1">IFERROR(__xludf.DUMMYFUNCTION("""COMPUTED_VALUE"""),"T16")</f>
        <v>T16</v>
      </c>
      <c r="C14" t="str">
        <f ca="1">IFERROR(__xludf.DUMMYFUNCTION("""COMPUTED_VALUE"""),"Ben Taylor")</f>
        <v>Ben Taylor</v>
      </c>
      <c r="D14">
        <f ca="1">IFERROR(__xludf.DUMMYFUNCTION("""COMPUTED_VALUE"""),10)</f>
        <v>10</v>
      </c>
      <c r="E14" t="str">
        <f ca="1">IFERROR(__xludf.DUMMYFUNCTION("""COMPUTED_VALUE"""),"19' 6""")</f>
        <v>19' 6"</v>
      </c>
      <c r="F14">
        <f ca="1">IFERROR(__xludf.DUMMYFUNCTION("""COMPUTED_VALUE"""),155.917)</f>
        <v>155.917</v>
      </c>
      <c r="G14">
        <f ca="1">IFERROR(__xludf.DUMMYFUNCTION("""COMPUTED_VALUE"""),8)</f>
        <v>8</v>
      </c>
      <c r="H14">
        <f ca="1">IFERROR(__xludf.DUMMYFUNCTION("""COMPUTED_VALUE"""),-2)</f>
        <v>-2</v>
      </c>
    </row>
    <row r="15" spans="1:8" ht="15.75" customHeight="1">
      <c r="A15">
        <f ca="1">IFERROR(__xludf.DUMMYFUNCTION("""COMPUTED_VALUE"""),14)</f>
        <v>14</v>
      </c>
      <c r="B15" t="str">
        <f ca="1">IFERROR(__xludf.DUMMYFUNCTION("""COMPUTED_VALUE"""),"T25")</f>
        <v>T25</v>
      </c>
      <c r="C15" t="str">
        <f ca="1">IFERROR(__xludf.DUMMYFUNCTION("""COMPUTED_VALUE"""),"Scott Stallings")</f>
        <v>Scott Stallings</v>
      </c>
      <c r="D15">
        <f ca="1">IFERROR(__xludf.DUMMYFUNCTION("""COMPUTED_VALUE"""),14)</f>
        <v>14</v>
      </c>
      <c r="E15" t="str">
        <f ca="1">IFERROR(__xludf.DUMMYFUNCTION("""COMPUTED_VALUE"""),"19' 7""")</f>
        <v>19' 7"</v>
      </c>
      <c r="F15">
        <f ca="1">IFERROR(__xludf.DUMMYFUNCTION("""COMPUTED_VALUE"""),411.333)</f>
        <v>411.33300000000003</v>
      </c>
      <c r="G15">
        <f ca="1">IFERROR(__xludf.DUMMYFUNCTION("""COMPUTED_VALUE"""),21)</f>
        <v>21</v>
      </c>
      <c r="H15">
        <f ca="1">IFERROR(__xludf.DUMMYFUNCTION("""COMPUTED_VALUE"""),-3)</f>
        <v>-3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IFERROR(__xludf.DUMMYFUNCTION("""COMPUTED_VALUE"""),7)</f>
        <v>7</v>
      </c>
      <c r="C16" t="str">
        <f ca="1">IFERROR(__xludf.DUMMYFUNCTION("""COMPUTED_VALUE"""),"Kevin Chappell")</f>
        <v>Kevin Chappell</v>
      </c>
      <c r="D16">
        <f ca="1">IFERROR(__xludf.DUMMYFUNCTION("""COMPUTED_VALUE"""),16)</f>
        <v>16</v>
      </c>
      <c r="E16" t="str">
        <f ca="1">IFERROR(__xludf.DUMMYFUNCTION("""COMPUTED_VALUE"""),"19' 11""")</f>
        <v>19' 11"</v>
      </c>
      <c r="F16">
        <f ca="1">IFERROR(__xludf.DUMMYFUNCTION("""COMPUTED_VALUE"""),597.583)</f>
        <v>597.58299999999997</v>
      </c>
      <c r="G16">
        <f ca="1">IFERROR(__xludf.DUMMYFUNCTION("""COMPUTED_VALUE"""),30)</f>
        <v>30</v>
      </c>
      <c r="H16">
        <f ca="1">IFERROR(__xludf.DUMMYFUNCTION("""COMPUTED_VALUE"""),-5)</f>
        <v>-5</v>
      </c>
    </row>
    <row r="17" spans="1:8" ht="15.75" customHeight="1">
      <c r="A17" t="str">
        <f ca="1">IFERROR(__xludf.DUMMYFUNCTION("""COMPUTED_VALUE"""),"T16")</f>
        <v>T16</v>
      </c>
      <c r="B17">
        <f ca="1">IFERROR(__xludf.DUMMYFUNCTION("""COMPUTED_VALUE"""),19)</f>
        <v>19</v>
      </c>
      <c r="C17" t="str">
        <f ca="1">IFERROR(__xludf.DUMMYFUNCTION("""COMPUTED_VALUE"""),"Brendan Steele")</f>
        <v>Brendan Steele</v>
      </c>
      <c r="D17">
        <f ca="1">IFERROR(__xludf.DUMMYFUNCTION("""COMPUTED_VALUE"""),14)</f>
        <v>14</v>
      </c>
      <c r="E17" t="str">
        <f ca="1">IFERROR(__xludf.DUMMYFUNCTION("""COMPUTED_VALUE"""),"20' 0""")</f>
        <v>20' 0"</v>
      </c>
      <c r="F17">
        <f ca="1">IFERROR(__xludf.DUMMYFUNCTION("""COMPUTED_VALUE"""),779.583)</f>
        <v>779.58299999999997</v>
      </c>
      <c r="G17">
        <f ca="1">IFERROR(__xludf.DUMMYFUNCTION("""COMPUTED_VALUE"""),39)</f>
        <v>39</v>
      </c>
      <c r="H17">
        <f ca="1">IFERROR(__xludf.DUMMYFUNCTION("""COMPUTED_VALUE"""),-7)</f>
        <v>-7</v>
      </c>
    </row>
    <row r="18" spans="1:8" ht="15.75" customHeight="1">
      <c r="A18" t="str">
        <f ca="1">IFERROR(__xludf.DUMMYFUNCTION("""COMPUTED_VALUE"""),"T16")</f>
        <v>T16</v>
      </c>
      <c r="B18">
        <f ca="1">IFERROR(__xludf.DUMMYFUNCTION("""COMPUTED_VALUE"""),4)</f>
        <v>4</v>
      </c>
      <c r="C18" t="str">
        <f ca="1">IFERROR(__xludf.DUMMYFUNCTION("""COMPUTED_VALUE"""),"John Huh")</f>
        <v>John Huh</v>
      </c>
      <c r="D18">
        <f ca="1">IFERROR(__xludf.DUMMYFUNCTION("""COMPUTED_VALUE"""),8)</f>
        <v>8</v>
      </c>
      <c r="E18" t="str">
        <f ca="1">IFERROR(__xludf.DUMMYFUNCTION("""COMPUTED_VALUE"""),"20' 0""")</f>
        <v>20' 0"</v>
      </c>
      <c r="F18">
        <f ca="1">IFERROR(__xludf.DUMMYFUNCTION("""COMPUTED_VALUE"""),480)</f>
        <v>480</v>
      </c>
      <c r="G18">
        <f ca="1">IFERROR(__xludf.DUMMYFUNCTION("""COMPUTED_VALUE"""),24)</f>
        <v>24</v>
      </c>
      <c r="H18">
        <f ca="1">IFERROR(__xludf.DUMMYFUNCTION("""COMPUTED_VALUE"""),-6)</f>
        <v>-6</v>
      </c>
    </row>
    <row r="19" spans="1:8" ht="15.75" customHeight="1">
      <c r="A19">
        <f ca="1">IFERROR(__xludf.DUMMYFUNCTION("""COMPUTED_VALUE"""),18)</f>
        <v>18</v>
      </c>
      <c r="B19" t="str">
        <f ca="1">IFERROR(__xludf.DUMMYFUNCTION("""COMPUTED_VALUE"""),"T22")</f>
        <v>T22</v>
      </c>
      <c r="C19" t="str">
        <f ca="1">IFERROR(__xludf.DUMMYFUNCTION("""COMPUTED_VALUE"""),"Cameron Percy")</f>
        <v>Cameron Percy</v>
      </c>
      <c r="D19">
        <f ca="1">IFERROR(__xludf.DUMMYFUNCTION("""COMPUTED_VALUE"""),16)</f>
        <v>16</v>
      </c>
      <c r="E19" t="str">
        <f ca="1">IFERROR(__xludf.DUMMYFUNCTION("""COMPUTED_VALUE"""),"20' 3""")</f>
        <v>20' 3"</v>
      </c>
      <c r="F19">
        <f ca="1">IFERROR(__xludf.DUMMYFUNCTION("""COMPUTED_VALUE"""),425.667)</f>
        <v>425.66699999999997</v>
      </c>
      <c r="G19">
        <f ca="1">IFERROR(__xludf.DUMMYFUNCTION("""COMPUTED_VALUE"""),21)</f>
        <v>21</v>
      </c>
      <c r="H19">
        <f ca="1">IFERROR(__xludf.DUMMYFUNCTION("""COMPUTED_VALUE"""),-5)</f>
        <v>-5</v>
      </c>
    </row>
    <row r="20" spans="1:8" ht="15.75" customHeight="1">
      <c r="A20">
        <f ca="1">IFERROR(__xludf.DUMMYFUNCTION("""COMPUTED_VALUE"""),19)</f>
        <v>19</v>
      </c>
      <c r="B20">
        <f ca="1">IFERROR(__xludf.DUMMYFUNCTION("""COMPUTED_VALUE"""),24)</f>
        <v>24</v>
      </c>
      <c r="C20" t="str">
        <f ca="1">IFERROR(__xludf.DUMMYFUNCTION("""COMPUTED_VALUE"""),"Joohyung Kim")</f>
        <v>Joohyung Kim</v>
      </c>
      <c r="D20">
        <f ca="1">IFERROR(__xludf.DUMMYFUNCTION("""COMPUTED_VALUE"""),12)</f>
        <v>12</v>
      </c>
      <c r="E20" t="str">
        <f ca="1">IFERROR(__xludf.DUMMYFUNCTION("""COMPUTED_VALUE"""),"20' 4""")</f>
        <v>20' 4"</v>
      </c>
      <c r="F20">
        <f ca="1">IFERROR(__xludf.DUMMYFUNCTION("""COMPUTED_VALUE"""),447.917)</f>
        <v>447.91699999999997</v>
      </c>
      <c r="G20">
        <f ca="1">IFERROR(__xludf.DUMMYFUNCTION("""COMPUTED_VALUE"""),22)</f>
        <v>22</v>
      </c>
      <c r="H20">
        <f ca="1">IFERROR(__xludf.DUMMYFUNCTION("""COMPUTED_VALUE"""),-2)</f>
        <v>-2</v>
      </c>
    </row>
    <row r="21" spans="1:8" ht="15.75" customHeight="1">
      <c r="A21">
        <f ca="1">IFERROR(__xludf.DUMMYFUNCTION("""COMPUTED_VALUE"""),20)</f>
        <v>20</v>
      </c>
      <c r="B21" t="str">
        <f ca="1">IFERROR(__xludf.DUMMYFUNCTION("""COMPUTED_VALUE"""),"T25")</f>
        <v>T25</v>
      </c>
      <c r="C21" t="str">
        <f ca="1">IFERROR(__xludf.DUMMYFUNCTION("""COMPUTED_VALUE"""),"Alex Cejka")</f>
        <v>Alex Cejka</v>
      </c>
      <c r="D21">
        <f ca="1">IFERROR(__xludf.DUMMYFUNCTION("""COMPUTED_VALUE"""),6)</f>
        <v>6</v>
      </c>
      <c r="E21" t="str">
        <f ca="1">IFERROR(__xludf.DUMMYFUNCTION("""COMPUTED_VALUE"""),"20' 9""")</f>
        <v>20' 9"</v>
      </c>
      <c r="F21">
        <f ca="1">IFERROR(__xludf.DUMMYFUNCTION("""COMPUTED_VALUE"""),103.583)</f>
        <v>103.583</v>
      </c>
      <c r="G21">
        <f ca="1">IFERROR(__xludf.DUMMYFUNCTION("""COMPUTED_VALUE"""),5)</f>
        <v>5</v>
      </c>
      <c r="H21" t="str">
        <f ca="1">IFERROR(__xludf.DUMMYFUNCTION("""COMPUTED_VALUE"""),"E")</f>
        <v>E</v>
      </c>
    </row>
    <row r="22" spans="1:8" ht="15.75" customHeight="1">
      <c r="A22">
        <f ca="1">IFERROR(__xludf.DUMMYFUNCTION("""COMPUTED_VALUE"""),21)</f>
        <v>21</v>
      </c>
      <c r="B22" t="str">
        <f ca="1">IFERROR(__xludf.DUMMYFUNCTION("""COMPUTED_VALUE"""),"T27")</f>
        <v>T27</v>
      </c>
      <c r="C22" t="str">
        <f ca="1">IFERROR(__xludf.DUMMYFUNCTION("""COMPUTED_VALUE"""),"Chan Kim")</f>
        <v>Chan Kim</v>
      </c>
      <c r="D22">
        <f ca="1">IFERROR(__xludf.DUMMYFUNCTION("""COMPUTED_VALUE"""),6)</f>
        <v>6</v>
      </c>
      <c r="E22" t="str">
        <f ca="1">IFERROR(__xludf.DUMMYFUNCTION("""COMPUTED_VALUE"""),"20' 10""")</f>
        <v>20' 10"</v>
      </c>
      <c r="F22">
        <f ca="1">IFERROR(__xludf.DUMMYFUNCTION("""COMPUTED_VALUE"""),437.5)</f>
        <v>437.5</v>
      </c>
      <c r="G22">
        <f ca="1">IFERROR(__xludf.DUMMYFUNCTION("""COMPUTED_VALUE"""),21)</f>
        <v>21</v>
      </c>
      <c r="H22">
        <f ca="1">IFERROR(__xludf.DUMMYFUNCTION("""COMPUTED_VALUE"""),-2)</f>
        <v>-2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IFERROR(__xludf.DUMMYFUNCTION("""COMPUTED_VALUE"""),30)</f>
        <v>30</v>
      </c>
      <c r="C23" t="str">
        <f ca="1">IFERROR(__xludf.DUMMYFUNCTION("""COMPUTED_VALUE"""),"Harry Higgs")</f>
        <v>Harry Higgs</v>
      </c>
      <c r="D23">
        <f ca="1">IFERROR(__xludf.DUMMYFUNCTION("""COMPUTED_VALUE"""),14)</f>
        <v>14</v>
      </c>
      <c r="E23" t="str">
        <f ca="1">IFERROR(__xludf.DUMMYFUNCTION("""COMPUTED_VALUE"""),"21' 1""")</f>
        <v>21' 1"</v>
      </c>
      <c r="F23">
        <f ca="1">IFERROR(__xludf.DUMMYFUNCTION("""COMPUTED_VALUE"""),823.417)</f>
        <v>823.41700000000003</v>
      </c>
      <c r="G23">
        <f ca="1">IFERROR(__xludf.DUMMYFUNCTION("""COMPUTED_VALUE"""),39)</f>
        <v>39</v>
      </c>
      <c r="H23">
        <f ca="1">IFERROR(__xludf.DUMMYFUNCTION("""COMPUTED_VALUE"""),-10)</f>
        <v>-10</v>
      </c>
    </row>
    <row r="24" spans="1:8" ht="15.75" customHeight="1">
      <c r="A24">
        <f ca="1">IFERROR(__xludf.DUMMYFUNCTION("""COMPUTED_VALUE"""),23)</f>
        <v>23</v>
      </c>
      <c r="B24">
        <f ca="1">IFERROR(__xludf.DUMMYFUNCTION("""COMPUTED_VALUE"""),31)</f>
        <v>31</v>
      </c>
      <c r="C24" t="str">
        <f ca="1">IFERROR(__xludf.DUMMYFUNCTION("""COMPUTED_VALUE"""),"Andy Zhang")</f>
        <v>Andy Zhang</v>
      </c>
      <c r="D24">
        <f ca="1">IFERROR(__xludf.DUMMYFUNCTION("""COMPUTED_VALUE"""),4)</f>
        <v>4</v>
      </c>
      <c r="E24" t="str">
        <f ca="1">IFERROR(__xludf.DUMMYFUNCTION("""COMPUTED_VALUE"""),"21' 2""")</f>
        <v>21' 2"</v>
      </c>
      <c r="F24">
        <f ca="1">IFERROR(__xludf.DUMMYFUNCTION("""COMPUTED_VALUE"""),127.167)</f>
        <v>127.167</v>
      </c>
      <c r="G24">
        <f ca="1">IFERROR(__xludf.DUMMYFUNCTION("""COMPUTED_VALUE"""),6)</f>
        <v>6</v>
      </c>
      <c r="H24" t="str">
        <f ca="1">IFERROR(__xludf.DUMMYFUNCTION("""COMPUTED_VALUE"""),"+1")</f>
        <v>+1</v>
      </c>
    </row>
    <row r="25" spans="1:8" ht="15.75" customHeight="1">
      <c r="A25">
        <f ca="1">IFERROR(__xludf.DUMMYFUNCTION("""COMPUTED_VALUE"""),24)</f>
        <v>24</v>
      </c>
      <c r="B25" t="str">
        <f ca="1">IFERROR(__xludf.DUMMYFUNCTION("""COMPUTED_VALUE"""),"T32")</f>
        <v>T32</v>
      </c>
      <c r="C25" t="str">
        <f ca="1">IFERROR(__xludf.DUMMYFUNCTION("""COMPUTED_VALUE"""),"Rhein Gibson")</f>
        <v>Rhein Gibson</v>
      </c>
      <c r="D25">
        <f ca="1">IFERROR(__xludf.DUMMYFUNCTION("""COMPUTED_VALUE"""),10)</f>
        <v>10</v>
      </c>
      <c r="E25" t="str">
        <f ca="1">IFERROR(__xludf.DUMMYFUNCTION("""COMPUTED_VALUE"""),"21' 3""")</f>
        <v>21' 3"</v>
      </c>
      <c r="F25">
        <f ca="1">IFERROR(__xludf.DUMMYFUNCTION("""COMPUTED_VALUE"""),127.5)</f>
        <v>127.5</v>
      </c>
      <c r="G25">
        <f ca="1">IFERROR(__xludf.DUMMYFUNCTION("""COMPUTED_VALUE"""),6)</f>
        <v>6</v>
      </c>
      <c r="H25">
        <f ca="1">IFERROR(__xludf.DUMMYFUNCTION("""COMPUTED_VALUE"""),-1)</f>
        <v>-1</v>
      </c>
    </row>
    <row r="26" spans="1:8" ht="15.75" customHeight="1">
      <c r="A26" t="str">
        <f ca="1">IFERROR(__xludf.DUMMYFUNCTION("""COMPUTED_VALUE"""),"T25")</f>
        <v>T25</v>
      </c>
      <c r="B26" t="str">
        <f ca="1">IFERROR(__xludf.DUMMYFUNCTION("""COMPUTED_VALUE"""),"T32")</f>
        <v>T32</v>
      </c>
      <c r="C26" t="str">
        <f ca="1">IFERROR(__xludf.DUMMYFUNCTION("""COMPUTED_VALUE"""),"Jordan Spieth")</f>
        <v>Jordan Spieth</v>
      </c>
      <c r="D26">
        <f ca="1">IFERROR(__xludf.DUMMYFUNCTION("""COMPUTED_VALUE"""),14)</f>
        <v>14</v>
      </c>
      <c r="E26" t="str">
        <f ca="1">IFERROR(__xludf.DUMMYFUNCTION("""COMPUTED_VALUE"""),"21' 6""")</f>
        <v>21' 6"</v>
      </c>
      <c r="F26">
        <f ca="1">IFERROR(__xludf.DUMMYFUNCTION("""COMPUTED_VALUE"""),601.5)</f>
        <v>601.5</v>
      </c>
      <c r="G26">
        <f ca="1">IFERROR(__xludf.DUMMYFUNCTION("""COMPUTED_VALUE"""),28)</f>
        <v>28</v>
      </c>
      <c r="H26" t="str">
        <f ca="1">IFERROR(__xludf.DUMMYFUNCTION("""COMPUTED_VALUE"""),"+1")</f>
        <v>+1</v>
      </c>
    </row>
    <row r="27" spans="1:8" ht="15.75" customHeight="1">
      <c r="A27" t="str">
        <f ca="1">IFERROR(__xludf.DUMMYFUNCTION("""COMPUTED_VALUE"""),"T25")</f>
        <v>T25</v>
      </c>
      <c r="B27">
        <f ca="1">IFERROR(__xludf.DUMMYFUNCTION("""COMPUTED_VALUE"""),35)</f>
        <v>35</v>
      </c>
      <c r="C27" t="str">
        <f ca="1">IFERROR(__xludf.DUMMYFUNCTION("""COMPUTED_VALUE"""),"Sebastian Cappelen")</f>
        <v>Sebastian Cappelen</v>
      </c>
      <c r="D27">
        <f ca="1">IFERROR(__xludf.DUMMYFUNCTION("""COMPUTED_VALUE"""),8)</f>
        <v>8</v>
      </c>
      <c r="E27" t="str">
        <f ca="1">IFERROR(__xludf.DUMMYFUNCTION("""COMPUTED_VALUE"""),"21' 6""")</f>
        <v>21' 6"</v>
      </c>
      <c r="F27">
        <f ca="1">IFERROR(__xludf.DUMMYFUNCTION("""COMPUTED_VALUE"""),236.583)</f>
        <v>236.583</v>
      </c>
      <c r="G27">
        <f ca="1">IFERROR(__xludf.DUMMYFUNCTION("""COMPUTED_VALUE"""),11)</f>
        <v>11</v>
      </c>
      <c r="H27">
        <f ca="1">IFERROR(__xludf.DUMMYFUNCTION("""COMPUTED_VALUE"""),-2)</f>
        <v>-2</v>
      </c>
    </row>
    <row r="28" spans="1:8" ht="15.75" customHeight="1">
      <c r="A28" t="str">
        <f ca="1">IFERROR(__xludf.DUMMYFUNCTION("""COMPUTED_VALUE"""),"T27")</f>
        <v>T27</v>
      </c>
      <c r="B28" t="str">
        <f ca="1">IFERROR(__xludf.DUMMYFUNCTION("""COMPUTED_VALUE"""),"T36")</f>
        <v>T36</v>
      </c>
      <c r="C28" t="str">
        <f ca="1">IFERROR(__xludf.DUMMYFUNCTION("""COMPUTED_VALUE"""),"Shaun Norris")</f>
        <v>Shaun Norris</v>
      </c>
      <c r="D28">
        <f ca="1">IFERROR(__xludf.DUMMYFUNCTION("""COMPUTED_VALUE"""),6)</f>
        <v>6</v>
      </c>
      <c r="E28" t="str">
        <f ca="1">IFERROR(__xludf.DUMMYFUNCTION("""COMPUTED_VALUE"""),"21' 7""")</f>
        <v>21' 7"</v>
      </c>
      <c r="F28">
        <f ca="1">IFERROR(__xludf.DUMMYFUNCTION("""COMPUTED_VALUE"""),495.5)</f>
        <v>495.5</v>
      </c>
      <c r="G28">
        <f ca="1">IFERROR(__xludf.DUMMYFUNCTION("""COMPUTED_VALUE"""),23)</f>
        <v>23</v>
      </c>
      <c r="H28">
        <f ca="1">IFERROR(__xludf.DUMMYFUNCTION("""COMPUTED_VALUE"""),-6)</f>
        <v>-6</v>
      </c>
    </row>
    <row r="29" spans="1:8" ht="15.75" customHeight="1">
      <c r="A29" t="str">
        <f ca="1">IFERROR(__xludf.DUMMYFUNCTION("""COMPUTED_VALUE"""),"T27")</f>
        <v>T27</v>
      </c>
      <c r="B29" t="str">
        <f ca="1">IFERROR(__xludf.DUMMYFUNCTION("""COMPUTED_VALUE"""),"T36")</f>
        <v>T36</v>
      </c>
      <c r="C29" t="str">
        <f ca="1">IFERROR(__xludf.DUMMYFUNCTION("""COMPUTED_VALUE"""),"Tommy Fleetwood")</f>
        <v>Tommy Fleetwood</v>
      </c>
      <c r="D29">
        <f ca="1">IFERROR(__xludf.DUMMYFUNCTION("""COMPUTED_VALUE"""),10)</f>
        <v>10</v>
      </c>
      <c r="E29" t="str">
        <f ca="1">IFERROR(__xludf.DUMMYFUNCTION("""COMPUTED_VALUE"""),"21' 7""")</f>
        <v>21' 7"</v>
      </c>
      <c r="F29">
        <f ca="1">IFERROR(__xludf.DUMMYFUNCTION("""COMPUTED_VALUE"""),518.167)</f>
        <v>518.16700000000003</v>
      </c>
      <c r="G29">
        <f ca="1">IFERROR(__xludf.DUMMYFUNCTION("""COMPUTED_VALUE"""),24)</f>
        <v>24</v>
      </c>
      <c r="H29">
        <f ca="1">IFERROR(__xludf.DUMMYFUNCTION("""COMPUTED_VALUE"""),-7)</f>
        <v>-7</v>
      </c>
    </row>
    <row r="30" spans="1:8" ht="15.75" customHeight="1">
      <c r="A30" t="str">
        <f ca="1">IFERROR(__xludf.DUMMYFUNCTION("""COMPUTED_VALUE"""),"T27")</f>
        <v>T27</v>
      </c>
      <c r="B30" t="str">
        <f ca="1">IFERROR(__xludf.DUMMYFUNCTION("""COMPUTED_VALUE"""),"T36")</f>
        <v>T36</v>
      </c>
      <c r="C30" t="str">
        <f ca="1">IFERROR(__xludf.DUMMYFUNCTION("""COMPUTED_VALUE"""),"Takumi Kanaya")</f>
        <v>Takumi Kanaya</v>
      </c>
      <c r="D30">
        <f ca="1">IFERROR(__xludf.DUMMYFUNCTION("""COMPUTED_VALUE"""),6)</f>
        <v>6</v>
      </c>
      <c r="E30" t="str">
        <f ca="1">IFERROR(__xludf.DUMMYFUNCTION("""COMPUTED_VALUE"""),"21' 7""")</f>
        <v>21' 7"</v>
      </c>
      <c r="F30">
        <f ca="1">IFERROR(__xludf.DUMMYFUNCTION("""COMPUTED_VALUE"""),474)</f>
        <v>474</v>
      </c>
      <c r="G30">
        <f ca="1">IFERROR(__xludf.DUMMYFUNCTION("""COMPUTED_VALUE"""),22)</f>
        <v>22</v>
      </c>
      <c r="H30">
        <f ca="1">IFERROR(__xludf.DUMMYFUNCTION("""COMPUTED_VALUE"""),-5)</f>
        <v>-5</v>
      </c>
    </row>
    <row r="31" spans="1:8" ht="12.75">
      <c r="A31">
        <f ca="1">IFERROR(__xludf.DUMMYFUNCTION("""COMPUTED_VALUE"""),30)</f>
        <v>30</v>
      </c>
      <c r="B31" t="str">
        <f ca="1">IFERROR(__xludf.DUMMYFUNCTION("""COMPUTED_VALUE"""),"T53")</f>
        <v>T53</v>
      </c>
      <c r="C31" t="str">
        <f ca="1">IFERROR(__xludf.DUMMYFUNCTION("""COMPUTED_VALUE"""),"Jimmy Walker")</f>
        <v>Jimmy Walker</v>
      </c>
      <c r="D31">
        <f ca="1">IFERROR(__xludf.DUMMYFUNCTION("""COMPUTED_VALUE"""),10)</f>
        <v>10</v>
      </c>
      <c r="E31" t="str">
        <f ca="1">IFERROR(__xludf.DUMMYFUNCTION("""COMPUTED_VALUE"""),"21' 10""")</f>
        <v>21' 10"</v>
      </c>
      <c r="F31">
        <f ca="1">IFERROR(__xludf.DUMMYFUNCTION("""COMPUTED_VALUE"""),371.5)</f>
        <v>371.5</v>
      </c>
      <c r="G31">
        <f ca="1">IFERROR(__xludf.DUMMYFUNCTION("""COMPUTED_VALUE"""),17)</f>
        <v>17</v>
      </c>
      <c r="H31">
        <f ca="1">IFERROR(__xludf.DUMMYFUNCTION("""COMPUTED_VALUE"""),-2)</f>
        <v>-2</v>
      </c>
    </row>
    <row r="32" spans="1:8" ht="12.75">
      <c r="A32" t="str">
        <f ca="1">IFERROR(__xludf.DUMMYFUNCTION("""COMPUTED_VALUE"""),"T31")</f>
        <v>T31</v>
      </c>
      <c r="B32" t="str">
        <f ca="1">IFERROR(__xludf.DUMMYFUNCTION("""COMPUTED_VALUE"""),"T41")</f>
        <v>T41</v>
      </c>
      <c r="C32" t="str">
        <f ca="1">IFERROR(__xludf.DUMMYFUNCTION("""COMPUTED_VALUE"""),"Tiger Woods")</f>
        <v>Tiger Woods</v>
      </c>
      <c r="D32">
        <f ca="1">IFERROR(__xludf.DUMMYFUNCTION("""COMPUTED_VALUE"""),6)</f>
        <v>6</v>
      </c>
      <c r="E32" t="str">
        <f ca="1">IFERROR(__xludf.DUMMYFUNCTION("""COMPUTED_VALUE"""),"22' 1""")</f>
        <v>22' 1"</v>
      </c>
      <c r="F32">
        <f ca="1">IFERROR(__xludf.DUMMYFUNCTION("""COMPUTED_VALUE"""),463.667)</f>
        <v>463.66699999999997</v>
      </c>
      <c r="G32">
        <f ca="1">IFERROR(__xludf.DUMMYFUNCTION("""COMPUTED_VALUE"""),21)</f>
        <v>21</v>
      </c>
      <c r="H32">
        <f ca="1">IFERROR(__xludf.DUMMYFUNCTION("""COMPUTED_VALUE"""),-4)</f>
        <v>-4</v>
      </c>
    </row>
    <row r="33" spans="1:8" ht="12.75">
      <c r="A33" t="str">
        <f ca="1">IFERROR(__xludf.DUMMYFUNCTION("""COMPUTED_VALUE"""),"T31")</f>
        <v>T31</v>
      </c>
      <c r="B33">
        <f ca="1">IFERROR(__xludf.DUMMYFUNCTION("""COMPUTED_VALUE"""),20)</f>
        <v>20</v>
      </c>
      <c r="C33" t="str">
        <f ca="1">IFERROR(__xludf.DUMMYFUNCTION("""COMPUTED_VALUE"""),"Xinjun Zhang")</f>
        <v>Xinjun Zhang</v>
      </c>
      <c r="D33">
        <f ca="1">IFERROR(__xludf.DUMMYFUNCTION("""COMPUTED_VALUE"""),14)</f>
        <v>14</v>
      </c>
      <c r="E33" t="str">
        <f ca="1">IFERROR(__xludf.DUMMYFUNCTION("""COMPUTED_VALUE"""),"22' 1""")</f>
        <v>22' 1"</v>
      </c>
      <c r="F33">
        <f ca="1">IFERROR(__xludf.DUMMYFUNCTION("""COMPUTED_VALUE"""),485.5)</f>
        <v>485.5</v>
      </c>
      <c r="G33">
        <f ca="1">IFERROR(__xludf.DUMMYFUNCTION("""COMPUTED_VALUE"""),22)</f>
        <v>22</v>
      </c>
      <c r="H33" t="str">
        <f ca="1">IFERROR(__xludf.DUMMYFUNCTION("""COMPUTED_VALUE"""),"E")</f>
        <v>E</v>
      </c>
    </row>
    <row r="34" spans="1:8" ht="12.75">
      <c r="A34" t="str">
        <f ca="1">IFERROR(__xludf.DUMMYFUNCTION("""COMPUTED_VALUE"""),"T33")</f>
        <v>T33</v>
      </c>
      <c r="B34">
        <f ca="1">IFERROR(__xludf.DUMMYFUNCTION("""COMPUTED_VALUE"""),67)</f>
        <v>67</v>
      </c>
      <c r="C34" t="str">
        <f ca="1">IFERROR(__xludf.DUMMYFUNCTION("""COMPUTED_VALUE"""),"Jason Dufner")</f>
        <v>Jason Dufner</v>
      </c>
      <c r="D34">
        <f ca="1">IFERROR(__xludf.DUMMYFUNCTION("""COMPUTED_VALUE"""),14)</f>
        <v>14</v>
      </c>
      <c r="E34" t="str">
        <f ca="1">IFERROR(__xludf.DUMMYFUNCTION("""COMPUTED_VALUE"""),"22' 2""")</f>
        <v>22' 2"</v>
      </c>
      <c r="F34">
        <f ca="1">IFERROR(__xludf.DUMMYFUNCTION("""COMPUTED_VALUE"""),420.5)</f>
        <v>420.5</v>
      </c>
      <c r="G34">
        <f ca="1">IFERROR(__xludf.DUMMYFUNCTION("""COMPUTED_VALUE"""),19)</f>
        <v>19</v>
      </c>
      <c r="H34" t="str">
        <f ca="1">IFERROR(__xludf.DUMMYFUNCTION("""COMPUTED_VALUE"""),"+2")</f>
        <v>+2</v>
      </c>
    </row>
    <row r="35" spans="1:8" ht="12.75">
      <c r="A35" t="str">
        <f ca="1">IFERROR(__xludf.DUMMYFUNCTION("""COMPUTED_VALUE"""),"T33")</f>
        <v>T33</v>
      </c>
      <c r="B35" t="str">
        <f ca="1">IFERROR(__xludf.DUMMYFUNCTION("""COMPUTED_VALUE"""),"T43")</f>
        <v>T43</v>
      </c>
      <c r="C35" t="str">
        <f ca="1">IFERROR(__xludf.DUMMYFUNCTION("""COMPUTED_VALUE"""),"Ryan Blaum")</f>
        <v>Ryan Blaum</v>
      </c>
      <c r="D35">
        <f ca="1">IFERROR(__xludf.DUMMYFUNCTION("""COMPUTED_VALUE"""),8)</f>
        <v>8</v>
      </c>
      <c r="E35" t="str">
        <f ca="1">IFERROR(__xludf.DUMMYFUNCTION("""COMPUTED_VALUE"""),"22' 2""")</f>
        <v>22' 2"</v>
      </c>
      <c r="F35">
        <f ca="1">IFERROR(__xludf.DUMMYFUNCTION("""COMPUTED_VALUE"""),110.75)</f>
        <v>110.75</v>
      </c>
      <c r="G35">
        <f ca="1">IFERROR(__xludf.DUMMYFUNCTION("""COMPUTED_VALUE"""),5)</f>
        <v>5</v>
      </c>
      <c r="H35">
        <f ca="1">IFERROR(__xludf.DUMMYFUNCTION("""COMPUTED_VALUE"""),-1)</f>
        <v>-1</v>
      </c>
    </row>
    <row r="36" spans="1:8" ht="12.75">
      <c r="A36" t="str">
        <f ca="1">IFERROR(__xludf.DUMMYFUNCTION("""COMPUTED_VALUE"""),"T33")</f>
        <v>T33</v>
      </c>
      <c r="B36" t="str">
        <f ca="1">IFERROR(__xludf.DUMMYFUNCTION("""COMPUTED_VALUE"""),"T126")</f>
        <v>T126</v>
      </c>
      <c r="C36" t="str">
        <f ca="1">IFERROR(__xludf.DUMMYFUNCTION("""COMPUTED_VALUE"""),"Tony Finau")</f>
        <v>Tony Finau</v>
      </c>
      <c r="D36">
        <f ca="1">IFERROR(__xludf.DUMMYFUNCTION("""COMPUTED_VALUE"""),12)</f>
        <v>12</v>
      </c>
      <c r="E36" t="str">
        <f ca="1">IFERROR(__xludf.DUMMYFUNCTION("""COMPUTED_VALUE"""),"22' 2""")</f>
        <v>22' 2"</v>
      </c>
      <c r="F36">
        <f ca="1">IFERROR(__xludf.DUMMYFUNCTION("""COMPUTED_VALUE"""),820.917)</f>
        <v>820.91700000000003</v>
      </c>
      <c r="G36">
        <f ca="1">IFERROR(__xludf.DUMMYFUNCTION("""COMPUTED_VALUE"""),37)</f>
        <v>37</v>
      </c>
      <c r="H36">
        <f ca="1">IFERROR(__xludf.DUMMYFUNCTION("""COMPUTED_VALUE"""),-4)</f>
        <v>-4</v>
      </c>
    </row>
    <row r="37" spans="1:8" ht="12.75">
      <c r="A37" t="str">
        <f ca="1">IFERROR(__xludf.DUMMYFUNCTION("""COMPUTED_VALUE"""),"T33")</f>
        <v>T33</v>
      </c>
      <c r="B37" t="str">
        <f ca="1">IFERROR(__xludf.DUMMYFUNCTION("""COMPUTED_VALUE"""),"T43")</f>
        <v>T43</v>
      </c>
      <c r="C37" t="str">
        <f ca="1">IFERROR(__xludf.DUMMYFUNCTION("""COMPUTED_VALUE"""),"Patrick Reed")</f>
        <v>Patrick Reed</v>
      </c>
      <c r="D37">
        <f ca="1">IFERROR(__xludf.DUMMYFUNCTION("""COMPUTED_VALUE"""),8)</f>
        <v>8</v>
      </c>
      <c r="E37" t="str">
        <f ca="1">IFERROR(__xludf.DUMMYFUNCTION("""COMPUTED_VALUE"""),"22' 2""")</f>
        <v>22' 2"</v>
      </c>
      <c r="F37">
        <f ca="1">IFERROR(__xludf.DUMMYFUNCTION("""COMPUTED_VALUE"""),508.917)</f>
        <v>508.91699999999997</v>
      </c>
      <c r="G37">
        <f ca="1">IFERROR(__xludf.DUMMYFUNCTION("""COMPUTED_VALUE"""),23)</f>
        <v>23</v>
      </c>
      <c r="H37">
        <f ca="1">IFERROR(__xludf.DUMMYFUNCTION("""COMPUTED_VALUE"""),-6)</f>
        <v>-6</v>
      </c>
    </row>
    <row r="38" spans="1:8" ht="12.75">
      <c r="A38" t="str">
        <f ca="1">IFERROR(__xludf.DUMMYFUNCTION("""COMPUTED_VALUE"""),"T37")</f>
        <v>T37</v>
      </c>
      <c r="B38" t="str">
        <f ca="1">IFERROR(__xludf.DUMMYFUNCTION("""COMPUTED_VALUE"""),"T47")</f>
        <v>T47</v>
      </c>
      <c r="C38" t="str">
        <f ca="1">IFERROR(__xludf.DUMMYFUNCTION("""COMPUTED_VALUE"""),"Josh Teater")</f>
        <v>Josh Teater</v>
      </c>
      <c r="D38">
        <f ca="1">IFERROR(__xludf.DUMMYFUNCTION("""COMPUTED_VALUE"""),6)</f>
        <v>6</v>
      </c>
      <c r="E38" t="str">
        <f ca="1">IFERROR(__xludf.DUMMYFUNCTION("""COMPUTED_VALUE"""),"22' 3""")</f>
        <v>22' 3"</v>
      </c>
      <c r="F38">
        <f ca="1">IFERROR(__xludf.DUMMYFUNCTION("""COMPUTED_VALUE"""),66.75)</f>
        <v>66.75</v>
      </c>
      <c r="G38">
        <f ca="1">IFERROR(__xludf.DUMMYFUNCTION("""COMPUTED_VALUE"""),3)</f>
        <v>3</v>
      </c>
      <c r="H38">
        <f ca="1">IFERROR(__xludf.DUMMYFUNCTION("""COMPUTED_VALUE"""),-1)</f>
        <v>-1</v>
      </c>
    </row>
    <row r="39" spans="1:8" ht="12.75">
      <c r="A39" t="str">
        <f ca="1">IFERROR(__xludf.DUMMYFUNCTION("""COMPUTED_VALUE"""),"T37")</f>
        <v>T37</v>
      </c>
      <c r="B39" t="str">
        <f ca="1">IFERROR(__xludf.DUMMYFUNCTION("""COMPUTED_VALUE"""),"T22")</f>
        <v>T22</v>
      </c>
      <c r="C39" t="str">
        <f ca="1">IFERROR(__xludf.DUMMYFUNCTION("""COMPUTED_VALUE"""),"C.T. Pan")</f>
        <v>C.T. Pan</v>
      </c>
      <c r="D39">
        <f ca="1">IFERROR(__xludf.DUMMYFUNCTION("""COMPUTED_VALUE"""),20)</f>
        <v>20</v>
      </c>
      <c r="E39" t="str">
        <f ca="1">IFERROR(__xludf.DUMMYFUNCTION("""COMPUTED_VALUE"""),"22' 3""")</f>
        <v>22' 3"</v>
      </c>
      <c r="F39">
        <f ca="1">IFERROR(__xludf.DUMMYFUNCTION("""COMPUTED_VALUE"""),955.667)</f>
        <v>955.66700000000003</v>
      </c>
      <c r="G39">
        <f ca="1">IFERROR(__xludf.DUMMYFUNCTION("""COMPUTED_VALUE"""),43)</f>
        <v>43</v>
      </c>
      <c r="H39">
        <f ca="1">IFERROR(__xludf.DUMMYFUNCTION("""COMPUTED_VALUE"""),-4)</f>
        <v>-4</v>
      </c>
    </row>
    <row r="40" spans="1:8" ht="12.75">
      <c r="A40" t="str">
        <f ca="1">IFERROR(__xludf.DUMMYFUNCTION("""COMPUTED_VALUE"""),"T37")</f>
        <v>T37</v>
      </c>
      <c r="B40" t="str">
        <f ca="1">IFERROR(__xludf.DUMMYFUNCTION("""COMPUTED_VALUE"""),"T47")</f>
        <v>T47</v>
      </c>
      <c r="C40" t="str">
        <f ca="1">IFERROR(__xludf.DUMMYFUNCTION("""COMPUTED_VALUE"""),"Gunn Charoenkul")</f>
        <v>Gunn Charoenkul</v>
      </c>
      <c r="D40">
        <f ca="1">IFERROR(__xludf.DUMMYFUNCTION("""COMPUTED_VALUE"""),4)</f>
        <v>4</v>
      </c>
      <c r="E40" t="str">
        <f ca="1">IFERROR(__xludf.DUMMYFUNCTION("""COMPUTED_VALUE"""),"22' 3""")</f>
        <v>22' 3"</v>
      </c>
      <c r="F40">
        <f ca="1">IFERROR(__xludf.DUMMYFUNCTION("""COMPUTED_VALUE"""),422.25)</f>
        <v>422.25</v>
      </c>
      <c r="G40">
        <f ca="1">IFERROR(__xludf.DUMMYFUNCTION("""COMPUTED_VALUE"""),19)</f>
        <v>19</v>
      </c>
      <c r="H40">
        <f ca="1">IFERROR(__xludf.DUMMYFUNCTION("""COMPUTED_VALUE"""),-3)</f>
        <v>-3</v>
      </c>
    </row>
    <row r="41" spans="1:8" ht="12.75">
      <c r="A41" t="str">
        <f ca="1">IFERROR(__xludf.DUMMYFUNCTION("""COMPUTED_VALUE"""),"T37")</f>
        <v>T37</v>
      </c>
      <c r="B41" t="str">
        <f ca="1">IFERROR(__xludf.DUMMYFUNCTION("""COMPUTED_VALUE"""),"T47")</f>
        <v>T47</v>
      </c>
      <c r="C41" t="str">
        <f ca="1">IFERROR(__xludf.DUMMYFUNCTION("""COMPUTED_VALUE"""),"Matthew Fitzpatrick")</f>
        <v>Matthew Fitzpatrick</v>
      </c>
      <c r="D41">
        <f ca="1">IFERROR(__xludf.DUMMYFUNCTION("""COMPUTED_VALUE"""),10)</f>
        <v>10</v>
      </c>
      <c r="E41" t="str">
        <f ca="1">IFERROR(__xludf.DUMMYFUNCTION("""COMPUTED_VALUE"""),"22' 3""")</f>
        <v>22' 3"</v>
      </c>
      <c r="F41">
        <f ca="1">IFERROR(__xludf.DUMMYFUNCTION("""COMPUTED_VALUE"""),667.583)</f>
        <v>667.58299999999997</v>
      </c>
      <c r="G41">
        <f ca="1">IFERROR(__xludf.DUMMYFUNCTION("""COMPUTED_VALUE"""),30)</f>
        <v>30</v>
      </c>
      <c r="H41">
        <f ca="1">IFERROR(__xludf.DUMMYFUNCTION("""COMPUTED_VALUE"""),-7)</f>
        <v>-7</v>
      </c>
    </row>
    <row r="42" spans="1:8" ht="12.75">
      <c r="A42" t="str">
        <f ca="1">IFERROR(__xludf.DUMMYFUNCTION("""COMPUTED_VALUE"""),"T37")</f>
        <v>T37</v>
      </c>
      <c r="B42" t="str">
        <f ca="1">IFERROR(__xludf.DUMMYFUNCTION("""COMPUTED_VALUE"""),"T47")</f>
        <v>T47</v>
      </c>
      <c r="C42" t="str">
        <f ca="1">IFERROR(__xludf.DUMMYFUNCTION("""COMPUTED_VALUE"""),"Wesley Bryan")</f>
        <v>Wesley Bryan</v>
      </c>
      <c r="D42">
        <f ca="1">IFERROR(__xludf.DUMMYFUNCTION("""COMPUTED_VALUE"""),8)</f>
        <v>8</v>
      </c>
      <c r="E42" t="str">
        <f ca="1">IFERROR(__xludf.DUMMYFUNCTION("""COMPUTED_VALUE"""),"22' 3""")</f>
        <v>22' 3"</v>
      </c>
      <c r="F42">
        <f ca="1">IFERROR(__xludf.DUMMYFUNCTION("""COMPUTED_VALUE"""),244.917)</f>
        <v>244.917</v>
      </c>
      <c r="G42">
        <f ca="1">IFERROR(__xludf.DUMMYFUNCTION("""COMPUTED_VALUE"""),11)</f>
        <v>11</v>
      </c>
      <c r="H42" t="str">
        <f ca="1">IFERROR(__xludf.DUMMYFUNCTION("""COMPUTED_VALUE"""),"E")</f>
        <v>E</v>
      </c>
    </row>
    <row r="43" spans="1:8" ht="12.75">
      <c r="A43" t="str">
        <f ca="1">IFERROR(__xludf.DUMMYFUNCTION("""COMPUTED_VALUE"""),"T37")</f>
        <v>T37</v>
      </c>
      <c r="B43">
        <f ca="1">IFERROR(__xludf.DUMMYFUNCTION("""COMPUTED_VALUE"""),184)</f>
        <v>184</v>
      </c>
      <c r="C43" t="str">
        <f ca="1">IFERROR(__xludf.DUMMYFUNCTION("""COMPUTED_VALUE"""),"Isaiah Salinda")</f>
        <v>Isaiah Salinda</v>
      </c>
      <c r="D43">
        <f ca="1">IFERROR(__xludf.DUMMYFUNCTION("""COMPUTED_VALUE"""),8)</f>
        <v>8</v>
      </c>
      <c r="E43" t="str">
        <f ca="1">IFERROR(__xludf.DUMMYFUNCTION("""COMPUTED_VALUE"""),"22' 3""")</f>
        <v>22' 3"</v>
      </c>
      <c r="F43">
        <f ca="1">IFERROR(__xludf.DUMMYFUNCTION("""COMPUTED_VALUE"""),400.333)</f>
        <v>400.33300000000003</v>
      </c>
      <c r="G43">
        <f ca="1">IFERROR(__xludf.DUMMYFUNCTION("""COMPUTED_VALUE"""),18)</f>
        <v>18</v>
      </c>
      <c r="H43">
        <f ca="1">IFERROR(__xludf.DUMMYFUNCTION("""COMPUTED_VALUE"""),-1)</f>
        <v>-1</v>
      </c>
    </row>
    <row r="44" spans="1:8" ht="12.75">
      <c r="A44" t="str">
        <f ca="1">IFERROR(__xludf.DUMMYFUNCTION("""COMPUTED_VALUE"""),"T43")</f>
        <v>T43</v>
      </c>
      <c r="B44" t="str">
        <f ca="1">IFERROR(__xludf.DUMMYFUNCTION("""COMPUTED_VALUE"""),"T32")</f>
        <v>T32</v>
      </c>
      <c r="C44" t="str">
        <f ca="1">IFERROR(__xludf.DUMMYFUNCTION("""COMPUTED_VALUE"""),"Danny Lee")</f>
        <v>Danny Lee</v>
      </c>
      <c r="D44">
        <f ca="1">IFERROR(__xludf.DUMMYFUNCTION("""COMPUTED_VALUE"""),15)</f>
        <v>15</v>
      </c>
      <c r="E44" t="str">
        <f ca="1">IFERROR(__xludf.DUMMYFUNCTION("""COMPUTED_VALUE"""),"22' 4""")</f>
        <v>22' 4"</v>
      </c>
      <c r="F44" s="2">
        <f ca="1">IFERROR(__xludf.DUMMYFUNCTION("""COMPUTED_VALUE"""),1028.083)</f>
        <v>1028.0830000000001</v>
      </c>
      <c r="G44">
        <f ca="1">IFERROR(__xludf.DUMMYFUNCTION("""COMPUTED_VALUE"""),46)</f>
        <v>46</v>
      </c>
      <c r="H44">
        <f ca="1">IFERROR(__xludf.DUMMYFUNCTION("""COMPUTED_VALUE"""),-1)</f>
        <v>-1</v>
      </c>
    </row>
    <row r="45" spans="1:8" ht="12.75">
      <c r="A45" t="str">
        <f ca="1">IFERROR(__xludf.DUMMYFUNCTION("""COMPUTED_VALUE"""),"T43")</f>
        <v>T43</v>
      </c>
      <c r="B45" t="str">
        <f ca="1">IFERROR(__xludf.DUMMYFUNCTION("""COMPUTED_VALUE"""),"T27")</f>
        <v>T27</v>
      </c>
      <c r="C45" t="str">
        <f ca="1">IFERROR(__xludf.DUMMYFUNCTION("""COMPUTED_VALUE"""),"Russell Henley")</f>
        <v>Russell Henley</v>
      </c>
      <c r="D45">
        <f ca="1">IFERROR(__xludf.DUMMYFUNCTION("""COMPUTED_VALUE"""),16)</f>
        <v>16</v>
      </c>
      <c r="E45" t="str">
        <f ca="1">IFERROR(__xludf.DUMMYFUNCTION("""COMPUTED_VALUE"""),"22' 4""")</f>
        <v>22' 4"</v>
      </c>
      <c r="F45" s="2">
        <f ca="1">IFERROR(__xludf.DUMMYFUNCTION("""COMPUTED_VALUE"""),1252.25)</f>
        <v>1252.25</v>
      </c>
      <c r="G45">
        <f ca="1">IFERROR(__xludf.DUMMYFUNCTION("""COMPUTED_VALUE"""),56)</f>
        <v>56</v>
      </c>
      <c r="H45">
        <f ca="1">IFERROR(__xludf.DUMMYFUNCTION("""COMPUTED_VALUE"""),-12)</f>
        <v>-12</v>
      </c>
    </row>
    <row r="46" spans="1:8" ht="12.75">
      <c r="A46">
        <f ca="1">IFERROR(__xludf.DUMMYFUNCTION("""COMPUTED_VALUE"""),45)</f>
        <v>45</v>
      </c>
      <c r="B46" t="str">
        <f ca="1">IFERROR(__xludf.DUMMYFUNCTION("""COMPUTED_VALUE"""),"T43")</f>
        <v>T43</v>
      </c>
      <c r="C46" t="str">
        <f ca="1">IFERROR(__xludf.DUMMYFUNCTION("""COMPUTED_VALUE"""),"Tyrrell Hatton")</f>
        <v>Tyrrell Hatton</v>
      </c>
      <c r="D46">
        <f ca="1">IFERROR(__xludf.DUMMYFUNCTION("""COMPUTED_VALUE"""),14)</f>
        <v>14</v>
      </c>
      <c r="E46" t="str">
        <f ca="1">IFERROR(__xludf.DUMMYFUNCTION("""COMPUTED_VALUE"""),"22' 5""")</f>
        <v>22' 5"</v>
      </c>
      <c r="F46">
        <f ca="1">IFERROR(__xludf.DUMMYFUNCTION("""COMPUTED_VALUE"""),874.333)</f>
        <v>874.33299999999997</v>
      </c>
      <c r="G46">
        <f ca="1">IFERROR(__xludf.DUMMYFUNCTION("""COMPUTED_VALUE"""),39)</f>
        <v>39</v>
      </c>
      <c r="H46">
        <f ca="1">IFERROR(__xludf.DUMMYFUNCTION("""COMPUTED_VALUE"""),-8)</f>
        <v>-8</v>
      </c>
    </row>
    <row r="47" spans="1:8" ht="12.75">
      <c r="A47" t="str">
        <f ca="1">IFERROR(__xludf.DUMMYFUNCTION("""COMPUTED_VALUE"""),"T46")</f>
        <v>T46</v>
      </c>
      <c r="B47" t="str">
        <f ca="1">IFERROR(__xludf.DUMMYFUNCTION("""COMPUTED_VALUE"""),"T53")</f>
        <v>T53</v>
      </c>
      <c r="C47" t="str">
        <f ca="1">IFERROR(__xludf.DUMMYFUNCTION("""COMPUTED_VALUE"""),"Justin Rose")</f>
        <v>Justin Rose</v>
      </c>
      <c r="D47">
        <f ca="1">IFERROR(__xludf.DUMMYFUNCTION("""COMPUTED_VALUE"""),10)</f>
        <v>10</v>
      </c>
      <c r="E47" t="str">
        <f ca="1">IFERROR(__xludf.DUMMYFUNCTION("""COMPUTED_VALUE"""),"22' 6""")</f>
        <v>22' 6"</v>
      </c>
      <c r="F47">
        <f ca="1">IFERROR(__xludf.DUMMYFUNCTION("""COMPUTED_VALUE"""),630.333)</f>
        <v>630.33299999999997</v>
      </c>
      <c r="G47">
        <f ca="1">IFERROR(__xludf.DUMMYFUNCTION("""COMPUTED_VALUE"""),28)</f>
        <v>28</v>
      </c>
      <c r="H47">
        <f ca="1">IFERROR(__xludf.DUMMYFUNCTION("""COMPUTED_VALUE"""),-7)</f>
        <v>-7</v>
      </c>
    </row>
    <row r="48" spans="1:8" ht="12.75">
      <c r="A48" t="str">
        <f ca="1">IFERROR(__xludf.DUMMYFUNCTION("""COMPUTED_VALUE"""),"T46")</f>
        <v>T46</v>
      </c>
      <c r="B48" t="str">
        <f ca="1">IFERROR(__xludf.DUMMYFUNCTION("""COMPUTED_VALUE"""),"T36")</f>
        <v>T36</v>
      </c>
      <c r="C48" t="str">
        <f ca="1">IFERROR(__xludf.DUMMYFUNCTION("""COMPUTED_VALUE"""),"Emiliano Grillo")</f>
        <v>Emiliano Grillo</v>
      </c>
      <c r="D48">
        <f ca="1">IFERROR(__xludf.DUMMYFUNCTION("""COMPUTED_VALUE"""),22)</f>
        <v>22</v>
      </c>
      <c r="E48" t="str">
        <f ca="1">IFERROR(__xludf.DUMMYFUNCTION("""COMPUTED_VALUE"""),"22' 6""")</f>
        <v>22' 6"</v>
      </c>
      <c r="F48">
        <f ca="1">IFERROR(__xludf.DUMMYFUNCTION("""COMPUTED_VALUE"""),585.5)</f>
        <v>585.5</v>
      </c>
      <c r="G48">
        <f ca="1">IFERROR(__xludf.DUMMYFUNCTION("""COMPUTED_VALUE"""),26)</f>
        <v>26</v>
      </c>
      <c r="H48">
        <f ca="1">IFERROR(__xludf.DUMMYFUNCTION("""COMPUTED_VALUE"""),-2)</f>
        <v>-2</v>
      </c>
    </row>
    <row r="49" spans="1:8" ht="12.75">
      <c r="A49" t="str">
        <f ca="1">IFERROR(__xludf.DUMMYFUNCTION("""COMPUTED_VALUE"""),"T46")</f>
        <v>T46</v>
      </c>
      <c r="B49" t="str">
        <f ca="1">IFERROR(__xludf.DUMMYFUNCTION("""COMPUTED_VALUE"""),"T58")</f>
        <v>T58</v>
      </c>
      <c r="C49" t="str">
        <f ca="1">IFERROR(__xludf.DUMMYFUNCTION("""COMPUTED_VALUE"""),"Matthew NeSmith")</f>
        <v>Matthew NeSmith</v>
      </c>
      <c r="D49">
        <f ca="1">IFERROR(__xludf.DUMMYFUNCTION("""COMPUTED_VALUE"""),16)</f>
        <v>16</v>
      </c>
      <c r="E49" t="str">
        <f ca="1">IFERROR(__xludf.DUMMYFUNCTION("""COMPUTED_VALUE"""),"22' 6""")</f>
        <v>22' 6"</v>
      </c>
      <c r="F49">
        <f ca="1">IFERROR(__xludf.DUMMYFUNCTION("""COMPUTED_VALUE"""),765.5)</f>
        <v>765.5</v>
      </c>
      <c r="G49">
        <f ca="1">IFERROR(__xludf.DUMMYFUNCTION("""COMPUTED_VALUE"""),34)</f>
        <v>34</v>
      </c>
      <c r="H49">
        <f ca="1">IFERROR(__xludf.DUMMYFUNCTION("""COMPUTED_VALUE"""),-6)</f>
        <v>-6</v>
      </c>
    </row>
    <row r="50" spans="1:8" ht="12.75">
      <c r="A50" t="str">
        <f ca="1">IFERROR(__xludf.DUMMYFUNCTION("""COMPUTED_VALUE"""),"T49")</f>
        <v>T49</v>
      </c>
      <c r="B50" t="str">
        <f ca="1">IFERROR(__xludf.DUMMYFUNCTION("""COMPUTED_VALUE"""),"T51")</f>
        <v>T51</v>
      </c>
      <c r="C50" t="str">
        <f ca="1">IFERROR(__xludf.DUMMYFUNCTION("""COMPUTED_VALUE"""),"Luke Donald")</f>
        <v>Luke Donald</v>
      </c>
      <c r="D50">
        <f ca="1">IFERROR(__xludf.DUMMYFUNCTION("""COMPUTED_VALUE"""),14)</f>
        <v>14</v>
      </c>
      <c r="E50" t="str">
        <f ca="1">IFERROR(__xludf.DUMMYFUNCTION("""COMPUTED_VALUE"""),"22' 7""")</f>
        <v>22' 7"</v>
      </c>
      <c r="F50">
        <f ca="1">IFERROR(__xludf.DUMMYFUNCTION("""COMPUTED_VALUE"""),586.5)</f>
        <v>586.5</v>
      </c>
      <c r="G50">
        <f ca="1">IFERROR(__xludf.DUMMYFUNCTION("""COMPUTED_VALUE"""),26)</f>
        <v>26</v>
      </c>
      <c r="H50">
        <f ca="1">IFERROR(__xludf.DUMMYFUNCTION("""COMPUTED_VALUE"""),-4)</f>
        <v>-4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IFERROR(__xludf.DUMMYFUNCTION("""COMPUTED_VALUE"""),"T55")</f>
        <v>T55</v>
      </c>
      <c r="C51" t="str">
        <f ca="1">IFERROR(__xludf.DUMMYFUNCTION("""COMPUTED_VALUE"""),"Justin Thomas")</f>
        <v>Justin Thomas</v>
      </c>
      <c r="D51">
        <f ca="1">IFERROR(__xludf.DUMMYFUNCTION("""COMPUTED_VALUE"""),12)</f>
        <v>12</v>
      </c>
      <c r="E51" t="str">
        <f ca="1">IFERROR(__xludf.DUMMYFUNCTION("""COMPUTED_VALUE"""),"22' 7""")</f>
        <v>22' 7"</v>
      </c>
      <c r="F51">
        <f ca="1">IFERROR(__xludf.DUMMYFUNCTION("""COMPUTED_VALUE"""),836.75)</f>
        <v>836.75</v>
      </c>
      <c r="G51">
        <f ca="1">IFERROR(__xludf.DUMMYFUNCTION("""COMPUTED_VALUE"""),37)</f>
        <v>37</v>
      </c>
      <c r="H51">
        <f ca="1">IFERROR(__xludf.DUMMYFUNCTION("""COMPUTED_VALUE"""),-10)</f>
        <v>-10</v>
      </c>
    </row>
    <row r="52" spans="1:8" ht="12.75">
      <c r="A52" t="str">
        <f ca="1">IFERROR(__xludf.DUMMYFUNCTION("""COMPUTED_VALUE"""),"T51")</f>
        <v>T51</v>
      </c>
      <c r="B52">
        <f ca="1">IFERROR(__xludf.DUMMYFUNCTION("""COMPUTED_VALUE"""),3)</f>
        <v>3</v>
      </c>
      <c r="C52" t="str">
        <f ca="1">IFERROR(__xludf.DUMMYFUNCTION("""COMPUTED_VALUE"""),"Brooks Koepka")</f>
        <v>Brooks Koepka</v>
      </c>
      <c r="D52">
        <f ca="1">IFERROR(__xludf.DUMMYFUNCTION("""COMPUTED_VALUE"""),8)</f>
        <v>8</v>
      </c>
      <c r="E52" t="str">
        <f ca="1">IFERROR(__xludf.DUMMYFUNCTION("""COMPUTED_VALUE"""),"22' 8""")</f>
        <v>22' 8"</v>
      </c>
      <c r="F52">
        <f ca="1">IFERROR(__xludf.DUMMYFUNCTION("""COMPUTED_VALUE"""),431.083)</f>
        <v>431.08300000000003</v>
      </c>
      <c r="G52">
        <f ca="1">IFERROR(__xludf.DUMMYFUNCTION("""COMPUTED_VALUE"""),19)</f>
        <v>19</v>
      </c>
      <c r="H52">
        <f ca="1">IFERROR(__xludf.DUMMYFUNCTION("""COMPUTED_VALUE"""),-2)</f>
        <v>-2</v>
      </c>
    </row>
    <row r="53" spans="1:8" ht="12.75">
      <c r="A53" t="str">
        <f ca="1">IFERROR(__xludf.DUMMYFUNCTION("""COMPUTED_VALUE"""),"T51")</f>
        <v>T51</v>
      </c>
      <c r="B53">
        <f ca="1">IFERROR(__xludf.DUMMYFUNCTION("""COMPUTED_VALUE"""),57)</f>
        <v>57</v>
      </c>
      <c r="C53" t="str">
        <f ca="1">IFERROR(__xludf.DUMMYFUNCTION("""COMPUTED_VALUE"""),"Chase Seiffert")</f>
        <v>Chase Seiffert</v>
      </c>
      <c r="D53">
        <f ca="1">IFERROR(__xludf.DUMMYFUNCTION("""COMPUTED_VALUE"""),14)</f>
        <v>14</v>
      </c>
      <c r="E53" t="str">
        <f ca="1">IFERROR(__xludf.DUMMYFUNCTION("""COMPUTED_VALUE"""),"22' 8""")</f>
        <v>22' 8"</v>
      </c>
      <c r="F53">
        <f ca="1">IFERROR(__xludf.DUMMYFUNCTION("""COMPUTED_VALUE"""),430.583)</f>
        <v>430.58300000000003</v>
      </c>
      <c r="G53">
        <f ca="1">IFERROR(__xludf.DUMMYFUNCTION("""COMPUTED_VALUE"""),19)</f>
        <v>19</v>
      </c>
      <c r="H53">
        <f ca="1">IFERROR(__xludf.DUMMYFUNCTION("""COMPUTED_VALUE"""),-1)</f>
        <v>-1</v>
      </c>
    </row>
    <row r="54" spans="1:8" ht="12.75">
      <c r="A54" t="str">
        <f ca="1">IFERROR(__xludf.DUMMYFUNCTION("""COMPUTED_VALUE"""),"T53")</f>
        <v>T53</v>
      </c>
      <c r="B54" t="str">
        <f ca="1">IFERROR(__xludf.DUMMYFUNCTION("""COMPUTED_VALUE"""),"T16")</f>
        <v>T16</v>
      </c>
      <c r="C54" t="str">
        <f ca="1">IFERROR(__xludf.DUMMYFUNCTION("""COMPUTED_VALUE"""),"David Hearn")</f>
        <v>David Hearn</v>
      </c>
      <c r="D54">
        <f ca="1">IFERROR(__xludf.DUMMYFUNCTION("""COMPUTED_VALUE"""),16)</f>
        <v>16</v>
      </c>
      <c r="E54" t="str">
        <f ca="1">IFERROR(__xludf.DUMMYFUNCTION("""COMPUTED_VALUE"""),"22' 9""")</f>
        <v>22' 9"</v>
      </c>
      <c r="F54">
        <f ca="1">IFERROR(__xludf.DUMMYFUNCTION("""COMPUTED_VALUE"""),499.75)</f>
        <v>499.75</v>
      </c>
      <c r="G54">
        <f ca="1">IFERROR(__xludf.DUMMYFUNCTION("""COMPUTED_VALUE"""),22)</f>
        <v>22</v>
      </c>
      <c r="H54">
        <f ca="1">IFERROR(__xludf.DUMMYFUNCTION("""COMPUTED_VALUE"""),-8)</f>
        <v>-8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IFERROR(__xludf.DUMMYFUNCTION("""COMPUTED_VALUE"""),"T58")</f>
        <v>T58</v>
      </c>
      <c r="C55" t="str">
        <f ca="1">IFERROR(__xludf.DUMMYFUNCTION("""COMPUTED_VALUE"""),"Peter Malnati")</f>
        <v>Peter Malnati</v>
      </c>
      <c r="D55">
        <f ca="1">IFERROR(__xludf.DUMMYFUNCTION("""COMPUTED_VALUE"""),18)</f>
        <v>18</v>
      </c>
      <c r="E55" t="str">
        <f ca="1">IFERROR(__xludf.DUMMYFUNCTION("""COMPUTED_VALUE"""),"22' 9""")</f>
        <v>22' 9"</v>
      </c>
      <c r="F55">
        <f ca="1">IFERROR(__xludf.DUMMYFUNCTION("""COMPUTED_VALUE"""),410.083)</f>
        <v>410.08300000000003</v>
      </c>
      <c r="G55">
        <f ca="1">IFERROR(__xludf.DUMMYFUNCTION("""COMPUTED_VALUE"""),18)</f>
        <v>18</v>
      </c>
      <c r="H55">
        <f ca="1">IFERROR(__xludf.DUMMYFUNCTION("""COMPUTED_VALUE"""),-2)</f>
        <v>-2</v>
      </c>
    </row>
    <row r="56" spans="1:8" ht="12.75">
      <c r="A56" t="str">
        <f ca="1">IFERROR(__xludf.DUMMYFUNCTION("""COMPUTED_VALUE"""),"T55")</f>
        <v>T55</v>
      </c>
      <c r="B56">
        <f ca="1">IFERROR(__xludf.DUMMYFUNCTION("""COMPUTED_VALUE"""),21)</f>
        <v>21</v>
      </c>
      <c r="C56" t="str">
        <f ca="1">IFERROR(__xludf.DUMMYFUNCTION("""COMPUTED_VALUE"""),"Ted Potter, Jr.")</f>
        <v>Ted Potter, Jr.</v>
      </c>
      <c r="D56">
        <f ca="1">IFERROR(__xludf.DUMMYFUNCTION("""COMPUTED_VALUE"""),8)</f>
        <v>8</v>
      </c>
      <c r="E56" t="str">
        <f ca="1">IFERROR(__xludf.DUMMYFUNCTION("""COMPUTED_VALUE"""),"22' 10""")</f>
        <v>22' 10"</v>
      </c>
      <c r="F56">
        <f ca="1">IFERROR(__xludf.DUMMYFUNCTION("""COMPUTED_VALUE"""),342.333)</f>
        <v>342.33300000000003</v>
      </c>
      <c r="G56">
        <f ca="1">IFERROR(__xludf.DUMMYFUNCTION("""COMPUTED_VALUE"""),15)</f>
        <v>15</v>
      </c>
      <c r="H56">
        <f ca="1">IFERROR(__xludf.DUMMYFUNCTION("""COMPUTED_VALUE"""),-1)</f>
        <v>-1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IFERROR(__xludf.DUMMYFUNCTION("""COMPUTED_VALUE"""),"T61")</f>
        <v>T61</v>
      </c>
      <c r="C57" t="str">
        <f ca="1">IFERROR(__xludf.DUMMYFUNCTION("""COMPUTED_VALUE"""),"Jim Herman")</f>
        <v>Jim Herman</v>
      </c>
      <c r="D57">
        <f ca="1">IFERROR(__xludf.DUMMYFUNCTION("""COMPUTED_VALUE"""),12)</f>
        <v>12</v>
      </c>
      <c r="E57" t="str">
        <f ca="1">IFERROR(__xludf.DUMMYFUNCTION("""COMPUTED_VALUE"""),"22' 10""")</f>
        <v>22' 10"</v>
      </c>
      <c r="F57">
        <f ca="1">IFERROR(__xludf.DUMMYFUNCTION("""COMPUTED_VALUE"""),775.75)</f>
        <v>775.75</v>
      </c>
      <c r="G57">
        <f ca="1">IFERROR(__xludf.DUMMYFUNCTION("""COMPUTED_VALUE"""),34)</f>
        <v>34</v>
      </c>
      <c r="H57">
        <f ca="1">IFERROR(__xludf.DUMMYFUNCTION("""COMPUTED_VALUE"""),-5)</f>
        <v>-5</v>
      </c>
    </row>
    <row r="58" spans="1:8" ht="12.75">
      <c r="A58" t="str">
        <f ca="1">IFERROR(__xludf.DUMMYFUNCTION("""COMPUTED_VALUE"""),"T55")</f>
        <v>T55</v>
      </c>
      <c r="B58" t="str">
        <f ca="1">IFERROR(__xludf.DUMMYFUNCTION("""COMPUTED_VALUE"""),"T51")</f>
        <v>T51</v>
      </c>
      <c r="C58" t="str">
        <f ca="1">IFERROR(__xludf.DUMMYFUNCTION("""COMPUTED_VALUE"""),"Tom Hoge")</f>
        <v>Tom Hoge</v>
      </c>
      <c r="D58">
        <f ca="1">IFERROR(__xludf.DUMMYFUNCTION("""COMPUTED_VALUE"""),22)</f>
        <v>22</v>
      </c>
      <c r="E58" t="str">
        <f ca="1">IFERROR(__xludf.DUMMYFUNCTION("""COMPUTED_VALUE"""),"22' 10""")</f>
        <v>22' 10"</v>
      </c>
      <c r="F58" s="2">
        <f ca="1">IFERROR(__xludf.DUMMYFUNCTION("""COMPUTED_VALUE"""),1345.5)</f>
        <v>1345.5</v>
      </c>
      <c r="G58">
        <f ca="1">IFERROR(__xludf.DUMMYFUNCTION("""COMPUTED_VALUE"""),59)</f>
        <v>59</v>
      </c>
      <c r="H58">
        <f ca="1">IFERROR(__xludf.DUMMYFUNCTION("""COMPUTED_VALUE"""),-11)</f>
        <v>-11</v>
      </c>
    </row>
    <row r="59" spans="1:8" ht="12.75">
      <c r="A59" t="str">
        <f ca="1">IFERROR(__xludf.DUMMYFUNCTION("""COMPUTED_VALUE"""),"T55")</f>
        <v>T55</v>
      </c>
      <c r="B59" t="str">
        <f ca="1">IFERROR(__xludf.DUMMYFUNCTION("""COMPUTED_VALUE"""),"T61")</f>
        <v>T61</v>
      </c>
      <c r="C59" t="str">
        <f ca="1">IFERROR(__xludf.DUMMYFUNCTION("""COMPUTED_VALUE"""),"Jon Rahm")</f>
        <v>Jon Rahm</v>
      </c>
      <c r="D59">
        <f ca="1">IFERROR(__xludf.DUMMYFUNCTION("""COMPUTED_VALUE"""),12)</f>
        <v>12</v>
      </c>
      <c r="E59" t="str">
        <f ca="1">IFERROR(__xludf.DUMMYFUNCTION("""COMPUTED_VALUE"""),"22' 10""")</f>
        <v>22' 10"</v>
      </c>
      <c r="F59">
        <f ca="1">IFERROR(__xludf.DUMMYFUNCTION("""COMPUTED_VALUE"""),911.917)</f>
        <v>911.91700000000003</v>
      </c>
      <c r="G59">
        <f ca="1">IFERROR(__xludf.DUMMYFUNCTION("""COMPUTED_VALUE"""),40)</f>
        <v>40</v>
      </c>
      <c r="H59">
        <f ca="1">IFERROR(__xludf.DUMMYFUNCTION("""COMPUTED_VALUE"""),-7)</f>
        <v>-7</v>
      </c>
    </row>
    <row r="60" spans="1:8" ht="12.75">
      <c r="A60" t="str">
        <f ca="1">IFERROR(__xludf.DUMMYFUNCTION("""COMPUTED_VALUE"""),"T59")</f>
        <v>T59</v>
      </c>
      <c r="B60" t="str">
        <f ca="1">IFERROR(__xludf.DUMMYFUNCTION("""COMPUTED_VALUE"""),"T64")</f>
        <v>T64</v>
      </c>
      <c r="C60" t="str">
        <f ca="1">IFERROR(__xludf.DUMMYFUNCTION("""COMPUTED_VALUE"""),"Byeong Hun An")</f>
        <v>Byeong Hun An</v>
      </c>
      <c r="D60">
        <f ca="1">IFERROR(__xludf.DUMMYFUNCTION("""COMPUTED_VALUE"""),14)</f>
        <v>14</v>
      </c>
      <c r="E60" t="str">
        <f ca="1">IFERROR(__xludf.DUMMYFUNCTION("""COMPUTED_VALUE"""),"22' 11""")</f>
        <v>22' 11"</v>
      </c>
      <c r="F60">
        <f ca="1">IFERROR(__xludf.DUMMYFUNCTION("""COMPUTED_VALUE"""),893.333)</f>
        <v>893.33299999999997</v>
      </c>
      <c r="G60">
        <f ca="1">IFERROR(__xludf.DUMMYFUNCTION("""COMPUTED_VALUE"""),39)</f>
        <v>39</v>
      </c>
      <c r="H60">
        <f ca="1">IFERROR(__xludf.DUMMYFUNCTION("""COMPUTED_VALUE"""),-3)</f>
        <v>-3</v>
      </c>
    </row>
    <row r="61" spans="1:8" ht="12.75">
      <c r="A61" t="str">
        <f ca="1">IFERROR(__xludf.DUMMYFUNCTION("""COMPUTED_VALUE"""),"T59")</f>
        <v>T59</v>
      </c>
      <c r="B61" t="str">
        <f ca="1">IFERROR(__xludf.DUMMYFUNCTION("""COMPUTED_VALUE"""),"T64")</f>
        <v>T64</v>
      </c>
      <c r="C61" t="str">
        <f ca="1">IFERROR(__xludf.DUMMYFUNCTION("""COMPUTED_VALUE"""),"Xander Schauffele")</f>
        <v>Xander Schauffele</v>
      </c>
      <c r="D61">
        <f ca="1">IFERROR(__xludf.DUMMYFUNCTION("""COMPUTED_VALUE"""),12)</f>
        <v>12</v>
      </c>
      <c r="E61" t="str">
        <f ca="1">IFERROR(__xludf.DUMMYFUNCTION("""COMPUTED_VALUE"""),"22' 11""")</f>
        <v>22' 11"</v>
      </c>
      <c r="F61">
        <f ca="1">IFERROR(__xludf.DUMMYFUNCTION("""COMPUTED_VALUE"""),711.25)</f>
        <v>711.25</v>
      </c>
      <c r="G61">
        <f ca="1">IFERROR(__xludf.DUMMYFUNCTION("""COMPUTED_VALUE"""),31)</f>
        <v>31</v>
      </c>
      <c r="H61">
        <f ca="1">IFERROR(__xludf.DUMMYFUNCTION("""COMPUTED_VALUE"""),-7)</f>
        <v>-7</v>
      </c>
    </row>
    <row r="62" spans="1:8" ht="12.75">
      <c r="A62">
        <f ca="1">IFERROR(__xludf.DUMMYFUNCTION("""COMPUTED_VALUE"""),61)</f>
        <v>61</v>
      </c>
      <c r="B62">
        <f ca="1">IFERROR(__xludf.DUMMYFUNCTION("""COMPUTED_VALUE"""),66)</f>
        <v>66</v>
      </c>
      <c r="C62" t="str">
        <f ca="1">IFERROR(__xludf.DUMMYFUNCTION("""COMPUTED_VALUE"""),"Ryan Palmer")</f>
        <v>Ryan Palmer</v>
      </c>
      <c r="D62">
        <f ca="1">IFERROR(__xludf.DUMMYFUNCTION("""COMPUTED_VALUE"""),14)</f>
        <v>14</v>
      </c>
      <c r="E62" t="str">
        <f ca="1">IFERROR(__xludf.DUMMYFUNCTION("""COMPUTED_VALUE"""),"23' 0""")</f>
        <v>23' 0"</v>
      </c>
      <c r="F62">
        <f ca="1">IFERROR(__xludf.DUMMYFUNCTION("""COMPUTED_VALUE"""),851.5)</f>
        <v>851.5</v>
      </c>
      <c r="G62">
        <f ca="1">IFERROR(__xludf.DUMMYFUNCTION("""COMPUTED_VALUE"""),37)</f>
        <v>37</v>
      </c>
      <c r="H62">
        <f ca="1">IFERROR(__xludf.DUMMYFUNCTION("""COMPUTED_VALUE"""),-5)</f>
        <v>-5</v>
      </c>
    </row>
    <row r="63" spans="1:8" ht="12.75">
      <c r="A63" t="str">
        <f ca="1">IFERROR(__xludf.DUMMYFUNCTION("""COMPUTED_VALUE"""),"T62")</f>
        <v>T62</v>
      </c>
      <c r="B63" t="str">
        <f ca="1">IFERROR(__xludf.DUMMYFUNCTION("""COMPUTED_VALUE"""),"T68")</f>
        <v>T68</v>
      </c>
      <c r="C63" t="str">
        <f ca="1">IFERROR(__xludf.DUMMYFUNCTION("""COMPUTED_VALUE"""),"Sangmoon Bae")</f>
        <v>Sangmoon Bae</v>
      </c>
      <c r="D63">
        <f ca="1">IFERROR(__xludf.DUMMYFUNCTION("""COMPUTED_VALUE"""),8)</f>
        <v>8</v>
      </c>
      <c r="E63" t="str">
        <f ca="1">IFERROR(__xludf.DUMMYFUNCTION("""COMPUTED_VALUE"""),"23' 3""")</f>
        <v>23' 3"</v>
      </c>
      <c r="F63">
        <f ca="1">IFERROR(__xludf.DUMMYFUNCTION("""COMPUTED_VALUE"""),69.833)</f>
        <v>69.832999999999998</v>
      </c>
      <c r="G63">
        <f ca="1">IFERROR(__xludf.DUMMYFUNCTION("""COMPUTED_VALUE"""),3)</f>
        <v>3</v>
      </c>
      <c r="H63" t="str">
        <f ca="1">IFERROR(__xludf.DUMMYFUNCTION("""COMPUTED_VALUE"""),"E")</f>
        <v>E</v>
      </c>
    </row>
    <row r="64" spans="1:8" ht="12.75">
      <c r="A64" t="str">
        <f ca="1">IFERROR(__xludf.DUMMYFUNCTION("""COMPUTED_VALUE"""),"T62")</f>
        <v>T62</v>
      </c>
      <c r="B64" t="str">
        <f ca="1">IFERROR(__xludf.DUMMYFUNCTION("""COMPUTED_VALUE"""),"T68")</f>
        <v>T68</v>
      </c>
      <c r="C64" t="str">
        <f ca="1">IFERROR(__xludf.DUMMYFUNCTION("""COMPUTED_VALUE"""),"Will Zalatoris")</f>
        <v>Will Zalatoris</v>
      </c>
      <c r="D64">
        <f ca="1">IFERROR(__xludf.DUMMYFUNCTION("""COMPUTED_VALUE"""),18)</f>
        <v>18</v>
      </c>
      <c r="E64" t="str">
        <f ca="1">IFERROR(__xludf.DUMMYFUNCTION("""COMPUTED_VALUE"""),"23' 3""")</f>
        <v>23' 3"</v>
      </c>
      <c r="F64">
        <f ca="1">IFERROR(__xludf.DUMMYFUNCTION("""COMPUTED_VALUE"""),488.75)</f>
        <v>488.75</v>
      </c>
      <c r="G64">
        <f ca="1">IFERROR(__xludf.DUMMYFUNCTION("""COMPUTED_VALUE"""),21)</f>
        <v>21</v>
      </c>
      <c r="H64">
        <f ca="1">IFERROR(__xludf.DUMMYFUNCTION("""COMPUTED_VALUE"""),-2)</f>
        <v>-2</v>
      </c>
    </row>
    <row r="65" spans="1:8" ht="12.75">
      <c r="A65" t="str">
        <f ca="1">IFERROR(__xludf.DUMMYFUNCTION("""COMPUTED_VALUE"""),"T62")</f>
        <v>T62</v>
      </c>
      <c r="B65" t="str">
        <f ca="1">IFERROR(__xludf.DUMMYFUNCTION("""COMPUTED_VALUE"""),"T68")</f>
        <v>T68</v>
      </c>
      <c r="C65" t="str">
        <f ca="1">IFERROR(__xludf.DUMMYFUNCTION("""COMPUTED_VALUE"""),"Seonghyeon Kim")</f>
        <v>Seonghyeon Kim</v>
      </c>
      <c r="D65">
        <f ca="1">IFERROR(__xludf.DUMMYFUNCTION("""COMPUTED_VALUE"""),4)</f>
        <v>4</v>
      </c>
      <c r="E65" t="str">
        <f ca="1">IFERROR(__xludf.DUMMYFUNCTION("""COMPUTED_VALUE"""),"23' 3""")</f>
        <v>23' 3"</v>
      </c>
      <c r="F65">
        <f ca="1">IFERROR(__xludf.DUMMYFUNCTION("""COMPUTED_VALUE"""),69.667)</f>
        <v>69.667000000000002</v>
      </c>
      <c r="G65">
        <f ca="1">IFERROR(__xludf.DUMMYFUNCTION("""COMPUTED_VALUE"""),3)</f>
        <v>3</v>
      </c>
      <c r="H65">
        <f ca="1">IFERROR(__xludf.DUMMYFUNCTION("""COMPUTED_VALUE"""),-2)</f>
        <v>-2</v>
      </c>
    </row>
    <row r="66" spans="1:8" ht="12.75">
      <c r="A66">
        <f ca="1">IFERROR(__xludf.DUMMYFUNCTION("""COMPUTED_VALUE"""),65)</f>
        <v>65</v>
      </c>
      <c r="B66" t="str">
        <f ca="1">IFERROR(__xludf.DUMMYFUNCTION("""COMPUTED_VALUE"""),"T90")</f>
        <v>T90</v>
      </c>
      <c r="C66" t="str">
        <f ca="1">IFERROR(__xludf.DUMMYFUNCTION("""COMPUTED_VALUE"""),"Martin Laird")</f>
        <v>Martin Laird</v>
      </c>
      <c r="D66">
        <f ca="1">IFERROR(__xludf.DUMMYFUNCTION("""COMPUTED_VALUE"""),16)</f>
        <v>16</v>
      </c>
      <c r="E66" t="str">
        <f ca="1">IFERROR(__xludf.DUMMYFUNCTION("""COMPUTED_VALUE"""),"23' 4""")</f>
        <v>23' 4"</v>
      </c>
      <c r="F66">
        <f ca="1">IFERROR(__xludf.DUMMYFUNCTION("""COMPUTED_VALUE"""),888.167)</f>
        <v>888.16700000000003</v>
      </c>
      <c r="G66">
        <f ca="1">IFERROR(__xludf.DUMMYFUNCTION("""COMPUTED_VALUE"""),38)</f>
        <v>38</v>
      </c>
      <c r="H66">
        <f ca="1">IFERROR(__xludf.DUMMYFUNCTION("""COMPUTED_VALUE"""),-5)</f>
        <v>-5</v>
      </c>
    </row>
    <row r="67" spans="1:8" ht="12.75">
      <c r="A67" t="str">
        <f ca="1">IFERROR(__xludf.DUMMYFUNCTION("""COMPUTED_VALUE"""),"T66")</f>
        <v>T66</v>
      </c>
      <c r="B67">
        <f ca="1">IFERROR(__xludf.DUMMYFUNCTION("""COMPUTED_VALUE"""),73)</f>
        <v>73</v>
      </c>
      <c r="C67" t="str">
        <f ca="1">IFERROR(__xludf.DUMMYFUNCTION("""COMPUTED_VALUE"""),"Adam Hadwin")</f>
        <v>Adam Hadwin</v>
      </c>
      <c r="D67">
        <f ca="1">IFERROR(__xludf.DUMMYFUNCTION("""COMPUTED_VALUE"""),16)</f>
        <v>16</v>
      </c>
      <c r="E67" t="str">
        <f ca="1">IFERROR(__xludf.DUMMYFUNCTION("""COMPUTED_VALUE"""),"23' 5""")</f>
        <v>23' 5"</v>
      </c>
      <c r="F67" s="2">
        <f ca="1">IFERROR(__xludf.DUMMYFUNCTION("""COMPUTED_VALUE"""),1077.75)</f>
        <v>1077.75</v>
      </c>
      <c r="G67">
        <f ca="1">IFERROR(__xludf.DUMMYFUNCTION("""COMPUTED_VALUE"""),46)</f>
        <v>46</v>
      </c>
      <c r="H67">
        <f ca="1">IFERROR(__xludf.DUMMYFUNCTION("""COMPUTED_VALUE"""),-7)</f>
        <v>-7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IFERROR(__xludf.DUMMYFUNCTION("""COMPUTED_VALUE"""),"T58")</f>
        <v>T58</v>
      </c>
      <c r="C68" t="str">
        <f ca="1">IFERROR(__xludf.DUMMYFUNCTION("""COMPUTED_VALUE"""),"Sam Burns")</f>
        <v>Sam Burns</v>
      </c>
      <c r="D68">
        <f ca="1">IFERROR(__xludf.DUMMYFUNCTION("""COMPUTED_VALUE"""),18)</f>
        <v>18</v>
      </c>
      <c r="E68" t="str">
        <f ca="1">IFERROR(__xludf.DUMMYFUNCTION("""COMPUTED_VALUE"""),"23' 5""")</f>
        <v>23' 5"</v>
      </c>
      <c r="F68">
        <f ca="1">IFERROR(__xludf.DUMMYFUNCTION("""COMPUTED_VALUE"""),678.833)</f>
        <v>678.83299999999997</v>
      </c>
      <c r="G68">
        <f ca="1">IFERROR(__xludf.DUMMYFUNCTION("""COMPUTED_VALUE"""),29)</f>
        <v>29</v>
      </c>
      <c r="H68">
        <f ca="1">IFERROR(__xludf.DUMMYFUNCTION("""COMPUTED_VALUE"""),-4)</f>
        <v>-4</v>
      </c>
    </row>
    <row r="69" spans="1:8" ht="12.75">
      <c r="A69">
        <f ca="1">IFERROR(__xludf.DUMMYFUNCTION("""COMPUTED_VALUE"""),68)</f>
        <v>68</v>
      </c>
      <c r="B69">
        <f ca="1">IFERROR(__xludf.DUMMYFUNCTION("""COMPUTED_VALUE"""),97)</f>
        <v>97</v>
      </c>
      <c r="C69" t="str">
        <f ca="1">IFERROR(__xludf.DUMMYFUNCTION("""COMPUTED_VALUE"""),"Adam Long")</f>
        <v>Adam Long</v>
      </c>
      <c r="D69">
        <f ca="1">IFERROR(__xludf.DUMMYFUNCTION("""COMPUTED_VALUE"""),22)</f>
        <v>22</v>
      </c>
      <c r="E69" t="str">
        <f ca="1">IFERROR(__xludf.DUMMYFUNCTION("""COMPUTED_VALUE"""),"23' 6""")</f>
        <v>23' 6"</v>
      </c>
      <c r="F69" s="2">
        <f ca="1">IFERROR(__xludf.DUMMYFUNCTION("""COMPUTED_VALUE"""),1152.667)</f>
        <v>1152.6669999999999</v>
      </c>
      <c r="G69">
        <f ca="1">IFERROR(__xludf.DUMMYFUNCTION("""COMPUTED_VALUE"""),49)</f>
        <v>49</v>
      </c>
      <c r="H69">
        <f ca="1">IFERROR(__xludf.DUMMYFUNCTION("""COMPUTED_VALUE"""),-5)</f>
        <v>-5</v>
      </c>
    </row>
    <row r="70" spans="1:8" ht="12.75">
      <c r="A70" t="str">
        <f ca="1">IFERROR(__xludf.DUMMYFUNCTION("""COMPUTED_VALUE"""),"T69")</f>
        <v>T69</v>
      </c>
      <c r="B70" t="str">
        <f ca="1">IFERROR(__xludf.DUMMYFUNCTION("""COMPUTED_VALUE"""),"")</f>
        <v/>
      </c>
      <c r="C70" t="str">
        <f ca="1">IFERROR(__xludf.DUMMYFUNCTION("""COMPUTED_VALUE"""),"Greg Chalmers")</f>
        <v>Greg Chalmers</v>
      </c>
      <c r="D70">
        <f ca="1">IFERROR(__xludf.DUMMYFUNCTION("""COMPUTED_VALUE"""),6)</f>
        <v>6</v>
      </c>
      <c r="E70" t="str">
        <f ca="1">IFERROR(__xludf.DUMMYFUNCTION("""COMPUTED_VALUE"""),"23' 8""")</f>
        <v>23' 8"</v>
      </c>
      <c r="F70">
        <f ca="1">IFERROR(__xludf.DUMMYFUNCTION("""COMPUTED_VALUE"""),379.083)</f>
        <v>379.08300000000003</v>
      </c>
      <c r="G70">
        <f ca="1">IFERROR(__xludf.DUMMYFUNCTION("""COMPUTED_VALUE"""),16)</f>
        <v>16</v>
      </c>
      <c r="H70">
        <f ca="1">IFERROR(__xludf.DUMMYFUNCTION("""COMPUTED_VALUE"""),-1)</f>
        <v>-1</v>
      </c>
    </row>
    <row r="71" spans="1:8" ht="12.75">
      <c r="A71" t="str">
        <f ca="1">IFERROR(__xludf.DUMMYFUNCTION("""COMPUTED_VALUE"""),"T69")</f>
        <v>T69</v>
      </c>
      <c r="B71" t="str">
        <f ca="1">IFERROR(__xludf.DUMMYFUNCTION("""COMPUTED_VALUE"""),"T76")</f>
        <v>T76</v>
      </c>
      <c r="C71" t="str">
        <f ca="1">IFERROR(__xludf.DUMMYFUNCTION("""COMPUTED_VALUE"""),"Akshay Bhatia")</f>
        <v>Akshay Bhatia</v>
      </c>
      <c r="D71">
        <f ca="1">IFERROR(__xludf.DUMMYFUNCTION("""COMPUTED_VALUE"""),6)</f>
        <v>6</v>
      </c>
      <c r="E71" t="str">
        <f ca="1">IFERROR(__xludf.DUMMYFUNCTION("""COMPUTED_VALUE"""),"23' 8""")</f>
        <v>23' 8"</v>
      </c>
      <c r="F71">
        <f ca="1">IFERROR(__xludf.DUMMYFUNCTION("""COMPUTED_VALUE"""),165.583)</f>
        <v>165.583</v>
      </c>
      <c r="G71">
        <f ca="1">IFERROR(__xludf.DUMMYFUNCTION("""COMPUTED_VALUE"""),7)</f>
        <v>7</v>
      </c>
      <c r="H71" t="str">
        <f ca="1">IFERROR(__xludf.DUMMYFUNCTION("""COMPUTED_VALUE"""),"E")</f>
        <v>E</v>
      </c>
    </row>
    <row r="72" spans="1:8" ht="12.75">
      <c r="A72">
        <f ca="1">IFERROR(__xludf.DUMMYFUNCTION("""COMPUTED_VALUE"""),71)</f>
        <v>71</v>
      </c>
      <c r="B72" t="str">
        <f ca="1">IFERROR(__xludf.DUMMYFUNCTION("""COMPUTED_VALUE"""),"T74")</f>
        <v>T74</v>
      </c>
      <c r="C72" t="str">
        <f ca="1">IFERROR(__xludf.DUMMYFUNCTION("""COMPUTED_VALUE"""),"Ryan Armour")</f>
        <v>Ryan Armour</v>
      </c>
      <c r="D72">
        <f ca="1">IFERROR(__xludf.DUMMYFUNCTION("""COMPUTED_VALUE"""),16)</f>
        <v>16</v>
      </c>
      <c r="E72" t="str">
        <f ca="1">IFERROR(__xludf.DUMMYFUNCTION("""COMPUTED_VALUE"""),"23' 11""")</f>
        <v>23' 11"</v>
      </c>
      <c r="F72">
        <f ca="1">IFERROR(__xludf.DUMMYFUNCTION("""COMPUTED_VALUE"""),788.583)</f>
        <v>788.58299999999997</v>
      </c>
      <c r="G72">
        <f ca="1">IFERROR(__xludf.DUMMYFUNCTION("""COMPUTED_VALUE"""),33)</f>
        <v>33</v>
      </c>
      <c r="H72" t="str">
        <f ca="1">IFERROR(__xludf.DUMMYFUNCTION("""COMPUTED_VALUE"""),"+1")</f>
        <v>+1</v>
      </c>
    </row>
    <row r="73" spans="1:8" ht="12.75">
      <c r="A73" t="str">
        <f ca="1">IFERROR(__xludf.DUMMYFUNCTION("""COMPUTED_VALUE"""),"T72")</f>
        <v>T72</v>
      </c>
      <c r="B73" t="str">
        <f ca="1">IFERROR(__xludf.DUMMYFUNCTION("""COMPUTED_VALUE"""),"T81")</f>
        <v>T81</v>
      </c>
      <c r="C73" t="str">
        <f ca="1">IFERROR(__xludf.DUMMYFUNCTION("""COMPUTED_VALUE"""),"Chez Reavie")</f>
        <v>Chez Reavie</v>
      </c>
      <c r="D73">
        <f ca="1">IFERROR(__xludf.DUMMYFUNCTION("""COMPUTED_VALUE"""),14)</f>
        <v>14</v>
      </c>
      <c r="E73" t="str">
        <f ca="1">IFERROR(__xludf.DUMMYFUNCTION("""COMPUTED_VALUE"""),"24' 0""")</f>
        <v>24' 0"</v>
      </c>
      <c r="F73">
        <f ca="1">IFERROR(__xludf.DUMMYFUNCTION("""COMPUTED_VALUE"""),792.083)</f>
        <v>792.08299999999997</v>
      </c>
      <c r="G73">
        <f ca="1">IFERROR(__xludf.DUMMYFUNCTION("""COMPUTED_VALUE"""),33)</f>
        <v>33</v>
      </c>
      <c r="H73">
        <f ca="1">IFERROR(__xludf.DUMMYFUNCTION("""COMPUTED_VALUE"""),-6)</f>
        <v>-6</v>
      </c>
    </row>
    <row r="74" spans="1:8" ht="12.75">
      <c r="A74" t="str">
        <f ca="1">IFERROR(__xludf.DUMMYFUNCTION("""COMPUTED_VALUE"""),"T72")</f>
        <v>T72</v>
      </c>
      <c r="B74" t="str">
        <f ca="1">IFERROR(__xludf.DUMMYFUNCTION("""COMPUTED_VALUE"""),"T43")</f>
        <v>T43</v>
      </c>
      <c r="C74" t="str">
        <f ca="1">IFERROR(__xludf.DUMMYFUNCTION("""COMPUTED_VALUE"""),"Viktor Hovland")</f>
        <v>Viktor Hovland</v>
      </c>
      <c r="D74">
        <f ca="1">IFERROR(__xludf.DUMMYFUNCTION("""COMPUTED_VALUE"""),16)</f>
        <v>16</v>
      </c>
      <c r="E74" t="str">
        <f ca="1">IFERROR(__xludf.DUMMYFUNCTION("""COMPUTED_VALUE"""),"24' 0""")</f>
        <v>24' 0"</v>
      </c>
      <c r="F74" s="2">
        <f ca="1">IFERROR(__xludf.DUMMYFUNCTION("""COMPUTED_VALUE"""),1199.75)</f>
        <v>1199.75</v>
      </c>
      <c r="G74">
        <f ca="1">IFERROR(__xludf.DUMMYFUNCTION("""COMPUTED_VALUE"""),50)</f>
        <v>50</v>
      </c>
      <c r="H74">
        <f ca="1">IFERROR(__xludf.DUMMYFUNCTION("""COMPUTED_VALUE"""),-4)</f>
        <v>-4</v>
      </c>
    </row>
    <row r="75" spans="1:8" ht="12.75">
      <c r="A75" t="str">
        <f ca="1">IFERROR(__xludf.DUMMYFUNCTION("""COMPUTED_VALUE"""),"T74")</f>
        <v>T74</v>
      </c>
      <c r="B75" t="str">
        <f ca="1">IFERROR(__xludf.DUMMYFUNCTION("""COMPUTED_VALUE"""),"T81")</f>
        <v>T81</v>
      </c>
      <c r="C75" t="str">
        <f ca="1">IFERROR(__xludf.DUMMYFUNCTION("""COMPUTED_VALUE"""),"Nate Lashley")</f>
        <v>Nate Lashley</v>
      </c>
      <c r="D75">
        <f ca="1">IFERROR(__xludf.DUMMYFUNCTION("""COMPUTED_VALUE"""),16)</f>
        <v>16</v>
      </c>
      <c r="E75" t="str">
        <f ca="1">IFERROR(__xludf.DUMMYFUNCTION("""COMPUTED_VALUE"""),"24' 1""")</f>
        <v>24' 1"</v>
      </c>
      <c r="F75">
        <f ca="1">IFERROR(__xludf.DUMMYFUNCTION("""COMPUTED_VALUE"""),818.917)</f>
        <v>818.91700000000003</v>
      </c>
      <c r="G75">
        <f ca="1">IFERROR(__xludf.DUMMYFUNCTION("""COMPUTED_VALUE"""),34)</f>
        <v>34</v>
      </c>
      <c r="H75">
        <f ca="1">IFERROR(__xludf.DUMMYFUNCTION("""COMPUTED_VALUE"""),-3)</f>
        <v>-3</v>
      </c>
    </row>
    <row r="76" spans="1:8" ht="12.75">
      <c r="A76" t="str">
        <f ca="1">IFERROR(__xludf.DUMMYFUNCTION("""COMPUTED_VALUE"""),"T74")</f>
        <v>T74</v>
      </c>
      <c r="B76">
        <f ca="1">IFERROR(__xludf.DUMMYFUNCTION("""COMPUTED_VALUE"""),12)</f>
        <v>12</v>
      </c>
      <c r="C76" t="str">
        <f ca="1">IFERROR(__xludf.DUMMYFUNCTION("""COMPUTED_VALUE"""),"Jamie Lovemark")</f>
        <v>Jamie Lovemark</v>
      </c>
      <c r="D76">
        <f ca="1">IFERROR(__xludf.DUMMYFUNCTION("""COMPUTED_VALUE"""),18)</f>
        <v>18</v>
      </c>
      <c r="E76" t="str">
        <f ca="1">IFERROR(__xludf.DUMMYFUNCTION("""COMPUTED_VALUE"""),"24' 1""")</f>
        <v>24' 1"</v>
      </c>
      <c r="F76">
        <f ca="1">IFERROR(__xludf.DUMMYFUNCTION("""COMPUTED_VALUE"""),505.333)</f>
        <v>505.33300000000003</v>
      </c>
      <c r="G76">
        <f ca="1">IFERROR(__xludf.DUMMYFUNCTION("""COMPUTED_VALUE"""),21)</f>
        <v>21</v>
      </c>
      <c r="H76">
        <f ca="1">IFERROR(__xludf.DUMMYFUNCTION("""COMPUTED_VALUE"""),-1)</f>
        <v>-1</v>
      </c>
    </row>
    <row r="77" spans="1:8" ht="12.75">
      <c r="A77" t="str">
        <f ca="1">IFERROR(__xludf.DUMMYFUNCTION("""COMPUTED_VALUE"""),"T74")</f>
        <v>T74</v>
      </c>
      <c r="B77" t="str">
        <f ca="1">IFERROR(__xludf.DUMMYFUNCTION("""COMPUTED_VALUE"""),"T83")</f>
        <v>T83</v>
      </c>
      <c r="C77" t="str">
        <f ca="1">IFERROR(__xludf.DUMMYFUNCTION("""COMPUTED_VALUE"""),"Joel Dahmen")</f>
        <v>Joel Dahmen</v>
      </c>
      <c r="D77">
        <f ca="1">IFERROR(__xludf.DUMMYFUNCTION("""COMPUTED_VALUE"""),18)</f>
        <v>18</v>
      </c>
      <c r="E77" t="str">
        <f ca="1">IFERROR(__xludf.DUMMYFUNCTION("""COMPUTED_VALUE"""),"24' 1""")</f>
        <v>24' 1"</v>
      </c>
      <c r="F77" s="2">
        <f ca="1">IFERROR(__xludf.DUMMYFUNCTION("""COMPUTED_VALUE"""),1058)</f>
        <v>1058</v>
      </c>
      <c r="G77">
        <f ca="1">IFERROR(__xludf.DUMMYFUNCTION("""COMPUTED_VALUE"""),44)</f>
        <v>44</v>
      </c>
      <c r="H77">
        <f ca="1">IFERROR(__xludf.DUMMYFUNCTION("""COMPUTED_VALUE"""),-8)</f>
        <v>-8</v>
      </c>
    </row>
    <row r="78" spans="1:8" ht="12.75">
      <c r="A78" t="str">
        <f ca="1">IFERROR(__xludf.DUMMYFUNCTION("""COMPUTED_VALUE"""),"T77")</f>
        <v>T77</v>
      </c>
      <c r="B78" t="str">
        <f ca="1">IFERROR(__xludf.DUMMYFUNCTION("""COMPUTED_VALUE"""),"T79")</f>
        <v>T79</v>
      </c>
      <c r="C78" t="str">
        <f ca="1">IFERROR(__xludf.DUMMYFUNCTION("""COMPUTED_VALUE"""),"Michael Kim")</f>
        <v>Michael Kim</v>
      </c>
      <c r="D78">
        <f ca="1">IFERROR(__xludf.DUMMYFUNCTION("""COMPUTED_VALUE"""),12)</f>
        <v>12</v>
      </c>
      <c r="E78" t="str">
        <f ca="1">IFERROR(__xludf.DUMMYFUNCTION("""COMPUTED_VALUE"""),"24' 2""")</f>
        <v>24' 2"</v>
      </c>
      <c r="F78">
        <f ca="1">IFERROR(__xludf.DUMMYFUNCTION("""COMPUTED_VALUE"""),362.083)</f>
        <v>362.08300000000003</v>
      </c>
      <c r="G78">
        <f ca="1">IFERROR(__xludf.DUMMYFUNCTION("""COMPUTED_VALUE"""),15)</f>
        <v>15</v>
      </c>
      <c r="H78" t="str">
        <f ca="1">IFERROR(__xludf.DUMMYFUNCTION("""COMPUTED_VALUE"""),"+3")</f>
        <v>+3</v>
      </c>
    </row>
    <row r="79" spans="1:8" ht="12.75">
      <c r="A79" t="str">
        <f ca="1">IFERROR(__xludf.DUMMYFUNCTION("""COMPUTED_VALUE"""),"T77")</f>
        <v>T77</v>
      </c>
      <c r="B79" t="str">
        <f ca="1">IFERROR(__xludf.DUMMYFUNCTION("""COMPUTED_VALUE"""),"T86")</f>
        <v>T86</v>
      </c>
      <c r="C79" t="str">
        <f ca="1">IFERROR(__xludf.DUMMYFUNCTION("""COMPUTED_VALUE"""),"Richy Werenski")</f>
        <v>Richy Werenski</v>
      </c>
      <c r="D79">
        <f ca="1">IFERROR(__xludf.DUMMYFUNCTION("""COMPUTED_VALUE"""),16)</f>
        <v>16</v>
      </c>
      <c r="E79" t="str">
        <f ca="1">IFERROR(__xludf.DUMMYFUNCTION("""COMPUTED_VALUE"""),"24' 2""")</f>
        <v>24' 2"</v>
      </c>
      <c r="F79" s="2">
        <f ca="1">IFERROR(__xludf.DUMMYFUNCTION("""COMPUTED_VALUE"""),1111.833)</f>
        <v>1111.8330000000001</v>
      </c>
      <c r="G79">
        <f ca="1">IFERROR(__xludf.DUMMYFUNCTION("""COMPUTED_VALUE"""),46)</f>
        <v>46</v>
      </c>
      <c r="H79">
        <f ca="1">IFERROR(__xludf.DUMMYFUNCTION("""COMPUTED_VALUE"""),-3)</f>
        <v>-3</v>
      </c>
    </row>
    <row r="80" spans="1:8" ht="12.75">
      <c r="A80">
        <f ca="1">IFERROR(__xludf.DUMMYFUNCTION("""COMPUTED_VALUE"""),79)</f>
        <v>79</v>
      </c>
      <c r="B80">
        <f ca="1">IFERROR(__xludf.DUMMYFUNCTION("""COMPUTED_VALUE"""),146)</f>
        <v>146</v>
      </c>
      <c r="C80" t="str">
        <f ca="1">IFERROR(__xludf.DUMMYFUNCTION("""COMPUTED_VALUE"""),"Maverick McNealy")</f>
        <v>Maverick McNealy</v>
      </c>
      <c r="D80">
        <f ca="1">IFERROR(__xludf.DUMMYFUNCTION("""COMPUTED_VALUE"""),16)</f>
        <v>16</v>
      </c>
      <c r="E80" t="str">
        <f ca="1">IFERROR(__xludf.DUMMYFUNCTION("""COMPUTED_VALUE"""),"24' 3""")</f>
        <v>24' 3"</v>
      </c>
      <c r="F80">
        <f ca="1">IFERROR(__xludf.DUMMYFUNCTION("""COMPUTED_VALUE"""),727.5)</f>
        <v>727.5</v>
      </c>
      <c r="G80">
        <f ca="1">IFERROR(__xludf.DUMMYFUNCTION("""COMPUTED_VALUE"""),30)</f>
        <v>30</v>
      </c>
      <c r="H80">
        <f ca="1">IFERROR(__xludf.DUMMYFUNCTION("""COMPUTED_VALUE"""),-1)</f>
        <v>-1</v>
      </c>
    </row>
    <row r="81" spans="1:8" ht="12.75">
      <c r="A81" t="str">
        <f ca="1">IFERROR(__xludf.DUMMYFUNCTION("""COMPUTED_VALUE"""),"T80")</f>
        <v>T80</v>
      </c>
      <c r="B81" t="str">
        <f ca="1">IFERROR(__xludf.DUMMYFUNCTION("""COMPUTED_VALUE"""),"T88")</f>
        <v>T88</v>
      </c>
      <c r="C81" t="str">
        <f ca="1">IFERROR(__xludf.DUMMYFUNCTION("""COMPUTED_VALUE"""),"Michael Gligic")</f>
        <v>Michael Gligic</v>
      </c>
      <c r="D81">
        <f ca="1">IFERROR(__xludf.DUMMYFUNCTION("""COMPUTED_VALUE"""),18)</f>
        <v>18</v>
      </c>
      <c r="E81" t="str">
        <f ca="1">IFERROR(__xludf.DUMMYFUNCTION("""COMPUTED_VALUE"""),"24' 4""")</f>
        <v>24' 4"</v>
      </c>
      <c r="F81">
        <f ca="1">IFERROR(__xludf.DUMMYFUNCTION("""COMPUTED_VALUE"""),583.833)</f>
        <v>583.83299999999997</v>
      </c>
      <c r="G81">
        <f ca="1">IFERROR(__xludf.DUMMYFUNCTION("""COMPUTED_VALUE"""),24)</f>
        <v>24</v>
      </c>
      <c r="H81">
        <f ca="1">IFERROR(__xludf.DUMMYFUNCTION("""COMPUTED_VALUE"""),-2)</f>
        <v>-2</v>
      </c>
    </row>
    <row r="82" spans="1:8" ht="12.75">
      <c r="A82" t="str">
        <f ca="1">IFERROR(__xludf.DUMMYFUNCTION("""COMPUTED_VALUE"""),"T80")</f>
        <v>T80</v>
      </c>
      <c r="B82">
        <f ca="1">IFERROR(__xludf.DUMMYFUNCTION("""COMPUTED_VALUE"""),40)</f>
        <v>40</v>
      </c>
      <c r="C82" t="str">
        <f ca="1">IFERROR(__xludf.DUMMYFUNCTION("""COMPUTED_VALUE"""),"Andrew Landry")</f>
        <v>Andrew Landry</v>
      </c>
      <c r="D82">
        <f ca="1">IFERROR(__xludf.DUMMYFUNCTION("""COMPUTED_VALUE"""),14)</f>
        <v>14</v>
      </c>
      <c r="E82" t="str">
        <f ca="1">IFERROR(__xludf.DUMMYFUNCTION("""COMPUTED_VALUE"""),"24' 4""")</f>
        <v>24' 4"</v>
      </c>
      <c r="F82" s="2">
        <f ca="1">IFERROR(__xludf.DUMMYFUNCTION("""COMPUTED_VALUE"""),1071.25)</f>
        <v>1071.25</v>
      </c>
      <c r="G82">
        <f ca="1">IFERROR(__xludf.DUMMYFUNCTION("""COMPUTED_VALUE"""),44)</f>
        <v>44</v>
      </c>
      <c r="H82">
        <f ca="1">IFERROR(__xludf.DUMMYFUNCTION("""COMPUTED_VALUE"""),-9)</f>
        <v>-9</v>
      </c>
    </row>
    <row r="83" spans="1:8" ht="12.75">
      <c r="A83" t="str">
        <f ca="1">IFERROR(__xludf.DUMMYFUNCTION("""COMPUTED_VALUE"""),"T80")</f>
        <v>T80</v>
      </c>
      <c r="B83" t="str">
        <f ca="1">IFERROR(__xludf.DUMMYFUNCTION("""COMPUTED_VALUE"""),"T74")</f>
        <v>T74</v>
      </c>
      <c r="C83" t="str">
        <f ca="1">IFERROR(__xludf.DUMMYFUNCTION("""COMPUTED_VALUE"""),"Lanto Griffin")</f>
        <v>Lanto Griffin</v>
      </c>
      <c r="D83">
        <f ca="1">IFERROR(__xludf.DUMMYFUNCTION("""COMPUTED_VALUE"""),18)</f>
        <v>18</v>
      </c>
      <c r="E83" t="str">
        <f ca="1">IFERROR(__xludf.DUMMYFUNCTION("""COMPUTED_VALUE"""),"24' 4""")</f>
        <v>24' 4"</v>
      </c>
      <c r="F83" s="2">
        <f ca="1">IFERROR(__xludf.DUMMYFUNCTION("""COMPUTED_VALUE"""),1215.25)</f>
        <v>1215.25</v>
      </c>
      <c r="G83">
        <f ca="1">IFERROR(__xludf.DUMMYFUNCTION("""COMPUTED_VALUE"""),50)</f>
        <v>50</v>
      </c>
      <c r="H83">
        <f ca="1">IFERROR(__xludf.DUMMYFUNCTION("""COMPUTED_VALUE"""),-1)</f>
        <v>-1</v>
      </c>
    </row>
    <row r="84" spans="1:8" ht="12.75">
      <c r="A84" t="str">
        <f ca="1">IFERROR(__xludf.DUMMYFUNCTION("""COMPUTED_VALUE"""),"T80")</f>
        <v>T80</v>
      </c>
      <c r="B84" t="str">
        <f ca="1">IFERROR(__xludf.DUMMYFUNCTION("""COMPUTED_VALUE"""),"T88")</f>
        <v>T88</v>
      </c>
      <c r="C84" t="str">
        <f ca="1">IFERROR(__xludf.DUMMYFUNCTION("""COMPUTED_VALUE"""),"Sam Ryder")</f>
        <v>Sam Ryder</v>
      </c>
      <c r="D84">
        <f ca="1">IFERROR(__xludf.DUMMYFUNCTION("""COMPUTED_VALUE"""),12)</f>
        <v>12</v>
      </c>
      <c r="E84" t="str">
        <f ca="1">IFERROR(__xludf.DUMMYFUNCTION("""COMPUTED_VALUE"""),"24' 4""")</f>
        <v>24' 4"</v>
      </c>
      <c r="F84">
        <f ca="1">IFERROR(__xludf.DUMMYFUNCTION("""COMPUTED_VALUE"""),365.5)</f>
        <v>365.5</v>
      </c>
      <c r="G84">
        <f ca="1">IFERROR(__xludf.DUMMYFUNCTION("""COMPUTED_VALUE"""),15)</f>
        <v>15</v>
      </c>
      <c r="H84">
        <f ca="1">IFERROR(__xludf.DUMMYFUNCTION("""COMPUTED_VALUE"""),-3)</f>
        <v>-3</v>
      </c>
    </row>
    <row r="85" spans="1:8" ht="12.75">
      <c r="A85" t="str">
        <f ca="1">IFERROR(__xludf.DUMMYFUNCTION("""COMPUTED_VALUE"""),"T84")</f>
        <v>T84</v>
      </c>
      <c r="B85" t="str">
        <f ca="1">IFERROR(__xludf.DUMMYFUNCTION("""COMPUTED_VALUE"""),"T118")</f>
        <v>T118</v>
      </c>
      <c r="C85" t="str">
        <f ca="1">IFERROR(__xludf.DUMMYFUNCTION("""COMPUTED_VALUE"""),"Charley Hoffman")</f>
        <v>Charley Hoffman</v>
      </c>
      <c r="D85">
        <f ca="1">IFERROR(__xludf.DUMMYFUNCTION("""COMPUTED_VALUE"""),20)</f>
        <v>20</v>
      </c>
      <c r="E85" t="str">
        <f ca="1">IFERROR(__xludf.DUMMYFUNCTION("""COMPUTED_VALUE"""),"24' 5""")</f>
        <v>24' 5"</v>
      </c>
      <c r="F85">
        <f ca="1">IFERROR(__xludf.DUMMYFUNCTION("""COMPUTED_VALUE"""),707.167)</f>
        <v>707.16700000000003</v>
      </c>
      <c r="G85">
        <f ca="1">IFERROR(__xludf.DUMMYFUNCTION("""COMPUTED_VALUE"""),29)</f>
        <v>29</v>
      </c>
      <c r="H85">
        <f ca="1">IFERROR(__xludf.DUMMYFUNCTION("""COMPUTED_VALUE"""),-7)</f>
        <v>-7</v>
      </c>
    </row>
    <row r="86" spans="1:8" ht="12.75">
      <c r="A86" t="str">
        <f ca="1">IFERROR(__xludf.DUMMYFUNCTION("""COMPUTED_VALUE"""),"T84")</f>
        <v>T84</v>
      </c>
      <c r="B86" t="str">
        <f ca="1">IFERROR(__xludf.DUMMYFUNCTION("""COMPUTED_VALUE"""),"T90")</f>
        <v>T90</v>
      </c>
      <c r="C86" t="str">
        <f ca="1">IFERROR(__xludf.DUMMYFUNCTION("""COMPUTED_VALUE"""),"Bubba Watson")</f>
        <v>Bubba Watson</v>
      </c>
      <c r="D86">
        <f ca="1">IFERROR(__xludf.DUMMYFUNCTION("""COMPUTED_VALUE"""),12)</f>
        <v>12</v>
      </c>
      <c r="E86" t="str">
        <f ca="1">IFERROR(__xludf.DUMMYFUNCTION("""COMPUTED_VALUE"""),"24' 5""")</f>
        <v>24' 5"</v>
      </c>
      <c r="F86">
        <f ca="1">IFERROR(__xludf.DUMMYFUNCTION("""COMPUTED_VALUE"""),758.083)</f>
        <v>758.08299999999997</v>
      </c>
      <c r="G86">
        <f ca="1">IFERROR(__xludf.DUMMYFUNCTION("""COMPUTED_VALUE"""),31)</f>
        <v>31</v>
      </c>
      <c r="H86" t="str">
        <f ca="1">IFERROR(__xludf.DUMMYFUNCTION("""COMPUTED_VALUE"""),"E")</f>
        <v>E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IFERROR(__xludf.DUMMYFUNCTION("""COMPUTED_VALUE"""),"T93")</f>
        <v>T93</v>
      </c>
      <c r="C87" t="str">
        <f ca="1">IFERROR(__xludf.DUMMYFUNCTION("""COMPUTED_VALUE"""),"D.J. Trahan")</f>
        <v>D.J. Trahan</v>
      </c>
      <c r="D87">
        <f ca="1">IFERROR(__xludf.DUMMYFUNCTION("""COMPUTED_VALUE"""),16)</f>
        <v>16</v>
      </c>
      <c r="E87" t="str">
        <f ca="1">IFERROR(__xludf.DUMMYFUNCTION("""COMPUTED_VALUE"""),"24' 6""")</f>
        <v>24' 6"</v>
      </c>
      <c r="F87">
        <f ca="1">IFERROR(__xludf.DUMMYFUNCTION("""COMPUTED_VALUE"""),269.917)</f>
        <v>269.91699999999997</v>
      </c>
      <c r="G87">
        <f ca="1">IFERROR(__xludf.DUMMYFUNCTION("""COMPUTED_VALUE"""),11)</f>
        <v>11</v>
      </c>
      <c r="H87" t="str">
        <f ca="1">IFERROR(__xludf.DUMMYFUNCTION("""COMPUTED_VALUE"""),"+1")</f>
        <v>+1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IFERROR(__xludf.DUMMYFUNCTION("""COMPUTED_VALUE"""),"T93")</f>
        <v>T93</v>
      </c>
      <c r="C88" t="str">
        <f ca="1">IFERROR(__xludf.DUMMYFUNCTION("""COMPUTED_VALUE"""),"Rob Oppenheim")</f>
        <v>Rob Oppenheim</v>
      </c>
      <c r="D88">
        <f ca="1">IFERROR(__xludf.DUMMYFUNCTION("""COMPUTED_VALUE"""),16)</f>
        <v>16</v>
      </c>
      <c r="E88" t="str">
        <f ca="1">IFERROR(__xludf.DUMMYFUNCTION("""COMPUTED_VALUE"""),"24' 6""")</f>
        <v>24' 6"</v>
      </c>
      <c r="F88">
        <f ca="1">IFERROR(__xludf.DUMMYFUNCTION("""COMPUTED_VALUE"""),785.083)</f>
        <v>785.08299999999997</v>
      </c>
      <c r="G88">
        <f ca="1">IFERROR(__xludf.DUMMYFUNCTION("""COMPUTED_VALUE"""),32)</f>
        <v>32</v>
      </c>
      <c r="H88">
        <f ca="1">IFERROR(__xludf.DUMMYFUNCTION("""COMPUTED_VALUE"""),-1)</f>
        <v>-1</v>
      </c>
    </row>
    <row r="89" spans="1:8" ht="12.75">
      <c r="A89" t="str">
        <f ca="1">IFERROR(__xludf.DUMMYFUNCTION("""COMPUTED_VALUE"""),"T86")</f>
        <v>T86</v>
      </c>
      <c r="B89" t="str">
        <f ca="1">IFERROR(__xludf.DUMMYFUNCTION("""COMPUTED_VALUE"""),"T135")</f>
        <v>T135</v>
      </c>
      <c r="C89" t="str">
        <f ca="1">IFERROR(__xludf.DUMMYFUNCTION("""COMPUTED_VALUE"""),"Branden Grace")</f>
        <v>Branden Grace</v>
      </c>
      <c r="D89">
        <f ca="1">IFERROR(__xludf.DUMMYFUNCTION("""COMPUTED_VALUE"""),16)</f>
        <v>16</v>
      </c>
      <c r="E89" t="str">
        <f ca="1">IFERROR(__xludf.DUMMYFUNCTION("""COMPUTED_VALUE"""),"24' 6""")</f>
        <v>24' 6"</v>
      </c>
      <c r="F89">
        <f ca="1">IFERROR(__xludf.DUMMYFUNCTION("""COMPUTED_VALUE"""),466.167)</f>
        <v>466.16699999999997</v>
      </c>
      <c r="G89">
        <f ca="1">IFERROR(__xludf.DUMMYFUNCTION("""COMPUTED_VALUE"""),19)</f>
        <v>19</v>
      </c>
      <c r="H89">
        <f ca="1">IFERROR(__xludf.DUMMYFUNCTION("""COMPUTED_VALUE"""),-4)</f>
        <v>-4</v>
      </c>
    </row>
    <row r="90" spans="1:8" ht="12.75">
      <c r="A90" t="str">
        <f ca="1">IFERROR(__xludf.DUMMYFUNCTION("""COMPUTED_VALUE"""),"T86")</f>
        <v>T86</v>
      </c>
      <c r="B90" t="str">
        <f ca="1">IFERROR(__xludf.DUMMYFUNCTION("""COMPUTED_VALUE"""),"T93")</f>
        <v>T93</v>
      </c>
      <c r="C90" t="str">
        <f ca="1">IFERROR(__xludf.DUMMYFUNCTION("""COMPUTED_VALUE"""),"J.J. Spaun")</f>
        <v>J.J. Spaun</v>
      </c>
      <c r="D90">
        <f ca="1">IFERROR(__xludf.DUMMYFUNCTION("""COMPUTED_VALUE"""),10)</f>
        <v>10</v>
      </c>
      <c r="E90" t="str">
        <f ca="1">IFERROR(__xludf.DUMMYFUNCTION("""COMPUTED_VALUE"""),"24' 6""")</f>
        <v>24' 6"</v>
      </c>
      <c r="F90">
        <f ca="1">IFERROR(__xludf.DUMMYFUNCTION("""COMPUTED_VALUE"""),416.833)</f>
        <v>416.83300000000003</v>
      </c>
      <c r="G90">
        <f ca="1">IFERROR(__xludf.DUMMYFUNCTION("""COMPUTED_VALUE"""),17)</f>
        <v>17</v>
      </c>
      <c r="H90" t="str">
        <f ca="1">IFERROR(__xludf.DUMMYFUNCTION("""COMPUTED_VALUE"""),"E")</f>
        <v>E</v>
      </c>
    </row>
    <row r="91" spans="1:8" ht="12.75">
      <c r="A91" t="str">
        <f ca="1">IFERROR(__xludf.DUMMYFUNCTION("""COMPUTED_VALUE"""),"T86")</f>
        <v>T86</v>
      </c>
      <c r="B91" t="str">
        <f ca="1">IFERROR(__xludf.DUMMYFUNCTION("""COMPUTED_VALUE"""),"T93")</f>
        <v>T93</v>
      </c>
      <c r="C91" t="str">
        <f ca="1">IFERROR(__xludf.DUMMYFUNCTION("""COMPUTED_VALUE"""),"Sahith Theegala")</f>
        <v>Sahith Theegala</v>
      </c>
      <c r="D91">
        <f ca="1">IFERROR(__xludf.DUMMYFUNCTION("""COMPUTED_VALUE"""),6)</f>
        <v>6</v>
      </c>
      <c r="E91" t="str">
        <f ca="1">IFERROR(__xludf.DUMMYFUNCTION("""COMPUTED_VALUE"""),"24' 6""")</f>
        <v>24' 6"</v>
      </c>
      <c r="F91">
        <f ca="1">IFERROR(__xludf.DUMMYFUNCTION("""COMPUTED_VALUE"""),245.333)</f>
        <v>245.333</v>
      </c>
      <c r="G91">
        <f ca="1">IFERROR(__xludf.DUMMYFUNCTION("""COMPUTED_VALUE"""),10)</f>
        <v>10</v>
      </c>
      <c r="H91" t="str">
        <f ca="1">IFERROR(__xludf.DUMMYFUNCTION("""COMPUTED_VALUE"""),"E")</f>
        <v>E</v>
      </c>
    </row>
    <row r="92" spans="1:8" ht="12.75">
      <c r="A92">
        <f ca="1">IFERROR(__xludf.DUMMYFUNCTION("""COMPUTED_VALUE"""),91)</f>
        <v>91</v>
      </c>
      <c r="B92" t="str">
        <f ca="1">IFERROR(__xludf.DUMMYFUNCTION("""COMPUTED_VALUE"""),"T55")</f>
        <v>T55</v>
      </c>
      <c r="C92" t="str">
        <f ca="1">IFERROR(__xludf.DUMMYFUNCTION("""COMPUTED_VALUE"""),"Fabián Gómez")</f>
        <v>Fabián Gómez</v>
      </c>
      <c r="D92">
        <f ca="1">IFERROR(__xludf.DUMMYFUNCTION("""COMPUTED_VALUE"""),16)</f>
        <v>16</v>
      </c>
      <c r="E92" t="str">
        <f ca="1">IFERROR(__xludf.DUMMYFUNCTION("""COMPUTED_VALUE"""),"24' 7""")</f>
        <v>24' 7"</v>
      </c>
      <c r="F92">
        <f ca="1">IFERROR(__xludf.DUMMYFUNCTION("""COMPUTED_VALUE"""),736.417)</f>
        <v>736.41700000000003</v>
      </c>
      <c r="G92">
        <f ca="1">IFERROR(__xludf.DUMMYFUNCTION("""COMPUTED_VALUE"""),30)</f>
        <v>30</v>
      </c>
      <c r="H92">
        <f ca="1">IFERROR(__xludf.DUMMYFUNCTION("""COMPUTED_VALUE"""),-4)</f>
        <v>-4</v>
      </c>
    </row>
    <row r="93" spans="1:8" ht="12.75">
      <c r="A93" t="str">
        <f ca="1">IFERROR(__xludf.DUMMYFUNCTION("""COMPUTED_VALUE"""),"T92")</f>
        <v>T92</v>
      </c>
      <c r="B93" t="str">
        <f ca="1">IFERROR(__xludf.DUMMYFUNCTION("""COMPUTED_VALUE"""),"T98")</f>
        <v>T98</v>
      </c>
      <c r="C93" t="str">
        <f ca="1">IFERROR(__xludf.DUMMYFUNCTION("""COMPUTED_VALUE"""),"Ricky Barnes")</f>
        <v>Ricky Barnes</v>
      </c>
      <c r="D93">
        <f ca="1">IFERROR(__xludf.DUMMYFUNCTION("""COMPUTED_VALUE"""),12)</f>
        <v>12</v>
      </c>
      <c r="E93" t="str">
        <f ca="1">IFERROR(__xludf.DUMMYFUNCTION("""COMPUTED_VALUE"""),"24' 8""")</f>
        <v>24' 8"</v>
      </c>
      <c r="F93">
        <f ca="1">IFERROR(__xludf.DUMMYFUNCTION("""COMPUTED_VALUE"""),246.417)</f>
        <v>246.417</v>
      </c>
      <c r="G93">
        <f ca="1">IFERROR(__xludf.DUMMYFUNCTION("""COMPUTED_VALUE"""),10)</f>
        <v>10</v>
      </c>
      <c r="H93" t="str">
        <f ca="1">IFERROR(__xludf.DUMMYFUNCTION("""COMPUTED_VALUE"""),"+2")</f>
        <v>+2</v>
      </c>
    </row>
    <row r="94" spans="1:8" ht="12.75">
      <c r="A94" t="str">
        <f ca="1">IFERROR(__xludf.DUMMYFUNCTION("""COMPUTED_VALUE"""),"T92")</f>
        <v>T92</v>
      </c>
      <c r="B94" t="str">
        <f ca="1">IFERROR(__xludf.DUMMYFUNCTION("""COMPUTED_VALUE"""),"T98")</f>
        <v>T98</v>
      </c>
      <c r="C94" t="str">
        <f ca="1">IFERROR(__xludf.DUMMYFUNCTION("""COMPUTED_VALUE"""),"J.B. Holmes")</f>
        <v>J.B. Holmes</v>
      </c>
      <c r="D94">
        <f ca="1">IFERROR(__xludf.DUMMYFUNCTION("""COMPUTED_VALUE"""),10)</f>
        <v>10</v>
      </c>
      <c r="E94" t="str">
        <f ca="1">IFERROR(__xludf.DUMMYFUNCTION("""COMPUTED_VALUE"""),"24' 8""")</f>
        <v>24' 8"</v>
      </c>
      <c r="F94">
        <f ca="1">IFERROR(__xludf.DUMMYFUNCTION("""COMPUTED_VALUE"""),295.5)</f>
        <v>295.5</v>
      </c>
      <c r="G94">
        <f ca="1">IFERROR(__xludf.DUMMYFUNCTION("""COMPUTED_VALUE"""),12)</f>
        <v>12</v>
      </c>
      <c r="H94">
        <f ca="1">IFERROR(__xludf.DUMMYFUNCTION("""COMPUTED_VALUE"""),-2)</f>
        <v>-2</v>
      </c>
    </row>
    <row r="95" spans="1:8" ht="12.75">
      <c r="A95" t="str">
        <f ca="1">IFERROR(__xludf.DUMMYFUNCTION("""COMPUTED_VALUE"""),"T92")</f>
        <v>T92</v>
      </c>
      <c r="B95">
        <f ca="1">IFERROR(__xludf.DUMMYFUNCTION("""COMPUTED_VALUE"""),29)</f>
        <v>29</v>
      </c>
      <c r="C95" t="str">
        <f ca="1">IFERROR(__xludf.DUMMYFUNCTION("""COMPUTED_VALUE"""),"Austin Cook")</f>
        <v>Austin Cook</v>
      </c>
      <c r="D95">
        <f ca="1">IFERROR(__xludf.DUMMYFUNCTION("""COMPUTED_VALUE"""),14)</f>
        <v>14</v>
      </c>
      <c r="E95" t="str">
        <f ca="1">IFERROR(__xludf.DUMMYFUNCTION("""COMPUTED_VALUE"""),"24' 8""")</f>
        <v>24' 8"</v>
      </c>
      <c r="F95">
        <f ca="1">IFERROR(__xludf.DUMMYFUNCTION("""COMPUTED_VALUE"""),864.5)</f>
        <v>864.5</v>
      </c>
      <c r="G95">
        <f ca="1">IFERROR(__xludf.DUMMYFUNCTION("""COMPUTED_VALUE"""),35)</f>
        <v>35</v>
      </c>
      <c r="H95">
        <f ca="1">IFERROR(__xludf.DUMMYFUNCTION("""COMPUTED_VALUE"""),-4)</f>
        <v>-4</v>
      </c>
    </row>
    <row r="96" spans="1:8" ht="12.75">
      <c r="A96" t="str">
        <f ca="1">IFERROR(__xludf.DUMMYFUNCTION("""COMPUTED_VALUE"""),"T95")</f>
        <v>T95</v>
      </c>
      <c r="B96" t="str">
        <f ca="1">IFERROR(__xludf.DUMMYFUNCTION("""COMPUTED_VALUE"""),"T108")</f>
        <v>T108</v>
      </c>
      <c r="C96" t="str">
        <f ca="1">IFERROR(__xludf.DUMMYFUNCTION("""COMPUTED_VALUE"""),"Graham DeLaet")</f>
        <v>Graham DeLaet</v>
      </c>
      <c r="D96">
        <f ca="1">IFERROR(__xludf.DUMMYFUNCTION("""COMPUTED_VALUE"""),9)</f>
        <v>9</v>
      </c>
      <c r="E96" t="str">
        <f ca="1">IFERROR(__xludf.DUMMYFUNCTION("""COMPUTED_VALUE"""),"24' 9""")</f>
        <v>24' 9"</v>
      </c>
      <c r="F96">
        <f ca="1">IFERROR(__xludf.DUMMYFUNCTION("""COMPUTED_VALUE"""),247.75)</f>
        <v>247.75</v>
      </c>
      <c r="G96">
        <f ca="1">IFERROR(__xludf.DUMMYFUNCTION("""COMPUTED_VALUE"""),10)</f>
        <v>10</v>
      </c>
      <c r="H96">
        <f ca="1">IFERROR(__xludf.DUMMYFUNCTION("""COMPUTED_VALUE"""),-1)</f>
        <v>-1</v>
      </c>
    </row>
    <row r="97" spans="1:8" ht="12.75">
      <c r="A97" t="str">
        <f ca="1">IFERROR(__xludf.DUMMYFUNCTION("""COMPUTED_VALUE"""),"T95")</f>
        <v>T95</v>
      </c>
      <c r="B97" t="str">
        <f ca="1">IFERROR(__xludf.DUMMYFUNCTION("""COMPUTED_VALUE"""),"T41")</f>
        <v>T41</v>
      </c>
      <c r="C97" t="str">
        <f ca="1">IFERROR(__xludf.DUMMYFUNCTION("""COMPUTED_VALUE"""),"Chris Kirk")</f>
        <v>Chris Kirk</v>
      </c>
      <c r="D97">
        <f ca="1">IFERROR(__xludf.DUMMYFUNCTION("""COMPUTED_VALUE"""),10)</f>
        <v>10</v>
      </c>
      <c r="E97" t="str">
        <f ca="1">IFERROR(__xludf.DUMMYFUNCTION("""COMPUTED_VALUE"""),"24' 9""")</f>
        <v>24' 9"</v>
      </c>
      <c r="F97">
        <f ca="1">IFERROR(__xludf.DUMMYFUNCTION("""COMPUTED_VALUE"""),520.333)</f>
        <v>520.33299999999997</v>
      </c>
      <c r="G97">
        <f ca="1">IFERROR(__xludf.DUMMYFUNCTION("""COMPUTED_VALUE"""),21)</f>
        <v>21</v>
      </c>
      <c r="H97">
        <f ca="1">IFERROR(__xludf.DUMMYFUNCTION("""COMPUTED_VALUE"""),-2)</f>
        <v>-2</v>
      </c>
    </row>
    <row r="98" spans="1:8" ht="12.75">
      <c r="A98" t="str">
        <f ca="1">IFERROR(__xludf.DUMMYFUNCTION("""COMPUTED_VALUE"""),"T95")</f>
        <v>T95</v>
      </c>
      <c r="B98">
        <f ca="1">IFERROR(__xludf.DUMMYFUNCTION("""COMPUTED_VALUE"""),102)</f>
        <v>102</v>
      </c>
      <c r="C98" t="str">
        <f ca="1">IFERROR(__xludf.DUMMYFUNCTION("""COMPUTED_VALUE"""),"Joseph Bramlett")</f>
        <v>Joseph Bramlett</v>
      </c>
      <c r="D98">
        <f ca="1">IFERROR(__xludf.DUMMYFUNCTION("""COMPUTED_VALUE"""),18)</f>
        <v>18</v>
      </c>
      <c r="E98" t="str">
        <f ca="1">IFERROR(__xludf.DUMMYFUNCTION("""COMPUTED_VALUE"""),"24' 9""")</f>
        <v>24' 9"</v>
      </c>
      <c r="F98">
        <f ca="1">IFERROR(__xludf.DUMMYFUNCTION("""COMPUTED_VALUE"""),543.667)</f>
        <v>543.66700000000003</v>
      </c>
      <c r="G98">
        <f ca="1">IFERROR(__xludf.DUMMYFUNCTION("""COMPUTED_VALUE"""),22)</f>
        <v>22</v>
      </c>
      <c r="H98">
        <f ca="1">IFERROR(__xludf.DUMMYFUNCTION("""COMPUTED_VALUE"""),-2)</f>
        <v>-2</v>
      </c>
    </row>
    <row r="99" spans="1:8" ht="12.75">
      <c r="A99" t="str">
        <f ca="1">IFERROR(__xludf.DUMMYFUNCTION("""COMPUTED_VALUE"""),"T98")</f>
        <v>T98</v>
      </c>
      <c r="B99" t="str">
        <f ca="1">IFERROR(__xludf.DUMMYFUNCTION("""COMPUTED_VALUE"""),"T103")</f>
        <v>T103</v>
      </c>
      <c r="C99" t="str">
        <f ca="1">IFERROR(__xludf.DUMMYFUNCTION("""COMPUTED_VALUE"""),"Kevin Kisner")</f>
        <v>Kevin Kisner</v>
      </c>
      <c r="D99">
        <f ca="1">IFERROR(__xludf.DUMMYFUNCTION("""COMPUTED_VALUE"""),10)</f>
        <v>10</v>
      </c>
      <c r="E99" t="str">
        <f ca="1">IFERROR(__xludf.DUMMYFUNCTION("""COMPUTED_VALUE"""),"24' 10""")</f>
        <v>24' 10"</v>
      </c>
      <c r="F99">
        <f ca="1">IFERROR(__xludf.DUMMYFUNCTION("""COMPUTED_VALUE"""),620.25)</f>
        <v>620.25</v>
      </c>
      <c r="G99">
        <f ca="1">IFERROR(__xludf.DUMMYFUNCTION("""COMPUTED_VALUE"""),25)</f>
        <v>25</v>
      </c>
      <c r="H99" t="str">
        <f ca="1">IFERROR(__xludf.DUMMYFUNCTION("""COMPUTED_VALUE"""),"+2")</f>
        <v>+2</v>
      </c>
    </row>
    <row r="100" spans="1:8" ht="12.75">
      <c r="A100" t="str">
        <f ca="1">IFERROR(__xludf.DUMMYFUNCTION("""COMPUTED_VALUE"""),"T98")</f>
        <v>T98</v>
      </c>
      <c r="B100" t="str">
        <f ca="1">IFERROR(__xludf.DUMMYFUNCTION("""COMPUTED_VALUE"""),"T61")</f>
        <v>T61</v>
      </c>
      <c r="C100" t="str">
        <f ca="1">IFERROR(__xludf.DUMMYFUNCTION("""COMPUTED_VALUE"""),"Dylan Frittelli")</f>
        <v>Dylan Frittelli</v>
      </c>
      <c r="D100">
        <f ca="1">IFERROR(__xludf.DUMMYFUNCTION("""COMPUTED_VALUE"""),16)</f>
        <v>16</v>
      </c>
      <c r="E100" t="str">
        <f ca="1">IFERROR(__xludf.DUMMYFUNCTION("""COMPUTED_VALUE"""),"24' 10""")</f>
        <v>24' 10"</v>
      </c>
      <c r="F100">
        <f ca="1">IFERROR(__xludf.DUMMYFUNCTION("""COMPUTED_VALUE"""),894.833)</f>
        <v>894.83299999999997</v>
      </c>
      <c r="G100">
        <f ca="1">IFERROR(__xludf.DUMMYFUNCTION("""COMPUTED_VALUE"""),36)</f>
        <v>36</v>
      </c>
      <c r="H100">
        <f ca="1">IFERROR(__xludf.DUMMYFUNCTION("""COMPUTED_VALUE"""),-3)</f>
        <v>-3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IFERROR(__xludf.DUMMYFUNCTION("""COMPUTED_VALUE"""),"T86")</f>
        <v>T86</v>
      </c>
      <c r="C101" t="str">
        <f ca="1">IFERROR(__xludf.DUMMYFUNCTION("""COMPUTED_VALUE"""),"Lee Westwood")</f>
        <v>Lee Westwood</v>
      </c>
      <c r="D101">
        <f ca="1">IFERROR(__xludf.DUMMYFUNCTION("""COMPUTED_VALUE"""),6)</f>
        <v>6</v>
      </c>
      <c r="E101" t="str">
        <f ca="1">IFERROR(__xludf.DUMMYFUNCTION("""COMPUTED_VALUE"""),"24' 11""")</f>
        <v>24' 11"</v>
      </c>
      <c r="F101">
        <f ca="1">IFERROR(__xludf.DUMMYFUNCTION("""COMPUTED_VALUE"""),398.167)</f>
        <v>398.16699999999997</v>
      </c>
      <c r="G101">
        <f ca="1">IFERROR(__xludf.DUMMYFUNCTION("""COMPUTED_VALUE"""),16)</f>
        <v>16</v>
      </c>
      <c r="H101" t="str">
        <f ca="1">IFERROR(__xludf.DUMMYFUNCTION("""COMPUTED_VALUE"""),"+1")</f>
        <v>+1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IFERROR(__xludf.DUMMYFUNCTION("""COMPUTED_VALUE"""),"T105")</f>
        <v>T105</v>
      </c>
      <c r="C102" t="str">
        <f ca="1">IFERROR(__xludf.DUMMYFUNCTION("""COMPUTED_VALUE"""),"Matt Kuchar")</f>
        <v>Matt Kuchar</v>
      </c>
      <c r="D102">
        <f ca="1">IFERROR(__xludf.DUMMYFUNCTION("""COMPUTED_VALUE"""),14)</f>
        <v>14</v>
      </c>
      <c r="E102" t="str">
        <f ca="1">IFERROR(__xludf.DUMMYFUNCTION("""COMPUTED_VALUE"""),"24' 11""")</f>
        <v>24' 11"</v>
      </c>
      <c r="F102">
        <f ca="1">IFERROR(__xludf.DUMMYFUNCTION("""COMPUTED_VALUE"""),846.583)</f>
        <v>846.58299999999997</v>
      </c>
      <c r="G102">
        <f ca="1">IFERROR(__xludf.DUMMYFUNCTION("""COMPUTED_VALUE"""),34)</f>
        <v>34</v>
      </c>
      <c r="H102">
        <f ca="1">IFERROR(__xludf.DUMMYFUNCTION("""COMPUTED_VALUE"""),-4)</f>
        <v>-4</v>
      </c>
    </row>
    <row r="103" spans="1:8" ht="12.75">
      <c r="A103" t="str">
        <f ca="1">IFERROR(__xludf.DUMMYFUNCTION("""COMPUTED_VALUE"""),"T102")</f>
        <v>T102</v>
      </c>
      <c r="B103" t="str">
        <f ca="1">IFERROR(__xludf.DUMMYFUNCTION("""COMPUTED_VALUE"""),"T98")</f>
        <v>T98</v>
      </c>
      <c r="C103" t="str">
        <f ca="1">IFERROR(__xludf.DUMMYFUNCTION("""COMPUTED_VALUE"""),"Kevin Streelman")</f>
        <v>Kevin Streelman</v>
      </c>
      <c r="D103">
        <f ca="1">IFERROR(__xludf.DUMMYFUNCTION("""COMPUTED_VALUE"""),18)</f>
        <v>18</v>
      </c>
      <c r="E103" t="str">
        <f ca="1">IFERROR(__xludf.DUMMYFUNCTION("""COMPUTED_VALUE"""),"25' 0""")</f>
        <v>25' 0"</v>
      </c>
      <c r="F103" s="2">
        <f ca="1">IFERROR(__xludf.DUMMYFUNCTION("""COMPUTED_VALUE"""),1024.5)</f>
        <v>1024.5</v>
      </c>
      <c r="G103">
        <f ca="1">IFERROR(__xludf.DUMMYFUNCTION("""COMPUTED_VALUE"""),41)</f>
        <v>41</v>
      </c>
      <c r="H103">
        <f ca="1">IFERROR(__xludf.DUMMYFUNCTION("""COMPUTED_VALUE"""),-9)</f>
        <v>-9</v>
      </c>
    </row>
    <row r="104" spans="1:8" ht="12.75">
      <c r="A104" t="str">
        <f ca="1">IFERROR(__xludf.DUMMYFUNCTION("""COMPUTED_VALUE"""),"T102")</f>
        <v>T102</v>
      </c>
      <c r="B104" t="str">
        <f ca="1">IFERROR(__xludf.DUMMYFUNCTION("""COMPUTED_VALUE"""),"T105")</f>
        <v>T105</v>
      </c>
      <c r="C104" t="str">
        <f ca="1">IFERROR(__xludf.DUMMYFUNCTION("""COMPUTED_VALUE"""),"Carlos Ortiz")</f>
        <v>Carlos Ortiz</v>
      </c>
      <c r="D104">
        <f ca="1">IFERROR(__xludf.DUMMYFUNCTION("""COMPUTED_VALUE"""),20)</f>
        <v>20</v>
      </c>
      <c r="E104" t="str">
        <f ca="1">IFERROR(__xludf.DUMMYFUNCTION("""COMPUTED_VALUE"""),"25' 0""")</f>
        <v>25' 0"</v>
      </c>
      <c r="F104" s="2">
        <f ca="1">IFERROR(__xludf.DUMMYFUNCTION("""COMPUTED_VALUE"""),1200.833)</f>
        <v>1200.8330000000001</v>
      </c>
      <c r="G104">
        <f ca="1">IFERROR(__xludf.DUMMYFUNCTION("""COMPUTED_VALUE"""),48)</f>
        <v>48</v>
      </c>
      <c r="H104">
        <f ca="1">IFERROR(__xludf.DUMMYFUNCTION("""COMPUTED_VALUE"""),-1)</f>
        <v>-1</v>
      </c>
    </row>
    <row r="105" spans="1:8" ht="12.75">
      <c r="A105" t="str">
        <f ca="1">IFERROR(__xludf.DUMMYFUNCTION("""COMPUTED_VALUE"""),"T102")</f>
        <v>T102</v>
      </c>
      <c r="B105" t="str">
        <f ca="1">IFERROR(__xludf.DUMMYFUNCTION("""COMPUTED_VALUE"""),"T108")</f>
        <v>T108</v>
      </c>
      <c r="C105" t="str">
        <f ca="1">IFERROR(__xludf.DUMMYFUNCTION("""COMPUTED_VALUE"""),"Chesson Hadley")</f>
        <v>Chesson Hadley</v>
      </c>
      <c r="D105">
        <f ca="1">IFERROR(__xludf.DUMMYFUNCTION("""COMPUTED_VALUE"""),16)</f>
        <v>16</v>
      </c>
      <c r="E105" t="str">
        <f ca="1">IFERROR(__xludf.DUMMYFUNCTION("""COMPUTED_VALUE"""),"25' 0""")</f>
        <v>25' 0"</v>
      </c>
      <c r="F105">
        <f ca="1">IFERROR(__xludf.DUMMYFUNCTION("""COMPUTED_VALUE"""),624.583)</f>
        <v>624.58299999999997</v>
      </c>
      <c r="G105">
        <f ca="1">IFERROR(__xludf.DUMMYFUNCTION("""COMPUTED_VALUE"""),25)</f>
        <v>25</v>
      </c>
      <c r="H105" t="str">
        <f ca="1">IFERROR(__xludf.DUMMYFUNCTION("""COMPUTED_VALUE"""),"+2")</f>
        <v>+2</v>
      </c>
    </row>
    <row r="106" spans="1:8" ht="12.75">
      <c r="A106" t="str">
        <f ca="1">IFERROR(__xludf.DUMMYFUNCTION("""COMPUTED_VALUE"""),"T102")</f>
        <v>T102</v>
      </c>
      <c r="B106" t="str">
        <f ca="1">IFERROR(__xludf.DUMMYFUNCTION("""COMPUTED_VALUE"""),"T108")</f>
        <v>T108</v>
      </c>
      <c r="C106" t="str">
        <f ca="1">IFERROR(__xludf.DUMMYFUNCTION("""COMPUTED_VALUE"""),"Jaekyeong Lee")</f>
        <v>Jaekyeong Lee</v>
      </c>
      <c r="D106">
        <f ca="1">IFERROR(__xludf.DUMMYFUNCTION("""COMPUTED_VALUE"""),4)</f>
        <v>4</v>
      </c>
      <c r="E106" t="str">
        <f ca="1">IFERROR(__xludf.DUMMYFUNCTION("""COMPUTED_VALUE"""),"25' 0""")</f>
        <v>25' 0"</v>
      </c>
      <c r="F106">
        <f ca="1">IFERROR(__xludf.DUMMYFUNCTION("""COMPUTED_VALUE"""),225)</f>
        <v>225</v>
      </c>
      <c r="G106">
        <f ca="1">IFERROR(__xludf.DUMMYFUNCTION("""COMPUTED_VALUE"""),9)</f>
        <v>9</v>
      </c>
      <c r="H106" t="str">
        <f ca="1">IFERROR(__xludf.DUMMYFUNCTION("""COMPUTED_VALUE"""),"+2")</f>
        <v>+2</v>
      </c>
    </row>
    <row r="107" spans="1:8" ht="12.75">
      <c r="A107" t="str">
        <f ca="1">IFERROR(__xludf.DUMMYFUNCTION("""COMPUTED_VALUE"""),"T106")</f>
        <v>T106</v>
      </c>
      <c r="B107" t="str">
        <f ca="1">IFERROR(__xludf.DUMMYFUNCTION("""COMPUTED_VALUE"""),"T112")</f>
        <v>T112</v>
      </c>
      <c r="C107" t="str">
        <f ca="1">IFERROR(__xludf.DUMMYFUNCTION("""COMPUTED_VALUE"""),"Jim Furyk")</f>
        <v>Jim Furyk</v>
      </c>
      <c r="D107">
        <f ca="1">IFERROR(__xludf.DUMMYFUNCTION("""COMPUTED_VALUE"""),4)</f>
        <v>4</v>
      </c>
      <c r="E107" t="str">
        <f ca="1">IFERROR(__xludf.DUMMYFUNCTION("""COMPUTED_VALUE"""),"25' 1""")</f>
        <v>25' 1"</v>
      </c>
      <c r="F107">
        <f ca="1">IFERROR(__xludf.DUMMYFUNCTION("""COMPUTED_VALUE"""),376.5)</f>
        <v>376.5</v>
      </c>
      <c r="G107">
        <f ca="1">IFERROR(__xludf.DUMMYFUNCTION("""COMPUTED_VALUE"""),15)</f>
        <v>15</v>
      </c>
      <c r="H107">
        <f ca="1">IFERROR(__xludf.DUMMYFUNCTION("""COMPUTED_VALUE"""),-1)</f>
        <v>-1</v>
      </c>
    </row>
    <row r="108" spans="1:8" ht="12.75">
      <c r="A108" t="str">
        <f ca="1">IFERROR(__xludf.DUMMYFUNCTION("""COMPUTED_VALUE"""),"T106")</f>
        <v>T106</v>
      </c>
      <c r="B108" t="str">
        <f ca="1">IFERROR(__xludf.DUMMYFUNCTION("""COMPUTED_VALUE"""),"T112")</f>
        <v>T112</v>
      </c>
      <c r="C108" t="str">
        <f ca="1">IFERROR(__xludf.DUMMYFUNCTION("""COMPUTED_VALUE"""),"Jonathan Byrd")</f>
        <v>Jonathan Byrd</v>
      </c>
      <c r="D108">
        <f ca="1">IFERROR(__xludf.DUMMYFUNCTION("""COMPUTED_VALUE"""),14)</f>
        <v>14</v>
      </c>
      <c r="E108" t="str">
        <f ca="1">IFERROR(__xludf.DUMMYFUNCTION("""COMPUTED_VALUE"""),"25' 1""")</f>
        <v>25' 1"</v>
      </c>
      <c r="F108">
        <f ca="1">IFERROR(__xludf.DUMMYFUNCTION("""COMPUTED_VALUE"""),350.75)</f>
        <v>350.75</v>
      </c>
      <c r="G108">
        <f ca="1">IFERROR(__xludf.DUMMYFUNCTION("""COMPUTED_VALUE"""),14)</f>
        <v>14</v>
      </c>
      <c r="H108" t="str">
        <f ca="1">IFERROR(__xludf.DUMMYFUNCTION("""COMPUTED_VALUE"""),"+4")</f>
        <v>+4</v>
      </c>
    </row>
    <row r="109" spans="1:8" ht="12.75">
      <c r="A109" t="str">
        <f ca="1">IFERROR(__xludf.DUMMYFUNCTION("""COMPUTED_VALUE"""),"T106")</f>
        <v>T106</v>
      </c>
      <c r="B109" t="str">
        <f ca="1">IFERROR(__xludf.DUMMYFUNCTION("""COMPUTED_VALUE"""),"T112")</f>
        <v>T112</v>
      </c>
      <c r="C109" t="str">
        <f ca="1">IFERROR(__xludf.DUMMYFUNCTION("""COMPUTED_VALUE"""),"Kyle Stanley")</f>
        <v>Kyle Stanley</v>
      </c>
      <c r="D109">
        <f ca="1">IFERROR(__xludf.DUMMYFUNCTION("""COMPUTED_VALUE"""),16)</f>
        <v>16</v>
      </c>
      <c r="E109" t="str">
        <f ca="1">IFERROR(__xludf.DUMMYFUNCTION("""COMPUTED_VALUE"""),"25' 1""")</f>
        <v>25' 1"</v>
      </c>
      <c r="F109">
        <f ca="1">IFERROR(__xludf.DUMMYFUNCTION("""COMPUTED_VALUE"""),501.833)</f>
        <v>501.83300000000003</v>
      </c>
      <c r="G109">
        <f ca="1">IFERROR(__xludf.DUMMYFUNCTION("""COMPUTED_VALUE"""),20)</f>
        <v>20</v>
      </c>
      <c r="H109" t="str">
        <f ca="1">IFERROR(__xludf.DUMMYFUNCTION("""COMPUTED_VALUE"""),"E")</f>
        <v>E</v>
      </c>
    </row>
    <row r="110" spans="1:8" ht="12.75">
      <c r="A110" t="str">
        <f ca="1">IFERROR(__xludf.DUMMYFUNCTION("""COMPUTED_VALUE"""),"T106")</f>
        <v>T106</v>
      </c>
      <c r="B110" t="str">
        <f ca="1">IFERROR(__xludf.DUMMYFUNCTION("""COMPUTED_VALUE"""),"T112")</f>
        <v>T112</v>
      </c>
      <c r="C110" t="str">
        <f ca="1">IFERROR(__xludf.DUMMYFUNCTION("""COMPUTED_VALUE"""),"Cameron Smith")</f>
        <v>Cameron Smith</v>
      </c>
      <c r="D110">
        <f ca="1">IFERROR(__xludf.DUMMYFUNCTION("""COMPUTED_VALUE"""),16)</f>
        <v>16</v>
      </c>
      <c r="E110" t="str">
        <f ca="1">IFERROR(__xludf.DUMMYFUNCTION("""COMPUTED_VALUE"""),"25' 1""")</f>
        <v>25' 1"</v>
      </c>
      <c r="F110" s="2">
        <f ca="1">IFERROR(__xludf.DUMMYFUNCTION("""COMPUTED_VALUE"""),1253)</f>
        <v>1253</v>
      </c>
      <c r="G110">
        <f ca="1">IFERROR(__xludf.DUMMYFUNCTION("""COMPUTED_VALUE"""),50)</f>
        <v>50</v>
      </c>
      <c r="H110">
        <f ca="1">IFERROR(__xludf.DUMMYFUNCTION("""COMPUTED_VALUE"""),-8)</f>
        <v>-8</v>
      </c>
    </row>
    <row r="111" spans="1:8" ht="12.75">
      <c r="A111" t="str">
        <f ca="1">IFERROR(__xludf.DUMMYFUNCTION("""COMPUTED_VALUE"""),"T110")</f>
        <v>T110</v>
      </c>
      <c r="B111" t="str">
        <f ca="1">IFERROR(__xludf.DUMMYFUNCTION("""COMPUTED_VALUE"""),"T71")</f>
        <v>T71</v>
      </c>
      <c r="C111" t="str">
        <f ca="1">IFERROR(__xludf.DUMMYFUNCTION("""COMPUTED_VALUE"""),"Scott Piercy")</f>
        <v>Scott Piercy</v>
      </c>
      <c r="D111">
        <f ca="1">IFERROR(__xludf.DUMMYFUNCTION("""COMPUTED_VALUE"""),18)</f>
        <v>18</v>
      </c>
      <c r="E111" t="str">
        <f ca="1">IFERROR(__xludf.DUMMYFUNCTION("""COMPUTED_VALUE"""),"25' 2""")</f>
        <v>25' 2"</v>
      </c>
      <c r="F111">
        <f ca="1">IFERROR(__xludf.DUMMYFUNCTION("""COMPUTED_VALUE"""),930.083)</f>
        <v>930.08299999999997</v>
      </c>
      <c r="G111">
        <f ca="1">IFERROR(__xludf.DUMMYFUNCTION("""COMPUTED_VALUE"""),37)</f>
        <v>37</v>
      </c>
      <c r="H111">
        <f ca="1">IFERROR(__xludf.DUMMYFUNCTION("""COMPUTED_VALUE"""),-5)</f>
        <v>-5</v>
      </c>
    </row>
    <row r="112" spans="1:8" ht="12.75">
      <c r="A112" t="str">
        <f ca="1">IFERROR(__xludf.DUMMYFUNCTION("""COMPUTED_VALUE"""),"T110")</f>
        <v>T110</v>
      </c>
      <c r="B112">
        <f ca="1">IFERROR(__xludf.DUMMYFUNCTION("""COMPUTED_VALUE"""),117)</f>
        <v>117</v>
      </c>
      <c r="C112" t="str">
        <f ca="1">IFERROR(__xludf.DUMMYFUNCTION("""COMPUTED_VALUE"""),"Tae Hee Lee")</f>
        <v>Tae Hee Lee</v>
      </c>
      <c r="D112">
        <f ca="1">IFERROR(__xludf.DUMMYFUNCTION("""COMPUTED_VALUE"""),4)</f>
        <v>4</v>
      </c>
      <c r="E112" t="str">
        <f ca="1">IFERROR(__xludf.DUMMYFUNCTION("""COMPUTED_VALUE"""),"25' 2""")</f>
        <v>25' 2"</v>
      </c>
      <c r="F112">
        <f ca="1">IFERROR(__xludf.DUMMYFUNCTION("""COMPUTED_VALUE"""),176.333)</f>
        <v>176.333</v>
      </c>
      <c r="G112">
        <f ca="1">IFERROR(__xludf.DUMMYFUNCTION("""COMPUTED_VALUE"""),7)</f>
        <v>7</v>
      </c>
      <c r="H112" t="str">
        <f ca="1">IFERROR(__xludf.DUMMYFUNCTION("""COMPUTED_VALUE"""),"+3")</f>
        <v>+3</v>
      </c>
    </row>
    <row r="113" spans="1:8" ht="12.75">
      <c r="A113" t="str">
        <f ca="1">IFERROR(__xludf.DUMMYFUNCTION("""COMPUTED_VALUE"""),"T112")</f>
        <v>T112</v>
      </c>
      <c r="B113" t="str">
        <f ca="1">IFERROR(__xludf.DUMMYFUNCTION("""COMPUTED_VALUE"""),"T118")</f>
        <v>T118</v>
      </c>
      <c r="C113" t="str">
        <f ca="1">IFERROR(__xludf.DUMMYFUNCTION("""COMPUTED_VALUE"""),"Ryo Ishikawa")</f>
        <v>Ryo Ishikawa</v>
      </c>
      <c r="D113">
        <f ca="1">IFERROR(__xludf.DUMMYFUNCTION("""COMPUTED_VALUE"""),8)</f>
        <v>8</v>
      </c>
      <c r="E113" t="str">
        <f ca="1">IFERROR(__xludf.DUMMYFUNCTION("""COMPUTED_VALUE"""),"25' 3""")</f>
        <v>25' 3"</v>
      </c>
      <c r="F113">
        <f ca="1">IFERROR(__xludf.DUMMYFUNCTION("""COMPUTED_VALUE"""),505)</f>
        <v>505</v>
      </c>
      <c r="G113">
        <f ca="1">IFERROR(__xludf.DUMMYFUNCTION("""COMPUTED_VALUE"""),20)</f>
        <v>20</v>
      </c>
      <c r="H113" t="str">
        <f ca="1">IFERROR(__xludf.DUMMYFUNCTION("""COMPUTED_VALUE"""),"+3")</f>
        <v>+3</v>
      </c>
    </row>
    <row r="114" spans="1:8" ht="12.75">
      <c r="A114" t="str">
        <f ca="1">IFERROR(__xludf.DUMMYFUNCTION("""COMPUTED_VALUE"""),"T112")</f>
        <v>T112</v>
      </c>
      <c r="B114" t="str">
        <f ca="1">IFERROR(__xludf.DUMMYFUNCTION("""COMPUTED_VALUE"""),"T118")</f>
        <v>T118</v>
      </c>
      <c r="C114" t="str">
        <f ca="1">IFERROR(__xludf.DUMMYFUNCTION("""COMPUTED_VALUE"""),"Taylor Pendrith")</f>
        <v>Taylor Pendrith</v>
      </c>
      <c r="D114">
        <f ca="1">IFERROR(__xludf.DUMMYFUNCTION("""COMPUTED_VALUE"""),4)</f>
        <v>4</v>
      </c>
      <c r="E114" t="str">
        <f ca="1">IFERROR(__xludf.DUMMYFUNCTION("""COMPUTED_VALUE"""),"25' 3""")</f>
        <v>25' 3"</v>
      </c>
      <c r="F114">
        <f ca="1">IFERROR(__xludf.DUMMYFUNCTION("""COMPUTED_VALUE"""),227.167)</f>
        <v>227.167</v>
      </c>
      <c r="G114">
        <f ca="1">IFERROR(__xludf.DUMMYFUNCTION("""COMPUTED_VALUE"""),9)</f>
        <v>9</v>
      </c>
      <c r="H114" t="str">
        <f ca="1">IFERROR(__xludf.DUMMYFUNCTION("""COMPUTED_VALUE"""),"+1")</f>
        <v>+1</v>
      </c>
    </row>
    <row r="115" spans="1:8" ht="12.75">
      <c r="A115" t="str">
        <f ca="1">IFERROR(__xludf.DUMMYFUNCTION("""COMPUTED_VALUE"""),"T112")</f>
        <v>T112</v>
      </c>
      <c r="B115" t="str">
        <f ca="1">IFERROR(__xludf.DUMMYFUNCTION("""COMPUTED_VALUE"""),"T123")</f>
        <v>T123</v>
      </c>
      <c r="C115" t="str">
        <f ca="1">IFERROR(__xludf.DUMMYFUNCTION("""COMPUTED_VALUE"""),"Tyler Duncan")</f>
        <v>Tyler Duncan</v>
      </c>
      <c r="D115">
        <f ca="1">IFERROR(__xludf.DUMMYFUNCTION("""COMPUTED_VALUE"""),18)</f>
        <v>18</v>
      </c>
      <c r="E115" t="str">
        <f ca="1">IFERROR(__xludf.DUMMYFUNCTION("""COMPUTED_VALUE"""),"25' 3""")</f>
        <v>25' 3"</v>
      </c>
      <c r="F115" s="2">
        <f ca="1">IFERROR(__xludf.DUMMYFUNCTION("""COMPUTED_VALUE"""),1340.167)</f>
        <v>1340.1669999999999</v>
      </c>
      <c r="G115">
        <f ca="1">IFERROR(__xludf.DUMMYFUNCTION("""COMPUTED_VALUE"""),53)</f>
        <v>53</v>
      </c>
      <c r="H115" t="str">
        <f ca="1">IFERROR(__xludf.DUMMYFUNCTION("""COMPUTED_VALUE"""),"E")</f>
        <v>E</v>
      </c>
    </row>
    <row r="116" spans="1:8" ht="12.75">
      <c r="A116">
        <f ca="1">IFERROR(__xludf.DUMMYFUNCTION("""COMPUTED_VALUE"""),115)</f>
        <v>115</v>
      </c>
      <c r="B116" t="str">
        <f ca="1">IFERROR(__xludf.DUMMYFUNCTION("""COMPUTED_VALUE"""),"T133")</f>
        <v>T133</v>
      </c>
      <c r="C116" t="str">
        <f ca="1">IFERROR(__xludf.DUMMYFUNCTION("""COMPUTED_VALUE"""),"Sergio Garcia")</f>
        <v>Sergio Garcia</v>
      </c>
      <c r="D116">
        <f ca="1">IFERROR(__xludf.DUMMYFUNCTION("""COMPUTED_VALUE"""),18)</f>
        <v>18</v>
      </c>
      <c r="E116" t="str">
        <f ca="1">IFERROR(__xludf.DUMMYFUNCTION("""COMPUTED_VALUE"""),"25' 4""")</f>
        <v>25' 4"</v>
      </c>
      <c r="F116" s="2">
        <f ca="1">IFERROR(__xludf.DUMMYFUNCTION("""COMPUTED_VALUE"""),1089.417)</f>
        <v>1089.4169999999999</v>
      </c>
      <c r="G116">
        <f ca="1">IFERROR(__xludf.DUMMYFUNCTION("""COMPUTED_VALUE"""),43)</f>
        <v>43</v>
      </c>
      <c r="H116" t="str">
        <f ca="1">IFERROR(__xludf.DUMMYFUNCTION("""COMPUTED_VALUE"""),"+1")</f>
        <v>+1</v>
      </c>
    </row>
    <row r="117" spans="1:8" ht="12.75">
      <c r="A117" t="str">
        <f ca="1">IFERROR(__xludf.DUMMYFUNCTION("""COMPUTED_VALUE"""),"T116")</f>
        <v>T116</v>
      </c>
      <c r="B117" t="str">
        <f ca="1">IFERROR(__xludf.DUMMYFUNCTION("""COMPUTED_VALUE"""),"T118")</f>
        <v>T118</v>
      </c>
      <c r="C117" t="str">
        <f ca="1">IFERROR(__xludf.DUMMYFUNCTION("""COMPUTED_VALUE"""),"Charl Schwartzel")</f>
        <v>Charl Schwartzel</v>
      </c>
      <c r="D117">
        <f ca="1">IFERROR(__xludf.DUMMYFUNCTION("""COMPUTED_VALUE"""),12)</f>
        <v>12</v>
      </c>
      <c r="E117" t="str">
        <f ca="1">IFERROR(__xludf.DUMMYFUNCTION("""COMPUTED_VALUE"""),"25' 5""")</f>
        <v>25' 5"</v>
      </c>
      <c r="F117">
        <f ca="1">IFERROR(__xludf.DUMMYFUNCTION("""COMPUTED_VALUE"""),660.417)</f>
        <v>660.41700000000003</v>
      </c>
      <c r="G117">
        <f ca="1">IFERROR(__xludf.DUMMYFUNCTION("""COMPUTED_VALUE"""),26)</f>
        <v>26</v>
      </c>
      <c r="H117" t="str">
        <f ca="1">IFERROR(__xludf.DUMMYFUNCTION("""COMPUTED_VALUE"""),"+3")</f>
        <v>+3</v>
      </c>
    </row>
    <row r="118" spans="1:8" ht="12.75">
      <c r="A118" t="str">
        <f ca="1">IFERROR(__xludf.DUMMYFUNCTION("""COMPUTED_VALUE"""),"T116")</f>
        <v>T116</v>
      </c>
      <c r="B118" t="str">
        <f ca="1">IFERROR(__xludf.DUMMYFUNCTION("""COMPUTED_VALUE"""),"T126")</f>
        <v>T126</v>
      </c>
      <c r="C118" t="str">
        <f ca="1">IFERROR(__xludf.DUMMYFUNCTION("""COMPUTED_VALUE"""),"Zack Sucher")</f>
        <v>Zack Sucher</v>
      </c>
      <c r="D118">
        <f ca="1">IFERROR(__xludf.DUMMYFUNCTION("""COMPUTED_VALUE"""),6)</f>
        <v>6</v>
      </c>
      <c r="E118" t="str">
        <f ca="1">IFERROR(__xludf.DUMMYFUNCTION("""COMPUTED_VALUE"""),"25' 5""")</f>
        <v>25' 5"</v>
      </c>
      <c r="F118">
        <f ca="1">IFERROR(__xludf.DUMMYFUNCTION("""COMPUTED_VALUE"""),126.917)</f>
        <v>126.917</v>
      </c>
      <c r="G118">
        <f ca="1">IFERROR(__xludf.DUMMYFUNCTION("""COMPUTED_VALUE"""),5)</f>
        <v>5</v>
      </c>
      <c r="H118" t="str">
        <f ca="1">IFERROR(__xludf.DUMMYFUNCTION("""COMPUTED_VALUE"""),"E")</f>
        <v>E</v>
      </c>
    </row>
    <row r="119" spans="1:8" ht="12.75">
      <c r="A119" t="str">
        <f ca="1">IFERROR(__xludf.DUMMYFUNCTION("""COMPUTED_VALUE"""),"T116")</f>
        <v>T116</v>
      </c>
      <c r="B119" t="str">
        <f ca="1">IFERROR(__xludf.DUMMYFUNCTION("""COMPUTED_VALUE"""),"T161")</f>
        <v>T161</v>
      </c>
      <c r="C119" t="str">
        <f ca="1">IFERROR(__xludf.DUMMYFUNCTION("""COMPUTED_VALUE"""),"Kristoffer Ventura")</f>
        <v>Kristoffer Ventura</v>
      </c>
      <c r="D119">
        <f ca="1">IFERROR(__xludf.DUMMYFUNCTION("""COMPUTED_VALUE"""),20)</f>
        <v>20</v>
      </c>
      <c r="E119" t="str">
        <f ca="1">IFERROR(__xludf.DUMMYFUNCTION("""COMPUTED_VALUE"""),"25' 5""")</f>
        <v>25' 5"</v>
      </c>
      <c r="F119">
        <f ca="1">IFERROR(__xludf.DUMMYFUNCTION("""COMPUTED_VALUE"""),888.75)</f>
        <v>888.75</v>
      </c>
      <c r="G119">
        <f ca="1">IFERROR(__xludf.DUMMYFUNCTION("""COMPUTED_VALUE"""),35)</f>
        <v>35</v>
      </c>
      <c r="H119">
        <f ca="1">IFERROR(__xludf.DUMMYFUNCTION("""COMPUTED_VALUE"""),-3)</f>
        <v>-3</v>
      </c>
    </row>
    <row r="120" spans="1:8" ht="12.75">
      <c r="A120" t="str">
        <f ca="1">IFERROR(__xludf.DUMMYFUNCTION("""COMPUTED_VALUE"""),"T116")</f>
        <v>T116</v>
      </c>
      <c r="B120" t="str">
        <f ca="1">IFERROR(__xludf.DUMMYFUNCTION("""COMPUTED_VALUE"""),"T126")</f>
        <v>T126</v>
      </c>
      <c r="C120" t="str">
        <f ca="1">IFERROR(__xludf.DUMMYFUNCTION("""COMPUTED_VALUE"""),"Bryson DeChambeau")</f>
        <v>Bryson DeChambeau</v>
      </c>
      <c r="D120">
        <f ca="1">IFERROR(__xludf.DUMMYFUNCTION("""COMPUTED_VALUE"""),8)</f>
        <v>8</v>
      </c>
      <c r="E120" t="str">
        <f ca="1">IFERROR(__xludf.DUMMYFUNCTION("""COMPUTED_VALUE"""),"25' 5""")</f>
        <v>25' 5"</v>
      </c>
      <c r="F120">
        <f ca="1">IFERROR(__xludf.DUMMYFUNCTION("""COMPUTED_VALUE"""),533.5)</f>
        <v>533.5</v>
      </c>
      <c r="G120">
        <f ca="1">IFERROR(__xludf.DUMMYFUNCTION("""COMPUTED_VALUE"""),21)</f>
        <v>21</v>
      </c>
      <c r="H120">
        <f ca="1">IFERROR(__xludf.DUMMYFUNCTION("""COMPUTED_VALUE"""),-3)</f>
        <v>-3</v>
      </c>
    </row>
    <row r="121" spans="1:8" ht="12.75">
      <c r="A121">
        <f ca="1">IFERROR(__xludf.DUMMYFUNCTION("""COMPUTED_VALUE"""),120)</f>
        <v>120</v>
      </c>
      <c r="B121" t="str">
        <f ca="1">IFERROR(__xludf.DUMMYFUNCTION("""COMPUTED_VALUE"""),"T112")</f>
        <v>T112</v>
      </c>
      <c r="C121" t="str">
        <f ca="1">IFERROR(__xludf.DUMMYFUNCTION("""COMPUTED_VALUE"""),"Scottie Scheffler")</f>
        <v>Scottie Scheffler</v>
      </c>
      <c r="D121">
        <f ca="1">IFERROR(__xludf.DUMMYFUNCTION("""COMPUTED_VALUE"""),18)</f>
        <v>18</v>
      </c>
      <c r="E121" t="str">
        <f ca="1">IFERROR(__xludf.DUMMYFUNCTION("""COMPUTED_VALUE"""),"25' 6""")</f>
        <v>25' 6"</v>
      </c>
      <c r="F121" s="2">
        <f ca="1">IFERROR(__xludf.DUMMYFUNCTION("""COMPUTED_VALUE"""),1097.417)</f>
        <v>1097.4169999999999</v>
      </c>
      <c r="G121">
        <f ca="1">IFERROR(__xludf.DUMMYFUNCTION("""COMPUTED_VALUE"""),43)</f>
        <v>43</v>
      </c>
      <c r="H121">
        <f ca="1">IFERROR(__xludf.DUMMYFUNCTION("""COMPUTED_VALUE"""),-2)</f>
        <v>-2</v>
      </c>
    </row>
    <row r="122" spans="1:8" ht="12.75">
      <c r="A122" t="str">
        <f ca="1">IFERROR(__xludf.DUMMYFUNCTION("""COMPUTED_VALUE"""),"T121")</f>
        <v>T121</v>
      </c>
      <c r="B122" t="str">
        <f ca="1">IFERROR(__xludf.DUMMYFUNCTION("""COMPUTED_VALUE"""),"T157")</f>
        <v>T157</v>
      </c>
      <c r="C122" t="str">
        <f ca="1">IFERROR(__xludf.DUMMYFUNCTION("""COMPUTED_VALUE"""),"Mackenzie Hughes")</f>
        <v>Mackenzie Hughes</v>
      </c>
      <c r="D122">
        <f ca="1">IFERROR(__xludf.DUMMYFUNCTION("""COMPUTED_VALUE"""),18)</f>
        <v>18</v>
      </c>
      <c r="E122" t="str">
        <f ca="1">IFERROR(__xludf.DUMMYFUNCTION("""COMPUTED_VALUE"""),"25' 7""")</f>
        <v>25' 7"</v>
      </c>
      <c r="F122">
        <f ca="1">IFERROR(__xludf.DUMMYFUNCTION("""COMPUTED_VALUE"""),996.25)</f>
        <v>996.25</v>
      </c>
      <c r="G122">
        <f ca="1">IFERROR(__xludf.DUMMYFUNCTION("""COMPUTED_VALUE"""),39)</f>
        <v>39</v>
      </c>
      <c r="H122">
        <f ca="1">IFERROR(__xludf.DUMMYFUNCTION("""COMPUTED_VALUE"""),-7)</f>
        <v>-7</v>
      </c>
    </row>
    <row r="123" spans="1:8" ht="12.75">
      <c r="A123" t="str">
        <f ca="1">IFERROR(__xludf.DUMMYFUNCTION("""COMPUTED_VALUE"""),"T121")</f>
        <v>T121</v>
      </c>
      <c r="B123" t="str">
        <f ca="1">IFERROR(__xludf.DUMMYFUNCTION("""COMPUTED_VALUE"""),"T129")</f>
        <v>T129</v>
      </c>
      <c r="C123" t="str">
        <f ca="1">IFERROR(__xludf.DUMMYFUNCTION("""COMPUTED_VALUE"""),"Abraham Ancer")</f>
        <v>Abraham Ancer</v>
      </c>
      <c r="D123">
        <f ca="1">IFERROR(__xludf.DUMMYFUNCTION("""COMPUTED_VALUE"""),16)</f>
        <v>16</v>
      </c>
      <c r="E123" t="str">
        <f ca="1">IFERROR(__xludf.DUMMYFUNCTION("""COMPUTED_VALUE"""),"25' 7""")</f>
        <v>25' 7"</v>
      </c>
      <c r="F123" s="2">
        <f ca="1">IFERROR(__xludf.DUMMYFUNCTION("""COMPUTED_VALUE"""),1149.917)</f>
        <v>1149.9169999999999</v>
      </c>
      <c r="G123">
        <f ca="1">IFERROR(__xludf.DUMMYFUNCTION("""COMPUTED_VALUE"""),45)</f>
        <v>45</v>
      </c>
      <c r="H123" t="str">
        <f ca="1">IFERROR(__xludf.DUMMYFUNCTION("""COMPUTED_VALUE"""),"E")</f>
        <v>E</v>
      </c>
    </row>
    <row r="124" spans="1:8" ht="12.75">
      <c r="A124" t="str">
        <f ca="1">IFERROR(__xludf.DUMMYFUNCTION("""COMPUTED_VALUE"""),"T121")</f>
        <v>T121</v>
      </c>
      <c r="B124" t="str">
        <f ca="1">IFERROR(__xludf.DUMMYFUNCTION("""COMPUTED_VALUE"""),"T129")</f>
        <v>T129</v>
      </c>
      <c r="C124" t="str">
        <f ca="1">IFERROR(__xludf.DUMMYFUNCTION("""COMPUTED_VALUE"""),"Matt Wallace")</f>
        <v>Matt Wallace</v>
      </c>
      <c r="D124">
        <f ca="1">IFERROR(__xludf.DUMMYFUNCTION("""COMPUTED_VALUE"""),4)</f>
        <v>4</v>
      </c>
      <c r="E124" t="str">
        <f ca="1">IFERROR(__xludf.DUMMYFUNCTION("""COMPUTED_VALUE"""),"25' 7""")</f>
        <v>25' 7"</v>
      </c>
      <c r="F124">
        <f ca="1">IFERROR(__xludf.DUMMYFUNCTION("""COMPUTED_VALUE"""),332.75)</f>
        <v>332.75</v>
      </c>
      <c r="G124">
        <f ca="1">IFERROR(__xludf.DUMMYFUNCTION("""COMPUTED_VALUE"""),13)</f>
        <v>13</v>
      </c>
      <c r="H124" t="str">
        <f ca="1">IFERROR(__xludf.DUMMYFUNCTION("""COMPUTED_VALUE"""),"E")</f>
        <v>E</v>
      </c>
    </row>
    <row r="125" spans="1:8" ht="12.75">
      <c r="A125">
        <f ca="1">IFERROR(__xludf.DUMMYFUNCTION("""COMPUTED_VALUE"""),124)</f>
        <v>124</v>
      </c>
      <c r="B125">
        <f ca="1">IFERROR(__xludf.DUMMYFUNCTION("""COMPUTED_VALUE"""),131)</f>
        <v>131</v>
      </c>
      <c r="C125" t="str">
        <f ca="1">IFERROR(__xludf.DUMMYFUNCTION("""COMPUTED_VALUE"""),"Tyler McCumber")</f>
        <v>Tyler McCumber</v>
      </c>
      <c r="D125">
        <f ca="1">IFERROR(__xludf.DUMMYFUNCTION("""COMPUTED_VALUE"""),14)</f>
        <v>14</v>
      </c>
      <c r="E125" t="str">
        <f ca="1">IFERROR(__xludf.DUMMYFUNCTION("""COMPUTED_VALUE"""),"25' 8""")</f>
        <v>25' 8"</v>
      </c>
      <c r="F125">
        <f ca="1">IFERROR(__xludf.DUMMYFUNCTION("""COMPUTED_VALUE"""),436)</f>
        <v>436</v>
      </c>
      <c r="G125">
        <f ca="1">IFERROR(__xludf.DUMMYFUNCTION("""COMPUTED_VALUE"""),17)</f>
        <v>17</v>
      </c>
      <c r="H125">
        <f ca="1">IFERROR(__xludf.DUMMYFUNCTION("""COMPUTED_VALUE"""),-1)</f>
        <v>-1</v>
      </c>
    </row>
    <row r="126" spans="1:8" ht="12.75">
      <c r="A126" t="str">
        <f ca="1">IFERROR(__xludf.DUMMYFUNCTION("""COMPUTED_VALUE"""),"T125")</f>
        <v>T125</v>
      </c>
      <c r="B126" t="str">
        <f ca="1">IFERROR(__xludf.DUMMYFUNCTION("""COMPUTED_VALUE"""),"T83")</f>
        <v>T83</v>
      </c>
      <c r="C126" t="str">
        <f ca="1">IFERROR(__xludf.DUMMYFUNCTION("""COMPUTED_VALUE"""),"D.A. Points")</f>
        <v>D.A. Points</v>
      </c>
      <c r="D126">
        <f ca="1">IFERROR(__xludf.DUMMYFUNCTION("""COMPUTED_VALUE"""),12)</f>
        <v>12</v>
      </c>
      <c r="E126" t="str">
        <f ca="1">IFERROR(__xludf.DUMMYFUNCTION("""COMPUTED_VALUE"""),"25' 9""")</f>
        <v>25' 9"</v>
      </c>
      <c r="F126">
        <f ca="1">IFERROR(__xludf.DUMMYFUNCTION("""COMPUTED_VALUE"""),462.75)</f>
        <v>462.75</v>
      </c>
      <c r="G126">
        <f ca="1">IFERROR(__xludf.DUMMYFUNCTION("""COMPUTED_VALUE"""),18)</f>
        <v>18</v>
      </c>
      <c r="H126">
        <f ca="1">IFERROR(__xludf.DUMMYFUNCTION("""COMPUTED_VALUE"""),-1)</f>
        <v>-1</v>
      </c>
    </row>
    <row r="127" spans="1:8" ht="12.75">
      <c r="A127" t="str">
        <f ca="1">IFERROR(__xludf.DUMMYFUNCTION("""COMPUTED_VALUE"""),"T125")</f>
        <v>T125</v>
      </c>
      <c r="B127" t="str">
        <f ca="1">IFERROR(__xludf.DUMMYFUNCTION("""COMPUTED_VALUE"""),"T142")</f>
        <v>T142</v>
      </c>
      <c r="C127" t="str">
        <f ca="1">IFERROR(__xludf.DUMMYFUNCTION("""COMPUTED_VALUE"""),"Erik van Rooyen")</f>
        <v>Erik van Rooyen</v>
      </c>
      <c r="D127">
        <f ca="1">IFERROR(__xludf.DUMMYFUNCTION("""COMPUTED_VALUE"""),10)</f>
        <v>10</v>
      </c>
      <c r="E127" t="str">
        <f ca="1">IFERROR(__xludf.DUMMYFUNCTION("""COMPUTED_VALUE"""),"25' 9""")</f>
        <v>25' 9"</v>
      </c>
      <c r="F127">
        <f ca="1">IFERROR(__xludf.DUMMYFUNCTION("""COMPUTED_VALUE"""),696.333)</f>
        <v>696.33299999999997</v>
      </c>
      <c r="G127">
        <f ca="1">IFERROR(__xludf.DUMMYFUNCTION("""COMPUTED_VALUE"""),27)</f>
        <v>27</v>
      </c>
      <c r="H127">
        <f ca="1">IFERROR(__xludf.DUMMYFUNCTION("""COMPUTED_VALUE"""),-2)</f>
        <v>-2</v>
      </c>
    </row>
    <row r="128" spans="1:8" ht="12.75">
      <c r="A128" t="str">
        <f ca="1">IFERROR(__xludf.DUMMYFUNCTION("""COMPUTED_VALUE"""),"T127")</f>
        <v>T127</v>
      </c>
      <c r="B128" t="str">
        <f ca="1">IFERROR(__xludf.DUMMYFUNCTION("""COMPUTED_VALUE"""),"T123")</f>
        <v>T123</v>
      </c>
      <c r="C128" t="str">
        <f ca="1">IFERROR(__xludf.DUMMYFUNCTION("""COMPUTED_VALUE"""),"Hudson Swafford")</f>
        <v>Hudson Swafford</v>
      </c>
      <c r="D128">
        <f ca="1">IFERROR(__xludf.DUMMYFUNCTION("""COMPUTED_VALUE"""),18)</f>
        <v>18</v>
      </c>
      <c r="E128" t="str">
        <f ca="1">IFERROR(__xludf.DUMMYFUNCTION("""COMPUTED_VALUE"""),"25' 10""")</f>
        <v>25' 10"</v>
      </c>
      <c r="F128">
        <f ca="1">IFERROR(__xludf.DUMMYFUNCTION("""COMPUTED_VALUE"""),490.667)</f>
        <v>490.66699999999997</v>
      </c>
      <c r="G128">
        <f ca="1">IFERROR(__xludf.DUMMYFUNCTION("""COMPUTED_VALUE"""),19)</f>
        <v>19</v>
      </c>
      <c r="H128" t="str">
        <f ca="1">IFERROR(__xludf.DUMMYFUNCTION("""COMPUTED_VALUE"""),"E")</f>
        <v>E</v>
      </c>
    </row>
    <row r="129" spans="1:8" ht="12.75">
      <c r="A129" t="str">
        <f ca="1">IFERROR(__xludf.DUMMYFUNCTION("""COMPUTED_VALUE"""),"T127")</f>
        <v>T127</v>
      </c>
      <c r="B129" t="str">
        <f ca="1">IFERROR(__xludf.DUMMYFUNCTION("""COMPUTED_VALUE"""),"T133")</f>
        <v>T133</v>
      </c>
      <c r="C129" t="str">
        <f ca="1">IFERROR(__xludf.DUMMYFUNCTION("""COMPUTED_VALUE"""),"Daniel Berger")</f>
        <v>Daniel Berger</v>
      </c>
      <c r="D129">
        <f ca="1">IFERROR(__xludf.DUMMYFUNCTION("""COMPUTED_VALUE"""),12)</f>
        <v>12</v>
      </c>
      <c r="E129" t="str">
        <f ca="1">IFERROR(__xludf.DUMMYFUNCTION("""COMPUTED_VALUE"""),"25' 10""")</f>
        <v>25' 10"</v>
      </c>
      <c r="F129">
        <f ca="1">IFERROR(__xludf.DUMMYFUNCTION("""COMPUTED_VALUE"""),903.583)</f>
        <v>903.58299999999997</v>
      </c>
      <c r="G129">
        <f ca="1">IFERROR(__xludf.DUMMYFUNCTION("""COMPUTED_VALUE"""),35)</f>
        <v>35</v>
      </c>
      <c r="H129">
        <f ca="1">IFERROR(__xludf.DUMMYFUNCTION("""COMPUTED_VALUE"""),-4)</f>
        <v>-4</v>
      </c>
    </row>
    <row r="130" spans="1:8" ht="12.75">
      <c r="A130" t="str">
        <f ca="1">IFERROR(__xludf.DUMMYFUNCTION("""COMPUTED_VALUE"""),"T129")</f>
        <v>T129</v>
      </c>
      <c r="B130" t="str">
        <f ca="1">IFERROR(__xludf.DUMMYFUNCTION("""COMPUTED_VALUE"""),"T164")</f>
        <v>T164</v>
      </c>
      <c r="C130" t="str">
        <f ca="1">IFERROR(__xludf.DUMMYFUNCTION("""COMPUTED_VALUE"""),"Keegan Bradley")</f>
        <v>Keegan Bradley</v>
      </c>
      <c r="D130">
        <f ca="1">IFERROR(__xludf.DUMMYFUNCTION("""COMPUTED_VALUE"""),16)</f>
        <v>16</v>
      </c>
      <c r="E130" t="str">
        <f ca="1">IFERROR(__xludf.DUMMYFUNCTION("""COMPUTED_VALUE"""),"25' 11""")</f>
        <v>25' 11"</v>
      </c>
      <c r="F130" s="2">
        <f ca="1">IFERROR(__xludf.DUMMYFUNCTION("""COMPUTED_VALUE"""),1244.167)</f>
        <v>1244.1669999999999</v>
      </c>
      <c r="G130">
        <f ca="1">IFERROR(__xludf.DUMMYFUNCTION("""COMPUTED_VALUE"""),48)</f>
        <v>48</v>
      </c>
      <c r="H130" t="str">
        <f ca="1">IFERROR(__xludf.DUMMYFUNCTION("""COMPUTED_VALUE"""),"+5")</f>
        <v>+5</v>
      </c>
    </row>
    <row r="131" spans="1:8" ht="12.75">
      <c r="A131" t="str">
        <f ca="1">IFERROR(__xludf.DUMMYFUNCTION("""COMPUTED_VALUE"""),"T129")</f>
        <v>T129</v>
      </c>
      <c r="B131" t="str">
        <f ca="1">IFERROR(__xludf.DUMMYFUNCTION("""COMPUTED_VALUE"""),"T118")</f>
        <v>T118</v>
      </c>
      <c r="C131" t="str">
        <f ca="1">IFERROR(__xludf.DUMMYFUNCTION("""COMPUTED_VALUE"""),"Adam Schenk")</f>
        <v>Adam Schenk</v>
      </c>
      <c r="D131">
        <f ca="1">IFERROR(__xludf.DUMMYFUNCTION("""COMPUTED_VALUE"""),22)</f>
        <v>22</v>
      </c>
      <c r="E131" t="str">
        <f ca="1">IFERROR(__xludf.DUMMYFUNCTION("""COMPUTED_VALUE"""),"25' 11""")</f>
        <v>25' 11"</v>
      </c>
      <c r="F131">
        <f ca="1">IFERROR(__xludf.DUMMYFUNCTION("""COMPUTED_VALUE"""),932.5)</f>
        <v>932.5</v>
      </c>
      <c r="G131">
        <f ca="1">IFERROR(__xludf.DUMMYFUNCTION("""COMPUTED_VALUE"""),36)</f>
        <v>36</v>
      </c>
      <c r="H131">
        <f ca="1">IFERROR(__xludf.DUMMYFUNCTION("""COMPUTED_VALUE"""),-4)</f>
        <v>-4</v>
      </c>
    </row>
    <row r="132" spans="1:8" ht="12.75">
      <c r="A132" t="str">
        <f ca="1">IFERROR(__xludf.DUMMYFUNCTION("""COMPUTED_VALUE"""),"T131")</f>
        <v>T131</v>
      </c>
      <c r="B132" t="str">
        <f ca="1">IFERROR(__xludf.DUMMYFUNCTION("""COMPUTED_VALUE"""),"T135")</f>
        <v>T135</v>
      </c>
      <c r="C132" t="str">
        <f ca="1">IFERROR(__xludf.DUMMYFUNCTION("""COMPUTED_VALUE"""),"Aaron Baddeley")</f>
        <v>Aaron Baddeley</v>
      </c>
      <c r="D132">
        <f ca="1">IFERROR(__xludf.DUMMYFUNCTION("""COMPUTED_VALUE"""),8)</f>
        <v>8</v>
      </c>
      <c r="E132" t="str">
        <f ca="1">IFERROR(__xludf.DUMMYFUNCTION("""COMPUTED_VALUE"""),"26' 0""")</f>
        <v>26' 0"</v>
      </c>
      <c r="F132">
        <f ca="1">IFERROR(__xludf.DUMMYFUNCTION("""COMPUTED_VALUE"""),233.917)</f>
        <v>233.917</v>
      </c>
      <c r="G132">
        <f ca="1">IFERROR(__xludf.DUMMYFUNCTION("""COMPUTED_VALUE"""),9)</f>
        <v>9</v>
      </c>
      <c r="H132" t="str">
        <f ca="1">IFERROR(__xludf.DUMMYFUNCTION("""COMPUTED_VALUE"""),"E")</f>
        <v>E</v>
      </c>
    </row>
    <row r="133" spans="1:8" ht="12.75">
      <c r="A133" t="str">
        <f ca="1">IFERROR(__xludf.DUMMYFUNCTION("""COMPUTED_VALUE"""),"T131")</f>
        <v>T131</v>
      </c>
      <c r="B133" t="str">
        <f ca="1">IFERROR(__xludf.DUMMYFUNCTION("""COMPUTED_VALUE"""),"T135")</f>
        <v>T135</v>
      </c>
      <c r="C133" t="str">
        <f ca="1">IFERROR(__xludf.DUMMYFUNCTION("""COMPUTED_VALUE"""),"Jason Kokrak")</f>
        <v>Jason Kokrak</v>
      </c>
      <c r="D133">
        <f ca="1">IFERROR(__xludf.DUMMYFUNCTION("""COMPUTED_VALUE"""),14)</f>
        <v>14</v>
      </c>
      <c r="E133" t="str">
        <f ca="1">IFERROR(__xludf.DUMMYFUNCTION("""COMPUTED_VALUE"""),"26' 0""")</f>
        <v>26' 0"</v>
      </c>
      <c r="F133" s="2">
        <f ca="1">IFERROR(__xludf.DUMMYFUNCTION("""COMPUTED_VALUE"""),1246.25)</f>
        <v>1246.25</v>
      </c>
      <c r="G133">
        <f ca="1">IFERROR(__xludf.DUMMYFUNCTION("""COMPUTED_VALUE"""),48)</f>
        <v>48</v>
      </c>
      <c r="H133">
        <f ca="1">IFERROR(__xludf.DUMMYFUNCTION("""COMPUTED_VALUE"""),-8)</f>
        <v>-8</v>
      </c>
    </row>
    <row r="134" spans="1:8" ht="12.75">
      <c r="A134" t="str">
        <f ca="1">IFERROR(__xludf.DUMMYFUNCTION("""COMPUTED_VALUE"""),"T131")</f>
        <v>T131</v>
      </c>
      <c r="B134" t="str">
        <f ca="1">IFERROR(__xludf.DUMMYFUNCTION("""COMPUTED_VALUE"""),"T71")</f>
        <v>T71</v>
      </c>
      <c r="C134" t="str">
        <f ca="1">IFERROR(__xludf.DUMMYFUNCTION("""COMPUTED_VALUE"""),"Russell Knox")</f>
        <v>Russell Knox</v>
      </c>
      <c r="D134">
        <f ca="1">IFERROR(__xludf.DUMMYFUNCTION("""COMPUTED_VALUE"""),16)</f>
        <v>16</v>
      </c>
      <c r="E134" t="str">
        <f ca="1">IFERROR(__xludf.DUMMYFUNCTION("""COMPUTED_VALUE"""),"26' 0""")</f>
        <v>26' 0"</v>
      </c>
      <c r="F134">
        <f ca="1">IFERROR(__xludf.DUMMYFUNCTION("""COMPUTED_VALUE"""),937.333)</f>
        <v>937.33299999999997</v>
      </c>
      <c r="G134">
        <f ca="1">IFERROR(__xludf.DUMMYFUNCTION("""COMPUTED_VALUE"""),36)</f>
        <v>36</v>
      </c>
      <c r="H134">
        <f ca="1">IFERROR(__xludf.DUMMYFUNCTION("""COMPUTED_VALUE"""),-4)</f>
        <v>-4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IFERROR(__xludf.DUMMYFUNCTION("""COMPUTED_VALUE"""),"T90")</f>
        <v>T90</v>
      </c>
      <c r="C135" t="str">
        <f ca="1">IFERROR(__xludf.DUMMYFUNCTION("""COMPUTED_VALUE"""),"Lucas Glover")</f>
        <v>Lucas Glover</v>
      </c>
      <c r="D135">
        <f ca="1">IFERROR(__xludf.DUMMYFUNCTION("""COMPUTED_VALUE"""),12)</f>
        <v>12</v>
      </c>
      <c r="E135" t="str">
        <f ca="1">IFERROR(__xludf.DUMMYFUNCTION("""COMPUTED_VALUE"""),"26' 1""")</f>
        <v>26' 1"</v>
      </c>
      <c r="F135">
        <f ca="1">IFERROR(__xludf.DUMMYFUNCTION("""COMPUTED_VALUE"""),651.75)</f>
        <v>651.75</v>
      </c>
      <c r="G135">
        <f ca="1">IFERROR(__xludf.DUMMYFUNCTION("""COMPUTED_VALUE"""),25)</f>
        <v>25</v>
      </c>
      <c r="H135" t="str">
        <f ca="1">IFERROR(__xludf.DUMMYFUNCTION("""COMPUTED_VALUE"""),"+1")</f>
        <v>+1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IFERROR(__xludf.DUMMYFUNCTION("""COMPUTED_VALUE"""),"T138")</f>
        <v>T138</v>
      </c>
      <c r="C136" t="str">
        <f ca="1">IFERROR(__xludf.DUMMYFUNCTION("""COMPUTED_VALUE"""),"Billy Horschel")</f>
        <v>Billy Horschel</v>
      </c>
      <c r="D136">
        <f ca="1">IFERROR(__xludf.DUMMYFUNCTION("""COMPUTED_VALUE"""),12)</f>
        <v>12</v>
      </c>
      <c r="E136" t="str">
        <f ca="1">IFERROR(__xludf.DUMMYFUNCTION("""COMPUTED_VALUE"""),"26' 1""")</f>
        <v>26' 1"</v>
      </c>
      <c r="F136">
        <f ca="1">IFERROR(__xludf.DUMMYFUNCTION("""COMPUTED_VALUE"""),989.833)</f>
        <v>989.83299999999997</v>
      </c>
      <c r="G136">
        <f ca="1">IFERROR(__xludf.DUMMYFUNCTION("""COMPUTED_VALUE"""),38)</f>
        <v>38</v>
      </c>
      <c r="H136">
        <f ca="1">IFERROR(__xludf.DUMMYFUNCTION("""COMPUTED_VALUE"""),-3)</f>
        <v>-3</v>
      </c>
    </row>
    <row r="137" spans="1:8" ht="12.75">
      <c r="A137" t="str">
        <f ca="1">IFERROR(__xludf.DUMMYFUNCTION("""COMPUTED_VALUE"""),"T134")</f>
        <v>T134</v>
      </c>
      <c r="B137" t="str">
        <f ca="1">IFERROR(__xludf.DUMMYFUNCTION("""COMPUTED_VALUE"""),"T161")</f>
        <v>T161</v>
      </c>
      <c r="C137" t="str">
        <f ca="1">IFERROR(__xludf.DUMMYFUNCTION("""COMPUTED_VALUE"""),"Kyoung-Hoon Lee")</f>
        <v>Kyoung-Hoon Lee</v>
      </c>
      <c r="D137">
        <f ca="1">IFERROR(__xludf.DUMMYFUNCTION("""COMPUTED_VALUE"""),20)</f>
        <v>20</v>
      </c>
      <c r="E137" t="str">
        <f ca="1">IFERROR(__xludf.DUMMYFUNCTION("""COMPUTED_VALUE"""),"26' 1""")</f>
        <v>26' 1"</v>
      </c>
      <c r="F137">
        <f ca="1">IFERROR(__xludf.DUMMYFUNCTION("""COMPUTED_VALUE"""),913.083)</f>
        <v>913.08299999999997</v>
      </c>
      <c r="G137">
        <f ca="1">IFERROR(__xludf.DUMMYFUNCTION("""COMPUTED_VALUE"""),35)</f>
        <v>35</v>
      </c>
      <c r="H137">
        <f ca="1">IFERROR(__xludf.DUMMYFUNCTION("""COMPUTED_VALUE"""),-3)</f>
        <v>-3</v>
      </c>
    </row>
    <row r="138" spans="1:8" ht="12.75">
      <c r="A138" t="str">
        <f ca="1">IFERROR(__xludf.DUMMYFUNCTION("""COMPUTED_VALUE"""),"T137")</f>
        <v>T137</v>
      </c>
      <c r="B138" t="str">
        <f ca="1">IFERROR(__xludf.DUMMYFUNCTION("""COMPUTED_VALUE"""),"T147")</f>
        <v>T147</v>
      </c>
      <c r="C138" t="str">
        <f ca="1">IFERROR(__xludf.DUMMYFUNCTION("""COMPUTED_VALUE"""),"Michael Thompson")</f>
        <v>Michael Thompson</v>
      </c>
      <c r="D138">
        <f ca="1">IFERROR(__xludf.DUMMYFUNCTION("""COMPUTED_VALUE"""),16)</f>
        <v>16</v>
      </c>
      <c r="E138" t="str">
        <f ca="1">IFERROR(__xludf.DUMMYFUNCTION("""COMPUTED_VALUE"""),"26' 2""")</f>
        <v>26' 2"</v>
      </c>
      <c r="F138" s="2">
        <f ca="1">IFERROR(__xludf.DUMMYFUNCTION("""COMPUTED_VALUE"""),1384.833)</f>
        <v>1384.8330000000001</v>
      </c>
      <c r="G138">
        <f ca="1">IFERROR(__xludf.DUMMYFUNCTION("""COMPUTED_VALUE"""),53)</f>
        <v>53</v>
      </c>
      <c r="H138">
        <f ca="1">IFERROR(__xludf.DUMMYFUNCTION("""COMPUTED_VALUE"""),-1)</f>
        <v>-1</v>
      </c>
    </row>
    <row r="139" spans="1:8" ht="12.75">
      <c r="A139" t="str">
        <f ca="1">IFERROR(__xludf.DUMMYFUNCTION("""COMPUTED_VALUE"""),"T137")</f>
        <v>T137</v>
      </c>
      <c r="B139" t="str">
        <f ca="1">IFERROR(__xludf.DUMMYFUNCTION("""COMPUTED_VALUE"""),"T76")</f>
        <v>T76</v>
      </c>
      <c r="C139" t="str">
        <f ca="1">IFERROR(__xludf.DUMMYFUNCTION("""COMPUTED_VALUE"""),"Grayson Murray")</f>
        <v>Grayson Murray</v>
      </c>
      <c r="D139">
        <f ca="1">IFERROR(__xludf.DUMMYFUNCTION("""COMPUTED_VALUE"""),10)</f>
        <v>10</v>
      </c>
      <c r="E139" t="str">
        <f ca="1">IFERROR(__xludf.DUMMYFUNCTION("""COMPUTED_VALUE"""),"26' 2""")</f>
        <v>26' 2"</v>
      </c>
      <c r="F139">
        <f ca="1">IFERROR(__xludf.DUMMYFUNCTION("""COMPUTED_VALUE"""),314.333)</f>
        <v>314.33300000000003</v>
      </c>
      <c r="G139">
        <f ca="1">IFERROR(__xludf.DUMMYFUNCTION("""COMPUTED_VALUE"""),12)</f>
        <v>12</v>
      </c>
      <c r="H139" t="str">
        <f ca="1">IFERROR(__xludf.DUMMYFUNCTION("""COMPUTED_VALUE"""),"+1")</f>
        <v>+1</v>
      </c>
    </row>
    <row r="140" spans="1:8" ht="12.75">
      <c r="A140" t="str">
        <f ca="1">IFERROR(__xludf.DUMMYFUNCTION("""COMPUTED_VALUE"""),"T137")</f>
        <v>T137</v>
      </c>
      <c r="B140" t="str">
        <f ca="1">IFERROR(__xludf.DUMMYFUNCTION("""COMPUTED_VALUE"""),"T169")</f>
        <v>T169</v>
      </c>
      <c r="C140" t="str">
        <f ca="1">IFERROR(__xludf.DUMMYFUNCTION("""COMPUTED_VALUE"""),"Harold Varner III")</f>
        <v>Harold Varner III</v>
      </c>
      <c r="D140">
        <f ca="1">IFERROR(__xludf.DUMMYFUNCTION("""COMPUTED_VALUE"""),14)</f>
        <v>14</v>
      </c>
      <c r="E140" t="str">
        <f ca="1">IFERROR(__xludf.DUMMYFUNCTION("""COMPUTED_VALUE"""),"26' 2""")</f>
        <v>26' 2"</v>
      </c>
      <c r="F140">
        <f ca="1">IFERROR(__xludf.DUMMYFUNCTION("""COMPUTED_VALUE"""),679.25)</f>
        <v>679.25</v>
      </c>
      <c r="G140">
        <f ca="1">IFERROR(__xludf.DUMMYFUNCTION("""COMPUTED_VALUE"""),26)</f>
        <v>26</v>
      </c>
      <c r="H140">
        <f ca="1">IFERROR(__xludf.DUMMYFUNCTION("""COMPUTED_VALUE"""),-2)</f>
        <v>-2</v>
      </c>
    </row>
    <row r="141" spans="1:8" ht="12.75">
      <c r="A141" t="str">
        <f ca="1">IFERROR(__xludf.DUMMYFUNCTION("""COMPUTED_VALUE"""),"T137")</f>
        <v>T137</v>
      </c>
      <c r="B141" t="str">
        <f ca="1">IFERROR(__xludf.DUMMYFUNCTION("""COMPUTED_VALUE"""),"T140")</f>
        <v>T140</v>
      </c>
      <c r="C141" t="str">
        <f ca="1">IFERROR(__xludf.DUMMYFUNCTION("""COMPUTED_VALUE"""),"Rikuya Hoshino")</f>
        <v>Rikuya Hoshino</v>
      </c>
      <c r="D141">
        <f ca="1">IFERROR(__xludf.DUMMYFUNCTION("""COMPUTED_VALUE"""),4)</f>
        <v>4</v>
      </c>
      <c r="E141" t="str">
        <f ca="1">IFERROR(__xludf.DUMMYFUNCTION("""COMPUTED_VALUE"""),"26' 2""")</f>
        <v>26' 2"</v>
      </c>
      <c r="F141">
        <f ca="1">IFERROR(__xludf.DUMMYFUNCTION("""COMPUTED_VALUE"""),340)</f>
        <v>340</v>
      </c>
      <c r="G141">
        <f ca="1">IFERROR(__xludf.DUMMYFUNCTION("""COMPUTED_VALUE"""),13)</f>
        <v>13</v>
      </c>
      <c r="H141" t="str">
        <f ca="1">IFERROR(__xludf.DUMMYFUNCTION("""COMPUTED_VALUE"""),"+2")</f>
        <v>+2</v>
      </c>
    </row>
    <row r="142" spans="1:8" ht="12.75">
      <c r="A142" t="str">
        <f ca="1">IFERROR(__xludf.DUMMYFUNCTION("""COMPUTED_VALUE"""),"T137")</f>
        <v>T137</v>
      </c>
      <c r="B142" t="str">
        <f ca="1">IFERROR(__xludf.DUMMYFUNCTION("""COMPUTED_VALUE"""),"T140")</f>
        <v>T140</v>
      </c>
      <c r="C142" t="str">
        <f ca="1">IFERROR(__xludf.DUMMYFUNCTION("""COMPUTED_VALUE"""),"Doug Ghim")</f>
        <v>Doug Ghim</v>
      </c>
      <c r="D142">
        <f ca="1">IFERROR(__xludf.DUMMYFUNCTION("""COMPUTED_VALUE"""),14)</f>
        <v>14</v>
      </c>
      <c r="E142" t="str">
        <f ca="1">IFERROR(__xludf.DUMMYFUNCTION("""COMPUTED_VALUE"""),"26' 2""")</f>
        <v>26' 2"</v>
      </c>
      <c r="F142">
        <f ca="1">IFERROR(__xludf.DUMMYFUNCTION("""COMPUTED_VALUE"""),340)</f>
        <v>340</v>
      </c>
      <c r="G142">
        <f ca="1">IFERROR(__xludf.DUMMYFUNCTION("""COMPUTED_VALUE"""),13)</f>
        <v>13</v>
      </c>
      <c r="H142">
        <f ca="1">IFERROR(__xludf.DUMMYFUNCTION("""COMPUTED_VALUE"""),-3)</f>
        <v>-3</v>
      </c>
    </row>
    <row r="143" spans="1:8" ht="12.75">
      <c r="A143" t="str">
        <f ca="1">IFERROR(__xludf.DUMMYFUNCTION("""COMPUTED_VALUE"""),"T142")</f>
        <v>T142</v>
      </c>
      <c r="B143" t="str">
        <f ca="1">IFERROR(__xludf.DUMMYFUNCTION("""COMPUTED_VALUE"""),"")</f>
        <v/>
      </c>
      <c r="C143" t="str">
        <f ca="1">IFERROR(__xludf.DUMMYFUNCTION("""COMPUTED_VALUE"""),"Francesco Molinari")</f>
        <v>Francesco Molinari</v>
      </c>
      <c r="D143">
        <f ca="1">IFERROR(__xludf.DUMMYFUNCTION("""COMPUTED_VALUE"""),6)</f>
        <v>6</v>
      </c>
      <c r="E143" t="str">
        <f ca="1">IFERROR(__xludf.DUMMYFUNCTION("""COMPUTED_VALUE"""),"26' 3""")</f>
        <v>26' 3"</v>
      </c>
      <c r="F143">
        <f ca="1">IFERROR(__xludf.DUMMYFUNCTION("""COMPUTED_VALUE"""),550.75)</f>
        <v>550.75</v>
      </c>
      <c r="G143">
        <f ca="1">IFERROR(__xludf.DUMMYFUNCTION("""COMPUTED_VALUE"""),21)</f>
        <v>21</v>
      </c>
      <c r="H143">
        <f ca="1">IFERROR(__xludf.DUMMYFUNCTION("""COMPUTED_VALUE"""),-1)</f>
        <v>-1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IFERROR(__xludf.DUMMYFUNCTION("""COMPUTED_VALUE"""),"T179")</f>
        <v>T179</v>
      </c>
      <c r="C144" t="str">
        <f ca="1">IFERROR(__xludf.DUMMYFUNCTION("""COMPUTED_VALUE"""),"Matt Jones")</f>
        <v>Matt Jones</v>
      </c>
      <c r="D144">
        <f ca="1">IFERROR(__xludf.DUMMYFUNCTION("""COMPUTED_VALUE"""),20)</f>
        <v>20</v>
      </c>
      <c r="E144" t="str">
        <f ca="1">IFERROR(__xludf.DUMMYFUNCTION("""COMPUTED_VALUE"""),"26' 3""")</f>
        <v>26' 3"</v>
      </c>
      <c r="F144">
        <f ca="1">IFERROR(__xludf.DUMMYFUNCTION("""COMPUTED_VALUE"""),683.5)</f>
        <v>683.5</v>
      </c>
      <c r="G144">
        <f ca="1">IFERROR(__xludf.DUMMYFUNCTION("""COMPUTED_VALUE"""),26)</f>
        <v>26</v>
      </c>
      <c r="H144" t="str">
        <f ca="1">IFERROR(__xludf.DUMMYFUNCTION("""COMPUTED_VALUE"""),"E")</f>
        <v>E</v>
      </c>
    </row>
    <row r="145" spans="1:8" ht="12.75">
      <c r="A145" t="str">
        <f ca="1">IFERROR(__xludf.DUMMYFUNCTION("""COMPUTED_VALUE"""),"T142")</f>
        <v>T142</v>
      </c>
      <c r="B145" t="str">
        <f ca="1">IFERROR(__xludf.DUMMYFUNCTION("""COMPUTED_VALUE"""),"T142")</f>
        <v>T142</v>
      </c>
      <c r="C145" t="str">
        <f ca="1">IFERROR(__xludf.DUMMYFUNCTION("""COMPUTED_VALUE"""),"Rory McIlroy")</f>
        <v>Rory McIlroy</v>
      </c>
      <c r="D145">
        <f ca="1">IFERROR(__xludf.DUMMYFUNCTION("""COMPUTED_VALUE"""),12)</f>
        <v>12</v>
      </c>
      <c r="E145" t="str">
        <f ca="1">IFERROR(__xludf.DUMMYFUNCTION("""COMPUTED_VALUE"""),"26' 3""")</f>
        <v>26' 3"</v>
      </c>
      <c r="F145" s="2">
        <f ca="1">IFERROR(__xludf.DUMMYFUNCTION("""COMPUTED_VALUE"""),1129.833)</f>
        <v>1129.8330000000001</v>
      </c>
      <c r="G145">
        <f ca="1">IFERROR(__xludf.DUMMYFUNCTION("""COMPUTED_VALUE"""),43)</f>
        <v>43</v>
      </c>
      <c r="H145">
        <f ca="1">IFERROR(__xludf.DUMMYFUNCTION("""COMPUTED_VALUE"""),-9)</f>
        <v>-9</v>
      </c>
    </row>
    <row r="146" spans="1:8" ht="12.75">
      <c r="A146" t="str">
        <f ca="1">IFERROR(__xludf.DUMMYFUNCTION("""COMPUTED_VALUE"""),"T142")</f>
        <v>T142</v>
      </c>
      <c r="B146" t="str">
        <f ca="1">IFERROR(__xludf.DUMMYFUNCTION("""COMPUTED_VALUE"""),"T142")</f>
        <v>T142</v>
      </c>
      <c r="C146" t="str">
        <f ca="1">IFERROR(__xludf.DUMMYFUNCTION("""COMPUTED_VALUE"""),"Romain Langasque")</f>
        <v>Romain Langasque</v>
      </c>
      <c r="D146">
        <f ca="1">IFERROR(__xludf.DUMMYFUNCTION("""COMPUTED_VALUE"""),4)</f>
        <v>4</v>
      </c>
      <c r="E146" t="str">
        <f ca="1">IFERROR(__xludf.DUMMYFUNCTION("""COMPUTED_VALUE"""),"26' 3""")</f>
        <v>26' 3"</v>
      </c>
      <c r="F146">
        <f ca="1">IFERROR(__xludf.DUMMYFUNCTION("""COMPUTED_VALUE"""),209.833)</f>
        <v>209.833</v>
      </c>
      <c r="G146">
        <f ca="1">IFERROR(__xludf.DUMMYFUNCTION("""COMPUTED_VALUE"""),8)</f>
        <v>8</v>
      </c>
      <c r="H146" t="str">
        <f ca="1">IFERROR(__xludf.DUMMYFUNCTION("""COMPUTED_VALUE"""),"+1")</f>
        <v>+1</v>
      </c>
    </row>
    <row r="147" spans="1:8" ht="12.75">
      <c r="A147" t="str">
        <f ca="1">IFERROR(__xludf.DUMMYFUNCTION("""COMPUTED_VALUE"""),"T146")</f>
        <v>T146</v>
      </c>
      <c r="B147" t="str">
        <f ca="1">IFERROR(__xludf.DUMMYFUNCTION("""COMPUTED_VALUE"""),"T98")</f>
        <v>T98</v>
      </c>
      <c r="C147" t="str">
        <f ca="1">IFERROR(__xludf.DUMMYFUNCTION("""COMPUTED_VALUE"""),"Dustin Johnson")</f>
        <v>Dustin Johnson</v>
      </c>
      <c r="D147">
        <f ca="1">IFERROR(__xludf.DUMMYFUNCTION("""COMPUTED_VALUE"""),8)</f>
        <v>8</v>
      </c>
      <c r="E147" t="str">
        <f ca="1">IFERROR(__xludf.DUMMYFUNCTION("""COMPUTED_VALUE"""),"26' 4""")</f>
        <v>26' 4"</v>
      </c>
      <c r="F147">
        <f ca="1">IFERROR(__xludf.DUMMYFUNCTION("""COMPUTED_VALUE"""),526.333)</f>
        <v>526.33299999999997</v>
      </c>
      <c r="G147">
        <f ca="1">IFERROR(__xludf.DUMMYFUNCTION("""COMPUTED_VALUE"""),20)</f>
        <v>20</v>
      </c>
      <c r="H147" t="str">
        <f ca="1">IFERROR(__xludf.DUMMYFUNCTION("""COMPUTED_VALUE"""),"E")</f>
        <v>E</v>
      </c>
    </row>
    <row r="148" spans="1:8" ht="12.75">
      <c r="A148" t="str">
        <f ca="1">IFERROR(__xludf.DUMMYFUNCTION("""COMPUTED_VALUE"""),"T146")</f>
        <v>T146</v>
      </c>
      <c r="B148" t="str">
        <f ca="1">IFERROR(__xludf.DUMMYFUNCTION("""COMPUTED_VALUE"""),"T105")</f>
        <v>T105</v>
      </c>
      <c r="C148" t="str">
        <f ca="1">IFERROR(__xludf.DUMMYFUNCTION("""COMPUTED_VALUE"""),"Sungjae Im")</f>
        <v>Sungjae Im</v>
      </c>
      <c r="D148">
        <f ca="1">IFERROR(__xludf.DUMMYFUNCTION("""COMPUTED_VALUE"""),24)</f>
        <v>24</v>
      </c>
      <c r="E148" t="str">
        <f ca="1">IFERROR(__xludf.DUMMYFUNCTION("""COMPUTED_VALUE"""),"26' 4""")</f>
        <v>26' 4"</v>
      </c>
      <c r="F148" s="2">
        <f ca="1">IFERROR(__xludf.DUMMYFUNCTION("""COMPUTED_VALUE"""),1631.167)</f>
        <v>1631.1669999999999</v>
      </c>
      <c r="G148">
        <f ca="1">IFERROR(__xludf.DUMMYFUNCTION("""COMPUTED_VALUE"""),62)</f>
        <v>62</v>
      </c>
      <c r="H148">
        <f ca="1">IFERROR(__xludf.DUMMYFUNCTION("""COMPUTED_VALUE"""),-3)</f>
        <v>-3</v>
      </c>
    </row>
    <row r="149" spans="1:8" ht="12.75">
      <c r="A149" t="str">
        <f ca="1">IFERROR(__xludf.DUMMYFUNCTION("""COMPUTED_VALUE"""),"T146")</f>
        <v>T146</v>
      </c>
      <c r="B149" t="str">
        <f ca="1">IFERROR(__xludf.DUMMYFUNCTION("""COMPUTED_VALUE"""),"T151")</f>
        <v>T151</v>
      </c>
      <c r="C149" t="str">
        <f ca="1">IFERROR(__xludf.DUMMYFUNCTION("""COMPUTED_VALUE"""),"Talor Gooch")</f>
        <v>Talor Gooch</v>
      </c>
      <c r="D149">
        <f ca="1">IFERROR(__xludf.DUMMYFUNCTION("""COMPUTED_VALUE"""),20)</f>
        <v>20</v>
      </c>
      <c r="E149" t="str">
        <f ca="1">IFERROR(__xludf.DUMMYFUNCTION("""COMPUTED_VALUE"""),"26' 4""")</f>
        <v>26' 4"</v>
      </c>
      <c r="F149" s="2">
        <f ca="1">IFERROR(__xludf.DUMMYFUNCTION("""COMPUTED_VALUE"""),1608.75)</f>
        <v>1608.75</v>
      </c>
      <c r="G149">
        <f ca="1">IFERROR(__xludf.DUMMYFUNCTION("""COMPUTED_VALUE"""),61)</f>
        <v>61</v>
      </c>
      <c r="H149">
        <f ca="1">IFERROR(__xludf.DUMMYFUNCTION("""COMPUTED_VALUE"""),-6)</f>
        <v>-6</v>
      </c>
    </row>
    <row r="150" spans="1:8" ht="12.75">
      <c r="A150" t="str">
        <f ca="1">IFERROR(__xludf.DUMMYFUNCTION("""COMPUTED_VALUE"""),"T149")</f>
        <v>T149</v>
      </c>
      <c r="B150" t="str">
        <f ca="1">IFERROR(__xludf.DUMMYFUNCTION("""COMPUTED_VALUE"""),"T147")</f>
        <v>T147</v>
      </c>
      <c r="C150" t="str">
        <f ca="1">IFERROR(__xludf.DUMMYFUNCTION("""COMPUTED_VALUE"""),"William McGirt")</f>
        <v>William McGirt</v>
      </c>
      <c r="D150">
        <f ca="1">IFERROR(__xludf.DUMMYFUNCTION("""COMPUTED_VALUE"""),6)</f>
        <v>6</v>
      </c>
      <c r="E150" t="str">
        <f ca="1">IFERROR(__xludf.DUMMYFUNCTION("""COMPUTED_VALUE"""),"26' 5""")</f>
        <v>26' 5"</v>
      </c>
      <c r="F150">
        <f ca="1">IFERROR(__xludf.DUMMYFUNCTION("""COMPUTED_VALUE"""),475.583)</f>
        <v>475.58300000000003</v>
      </c>
      <c r="G150">
        <f ca="1">IFERROR(__xludf.DUMMYFUNCTION("""COMPUTED_VALUE"""),18)</f>
        <v>18</v>
      </c>
      <c r="H150">
        <f ca="1">IFERROR(__xludf.DUMMYFUNCTION("""COMPUTED_VALUE"""),-1)</f>
        <v>-1</v>
      </c>
    </row>
    <row r="151" spans="1:8" ht="12.75">
      <c r="A151" t="str">
        <f ca="1">IFERROR(__xludf.DUMMYFUNCTION("""COMPUTED_VALUE"""),"T149")</f>
        <v>T149</v>
      </c>
      <c r="B151" t="str">
        <f ca="1">IFERROR(__xludf.DUMMYFUNCTION("""COMPUTED_VALUE"""),"T103")</f>
        <v>T103</v>
      </c>
      <c r="C151" t="str">
        <f ca="1">IFERROR(__xludf.DUMMYFUNCTION("""COMPUTED_VALUE"""),"Brian Stuard")</f>
        <v>Brian Stuard</v>
      </c>
      <c r="D151">
        <f ca="1">IFERROR(__xludf.DUMMYFUNCTION("""COMPUTED_VALUE"""),18)</f>
        <v>18</v>
      </c>
      <c r="E151" t="str">
        <f ca="1">IFERROR(__xludf.DUMMYFUNCTION("""COMPUTED_VALUE"""),"26' 5""")</f>
        <v>26' 5"</v>
      </c>
      <c r="F151">
        <f ca="1">IFERROR(__xludf.DUMMYFUNCTION("""COMPUTED_VALUE"""),844.583)</f>
        <v>844.58299999999997</v>
      </c>
      <c r="G151">
        <f ca="1">IFERROR(__xludf.DUMMYFUNCTION("""COMPUTED_VALUE"""),32)</f>
        <v>32</v>
      </c>
      <c r="H151" t="str">
        <f ca="1">IFERROR(__xludf.DUMMYFUNCTION("""COMPUTED_VALUE"""),"+1")</f>
        <v>+1</v>
      </c>
    </row>
    <row r="152" spans="1:8" ht="12.75">
      <c r="A152">
        <f ca="1">IFERROR(__xludf.DUMMYFUNCTION("""COMPUTED_VALUE"""),151)</f>
        <v>151</v>
      </c>
      <c r="B152" t="str">
        <f ca="1">IFERROR(__xludf.DUMMYFUNCTION("""COMPUTED_VALUE"""),"T149")</f>
        <v>T149</v>
      </c>
      <c r="C152" t="str">
        <f ca="1">IFERROR(__xludf.DUMMYFUNCTION("""COMPUTED_VALUE"""),"Anirban Lahiri")</f>
        <v>Anirban Lahiri</v>
      </c>
      <c r="D152">
        <f ca="1">IFERROR(__xludf.DUMMYFUNCTION("""COMPUTED_VALUE"""),16)</f>
        <v>16</v>
      </c>
      <c r="E152" t="str">
        <f ca="1">IFERROR(__xludf.DUMMYFUNCTION("""COMPUTED_VALUE"""),"26' 6""")</f>
        <v>26' 6"</v>
      </c>
      <c r="F152">
        <f ca="1">IFERROR(__xludf.DUMMYFUNCTION("""COMPUTED_VALUE"""),370.583)</f>
        <v>370.58300000000003</v>
      </c>
      <c r="G152">
        <f ca="1">IFERROR(__xludf.DUMMYFUNCTION("""COMPUTED_VALUE"""),14)</f>
        <v>14</v>
      </c>
      <c r="H152" t="str">
        <f ca="1">IFERROR(__xludf.DUMMYFUNCTION("""COMPUTED_VALUE"""),"E")</f>
        <v>E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IFERROR(__xludf.DUMMYFUNCTION("""COMPUTED_VALUE"""),"T151")</f>
        <v>T151</v>
      </c>
      <c r="C153" t="str">
        <f ca="1">IFERROR(__xludf.DUMMYFUNCTION("""COMPUTED_VALUE"""),"Paul Casey")</f>
        <v>Paul Casey</v>
      </c>
      <c r="D153">
        <f ca="1">IFERROR(__xludf.DUMMYFUNCTION("""COMPUTED_VALUE"""),14)</f>
        <v>14</v>
      </c>
      <c r="E153" t="str">
        <f ca="1">IFERROR(__xludf.DUMMYFUNCTION("""COMPUTED_VALUE"""),"26' 7""")</f>
        <v>26' 7"</v>
      </c>
      <c r="F153" s="2">
        <f ca="1">IFERROR(__xludf.DUMMYFUNCTION("""COMPUTED_VALUE"""),1062.583)</f>
        <v>1062.5830000000001</v>
      </c>
      <c r="G153">
        <f ca="1">IFERROR(__xludf.DUMMYFUNCTION("""COMPUTED_VALUE"""),40)</f>
        <v>40</v>
      </c>
      <c r="H153" t="str">
        <f ca="1">IFERROR(__xludf.DUMMYFUNCTION("""COMPUTED_VALUE"""),"+1")</f>
        <v>+1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IFERROR(__xludf.DUMMYFUNCTION("""COMPUTED_VALUE"""),"T151")</f>
        <v>T151</v>
      </c>
      <c r="C154" t="str">
        <f ca="1">IFERROR(__xludf.DUMMYFUNCTION("""COMPUTED_VALUE"""),"Sebastián Muñoz")</f>
        <v>Sebastián Muñoz</v>
      </c>
      <c r="D154">
        <f ca="1">IFERROR(__xludf.DUMMYFUNCTION("""COMPUTED_VALUE"""),20)</f>
        <v>20</v>
      </c>
      <c r="E154" t="str">
        <f ca="1">IFERROR(__xludf.DUMMYFUNCTION("""COMPUTED_VALUE"""),"26' 7""")</f>
        <v>26' 7"</v>
      </c>
      <c r="F154" s="2">
        <f ca="1">IFERROR(__xludf.DUMMYFUNCTION("""COMPUTED_VALUE"""),1620.417)</f>
        <v>1620.4169999999999</v>
      </c>
      <c r="G154">
        <f ca="1">IFERROR(__xludf.DUMMYFUNCTION("""COMPUTED_VALUE"""),61)</f>
        <v>61</v>
      </c>
      <c r="H154">
        <f ca="1">IFERROR(__xludf.DUMMYFUNCTION("""COMPUTED_VALUE"""),-7)</f>
        <v>-7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IFERROR(__xludf.DUMMYFUNCTION("""COMPUTED_VALUE"""),"T244")</f>
        <v>T244</v>
      </c>
      <c r="C155" t="str">
        <f ca="1">IFERROR(__xludf.DUMMYFUNCTION("""COMPUTED_VALUE"""),"Adam Scott")</f>
        <v>Adam Scott</v>
      </c>
      <c r="D155">
        <f ca="1">IFERROR(__xludf.DUMMYFUNCTION("""COMPUTED_VALUE"""),8)</f>
        <v>8</v>
      </c>
      <c r="E155" t="str">
        <f ca="1">IFERROR(__xludf.DUMMYFUNCTION("""COMPUTED_VALUE"""),"26' 8""")</f>
        <v>26' 8"</v>
      </c>
      <c r="F155">
        <f ca="1">IFERROR(__xludf.DUMMYFUNCTION("""COMPUTED_VALUE"""),560.083)</f>
        <v>560.08299999999997</v>
      </c>
      <c r="G155">
        <f ca="1">IFERROR(__xludf.DUMMYFUNCTION("""COMPUTED_VALUE"""),21)</f>
        <v>21</v>
      </c>
      <c r="H155">
        <f ca="1">IFERROR(__xludf.DUMMYFUNCTION("""COMPUTED_VALUE"""),-3)</f>
        <v>-3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IFERROR(__xludf.DUMMYFUNCTION("""COMPUTED_VALUE"""),"T157")</f>
        <v>T157</v>
      </c>
      <c r="C156" t="str">
        <f ca="1">IFERROR(__xludf.DUMMYFUNCTION("""COMPUTED_VALUE"""),"Johnson Wagner")</f>
        <v>Johnson Wagner</v>
      </c>
      <c r="D156">
        <f ca="1">IFERROR(__xludf.DUMMYFUNCTION("""COMPUTED_VALUE"""),8)</f>
        <v>8</v>
      </c>
      <c r="E156" t="str">
        <f ca="1">IFERROR(__xludf.DUMMYFUNCTION("""COMPUTED_VALUE"""),"26' 8""")</f>
        <v>26' 8"</v>
      </c>
      <c r="F156">
        <f ca="1">IFERROR(__xludf.DUMMYFUNCTION("""COMPUTED_VALUE"""),133.333)</f>
        <v>133.333</v>
      </c>
      <c r="G156">
        <f ca="1">IFERROR(__xludf.DUMMYFUNCTION("""COMPUTED_VALUE"""),5)</f>
        <v>5</v>
      </c>
      <c r="H156">
        <f ca="1">IFERROR(__xludf.DUMMYFUNCTION("""COMPUTED_VALUE"""),-2)</f>
        <v>-2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IFERROR(__xludf.DUMMYFUNCTION("""COMPUTED_VALUE"""),"T157")</f>
        <v>T157</v>
      </c>
      <c r="C157" t="str">
        <f ca="1">IFERROR(__xludf.DUMMYFUNCTION("""COMPUTED_VALUE"""),"Harris English")</f>
        <v>Harris English</v>
      </c>
      <c r="D157">
        <f ca="1">IFERROR(__xludf.DUMMYFUNCTION("""COMPUTED_VALUE"""),14)</f>
        <v>14</v>
      </c>
      <c r="E157" t="str">
        <f ca="1">IFERROR(__xludf.DUMMYFUNCTION("""COMPUTED_VALUE"""),"26' 8""")</f>
        <v>26' 8"</v>
      </c>
      <c r="F157" s="2">
        <f ca="1">IFERROR(__xludf.DUMMYFUNCTION("""COMPUTED_VALUE"""),1145.333)</f>
        <v>1145.3330000000001</v>
      </c>
      <c r="G157">
        <f ca="1">IFERROR(__xludf.DUMMYFUNCTION("""COMPUTED_VALUE"""),43)</f>
        <v>43</v>
      </c>
      <c r="H157">
        <f ca="1">IFERROR(__xludf.DUMMYFUNCTION("""COMPUTED_VALUE"""),-3)</f>
        <v>-3</v>
      </c>
    </row>
    <row r="158" spans="1:8" ht="12.75">
      <c r="A158" t="str">
        <f ca="1">IFERROR(__xludf.DUMMYFUNCTION("""COMPUTED_VALUE"""),"T154")</f>
        <v>T154</v>
      </c>
      <c r="B158" t="str">
        <f ca="1">IFERROR(__xludf.DUMMYFUNCTION("""COMPUTED_VALUE"""),"T169")</f>
        <v>T169</v>
      </c>
      <c r="C158" t="str">
        <f ca="1">IFERROR(__xludf.DUMMYFUNCTION("""COMPUTED_VALUE"""),"Robby Shelton")</f>
        <v>Robby Shelton</v>
      </c>
      <c r="D158">
        <f ca="1">IFERROR(__xludf.DUMMYFUNCTION("""COMPUTED_VALUE"""),14)</f>
        <v>14</v>
      </c>
      <c r="E158" t="str">
        <f ca="1">IFERROR(__xludf.DUMMYFUNCTION("""COMPUTED_VALUE"""),"26' 8""")</f>
        <v>26' 8"</v>
      </c>
      <c r="F158">
        <f ca="1">IFERROR(__xludf.DUMMYFUNCTION("""COMPUTED_VALUE"""),773.167)</f>
        <v>773.16700000000003</v>
      </c>
      <c r="G158">
        <f ca="1">IFERROR(__xludf.DUMMYFUNCTION("""COMPUTED_VALUE"""),29)</f>
        <v>29</v>
      </c>
      <c r="H158">
        <f ca="1">IFERROR(__xludf.DUMMYFUNCTION("""COMPUTED_VALUE"""),-1)</f>
        <v>-1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IFERROR(__xludf.DUMMYFUNCTION("""COMPUTED_VALUE"""),"T172")</f>
        <v>T172</v>
      </c>
      <c r="C159" t="str">
        <f ca="1">IFERROR(__xludf.DUMMYFUNCTION("""COMPUTED_VALUE"""),"Brice Garnett")</f>
        <v>Brice Garnett</v>
      </c>
      <c r="D159">
        <f ca="1">IFERROR(__xludf.DUMMYFUNCTION("""COMPUTED_VALUE"""),22)</f>
        <v>22</v>
      </c>
      <c r="E159" t="str">
        <f ca="1">IFERROR(__xludf.DUMMYFUNCTION("""COMPUTED_VALUE"""),"26' 9""")</f>
        <v>26' 9"</v>
      </c>
      <c r="F159" s="2">
        <f ca="1">IFERROR(__xludf.DUMMYFUNCTION("""COMPUTED_VALUE"""),1070.75)</f>
        <v>1070.75</v>
      </c>
      <c r="G159">
        <f ca="1">IFERROR(__xludf.DUMMYFUNCTION("""COMPUTED_VALUE"""),40)</f>
        <v>40</v>
      </c>
      <c r="H159">
        <f ca="1">IFERROR(__xludf.DUMMYFUNCTION("""COMPUTED_VALUE"""),-1)</f>
        <v>-1</v>
      </c>
    </row>
    <row r="160" spans="1:8" ht="12.75">
      <c r="A160" t="str">
        <f ca="1">IFERROR(__xludf.DUMMYFUNCTION("""COMPUTED_VALUE"""),"T158")</f>
        <v>T158</v>
      </c>
      <c r="B160" t="str">
        <f ca="1">IFERROR(__xludf.DUMMYFUNCTION("""COMPUTED_VALUE"""),"T83")</f>
        <v>T83</v>
      </c>
      <c r="C160" t="str">
        <f ca="1">IFERROR(__xludf.DUMMYFUNCTION("""COMPUTED_VALUE"""),"Cameron Tringale")</f>
        <v>Cameron Tringale</v>
      </c>
      <c r="D160">
        <f ca="1">IFERROR(__xludf.DUMMYFUNCTION("""COMPUTED_VALUE"""),16)</f>
        <v>16</v>
      </c>
      <c r="E160" t="str">
        <f ca="1">IFERROR(__xludf.DUMMYFUNCTION("""COMPUTED_VALUE"""),"26' 9""")</f>
        <v>26' 9"</v>
      </c>
      <c r="F160">
        <f ca="1">IFERROR(__xludf.DUMMYFUNCTION("""COMPUTED_VALUE"""),828.25)</f>
        <v>828.25</v>
      </c>
      <c r="G160">
        <f ca="1">IFERROR(__xludf.DUMMYFUNCTION("""COMPUTED_VALUE"""),31)</f>
        <v>31</v>
      </c>
      <c r="H160">
        <f ca="1">IFERROR(__xludf.DUMMYFUNCTION("""COMPUTED_VALUE"""),-3)</f>
        <v>-3</v>
      </c>
    </row>
    <row r="161" spans="1:8" ht="12.75">
      <c r="A161">
        <f ca="1">IFERROR(__xludf.DUMMYFUNCTION("""COMPUTED_VALUE"""),160)</f>
        <v>160</v>
      </c>
      <c r="B161" t="str">
        <f ca="1">IFERROR(__xludf.DUMMYFUNCTION("""COMPUTED_VALUE"""),"T123")</f>
        <v>T123</v>
      </c>
      <c r="C161" t="str">
        <f ca="1">IFERROR(__xludf.DUMMYFUNCTION("""COMPUTED_VALUE"""),"Troy Merritt")</f>
        <v>Troy Merritt</v>
      </c>
      <c r="D161">
        <f ca="1">IFERROR(__xludf.DUMMYFUNCTION("""COMPUTED_VALUE"""),20)</f>
        <v>20</v>
      </c>
      <c r="E161" t="str">
        <f ca="1">IFERROR(__xludf.DUMMYFUNCTION("""COMPUTED_VALUE"""),"26' 10""")</f>
        <v>26' 10"</v>
      </c>
      <c r="F161">
        <f ca="1">IFERROR(__xludf.DUMMYFUNCTION("""COMPUTED_VALUE"""),965.75)</f>
        <v>965.75</v>
      </c>
      <c r="G161">
        <f ca="1">IFERROR(__xludf.DUMMYFUNCTION("""COMPUTED_VALUE"""),36)</f>
        <v>36</v>
      </c>
      <c r="H161">
        <f ca="1">IFERROR(__xludf.DUMMYFUNCTION("""COMPUTED_VALUE"""),-3)</f>
        <v>-3</v>
      </c>
    </row>
    <row r="162" spans="1:8" ht="12.75">
      <c r="A162">
        <f ca="1">IFERROR(__xludf.DUMMYFUNCTION("""COMPUTED_VALUE"""),161)</f>
        <v>161</v>
      </c>
      <c r="B162">
        <f ca="1">IFERROR(__xludf.DUMMYFUNCTION("""COMPUTED_VALUE"""),78)</f>
        <v>78</v>
      </c>
      <c r="C162" t="str">
        <f ca="1">IFERROR(__xludf.DUMMYFUNCTION("""COMPUTED_VALUE"""),"Hunter Mahan")</f>
        <v>Hunter Mahan</v>
      </c>
      <c r="D162">
        <f ca="1">IFERROR(__xludf.DUMMYFUNCTION("""COMPUTED_VALUE"""),14)</f>
        <v>14</v>
      </c>
      <c r="E162" t="str">
        <f ca="1">IFERROR(__xludf.DUMMYFUNCTION("""COMPUTED_VALUE"""),"26' 11""")</f>
        <v>26' 11"</v>
      </c>
      <c r="F162">
        <f ca="1">IFERROR(__xludf.DUMMYFUNCTION("""COMPUTED_VALUE"""),485)</f>
        <v>485</v>
      </c>
      <c r="G162">
        <f ca="1">IFERROR(__xludf.DUMMYFUNCTION("""COMPUTED_VALUE"""),18)</f>
        <v>18</v>
      </c>
      <c r="H162" t="str">
        <f ca="1">IFERROR(__xludf.DUMMYFUNCTION("""COMPUTED_VALUE"""),"E")</f>
        <v>E</v>
      </c>
    </row>
    <row r="163" spans="1:8" ht="12.75">
      <c r="A163" t="str">
        <f ca="1">IFERROR(__xludf.DUMMYFUNCTION("""COMPUTED_VALUE"""),"T162")</f>
        <v>T162</v>
      </c>
      <c r="B163" t="str">
        <f ca="1">IFERROR(__xludf.DUMMYFUNCTION("""COMPUTED_VALUE"""),"T151")</f>
        <v>T151</v>
      </c>
      <c r="C163" t="str">
        <f ca="1">IFERROR(__xludf.DUMMYFUNCTION("""COMPUTED_VALUE"""),"Bo Van Pelt")</f>
        <v>Bo Van Pelt</v>
      </c>
      <c r="D163">
        <f ca="1">IFERROR(__xludf.DUMMYFUNCTION("""COMPUTED_VALUE"""),10)</f>
        <v>10</v>
      </c>
      <c r="E163" t="str">
        <f ca="1">IFERROR(__xludf.DUMMYFUNCTION("""COMPUTED_VALUE"""),"27' 0""")</f>
        <v>27' 0"</v>
      </c>
      <c r="F163">
        <f ca="1">IFERROR(__xludf.DUMMYFUNCTION("""COMPUTED_VALUE"""),351.167)</f>
        <v>351.16699999999997</v>
      </c>
      <c r="G163">
        <f ca="1">IFERROR(__xludf.DUMMYFUNCTION("""COMPUTED_VALUE"""),13)</f>
        <v>13</v>
      </c>
      <c r="H163" t="str">
        <f ca="1">IFERROR(__xludf.DUMMYFUNCTION("""COMPUTED_VALUE"""),"+2")</f>
        <v>+2</v>
      </c>
    </row>
    <row r="164" spans="1:8" ht="12.75">
      <c r="A164" t="str">
        <f ca="1">IFERROR(__xludf.DUMMYFUNCTION("""COMPUTED_VALUE"""),"T162")</f>
        <v>T162</v>
      </c>
      <c r="B164" t="str">
        <f ca="1">IFERROR(__xludf.DUMMYFUNCTION("""COMPUTED_VALUE"""),"T138")</f>
        <v>T138</v>
      </c>
      <c r="C164" t="str">
        <f ca="1">IFERROR(__xludf.DUMMYFUNCTION("""COMPUTED_VALUE"""),"James Hahn")</f>
        <v>James Hahn</v>
      </c>
      <c r="D164">
        <f ca="1">IFERROR(__xludf.DUMMYFUNCTION("""COMPUTED_VALUE"""),16)</f>
        <v>16</v>
      </c>
      <c r="E164" t="str">
        <f ca="1">IFERROR(__xludf.DUMMYFUNCTION("""COMPUTED_VALUE"""),"27' 0""")</f>
        <v>27' 0"</v>
      </c>
      <c r="F164" s="2">
        <f ca="1">IFERROR(__xludf.DUMMYFUNCTION("""COMPUTED_VALUE"""),1052.25)</f>
        <v>1052.25</v>
      </c>
      <c r="G164">
        <f ca="1">IFERROR(__xludf.DUMMYFUNCTION("""COMPUTED_VALUE"""),39)</f>
        <v>39</v>
      </c>
      <c r="H164">
        <f ca="1">IFERROR(__xludf.DUMMYFUNCTION("""COMPUTED_VALUE"""),-5)</f>
        <v>-5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IFERROR(__xludf.DUMMYFUNCTION("""COMPUTED_VALUE"""),"T198")</f>
        <v>T198</v>
      </c>
      <c r="C165" t="str">
        <f ca="1">IFERROR(__xludf.DUMMYFUNCTION("""COMPUTED_VALUE"""),"Henrik Norlander")</f>
        <v>Henrik Norlander</v>
      </c>
      <c r="D165">
        <f ca="1">IFERROR(__xludf.DUMMYFUNCTION("""COMPUTED_VALUE"""),16)</f>
        <v>16</v>
      </c>
      <c r="E165" t="str">
        <f ca="1">IFERROR(__xludf.DUMMYFUNCTION("""COMPUTED_VALUE"""),"27' 1""")</f>
        <v>27' 1"</v>
      </c>
      <c r="F165">
        <f ca="1">IFERROR(__xludf.DUMMYFUNCTION("""COMPUTED_VALUE"""),866.25)</f>
        <v>866.25</v>
      </c>
      <c r="G165">
        <f ca="1">IFERROR(__xludf.DUMMYFUNCTION("""COMPUTED_VALUE"""),32)</f>
        <v>32</v>
      </c>
      <c r="H165" t="str">
        <f ca="1">IFERROR(__xludf.DUMMYFUNCTION("""COMPUTED_VALUE"""),"+1")</f>
        <v>+1</v>
      </c>
    </row>
    <row r="166" spans="1:8" ht="12.75">
      <c r="A166" t="str">
        <f ca="1">IFERROR(__xludf.DUMMYFUNCTION("""COMPUTED_VALUE"""),"T164")</f>
        <v>T164</v>
      </c>
      <c r="B166" t="str">
        <f ca="1">IFERROR(__xludf.DUMMYFUNCTION("""COMPUTED_VALUE"""),"T166")</f>
        <v>T166</v>
      </c>
      <c r="C166" t="str">
        <f ca="1">IFERROR(__xludf.DUMMYFUNCTION("""COMPUTED_VALUE"""),"Justin Suh")</f>
        <v>Justin Suh</v>
      </c>
      <c r="D166">
        <f ca="1">IFERROR(__xludf.DUMMYFUNCTION("""COMPUTED_VALUE"""),10)</f>
        <v>10</v>
      </c>
      <c r="E166" t="str">
        <f ca="1">IFERROR(__xludf.DUMMYFUNCTION("""COMPUTED_VALUE"""),"27' 1""")</f>
        <v>27' 1"</v>
      </c>
      <c r="F166">
        <f ca="1">IFERROR(__xludf.DUMMYFUNCTION("""COMPUTED_VALUE"""),243.833)</f>
        <v>243.833</v>
      </c>
      <c r="G166">
        <f ca="1">IFERROR(__xludf.DUMMYFUNCTION("""COMPUTED_VALUE"""),9)</f>
        <v>9</v>
      </c>
      <c r="H166">
        <f ca="1">IFERROR(__xludf.DUMMYFUNCTION("""COMPUTED_VALUE"""),-1)</f>
        <v>-1</v>
      </c>
    </row>
    <row r="167" spans="1:8" ht="12.75">
      <c r="A167">
        <f ca="1">IFERROR(__xludf.DUMMYFUNCTION("""COMPUTED_VALUE"""),166)</f>
        <v>166</v>
      </c>
      <c r="B167" t="str">
        <f ca="1">IFERROR(__xludf.DUMMYFUNCTION("""COMPUTED_VALUE"""),"T169")</f>
        <v>T169</v>
      </c>
      <c r="C167" t="str">
        <f ca="1">IFERROR(__xludf.DUMMYFUNCTION("""COMPUTED_VALUE"""),"Nick Taylor")</f>
        <v>Nick Taylor</v>
      </c>
      <c r="D167">
        <f ca="1">IFERROR(__xludf.DUMMYFUNCTION("""COMPUTED_VALUE"""),12)</f>
        <v>12</v>
      </c>
      <c r="E167" t="str">
        <f ca="1">IFERROR(__xludf.DUMMYFUNCTION("""COMPUTED_VALUE"""),"27' 3""")</f>
        <v>27' 3"</v>
      </c>
      <c r="F167">
        <f ca="1">IFERROR(__xludf.DUMMYFUNCTION("""COMPUTED_VALUE"""),844)</f>
        <v>844</v>
      </c>
      <c r="G167">
        <f ca="1">IFERROR(__xludf.DUMMYFUNCTION("""COMPUTED_VALUE"""),31)</f>
        <v>31</v>
      </c>
      <c r="H167" t="str">
        <f ca="1">IFERROR(__xludf.DUMMYFUNCTION("""COMPUTED_VALUE"""),"+2")</f>
        <v>+2</v>
      </c>
    </row>
    <row r="168" spans="1:8" ht="12.75">
      <c r="A168" t="str">
        <f ca="1">IFERROR(__xludf.DUMMYFUNCTION("""COMPUTED_VALUE"""),"T167")</f>
        <v>T167</v>
      </c>
      <c r="B168">
        <f ca="1">IFERROR(__xludf.DUMMYFUNCTION("""COMPUTED_VALUE"""),163)</f>
        <v>163</v>
      </c>
      <c r="C168" t="str">
        <f ca="1">IFERROR(__xludf.DUMMYFUNCTION("""COMPUTED_VALUE"""),"Rory Sabbatini")</f>
        <v>Rory Sabbatini</v>
      </c>
      <c r="D168">
        <f ca="1">IFERROR(__xludf.DUMMYFUNCTION("""COMPUTED_VALUE"""),13)</f>
        <v>13</v>
      </c>
      <c r="E168" t="str">
        <f ca="1">IFERROR(__xludf.DUMMYFUNCTION("""COMPUTED_VALUE"""),"27' 4""")</f>
        <v>27' 4"</v>
      </c>
      <c r="F168">
        <f ca="1">IFERROR(__xludf.DUMMYFUNCTION("""COMPUTED_VALUE"""),900.833)</f>
        <v>900.83299999999997</v>
      </c>
      <c r="G168">
        <f ca="1">IFERROR(__xludf.DUMMYFUNCTION("""COMPUTED_VALUE"""),33)</f>
        <v>33</v>
      </c>
      <c r="H168">
        <f ca="1">IFERROR(__xludf.DUMMYFUNCTION("""COMPUTED_VALUE"""),-1)</f>
        <v>-1</v>
      </c>
    </row>
    <row r="169" spans="1:8" ht="12.75">
      <c r="A169" t="str">
        <f ca="1">IFERROR(__xludf.DUMMYFUNCTION("""COMPUTED_VALUE"""),"T167")</f>
        <v>T167</v>
      </c>
      <c r="B169">
        <f ca="1">IFERROR(__xludf.DUMMYFUNCTION("""COMPUTED_VALUE"""),132)</f>
        <v>132</v>
      </c>
      <c r="C169" t="str">
        <f ca="1">IFERROR(__xludf.DUMMYFUNCTION("""COMPUTED_VALUE"""),"Scott Brown")</f>
        <v>Scott Brown</v>
      </c>
      <c r="D169">
        <f ca="1">IFERROR(__xludf.DUMMYFUNCTION("""COMPUTED_VALUE"""),14)</f>
        <v>14</v>
      </c>
      <c r="E169" t="str">
        <f ca="1">IFERROR(__xludf.DUMMYFUNCTION("""COMPUTED_VALUE"""),"27' 4""")</f>
        <v>27' 4"</v>
      </c>
      <c r="F169">
        <f ca="1">IFERROR(__xludf.DUMMYFUNCTION("""COMPUTED_VALUE"""),629.417)</f>
        <v>629.41700000000003</v>
      </c>
      <c r="G169">
        <f ca="1">IFERROR(__xludf.DUMMYFUNCTION("""COMPUTED_VALUE"""),23)</f>
        <v>23</v>
      </c>
      <c r="H169">
        <f ca="1">IFERROR(__xludf.DUMMYFUNCTION("""COMPUTED_VALUE"""),-1)</f>
        <v>-1</v>
      </c>
    </row>
    <row r="170" spans="1:8" ht="12.75">
      <c r="A170" t="str">
        <f ca="1">IFERROR(__xludf.DUMMYFUNCTION("""COMPUTED_VALUE"""),"T167")</f>
        <v>T167</v>
      </c>
      <c r="B170" t="str">
        <f ca="1">IFERROR(__xludf.DUMMYFUNCTION("""COMPUTED_VALUE"""),"T166")</f>
        <v>T166</v>
      </c>
      <c r="C170" t="str">
        <f ca="1">IFERROR(__xludf.DUMMYFUNCTION("""COMPUTED_VALUE"""),"Andrew Putnam")</f>
        <v>Andrew Putnam</v>
      </c>
      <c r="D170">
        <f ca="1">IFERROR(__xludf.DUMMYFUNCTION("""COMPUTED_VALUE"""),19)</f>
        <v>19</v>
      </c>
      <c r="E170" t="str">
        <f ca="1">IFERROR(__xludf.DUMMYFUNCTION("""COMPUTED_VALUE"""),"27' 4""")</f>
        <v>27' 4"</v>
      </c>
      <c r="F170">
        <f ca="1">IFERROR(__xludf.DUMMYFUNCTION("""COMPUTED_VALUE"""),901.333)</f>
        <v>901.33299999999997</v>
      </c>
      <c r="G170">
        <f ca="1">IFERROR(__xludf.DUMMYFUNCTION("""COMPUTED_VALUE"""),33)</f>
        <v>33</v>
      </c>
      <c r="H170">
        <f ca="1">IFERROR(__xludf.DUMMYFUNCTION("""COMPUTED_VALUE"""),-7)</f>
        <v>-7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IFERROR(__xludf.DUMMYFUNCTION("""COMPUTED_VALUE"""),"T142")</f>
        <v>T142</v>
      </c>
      <c r="C171" t="str">
        <f ca="1">IFERROR(__xludf.DUMMYFUNCTION("""COMPUTED_VALUE"""),"Bronson Burgoon")</f>
        <v>Bronson Burgoon</v>
      </c>
      <c r="D171">
        <f ca="1">IFERROR(__xludf.DUMMYFUNCTION("""COMPUTED_VALUE"""),10)</f>
        <v>10</v>
      </c>
      <c r="E171" t="str">
        <f ca="1">IFERROR(__xludf.DUMMYFUNCTION("""COMPUTED_VALUE"""),"27' 5""")</f>
        <v>27' 5"</v>
      </c>
      <c r="F171">
        <f ca="1">IFERROR(__xludf.DUMMYFUNCTION("""COMPUTED_VALUE"""),410.917)</f>
        <v>410.91699999999997</v>
      </c>
      <c r="G171">
        <f ca="1">IFERROR(__xludf.DUMMYFUNCTION("""COMPUTED_VALUE"""),15)</f>
        <v>15</v>
      </c>
      <c r="H171">
        <f ca="1">IFERROR(__xludf.DUMMYFUNCTION("""COMPUTED_VALUE"""),-1)</f>
        <v>-1</v>
      </c>
    </row>
    <row r="172" spans="1:8" ht="12.75">
      <c r="A172" t="str">
        <f ca="1">IFERROR(__xludf.DUMMYFUNCTION("""COMPUTED_VALUE"""),"T170")</f>
        <v>T170</v>
      </c>
      <c r="B172">
        <f ca="1">IFERROR(__xludf.DUMMYFUNCTION("""COMPUTED_VALUE"""),174)</f>
        <v>174</v>
      </c>
      <c r="C172" t="str">
        <f ca="1">IFERROR(__xludf.DUMMYFUNCTION("""COMPUTED_VALUE"""),"Mark Hubbard")</f>
        <v>Mark Hubbard</v>
      </c>
      <c r="D172">
        <f ca="1">IFERROR(__xludf.DUMMYFUNCTION("""COMPUTED_VALUE"""),20)</f>
        <v>20</v>
      </c>
      <c r="E172" t="str">
        <f ca="1">IFERROR(__xludf.DUMMYFUNCTION("""COMPUTED_VALUE"""),"27' 5""")</f>
        <v>27' 5"</v>
      </c>
      <c r="F172" s="2">
        <f ca="1">IFERROR(__xludf.DUMMYFUNCTION("""COMPUTED_VALUE"""),1837)</f>
        <v>1837</v>
      </c>
      <c r="G172">
        <f ca="1">IFERROR(__xludf.DUMMYFUNCTION("""COMPUTED_VALUE"""),67)</f>
        <v>67</v>
      </c>
      <c r="H172" t="str">
        <f ca="1">IFERROR(__xludf.DUMMYFUNCTION("""COMPUTED_VALUE"""),"+1")</f>
        <v>+1</v>
      </c>
    </row>
    <row r="173" spans="1:8" ht="12.75">
      <c r="A173" t="str">
        <f ca="1">IFERROR(__xludf.DUMMYFUNCTION("""COMPUTED_VALUE"""),"T172")</f>
        <v>T172</v>
      </c>
      <c r="B173" t="str">
        <f ca="1">IFERROR(__xludf.DUMMYFUNCTION("""COMPUTED_VALUE"""),"T175")</f>
        <v>T175</v>
      </c>
      <c r="C173" t="str">
        <f ca="1">IFERROR(__xludf.DUMMYFUNCTION("""COMPUTED_VALUE"""),"Christiaan Bezuidenhout")</f>
        <v>Christiaan Bezuidenhout</v>
      </c>
      <c r="D173">
        <f ca="1">IFERROR(__xludf.DUMMYFUNCTION("""COMPUTED_VALUE"""),4)</f>
        <v>4</v>
      </c>
      <c r="E173" t="str">
        <f ca="1">IFERROR(__xludf.DUMMYFUNCTION("""COMPUTED_VALUE"""),"27' 6""")</f>
        <v>27' 6"</v>
      </c>
      <c r="F173">
        <f ca="1">IFERROR(__xludf.DUMMYFUNCTION("""COMPUTED_VALUE"""),219.667)</f>
        <v>219.667</v>
      </c>
      <c r="G173">
        <f ca="1">IFERROR(__xludf.DUMMYFUNCTION("""COMPUTED_VALUE"""),8)</f>
        <v>8</v>
      </c>
      <c r="H173" t="str">
        <f ca="1">IFERROR(__xludf.DUMMYFUNCTION("""COMPUTED_VALUE"""),"E")</f>
        <v>E</v>
      </c>
    </row>
    <row r="174" spans="1:8" ht="12.75">
      <c r="A174" t="str">
        <f ca="1">IFERROR(__xludf.DUMMYFUNCTION("""COMPUTED_VALUE"""),"T172")</f>
        <v>T172</v>
      </c>
      <c r="B174" t="str">
        <f ca="1">IFERROR(__xludf.DUMMYFUNCTION("""COMPUTED_VALUE"""),"T175")</f>
        <v>T175</v>
      </c>
      <c r="C174" t="str">
        <f ca="1">IFERROR(__xludf.DUMMYFUNCTION("""COMPUTED_VALUE"""),"Hanbyeol Kim")</f>
        <v>Hanbyeol Kim</v>
      </c>
      <c r="D174">
        <f ca="1">IFERROR(__xludf.DUMMYFUNCTION("""COMPUTED_VALUE"""),4)</f>
        <v>4</v>
      </c>
      <c r="E174" t="str">
        <f ca="1">IFERROR(__xludf.DUMMYFUNCTION("""COMPUTED_VALUE"""),"27' 6""")</f>
        <v>27' 6"</v>
      </c>
      <c r="F174">
        <f ca="1">IFERROR(__xludf.DUMMYFUNCTION("""COMPUTED_VALUE"""),219.917)</f>
        <v>219.917</v>
      </c>
      <c r="G174">
        <f ca="1">IFERROR(__xludf.DUMMYFUNCTION("""COMPUTED_VALUE"""),8)</f>
        <v>8</v>
      </c>
      <c r="H174" t="str">
        <f ca="1">IFERROR(__xludf.DUMMYFUNCTION("""COMPUTED_VALUE"""),"+1")</f>
        <v>+1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IFERROR(__xludf.DUMMYFUNCTION("""COMPUTED_VALUE"""),"T149")</f>
        <v>T149</v>
      </c>
      <c r="C175" t="str">
        <f ca="1">IFERROR(__xludf.DUMMYFUNCTION("""COMPUTED_VALUE"""),"Alex Noren")</f>
        <v>Alex Noren</v>
      </c>
      <c r="D175">
        <f ca="1">IFERROR(__xludf.DUMMYFUNCTION("""COMPUTED_VALUE"""),14)</f>
        <v>14</v>
      </c>
      <c r="E175" t="str">
        <f ca="1">IFERROR(__xludf.DUMMYFUNCTION("""COMPUTED_VALUE"""),"27' 8""")</f>
        <v>27' 8"</v>
      </c>
      <c r="F175">
        <f ca="1">IFERROR(__xludf.DUMMYFUNCTION("""COMPUTED_VALUE"""),912.167)</f>
        <v>912.16700000000003</v>
      </c>
      <c r="G175">
        <f ca="1">IFERROR(__xludf.DUMMYFUNCTION("""COMPUTED_VALUE"""),33)</f>
        <v>33</v>
      </c>
      <c r="H175">
        <f ca="1">IFERROR(__xludf.DUMMYFUNCTION("""COMPUTED_VALUE"""),-3)</f>
        <v>-3</v>
      </c>
    </row>
    <row r="176" spans="1:8" ht="12.75">
      <c r="A176" t="str">
        <f ca="1">IFERROR(__xludf.DUMMYFUNCTION("""COMPUTED_VALUE"""),"T174")</f>
        <v>T174</v>
      </c>
      <c r="B176">
        <f ca="1">IFERROR(__xludf.DUMMYFUNCTION("""COMPUTED_VALUE"""),177)</f>
        <v>177</v>
      </c>
      <c r="C176" t="str">
        <f ca="1">IFERROR(__xludf.DUMMYFUNCTION("""COMPUTED_VALUE"""),"Robert Streb")</f>
        <v>Robert Streb</v>
      </c>
      <c r="D176">
        <f ca="1">IFERROR(__xludf.DUMMYFUNCTION("""COMPUTED_VALUE"""),12)</f>
        <v>12</v>
      </c>
      <c r="E176" t="str">
        <f ca="1">IFERROR(__xludf.DUMMYFUNCTION("""COMPUTED_VALUE"""),"27' 8""")</f>
        <v>27' 8"</v>
      </c>
      <c r="F176">
        <f ca="1">IFERROR(__xludf.DUMMYFUNCTION("""COMPUTED_VALUE"""),276.667)</f>
        <v>276.66699999999997</v>
      </c>
      <c r="G176">
        <f ca="1">IFERROR(__xludf.DUMMYFUNCTION("""COMPUTED_VALUE"""),10)</f>
        <v>10</v>
      </c>
      <c r="H176">
        <f ca="1">IFERROR(__xludf.DUMMYFUNCTION("""COMPUTED_VALUE"""),-1)</f>
        <v>-1</v>
      </c>
    </row>
    <row r="177" spans="1:8" ht="12.75">
      <c r="A177" t="str">
        <f ca="1">IFERROR(__xludf.DUMMYFUNCTION("""COMPUTED_VALUE"""),"T176")</f>
        <v>T176</v>
      </c>
      <c r="B177">
        <f ca="1">IFERROR(__xludf.DUMMYFUNCTION("""COMPUTED_VALUE"""),178)</f>
        <v>178</v>
      </c>
      <c r="C177" t="str">
        <f ca="1">IFERROR(__xludf.DUMMYFUNCTION("""COMPUTED_VALUE"""),"MJ Daffue")</f>
        <v>MJ Daffue</v>
      </c>
      <c r="D177">
        <f ca="1">IFERROR(__xludf.DUMMYFUNCTION("""COMPUTED_VALUE"""),10)</f>
        <v>10</v>
      </c>
      <c r="E177" t="str">
        <f ca="1">IFERROR(__xludf.DUMMYFUNCTION("""COMPUTED_VALUE"""),"27' 9""")</f>
        <v>27' 9"</v>
      </c>
      <c r="F177">
        <f ca="1">IFERROR(__xludf.DUMMYFUNCTION("""COMPUTED_VALUE"""),416.5)</f>
        <v>416.5</v>
      </c>
      <c r="G177">
        <f ca="1">IFERROR(__xludf.DUMMYFUNCTION("""COMPUTED_VALUE"""),15)</f>
        <v>15</v>
      </c>
      <c r="H177" t="str">
        <f ca="1">IFERROR(__xludf.DUMMYFUNCTION("""COMPUTED_VALUE"""),"E")</f>
        <v>E</v>
      </c>
    </row>
    <row r="178" spans="1:8" ht="12.75">
      <c r="A178" t="str">
        <f ca="1">IFERROR(__xludf.DUMMYFUNCTION("""COMPUTED_VALUE"""),"T176")</f>
        <v>T176</v>
      </c>
      <c r="B178" t="str">
        <f ca="1">IFERROR(__xludf.DUMMYFUNCTION("""COMPUTED_VALUE"""),"T196")</f>
        <v>T196</v>
      </c>
      <c r="C178" t="str">
        <f ca="1">IFERROR(__xludf.DUMMYFUNCTION("""COMPUTED_VALUE"""),"J.T. Poston")</f>
        <v>J.T. Poston</v>
      </c>
      <c r="D178">
        <f ca="1">IFERROR(__xludf.DUMMYFUNCTION("""COMPUTED_VALUE"""),18)</f>
        <v>18</v>
      </c>
      <c r="E178" t="str">
        <f ca="1">IFERROR(__xludf.DUMMYFUNCTION("""COMPUTED_VALUE"""),"27' 9""")</f>
        <v>27' 9"</v>
      </c>
      <c r="F178" s="2">
        <f ca="1">IFERROR(__xludf.DUMMYFUNCTION("""COMPUTED_VALUE"""),1250)</f>
        <v>1250</v>
      </c>
      <c r="G178">
        <f ca="1">IFERROR(__xludf.DUMMYFUNCTION("""COMPUTED_VALUE"""),45)</f>
        <v>45</v>
      </c>
      <c r="H178">
        <f ca="1">IFERROR(__xludf.DUMMYFUNCTION("""COMPUTED_VALUE"""),-7)</f>
        <v>-7</v>
      </c>
    </row>
    <row r="179" spans="1:8" ht="12.75">
      <c r="A179" t="str">
        <f ca="1">IFERROR(__xludf.DUMMYFUNCTION("""COMPUTED_VALUE"""),"T176")</f>
        <v>T176</v>
      </c>
      <c r="B179" t="str">
        <f ca="1">IFERROR(__xludf.DUMMYFUNCTION("""COMPUTED_VALUE"""),"T179")</f>
        <v>T179</v>
      </c>
      <c r="C179" t="str">
        <f ca="1">IFERROR(__xludf.DUMMYFUNCTION("""COMPUTED_VALUE"""),"Will Gordon")</f>
        <v>Will Gordon</v>
      </c>
      <c r="D179">
        <f ca="1">IFERROR(__xludf.DUMMYFUNCTION("""COMPUTED_VALUE"""),20)</f>
        <v>20</v>
      </c>
      <c r="E179" t="str">
        <f ca="1">IFERROR(__xludf.DUMMYFUNCTION("""COMPUTED_VALUE"""),"27' 9""")</f>
        <v>27' 9"</v>
      </c>
      <c r="F179">
        <f ca="1">IFERROR(__xludf.DUMMYFUNCTION("""COMPUTED_VALUE"""),943.333)</f>
        <v>943.33299999999997</v>
      </c>
      <c r="G179">
        <f ca="1">IFERROR(__xludf.DUMMYFUNCTION("""COMPUTED_VALUE"""),34)</f>
        <v>34</v>
      </c>
      <c r="H179" t="str">
        <f ca="1">IFERROR(__xludf.DUMMYFUNCTION("""COMPUTED_VALUE"""),"+4")</f>
        <v>+4</v>
      </c>
    </row>
    <row r="180" spans="1:8" ht="12.75">
      <c r="A180" t="str">
        <f ca="1">IFERROR(__xludf.DUMMYFUNCTION("""COMPUTED_VALUE"""),"T179")</f>
        <v>T179</v>
      </c>
      <c r="B180" t="str">
        <f ca="1">IFERROR(__xludf.DUMMYFUNCTION("""COMPUTED_VALUE"""),"T187")</f>
        <v>T187</v>
      </c>
      <c r="C180" t="str">
        <f ca="1">IFERROR(__xludf.DUMMYFUNCTION("""COMPUTED_VALUE"""),"Brian Harman")</f>
        <v>Brian Harman</v>
      </c>
      <c r="D180">
        <f ca="1">IFERROR(__xludf.DUMMYFUNCTION("""COMPUTED_VALUE"""),24)</f>
        <v>24</v>
      </c>
      <c r="E180" t="str">
        <f ca="1">IFERROR(__xludf.DUMMYFUNCTION("""COMPUTED_VALUE"""),"27' 10""")</f>
        <v>27' 10"</v>
      </c>
      <c r="F180" s="2">
        <f ca="1">IFERROR(__xludf.DUMMYFUNCTION("""COMPUTED_VALUE"""),2002)</f>
        <v>2002</v>
      </c>
      <c r="G180">
        <f ca="1">IFERROR(__xludf.DUMMYFUNCTION("""COMPUTED_VALUE"""),72)</f>
        <v>72</v>
      </c>
      <c r="H180">
        <f ca="1">IFERROR(__xludf.DUMMYFUNCTION("""COMPUTED_VALUE"""),-3)</f>
        <v>-3</v>
      </c>
    </row>
    <row r="181" spans="1:8" ht="12.75">
      <c r="A181" t="str">
        <f ca="1">IFERROR(__xludf.DUMMYFUNCTION("""COMPUTED_VALUE"""),"T179")</f>
        <v>T179</v>
      </c>
      <c r="B181" t="str">
        <f ca="1">IFERROR(__xludf.DUMMYFUNCTION("""COMPUTED_VALUE"""),"T201")</f>
        <v>T201</v>
      </c>
      <c r="C181" t="str">
        <f ca="1">IFERROR(__xludf.DUMMYFUNCTION("""COMPUTED_VALUE"""),"Hideki Matsuyama")</f>
        <v>Hideki Matsuyama</v>
      </c>
      <c r="D181">
        <f ca="1">IFERROR(__xludf.DUMMYFUNCTION("""COMPUTED_VALUE"""),18)</f>
        <v>18</v>
      </c>
      <c r="E181" t="str">
        <f ca="1">IFERROR(__xludf.DUMMYFUNCTION("""COMPUTED_VALUE"""),"27' 10""")</f>
        <v>27' 10"</v>
      </c>
      <c r="F181" s="2">
        <f ca="1">IFERROR(__xludf.DUMMYFUNCTION("""COMPUTED_VALUE"""),1529.25)</f>
        <v>1529.25</v>
      </c>
      <c r="G181">
        <f ca="1">IFERROR(__xludf.DUMMYFUNCTION("""COMPUTED_VALUE"""),55)</f>
        <v>55</v>
      </c>
      <c r="H181">
        <f ca="1">IFERROR(__xludf.DUMMYFUNCTION("""COMPUTED_VALUE"""),-9)</f>
        <v>-9</v>
      </c>
    </row>
    <row r="182" spans="1:8" ht="12.75">
      <c r="A182" t="str">
        <f ca="1">IFERROR(__xludf.DUMMYFUNCTION("""COMPUTED_VALUE"""),"T181")</f>
        <v>T181</v>
      </c>
      <c r="B182" t="str">
        <f ca="1">IFERROR(__xludf.DUMMYFUNCTION("""COMPUTED_VALUE"""),"T194")</f>
        <v>T194</v>
      </c>
      <c r="C182" t="str">
        <f ca="1">IFERROR(__xludf.DUMMYFUNCTION("""COMPUTED_VALUE"""),"Patrick Rodgers")</f>
        <v>Patrick Rodgers</v>
      </c>
      <c r="D182">
        <f ca="1">IFERROR(__xludf.DUMMYFUNCTION("""COMPUTED_VALUE"""),18)</f>
        <v>18</v>
      </c>
      <c r="E182" t="str">
        <f ca="1">IFERROR(__xludf.DUMMYFUNCTION("""COMPUTED_VALUE"""),"28' 0""")</f>
        <v>28' 0"</v>
      </c>
      <c r="F182">
        <f ca="1">IFERROR(__xludf.DUMMYFUNCTION("""COMPUTED_VALUE"""),475.833)</f>
        <v>475.83300000000003</v>
      </c>
      <c r="G182">
        <f ca="1">IFERROR(__xludf.DUMMYFUNCTION("""COMPUTED_VALUE"""),17)</f>
        <v>17</v>
      </c>
      <c r="H182" t="str">
        <f ca="1">IFERROR(__xludf.DUMMYFUNCTION("""COMPUTED_VALUE"""),"+2")</f>
        <v>+2</v>
      </c>
    </row>
    <row r="183" spans="1:8" ht="12.75">
      <c r="A183" t="str">
        <f ca="1">IFERROR(__xludf.DUMMYFUNCTION("""COMPUTED_VALUE"""),"T181")</f>
        <v>T181</v>
      </c>
      <c r="B183">
        <f ca="1">IFERROR(__xludf.DUMMYFUNCTION("""COMPUTED_VALUE"""),222)</f>
        <v>222</v>
      </c>
      <c r="C183" t="str">
        <f ca="1">IFERROR(__xludf.DUMMYFUNCTION("""COMPUTED_VALUE"""),"Cameron Davis")</f>
        <v>Cameron Davis</v>
      </c>
      <c r="D183">
        <f ca="1">IFERROR(__xludf.DUMMYFUNCTION("""COMPUTED_VALUE"""),16)</f>
        <v>16</v>
      </c>
      <c r="E183" t="str">
        <f ca="1">IFERROR(__xludf.DUMMYFUNCTION("""COMPUTED_VALUE"""),"28' 0""")</f>
        <v>28' 0"</v>
      </c>
      <c r="F183">
        <f ca="1">IFERROR(__xludf.DUMMYFUNCTION("""COMPUTED_VALUE"""),980.167)</f>
        <v>980.16700000000003</v>
      </c>
      <c r="G183">
        <f ca="1">IFERROR(__xludf.DUMMYFUNCTION("""COMPUTED_VALUE"""),35)</f>
        <v>35</v>
      </c>
      <c r="H183">
        <f ca="1">IFERROR(__xludf.DUMMYFUNCTION("""COMPUTED_VALUE"""),-5)</f>
        <v>-5</v>
      </c>
    </row>
    <row r="184" spans="1:8" ht="12.75">
      <c r="A184" t="str">
        <f ca="1">IFERROR(__xludf.DUMMYFUNCTION("""COMPUTED_VALUE"""),"T183")</f>
        <v>T183</v>
      </c>
      <c r="B184" t="str">
        <f ca="1">IFERROR(__xludf.DUMMYFUNCTION("""COMPUTED_VALUE"""),"T79")</f>
        <v>T79</v>
      </c>
      <c r="C184" t="str">
        <f ca="1">IFERROR(__xludf.DUMMYFUNCTION("""COMPUTED_VALUE"""),"Jhonattan Vegas")</f>
        <v>Jhonattan Vegas</v>
      </c>
      <c r="D184">
        <f ca="1">IFERROR(__xludf.DUMMYFUNCTION("""COMPUTED_VALUE"""),16)</f>
        <v>16</v>
      </c>
      <c r="E184" t="str">
        <f ca="1">IFERROR(__xludf.DUMMYFUNCTION("""COMPUTED_VALUE"""),"28' 1""")</f>
        <v>28' 1"</v>
      </c>
      <c r="F184">
        <f ca="1">IFERROR(__xludf.DUMMYFUNCTION("""COMPUTED_VALUE"""),561.75)</f>
        <v>561.75</v>
      </c>
      <c r="G184">
        <f ca="1">IFERROR(__xludf.DUMMYFUNCTION("""COMPUTED_VALUE"""),20)</f>
        <v>20</v>
      </c>
      <c r="H184">
        <f ca="1">IFERROR(__xludf.DUMMYFUNCTION("""COMPUTED_VALUE"""),-2)</f>
        <v>-2</v>
      </c>
    </row>
    <row r="185" spans="1:8" ht="12.75">
      <c r="A185" t="str">
        <f ca="1">IFERROR(__xludf.DUMMYFUNCTION("""COMPUTED_VALUE"""),"T183")</f>
        <v>T183</v>
      </c>
      <c r="B185">
        <f ca="1">IFERROR(__xludf.DUMMYFUNCTION("""COMPUTED_VALUE"""),181)</f>
        <v>181</v>
      </c>
      <c r="C185" t="str">
        <f ca="1">IFERROR(__xludf.DUMMYFUNCTION("""COMPUTED_VALUE"""),"Jeongwoo Ham")</f>
        <v>Jeongwoo Ham</v>
      </c>
      <c r="D185">
        <f ca="1">IFERROR(__xludf.DUMMYFUNCTION("""COMPUTED_VALUE"""),4)</f>
        <v>4</v>
      </c>
      <c r="E185" t="str">
        <f ca="1">IFERROR(__xludf.DUMMYFUNCTION("""COMPUTED_VALUE"""),"28' 1""")</f>
        <v>28' 1"</v>
      </c>
      <c r="F185">
        <f ca="1">IFERROR(__xludf.DUMMYFUNCTION("""COMPUTED_VALUE"""),168.667)</f>
        <v>168.667</v>
      </c>
      <c r="G185">
        <f ca="1">IFERROR(__xludf.DUMMYFUNCTION("""COMPUTED_VALUE"""),6)</f>
        <v>6</v>
      </c>
      <c r="H185">
        <f ca="1">IFERROR(__xludf.DUMMYFUNCTION("""COMPUTED_VALUE"""),-1)</f>
        <v>-1</v>
      </c>
    </row>
    <row r="186" spans="1:8" ht="12.75">
      <c r="A186" t="str">
        <f ca="1">IFERROR(__xludf.DUMMYFUNCTION("""COMPUTED_VALUE"""),"T185")</f>
        <v>T185</v>
      </c>
      <c r="B186" t="str">
        <f ca="1">IFERROR(__xludf.DUMMYFUNCTION("""COMPUTED_VALUE"""),"T182")</f>
        <v>T182</v>
      </c>
      <c r="C186" t="str">
        <f ca="1">IFERROR(__xludf.DUMMYFUNCTION("""COMPUTED_VALUE"""),"Brendon Todd")</f>
        <v>Brendon Todd</v>
      </c>
      <c r="D186">
        <f ca="1">IFERROR(__xludf.DUMMYFUNCTION("""COMPUTED_VALUE"""),14)</f>
        <v>14</v>
      </c>
      <c r="E186" t="str">
        <f ca="1">IFERROR(__xludf.DUMMYFUNCTION("""COMPUTED_VALUE"""),"28' 2""")</f>
        <v>28' 2"</v>
      </c>
      <c r="F186">
        <f ca="1">IFERROR(__xludf.DUMMYFUNCTION("""COMPUTED_VALUE"""),929.667)</f>
        <v>929.66700000000003</v>
      </c>
      <c r="G186">
        <f ca="1">IFERROR(__xludf.DUMMYFUNCTION("""COMPUTED_VALUE"""),33)</f>
        <v>33</v>
      </c>
      <c r="H186">
        <f ca="1">IFERROR(__xludf.DUMMYFUNCTION("""COMPUTED_VALUE"""),-1)</f>
        <v>-1</v>
      </c>
    </row>
    <row r="187" spans="1:8" ht="12.75">
      <c r="A187" t="str">
        <f ca="1">IFERROR(__xludf.DUMMYFUNCTION("""COMPUTED_VALUE"""),"T185")</f>
        <v>T185</v>
      </c>
      <c r="B187" t="str">
        <f ca="1">IFERROR(__xludf.DUMMYFUNCTION("""COMPUTED_VALUE"""),"T182")</f>
        <v>T182</v>
      </c>
      <c r="C187" t="str">
        <f ca="1">IFERROR(__xludf.DUMMYFUNCTION("""COMPUTED_VALUE"""),"Rickie Fowler")</f>
        <v>Rickie Fowler</v>
      </c>
      <c r="D187">
        <f ca="1">IFERROR(__xludf.DUMMYFUNCTION("""COMPUTED_VALUE"""),14)</f>
        <v>14</v>
      </c>
      <c r="E187" t="str">
        <f ca="1">IFERROR(__xludf.DUMMYFUNCTION("""COMPUTED_VALUE"""),"28' 2""")</f>
        <v>28' 2"</v>
      </c>
      <c r="F187" s="2">
        <f ca="1">IFERROR(__xludf.DUMMYFUNCTION("""COMPUTED_VALUE"""),1069)</f>
        <v>1069</v>
      </c>
      <c r="G187">
        <f ca="1">IFERROR(__xludf.DUMMYFUNCTION("""COMPUTED_VALUE"""),38)</f>
        <v>38</v>
      </c>
      <c r="H187">
        <f ca="1">IFERROR(__xludf.DUMMYFUNCTION("""COMPUTED_VALUE"""),-5)</f>
        <v>-5</v>
      </c>
    </row>
    <row r="188" spans="1:8" ht="12.75">
      <c r="A188" t="str">
        <f ca="1">IFERROR(__xludf.DUMMYFUNCTION("""COMPUTED_VALUE"""),"T185")</f>
        <v>T185</v>
      </c>
      <c r="B188" t="str">
        <f ca="1">IFERROR(__xludf.DUMMYFUNCTION("""COMPUTED_VALUE"""),"T157")</f>
        <v>T157</v>
      </c>
      <c r="C188" t="str">
        <f ca="1">IFERROR(__xludf.DUMMYFUNCTION("""COMPUTED_VALUE"""),"Bo Hoag")</f>
        <v>Bo Hoag</v>
      </c>
      <c r="D188">
        <f ca="1">IFERROR(__xludf.DUMMYFUNCTION("""COMPUTED_VALUE"""),14)</f>
        <v>14</v>
      </c>
      <c r="E188" t="str">
        <f ca="1">IFERROR(__xludf.DUMMYFUNCTION("""COMPUTED_VALUE"""),"28' 2""")</f>
        <v>28' 2"</v>
      </c>
      <c r="F188">
        <f ca="1">IFERROR(__xludf.DUMMYFUNCTION("""COMPUTED_VALUE"""),647.167)</f>
        <v>647.16700000000003</v>
      </c>
      <c r="G188">
        <f ca="1">IFERROR(__xludf.DUMMYFUNCTION("""COMPUTED_VALUE"""),23)</f>
        <v>23</v>
      </c>
      <c r="H188" t="str">
        <f ca="1">IFERROR(__xludf.DUMMYFUNCTION("""COMPUTED_VALUE"""),"+3")</f>
        <v>+3</v>
      </c>
    </row>
    <row r="189" spans="1:8" ht="12.75">
      <c r="A189" t="str">
        <f ca="1">IFERROR(__xludf.DUMMYFUNCTION("""COMPUTED_VALUE"""),"T185")</f>
        <v>T185</v>
      </c>
      <c r="B189" t="str">
        <f ca="1">IFERROR(__xludf.DUMMYFUNCTION("""COMPUTED_VALUE"""),"T151")</f>
        <v>T151</v>
      </c>
      <c r="C189" t="str">
        <f ca="1">IFERROR(__xludf.DUMMYFUNCTION("""COMPUTED_VALUE"""),"Sepp Straka")</f>
        <v>Sepp Straka</v>
      </c>
      <c r="D189">
        <f ca="1">IFERROR(__xludf.DUMMYFUNCTION("""COMPUTED_VALUE"""),22)</f>
        <v>22</v>
      </c>
      <c r="E189" t="str">
        <f ca="1">IFERROR(__xludf.DUMMYFUNCTION("""COMPUTED_VALUE"""),"28' 2""")</f>
        <v>28' 2"</v>
      </c>
      <c r="F189">
        <f ca="1">IFERROR(__xludf.DUMMYFUNCTION("""COMPUTED_VALUE"""),958)</f>
        <v>958</v>
      </c>
      <c r="G189">
        <f ca="1">IFERROR(__xludf.DUMMYFUNCTION("""COMPUTED_VALUE"""),34)</f>
        <v>34</v>
      </c>
      <c r="H189" t="str">
        <f ca="1">IFERROR(__xludf.DUMMYFUNCTION("""COMPUTED_VALUE"""),"+2")</f>
        <v>+2</v>
      </c>
    </row>
    <row r="190" spans="1:8" ht="12.75">
      <c r="A190">
        <f ca="1">IFERROR(__xludf.DUMMYFUNCTION("""COMPUTED_VALUE"""),189)</f>
        <v>189</v>
      </c>
      <c r="B190" t="str">
        <f ca="1">IFERROR(__xludf.DUMMYFUNCTION("""COMPUTED_VALUE"""),"T172")</f>
        <v>T172</v>
      </c>
      <c r="C190" t="str">
        <f ca="1">IFERROR(__xludf.DUMMYFUNCTION("""COMPUTED_VALUE"""),"Patton Kizzire")</f>
        <v>Patton Kizzire</v>
      </c>
      <c r="D190">
        <f ca="1">IFERROR(__xludf.DUMMYFUNCTION("""COMPUTED_VALUE"""),18)</f>
        <v>18</v>
      </c>
      <c r="E190" t="str">
        <f ca="1">IFERROR(__xludf.DUMMYFUNCTION("""COMPUTED_VALUE"""),"28' 3""")</f>
        <v>28' 3"</v>
      </c>
      <c r="F190">
        <f ca="1">IFERROR(__xludf.DUMMYFUNCTION("""COMPUTED_VALUE"""),874.75)</f>
        <v>874.75</v>
      </c>
      <c r="G190">
        <f ca="1">IFERROR(__xludf.DUMMYFUNCTION("""COMPUTED_VALUE"""),31)</f>
        <v>31</v>
      </c>
      <c r="H190">
        <f ca="1">IFERROR(__xludf.DUMMYFUNCTION("""COMPUTED_VALUE"""),-4)</f>
        <v>-4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IFERROR(__xludf.DUMMYFUNCTION("""COMPUTED_VALUE"""),"T185")</f>
        <v>T185</v>
      </c>
      <c r="C191" t="str">
        <f ca="1">IFERROR(__xludf.DUMMYFUNCTION("""COMPUTED_VALUE"""),"Thomas Pieters")</f>
        <v>Thomas Pieters</v>
      </c>
      <c r="D191">
        <f ca="1">IFERROR(__xludf.DUMMYFUNCTION("""COMPUTED_VALUE"""),4)</f>
        <v>4</v>
      </c>
      <c r="E191" t="str">
        <f ca="1">IFERROR(__xludf.DUMMYFUNCTION("""COMPUTED_VALUE"""),"28' 4""")</f>
        <v>28' 4"</v>
      </c>
      <c r="F191">
        <f ca="1">IFERROR(__xludf.DUMMYFUNCTION("""COMPUTED_VALUE"""),311.333)</f>
        <v>311.33300000000003</v>
      </c>
      <c r="G191">
        <f ca="1">IFERROR(__xludf.DUMMYFUNCTION("""COMPUTED_VALUE"""),11)</f>
        <v>11</v>
      </c>
      <c r="H191">
        <f ca="1">IFERROR(__xludf.DUMMYFUNCTION("""COMPUTED_VALUE"""),-2)</f>
        <v>-2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IFERROR(__xludf.DUMMYFUNCTION("""COMPUTED_VALUE"""),"T185")</f>
        <v>T185</v>
      </c>
      <c r="C192" t="str">
        <f ca="1">IFERROR(__xludf.DUMMYFUNCTION("""COMPUTED_VALUE"""),"Jazz Janewattananond")</f>
        <v>Jazz Janewattananond</v>
      </c>
      <c r="D192">
        <f ca="1">IFERROR(__xludf.DUMMYFUNCTION("""COMPUTED_VALUE"""),6)</f>
        <v>6</v>
      </c>
      <c r="E192" t="str">
        <f ca="1">IFERROR(__xludf.DUMMYFUNCTION("""COMPUTED_VALUE"""),"28' 4""")</f>
        <v>28' 4"</v>
      </c>
      <c r="F192">
        <f ca="1">IFERROR(__xludf.DUMMYFUNCTION("""COMPUTED_VALUE"""),679.167)</f>
        <v>679.16700000000003</v>
      </c>
      <c r="G192">
        <f ca="1">IFERROR(__xludf.DUMMYFUNCTION("""COMPUTED_VALUE"""),24)</f>
        <v>24</v>
      </c>
      <c r="H192" t="str">
        <f ca="1">IFERROR(__xludf.DUMMYFUNCTION("""COMPUTED_VALUE"""),"E")</f>
        <v>E</v>
      </c>
    </row>
    <row r="193" spans="1:8" ht="12.75">
      <c r="A193" t="str">
        <f ca="1">IFERROR(__xludf.DUMMYFUNCTION("""COMPUTED_VALUE"""),"T192")</f>
        <v>T192</v>
      </c>
      <c r="B193" t="str">
        <f ca="1">IFERROR(__xludf.DUMMYFUNCTION("""COMPUTED_VALUE"""),"T189")</f>
        <v>T189</v>
      </c>
      <c r="C193" t="str">
        <f ca="1">IFERROR(__xludf.DUMMYFUNCTION("""COMPUTED_VALUE"""),"Brad Kennedy")</f>
        <v>Brad Kennedy</v>
      </c>
      <c r="D193">
        <f ca="1">IFERROR(__xludf.DUMMYFUNCTION("""COMPUTED_VALUE"""),4)</f>
        <v>4</v>
      </c>
      <c r="E193" t="str">
        <f ca="1">IFERROR(__xludf.DUMMYFUNCTION("""COMPUTED_VALUE"""),"28' 7""")</f>
        <v>28' 7"</v>
      </c>
      <c r="F193">
        <f ca="1">IFERROR(__xludf.DUMMYFUNCTION("""COMPUTED_VALUE"""),429.083)</f>
        <v>429.08300000000003</v>
      </c>
      <c r="G193">
        <f ca="1">IFERROR(__xludf.DUMMYFUNCTION("""COMPUTED_VALUE"""),15)</f>
        <v>15</v>
      </c>
      <c r="H193">
        <f ca="1">IFERROR(__xludf.DUMMYFUNCTION("""COMPUTED_VALUE"""),-5)</f>
        <v>-5</v>
      </c>
    </row>
    <row r="194" spans="1:8" ht="12.75">
      <c r="A194" t="str">
        <f ca="1">IFERROR(__xludf.DUMMYFUNCTION("""COMPUTED_VALUE"""),"T192")</f>
        <v>T192</v>
      </c>
      <c r="B194" t="str">
        <f ca="1">IFERROR(__xludf.DUMMYFUNCTION("""COMPUTED_VALUE"""),"T189")</f>
        <v>T189</v>
      </c>
      <c r="C194" t="str">
        <f ca="1">IFERROR(__xludf.DUMMYFUNCTION("""COMPUTED_VALUE"""),"K.J. Choi")</f>
        <v>K.J. Choi</v>
      </c>
      <c r="D194">
        <f ca="1">IFERROR(__xludf.DUMMYFUNCTION("""COMPUTED_VALUE"""),6)</f>
        <v>6</v>
      </c>
      <c r="E194" t="str">
        <f ca="1">IFERROR(__xludf.DUMMYFUNCTION("""COMPUTED_VALUE"""),"28' 7""")</f>
        <v>28' 7"</v>
      </c>
      <c r="F194">
        <f ca="1">IFERROR(__xludf.DUMMYFUNCTION("""COMPUTED_VALUE"""),486.583)</f>
        <v>486.58300000000003</v>
      </c>
      <c r="G194">
        <f ca="1">IFERROR(__xludf.DUMMYFUNCTION("""COMPUTED_VALUE"""),17)</f>
        <v>17</v>
      </c>
      <c r="H194" t="str">
        <f ca="1">IFERROR(__xludf.DUMMYFUNCTION("""COMPUTED_VALUE"""),"E")</f>
        <v>E</v>
      </c>
    </row>
    <row r="195" spans="1:8" ht="12.75">
      <c r="A195">
        <f ca="1">IFERROR(__xludf.DUMMYFUNCTION("""COMPUTED_VALUE"""),194)</f>
        <v>194</v>
      </c>
      <c r="B195" t="str">
        <f ca="1">IFERROR(__xludf.DUMMYFUNCTION("""COMPUTED_VALUE"""),"T108")</f>
        <v>T108</v>
      </c>
      <c r="C195" t="str">
        <f ca="1">IFERROR(__xludf.DUMMYFUNCTION("""COMPUTED_VALUE"""),"Doc Redman")</f>
        <v>Doc Redman</v>
      </c>
      <c r="D195">
        <f ca="1">IFERROR(__xludf.DUMMYFUNCTION("""COMPUTED_VALUE"""),18)</f>
        <v>18</v>
      </c>
      <c r="E195" t="str">
        <f ca="1">IFERROR(__xludf.DUMMYFUNCTION("""COMPUTED_VALUE"""),"28' 8""")</f>
        <v>28' 8"</v>
      </c>
      <c r="F195" s="2">
        <f ca="1">IFERROR(__xludf.DUMMYFUNCTION("""COMPUTED_VALUE"""),1004)</f>
        <v>1004</v>
      </c>
      <c r="G195">
        <f ca="1">IFERROR(__xludf.DUMMYFUNCTION("""COMPUTED_VALUE"""),35)</f>
        <v>35</v>
      </c>
      <c r="H195" t="str">
        <f ca="1">IFERROR(__xludf.DUMMYFUNCTION("""COMPUTED_VALUE"""),"+3")</f>
        <v>+3</v>
      </c>
    </row>
    <row r="196" spans="1:8" ht="12.75">
      <c r="A196">
        <f ca="1">IFERROR(__xludf.DUMMYFUNCTION("""COMPUTED_VALUE"""),195)</f>
        <v>195</v>
      </c>
      <c r="B196">
        <f ca="1">IFERROR(__xludf.DUMMYFUNCTION("""COMPUTED_VALUE"""),192)</f>
        <v>192</v>
      </c>
      <c r="C196" t="str">
        <f ca="1">IFERROR(__xludf.DUMMYFUNCTION("""COMPUTED_VALUE"""),"Si Woo Kim")</f>
        <v>Si Woo Kim</v>
      </c>
      <c r="D196">
        <f ca="1">IFERROR(__xludf.DUMMYFUNCTION("""COMPUTED_VALUE"""),20)</f>
        <v>20</v>
      </c>
      <c r="E196" t="str">
        <f ca="1">IFERROR(__xludf.DUMMYFUNCTION("""COMPUTED_VALUE"""),"28' 9""")</f>
        <v>28' 9"</v>
      </c>
      <c r="F196" s="2">
        <f ca="1">IFERROR(__xludf.DUMMYFUNCTION("""COMPUTED_VALUE"""),1235.833)</f>
        <v>1235.8330000000001</v>
      </c>
      <c r="G196">
        <f ca="1">IFERROR(__xludf.DUMMYFUNCTION("""COMPUTED_VALUE"""),43)</f>
        <v>43</v>
      </c>
      <c r="H196">
        <f ca="1">IFERROR(__xludf.DUMMYFUNCTION("""COMPUTED_VALUE"""),-1)</f>
        <v>-1</v>
      </c>
    </row>
    <row r="197" spans="1:8" ht="12.75">
      <c r="A197" t="str">
        <f ca="1">IFERROR(__xludf.DUMMYFUNCTION("""COMPUTED_VALUE"""),"T196")</f>
        <v>T196</v>
      </c>
      <c r="B197" t="str">
        <f ca="1">IFERROR(__xludf.DUMMYFUNCTION("""COMPUTED_VALUE"""),"T194")</f>
        <v>T194</v>
      </c>
      <c r="C197" t="str">
        <f ca="1">IFERROR(__xludf.DUMMYFUNCTION("""COMPUTED_VALUE"""),"Bill Haas")</f>
        <v>Bill Haas</v>
      </c>
      <c r="D197">
        <f ca="1">IFERROR(__xludf.DUMMYFUNCTION("""COMPUTED_VALUE"""),10)</f>
        <v>10</v>
      </c>
      <c r="E197" t="str">
        <f ca="1">IFERROR(__xludf.DUMMYFUNCTION("""COMPUTED_VALUE"""),"28' 10""")</f>
        <v>28' 10"</v>
      </c>
      <c r="F197">
        <f ca="1">IFERROR(__xludf.DUMMYFUNCTION("""COMPUTED_VALUE"""),259.75)</f>
        <v>259.75</v>
      </c>
      <c r="G197">
        <f ca="1">IFERROR(__xludf.DUMMYFUNCTION("""COMPUTED_VALUE"""),9)</f>
        <v>9</v>
      </c>
      <c r="H197" t="str">
        <f ca="1">IFERROR(__xludf.DUMMYFUNCTION("""COMPUTED_VALUE"""),"E")</f>
        <v>E</v>
      </c>
    </row>
    <row r="198" spans="1:8" ht="12.75">
      <c r="A198" t="str">
        <f ca="1">IFERROR(__xludf.DUMMYFUNCTION("""COMPUTED_VALUE"""),"T196")</f>
        <v>T196</v>
      </c>
      <c r="B198" t="str">
        <f ca="1">IFERROR(__xludf.DUMMYFUNCTION("""COMPUTED_VALUE"""),"T151")</f>
        <v>T151</v>
      </c>
      <c r="C198" t="str">
        <f ca="1">IFERROR(__xludf.DUMMYFUNCTION("""COMPUTED_VALUE"""),"Brandt Snedeker")</f>
        <v>Brandt Snedeker</v>
      </c>
      <c r="D198">
        <f ca="1">IFERROR(__xludf.DUMMYFUNCTION("""COMPUTED_VALUE"""),16)</f>
        <v>16</v>
      </c>
      <c r="E198" t="str">
        <f ca="1">IFERROR(__xludf.DUMMYFUNCTION("""COMPUTED_VALUE"""),"28' 10""")</f>
        <v>28' 10"</v>
      </c>
      <c r="F198" s="2">
        <f ca="1">IFERROR(__xludf.DUMMYFUNCTION("""COMPUTED_VALUE"""),1356)</f>
        <v>1356</v>
      </c>
      <c r="G198">
        <f ca="1">IFERROR(__xludf.DUMMYFUNCTION("""COMPUTED_VALUE"""),47)</f>
        <v>47</v>
      </c>
      <c r="H198">
        <f ca="1">IFERROR(__xludf.DUMMYFUNCTION("""COMPUTED_VALUE"""),-6)</f>
        <v>-6</v>
      </c>
    </row>
    <row r="199" spans="1:8" ht="12.75">
      <c r="A199">
        <f ca="1">IFERROR(__xludf.DUMMYFUNCTION("""COMPUTED_VALUE"""),198)</f>
        <v>198</v>
      </c>
      <c r="B199" t="str">
        <f ca="1">IFERROR(__xludf.DUMMYFUNCTION("""COMPUTED_VALUE"""),"T198")</f>
        <v>T198</v>
      </c>
      <c r="C199" t="str">
        <f ca="1">IFERROR(__xludf.DUMMYFUNCTION("""COMPUTED_VALUE"""),"Corey Conners")</f>
        <v>Corey Conners</v>
      </c>
      <c r="D199">
        <f ca="1">IFERROR(__xludf.DUMMYFUNCTION("""COMPUTED_VALUE"""),20)</f>
        <v>20</v>
      </c>
      <c r="E199" t="str">
        <f ca="1">IFERROR(__xludf.DUMMYFUNCTION("""COMPUTED_VALUE"""),"28' 11""")</f>
        <v>28' 11"</v>
      </c>
      <c r="F199" s="2">
        <f ca="1">IFERROR(__xludf.DUMMYFUNCTION("""COMPUTED_VALUE"""),1476.25)</f>
        <v>1476.25</v>
      </c>
      <c r="G199">
        <f ca="1">IFERROR(__xludf.DUMMYFUNCTION("""COMPUTED_VALUE"""),51)</f>
        <v>51</v>
      </c>
      <c r="H199" t="str">
        <f ca="1">IFERROR(__xludf.DUMMYFUNCTION("""COMPUTED_VALUE"""),"+1")</f>
        <v>+1</v>
      </c>
    </row>
    <row r="200" spans="1:8" ht="12.75">
      <c r="A200" t="str">
        <f ca="1">IFERROR(__xludf.DUMMYFUNCTION("""COMPUTED_VALUE"""),"T199")</f>
        <v>T199</v>
      </c>
      <c r="B200">
        <f ca="1">IFERROR(__xludf.DUMMYFUNCTION("""COMPUTED_VALUE"""),217)</f>
        <v>217</v>
      </c>
      <c r="C200" t="str">
        <f ca="1">IFERROR(__xludf.DUMMYFUNCTION("""COMPUTED_VALUE"""),"Sean O'Hair")</f>
        <v>Sean O'Hair</v>
      </c>
      <c r="D200">
        <f ca="1">IFERROR(__xludf.DUMMYFUNCTION("""COMPUTED_VALUE"""),14)</f>
        <v>14</v>
      </c>
      <c r="E200" t="str">
        <f ca="1">IFERROR(__xludf.DUMMYFUNCTION("""COMPUTED_VALUE"""),"29' 0""")</f>
        <v>29' 0"</v>
      </c>
      <c r="F200">
        <f ca="1">IFERROR(__xludf.DUMMYFUNCTION("""COMPUTED_VALUE"""),725.667)</f>
        <v>725.66700000000003</v>
      </c>
      <c r="G200">
        <f ca="1">IFERROR(__xludf.DUMMYFUNCTION("""COMPUTED_VALUE"""),25)</f>
        <v>25</v>
      </c>
      <c r="H200" t="str">
        <f ca="1">IFERROR(__xludf.DUMMYFUNCTION("""COMPUTED_VALUE"""),"E")</f>
        <v>E</v>
      </c>
    </row>
    <row r="201" spans="1:8" ht="12.75">
      <c r="A201" t="str">
        <f ca="1">IFERROR(__xludf.DUMMYFUNCTION("""COMPUTED_VALUE"""),"T199")</f>
        <v>T199</v>
      </c>
      <c r="B201">
        <f ca="1">IFERROR(__xludf.DUMMYFUNCTION("""COMPUTED_VALUE"""),193)</f>
        <v>193</v>
      </c>
      <c r="C201" t="str">
        <f ca="1">IFERROR(__xludf.DUMMYFUNCTION("""COMPUTED_VALUE"""),"Kelly Kraft")</f>
        <v>Kelly Kraft</v>
      </c>
      <c r="D201">
        <f ca="1">IFERROR(__xludf.DUMMYFUNCTION("""COMPUTED_VALUE"""),14)</f>
        <v>14</v>
      </c>
      <c r="E201" t="str">
        <f ca="1">IFERROR(__xludf.DUMMYFUNCTION("""COMPUTED_VALUE"""),"29' 0""")</f>
        <v>29' 0"</v>
      </c>
      <c r="F201">
        <f ca="1">IFERROR(__xludf.DUMMYFUNCTION("""COMPUTED_VALUE"""),725.833)</f>
        <v>725.83299999999997</v>
      </c>
      <c r="G201">
        <f ca="1">IFERROR(__xludf.DUMMYFUNCTION("""COMPUTED_VALUE"""),25)</f>
        <v>25</v>
      </c>
      <c r="H201" t="str">
        <f ca="1">IFERROR(__xludf.DUMMYFUNCTION("""COMPUTED_VALUE"""),"+1")</f>
        <v>+1</v>
      </c>
    </row>
    <row r="202" spans="1:8" ht="12.75">
      <c r="A202" t="str">
        <f ca="1">IFERROR(__xludf.DUMMYFUNCTION("""COMPUTED_VALUE"""),"T201")</f>
        <v>T201</v>
      </c>
      <c r="B202">
        <f ca="1">IFERROR(__xludf.DUMMYFUNCTION("""COMPUTED_VALUE"""),168)</f>
        <v>168</v>
      </c>
      <c r="C202" t="str">
        <f ca="1">IFERROR(__xludf.DUMMYFUNCTION("""COMPUTED_VALUE"""),"Stewart Cink")</f>
        <v>Stewart Cink</v>
      </c>
      <c r="D202">
        <f ca="1">IFERROR(__xludf.DUMMYFUNCTION("""COMPUTED_VALUE"""),18)</f>
        <v>18</v>
      </c>
      <c r="E202" t="str">
        <f ca="1">IFERROR(__xludf.DUMMYFUNCTION("""COMPUTED_VALUE"""),"29' 2""")</f>
        <v>29' 2"</v>
      </c>
      <c r="F202">
        <f ca="1">IFERROR(__xludf.DUMMYFUNCTION("""COMPUTED_VALUE"""),874.583)</f>
        <v>874.58299999999997</v>
      </c>
      <c r="G202">
        <f ca="1">IFERROR(__xludf.DUMMYFUNCTION("""COMPUTED_VALUE"""),30)</f>
        <v>30</v>
      </c>
      <c r="H202">
        <f ca="1">IFERROR(__xludf.DUMMYFUNCTION("""COMPUTED_VALUE"""),-5)</f>
        <v>-5</v>
      </c>
    </row>
    <row r="203" spans="1:8" ht="12.75">
      <c r="A203" t="str">
        <f ca="1">IFERROR(__xludf.DUMMYFUNCTION("""COMPUTED_VALUE"""),"T201")</f>
        <v>T201</v>
      </c>
      <c r="B203" t="str">
        <f ca="1">IFERROR(__xludf.DUMMYFUNCTION("""COMPUTED_VALUE"""),"T201")</f>
        <v>T201</v>
      </c>
      <c r="C203" t="str">
        <f ca="1">IFERROR(__xludf.DUMMYFUNCTION("""COMPUTED_VALUE"""),"Kevin Na")</f>
        <v>Kevin Na</v>
      </c>
      <c r="D203">
        <f ca="1">IFERROR(__xludf.DUMMYFUNCTION("""COMPUTED_VALUE"""),14)</f>
        <v>14</v>
      </c>
      <c r="E203" t="str">
        <f ca="1">IFERROR(__xludf.DUMMYFUNCTION("""COMPUTED_VALUE"""),"29' 2""")</f>
        <v>29' 2"</v>
      </c>
      <c r="F203">
        <f ca="1">IFERROR(__xludf.DUMMYFUNCTION("""COMPUTED_VALUE"""),993)</f>
        <v>993</v>
      </c>
      <c r="G203">
        <f ca="1">IFERROR(__xludf.DUMMYFUNCTION("""COMPUTED_VALUE"""),34)</f>
        <v>34</v>
      </c>
      <c r="H203">
        <f ca="1">IFERROR(__xludf.DUMMYFUNCTION("""COMPUTED_VALUE"""),-3)</f>
        <v>-3</v>
      </c>
    </row>
    <row r="204" spans="1:8" ht="12.75">
      <c r="A204" t="str">
        <f ca="1">IFERROR(__xludf.DUMMYFUNCTION("""COMPUTED_VALUE"""),"T201")</f>
        <v>T201</v>
      </c>
      <c r="B204" t="str">
        <f ca="1">IFERROR(__xludf.DUMMYFUNCTION("""COMPUTED_VALUE"""),"T201")</f>
        <v>T201</v>
      </c>
      <c r="C204" t="str">
        <f ca="1">IFERROR(__xludf.DUMMYFUNCTION("""COMPUTED_VALUE"""),"Webb Simpson")</f>
        <v>Webb Simpson</v>
      </c>
      <c r="D204">
        <f ca="1">IFERROR(__xludf.DUMMYFUNCTION("""COMPUTED_VALUE"""),12)</f>
        <v>12</v>
      </c>
      <c r="E204" t="str">
        <f ca="1">IFERROR(__xludf.DUMMYFUNCTION("""COMPUTED_VALUE"""),"29' 2""")</f>
        <v>29' 2"</v>
      </c>
      <c r="F204" s="2">
        <f ca="1">IFERROR(__xludf.DUMMYFUNCTION("""COMPUTED_VALUE"""),1080.083)</f>
        <v>1080.0830000000001</v>
      </c>
      <c r="G204">
        <f ca="1">IFERROR(__xludf.DUMMYFUNCTION("""COMPUTED_VALUE"""),37)</f>
        <v>37</v>
      </c>
      <c r="H204">
        <f ca="1">IFERROR(__xludf.DUMMYFUNCTION("""COMPUTED_VALUE"""),-6)</f>
        <v>-6</v>
      </c>
    </row>
    <row r="205" spans="1:8" ht="12.75">
      <c r="A205" t="str">
        <f ca="1">IFERROR(__xludf.DUMMYFUNCTION("""COMPUTED_VALUE"""),"T201")</f>
        <v>T201</v>
      </c>
      <c r="B205" t="str">
        <f ca="1">IFERROR(__xludf.DUMMYFUNCTION("""COMPUTED_VALUE"""),"T201")</f>
        <v>T201</v>
      </c>
      <c r="C205" t="str">
        <f ca="1">IFERROR(__xludf.DUMMYFUNCTION("""COMPUTED_VALUE"""),"Wes Roach")</f>
        <v>Wes Roach</v>
      </c>
      <c r="D205">
        <f ca="1">IFERROR(__xludf.DUMMYFUNCTION("""COMPUTED_VALUE"""),6)</f>
        <v>6</v>
      </c>
      <c r="E205" t="str">
        <f ca="1">IFERROR(__xludf.DUMMYFUNCTION("""COMPUTED_VALUE"""),"29' 2""")</f>
        <v>29' 2"</v>
      </c>
      <c r="F205">
        <f ca="1">IFERROR(__xludf.DUMMYFUNCTION("""COMPUTED_VALUE"""),146)</f>
        <v>146</v>
      </c>
      <c r="G205">
        <f ca="1">IFERROR(__xludf.DUMMYFUNCTION("""COMPUTED_VALUE"""),5)</f>
        <v>5</v>
      </c>
      <c r="H205" t="str">
        <f ca="1">IFERROR(__xludf.DUMMYFUNCTION("""COMPUTED_VALUE"""),"E")</f>
        <v>E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IFERROR(__xludf.DUMMYFUNCTION("""COMPUTED_VALUE"""),"T205")</f>
        <v>T205</v>
      </c>
      <c r="C206" t="str">
        <f ca="1">IFERROR(__xludf.DUMMYFUNCTION("""COMPUTED_VALUE"""),"Patrick Cantlay")</f>
        <v>Patrick Cantlay</v>
      </c>
      <c r="D206">
        <f ca="1">IFERROR(__xludf.DUMMYFUNCTION("""COMPUTED_VALUE"""),16)</f>
        <v>16</v>
      </c>
      <c r="E206" t="str">
        <f ca="1">IFERROR(__xludf.DUMMYFUNCTION("""COMPUTED_VALUE"""),"29' 3""")</f>
        <v>29' 3"</v>
      </c>
      <c r="F206" s="2">
        <f ca="1">IFERROR(__xludf.DUMMYFUNCTION("""COMPUTED_VALUE"""),1551.167)</f>
        <v>1551.1669999999999</v>
      </c>
      <c r="G206">
        <f ca="1">IFERROR(__xludf.DUMMYFUNCTION("""COMPUTED_VALUE"""),53)</f>
        <v>53</v>
      </c>
      <c r="H206">
        <f ca="1">IFERROR(__xludf.DUMMYFUNCTION("""COMPUTED_VALUE"""),-3)</f>
        <v>-3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IFERROR(__xludf.DUMMYFUNCTION("""COMPUTED_VALUE"""),"T205")</f>
        <v>T205</v>
      </c>
      <c r="C207" t="str">
        <f ca="1">IFERROR(__xludf.DUMMYFUNCTION("""COMPUTED_VALUE"""),"Brandon Hagy")</f>
        <v>Brandon Hagy</v>
      </c>
      <c r="D207">
        <f ca="1">IFERROR(__xludf.DUMMYFUNCTION("""COMPUTED_VALUE"""),10)</f>
        <v>10</v>
      </c>
      <c r="E207" t="str">
        <f ca="1">IFERROR(__xludf.DUMMYFUNCTION("""COMPUTED_VALUE"""),"29' 3""")</f>
        <v>29' 3"</v>
      </c>
      <c r="F207">
        <f ca="1">IFERROR(__xludf.DUMMYFUNCTION("""COMPUTED_VALUE"""),234.083)</f>
        <v>234.083</v>
      </c>
      <c r="G207">
        <f ca="1">IFERROR(__xludf.DUMMYFUNCTION("""COMPUTED_VALUE"""),8)</f>
        <v>8</v>
      </c>
      <c r="H207">
        <f ca="1">IFERROR(__xludf.DUMMYFUNCTION("""COMPUTED_VALUE"""),-1)</f>
        <v>-1</v>
      </c>
    </row>
    <row r="208" spans="1:8" ht="12.75">
      <c r="A208">
        <f ca="1">IFERROR(__xludf.DUMMYFUNCTION("""COMPUTED_VALUE"""),207)</f>
        <v>207</v>
      </c>
      <c r="B208" t="str">
        <f ca="1">IFERROR(__xludf.DUMMYFUNCTION("""COMPUTED_VALUE"""),"T223")</f>
        <v>T223</v>
      </c>
      <c r="C208" t="str">
        <f ca="1">IFERROR(__xludf.DUMMYFUNCTION("""COMPUTED_VALUE"""),"Zach Johnson")</f>
        <v>Zach Johnson</v>
      </c>
      <c r="D208">
        <f ca="1">IFERROR(__xludf.DUMMYFUNCTION("""COMPUTED_VALUE"""),16)</f>
        <v>16</v>
      </c>
      <c r="E208" t="str">
        <f ca="1">IFERROR(__xludf.DUMMYFUNCTION("""COMPUTED_VALUE"""),"29' 4""")</f>
        <v>29' 4"</v>
      </c>
      <c r="F208" s="2">
        <f ca="1">IFERROR(__xludf.DUMMYFUNCTION("""COMPUTED_VALUE"""),1232.75)</f>
        <v>1232.75</v>
      </c>
      <c r="G208">
        <f ca="1">IFERROR(__xludf.DUMMYFUNCTION("""COMPUTED_VALUE"""),42)</f>
        <v>42</v>
      </c>
      <c r="H208">
        <f ca="1">IFERROR(__xludf.DUMMYFUNCTION("""COMPUTED_VALUE"""),-5)</f>
        <v>-5</v>
      </c>
    </row>
    <row r="209" spans="1:8" ht="12.75">
      <c r="A209" t="str">
        <f ca="1">IFERROR(__xludf.DUMMYFUNCTION("""COMPUTED_VALUE"""),"T208")</f>
        <v>T208</v>
      </c>
      <c r="B209" t="str">
        <f ca="1">IFERROR(__xludf.DUMMYFUNCTION("""COMPUTED_VALUE"""),"T208")</f>
        <v>T208</v>
      </c>
      <c r="C209" t="str">
        <f ca="1">IFERROR(__xludf.DUMMYFUNCTION("""COMPUTED_VALUE"""),"Marc Leishman")</f>
        <v>Marc Leishman</v>
      </c>
      <c r="D209">
        <f ca="1">IFERROR(__xludf.DUMMYFUNCTION("""COMPUTED_VALUE"""),10)</f>
        <v>10</v>
      </c>
      <c r="E209" t="str">
        <f ca="1">IFERROR(__xludf.DUMMYFUNCTION("""COMPUTED_VALUE"""),"29' 6""")</f>
        <v>29' 6"</v>
      </c>
      <c r="F209">
        <f ca="1">IFERROR(__xludf.DUMMYFUNCTION("""COMPUTED_VALUE"""),826.333)</f>
        <v>826.33299999999997</v>
      </c>
      <c r="G209">
        <f ca="1">IFERROR(__xludf.DUMMYFUNCTION("""COMPUTED_VALUE"""),28)</f>
        <v>28</v>
      </c>
      <c r="H209" t="str">
        <f ca="1">IFERROR(__xludf.DUMMYFUNCTION("""COMPUTED_VALUE"""),"+4")</f>
        <v>+4</v>
      </c>
    </row>
    <row r="210" spans="1:8" ht="12.75">
      <c r="A210" t="str">
        <f ca="1">IFERROR(__xludf.DUMMYFUNCTION("""COMPUTED_VALUE"""),"T208")</f>
        <v>T208</v>
      </c>
      <c r="B210" t="str">
        <f ca="1">IFERROR(__xludf.DUMMYFUNCTION("""COMPUTED_VALUE"""),"T208")</f>
        <v>T208</v>
      </c>
      <c r="C210" t="str">
        <f ca="1">IFERROR(__xludf.DUMMYFUNCTION("""COMPUTED_VALUE"""),"Chris Stroud")</f>
        <v>Chris Stroud</v>
      </c>
      <c r="D210">
        <f ca="1">IFERROR(__xludf.DUMMYFUNCTION("""COMPUTED_VALUE"""),6)</f>
        <v>6</v>
      </c>
      <c r="E210" t="str">
        <f ca="1">IFERROR(__xludf.DUMMYFUNCTION("""COMPUTED_VALUE"""),"29' 6""")</f>
        <v>29' 6"</v>
      </c>
      <c r="F210">
        <f ca="1">IFERROR(__xludf.DUMMYFUNCTION("""COMPUTED_VALUE"""),206.25)</f>
        <v>206.25</v>
      </c>
      <c r="G210">
        <f ca="1">IFERROR(__xludf.DUMMYFUNCTION("""COMPUTED_VALUE"""),7)</f>
        <v>7</v>
      </c>
      <c r="H210" t="str">
        <f ca="1">IFERROR(__xludf.DUMMYFUNCTION("""COMPUTED_VALUE"""),"E")</f>
        <v>E</v>
      </c>
    </row>
    <row r="211" spans="1:8" ht="12.75">
      <c r="A211">
        <f ca="1">IFERROR(__xludf.DUMMYFUNCTION("""COMPUTED_VALUE"""),210)</f>
        <v>210</v>
      </c>
      <c r="B211" t="str">
        <f ca="1">IFERROR(__xludf.DUMMYFUNCTION("""COMPUTED_VALUE"""),"T215")</f>
        <v>T215</v>
      </c>
      <c r="C211" t="str">
        <f ca="1">IFERROR(__xludf.DUMMYFUNCTION("""COMPUTED_VALUE"""),"Satoshi Kodaira")</f>
        <v>Satoshi Kodaira</v>
      </c>
      <c r="D211">
        <f ca="1">IFERROR(__xludf.DUMMYFUNCTION("""COMPUTED_VALUE"""),12)</f>
        <v>12</v>
      </c>
      <c r="E211" t="str">
        <f ca="1">IFERROR(__xludf.DUMMYFUNCTION("""COMPUTED_VALUE"""),"29' 7""")</f>
        <v>29' 7"</v>
      </c>
      <c r="F211" s="2">
        <f ca="1">IFERROR(__xludf.DUMMYFUNCTION("""COMPUTED_VALUE"""),1123.083)</f>
        <v>1123.0830000000001</v>
      </c>
      <c r="G211">
        <f ca="1">IFERROR(__xludf.DUMMYFUNCTION("""COMPUTED_VALUE"""),38)</f>
        <v>38</v>
      </c>
      <c r="H211">
        <f ca="1">IFERROR(__xludf.DUMMYFUNCTION("""COMPUTED_VALUE"""),-6)</f>
        <v>-6</v>
      </c>
    </row>
    <row r="212" spans="1:8" ht="12.75">
      <c r="A212" t="str">
        <f ca="1">IFERROR(__xludf.DUMMYFUNCTION("""COMPUTED_VALUE"""),"T211")</f>
        <v>T211</v>
      </c>
      <c r="B212" t="str">
        <f ca="1">IFERROR(__xludf.DUMMYFUNCTION("""COMPUTED_VALUE"""),"T211")</f>
        <v>T211</v>
      </c>
      <c r="C212" t="str">
        <f ca="1">IFERROR(__xludf.DUMMYFUNCTION("""COMPUTED_VALUE"""),"Peter Uihlein")</f>
        <v>Peter Uihlein</v>
      </c>
      <c r="D212">
        <f ca="1">IFERROR(__xludf.DUMMYFUNCTION("""COMPUTED_VALUE"""),8)</f>
        <v>8</v>
      </c>
      <c r="E212" t="str">
        <f ca="1">IFERROR(__xludf.DUMMYFUNCTION("""COMPUTED_VALUE"""),"29' 9""")</f>
        <v>29' 9"</v>
      </c>
      <c r="F212">
        <f ca="1">IFERROR(__xludf.DUMMYFUNCTION("""COMPUTED_VALUE"""),89.25)</f>
        <v>89.25</v>
      </c>
      <c r="G212">
        <f ca="1">IFERROR(__xludf.DUMMYFUNCTION("""COMPUTED_VALUE"""),3)</f>
        <v>3</v>
      </c>
      <c r="H212">
        <f ca="1">IFERROR(__xludf.DUMMYFUNCTION("""COMPUTED_VALUE"""),-1)</f>
        <v>-1</v>
      </c>
    </row>
    <row r="213" spans="1:8" ht="12.75">
      <c r="A213" t="str">
        <f ca="1">IFERROR(__xludf.DUMMYFUNCTION("""COMPUTED_VALUE"""),"T211")</f>
        <v>T211</v>
      </c>
      <c r="B213">
        <f ca="1">IFERROR(__xludf.DUMMYFUNCTION("""COMPUTED_VALUE"""),252)</f>
        <v>252</v>
      </c>
      <c r="C213" t="str">
        <f ca="1">IFERROR(__xludf.DUMMYFUNCTION("""COMPUTED_VALUE"""),"Shane Lowry")</f>
        <v>Shane Lowry</v>
      </c>
      <c r="D213">
        <f ca="1">IFERROR(__xludf.DUMMYFUNCTION("""COMPUTED_VALUE"""),14)</f>
        <v>14</v>
      </c>
      <c r="E213" t="str">
        <f ca="1">IFERROR(__xludf.DUMMYFUNCTION("""COMPUTED_VALUE"""),"29' 9""")</f>
        <v>29' 9"</v>
      </c>
      <c r="F213" s="2">
        <f ca="1">IFERROR(__xludf.DUMMYFUNCTION("""COMPUTED_VALUE"""),1012.583)</f>
        <v>1012.583</v>
      </c>
      <c r="G213">
        <f ca="1">IFERROR(__xludf.DUMMYFUNCTION("""COMPUTED_VALUE"""),34)</f>
        <v>34</v>
      </c>
      <c r="H213">
        <f ca="1">IFERROR(__xludf.DUMMYFUNCTION("""COMPUTED_VALUE"""),-1)</f>
        <v>-1</v>
      </c>
    </row>
    <row r="214" spans="1:8" ht="12.75">
      <c r="A214" t="str">
        <f ca="1">IFERROR(__xludf.DUMMYFUNCTION("""COMPUTED_VALUE"""),"T211")</f>
        <v>T211</v>
      </c>
      <c r="B214" t="str">
        <f ca="1">IFERROR(__xludf.DUMMYFUNCTION("""COMPUTED_VALUE"""),"T211")</f>
        <v>T211</v>
      </c>
      <c r="C214" t="str">
        <f ca="1">IFERROR(__xludf.DUMMYFUNCTION("""COMPUTED_VALUE"""),"Joaquin Niemann")</f>
        <v>Joaquin Niemann</v>
      </c>
      <c r="D214">
        <f ca="1">IFERROR(__xludf.DUMMYFUNCTION("""COMPUTED_VALUE"""),16)</f>
        <v>16</v>
      </c>
      <c r="E214" t="str">
        <f ca="1">IFERROR(__xludf.DUMMYFUNCTION("""COMPUTED_VALUE"""),"29' 9""")</f>
        <v>29' 9"</v>
      </c>
      <c r="F214" s="2">
        <f ca="1">IFERROR(__xludf.DUMMYFUNCTION("""COMPUTED_VALUE"""),1338.5)</f>
        <v>1338.5</v>
      </c>
      <c r="G214">
        <f ca="1">IFERROR(__xludf.DUMMYFUNCTION("""COMPUTED_VALUE"""),45)</f>
        <v>45</v>
      </c>
      <c r="H214">
        <f ca="1">IFERROR(__xludf.DUMMYFUNCTION("""COMPUTED_VALUE"""),-6)</f>
        <v>-6</v>
      </c>
    </row>
    <row r="215" spans="1:8" ht="12.75">
      <c r="A215" t="str">
        <f ca="1">IFERROR(__xludf.DUMMYFUNCTION("""COMPUTED_VALUE"""),"T214")</f>
        <v>T214</v>
      </c>
      <c r="B215" t="str">
        <f ca="1">IFERROR(__xludf.DUMMYFUNCTION("""COMPUTED_VALUE"""),"T213")</f>
        <v>T213</v>
      </c>
      <c r="C215" t="str">
        <f ca="1">IFERROR(__xludf.DUMMYFUNCTION("""COMPUTED_VALUE"""),"Rafael Campos")</f>
        <v>Rafael Campos</v>
      </c>
      <c r="D215">
        <f ca="1">IFERROR(__xludf.DUMMYFUNCTION("""COMPUTED_VALUE"""),6)</f>
        <v>6</v>
      </c>
      <c r="E215" t="str">
        <f ca="1">IFERROR(__xludf.DUMMYFUNCTION("""COMPUTED_VALUE"""),"29' 10""")</f>
        <v>29' 10"</v>
      </c>
      <c r="F215">
        <f ca="1">IFERROR(__xludf.DUMMYFUNCTION("""COMPUTED_VALUE"""),149)</f>
        <v>149</v>
      </c>
      <c r="G215">
        <f ca="1">IFERROR(__xludf.DUMMYFUNCTION("""COMPUTED_VALUE"""),5)</f>
        <v>5</v>
      </c>
      <c r="H215" t="str">
        <f ca="1">IFERROR(__xludf.DUMMYFUNCTION("""COMPUTED_VALUE"""),"E")</f>
        <v>E</v>
      </c>
    </row>
    <row r="216" spans="1:8" ht="12.75">
      <c r="A216" t="str">
        <f ca="1">IFERROR(__xludf.DUMMYFUNCTION("""COMPUTED_VALUE"""),"T214")</f>
        <v>T214</v>
      </c>
      <c r="B216" t="str">
        <f ca="1">IFERROR(__xludf.DUMMYFUNCTION("""COMPUTED_VALUE"""),"T213")</f>
        <v>T213</v>
      </c>
      <c r="C216" t="str">
        <f ca="1">IFERROR(__xludf.DUMMYFUNCTION("""COMPUTED_VALUE"""),"Dominic Bozzelli")</f>
        <v>Dominic Bozzelli</v>
      </c>
      <c r="D216">
        <f ca="1">IFERROR(__xludf.DUMMYFUNCTION("""COMPUTED_VALUE"""),8)</f>
        <v>8</v>
      </c>
      <c r="E216" t="str">
        <f ca="1">IFERROR(__xludf.DUMMYFUNCTION("""COMPUTED_VALUE"""),"29' 10""")</f>
        <v>29' 10"</v>
      </c>
      <c r="F216">
        <f ca="1">IFERROR(__xludf.DUMMYFUNCTION("""COMPUTED_VALUE"""),119.417)</f>
        <v>119.417</v>
      </c>
      <c r="G216">
        <f ca="1">IFERROR(__xludf.DUMMYFUNCTION("""COMPUTED_VALUE"""),4)</f>
        <v>4</v>
      </c>
      <c r="H216" t="str">
        <f ca="1">IFERROR(__xludf.DUMMYFUNCTION("""COMPUTED_VALUE"""),"E")</f>
        <v>E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IFERROR(__xludf.DUMMYFUNCTION("""COMPUTED_VALUE"""),251)</f>
        <v>251</v>
      </c>
      <c r="C217" t="str">
        <f ca="1">IFERROR(__xludf.DUMMYFUNCTION("""COMPUTED_VALUE"""),"Max Homa")</f>
        <v>Max Homa</v>
      </c>
      <c r="D217">
        <f ca="1">IFERROR(__xludf.DUMMYFUNCTION("""COMPUTED_VALUE"""),12)</f>
        <v>12</v>
      </c>
      <c r="E217" t="str">
        <f ca="1">IFERROR(__xludf.DUMMYFUNCTION("""COMPUTED_VALUE"""),"29' 11""")</f>
        <v>29' 11"</v>
      </c>
      <c r="F217">
        <f ca="1">IFERROR(__xludf.DUMMYFUNCTION("""COMPUTED_VALUE"""),658)</f>
        <v>658</v>
      </c>
      <c r="G217">
        <f ca="1">IFERROR(__xludf.DUMMYFUNCTION("""COMPUTED_VALUE"""),22)</f>
        <v>22</v>
      </c>
      <c r="H217" t="str">
        <f ca="1">IFERROR(__xludf.DUMMYFUNCTION("""COMPUTED_VALUE"""),"+6")</f>
        <v>+6</v>
      </c>
    </row>
    <row r="218" spans="1:8" ht="12.75">
      <c r="A218">
        <f ca="1">IFERROR(__xludf.DUMMYFUNCTION("""COMPUTED_VALUE"""),217)</f>
        <v>217</v>
      </c>
      <c r="B218" t="str">
        <f ca="1">IFERROR(__xludf.DUMMYFUNCTION("""COMPUTED_VALUE"""),"T215")</f>
        <v>T215</v>
      </c>
      <c r="C218" t="str">
        <f ca="1">IFERROR(__xludf.DUMMYFUNCTION("""COMPUTED_VALUE"""),"Chris Baker")</f>
        <v>Chris Baker</v>
      </c>
      <c r="D218">
        <f ca="1">IFERROR(__xludf.DUMMYFUNCTION("""COMPUTED_VALUE"""),8)</f>
        <v>8</v>
      </c>
      <c r="E218" t="str">
        <f ca="1">IFERROR(__xludf.DUMMYFUNCTION("""COMPUTED_VALUE"""),"30' 0""")</f>
        <v>30' 0"</v>
      </c>
      <c r="F218">
        <f ca="1">IFERROR(__xludf.DUMMYFUNCTION("""COMPUTED_VALUE"""),360)</f>
        <v>360</v>
      </c>
      <c r="G218">
        <f ca="1">IFERROR(__xludf.DUMMYFUNCTION("""COMPUTED_VALUE"""),12)</f>
        <v>12</v>
      </c>
      <c r="H218" t="str">
        <f ca="1">IFERROR(__xludf.DUMMYFUNCTION("""COMPUTED_VALUE"""),"E")</f>
        <v>E</v>
      </c>
    </row>
    <row r="219" spans="1:8" ht="12.75">
      <c r="A219">
        <f ca="1">IFERROR(__xludf.DUMMYFUNCTION("""COMPUTED_VALUE"""),218)</f>
        <v>218</v>
      </c>
      <c r="B219" t="str">
        <f ca="1">IFERROR(__xludf.DUMMYFUNCTION("""COMPUTED_VALUE"""),"T223")</f>
        <v>T223</v>
      </c>
      <c r="C219" t="str">
        <f ca="1">IFERROR(__xludf.DUMMYFUNCTION("""COMPUTED_VALUE"""),"Denny McCarthy")</f>
        <v>Denny McCarthy</v>
      </c>
      <c r="D219">
        <f ca="1">IFERROR(__xludf.DUMMYFUNCTION("""COMPUTED_VALUE"""),22)</f>
        <v>22</v>
      </c>
      <c r="E219" t="str">
        <f ca="1">IFERROR(__xludf.DUMMYFUNCTION("""COMPUTED_VALUE"""),"30' 1""")</f>
        <v>30' 1"</v>
      </c>
      <c r="F219" s="2">
        <f ca="1">IFERROR(__xludf.DUMMYFUNCTION("""COMPUTED_VALUE"""),1053.667)</f>
        <v>1053.6669999999999</v>
      </c>
      <c r="G219">
        <f ca="1">IFERROR(__xludf.DUMMYFUNCTION("""COMPUTED_VALUE"""),35)</f>
        <v>35</v>
      </c>
      <c r="H219" t="str">
        <f ca="1">IFERROR(__xludf.DUMMYFUNCTION("""COMPUTED_VALUE"""),"E")</f>
        <v>E</v>
      </c>
    </row>
    <row r="220" spans="1:8" ht="12.75">
      <c r="A220">
        <f ca="1">IFERROR(__xludf.DUMMYFUNCTION("""COMPUTED_VALUE"""),219)</f>
        <v>219</v>
      </c>
      <c r="B220" t="str">
        <f ca="1">IFERROR(__xludf.DUMMYFUNCTION("""COMPUTED_VALUE"""),"T189")</f>
        <v>T189</v>
      </c>
      <c r="C220" t="str">
        <f ca="1">IFERROR(__xludf.DUMMYFUNCTION("""COMPUTED_VALUE"""),"Tom Lewis")</f>
        <v>Tom Lewis</v>
      </c>
      <c r="D220">
        <f ca="1">IFERROR(__xludf.DUMMYFUNCTION("""COMPUTED_VALUE"""),12)</f>
        <v>12</v>
      </c>
      <c r="E220" t="str">
        <f ca="1">IFERROR(__xludf.DUMMYFUNCTION("""COMPUTED_VALUE"""),"30' 2""")</f>
        <v>30' 2"</v>
      </c>
      <c r="F220">
        <f ca="1">IFERROR(__xludf.DUMMYFUNCTION("""COMPUTED_VALUE"""),723.25)</f>
        <v>723.25</v>
      </c>
      <c r="G220">
        <f ca="1">IFERROR(__xludf.DUMMYFUNCTION("""COMPUTED_VALUE"""),24)</f>
        <v>24</v>
      </c>
      <c r="H220" t="str">
        <f ca="1">IFERROR(__xludf.DUMMYFUNCTION("""COMPUTED_VALUE"""),"+1")</f>
        <v>+1</v>
      </c>
    </row>
    <row r="221" spans="1:8" ht="12.75">
      <c r="A221" t="str">
        <f ca="1">IFERROR(__xludf.DUMMYFUNCTION("""COMPUTED_VALUE"""),"T220")</f>
        <v>T220</v>
      </c>
      <c r="B221">
        <f ca="1">IFERROR(__xludf.DUMMYFUNCTION("""COMPUTED_VALUE"""),207)</f>
        <v>207</v>
      </c>
      <c r="C221" t="str">
        <f ca="1">IFERROR(__xludf.DUMMYFUNCTION("""COMPUTED_VALUE"""),"Scott Harrington")</f>
        <v>Scott Harrington</v>
      </c>
      <c r="D221">
        <f ca="1">IFERROR(__xludf.DUMMYFUNCTION("""COMPUTED_VALUE"""),18)</f>
        <v>18</v>
      </c>
      <c r="E221" t="str">
        <f ca="1">IFERROR(__xludf.DUMMYFUNCTION("""COMPUTED_VALUE"""),"30' 4""")</f>
        <v>30' 4"</v>
      </c>
      <c r="F221">
        <f ca="1">IFERROR(__xludf.DUMMYFUNCTION("""COMPUTED_VALUE"""),880.417)</f>
        <v>880.41700000000003</v>
      </c>
      <c r="G221">
        <f ca="1">IFERROR(__xludf.DUMMYFUNCTION("""COMPUTED_VALUE"""),29)</f>
        <v>29</v>
      </c>
      <c r="H221">
        <f ca="1">IFERROR(__xludf.DUMMYFUNCTION("""COMPUTED_VALUE"""),-4)</f>
        <v>-4</v>
      </c>
    </row>
    <row r="222" spans="1:8" ht="12.75">
      <c r="A222" t="str">
        <f ca="1">IFERROR(__xludf.DUMMYFUNCTION("""COMPUTED_VALUE"""),"T220")</f>
        <v>T220</v>
      </c>
      <c r="B222">
        <f ca="1">IFERROR(__xludf.DUMMYFUNCTION("""COMPUTED_VALUE"""),218)</f>
        <v>218</v>
      </c>
      <c r="C222" t="str">
        <f ca="1">IFERROR(__xludf.DUMMYFUNCTION("""COMPUTED_VALUE"""),"Jason Day")</f>
        <v>Jason Day</v>
      </c>
      <c r="D222">
        <f ca="1">IFERROR(__xludf.DUMMYFUNCTION("""COMPUTED_VALUE"""),17)</f>
        <v>17</v>
      </c>
      <c r="E222" t="str">
        <f ca="1">IFERROR(__xludf.DUMMYFUNCTION("""COMPUTED_VALUE"""),"30' 4""")</f>
        <v>30' 4"</v>
      </c>
      <c r="F222" s="2">
        <f ca="1">IFERROR(__xludf.DUMMYFUNCTION("""COMPUTED_VALUE"""),1366.583)</f>
        <v>1366.5830000000001</v>
      </c>
      <c r="G222">
        <f ca="1">IFERROR(__xludf.DUMMYFUNCTION("""COMPUTED_VALUE"""),45)</f>
        <v>45</v>
      </c>
      <c r="H222" t="str">
        <f ca="1">IFERROR(__xludf.DUMMYFUNCTION("""COMPUTED_VALUE"""),"+1")</f>
        <v>+1</v>
      </c>
    </row>
    <row r="223" spans="1:8" ht="12.75">
      <c r="A223">
        <f ca="1">IFERROR(__xludf.DUMMYFUNCTION("""COMPUTED_VALUE"""),222)</f>
        <v>222</v>
      </c>
      <c r="B223">
        <f ca="1">IFERROR(__xludf.DUMMYFUNCTION("""COMPUTED_VALUE"""),219)</f>
        <v>219</v>
      </c>
      <c r="C223" t="str">
        <f ca="1">IFERROR(__xludf.DUMMYFUNCTION("""COMPUTED_VALUE"""),"Davis Riley")</f>
        <v>Davis Riley</v>
      </c>
      <c r="D223">
        <f ca="1">IFERROR(__xludf.DUMMYFUNCTION("""COMPUTED_VALUE"""),4)</f>
        <v>4</v>
      </c>
      <c r="E223" t="str">
        <f ca="1">IFERROR(__xludf.DUMMYFUNCTION("""COMPUTED_VALUE"""),"30' 6""")</f>
        <v>30' 6"</v>
      </c>
      <c r="F223">
        <f ca="1">IFERROR(__xludf.DUMMYFUNCTION("""COMPUTED_VALUE"""),274.833)</f>
        <v>274.83300000000003</v>
      </c>
      <c r="G223">
        <f ca="1">IFERROR(__xludf.DUMMYFUNCTION("""COMPUTED_VALUE"""),9)</f>
        <v>9</v>
      </c>
      <c r="H223" t="str">
        <f ca="1">IFERROR(__xludf.DUMMYFUNCTION("""COMPUTED_VALUE"""),"+1")</f>
        <v>+1</v>
      </c>
    </row>
    <row r="224" spans="1:8" ht="12.75">
      <c r="A224">
        <f ca="1">IFERROR(__xludf.DUMMYFUNCTION("""COMPUTED_VALUE"""),223)</f>
        <v>223</v>
      </c>
      <c r="B224" t="str">
        <f ca="1">IFERROR(__xludf.DUMMYFUNCTION("""COMPUTED_VALUE"""),"T220")</f>
        <v>T220</v>
      </c>
      <c r="C224" t="str">
        <f ca="1">IFERROR(__xludf.DUMMYFUNCTION("""COMPUTED_VALUE"""),"Jay McLuen")</f>
        <v>Jay McLuen</v>
      </c>
      <c r="D224">
        <f ca="1">IFERROR(__xludf.DUMMYFUNCTION("""COMPUTED_VALUE"""),4)</f>
        <v>4</v>
      </c>
      <c r="E224" t="str">
        <f ca="1">IFERROR(__xludf.DUMMYFUNCTION("""COMPUTED_VALUE"""),"30' 7""")</f>
        <v>30' 7"</v>
      </c>
      <c r="F224">
        <f ca="1">IFERROR(__xludf.DUMMYFUNCTION("""COMPUTED_VALUE"""),306)</f>
        <v>306</v>
      </c>
      <c r="G224">
        <f ca="1">IFERROR(__xludf.DUMMYFUNCTION("""COMPUTED_VALUE"""),10)</f>
        <v>10</v>
      </c>
      <c r="H224" t="str">
        <f ca="1">IFERROR(__xludf.DUMMYFUNCTION("""COMPUTED_VALUE"""),"+1")</f>
        <v>+1</v>
      </c>
    </row>
    <row r="225" spans="1:8" ht="12.75">
      <c r="A225" t="str">
        <f ca="1">IFERROR(__xludf.DUMMYFUNCTION("""COMPUTED_VALUE"""),"T224")</f>
        <v>T224</v>
      </c>
      <c r="B225" t="str">
        <f ca="1">IFERROR(__xludf.DUMMYFUNCTION("""COMPUTED_VALUE"""),"")</f>
        <v/>
      </c>
      <c r="C225" t="str">
        <f ca="1">IFERROR(__xludf.DUMMYFUNCTION("""COMPUTED_VALUE"""),"Justin Harding")</f>
        <v>Justin Harding</v>
      </c>
      <c r="D225">
        <f ca="1">IFERROR(__xludf.DUMMYFUNCTION("""COMPUTED_VALUE"""),6)</f>
        <v>6</v>
      </c>
      <c r="E225" t="str">
        <f ca="1">IFERROR(__xludf.DUMMYFUNCTION("""COMPUTED_VALUE"""),"30' 8""")</f>
        <v>30' 8"</v>
      </c>
      <c r="F225">
        <f ca="1">IFERROR(__xludf.DUMMYFUNCTION("""COMPUTED_VALUE"""),459.667)</f>
        <v>459.66699999999997</v>
      </c>
      <c r="G225">
        <f ca="1">IFERROR(__xludf.DUMMYFUNCTION("""COMPUTED_VALUE"""),15)</f>
        <v>15</v>
      </c>
      <c r="H225" t="str">
        <f ca="1">IFERROR(__xludf.DUMMYFUNCTION("""COMPUTED_VALUE"""),"+2")</f>
        <v>+2</v>
      </c>
    </row>
    <row r="226" spans="1:8" ht="12.75">
      <c r="A226" t="str">
        <f ca="1">IFERROR(__xludf.DUMMYFUNCTION("""COMPUTED_VALUE"""),"T224")</f>
        <v>T224</v>
      </c>
      <c r="B226">
        <f ca="1">IFERROR(__xludf.DUMMYFUNCTION("""COMPUTED_VALUE"""),227)</f>
        <v>227</v>
      </c>
      <c r="C226" t="str">
        <f ca="1">IFERROR(__xludf.DUMMYFUNCTION("""COMPUTED_VALUE"""),"Kramer Hickok")</f>
        <v>Kramer Hickok</v>
      </c>
      <c r="D226">
        <f ca="1">IFERROR(__xludf.DUMMYFUNCTION("""COMPUTED_VALUE"""),16)</f>
        <v>16</v>
      </c>
      <c r="E226" t="str">
        <f ca="1">IFERROR(__xludf.DUMMYFUNCTION("""COMPUTED_VALUE"""),"30' 8""")</f>
        <v>30' 8"</v>
      </c>
      <c r="F226">
        <f ca="1">IFERROR(__xludf.DUMMYFUNCTION("""COMPUTED_VALUE"""),675)</f>
        <v>675</v>
      </c>
      <c r="G226">
        <f ca="1">IFERROR(__xludf.DUMMYFUNCTION("""COMPUTED_VALUE"""),22)</f>
        <v>22</v>
      </c>
      <c r="H226" t="str">
        <f ca="1">IFERROR(__xludf.DUMMYFUNCTION("""COMPUTED_VALUE"""),"+6")</f>
        <v>+6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IFERROR(__xludf.DUMMYFUNCTION("""COMPUTED_VALUE"""),"T223")</f>
        <v>T223</v>
      </c>
      <c r="C227" t="str">
        <f ca="1">IFERROR(__xludf.DUMMYFUNCTION("""COMPUTED_VALUE"""),"George McNeill")</f>
        <v>George McNeill</v>
      </c>
      <c r="D227">
        <f ca="1">IFERROR(__xludf.DUMMYFUNCTION("""COMPUTED_VALUE"""),8)</f>
        <v>8</v>
      </c>
      <c r="E227" t="str">
        <f ca="1">IFERROR(__xludf.DUMMYFUNCTION("""COMPUTED_VALUE"""),"30' 10""")</f>
        <v>30' 10"</v>
      </c>
      <c r="F227">
        <f ca="1">IFERROR(__xludf.DUMMYFUNCTION("""COMPUTED_VALUE"""),123.167)</f>
        <v>123.167</v>
      </c>
      <c r="G227">
        <f ca="1">IFERROR(__xludf.DUMMYFUNCTION("""COMPUTED_VALUE"""),4)</f>
        <v>4</v>
      </c>
      <c r="H227" t="str">
        <f ca="1">IFERROR(__xludf.DUMMYFUNCTION("""COMPUTED_VALUE"""),"+4")</f>
        <v>+4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IFERROR(__xludf.DUMMYFUNCTION("""COMPUTED_VALUE"""),"T223")</f>
        <v>T223</v>
      </c>
      <c r="C228" t="str">
        <f ca="1">IFERROR(__xludf.DUMMYFUNCTION("""COMPUTED_VALUE"""),"Martin Trainer")</f>
        <v>Martin Trainer</v>
      </c>
      <c r="D228">
        <f ca="1">IFERROR(__xludf.DUMMYFUNCTION("""COMPUTED_VALUE"""),10)</f>
        <v>10</v>
      </c>
      <c r="E228" t="str">
        <f ca="1">IFERROR(__xludf.DUMMYFUNCTION("""COMPUTED_VALUE"""),"30' 10""")</f>
        <v>30' 10"</v>
      </c>
      <c r="F228">
        <f ca="1">IFERROR(__xludf.DUMMYFUNCTION("""COMPUTED_VALUE"""),369.667)</f>
        <v>369.66699999999997</v>
      </c>
      <c r="G228">
        <f ca="1">IFERROR(__xludf.DUMMYFUNCTION("""COMPUTED_VALUE"""),12)</f>
        <v>12</v>
      </c>
      <c r="H228" t="str">
        <f ca="1">IFERROR(__xludf.DUMMYFUNCTION("""COMPUTED_VALUE"""),"+1")</f>
        <v>+1</v>
      </c>
    </row>
    <row r="229" spans="1:8" ht="12.75">
      <c r="A229" t="str">
        <f ca="1">IFERROR(__xludf.DUMMYFUNCTION("""COMPUTED_VALUE"""),"T228")</f>
        <v>T228</v>
      </c>
      <c r="B229" t="str">
        <f ca="1">IFERROR(__xludf.DUMMYFUNCTION("""COMPUTED_VALUE"""),"T235")</f>
        <v>T235</v>
      </c>
      <c r="C229" t="str">
        <f ca="1">IFERROR(__xludf.DUMMYFUNCTION("""COMPUTED_VALUE"""),"Sung Kang")</f>
        <v>Sung Kang</v>
      </c>
      <c r="D229">
        <f ca="1">IFERROR(__xludf.DUMMYFUNCTION("""COMPUTED_VALUE"""),14)</f>
        <v>14</v>
      </c>
      <c r="E229" t="str">
        <f ca="1">IFERROR(__xludf.DUMMYFUNCTION("""COMPUTED_VALUE"""),"31' 0""")</f>
        <v>31' 0"</v>
      </c>
      <c r="F229">
        <f ca="1">IFERROR(__xludf.DUMMYFUNCTION("""COMPUTED_VALUE"""),836.667)</f>
        <v>836.66700000000003</v>
      </c>
      <c r="G229">
        <f ca="1">IFERROR(__xludf.DUMMYFUNCTION("""COMPUTED_VALUE"""),27)</f>
        <v>27</v>
      </c>
      <c r="H229" t="str">
        <f ca="1">IFERROR(__xludf.DUMMYFUNCTION("""COMPUTED_VALUE"""),"E")</f>
        <v>E</v>
      </c>
    </row>
    <row r="230" spans="1:8" ht="12.75">
      <c r="A230" t="str">
        <f ca="1">IFERROR(__xludf.DUMMYFUNCTION("""COMPUTED_VALUE"""),"T228")</f>
        <v>T228</v>
      </c>
      <c r="B230">
        <f ca="1">IFERROR(__xludf.DUMMYFUNCTION("""COMPUTED_VALUE"""),228)</f>
        <v>228</v>
      </c>
      <c r="C230" t="str">
        <f ca="1">IFERROR(__xludf.DUMMYFUNCTION("""COMPUTED_VALUE"""),"Zac Blair")</f>
        <v>Zac Blair</v>
      </c>
      <c r="D230">
        <f ca="1">IFERROR(__xludf.DUMMYFUNCTION("""COMPUTED_VALUE"""),10)</f>
        <v>10</v>
      </c>
      <c r="E230" t="str">
        <f ca="1">IFERROR(__xludf.DUMMYFUNCTION("""COMPUTED_VALUE"""),"31' 0""")</f>
        <v>31' 0"</v>
      </c>
      <c r="F230">
        <f ca="1">IFERROR(__xludf.DUMMYFUNCTION("""COMPUTED_VALUE"""),557.417)</f>
        <v>557.41700000000003</v>
      </c>
      <c r="G230">
        <f ca="1">IFERROR(__xludf.DUMMYFUNCTION("""COMPUTED_VALUE"""),18)</f>
        <v>18</v>
      </c>
      <c r="H230" t="str">
        <f ca="1">IFERROR(__xludf.DUMMYFUNCTION("""COMPUTED_VALUE"""),"+1")</f>
        <v>+1</v>
      </c>
    </row>
    <row r="231" spans="1:8" ht="12.75">
      <c r="A231" t="str">
        <f ca="1">IFERROR(__xludf.DUMMYFUNCTION("""COMPUTED_VALUE"""),"T230")</f>
        <v>T230</v>
      </c>
      <c r="B231" t="str">
        <f ca="1">IFERROR(__xludf.DUMMYFUNCTION("""COMPUTED_VALUE"""),"")</f>
        <v/>
      </c>
      <c r="C231" t="str">
        <f ca="1">IFERROR(__xludf.DUMMYFUNCTION("""COMPUTED_VALUE"""),"Padraig Harrington")</f>
        <v>Padraig Harrington</v>
      </c>
      <c r="D231">
        <f ca="1">IFERROR(__xludf.DUMMYFUNCTION("""COMPUTED_VALUE"""),8)</f>
        <v>8</v>
      </c>
      <c r="E231" t="str">
        <f ca="1">IFERROR(__xludf.DUMMYFUNCTION("""COMPUTED_VALUE"""),"31' 1""")</f>
        <v>31' 1"</v>
      </c>
      <c r="F231">
        <f ca="1">IFERROR(__xludf.DUMMYFUNCTION("""COMPUTED_VALUE"""),341.75)</f>
        <v>341.75</v>
      </c>
      <c r="G231">
        <f ca="1">IFERROR(__xludf.DUMMYFUNCTION("""COMPUTED_VALUE"""),11)</f>
        <v>11</v>
      </c>
      <c r="H231" t="str">
        <f ca="1">IFERROR(__xludf.DUMMYFUNCTION("""COMPUTED_VALUE"""),"E")</f>
        <v>E</v>
      </c>
    </row>
    <row r="232" spans="1:8" ht="12.75">
      <c r="A232" t="str">
        <f ca="1">IFERROR(__xludf.DUMMYFUNCTION("""COMPUTED_VALUE"""),"T230")</f>
        <v>T230</v>
      </c>
      <c r="B232">
        <f ca="1">IFERROR(__xludf.DUMMYFUNCTION("""COMPUTED_VALUE"""),210)</f>
        <v>210</v>
      </c>
      <c r="C232" t="str">
        <f ca="1">IFERROR(__xludf.DUMMYFUNCTION("""COMPUTED_VALUE"""),"Luke List")</f>
        <v>Luke List</v>
      </c>
      <c r="D232">
        <f ca="1">IFERROR(__xludf.DUMMYFUNCTION("""COMPUTED_VALUE"""),18)</f>
        <v>18</v>
      </c>
      <c r="E232" t="str">
        <f ca="1">IFERROR(__xludf.DUMMYFUNCTION("""COMPUTED_VALUE"""),"31' 1""")</f>
        <v>31' 1"</v>
      </c>
      <c r="F232">
        <f ca="1">IFERROR(__xludf.DUMMYFUNCTION("""COMPUTED_VALUE"""),529.083)</f>
        <v>529.08299999999997</v>
      </c>
      <c r="G232">
        <f ca="1">IFERROR(__xludf.DUMMYFUNCTION("""COMPUTED_VALUE"""),17)</f>
        <v>17</v>
      </c>
      <c r="H232" t="str">
        <f ca="1">IFERROR(__xludf.DUMMYFUNCTION("""COMPUTED_VALUE"""),"+2")</f>
        <v>+2</v>
      </c>
    </row>
    <row r="233" spans="1:8" ht="12.75">
      <c r="A233" t="str">
        <f ca="1">IFERROR(__xludf.DUMMYFUNCTION("""COMPUTED_VALUE"""),"T230")</f>
        <v>T230</v>
      </c>
      <c r="B233">
        <f ca="1">IFERROR(__xludf.DUMMYFUNCTION("""COMPUTED_VALUE"""),233)</f>
        <v>233</v>
      </c>
      <c r="C233" t="str">
        <f ca="1">IFERROR(__xludf.DUMMYFUNCTION("""COMPUTED_VALUE"""),"Wyndham Clark")</f>
        <v>Wyndham Clark</v>
      </c>
      <c r="D233">
        <f ca="1">IFERROR(__xludf.DUMMYFUNCTION("""COMPUTED_VALUE"""),16)</f>
        <v>16</v>
      </c>
      <c r="E233" t="str">
        <f ca="1">IFERROR(__xludf.DUMMYFUNCTION("""COMPUTED_VALUE"""),"31' 1""")</f>
        <v>31' 1"</v>
      </c>
      <c r="F233">
        <f ca="1">IFERROR(__xludf.DUMMYFUNCTION("""COMPUTED_VALUE"""),652.833)</f>
        <v>652.83299999999997</v>
      </c>
      <c r="G233">
        <f ca="1">IFERROR(__xludf.DUMMYFUNCTION("""COMPUTED_VALUE"""),21)</f>
        <v>21</v>
      </c>
      <c r="H233" t="str">
        <f ca="1">IFERROR(__xludf.DUMMYFUNCTION("""COMPUTED_VALUE"""),"+2")</f>
        <v>+2</v>
      </c>
    </row>
    <row r="234" spans="1:8" ht="12.75">
      <c r="A234">
        <f ca="1">IFERROR(__xludf.DUMMYFUNCTION("""COMPUTED_VALUE"""),233)</f>
        <v>233</v>
      </c>
      <c r="B234" t="str">
        <f ca="1">IFERROR(__xludf.DUMMYFUNCTION("""COMPUTED_VALUE"""),"T229")</f>
        <v>T229</v>
      </c>
      <c r="C234" t="str">
        <f ca="1">IFERROR(__xludf.DUMMYFUNCTION("""COMPUTED_VALUE"""),"John Pak")</f>
        <v>John Pak</v>
      </c>
      <c r="D234">
        <f ca="1">IFERROR(__xludf.DUMMYFUNCTION("""COMPUTED_VALUE"""),4)</f>
        <v>4</v>
      </c>
      <c r="E234" t="str">
        <f ca="1">IFERROR(__xludf.DUMMYFUNCTION("""COMPUTED_VALUE"""),"31' 2""")</f>
        <v>31' 2"</v>
      </c>
      <c r="F234">
        <f ca="1">IFERROR(__xludf.DUMMYFUNCTION("""COMPUTED_VALUE"""),343.25)</f>
        <v>343.25</v>
      </c>
      <c r="G234">
        <f ca="1">IFERROR(__xludf.DUMMYFUNCTION("""COMPUTED_VALUE"""),11)</f>
        <v>11</v>
      </c>
      <c r="H234" t="str">
        <f ca="1">IFERROR(__xludf.DUMMYFUNCTION("""COMPUTED_VALUE"""),"+4")</f>
        <v>+4</v>
      </c>
    </row>
    <row r="235" spans="1:8" ht="12.75">
      <c r="A235">
        <f ca="1">IFERROR(__xludf.DUMMYFUNCTION("""COMPUTED_VALUE"""),234)</f>
        <v>234</v>
      </c>
      <c r="B235">
        <f ca="1">IFERROR(__xludf.DUMMYFUNCTION("""COMPUTED_VALUE"""),231)</f>
        <v>231</v>
      </c>
      <c r="C235" t="str">
        <f ca="1">IFERROR(__xludf.DUMMYFUNCTION("""COMPUTED_VALUE"""),"Ian Poulter")</f>
        <v>Ian Poulter</v>
      </c>
      <c r="D235">
        <f ca="1">IFERROR(__xludf.DUMMYFUNCTION("""COMPUTED_VALUE"""),6)</f>
        <v>6</v>
      </c>
      <c r="E235" t="str">
        <f ca="1">IFERROR(__xludf.DUMMYFUNCTION("""COMPUTED_VALUE"""),"31' 4""")</f>
        <v>31' 4"</v>
      </c>
      <c r="F235">
        <f ca="1">IFERROR(__xludf.DUMMYFUNCTION("""COMPUTED_VALUE"""),407.417)</f>
        <v>407.41699999999997</v>
      </c>
      <c r="G235">
        <f ca="1">IFERROR(__xludf.DUMMYFUNCTION("""COMPUTED_VALUE"""),13)</f>
        <v>13</v>
      </c>
      <c r="H235">
        <f ca="1">IFERROR(__xludf.DUMMYFUNCTION("""COMPUTED_VALUE"""),-1)</f>
        <v>-1</v>
      </c>
    </row>
    <row r="236" spans="1:8" ht="12.75">
      <c r="A236">
        <f ca="1">IFERROR(__xludf.DUMMYFUNCTION("""COMPUTED_VALUE"""),235)</f>
        <v>235</v>
      </c>
      <c r="B236">
        <f ca="1">IFERROR(__xludf.DUMMYFUNCTION("""COMPUTED_VALUE"""),232)</f>
        <v>232</v>
      </c>
      <c r="C236" t="str">
        <f ca="1">IFERROR(__xludf.DUMMYFUNCTION("""COMPUTED_VALUE"""),"Tim Wilkinson")</f>
        <v>Tim Wilkinson</v>
      </c>
      <c r="D236">
        <f ca="1">IFERROR(__xludf.DUMMYFUNCTION("""COMPUTED_VALUE"""),12)</f>
        <v>12</v>
      </c>
      <c r="E236" t="str">
        <f ca="1">IFERROR(__xludf.DUMMYFUNCTION("""COMPUTED_VALUE"""),"31' 5""")</f>
        <v>31' 5"</v>
      </c>
      <c r="F236">
        <f ca="1">IFERROR(__xludf.DUMMYFUNCTION("""COMPUTED_VALUE"""),471.417)</f>
        <v>471.41699999999997</v>
      </c>
      <c r="G236">
        <f ca="1">IFERROR(__xludf.DUMMYFUNCTION("""COMPUTED_VALUE"""),15)</f>
        <v>15</v>
      </c>
      <c r="H236">
        <f ca="1">IFERROR(__xludf.DUMMYFUNCTION("""COMPUTED_VALUE"""),-1)</f>
        <v>-1</v>
      </c>
    </row>
    <row r="237" spans="1:8" ht="12.75">
      <c r="A237">
        <f ca="1">IFERROR(__xludf.DUMMYFUNCTION("""COMPUTED_VALUE"""),236)</f>
        <v>236</v>
      </c>
      <c r="B237" t="str">
        <f ca="1">IFERROR(__xludf.DUMMYFUNCTION("""COMPUTED_VALUE"""),"T256")</f>
        <v>T256</v>
      </c>
      <c r="C237" t="str">
        <f ca="1">IFERROR(__xludf.DUMMYFUNCTION("""COMPUTED_VALUE"""),"Graeme McDowell")</f>
        <v>Graeme McDowell</v>
      </c>
      <c r="D237">
        <f ca="1">IFERROR(__xludf.DUMMYFUNCTION("""COMPUTED_VALUE"""),8)</f>
        <v>8</v>
      </c>
      <c r="E237" t="str">
        <f ca="1">IFERROR(__xludf.DUMMYFUNCTION("""COMPUTED_VALUE"""),"31' 7""")</f>
        <v>31' 7"</v>
      </c>
      <c r="F237">
        <f ca="1">IFERROR(__xludf.DUMMYFUNCTION("""COMPUTED_VALUE"""),379)</f>
        <v>379</v>
      </c>
      <c r="G237">
        <f ca="1">IFERROR(__xludf.DUMMYFUNCTION("""COMPUTED_VALUE"""),12)</f>
        <v>12</v>
      </c>
      <c r="H237" t="str">
        <f ca="1">IFERROR(__xludf.DUMMYFUNCTION("""COMPUTED_VALUE"""),"+1")</f>
        <v>+1</v>
      </c>
    </row>
    <row r="238" spans="1:8" ht="12.75">
      <c r="A238" t="str">
        <f ca="1">IFERROR(__xludf.DUMMYFUNCTION("""COMPUTED_VALUE"""),"T237")</f>
        <v>T237</v>
      </c>
      <c r="B238" t="str">
        <f ca="1">IFERROR(__xludf.DUMMYFUNCTION("""COMPUTED_VALUE"""),"T164")</f>
        <v>T164</v>
      </c>
      <c r="C238" t="str">
        <f ca="1">IFERROR(__xludf.DUMMYFUNCTION("""COMPUTED_VALUE"""),"Pat Perez")</f>
        <v>Pat Perez</v>
      </c>
      <c r="D238">
        <f ca="1">IFERROR(__xludf.DUMMYFUNCTION("""COMPUTED_VALUE"""),16)</f>
        <v>16</v>
      </c>
      <c r="E238" t="str">
        <f ca="1">IFERROR(__xludf.DUMMYFUNCTION("""COMPUTED_VALUE"""),"31' 8""")</f>
        <v>31' 8"</v>
      </c>
      <c r="F238">
        <f ca="1">IFERROR(__xludf.DUMMYFUNCTION("""COMPUTED_VALUE"""),697.5)</f>
        <v>697.5</v>
      </c>
      <c r="G238">
        <f ca="1">IFERROR(__xludf.DUMMYFUNCTION("""COMPUTED_VALUE"""),22)</f>
        <v>22</v>
      </c>
      <c r="H238" t="str">
        <f ca="1">IFERROR(__xludf.DUMMYFUNCTION("""COMPUTED_VALUE"""),"+2")</f>
        <v>+2</v>
      </c>
    </row>
    <row r="239" spans="1:8" ht="12.75">
      <c r="A239" t="str">
        <f ca="1">IFERROR(__xludf.DUMMYFUNCTION("""COMPUTED_VALUE"""),"T237")</f>
        <v>T237</v>
      </c>
      <c r="B239">
        <f ca="1">IFERROR(__xludf.DUMMYFUNCTION("""COMPUTED_VALUE"""),234)</f>
        <v>234</v>
      </c>
      <c r="C239" t="str">
        <f ca="1">IFERROR(__xludf.DUMMYFUNCTION("""COMPUTED_VALUE"""),"Hank Lebioda")</f>
        <v>Hank Lebioda</v>
      </c>
      <c r="D239">
        <f ca="1">IFERROR(__xludf.DUMMYFUNCTION("""COMPUTED_VALUE"""),14)</f>
        <v>14</v>
      </c>
      <c r="E239" t="str">
        <f ca="1">IFERROR(__xludf.DUMMYFUNCTION("""COMPUTED_VALUE"""),"31' 8""")</f>
        <v>31' 8"</v>
      </c>
      <c r="F239">
        <f ca="1">IFERROR(__xludf.DUMMYFUNCTION("""COMPUTED_VALUE"""),411.917)</f>
        <v>411.91699999999997</v>
      </c>
      <c r="G239">
        <f ca="1">IFERROR(__xludf.DUMMYFUNCTION("""COMPUTED_VALUE"""),13)</f>
        <v>13</v>
      </c>
      <c r="H239" t="str">
        <f ca="1">IFERROR(__xludf.DUMMYFUNCTION("""COMPUTED_VALUE"""),"+2")</f>
        <v>+2</v>
      </c>
    </row>
    <row r="240" spans="1:8" ht="12.75">
      <c r="A240" t="str">
        <f ca="1">IFERROR(__xludf.DUMMYFUNCTION("""COMPUTED_VALUE"""),"T239")</f>
        <v>T239</v>
      </c>
      <c r="B240" t="str">
        <f ca="1">IFERROR(__xludf.DUMMYFUNCTION("""COMPUTED_VALUE"""),"T235")</f>
        <v>T235</v>
      </c>
      <c r="C240" t="str">
        <f ca="1">IFERROR(__xludf.DUMMYFUNCTION("""COMPUTED_VALUE"""),"Louis Oosthuizen")</f>
        <v>Louis Oosthuizen</v>
      </c>
      <c r="D240">
        <f ca="1">IFERROR(__xludf.DUMMYFUNCTION("""COMPUTED_VALUE"""),12)</f>
        <v>12</v>
      </c>
      <c r="E240" t="str">
        <f ca="1">IFERROR(__xludf.DUMMYFUNCTION("""COMPUTED_VALUE"""),"31' 9""")</f>
        <v>31' 9"</v>
      </c>
      <c r="F240">
        <f ca="1">IFERROR(__xludf.DUMMYFUNCTION("""COMPUTED_VALUE"""),792.917)</f>
        <v>792.91700000000003</v>
      </c>
      <c r="G240">
        <f ca="1">IFERROR(__xludf.DUMMYFUNCTION("""COMPUTED_VALUE"""),25)</f>
        <v>25</v>
      </c>
      <c r="H240">
        <f ca="1">IFERROR(__xludf.DUMMYFUNCTION("""COMPUTED_VALUE"""),-4)</f>
        <v>-4</v>
      </c>
    </row>
    <row r="241" spans="1:8" ht="12.75">
      <c r="A241" t="str">
        <f ca="1">IFERROR(__xludf.DUMMYFUNCTION("""COMPUTED_VALUE"""),"T239")</f>
        <v>T239</v>
      </c>
      <c r="B241" t="str">
        <f ca="1">IFERROR(__xludf.DUMMYFUNCTION("""COMPUTED_VALUE"""),"T235")</f>
        <v>T235</v>
      </c>
      <c r="C241" t="str">
        <f ca="1">IFERROR(__xludf.DUMMYFUNCTION("""COMPUTED_VALUE"""),"Roger Sloan")</f>
        <v>Roger Sloan</v>
      </c>
      <c r="D241">
        <f ca="1">IFERROR(__xludf.DUMMYFUNCTION("""COMPUTED_VALUE"""),12)</f>
        <v>12</v>
      </c>
      <c r="E241" t="str">
        <f ca="1">IFERROR(__xludf.DUMMYFUNCTION("""COMPUTED_VALUE"""),"31' 9""")</f>
        <v>31' 9"</v>
      </c>
      <c r="F241">
        <f ca="1">IFERROR(__xludf.DUMMYFUNCTION("""COMPUTED_VALUE"""),412.917)</f>
        <v>412.91699999999997</v>
      </c>
      <c r="G241">
        <f ca="1">IFERROR(__xludf.DUMMYFUNCTION("""COMPUTED_VALUE"""),13)</f>
        <v>13</v>
      </c>
      <c r="H241">
        <f ca="1">IFERROR(__xludf.DUMMYFUNCTION("""COMPUTED_VALUE"""),-1)</f>
        <v>-1</v>
      </c>
    </row>
    <row r="242" spans="1:8" ht="12.75">
      <c r="A242" t="str">
        <f ca="1">IFERROR(__xludf.DUMMYFUNCTION("""COMPUTED_VALUE"""),"T239")</f>
        <v>T239</v>
      </c>
      <c r="B242" t="str">
        <f ca="1">IFERROR(__xludf.DUMMYFUNCTION("""COMPUTED_VALUE"""),"T235")</f>
        <v>T235</v>
      </c>
      <c r="C242" t="str">
        <f ca="1">IFERROR(__xludf.DUMMYFUNCTION("""COMPUTED_VALUE"""),"Naoki Sekito")</f>
        <v>Naoki Sekito</v>
      </c>
      <c r="D242">
        <f ca="1">IFERROR(__xludf.DUMMYFUNCTION("""COMPUTED_VALUE"""),4)</f>
        <v>4</v>
      </c>
      <c r="E242" t="str">
        <f ca="1">IFERROR(__xludf.DUMMYFUNCTION("""COMPUTED_VALUE"""),"31' 9""")</f>
        <v>31' 9"</v>
      </c>
      <c r="F242">
        <f ca="1">IFERROR(__xludf.DUMMYFUNCTION("""COMPUTED_VALUE"""),570.75)</f>
        <v>570.75</v>
      </c>
      <c r="G242">
        <f ca="1">IFERROR(__xludf.DUMMYFUNCTION("""COMPUTED_VALUE"""),18)</f>
        <v>18</v>
      </c>
      <c r="H242" t="str">
        <f ca="1">IFERROR(__xludf.DUMMYFUNCTION("""COMPUTED_VALUE"""),"+2")</f>
        <v>+2</v>
      </c>
    </row>
    <row r="243" spans="1:8" ht="12.75">
      <c r="A243">
        <f ca="1">IFERROR(__xludf.DUMMYFUNCTION("""COMPUTED_VALUE"""),242)</f>
        <v>242</v>
      </c>
      <c r="B243">
        <f ca="1">IFERROR(__xludf.DUMMYFUNCTION("""COMPUTED_VALUE"""),239)</f>
        <v>239</v>
      </c>
      <c r="C243" t="str">
        <f ca="1">IFERROR(__xludf.DUMMYFUNCTION("""COMPUTED_VALUE"""),"George Markham")</f>
        <v>George Markham</v>
      </c>
      <c r="D243">
        <f ca="1">IFERROR(__xludf.DUMMYFUNCTION("""COMPUTED_VALUE"""),4)</f>
        <v>4</v>
      </c>
      <c r="E243" t="str">
        <f ca="1">IFERROR(__xludf.DUMMYFUNCTION("""COMPUTED_VALUE"""),"31' 10""")</f>
        <v>31' 10"</v>
      </c>
      <c r="F243">
        <f ca="1">IFERROR(__xludf.DUMMYFUNCTION("""COMPUTED_VALUE"""),318.667)</f>
        <v>318.66699999999997</v>
      </c>
      <c r="G243">
        <f ca="1">IFERROR(__xludf.DUMMYFUNCTION("""COMPUTED_VALUE"""),10)</f>
        <v>10</v>
      </c>
      <c r="H243" t="str">
        <f ca="1">IFERROR(__xludf.DUMMYFUNCTION("""COMPUTED_VALUE"""),"+1")</f>
        <v>+1</v>
      </c>
    </row>
    <row r="244" spans="1:8" ht="12.75">
      <c r="A244">
        <f ca="1">IFERROR(__xludf.DUMMYFUNCTION("""COMPUTED_VALUE"""),243)</f>
        <v>243</v>
      </c>
      <c r="B244" t="str">
        <f ca="1">IFERROR(__xludf.DUMMYFUNCTION("""COMPUTED_VALUE"""),"T198")</f>
        <v>T198</v>
      </c>
      <c r="C244" t="str">
        <f ca="1">IFERROR(__xludf.DUMMYFUNCTION("""COMPUTED_VALUE"""),"Henrik Stenson")</f>
        <v>Henrik Stenson</v>
      </c>
      <c r="D244">
        <f ca="1">IFERROR(__xludf.DUMMYFUNCTION("""COMPUTED_VALUE"""),11)</f>
        <v>11</v>
      </c>
      <c r="E244" t="str">
        <f ca="1">IFERROR(__xludf.DUMMYFUNCTION("""COMPUTED_VALUE"""),"32' 4""")</f>
        <v>32' 4"</v>
      </c>
      <c r="F244">
        <f ca="1">IFERROR(__xludf.DUMMYFUNCTION("""COMPUTED_VALUE"""),550)</f>
        <v>550</v>
      </c>
      <c r="G244">
        <f ca="1">IFERROR(__xludf.DUMMYFUNCTION("""COMPUTED_VALUE"""),17)</f>
        <v>17</v>
      </c>
      <c r="H244" t="str">
        <f ca="1">IFERROR(__xludf.DUMMYFUNCTION("""COMPUTED_VALUE"""),"+2")</f>
        <v>+2</v>
      </c>
    </row>
    <row r="245" spans="1:8" ht="12.75">
      <c r="A245">
        <f ca="1">IFERROR(__xludf.DUMMYFUNCTION("""COMPUTED_VALUE"""),244)</f>
        <v>244</v>
      </c>
      <c r="B245">
        <f ca="1">IFERROR(__xludf.DUMMYFUNCTION("""COMPUTED_VALUE"""),241)</f>
        <v>241</v>
      </c>
      <c r="C245" t="str">
        <f ca="1">IFERROR(__xludf.DUMMYFUNCTION("""COMPUTED_VALUE"""),"Cameron Champ")</f>
        <v>Cameron Champ</v>
      </c>
      <c r="D245">
        <f ca="1">IFERROR(__xludf.DUMMYFUNCTION("""COMPUTED_VALUE"""),12)</f>
        <v>12</v>
      </c>
      <c r="E245" t="str">
        <f ca="1">IFERROR(__xludf.DUMMYFUNCTION("""COMPUTED_VALUE"""),"32' 5""")</f>
        <v>32' 5"</v>
      </c>
      <c r="F245">
        <f ca="1">IFERROR(__xludf.DUMMYFUNCTION("""COMPUTED_VALUE"""),907.333)</f>
        <v>907.33299999999997</v>
      </c>
      <c r="G245">
        <f ca="1">IFERROR(__xludf.DUMMYFUNCTION("""COMPUTED_VALUE"""),28)</f>
        <v>28</v>
      </c>
      <c r="H245" t="str">
        <f ca="1">IFERROR(__xludf.DUMMYFUNCTION("""COMPUTED_VALUE"""),"+1")</f>
        <v>+1</v>
      </c>
    </row>
    <row r="246" spans="1:8" ht="12.75">
      <c r="A246">
        <f ca="1">IFERROR(__xludf.DUMMYFUNCTION("""COMPUTED_VALUE"""),245)</f>
        <v>245</v>
      </c>
      <c r="B246" t="str">
        <f ca="1">IFERROR(__xludf.DUMMYFUNCTION("""COMPUTED_VALUE"""),"T220")</f>
        <v>T220</v>
      </c>
      <c r="C246" t="str">
        <f ca="1">IFERROR(__xludf.DUMMYFUNCTION("""COMPUTED_VALUE"""),"Kevin Tway")</f>
        <v>Kevin Tway</v>
      </c>
      <c r="D246">
        <f ca="1">IFERROR(__xludf.DUMMYFUNCTION("""COMPUTED_VALUE"""),16)</f>
        <v>16</v>
      </c>
      <c r="E246" t="str">
        <f ca="1">IFERROR(__xludf.DUMMYFUNCTION("""COMPUTED_VALUE"""),"32' 6""")</f>
        <v>32' 6"</v>
      </c>
      <c r="F246">
        <f ca="1">IFERROR(__xludf.DUMMYFUNCTION("""COMPUTED_VALUE"""),551.833)</f>
        <v>551.83299999999997</v>
      </c>
      <c r="G246">
        <f ca="1">IFERROR(__xludf.DUMMYFUNCTION("""COMPUTED_VALUE"""),17)</f>
        <v>17</v>
      </c>
      <c r="H246" t="str">
        <f ca="1">IFERROR(__xludf.DUMMYFUNCTION("""COMPUTED_VALUE"""),"+5")</f>
        <v>+5</v>
      </c>
    </row>
    <row r="247" spans="1:8" ht="12.75">
      <c r="A247" t="str">
        <f ca="1">IFERROR(__xludf.DUMMYFUNCTION("""COMPUTED_VALUE"""),"T246")</f>
        <v>T246</v>
      </c>
      <c r="B247" t="str">
        <f ca="1">IFERROR(__xludf.DUMMYFUNCTION("""COMPUTED_VALUE"""),"T242")</f>
        <v>T242</v>
      </c>
      <c r="C247" t="str">
        <f ca="1">IFERROR(__xludf.DUMMYFUNCTION("""COMPUTED_VALUE"""),"Rafa Cabrera Bello")</f>
        <v>Rafa Cabrera Bello</v>
      </c>
      <c r="D247">
        <f ca="1">IFERROR(__xludf.DUMMYFUNCTION("""COMPUTED_VALUE"""),14)</f>
        <v>14</v>
      </c>
      <c r="E247" t="str">
        <f ca="1">IFERROR(__xludf.DUMMYFUNCTION("""COMPUTED_VALUE"""),"32' 7""")</f>
        <v>32' 7"</v>
      </c>
      <c r="F247">
        <f ca="1">IFERROR(__xludf.DUMMYFUNCTION("""COMPUTED_VALUE"""),782.333)</f>
        <v>782.33299999999997</v>
      </c>
      <c r="G247">
        <f ca="1">IFERROR(__xludf.DUMMYFUNCTION("""COMPUTED_VALUE"""),24)</f>
        <v>24</v>
      </c>
      <c r="H247" t="str">
        <f ca="1">IFERROR(__xludf.DUMMYFUNCTION("""COMPUTED_VALUE"""),"+4")</f>
        <v>+4</v>
      </c>
    </row>
    <row r="248" spans="1:8" ht="12.75">
      <c r="A248" t="str">
        <f ca="1">IFERROR(__xludf.DUMMYFUNCTION("""COMPUTED_VALUE"""),"T246")</f>
        <v>T246</v>
      </c>
      <c r="B248" t="str">
        <f ca="1">IFERROR(__xludf.DUMMYFUNCTION("""COMPUTED_VALUE"""),"T242")</f>
        <v>T242</v>
      </c>
      <c r="C248" t="str">
        <f ca="1">IFERROR(__xludf.DUMMYFUNCTION("""COMPUTED_VALUE"""),"Kiradech Aphibarnrat")</f>
        <v>Kiradech Aphibarnrat</v>
      </c>
      <c r="D248">
        <f ca="1">IFERROR(__xludf.DUMMYFUNCTION("""COMPUTED_VALUE"""),12)</f>
        <v>12</v>
      </c>
      <c r="E248" t="str">
        <f ca="1">IFERROR(__xludf.DUMMYFUNCTION("""COMPUTED_VALUE"""),"32' 7""")</f>
        <v>32' 7"</v>
      </c>
      <c r="F248">
        <f ca="1">IFERROR(__xludf.DUMMYFUNCTION("""COMPUTED_VALUE"""),424.083)</f>
        <v>424.08300000000003</v>
      </c>
      <c r="G248">
        <f ca="1">IFERROR(__xludf.DUMMYFUNCTION("""COMPUTED_VALUE"""),13)</f>
        <v>13</v>
      </c>
      <c r="H248" t="str">
        <f ca="1">IFERROR(__xludf.DUMMYFUNCTION("""COMPUTED_VALUE"""),"+2")</f>
        <v>+2</v>
      </c>
    </row>
    <row r="249" spans="1:8" ht="12.75">
      <c r="A249">
        <f ca="1">IFERROR(__xludf.DUMMYFUNCTION("""COMPUTED_VALUE"""),248)</f>
        <v>248</v>
      </c>
      <c r="B249" t="str">
        <f ca="1">IFERROR(__xludf.DUMMYFUNCTION("""COMPUTED_VALUE"""),"T244")</f>
        <v>T244</v>
      </c>
      <c r="C249" t="str">
        <f ca="1">IFERROR(__xludf.DUMMYFUNCTION("""COMPUTED_VALUE"""),"Bud Cauley")</f>
        <v>Bud Cauley</v>
      </c>
      <c r="D249">
        <f ca="1">IFERROR(__xludf.DUMMYFUNCTION("""COMPUTED_VALUE"""),4)</f>
        <v>4</v>
      </c>
      <c r="E249" t="str">
        <f ca="1">IFERROR(__xludf.DUMMYFUNCTION("""COMPUTED_VALUE"""),"32' 9""")</f>
        <v>32' 9"</v>
      </c>
      <c r="F249">
        <f ca="1">IFERROR(__xludf.DUMMYFUNCTION("""COMPUTED_VALUE"""),294.583)</f>
        <v>294.58300000000003</v>
      </c>
      <c r="G249">
        <f ca="1">IFERROR(__xludf.DUMMYFUNCTION("""COMPUTED_VALUE"""),9)</f>
        <v>9</v>
      </c>
      <c r="H249" t="str">
        <f ca="1">IFERROR(__xludf.DUMMYFUNCTION("""COMPUTED_VALUE"""),"+2")</f>
        <v>+2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IFERROR(__xludf.DUMMYFUNCTION("""COMPUTED_VALUE"""),246)</f>
        <v>246</v>
      </c>
      <c r="C250" t="str">
        <f ca="1">IFERROR(__xludf.DUMMYFUNCTION("""COMPUTED_VALUE"""),"Matthias Schwab")</f>
        <v>Matthias Schwab</v>
      </c>
      <c r="D250">
        <f ca="1">IFERROR(__xludf.DUMMYFUNCTION("""COMPUTED_VALUE"""),8)</f>
        <v>8</v>
      </c>
      <c r="E250" t="str">
        <f ca="1">IFERROR(__xludf.DUMMYFUNCTION("""COMPUTED_VALUE"""),"32' 10""")</f>
        <v>32' 10"</v>
      </c>
      <c r="F250">
        <f ca="1">IFERROR(__xludf.DUMMYFUNCTION("""COMPUTED_VALUE"""),229.833)</f>
        <v>229.833</v>
      </c>
      <c r="G250">
        <f ca="1">IFERROR(__xludf.DUMMYFUNCTION("""COMPUTED_VALUE"""),7)</f>
        <v>7</v>
      </c>
      <c r="H250">
        <f ca="1">IFERROR(__xludf.DUMMYFUNCTION("""COMPUTED_VALUE"""),-1)</f>
        <v>-1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IFERROR(__xludf.DUMMYFUNCTION("""COMPUTED_VALUE"""),247)</f>
        <v>247</v>
      </c>
      <c r="C251" t="str">
        <f ca="1">IFERROR(__xludf.DUMMYFUNCTION("""COMPUTED_VALUE"""),"Nick Watney")</f>
        <v>Nick Watney</v>
      </c>
      <c r="D251">
        <f ca="1">IFERROR(__xludf.DUMMYFUNCTION("""COMPUTED_VALUE"""),10)</f>
        <v>10</v>
      </c>
      <c r="E251" t="str">
        <f ca="1">IFERROR(__xludf.DUMMYFUNCTION("""COMPUTED_VALUE"""),"32' 11""")</f>
        <v>32' 11"</v>
      </c>
      <c r="F251">
        <f ca="1">IFERROR(__xludf.DUMMYFUNCTION("""COMPUTED_VALUE"""),460.583)</f>
        <v>460.58300000000003</v>
      </c>
      <c r="G251">
        <f ca="1">IFERROR(__xludf.DUMMYFUNCTION("""COMPUTED_VALUE"""),14)</f>
        <v>14</v>
      </c>
      <c r="H251" t="str">
        <f ca="1">IFERROR(__xludf.DUMMYFUNCTION("""COMPUTED_VALUE"""),"+4")</f>
        <v>+4</v>
      </c>
    </row>
    <row r="252" spans="1:8" ht="12.75">
      <c r="A252" t="str">
        <f ca="1">IFERROR(__xludf.DUMMYFUNCTION("""COMPUTED_VALUE"""),"T251")</f>
        <v>T251</v>
      </c>
      <c r="B252">
        <f ca="1">IFERROR(__xludf.DUMMYFUNCTION("""COMPUTED_VALUE"""),248)</f>
        <v>248</v>
      </c>
      <c r="C252" t="str">
        <f ca="1">IFERROR(__xludf.DUMMYFUNCTION("""COMPUTED_VALUE"""),"Bernd Wiesberger")</f>
        <v>Bernd Wiesberger</v>
      </c>
      <c r="D252">
        <f ca="1">IFERROR(__xludf.DUMMYFUNCTION("""COMPUTED_VALUE"""),4)</f>
        <v>4</v>
      </c>
      <c r="E252" t="str">
        <f ca="1">IFERROR(__xludf.DUMMYFUNCTION("""COMPUTED_VALUE"""),"33' 2""")</f>
        <v>33' 2"</v>
      </c>
      <c r="F252">
        <f ca="1">IFERROR(__xludf.DUMMYFUNCTION("""COMPUTED_VALUE"""),298.667)</f>
        <v>298.66699999999997</v>
      </c>
      <c r="G252">
        <f ca="1">IFERROR(__xludf.DUMMYFUNCTION("""COMPUTED_VALUE"""),9)</f>
        <v>9</v>
      </c>
      <c r="H252" t="str">
        <f ca="1">IFERROR(__xludf.DUMMYFUNCTION("""COMPUTED_VALUE"""),"E")</f>
        <v>E</v>
      </c>
    </row>
    <row r="253" spans="1:8" ht="12.75">
      <c r="A253" t="str">
        <f ca="1">IFERROR(__xludf.DUMMYFUNCTION("""COMPUTED_VALUE"""),"T251")</f>
        <v>T251</v>
      </c>
      <c r="B253" t="str">
        <f ca="1">IFERROR(__xludf.DUMMYFUNCTION("""COMPUTED_VALUE"""),"T196")</f>
        <v>T196</v>
      </c>
      <c r="C253" t="str">
        <f ca="1">IFERROR(__xludf.DUMMYFUNCTION("""COMPUTED_VALUE"""),"Danny Willett")</f>
        <v>Danny Willett</v>
      </c>
      <c r="D253">
        <f ca="1">IFERROR(__xludf.DUMMYFUNCTION("""COMPUTED_VALUE"""),7)</f>
        <v>7</v>
      </c>
      <c r="E253" t="str">
        <f ca="1">IFERROR(__xludf.DUMMYFUNCTION("""COMPUTED_VALUE"""),"33' 2""")</f>
        <v>33' 2"</v>
      </c>
      <c r="F253">
        <f ca="1">IFERROR(__xludf.DUMMYFUNCTION("""COMPUTED_VALUE"""),165.833)</f>
        <v>165.833</v>
      </c>
      <c r="G253">
        <f ca="1">IFERROR(__xludf.DUMMYFUNCTION("""COMPUTED_VALUE"""),5)</f>
        <v>5</v>
      </c>
      <c r="H253" t="str">
        <f ca="1">IFERROR(__xludf.DUMMYFUNCTION("""COMPUTED_VALUE"""),"+1")</f>
        <v>+1</v>
      </c>
    </row>
    <row r="254" spans="1:8" ht="12.75">
      <c r="A254" t="str">
        <f ca="1">IFERROR(__xludf.DUMMYFUNCTION("""COMPUTED_VALUE"""),"T251")</f>
        <v>T251</v>
      </c>
      <c r="B254" t="str">
        <f ca="1">IFERROR(__xludf.DUMMYFUNCTION("""COMPUTED_VALUE"""),"T187")</f>
        <v>T187</v>
      </c>
      <c r="C254" t="str">
        <f ca="1">IFERROR(__xludf.DUMMYFUNCTION("""COMPUTED_VALUE"""),"Keith Mitchell")</f>
        <v>Keith Mitchell</v>
      </c>
      <c r="D254">
        <f ca="1">IFERROR(__xludf.DUMMYFUNCTION("""COMPUTED_VALUE"""),14)</f>
        <v>14</v>
      </c>
      <c r="E254" t="str">
        <f ca="1">IFERROR(__xludf.DUMMYFUNCTION("""COMPUTED_VALUE"""),"33' 2""")</f>
        <v>33' 2"</v>
      </c>
      <c r="F254">
        <f ca="1">IFERROR(__xludf.DUMMYFUNCTION("""COMPUTED_VALUE"""),397.917)</f>
        <v>397.91699999999997</v>
      </c>
      <c r="G254">
        <f ca="1">IFERROR(__xludf.DUMMYFUNCTION("""COMPUTED_VALUE"""),12)</f>
        <v>12</v>
      </c>
      <c r="H254" t="str">
        <f ca="1">IFERROR(__xludf.DUMMYFUNCTION("""COMPUTED_VALUE"""),"E")</f>
        <v>E</v>
      </c>
    </row>
    <row r="255" spans="1:8" ht="12.75">
      <c r="A255" t="str">
        <f ca="1">IFERROR(__xludf.DUMMYFUNCTION("""COMPUTED_VALUE"""),"T254")</f>
        <v>T254</v>
      </c>
      <c r="B255" t="str">
        <f ca="1">IFERROR(__xludf.DUMMYFUNCTION("""COMPUTED_VALUE"""),"T249")</f>
        <v>T249</v>
      </c>
      <c r="C255" t="str">
        <f ca="1">IFERROR(__xludf.DUMMYFUNCTION("""COMPUTED_VALUE"""),"Seamus Power")</f>
        <v>Seamus Power</v>
      </c>
      <c r="D255">
        <f ca="1">IFERROR(__xludf.DUMMYFUNCTION("""COMPUTED_VALUE"""),8)</f>
        <v>8</v>
      </c>
      <c r="E255" t="str">
        <f ca="1">IFERROR(__xludf.DUMMYFUNCTION("""COMPUTED_VALUE"""),"33' 3""")</f>
        <v>33' 3"</v>
      </c>
      <c r="F255">
        <f ca="1">IFERROR(__xludf.DUMMYFUNCTION("""COMPUTED_VALUE"""),99.833)</f>
        <v>99.832999999999998</v>
      </c>
      <c r="G255">
        <f ca="1">IFERROR(__xludf.DUMMYFUNCTION("""COMPUTED_VALUE"""),3)</f>
        <v>3</v>
      </c>
      <c r="H255" t="str">
        <f ca="1">IFERROR(__xludf.DUMMYFUNCTION("""COMPUTED_VALUE"""),"E")</f>
        <v>E</v>
      </c>
    </row>
    <row r="256" spans="1:8" ht="12.75">
      <c r="A256" t="str">
        <f ca="1">IFERROR(__xludf.DUMMYFUNCTION("""COMPUTED_VALUE"""),"T254")</f>
        <v>T254</v>
      </c>
      <c r="B256" t="str">
        <f ca="1">IFERROR(__xludf.DUMMYFUNCTION("""COMPUTED_VALUE"""),"T249")</f>
        <v>T249</v>
      </c>
      <c r="C256" t="str">
        <f ca="1">IFERROR(__xludf.DUMMYFUNCTION("""COMPUTED_VALUE"""),"Gary Woodland")</f>
        <v>Gary Woodland</v>
      </c>
      <c r="D256">
        <f ca="1">IFERROR(__xludf.DUMMYFUNCTION("""COMPUTED_VALUE"""),6)</f>
        <v>6</v>
      </c>
      <c r="E256" t="str">
        <f ca="1">IFERROR(__xludf.DUMMYFUNCTION("""COMPUTED_VALUE"""),"33' 3""")</f>
        <v>33' 3"</v>
      </c>
      <c r="F256">
        <f ca="1">IFERROR(__xludf.DUMMYFUNCTION("""COMPUTED_VALUE"""),365.417)</f>
        <v>365.41699999999997</v>
      </c>
      <c r="G256">
        <f ca="1">IFERROR(__xludf.DUMMYFUNCTION("""COMPUTED_VALUE"""),11)</f>
        <v>11</v>
      </c>
      <c r="H256" t="str">
        <f ca="1">IFERROR(__xludf.DUMMYFUNCTION("""COMPUTED_VALUE"""),"+2")</f>
        <v>+2</v>
      </c>
    </row>
    <row r="257" spans="1:8" ht="12.75">
      <c r="A257" t="str">
        <f ca="1">IFERROR(__xludf.DUMMYFUNCTION("""COMPUTED_VALUE"""),"T254")</f>
        <v>T254</v>
      </c>
      <c r="B257" t="str">
        <f ca="1">IFERROR(__xludf.DUMMYFUNCTION("""COMPUTED_VALUE"""),"")</f>
        <v/>
      </c>
      <c r="C257" t="str">
        <f ca="1">IFERROR(__xludf.DUMMYFUNCTION("""COMPUTED_VALUE"""),"Erik Barnes")</f>
        <v>Erik Barnes</v>
      </c>
      <c r="D257">
        <f ca="1">IFERROR(__xludf.DUMMYFUNCTION("""COMPUTED_VALUE"""),4)</f>
        <v>4</v>
      </c>
      <c r="E257" t="str">
        <f ca="1">IFERROR(__xludf.DUMMYFUNCTION("""COMPUTED_VALUE"""),"33' 3""")</f>
        <v>33' 3"</v>
      </c>
      <c r="F257">
        <f ca="1">IFERROR(__xludf.DUMMYFUNCTION("""COMPUTED_VALUE"""),431.917)</f>
        <v>431.91699999999997</v>
      </c>
      <c r="G257">
        <f ca="1">IFERROR(__xludf.DUMMYFUNCTION("""COMPUTED_VALUE"""),13)</f>
        <v>13</v>
      </c>
      <c r="H257">
        <f ca="1">IFERROR(__xludf.DUMMYFUNCTION("""COMPUTED_VALUE"""),-1)</f>
        <v>-1</v>
      </c>
    </row>
    <row r="258" spans="1:8" ht="12.75">
      <c r="A258" t="str">
        <f ca="1">IFERROR(__xludf.DUMMYFUNCTION("""COMPUTED_VALUE"""),"T254")</f>
        <v>T254</v>
      </c>
      <c r="B258" t="str">
        <f ca="1">IFERROR(__xludf.DUMMYFUNCTION("""COMPUTED_VALUE"""),"T229")</f>
        <v>T229</v>
      </c>
      <c r="C258" t="str">
        <f ca="1">IFERROR(__xludf.DUMMYFUNCTION("""COMPUTED_VALUE"""),"Aaron Wise")</f>
        <v>Aaron Wise</v>
      </c>
      <c r="D258">
        <f ca="1">IFERROR(__xludf.DUMMYFUNCTION("""COMPUTED_VALUE"""),16)</f>
        <v>16</v>
      </c>
      <c r="E258" t="str">
        <f ca="1">IFERROR(__xludf.DUMMYFUNCTION("""COMPUTED_VALUE"""),"33' 3""")</f>
        <v>33' 3"</v>
      </c>
      <c r="F258">
        <f ca="1">IFERROR(__xludf.DUMMYFUNCTION("""COMPUTED_VALUE"""),932)</f>
        <v>932</v>
      </c>
      <c r="G258">
        <f ca="1">IFERROR(__xludf.DUMMYFUNCTION("""COMPUTED_VALUE"""),28)</f>
        <v>28</v>
      </c>
      <c r="H258" t="str">
        <f ca="1">IFERROR(__xludf.DUMMYFUNCTION("""COMPUTED_VALUE"""),"E")</f>
        <v>E</v>
      </c>
    </row>
    <row r="259" spans="1:8" ht="12.75">
      <c r="A259">
        <f ca="1">IFERROR(__xludf.DUMMYFUNCTION("""COMPUTED_VALUE"""),258)</f>
        <v>258</v>
      </c>
      <c r="B259" t="str">
        <f ca="1">IFERROR(__xludf.DUMMYFUNCTION("""COMPUTED_VALUE"""),"")</f>
        <v/>
      </c>
      <c r="C259" t="str">
        <f ca="1">IFERROR(__xludf.DUMMYFUNCTION("""COMPUTED_VALUE"""),"Dawie van der Walt")</f>
        <v>Dawie van der Walt</v>
      </c>
      <c r="D259">
        <f ca="1">IFERROR(__xludf.DUMMYFUNCTION("""COMPUTED_VALUE"""),4)</f>
        <v>4</v>
      </c>
      <c r="E259" t="str">
        <f ca="1">IFERROR(__xludf.DUMMYFUNCTION("""COMPUTED_VALUE"""),"33' 8""")</f>
        <v>33' 8"</v>
      </c>
      <c r="F259">
        <f ca="1">IFERROR(__xludf.DUMMYFUNCTION("""COMPUTED_VALUE"""),470.917)</f>
        <v>470.91699999999997</v>
      </c>
      <c r="G259">
        <f ca="1">IFERROR(__xludf.DUMMYFUNCTION("""COMPUTED_VALUE"""),14)</f>
        <v>14</v>
      </c>
      <c r="H259" t="str">
        <f ca="1">IFERROR(__xludf.DUMMYFUNCTION("""COMPUTED_VALUE"""),"E")</f>
        <v>E</v>
      </c>
    </row>
    <row r="260" spans="1:8" ht="12.75">
      <c r="A260">
        <f ca="1">IFERROR(__xludf.DUMMYFUNCTION("""COMPUTED_VALUE"""),259)</f>
        <v>259</v>
      </c>
      <c r="B260">
        <f ca="1">IFERROR(__xludf.DUMMYFUNCTION("""COMPUTED_VALUE"""),260)</f>
        <v>260</v>
      </c>
      <c r="C260" t="str">
        <f ca="1">IFERROR(__xludf.DUMMYFUNCTION("""COMPUTED_VALUE"""),"Vaughn Taylor")</f>
        <v>Vaughn Taylor</v>
      </c>
      <c r="D260">
        <f ca="1">IFERROR(__xludf.DUMMYFUNCTION("""COMPUTED_VALUE"""),12)</f>
        <v>12</v>
      </c>
      <c r="E260" t="str">
        <f ca="1">IFERROR(__xludf.DUMMYFUNCTION("""COMPUTED_VALUE"""),"34' 2""")</f>
        <v>34' 2"</v>
      </c>
      <c r="F260">
        <f ca="1">IFERROR(__xludf.DUMMYFUNCTION("""COMPUTED_VALUE"""),409.5)</f>
        <v>409.5</v>
      </c>
      <c r="G260">
        <f ca="1">IFERROR(__xludf.DUMMYFUNCTION("""COMPUTED_VALUE"""),12)</f>
        <v>12</v>
      </c>
      <c r="H260" t="str">
        <f ca="1">IFERROR(__xludf.DUMMYFUNCTION("""COMPUTED_VALUE"""),"+2")</f>
        <v>+2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IFERROR(__xludf.DUMMYFUNCTION("""COMPUTED_VALUE"""),253)</f>
        <v>253</v>
      </c>
      <c r="C261" t="str">
        <f ca="1">IFERROR(__xludf.DUMMYFUNCTION("""COMPUTED_VALUE"""),"Shugo Imahira")</f>
        <v>Shugo Imahira</v>
      </c>
      <c r="D261">
        <f ca="1">IFERROR(__xludf.DUMMYFUNCTION("""COMPUTED_VALUE"""),8)</f>
        <v>8</v>
      </c>
      <c r="E261" t="str">
        <f ca="1">IFERROR(__xludf.DUMMYFUNCTION("""COMPUTED_VALUE"""),"34' 6""")</f>
        <v>34' 6"</v>
      </c>
      <c r="F261">
        <f ca="1">IFERROR(__xludf.DUMMYFUNCTION("""COMPUTED_VALUE"""),725.333)</f>
        <v>725.33299999999997</v>
      </c>
      <c r="G261">
        <f ca="1">IFERROR(__xludf.DUMMYFUNCTION("""COMPUTED_VALUE"""),21)</f>
        <v>21</v>
      </c>
      <c r="H261" t="str">
        <f ca="1">IFERROR(__xludf.DUMMYFUNCTION("""COMPUTED_VALUE"""),"+2")</f>
        <v>+2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IFERROR(__xludf.DUMMYFUNCTION("""COMPUTED_VALUE"""),240)</f>
        <v>240</v>
      </c>
      <c r="C262" t="str">
        <f ca="1">IFERROR(__xludf.DUMMYFUNCTION("""COMPUTED_VALUE"""),"Phil Mickelson")</f>
        <v>Phil Mickelson</v>
      </c>
      <c r="D262">
        <f ca="1">IFERROR(__xludf.DUMMYFUNCTION("""COMPUTED_VALUE"""),12)</f>
        <v>12</v>
      </c>
      <c r="E262" t="str">
        <f ca="1">IFERROR(__xludf.DUMMYFUNCTION("""COMPUTED_VALUE"""),"34' 7""")</f>
        <v>34' 7"</v>
      </c>
      <c r="F262" s="2">
        <f ca="1">IFERROR(__xludf.DUMMYFUNCTION("""COMPUTED_VALUE"""),1038.083)</f>
        <v>1038.0830000000001</v>
      </c>
      <c r="G262">
        <f ca="1">IFERROR(__xludf.DUMMYFUNCTION("""COMPUTED_VALUE"""),30)</f>
        <v>30</v>
      </c>
      <c r="H262" t="str">
        <f ca="1">IFERROR(__xludf.DUMMYFUNCTION("""COMPUTED_VALUE"""),"+5")</f>
        <v>+5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IFERROR(__xludf.DUMMYFUNCTION("""COMPUTED_VALUE"""),254)</f>
        <v>254</v>
      </c>
      <c r="C263" t="str">
        <f ca="1">IFERROR(__xludf.DUMMYFUNCTION("""COMPUTED_VALUE"""),"Matt Every")</f>
        <v>Matt Every</v>
      </c>
      <c r="D263">
        <f ca="1">IFERROR(__xludf.DUMMYFUNCTION("""COMPUTED_VALUE"""),8)</f>
        <v>8</v>
      </c>
      <c r="E263" t="str">
        <f ca="1">IFERROR(__xludf.DUMMYFUNCTION("""COMPUTED_VALUE"""),"34' 8""")</f>
        <v>34' 8"</v>
      </c>
      <c r="F263">
        <f ca="1">IFERROR(__xludf.DUMMYFUNCTION("""COMPUTED_VALUE"""),138.5)</f>
        <v>138.5</v>
      </c>
      <c r="G263">
        <f ca="1">IFERROR(__xludf.DUMMYFUNCTION("""COMPUTED_VALUE"""),4)</f>
        <v>4</v>
      </c>
      <c r="H263" t="str">
        <f ca="1">IFERROR(__xludf.DUMMYFUNCTION("""COMPUTED_VALUE"""),"E")</f>
        <v>E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IFERROR(__xludf.DUMMYFUNCTION("""COMPUTED_VALUE"""),263)</f>
        <v>263</v>
      </c>
      <c r="C264" t="str">
        <f ca="1">IFERROR(__xludf.DUMMYFUNCTION("""COMPUTED_VALUE"""),"Kevin Stadler")</f>
        <v>Kevin Stadler</v>
      </c>
      <c r="D264">
        <f ca="1">IFERROR(__xludf.DUMMYFUNCTION("""COMPUTED_VALUE"""),8)</f>
        <v>8</v>
      </c>
      <c r="E264" t="str">
        <f ca="1">IFERROR(__xludf.DUMMYFUNCTION("""COMPUTED_VALUE"""),"35' 1""")</f>
        <v>35' 1"</v>
      </c>
      <c r="F264">
        <f ca="1">IFERROR(__xludf.DUMMYFUNCTION("""COMPUTED_VALUE"""),596.417)</f>
        <v>596.41700000000003</v>
      </c>
      <c r="G264">
        <f ca="1">IFERROR(__xludf.DUMMYFUNCTION("""COMPUTED_VALUE"""),17)</f>
        <v>17</v>
      </c>
      <c r="H264" t="str">
        <f ca="1">IFERROR(__xludf.DUMMYFUNCTION("""COMPUTED_VALUE"""),"+2")</f>
        <v>+2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IFERROR(__xludf.DUMMYFUNCTION("""COMPUTED_VALUE"""),255)</f>
        <v>255</v>
      </c>
      <c r="C265" t="str">
        <f ca="1">IFERROR(__xludf.DUMMYFUNCTION("""COMPUTED_VALUE"""),"Beau Hossler")</f>
        <v>Beau Hossler</v>
      </c>
      <c r="D265">
        <f ca="1">IFERROR(__xludf.DUMMYFUNCTION("""COMPUTED_VALUE"""),22)</f>
        <v>22</v>
      </c>
      <c r="E265" t="str">
        <f ca="1">IFERROR(__xludf.DUMMYFUNCTION("""COMPUTED_VALUE"""),"35' 4""")</f>
        <v>35' 4"</v>
      </c>
      <c r="F265">
        <f ca="1">IFERROR(__xludf.DUMMYFUNCTION("""COMPUTED_VALUE"""),741.583)</f>
        <v>741.58299999999997</v>
      </c>
      <c r="G265">
        <f ca="1">IFERROR(__xludf.DUMMYFUNCTION("""COMPUTED_VALUE"""),21)</f>
        <v>21</v>
      </c>
      <c r="H265" t="str">
        <f ca="1">IFERROR(__xludf.DUMMYFUNCTION("""COMPUTED_VALUE"""),"+3")</f>
        <v>+3</v>
      </c>
    </row>
    <row r="266" spans="1:8" ht="12.75">
      <c r="A266">
        <f ca="1">IFERROR(__xludf.DUMMYFUNCTION("""COMPUTED_VALUE"""),265)</f>
        <v>265</v>
      </c>
      <c r="B266" t="str">
        <f ca="1">IFERROR(__xludf.DUMMYFUNCTION("""COMPUTED_VALUE"""),"T256")</f>
        <v>T256</v>
      </c>
      <c r="C266" t="str">
        <f ca="1">IFERROR(__xludf.DUMMYFUNCTION("""COMPUTED_VALUE"""),"Charles Howell III")</f>
        <v>Charles Howell III</v>
      </c>
      <c r="D266">
        <f ca="1">IFERROR(__xludf.DUMMYFUNCTION("""COMPUTED_VALUE"""),10)</f>
        <v>10</v>
      </c>
      <c r="E266" t="str">
        <f ca="1">IFERROR(__xludf.DUMMYFUNCTION("""COMPUTED_VALUE"""),"35' 7""")</f>
        <v>35' 7"</v>
      </c>
      <c r="F266">
        <f ca="1">IFERROR(__xludf.DUMMYFUNCTION("""COMPUTED_VALUE"""),533.417)</f>
        <v>533.41700000000003</v>
      </c>
      <c r="G266">
        <f ca="1">IFERROR(__xludf.DUMMYFUNCTION("""COMPUTED_VALUE"""),15)</f>
        <v>15</v>
      </c>
      <c r="H266">
        <f ca="1">IFERROR(__xludf.DUMMYFUNCTION("""COMPUTED_VALUE"""),-4)</f>
        <v>-4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IFERROR(__xludf.DUMMYFUNCTION("""COMPUTED_VALUE"""),258)</f>
        <v>258</v>
      </c>
      <c r="C267" t="str">
        <f ca="1">IFERROR(__xludf.DUMMYFUNCTION("""COMPUTED_VALUE"""),"Vincent Whaley")</f>
        <v>Vincent Whaley</v>
      </c>
      <c r="D267">
        <f ca="1">IFERROR(__xludf.DUMMYFUNCTION("""COMPUTED_VALUE"""),14)</f>
        <v>14</v>
      </c>
      <c r="E267" t="str">
        <f ca="1">IFERROR(__xludf.DUMMYFUNCTION("""COMPUTED_VALUE"""),"36' 0""")</f>
        <v>36' 0"</v>
      </c>
      <c r="F267">
        <f ca="1">IFERROR(__xludf.DUMMYFUNCTION("""COMPUTED_VALUE"""),540.5)</f>
        <v>540.5</v>
      </c>
      <c r="G267">
        <f ca="1">IFERROR(__xludf.DUMMYFUNCTION("""COMPUTED_VALUE"""),15)</f>
        <v>15</v>
      </c>
      <c r="H267">
        <f ca="1">IFERROR(__xludf.DUMMYFUNCTION("""COMPUTED_VALUE"""),-1)</f>
        <v>-1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IFERROR(__xludf.DUMMYFUNCTION("""COMPUTED_VALUE"""),"Brian Gay")</f>
        <v>Brian Gay</v>
      </c>
      <c r="D268">
        <f ca="1">IFERROR(__xludf.DUMMYFUNCTION("""COMPUTED_VALUE"""),8)</f>
        <v>8</v>
      </c>
      <c r="E268" t="str">
        <f ca="1">IFERROR(__xludf.DUMMYFUNCTION("""COMPUTED_VALUE"""),"36' 4""")</f>
        <v>36' 4"</v>
      </c>
      <c r="F268">
        <f ca="1">IFERROR(__xludf.DUMMYFUNCTION("""COMPUTED_VALUE"""),218.083)</f>
        <v>218.083</v>
      </c>
      <c r="G268">
        <f ca="1">IFERROR(__xludf.DUMMYFUNCTION("""COMPUTED_VALUE"""),6)</f>
        <v>6</v>
      </c>
      <c r="H268">
        <f ca="1">IFERROR(__xludf.DUMMYFUNCTION("""COMPUTED_VALUE"""),-1)</f>
        <v>-1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IFERROR(__xludf.DUMMYFUNCTION("""COMPUTED_VALUE"""),"Lucas Herbert")</f>
        <v>Lucas Herbert</v>
      </c>
      <c r="D269">
        <f ca="1">IFERROR(__xludf.DUMMYFUNCTION("""COMPUTED_VALUE"""),4)</f>
        <v>4</v>
      </c>
      <c r="E269" t="str">
        <f ca="1">IFERROR(__xludf.DUMMYFUNCTION("""COMPUTED_VALUE"""),"37' 6""")</f>
        <v>37' 6"</v>
      </c>
      <c r="F269">
        <f ca="1">IFERROR(__xludf.DUMMYFUNCTION("""COMPUTED_VALUE"""),337.167)</f>
        <v>337.16699999999997</v>
      </c>
      <c r="G269">
        <f ca="1">IFERROR(__xludf.DUMMYFUNCTION("""COMPUTED_VALUE"""),9)</f>
        <v>9</v>
      </c>
      <c r="H269" t="str">
        <f ca="1">IFERROR(__xludf.DUMMYFUNCTION("""COMPUTED_VALUE"""),"E")</f>
        <v>E</v>
      </c>
    </row>
    <row r="270" spans="1:8" ht="12.75">
      <c r="A270">
        <f ca="1">IFERROR(__xludf.DUMMYFUNCTION("""COMPUTED_VALUE"""),269)</f>
        <v>269</v>
      </c>
      <c r="B270" t="str">
        <f ca="1">IFERROR(__xludf.DUMMYFUNCTION("""COMPUTED_VALUE"""),"")</f>
        <v/>
      </c>
      <c r="C270" t="str">
        <f ca="1">IFERROR(__xludf.DUMMYFUNCTION("""COMPUTED_VALUE"""),"Ollie Schniederjans")</f>
        <v>Ollie Schniederjans</v>
      </c>
      <c r="D270">
        <f ca="1">IFERROR(__xludf.DUMMYFUNCTION("""COMPUTED_VALUE"""),6)</f>
        <v>6</v>
      </c>
      <c r="E270" t="str">
        <f ca="1">IFERROR(__xludf.DUMMYFUNCTION("""COMPUTED_VALUE"""),"37' 10""")</f>
        <v>37' 10"</v>
      </c>
      <c r="F270">
        <f ca="1">IFERROR(__xludf.DUMMYFUNCTION("""COMPUTED_VALUE"""),227.167)</f>
        <v>227.167</v>
      </c>
      <c r="G270">
        <f ca="1">IFERROR(__xludf.DUMMYFUNCTION("""COMPUTED_VALUE"""),6)</f>
        <v>6</v>
      </c>
      <c r="H270" t="str">
        <f ca="1">IFERROR(__xludf.DUMMYFUNCTION("""COMPUTED_VALUE"""),"+1")</f>
        <v>+1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IFERROR(__xludf.DUMMYFUNCTION("""COMPUTED_VALUE"""),262)</f>
        <v>262</v>
      </c>
      <c r="C271" t="str">
        <f ca="1">IFERROR(__xludf.DUMMYFUNCTION("""COMPUTED_VALUE"""),"Stephan Jaeger")</f>
        <v>Stephan Jaeger</v>
      </c>
      <c r="D271">
        <f ca="1">IFERROR(__xludf.DUMMYFUNCTION("""COMPUTED_VALUE"""),4)</f>
        <v>4</v>
      </c>
      <c r="E271" t="str">
        <f ca="1">IFERROR(__xludf.DUMMYFUNCTION("""COMPUTED_VALUE"""),"39' 6""")</f>
        <v>39' 6"</v>
      </c>
      <c r="F271">
        <f ca="1">IFERROR(__xludf.DUMMYFUNCTION("""COMPUTED_VALUE"""),315.75)</f>
        <v>315.75</v>
      </c>
      <c r="G271">
        <f ca="1">IFERROR(__xludf.DUMMYFUNCTION("""COMPUTED_VALUE"""),8)</f>
        <v>8</v>
      </c>
      <c r="H271">
        <f ca="1">IFERROR(__xludf.DUMMYFUNCTION("""COMPUTED_VALUE"""),-1)</f>
        <v>-1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IFERROR(__xludf.DUMMYFUNCTION("""COMPUTED_VALUE"""),"Renato Paratore")</f>
        <v>Renato Paratore</v>
      </c>
      <c r="D272">
        <f ca="1">IFERROR(__xludf.DUMMYFUNCTION("""COMPUTED_VALUE"""),4)</f>
        <v>4</v>
      </c>
      <c r="E272" t="str">
        <f ca="1">IFERROR(__xludf.DUMMYFUNCTION("""COMPUTED_VALUE"""),"41' 0""")</f>
        <v>41' 0"</v>
      </c>
      <c r="F272">
        <f ca="1">IFERROR(__xludf.DUMMYFUNCTION("""COMPUTED_VALUE"""),245.833)</f>
        <v>245.833</v>
      </c>
      <c r="G272">
        <f ca="1">IFERROR(__xludf.DUMMYFUNCTION("""COMPUTED_VALUE"""),6)</f>
        <v>6</v>
      </c>
      <c r="H272">
        <f ca="1">IFERROR(__xludf.DUMMYFUNCTION("""COMPUTED_VALUE"""),-2)</f>
        <v>-2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IFERROR(__xludf.DUMMYFUNCTION("""COMPUTED_VALUE"""),"Parker McLachlin")</f>
        <v>Parker McLachlin</v>
      </c>
      <c r="D273">
        <f ca="1">IFERROR(__xludf.DUMMYFUNCTION("""COMPUTED_VALUE"""),4)</f>
        <v>4</v>
      </c>
      <c r="E273" t="str">
        <f ca="1">IFERROR(__xludf.DUMMYFUNCTION("""COMPUTED_VALUE"""),"41' 9""")</f>
        <v>41' 9"</v>
      </c>
      <c r="F273">
        <f ca="1">IFERROR(__xludf.DUMMYFUNCTION("""COMPUTED_VALUE"""),250.667)</f>
        <v>250.667</v>
      </c>
      <c r="G273">
        <f ca="1">IFERROR(__xludf.DUMMYFUNCTION("""COMPUTED_VALUE"""),6)</f>
        <v>6</v>
      </c>
      <c r="H273" t="str">
        <f ca="1">IFERROR(__xludf.DUMMYFUNCTION("""COMPUTED_VALUE"""),"+3")</f>
        <v>+3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IFERROR(__xludf.DUMMYFUNCTION("""COMPUTED_VALUE"""),"Robert MacIntyre")</f>
        <v>Robert MacIntyre</v>
      </c>
      <c r="D274">
        <f ca="1">IFERROR(__xludf.DUMMYFUNCTION("""COMPUTED_VALUE"""),4)</f>
        <v>4</v>
      </c>
      <c r="E274" t="str">
        <f ca="1">IFERROR(__xludf.DUMMYFUNCTION("""COMPUTED_VALUE"""),"42' 11""")</f>
        <v>42' 11"</v>
      </c>
      <c r="F274">
        <f ca="1">IFERROR(__xludf.DUMMYFUNCTION("""COMPUTED_VALUE"""),386.417)</f>
        <v>386.41699999999997</v>
      </c>
      <c r="G274">
        <f ca="1">IFERROR(__xludf.DUMMYFUNCTION("""COMPUTED_VALUE"""),9)</f>
        <v>9</v>
      </c>
      <c r="H274" t="str">
        <f ca="1">IFERROR(__xludf.DUMMYFUNCTION("""COMPUTED_VALUE"""),"+2")</f>
        <v>+2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IFERROR(__xludf.DUMMYFUNCTION("""COMPUTED_VALUE"""),"Shawn Stefani")</f>
        <v>Shawn Stefani</v>
      </c>
      <c r="D275">
        <f ca="1">IFERROR(__xludf.DUMMYFUNCTION("""COMPUTED_VALUE"""),5)</f>
        <v>5</v>
      </c>
      <c r="E275" t="str">
        <f ca="1">IFERROR(__xludf.DUMMYFUNCTION("""COMPUTED_VALUE"""),"43' 1""")</f>
        <v>43' 1"</v>
      </c>
      <c r="F275">
        <f ca="1">IFERROR(__xludf.DUMMYFUNCTION("""COMPUTED_VALUE"""),172.333)</f>
        <v>172.333</v>
      </c>
      <c r="G275">
        <f ca="1">IFERROR(__xludf.DUMMYFUNCTION("""COMPUTED_VALUE"""),4)</f>
        <v>4</v>
      </c>
      <c r="H275" t="str">
        <f ca="1">IFERROR(__xludf.DUMMYFUNCTION("""COMPUTED_VALUE"""),"+1")</f>
        <v>+1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IFERROR(__xludf.DUMMYFUNCTION("""COMPUTED_VALUE"""),"Steve Lewton")</f>
        <v>Steve Lewton</v>
      </c>
      <c r="D276">
        <f ca="1">IFERROR(__xludf.DUMMYFUNCTION("""COMPUTED_VALUE"""),4)</f>
        <v>4</v>
      </c>
      <c r="E276" t="str">
        <f ca="1">IFERROR(__xludf.DUMMYFUNCTION("""COMPUTED_VALUE"""),"43' 7""")</f>
        <v>43' 7"</v>
      </c>
      <c r="F276">
        <f ca="1">IFERROR(__xludf.DUMMYFUNCTION("""COMPUTED_VALUE"""),174.333)</f>
        <v>174.333</v>
      </c>
      <c r="G276">
        <f ca="1">IFERROR(__xludf.DUMMYFUNCTION("""COMPUTED_VALUE"""),4)</f>
        <v>4</v>
      </c>
      <c r="H276">
        <f ca="1">IFERROR(__xludf.DUMMYFUNCTION("""COMPUTED_VALUE"""),-1)</f>
        <v>-1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IFERROR(__xludf.DUMMYFUNCTION("""COMPUTED_VALUE"""),"Thomas Detry")</f>
        <v>Thomas Detry</v>
      </c>
      <c r="D277">
        <f ca="1">IFERROR(__xludf.DUMMYFUNCTION("""COMPUTED_VALUE"""),8)</f>
        <v>8</v>
      </c>
      <c r="E277" t="str">
        <f ca="1">IFERROR(__xludf.DUMMYFUNCTION("""COMPUTED_VALUE"""),"51' 6""")</f>
        <v>51' 6"</v>
      </c>
      <c r="F277">
        <f ca="1">IFERROR(__xludf.DUMMYFUNCTION("""COMPUTED_VALUE"""),566.25)</f>
        <v>566.25</v>
      </c>
      <c r="G277">
        <f ca="1">IFERROR(__xludf.DUMMYFUNCTION("""COMPUTED_VALUE"""),11)</f>
        <v>11</v>
      </c>
      <c r="H277" t="str">
        <f ca="1">IFERROR(__xludf.DUMMYFUNCTION("""COMPUTED_VALUE"""),"+3")</f>
        <v>+3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IFERROR(__xludf.DUMMYFUNCTION("importhtml(""http://www.pgatour.com/stats/stat.337.html"",""table"",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IFERROR(__xludf.DUMMYFUNCTION("""COMPUTED_VALUE"""),"Shawn Stefani")</f>
        <v>Shawn Stefani</v>
      </c>
      <c r="D2">
        <f ca="1">IFERROR(__xludf.DUMMYFUNCTION("""COMPUTED_VALUE"""),5)</f>
        <v>5</v>
      </c>
      <c r="E2" t="str">
        <f ca="1">IFERROR(__xludf.DUMMYFUNCTION("""COMPUTED_VALUE"""),"17' 3""")</f>
        <v>17' 3"</v>
      </c>
      <c r="F2">
        <f ca="1">IFERROR(__xludf.DUMMYFUNCTION("""COMPUTED_VALUE"""),51.667)</f>
        <v>51.667000000000002</v>
      </c>
      <c r="G2">
        <f ca="1">IFERROR(__xludf.DUMMYFUNCTION("""COMPUTED_VALUE"""),3)</f>
        <v>3</v>
      </c>
      <c r="H2" t="str">
        <f ca="1">IFERROR(__xludf.DUMMYFUNCTION("""COMPUTED_VALUE"""),"E")</f>
        <v>E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IFERROR(__xludf.DUMMYFUNCTION("""COMPUTED_VALUE"""),"John Senden")</f>
        <v>John Senden</v>
      </c>
      <c r="D3">
        <f ca="1">IFERROR(__xludf.DUMMYFUNCTION("""COMPUTED_VALUE"""),8)</f>
        <v>8</v>
      </c>
      <c r="E3" t="str">
        <f ca="1">IFERROR(__xludf.DUMMYFUNCTION("""COMPUTED_VALUE"""),"17' 4""")</f>
        <v>17' 4"</v>
      </c>
      <c r="F3">
        <f ca="1">IFERROR(__xludf.DUMMYFUNCTION("""COMPUTED_VALUE"""),51.917)</f>
        <v>51.917000000000002</v>
      </c>
      <c r="G3">
        <f ca="1">IFERROR(__xludf.DUMMYFUNCTION("""COMPUTED_VALUE"""),3)</f>
        <v>3</v>
      </c>
      <c r="H3">
        <f ca="1">IFERROR(__xludf.DUMMYFUNCTION("""COMPUTED_VALUE"""),-1)</f>
        <v>-1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IFERROR(__xludf.DUMMYFUNCTION("""COMPUTED_VALUE"""),"Kurt Kitayama")</f>
        <v>Kurt Kitayama</v>
      </c>
      <c r="D4">
        <f ca="1">IFERROR(__xludf.DUMMYFUNCTION("""COMPUTED_VALUE"""),4)</f>
        <v>4</v>
      </c>
      <c r="E4" t="str">
        <f ca="1">IFERROR(__xludf.DUMMYFUNCTION("""COMPUTED_VALUE"""),"17' 9""")</f>
        <v>17' 9"</v>
      </c>
      <c r="F4">
        <f ca="1">IFERROR(__xludf.DUMMYFUNCTION("""COMPUTED_VALUE"""),53.167)</f>
        <v>53.167000000000002</v>
      </c>
      <c r="G4">
        <f ca="1">IFERROR(__xludf.DUMMYFUNCTION("""COMPUTED_VALUE"""),3)</f>
        <v>3</v>
      </c>
      <c r="H4" t="str">
        <f ca="1">IFERROR(__xludf.DUMMYFUNCTION("""COMPUTED_VALUE"""),"E")</f>
        <v>E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IFERROR(__xludf.DUMMYFUNCTION("""COMPUTED_VALUE"""),"Jaekyeong Lee")</f>
        <v>Jaekyeong Lee</v>
      </c>
      <c r="D5">
        <f ca="1">IFERROR(__xludf.DUMMYFUNCTION("""COMPUTED_VALUE"""),4)</f>
        <v>4</v>
      </c>
      <c r="E5" t="str">
        <f ca="1">IFERROR(__xludf.DUMMYFUNCTION("""COMPUTED_VALUE"""),"21' 10""")</f>
        <v>21' 10"</v>
      </c>
      <c r="F5">
        <f ca="1">IFERROR(__xludf.DUMMYFUNCTION("""COMPUTED_VALUE"""),196.583)</f>
        <v>196.583</v>
      </c>
      <c r="G5">
        <f ca="1">IFERROR(__xludf.DUMMYFUNCTION("""COMPUTED_VALUE"""),9)</f>
        <v>9</v>
      </c>
      <c r="H5">
        <f ca="1">IFERROR(__xludf.DUMMYFUNCTION("""COMPUTED_VALUE"""),-3)</f>
        <v>-3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IFERROR(__xludf.DUMMYFUNCTION("""COMPUTED_VALUE"""),"Ryan Brehm")</f>
        <v>Ryan Brehm</v>
      </c>
      <c r="D6">
        <f ca="1">IFERROR(__xludf.DUMMYFUNCTION("""COMPUTED_VALUE"""),10)</f>
        <v>10</v>
      </c>
      <c r="E6" t="str">
        <f ca="1">IFERROR(__xludf.DUMMYFUNCTION("""COMPUTED_VALUE"""),"22' 10""")</f>
        <v>22' 10"</v>
      </c>
      <c r="F6">
        <f ca="1">IFERROR(__xludf.DUMMYFUNCTION("""COMPUTED_VALUE"""),91.333)</f>
        <v>91.332999999999998</v>
      </c>
      <c r="G6">
        <f ca="1">IFERROR(__xludf.DUMMYFUNCTION("""COMPUTED_VALUE"""),4)</f>
        <v>4</v>
      </c>
      <c r="H6" t="str">
        <f ca="1">IFERROR(__xludf.DUMMYFUNCTION("""COMPUTED_VALUE"""),"+1")</f>
        <v>+1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IFERROR(__xludf.DUMMYFUNCTION("""COMPUTED_VALUE"""),9)</f>
        <v>9</v>
      </c>
      <c r="C7" t="str">
        <f ca="1">IFERROR(__xludf.DUMMYFUNCTION("""COMPUTED_VALUE"""),"Bud Cauley")</f>
        <v>Bud Cauley</v>
      </c>
      <c r="D7">
        <f ca="1">IFERROR(__xludf.DUMMYFUNCTION("""COMPUTED_VALUE"""),4)</f>
        <v>4</v>
      </c>
      <c r="E7" t="str">
        <f ca="1">IFERROR(__xludf.DUMMYFUNCTION("""COMPUTED_VALUE"""),"23' 4""")</f>
        <v>23' 4"</v>
      </c>
      <c r="F7">
        <f ca="1">IFERROR(__xludf.DUMMYFUNCTION("""COMPUTED_VALUE"""),140.167)</f>
        <v>140.167</v>
      </c>
      <c r="G7">
        <f ca="1">IFERROR(__xludf.DUMMYFUNCTION("""COMPUTED_VALUE"""),6)</f>
        <v>6</v>
      </c>
      <c r="H7">
        <f ca="1">IFERROR(__xludf.DUMMYFUNCTION("""COMPUTED_VALUE"""),-1)</f>
        <v>-1</v>
      </c>
    </row>
    <row r="8" spans="1:8" ht="15.75" customHeight="1">
      <c r="A8">
        <f ca="1">IFERROR(__xludf.DUMMYFUNCTION("""COMPUTED_VALUE"""),7)</f>
        <v>7</v>
      </c>
      <c r="B8" t="str">
        <f ca="1">IFERROR(__xludf.DUMMYFUNCTION("""COMPUTED_VALUE"""),"T7")</f>
        <v>T7</v>
      </c>
      <c r="C8" t="str">
        <f ca="1">IFERROR(__xludf.DUMMYFUNCTION("""COMPUTED_VALUE"""),"Sam Burns")</f>
        <v>Sam Burns</v>
      </c>
      <c r="D8">
        <f ca="1">IFERROR(__xludf.DUMMYFUNCTION("""COMPUTED_VALUE"""),18)</f>
        <v>18</v>
      </c>
      <c r="E8" t="str">
        <f ca="1">IFERROR(__xludf.DUMMYFUNCTION("""COMPUTED_VALUE"""),"23' 9""")</f>
        <v>23' 9"</v>
      </c>
      <c r="F8">
        <f ca="1">IFERROR(__xludf.DUMMYFUNCTION("""COMPUTED_VALUE"""),641.667)</f>
        <v>641.66700000000003</v>
      </c>
      <c r="G8">
        <f ca="1">IFERROR(__xludf.DUMMYFUNCTION("""COMPUTED_VALUE"""),27)</f>
        <v>27</v>
      </c>
      <c r="H8">
        <f ca="1">IFERROR(__xludf.DUMMYFUNCTION("""COMPUTED_VALUE"""),-4)</f>
        <v>-4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IFERROR(__xludf.DUMMYFUNCTION("""COMPUTED_VALUE"""),10)</f>
        <v>10</v>
      </c>
      <c r="C9" t="str">
        <f ca="1">IFERROR(__xludf.DUMMYFUNCTION("""COMPUTED_VALUE"""),"Collin Morikawa")</f>
        <v>Collin Morikawa</v>
      </c>
      <c r="D9">
        <f ca="1">IFERROR(__xludf.DUMMYFUNCTION("""COMPUTED_VALUE"""),12)</f>
        <v>12</v>
      </c>
      <c r="E9" t="str">
        <f ca="1">IFERROR(__xludf.DUMMYFUNCTION("""COMPUTED_VALUE"""),"23' 10""")</f>
        <v>23' 10"</v>
      </c>
      <c r="F9">
        <f ca="1">IFERROR(__xludf.DUMMYFUNCTION("""COMPUTED_VALUE"""),668)</f>
        <v>668</v>
      </c>
      <c r="G9">
        <f ca="1">IFERROR(__xludf.DUMMYFUNCTION("""COMPUTED_VALUE"""),28)</f>
        <v>28</v>
      </c>
      <c r="H9">
        <f ca="1">IFERROR(__xludf.DUMMYFUNCTION("""COMPUTED_VALUE"""),-5)</f>
        <v>-5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IFERROR(__xludf.DUMMYFUNCTION("""COMPUTED_VALUE"""),12)</f>
        <v>12</v>
      </c>
      <c r="C10" t="str">
        <f ca="1">IFERROR(__xludf.DUMMYFUNCTION("""COMPUTED_VALUE"""),"Tyler McCumber")</f>
        <v>Tyler McCumber</v>
      </c>
      <c r="D10">
        <f ca="1">IFERROR(__xludf.DUMMYFUNCTION("""COMPUTED_VALUE"""),14)</f>
        <v>14</v>
      </c>
      <c r="E10" t="str">
        <f ca="1">IFERROR(__xludf.DUMMYFUNCTION("""COMPUTED_VALUE"""),"24' 2""")</f>
        <v>24' 2"</v>
      </c>
      <c r="F10">
        <f ca="1">IFERROR(__xludf.DUMMYFUNCTION("""COMPUTED_VALUE"""),313.667)</f>
        <v>313.66699999999997</v>
      </c>
      <c r="G10">
        <f ca="1">IFERROR(__xludf.DUMMYFUNCTION("""COMPUTED_VALUE"""),13)</f>
        <v>13</v>
      </c>
      <c r="H10">
        <f ca="1">IFERROR(__xludf.DUMMYFUNCTION("""COMPUTED_VALUE"""),-3)</f>
        <v>-3</v>
      </c>
    </row>
    <row r="11" spans="1:8" ht="15.75" customHeight="1">
      <c r="A11" t="str">
        <f ca="1">IFERROR(__xludf.DUMMYFUNCTION("""COMPUTED_VALUE"""),"T10")</f>
        <v>T10</v>
      </c>
      <c r="B11" t="str">
        <f ca="1">IFERROR(__xludf.DUMMYFUNCTION("""COMPUTED_VALUE"""),"T15")</f>
        <v>T15</v>
      </c>
      <c r="C11" t="str">
        <f ca="1">IFERROR(__xludf.DUMMYFUNCTION("""COMPUTED_VALUE"""),"J.J. Spaun")</f>
        <v>J.J. Spaun</v>
      </c>
      <c r="D11">
        <f ca="1">IFERROR(__xludf.DUMMYFUNCTION("""COMPUTED_VALUE"""),10)</f>
        <v>10</v>
      </c>
      <c r="E11" t="str">
        <f ca="1">IFERROR(__xludf.DUMMYFUNCTION("""COMPUTED_VALUE"""),"24' 6""")</f>
        <v>24' 6"</v>
      </c>
      <c r="F11">
        <f ca="1">IFERROR(__xludf.DUMMYFUNCTION("""COMPUTED_VALUE"""),220.75)</f>
        <v>220.75</v>
      </c>
      <c r="G11">
        <f ca="1">IFERROR(__xludf.DUMMYFUNCTION("""COMPUTED_VALUE"""),9)</f>
        <v>9</v>
      </c>
      <c r="H11" t="str">
        <f ca="1">IFERROR(__xludf.DUMMYFUNCTION("""COMPUTED_VALUE"""),"+1")</f>
        <v>+1</v>
      </c>
    </row>
    <row r="12" spans="1:8" ht="15.75" customHeight="1">
      <c r="A12" t="str">
        <f ca="1">IFERROR(__xludf.DUMMYFUNCTION("""COMPUTED_VALUE"""),"T10")</f>
        <v>T10</v>
      </c>
      <c r="B12" t="str">
        <f ca="1">IFERROR(__xludf.DUMMYFUNCTION("""COMPUTED_VALUE"""),"T15")</f>
        <v>T15</v>
      </c>
      <c r="C12" t="str">
        <f ca="1">IFERROR(__xludf.DUMMYFUNCTION("""COMPUTED_VALUE"""),"Byeong Hun An")</f>
        <v>Byeong Hun An</v>
      </c>
      <c r="D12">
        <f ca="1">IFERROR(__xludf.DUMMYFUNCTION("""COMPUTED_VALUE"""),14)</f>
        <v>14</v>
      </c>
      <c r="E12" t="str">
        <f ca="1">IFERROR(__xludf.DUMMYFUNCTION("""COMPUTED_VALUE"""),"24' 6""")</f>
        <v>24' 6"</v>
      </c>
      <c r="F12">
        <f ca="1">IFERROR(__xludf.DUMMYFUNCTION("""COMPUTED_VALUE"""),686.167)</f>
        <v>686.16700000000003</v>
      </c>
      <c r="G12">
        <f ca="1">IFERROR(__xludf.DUMMYFUNCTION("""COMPUTED_VALUE"""),28)</f>
        <v>28</v>
      </c>
      <c r="H12">
        <f ca="1">IFERROR(__xludf.DUMMYFUNCTION("""COMPUTED_VALUE"""),-6)</f>
        <v>-6</v>
      </c>
    </row>
    <row r="13" spans="1:8" ht="15.75" customHeight="1">
      <c r="A13">
        <f ca="1">IFERROR(__xludf.DUMMYFUNCTION("""COMPUTED_VALUE"""),12)</f>
        <v>12</v>
      </c>
      <c r="B13" t="str">
        <f ca="1">IFERROR(__xludf.DUMMYFUNCTION("""COMPUTED_VALUE"""),"T17")</f>
        <v>T17</v>
      </c>
      <c r="C13" t="str">
        <f ca="1">IFERROR(__xludf.DUMMYFUNCTION("""COMPUTED_VALUE"""),"Alex Cejka")</f>
        <v>Alex Cejka</v>
      </c>
      <c r="D13">
        <f ca="1">IFERROR(__xludf.DUMMYFUNCTION("""COMPUTED_VALUE"""),6)</f>
        <v>6</v>
      </c>
      <c r="E13" t="str">
        <f ca="1">IFERROR(__xludf.DUMMYFUNCTION("""COMPUTED_VALUE"""),"24' 7""")</f>
        <v>24' 7"</v>
      </c>
      <c r="F13">
        <f ca="1">IFERROR(__xludf.DUMMYFUNCTION("""COMPUTED_VALUE"""),98.333)</f>
        <v>98.332999999999998</v>
      </c>
      <c r="G13">
        <f ca="1">IFERROR(__xludf.DUMMYFUNCTION("""COMPUTED_VALUE"""),4)</f>
        <v>4</v>
      </c>
      <c r="H13">
        <f ca="1">IFERROR(__xludf.DUMMYFUNCTION("""COMPUTED_VALUE"""),-1)</f>
        <v>-1</v>
      </c>
    </row>
    <row r="14" spans="1:8" ht="15.75" customHeight="1">
      <c r="A14">
        <f ca="1">IFERROR(__xludf.DUMMYFUNCTION("""COMPUTED_VALUE"""),13)</f>
        <v>13</v>
      </c>
      <c r="B14">
        <f ca="1">IFERROR(__xludf.DUMMYFUNCTION("""COMPUTED_VALUE"""),5)</f>
        <v>5</v>
      </c>
      <c r="C14" t="str">
        <f ca="1">IFERROR(__xludf.DUMMYFUNCTION("""COMPUTED_VALUE"""),"Aaron Wise")</f>
        <v>Aaron Wise</v>
      </c>
      <c r="D14">
        <f ca="1">IFERROR(__xludf.DUMMYFUNCTION("""COMPUTED_VALUE"""),16)</f>
        <v>16</v>
      </c>
      <c r="E14" t="str">
        <f ca="1">IFERROR(__xludf.DUMMYFUNCTION("""COMPUTED_VALUE"""),"24' 11""")</f>
        <v>24' 11"</v>
      </c>
      <c r="F14">
        <f ca="1">IFERROR(__xludf.DUMMYFUNCTION("""COMPUTED_VALUE"""),573.167)</f>
        <v>573.16700000000003</v>
      </c>
      <c r="G14">
        <f ca="1">IFERROR(__xludf.DUMMYFUNCTION("""COMPUTED_VALUE"""),23)</f>
        <v>23</v>
      </c>
      <c r="H14">
        <f ca="1">IFERROR(__xludf.DUMMYFUNCTION("""COMPUTED_VALUE"""),-5)</f>
        <v>-5</v>
      </c>
    </row>
    <row r="15" spans="1:8" ht="15.75" customHeight="1">
      <c r="A15">
        <f ca="1">IFERROR(__xludf.DUMMYFUNCTION("""COMPUTED_VALUE"""),14)</f>
        <v>14</v>
      </c>
      <c r="B15" t="str">
        <f ca="1">IFERROR(__xludf.DUMMYFUNCTION("""COMPUTED_VALUE"""),"T7")</f>
        <v>T7</v>
      </c>
      <c r="C15" t="str">
        <f ca="1">IFERROR(__xludf.DUMMYFUNCTION("""COMPUTED_VALUE"""),"Hudson Swafford")</f>
        <v>Hudson Swafford</v>
      </c>
      <c r="D15">
        <f ca="1">IFERROR(__xludf.DUMMYFUNCTION("""COMPUTED_VALUE"""),18)</f>
        <v>18</v>
      </c>
      <c r="E15" t="str">
        <f ca="1">IFERROR(__xludf.DUMMYFUNCTION("""COMPUTED_VALUE"""),"25' 7""")</f>
        <v>25' 7"</v>
      </c>
      <c r="F15">
        <f ca="1">IFERROR(__xludf.DUMMYFUNCTION("""COMPUTED_VALUE"""),537.833)</f>
        <v>537.83299999999997</v>
      </c>
      <c r="G15">
        <f ca="1">IFERROR(__xludf.DUMMYFUNCTION("""COMPUTED_VALUE"""),21)</f>
        <v>21</v>
      </c>
      <c r="H15" t="str">
        <f ca="1">IFERROR(__xludf.DUMMYFUNCTION("""COMPUTED_VALUE"""),"+2")</f>
        <v>+2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IFERROR(__xludf.DUMMYFUNCTION("""COMPUTED_VALUE"""),21)</f>
        <v>21</v>
      </c>
      <c r="C16" t="str">
        <f ca="1">IFERROR(__xludf.DUMMYFUNCTION("""COMPUTED_VALUE"""),"Andy Zhang")</f>
        <v>Andy Zhang</v>
      </c>
      <c r="D16">
        <f ca="1">IFERROR(__xludf.DUMMYFUNCTION("""COMPUTED_VALUE"""),4)</f>
        <v>4</v>
      </c>
      <c r="E16" t="str">
        <f ca="1">IFERROR(__xludf.DUMMYFUNCTION("""COMPUTED_VALUE"""),"26' 1""")</f>
        <v>26' 1"</v>
      </c>
      <c r="F16">
        <f ca="1">IFERROR(__xludf.DUMMYFUNCTION("""COMPUTED_VALUE"""),182.5)</f>
        <v>182.5</v>
      </c>
      <c r="G16">
        <f ca="1">IFERROR(__xludf.DUMMYFUNCTION("""COMPUTED_VALUE"""),7)</f>
        <v>7</v>
      </c>
      <c r="H16">
        <f ca="1">IFERROR(__xludf.DUMMYFUNCTION("""COMPUTED_VALUE"""),-2)</f>
        <v>-2</v>
      </c>
    </row>
    <row r="17" spans="1:8" ht="15.75" customHeight="1">
      <c r="A17">
        <f ca="1">IFERROR(__xludf.DUMMYFUNCTION("""COMPUTED_VALUE"""),16)</f>
        <v>16</v>
      </c>
      <c r="B17">
        <f ca="1">IFERROR(__xludf.DUMMYFUNCTION("""COMPUTED_VALUE"""),36)</f>
        <v>36</v>
      </c>
      <c r="C17" t="str">
        <f ca="1">IFERROR(__xludf.DUMMYFUNCTION("""COMPUTED_VALUE"""),"Danny Willett")</f>
        <v>Danny Willett</v>
      </c>
      <c r="D17">
        <f ca="1">IFERROR(__xludf.DUMMYFUNCTION("""COMPUTED_VALUE"""),7)</f>
        <v>7</v>
      </c>
      <c r="E17" t="str">
        <f ca="1">IFERROR(__xludf.DUMMYFUNCTION("""COMPUTED_VALUE"""),"26' 3""")</f>
        <v>26' 3"</v>
      </c>
      <c r="F17">
        <f ca="1">IFERROR(__xludf.DUMMYFUNCTION("""COMPUTED_VALUE"""),131.333)</f>
        <v>131.333</v>
      </c>
      <c r="G17">
        <f ca="1">IFERROR(__xludf.DUMMYFUNCTION("""COMPUTED_VALUE"""),5)</f>
        <v>5</v>
      </c>
      <c r="H17" t="str">
        <f ca="1">IFERROR(__xludf.DUMMYFUNCTION("""COMPUTED_VALUE"""),"+1")</f>
        <v>+1</v>
      </c>
    </row>
    <row r="18" spans="1:8" ht="15.75" customHeight="1">
      <c r="A18">
        <f ca="1">IFERROR(__xludf.DUMMYFUNCTION("""COMPUTED_VALUE"""),17)</f>
        <v>17</v>
      </c>
      <c r="B18">
        <f ca="1">IFERROR(__xludf.DUMMYFUNCTION("""COMPUTED_VALUE"""),25)</f>
        <v>25</v>
      </c>
      <c r="C18" t="str">
        <f ca="1">IFERROR(__xludf.DUMMYFUNCTION("""COMPUTED_VALUE"""),"Hanbyeol Kim")</f>
        <v>Hanbyeol Kim</v>
      </c>
      <c r="D18">
        <f ca="1">IFERROR(__xludf.DUMMYFUNCTION("""COMPUTED_VALUE"""),4)</f>
        <v>4</v>
      </c>
      <c r="E18" t="str">
        <f ca="1">IFERROR(__xludf.DUMMYFUNCTION("""COMPUTED_VALUE"""),"26' 6""")</f>
        <v>26' 6"</v>
      </c>
      <c r="F18">
        <f ca="1">IFERROR(__xludf.DUMMYFUNCTION("""COMPUTED_VALUE"""),264.583)</f>
        <v>264.58300000000003</v>
      </c>
      <c r="G18">
        <f ca="1">IFERROR(__xludf.DUMMYFUNCTION("""COMPUTED_VALUE"""),10)</f>
        <v>10</v>
      </c>
      <c r="H18">
        <f ca="1">IFERROR(__xludf.DUMMYFUNCTION("""COMPUTED_VALUE"""),-3)</f>
        <v>-3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IFERROR(__xludf.DUMMYFUNCTION("""COMPUTED_VALUE"""),26)</f>
        <v>26</v>
      </c>
      <c r="C19" t="str">
        <f ca="1">IFERROR(__xludf.DUMMYFUNCTION("""COMPUTED_VALUE"""),"Robert MacIntyre")</f>
        <v>Robert MacIntyre</v>
      </c>
      <c r="D19">
        <f ca="1">IFERROR(__xludf.DUMMYFUNCTION("""COMPUTED_VALUE"""),4)</f>
        <v>4</v>
      </c>
      <c r="E19" t="str">
        <f ca="1">IFERROR(__xludf.DUMMYFUNCTION("""COMPUTED_VALUE"""),"26' 7""")</f>
        <v>26' 7"</v>
      </c>
      <c r="F19">
        <f ca="1">IFERROR(__xludf.DUMMYFUNCTION("""COMPUTED_VALUE"""),53.167)</f>
        <v>53.167000000000002</v>
      </c>
      <c r="G19">
        <f ca="1">IFERROR(__xludf.DUMMYFUNCTION("""COMPUTED_VALUE"""),2)</f>
        <v>2</v>
      </c>
      <c r="H19">
        <f ca="1">IFERROR(__xludf.DUMMYFUNCTION("""COMPUTED_VALUE"""),-1)</f>
        <v>-1</v>
      </c>
    </row>
    <row r="20" spans="1:8" ht="15.75" customHeight="1">
      <c r="A20" t="str">
        <f ca="1">IFERROR(__xludf.DUMMYFUNCTION("""COMPUTED_VALUE"""),"T19")</f>
        <v>T19</v>
      </c>
      <c r="B20">
        <f ca="1">IFERROR(__xludf.DUMMYFUNCTION("""COMPUTED_VALUE"""),27)</f>
        <v>27</v>
      </c>
      <c r="C20" t="str">
        <f ca="1">IFERROR(__xludf.DUMMYFUNCTION("""COMPUTED_VALUE"""),"Josh Teater")</f>
        <v>Josh Teater</v>
      </c>
      <c r="D20">
        <f ca="1">IFERROR(__xludf.DUMMYFUNCTION("""COMPUTED_VALUE"""),6)</f>
        <v>6</v>
      </c>
      <c r="E20" t="str">
        <f ca="1">IFERROR(__xludf.DUMMYFUNCTION("""COMPUTED_VALUE"""),"26' 10""")</f>
        <v>26' 10"</v>
      </c>
      <c r="F20">
        <f ca="1">IFERROR(__xludf.DUMMYFUNCTION("""COMPUTED_VALUE"""),107.25)</f>
        <v>107.25</v>
      </c>
      <c r="G20">
        <f ca="1">IFERROR(__xludf.DUMMYFUNCTION("""COMPUTED_VALUE"""),4)</f>
        <v>4</v>
      </c>
      <c r="H20" t="str">
        <f ca="1">IFERROR(__xludf.DUMMYFUNCTION("""COMPUTED_VALUE"""),"+1")</f>
        <v>+1</v>
      </c>
    </row>
    <row r="21" spans="1:8" ht="15.75" customHeight="1">
      <c r="A21" t="str">
        <f ca="1">IFERROR(__xludf.DUMMYFUNCTION("""COMPUTED_VALUE"""),"T19")</f>
        <v>T19</v>
      </c>
      <c r="B21">
        <f ca="1">IFERROR(__xludf.DUMMYFUNCTION("""COMPUTED_VALUE"""),22)</f>
        <v>22</v>
      </c>
      <c r="C21" t="str">
        <f ca="1">IFERROR(__xludf.DUMMYFUNCTION("""COMPUTED_VALUE"""),"Tom Lewis")</f>
        <v>Tom Lewis</v>
      </c>
      <c r="D21">
        <f ca="1">IFERROR(__xludf.DUMMYFUNCTION("""COMPUTED_VALUE"""),12)</f>
        <v>12</v>
      </c>
      <c r="E21" t="str">
        <f ca="1">IFERROR(__xludf.DUMMYFUNCTION("""COMPUTED_VALUE"""),"26' 10""")</f>
        <v>26' 10"</v>
      </c>
      <c r="F21">
        <f ca="1">IFERROR(__xludf.DUMMYFUNCTION("""COMPUTED_VALUE"""),482.5)</f>
        <v>482.5</v>
      </c>
      <c r="G21">
        <f ca="1">IFERROR(__xludf.DUMMYFUNCTION("""COMPUTED_VALUE"""),18)</f>
        <v>18</v>
      </c>
      <c r="H21">
        <f ca="1">IFERROR(__xludf.DUMMYFUNCTION("""COMPUTED_VALUE"""),-3)</f>
        <v>-3</v>
      </c>
    </row>
    <row r="22" spans="1:8" ht="15.75" customHeight="1">
      <c r="A22">
        <f ca="1">IFERROR(__xludf.DUMMYFUNCTION("""COMPUTED_VALUE"""),21)</f>
        <v>21</v>
      </c>
      <c r="B22" t="str">
        <f ca="1">IFERROR(__xludf.DUMMYFUNCTION("""COMPUTED_VALUE"""),"T28")</f>
        <v>T28</v>
      </c>
      <c r="C22" t="str">
        <f ca="1">IFERROR(__xludf.DUMMYFUNCTION("""COMPUTED_VALUE"""),"Jon Rahm")</f>
        <v>Jon Rahm</v>
      </c>
      <c r="D22">
        <f ca="1">IFERROR(__xludf.DUMMYFUNCTION("""COMPUTED_VALUE"""),12)</f>
        <v>12</v>
      </c>
      <c r="E22" t="str">
        <f ca="1">IFERROR(__xludf.DUMMYFUNCTION("""COMPUTED_VALUE"""),"27' 1""")</f>
        <v>27' 1"</v>
      </c>
      <c r="F22">
        <f ca="1">IFERROR(__xludf.DUMMYFUNCTION("""COMPUTED_VALUE"""),921.75)</f>
        <v>921.75</v>
      </c>
      <c r="G22">
        <f ca="1">IFERROR(__xludf.DUMMYFUNCTION("""COMPUTED_VALUE"""),34)</f>
        <v>34</v>
      </c>
      <c r="H22">
        <f ca="1">IFERROR(__xludf.DUMMYFUNCTION("""COMPUTED_VALUE"""),-6)</f>
        <v>-6</v>
      </c>
    </row>
    <row r="23" spans="1:8" ht="15.75" customHeight="1">
      <c r="A23" t="str">
        <f ca="1">IFERROR(__xludf.DUMMYFUNCTION("""COMPUTED_VALUE"""),"T22")</f>
        <v>T22</v>
      </c>
      <c r="B23">
        <f ca="1">IFERROR(__xludf.DUMMYFUNCTION("""COMPUTED_VALUE"""),32)</f>
        <v>32</v>
      </c>
      <c r="C23" t="str">
        <f ca="1">IFERROR(__xludf.DUMMYFUNCTION("""COMPUTED_VALUE"""),"Cameron Champ")</f>
        <v>Cameron Champ</v>
      </c>
      <c r="D23">
        <f ca="1">IFERROR(__xludf.DUMMYFUNCTION("""COMPUTED_VALUE"""),12)</f>
        <v>12</v>
      </c>
      <c r="E23" t="str">
        <f ca="1">IFERROR(__xludf.DUMMYFUNCTION("""COMPUTED_VALUE"""),"27' 3""")</f>
        <v>27' 3"</v>
      </c>
      <c r="F23">
        <f ca="1">IFERROR(__xludf.DUMMYFUNCTION("""COMPUTED_VALUE"""),953.917)</f>
        <v>953.91700000000003</v>
      </c>
      <c r="G23">
        <f ca="1">IFERROR(__xludf.DUMMYFUNCTION("""COMPUTED_VALUE"""),35)</f>
        <v>35</v>
      </c>
      <c r="H23">
        <f ca="1">IFERROR(__xludf.DUMMYFUNCTION("""COMPUTED_VALUE"""),-10)</f>
        <v>-10</v>
      </c>
    </row>
    <row r="24" spans="1:8" ht="15.75" customHeight="1">
      <c r="A24" t="str">
        <f ca="1">IFERROR(__xludf.DUMMYFUNCTION("""COMPUTED_VALUE"""),"T22")</f>
        <v>T22</v>
      </c>
      <c r="B24" t="str">
        <f ca="1">IFERROR(__xludf.DUMMYFUNCTION("""COMPUTED_VALUE"""),"T28")</f>
        <v>T28</v>
      </c>
      <c r="C24" t="str">
        <f ca="1">IFERROR(__xludf.DUMMYFUNCTION("""COMPUTED_VALUE"""),"Emiliano Grillo")</f>
        <v>Emiliano Grillo</v>
      </c>
      <c r="D24">
        <f ca="1">IFERROR(__xludf.DUMMYFUNCTION("""COMPUTED_VALUE"""),22)</f>
        <v>22</v>
      </c>
      <c r="E24" t="str">
        <f ca="1">IFERROR(__xludf.DUMMYFUNCTION("""COMPUTED_VALUE"""),"27' 3""")</f>
        <v>27' 3"</v>
      </c>
      <c r="F24">
        <f ca="1">IFERROR(__xludf.DUMMYFUNCTION("""COMPUTED_VALUE"""),681.25)</f>
        <v>681.25</v>
      </c>
      <c r="G24">
        <f ca="1">IFERROR(__xludf.DUMMYFUNCTION("""COMPUTED_VALUE"""),25)</f>
        <v>25</v>
      </c>
      <c r="H24" t="str">
        <f ca="1">IFERROR(__xludf.DUMMYFUNCTION("""COMPUTED_VALUE"""),"+1")</f>
        <v>+1</v>
      </c>
    </row>
    <row r="25" spans="1:8" ht="15.75" customHeight="1">
      <c r="A25">
        <f ca="1">IFERROR(__xludf.DUMMYFUNCTION("""COMPUTED_VALUE"""),24)</f>
        <v>24</v>
      </c>
      <c r="B25" t="str">
        <f ca="1">IFERROR(__xludf.DUMMYFUNCTION("""COMPUTED_VALUE"""),"T33")</f>
        <v>T33</v>
      </c>
      <c r="C25" t="str">
        <f ca="1">IFERROR(__xludf.DUMMYFUNCTION("""COMPUTED_VALUE"""),"Rickie Fowler")</f>
        <v>Rickie Fowler</v>
      </c>
      <c r="D25">
        <f ca="1">IFERROR(__xludf.DUMMYFUNCTION("""COMPUTED_VALUE"""),14)</f>
        <v>14</v>
      </c>
      <c r="E25" t="str">
        <f ca="1">IFERROR(__xludf.DUMMYFUNCTION("""COMPUTED_VALUE"""),"27' 4""")</f>
        <v>27' 4"</v>
      </c>
      <c r="F25">
        <f ca="1">IFERROR(__xludf.DUMMYFUNCTION("""COMPUTED_VALUE"""),874.75)</f>
        <v>874.75</v>
      </c>
      <c r="G25">
        <f ca="1">IFERROR(__xludf.DUMMYFUNCTION("""COMPUTED_VALUE"""),32)</f>
        <v>32</v>
      </c>
      <c r="H25" t="str">
        <f ca="1">IFERROR(__xludf.DUMMYFUNCTION("""COMPUTED_VALUE"""),"+1")</f>
        <v>+1</v>
      </c>
    </row>
    <row r="26" spans="1:8" ht="15.75" customHeight="1">
      <c r="A26">
        <f ca="1">IFERROR(__xludf.DUMMYFUNCTION("""COMPUTED_VALUE"""),25)</f>
        <v>25</v>
      </c>
      <c r="B26">
        <f ca="1">IFERROR(__xludf.DUMMYFUNCTION("""COMPUTED_VALUE"""),35)</f>
        <v>35</v>
      </c>
      <c r="C26" t="str">
        <f ca="1">IFERROR(__xludf.DUMMYFUNCTION("""COMPUTED_VALUE"""),"Wes Roach")</f>
        <v>Wes Roach</v>
      </c>
      <c r="D26">
        <f ca="1">IFERROR(__xludf.DUMMYFUNCTION("""COMPUTED_VALUE"""),6)</f>
        <v>6</v>
      </c>
      <c r="E26" t="str">
        <f ca="1">IFERROR(__xludf.DUMMYFUNCTION("""COMPUTED_VALUE"""),"27' 5""")</f>
        <v>27' 5"</v>
      </c>
      <c r="F26">
        <f ca="1">IFERROR(__xludf.DUMMYFUNCTION("""COMPUTED_VALUE"""),82.333)</f>
        <v>82.332999999999998</v>
      </c>
      <c r="G26">
        <f ca="1">IFERROR(__xludf.DUMMYFUNCTION("""COMPUTED_VALUE"""),3)</f>
        <v>3</v>
      </c>
      <c r="H26" t="str">
        <f ca="1">IFERROR(__xludf.DUMMYFUNCTION("""COMPUTED_VALUE"""),"+1")</f>
        <v>+1</v>
      </c>
    </row>
    <row r="27" spans="1:8" ht="15.75" customHeight="1">
      <c r="A27">
        <f ca="1">IFERROR(__xludf.DUMMYFUNCTION("""COMPUTED_VALUE"""),26)</f>
        <v>26</v>
      </c>
      <c r="B27" t="str">
        <f ca="1">IFERROR(__xludf.DUMMYFUNCTION("""COMPUTED_VALUE"""),"")</f>
        <v/>
      </c>
      <c r="C27" t="str">
        <f ca="1">IFERROR(__xludf.DUMMYFUNCTION("""COMPUTED_VALUE"""),"Erik Barnes")</f>
        <v>Erik Barnes</v>
      </c>
      <c r="D27">
        <f ca="1">IFERROR(__xludf.DUMMYFUNCTION("""COMPUTED_VALUE"""),4)</f>
        <v>4</v>
      </c>
      <c r="E27" t="str">
        <f ca="1">IFERROR(__xludf.DUMMYFUNCTION("""COMPUTED_VALUE"""),"27' 7""")</f>
        <v>27' 7"</v>
      </c>
      <c r="F27">
        <f ca="1">IFERROR(__xludf.DUMMYFUNCTION("""COMPUTED_VALUE"""),220.333)</f>
        <v>220.333</v>
      </c>
      <c r="G27">
        <f ca="1">IFERROR(__xludf.DUMMYFUNCTION("""COMPUTED_VALUE"""),8)</f>
        <v>8</v>
      </c>
      <c r="H27">
        <f ca="1">IFERROR(__xludf.DUMMYFUNCTION("""COMPUTED_VALUE"""),-1)</f>
        <v>-1</v>
      </c>
    </row>
    <row r="28" spans="1:8" ht="15.75" customHeight="1">
      <c r="A28" t="str">
        <f ca="1">IFERROR(__xludf.DUMMYFUNCTION("""COMPUTED_VALUE"""),"T27")</f>
        <v>T27</v>
      </c>
      <c r="B28" t="str">
        <f ca="1">IFERROR(__xludf.DUMMYFUNCTION("""COMPUTED_VALUE"""),"T37")</f>
        <v>T37</v>
      </c>
      <c r="C28" t="str">
        <f ca="1">IFERROR(__xludf.DUMMYFUNCTION("""COMPUTED_VALUE"""),"Justin Suh")</f>
        <v>Justin Suh</v>
      </c>
      <c r="D28">
        <f ca="1">IFERROR(__xludf.DUMMYFUNCTION("""COMPUTED_VALUE"""),10)</f>
        <v>10</v>
      </c>
      <c r="E28" t="str">
        <f ca="1">IFERROR(__xludf.DUMMYFUNCTION("""COMPUTED_VALUE"""),"27' 9""")</f>
        <v>27' 9"</v>
      </c>
      <c r="F28">
        <f ca="1">IFERROR(__xludf.DUMMYFUNCTION("""COMPUTED_VALUE"""),138.583)</f>
        <v>138.583</v>
      </c>
      <c r="G28">
        <f ca="1">IFERROR(__xludf.DUMMYFUNCTION("""COMPUTED_VALUE"""),5)</f>
        <v>5</v>
      </c>
      <c r="H28">
        <f ca="1">IFERROR(__xludf.DUMMYFUNCTION("""COMPUTED_VALUE"""),-1)</f>
        <v>-1</v>
      </c>
    </row>
    <row r="29" spans="1:8" ht="15.75" customHeight="1">
      <c r="A29" t="str">
        <f ca="1">IFERROR(__xludf.DUMMYFUNCTION("""COMPUTED_VALUE"""),"T27")</f>
        <v>T27</v>
      </c>
      <c r="B29" t="str">
        <f ca="1">IFERROR(__xludf.DUMMYFUNCTION("""COMPUTED_VALUE"""),"T37")</f>
        <v>T37</v>
      </c>
      <c r="C29" t="str">
        <f ca="1">IFERROR(__xludf.DUMMYFUNCTION("""COMPUTED_VALUE"""),"Chan Kim")</f>
        <v>Chan Kim</v>
      </c>
      <c r="D29">
        <f ca="1">IFERROR(__xludf.DUMMYFUNCTION("""COMPUTED_VALUE"""),6)</f>
        <v>6</v>
      </c>
      <c r="E29" t="str">
        <f ca="1">IFERROR(__xludf.DUMMYFUNCTION("""COMPUTED_VALUE"""),"27' 9""")</f>
        <v>27' 9"</v>
      </c>
      <c r="F29">
        <f ca="1">IFERROR(__xludf.DUMMYFUNCTION("""COMPUTED_VALUE"""),416)</f>
        <v>416</v>
      </c>
      <c r="G29">
        <f ca="1">IFERROR(__xludf.DUMMYFUNCTION("""COMPUTED_VALUE"""),15)</f>
        <v>15</v>
      </c>
      <c r="H29">
        <f ca="1">IFERROR(__xludf.DUMMYFUNCTION("""COMPUTED_VALUE"""),-1)</f>
        <v>-1</v>
      </c>
    </row>
    <row r="30" spans="1:8" ht="15.75" customHeight="1">
      <c r="A30" t="str">
        <f ca="1">IFERROR(__xludf.DUMMYFUNCTION("""COMPUTED_VALUE"""),"T27")</f>
        <v>T27</v>
      </c>
      <c r="B30" t="str">
        <f ca="1">IFERROR(__xludf.DUMMYFUNCTION("""COMPUTED_VALUE"""),"T37")</f>
        <v>T37</v>
      </c>
      <c r="C30" t="str">
        <f ca="1">IFERROR(__xludf.DUMMYFUNCTION("""COMPUTED_VALUE"""),"Gary Woodland")</f>
        <v>Gary Woodland</v>
      </c>
      <c r="D30">
        <f ca="1">IFERROR(__xludf.DUMMYFUNCTION("""COMPUTED_VALUE"""),6)</f>
        <v>6</v>
      </c>
      <c r="E30" t="str">
        <f ca="1">IFERROR(__xludf.DUMMYFUNCTION("""COMPUTED_VALUE"""),"27' 9""")</f>
        <v>27' 9"</v>
      </c>
      <c r="F30">
        <f ca="1">IFERROR(__xludf.DUMMYFUNCTION("""COMPUTED_VALUE"""),333.25)</f>
        <v>333.25</v>
      </c>
      <c r="G30">
        <f ca="1">IFERROR(__xludf.DUMMYFUNCTION("""COMPUTED_VALUE"""),12)</f>
        <v>12</v>
      </c>
      <c r="H30" t="str">
        <f ca="1">IFERROR(__xludf.DUMMYFUNCTION("""COMPUTED_VALUE"""),"+1")</f>
        <v>+1</v>
      </c>
    </row>
    <row r="31" spans="1:8" ht="12.75">
      <c r="A31" t="str">
        <f ca="1">IFERROR(__xludf.DUMMYFUNCTION("""COMPUTED_VALUE"""),"T27")</f>
        <v>T27</v>
      </c>
      <c r="B31" t="str">
        <f ca="1">IFERROR(__xludf.DUMMYFUNCTION("""COMPUTED_VALUE"""),"T37")</f>
        <v>T37</v>
      </c>
      <c r="C31" t="str">
        <f ca="1">IFERROR(__xludf.DUMMYFUNCTION("""COMPUTED_VALUE"""),"Marc Leishman")</f>
        <v>Marc Leishman</v>
      </c>
      <c r="D31">
        <f ca="1">IFERROR(__xludf.DUMMYFUNCTION("""COMPUTED_VALUE"""),10)</f>
        <v>10</v>
      </c>
      <c r="E31" t="str">
        <f ca="1">IFERROR(__xludf.DUMMYFUNCTION("""COMPUTED_VALUE"""),"27' 9""")</f>
        <v>27' 9"</v>
      </c>
      <c r="F31">
        <f ca="1">IFERROR(__xludf.DUMMYFUNCTION("""COMPUTED_VALUE"""),833)</f>
        <v>833</v>
      </c>
      <c r="G31">
        <f ca="1">IFERROR(__xludf.DUMMYFUNCTION("""COMPUTED_VALUE"""),30)</f>
        <v>30</v>
      </c>
      <c r="H31">
        <f ca="1">IFERROR(__xludf.DUMMYFUNCTION("""COMPUTED_VALUE"""),-2)</f>
        <v>-2</v>
      </c>
    </row>
    <row r="32" spans="1:8" ht="12.75">
      <c r="A32" t="str">
        <f ca="1">IFERROR(__xludf.DUMMYFUNCTION("""COMPUTED_VALUE"""),"T27")</f>
        <v>T27</v>
      </c>
      <c r="B32" t="str">
        <f ca="1">IFERROR(__xludf.DUMMYFUNCTION("""COMPUTED_VALUE"""),"T37")</f>
        <v>T37</v>
      </c>
      <c r="C32" t="str">
        <f ca="1">IFERROR(__xludf.DUMMYFUNCTION("""COMPUTED_VALUE"""),"Ricky Barnes")</f>
        <v>Ricky Barnes</v>
      </c>
      <c r="D32">
        <f ca="1">IFERROR(__xludf.DUMMYFUNCTION("""COMPUTED_VALUE"""),12)</f>
        <v>12</v>
      </c>
      <c r="E32" t="str">
        <f ca="1">IFERROR(__xludf.DUMMYFUNCTION("""COMPUTED_VALUE"""),"27' 9""")</f>
        <v>27' 9"</v>
      </c>
      <c r="F32">
        <f ca="1">IFERROR(__xludf.DUMMYFUNCTION("""COMPUTED_VALUE"""),166.25)</f>
        <v>166.25</v>
      </c>
      <c r="G32">
        <f ca="1">IFERROR(__xludf.DUMMYFUNCTION("""COMPUTED_VALUE"""),6)</f>
        <v>6</v>
      </c>
      <c r="H32" t="str">
        <f ca="1">IFERROR(__xludf.DUMMYFUNCTION("""COMPUTED_VALUE"""),"E")</f>
        <v>E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IFERROR(__xludf.DUMMYFUNCTION("""COMPUTED_VALUE"""),"T17")</f>
        <v>T17</v>
      </c>
      <c r="C33" t="str">
        <f ca="1">IFERROR(__xludf.DUMMYFUNCTION("""COMPUTED_VALUE"""),"Will Gordon")</f>
        <v>Will Gordon</v>
      </c>
      <c r="D33">
        <f ca="1">IFERROR(__xludf.DUMMYFUNCTION("""COMPUTED_VALUE"""),20)</f>
        <v>20</v>
      </c>
      <c r="E33" t="str">
        <f ca="1">IFERROR(__xludf.DUMMYFUNCTION("""COMPUTED_VALUE"""),"28' 0""")</f>
        <v>28' 0"</v>
      </c>
      <c r="F33">
        <f ca="1">IFERROR(__xludf.DUMMYFUNCTION("""COMPUTED_VALUE"""),699.833)</f>
        <v>699.83299999999997</v>
      </c>
      <c r="G33">
        <f ca="1">IFERROR(__xludf.DUMMYFUNCTION("""COMPUTED_VALUE"""),25)</f>
        <v>25</v>
      </c>
      <c r="H33">
        <f ca="1">IFERROR(__xludf.DUMMYFUNCTION("""COMPUTED_VALUE"""),-5)</f>
        <v>-5</v>
      </c>
    </row>
    <row r="34" spans="1:8" ht="12.75">
      <c r="A34" t="str">
        <f ca="1">IFERROR(__xludf.DUMMYFUNCTION("""COMPUTED_VALUE"""),"T32")</f>
        <v>T32</v>
      </c>
      <c r="B34">
        <f ca="1">IFERROR(__xludf.DUMMYFUNCTION("""COMPUTED_VALUE"""),23)</f>
        <v>23</v>
      </c>
      <c r="C34" t="str">
        <f ca="1">IFERROR(__xludf.DUMMYFUNCTION("""COMPUTED_VALUE"""),"Tyrrell Hatton")</f>
        <v>Tyrrell Hatton</v>
      </c>
      <c r="D34">
        <f ca="1">IFERROR(__xludf.DUMMYFUNCTION("""COMPUTED_VALUE"""),14)</f>
        <v>14</v>
      </c>
      <c r="E34" t="str">
        <f ca="1">IFERROR(__xludf.DUMMYFUNCTION("""COMPUTED_VALUE"""),"28' 0""")</f>
        <v>28' 0"</v>
      </c>
      <c r="F34" s="2">
        <f ca="1">IFERROR(__xludf.DUMMYFUNCTION("""COMPUTED_VALUE"""),1148.25)</f>
        <v>1148.25</v>
      </c>
      <c r="G34">
        <f ca="1">IFERROR(__xludf.DUMMYFUNCTION("""COMPUTED_VALUE"""),41)</f>
        <v>41</v>
      </c>
      <c r="H34">
        <f ca="1">IFERROR(__xludf.DUMMYFUNCTION("""COMPUTED_VALUE"""),-8)</f>
        <v>-8</v>
      </c>
    </row>
    <row r="35" spans="1:8" ht="12.75">
      <c r="A35">
        <f ca="1">IFERROR(__xludf.DUMMYFUNCTION("""COMPUTED_VALUE"""),34)</f>
        <v>34</v>
      </c>
      <c r="B35">
        <f ca="1">IFERROR(__xludf.DUMMYFUNCTION("""COMPUTED_VALUE"""),46)</f>
        <v>46</v>
      </c>
      <c r="C35" t="str">
        <f ca="1">IFERROR(__xludf.DUMMYFUNCTION("""COMPUTED_VALUE"""),"Keegan Bradley")</f>
        <v>Keegan Bradley</v>
      </c>
      <c r="D35">
        <f ca="1">IFERROR(__xludf.DUMMYFUNCTION("""COMPUTED_VALUE"""),16)</f>
        <v>16</v>
      </c>
      <c r="E35" t="str">
        <f ca="1">IFERROR(__xludf.DUMMYFUNCTION("""COMPUTED_VALUE"""),"28' 1""")</f>
        <v>28' 1"</v>
      </c>
      <c r="F35">
        <f ca="1">IFERROR(__xludf.DUMMYFUNCTION("""COMPUTED_VALUE"""),954.333)</f>
        <v>954.33299999999997</v>
      </c>
      <c r="G35">
        <f ca="1">IFERROR(__xludf.DUMMYFUNCTION("""COMPUTED_VALUE"""),34)</f>
        <v>34</v>
      </c>
      <c r="H35">
        <f ca="1">IFERROR(__xludf.DUMMYFUNCTION("""COMPUTED_VALUE"""),-1)</f>
        <v>-1</v>
      </c>
    </row>
    <row r="36" spans="1:8" ht="12.75">
      <c r="A36">
        <f ca="1">IFERROR(__xludf.DUMMYFUNCTION("""COMPUTED_VALUE"""),35)</f>
        <v>35</v>
      </c>
      <c r="B36" t="str">
        <f ca="1">IFERROR(__xludf.DUMMYFUNCTION("""COMPUTED_VALUE"""),"T33")</f>
        <v>T33</v>
      </c>
      <c r="C36" t="str">
        <f ca="1">IFERROR(__xludf.DUMMYFUNCTION("""COMPUTED_VALUE"""),"Tom Hoge")</f>
        <v>Tom Hoge</v>
      </c>
      <c r="D36">
        <f ca="1">IFERROR(__xludf.DUMMYFUNCTION("""COMPUTED_VALUE"""),22)</f>
        <v>22</v>
      </c>
      <c r="E36" t="str">
        <f ca="1">IFERROR(__xludf.DUMMYFUNCTION("""COMPUTED_VALUE"""),"28' 5""")</f>
        <v>28' 5"</v>
      </c>
      <c r="F36" s="2">
        <f ca="1">IFERROR(__xludf.DUMMYFUNCTION("""COMPUTED_VALUE"""),1477)</f>
        <v>1477</v>
      </c>
      <c r="G36">
        <f ca="1">IFERROR(__xludf.DUMMYFUNCTION("""COMPUTED_VALUE"""),52)</f>
        <v>52</v>
      </c>
      <c r="H36">
        <f ca="1">IFERROR(__xludf.DUMMYFUNCTION("""COMPUTED_VALUE"""),-8)</f>
        <v>-8</v>
      </c>
    </row>
    <row r="37" spans="1:8" ht="12.75">
      <c r="A37" t="str">
        <f ca="1">IFERROR(__xludf.DUMMYFUNCTION("""COMPUTED_VALUE"""),"T36")</f>
        <v>T36</v>
      </c>
      <c r="B37" t="str">
        <f ca="1">IFERROR(__xludf.DUMMYFUNCTION("""COMPUTED_VALUE"""),"T53")</f>
        <v>T53</v>
      </c>
      <c r="C37" t="str">
        <f ca="1">IFERROR(__xludf.DUMMYFUNCTION("""COMPUTED_VALUE"""),"Viktor Hovland")</f>
        <v>Viktor Hovland</v>
      </c>
      <c r="D37">
        <f ca="1">IFERROR(__xludf.DUMMYFUNCTION("""COMPUTED_VALUE"""),16)</f>
        <v>16</v>
      </c>
      <c r="E37" t="str">
        <f ca="1">IFERROR(__xludf.DUMMYFUNCTION("""COMPUTED_VALUE"""),"28' 7""")</f>
        <v>28' 7"</v>
      </c>
      <c r="F37">
        <f ca="1">IFERROR(__xludf.DUMMYFUNCTION("""COMPUTED_VALUE"""),971.75)</f>
        <v>971.75</v>
      </c>
      <c r="G37">
        <f ca="1">IFERROR(__xludf.DUMMYFUNCTION("""COMPUTED_VALUE"""),34)</f>
        <v>34</v>
      </c>
      <c r="H37">
        <f ca="1">IFERROR(__xludf.DUMMYFUNCTION("""COMPUTED_VALUE"""),-4)</f>
        <v>-4</v>
      </c>
    </row>
    <row r="38" spans="1:8" ht="12.75">
      <c r="A38" t="str">
        <f ca="1">IFERROR(__xludf.DUMMYFUNCTION("""COMPUTED_VALUE"""),"T36")</f>
        <v>T36</v>
      </c>
      <c r="B38">
        <f ca="1">IFERROR(__xludf.DUMMYFUNCTION("""COMPUTED_VALUE"""),52)</f>
        <v>52</v>
      </c>
      <c r="C38" t="str">
        <f ca="1">IFERROR(__xludf.DUMMYFUNCTION("""COMPUTED_VALUE"""),"Roger Sloan")</f>
        <v>Roger Sloan</v>
      </c>
      <c r="D38">
        <f ca="1">IFERROR(__xludf.DUMMYFUNCTION("""COMPUTED_VALUE"""),12)</f>
        <v>12</v>
      </c>
      <c r="E38" t="str">
        <f ca="1">IFERROR(__xludf.DUMMYFUNCTION("""COMPUTED_VALUE"""),"28' 7""")</f>
        <v>28' 7"</v>
      </c>
      <c r="F38">
        <f ca="1">IFERROR(__xludf.DUMMYFUNCTION("""COMPUTED_VALUE"""),314.75)</f>
        <v>314.75</v>
      </c>
      <c r="G38">
        <f ca="1">IFERROR(__xludf.DUMMYFUNCTION("""COMPUTED_VALUE"""),11)</f>
        <v>11</v>
      </c>
      <c r="H38" t="str">
        <f ca="1">IFERROR(__xludf.DUMMYFUNCTION("""COMPUTED_VALUE"""),"E")</f>
        <v>E</v>
      </c>
    </row>
    <row r="39" spans="1:8" ht="12.75">
      <c r="A39" t="str">
        <f ca="1">IFERROR(__xludf.DUMMYFUNCTION("""COMPUTED_VALUE"""),"T36")</f>
        <v>T36</v>
      </c>
      <c r="B39" t="str">
        <f ca="1">IFERROR(__xludf.DUMMYFUNCTION("""COMPUTED_VALUE"""),"T148")</f>
        <v>T148</v>
      </c>
      <c r="C39" t="str">
        <f ca="1">IFERROR(__xludf.DUMMYFUNCTION("""COMPUTED_VALUE"""),"Fabián Gómez")</f>
        <v>Fabián Gómez</v>
      </c>
      <c r="D39">
        <f ca="1">IFERROR(__xludf.DUMMYFUNCTION("""COMPUTED_VALUE"""),16)</f>
        <v>16</v>
      </c>
      <c r="E39" t="str">
        <f ca="1">IFERROR(__xludf.DUMMYFUNCTION("""COMPUTED_VALUE"""),"28' 7""")</f>
        <v>28' 7"</v>
      </c>
      <c r="F39">
        <f ca="1">IFERROR(__xludf.DUMMYFUNCTION("""COMPUTED_VALUE"""),628.75)</f>
        <v>628.75</v>
      </c>
      <c r="G39">
        <f ca="1">IFERROR(__xludf.DUMMYFUNCTION("""COMPUTED_VALUE"""),22)</f>
        <v>22</v>
      </c>
      <c r="H39" t="str">
        <f ca="1">IFERROR(__xludf.DUMMYFUNCTION("""COMPUTED_VALUE"""),"E")</f>
        <v>E</v>
      </c>
    </row>
    <row r="40" spans="1:8" ht="12.75">
      <c r="A40">
        <f ca="1">IFERROR(__xludf.DUMMYFUNCTION("""COMPUTED_VALUE"""),39)</f>
        <v>39</v>
      </c>
      <c r="B40">
        <f ca="1">IFERROR(__xludf.DUMMYFUNCTION("""COMPUTED_VALUE"""),11)</f>
        <v>11</v>
      </c>
      <c r="C40" t="str">
        <f ca="1">IFERROR(__xludf.DUMMYFUNCTION("""COMPUTED_VALUE"""),"Ted Potter, Jr.")</f>
        <v>Ted Potter, Jr.</v>
      </c>
      <c r="D40">
        <f ca="1">IFERROR(__xludf.DUMMYFUNCTION("""COMPUTED_VALUE"""),8)</f>
        <v>8</v>
      </c>
      <c r="E40" t="str">
        <f ca="1">IFERROR(__xludf.DUMMYFUNCTION("""COMPUTED_VALUE"""),"28' 8""")</f>
        <v>28' 8"</v>
      </c>
      <c r="F40">
        <f ca="1">IFERROR(__xludf.DUMMYFUNCTION("""COMPUTED_VALUE"""),458.417)</f>
        <v>458.41699999999997</v>
      </c>
      <c r="G40">
        <f ca="1">IFERROR(__xludf.DUMMYFUNCTION("""COMPUTED_VALUE"""),16)</f>
        <v>16</v>
      </c>
      <c r="H40" t="str">
        <f ca="1">IFERROR(__xludf.DUMMYFUNCTION("""COMPUTED_VALUE"""),"+1")</f>
        <v>+1</v>
      </c>
    </row>
    <row r="41" spans="1:8" ht="12.75">
      <c r="A41">
        <f ca="1">IFERROR(__xludf.DUMMYFUNCTION("""COMPUTED_VALUE"""),40)</f>
        <v>40</v>
      </c>
      <c r="B41" t="str">
        <f ca="1">IFERROR(__xludf.DUMMYFUNCTION("""COMPUTED_VALUE"""),"T117")</f>
        <v>T117</v>
      </c>
      <c r="C41" t="str">
        <f ca="1">IFERROR(__xludf.DUMMYFUNCTION("""COMPUTED_VALUE"""),"Pat Perez")</f>
        <v>Pat Perez</v>
      </c>
      <c r="D41">
        <f ca="1">IFERROR(__xludf.DUMMYFUNCTION("""COMPUTED_VALUE"""),16)</f>
        <v>16</v>
      </c>
      <c r="E41" t="str">
        <f ca="1">IFERROR(__xludf.DUMMYFUNCTION("""COMPUTED_VALUE"""),"28' 9""")</f>
        <v>28' 9"</v>
      </c>
      <c r="F41">
        <f ca="1">IFERROR(__xludf.DUMMYFUNCTION("""COMPUTED_VALUE"""),547)</f>
        <v>547</v>
      </c>
      <c r="G41">
        <f ca="1">IFERROR(__xludf.DUMMYFUNCTION("""COMPUTED_VALUE"""),19)</f>
        <v>19</v>
      </c>
      <c r="H41" t="str">
        <f ca="1">IFERROR(__xludf.DUMMYFUNCTION("""COMPUTED_VALUE"""),"+1")</f>
        <v>+1</v>
      </c>
    </row>
    <row r="42" spans="1:8" ht="12.75">
      <c r="A42">
        <f ca="1">IFERROR(__xludf.DUMMYFUNCTION("""COMPUTED_VALUE"""),41)</f>
        <v>41</v>
      </c>
      <c r="B42" t="str">
        <f ca="1">IFERROR(__xludf.DUMMYFUNCTION("""COMPUTED_VALUE"""),"T55")</f>
        <v>T55</v>
      </c>
      <c r="C42" t="str">
        <f ca="1">IFERROR(__xludf.DUMMYFUNCTION("""COMPUTED_VALUE"""),"Sahith Theegala")</f>
        <v>Sahith Theegala</v>
      </c>
      <c r="D42">
        <f ca="1">IFERROR(__xludf.DUMMYFUNCTION("""COMPUTED_VALUE"""),6)</f>
        <v>6</v>
      </c>
      <c r="E42" t="str">
        <f ca="1">IFERROR(__xludf.DUMMYFUNCTION("""COMPUTED_VALUE"""),"28' 11""")</f>
        <v>28' 11"</v>
      </c>
      <c r="F42">
        <f ca="1">IFERROR(__xludf.DUMMYFUNCTION("""COMPUTED_VALUE"""),289.25)</f>
        <v>289.25</v>
      </c>
      <c r="G42">
        <f ca="1">IFERROR(__xludf.DUMMYFUNCTION("""COMPUTED_VALUE"""),10)</f>
        <v>10</v>
      </c>
      <c r="H42" t="str">
        <f ca="1">IFERROR(__xludf.DUMMYFUNCTION("""COMPUTED_VALUE"""),"+1")</f>
        <v>+1</v>
      </c>
    </row>
    <row r="43" spans="1:8" ht="12.75">
      <c r="A43">
        <f ca="1">IFERROR(__xludf.DUMMYFUNCTION("""COMPUTED_VALUE"""),42)</f>
        <v>42</v>
      </c>
      <c r="B43">
        <f ca="1">IFERROR(__xludf.DUMMYFUNCTION("""COMPUTED_VALUE"""),57)</f>
        <v>57</v>
      </c>
      <c r="C43" t="str">
        <f ca="1">IFERROR(__xludf.DUMMYFUNCTION("""COMPUTED_VALUE"""),"Brendan Steele")</f>
        <v>Brendan Steele</v>
      </c>
      <c r="D43">
        <f ca="1">IFERROR(__xludf.DUMMYFUNCTION("""COMPUTED_VALUE"""),14)</f>
        <v>14</v>
      </c>
      <c r="E43" t="str">
        <f ca="1">IFERROR(__xludf.DUMMYFUNCTION("""COMPUTED_VALUE"""),"29' 0""")</f>
        <v>29' 0"</v>
      </c>
      <c r="F43" s="2">
        <f ca="1">IFERROR(__xludf.DUMMYFUNCTION("""COMPUTED_VALUE"""),1132.333)</f>
        <v>1132.3330000000001</v>
      </c>
      <c r="G43">
        <f ca="1">IFERROR(__xludf.DUMMYFUNCTION("""COMPUTED_VALUE"""),39)</f>
        <v>39</v>
      </c>
      <c r="H43">
        <f ca="1">IFERROR(__xludf.DUMMYFUNCTION("""COMPUTED_VALUE"""),-3)</f>
        <v>-3</v>
      </c>
    </row>
    <row r="44" spans="1:8" ht="12.75">
      <c r="A44">
        <f ca="1">IFERROR(__xludf.DUMMYFUNCTION("""COMPUTED_VALUE"""),43)</f>
        <v>43</v>
      </c>
      <c r="B44">
        <f ca="1">IFERROR(__xludf.DUMMYFUNCTION("""COMPUTED_VALUE"""),58)</f>
        <v>58</v>
      </c>
      <c r="C44" t="str">
        <f ca="1">IFERROR(__xludf.DUMMYFUNCTION("""COMPUTED_VALUE"""),"Nick Watney")</f>
        <v>Nick Watney</v>
      </c>
      <c r="D44">
        <f ca="1">IFERROR(__xludf.DUMMYFUNCTION("""COMPUTED_VALUE"""),10)</f>
        <v>10</v>
      </c>
      <c r="E44" t="str">
        <f ca="1">IFERROR(__xludf.DUMMYFUNCTION("""COMPUTED_VALUE"""),"29' 1""")</f>
        <v>29' 1"</v>
      </c>
      <c r="F44">
        <f ca="1">IFERROR(__xludf.DUMMYFUNCTION("""COMPUTED_VALUE"""),465.583)</f>
        <v>465.58300000000003</v>
      </c>
      <c r="G44">
        <f ca="1">IFERROR(__xludf.DUMMYFUNCTION("""COMPUTED_VALUE"""),16)</f>
        <v>16</v>
      </c>
      <c r="H44">
        <f ca="1">IFERROR(__xludf.DUMMYFUNCTION("""COMPUTED_VALUE"""),-3)</f>
        <v>-3</v>
      </c>
    </row>
    <row r="45" spans="1:8" ht="12.75">
      <c r="A45">
        <f ca="1">IFERROR(__xludf.DUMMYFUNCTION("""COMPUTED_VALUE"""),44)</f>
        <v>44</v>
      </c>
      <c r="B45" t="str">
        <f ca="1">IFERROR(__xludf.DUMMYFUNCTION("""COMPUTED_VALUE"""),"T43")</f>
        <v>T43</v>
      </c>
      <c r="C45" t="str">
        <f ca="1">IFERROR(__xludf.DUMMYFUNCTION("""COMPUTED_VALUE"""),"Talor Gooch")</f>
        <v>Talor Gooch</v>
      </c>
      <c r="D45">
        <f ca="1">IFERROR(__xludf.DUMMYFUNCTION("""COMPUTED_VALUE"""),20)</f>
        <v>20</v>
      </c>
      <c r="E45" t="str">
        <f ca="1">IFERROR(__xludf.DUMMYFUNCTION("""COMPUTED_VALUE"""),"29' 2""")</f>
        <v>29' 2"</v>
      </c>
      <c r="F45" s="2">
        <f ca="1">IFERROR(__xludf.DUMMYFUNCTION("""COMPUTED_VALUE"""),1547.917)</f>
        <v>1547.9169999999999</v>
      </c>
      <c r="G45">
        <f ca="1">IFERROR(__xludf.DUMMYFUNCTION("""COMPUTED_VALUE"""),53)</f>
        <v>53</v>
      </c>
      <c r="H45">
        <f ca="1">IFERROR(__xludf.DUMMYFUNCTION("""COMPUTED_VALUE"""),-5)</f>
        <v>-5</v>
      </c>
    </row>
    <row r="46" spans="1:8" ht="12.75">
      <c r="A46" t="str">
        <f ca="1">IFERROR(__xludf.DUMMYFUNCTION("""COMPUTED_VALUE"""),"T45")</f>
        <v>T45</v>
      </c>
      <c r="B46" t="str">
        <f ca="1">IFERROR(__xludf.DUMMYFUNCTION("""COMPUTED_VALUE"""),"T59")</f>
        <v>T59</v>
      </c>
      <c r="C46" t="str">
        <f ca="1">IFERROR(__xludf.DUMMYFUNCTION("""COMPUTED_VALUE"""),"Joohyung Kim")</f>
        <v>Joohyung Kim</v>
      </c>
      <c r="D46">
        <f ca="1">IFERROR(__xludf.DUMMYFUNCTION("""COMPUTED_VALUE"""),12)</f>
        <v>12</v>
      </c>
      <c r="E46" t="str">
        <f ca="1">IFERROR(__xludf.DUMMYFUNCTION("""COMPUTED_VALUE"""),"29' 3""")</f>
        <v>29' 3"</v>
      </c>
      <c r="F46">
        <f ca="1">IFERROR(__xludf.DUMMYFUNCTION("""COMPUTED_VALUE"""),497.5)</f>
        <v>497.5</v>
      </c>
      <c r="G46">
        <f ca="1">IFERROR(__xludf.DUMMYFUNCTION("""COMPUTED_VALUE"""),17)</f>
        <v>17</v>
      </c>
      <c r="H46">
        <f ca="1">IFERROR(__xludf.DUMMYFUNCTION("""COMPUTED_VALUE"""),-1)</f>
        <v>-1</v>
      </c>
    </row>
    <row r="47" spans="1:8" ht="12.75">
      <c r="A47" t="str">
        <f ca="1">IFERROR(__xludf.DUMMYFUNCTION("""COMPUTED_VALUE"""),"T45")</f>
        <v>T45</v>
      </c>
      <c r="B47" t="str">
        <f ca="1">IFERROR(__xludf.DUMMYFUNCTION("""COMPUTED_VALUE"""),"T59")</f>
        <v>T59</v>
      </c>
      <c r="C47" t="str">
        <f ca="1">IFERROR(__xludf.DUMMYFUNCTION("""COMPUTED_VALUE"""),"Gunn Charoenkul")</f>
        <v>Gunn Charoenkul</v>
      </c>
      <c r="D47">
        <f ca="1">IFERROR(__xludf.DUMMYFUNCTION("""COMPUTED_VALUE"""),4)</f>
        <v>4</v>
      </c>
      <c r="E47" t="str">
        <f ca="1">IFERROR(__xludf.DUMMYFUNCTION("""COMPUTED_VALUE"""),"29' 3""")</f>
        <v>29' 3"</v>
      </c>
      <c r="F47">
        <f ca="1">IFERROR(__xludf.DUMMYFUNCTION("""COMPUTED_VALUE"""),497.917)</f>
        <v>497.91699999999997</v>
      </c>
      <c r="G47">
        <f ca="1">IFERROR(__xludf.DUMMYFUNCTION("""COMPUTED_VALUE"""),17)</f>
        <v>17</v>
      </c>
      <c r="H47">
        <f ca="1">IFERROR(__xludf.DUMMYFUNCTION("""COMPUTED_VALUE"""),-1)</f>
        <v>-1</v>
      </c>
    </row>
    <row r="48" spans="1:8" ht="12.75">
      <c r="A48" t="str">
        <f ca="1">IFERROR(__xludf.DUMMYFUNCTION("""COMPUTED_VALUE"""),"T45")</f>
        <v>T45</v>
      </c>
      <c r="B48">
        <f ca="1">IFERROR(__xludf.DUMMYFUNCTION("""COMPUTED_VALUE"""),13)</f>
        <v>13</v>
      </c>
      <c r="C48" t="str">
        <f ca="1">IFERROR(__xludf.DUMMYFUNCTION("""COMPUTED_VALUE"""),"Kelly Kraft")</f>
        <v>Kelly Kraft</v>
      </c>
      <c r="D48">
        <f ca="1">IFERROR(__xludf.DUMMYFUNCTION("""COMPUTED_VALUE"""),14)</f>
        <v>14</v>
      </c>
      <c r="E48" t="str">
        <f ca="1">IFERROR(__xludf.DUMMYFUNCTION("""COMPUTED_VALUE"""),"29' 3""")</f>
        <v>29' 3"</v>
      </c>
      <c r="F48">
        <f ca="1">IFERROR(__xludf.DUMMYFUNCTION("""COMPUTED_VALUE"""),351.083)</f>
        <v>351.08300000000003</v>
      </c>
      <c r="G48">
        <f ca="1">IFERROR(__xludf.DUMMYFUNCTION("""COMPUTED_VALUE"""),12)</f>
        <v>12</v>
      </c>
      <c r="H48" t="str">
        <f ca="1">IFERROR(__xludf.DUMMYFUNCTION("""COMPUTED_VALUE"""),"+2")</f>
        <v>+2</v>
      </c>
    </row>
    <row r="49" spans="1:8" ht="12.75">
      <c r="A49" t="str">
        <f ca="1">IFERROR(__xludf.DUMMYFUNCTION("""COMPUTED_VALUE"""),"T45")</f>
        <v>T45</v>
      </c>
      <c r="B49" t="str">
        <f ca="1">IFERROR(__xludf.DUMMYFUNCTION("""COMPUTED_VALUE"""),"T59")</f>
        <v>T59</v>
      </c>
      <c r="C49" t="str">
        <f ca="1">IFERROR(__xludf.DUMMYFUNCTION("""COMPUTED_VALUE"""),"Kyle Stanley")</f>
        <v>Kyle Stanley</v>
      </c>
      <c r="D49">
        <f ca="1">IFERROR(__xludf.DUMMYFUNCTION("""COMPUTED_VALUE"""),16)</f>
        <v>16</v>
      </c>
      <c r="E49" t="str">
        <f ca="1">IFERROR(__xludf.DUMMYFUNCTION("""COMPUTED_VALUE"""),"29' 3""")</f>
        <v>29' 3"</v>
      </c>
      <c r="F49">
        <f ca="1">IFERROR(__xludf.DUMMYFUNCTION("""COMPUTED_VALUE"""),439)</f>
        <v>439</v>
      </c>
      <c r="G49">
        <f ca="1">IFERROR(__xludf.DUMMYFUNCTION("""COMPUTED_VALUE"""),15)</f>
        <v>15</v>
      </c>
      <c r="H49">
        <f ca="1">IFERROR(__xludf.DUMMYFUNCTION("""COMPUTED_VALUE"""),-3)</f>
        <v>-3</v>
      </c>
    </row>
    <row r="50" spans="1:8" ht="12.75">
      <c r="A50" t="str">
        <f ca="1">IFERROR(__xludf.DUMMYFUNCTION("""COMPUTED_VALUE"""),"T49")</f>
        <v>T49</v>
      </c>
      <c r="B50" t="str">
        <f ca="1">IFERROR(__xludf.DUMMYFUNCTION("""COMPUTED_VALUE"""),"T62")</f>
        <v>T62</v>
      </c>
      <c r="C50" t="str">
        <f ca="1">IFERROR(__xludf.DUMMYFUNCTION("""COMPUTED_VALUE"""),"Doug Ghim")</f>
        <v>Doug Ghim</v>
      </c>
      <c r="D50">
        <f ca="1">IFERROR(__xludf.DUMMYFUNCTION("""COMPUTED_VALUE"""),14)</f>
        <v>14</v>
      </c>
      <c r="E50" t="str">
        <f ca="1">IFERROR(__xludf.DUMMYFUNCTION("""COMPUTED_VALUE"""),"29' 4""")</f>
        <v>29' 4"</v>
      </c>
      <c r="F50">
        <f ca="1">IFERROR(__xludf.DUMMYFUNCTION("""COMPUTED_VALUE"""),439.917)</f>
        <v>439.91699999999997</v>
      </c>
      <c r="G50">
        <f ca="1">IFERROR(__xludf.DUMMYFUNCTION("""COMPUTED_VALUE"""),15)</f>
        <v>15</v>
      </c>
      <c r="H50" t="str">
        <f ca="1">IFERROR(__xludf.DUMMYFUNCTION("""COMPUTED_VALUE"""),"+2")</f>
        <v>+2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IFERROR(__xludf.DUMMYFUNCTION("""COMPUTED_VALUE"""),"T62")</f>
        <v>T62</v>
      </c>
      <c r="C51" t="str">
        <f ca="1">IFERROR(__xludf.DUMMYFUNCTION("""COMPUTED_VALUE"""),"Rafael Campos")</f>
        <v>Rafael Campos</v>
      </c>
      <c r="D51">
        <f ca="1">IFERROR(__xludf.DUMMYFUNCTION("""COMPUTED_VALUE"""),6)</f>
        <v>6</v>
      </c>
      <c r="E51" t="str">
        <f ca="1">IFERROR(__xludf.DUMMYFUNCTION("""COMPUTED_VALUE"""),"29' 4""")</f>
        <v>29' 4"</v>
      </c>
      <c r="F51">
        <f ca="1">IFERROR(__xludf.DUMMYFUNCTION("""COMPUTED_VALUE"""),88)</f>
        <v>88</v>
      </c>
      <c r="G51">
        <f ca="1">IFERROR(__xludf.DUMMYFUNCTION("""COMPUTED_VALUE"""),3)</f>
        <v>3</v>
      </c>
      <c r="H51" t="str">
        <f ca="1">IFERROR(__xludf.DUMMYFUNCTION("""COMPUTED_VALUE"""),"E")</f>
        <v>E</v>
      </c>
    </row>
    <row r="52" spans="1:8" ht="12.75">
      <c r="A52" t="str">
        <f ca="1">IFERROR(__xludf.DUMMYFUNCTION("""COMPUTED_VALUE"""),"T49")</f>
        <v>T49</v>
      </c>
      <c r="B52" t="str">
        <f ca="1">IFERROR(__xludf.DUMMYFUNCTION("""COMPUTED_VALUE"""),"T121")</f>
        <v>T121</v>
      </c>
      <c r="C52" t="str">
        <f ca="1">IFERROR(__xludf.DUMMYFUNCTION("""COMPUTED_VALUE"""),"Mark Hubbard")</f>
        <v>Mark Hubbard</v>
      </c>
      <c r="D52">
        <f ca="1">IFERROR(__xludf.DUMMYFUNCTION("""COMPUTED_VALUE"""),20)</f>
        <v>20</v>
      </c>
      <c r="E52" t="str">
        <f ca="1">IFERROR(__xludf.DUMMYFUNCTION("""COMPUTED_VALUE"""),"29' 4""")</f>
        <v>29' 4"</v>
      </c>
      <c r="F52" s="2">
        <f ca="1">IFERROR(__xludf.DUMMYFUNCTION("""COMPUTED_VALUE"""),1320)</f>
        <v>1320</v>
      </c>
      <c r="G52">
        <f ca="1">IFERROR(__xludf.DUMMYFUNCTION("""COMPUTED_VALUE"""),45)</f>
        <v>45</v>
      </c>
      <c r="H52">
        <f ca="1">IFERROR(__xludf.DUMMYFUNCTION("""COMPUTED_VALUE"""),-3)</f>
        <v>-3</v>
      </c>
    </row>
    <row r="53" spans="1:8" ht="12.75">
      <c r="A53">
        <f ca="1">IFERROR(__xludf.DUMMYFUNCTION("""COMPUTED_VALUE"""),52)</f>
        <v>52</v>
      </c>
      <c r="B53" t="str">
        <f ca="1">IFERROR(__xludf.DUMMYFUNCTION("""COMPUTED_VALUE"""),"T43")</f>
        <v>T43</v>
      </c>
      <c r="C53" t="str">
        <f ca="1">IFERROR(__xludf.DUMMYFUNCTION("""COMPUTED_VALUE"""),"Hideki Matsuyama")</f>
        <v>Hideki Matsuyama</v>
      </c>
      <c r="D53">
        <f ca="1">IFERROR(__xludf.DUMMYFUNCTION("""COMPUTED_VALUE"""),18)</f>
        <v>18</v>
      </c>
      <c r="E53" t="str">
        <f ca="1">IFERROR(__xludf.DUMMYFUNCTION("""COMPUTED_VALUE"""),"29' 5""")</f>
        <v>29' 5"</v>
      </c>
      <c r="F53" s="2">
        <f ca="1">IFERROR(__xludf.DUMMYFUNCTION("""COMPUTED_VALUE"""),1500.25)</f>
        <v>1500.25</v>
      </c>
      <c r="G53">
        <f ca="1">IFERROR(__xludf.DUMMYFUNCTION("""COMPUTED_VALUE"""),51)</f>
        <v>51</v>
      </c>
      <c r="H53" t="str">
        <f ca="1">IFERROR(__xludf.DUMMYFUNCTION("""COMPUTED_VALUE"""),"E")</f>
        <v>E</v>
      </c>
    </row>
    <row r="54" spans="1:8" ht="12.75">
      <c r="A54">
        <f ca="1">IFERROR(__xludf.DUMMYFUNCTION("""COMPUTED_VALUE"""),53)</f>
        <v>53</v>
      </c>
      <c r="B54">
        <f ca="1">IFERROR(__xludf.DUMMYFUNCTION("""COMPUTED_VALUE"""),64)</f>
        <v>64</v>
      </c>
      <c r="C54" t="str">
        <f ca="1">IFERROR(__xludf.DUMMYFUNCTION("""COMPUTED_VALUE"""),"Rory McIlroy")</f>
        <v>Rory McIlroy</v>
      </c>
      <c r="D54">
        <f ca="1">IFERROR(__xludf.DUMMYFUNCTION("""COMPUTED_VALUE"""),12)</f>
        <v>12</v>
      </c>
      <c r="E54" t="str">
        <f ca="1">IFERROR(__xludf.DUMMYFUNCTION("""COMPUTED_VALUE"""),"29' 6""")</f>
        <v>29' 6"</v>
      </c>
      <c r="F54">
        <f ca="1">IFERROR(__xludf.DUMMYFUNCTION("""COMPUTED_VALUE"""),945)</f>
        <v>945</v>
      </c>
      <c r="G54">
        <f ca="1">IFERROR(__xludf.DUMMYFUNCTION("""COMPUTED_VALUE"""),32)</f>
        <v>32</v>
      </c>
      <c r="H54">
        <f ca="1">IFERROR(__xludf.DUMMYFUNCTION("""COMPUTED_VALUE"""),-6)</f>
        <v>-6</v>
      </c>
    </row>
    <row r="55" spans="1:8" ht="12.75">
      <c r="A55">
        <f ca="1">IFERROR(__xludf.DUMMYFUNCTION("""COMPUTED_VALUE"""),54)</f>
        <v>54</v>
      </c>
      <c r="B55" t="str">
        <f ca="1">IFERROR(__xludf.DUMMYFUNCTION("""COMPUTED_VALUE"""),"T65")</f>
        <v>T65</v>
      </c>
      <c r="C55" t="str">
        <f ca="1">IFERROR(__xludf.DUMMYFUNCTION("""COMPUTED_VALUE"""),"Rhein Gibson")</f>
        <v>Rhein Gibson</v>
      </c>
      <c r="D55">
        <f ca="1">IFERROR(__xludf.DUMMYFUNCTION("""COMPUTED_VALUE"""),10)</f>
        <v>10</v>
      </c>
      <c r="E55" t="str">
        <f ca="1">IFERROR(__xludf.DUMMYFUNCTION("""COMPUTED_VALUE"""),"29' 7""")</f>
        <v>29' 7"</v>
      </c>
      <c r="F55">
        <f ca="1">IFERROR(__xludf.DUMMYFUNCTION("""COMPUTED_VALUE"""),206.917)</f>
        <v>206.917</v>
      </c>
      <c r="G55">
        <f ca="1">IFERROR(__xludf.DUMMYFUNCTION("""COMPUTED_VALUE"""),7)</f>
        <v>7</v>
      </c>
      <c r="H55" t="str">
        <f ca="1">IFERROR(__xludf.DUMMYFUNCTION("""COMPUTED_VALUE"""),"E")</f>
        <v>E</v>
      </c>
    </row>
    <row r="56" spans="1:8" ht="12.75">
      <c r="A56" t="str">
        <f ca="1">IFERROR(__xludf.DUMMYFUNCTION("""COMPUTED_VALUE"""),"T55")</f>
        <v>T55</v>
      </c>
      <c r="B56">
        <f ca="1">IFERROR(__xludf.DUMMYFUNCTION("""COMPUTED_VALUE"""),51)</f>
        <v>51</v>
      </c>
      <c r="C56" t="str">
        <f ca="1">IFERROR(__xludf.DUMMYFUNCTION("""COMPUTED_VALUE"""),"Branden Grace")</f>
        <v>Branden Grace</v>
      </c>
      <c r="D56">
        <f ca="1">IFERROR(__xludf.DUMMYFUNCTION("""COMPUTED_VALUE"""),16)</f>
        <v>16</v>
      </c>
      <c r="E56" t="str">
        <f ca="1">IFERROR(__xludf.DUMMYFUNCTION("""COMPUTED_VALUE"""),"29' 8""")</f>
        <v>29' 8"</v>
      </c>
      <c r="F56">
        <f ca="1">IFERROR(__xludf.DUMMYFUNCTION("""COMPUTED_VALUE"""),445.333)</f>
        <v>445.33300000000003</v>
      </c>
      <c r="G56">
        <f ca="1">IFERROR(__xludf.DUMMYFUNCTION("""COMPUTED_VALUE"""),15)</f>
        <v>15</v>
      </c>
      <c r="H56">
        <f ca="1">IFERROR(__xludf.DUMMYFUNCTION("""COMPUTED_VALUE"""),-3)</f>
        <v>-3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IFERROR(__xludf.DUMMYFUNCTION("""COMPUTED_VALUE"""),"T67")</f>
        <v>T67</v>
      </c>
      <c r="C57" t="str">
        <f ca="1">IFERROR(__xludf.DUMMYFUNCTION("""COMPUTED_VALUE"""),"Patrick Cantlay")</f>
        <v>Patrick Cantlay</v>
      </c>
      <c r="D57">
        <f ca="1">IFERROR(__xludf.DUMMYFUNCTION("""COMPUTED_VALUE"""),16)</f>
        <v>16</v>
      </c>
      <c r="E57" t="str">
        <f ca="1">IFERROR(__xludf.DUMMYFUNCTION("""COMPUTED_VALUE"""),"29' 8""")</f>
        <v>29' 8"</v>
      </c>
      <c r="F57" s="2">
        <f ca="1">IFERROR(__xludf.DUMMYFUNCTION("""COMPUTED_VALUE"""),1218)</f>
        <v>1218</v>
      </c>
      <c r="G57">
        <f ca="1">IFERROR(__xludf.DUMMYFUNCTION("""COMPUTED_VALUE"""),41)</f>
        <v>41</v>
      </c>
      <c r="H57">
        <f ca="1">IFERROR(__xludf.DUMMYFUNCTION("""COMPUTED_VALUE"""),-4)</f>
        <v>-4</v>
      </c>
    </row>
    <row r="58" spans="1:8" ht="12.75">
      <c r="A58" t="str">
        <f ca="1">IFERROR(__xludf.DUMMYFUNCTION("""COMPUTED_VALUE"""),"T55")</f>
        <v>T55</v>
      </c>
      <c r="B58" t="str">
        <f ca="1">IFERROR(__xludf.DUMMYFUNCTION("""COMPUTED_VALUE"""),"T67")</f>
        <v>T67</v>
      </c>
      <c r="C58" t="str">
        <f ca="1">IFERROR(__xludf.DUMMYFUNCTION("""COMPUTED_VALUE"""),"Justin Thomas")</f>
        <v>Justin Thomas</v>
      </c>
      <c r="D58">
        <f ca="1">IFERROR(__xludf.DUMMYFUNCTION("""COMPUTED_VALUE"""),12)</f>
        <v>12</v>
      </c>
      <c r="E58" t="str">
        <f ca="1">IFERROR(__xludf.DUMMYFUNCTION("""COMPUTED_VALUE"""),"29' 8""")</f>
        <v>29' 8"</v>
      </c>
      <c r="F58">
        <f ca="1">IFERROR(__xludf.DUMMYFUNCTION("""COMPUTED_VALUE"""),859.417)</f>
        <v>859.41700000000003</v>
      </c>
      <c r="G58">
        <f ca="1">IFERROR(__xludf.DUMMYFUNCTION("""COMPUTED_VALUE"""),29)</f>
        <v>29</v>
      </c>
      <c r="H58">
        <f ca="1">IFERROR(__xludf.DUMMYFUNCTION("""COMPUTED_VALUE"""),-5)</f>
        <v>-5</v>
      </c>
    </row>
    <row r="59" spans="1:8" ht="12.75">
      <c r="A59" t="str">
        <f ca="1">IFERROR(__xludf.DUMMYFUNCTION("""COMPUTED_VALUE"""),"T55")</f>
        <v>T55</v>
      </c>
      <c r="B59" t="str">
        <f ca="1">IFERROR(__xludf.DUMMYFUNCTION("""COMPUTED_VALUE"""),"T67")</f>
        <v>T67</v>
      </c>
      <c r="C59" t="str">
        <f ca="1">IFERROR(__xludf.DUMMYFUNCTION("""COMPUTED_VALUE"""),"Joseph Bramlett")</f>
        <v>Joseph Bramlett</v>
      </c>
      <c r="D59">
        <f ca="1">IFERROR(__xludf.DUMMYFUNCTION("""COMPUTED_VALUE"""),18)</f>
        <v>18</v>
      </c>
      <c r="E59" t="str">
        <f ca="1">IFERROR(__xludf.DUMMYFUNCTION("""COMPUTED_VALUE"""),"29' 8""")</f>
        <v>29' 8"</v>
      </c>
      <c r="F59">
        <f ca="1">IFERROR(__xludf.DUMMYFUNCTION("""COMPUTED_VALUE"""),474.833)</f>
        <v>474.83300000000003</v>
      </c>
      <c r="G59">
        <f ca="1">IFERROR(__xludf.DUMMYFUNCTION("""COMPUTED_VALUE"""),16)</f>
        <v>16</v>
      </c>
      <c r="H59" t="str">
        <f ca="1">IFERROR(__xludf.DUMMYFUNCTION("""COMPUTED_VALUE"""),"E")</f>
        <v>E</v>
      </c>
    </row>
    <row r="60" spans="1:8" ht="12.75">
      <c r="A60">
        <f ca="1">IFERROR(__xludf.DUMMYFUNCTION("""COMPUTED_VALUE"""),59)</f>
        <v>59</v>
      </c>
      <c r="B60">
        <f ca="1">IFERROR(__xludf.DUMMYFUNCTION("""COMPUTED_VALUE"""),70)</f>
        <v>70</v>
      </c>
      <c r="C60" t="str">
        <f ca="1">IFERROR(__xludf.DUMMYFUNCTION("""COMPUTED_VALUE"""),"Vincent Whaley")</f>
        <v>Vincent Whaley</v>
      </c>
      <c r="D60">
        <f ca="1">IFERROR(__xludf.DUMMYFUNCTION("""COMPUTED_VALUE"""),14)</f>
        <v>14</v>
      </c>
      <c r="E60" t="str">
        <f ca="1">IFERROR(__xludf.DUMMYFUNCTION("""COMPUTED_VALUE"""),"29' 9""")</f>
        <v>29' 9"</v>
      </c>
      <c r="F60">
        <f ca="1">IFERROR(__xludf.DUMMYFUNCTION("""COMPUTED_VALUE"""),386.667)</f>
        <v>386.66699999999997</v>
      </c>
      <c r="G60">
        <f ca="1">IFERROR(__xludf.DUMMYFUNCTION("""COMPUTED_VALUE"""),13)</f>
        <v>13</v>
      </c>
      <c r="H60" t="str">
        <f ca="1">IFERROR(__xludf.DUMMYFUNCTION("""COMPUTED_VALUE"""),"E")</f>
        <v>E</v>
      </c>
    </row>
    <row r="61" spans="1:8" ht="12.75">
      <c r="A61" t="str">
        <f ca="1">IFERROR(__xludf.DUMMYFUNCTION("""COMPUTED_VALUE"""),"T60")</f>
        <v>T60</v>
      </c>
      <c r="B61" t="str">
        <f ca="1">IFERROR(__xludf.DUMMYFUNCTION("""COMPUTED_VALUE"""),"T110")</f>
        <v>T110</v>
      </c>
      <c r="C61" t="str">
        <f ca="1">IFERROR(__xludf.DUMMYFUNCTION("""COMPUTED_VALUE"""),"Jason Dufner")</f>
        <v>Jason Dufner</v>
      </c>
      <c r="D61">
        <f ca="1">IFERROR(__xludf.DUMMYFUNCTION("""COMPUTED_VALUE"""),14)</f>
        <v>14</v>
      </c>
      <c r="E61" t="str">
        <f ca="1">IFERROR(__xludf.DUMMYFUNCTION("""COMPUTED_VALUE"""),"29' 10""")</f>
        <v>29' 10"</v>
      </c>
      <c r="F61">
        <f ca="1">IFERROR(__xludf.DUMMYFUNCTION("""COMPUTED_VALUE"""),567.583)</f>
        <v>567.58299999999997</v>
      </c>
      <c r="G61">
        <f ca="1">IFERROR(__xludf.DUMMYFUNCTION("""COMPUTED_VALUE"""),19)</f>
        <v>19</v>
      </c>
      <c r="H61" t="str">
        <f ca="1">IFERROR(__xludf.DUMMYFUNCTION("""COMPUTED_VALUE"""),"E")</f>
        <v>E</v>
      </c>
    </row>
    <row r="62" spans="1:8" ht="12.75">
      <c r="A62" t="str">
        <f ca="1">IFERROR(__xludf.DUMMYFUNCTION("""COMPUTED_VALUE"""),"T60")</f>
        <v>T60</v>
      </c>
      <c r="B62" t="str">
        <f ca="1">IFERROR(__xludf.DUMMYFUNCTION("""COMPUTED_VALUE"""),"T71")</f>
        <v>T71</v>
      </c>
      <c r="C62" t="str">
        <f ca="1">IFERROR(__xludf.DUMMYFUNCTION("""COMPUTED_VALUE"""),"Brad Kennedy")</f>
        <v>Brad Kennedy</v>
      </c>
      <c r="D62">
        <f ca="1">IFERROR(__xludf.DUMMYFUNCTION("""COMPUTED_VALUE"""),4)</f>
        <v>4</v>
      </c>
      <c r="E62" t="str">
        <f ca="1">IFERROR(__xludf.DUMMYFUNCTION("""COMPUTED_VALUE"""),"29' 10""")</f>
        <v>29' 10"</v>
      </c>
      <c r="F62">
        <f ca="1">IFERROR(__xludf.DUMMYFUNCTION("""COMPUTED_VALUE"""),536.667)</f>
        <v>536.66700000000003</v>
      </c>
      <c r="G62">
        <f ca="1">IFERROR(__xludf.DUMMYFUNCTION("""COMPUTED_VALUE"""),18)</f>
        <v>18</v>
      </c>
      <c r="H62" t="str">
        <f ca="1">IFERROR(__xludf.DUMMYFUNCTION("""COMPUTED_VALUE"""),"E")</f>
        <v>E</v>
      </c>
    </row>
    <row r="63" spans="1:8" ht="12.75">
      <c r="A63">
        <f ca="1">IFERROR(__xludf.DUMMYFUNCTION("""COMPUTED_VALUE"""),62)</f>
        <v>62</v>
      </c>
      <c r="B63" t="str">
        <f ca="1">IFERROR(__xludf.DUMMYFUNCTION("""COMPUTED_VALUE"""),"T71")</f>
        <v>T71</v>
      </c>
      <c r="C63" t="str">
        <f ca="1">IFERROR(__xludf.DUMMYFUNCTION("""COMPUTED_VALUE"""),"Jordan Spieth")</f>
        <v>Jordan Spieth</v>
      </c>
      <c r="D63">
        <f ca="1">IFERROR(__xludf.DUMMYFUNCTION("""COMPUTED_VALUE"""),14)</f>
        <v>14</v>
      </c>
      <c r="E63" t="str">
        <f ca="1">IFERROR(__xludf.DUMMYFUNCTION("""COMPUTED_VALUE"""),"29' 11""")</f>
        <v>29' 11"</v>
      </c>
      <c r="F63">
        <f ca="1">IFERROR(__xludf.DUMMYFUNCTION("""COMPUTED_VALUE"""),958.583)</f>
        <v>958.58299999999997</v>
      </c>
      <c r="G63">
        <f ca="1">IFERROR(__xludf.DUMMYFUNCTION("""COMPUTED_VALUE"""),32)</f>
        <v>32</v>
      </c>
      <c r="H63">
        <f ca="1">IFERROR(__xludf.DUMMYFUNCTION("""COMPUTED_VALUE"""),-5)</f>
        <v>-5</v>
      </c>
    </row>
    <row r="64" spans="1:8" ht="12.75">
      <c r="A64" t="str">
        <f ca="1">IFERROR(__xludf.DUMMYFUNCTION("""COMPUTED_VALUE"""),"T63")</f>
        <v>T63</v>
      </c>
      <c r="B64" t="str">
        <f ca="1">IFERROR(__xludf.DUMMYFUNCTION("""COMPUTED_VALUE"""),"T75")</f>
        <v>T75</v>
      </c>
      <c r="C64" t="str">
        <f ca="1">IFERROR(__xludf.DUMMYFUNCTION("""COMPUTED_VALUE"""),"Justin Rose")</f>
        <v>Justin Rose</v>
      </c>
      <c r="D64">
        <f ca="1">IFERROR(__xludf.DUMMYFUNCTION("""COMPUTED_VALUE"""),10)</f>
        <v>10</v>
      </c>
      <c r="E64" t="str">
        <f ca="1">IFERROR(__xludf.DUMMYFUNCTION("""COMPUTED_VALUE"""),"30' 0""")</f>
        <v>30' 0"</v>
      </c>
      <c r="F64">
        <f ca="1">IFERROR(__xludf.DUMMYFUNCTION("""COMPUTED_VALUE"""),720.333)</f>
        <v>720.33299999999997</v>
      </c>
      <c r="G64">
        <f ca="1">IFERROR(__xludf.DUMMYFUNCTION("""COMPUTED_VALUE"""),24)</f>
        <v>24</v>
      </c>
      <c r="H64">
        <f ca="1">IFERROR(__xludf.DUMMYFUNCTION("""COMPUTED_VALUE"""),-1)</f>
        <v>-1</v>
      </c>
    </row>
    <row r="65" spans="1:8" ht="12.75">
      <c r="A65" t="str">
        <f ca="1">IFERROR(__xludf.DUMMYFUNCTION("""COMPUTED_VALUE"""),"T63")</f>
        <v>T63</v>
      </c>
      <c r="B65" t="str">
        <f ca="1">IFERROR(__xludf.DUMMYFUNCTION("""COMPUTED_VALUE"""),"T75")</f>
        <v>T75</v>
      </c>
      <c r="C65" t="str">
        <f ca="1">IFERROR(__xludf.DUMMYFUNCTION("""COMPUTED_VALUE"""),"William McGirt")</f>
        <v>William McGirt</v>
      </c>
      <c r="D65">
        <f ca="1">IFERROR(__xludf.DUMMYFUNCTION("""COMPUTED_VALUE"""),6)</f>
        <v>6</v>
      </c>
      <c r="E65" t="str">
        <f ca="1">IFERROR(__xludf.DUMMYFUNCTION("""COMPUTED_VALUE"""),"30' 0""")</f>
        <v>30' 0"</v>
      </c>
      <c r="F65">
        <f ca="1">IFERROR(__xludf.DUMMYFUNCTION("""COMPUTED_VALUE"""),270.167)</f>
        <v>270.16699999999997</v>
      </c>
      <c r="G65">
        <f ca="1">IFERROR(__xludf.DUMMYFUNCTION("""COMPUTED_VALUE"""),9)</f>
        <v>9</v>
      </c>
      <c r="H65" t="str">
        <f ca="1">IFERROR(__xludf.DUMMYFUNCTION("""COMPUTED_VALUE"""),"+1")</f>
        <v>+1</v>
      </c>
    </row>
    <row r="66" spans="1:8" ht="12.75">
      <c r="A66" t="str">
        <f ca="1">IFERROR(__xludf.DUMMYFUNCTION("""COMPUTED_VALUE"""),"T65")</f>
        <v>T65</v>
      </c>
      <c r="B66" t="str">
        <f ca="1">IFERROR(__xludf.DUMMYFUNCTION("""COMPUTED_VALUE"""),"T28")</f>
        <v>T28</v>
      </c>
      <c r="C66" t="str">
        <f ca="1">IFERROR(__xludf.DUMMYFUNCTION("""COMPUTED_VALUE"""),"Wyndham Clark")</f>
        <v>Wyndham Clark</v>
      </c>
      <c r="D66">
        <f ca="1">IFERROR(__xludf.DUMMYFUNCTION("""COMPUTED_VALUE"""),16)</f>
        <v>16</v>
      </c>
      <c r="E66" t="str">
        <f ca="1">IFERROR(__xludf.DUMMYFUNCTION("""COMPUTED_VALUE"""),"30' 1""")</f>
        <v>30' 1"</v>
      </c>
      <c r="F66">
        <f ca="1">IFERROR(__xludf.DUMMYFUNCTION("""COMPUTED_VALUE"""),661.667)</f>
        <v>661.66700000000003</v>
      </c>
      <c r="G66">
        <f ca="1">IFERROR(__xludf.DUMMYFUNCTION("""COMPUTED_VALUE"""),22)</f>
        <v>22</v>
      </c>
      <c r="H66">
        <f ca="1">IFERROR(__xludf.DUMMYFUNCTION("""COMPUTED_VALUE"""),-2)</f>
        <v>-2</v>
      </c>
    </row>
    <row r="67" spans="1:8" ht="12.75">
      <c r="A67" t="str">
        <f ca="1">IFERROR(__xludf.DUMMYFUNCTION("""COMPUTED_VALUE"""),"T65")</f>
        <v>T65</v>
      </c>
      <c r="B67" t="str">
        <f ca="1">IFERROR(__xludf.DUMMYFUNCTION("""COMPUTED_VALUE"""),"T153")</f>
        <v>T153</v>
      </c>
      <c r="C67" t="str">
        <f ca="1">IFERROR(__xludf.DUMMYFUNCTION("""COMPUTED_VALUE"""),"Sepp Straka")</f>
        <v>Sepp Straka</v>
      </c>
      <c r="D67">
        <f ca="1">IFERROR(__xludf.DUMMYFUNCTION("""COMPUTED_VALUE"""),22)</f>
        <v>22</v>
      </c>
      <c r="E67" t="str">
        <f ca="1">IFERROR(__xludf.DUMMYFUNCTION("""COMPUTED_VALUE"""),"30' 1""")</f>
        <v>30' 1"</v>
      </c>
      <c r="F67">
        <f ca="1">IFERROR(__xludf.DUMMYFUNCTION("""COMPUTED_VALUE"""),632.083)</f>
        <v>632.08299999999997</v>
      </c>
      <c r="G67">
        <f ca="1">IFERROR(__xludf.DUMMYFUNCTION("""COMPUTED_VALUE"""),21)</f>
        <v>21</v>
      </c>
      <c r="H67">
        <f ca="1">IFERROR(__xludf.DUMMYFUNCTION("""COMPUTED_VALUE"""),-2)</f>
        <v>-2</v>
      </c>
    </row>
    <row r="68" spans="1:8" ht="12.75">
      <c r="A68" t="str">
        <f ca="1">IFERROR(__xludf.DUMMYFUNCTION("""COMPUTED_VALUE"""),"T65")</f>
        <v>T65</v>
      </c>
      <c r="B68" t="str">
        <f ca="1">IFERROR(__xludf.DUMMYFUNCTION("""COMPUTED_VALUE"""),"T77")</f>
        <v>T77</v>
      </c>
      <c r="C68" t="str">
        <f ca="1">IFERROR(__xludf.DUMMYFUNCTION("""COMPUTED_VALUE"""),"Takumi Kanaya")</f>
        <v>Takumi Kanaya</v>
      </c>
      <c r="D68">
        <f ca="1">IFERROR(__xludf.DUMMYFUNCTION("""COMPUTED_VALUE"""),6)</f>
        <v>6</v>
      </c>
      <c r="E68" t="str">
        <f ca="1">IFERROR(__xludf.DUMMYFUNCTION("""COMPUTED_VALUE"""),"30' 1""")</f>
        <v>30' 1"</v>
      </c>
      <c r="F68">
        <f ca="1">IFERROR(__xludf.DUMMYFUNCTION("""COMPUTED_VALUE"""),511.167)</f>
        <v>511.16699999999997</v>
      </c>
      <c r="G68">
        <f ca="1">IFERROR(__xludf.DUMMYFUNCTION("""COMPUTED_VALUE"""),17)</f>
        <v>17</v>
      </c>
      <c r="H68">
        <f ca="1">IFERROR(__xludf.DUMMYFUNCTION("""COMPUTED_VALUE"""),-2)</f>
        <v>-2</v>
      </c>
    </row>
    <row r="69" spans="1:8" ht="12.75">
      <c r="A69" t="str">
        <f ca="1">IFERROR(__xludf.DUMMYFUNCTION("""COMPUTED_VALUE"""),"T65")</f>
        <v>T65</v>
      </c>
      <c r="B69" t="str">
        <f ca="1">IFERROR(__xludf.DUMMYFUNCTION("""COMPUTED_VALUE"""),"T77")</f>
        <v>T77</v>
      </c>
      <c r="C69" t="str">
        <f ca="1">IFERROR(__xludf.DUMMYFUNCTION("""COMPUTED_VALUE"""),"Joaquin Niemann")</f>
        <v>Joaquin Niemann</v>
      </c>
      <c r="D69">
        <f ca="1">IFERROR(__xludf.DUMMYFUNCTION("""COMPUTED_VALUE"""),16)</f>
        <v>16</v>
      </c>
      <c r="E69" t="str">
        <f ca="1">IFERROR(__xludf.DUMMYFUNCTION("""COMPUTED_VALUE"""),"30' 1""")</f>
        <v>30' 1"</v>
      </c>
      <c r="F69" s="2">
        <f ca="1">IFERROR(__xludf.DUMMYFUNCTION("""COMPUTED_VALUE"""),1022.917)</f>
        <v>1022.917</v>
      </c>
      <c r="G69">
        <f ca="1">IFERROR(__xludf.DUMMYFUNCTION("""COMPUTED_VALUE"""),34)</f>
        <v>34</v>
      </c>
      <c r="H69">
        <f ca="1">IFERROR(__xludf.DUMMYFUNCTION("""COMPUTED_VALUE"""),-2)</f>
        <v>-2</v>
      </c>
    </row>
    <row r="70" spans="1:8" ht="12.75">
      <c r="A70" t="str">
        <f ca="1">IFERROR(__xludf.DUMMYFUNCTION("""COMPUTED_VALUE"""),"T69")</f>
        <v>T69</v>
      </c>
      <c r="B70" t="str">
        <f ca="1">IFERROR(__xludf.DUMMYFUNCTION("""COMPUTED_VALUE"""),"T80")</f>
        <v>T80</v>
      </c>
      <c r="C70" t="str">
        <f ca="1">IFERROR(__xludf.DUMMYFUNCTION("""COMPUTED_VALUE"""),"Matt Wallace")</f>
        <v>Matt Wallace</v>
      </c>
      <c r="D70">
        <f ca="1">IFERROR(__xludf.DUMMYFUNCTION("""COMPUTED_VALUE"""),4)</f>
        <v>4</v>
      </c>
      <c r="E70" t="str">
        <f ca="1">IFERROR(__xludf.DUMMYFUNCTION("""COMPUTED_VALUE"""),"30' 2""")</f>
        <v>30' 2"</v>
      </c>
      <c r="F70">
        <f ca="1">IFERROR(__xludf.DUMMYFUNCTION("""COMPUTED_VALUE"""),362)</f>
        <v>362</v>
      </c>
      <c r="G70">
        <f ca="1">IFERROR(__xludf.DUMMYFUNCTION("""COMPUTED_VALUE"""),12)</f>
        <v>12</v>
      </c>
      <c r="H70" t="str">
        <f ca="1">IFERROR(__xludf.DUMMYFUNCTION("""COMPUTED_VALUE"""),"E")</f>
        <v>E</v>
      </c>
    </row>
    <row r="71" spans="1:8" ht="12.75">
      <c r="A71" t="str">
        <f ca="1">IFERROR(__xludf.DUMMYFUNCTION("""COMPUTED_VALUE"""),"T69")</f>
        <v>T69</v>
      </c>
      <c r="B71">
        <f ca="1">IFERROR(__xludf.DUMMYFUNCTION("""COMPUTED_VALUE"""),172)</f>
        <v>172</v>
      </c>
      <c r="C71" t="str">
        <f ca="1">IFERROR(__xludf.DUMMYFUNCTION("""COMPUTED_VALUE"""),"Cameron Tringale")</f>
        <v>Cameron Tringale</v>
      </c>
      <c r="D71">
        <f ca="1">IFERROR(__xludf.DUMMYFUNCTION("""COMPUTED_VALUE"""),16)</f>
        <v>16</v>
      </c>
      <c r="E71" t="str">
        <f ca="1">IFERROR(__xludf.DUMMYFUNCTION("""COMPUTED_VALUE"""),"30' 2""")</f>
        <v>30' 2"</v>
      </c>
      <c r="F71">
        <f ca="1">IFERROR(__xludf.DUMMYFUNCTION("""COMPUTED_VALUE"""),844.167)</f>
        <v>844.16700000000003</v>
      </c>
      <c r="G71">
        <f ca="1">IFERROR(__xludf.DUMMYFUNCTION("""COMPUTED_VALUE"""),28)</f>
        <v>28</v>
      </c>
      <c r="H71">
        <f ca="1">IFERROR(__xludf.DUMMYFUNCTION("""COMPUTED_VALUE"""),-4)</f>
        <v>-4</v>
      </c>
    </row>
    <row r="72" spans="1:8" ht="12.75">
      <c r="A72" t="str">
        <f ca="1">IFERROR(__xludf.DUMMYFUNCTION("""COMPUTED_VALUE"""),"T71")</f>
        <v>T71</v>
      </c>
      <c r="B72" t="str">
        <f ca="1">IFERROR(__xludf.DUMMYFUNCTION("""COMPUTED_VALUE"""),"T82")</f>
        <v>T82</v>
      </c>
      <c r="C72" t="str">
        <f ca="1">IFERROR(__xludf.DUMMYFUNCTION("""COMPUTED_VALUE"""),"Sebastián Muñoz")</f>
        <v>Sebastián Muñoz</v>
      </c>
      <c r="D72">
        <f ca="1">IFERROR(__xludf.DUMMYFUNCTION("""COMPUTED_VALUE"""),20)</f>
        <v>20</v>
      </c>
      <c r="E72" t="str">
        <f ca="1">IFERROR(__xludf.DUMMYFUNCTION("""COMPUTED_VALUE"""),"30' 3""")</f>
        <v>30' 3"</v>
      </c>
      <c r="F72" s="2">
        <f ca="1">IFERROR(__xludf.DUMMYFUNCTION("""COMPUTED_VALUE"""),1543.167)</f>
        <v>1543.1669999999999</v>
      </c>
      <c r="G72">
        <f ca="1">IFERROR(__xludf.DUMMYFUNCTION("""COMPUTED_VALUE"""),51)</f>
        <v>51</v>
      </c>
      <c r="H72">
        <f ca="1">IFERROR(__xludf.DUMMYFUNCTION("""COMPUTED_VALUE"""),-5)</f>
        <v>-5</v>
      </c>
    </row>
    <row r="73" spans="1:8" ht="12.75">
      <c r="A73" t="str">
        <f ca="1">IFERROR(__xludf.DUMMYFUNCTION("""COMPUTED_VALUE"""),"T71")</f>
        <v>T71</v>
      </c>
      <c r="B73" t="str">
        <f ca="1">IFERROR(__xludf.DUMMYFUNCTION("""COMPUTED_VALUE"""),"T89")</f>
        <v>T89</v>
      </c>
      <c r="C73" t="str">
        <f ca="1">IFERROR(__xludf.DUMMYFUNCTION("""COMPUTED_VALUE"""),"Si Woo Kim")</f>
        <v>Si Woo Kim</v>
      </c>
      <c r="D73">
        <f ca="1">IFERROR(__xludf.DUMMYFUNCTION("""COMPUTED_VALUE"""),20)</f>
        <v>20</v>
      </c>
      <c r="E73" t="str">
        <f ca="1">IFERROR(__xludf.DUMMYFUNCTION("""COMPUTED_VALUE"""),"30' 3""")</f>
        <v>30' 3"</v>
      </c>
      <c r="F73" s="2">
        <f ca="1">IFERROR(__xludf.DUMMYFUNCTION("""COMPUTED_VALUE"""),1270.75)</f>
        <v>1270.75</v>
      </c>
      <c r="G73">
        <f ca="1">IFERROR(__xludf.DUMMYFUNCTION("""COMPUTED_VALUE"""),42)</f>
        <v>42</v>
      </c>
      <c r="H73">
        <f ca="1">IFERROR(__xludf.DUMMYFUNCTION("""COMPUTED_VALUE"""),-5)</f>
        <v>-5</v>
      </c>
    </row>
    <row r="74" spans="1:8" ht="12.75">
      <c r="A74" t="str">
        <f ca="1">IFERROR(__xludf.DUMMYFUNCTION("""COMPUTED_VALUE"""),"T71")</f>
        <v>T71</v>
      </c>
      <c r="B74" t="str">
        <f ca="1">IFERROR(__xludf.DUMMYFUNCTION("""COMPUTED_VALUE"""),"T82")</f>
        <v>T82</v>
      </c>
      <c r="C74" t="str">
        <f ca="1">IFERROR(__xludf.DUMMYFUNCTION("""COMPUTED_VALUE"""),"George McNeill")</f>
        <v>George McNeill</v>
      </c>
      <c r="D74">
        <f ca="1">IFERROR(__xludf.DUMMYFUNCTION("""COMPUTED_VALUE"""),8)</f>
        <v>8</v>
      </c>
      <c r="E74" t="str">
        <f ca="1">IFERROR(__xludf.DUMMYFUNCTION("""COMPUTED_VALUE"""),"30' 3""")</f>
        <v>30' 3"</v>
      </c>
      <c r="F74">
        <f ca="1">IFERROR(__xludf.DUMMYFUNCTION("""COMPUTED_VALUE"""),151.333)</f>
        <v>151.333</v>
      </c>
      <c r="G74">
        <f ca="1">IFERROR(__xludf.DUMMYFUNCTION("""COMPUTED_VALUE"""),5)</f>
        <v>5</v>
      </c>
      <c r="H74" t="str">
        <f ca="1">IFERROR(__xludf.DUMMYFUNCTION("""COMPUTED_VALUE"""),"E")</f>
        <v>E</v>
      </c>
    </row>
    <row r="75" spans="1:8" ht="12.75">
      <c r="A75" t="str">
        <f ca="1">IFERROR(__xludf.DUMMYFUNCTION("""COMPUTED_VALUE"""),"T71")</f>
        <v>T71</v>
      </c>
      <c r="B75" t="str">
        <f ca="1">IFERROR(__xludf.DUMMYFUNCTION("""COMPUTED_VALUE"""),"T82")</f>
        <v>T82</v>
      </c>
      <c r="C75" t="str">
        <f ca="1">IFERROR(__xludf.DUMMYFUNCTION("""COMPUTED_VALUE"""),"J.B. Holmes")</f>
        <v>J.B. Holmes</v>
      </c>
      <c r="D75">
        <f ca="1">IFERROR(__xludf.DUMMYFUNCTION("""COMPUTED_VALUE"""),10)</f>
        <v>10</v>
      </c>
      <c r="E75" t="str">
        <f ca="1">IFERROR(__xludf.DUMMYFUNCTION("""COMPUTED_VALUE"""),"30' 3""")</f>
        <v>30' 3"</v>
      </c>
      <c r="F75">
        <f ca="1">IFERROR(__xludf.DUMMYFUNCTION("""COMPUTED_VALUE"""),513.583)</f>
        <v>513.58299999999997</v>
      </c>
      <c r="G75">
        <f ca="1">IFERROR(__xludf.DUMMYFUNCTION("""COMPUTED_VALUE"""),17)</f>
        <v>17</v>
      </c>
      <c r="H75">
        <f ca="1">IFERROR(__xludf.DUMMYFUNCTION("""COMPUTED_VALUE"""),-1)</f>
        <v>-1</v>
      </c>
    </row>
    <row r="76" spans="1:8" ht="12.75">
      <c r="A76" t="str">
        <f ca="1">IFERROR(__xludf.DUMMYFUNCTION("""COMPUTED_VALUE"""),"T75")</f>
        <v>T75</v>
      </c>
      <c r="B76">
        <f ca="1">IFERROR(__xludf.DUMMYFUNCTION("""COMPUTED_VALUE"""),163)</f>
        <v>163</v>
      </c>
      <c r="C76" t="str">
        <f ca="1">IFERROR(__xludf.DUMMYFUNCTION("""COMPUTED_VALUE"""),"Maverick McNealy")</f>
        <v>Maverick McNealy</v>
      </c>
      <c r="D76">
        <f ca="1">IFERROR(__xludf.DUMMYFUNCTION("""COMPUTED_VALUE"""),16)</f>
        <v>16</v>
      </c>
      <c r="E76" t="str">
        <f ca="1">IFERROR(__xludf.DUMMYFUNCTION("""COMPUTED_VALUE"""),"30' 4""")</f>
        <v>30' 4"</v>
      </c>
      <c r="F76">
        <f ca="1">IFERROR(__xludf.DUMMYFUNCTION("""COMPUTED_VALUE"""),667.667)</f>
        <v>667.66700000000003</v>
      </c>
      <c r="G76">
        <f ca="1">IFERROR(__xludf.DUMMYFUNCTION("""COMPUTED_VALUE"""),22)</f>
        <v>22</v>
      </c>
      <c r="H76" t="str">
        <f ca="1">IFERROR(__xludf.DUMMYFUNCTION("""COMPUTED_VALUE"""),"E")</f>
        <v>E</v>
      </c>
    </row>
    <row r="77" spans="1:8" ht="12.75">
      <c r="A77" t="str">
        <f ca="1">IFERROR(__xludf.DUMMYFUNCTION("""COMPUTED_VALUE"""),"T75")</f>
        <v>T75</v>
      </c>
      <c r="B77" t="str">
        <f ca="1">IFERROR(__xludf.DUMMYFUNCTION("""COMPUTED_VALUE"""),"T93")</f>
        <v>T93</v>
      </c>
      <c r="C77" t="str">
        <f ca="1">IFERROR(__xludf.DUMMYFUNCTION("""COMPUTED_VALUE"""),"Ryan Armour")</f>
        <v>Ryan Armour</v>
      </c>
      <c r="D77">
        <f ca="1">IFERROR(__xludf.DUMMYFUNCTION("""COMPUTED_VALUE"""),16)</f>
        <v>16</v>
      </c>
      <c r="E77" t="str">
        <f ca="1">IFERROR(__xludf.DUMMYFUNCTION("""COMPUTED_VALUE"""),"30' 4""")</f>
        <v>30' 4"</v>
      </c>
      <c r="F77">
        <f ca="1">IFERROR(__xludf.DUMMYFUNCTION("""COMPUTED_VALUE"""),728.25)</f>
        <v>728.25</v>
      </c>
      <c r="G77">
        <f ca="1">IFERROR(__xludf.DUMMYFUNCTION("""COMPUTED_VALUE"""),24)</f>
        <v>24</v>
      </c>
      <c r="H77" t="str">
        <f ca="1">IFERROR(__xludf.DUMMYFUNCTION("""COMPUTED_VALUE"""),"E")</f>
        <v>E</v>
      </c>
    </row>
    <row r="78" spans="1:8" ht="12.75">
      <c r="A78" t="str">
        <f ca="1">IFERROR(__xludf.DUMMYFUNCTION("""COMPUTED_VALUE"""),"T75")</f>
        <v>T75</v>
      </c>
      <c r="B78" t="str">
        <f ca="1">IFERROR(__xludf.DUMMYFUNCTION("""COMPUTED_VALUE"""),"T43")</f>
        <v>T43</v>
      </c>
      <c r="C78" t="str">
        <f ca="1">IFERROR(__xludf.DUMMYFUNCTION("""COMPUTED_VALUE"""),"Camilo Villegas")</f>
        <v>Camilo Villegas</v>
      </c>
      <c r="D78">
        <f ca="1">IFERROR(__xludf.DUMMYFUNCTION("""COMPUTED_VALUE"""),14)</f>
        <v>14</v>
      </c>
      <c r="E78" t="str">
        <f ca="1">IFERROR(__xludf.DUMMYFUNCTION("""COMPUTED_VALUE"""),"30' 4""")</f>
        <v>30' 4"</v>
      </c>
      <c r="F78">
        <f ca="1">IFERROR(__xludf.DUMMYFUNCTION("""COMPUTED_VALUE"""),575.583)</f>
        <v>575.58299999999997</v>
      </c>
      <c r="G78">
        <f ca="1">IFERROR(__xludf.DUMMYFUNCTION("""COMPUTED_VALUE"""),19)</f>
        <v>19</v>
      </c>
      <c r="H78" t="str">
        <f ca="1">IFERROR(__xludf.DUMMYFUNCTION("""COMPUTED_VALUE"""),"+1")</f>
        <v>+1</v>
      </c>
    </row>
    <row r="79" spans="1:8" ht="12.75">
      <c r="A79" t="str">
        <f ca="1">IFERROR(__xludf.DUMMYFUNCTION("""COMPUTED_VALUE"""),"T78")</f>
        <v>T78</v>
      </c>
      <c r="B79">
        <f ca="1">IFERROR(__xludf.DUMMYFUNCTION("""COMPUTED_VALUE"""),19)</f>
        <v>19</v>
      </c>
      <c r="C79" t="str">
        <f ca="1">IFERROR(__xludf.DUMMYFUNCTION("""COMPUTED_VALUE"""),"Russell Knox")</f>
        <v>Russell Knox</v>
      </c>
      <c r="D79">
        <f ca="1">IFERROR(__xludf.DUMMYFUNCTION("""COMPUTED_VALUE"""),16)</f>
        <v>16</v>
      </c>
      <c r="E79" t="str">
        <f ca="1">IFERROR(__xludf.DUMMYFUNCTION("""COMPUTED_VALUE"""),"30' 6""")</f>
        <v>30' 6"</v>
      </c>
      <c r="F79">
        <f ca="1">IFERROR(__xludf.DUMMYFUNCTION("""COMPUTED_VALUE"""),732.167)</f>
        <v>732.16700000000003</v>
      </c>
      <c r="G79">
        <f ca="1">IFERROR(__xludf.DUMMYFUNCTION("""COMPUTED_VALUE"""),24)</f>
        <v>24</v>
      </c>
      <c r="H79">
        <f ca="1">IFERROR(__xludf.DUMMYFUNCTION("""COMPUTED_VALUE"""),-3)</f>
        <v>-3</v>
      </c>
    </row>
    <row r="80" spans="1:8" ht="12.75">
      <c r="A80" t="str">
        <f ca="1">IFERROR(__xludf.DUMMYFUNCTION("""COMPUTED_VALUE"""),"T78")</f>
        <v>T78</v>
      </c>
      <c r="B80">
        <f ca="1">IFERROR(__xludf.DUMMYFUNCTION("""COMPUTED_VALUE"""),48)</f>
        <v>48</v>
      </c>
      <c r="C80" t="str">
        <f ca="1">IFERROR(__xludf.DUMMYFUNCTION("""COMPUTED_VALUE"""),"Cameron Davis")</f>
        <v>Cameron Davis</v>
      </c>
      <c r="D80">
        <f ca="1">IFERROR(__xludf.DUMMYFUNCTION("""COMPUTED_VALUE"""),16)</f>
        <v>16</v>
      </c>
      <c r="E80" t="str">
        <f ca="1">IFERROR(__xludf.DUMMYFUNCTION("""COMPUTED_VALUE"""),"30' 6""")</f>
        <v>30' 6"</v>
      </c>
      <c r="F80">
        <f ca="1">IFERROR(__xludf.DUMMYFUNCTION("""COMPUTED_VALUE"""),945.833)</f>
        <v>945.83299999999997</v>
      </c>
      <c r="G80">
        <f ca="1">IFERROR(__xludf.DUMMYFUNCTION("""COMPUTED_VALUE"""),31)</f>
        <v>31</v>
      </c>
      <c r="H80">
        <f ca="1">IFERROR(__xludf.DUMMYFUNCTION("""COMPUTED_VALUE"""),-2)</f>
        <v>-2</v>
      </c>
    </row>
    <row r="81" spans="1:8" ht="12.75">
      <c r="A81" t="str">
        <f ca="1">IFERROR(__xludf.DUMMYFUNCTION("""COMPUTED_VALUE"""),"T80")</f>
        <v>T80</v>
      </c>
      <c r="B81">
        <f ca="1">IFERROR(__xludf.DUMMYFUNCTION("""COMPUTED_VALUE"""),14)</f>
        <v>14</v>
      </c>
      <c r="C81" t="str">
        <f ca="1">IFERROR(__xludf.DUMMYFUNCTION("""COMPUTED_VALUE"""),"Isaiah Salinda")</f>
        <v>Isaiah Salinda</v>
      </c>
      <c r="D81">
        <f ca="1">IFERROR(__xludf.DUMMYFUNCTION("""COMPUTED_VALUE"""),8)</f>
        <v>8</v>
      </c>
      <c r="E81" t="str">
        <f ca="1">IFERROR(__xludf.DUMMYFUNCTION("""COMPUTED_VALUE"""),"30' 7""")</f>
        <v>30' 7"</v>
      </c>
      <c r="F81">
        <f ca="1">IFERROR(__xludf.DUMMYFUNCTION("""COMPUTED_VALUE"""),367.417)</f>
        <v>367.41699999999997</v>
      </c>
      <c r="G81">
        <f ca="1">IFERROR(__xludf.DUMMYFUNCTION("""COMPUTED_VALUE"""),12)</f>
        <v>12</v>
      </c>
      <c r="H81">
        <f ca="1">IFERROR(__xludf.DUMMYFUNCTION("""COMPUTED_VALUE"""),-1)</f>
        <v>-1</v>
      </c>
    </row>
    <row r="82" spans="1:8" ht="12.75">
      <c r="A82" t="str">
        <f ca="1">IFERROR(__xludf.DUMMYFUNCTION("""COMPUTED_VALUE"""),"T80")</f>
        <v>T80</v>
      </c>
      <c r="B82">
        <f ca="1">IFERROR(__xludf.DUMMYFUNCTION("""COMPUTED_VALUE"""),88)</f>
        <v>88</v>
      </c>
      <c r="C82" t="str">
        <f ca="1">IFERROR(__xludf.DUMMYFUNCTION("""COMPUTED_VALUE"""),"Rob Oppenheim")</f>
        <v>Rob Oppenheim</v>
      </c>
      <c r="D82">
        <f ca="1">IFERROR(__xludf.DUMMYFUNCTION("""COMPUTED_VALUE"""),16)</f>
        <v>16</v>
      </c>
      <c r="E82" t="str">
        <f ca="1">IFERROR(__xludf.DUMMYFUNCTION("""COMPUTED_VALUE"""),"30' 7""")</f>
        <v>30' 7"</v>
      </c>
      <c r="F82">
        <f ca="1">IFERROR(__xludf.DUMMYFUNCTION("""COMPUTED_VALUE"""),488.833)</f>
        <v>488.83300000000003</v>
      </c>
      <c r="G82">
        <f ca="1">IFERROR(__xludf.DUMMYFUNCTION("""COMPUTED_VALUE"""),16)</f>
        <v>16</v>
      </c>
      <c r="H82" t="str">
        <f ca="1">IFERROR(__xludf.DUMMYFUNCTION("""COMPUTED_VALUE"""),"+1")</f>
        <v>+1</v>
      </c>
    </row>
    <row r="83" spans="1:8" ht="12.75">
      <c r="A83" t="str">
        <f ca="1">IFERROR(__xludf.DUMMYFUNCTION("""COMPUTED_VALUE"""),"T82")</f>
        <v>T82</v>
      </c>
      <c r="B83">
        <f ca="1">IFERROR(__xludf.DUMMYFUNCTION("""COMPUTED_VALUE"""),86)</f>
        <v>86</v>
      </c>
      <c r="C83" t="str">
        <f ca="1">IFERROR(__xludf.DUMMYFUNCTION("""COMPUTED_VALUE"""),"Jason Day")</f>
        <v>Jason Day</v>
      </c>
      <c r="D83">
        <f ca="1">IFERROR(__xludf.DUMMYFUNCTION("""COMPUTED_VALUE"""),17)</f>
        <v>17</v>
      </c>
      <c r="E83" t="str">
        <f ca="1">IFERROR(__xludf.DUMMYFUNCTION("""COMPUTED_VALUE"""),"30' 8""")</f>
        <v>30' 8"</v>
      </c>
      <c r="F83" s="2">
        <f ca="1">IFERROR(__xludf.DUMMYFUNCTION("""COMPUTED_VALUE"""),1564.667)</f>
        <v>1564.6669999999999</v>
      </c>
      <c r="G83">
        <f ca="1">IFERROR(__xludf.DUMMYFUNCTION("""COMPUTED_VALUE"""),51)</f>
        <v>51</v>
      </c>
      <c r="H83">
        <f ca="1">IFERROR(__xludf.DUMMYFUNCTION("""COMPUTED_VALUE"""),-3)</f>
        <v>-3</v>
      </c>
    </row>
    <row r="84" spans="1:8" ht="12.75">
      <c r="A84" t="str">
        <f ca="1">IFERROR(__xludf.DUMMYFUNCTION("""COMPUTED_VALUE"""),"T82")</f>
        <v>T82</v>
      </c>
      <c r="B84" t="str">
        <f ca="1">IFERROR(__xludf.DUMMYFUNCTION("""COMPUTED_VALUE"""),"T89")</f>
        <v>T89</v>
      </c>
      <c r="C84" t="str">
        <f ca="1">IFERROR(__xludf.DUMMYFUNCTION("""COMPUTED_VALUE"""),"Webb Simpson")</f>
        <v>Webb Simpson</v>
      </c>
      <c r="D84">
        <f ca="1">IFERROR(__xludf.DUMMYFUNCTION("""COMPUTED_VALUE"""),12)</f>
        <v>12</v>
      </c>
      <c r="E84" t="str">
        <f ca="1">IFERROR(__xludf.DUMMYFUNCTION("""COMPUTED_VALUE"""),"30' 8""")</f>
        <v>30' 8"</v>
      </c>
      <c r="F84">
        <f ca="1">IFERROR(__xludf.DUMMYFUNCTION("""COMPUTED_VALUE"""),920.5)</f>
        <v>920.5</v>
      </c>
      <c r="G84">
        <f ca="1">IFERROR(__xludf.DUMMYFUNCTION("""COMPUTED_VALUE"""),30)</f>
        <v>30</v>
      </c>
      <c r="H84">
        <f ca="1">IFERROR(__xludf.DUMMYFUNCTION("""COMPUTED_VALUE"""),-5)</f>
        <v>-5</v>
      </c>
    </row>
    <row r="85" spans="1:8" ht="12.75">
      <c r="A85" t="str">
        <f ca="1">IFERROR(__xludf.DUMMYFUNCTION("""COMPUTED_VALUE"""),"T82")</f>
        <v>T82</v>
      </c>
      <c r="B85">
        <f ca="1">IFERROR(__xludf.DUMMYFUNCTION("""COMPUTED_VALUE"""),47)</f>
        <v>47</v>
      </c>
      <c r="C85" t="str">
        <f ca="1">IFERROR(__xludf.DUMMYFUNCTION("""COMPUTED_VALUE"""),"Shane Lowry")</f>
        <v>Shane Lowry</v>
      </c>
      <c r="D85">
        <f ca="1">IFERROR(__xludf.DUMMYFUNCTION("""COMPUTED_VALUE"""),14)</f>
        <v>14</v>
      </c>
      <c r="E85" t="str">
        <f ca="1">IFERROR(__xludf.DUMMYFUNCTION("""COMPUTED_VALUE"""),"30' 8""")</f>
        <v>30' 8"</v>
      </c>
      <c r="F85" s="2">
        <f ca="1">IFERROR(__xludf.DUMMYFUNCTION("""COMPUTED_VALUE"""),1196.833)</f>
        <v>1196.8330000000001</v>
      </c>
      <c r="G85">
        <f ca="1">IFERROR(__xludf.DUMMYFUNCTION("""COMPUTED_VALUE"""),39)</f>
        <v>39</v>
      </c>
      <c r="H85" t="str">
        <f ca="1">IFERROR(__xludf.DUMMYFUNCTION("""COMPUTED_VALUE"""),"+4")</f>
        <v>+4</v>
      </c>
    </row>
    <row r="86" spans="1:8" ht="12.75">
      <c r="A86" t="str">
        <f ca="1">IFERROR(__xludf.DUMMYFUNCTION("""COMPUTED_VALUE"""),"T82")</f>
        <v>T82</v>
      </c>
      <c r="B86" t="str">
        <f ca="1">IFERROR(__xludf.DUMMYFUNCTION("""COMPUTED_VALUE"""),"T89")</f>
        <v>T89</v>
      </c>
      <c r="C86" t="str">
        <f ca="1">IFERROR(__xludf.DUMMYFUNCTION("""COMPUTED_VALUE"""),"Jim Furyk")</f>
        <v>Jim Furyk</v>
      </c>
      <c r="D86">
        <f ca="1">IFERROR(__xludf.DUMMYFUNCTION("""COMPUTED_VALUE"""),4)</f>
        <v>4</v>
      </c>
      <c r="E86" t="str">
        <f ca="1">IFERROR(__xludf.DUMMYFUNCTION("""COMPUTED_VALUE"""),"30' 8""")</f>
        <v>30' 8"</v>
      </c>
      <c r="F86">
        <f ca="1">IFERROR(__xludf.DUMMYFUNCTION("""COMPUTED_VALUE"""),214.417)</f>
        <v>214.417</v>
      </c>
      <c r="G86">
        <f ca="1">IFERROR(__xludf.DUMMYFUNCTION("""COMPUTED_VALUE"""),7)</f>
        <v>7</v>
      </c>
      <c r="H86" t="str">
        <f ca="1">IFERROR(__xludf.DUMMYFUNCTION("""COMPUTED_VALUE"""),"E")</f>
        <v>E</v>
      </c>
    </row>
    <row r="87" spans="1:8" ht="12.75">
      <c r="A87" t="str">
        <f ca="1">IFERROR(__xludf.DUMMYFUNCTION("""COMPUTED_VALUE"""),"T82")</f>
        <v>T82</v>
      </c>
      <c r="B87" t="str">
        <f ca="1">IFERROR(__xludf.DUMMYFUNCTION("""COMPUTED_VALUE"""),"T77")</f>
        <v>T77</v>
      </c>
      <c r="C87" t="str">
        <f ca="1">IFERROR(__xludf.DUMMYFUNCTION("""COMPUTED_VALUE"""),"Sungjae Im")</f>
        <v>Sungjae Im</v>
      </c>
      <c r="D87">
        <f ca="1">IFERROR(__xludf.DUMMYFUNCTION("""COMPUTED_VALUE"""),24)</f>
        <v>24</v>
      </c>
      <c r="E87" t="str">
        <f ca="1">IFERROR(__xludf.DUMMYFUNCTION("""COMPUTED_VALUE"""),"30' 8""")</f>
        <v>30' 8"</v>
      </c>
      <c r="F87" s="2">
        <f ca="1">IFERROR(__xludf.DUMMYFUNCTION("""COMPUTED_VALUE"""),1902.25)</f>
        <v>1902.25</v>
      </c>
      <c r="G87">
        <f ca="1">IFERROR(__xludf.DUMMYFUNCTION("""COMPUTED_VALUE"""),62)</f>
        <v>62</v>
      </c>
      <c r="H87">
        <f ca="1">IFERROR(__xludf.DUMMYFUNCTION("""COMPUTED_VALUE"""),-7)</f>
        <v>-7</v>
      </c>
    </row>
    <row r="88" spans="1:8" ht="12.75">
      <c r="A88" t="str">
        <f ca="1">IFERROR(__xludf.DUMMYFUNCTION("""COMPUTED_VALUE"""),"T87")</f>
        <v>T87</v>
      </c>
      <c r="B88" t="str">
        <f ca="1">IFERROR(__xludf.DUMMYFUNCTION("""COMPUTED_VALUE"""),"T93")</f>
        <v>T93</v>
      </c>
      <c r="C88" t="str">
        <f ca="1">IFERROR(__xludf.DUMMYFUNCTION("""COMPUTED_VALUE"""),"Akshay Bhatia")</f>
        <v>Akshay Bhatia</v>
      </c>
      <c r="D88">
        <f ca="1">IFERROR(__xludf.DUMMYFUNCTION("""COMPUTED_VALUE"""),6)</f>
        <v>6</v>
      </c>
      <c r="E88" t="str">
        <f ca="1">IFERROR(__xludf.DUMMYFUNCTION("""COMPUTED_VALUE"""),"30' 9""")</f>
        <v>30' 9"</v>
      </c>
      <c r="F88">
        <f ca="1">IFERROR(__xludf.DUMMYFUNCTION("""COMPUTED_VALUE"""),184.583)</f>
        <v>184.583</v>
      </c>
      <c r="G88">
        <f ca="1">IFERROR(__xludf.DUMMYFUNCTION("""COMPUTED_VALUE"""),6)</f>
        <v>6</v>
      </c>
      <c r="H88" t="str">
        <f ca="1">IFERROR(__xludf.DUMMYFUNCTION("""COMPUTED_VALUE"""),"+2")</f>
        <v>+2</v>
      </c>
    </row>
    <row r="89" spans="1:8" ht="12.75">
      <c r="A89" t="str">
        <f ca="1">IFERROR(__xludf.DUMMYFUNCTION("""COMPUTED_VALUE"""),"T87")</f>
        <v>T87</v>
      </c>
      <c r="B89" t="str">
        <f ca="1">IFERROR(__xludf.DUMMYFUNCTION("""COMPUTED_VALUE"""),"T93")</f>
        <v>T93</v>
      </c>
      <c r="C89" t="str">
        <f ca="1">IFERROR(__xludf.DUMMYFUNCTION("""COMPUTED_VALUE"""),"Daniel Berger")</f>
        <v>Daniel Berger</v>
      </c>
      <c r="D89">
        <f ca="1">IFERROR(__xludf.DUMMYFUNCTION("""COMPUTED_VALUE"""),12)</f>
        <v>12</v>
      </c>
      <c r="E89" t="str">
        <f ca="1">IFERROR(__xludf.DUMMYFUNCTION("""COMPUTED_VALUE"""),"30' 9""")</f>
        <v>30' 9"</v>
      </c>
      <c r="F89" s="2">
        <f ca="1">IFERROR(__xludf.DUMMYFUNCTION("""COMPUTED_VALUE"""),1044.417)</f>
        <v>1044.4169999999999</v>
      </c>
      <c r="G89">
        <f ca="1">IFERROR(__xludf.DUMMYFUNCTION("""COMPUTED_VALUE"""),34)</f>
        <v>34</v>
      </c>
      <c r="H89" t="str">
        <f ca="1">IFERROR(__xludf.DUMMYFUNCTION("""COMPUTED_VALUE"""),"+3")</f>
        <v>+3</v>
      </c>
    </row>
    <row r="90" spans="1:8" ht="12.75">
      <c r="A90" t="str">
        <f ca="1">IFERROR(__xludf.DUMMYFUNCTION("""COMPUTED_VALUE"""),"T87")</f>
        <v>T87</v>
      </c>
      <c r="B90" t="str">
        <f ca="1">IFERROR(__xludf.DUMMYFUNCTION("""COMPUTED_VALUE"""),"T53")</f>
        <v>T53</v>
      </c>
      <c r="C90" t="str">
        <f ca="1">IFERROR(__xludf.DUMMYFUNCTION("""COMPUTED_VALUE"""),"Andrew Landry")</f>
        <v>Andrew Landry</v>
      </c>
      <c r="D90">
        <f ca="1">IFERROR(__xludf.DUMMYFUNCTION("""COMPUTED_VALUE"""),14)</f>
        <v>14</v>
      </c>
      <c r="E90" t="str">
        <f ca="1">IFERROR(__xludf.DUMMYFUNCTION("""COMPUTED_VALUE"""),"30' 9""")</f>
        <v>30' 9"</v>
      </c>
      <c r="F90" s="2">
        <f ca="1">IFERROR(__xludf.DUMMYFUNCTION("""COMPUTED_VALUE"""),1046)</f>
        <v>1046</v>
      </c>
      <c r="G90">
        <f ca="1">IFERROR(__xludf.DUMMYFUNCTION("""COMPUTED_VALUE"""),34)</f>
        <v>34</v>
      </c>
      <c r="H90" t="str">
        <f ca="1">IFERROR(__xludf.DUMMYFUNCTION("""COMPUTED_VALUE"""),"+2")</f>
        <v>+2</v>
      </c>
    </row>
    <row r="91" spans="1:8" ht="12.75">
      <c r="A91" t="str">
        <f ca="1">IFERROR(__xludf.DUMMYFUNCTION("""COMPUTED_VALUE"""),"T87")</f>
        <v>T87</v>
      </c>
      <c r="B91" t="str">
        <f ca="1">IFERROR(__xludf.DUMMYFUNCTION("""COMPUTED_VALUE"""),"T49")</f>
        <v>T49</v>
      </c>
      <c r="C91" t="str">
        <f ca="1">IFERROR(__xludf.DUMMYFUNCTION("""COMPUTED_VALUE"""),"Austin Cook")</f>
        <v>Austin Cook</v>
      </c>
      <c r="D91">
        <f ca="1">IFERROR(__xludf.DUMMYFUNCTION("""COMPUTED_VALUE"""),14)</f>
        <v>14</v>
      </c>
      <c r="E91" t="str">
        <f ca="1">IFERROR(__xludf.DUMMYFUNCTION("""COMPUTED_VALUE"""),"30' 9""")</f>
        <v>30' 9"</v>
      </c>
      <c r="F91">
        <f ca="1">IFERROR(__xludf.DUMMYFUNCTION("""COMPUTED_VALUE"""),892.167)</f>
        <v>892.16700000000003</v>
      </c>
      <c r="G91">
        <f ca="1">IFERROR(__xludf.DUMMYFUNCTION("""COMPUTED_VALUE"""),29)</f>
        <v>29</v>
      </c>
      <c r="H91">
        <f ca="1">IFERROR(__xludf.DUMMYFUNCTION("""COMPUTED_VALUE"""),-2)</f>
        <v>-2</v>
      </c>
    </row>
    <row r="92" spans="1:8" ht="12.75">
      <c r="A92" t="str">
        <f ca="1">IFERROR(__xludf.DUMMYFUNCTION("""COMPUTED_VALUE"""),"T87")</f>
        <v>T87</v>
      </c>
      <c r="B92" t="str">
        <f ca="1">IFERROR(__xludf.DUMMYFUNCTION("""COMPUTED_VALUE"""),"T93")</f>
        <v>T93</v>
      </c>
      <c r="C92" t="str">
        <f ca="1">IFERROR(__xludf.DUMMYFUNCTION("""COMPUTED_VALUE"""),"Cameron Percy")</f>
        <v>Cameron Percy</v>
      </c>
      <c r="D92">
        <f ca="1">IFERROR(__xludf.DUMMYFUNCTION("""COMPUTED_VALUE"""),16)</f>
        <v>16</v>
      </c>
      <c r="E92" t="str">
        <f ca="1">IFERROR(__xludf.DUMMYFUNCTION("""COMPUTED_VALUE"""),"30' 9""")</f>
        <v>30' 9"</v>
      </c>
      <c r="F92">
        <f ca="1">IFERROR(__xludf.DUMMYFUNCTION("""COMPUTED_VALUE"""),461.083)</f>
        <v>461.08300000000003</v>
      </c>
      <c r="G92">
        <f ca="1">IFERROR(__xludf.DUMMYFUNCTION("""COMPUTED_VALUE"""),15)</f>
        <v>15</v>
      </c>
      <c r="H92" t="str">
        <f ca="1">IFERROR(__xludf.DUMMYFUNCTION("""COMPUTED_VALUE"""),"E")</f>
        <v>E</v>
      </c>
    </row>
    <row r="93" spans="1:8" ht="12.75">
      <c r="A93">
        <f ca="1">IFERROR(__xludf.DUMMYFUNCTION("""COMPUTED_VALUE"""),92)</f>
        <v>92</v>
      </c>
      <c r="B93">
        <f ca="1">IFERROR(__xludf.DUMMYFUNCTION("""COMPUTED_VALUE"""),87)</f>
        <v>87</v>
      </c>
      <c r="C93" t="str">
        <f ca="1">IFERROR(__xludf.DUMMYFUNCTION("""COMPUTED_VALUE"""),"Xinjun Zhang")</f>
        <v>Xinjun Zhang</v>
      </c>
      <c r="D93">
        <f ca="1">IFERROR(__xludf.DUMMYFUNCTION("""COMPUTED_VALUE"""),14)</f>
        <v>14</v>
      </c>
      <c r="E93" t="str">
        <f ca="1">IFERROR(__xludf.DUMMYFUNCTION("""COMPUTED_VALUE"""),"30' 11""")</f>
        <v>30' 11"</v>
      </c>
      <c r="F93">
        <f ca="1">IFERROR(__xludf.DUMMYFUNCTION("""COMPUTED_VALUE"""),679.333)</f>
        <v>679.33299999999997</v>
      </c>
      <c r="G93">
        <f ca="1">IFERROR(__xludf.DUMMYFUNCTION("""COMPUTED_VALUE"""),22)</f>
        <v>22</v>
      </c>
      <c r="H93" t="str">
        <f ca="1">IFERROR(__xludf.DUMMYFUNCTION("""COMPUTED_VALUE"""),"E")</f>
        <v>E</v>
      </c>
    </row>
    <row r="94" spans="1:8" ht="12.75">
      <c r="A94">
        <f ca="1">IFERROR(__xludf.DUMMYFUNCTION("""COMPUTED_VALUE"""),93)</f>
        <v>93</v>
      </c>
      <c r="B94">
        <f ca="1">IFERROR(__xludf.DUMMYFUNCTION("""COMPUTED_VALUE"""),85)</f>
        <v>85</v>
      </c>
      <c r="C94" t="str">
        <f ca="1">IFERROR(__xludf.DUMMYFUNCTION("""COMPUTED_VALUE"""),"Zach Johnson")</f>
        <v>Zach Johnson</v>
      </c>
      <c r="D94">
        <f ca="1">IFERROR(__xludf.DUMMYFUNCTION("""COMPUTED_VALUE"""),16)</f>
        <v>16</v>
      </c>
      <c r="E94" t="str">
        <f ca="1">IFERROR(__xludf.DUMMYFUNCTION("""COMPUTED_VALUE"""),"31' 0""")</f>
        <v>31' 0"</v>
      </c>
      <c r="F94" s="2">
        <f ca="1">IFERROR(__xludf.DUMMYFUNCTION("""COMPUTED_VALUE"""),1054.75)</f>
        <v>1054.75</v>
      </c>
      <c r="G94">
        <f ca="1">IFERROR(__xludf.DUMMYFUNCTION("""COMPUTED_VALUE"""),34)</f>
        <v>34</v>
      </c>
      <c r="H94" t="str">
        <f ca="1">IFERROR(__xludf.DUMMYFUNCTION("""COMPUTED_VALUE"""),"+1")</f>
        <v>+1</v>
      </c>
    </row>
    <row r="95" spans="1:8" ht="12.75">
      <c r="A95" t="str">
        <f ca="1">IFERROR(__xludf.DUMMYFUNCTION("""COMPUTED_VALUE"""),"T94")</f>
        <v>T94</v>
      </c>
      <c r="B95" t="str">
        <f ca="1">IFERROR(__xludf.DUMMYFUNCTION("""COMPUTED_VALUE"""),"T101")</f>
        <v>T101</v>
      </c>
      <c r="C95" t="str">
        <f ca="1">IFERROR(__xludf.DUMMYFUNCTION("""COMPUTED_VALUE"""),"Jazz Janewattananond")</f>
        <v>Jazz Janewattananond</v>
      </c>
      <c r="D95">
        <f ca="1">IFERROR(__xludf.DUMMYFUNCTION("""COMPUTED_VALUE"""),6)</f>
        <v>6</v>
      </c>
      <c r="E95" t="str">
        <f ca="1">IFERROR(__xludf.DUMMYFUNCTION("""COMPUTED_VALUE"""),"31' 1""")</f>
        <v>31' 1"</v>
      </c>
      <c r="F95">
        <f ca="1">IFERROR(__xludf.DUMMYFUNCTION("""COMPUTED_VALUE"""),560.167)</f>
        <v>560.16700000000003</v>
      </c>
      <c r="G95">
        <f ca="1">IFERROR(__xludf.DUMMYFUNCTION("""COMPUTED_VALUE"""),18)</f>
        <v>18</v>
      </c>
      <c r="H95">
        <f ca="1">IFERROR(__xludf.DUMMYFUNCTION("""COMPUTED_VALUE"""),-1)</f>
        <v>-1</v>
      </c>
    </row>
    <row r="96" spans="1:8" ht="12.75">
      <c r="A96" t="str">
        <f ca="1">IFERROR(__xludf.DUMMYFUNCTION("""COMPUTED_VALUE"""),"T94")</f>
        <v>T94</v>
      </c>
      <c r="B96" t="str">
        <f ca="1">IFERROR(__xludf.DUMMYFUNCTION("""COMPUTED_VALUE"""),"T101")</f>
        <v>T101</v>
      </c>
      <c r="C96" t="str">
        <f ca="1">IFERROR(__xludf.DUMMYFUNCTION("""COMPUTED_VALUE"""),"Aaron Baddeley")</f>
        <v>Aaron Baddeley</v>
      </c>
      <c r="D96">
        <f ca="1">IFERROR(__xludf.DUMMYFUNCTION("""COMPUTED_VALUE"""),8)</f>
        <v>8</v>
      </c>
      <c r="E96" t="str">
        <f ca="1">IFERROR(__xludf.DUMMYFUNCTION("""COMPUTED_VALUE"""),"31' 1""")</f>
        <v>31' 1"</v>
      </c>
      <c r="F96">
        <f ca="1">IFERROR(__xludf.DUMMYFUNCTION("""COMPUTED_VALUE"""),217.5)</f>
        <v>217.5</v>
      </c>
      <c r="G96">
        <f ca="1">IFERROR(__xludf.DUMMYFUNCTION("""COMPUTED_VALUE"""),7)</f>
        <v>7</v>
      </c>
      <c r="H96" t="str">
        <f ca="1">IFERROR(__xludf.DUMMYFUNCTION("""COMPUTED_VALUE"""),"+1")</f>
        <v>+1</v>
      </c>
    </row>
    <row r="97" spans="1:8" ht="12.75">
      <c r="A97" t="str">
        <f ca="1">IFERROR(__xludf.DUMMYFUNCTION("""COMPUTED_VALUE"""),"T94")</f>
        <v>T94</v>
      </c>
      <c r="B97" t="str">
        <f ca="1">IFERROR(__xludf.DUMMYFUNCTION("""COMPUTED_VALUE"""),"T101")</f>
        <v>T101</v>
      </c>
      <c r="C97" t="str">
        <f ca="1">IFERROR(__xludf.DUMMYFUNCTION("""COMPUTED_VALUE"""),"Zack Sucher")</f>
        <v>Zack Sucher</v>
      </c>
      <c r="D97">
        <f ca="1">IFERROR(__xludf.DUMMYFUNCTION("""COMPUTED_VALUE"""),6)</f>
        <v>6</v>
      </c>
      <c r="E97" t="str">
        <f ca="1">IFERROR(__xludf.DUMMYFUNCTION("""COMPUTED_VALUE"""),"31' 1""")</f>
        <v>31' 1"</v>
      </c>
      <c r="F97">
        <f ca="1">IFERROR(__xludf.DUMMYFUNCTION("""COMPUTED_VALUE"""),93.25)</f>
        <v>93.25</v>
      </c>
      <c r="G97">
        <f ca="1">IFERROR(__xludf.DUMMYFUNCTION("""COMPUTED_VALUE"""),3)</f>
        <v>3</v>
      </c>
      <c r="H97">
        <f ca="1">IFERROR(__xludf.DUMMYFUNCTION("""COMPUTED_VALUE"""),-1)</f>
        <v>-1</v>
      </c>
    </row>
    <row r="98" spans="1:8" ht="12.75">
      <c r="A98" t="str">
        <f ca="1">IFERROR(__xludf.DUMMYFUNCTION("""COMPUTED_VALUE"""),"T97")</f>
        <v>T97</v>
      </c>
      <c r="B98" t="str">
        <f ca="1">IFERROR(__xludf.DUMMYFUNCTION("""COMPUTED_VALUE"""),"T151")</f>
        <v>T151</v>
      </c>
      <c r="C98" t="str">
        <f ca="1">IFERROR(__xludf.DUMMYFUNCTION("""COMPUTED_VALUE"""),"Grayson Murray")</f>
        <v>Grayson Murray</v>
      </c>
      <c r="D98">
        <f ca="1">IFERROR(__xludf.DUMMYFUNCTION("""COMPUTED_VALUE"""),10)</f>
        <v>10</v>
      </c>
      <c r="E98" t="str">
        <f ca="1">IFERROR(__xludf.DUMMYFUNCTION("""COMPUTED_VALUE"""),"31' 2""")</f>
        <v>31' 2"</v>
      </c>
      <c r="F98">
        <f ca="1">IFERROR(__xludf.DUMMYFUNCTION("""COMPUTED_VALUE"""),499.25)</f>
        <v>499.25</v>
      </c>
      <c r="G98">
        <f ca="1">IFERROR(__xludf.DUMMYFUNCTION("""COMPUTED_VALUE"""),16)</f>
        <v>16</v>
      </c>
      <c r="H98" t="str">
        <f ca="1">IFERROR(__xludf.DUMMYFUNCTION("""COMPUTED_VALUE"""),"+3")</f>
        <v>+3</v>
      </c>
    </row>
    <row r="99" spans="1:8" ht="12.75">
      <c r="A99" t="str">
        <f ca="1">IFERROR(__xludf.DUMMYFUNCTION("""COMPUTED_VALUE"""),"T97")</f>
        <v>T97</v>
      </c>
      <c r="B99">
        <f ca="1">IFERROR(__xludf.DUMMYFUNCTION("""COMPUTED_VALUE"""),124)</f>
        <v>124</v>
      </c>
      <c r="C99" t="str">
        <f ca="1">IFERROR(__xludf.DUMMYFUNCTION("""COMPUTED_VALUE"""),"Graham DeLaet")</f>
        <v>Graham DeLaet</v>
      </c>
      <c r="D99">
        <f ca="1">IFERROR(__xludf.DUMMYFUNCTION("""COMPUTED_VALUE"""),9)</f>
        <v>9</v>
      </c>
      <c r="E99" t="str">
        <f ca="1">IFERROR(__xludf.DUMMYFUNCTION("""COMPUTED_VALUE"""),"31' 2""")</f>
        <v>31' 2"</v>
      </c>
      <c r="F99">
        <f ca="1">IFERROR(__xludf.DUMMYFUNCTION("""COMPUTED_VALUE"""),249.5)</f>
        <v>249.5</v>
      </c>
      <c r="G99">
        <f ca="1">IFERROR(__xludf.DUMMYFUNCTION("""COMPUTED_VALUE"""),8)</f>
        <v>8</v>
      </c>
      <c r="H99" t="str">
        <f ca="1">IFERROR(__xludf.DUMMYFUNCTION("""COMPUTED_VALUE"""),"E")</f>
        <v>E</v>
      </c>
    </row>
    <row r="100" spans="1:8" ht="12.75">
      <c r="A100" t="str">
        <f ca="1">IFERROR(__xludf.DUMMYFUNCTION("""COMPUTED_VALUE"""),"T99")</f>
        <v>T99</v>
      </c>
      <c r="B100" t="str">
        <f ca="1">IFERROR(__xludf.DUMMYFUNCTION("""COMPUTED_VALUE"""),"T104")</f>
        <v>T104</v>
      </c>
      <c r="C100" t="str">
        <f ca="1">IFERROR(__xludf.DUMMYFUNCTION("""COMPUTED_VALUE"""),"Luke Schniederjans")</f>
        <v>Luke Schniederjans</v>
      </c>
      <c r="D100">
        <f ca="1">IFERROR(__xludf.DUMMYFUNCTION("""COMPUTED_VALUE"""),4)</f>
        <v>4</v>
      </c>
      <c r="E100" t="str">
        <f ca="1">IFERROR(__xludf.DUMMYFUNCTION("""COMPUTED_VALUE"""),"31' 3""")</f>
        <v>31' 3"</v>
      </c>
      <c r="F100">
        <f ca="1">IFERROR(__xludf.DUMMYFUNCTION("""COMPUTED_VALUE"""),93.75)</f>
        <v>93.75</v>
      </c>
      <c r="G100">
        <f ca="1">IFERROR(__xludf.DUMMYFUNCTION("""COMPUTED_VALUE"""),3)</f>
        <v>3</v>
      </c>
      <c r="H100" t="str">
        <f ca="1">IFERROR(__xludf.DUMMYFUNCTION("""COMPUTED_VALUE"""),"E")</f>
        <v>E</v>
      </c>
    </row>
    <row r="101" spans="1:8" ht="12.75">
      <c r="A101" t="str">
        <f ca="1">IFERROR(__xludf.DUMMYFUNCTION("""COMPUTED_VALUE"""),"T99")</f>
        <v>T99</v>
      </c>
      <c r="B101" t="str">
        <f ca="1">IFERROR(__xludf.DUMMYFUNCTION("""COMPUTED_VALUE"""),"T104")</f>
        <v>T104</v>
      </c>
      <c r="C101" t="str">
        <f ca="1">IFERROR(__xludf.DUMMYFUNCTION("""COMPUTED_VALUE"""),"Chesson Hadley")</f>
        <v>Chesson Hadley</v>
      </c>
      <c r="D101">
        <f ca="1">IFERROR(__xludf.DUMMYFUNCTION("""COMPUTED_VALUE"""),16)</f>
        <v>16</v>
      </c>
      <c r="E101" t="str">
        <f ca="1">IFERROR(__xludf.DUMMYFUNCTION("""COMPUTED_VALUE"""),"31' 3""")</f>
        <v>31' 3"</v>
      </c>
      <c r="F101">
        <f ca="1">IFERROR(__xludf.DUMMYFUNCTION("""COMPUTED_VALUE"""),842.75)</f>
        <v>842.75</v>
      </c>
      <c r="G101">
        <f ca="1">IFERROR(__xludf.DUMMYFUNCTION("""COMPUTED_VALUE"""),27)</f>
        <v>27</v>
      </c>
      <c r="H101" t="str">
        <f ca="1">IFERROR(__xludf.DUMMYFUNCTION("""COMPUTED_VALUE"""),"+3")</f>
        <v>+3</v>
      </c>
    </row>
    <row r="102" spans="1:8" ht="12.75">
      <c r="A102" t="str">
        <f ca="1">IFERROR(__xludf.DUMMYFUNCTION("""COMPUTED_VALUE"""),"T99")</f>
        <v>T99</v>
      </c>
      <c r="B102">
        <f ca="1">IFERROR(__xludf.DUMMYFUNCTION("""COMPUTED_VALUE"""),24)</f>
        <v>24</v>
      </c>
      <c r="C102" t="str">
        <f ca="1">IFERROR(__xludf.DUMMYFUNCTION("""COMPUTED_VALUE"""),"Brooks Koepka")</f>
        <v>Brooks Koepka</v>
      </c>
      <c r="D102">
        <f ca="1">IFERROR(__xludf.DUMMYFUNCTION("""COMPUTED_VALUE"""),8)</f>
        <v>8</v>
      </c>
      <c r="E102" t="str">
        <f ca="1">IFERROR(__xludf.DUMMYFUNCTION("""COMPUTED_VALUE"""),"31' 3""")</f>
        <v>31' 3"</v>
      </c>
      <c r="F102">
        <f ca="1">IFERROR(__xludf.DUMMYFUNCTION("""COMPUTED_VALUE"""),531.667)</f>
        <v>531.66700000000003</v>
      </c>
      <c r="G102">
        <f ca="1">IFERROR(__xludf.DUMMYFUNCTION("""COMPUTED_VALUE"""),17)</f>
        <v>17</v>
      </c>
      <c r="H102">
        <f ca="1">IFERROR(__xludf.DUMMYFUNCTION("""COMPUTED_VALUE"""),-3)</f>
        <v>-3</v>
      </c>
    </row>
    <row r="103" spans="1:8" ht="12.75">
      <c r="A103" t="str">
        <f ca="1">IFERROR(__xludf.DUMMYFUNCTION("""COMPUTED_VALUE"""),"T102")</f>
        <v>T102</v>
      </c>
      <c r="B103" t="str">
        <f ca="1">IFERROR(__xludf.DUMMYFUNCTION("""COMPUTED_VALUE"""),"T108")</f>
        <v>T108</v>
      </c>
      <c r="C103" t="str">
        <f ca="1">IFERROR(__xludf.DUMMYFUNCTION("""COMPUTED_VALUE"""),"MJ Daffue")</f>
        <v>MJ Daffue</v>
      </c>
      <c r="D103">
        <f ca="1">IFERROR(__xludf.DUMMYFUNCTION("""COMPUTED_VALUE"""),10)</f>
        <v>10</v>
      </c>
      <c r="E103" t="str">
        <f ca="1">IFERROR(__xludf.DUMMYFUNCTION("""COMPUTED_VALUE"""),"31' 5""")</f>
        <v>31' 5"</v>
      </c>
      <c r="F103">
        <f ca="1">IFERROR(__xludf.DUMMYFUNCTION("""COMPUTED_VALUE"""),691.917)</f>
        <v>691.91700000000003</v>
      </c>
      <c r="G103">
        <f ca="1">IFERROR(__xludf.DUMMYFUNCTION("""COMPUTED_VALUE"""),22)</f>
        <v>22</v>
      </c>
      <c r="H103">
        <f ca="1">IFERROR(__xludf.DUMMYFUNCTION("""COMPUTED_VALUE"""),-1)</f>
        <v>-1</v>
      </c>
    </row>
    <row r="104" spans="1:8" ht="12.75">
      <c r="A104" t="str">
        <f ca="1">IFERROR(__xludf.DUMMYFUNCTION("""COMPUTED_VALUE"""),"T102")</f>
        <v>T102</v>
      </c>
      <c r="B104" t="str">
        <f ca="1">IFERROR(__xludf.DUMMYFUNCTION("""COMPUTED_VALUE"""),"")</f>
        <v/>
      </c>
      <c r="C104" t="str">
        <f ca="1">IFERROR(__xludf.DUMMYFUNCTION("""COMPUTED_VALUE"""),"Francesco Molinari")</f>
        <v>Francesco Molinari</v>
      </c>
      <c r="D104">
        <f ca="1">IFERROR(__xludf.DUMMYFUNCTION("""COMPUTED_VALUE"""),6)</f>
        <v>6</v>
      </c>
      <c r="E104" t="str">
        <f ca="1">IFERROR(__xludf.DUMMYFUNCTION("""COMPUTED_VALUE"""),"31' 5""")</f>
        <v>31' 5"</v>
      </c>
      <c r="F104">
        <f ca="1">IFERROR(__xludf.DUMMYFUNCTION("""COMPUTED_VALUE"""),502.083)</f>
        <v>502.08300000000003</v>
      </c>
      <c r="G104">
        <f ca="1">IFERROR(__xludf.DUMMYFUNCTION("""COMPUTED_VALUE"""),16)</f>
        <v>16</v>
      </c>
      <c r="H104" t="str">
        <f ca="1">IFERROR(__xludf.DUMMYFUNCTION("""COMPUTED_VALUE"""),"+1")</f>
        <v>+1</v>
      </c>
    </row>
    <row r="105" spans="1:8" ht="12.75">
      <c r="A105" t="str">
        <f ca="1">IFERROR(__xludf.DUMMYFUNCTION("""COMPUTED_VALUE"""),"T102")</f>
        <v>T102</v>
      </c>
      <c r="B105" t="str">
        <f ca="1">IFERROR(__xludf.DUMMYFUNCTION("""COMPUTED_VALUE"""),"T133")</f>
        <v>T133</v>
      </c>
      <c r="C105" t="str">
        <f ca="1">IFERROR(__xludf.DUMMYFUNCTION("""COMPUTED_VALUE"""),"Luke Donald")</f>
        <v>Luke Donald</v>
      </c>
      <c r="D105">
        <f ca="1">IFERROR(__xludf.DUMMYFUNCTION("""COMPUTED_VALUE"""),14)</f>
        <v>14</v>
      </c>
      <c r="E105" t="str">
        <f ca="1">IFERROR(__xludf.DUMMYFUNCTION("""COMPUTED_VALUE"""),"31' 5""")</f>
        <v>31' 5"</v>
      </c>
      <c r="F105">
        <f ca="1">IFERROR(__xludf.DUMMYFUNCTION("""COMPUTED_VALUE"""),471.5)</f>
        <v>471.5</v>
      </c>
      <c r="G105">
        <f ca="1">IFERROR(__xludf.DUMMYFUNCTION("""COMPUTED_VALUE"""),15)</f>
        <v>15</v>
      </c>
      <c r="H105" t="str">
        <f ca="1">IFERROR(__xludf.DUMMYFUNCTION("""COMPUTED_VALUE"""),"+4")</f>
        <v>+4</v>
      </c>
    </row>
    <row r="106" spans="1:8" ht="12.75">
      <c r="A106">
        <f ca="1">IFERROR(__xludf.DUMMYFUNCTION("""COMPUTED_VALUE"""),105)</f>
        <v>105</v>
      </c>
      <c r="B106" t="str">
        <f ca="1">IFERROR(__xludf.DUMMYFUNCTION("""COMPUTED_VALUE"""),"T110")</f>
        <v>T110</v>
      </c>
      <c r="C106" t="str">
        <f ca="1">IFERROR(__xludf.DUMMYFUNCTION("""COMPUTED_VALUE"""),"Billy Horschel")</f>
        <v>Billy Horschel</v>
      </c>
      <c r="D106">
        <f ca="1">IFERROR(__xludf.DUMMYFUNCTION("""COMPUTED_VALUE"""),12)</f>
        <v>12</v>
      </c>
      <c r="E106" t="str">
        <f ca="1">IFERROR(__xludf.DUMMYFUNCTION("""COMPUTED_VALUE"""),"31' 6""")</f>
        <v>31' 6"</v>
      </c>
      <c r="F106" s="2">
        <f ca="1">IFERROR(__xludf.DUMMYFUNCTION("""COMPUTED_VALUE"""),1165.417)</f>
        <v>1165.4169999999999</v>
      </c>
      <c r="G106">
        <f ca="1">IFERROR(__xludf.DUMMYFUNCTION("""COMPUTED_VALUE"""),37)</f>
        <v>37</v>
      </c>
      <c r="H106">
        <f ca="1">IFERROR(__xludf.DUMMYFUNCTION("""COMPUTED_VALUE"""),-1)</f>
        <v>-1</v>
      </c>
    </row>
    <row r="107" spans="1:8" ht="12.75">
      <c r="A107">
        <f ca="1">IFERROR(__xludf.DUMMYFUNCTION("""COMPUTED_VALUE"""),106)</f>
        <v>106</v>
      </c>
      <c r="B107" t="str">
        <f ca="1">IFERROR(__xludf.DUMMYFUNCTION("""COMPUTED_VALUE"""),"")</f>
        <v/>
      </c>
      <c r="C107" t="str">
        <f ca="1">IFERROR(__xludf.DUMMYFUNCTION("""COMPUTED_VALUE"""),"Justin Harding")</f>
        <v>Justin Harding</v>
      </c>
      <c r="D107">
        <f ca="1">IFERROR(__xludf.DUMMYFUNCTION("""COMPUTED_VALUE"""),6)</f>
        <v>6</v>
      </c>
      <c r="E107" t="str">
        <f ca="1">IFERROR(__xludf.DUMMYFUNCTION("""COMPUTED_VALUE"""),"31' 7""")</f>
        <v>31' 7"</v>
      </c>
      <c r="F107">
        <f ca="1">IFERROR(__xludf.DUMMYFUNCTION("""COMPUTED_VALUE"""),347.333)</f>
        <v>347.33300000000003</v>
      </c>
      <c r="G107">
        <f ca="1">IFERROR(__xludf.DUMMYFUNCTION("""COMPUTED_VALUE"""),11)</f>
        <v>11</v>
      </c>
      <c r="H107">
        <f ca="1">IFERROR(__xludf.DUMMYFUNCTION("""COMPUTED_VALUE"""),-2)</f>
        <v>-2</v>
      </c>
    </row>
    <row r="108" spans="1:8" ht="12.75">
      <c r="A108">
        <f ca="1">IFERROR(__xludf.DUMMYFUNCTION("""COMPUTED_VALUE"""),107)</f>
        <v>107</v>
      </c>
      <c r="B108" t="str">
        <f ca="1">IFERROR(__xludf.DUMMYFUNCTION("""COMPUTED_VALUE"""),"T106")</f>
        <v>T106</v>
      </c>
      <c r="C108" t="str">
        <f ca="1">IFERROR(__xludf.DUMMYFUNCTION("""COMPUTED_VALUE"""),"Russell Henley")</f>
        <v>Russell Henley</v>
      </c>
      <c r="D108">
        <f ca="1">IFERROR(__xludf.DUMMYFUNCTION("""COMPUTED_VALUE"""),16)</f>
        <v>16</v>
      </c>
      <c r="E108" t="str">
        <f ca="1">IFERROR(__xludf.DUMMYFUNCTION("""COMPUTED_VALUE"""),"31' 8""")</f>
        <v>31' 8"</v>
      </c>
      <c r="F108" s="2">
        <f ca="1">IFERROR(__xludf.DUMMYFUNCTION("""COMPUTED_VALUE"""),1552.167)</f>
        <v>1552.1669999999999</v>
      </c>
      <c r="G108">
        <f ca="1">IFERROR(__xludf.DUMMYFUNCTION("""COMPUTED_VALUE"""),49)</f>
        <v>49</v>
      </c>
      <c r="H108">
        <f ca="1">IFERROR(__xludf.DUMMYFUNCTION("""COMPUTED_VALUE"""),-2)</f>
        <v>-2</v>
      </c>
    </row>
    <row r="109" spans="1:8" ht="12.75">
      <c r="A109" t="str">
        <f ca="1">IFERROR(__xludf.DUMMYFUNCTION("""COMPUTED_VALUE"""),"T108")</f>
        <v>T108</v>
      </c>
      <c r="B109" t="str">
        <f ca="1">IFERROR(__xludf.DUMMYFUNCTION("""COMPUTED_VALUE"""),"T115")</f>
        <v>T115</v>
      </c>
      <c r="C109" t="str">
        <f ca="1">IFERROR(__xludf.DUMMYFUNCTION("""COMPUTED_VALUE"""),"Harry Higgs")</f>
        <v>Harry Higgs</v>
      </c>
      <c r="D109">
        <f ca="1">IFERROR(__xludf.DUMMYFUNCTION("""COMPUTED_VALUE"""),14)</f>
        <v>14</v>
      </c>
      <c r="E109" t="str">
        <f ca="1">IFERROR(__xludf.DUMMYFUNCTION("""COMPUTED_VALUE"""),"31' 9""")</f>
        <v>31' 9"</v>
      </c>
      <c r="F109" s="2">
        <f ca="1">IFERROR(__xludf.DUMMYFUNCTION("""COMPUTED_VALUE"""),1014.75)</f>
        <v>1014.75</v>
      </c>
      <c r="G109">
        <f ca="1">IFERROR(__xludf.DUMMYFUNCTION("""COMPUTED_VALUE"""),32)</f>
        <v>32</v>
      </c>
      <c r="H109" t="str">
        <f ca="1">IFERROR(__xludf.DUMMYFUNCTION("""COMPUTED_VALUE"""),"+1")</f>
        <v>+1</v>
      </c>
    </row>
    <row r="110" spans="1:8" ht="12.75">
      <c r="A110" t="str">
        <f ca="1">IFERROR(__xludf.DUMMYFUNCTION("""COMPUTED_VALUE"""),"T108")</f>
        <v>T108</v>
      </c>
      <c r="B110" t="str">
        <f ca="1">IFERROR(__xludf.DUMMYFUNCTION("""COMPUTED_VALUE"""),"T115")</f>
        <v>T115</v>
      </c>
      <c r="C110" t="str">
        <f ca="1">IFERROR(__xludf.DUMMYFUNCTION("""COMPUTED_VALUE"""),"Peter Malnati")</f>
        <v>Peter Malnati</v>
      </c>
      <c r="D110">
        <f ca="1">IFERROR(__xludf.DUMMYFUNCTION("""COMPUTED_VALUE"""),18)</f>
        <v>18</v>
      </c>
      <c r="E110" t="str">
        <f ca="1">IFERROR(__xludf.DUMMYFUNCTION("""COMPUTED_VALUE"""),"31' 9""")</f>
        <v>31' 9"</v>
      </c>
      <c r="F110">
        <f ca="1">IFERROR(__xludf.DUMMYFUNCTION("""COMPUTED_VALUE"""),476.667)</f>
        <v>476.66699999999997</v>
      </c>
      <c r="G110">
        <f ca="1">IFERROR(__xludf.DUMMYFUNCTION("""COMPUTED_VALUE"""),15)</f>
        <v>15</v>
      </c>
      <c r="H110">
        <f ca="1">IFERROR(__xludf.DUMMYFUNCTION("""COMPUTED_VALUE"""),-2)</f>
        <v>-2</v>
      </c>
    </row>
    <row r="111" spans="1:8" ht="12.75">
      <c r="A111" t="str">
        <f ca="1">IFERROR(__xludf.DUMMYFUNCTION("""COMPUTED_VALUE"""),"T110")</f>
        <v>T110</v>
      </c>
      <c r="B111" t="str">
        <f ca="1">IFERROR(__xludf.DUMMYFUNCTION("""COMPUTED_VALUE"""),"T117")</f>
        <v>T117</v>
      </c>
      <c r="C111" t="str">
        <f ca="1">IFERROR(__xludf.DUMMYFUNCTION("""COMPUTED_VALUE"""),"Matthew Wolff")</f>
        <v>Matthew Wolff</v>
      </c>
      <c r="D111">
        <f ca="1">IFERROR(__xludf.DUMMYFUNCTION("""COMPUTED_VALUE"""),16)</f>
        <v>16</v>
      </c>
      <c r="E111" t="str">
        <f ca="1">IFERROR(__xludf.DUMMYFUNCTION("""COMPUTED_VALUE"""),"31' 10""")</f>
        <v>31' 10"</v>
      </c>
      <c r="F111" s="2">
        <f ca="1">IFERROR(__xludf.DUMMYFUNCTION("""COMPUTED_VALUE"""),1082.5)</f>
        <v>1082.5</v>
      </c>
      <c r="G111">
        <f ca="1">IFERROR(__xludf.DUMMYFUNCTION("""COMPUTED_VALUE"""),34)</f>
        <v>34</v>
      </c>
      <c r="H111" t="str">
        <f ca="1">IFERROR(__xludf.DUMMYFUNCTION("""COMPUTED_VALUE"""),"+1")</f>
        <v>+1</v>
      </c>
    </row>
    <row r="112" spans="1:8" ht="12.75">
      <c r="A112" t="str">
        <f ca="1">IFERROR(__xludf.DUMMYFUNCTION("""COMPUTED_VALUE"""),"T110")</f>
        <v>T110</v>
      </c>
      <c r="B112" t="str">
        <f ca="1">IFERROR(__xludf.DUMMYFUNCTION("""COMPUTED_VALUE"""),"T117")</f>
        <v>T117</v>
      </c>
      <c r="C112" t="str">
        <f ca="1">IFERROR(__xludf.DUMMYFUNCTION("""COMPUTED_VALUE"""),"Jeongwoo Ham")</f>
        <v>Jeongwoo Ham</v>
      </c>
      <c r="D112">
        <f ca="1">IFERROR(__xludf.DUMMYFUNCTION("""COMPUTED_VALUE"""),4)</f>
        <v>4</v>
      </c>
      <c r="E112" t="str">
        <f ca="1">IFERROR(__xludf.DUMMYFUNCTION("""COMPUTED_VALUE"""),"31' 10""")</f>
        <v>31' 10"</v>
      </c>
      <c r="F112">
        <f ca="1">IFERROR(__xludf.DUMMYFUNCTION("""COMPUTED_VALUE"""),414.083)</f>
        <v>414.08300000000003</v>
      </c>
      <c r="G112">
        <f ca="1">IFERROR(__xludf.DUMMYFUNCTION("""COMPUTED_VALUE"""),13)</f>
        <v>13</v>
      </c>
      <c r="H112">
        <f ca="1">IFERROR(__xludf.DUMMYFUNCTION("""COMPUTED_VALUE"""),-3)</f>
        <v>-3</v>
      </c>
    </row>
    <row r="113" spans="1:8" ht="12.75">
      <c r="A113" t="str">
        <f ca="1">IFERROR(__xludf.DUMMYFUNCTION("""COMPUTED_VALUE"""),"T110")</f>
        <v>T110</v>
      </c>
      <c r="B113" t="str">
        <f ca="1">IFERROR(__xludf.DUMMYFUNCTION("""COMPUTED_VALUE"""),"T117")</f>
        <v>T117</v>
      </c>
      <c r="C113" t="str">
        <f ca="1">IFERROR(__xludf.DUMMYFUNCTION("""COMPUTED_VALUE"""),"Joel Dahmen")</f>
        <v>Joel Dahmen</v>
      </c>
      <c r="D113">
        <f ca="1">IFERROR(__xludf.DUMMYFUNCTION("""COMPUTED_VALUE"""),18)</f>
        <v>18</v>
      </c>
      <c r="E113" t="str">
        <f ca="1">IFERROR(__xludf.DUMMYFUNCTION("""COMPUTED_VALUE"""),"31' 10""")</f>
        <v>31' 10"</v>
      </c>
      <c r="F113" s="2">
        <f ca="1">IFERROR(__xludf.DUMMYFUNCTION("""COMPUTED_VALUE"""),1688.917)</f>
        <v>1688.9169999999999</v>
      </c>
      <c r="G113">
        <f ca="1">IFERROR(__xludf.DUMMYFUNCTION("""COMPUTED_VALUE"""),53)</f>
        <v>53</v>
      </c>
      <c r="H113">
        <f ca="1">IFERROR(__xludf.DUMMYFUNCTION("""COMPUTED_VALUE"""),-6)</f>
        <v>-6</v>
      </c>
    </row>
    <row r="114" spans="1:8" ht="12.75">
      <c r="A114" t="str">
        <f ca="1">IFERROR(__xludf.DUMMYFUNCTION("""COMPUTED_VALUE"""),"T110")</f>
        <v>T110</v>
      </c>
      <c r="B114" t="str">
        <f ca="1">IFERROR(__xludf.DUMMYFUNCTION("""COMPUTED_VALUE"""),"T108")</f>
        <v>T108</v>
      </c>
      <c r="C114" t="str">
        <f ca="1">IFERROR(__xludf.DUMMYFUNCTION("""COMPUTED_VALUE"""),"Adam Long")</f>
        <v>Adam Long</v>
      </c>
      <c r="D114">
        <f ca="1">IFERROR(__xludf.DUMMYFUNCTION("""COMPUTED_VALUE"""),22)</f>
        <v>22</v>
      </c>
      <c r="E114" t="str">
        <f ca="1">IFERROR(__xludf.DUMMYFUNCTION("""COMPUTED_VALUE"""),"31' 10""")</f>
        <v>31' 10"</v>
      </c>
      <c r="F114" s="2">
        <f ca="1">IFERROR(__xludf.DUMMYFUNCTION("""COMPUTED_VALUE"""),1561.25)</f>
        <v>1561.25</v>
      </c>
      <c r="G114">
        <f ca="1">IFERROR(__xludf.DUMMYFUNCTION("""COMPUTED_VALUE"""),49)</f>
        <v>49</v>
      </c>
      <c r="H114" t="str">
        <f ca="1">IFERROR(__xludf.DUMMYFUNCTION("""COMPUTED_VALUE"""),"+1")</f>
        <v>+1</v>
      </c>
    </row>
    <row r="115" spans="1:8" ht="12.75">
      <c r="A115" t="str">
        <f ca="1">IFERROR(__xludf.DUMMYFUNCTION("""COMPUTED_VALUE"""),"T110")</f>
        <v>T110</v>
      </c>
      <c r="B115" t="str">
        <f ca="1">IFERROR(__xludf.DUMMYFUNCTION("""COMPUTED_VALUE"""),"T106")</f>
        <v>T106</v>
      </c>
      <c r="C115" t="str">
        <f ca="1">IFERROR(__xludf.DUMMYFUNCTION("""COMPUTED_VALUE"""),"Danny Lee")</f>
        <v>Danny Lee</v>
      </c>
      <c r="D115">
        <f ca="1">IFERROR(__xludf.DUMMYFUNCTION("""COMPUTED_VALUE"""),15)</f>
        <v>15</v>
      </c>
      <c r="E115" t="str">
        <f ca="1">IFERROR(__xludf.DUMMYFUNCTION("""COMPUTED_VALUE"""),"31' 10""")</f>
        <v>31' 10"</v>
      </c>
      <c r="F115" s="2">
        <f ca="1">IFERROR(__xludf.DUMMYFUNCTION("""COMPUTED_VALUE"""),1241.833)</f>
        <v>1241.8330000000001</v>
      </c>
      <c r="G115">
        <f ca="1">IFERROR(__xludf.DUMMYFUNCTION("""COMPUTED_VALUE"""),39)</f>
        <v>39</v>
      </c>
      <c r="H115" t="str">
        <f ca="1">IFERROR(__xludf.DUMMYFUNCTION("""COMPUTED_VALUE"""),"+3")</f>
        <v>+3</v>
      </c>
    </row>
    <row r="116" spans="1:8" ht="12.75">
      <c r="A116">
        <f ca="1">IFERROR(__xludf.DUMMYFUNCTION("""COMPUTED_VALUE"""),115)</f>
        <v>115</v>
      </c>
      <c r="B116" t="str">
        <f ca="1">IFERROR(__xludf.DUMMYFUNCTION("""COMPUTED_VALUE"""),"T121")</f>
        <v>T121</v>
      </c>
      <c r="C116" t="str">
        <f ca="1">IFERROR(__xludf.DUMMYFUNCTION("""COMPUTED_VALUE"""),"Ben Taylor")</f>
        <v>Ben Taylor</v>
      </c>
      <c r="D116">
        <f ca="1">IFERROR(__xludf.DUMMYFUNCTION("""COMPUTED_VALUE"""),10)</f>
        <v>10</v>
      </c>
      <c r="E116" t="str">
        <f ca="1">IFERROR(__xludf.DUMMYFUNCTION("""COMPUTED_VALUE"""),"31' 11""")</f>
        <v>31' 11"</v>
      </c>
      <c r="F116">
        <f ca="1">IFERROR(__xludf.DUMMYFUNCTION("""COMPUTED_VALUE"""),223.667)</f>
        <v>223.667</v>
      </c>
      <c r="G116">
        <f ca="1">IFERROR(__xludf.DUMMYFUNCTION("""COMPUTED_VALUE"""),7)</f>
        <v>7</v>
      </c>
      <c r="H116" t="str">
        <f ca="1">IFERROR(__xludf.DUMMYFUNCTION("""COMPUTED_VALUE"""),"E")</f>
        <v>E</v>
      </c>
    </row>
    <row r="117" spans="1:8" ht="12.75">
      <c r="A117">
        <f ca="1">IFERROR(__xludf.DUMMYFUNCTION("""COMPUTED_VALUE"""),116)</f>
        <v>116</v>
      </c>
      <c r="B117" t="str">
        <f ca="1">IFERROR(__xludf.DUMMYFUNCTION("""COMPUTED_VALUE"""),"T49")</f>
        <v>T49</v>
      </c>
      <c r="C117" t="str">
        <f ca="1">IFERROR(__xludf.DUMMYFUNCTION("""COMPUTED_VALUE"""),"Kevin Stadler")</f>
        <v>Kevin Stadler</v>
      </c>
      <c r="D117">
        <f ca="1">IFERROR(__xludf.DUMMYFUNCTION("""COMPUTED_VALUE"""),8)</f>
        <v>8</v>
      </c>
      <c r="E117" t="str">
        <f ca="1">IFERROR(__xludf.DUMMYFUNCTION("""COMPUTED_VALUE"""),"32' 1""")</f>
        <v>32' 1"</v>
      </c>
      <c r="F117">
        <f ca="1">IFERROR(__xludf.DUMMYFUNCTION("""COMPUTED_VALUE"""),417.167)</f>
        <v>417.16699999999997</v>
      </c>
      <c r="G117">
        <f ca="1">IFERROR(__xludf.DUMMYFUNCTION("""COMPUTED_VALUE"""),13)</f>
        <v>13</v>
      </c>
      <c r="H117" t="str">
        <f ca="1">IFERROR(__xludf.DUMMYFUNCTION("""COMPUTED_VALUE"""),"+3")</f>
        <v>+3</v>
      </c>
    </row>
    <row r="118" spans="1:8" ht="12.75">
      <c r="A118" t="str">
        <f ca="1">IFERROR(__xludf.DUMMYFUNCTION("""COMPUTED_VALUE"""),"T117")</f>
        <v>T117</v>
      </c>
      <c r="B118" t="str">
        <f ca="1">IFERROR(__xludf.DUMMYFUNCTION("""COMPUTED_VALUE"""),"T125")</f>
        <v>T125</v>
      </c>
      <c r="C118" t="str">
        <f ca="1">IFERROR(__xludf.DUMMYFUNCTION("""COMPUTED_VALUE"""),"Naoki Sekito")</f>
        <v>Naoki Sekito</v>
      </c>
      <c r="D118">
        <f ca="1">IFERROR(__xludf.DUMMYFUNCTION("""COMPUTED_VALUE"""),4)</f>
        <v>4</v>
      </c>
      <c r="E118" t="str">
        <f ca="1">IFERROR(__xludf.DUMMYFUNCTION("""COMPUTED_VALUE"""),"32' 2""")</f>
        <v>32' 2"</v>
      </c>
      <c r="F118">
        <f ca="1">IFERROR(__xludf.DUMMYFUNCTION("""COMPUTED_VALUE"""),353.583)</f>
        <v>353.58300000000003</v>
      </c>
      <c r="G118">
        <f ca="1">IFERROR(__xludf.DUMMYFUNCTION("""COMPUTED_VALUE"""),11)</f>
        <v>11</v>
      </c>
      <c r="H118" t="str">
        <f ca="1">IFERROR(__xludf.DUMMYFUNCTION("""COMPUTED_VALUE"""),"+2")</f>
        <v>+2</v>
      </c>
    </row>
    <row r="119" spans="1:8" ht="12.75">
      <c r="A119" t="str">
        <f ca="1">IFERROR(__xludf.DUMMYFUNCTION("""COMPUTED_VALUE"""),"T117")</f>
        <v>T117</v>
      </c>
      <c r="B119">
        <f ca="1">IFERROR(__xludf.DUMMYFUNCTION("""COMPUTED_VALUE"""),182)</f>
        <v>182</v>
      </c>
      <c r="C119" t="str">
        <f ca="1">IFERROR(__xludf.DUMMYFUNCTION("""COMPUTED_VALUE"""),"Brandt Snedeker")</f>
        <v>Brandt Snedeker</v>
      </c>
      <c r="D119">
        <f ca="1">IFERROR(__xludf.DUMMYFUNCTION("""COMPUTED_VALUE"""),16)</f>
        <v>16</v>
      </c>
      <c r="E119" t="str">
        <f ca="1">IFERROR(__xludf.DUMMYFUNCTION("""COMPUTED_VALUE"""),"32' 2""")</f>
        <v>32' 2"</v>
      </c>
      <c r="F119" s="2">
        <f ca="1">IFERROR(__xludf.DUMMYFUNCTION("""COMPUTED_VALUE"""),1125.75)</f>
        <v>1125.75</v>
      </c>
      <c r="G119">
        <f ca="1">IFERROR(__xludf.DUMMYFUNCTION("""COMPUTED_VALUE"""),35)</f>
        <v>35</v>
      </c>
      <c r="H119" t="str">
        <f ca="1">IFERROR(__xludf.DUMMYFUNCTION("""COMPUTED_VALUE"""),"+3")</f>
        <v>+3</v>
      </c>
    </row>
    <row r="120" spans="1:8" ht="12.75">
      <c r="A120" t="str">
        <f ca="1">IFERROR(__xludf.DUMMYFUNCTION("""COMPUTED_VALUE"""),"T117")</f>
        <v>T117</v>
      </c>
      <c r="B120" t="str">
        <f ca="1">IFERROR(__xludf.DUMMYFUNCTION("""COMPUTED_VALUE"""),"T125")</f>
        <v>T125</v>
      </c>
      <c r="C120" t="str">
        <f ca="1">IFERROR(__xludf.DUMMYFUNCTION("""COMPUTED_VALUE"""),"Chez Reavie")</f>
        <v>Chez Reavie</v>
      </c>
      <c r="D120">
        <f ca="1">IFERROR(__xludf.DUMMYFUNCTION("""COMPUTED_VALUE"""),14)</f>
        <v>14</v>
      </c>
      <c r="E120" t="str">
        <f ca="1">IFERROR(__xludf.DUMMYFUNCTION("""COMPUTED_VALUE"""),"32' 2""")</f>
        <v>32' 2"</v>
      </c>
      <c r="F120">
        <f ca="1">IFERROR(__xludf.DUMMYFUNCTION("""COMPUTED_VALUE"""),869.333)</f>
        <v>869.33299999999997</v>
      </c>
      <c r="G120">
        <f ca="1">IFERROR(__xludf.DUMMYFUNCTION("""COMPUTED_VALUE"""),27)</f>
        <v>27</v>
      </c>
      <c r="H120">
        <f ca="1">IFERROR(__xludf.DUMMYFUNCTION("""COMPUTED_VALUE"""),-3)</f>
        <v>-3</v>
      </c>
    </row>
    <row r="121" spans="1:8" ht="12.75">
      <c r="A121" t="str">
        <f ca="1">IFERROR(__xludf.DUMMYFUNCTION("""COMPUTED_VALUE"""),"T117")</f>
        <v>T117</v>
      </c>
      <c r="B121" t="str">
        <f ca="1">IFERROR(__xludf.DUMMYFUNCTION("""COMPUTED_VALUE"""),"")</f>
        <v/>
      </c>
      <c r="C121" t="str">
        <f ca="1">IFERROR(__xludf.DUMMYFUNCTION("""COMPUTED_VALUE"""),"Padraig Harrington")</f>
        <v>Padraig Harrington</v>
      </c>
      <c r="D121">
        <f ca="1">IFERROR(__xludf.DUMMYFUNCTION("""COMPUTED_VALUE"""),8)</f>
        <v>8</v>
      </c>
      <c r="E121" t="str">
        <f ca="1">IFERROR(__xludf.DUMMYFUNCTION("""COMPUTED_VALUE"""),"32' 2""")</f>
        <v>32' 2"</v>
      </c>
      <c r="F121">
        <f ca="1">IFERROR(__xludf.DUMMYFUNCTION("""COMPUTED_VALUE"""),354.25)</f>
        <v>354.25</v>
      </c>
      <c r="G121">
        <f ca="1">IFERROR(__xludf.DUMMYFUNCTION("""COMPUTED_VALUE"""),11)</f>
        <v>11</v>
      </c>
      <c r="H121">
        <f ca="1">IFERROR(__xludf.DUMMYFUNCTION("""COMPUTED_VALUE"""),-2)</f>
        <v>-2</v>
      </c>
    </row>
    <row r="122" spans="1:8" ht="12.75">
      <c r="A122" t="str">
        <f ca="1">IFERROR(__xludf.DUMMYFUNCTION("""COMPUTED_VALUE"""),"T117")</f>
        <v>T117</v>
      </c>
      <c r="B122">
        <f ca="1">IFERROR(__xludf.DUMMYFUNCTION("""COMPUTED_VALUE"""),100)</f>
        <v>100</v>
      </c>
      <c r="C122" t="str">
        <f ca="1">IFERROR(__xludf.DUMMYFUNCTION("""COMPUTED_VALUE"""),"Matthew NeSmith")</f>
        <v>Matthew NeSmith</v>
      </c>
      <c r="D122">
        <f ca="1">IFERROR(__xludf.DUMMYFUNCTION("""COMPUTED_VALUE"""),16)</f>
        <v>16</v>
      </c>
      <c r="E122" t="str">
        <f ca="1">IFERROR(__xludf.DUMMYFUNCTION("""COMPUTED_VALUE"""),"32' 2""")</f>
        <v>32' 2"</v>
      </c>
      <c r="F122">
        <f ca="1">IFERROR(__xludf.DUMMYFUNCTION("""COMPUTED_VALUE"""),998.167)</f>
        <v>998.16700000000003</v>
      </c>
      <c r="G122">
        <f ca="1">IFERROR(__xludf.DUMMYFUNCTION("""COMPUTED_VALUE"""),31)</f>
        <v>31</v>
      </c>
      <c r="H122">
        <f ca="1">IFERROR(__xludf.DUMMYFUNCTION("""COMPUTED_VALUE"""),-1)</f>
        <v>-1</v>
      </c>
    </row>
    <row r="123" spans="1:8" ht="12.75">
      <c r="A123" t="str">
        <f ca="1">IFERROR(__xludf.DUMMYFUNCTION("""COMPUTED_VALUE"""),"T122")</f>
        <v>T122</v>
      </c>
      <c r="B123" t="str">
        <f ca="1">IFERROR(__xludf.DUMMYFUNCTION("""COMPUTED_VALUE"""),"T128")</f>
        <v>T128</v>
      </c>
      <c r="C123" t="str">
        <f ca="1">IFERROR(__xludf.DUMMYFUNCTION("""COMPUTED_VALUE"""),"Abraham Ancer")</f>
        <v>Abraham Ancer</v>
      </c>
      <c r="D123">
        <f ca="1">IFERROR(__xludf.DUMMYFUNCTION("""COMPUTED_VALUE"""),16)</f>
        <v>16</v>
      </c>
      <c r="E123" t="str">
        <f ca="1">IFERROR(__xludf.DUMMYFUNCTION("""COMPUTED_VALUE"""),"32' 3""")</f>
        <v>32' 3"</v>
      </c>
      <c r="F123" s="2">
        <f ca="1">IFERROR(__xludf.DUMMYFUNCTION("""COMPUTED_VALUE"""),1352.833)</f>
        <v>1352.8330000000001</v>
      </c>
      <c r="G123">
        <f ca="1">IFERROR(__xludf.DUMMYFUNCTION("""COMPUTED_VALUE"""),42)</f>
        <v>42</v>
      </c>
      <c r="H123" t="str">
        <f ca="1">IFERROR(__xludf.DUMMYFUNCTION("""COMPUTED_VALUE"""),"E")</f>
        <v>E</v>
      </c>
    </row>
    <row r="124" spans="1:8" ht="12.75">
      <c r="A124" t="str">
        <f ca="1">IFERROR(__xludf.DUMMYFUNCTION("""COMPUTED_VALUE"""),"T122")</f>
        <v>T122</v>
      </c>
      <c r="B124" t="str">
        <f ca="1">IFERROR(__xludf.DUMMYFUNCTION("""COMPUTED_VALUE"""),"T128")</f>
        <v>T128</v>
      </c>
      <c r="C124" t="str">
        <f ca="1">IFERROR(__xludf.DUMMYFUNCTION("""COMPUTED_VALUE"""),"Ian Poulter")</f>
        <v>Ian Poulter</v>
      </c>
      <c r="D124">
        <f ca="1">IFERROR(__xludf.DUMMYFUNCTION("""COMPUTED_VALUE"""),6)</f>
        <v>6</v>
      </c>
      <c r="E124" t="str">
        <f ca="1">IFERROR(__xludf.DUMMYFUNCTION("""COMPUTED_VALUE"""),"32' 3""")</f>
        <v>32' 3"</v>
      </c>
      <c r="F124">
        <f ca="1">IFERROR(__xludf.DUMMYFUNCTION("""COMPUTED_VALUE"""),548.833)</f>
        <v>548.83299999999997</v>
      </c>
      <c r="G124">
        <f ca="1">IFERROR(__xludf.DUMMYFUNCTION("""COMPUTED_VALUE"""),17)</f>
        <v>17</v>
      </c>
      <c r="H124">
        <f ca="1">IFERROR(__xludf.DUMMYFUNCTION("""COMPUTED_VALUE"""),-2)</f>
        <v>-2</v>
      </c>
    </row>
    <row r="125" spans="1:8" ht="12.75">
      <c r="A125">
        <f ca="1">IFERROR(__xludf.DUMMYFUNCTION("""COMPUTED_VALUE"""),124)</f>
        <v>124</v>
      </c>
      <c r="B125" t="str">
        <f ca="1">IFERROR(__xludf.DUMMYFUNCTION("""COMPUTED_VALUE"""),"T131")</f>
        <v>T131</v>
      </c>
      <c r="C125" t="str">
        <f ca="1">IFERROR(__xludf.DUMMYFUNCTION("""COMPUTED_VALUE"""),"Davis Riley")</f>
        <v>Davis Riley</v>
      </c>
      <c r="D125">
        <f ca="1">IFERROR(__xludf.DUMMYFUNCTION("""COMPUTED_VALUE"""),4)</f>
        <v>4</v>
      </c>
      <c r="E125" t="str">
        <f ca="1">IFERROR(__xludf.DUMMYFUNCTION("""COMPUTED_VALUE"""),"32' 4""")</f>
        <v>32' 4"</v>
      </c>
      <c r="F125">
        <f ca="1">IFERROR(__xludf.DUMMYFUNCTION("""COMPUTED_VALUE"""),226.333)</f>
        <v>226.333</v>
      </c>
      <c r="G125">
        <f ca="1">IFERROR(__xludf.DUMMYFUNCTION("""COMPUTED_VALUE"""),7)</f>
        <v>7</v>
      </c>
      <c r="H125">
        <f ca="1">IFERROR(__xludf.DUMMYFUNCTION("""COMPUTED_VALUE"""),-2)</f>
        <v>-2</v>
      </c>
    </row>
    <row r="126" spans="1:8" ht="12.75">
      <c r="A126" t="str">
        <f ca="1">IFERROR(__xludf.DUMMYFUNCTION("""COMPUTED_VALUE"""),"T125")</f>
        <v>T125</v>
      </c>
      <c r="B126" t="str">
        <f ca="1">IFERROR(__xludf.DUMMYFUNCTION("""COMPUTED_VALUE"""),"T136")</f>
        <v>T136</v>
      </c>
      <c r="C126" t="str">
        <f ca="1">IFERROR(__xludf.DUMMYFUNCTION("""COMPUTED_VALUE"""),"Kevin Tway")</f>
        <v>Kevin Tway</v>
      </c>
      <c r="D126">
        <f ca="1">IFERROR(__xludf.DUMMYFUNCTION("""COMPUTED_VALUE"""),16)</f>
        <v>16</v>
      </c>
      <c r="E126" t="str">
        <f ca="1">IFERROR(__xludf.DUMMYFUNCTION("""COMPUTED_VALUE"""),"32' 5""")</f>
        <v>32' 5"</v>
      </c>
      <c r="F126">
        <f ca="1">IFERROR(__xludf.DUMMYFUNCTION("""COMPUTED_VALUE"""),518.917)</f>
        <v>518.91700000000003</v>
      </c>
      <c r="G126">
        <f ca="1">IFERROR(__xludf.DUMMYFUNCTION("""COMPUTED_VALUE"""),16)</f>
        <v>16</v>
      </c>
      <c r="H126" t="str">
        <f ca="1">IFERROR(__xludf.DUMMYFUNCTION("""COMPUTED_VALUE"""),"+2")</f>
        <v>+2</v>
      </c>
    </row>
    <row r="127" spans="1:8" ht="12.75">
      <c r="A127" t="str">
        <f ca="1">IFERROR(__xludf.DUMMYFUNCTION("""COMPUTED_VALUE"""),"T125")</f>
        <v>T125</v>
      </c>
      <c r="B127" t="str">
        <f ca="1">IFERROR(__xludf.DUMMYFUNCTION("""COMPUTED_VALUE"""),"T133")</f>
        <v>T133</v>
      </c>
      <c r="C127" t="str">
        <f ca="1">IFERROR(__xludf.DUMMYFUNCTION("""COMPUTED_VALUE"""),"Steve Lewton")</f>
        <v>Steve Lewton</v>
      </c>
      <c r="D127">
        <f ca="1">IFERROR(__xludf.DUMMYFUNCTION("""COMPUTED_VALUE"""),4)</f>
        <v>4</v>
      </c>
      <c r="E127" t="str">
        <f ca="1">IFERROR(__xludf.DUMMYFUNCTION("""COMPUTED_VALUE"""),"32' 5""")</f>
        <v>32' 5"</v>
      </c>
      <c r="F127">
        <f ca="1">IFERROR(__xludf.DUMMYFUNCTION("""COMPUTED_VALUE"""),226.917)</f>
        <v>226.917</v>
      </c>
      <c r="G127">
        <f ca="1">IFERROR(__xludf.DUMMYFUNCTION("""COMPUTED_VALUE"""),7)</f>
        <v>7</v>
      </c>
      <c r="H127" t="str">
        <f ca="1">IFERROR(__xludf.DUMMYFUNCTION("""COMPUTED_VALUE"""),"+2")</f>
        <v>+2</v>
      </c>
    </row>
    <row r="128" spans="1:8" ht="12.75">
      <c r="A128" t="str">
        <f ca="1">IFERROR(__xludf.DUMMYFUNCTION("""COMPUTED_VALUE"""),"T125")</f>
        <v>T125</v>
      </c>
      <c r="B128" t="str">
        <f ca="1">IFERROR(__xludf.DUMMYFUNCTION("""COMPUTED_VALUE"""),"T133")</f>
        <v>T133</v>
      </c>
      <c r="C128" t="str">
        <f ca="1">IFERROR(__xludf.DUMMYFUNCTION("""COMPUTED_VALUE"""),"Kiradech Aphibarnrat")</f>
        <v>Kiradech Aphibarnrat</v>
      </c>
      <c r="D128">
        <f ca="1">IFERROR(__xludf.DUMMYFUNCTION("""COMPUTED_VALUE"""),12)</f>
        <v>12</v>
      </c>
      <c r="E128" t="str">
        <f ca="1">IFERROR(__xludf.DUMMYFUNCTION("""COMPUTED_VALUE"""),"32' 5""")</f>
        <v>32' 5"</v>
      </c>
      <c r="F128">
        <f ca="1">IFERROR(__xludf.DUMMYFUNCTION("""COMPUTED_VALUE"""),194.25)</f>
        <v>194.25</v>
      </c>
      <c r="G128">
        <f ca="1">IFERROR(__xludf.DUMMYFUNCTION("""COMPUTED_VALUE"""),6)</f>
        <v>6</v>
      </c>
      <c r="H128" t="str">
        <f ca="1">IFERROR(__xludf.DUMMYFUNCTION("""COMPUTED_VALUE"""),"+1")</f>
        <v>+1</v>
      </c>
    </row>
    <row r="129" spans="1:8" ht="12.75">
      <c r="A129" t="str">
        <f ca="1">IFERROR(__xludf.DUMMYFUNCTION("""COMPUTED_VALUE"""),"T128")</f>
        <v>T128</v>
      </c>
      <c r="B129" t="str">
        <f ca="1">IFERROR(__xludf.DUMMYFUNCTION("""COMPUTED_VALUE"""),"T136")</f>
        <v>T136</v>
      </c>
      <c r="C129" t="str">
        <f ca="1">IFERROR(__xludf.DUMMYFUNCTION("""COMPUTED_VALUE"""),"Ryo Ishikawa")</f>
        <v>Ryo Ishikawa</v>
      </c>
      <c r="D129">
        <f ca="1">IFERROR(__xludf.DUMMYFUNCTION("""COMPUTED_VALUE"""),8)</f>
        <v>8</v>
      </c>
      <c r="E129" t="str">
        <f ca="1">IFERROR(__xludf.DUMMYFUNCTION("""COMPUTED_VALUE"""),"32' 6""")</f>
        <v>32' 6"</v>
      </c>
      <c r="F129">
        <f ca="1">IFERROR(__xludf.DUMMYFUNCTION("""COMPUTED_VALUE"""),746.667)</f>
        <v>746.66700000000003</v>
      </c>
      <c r="G129">
        <f ca="1">IFERROR(__xludf.DUMMYFUNCTION("""COMPUTED_VALUE"""),23)</f>
        <v>23</v>
      </c>
      <c r="H129">
        <f ca="1">IFERROR(__xludf.DUMMYFUNCTION("""COMPUTED_VALUE"""),-6)</f>
        <v>-6</v>
      </c>
    </row>
    <row r="130" spans="1:8" ht="12.75">
      <c r="A130" t="str">
        <f ca="1">IFERROR(__xludf.DUMMYFUNCTION("""COMPUTED_VALUE"""),"T128")</f>
        <v>T128</v>
      </c>
      <c r="B130" t="str">
        <f ca="1">IFERROR(__xludf.DUMMYFUNCTION("""COMPUTED_VALUE"""),"T128")</f>
        <v>T128</v>
      </c>
      <c r="C130" t="str">
        <f ca="1">IFERROR(__xludf.DUMMYFUNCTION("""COMPUTED_VALUE"""),"Corey Conners")</f>
        <v>Corey Conners</v>
      </c>
      <c r="D130">
        <f ca="1">IFERROR(__xludf.DUMMYFUNCTION("""COMPUTED_VALUE"""),20)</f>
        <v>20</v>
      </c>
      <c r="E130" t="str">
        <f ca="1">IFERROR(__xludf.DUMMYFUNCTION("""COMPUTED_VALUE"""),"32' 6""")</f>
        <v>32' 6"</v>
      </c>
      <c r="F130" s="2">
        <f ca="1">IFERROR(__xludf.DUMMYFUNCTION("""COMPUTED_VALUE"""),1756.583)</f>
        <v>1756.5830000000001</v>
      </c>
      <c r="G130">
        <f ca="1">IFERROR(__xludf.DUMMYFUNCTION("""COMPUTED_VALUE"""),54)</f>
        <v>54</v>
      </c>
      <c r="H130">
        <f ca="1">IFERROR(__xludf.DUMMYFUNCTION("""COMPUTED_VALUE"""),-4)</f>
        <v>-4</v>
      </c>
    </row>
    <row r="131" spans="1:8" ht="12.75">
      <c r="A131" t="str">
        <f ca="1">IFERROR(__xludf.DUMMYFUNCTION("""COMPUTED_VALUE"""),"T130")</f>
        <v>T130</v>
      </c>
      <c r="B131" t="str">
        <f ca="1">IFERROR(__xludf.DUMMYFUNCTION("""COMPUTED_VALUE"""),"T139")</f>
        <v>T139</v>
      </c>
      <c r="C131" t="str">
        <f ca="1">IFERROR(__xludf.DUMMYFUNCTION("""COMPUTED_VALUE"""),"Matt Kuchar")</f>
        <v>Matt Kuchar</v>
      </c>
      <c r="D131">
        <f ca="1">IFERROR(__xludf.DUMMYFUNCTION("""COMPUTED_VALUE"""),14)</f>
        <v>14</v>
      </c>
      <c r="E131" t="str">
        <f ca="1">IFERROR(__xludf.DUMMYFUNCTION("""COMPUTED_VALUE"""),"32' 7""")</f>
        <v>32' 7"</v>
      </c>
      <c r="F131" s="2">
        <f ca="1">IFERROR(__xludf.DUMMYFUNCTION("""COMPUTED_VALUE"""),1270.417)</f>
        <v>1270.4169999999999</v>
      </c>
      <c r="G131">
        <f ca="1">IFERROR(__xludf.DUMMYFUNCTION("""COMPUTED_VALUE"""),39)</f>
        <v>39</v>
      </c>
      <c r="H131" t="str">
        <f ca="1">IFERROR(__xludf.DUMMYFUNCTION("""COMPUTED_VALUE"""),"+1")</f>
        <v>+1</v>
      </c>
    </row>
    <row r="132" spans="1:8" ht="12.75">
      <c r="A132" t="str">
        <f ca="1">IFERROR(__xludf.DUMMYFUNCTION("""COMPUTED_VALUE"""),"T130")</f>
        <v>T130</v>
      </c>
      <c r="B132" t="str">
        <f ca="1">IFERROR(__xludf.DUMMYFUNCTION("""COMPUTED_VALUE"""),"T139")</f>
        <v>T139</v>
      </c>
      <c r="C132" t="str">
        <f ca="1">IFERROR(__xludf.DUMMYFUNCTION("""COMPUTED_VALUE"""),"Nick Taylor")</f>
        <v>Nick Taylor</v>
      </c>
      <c r="D132">
        <f ca="1">IFERROR(__xludf.DUMMYFUNCTION("""COMPUTED_VALUE"""),12)</f>
        <v>12</v>
      </c>
      <c r="E132" t="str">
        <f ca="1">IFERROR(__xludf.DUMMYFUNCTION("""COMPUTED_VALUE"""),"32' 7""")</f>
        <v>32' 7"</v>
      </c>
      <c r="F132" s="2">
        <f ca="1">IFERROR(__xludf.DUMMYFUNCTION("""COMPUTED_VALUE"""),1206.5)</f>
        <v>1206.5</v>
      </c>
      <c r="G132">
        <f ca="1">IFERROR(__xludf.DUMMYFUNCTION("""COMPUTED_VALUE"""),37)</f>
        <v>37</v>
      </c>
      <c r="H132" t="str">
        <f ca="1">IFERROR(__xludf.DUMMYFUNCTION("""COMPUTED_VALUE"""),"+2")</f>
        <v>+2</v>
      </c>
    </row>
    <row r="133" spans="1:8" ht="12.75">
      <c r="A133" t="str">
        <f ca="1">IFERROR(__xludf.DUMMYFUNCTION("""COMPUTED_VALUE"""),"T132")</f>
        <v>T132</v>
      </c>
      <c r="B133" t="str">
        <f ca="1">IFERROR(__xludf.DUMMYFUNCTION("""COMPUTED_VALUE"""),"T141")</f>
        <v>T141</v>
      </c>
      <c r="C133" t="str">
        <f ca="1">IFERROR(__xludf.DUMMYFUNCTION("""COMPUTED_VALUE"""),"Wesley Bryan")</f>
        <v>Wesley Bryan</v>
      </c>
      <c r="D133">
        <f ca="1">IFERROR(__xludf.DUMMYFUNCTION("""COMPUTED_VALUE"""),8)</f>
        <v>8</v>
      </c>
      <c r="E133" t="str">
        <f ca="1">IFERROR(__xludf.DUMMYFUNCTION("""COMPUTED_VALUE"""),"32' 8""")</f>
        <v>32' 8"</v>
      </c>
      <c r="F133">
        <f ca="1">IFERROR(__xludf.DUMMYFUNCTION("""COMPUTED_VALUE"""),392.167)</f>
        <v>392.16699999999997</v>
      </c>
      <c r="G133">
        <f ca="1">IFERROR(__xludf.DUMMYFUNCTION("""COMPUTED_VALUE"""),12)</f>
        <v>12</v>
      </c>
      <c r="H133" t="str">
        <f ca="1">IFERROR(__xludf.DUMMYFUNCTION("""COMPUTED_VALUE"""),"+1")</f>
        <v>+1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IFERROR(__xludf.DUMMYFUNCTION("""COMPUTED_VALUE"""),"T136")</f>
        <v>T136</v>
      </c>
      <c r="C134" t="str">
        <f ca="1">IFERROR(__xludf.DUMMYFUNCTION("""COMPUTED_VALUE"""),"Robby Shelton")</f>
        <v>Robby Shelton</v>
      </c>
      <c r="D134">
        <f ca="1">IFERROR(__xludf.DUMMYFUNCTION("""COMPUTED_VALUE"""),14)</f>
        <v>14</v>
      </c>
      <c r="E134" t="str">
        <f ca="1">IFERROR(__xludf.DUMMYFUNCTION("""COMPUTED_VALUE"""),"32' 8""")</f>
        <v>32' 8"</v>
      </c>
      <c r="F134" s="2">
        <f ca="1">IFERROR(__xludf.DUMMYFUNCTION("""COMPUTED_VALUE"""),1011.583)</f>
        <v>1011.583</v>
      </c>
      <c r="G134">
        <f ca="1">IFERROR(__xludf.DUMMYFUNCTION("""COMPUTED_VALUE"""),31)</f>
        <v>31</v>
      </c>
      <c r="H134" t="str">
        <f ca="1">IFERROR(__xludf.DUMMYFUNCTION("""COMPUTED_VALUE"""),"+2")</f>
        <v>+2</v>
      </c>
    </row>
    <row r="135" spans="1:8" ht="12.75">
      <c r="A135" t="str">
        <f ca="1">IFERROR(__xludf.DUMMYFUNCTION("""COMPUTED_VALUE"""),"T132")</f>
        <v>T132</v>
      </c>
      <c r="B135" t="str">
        <f ca="1">IFERROR(__xludf.DUMMYFUNCTION("""COMPUTED_VALUE"""),"T37")</f>
        <v>T37</v>
      </c>
      <c r="C135" t="str">
        <f ca="1">IFERROR(__xludf.DUMMYFUNCTION("""COMPUTED_VALUE"""),"Stewart Cink")</f>
        <v>Stewart Cink</v>
      </c>
      <c r="D135">
        <f ca="1">IFERROR(__xludf.DUMMYFUNCTION("""COMPUTED_VALUE"""),18)</f>
        <v>18</v>
      </c>
      <c r="E135" t="str">
        <f ca="1">IFERROR(__xludf.DUMMYFUNCTION("""COMPUTED_VALUE"""),"32' 8""")</f>
        <v>32' 8"</v>
      </c>
      <c r="F135">
        <f ca="1">IFERROR(__xludf.DUMMYFUNCTION("""COMPUTED_VALUE"""),882.583)</f>
        <v>882.58299999999997</v>
      </c>
      <c r="G135">
        <f ca="1">IFERROR(__xludf.DUMMYFUNCTION("""COMPUTED_VALUE"""),27)</f>
        <v>27</v>
      </c>
      <c r="H135" t="str">
        <f ca="1">IFERROR(__xludf.DUMMYFUNCTION("""COMPUTED_VALUE"""),"E")</f>
        <v>E</v>
      </c>
    </row>
    <row r="136" spans="1:8" ht="12.75">
      <c r="A136" t="str">
        <f ca="1">IFERROR(__xludf.DUMMYFUNCTION("""COMPUTED_VALUE"""),"T132")</f>
        <v>T132</v>
      </c>
      <c r="B136" t="str">
        <f ca="1">IFERROR(__xludf.DUMMYFUNCTION("""COMPUTED_VALUE"""),"T131")</f>
        <v>T131</v>
      </c>
      <c r="C136" t="str">
        <f ca="1">IFERROR(__xludf.DUMMYFUNCTION("""COMPUTED_VALUE"""),"Henrik Norlander")</f>
        <v>Henrik Norlander</v>
      </c>
      <c r="D136">
        <f ca="1">IFERROR(__xludf.DUMMYFUNCTION("""COMPUTED_VALUE"""),16)</f>
        <v>16</v>
      </c>
      <c r="E136" t="str">
        <f ca="1">IFERROR(__xludf.DUMMYFUNCTION("""COMPUTED_VALUE"""),"32' 8""")</f>
        <v>32' 8"</v>
      </c>
      <c r="F136">
        <f ca="1">IFERROR(__xludf.DUMMYFUNCTION("""COMPUTED_VALUE"""),784.917)</f>
        <v>784.91700000000003</v>
      </c>
      <c r="G136">
        <f ca="1">IFERROR(__xludf.DUMMYFUNCTION("""COMPUTED_VALUE"""),24)</f>
        <v>24</v>
      </c>
      <c r="H136">
        <f ca="1">IFERROR(__xludf.DUMMYFUNCTION("""COMPUTED_VALUE"""),-1)</f>
        <v>-1</v>
      </c>
    </row>
    <row r="137" spans="1:8" ht="12.75">
      <c r="A137" t="str">
        <f ca="1">IFERROR(__xludf.DUMMYFUNCTION("""COMPUTED_VALUE"""),"T136")</f>
        <v>T136</v>
      </c>
      <c r="B137" t="str">
        <f ca="1">IFERROR(__xludf.DUMMYFUNCTION("""COMPUTED_VALUE"""),"T144")</f>
        <v>T144</v>
      </c>
      <c r="C137" t="str">
        <f ca="1">IFERROR(__xludf.DUMMYFUNCTION("""COMPUTED_VALUE"""),"Jim Herman")</f>
        <v>Jim Herman</v>
      </c>
      <c r="D137">
        <f ca="1">IFERROR(__xludf.DUMMYFUNCTION("""COMPUTED_VALUE"""),12)</f>
        <v>12</v>
      </c>
      <c r="E137" t="str">
        <f ca="1">IFERROR(__xludf.DUMMYFUNCTION("""COMPUTED_VALUE"""),"32' 9""")</f>
        <v>32' 9"</v>
      </c>
      <c r="F137" s="2">
        <f ca="1">IFERROR(__xludf.DUMMYFUNCTION("""COMPUTED_VALUE"""),1309.667)</f>
        <v>1309.6669999999999</v>
      </c>
      <c r="G137">
        <f ca="1">IFERROR(__xludf.DUMMYFUNCTION("""COMPUTED_VALUE"""),40)</f>
        <v>40</v>
      </c>
      <c r="H137" t="str">
        <f ca="1">IFERROR(__xludf.DUMMYFUNCTION("""COMPUTED_VALUE"""),"+2")</f>
        <v>+2</v>
      </c>
    </row>
    <row r="138" spans="1:8" ht="12.75">
      <c r="A138" t="str">
        <f ca="1">IFERROR(__xludf.DUMMYFUNCTION("""COMPUTED_VALUE"""),"T136")</f>
        <v>T136</v>
      </c>
      <c r="B138" t="str">
        <f ca="1">IFERROR(__xludf.DUMMYFUNCTION("""COMPUTED_VALUE"""),"T144")</f>
        <v>T144</v>
      </c>
      <c r="C138" t="str">
        <f ca="1">IFERROR(__xludf.DUMMYFUNCTION("""COMPUTED_VALUE"""),"Shaun Norris")</f>
        <v>Shaun Norris</v>
      </c>
      <c r="D138">
        <f ca="1">IFERROR(__xludf.DUMMYFUNCTION("""COMPUTED_VALUE"""),6)</f>
        <v>6</v>
      </c>
      <c r="E138" t="str">
        <f ca="1">IFERROR(__xludf.DUMMYFUNCTION("""COMPUTED_VALUE"""),"32' 9""")</f>
        <v>32' 9"</v>
      </c>
      <c r="F138">
        <f ca="1">IFERROR(__xludf.DUMMYFUNCTION("""COMPUTED_VALUE"""),491.333)</f>
        <v>491.33300000000003</v>
      </c>
      <c r="G138">
        <f ca="1">IFERROR(__xludf.DUMMYFUNCTION("""COMPUTED_VALUE"""),15)</f>
        <v>15</v>
      </c>
      <c r="H138">
        <f ca="1">IFERROR(__xludf.DUMMYFUNCTION("""COMPUTED_VALUE"""),-1)</f>
        <v>-1</v>
      </c>
    </row>
    <row r="139" spans="1:8" ht="12.75">
      <c r="A139">
        <f ca="1">IFERROR(__xludf.DUMMYFUNCTION("""COMPUTED_VALUE"""),138)</f>
        <v>138</v>
      </c>
      <c r="B139">
        <f ca="1">IFERROR(__xludf.DUMMYFUNCTION("""COMPUTED_VALUE"""),146)</f>
        <v>146</v>
      </c>
      <c r="C139" t="str">
        <f ca="1">IFERROR(__xludf.DUMMYFUNCTION("""COMPUTED_VALUE"""),"Harold Varner III")</f>
        <v>Harold Varner III</v>
      </c>
      <c r="D139">
        <f ca="1">IFERROR(__xludf.DUMMYFUNCTION("""COMPUTED_VALUE"""),14)</f>
        <v>14</v>
      </c>
      <c r="E139" t="str">
        <f ca="1">IFERROR(__xludf.DUMMYFUNCTION("""COMPUTED_VALUE"""),"32' 11""")</f>
        <v>32' 11"</v>
      </c>
      <c r="F139">
        <f ca="1">IFERROR(__xludf.DUMMYFUNCTION("""COMPUTED_VALUE"""),757.75)</f>
        <v>757.75</v>
      </c>
      <c r="G139">
        <f ca="1">IFERROR(__xludf.DUMMYFUNCTION("""COMPUTED_VALUE"""),23)</f>
        <v>23</v>
      </c>
      <c r="H139">
        <f ca="1">IFERROR(__xludf.DUMMYFUNCTION("""COMPUTED_VALUE"""),-2)</f>
        <v>-2</v>
      </c>
    </row>
    <row r="140" spans="1:8" ht="12.75">
      <c r="A140" t="str">
        <f ca="1">IFERROR(__xludf.DUMMYFUNCTION("""COMPUTED_VALUE"""),"T139")</f>
        <v>T139</v>
      </c>
      <c r="B140" t="str">
        <f ca="1">IFERROR(__xludf.DUMMYFUNCTION("""COMPUTED_VALUE"""),"T110")</f>
        <v>T110</v>
      </c>
      <c r="C140" t="str">
        <f ca="1">IFERROR(__xludf.DUMMYFUNCTION("""COMPUTED_VALUE"""),"Kevin Streelman")</f>
        <v>Kevin Streelman</v>
      </c>
      <c r="D140">
        <f ca="1">IFERROR(__xludf.DUMMYFUNCTION("""COMPUTED_VALUE"""),18)</f>
        <v>18</v>
      </c>
      <c r="E140" t="str">
        <f ca="1">IFERROR(__xludf.DUMMYFUNCTION("""COMPUTED_VALUE"""),"33' 0""")</f>
        <v>33' 0"</v>
      </c>
      <c r="F140" s="2">
        <f ca="1">IFERROR(__xludf.DUMMYFUNCTION("""COMPUTED_VALUE"""),1353.75)</f>
        <v>1353.75</v>
      </c>
      <c r="G140">
        <f ca="1">IFERROR(__xludf.DUMMYFUNCTION("""COMPUTED_VALUE"""),41)</f>
        <v>41</v>
      </c>
      <c r="H140">
        <f ca="1">IFERROR(__xludf.DUMMYFUNCTION("""COMPUTED_VALUE"""),-3)</f>
        <v>-3</v>
      </c>
    </row>
    <row r="141" spans="1:8" ht="12.75">
      <c r="A141" t="str">
        <f ca="1">IFERROR(__xludf.DUMMYFUNCTION("""COMPUTED_VALUE"""),"T139")</f>
        <v>T139</v>
      </c>
      <c r="B141">
        <f ca="1">IFERROR(__xludf.DUMMYFUNCTION("""COMPUTED_VALUE"""),147)</f>
        <v>147</v>
      </c>
      <c r="C141" t="str">
        <f ca="1">IFERROR(__xludf.DUMMYFUNCTION("""COMPUTED_VALUE"""),"Tommy Fleetwood")</f>
        <v>Tommy Fleetwood</v>
      </c>
      <c r="D141">
        <f ca="1">IFERROR(__xludf.DUMMYFUNCTION("""COMPUTED_VALUE"""),10)</f>
        <v>10</v>
      </c>
      <c r="E141" t="str">
        <f ca="1">IFERROR(__xludf.DUMMYFUNCTION("""COMPUTED_VALUE"""),"33' 0""")</f>
        <v>33' 0"</v>
      </c>
      <c r="F141">
        <f ca="1">IFERROR(__xludf.DUMMYFUNCTION("""COMPUTED_VALUE"""),957.167)</f>
        <v>957.16700000000003</v>
      </c>
      <c r="G141">
        <f ca="1">IFERROR(__xludf.DUMMYFUNCTION("""COMPUTED_VALUE"""),29)</f>
        <v>29</v>
      </c>
      <c r="H141" t="str">
        <f ca="1">IFERROR(__xludf.DUMMYFUNCTION("""COMPUTED_VALUE"""),"+1")</f>
        <v>+1</v>
      </c>
    </row>
    <row r="142" spans="1:8" ht="12.75">
      <c r="A142" t="str">
        <f ca="1">IFERROR(__xludf.DUMMYFUNCTION("""COMPUTED_VALUE"""),"T139")</f>
        <v>T139</v>
      </c>
      <c r="B142" t="str">
        <f ca="1">IFERROR(__xludf.DUMMYFUNCTION("""COMPUTED_VALUE"""),"T55")</f>
        <v>T55</v>
      </c>
      <c r="C142" t="str">
        <f ca="1">IFERROR(__xludf.DUMMYFUNCTION("""COMPUTED_VALUE"""),"Scott Brown")</f>
        <v>Scott Brown</v>
      </c>
      <c r="D142">
        <f ca="1">IFERROR(__xludf.DUMMYFUNCTION("""COMPUTED_VALUE"""),14)</f>
        <v>14</v>
      </c>
      <c r="E142" t="str">
        <f ca="1">IFERROR(__xludf.DUMMYFUNCTION("""COMPUTED_VALUE"""),"33' 0""")</f>
        <v>33' 0"</v>
      </c>
      <c r="F142">
        <f ca="1">IFERROR(__xludf.DUMMYFUNCTION("""COMPUTED_VALUE"""),594.583)</f>
        <v>594.58299999999997</v>
      </c>
      <c r="G142">
        <f ca="1">IFERROR(__xludf.DUMMYFUNCTION("""COMPUTED_VALUE"""),18)</f>
        <v>18</v>
      </c>
      <c r="H142">
        <f ca="1">IFERROR(__xludf.DUMMYFUNCTION("""COMPUTED_VALUE"""),-4)</f>
        <v>-4</v>
      </c>
    </row>
    <row r="143" spans="1:8" ht="12.75">
      <c r="A143" t="str">
        <f ca="1">IFERROR(__xludf.DUMMYFUNCTION("""COMPUTED_VALUE"""),"T142")</f>
        <v>T142</v>
      </c>
      <c r="B143" t="str">
        <f ca="1">IFERROR(__xludf.DUMMYFUNCTION("""COMPUTED_VALUE"""),"T80")</f>
        <v>T80</v>
      </c>
      <c r="C143" t="str">
        <f ca="1">IFERROR(__xludf.DUMMYFUNCTION("""COMPUTED_VALUE"""),"Scott Stallings")</f>
        <v>Scott Stallings</v>
      </c>
      <c r="D143">
        <f ca="1">IFERROR(__xludf.DUMMYFUNCTION("""COMPUTED_VALUE"""),14)</f>
        <v>14</v>
      </c>
      <c r="E143" t="str">
        <f ca="1">IFERROR(__xludf.DUMMYFUNCTION("""COMPUTED_VALUE"""),"33' 1""")</f>
        <v>33' 1"</v>
      </c>
      <c r="F143">
        <f ca="1">IFERROR(__xludf.DUMMYFUNCTION("""COMPUTED_VALUE"""),761.25)</f>
        <v>761.25</v>
      </c>
      <c r="G143">
        <f ca="1">IFERROR(__xludf.DUMMYFUNCTION("""COMPUTED_VALUE"""),23)</f>
        <v>23</v>
      </c>
      <c r="H143" t="str">
        <f ca="1">IFERROR(__xludf.DUMMYFUNCTION("""COMPUTED_VALUE"""),"E")</f>
        <v>E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IFERROR(__xludf.DUMMYFUNCTION("""COMPUTED_VALUE"""),"T148")</f>
        <v>T148</v>
      </c>
      <c r="C144" t="str">
        <f ca="1">IFERROR(__xludf.DUMMYFUNCTION("""COMPUTED_VALUE"""),"Romain Langasque")</f>
        <v>Romain Langasque</v>
      </c>
      <c r="D144">
        <f ca="1">IFERROR(__xludf.DUMMYFUNCTION("""COMPUTED_VALUE"""),4)</f>
        <v>4</v>
      </c>
      <c r="E144" t="str">
        <f ca="1">IFERROR(__xludf.DUMMYFUNCTION("""COMPUTED_VALUE"""),"33' 1""")</f>
        <v>33' 1"</v>
      </c>
      <c r="F144">
        <f ca="1">IFERROR(__xludf.DUMMYFUNCTION("""COMPUTED_VALUE"""),231.833)</f>
        <v>231.833</v>
      </c>
      <c r="G144">
        <f ca="1">IFERROR(__xludf.DUMMYFUNCTION("""COMPUTED_VALUE"""),7)</f>
        <v>7</v>
      </c>
      <c r="H144" t="str">
        <f ca="1">IFERROR(__xludf.DUMMYFUNCTION("""COMPUTED_VALUE"""),"+1")</f>
        <v>+1</v>
      </c>
    </row>
    <row r="145" spans="1:8" ht="12.75">
      <c r="A145" t="str">
        <f ca="1">IFERROR(__xludf.DUMMYFUNCTION("""COMPUTED_VALUE"""),"T142")</f>
        <v>T142</v>
      </c>
      <c r="B145" t="str">
        <f ca="1">IFERROR(__xludf.DUMMYFUNCTION("""COMPUTED_VALUE"""),"T148")</f>
        <v>T148</v>
      </c>
      <c r="C145" t="str">
        <f ca="1">IFERROR(__xludf.DUMMYFUNCTION("""COMPUTED_VALUE"""),"Matthew Fitzpatrick")</f>
        <v>Matthew Fitzpatrick</v>
      </c>
      <c r="D145">
        <f ca="1">IFERROR(__xludf.DUMMYFUNCTION("""COMPUTED_VALUE"""),10)</f>
        <v>10</v>
      </c>
      <c r="E145" t="str">
        <f ca="1">IFERROR(__xludf.DUMMYFUNCTION("""COMPUTED_VALUE"""),"33' 1""")</f>
        <v>33' 1"</v>
      </c>
      <c r="F145" s="2">
        <f ca="1">IFERROR(__xludf.DUMMYFUNCTION("""COMPUTED_VALUE"""),1158.333)</f>
        <v>1158.3330000000001</v>
      </c>
      <c r="G145">
        <f ca="1">IFERROR(__xludf.DUMMYFUNCTION("""COMPUTED_VALUE"""),35)</f>
        <v>35</v>
      </c>
      <c r="H145" t="str">
        <f ca="1">IFERROR(__xludf.DUMMYFUNCTION("""COMPUTED_VALUE"""),"E")</f>
        <v>E</v>
      </c>
    </row>
    <row r="146" spans="1:8" ht="12.75">
      <c r="A146" t="str">
        <f ca="1">IFERROR(__xludf.DUMMYFUNCTION("""COMPUTED_VALUE"""),"T145")</f>
        <v>T145</v>
      </c>
      <c r="B146">
        <f ca="1">IFERROR(__xludf.DUMMYFUNCTION("""COMPUTED_VALUE"""),162)</f>
        <v>162</v>
      </c>
      <c r="C146" t="str">
        <f ca="1">IFERROR(__xludf.DUMMYFUNCTION("""COMPUTED_VALUE"""),"Michael Kim")</f>
        <v>Michael Kim</v>
      </c>
      <c r="D146">
        <f ca="1">IFERROR(__xludf.DUMMYFUNCTION("""COMPUTED_VALUE"""),12)</f>
        <v>12</v>
      </c>
      <c r="E146" t="str">
        <f ca="1">IFERROR(__xludf.DUMMYFUNCTION("""COMPUTED_VALUE"""),"33' 2""")</f>
        <v>33' 2"</v>
      </c>
      <c r="F146">
        <f ca="1">IFERROR(__xludf.DUMMYFUNCTION("""COMPUTED_VALUE"""),497.083)</f>
        <v>497.08300000000003</v>
      </c>
      <c r="G146">
        <f ca="1">IFERROR(__xludf.DUMMYFUNCTION("""COMPUTED_VALUE"""),15)</f>
        <v>15</v>
      </c>
      <c r="H146" t="str">
        <f ca="1">IFERROR(__xludf.DUMMYFUNCTION("""COMPUTED_VALUE"""),"E")</f>
        <v>E</v>
      </c>
    </row>
    <row r="147" spans="1:8" ht="12.75">
      <c r="A147" t="str">
        <f ca="1">IFERROR(__xludf.DUMMYFUNCTION("""COMPUTED_VALUE"""),"T145")</f>
        <v>T145</v>
      </c>
      <c r="B147" t="str">
        <f ca="1">IFERROR(__xludf.DUMMYFUNCTION("""COMPUTED_VALUE"""),"T125")</f>
        <v>T125</v>
      </c>
      <c r="C147" t="str">
        <f ca="1">IFERROR(__xludf.DUMMYFUNCTION("""COMPUTED_VALUE"""),"Tyler Duncan")</f>
        <v>Tyler Duncan</v>
      </c>
      <c r="D147">
        <f ca="1">IFERROR(__xludf.DUMMYFUNCTION("""COMPUTED_VALUE"""),18)</f>
        <v>18</v>
      </c>
      <c r="E147" t="str">
        <f ca="1">IFERROR(__xludf.DUMMYFUNCTION("""COMPUTED_VALUE"""),"33' 2""")</f>
        <v>33' 2"</v>
      </c>
      <c r="F147" s="2">
        <f ca="1">IFERROR(__xludf.DUMMYFUNCTION("""COMPUTED_VALUE"""),1525.25)</f>
        <v>1525.25</v>
      </c>
      <c r="G147">
        <f ca="1">IFERROR(__xludf.DUMMYFUNCTION("""COMPUTED_VALUE"""),46)</f>
        <v>46</v>
      </c>
      <c r="H147" t="str">
        <f ca="1">IFERROR(__xludf.DUMMYFUNCTION("""COMPUTED_VALUE"""),"+7")</f>
        <v>+7</v>
      </c>
    </row>
    <row r="148" spans="1:8" ht="12.75">
      <c r="A148" t="str">
        <f ca="1">IFERROR(__xludf.DUMMYFUNCTION("""COMPUTED_VALUE"""),"T147")</f>
        <v>T147</v>
      </c>
      <c r="B148" t="str">
        <f ca="1">IFERROR(__xludf.DUMMYFUNCTION("""COMPUTED_VALUE"""),"T65")</f>
        <v>T65</v>
      </c>
      <c r="C148" t="str">
        <f ca="1">IFERROR(__xludf.DUMMYFUNCTION("""COMPUTED_VALUE"""),"Doc Redman")</f>
        <v>Doc Redman</v>
      </c>
      <c r="D148">
        <f ca="1">IFERROR(__xludf.DUMMYFUNCTION("""COMPUTED_VALUE"""),18)</f>
        <v>18</v>
      </c>
      <c r="E148" t="str">
        <f ca="1">IFERROR(__xludf.DUMMYFUNCTION("""COMPUTED_VALUE"""),"33' 3""")</f>
        <v>33' 3"</v>
      </c>
      <c r="F148" s="2">
        <f ca="1">IFERROR(__xludf.DUMMYFUNCTION("""COMPUTED_VALUE"""),1064.417)</f>
        <v>1064.4169999999999</v>
      </c>
      <c r="G148">
        <f ca="1">IFERROR(__xludf.DUMMYFUNCTION("""COMPUTED_VALUE"""),32)</f>
        <v>32</v>
      </c>
      <c r="H148" t="str">
        <f ca="1">IFERROR(__xludf.DUMMYFUNCTION("""COMPUTED_VALUE"""),"+3")</f>
        <v>+3</v>
      </c>
    </row>
    <row r="149" spans="1:8" ht="12.75">
      <c r="A149" t="str">
        <f ca="1">IFERROR(__xludf.DUMMYFUNCTION("""COMPUTED_VALUE"""),"T147")</f>
        <v>T147</v>
      </c>
      <c r="B149" t="str">
        <f ca="1">IFERROR(__xludf.DUMMYFUNCTION("""COMPUTED_VALUE"""),"T93")</f>
        <v>T93</v>
      </c>
      <c r="C149" t="str">
        <f ca="1">IFERROR(__xludf.DUMMYFUNCTION("""COMPUTED_VALUE"""),"Sam Ryder")</f>
        <v>Sam Ryder</v>
      </c>
      <c r="D149">
        <f ca="1">IFERROR(__xludf.DUMMYFUNCTION("""COMPUTED_VALUE"""),12)</f>
        <v>12</v>
      </c>
      <c r="E149" t="str">
        <f ca="1">IFERROR(__xludf.DUMMYFUNCTION("""COMPUTED_VALUE"""),"33' 3""")</f>
        <v>33' 3"</v>
      </c>
      <c r="F149">
        <f ca="1">IFERROR(__xludf.DUMMYFUNCTION("""COMPUTED_VALUE"""),465.25)</f>
        <v>465.25</v>
      </c>
      <c r="G149">
        <f ca="1">IFERROR(__xludf.DUMMYFUNCTION("""COMPUTED_VALUE"""),14)</f>
        <v>14</v>
      </c>
      <c r="H149" t="str">
        <f ca="1">IFERROR(__xludf.DUMMYFUNCTION("""COMPUTED_VALUE"""),"E")</f>
        <v>E</v>
      </c>
    </row>
    <row r="150" spans="1:8" ht="12.75">
      <c r="A150" t="str">
        <f ca="1">IFERROR(__xludf.DUMMYFUNCTION("""COMPUTED_VALUE"""),"T147")</f>
        <v>T147</v>
      </c>
      <c r="B150" t="str">
        <f ca="1">IFERROR(__xludf.DUMMYFUNCTION("""COMPUTED_VALUE"""),"T153")</f>
        <v>T153</v>
      </c>
      <c r="C150" t="str">
        <f ca="1">IFERROR(__xludf.DUMMYFUNCTION("""COMPUTED_VALUE"""),"Brendon Todd")</f>
        <v>Brendon Todd</v>
      </c>
      <c r="D150">
        <f ca="1">IFERROR(__xludf.DUMMYFUNCTION("""COMPUTED_VALUE"""),14)</f>
        <v>14</v>
      </c>
      <c r="E150" t="str">
        <f ca="1">IFERROR(__xludf.DUMMYFUNCTION("""COMPUTED_VALUE"""),"33' 3""")</f>
        <v>33' 3"</v>
      </c>
      <c r="F150" s="2">
        <f ca="1">IFERROR(__xludf.DUMMYFUNCTION("""COMPUTED_VALUE"""),1362.833)</f>
        <v>1362.8330000000001</v>
      </c>
      <c r="G150">
        <f ca="1">IFERROR(__xludf.DUMMYFUNCTION("""COMPUTED_VALUE"""),41)</f>
        <v>41</v>
      </c>
      <c r="H150">
        <f ca="1">IFERROR(__xludf.DUMMYFUNCTION("""COMPUTED_VALUE"""),-1)</f>
        <v>-1</v>
      </c>
    </row>
    <row r="151" spans="1:8" ht="12.75">
      <c r="A151">
        <f ca="1">IFERROR(__xludf.DUMMYFUNCTION("""COMPUTED_VALUE"""),150)</f>
        <v>150</v>
      </c>
      <c r="B151">
        <f ca="1">IFERROR(__xludf.DUMMYFUNCTION("""COMPUTED_VALUE"""),184)</f>
        <v>184</v>
      </c>
      <c r="C151" t="str">
        <f ca="1">IFERROR(__xludf.DUMMYFUNCTION("""COMPUTED_VALUE"""),"Michael Thompson")</f>
        <v>Michael Thompson</v>
      </c>
      <c r="D151">
        <f ca="1">IFERROR(__xludf.DUMMYFUNCTION("""COMPUTED_VALUE"""),16)</f>
        <v>16</v>
      </c>
      <c r="E151" t="str">
        <f ca="1">IFERROR(__xludf.DUMMYFUNCTION("""COMPUTED_VALUE"""),"33' 4""")</f>
        <v>33' 4"</v>
      </c>
      <c r="F151" s="2">
        <f ca="1">IFERROR(__xludf.DUMMYFUNCTION("""COMPUTED_VALUE"""),1633.083)</f>
        <v>1633.0830000000001</v>
      </c>
      <c r="G151">
        <f ca="1">IFERROR(__xludf.DUMMYFUNCTION("""COMPUTED_VALUE"""),49)</f>
        <v>49</v>
      </c>
      <c r="H151" t="str">
        <f ca="1">IFERROR(__xludf.DUMMYFUNCTION("""COMPUTED_VALUE"""),"+4")</f>
        <v>+4</v>
      </c>
    </row>
    <row r="152" spans="1:8" ht="12.75">
      <c r="A152">
        <f ca="1">IFERROR(__xludf.DUMMYFUNCTION("""COMPUTED_VALUE"""),151)</f>
        <v>151</v>
      </c>
      <c r="B152">
        <f ca="1">IFERROR(__xludf.DUMMYFUNCTION("""COMPUTED_VALUE"""),155)</f>
        <v>155</v>
      </c>
      <c r="C152" t="str">
        <f ca="1">IFERROR(__xludf.DUMMYFUNCTION("""COMPUTED_VALUE"""),"Rikuya Hoshino")</f>
        <v>Rikuya Hoshino</v>
      </c>
      <c r="D152">
        <f ca="1">IFERROR(__xludf.DUMMYFUNCTION("""COMPUTED_VALUE"""),4)</f>
        <v>4</v>
      </c>
      <c r="E152" t="str">
        <f ca="1">IFERROR(__xludf.DUMMYFUNCTION("""COMPUTED_VALUE"""),"33' 5""")</f>
        <v>33' 5"</v>
      </c>
      <c r="F152">
        <f ca="1">IFERROR(__xludf.DUMMYFUNCTION("""COMPUTED_VALUE"""),468.083)</f>
        <v>468.08300000000003</v>
      </c>
      <c r="G152">
        <f ca="1">IFERROR(__xludf.DUMMYFUNCTION("""COMPUTED_VALUE"""),14)</f>
        <v>14</v>
      </c>
      <c r="H152">
        <f ca="1">IFERROR(__xludf.DUMMYFUNCTION("""COMPUTED_VALUE"""),-1)</f>
        <v>-1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IFERROR(__xludf.DUMMYFUNCTION("""COMPUTED_VALUE"""),"T71")</f>
        <v>T71</v>
      </c>
      <c r="C153" t="str">
        <f ca="1">IFERROR(__xludf.DUMMYFUNCTION("""COMPUTED_VALUE"""),"James Hahn")</f>
        <v>James Hahn</v>
      </c>
      <c r="D153">
        <f ca="1">IFERROR(__xludf.DUMMYFUNCTION("""COMPUTED_VALUE"""),16)</f>
        <v>16</v>
      </c>
      <c r="E153" t="str">
        <f ca="1">IFERROR(__xludf.DUMMYFUNCTION("""COMPUTED_VALUE"""),"33' 6""")</f>
        <v>33' 6"</v>
      </c>
      <c r="F153">
        <f ca="1">IFERROR(__xludf.DUMMYFUNCTION("""COMPUTED_VALUE"""),971.333)</f>
        <v>971.33299999999997</v>
      </c>
      <c r="G153">
        <f ca="1">IFERROR(__xludf.DUMMYFUNCTION("""COMPUTED_VALUE"""),29)</f>
        <v>29</v>
      </c>
      <c r="H153">
        <f ca="1">IFERROR(__xludf.DUMMYFUNCTION("""COMPUTED_VALUE"""),-1)</f>
        <v>-1</v>
      </c>
    </row>
    <row r="154" spans="1:8" ht="12.75">
      <c r="A154" t="str">
        <f ca="1">IFERROR(__xludf.DUMMYFUNCTION("""COMPUTED_VALUE"""),"T152")</f>
        <v>T152</v>
      </c>
      <c r="B154">
        <f ca="1">IFERROR(__xludf.DUMMYFUNCTION("""COMPUTED_VALUE"""),156)</f>
        <v>156</v>
      </c>
      <c r="C154" t="str">
        <f ca="1">IFERROR(__xludf.DUMMYFUNCTION("""COMPUTED_VALUE"""),"Carlos Ortiz")</f>
        <v>Carlos Ortiz</v>
      </c>
      <c r="D154">
        <f ca="1">IFERROR(__xludf.DUMMYFUNCTION("""COMPUTED_VALUE"""),20)</f>
        <v>20</v>
      </c>
      <c r="E154" t="str">
        <f ca="1">IFERROR(__xludf.DUMMYFUNCTION("""COMPUTED_VALUE"""),"33' 6""")</f>
        <v>33' 6"</v>
      </c>
      <c r="F154" s="2">
        <f ca="1">IFERROR(__xludf.DUMMYFUNCTION("""COMPUTED_VALUE"""),1508.417)</f>
        <v>1508.4169999999999</v>
      </c>
      <c r="G154">
        <f ca="1">IFERROR(__xludf.DUMMYFUNCTION("""COMPUTED_VALUE"""),45)</f>
        <v>45</v>
      </c>
      <c r="H154">
        <f ca="1">IFERROR(__xludf.DUMMYFUNCTION("""COMPUTED_VALUE"""),-3)</f>
        <v>-3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IFERROR(__xludf.DUMMYFUNCTION("""COMPUTED_VALUE"""),"T159")</f>
        <v>T159</v>
      </c>
      <c r="C155" t="str">
        <f ca="1">IFERROR(__xludf.DUMMYFUNCTION("""COMPUTED_VALUE"""),"Harris English")</f>
        <v>Harris English</v>
      </c>
      <c r="D155">
        <f ca="1">IFERROR(__xludf.DUMMYFUNCTION("""COMPUTED_VALUE"""),14)</f>
        <v>14</v>
      </c>
      <c r="E155" t="str">
        <f ca="1">IFERROR(__xludf.DUMMYFUNCTION("""COMPUTED_VALUE"""),"33' 8""")</f>
        <v>33' 8"</v>
      </c>
      <c r="F155" s="2">
        <f ca="1">IFERROR(__xludf.DUMMYFUNCTION("""COMPUTED_VALUE"""),1313.333)</f>
        <v>1313.3330000000001</v>
      </c>
      <c r="G155">
        <f ca="1">IFERROR(__xludf.DUMMYFUNCTION("""COMPUTED_VALUE"""),39)</f>
        <v>39</v>
      </c>
      <c r="H155">
        <f ca="1">IFERROR(__xludf.DUMMYFUNCTION("""COMPUTED_VALUE"""),-6)</f>
        <v>-6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IFERROR(__xludf.DUMMYFUNCTION("""COMPUTED_VALUE"""),"T159")</f>
        <v>T159</v>
      </c>
      <c r="C156" t="str">
        <f ca="1">IFERROR(__xludf.DUMMYFUNCTION("""COMPUTED_VALUE"""),"Jason Kokrak")</f>
        <v>Jason Kokrak</v>
      </c>
      <c r="D156">
        <f ca="1">IFERROR(__xludf.DUMMYFUNCTION("""COMPUTED_VALUE"""),14)</f>
        <v>14</v>
      </c>
      <c r="E156" t="str">
        <f ca="1">IFERROR(__xludf.DUMMYFUNCTION("""COMPUTED_VALUE"""),"33' 8""")</f>
        <v>33' 8"</v>
      </c>
      <c r="F156" s="2">
        <f ca="1">IFERROR(__xludf.DUMMYFUNCTION("""COMPUTED_VALUE"""),1513.417)</f>
        <v>1513.4169999999999</v>
      </c>
      <c r="G156">
        <f ca="1">IFERROR(__xludf.DUMMYFUNCTION("""COMPUTED_VALUE"""),45)</f>
        <v>45</v>
      </c>
      <c r="H156">
        <f ca="1">IFERROR(__xludf.DUMMYFUNCTION("""COMPUTED_VALUE"""),-10)</f>
        <v>-10</v>
      </c>
    </row>
    <row r="157" spans="1:8" ht="12.75">
      <c r="A157" t="str">
        <f ca="1">IFERROR(__xludf.DUMMYFUNCTION("""COMPUTED_VALUE"""),"T156")</f>
        <v>T156</v>
      </c>
      <c r="B157" t="str">
        <f ca="1">IFERROR(__xludf.DUMMYFUNCTION("""COMPUTED_VALUE"""),"T185")</f>
        <v>T185</v>
      </c>
      <c r="C157" t="str">
        <f ca="1">IFERROR(__xludf.DUMMYFUNCTION("""COMPUTED_VALUE"""),"C.T. Pan")</f>
        <v>C.T. Pan</v>
      </c>
      <c r="D157">
        <f ca="1">IFERROR(__xludf.DUMMYFUNCTION("""COMPUTED_VALUE"""),20)</f>
        <v>20</v>
      </c>
      <c r="E157" t="str">
        <f ca="1">IFERROR(__xludf.DUMMYFUNCTION("""COMPUTED_VALUE"""),"33' 9""")</f>
        <v>33' 9"</v>
      </c>
      <c r="F157" s="2">
        <f ca="1">IFERROR(__xludf.DUMMYFUNCTION("""COMPUTED_VALUE"""),1180.833)</f>
        <v>1180.8330000000001</v>
      </c>
      <c r="G157">
        <f ca="1">IFERROR(__xludf.DUMMYFUNCTION("""COMPUTED_VALUE"""),35)</f>
        <v>35</v>
      </c>
      <c r="H157">
        <f ca="1">IFERROR(__xludf.DUMMYFUNCTION("""COMPUTED_VALUE"""),-3)</f>
        <v>-3</v>
      </c>
    </row>
    <row r="158" spans="1:8" ht="12.75">
      <c r="A158" t="str">
        <f ca="1">IFERROR(__xludf.DUMMYFUNCTION("""COMPUTED_VALUE"""),"T156")</f>
        <v>T156</v>
      </c>
      <c r="B158" t="str">
        <f ca="1">IFERROR(__xludf.DUMMYFUNCTION("""COMPUTED_VALUE"""),"T167")</f>
        <v>T167</v>
      </c>
      <c r="C158" t="str">
        <f ca="1">IFERROR(__xludf.DUMMYFUNCTION("""COMPUTED_VALUE"""),"Bronson Burgoon")</f>
        <v>Bronson Burgoon</v>
      </c>
      <c r="D158">
        <f ca="1">IFERROR(__xludf.DUMMYFUNCTION("""COMPUTED_VALUE"""),10)</f>
        <v>10</v>
      </c>
      <c r="E158" t="str">
        <f ca="1">IFERROR(__xludf.DUMMYFUNCTION("""COMPUTED_VALUE"""),"33' 9""")</f>
        <v>33' 9"</v>
      </c>
      <c r="F158">
        <f ca="1">IFERROR(__xludf.DUMMYFUNCTION("""COMPUTED_VALUE"""),472.833)</f>
        <v>472.83300000000003</v>
      </c>
      <c r="G158">
        <f ca="1">IFERROR(__xludf.DUMMYFUNCTION("""COMPUTED_VALUE"""),14)</f>
        <v>14</v>
      </c>
      <c r="H158" t="str">
        <f ca="1">IFERROR(__xludf.DUMMYFUNCTION("""COMPUTED_VALUE"""),"+1")</f>
        <v>+1</v>
      </c>
    </row>
    <row r="159" spans="1:8" ht="12.75">
      <c r="A159">
        <f ca="1">IFERROR(__xludf.DUMMYFUNCTION("""COMPUTED_VALUE"""),158)</f>
        <v>158</v>
      </c>
      <c r="B159" t="str">
        <f ca="1">IFERROR(__xludf.DUMMYFUNCTION("""COMPUTED_VALUE"""),"T180")</f>
        <v>T180</v>
      </c>
      <c r="C159" t="str">
        <f ca="1">IFERROR(__xludf.DUMMYFUNCTION("""COMPUTED_VALUE"""),"Denny McCarthy")</f>
        <v>Denny McCarthy</v>
      </c>
      <c r="D159">
        <f ca="1">IFERROR(__xludf.DUMMYFUNCTION("""COMPUTED_VALUE"""),22)</f>
        <v>22</v>
      </c>
      <c r="E159" t="str">
        <f ca="1">IFERROR(__xludf.DUMMYFUNCTION("""COMPUTED_VALUE"""),"33' 10""")</f>
        <v>33' 10"</v>
      </c>
      <c r="F159" s="2">
        <f ca="1">IFERROR(__xludf.DUMMYFUNCTION("""COMPUTED_VALUE"""),1151.417)</f>
        <v>1151.4169999999999</v>
      </c>
      <c r="G159">
        <f ca="1">IFERROR(__xludf.DUMMYFUNCTION("""COMPUTED_VALUE"""),34)</f>
        <v>34</v>
      </c>
      <c r="H159">
        <f ca="1">IFERROR(__xludf.DUMMYFUNCTION("""COMPUTED_VALUE"""),-3)</f>
        <v>-3</v>
      </c>
    </row>
    <row r="160" spans="1:8" ht="12.75">
      <c r="A160" t="str">
        <f ca="1">IFERROR(__xludf.DUMMYFUNCTION("""COMPUTED_VALUE"""),"T159")</f>
        <v>T159</v>
      </c>
      <c r="B160" t="str">
        <f ca="1">IFERROR(__xludf.DUMMYFUNCTION("""COMPUTED_VALUE"""),"T141")</f>
        <v>T141</v>
      </c>
      <c r="C160" t="str">
        <f ca="1">IFERROR(__xludf.DUMMYFUNCTION("""COMPUTED_VALUE"""),"Jamie Lovemark")</f>
        <v>Jamie Lovemark</v>
      </c>
      <c r="D160">
        <f ca="1">IFERROR(__xludf.DUMMYFUNCTION("""COMPUTED_VALUE"""),18)</f>
        <v>18</v>
      </c>
      <c r="E160" t="str">
        <f ca="1">IFERROR(__xludf.DUMMYFUNCTION("""COMPUTED_VALUE"""),"33' 11""")</f>
        <v>33' 11"</v>
      </c>
      <c r="F160">
        <f ca="1">IFERROR(__xludf.DUMMYFUNCTION("""COMPUTED_VALUE"""),848.583)</f>
        <v>848.58299999999997</v>
      </c>
      <c r="G160">
        <f ca="1">IFERROR(__xludf.DUMMYFUNCTION("""COMPUTED_VALUE"""),25)</f>
        <v>25</v>
      </c>
      <c r="H160" t="str">
        <f ca="1">IFERROR(__xludf.DUMMYFUNCTION("""COMPUTED_VALUE"""),"+2")</f>
        <v>+2</v>
      </c>
    </row>
    <row r="161" spans="1:8" ht="12.75">
      <c r="A161" t="str">
        <f ca="1">IFERROR(__xludf.DUMMYFUNCTION("""COMPUTED_VALUE"""),"T159")</f>
        <v>T159</v>
      </c>
      <c r="B161" t="str">
        <f ca="1">IFERROR(__xludf.DUMMYFUNCTION("""COMPUTED_VALUE"""),"T110")</f>
        <v>T110</v>
      </c>
      <c r="C161" t="str">
        <f ca="1">IFERROR(__xludf.DUMMYFUNCTION("""COMPUTED_VALUE"""),"Charl Schwartzel")</f>
        <v>Charl Schwartzel</v>
      </c>
      <c r="D161">
        <f ca="1">IFERROR(__xludf.DUMMYFUNCTION("""COMPUTED_VALUE"""),12)</f>
        <v>12</v>
      </c>
      <c r="E161" t="str">
        <f ca="1">IFERROR(__xludf.DUMMYFUNCTION("""COMPUTED_VALUE"""),"33' 11""")</f>
        <v>33' 11"</v>
      </c>
      <c r="F161">
        <f ca="1">IFERROR(__xludf.DUMMYFUNCTION("""COMPUTED_VALUE"""),746.333)</f>
        <v>746.33299999999997</v>
      </c>
      <c r="G161">
        <f ca="1">IFERROR(__xludf.DUMMYFUNCTION("""COMPUTED_VALUE"""),22)</f>
        <v>22</v>
      </c>
      <c r="H161">
        <f ca="1">IFERROR(__xludf.DUMMYFUNCTION("""COMPUTED_VALUE"""),-1)</f>
        <v>-1</v>
      </c>
    </row>
    <row r="162" spans="1:8" ht="12.75">
      <c r="A162">
        <f ca="1">IFERROR(__xludf.DUMMYFUNCTION("""COMPUTED_VALUE"""),161)</f>
        <v>161</v>
      </c>
      <c r="B162">
        <f ca="1">IFERROR(__xludf.DUMMYFUNCTION("""COMPUTED_VALUE"""),237)</f>
        <v>237</v>
      </c>
      <c r="C162" t="str">
        <f ca="1">IFERROR(__xludf.DUMMYFUNCTION("""COMPUTED_VALUE"""),"Max Homa")</f>
        <v>Max Homa</v>
      </c>
      <c r="D162">
        <f ca="1">IFERROR(__xludf.DUMMYFUNCTION("""COMPUTED_VALUE"""),12)</f>
        <v>12</v>
      </c>
      <c r="E162" t="str">
        <f ca="1">IFERROR(__xludf.DUMMYFUNCTION("""COMPUTED_VALUE"""),"34' 0""")</f>
        <v>34' 0"</v>
      </c>
      <c r="F162">
        <f ca="1">IFERROR(__xludf.DUMMYFUNCTION("""COMPUTED_VALUE"""),509.5)</f>
        <v>509.5</v>
      </c>
      <c r="G162">
        <f ca="1">IFERROR(__xludf.DUMMYFUNCTION("""COMPUTED_VALUE"""),15)</f>
        <v>15</v>
      </c>
      <c r="H162" t="str">
        <f ca="1">IFERROR(__xludf.DUMMYFUNCTION("""COMPUTED_VALUE"""),"+4")</f>
        <v>+4</v>
      </c>
    </row>
    <row r="163" spans="1:8" ht="12.75">
      <c r="A163" t="str">
        <f ca="1">IFERROR(__xludf.DUMMYFUNCTION("""COMPUTED_VALUE"""),"T162")</f>
        <v>T162</v>
      </c>
      <c r="B163">
        <f ca="1">IFERROR(__xludf.DUMMYFUNCTION("""COMPUTED_VALUE"""),164)</f>
        <v>164</v>
      </c>
      <c r="C163" t="str">
        <f ca="1">IFERROR(__xludf.DUMMYFUNCTION("""COMPUTED_VALUE"""),"Sebastian Cappelen")</f>
        <v>Sebastian Cappelen</v>
      </c>
      <c r="D163">
        <f ca="1">IFERROR(__xludf.DUMMYFUNCTION("""COMPUTED_VALUE"""),8)</f>
        <v>8</v>
      </c>
      <c r="E163" t="str">
        <f ca="1">IFERROR(__xludf.DUMMYFUNCTION("""COMPUTED_VALUE"""),"34' 1""")</f>
        <v>34' 1"</v>
      </c>
      <c r="F163">
        <f ca="1">IFERROR(__xludf.DUMMYFUNCTION("""COMPUTED_VALUE"""),204.333)</f>
        <v>204.333</v>
      </c>
      <c r="G163">
        <f ca="1">IFERROR(__xludf.DUMMYFUNCTION("""COMPUTED_VALUE"""),6)</f>
        <v>6</v>
      </c>
      <c r="H163" t="str">
        <f ca="1">IFERROR(__xludf.DUMMYFUNCTION("""COMPUTED_VALUE"""),"+3")</f>
        <v>+3</v>
      </c>
    </row>
    <row r="164" spans="1:8" ht="12.75">
      <c r="A164" t="str">
        <f ca="1">IFERROR(__xludf.DUMMYFUNCTION("""COMPUTED_VALUE"""),"T162")</f>
        <v>T162</v>
      </c>
      <c r="B164" t="str">
        <f ca="1">IFERROR(__xludf.DUMMYFUNCTION("""COMPUTED_VALUE"""),"T98")</f>
        <v>T98</v>
      </c>
      <c r="C164" t="str">
        <f ca="1">IFERROR(__xludf.DUMMYFUNCTION("""COMPUTED_VALUE"""),"Martin Laird")</f>
        <v>Martin Laird</v>
      </c>
      <c r="D164">
        <f ca="1">IFERROR(__xludf.DUMMYFUNCTION("""COMPUTED_VALUE"""),16)</f>
        <v>16</v>
      </c>
      <c r="E164" t="str">
        <f ca="1">IFERROR(__xludf.DUMMYFUNCTION("""COMPUTED_VALUE"""),"34' 1""")</f>
        <v>34' 1"</v>
      </c>
      <c r="F164">
        <f ca="1">IFERROR(__xludf.DUMMYFUNCTION("""COMPUTED_VALUE"""),682.417)</f>
        <v>682.41700000000003</v>
      </c>
      <c r="G164">
        <f ca="1">IFERROR(__xludf.DUMMYFUNCTION("""COMPUTED_VALUE"""),20)</f>
        <v>20</v>
      </c>
      <c r="H164">
        <f ca="1">IFERROR(__xludf.DUMMYFUNCTION("""COMPUTED_VALUE"""),-1)</f>
        <v>-1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IFERROR(__xludf.DUMMYFUNCTION("""COMPUTED_VALUE"""),"T157")</f>
        <v>T157</v>
      </c>
      <c r="C165" t="str">
        <f ca="1">IFERROR(__xludf.DUMMYFUNCTION("""COMPUTED_VALUE"""),"Dylan Frittelli")</f>
        <v>Dylan Frittelli</v>
      </c>
      <c r="D165">
        <f ca="1">IFERROR(__xludf.DUMMYFUNCTION("""COMPUTED_VALUE"""),16)</f>
        <v>16</v>
      </c>
      <c r="E165" t="str">
        <f ca="1">IFERROR(__xludf.DUMMYFUNCTION("""COMPUTED_VALUE"""),"34' 2""")</f>
        <v>34' 2"</v>
      </c>
      <c r="F165" s="2">
        <f ca="1">IFERROR(__xludf.DUMMYFUNCTION("""COMPUTED_VALUE"""),1161.75)</f>
        <v>1161.75</v>
      </c>
      <c r="G165">
        <f ca="1">IFERROR(__xludf.DUMMYFUNCTION("""COMPUTED_VALUE"""),34)</f>
        <v>34</v>
      </c>
      <c r="H165">
        <f ca="1">IFERROR(__xludf.DUMMYFUNCTION("""COMPUTED_VALUE"""),-1)</f>
        <v>-1</v>
      </c>
    </row>
    <row r="166" spans="1:8" ht="12.75">
      <c r="A166" t="str">
        <f ca="1">IFERROR(__xludf.DUMMYFUNCTION("""COMPUTED_VALUE"""),"T164")</f>
        <v>T164</v>
      </c>
      <c r="B166">
        <f ca="1">IFERROR(__xludf.DUMMYFUNCTION("""COMPUTED_VALUE"""),165)</f>
        <v>165</v>
      </c>
      <c r="C166" t="str">
        <f ca="1">IFERROR(__xludf.DUMMYFUNCTION("""COMPUTED_VALUE"""),"Chris Baker")</f>
        <v>Chris Baker</v>
      </c>
      <c r="D166">
        <f ca="1">IFERROR(__xludf.DUMMYFUNCTION("""COMPUTED_VALUE"""),8)</f>
        <v>8</v>
      </c>
      <c r="E166" t="str">
        <f ca="1">IFERROR(__xludf.DUMMYFUNCTION("""COMPUTED_VALUE"""),"34' 2""")</f>
        <v>34' 2"</v>
      </c>
      <c r="F166">
        <f ca="1">IFERROR(__xludf.DUMMYFUNCTION("""COMPUTED_VALUE"""),205.083)</f>
        <v>205.083</v>
      </c>
      <c r="G166">
        <f ca="1">IFERROR(__xludf.DUMMYFUNCTION("""COMPUTED_VALUE"""),6)</f>
        <v>6</v>
      </c>
      <c r="H166" t="str">
        <f ca="1">IFERROR(__xludf.DUMMYFUNCTION("""COMPUTED_VALUE"""),"E")</f>
        <v>E</v>
      </c>
    </row>
    <row r="167" spans="1:8" ht="12.75">
      <c r="A167" t="str">
        <f ca="1">IFERROR(__xludf.DUMMYFUNCTION("""COMPUTED_VALUE"""),"T166")</f>
        <v>T166</v>
      </c>
      <c r="B167">
        <f ca="1">IFERROR(__xludf.DUMMYFUNCTION("""COMPUTED_VALUE"""),166)</f>
        <v>166</v>
      </c>
      <c r="C167" t="str">
        <f ca="1">IFERROR(__xludf.DUMMYFUNCTION("""COMPUTED_VALUE"""),"Anirban Lahiri")</f>
        <v>Anirban Lahiri</v>
      </c>
      <c r="D167">
        <f ca="1">IFERROR(__xludf.DUMMYFUNCTION("""COMPUTED_VALUE"""),16)</f>
        <v>16</v>
      </c>
      <c r="E167" t="str">
        <f ca="1">IFERROR(__xludf.DUMMYFUNCTION("""COMPUTED_VALUE"""),"34' 3""")</f>
        <v>34' 3"</v>
      </c>
      <c r="F167">
        <f ca="1">IFERROR(__xludf.DUMMYFUNCTION("""COMPUTED_VALUE"""),479.167)</f>
        <v>479.16699999999997</v>
      </c>
      <c r="G167">
        <f ca="1">IFERROR(__xludf.DUMMYFUNCTION("""COMPUTED_VALUE"""),14)</f>
        <v>14</v>
      </c>
      <c r="H167">
        <f ca="1">IFERROR(__xludf.DUMMYFUNCTION("""COMPUTED_VALUE"""),-3)</f>
        <v>-3</v>
      </c>
    </row>
    <row r="168" spans="1:8" ht="12.75">
      <c r="A168" t="str">
        <f ca="1">IFERROR(__xludf.DUMMYFUNCTION("""COMPUTED_VALUE"""),"T166")</f>
        <v>T166</v>
      </c>
      <c r="B168" t="str">
        <f ca="1">IFERROR(__xludf.DUMMYFUNCTION("""COMPUTED_VALUE"""),"T110")</f>
        <v>T110</v>
      </c>
      <c r="C168" t="str">
        <f ca="1">IFERROR(__xludf.DUMMYFUNCTION("""COMPUTED_VALUE"""),"Vaughn Taylor")</f>
        <v>Vaughn Taylor</v>
      </c>
      <c r="D168">
        <f ca="1">IFERROR(__xludf.DUMMYFUNCTION("""COMPUTED_VALUE"""),12)</f>
        <v>12</v>
      </c>
      <c r="E168" t="str">
        <f ca="1">IFERROR(__xludf.DUMMYFUNCTION("""COMPUTED_VALUE"""),"34' 3""")</f>
        <v>34' 3"</v>
      </c>
      <c r="F168">
        <f ca="1">IFERROR(__xludf.DUMMYFUNCTION("""COMPUTED_VALUE"""),547.833)</f>
        <v>547.83299999999997</v>
      </c>
      <c r="G168">
        <f ca="1">IFERROR(__xludf.DUMMYFUNCTION("""COMPUTED_VALUE"""),16)</f>
        <v>16</v>
      </c>
      <c r="H168">
        <f ca="1">IFERROR(__xludf.DUMMYFUNCTION("""COMPUTED_VALUE"""),-1)</f>
        <v>-1</v>
      </c>
    </row>
    <row r="169" spans="1:8" ht="12.75">
      <c r="A169">
        <f ca="1">IFERROR(__xludf.DUMMYFUNCTION("""COMPUTED_VALUE"""),168)</f>
        <v>168</v>
      </c>
      <c r="B169" t="str">
        <f ca="1">IFERROR(__xludf.DUMMYFUNCTION("""COMPUTED_VALUE"""),"T176")</f>
        <v>T176</v>
      </c>
      <c r="C169" t="str">
        <f ca="1">IFERROR(__xludf.DUMMYFUNCTION("""COMPUTED_VALUE"""),"Brian Harman")</f>
        <v>Brian Harman</v>
      </c>
      <c r="D169">
        <f ca="1">IFERROR(__xludf.DUMMYFUNCTION("""COMPUTED_VALUE"""),24)</f>
        <v>24</v>
      </c>
      <c r="E169" t="str">
        <f ca="1">IFERROR(__xludf.DUMMYFUNCTION("""COMPUTED_VALUE"""),"34' 4""")</f>
        <v>34' 4"</v>
      </c>
      <c r="F169" s="2">
        <f ca="1">IFERROR(__xludf.DUMMYFUNCTION("""COMPUTED_VALUE"""),1989.833)</f>
        <v>1989.8330000000001</v>
      </c>
      <c r="G169">
        <f ca="1">IFERROR(__xludf.DUMMYFUNCTION("""COMPUTED_VALUE"""),58)</f>
        <v>58</v>
      </c>
      <c r="H169">
        <f ca="1">IFERROR(__xludf.DUMMYFUNCTION("""COMPUTED_VALUE"""),-1)</f>
        <v>-1</v>
      </c>
    </row>
    <row r="170" spans="1:8" ht="12.75">
      <c r="A170">
        <f ca="1">IFERROR(__xludf.DUMMYFUNCTION("""COMPUTED_VALUE"""),169)</f>
        <v>169</v>
      </c>
      <c r="B170" t="str">
        <f ca="1">IFERROR(__xludf.DUMMYFUNCTION("""COMPUTED_VALUE"""),"T167")</f>
        <v>T167</v>
      </c>
      <c r="C170" t="str">
        <f ca="1">IFERROR(__xludf.DUMMYFUNCTION("""COMPUTED_VALUE"""),"Thomas Pieters")</f>
        <v>Thomas Pieters</v>
      </c>
      <c r="D170">
        <f ca="1">IFERROR(__xludf.DUMMYFUNCTION("""COMPUTED_VALUE"""),4)</f>
        <v>4</v>
      </c>
      <c r="E170" t="str">
        <f ca="1">IFERROR(__xludf.DUMMYFUNCTION("""COMPUTED_VALUE"""),"34' 5""")</f>
        <v>34' 5"</v>
      </c>
      <c r="F170">
        <f ca="1">IFERROR(__xludf.DUMMYFUNCTION("""COMPUTED_VALUE"""),206.583)</f>
        <v>206.583</v>
      </c>
      <c r="G170">
        <f ca="1">IFERROR(__xludf.DUMMYFUNCTION("""COMPUTED_VALUE"""),6)</f>
        <v>6</v>
      </c>
      <c r="H170" t="str">
        <f ca="1">IFERROR(__xludf.DUMMYFUNCTION("""COMPUTED_VALUE"""),"+1")</f>
        <v>+1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IFERROR(__xludf.DUMMYFUNCTION("""COMPUTED_VALUE"""),"T169")</f>
        <v>T169</v>
      </c>
      <c r="C171" t="str">
        <f ca="1">IFERROR(__xludf.DUMMYFUNCTION("""COMPUTED_VALUE"""),"Brandon Hagy")</f>
        <v>Brandon Hagy</v>
      </c>
      <c r="D171">
        <f ca="1">IFERROR(__xludf.DUMMYFUNCTION("""COMPUTED_VALUE"""),10)</f>
        <v>10</v>
      </c>
      <c r="E171" t="str">
        <f ca="1">IFERROR(__xludf.DUMMYFUNCTION("""COMPUTED_VALUE"""),"34' 6""")</f>
        <v>34' 6"</v>
      </c>
      <c r="F171">
        <f ca="1">IFERROR(__xludf.DUMMYFUNCTION("""COMPUTED_VALUE"""),448.25)</f>
        <v>448.25</v>
      </c>
      <c r="G171">
        <f ca="1">IFERROR(__xludf.DUMMYFUNCTION("""COMPUTED_VALUE"""),13)</f>
        <v>13</v>
      </c>
      <c r="H171" t="str">
        <f ca="1">IFERROR(__xludf.DUMMYFUNCTION("""COMPUTED_VALUE"""),"+1")</f>
        <v>+1</v>
      </c>
    </row>
    <row r="172" spans="1:8" ht="12.75">
      <c r="A172" t="str">
        <f ca="1">IFERROR(__xludf.DUMMYFUNCTION("""COMPUTED_VALUE"""),"T170")</f>
        <v>T170</v>
      </c>
      <c r="B172" t="str">
        <f ca="1">IFERROR(__xludf.DUMMYFUNCTION("""COMPUTED_VALUE"""),"T169")</f>
        <v>T169</v>
      </c>
      <c r="C172" t="str">
        <f ca="1">IFERROR(__xludf.DUMMYFUNCTION("""COMPUTED_VALUE"""),"Johnson Wagner")</f>
        <v>Johnson Wagner</v>
      </c>
      <c r="D172">
        <f ca="1">IFERROR(__xludf.DUMMYFUNCTION("""COMPUTED_VALUE"""),8)</f>
        <v>8</v>
      </c>
      <c r="E172" t="str">
        <f ca="1">IFERROR(__xludf.DUMMYFUNCTION("""COMPUTED_VALUE"""),"34' 6""")</f>
        <v>34' 6"</v>
      </c>
      <c r="F172">
        <f ca="1">IFERROR(__xludf.DUMMYFUNCTION("""COMPUTED_VALUE"""),172.667)</f>
        <v>172.667</v>
      </c>
      <c r="G172">
        <f ca="1">IFERROR(__xludf.DUMMYFUNCTION("""COMPUTED_VALUE"""),5)</f>
        <v>5</v>
      </c>
      <c r="H172" t="str">
        <f ca="1">IFERROR(__xludf.DUMMYFUNCTION("""COMPUTED_VALUE"""),"+1")</f>
        <v>+1</v>
      </c>
    </row>
    <row r="173" spans="1:8" ht="12.75">
      <c r="A173" t="str">
        <f ca="1">IFERROR(__xludf.DUMMYFUNCTION("""COMPUTED_VALUE"""),"T172")</f>
        <v>T172</v>
      </c>
      <c r="B173" t="str">
        <f ca="1">IFERROR(__xludf.DUMMYFUNCTION("""COMPUTED_VALUE"""),"T89")</f>
        <v>T89</v>
      </c>
      <c r="C173" t="str">
        <f ca="1">IFERROR(__xludf.DUMMYFUNCTION("""COMPUTED_VALUE"""),"Brice Garnett")</f>
        <v>Brice Garnett</v>
      </c>
      <c r="D173">
        <f ca="1">IFERROR(__xludf.DUMMYFUNCTION("""COMPUTED_VALUE"""),22)</f>
        <v>22</v>
      </c>
      <c r="E173" t="str">
        <f ca="1">IFERROR(__xludf.DUMMYFUNCTION("""COMPUTED_VALUE"""),"34' 7""")</f>
        <v>34' 7"</v>
      </c>
      <c r="F173">
        <f ca="1">IFERROR(__xludf.DUMMYFUNCTION("""COMPUTED_VALUE"""),969.083)</f>
        <v>969.08299999999997</v>
      </c>
      <c r="G173">
        <f ca="1">IFERROR(__xludf.DUMMYFUNCTION("""COMPUTED_VALUE"""),28)</f>
        <v>28</v>
      </c>
      <c r="H173" t="str">
        <f ca="1">IFERROR(__xludf.DUMMYFUNCTION("""COMPUTED_VALUE"""),"+2")</f>
        <v>+2</v>
      </c>
    </row>
    <row r="174" spans="1:8" ht="12.75">
      <c r="A174" t="str">
        <f ca="1">IFERROR(__xludf.DUMMYFUNCTION("""COMPUTED_VALUE"""),"T172")</f>
        <v>T172</v>
      </c>
      <c r="B174">
        <f ca="1">IFERROR(__xludf.DUMMYFUNCTION("""COMPUTED_VALUE"""),171)</f>
        <v>171</v>
      </c>
      <c r="C174" t="str">
        <f ca="1">IFERROR(__xludf.DUMMYFUNCTION("""COMPUTED_VALUE"""),"Cameron Smith")</f>
        <v>Cameron Smith</v>
      </c>
      <c r="D174">
        <f ca="1">IFERROR(__xludf.DUMMYFUNCTION("""COMPUTED_VALUE"""),16)</f>
        <v>16</v>
      </c>
      <c r="E174" t="str">
        <f ca="1">IFERROR(__xludf.DUMMYFUNCTION("""COMPUTED_VALUE"""),"34' 7""")</f>
        <v>34' 7"</v>
      </c>
      <c r="F174" s="2">
        <f ca="1">IFERROR(__xludf.DUMMYFUNCTION("""COMPUTED_VALUE"""),1450.75)</f>
        <v>1450.75</v>
      </c>
      <c r="G174">
        <f ca="1">IFERROR(__xludf.DUMMYFUNCTION("""COMPUTED_VALUE"""),42)</f>
        <v>42</v>
      </c>
      <c r="H174">
        <f ca="1">IFERROR(__xludf.DUMMYFUNCTION("""COMPUTED_VALUE"""),-3)</f>
        <v>-3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IFERROR(__xludf.DUMMYFUNCTION("""COMPUTED_VALUE"""),"T173")</f>
        <v>T173</v>
      </c>
      <c r="C175" t="str">
        <f ca="1">IFERROR(__xludf.DUMMYFUNCTION("""COMPUTED_VALUE"""),"Mikumu Horikawa")</f>
        <v>Mikumu Horikawa</v>
      </c>
      <c r="D175">
        <f ca="1">IFERROR(__xludf.DUMMYFUNCTION("""COMPUTED_VALUE"""),4)</f>
        <v>4</v>
      </c>
      <c r="E175" t="str">
        <f ca="1">IFERROR(__xludf.DUMMYFUNCTION("""COMPUTED_VALUE"""),"34' 9""")</f>
        <v>34' 9"</v>
      </c>
      <c r="F175">
        <f ca="1">IFERROR(__xludf.DUMMYFUNCTION("""COMPUTED_VALUE"""),486.333)</f>
        <v>486.33300000000003</v>
      </c>
      <c r="G175">
        <f ca="1">IFERROR(__xludf.DUMMYFUNCTION("""COMPUTED_VALUE"""),14)</f>
        <v>14</v>
      </c>
      <c r="H175" t="str">
        <f ca="1">IFERROR(__xludf.DUMMYFUNCTION("""COMPUTED_VALUE"""),"+2")</f>
        <v>+2</v>
      </c>
    </row>
    <row r="176" spans="1:8" ht="12.75">
      <c r="A176" t="str">
        <f ca="1">IFERROR(__xludf.DUMMYFUNCTION("""COMPUTED_VALUE"""),"T174")</f>
        <v>T174</v>
      </c>
      <c r="B176">
        <f ca="1">IFERROR(__xludf.DUMMYFUNCTION("""COMPUTED_VALUE"""),244)</f>
        <v>244</v>
      </c>
      <c r="C176" t="str">
        <f ca="1">IFERROR(__xludf.DUMMYFUNCTION("""COMPUTED_VALUE"""),"Adam Scott")</f>
        <v>Adam Scott</v>
      </c>
      <c r="D176">
        <f ca="1">IFERROR(__xludf.DUMMYFUNCTION("""COMPUTED_VALUE"""),8)</f>
        <v>8</v>
      </c>
      <c r="E176" t="str">
        <f ca="1">IFERROR(__xludf.DUMMYFUNCTION("""COMPUTED_VALUE"""),"34' 9""")</f>
        <v>34' 9"</v>
      </c>
      <c r="F176">
        <f ca="1">IFERROR(__xludf.DUMMYFUNCTION("""COMPUTED_VALUE"""),521)</f>
        <v>521</v>
      </c>
      <c r="G176">
        <f ca="1">IFERROR(__xludf.DUMMYFUNCTION("""COMPUTED_VALUE"""),15)</f>
        <v>15</v>
      </c>
      <c r="H176">
        <f ca="1">IFERROR(__xludf.DUMMYFUNCTION("""COMPUTED_VALUE"""),-1)</f>
        <v>-1</v>
      </c>
    </row>
    <row r="177" spans="1:8" ht="12.75">
      <c r="A177">
        <f ca="1">IFERROR(__xludf.DUMMYFUNCTION("""COMPUTED_VALUE"""),176)</f>
        <v>176</v>
      </c>
      <c r="B177" t="str">
        <f ca="1">IFERROR(__xludf.DUMMYFUNCTION("""COMPUTED_VALUE"""),"T185")</f>
        <v>T185</v>
      </c>
      <c r="C177" t="str">
        <f ca="1">IFERROR(__xludf.DUMMYFUNCTION("""COMPUTED_VALUE"""),"Lanto Griffin")</f>
        <v>Lanto Griffin</v>
      </c>
      <c r="D177">
        <f ca="1">IFERROR(__xludf.DUMMYFUNCTION("""COMPUTED_VALUE"""),18)</f>
        <v>18</v>
      </c>
      <c r="E177" t="str">
        <f ca="1">IFERROR(__xludf.DUMMYFUNCTION("""COMPUTED_VALUE"""),"34' 10""")</f>
        <v>34' 10"</v>
      </c>
      <c r="F177" s="2">
        <f ca="1">IFERROR(__xludf.DUMMYFUNCTION("""COMPUTED_VALUE"""),1743.333)</f>
        <v>1743.3330000000001</v>
      </c>
      <c r="G177">
        <f ca="1">IFERROR(__xludf.DUMMYFUNCTION("""COMPUTED_VALUE"""),50)</f>
        <v>50</v>
      </c>
      <c r="H177">
        <f ca="1">IFERROR(__xludf.DUMMYFUNCTION("""COMPUTED_VALUE"""),-1)</f>
        <v>-1</v>
      </c>
    </row>
    <row r="178" spans="1:8" ht="12.75">
      <c r="A178" t="str">
        <f ca="1">IFERROR(__xludf.DUMMYFUNCTION("""COMPUTED_VALUE"""),"T177")</f>
        <v>T177</v>
      </c>
      <c r="B178">
        <f ca="1">IFERROR(__xludf.DUMMYFUNCTION("""COMPUTED_VALUE"""),195)</f>
        <v>195</v>
      </c>
      <c r="C178" t="str">
        <f ca="1">IFERROR(__xludf.DUMMYFUNCTION("""COMPUTED_VALUE"""),"Adam Schenk")</f>
        <v>Adam Schenk</v>
      </c>
      <c r="D178">
        <f ca="1">IFERROR(__xludf.DUMMYFUNCTION("""COMPUTED_VALUE"""),22)</f>
        <v>22</v>
      </c>
      <c r="E178" t="str">
        <f ca="1">IFERROR(__xludf.DUMMYFUNCTION("""COMPUTED_VALUE"""),"34' 11""")</f>
        <v>34' 11"</v>
      </c>
      <c r="F178" s="2">
        <f ca="1">IFERROR(__xludf.DUMMYFUNCTION("""COMPUTED_VALUE"""),1047.917)</f>
        <v>1047.9169999999999</v>
      </c>
      <c r="G178">
        <f ca="1">IFERROR(__xludf.DUMMYFUNCTION("""COMPUTED_VALUE"""),30)</f>
        <v>30</v>
      </c>
      <c r="H178" t="str">
        <f ca="1">IFERROR(__xludf.DUMMYFUNCTION("""COMPUTED_VALUE"""),"+1")</f>
        <v>+1</v>
      </c>
    </row>
    <row r="179" spans="1:8" ht="12.75">
      <c r="A179" t="str">
        <f ca="1">IFERROR(__xludf.DUMMYFUNCTION("""COMPUTED_VALUE"""),"T177")</f>
        <v>T177</v>
      </c>
      <c r="B179" t="str">
        <f ca="1">IFERROR(__xludf.DUMMYFUNCTION("""COMPUTED_VALUE"""),"T176")</f>
        <v>T176</v>
      </c>
      <c r="C179" t="str">
        <f ca="1">IFERROR(__xludf.DUMMYFUNCTION("""COMPUTED_VALUE"""),"Robert Streb")</f>
        <v>Robert Streb</v>
      </c>
      <c r="D179">
        <f ca="1">IFERROR(__xludf.DUMMYFUNCTION("""COMPUTED_VALUE"""),12)</f>
        <v>12</v>
      </c>
      <c r="E179" t="str">
        <f ca="1">IFERROR(__xludf.DUMMYFUNCTION("""COMPUTED_VALUE"""),"34' 11""")</f>
        <v>34' 11"</v>
      </c>
      <c r="F179">
        <f ca="1">IFERROR(__xludf.DUMMYFUNCTION("""COMPUTED_VALUE"""),244.417)</f>
        <v>244.417</v>
      </c>
      <c r="G179">
        <f ca="1">IFERROR(__xludf.DUMMYFUNCTION("""COMPUTED_VALUE"""),7)</f>
        <v>7</v>
      </c>
      <c r="H179" t="str">
        <f ca="1">IFERROR(__xludf.DUMMYFUNCTION("""COMPUTED_VALUE"""),"E")</f>
        <v>E</v>
      </c>
    </row>
    <row r="180" spans="1:8" ht="12.75">
      <c r="A180" t="str">
        <f ca="1">IFERROR(__xludf.DUMMYFUNCTION("""COMPUTED_VALUE"""),"T177")</f>
        <v>T177</v>
      </c>
      <c r="B180" t="str">
        <f ca="1">IFERROR(__xludf.DUMMYFUNCTION("""COMPUTED_VALUE"""),"T176")</f>
        <v>T176</v>
      </c>
      <c r="C180" t="str">
        <f ca="1">IFERROR(__xludf.DUMMYFUNCTION("""COMPUTED_VALUE"""),"Ryan Blaum")</f>
        <v>Ryan Blaum</v>
      </c>
      <c r="D180">
        <f ca="1">IFERROR(__xludf.DUMMYFUNCTION("""COMPUTED_VALUE"""),8)</f>
        <v>8</v>
      </c>
      <c r="E180" t="str">
        <f ca="1">IFERROR(__xludf.DUMMYFUNCTION("""COMPUTED_VALUE"""),"34' 11""")</f>
        <v>34' 11"</v>
      </c>
      <c r="F180">
        <f ca="1">IFERROR(__xludf.DUMMYFUNCTION("""COMPUTED_VALUE"""),209.417)</f>
        <v>209.417</v>
      </c>
      <c r="G180">
        <f ca="1">IFERROR(__xludf.DUMMYFUNCTION("""COMPUTED_VALUE"""),6)</f>
        <v>6</v>
      </c>
      <c r="H180" t="str">
        <f ca="1">IFERROR(__xludf.DUMMYFUNCTION("""COMPUTED_VALUE"""),"+1")</f>
        <v>+1</v>
      </c>
    </row>
    <row r="181" spans="1:8" ht="12.75">
      <c r="A181">
        <f ca="1">IFERROR(__xludf.DUMMYFUNCTION("""COMPUTED_VALUE"""),180)</f>
        <v>180</v>
      </c>
      <c r="B181" t="str">
        <f ca="1">IFERROR(__xludf.DUMMYFUNCTION("""COMPUTED_VALUE"""),"T211")</f>
        <v>T211</v>
      </c>
      <c r="C181" t="str">
        <f ca="1">IFERROR(__xludf.DUMMYFUNCTION("""COMPUTED_VALUE"""),"D.A. Points")</f>
        <v>D.A. Points</v>
      </c>
      <c r="D181">
        <f ca="1">IFERROR(__xludf.DUMMYFUNCTION("""COMPUTED_VALUE"""),12)</f>
        <v>12</v>
      </c>
      <c r="E181" t="str">
        <f ca="1">IFERROR(__xludf.DUMMYFUNCTION("""COMPUTED_VALUE"""),"35' 0""")</f>
        <v>35' 0"</v>
      </c>
      <c r="F181">
        <f ca="1">IFERROR(__xludf.DUMMYFUNCTION("""COMPUTED_VALUE"""),455)</f>
        <v>455</v>
      </c>
      <c r="G181">
        <f ca="1">IFERROR(__xludf.DUMMYFUNCTION("""COMPUTED_VALUE"""),13)</f>
        <v>13</v>
      </c>
      <c r="H181" t="str">
        <f ca="1">IFERROR(__xludf.DUMMYFUNCTION("""COMPUTED_VALUE"""),"+1")</f>
        <v>+1</v>
      </c>
    </row>
    <row r="182" spans="1:8" ht="12.75">
      <c r="A182">
        <f ca="1">IFERROR(__xludf.DUMMYFUNCTION("""COMPUTED_VALUE"""),181)</f>
        <v>181</v>
      </c>
      <c r="B182" t="str">
        <f ca="1">IFERROR(__xludf.DUMMYFUNCTION("""COMPUTED_VALUE"""),"T121")</f>
        <v>T121</v>
      </c>
      <c r="C182" t="str">
        <f ca="1">IFERROR(__xludf.DUMMYFUNCTION("""COMPUTED_VALUE"""),"Charley Hoffman")</f>
        <v>Charley Hoffman</v>
      </c>
      <c r="D182">
        <f ca="1">IFERROR(__xludf.DUMMYFUNCTION("""COMPUTED_VALUE"""),20)</f>
        <v>20</v>
      </c>
      <c r="E182" t="str">
        <f ca="1">IFERROR(__xludf.DUMMYFUNCTION("""COMPUTED_VALUE"""),"35' 1""")</f>
        <v>35' 1"</v>
      </c>
      <c r="F182" s="2">
        <f ca="1">IFERROR(__xludf.DUMMYFUNCTION("""COMPUTED_VALUE"""),1016.417)</f>
        <v>1016.417</v>
      </c>
      <c r="G182">
        <f ca="1">IFERROR(__xludf.DUMMYFUNCTION("""COMPUTED_VALUE"""),29)</f>
        <v>29</v>
      </c>
      <c r="H182">
        <f ca="1">IFERROR(__xludf.DUMMYFUNCTION("""COMPUTED_VALUE"""),-3)</f>
        <v>-3</v>
      </c>
    </row>
    <row r="183" spans="1:8" ht="12.75">
      <c r="A183">
        <f ca="1">IFERROR(__xludf.DUMMYFUNCTION("""COMPUTED_VALUE"""),182)</f>
        <v>182</v>
      </c>
      <c r="B183">
        <f ca="1">IFERROR(__xludf.DUMMYFUNCTION("""COMPUTED_VALUE"""),179)</f>
        <v>179</v>
      </c>
      <c r="C183" t="str">
        <f ca="1">IFERROR(__xludf.DUMMYFUNCTION("""COMPUTED_VALUE"""),"Adam Hadwin")</f>
        <v>Adam Hadwin</v>
      </c>
      <c r="D183">
        <f ca="1">IFERROR(__xludf.DUMMYFUNCTION("""COMPUTED_VALUE"""),16)</f>
        <v>16</v>
      </c>
      <c r="E183" t="str">
        <f ca="1">IFERROR(__xludf.DUMMYFUNCTION("""COMPUTED_VALUE"""),"35' 2""")</f>
        <v>35' 2"</v>
      </c>
      <c r="F183" s="2">
        <f ca="1">IFERROR(__xludf.DUMMYFUNCTION("""COMPUTED_VALUE"""),1441.75)</f>
        <v>1441.75</v>
      </c>
      <c r="G183">
        <f ca="1">IFERROR(__xludf.DUMMYFUNCTION("""COMPUTED_VALUE"""),41)</f>
        <v>41</v>
      </c>
      <c r="H183" t="str">
        <f ca="1">IFERROR(__xludf.DUMMYFUNCTION("""COMPUTED_VALUE"""),"+3")</f>
        <v>+3</v>
      </c>
    </row>
    <row r="184" spans="1:8" ht="12.75">
      <c r="A184" t="str">
        <f ca="1">IFERROR(__xludf.DUMMYFUNCTION("""COMPUTED_VALUE"""),"T183")</f>
        <v>T183</v>
      </c>
      <c r="B184" t="str">
        <f ca="1">IFERROR(__xludf.DUMMYFUNCTION("""COMPUTED_VALUE"""),"T159")</f>
        <v>T159</v>
      </c>
      <c r="C184" t="str">
        <f ca="1">IFERROR(__xludf.DUMMYFUNCTION("""COMPUTED_VALUE"""),"Troy Merritt")</f>
        <v>Troy Merritt</v>
      </c>
      <c r="D184">
        <f ca="1">IFERROR(__xludf.DUMMYFUNCTION("""COMPUTED_VALUE"""),20)</f>
        <v>20</v>
      </c>
      <c r="E184" t="str">
        <f ca="1">IFERROR(__xludf.DUMMYFUNCTION("""COMPUTED_VALUE"""),"35' 4""")</f>
        <v>35' 4"</v>
      </c>
      <c r="F184" s="2">
        <f ca="1">IFERROR(__xludf.DUMMYFUNCTION("""COMPUTED_VALUE"""),1308.75)</f>
        <v>1308.75</v>
      </c>
      <c r="G184">
        <f ca="1">IFERROR(__xludf.DUMMYFUNCTION("""COMPUTED_VALUE"""),37)</f>
        <v>37</v>
      </c>
      <c r="H184" t="str">
        <f ca="1">IFERROR(__xludf.DUMMYFUNCTION("""COMPUTED_VALUE"""),"+7")</f>
        <v>+7</v>
      </c>
    </row>
    <row r="185" spans="1:8" ht="12.75">
      <c r="A185" t="str">
        <f ca="1">IFERROR(__xludf.DUMMYFUNCTION("""COMPUTED_VALUE"""),"T183")</f>
        <v>T183</v>
      </c>
      <c r="B185">
        <f ca="1">IFERROR(__xludf.DUMMYFUNCTION("""COMPUTED_VALUE"""),183)</f>
        <v>183</v>
      </c>
      <c r="C185" t="str">
        <f ca="1">IFERROR(__xludf.DUMMYFUNCTION("""COMPUTED_VALUE"""),"Mackenzie Hughes")</f>
        <v>Mackenzie Hughes</v>
      </c>
      <c r="D185">
        <f ca="1">IFERROR(__xludf.DUMMYFUNCTION("""COMPUTED_VALUE"""),18)</f>
        <v>18</v>
      </c>
      <c r="E185" t="str">
        <f ca="1">IFERROR(__xludf.DUMMYFUNCTION("""COMPUTED_VALUE"""),"35' 4""")</f>
        <v>35' 4"</v>
      </c>
      <c r="F185" s="2">
        <f ca="1">IFERROR(__xludf.DUMMYFUNCTION("""COMPUTED_VALUE"""),1341.083)</f>
        <v>1341.0830000000001</v>
      </c>
      <c r="G185">
        <f ca="1">IFERROR(__xludf.DUMMYFUNCTION("""COMPUTED_VALUE"""),38)</f>
        <v>38</v>
      </c>
      <c r="H185">
        <f ca="1">IFERROR(__xludf.DUMMYFUNCTION("""COMPUTED_VALUE"""),-3)</f>
        <v>-3</v>
      </c>
    </row>
    <row r="186" spans="1:8" ht="12.75">
      <c r="A186">
        <f ca="1">IFERROR(__xludf.DUMMYFUNCTION("""COMPUTED_VALUE"""),185)</f>
        <v>185</v>
      </c>
      <c r="B186" t="str">
        <f ca="1">IFERROR(__xludf.DUMMYFUNCTION("""COMPUTED_VALUE"""),"T98")</f>
        <v>T98</v>
      </c>
      <c r="C186" t="str">
        <f ca="1">IFERROR(__xludf.DUMMYFUNCTION("""COMPUTED_VALUE"""),"Bo Van Pelt")</f>
        <v>Bo Van Pelt</v>
      </c>
      <c r="D186">
        <f ca="1">IFERROR(__xludf.DUMMYFUNCTION("""COMPUTED_VALUE"""),10)</f>
        <v>10</v>
      </c>
      <c r="E186" t="str">
        <f ca="1">IFERROR(__xludf.DUMMYFUNCTION("""COMPUTED_VALUE"""),"35' 5""")</f>
        <v>35' 5"</v>
      </c>
      <c r="F186">
        <f ca="1">IFERROR(__xludf.DUMMYFUNCTION("""COMPUTED_VALUE"""),567.167)</f>
        <v>567.16700000000003</v>
      </c>
      <c r="G186">
        <f ca="1">IFERROR(__xludf.DUMMYFUNCTION("""COMPUTED_VALUE"""),16)</f>
        <v>16</v>
      </c>
      <c r="H186" t="str">
        <f ca="1">IFERROR(__xludf.DUMMYFUNCTION("""COMPUTED_VALUE"""),"+3")</f>
        <v>+3</v>
      </c>
    </row>
    <row r="187" spans="1:8" ht="12.75">
      <c r="A187">
        <f ca="1">IFERROR(__xludf.DUMMYFUNCTION("""COMPUTED_VALUE"""),186)</f>
        <v>186</v>
      </c>
      <c r="B187">
        <f ca="1">IFERROR(__xludf.DUMMYFUNCTION("""COMPUTED_VALUE"""),20)</f>
        <v>20</v>
      </c>
      <c r="C187" t="str">
        <f ca="1">IFERROR(__xludf.DUMMYFUNCTION("""COMPUTED_VALUE"""),"David Hearn")</f>
        <v>David Hearn</v>
      </c>
      <c r="D187">
        <f ca="1">IFERROR(__xludf.DUMMYFUNCTION("""COMPUTED_VALUE"""),16)</f>
        <v>16</v>
      </c>
      <c r="E187" t="str">
        <f ca="1">IFERROR(__xludf.DUMMYFUNCTION("""COMPUTED_VALUE"""),"35' 6""")</f>
        <v>35' 6"</v>
      </c>
      <c r="F187">
        <f ca="1">IFERROR(__xludf.DUMMYFUNCTION("""COMPUTED_VALUE"""),603.583)</f>
        <v>603.58299999999997</v>
      </c>
      <c r="G187">
        <f ca="1">IFERROR(__xludf.DUMMYFUNCTION("""COMPUTED_VALUE"""),17)</f>
        <v>17</v>
      </c>
      <c r="H187" t="str">
        <f ca="1">IFERROR(__xludf.DUMMYFUNCTION("""COMPUTED_VALUE"""),"E")</f>
        <v>E</v>
      </c>
    </row>
    <row r="188" spans="1:8" ht="12.75">
      <c r="A188" t="str">
        <f ca="1">IFERROR(__xludf.DUMMYFUNCTION("""COMPUTED_VALUE"""),"T187")</f>
        <v>T187</v>
      </c>
      <c r="B188">
        <f ca="1">IFERROR(__xludf.DUMMYFUNCTION("""COMPUTED_VALUE"""),31)</f>
        <v>31</v>
      </c>
      <c r="C188" t="str">
        <f ca="1">IFERROR(__xludf.DUMMYFUNCTION("""COMPUTED_VALUE"""),"Scott Piercy")</f>
        <v>Scott Piercy</v>
      </c>
      <c r="D188">
        <f ca="1">IFERROR(__xludf.DUMMYFUNCTION("""COMPUTED_VALUE"""),18)</f>
        <v>18</v>
      </c>
      <c r="E188" t="str">
        <f ca="1">IFERROR(__xludf.DUMMYFUNCTION("""COMPUTED_VALUE"""),"35' 7""")</f>
        <v>35' 7"</v>
      </c>
      <c r="F188">
        <f ca="1">IFERROR(__xludf.DUMMYFUNCTION("""COMPUTED_VALUE"""),924.417)</f>
        <v>924.41700000000003</v>
      </c>
      <c r="G188">
        <f ca="1">IFERROR(__xludf.DUMMYFUNCTION("""COMPUTED_VALUE"""),26)</f>
        <v>26</v>
      </c>
      <c r="H188" t="str">
        <f ca="1">IFERROR(__xludf.DUMMYFUNCTION("""COMPUTED_VALUE"""),"E")</f>
        <v>E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IFERROR(__xludf.DUMMYFUNCTION("""COMPUTED_VALUE"""),"T232")</f>
        <v>T232</v>
      </c>
      <c r="C189" t="str">
        <f ca="1">IFERROR(__xludf.DUMMYFUNCTION("""COMPUTED_VALUE"""),"Patrick Rodgers")</f>
        <v>Patrick Rodgers</v>
      </c>
      <c r="D189">
        <f ca="1">IFERROR(__xludf.DUMMYFUNCTION("""COMPUTED_VALUE"""),18)</f>
        <v>18</v>
      </c>
      <c r="E189" t="str">
        <f ca="1">IFERROR(__xludf.DUMMYFUNCTION("""COMPUTED_VALUE"""),"35' 7""")</f>
        <v>35' 7"</v>
      </c>
      <c r="F189">
        <f ca="1">IFERROR(__xludf.DUMMYFUNCTION("""COMPUTED_VALUE"""),675.333)</f>
        <v>675.33299999999997</v>
      </c>
      <c r="G189">
        <f ca="1">IFERROR(__xludf.DUMMYFUNCTION("""COMPUTED_VALUE"""),19)</f>
        <v>19</v>
      </c>
      <c r="H189" t="str">
        <f ca="1">IFERROR(__xludf.DUMMYFUNCTION("""COMPUTED_VALUE"""),"+3")</f>
        <v>+3</v>
      </c>
    </row>
    <row r="190" spans="1:8" ht="12.75">
      <c r="A190">
        <f ca="1">IFERROR(__xludf.DUMMYFUNCTION("""COMPUTED_VALUE"""),189)</f>
        <v>189</v>
      </c>
      <c r="B190" t="str">
        <f ca="1">IFERROR(__xludf.DUMMYFUNCTION("""COMPUTED_VALUE"""),"T185")</f>
        <v>T185</v>
      </c>
      <c r="C190" t="str">
        <f ca="1">IFERROR(__xludf.DUMMYFUNCTION("""COMPUTED_VALUE"""),"Paul Casey")</f>
        <v>Paul Casey</v>
      </c>
      <c r="D190">
        <f ca="1">IFERROR(__xludf.DUMMYFUNCTION("""COMPUTED_VALUE"""),14)</f>
        <v>14</v>
      </c>
      <c r="E190" t="str">
        <f ca="1">IFERROR(__xludf.DUMMYFUNCTION("""COMPUTED_VALUE"""),"35' 9""")</f>
        <v>35' 9"</v>
      </c>
      <c r="F190" s="2">
        <f ca="1">IFERROR(__xludf.DUMMYFUNCTION("""COMPUTED_VALUE"""),1394.333)</f>
        <v>1394.3330000000001</v>
      </c>
      <c r="G190">
        <f ca="1">IFERROR(__xludf.DUMMYFUNCTION("""COMPUTED_VALUE"""),39)</f>
        <v>39</v>
      </c>
      <c r="H190" t="str">
        <f ca="1">IFERROR(__xludf.DUMMYFUNCTION("""COMPUTED_VALUE"""),"+3")</f>
        <v>+3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IFERROR(__xludf.DUMMYFUNCTION("""COMPUTED_VALUE"""),"T71")</f>
        <v>T71</v>
      </c>
      <c r="C191" t="str">
        <f ca="1">IFERROR(__xludf.DUMMYFUNCTION("""COMPUTED_VALUE"""),"Keith Mitchell")</f>
        <v>Keith Mitchell</v>
      </c>
      <c r="D191">
        <f ca="1">IFERROR(__xludf.DUMMYFUNCTION("""COMPUTED_VALUE"""),14)</f>
        <v>14</v>
      </c>
      <c r="E191" t="str">
        <f ca="1">IFERROR(__xludf.DUMMYFUNCTION("""COMPUTED_VALUE"""),"35' 10""")</f>
        <v>35' 10"</v>
      </c>
      <c r="F191">
        <f ca="1">IFERROR(__xludf.DUMMYFUNCTION("""COMPUTED_VALUE"""),358.583)</f>
        <v>358.58300000000003</v>
      </c>
      <c r="G191">
        <f ca="1">IFERROR(__xludf.DUMMYFUNCTION("""COMPUTED_VALUE"""),10)</f>
        <v>10</v>
      </c>
      <c r="H191" t="str">
        <f ca="1">IFERROR(__xludf.DUMMYFUNCTION("""COMPUTED_VALUE"""),"+4")</f>
        <v>+4</v>
      </c>
    </row>
    <row r="192" spans="1:8" ht="12.75">
      <c r="A192" t="str">
        <f ca="1">IFERROR(__xludf.DUMMYFUNCTION("""COMPUTED_VALUE"""),"T190")</f>
        <v>T190</v>
      </c>
      <c r="B192">
        <f ca="1">IFERROR(__xludf.DUMMYFUNCTION("""COMPUTED_VALUE"""),188)</f>
        <v>188</v>
      </c>
      <c r="C192" t="str">
        <f ca="1">IFERROR(__xludf.DUMMYFUNCTION("""COMPUTED_VALUE"""),"Chase Seiffert")</f>
        <v>Chase Seiffert</v>
      </c>
      <c r="D192">
        <f ca="1">IFERROR(__xludf.DUMMYFUNCTION("""COMPUTED_VALUE"""),14)</f>
        <v>14</v>
      </c>
      <c r="E192" t="str">
        <f ca="1">IFERROR(__xludf.DUMMYFUNCTION("""COMPUTED_VALUE"""),"35' 10""")</f>
        <v>35' 10"</v>
      </c>
      <c r="F192">
        <f ca="1">IFERROR(__xludf.DUMMYFUNCTION("""COMPUTED_VALUE"""),644.5)</f>
        <v>644.5</v>
      </c>
      <c r="G192">
        <f ca="1">IFERROR(__xludf.DUMMYFUNCTION("""COMPUTED_VALUE"""),18)</f>
        <v>18</v>
      </c>
      <c r="H192" t="str">
        <f ca="1">IFERROR(__xludf.DUMMYFUNCTION("""COMPUTED_VALUE"""),"+3")</f>
        <v>+3</v>
      </c>
    </row>
    <row r="193" spans="1:8" ht="12.75">
      <c r="A193" t="str">
        <f ca="1">IFERROR(__xludf.DUMMYFUNCTION("""COMPUTED_VALUE"""),"T192")</f>
        <v>T192</v>
      </c>
      <c r="B193">
        <f ca="1">IFERROR(__xludf.DUMMYFUNCTION("""COMPUTED_VALUE"""),189)</f>
        <v>189</v>
      </c>
      <c r="C193" t="str">
        <f ca="1">IFERROR(__xludf.DUMMYFUNCTION("""COMPUTED_VALUE"""),"Hank Lebioda")</f>
        <v>Hank Lebioda</v>
      </c>
      <c r="D193">
        <f ca="1">IFERROR(__xludf.DUMMYFUNCTION("""COMPUTED_VALUE"""),14)</f>
        <v>14</v>
      </c>
      <c r="E193" t="str">
        <f ca="1">IFERROR(__xludf.DUMMYFUNCTION("""COMPUTED_VALUE"""),"35' 11""")</f>
        <v>35' 11"</v>
      </c>
      <c r="F193">
        <f ca="1">IFERROR(__xludf.DUMMYFUNCTION("""COMPUTED_VALUE"""),395.333)</f>
        <v>395.33300000000003</v>
      </c>
      <c r="G193">
        <f ca="1">IFERROR(__xludf.DUMMYFUNCTION("""COMPUTED_VALUE"""),11)</f>
        <v>11</v>
      </c>
      <c r="H193">
        <f ca="1">IFERROR(__xludf.DUMMYFUNCTION("""COMPUTED_VALUE"""),-1)</f>
        <v>-1</v>
      </c>
    </row>
    <row r="194" spans="1:8" ht="12.75">
      <c r="A194" t="str">
        <f ca="1">IFERROR(__xludf.DUMMYFUNCTION("""COMPUTED_VALUE"""),"T192")</f>
        <v>T192</v>
      </c>
      <c r="B194" t="str">
        <f ca="1">IFERROR(__xludf.DUMMYFUNCTION("""COMPUTED_VALUE"""),"T151")</f>
        <v>T151</v>
      </c>
      <c r="C194" t="str">
        <f ca="1">IFERROR(__xludf.DUMMYFUNCTION("""COMPUTED_VALUE"""),"Patton Kizzire")</f>
        <v>Patton Kizzire</v>
      </c>
      <c r="D194">
        <f ca="1">IFERROR(__xludf.DUMMYFUNCTION("""COMPUTED_VALUE"""),18)</f>
        <v>18</v>
      </c>
      <c r="E194" t="str">
        <f ca="1">IFERROR(__xludf.DUMMYFUNCTION("""COMPUTED_VALUE"""),"35' 11""")</f>
        <v>35' 11"</v>
      </c>
      <c r="F194" s="2">
        <f ca="1">IFERROR(__xludf.DUMMYFUNCTION("""COMPUTED_VALUE"""),1185.25)</f>
        <v>1185.25</v>
      </c>
      <c r="G194">
        <f ca="1">IFERROR(__xludf.DUMMYFUNCTION("""COMPUTED_VALUE"""),33)</f>
        <v>33</v>
      </c>
      <c r="H194">
        <f ca="1">IFERROR(__xludf.DUMMYFUNCTION("""COMPUTED_VALUE"""),-2)</f>
        <v>-2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IFERROR(__xludf.DUMMYFUNCTION("""COMPUTED_VALUE"""),"T190")</f>
        <v>T190</v>
      </c>
      <c r="C195" t="str">
        <f ca="1">IFERROR(__xludf.DUMMYFUNCTION("""COMPUTED_VALUE"""),"K.J. Choi")</f>
        <v>K.J. Choi</v>
      </c>
      <c r="D195">
        <f ca="1">IFERROR(__xludf.DUMMYFUNCTION("""COMPUTED_VALUE"""),6)</f>
        <v>6</v>
      </c>
      <c r="E195" t="str">
        <f ca="1">IFERROR(__xludf.DUMMYFUNCTION("""COMPUTED_VALUE"""),"36' 0""")</f>
        <v>36' 0"</v>
      </c>
      <c r="F195">
        <f ca="1">IFERROR(__xludf.DUMMYFUNCTION("""COMPUTED_VALUE"""),539.583)</f>
        <v>539.58299999999997</v>
      </c>
      <c r="G195">
        <f ca="1">IFERROR(__xludf.DUMMYFUNCTION("""COMPUTED_VALUE"""),15)</f>
        <v>15</v>
      </c>
      <c r="H195" t="str">
        <f ca="1">IFERROR(__xludf.DUMMYFUNCTION("""COMPUTED_VALUE"""),"+2")</f>
        <v>+2</v>
      </c>
    </row>
    <row r="196" spans="1:8" ht="12.75">
      <c r="A196" t="str">
        <f ca="1">IFERROR(__xludf.DUMMYFUNCTION("""COMPUTED_VALUE"""),"T194")</f>
        <v>T194</v>
      </c>
      <c r="B196" t="str">
        <f ca="1">IFERROR(__xludf.DUMMYFUNCTION("""COMPUTED_VALUE"""),"T190")</f>
        <v>T190</v>
      </c>
      <c r="C196" t="str">
        <f ca="1">IFERROR(__xludf.DUMMYFUNCTION("""COMPUTED_VALUE"""),"Jay McLuen")</f>
        <v>Jay McLuen</v>
      </c>
      <c r="D196">
        <f ca="1">IFERROR(__xludf.DUMMYFUNCTION("""COMPUTED_VALUE"""),4)</f>
        <v>4</v>
      </c>
      <c r="E196" t="str">
        <f ca="1">IFERROR(__xludf.DUMMYFUNCTION("""COMPUTED_VALUE"""),"36' 0""")</f>
        <v>36' 0"</v>
      </c>
      <c r="F196">
        <f ca="1">IFERROR(__xludf.DUMMYFUNCTION("""COMPUTED_VALUE"""),215.833)</f>
        <v>215.833</v>
      </c>
      <c r="G196">
        <f ca="1">IFERROR(__xludf.DUMMYFUNCTION("""COMPUTED_VALUE"""),6)</f>
        <v>6</v>
      </c>
      <c r="H196" t="str">
        <f ca="1">IFERROR(__xludf.DUMMYFUNCTION("""COMPUTED_VALUE"""),"E")</f>
        <v>E</v>
      </c>
    </row>
    <row r="197" spans="1:8" ht="12.75">
      <c r="A197" t="str">
        <f ca="1">IFERROR(__xludf.DUMMYFUNCTION("""COMPUTED_VALUE"""),"T196")</f>
        <v>T196</v>
      </c>
      <c r="B197" t="str">
        <f ca="1">IFERROR(__xludf.DUMMYFUNCTION("""COMPUTED_VALUE"""),"T193")</f>
        <v>T193</v>
      </c>
      <c r="C197" t="str">
        <f ca="1">IFERROR(__xludf.DUMMYFUNCTION("""COMPUTED_VALUE"""),"Sangmoon Bae")</f>
        <v>Sangmoon Bae</v>
      </c>
      <c r="D197">
        <f ca="1">IFERROR(__xludf.DUMMYFUNCTION("""COMPUTED_VALUE"""),8)</f>
        <v>8</v>
      </c>
      <c r="E197" t="str">
        <f ca="1">IFERROR(__xludf.DUMMYFUNCTION("""COMPUTED_VALUE"""),"36' 4""")</f>
        <v>36' 4"</v>
      </c>
      <c r="F197">
        <f ca="1">IFERROR(__xludf.DUMMYFUNCTION("""COMPUTED_VALUE"""),108.917)</f>
        <v>108.917</v>
      </c>
      <c r="G197">
        <f ca="1">IFERROR(__xludf.DUMMYFUNCTION("""COMPUTED_VALUE"""),3)</f>
        <v>3</v>
      </c>
      <c r="H197" t="str">
        <f ca="1">IFERROR(__xludf.DUMMYFUNCTION("""COMPUTED_VALUE"""),"+1")</f>
        <v>+1</v>
      </c>
    </row>
    <row r="198" spans="1:8" ht="12.75">
      <c r="A198" t="str">
        <f ca="1">IFERROR(__xludf.DUMMYFUNCTION("""COMPUTED_VALUE"""),"T196")</f>
        <v>T196</v>
      </c>
      <c r="B198" t="str">
        <f ca="1">IFERROR(__xludf.DUMMYFUNCTION("""COMPUTED_VALUE"""),"T193")</f>
        <v>T193</v>
      </c>
      <c r="C198" t="str">
        <f ca="1">IFERROR(__xludf.DUMMYFUNCTION("""COMPUTED_VALUE"""),"Patrick Reed")</f>
        <v>Patrick Reed</v>
      </c>
      <c r="D198">
        <f ca="1">IFERROR(__xludf.DUMMYFUNCTION("""COMPUTED_VALUE"""),8)</f>
        <v>8</v>
      </c>
      <c r="E198" t="str">
        <f ca="1">IFERROR(__xludf.DUMMYFUNCTION("""COMPUTED_VALUE"""),"36' 4""")</f>
        <v>36' 4"</v>
      </c>
      <c r="F198">
        <f ca="1">IFERROR(__xludf.DUMMYFUNCTION("""COMPUTED_VALUE"""),727.417)</f>
        <v>727.41700000000003</v>
      </c>
      <c r="G198">
        <f ca="1">IFERROR(__xludf.DUMMYFUNCTION("""COMPUTED_VALUE"""),20)</f>
        <v>20</v>
      </c>
      <c r="H198" t="str">
        <f ca="1">IFERROR(__xludf.DUMMYFUNCTION("""COMPUTED_VALUE"""),"+1")</f>
        <v>+1</v>
      </c>
    </row>
    <row r="199" spans="1:8" ht="12.75">
      <c r="A199">
        <f ca="1">IFERROR(__xludf.DUMMYFUNCTION("""COMPUTED_VALUE"""),198)</f>
        <v>198</v>
      </c>
      <c r="B199">
        <f ca="1">IFERROR(__xludf.DUMMYFUNCTION("""COMPUTED_VALUE"""),201)</f>
        <v>201</v>
      </c>
      <c r="C199" t="str">
        <f ca="1">IFERROR(__xludf.DUMMYFUNCTION("""COMPUTED_VALUE"""),"Tony Finau")</f>
        <v>Tony Finau</v>
      </c>
      <c r="D199">
        <f ca="1">IFERROR(__xludf.DUMMYFUNCTION("""COMPUTED_VALUE"""),12)</f>
        <v>12</v>
      </c>
      <c r="E199" t="str">
        <f ca="1">IFERROR(__xludf.DUMMYFUNCTION("""COMPUTED_VALUE"""),"36' 7""")</f>
        <v>36' 7"</v>
      </c>
      <c r="F199" s="2">
        <f ca="1">IFERROR(__xludf.DUMMYFUNCTION("""COMPUTED_VALUE"""),1097.917)</f>
        <v>1097.9169999999999</v>
      </c>
      <c r="G199">
        <f ca="1">IFERROR(__xludf.DUMMYFUNCTION("""COMPUTED_VALUE"""),30)</f>
        <v>30</v>
      </c>
      <c r="H199" t="str">
        <f ca="1">IFERROR(__xludf.DUMMYFUNCTION("""COMPUTED_VALUE"""),"+3")</f>
        <v>+3</v>
      </c>
    </row>
    <row r="200" spans="1:8" ht="12.75">
      <c r="A200" t="str">
        <f ca="1">IFERROR(__xludf.DUMMYFUNCTION("""COMPUTED_VALUE"""),"T199")</f>
        <v>T199</v>
      </c>
      <c r="B200" t="str">
        <f ca="1">IFERROR(__xludf.DUMMYFUNCTION("""COMPUTED_VALUE"""),"T180")</f>
        <v>T180</v>
      </c>
      <c r="C200" t="str">
        <f ca="1">IFERROR(__xludf.DUMMYFUNCTION("""COMPUTED_VALUE"""),"Kramer Hickok")</f>
        <v>Kramer Hickok</v>
      </c>
      <c r="D200">
        <f ca="1">IFERROR(__xludf.DUMMYFUNCTION("""COMPUTED_VALUE"""),16)</f>
        <v>16</v>
      </c>
      <c r="E200" t="str">
        <f ca="1">IFERROR(__xludf.DUMMYFUNCTION("""COMPUTED_VALUE"""),"36' 8""")</f>
        <v>36' 8"</v>
      </c>
      <c r="F200">
        <f ca="1">IFERROR(__xludf.DUMMYFUNCTION("""COMPUTED_VALUE"""),696.333)</f>
        <v>696.33299999999997</v>
      </c>
      <c r="G200">
        <f ca="1">IFERROR(__xludf.DUMMYFUNCTION("""COMPUTED_VALUE"""),19)</f>
        <v>19</v>
      </c>
      <c r="H200" t="str">
        <f ca="1">IFERROR(__xludf.DUMMYFUNCTION("""COMPUTED_VALUE"""),"+2")</f>
        <v>+2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IFERROR(__xludf.DUMMYFUNCTION("""COMPUTED_VALUE"""),"T196")</f>
        <v>T196</v>
      </c>
      <c r="C201" t="str">
        <f ca="1">IFERROR(__xludf.DUMMYFUNCTION("""COMPUTED_VALUE"""),"Richy Werenski")</f>
        <v>Richy Werenski</v>
      </c>
      <c r="D201">
        <f ca="1">IFERROR(__xludf.DUMMYFUNCTION("""COMPUTED_VALUE"""),16)</f>
        <v>16</v>
      </c>
      <c r="E201" t="str">
        <f ca="1">IFERROR(__xludf.DUMMYFUNCTION("""COMPUTED_VALUE"""),"36' 8""")</f>
        <v>36' 8"</v>
      </c>
      <c r="F201" s="2">
        <f ca="1">IFERROR(__xludf.DUMMYFUNCTION("""COMPUTED_VALUE"""),1468)</f>
        <v>1468</v>
      </c>
      <c r="G201">
        <f ca="1">IFERROR(__xludf.DUMMYFUNCTION("""COMPUTED_VALUE"""),40)</f>
        <v>40</v>
      </c>
      <c r="H201" t="str">
        <f ca="1">IFERROR(__xludf.DUMMYFUNCTION("""COMPUTED_VALUE"""),"+3")</f>
        <v>+3</v>
      </c>
    </row>
    <row r="202" spans="1:8" ht="12.75">
      <c r="A202" t="str">
        <f ca="1">IFERROR(__xludf.DUMMYFUNCTION("""COMPUTED_VALUE"""),"T199")</f>
        <v>T199</v>
      </c>
      <c r="B202" t="str">
        <f ca="1">IFERROR(__xludf.DUMMYFUNCTION("""COMPUTED_VALUE"""),"T196")</f>
        <v>T196</v>
      </c>
      <c r="C202" t="str">
        <f ca="1">IFERROR(__xludf.DUMMYFUNCTION("""COMPUTED_VALUE"""),"Michael Gligic")</f>
        <v>Michael Gligic</v>
      </c>
      <c r="D202">
        <f ca="1">IFERROR(__xludf.DUMMYFUNCTION("""COMPUTED_VALUE"""),18)</f>
        <v>18</v>
      </c>
      <c r="E202" t="str">
        <f ca="1">IFERROR(__xludf.DUMMYFUNCTION("""COMPUTED_VALUE"""),"36' 8""")</f>
        <v>36' 8"</v>
      </c>
      <c r="F202">
        <f ca="1">IFERROR(__xludf.DUMMYFUNCTION("""COMPUTED_VALUE"""),622.667)</f>
        <v>622.66700000000003</v>
      </c>
      <c r="G202">
        <f ca="1">IFERROR(__xludf.DUMMYFUNCTION("""COMPUTED_VALUE"""),17)</f>
        <v>17</v>
      </c>
      <c r="H202" t="str">
        <f ca="1">IFERROR(__xludf.DUMMYFUNCTION("""COMPUTED_VALUE"""),"+2")</f>
        <v>+2</v>
      </c>
    </row>
    <row r="203" spans="1:8" ht="12.75">
      <c r="A203" t="str">
        <f ca="1">IFERROR(__xludf.DUMMYFUNCTION("""COMPUTED_VALUE"""),"T202")</f>
        <v>T202</v>
      </c>
      <c r="B203">
        <f ca="1">IFERROR(__xludf.DUMMYFUNCTION("""COMPUTED_VALUE"""),198)</f>
        <v>198</v>
      </c>
      <c r="C203" t="str">
        <f ca="1">IFERROR(__xludf.DUMMYFUNCTION("""COMPUTED_VALUE"""),"Kevin Na")</f>
        <v>Kevin Na</v>
      </c>
      <c r="D203">
        <f ca="1">IFERROR(__xludf.DUMMYFUNCTION("""COMPUTED_VALUE"""),14)</f>
        <v>14</v>
      </c>
      <c r="E203" t="str">
        <f ca="1">IFERROR(__xludf.DUMMYFUNCTION("""COMPUTED_VALUE"""),"36' 10""")</f>
        <v>36' 10"</v>
      </c>
      <c r="F203" s="2">
        <f ca="1">IFERROR(__xludf.DUMMYFUNCTION("""COMPUTED_VALUE"""),1289.25)</f>
        <v>1289.25</v>
      </c>
      <c r="G203">
        <f ca="1">IFERROR(__xludf.DUMMYFUNCTION("""COMPUTED_VALUE"""),35)</f>
        <v>35</v>
      </c>
      <c r="H203">
        <f ca="1">IFERROR(__xludf.DUMMYFUNCTION("""COMPUTED_VALUE"""),-1)</f>
        <v>-1</v>
      </c>
    </row>
    <row r="204" spans="1:8" ht="12.75">
      <c r="A204" t="str">
        <f ca="1">IFERROR(__xludf.DUMMYFUNCTION("""COMPUTED_VALUE"""),"T202")</f>
        <v>T202</v>
      </c>
      <c r="B204" t="str">
        <f ca="1">IFERROR(__xludf.DUMMYFUNCTION("""COMPUTED_VALUE"""),"T173")</f>
        <v>T173</v>
      </c>
      <c r="C204" t="str">
        <f ca="1">IFERROR(__xludf.DUMMYFUNCTION("""COMPUTED_VALUE"""),"Sergio Garcia")</f>
        <v>Sergio Garcia</v>
      </c>
      <c r="D204">
        <f ca="1">IFERROR(__xludf.DUMMYFUNCTION("""COMPUTED_VALUE"""),18)</f>
        <v>18</v>
      </c>
      <c r="E204" t="str">
        <f ca="1">IFERROR(__xludf.DUMMYFUNCTION("""COMPUTED_VALUE"""),"36' 10""")</f>
        <v>36' 10"</v>
      </c>
      <c r="F204" s="2">
        <f ca="1">IFERROR(__xludf.DUMMYFUNCTION("""COMPUTED_VALUE"""),1215)</f>
        <v>1215</v>
      </c>
      <c r="G204">
        <f ca="1">IFERROR(__xludf.DUMMYFUNCTION("""COMPUTED_VALUE"""),33)</f>
        <v>33</v>
      </c>
      <c r="H204" t="str">
        <f ca="1">IFERROR(__xludf.DUMMYFUNCTION("""COMPUTED_VALUE"""),"+2")</f>
        <v>+2</v>
      </c>
    </row>
    <row r="205" spans="1:8" ht="12.75">
      <c r="A205">
        <f ca="1">IFERROR(__xludf.DUMMYFUNCTION("""COMPUTED_VALUE"""),204)</f>
        <v>204</v>
      </c>
      <c r="B205">
        <f ca="1">IFERROR(__xludf.DUMMYFUNCTION("""COMPUTED_VALUE"""),175)</f>
        <v>175</v>
      </c>
      <c r="C205" t="str">
        <f ca="1">IFERROR(__xludf.DUMMYFUNCTION("""COMPUTED_VALUE"""),"J.T. Poston")</f>
        <v>J.T. Poston</v>
      </c>
      <c r="D205">
        <f ca="1">IFERROR(__xludf.DUMMYFUNCTION("""COMPUTED_VALUE"""),18)</f>
        <v>18</v>
      </c>
      <c r="E205" t="str">
        <f ca="1">IFERROR(__xludf.DUMMYFUNCTION("""COMPUTED_VALUE"""),"36' 11""")</f>
        <v>36' 11"</v>
      </c>
      <c r="F205" s="2">
        <f ca="1">IFERROR(__xludf.DUMMYFUNCTION("""COMPUTED_VALUE"""),1291.167)</f>
        <v>1291.1669999999999</v>
      </c>
      <c r="G205">
        <f ca="1">IFERROR(__xludf.DUMMYFUNCTION("""COMPUTED_VALUE"""),35)</f>
        <v>35</v>
      </c>
      <c r="H205" t="str">
        <f ca="1">IFERROR(__xludf.DUMMYFUNCTION("""COMPUTED_VALUE"""),"+1")</f>
        <v>+1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IFERROR(__xludf.DUMMYFUNCTION("""COMPUTED_VALUE"""),"T199")</f>
        <v>T199</v>
      </c>
      <c r="C206" t="str">
        <f ca="1">IFERROR(__xludf.DUMMYFUNCTION("""COMPUTED_VALUE"""),"Seonghyeon Kim")</f>
        <v>Seonghyeon Kim</v>
      </c>
      <c r="D206">
        <f ca="1">IFERROR(__xludf.DUMMYFUNCTION("""COMPUTED_VALUE"""),4)</f>
        <v>4</v>
      </c>
      <c r="E206" t="str">
        <f ca="1">IFERROR(__xludf.DUMMYFUNCTION("""COMPUTED_VALUE"""),"37' 1""")</f>
        <v>37' 1"</v>
      </c>
      <c r="F206">
        <f ca="1">IFERROR(__xludf.DUMMYFUNCTION("""COMPUTED_VALUE"""),444.583)</f>
        <v>444.58300000000003</v>
      </c>
      <c r="G206">
        <f ca="1">IFERROR(__xludf.DUMMYFUNCTION("""COMPUTED_VALUE"""),12)</f>
        <v>12</v>
      </c>
      <c r="H206">
        <f ca="1">IFERROR(__xludf.DUMMYFUNCTION("""COMPUTED_VALUE"""),-2)</f>
        <v>-2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IFERROR(__xludf.DUMMYFUNCTION("""COMPUTED_VALUE"""),"T199")</f>
        <v>T199</v>
      </c>
      <c r="C207" t="str">
        <f ca="1">IFERROR(__xludf.DUMMYFUNCTION("""COMPUTED_VALUE"""),"Ryan Palmer")</f>
        <v>Ryan Palmer</v>
      </c>
      <c r="D207">
        <f ca="1">IFERROR(__xludf.DUMMYFUNCTION("""COMPUTED_VALUE"""),14)</f>
        <v>14</v>
      </c>
      <c r="E207" t="str">
        <f ca="1">IFERROR(__xludf.DUMMYFUNCTION("""COMPUTED_VALUE"""),"37' 1""")</f>
        <v>37' 1"</v>
      </c>
      <c r="F207" s="2">
        <f ca="1">IFERROR(__xludf.DUMMYFUNCTION("""COMPUTED_VALUE"""),1148.417)</f>
        <v>1148.4169999999999</v>
      </c>
      <c r="G207">
        <f ca="1">IFERROR(__xludf.DUMMYFUNCTION("""COMPUTED_VALUE"""),31)</f>
        <v>31</v>
      </c>
      <c r="H207">
        <f ca="1">IFERROR(__xludf.DUMMYFUNCTION("""COMPUTED_VALUE"""),-2)</f>
        <v>-2</v>
      </c>
    </row>
    <row r="208" spans="1:8" ht="12.75">
      <c r="A208">
        <f ca="1">IFERROR(__xludf.DUMMYFUNCTION("""COMPUTED_VALUE"""),207)</f>
        <v>207</v>
      </c>
      <c r="B208">
        <f ca="1">IFERROR(__xludf.DUMMYFUNCTION("""COMPUTED_VALUE"""),202)</f>
        <v>202</v>
      </c>
      <c r="C208" t="str">
        <f ca="1">IFERROR(__xludf.DUMMYFUNCTION("""COMPUTED_VALUE"""),"Bubba Watson")</f>
        <v>Bubba Watson</v>
      </c>
      <c r="D208">
        <f ca="1">IFERROR(__xludf.DUMMYFUNCTION("""COMPUTED_VALUE"""),12)</f>
        <v>12</v>
      </c>
      <c r="E208" t="str">
        <f ca="1">IFERROR(__xludf.DUMMYFUNCTION("""COMPUTED_VALUE"""),"37' 3""")</f>
        <v>37' 3"</v>
      </c>
      <c r="F208" s="2">
        <f ca="1">IFERROR(__xludf.DUMMYFUNCTION("""COMPUTED_VALUE"""),1265.917)</f>
        <v>1265.9169999999999</v>
      </c>
      <c r="G208">
        <f ca="1">IFERROR(__xludf.DUMMYFUNCTION("""COMPUTED_VALUE"""),34)</f>
        <v>34</v>
      </c>
      <c r="H208">
        <f ca="1">IFERROR(__xludf.DUMMYFUNCTION("""COMPUTED_VALUE"""),-2)</f>
        <v>-2</v>
      </c>
    </row>
    <row r="209" spans="1:8" ht="12.75">
      <c r="A209" t="str">
        <f ca="1">IFERROR(__xludf.DUMMYFUNCTION("""COMPUTED_VALUE"""),"T208")</f>
        <v>T208</v>
      </c>
      <c r="B209" t="str">
        <f ca="1">IFERROR(__xludf.DUMMYFUNCTION("""COMPUTED_VALUE"""),"T203")</f>
        <v>T203</v>
      </c>
      <c r="C209" t="str">
        <f ca="1">IFERROR(__xludf.DUMMYFUNCTION("""COMPUTED_VALUE"""),"Tae Hee Lee")</f>
        <v>Tae Hee Lee</v>
      </c>
      <c r="D209">
        <f ca="1">IFERROR(__xludf.DUMMYFUNCTION("""COMPUTED_VALUE"""),4)</f>
        <v>4</v>
      </c>
      <c r="E209" t="str">
        <f ca="1">IFERROR(__xludf.DUMMYFUNCTION("""COMPUTED_VALUE"""),"37' 4""")</f>
        <v>37' 4"</v>
      </c>
      <c r="F209">
        <f ca="1">IFERROR(__xludf.DUMMYFUNCTION("""COMPUTED_VALUE"""),522.167)</f>
        <v>522.16700000000003</v>
      </c>
      <c r="G209">
        <f ca="1">IFERROR(__xludf.DUMMYFUNCTION("""COMPUTED_VALUE"""),14)</f>
        <v>14</v>
      </c>
      <c r="H209" t="str">
        <f ca="1">IFERROR(__xludf.DUMMYFUNCTION("""COMPUTED_VALUE"""),"+5")</f>
        <v>+5</v>
      </c>
    </row>
    <row r="210" spans="1:8" ht="12.75">
      <c r="A210" t="str">
        <f ca="1">IFERROR(__xludf.DUMMYFUNCTION("""COMPUTED_VALUE"""),"T208")</f>
        <v>T208</v>
      </c>
      <c r="B210" t="str">
        <f ca="1">IFERROR(__xludf.DUMMYFUNCTION("""COMPUTED_VALUE"""),"T203")</f>
        <v>T203</v>
      </c>
      <c r="C210" t="str">
        <f ca="1">IFERROR(__xludf.DUMMYFUNCTION("""COMPUTED_VALUE"""),"Bill Haas")</f>
        <v>Bill Haas</v>
      </c>
      <c r="D210">
        <f ca="1">IFERROR(__xludf.DUMMYFUNCTION("""COMPUTED_VALUE"""),10)</f>
        <v>10</v>
      </c>
      <c r="E210" t="str">
        <f ca="1">IFERROR(__xludf.DUMMYFUNCTION("""COMPUTED_VALUE"""),"37' 4""")</f>
        <v>37' 4"</v>
      </c>
      <c r="F210">
        <f ca="1">IFERROR(__xludf.DUMMYFUNCTION("""COMPUTED_VALUE"""),410.75)</f>
        <v>410.75</v>
      </c>
      <c r="G210">
        <f ca="1">IFERROR(__xludf.DUMMYFUNCTION("""COMPUTED_VALUE"""),11)</f>
        <v>11</v>
      </c>
      <c r="H210">
        <f ca="1">IFERROR(__xludf.DUMMYFUNCTION("""COMPUTED_VALUE"""),-1)</f>
        <v>-1</v>
      </c>
    </row>
    <row r="211" spans="1:8" ht="12.75">
      <c r="A211" t="str">
        <f ca="1">IFERROR(__xludf.DUMMYFUNCTION("""COMPUTED_VALUE"""),"T208")</f>
        <v>T208</v>
      </c>
      <c r="B211" t="str">
        <f ca="1">IFERROR(__xludf.DUMMYFUNCTION("""COMPUTED_VALUE"""),"T203")</f>
        <v>T203</v>
      </c>
      <c r="C211" t="str">
        <f ca="1">IFERROR(__xludf.DUMMYFUNCTION("""COMPUTED_VALUE"""),"Nelson Ledesma")</f>
        <v>Nelson Ledesma</v>
      </c>
      <c r="D211">
        <f ca="1">IFERROR(__xludf.DUMMYFUNCTION("""COMPUTED_VALUE"""),8)</f>
        <v>8</v>
      </c>
      <c r="E211" t="str">
        <f ca="1">IFERROR(__xludf.DUMMYFUNCTION("""COMPUTED_VALUE"""),"37' 4""")</f>
        <v>37' 4"</v>
      </c>
      <c r="F211">
        <f ca="1">IFERROR(__xludf.DUMMYFUNCTION("""COMPUTED_VALUE"""),261.25)</f>
        <v>261.25</v>
      </c>
      <c r="G211">
        <f ca="1">IFERROR(__xludf.DUMMYFUNCTION("""COMPUTED_VALUE"""),7)</f>
        <v>7</v>
      </c>
      <c r="H211" t="str">
        <f ca="1">IFERROR(__xludf.DUMMYFUNCTION("""COMPUTED_VALUE"""),"+4")</f>
        <v>+4</v>
      </c>
    </row>
    <row r="212" spans="1:8" ht="12.75">
      <c r="A212" t="str">
        <f ca="1">IFERROR(__xludf.DUMMYFUNCTION("""COMPUTED_VALUE"""),"T208")</f>
        <v>T208</v>
      </c>
      <c r="B212" t="str">
        <f ca="1">IFERROR(__xludf.DUMMYFUNCTION("""COMPUTED_VALUE"""),"T157")</f>
        <v>T157</v>
      </c>
      <c r="C212" t="str">
        <f ca="1">IFERROR(__xludf.DUMMYFUNCTION("""COMPUTED_VALUE"""),"Bo Hoag")</f>
        <v>Bo Hoag</v>
      </c>
      <c r="D212">
        <f ca="1">IFERROR(__xludf.DUMMYFUNCTION("""COMPUTED_VALUE"""),14)</f>
        <v>14</v>
      </c>
      <c r="E212" t="str">
        <f ca="1">IFERROR(__xludf.DUMMYFUNCTION("""COMPUTED_VALUE"""),"37' 4""")</f>
        <v>37' 4"</v>
      </c>
      <c r="F212">
        <f ca="1">IFERROR(__xludf.DUMMYFUNCTION("""COMPUTED_VALUE"""),746.5)</f>
        <v>746.5</v>
      </c>
      <c r="G212">
        <f ca="1">IFERROR(__xludf.DUMMYFUNCTION("""COMPUTED_VALUE"""),20)</f>
        <v>20</v>
      </c>
      <c r="H212" t="str">
        <f ca="1">IFERROR(__xludf.DUMMYFUNCTION("""COMPUTED_VALUE"""),"+2")</f>
        <v>+2</v>
      </c>
    </row>
    <row r="213" spans="1:8" ht="12.75">
      <c r="A213">
        <f ca="1">IFERROR(__xludf.DUMMYFUNCTION("""COMPUTED_VALUE"""),212)</f>
        <v>212</v>
      </c>
      <c r="B213">
        <f ca="1">IFERROR(__xludf.DUMMYFUNCTION("""COMPUTED_VALUE"""),208)</f>
        <v>208</v>
      </c>
      <c r="C213" t="str">
        <f ca="1">IFERROR(__xludf.DUMMYFUNCTION("""COMPUTED_VALUE"""),"Graeme McDowell")</f>
        <v>Graeme McDowell</v>
      </c>
      <c r="D213">
        <f ca="1">IFERROR(__xludf.DUMMYFUNCTION("""COMPUTED_VALUE"""),8)</f>
        <v>8</v>
      </c>
      <c r="E213" t="str">
        <f ca="1">IFERROR(__xludf.DUMMYFUNCTION("""COMPUTED_VALUE"""),"37' 6""")</f>
        <v>37' 6"</v>
      </c>
      <c r="F213">
        <f ca="1">IFERROR(__xludf.DUMMYFUNCTION("""COMPUTED_VALUE"""),412.75)</f>
        <v>412.75</v>
      </c>
      <c r="G213">
        <f ca="1">IFERROR(__xludf.DUMMYFUNCTION("""COMPUTED_VALUE"""),11)</f>
        <v>11</v>
      </c>
      <c r="H213" t="str">
        <f ca="1">IFERROR(__xludf.DUMMYFUNCTION("""COMPUTED_VALUE"""),"+2")</f>
        <v>+2</v>
      </c>
    </row>
    <row r="214" spans="1:8" ht="12.75">
      <c r="A214" t="str">
        <f ca="1">IFERROR(__xludf.DUMMYFUNCTION("""COMPUTED_VALUE"""),"T213")</f>
        <v>T213</v>
      </c>
      <c r="B214">
        <f ca="1">IFERROR(__xludf.DUMMYFUNCTION("""COMPUTED_VALUE"""),238)</f>
        <v>238</v>
      </c>
      <c r="C214" t="str">
        <f ca="1">IFERROR(__xludf.DUMMYFUNCTION("""COMPUTED_VALUE"""),"John Huh")</f>
        <v>John Huh</v>
      </c>
      <c r="D214">
        <f ca="1">IFERROR(__xludf.DUMMYFUNCTION("""COMPUTED_VALUE"""),8)</f>
        <v>8</v>
      </c>
      <c r="E214" t="str">
        <f ca="1">IFERROR(__xludf.DUMMYFUNCTION("""COMPUTED_VALUE"""),"37' 9""")</f>
        <v>37' 9"</v>
      </c>
      <c r="F214">
        <f ca="1">IFERROR(__xludf.DUMMYFUNCTION("""COMPUTED_VALUE"""),717.667)</f>
        <v>717.66700000000003</v>
      </c>
      <c r="G214">
        <f ca="1">IFERROR(__xludf.DUMMYFUNCTION("""COMPUTED_VALUE"""),19)</f>
        <v>19</v>
      </c>
      <c r="H214" t="str">
        <f ca="1">IFERROR(__xludf.DUMMYFUNCTION("""COMPUTED_VALUE"""),"+1")</f>
        <v>+1</v>
      </c>
    </row>
    <row r="215" spans="1:8" ht="12.75">
      <c r="A215" t="str">
        <f ca="1">IFERROR(__xludf.DUMMYFUNCTION("""COMPUTED_VALUE"""),"T213")</f>
        <v>T213</v>
      </c>
      <c r="B215" t="str">
        <f ca="1">IFERROR(__xludf.DUMMYFUNCTION("""COMPUTED_VALUE"""),"T141")</f>
        <v>T141</v>
      </c>
      <c r="C215" t="str">
        <f ca="1">IFERROR(__xludf.DUMMYFUNCTION("""COMPUTED_VALUE"""),"Andrew Putnam")</f>
        <v>Andrew Putnam</v>
      </c>
      <c r="D215">
        <f ca="1">IFERROR(__xludf.DUMMYFUNCTION("""COMPUTED_VALUE"""),19)</f>
        <v>19</v>
      </c>
      <c r="E215" t="str">
        <f ca="1">IFERROR(__xludf.DUMMYFUNCTION("""COMPUTED_VALUE"""),"37' 9""")</f>
        <v>37' 9"</v>
      </c>
      <c r="F215" s="2">
        <f ca="1">IFERROR(__xludf.DUMMYFUNCTION("""COMPUTED_VALUE"""),1057.667)</f>
        <v>1057.6669999999999</v>
      </c>
      <c r="G215">
        <f ca="1">IFERROR(__xludf.DUMMYFUNCTION("""COMPUTED_VALUE"""),28)</f>
        <v>28</v>
      </c>
      <c r="H215" t="str">
        <f ca="1">IFERROR(__xludf.DUMMYFUNCTION("""COMPUTED_VALUE"""),"+1")</f>
        <v>+1</v>
      </c>
    </row>
    <row r="216" spans="1:8" ht="12.75">
      <c r="A216">
        <f ca="1">IFERROR(__xludf.DUMMYFUNCTION("""COMPUTED_VALUE"""),215)</f>
        <v>215</v>
      </c>
      <c r="B216">
        <f ca="1">IFERROR(__xludf.DUMMYFUNCTION("""COMPUTED_VALUE"""),209)</f>
        <v>209</v>
      </c>
      <c r="C216" t="str">
        <f ca="1">IFERROR(__xludf.DUMMYFUNCTION("""COMPUTED_VALUE"""),"Jonathan Byrd")</f>
        <v>Jonathan Byrd</v>
      </c>
      <c r="D216">
        <f ca="1">IFERROR(__xludf.DUMMYFUNCTION("""COMPUTED_VALUE"""),14)</f>
        <v>14</v>
      </c>
      <c r="E216" t="str">
        <f ca="1">IFERROR(__xludf.DUMMYFUNCTION("""COMPUTED_VALUE"""),"37' 11""")</f>
        <v>37' 11"</v>
      </c>
      <c r="F216">
        <f ca="1">IFERROR(__xludf.DUMMYFUNCTION("""COMPUTED_VALUE"""),454.833)</f>
        <v>454.83300000000003</v>
      </c>
      <c r="G216">
        <f ca="1">IFERROR(__xludf.DUMMYFUNCTION("""COMPUTED_VALUE"""),12)</f>
        <v>12</v>
      </c>
      <c r="H216" t="str">
        <f ca="1">IFERROR(__xludf.DUMMYFUNCTION("""COMPUTED_VALUE"""),"+2")</f>
        <v>+2</v>
      </c>
    </row>
    <row r="217" spans="1:8" ht="12.75">
      <c r="A217">
        <f ca="1">IFERROR(__xludf.DUMMYFUNCTION("""COMPUTED_VALUE"""),216)</f>
        <v>216</v>
      </c>
      <c r="B217" t="str">
        <f ca="1">IFERROR(__xludf.DUMMYFUNCTION("""COMPUTED_VALUE"""),"T232")</f>
        <v>T232</v>
      </c>
      <c r="C217" t="str">
        <f ca="1">IFERROR(__xludf.DUMMYFUNCTION("""COMPUTED_VALUE"""),"Scott Harrington")</f>
        <v>Scott Harrington</v>
      </c>
      <c r="D217">
        <f ca="1">IFERROR(__xludf.DUMMYFUNCTION("""COMPUTED_VALUE"""),18)</f>
        <v>18</v>
      </c>
      <c r="E217" t="str">
        <f ca="1">IFERROR(__xludf.DUMMYFUNCTION("""COMPUTED_VALUE"""),"38' 1""")</f>
        <v>38' 1"</v>
      </c>
      <c r="F217">
        <f ca="1">IFERROR(__xludf.DUMMYFUNCTION("""COMPUTED_VALUE"""),838)</f>
        <v>838</v>
      </c>
      <c r="G217">
        <f ca="1">IFERROR(__xludf.DUMMYFUNCTION("""COMPUTED_VALUE"""),22)</f>
        <v>22</v>
      </c>
      <c r="H217" t="str">
        <f ca="1">IFERROR(__xludf.DUMMYFUNCTION("""COMPUTED_VALUE"""),"+5")</f>
        <v>+5</v>
      </c>
    </row>
    <row r="218" spans="1:8" ht="12.75">
      <c r="A218">
        <f ca="1">IFERROR(__xludf.DUMMYFUNCTION("""COMPUTED_VALUE"""),217)</f>
        <v>217</v>
      </c>
      <c r="B218">
        <f ca="1">IFERROR(__xludf.DUMMYFUNCTION("""COMPUTED_VALUE"""),210)</f>
        <v>210</v>
      </c>
      <c r="C218" t="str">
        <f ca="1">IFERROR(__xludf.DUMMYFUNCTION("""COMPUTED_VALUE"""),"Kevin Kisner")</f>
        <v>Kevin Kisner</v>
      </c>
      <c r="D218">
        <f ca="1">IFERROR(__xludf.DUMMYFUNCTION("""COMPUTED_VALUE"""),10)</f>
        <v>10</v>
      </c>
      <c r="E218" t="str">
        <f ca="1">IFERROR(__xludf.DUMMYFUNCTION("""COMPUTED_VALUE"""),"38' 2""")</f>
        <v>38' 2"</v>
      </c>
      <c r="F218" s="2">
        <f ca="1">IFERROR(__xludf.DUMMYFUNCTION("""COMPUTED_VALUE"""),1068.167)</f>
        <v>1068.1669999999999</v>
      </c>
      <c r="G218">
        <f ca="1">IFERROR(__xludf.DUMMYFUNCTION("""COMPUTED_VALUE"""),28)</f>
        <v>28</v>
      </c>
      <c r="H218" t="str">
        <f ca="1">IFERROR(__xludf.DUMMYFUNCTION("""COMPUTED_VALUE"""),"E")</f>
        <v>E</v>
      </c>
    </row>
    <row r="219" spans="1:8" ht="12.75">
      <c r="A219" t="str">
        <f ca="1">IFERROR(__xludf.DUMMYFUNCTION("""COMPUTED_VALUE"""),"T218")</f>
        <v>T218</v>
      </c>
      <c r="B219" t="str">
        <f ca="1">IFERROR(__xludf.DUMMYFUNCTION("""COMPUTED_VALUE"""),"T211")</f>
        <v>T211</v>
      </c>
      <c r="C219" t="str">
        <f ca="1">IFERROR(__xludf.DUMMYFUNCTION("""COMPUTED_VALUE"""),"Bryson DeChambeau")</f>
        <v>Bryson DeChambeau</v>
      </c>
      <c r="D219">
        <f ca="1">IFERROR(__xludf.DUMMYFUNCTION("""COMPUTED_VALUE"""),8)</f>
        <v>8</v>
      </c>
      <c r="E219" t="str">
        <f ca="1">IFERROR(__xludf.DUMMYFUNCTION("""COMPUTED_VALUE"""),"38' 3""")</f>
        <v>38' 3"</v>
      </c>
      <c r="F219">
        <f ca="1">IFERROR(__xludf.DUMMYFUNCTION("""COMPUTED_VALUE"""),573.417)</f>
        <v>573.41700000000003</v>
      </c>
      <c r="G219">
        <f ca="1">IFERROR(__xludf.DUMMYFUNCTION("""COMPUTED_VALUE"""),15)</f>
        <v>15</v>
      </c>
      <c r="H219">
        <f ca="1">IFERROR(__xludf.DUMMYFUNCTION("""COMPUTED_VALUE"""),-4)</f>
        <v>-4</v>
      </c>
    </row>
    <row r="220" spans="1:8" ht="12.75">
      <c r="A220" t="str">
        <f ca="1">IFERROR(__xludf.DUMMYFUNCTION("""COMPUTED_VALUE"""),"T218")</f>
        <v>T218</v>
      </c>
      <c r="B220">
        <f ca="1">IFERROR(__xludf.DUMMYFUNCTION("""COMPUTED_VALUE"""),261)</f>
        <v>261</v>
      </c>
      <c r="C220" t="str">
        <f ca="1">IFERROR(__xludf.DUMMYFUNCTION("""COMPUTED_VALUE"""),"Chris Kirk")</f>
        <v>Chris Kirk</v>
      </c>
      <c r="D220">
        <f ca="1">IFERROR(__xludf.DUMMYFUNCTION("""COMPUTED_VALUE"""),10)</f>
        <v>10</v>
      </c>
      <c r="E220" t="str">
        <f ca="1">IFERROR(__xludf.DUMMYFUNCTION("""COMPUTED_VALUE"""),"38' 3""")</f>
        <v>38' 3"</v>
      </c>
      <c r="F220">
        <f ca="1">IFERROR(__xludf.DUMMYFUNCTION("""COMPUTED_VALUE"""),727.25)</f>
        <v>727.25</v>
      </c>
      <c r="G220">
        <f ca="1">IFERROR(__xludf.DUMMYFUNCTION("""COMPUTED_VALUE"""),19)</f>
        <v>19</v>
      </c>
      <c r="H220" t="str">
        <f ca="1">IFERROR(__xludf.DUMMYFUNCTION("""COMPUTED_VALUE"""),"E")</f>
        <v>E</v>
      </c>
    </row>
    <row r="221" spans="1:8" ht="12.75">
      <c r="A221" t="str">
        <f ca="1">IFERROR(__xludf.DUMMYFUNCTION("""COMPUTED_VALUE"""),"T218")</f>
        <v>T218</v>
      </c>
      <c r="B221" t="str">
        <f ca="1">IFERROR(__xludf.DUMMYFUNCTION("""COMPUTED_VALUE"""),"T211")</f>
        <v>T211</v>
      </c>
      <c r="C221" t="str">
        <f ca="1">IFERROR(__xludf.DUMMYFUNCTION("""COMPUTED_VALUE"""),"Zac Blair")</f>
        <v>Zac Blair</v>
      </c>
      <c r="D221">
        <f ca="1">IFERROR(__xludf.DUMMYFUNCTION("""COMPUTED_VALUE"""),10)</f>
        <v>10</v>
      </c>
      <c r="E221" t="str">
        <f ca="1">IFERROR(__xludf.DUMMYFUNCTION("""COMPUTED_VALUE"""),"38' 3""")</f>
        <v>38' 3"</v>
      </c>
      <c r="F221">
        <f ca="1">IFERROR(__xludf.DUMMYFUNCTION("""COMPUTED_VALUE"""),458.917)</f>
        <v>458.91699999999997</v>
      </c>
      <c r="G221">
        <f ca="1">IFERROR(__xludf.DUMMYFUNCTION("""COMPUTED_VALUE"""),12)</f>
        <v>12</v>
      </c>
      <c r="H221" t="str">
        <f ca="1">IFERROR(__xludf.DUMMYFUNCTION("""COMPUTED_VALUE"""),"+1")</f>
        <v>+1</v>
      </c>
    </row>
    <row r="222" spans="1:8" ht="12.75">
      <c r="A222">
        <f ca="1">IFERROR(__xludf.DUMMYFUNCTION("""COMPUTED_VALUE"""),221)</f>
        <v>221</v>
      </c>
      <c r="B222" t="str">
        <f ca="1">IFERROR(__xludf.DUMMYFUNCTION("""COMPUTED_VALUE"""),"T247")</f>
        <v>T247</v>
      </c>
      <c r="C222" t="str">
        <f ca="1">IFERROR(__xludf.DUMMYFUNCTION("""COMPUTED_VALUE"""),"Jhonattan Vegas")</f>
        <v>Jhonattan Vegas</v>
      </c>
      <c r="D222">
        <f ca="1">IFERROR(__xludf.DUMMYFUNCTION("""COMPUTED_VALUE"""),16)</f>
        <v>16</v>
      </c>
      <c r="E222" t="str">
        <f ca="1">IFERROR(__xludf.DUMMYFUNCTION("""COMPUTED_VALUE"""),"38' 5""")</f>
        <v>38' 5"</v>
      </c>
      <c r="F222">
        <f ca="1">IFERROR(__xludf.DUMMYFUNCTION("""COMPUTED_VALUE"""),883.417)</f>
        <v>883.41700000000003</v>
      </c>
      <c r="G222">
        <f ca="1">IFERROR(__xludf.DUMMYFUNCTION("""COMPUTED_VALUE"""),23)</f>
        <v>23</v>
      </c>
      <c r="H222" t="str">
        <f ca="1">IFERROR(__xludf.DUMMYFUNCTION("""COMPUTED_VALUE"""),"+5")</f>
        <v>+5</v>
      </c>
    </row>
    <row r="223" spans="1:8" ht="12.75">
      <c r="A223">
        <f ca="1">IFERROR(__xludf.DUMMYFUNCTION("""COMPUTED_VALUE"""),222)</f>
        <v>222</v>
      </c>
      <c r="B223" t="str">
        <f ca="1">IFERROR(__xludf.DUMMYFUNCTION("""COMPUTED_VALUE"""),"T214")</f>
        <v>T214</v>
      </c>
      <c r="C223" t="str">
        <f ca="1">IFERROR(__xludf.DUMMYFUNCTION("""COMPUTED_VALUE"""),"Lucas Herbert")</f>
        <v>Lucas Herbert</v>
      </c>
      <c r="D223">
        <f ca="1">IFERROR(__xludf.DUMMYFUNCTION("""COMPUTED_VALUE"""),4)</f>
        <v>4</v>
      </c>
      <c r="E223" t="str">
        <f ca="1">IFERROR(__xludf.DUMMYFUNCTION("""COMPUTED_VALUE"""),"38' 6""")</f>
        <v>38' 6"</v>
      </c>
      <c r="F223">
        <f ca="1">IFERROR(__xludf.DUMMYFUNCTION("""COMPUTED_VALUE"""),308)</f>
        <v>308</v>
      </c>
      <c r="G223">
        <f ca="1">IFERROR(__xludf.DUMMYFUNCTION("""COMPUTED_VALUE"""),8)</f>
        <v>8</v>
      </c>
      <c r="H223">
        <f ca="1">IFERROR(__xludf.DUMMYFUNCTION("""COMPUTED_VALUE"""),-2)</f>
        <v>-2</v>
      </c>
    </row>
    <row r="224" spans="1:8" ht="12.75">
      <c r="A224">
        <f ca="1">IFERROR(__xludf.DUMMYFUNCTION("""COMPUTED_VALUE"""),223)</f>
        <v>223</v>
      </c>
      <c r="B224">
        <f ca="1">IFERROR(__xludf.DUMMYFUNCTION("""COMPUTED_VALUE"""),216)</f>
        <v>216</v>
      </c>
      <c r="C224" t="str">
        <f ca="1">IFERROR(__xludf.DUMMYFUNCTION("""COMPUTED_VALUE"""),"Seamus Power")</f>
        <v>Seamus Power</v>
      </c>
      <c r="D224">
        <f ca="1">IFERROR(__xludf.DUMMYFUNCTION("""COMPUTED_VALUE"""),8)</f>
        <v>8</v>
      </c>
      <c r="E224" t="str">
        <f ca="1">IFERROR(__xludf.DUMMYFUNCTION("""COMPUTED_VALUE"""),"38' 7""")</f>
        <v>38' 7"</v>
      </c>
      <c r="F224">
        <f ca="1">IFERROR(__xludf.DUMMYFUNCTION("""COMPUTED_VALUE"""),115.833)</f>
        <v>115.833</v>
      </c>
      <c r="G224">
        <f ca="1">IFERROR(__xludf.DUMMYFUNCTION("""COMPUTED_VALUE"""),3)</f>
        <v>3</v>
      </c>
      <c r="H224" t="str">
        <f ca="1">IFERROR(__xludf.DUMMYFUNCTION("""COMPUTED_VALUE"""),"+1")</f>
        <v>+1</v>
      </c>
    </row>
    <row r="225" spans="1:8" ht="12.75">
      <c r="A225">
        <f ca="1">IFERROR(__xludf.DUMMYFUNCTION("""COMPUTED_VALUE"""),224)</f>
        <v>224</v>
      </c>
      <c r="B225" t="str">
        <f ca="1">IFERROR(__xludf.DUMMYFUNCTION("""COMPUTED_VALUE"""),"T217")</f>
        <v>T217</v>
      </c>
      <c r="C225" t="str">
        <f ca="1">IFERROR(__xludf.DUMMYFUNCTION("""COMPUTED_VALUE"""),"Louis Oosthuizen")</f>
        <v>Louis Oosthuizen</v>
      </c>
      <c r="D225">
        <f ca="1">IFERROR(__xludf.DUMMYFUNCTION("""COMPUTED_VALUE"""),12)</f>
        <v>12</v>
      </c>
      <c r="E225" t="str">
        <f ca="1">IFERROR(__xludf.DUMMYFUNCTION("""COMPUTED_VALUE"""),"38' 8""")</f>
        <v>38' 8"</v>
      </c>
      <c r="F225" s="2">
        <f ca="1">IFERROR(__xludf.DUMMYFUNCTION("""COMPUTED_VALUE"""),1082.083)</f>
        <v>1082.0830000000001</v>
      </c>
      <c r="G225">
        <f ca="1">IFERROR(__xludf.DUMMYFUNCTION("""COMPUTED_VALUE"""),28)</f>
        <v>28</v>
      </c>
      <c r="H225" t="str">
        <f ca="1">IFERROR(__xludf.DUMMYFUNCTION("""COMPUTED_VALUE"""),"+1")</f>
        <v>+1</v>
      </c>
    </row>
    <row r="226" spans="1:8" ht="12.75">
      <c r="A226" t="str">
        <f ca="1">IFERROR(__xludf.DUMMYFUNCTION("""COMPUTED_VALUE"""),"T225")</f>
        <v>T225</v>
      </c>
      <c r="B226">
        <f ca="1">IFERROR(__xludf.DUMMYFUNCTION("""COMPUTED_VALUE"""),192)</f>
        <v>192</v>
      </c>
      <c r="C226" t="str">
        <f ca="1">IFERROR(__xludf.DUMMYFUNCTION("""COMPUTED_VALUE"""),"Lucas Glover")</f>
        <v>Lucas Glover</v>
      </c>
      <c r="D226">
        <f ca="1">IFERROR(__xludf.DUMMYFUNCTION("""COMPUTED_VALUE"""),12)</f>
        <v>12</v>
      </c>
      <c r="E226" t="str">
        <f ca="1">IFERROR(__xludf.DUMMYFUNCTION("""COMPUTED_VALUE"""),"38' 9""")</f>
        <v>38' 9"</v>
      </c>
      <c r="F226">
        <f ca="1">IFERROR(__xludf.DUMMYFUNCTION("""COMPUTED_VALUE"""),892.083)</f>
        <v>892.08299999999997</v>
      </c>
      <c r="G226">
        <f ca="1">IFERROR(__xludf.DUMMYFUNCTION("""COMPUTED_VALUE"""),23)</f>
        <v>23</v>
      </c>
      <c r="H226" t="str">
        <f ca="1">IFERROR(__xludf.DUMMYFUNCTION("""COMPUTED_VALUE"""),"+4")</f>
        <v>+4</v>
      </c>
    </row>
    <row r="227" spans="1:8" ht="12.75">
      <c r="A227" t="str">
        <f ca="1">IFERROR(__xludf.DUMMYFUNCTION("""COMPUTED_VALUE"""),"T225")</f>
        <v>T225</v>
      </c>
      <c r="B227">
        <f ca="1">IFERROR(__xludf.DUMMYFUNCTION("""COMPUTED_VALUE"""),219)</f>
        <v>219</v>
      </c>
      <c r="C227" t="str">
        <f ca="1">IFERROR(__xludf.DUMMYFUNCTION("""COMPUTED_VALUE"""),"Shugo Imahira")</f>
        <v>Shugo Imahira</v>
      </c>
      <c r="D227">
        <f ca="1">IFERROR(__xludf.DUMMYFUNCTION("""COMPUTED_VALUE"""),8)</f>
        <v>8</v>
      </c>
      <c r="E227" t="str">
        <f ca="1">IFERROR(__xludf.DUMMYFUNCTION("""COMPUTED_VALUE"""),"38' 9""")</f>
        <v>38' 9"</v>
      </c>
      <c r="F227">
        <f ca="1">IFERROR(__xludf.DUMMYFUNCTION("""COMPUTED_VALUE"""),969)</f>
        <v>969</v>
      </c>
      <c r="G227">
        <f ca="1">IFERROR(__xludf.DUMMYFUNCTION("""COMPUTED_VALUE"""),25)</f>
        <v>25</v>
      </c>
      <c r="H227" t="str">
        <f ca="1">IFERROR(__xludf.DUMMYFUNCTION("""COMPUTED_VALUE"""),"+8")</f>
        <v>+8</v>
      </c>
    </row>
    <row r="228" spans="1:8" ht="12.75">
      <c r="A228" t="str">
        <f ca="1">IFERROR(__xludf.DUMMYFUNCTION("""COMPUTED_VALUE"""),"T225")</f>
        <v>T225</v>
      </c>
      <c r="B228" t="str">
        <f ca="1">IFERROR(__xludf.DUMMYFUNCTION("""COMPUTED_VALUE"""),"T214")</f>
        <v>T214</v>
      </c>
      <c r="C228" t="str">
        <f ca="1">IFERROR(__xludf.DUMMYFUNCTION("""COMPUTED_VALUE"""),"Kyoung-Hoon Lee")</f>
        <v>Kyoung-Hoon Lee</v>
      </c>
      <c r="D228">
        <f ca="1">IFERROR(__xludf.DUMMYFUNCTION("""COMPUTED_VALUE"""),20)</f>
        <v>20</v>
      </c>
      <c r="E228" t="str">
        <f ca="1">IFERROR(__xludf.DUMMYFUNCTION("""COMPUTED_VALUE"""),"38' 9""")</f>
        <v>38' 9"</v>
      </c>
      <c r="F228" s="2">
        <f ca="1">IFERROR(__xludf.DUMMYFUNCTION("""COMPUTED_VALUE"""),1200.833)</f>
        <v>1200.8330000000001</v>
      </c>
      <c r="G228">
        <f ca="1">IFERROR(__xludf.DUMMYFUNCTION("""COMPUTED_VALUE"""),31)</f>
        <v>31</v>
      </c>
      <c r="H228" t="str">
        <f ca="1">IFERROR(__xludf.DUMMYFUNCTION("""COMPUTED_VALUE"""),"+8")</f>
        <v>+8</v>
      </c>
    </row>
    <row r="229" spans="1:8" ht="12.75">
      <c r="A229" t="str">
        <f ca="1">IFERROR(__xludf.DUMMYFUNCTION("""COMPUTED_VALUE"""),"T228")</f>
        <v>T228</v>
      </c>
      <c r="B229" t="str">
        <f ca="1">IFERROR(__xludf.DUMMYFUNCTION("""COMPUTED_VALUE"""),"T222")</f>
        <v>T222</v>
      </c>
      <c r="C229" t="str">
        <f ca="1">IFERROR(__xludf.DUMMYFUNCTION("""COMPUTED_VALUE"""),"Michael Gellerman")</f>
        <v>Michael Gellerman</v>
      </c>
      <c r="D229">
        <f ca="1">IFERROR(__xludf.DUMMYFUNCTION("""COMPUTED_VALUE"""),5)</f>
        <v>5</v>
      </c>
      <c r="E229" t="str">
        <f ca="1">IFERROR(__xludf.DUMMYFUNCTION("""COMPUTED_VALUE"""),"38' 11""")</f>
        <v>38' 11"</v>
      </c>
      <c r="F229">
        <f ca="1">IFERROR(__xludf.DUMMYFUNCTION("""COMPUTED_VALUE"""),116.667)</f>
        <v>116.667</v>
      </c>
      <c r="G229">
        <f ca="1">IFERROR(__xludf.DUMMYFUNCTION("""COMPUTED_VALUE"""),3)</f>
        <v>3</v>
      </c>
      <c r="H229" t="str">
        <f ca="1">IFERROR(__xludf.DUMMYFUNCTION("""COMPUTED_VALUE"""),"+1")</f>
        <v>+1</v>
      </c>
    </row>
    <row r="230" spans="1:8" ht="12.75">
      <c r="A230" t="str">
        <f ca="1">IFERROR(__xludf.DUMMYFUNCTION("""COMPUTED_VALUE"""),"T228")</f>
        <v>T228</v>
      </c>
      <c r="B230" t="str">
        <f ca="1">IFERROR(__xludf.DUMMYFUNCTION("""COMPUTED_VALUE"""),"T222")</f>
        <v>T222</v>
      </c>
      <c r="C230" t="str">
        <f ca="1">IFERROR(__xludf.DUMMYFUNCTION("""COMPUTED_VALUE"""),"Xander Schauffele")</f>
        <v>Xander Schauffele</v>
      </c>
      <c r="D230">
        <f ca="1">IFERROR(__xludf.DUMMYFUNCTION("""COMPUTED_VALUE"""),12)</f>
        <v>12</v>
      </c>
      <c r="E230" t="str">
        <f ca="1">IFERROR(__xludf.DUMMYFUNCTION("""COMPUTED_VALUE"""),"38' 11""")</f>
        <v>38' 11"</v>
      </c>
      <c r="F230" s="2">
        <f ca="1">IFERROR(__xludf.DUMMYFUNCTION("""COMPUTED_VALUE"""),1399.583)</f>
        <v>1399.5830000000001</v>
      </c>
      <c r="G230">
        <f ca="1">IFERROR(__xludf.DUMMYFUNCTION("""COMPUTED_VALUE"""),36)</f>
        <v>36</v>
      </c>
      <c r="H230">
        <f ca="1">IFERROR(__xludf.DUMMYFUNCTION("""COMPUTED_VALUE"""),-6)</f>
        <v>-6</v>
      </c>
    </row>
    <row r="231" spans="1:8" ht="12.75">
      <c r="A231">
        <f ca="1">IFERROR(__xludf.DUMMYFUNCTION("""COMPUTED_VALUE"""),230)</f>
        <v>230</v>
      </c>
      <c r="B231">
        <f ca="1">IFERROR(__xludf.DUMMYFUNCTION("""COMPUTED_VALUE"""),224)</f>
        <v>224</v>
      </c>
      <c r="C231" t="str">
        <f ca="1">IFERROR(__xludf.DUMMYFUNCTION("""COMPUTED_VALUE"""),"Tiger Woods")</f>
        <v>Tiger Woods</v>
      </c>
      <c r="D231">
        <f ca="1">IFERROR(__xludf.DUMMYFUNCTION("""COMPUTED_VALUE"""),6)</f>
        <v>6</v>
      </c>
      <c r="E231" t="str">
        <f ca="1">IFERROR(__xludf.DUMMYFUNCTION("""COMPUTED_VALUE"""),"39' 0""")</f>
        <v>39' 0"</v>
      </c>
      <c r="F231">
        <f ca="1">IFERROR(__xludf.DUMMYFUNCTION("""COMPUTED_VALUE"""),779.417)</f>
        <v>779.41700000000003</v>
      </c>
      <c r="G231">
        <f ca="1">IFERROR(__xludf.DUMMYFUNCTION("""COMPUTED_VALUE"""),20)</f>
        <v>20</v>
      </c>
      <c r="H231" t="str">
        <f ca="1">IFERROR(__xludf.DUMMYFUNCTION("""COMPUTED_VALUE"""),"+2")</f>
        <v>+2</v>
      </c>
    </row>
    <row r="232" spans="1:8" ht="12.75">
      <c r="A232" t="str">
        <f ca="1">IFERROR(__xludf.DUMMYFUNCTION("""COMPUTED_VALUE"""),"T231")</f>
        <v>T231</v>
      </c>
      <c r="B232">
        <f ca="1">IFERROR(__xludf.DUMMYFUNCTION("""COMPUTED_VALUE"""),225)</f>
        <v>225</v>
      </c>
      <c r="C232" t="str">
        <f ca="1">IFERROR(__xludf.DUMMYFUNCTION("""COMPUTED_VALUE"""),"George Markham")</f>
        <v>George Markham</v>
      </c>
      <c r="D232">
        <f ca="1">IFERROR(__xludf.DUMMYFUNCTION("""COMPUTED_VALUE"""),4)</f>
        <v>4</v>
      </c>
      <c r="E232" t="str">
        <f ca="1">IFERROR(__xludf.DUMMYFUNCTION("""COMPUTED_VALUE"""),"39' 1""")</f>
        <v>39' 1"</v>
      </c>
      <c r="F232">
        <f ca="1">IFERROR(__xludf.DUMMYFUNCTION("""COMPUTED_VALUE"""),234.5)</f>
        <v>234.5</v>
      </c>
      <c r="G232">
        <f ca="1">IFERROR(__xludf.DUMMYFUNCTION("""COMPUTED_VALUE"""),6)</f>
        <v>6</v>
      </c>
      <c r="H232">
        <f ca="1">IFERROR(__xludf.DUMMYFUNCTION("""COMPUTED_VALUE"""),-2)</f>
        <v>-2</v>
      </c>
    </row>
    <row r="233" spans="1:8" ht="12.75">
      <c r="A233" t="str">
        <f ca="1">IFERROR(__xludf.DUMMYFUNCTION("""COMPUTED_VALUE"""),"T231")</f>
        <v>T231</v>
      </c>
      <c r="B233" t="str">
        <f ca="1">IFERROR(__xludf.DUMMYFUNCTION("""COMPUTED_VALUE"""),"T217")</f>
        <v>T217</v>
      </c>
      <c r="C233" t="str">
        <f ca="1">IFERROR(__xludf.DUMMYFUNCTION("""COMPUTED_VALUE"""),"Luke List")</f>
        <v>Luke List</v>
      </c>
      <c r="D233">
        <f ca="1">IFERROR(__xludf.DUMMYFUNCTION("""COMPUTED_VALUE"""),18)</f>
        <v>18</v>
      </c>
      <c r="E233" t="str">
        <f ca="1">IFERROR(__xludf.DUMMYFUNCTION("""COMPUTED_VALUE"""),"39' 1""")</f>
        <v>39' 1"</v>
      </c>
      <c r="F233">
        <f ca="1">IFERROR(__xludf.DUMMYFUNCTION("""COMPUTED_VALUE"""),820.417)</f>
        <v>820.41700000000003</v>
      </c>
      <c r="G233">
        <f ca="1">IFERROR(__xludf.DUMMYFUNCTION("""COMPUTED_VALUE"""),21)</f>
        <v>21</v>
      </c>
      <c r="H233">
        <f ca="1">IFERROR(__xludf.DUMMYFUNCTION("""COMPUTED_VALUE"""),-2)</f>
        <v>-2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IFERROR(__xludf.DUMMYFUNCTION("""COMPUTED_VALUE"""),207)</f>
        <v>207</v>
      </c>
      <c r="C234" t="str">
        <f ca="1">IFERROR(__xludf.DUMMYFUNCTION("""COMPUTED_VALUE"""),"Sung Kang")</f>
        <v>Sung Kang</v>
      </c>
      <c r="D234">
        <f ca="1">IFERROR(__xludf.DUMMYFUNCTION("""COMPUTED_VALUE"""),14)</f>
        <v>14</v>
      </c>
      <c r="E234" t="str">
        <f ca="1">IFERROR(__xludf.DUMMYFUNCTION("""COMPUTED_VALUE"""),"39' 2""")</f>
        <v>39' 2"</v>
      </c>
      <c r="F234" s="2">
        <f ca="1">IFERROR(__xludf.DUMMYFUNCTION("""COMPUTED_VALUE"""),1291.833)</f>
        <v>1291.8330000000001</v>
      </c>
      <c r="G234">
        <f ca="1">IFERROR(__xludf.DUMMYFUNCTION("""COMPUTED_VALUE"""),33)</f>
        <v>33</v>
      </c>
      <c r="H234" t="str">
        <f ca="1">IFERROR(__xludf.DUMMYFUNCTION("""COMPUTED_VALUE"""),"+6")</f>
        <v>+6</v>
      </c>
    </row>
    <row r="235" spans="1:8" ht="12.75">
      <c r="A235">
        <f ca="1">IFERROR(__xludf.DUMMYFUNCTION("""COMPUTED_VALUE"""),234)</f>
        <v>234</v>
      </c>
      <c r="B235" t="str">
        <f ca="1">IFERROR(__xludf.DUMMYFUNCTION("""COMPUTED_VALUE"""),"T232")</f>
        <v>T232</v>
      </c>
      <c r="C235" t="str">
        <f ca="1">IFERROR(__xludf.DUMMYFUNCTION("""COMPUTED_VALUE"""),"Sean O'Hair")</f>
        <v>Sean O'Hair</v>
      </c>
      <c r="D235">
        <f ca="1">IFERROR(__xludf.DUMMYFUNCTION("""COMPUTED_VALUE"""),14)</f>
        <v>14</v>
      </c>
      <c r="E235" t="str">
        <f ca="1">IFERROR(__xludf.DUMMYFUNCTION("""COMPUTED_VALUE"""),"39' 4""")</f>
        <v>39' 4"</v>
      </c>
      <c r="F235">
        <f ca="1">IFERROR(__xludf.DUMMYFUNCTION("""COMPUTED_VALUE"""),903.75)</f>
        <v>903.75</v>
      </c>
      <c r="G235">
        <f ca="1">IFERROR(__xludf.DUMMYFUNCTION("""COMPUTED_VALUE"""),23)</f>
        <v>23</v>
      </c>
      <c r="H235" t="str">
        <f ca="1">IFERROR(__xludf.DUMMYFUNCTION("""COMPUTED_VALUE"""),"+5")</f>
        <v>+5</v>
      </c>
    </row>
    <row r="236" spans="1:8" ht="12.75">
      <c r="A236" t="str">
        <f ca="1">IFERROR(__xludf.DUMMYFUNCTION("""COMPUTED_VALUE"""),"T235")</f>
        <v>T235</v>
      </c>
      <c r="B236" t="str">
        <f ca="1">IFERROR(__xludf.DUMMYFUNCTION("""COMPUTED_VALUE"""),"T227")</f>
        <v>T227</v>
      </c>
      <c r="C236" t="str">
        <f ca="1">IFERROR(__xludf.DUMMYFUNCTION("""COMPUTED_VALUE"""),"John Pak")</f>
        <v>John Pak</v>
      </c>
      <c r="D236">
        <f ca="1">IFERROR(__xludf.DUMMYFUNCTION("""COMPUTED_VALUE"""),4)</f>
        <v>4</v>
      </c>
      <c r="E236" t="str">
        <f ca="1">IFERROR(__xludf.DUMMYFUNCTION("""COMPUTED_VALUE"""),"39' 6""")</f>
        <v>39' 6"</v>
      </c>
      <c r="F236">
        <f ca="1">IFERROR(__xludf.DUMMYFUNCTION("""COMPUTED_VALUE"""),395.167)</f>
        <v>395.16699999999997</v>
      </c>
      <c r="G236">
        <f ca="1">IFERROR(__xludf.DUMMYFUNCTION("""COMPUTED_VALUE"""),10)</f>
        <v>10</v>
      </c>
      <c r="H236" t="str">
        <f ca="1">IFERROR(__xludf.DUMMYFUNCTION("""COMPUTED_VALUE"""),"+7")</f>
        <v>+7</v>
      </c>
    </row>
    <row r="237" spans="1:8" ht="12.75">
      <c r="A237" t="str">
        <f ca="1">IFERROR(__xludf.DUMMYFUNCTION("""COMPUTED_VALUE"""),"T235")</f>
        <v>T235</v>
      </c>
      <c r="B237" t="str">
        <f ca="1">IFERROR(__xludf.DUMMYFUNCTION("""COMPUTED_VALUE"""),"T227")</f>
        <v>T227</v>
      </c>
      <c r="C237" t="str">
        <f ca="1">IFERROR(__xludf.DUMMYFUNCTION("""COMPUTED_VALUE"""),"Parker McLachlin")</f>
        <v>Parker McLachlin</v>
      </c>
      <c r="D237">
        <f ca="1">IFERROR(__xludf.DUMMYFUNCTION("""COMPUTED_VALUE"""),4)</f>
        <v>4</v>
      </c>
      <c r="E237" t="str">
        <f ca="1">IFERROR(__xludf.DUMMYFUNCTION("""COMPUTED_VALUE"""),"39' 6""")</f>
        <v>39' 6"</v>
      </c>
      <c r="F237">
        <f ca="1">IFERROR(__xludf.DUMMYFUNCTION("""COMPUTED_VALUE"""),118.583)</f>
        <v>118.583</v>
      </c>
      <c r="G237">
        <f ca="1">IFERROR(__xludf.DUMMYFUNCTION("""COMPUTED_VALUE"""),3)</f>
        <v>3</v>
      </c>
      <c r="H237" t="str">
        <f ca="1">IFERROR(__xludf.DUMMYFUNCTION("""COMPUTED_VALUE"""),"+1")</f>
        <v>+1</v>
      </c>
    </row>
    <row r="238" spans="1:8" ht="12.75">
      <c r="A238" t="str">
        <f ca="1">IFERROR(__xludf.DUMMYFUNCTION("""COMPUTED_VALUE"""),"T235")</f>
        <v>T235</v>
      </c>
      <c r="B238" t="str">
        <f ca="1">IFERROR(__xludf.DUMMYFUNCTION("""COMPUTED_VALUE"""),"T249")</f>
        <v>T249</v>
      </c>
      <c r="C238" t="str">
        <f ca="1">IFERROR(__xludf.DUMMYFUNCTION("""COMPUTED_VALUE"""),"Brian Stuard")</f>
        <v>Brian Stuard</v>
      </c>
      <c r="D238">
        <f ca="1">IFERROR(__xludf.DUMMYFUNCTION("""COMPUTED_VALUE"""),18)</f>
        <v>18</v>
      </c>
      <c r="E238" t="str">
        <f ca="1">IFERROR(__xludf.DUMMYFUNCTION("""COMPUTED_VALUE"""),"39' 6""")</f>
        <v>39' 6"</v>
      </c>
      <c r="F238">
        <f ca="1">IFERROR(__xludf.DUMMYFUNCTION("""COMPUTED_VALUE"""),947.5)</f>
        <v>947.5</v>
      </c>
      <c r="G238">
        <f ca="1">IFERROR(__xludf.DUMMYFUNCTION("""COMPUTED_VALUE"""),24)</f>
        <v>24</v>
      </c>
      <c r="H238" t="str">
        <f ca="1">IFERROR(__xludf.DUMMYFUNCTION("""COMPUTED_VALUE"""),"+2")</f>
        <v>+2</v>
      </c>
    </row>
    <row r="239" spans="1:8" ht="12.75">
      <c r="A239">
        <f ca="1">IFERROR(__xludf.DUMMYFUNCTION("""COMPUTED_VALUE"""),238)</f>
        <v>238</v>
      </c>
      <c r="B239">
        <f ca="1">IFERROR(__xludf.DUMMYFUNCTION("""COMPUTED_VALUE"""),229)</f>
        <v>229</v>
      </c>
      <c r="C239" t="str">
        <f ca="1">IFERROR(__xludf.DUMMYFUNCTION("""COMPUTED_VALUE"""),"Phil Mickelson")</f>
        <v>Phil Mickelson</v>
      </c>
      <c r="D239">
        <f ca="1">IFERROR(__xludf.DUMMYFUNCTION("""COMPUTED_VALUE"""),12)</f>
        <v>12</v>
      </c>
      <c r="E239" t="str">
        <f ca="1">IFERROR(__xludf.DUMMYFUNCTION("""COMPUTED_VALUE"""),"39' 7""")</f>
        <v>39' 7"</v>
      </c>
      <c r="F239">
        <f ca="1">IFERROR(__xludf.DUMMYFUNCTION("""COMPUTED_VALUE"""),909.75)</f>
        <v>909.75</v>
      </c>
      <c r="G239">
        <f ca="1">IFERROR(__xludf.DUMMYFUNCTION("""COMPUTED_VALUE"""),23)</f>
        <v>23</v>
      </c>
      <c r="H239">
        <f ca="1">IFERROR(__xludf.DUMMYFUNCTION("""COMPUTED_VALUE"""),-1)</f>
        <v>-1</v>
      </c>
    </row>
    <row r="240" spans="1:8" ht="12.75">
      <c r="A240">
        <f ca="1">IFERROR(__xludf.DUMMYFUNCTION("""COMPUTED_VALUE"""),239)</f>
        <v>239</v>
      </c>
      <c r="B240">
        <f ca="1">IFERROR(__xludf.DUMMYFUNCTION("""COMPUTED_VALUE"""),226)</f>
        <v>226</v>
      </c>
      <c r="C240" t="str">
        <f ca="1">IFERROR(__xludf.DUMMYFUNCTION("""COMPUTED_VALUE"""),"Satoshi Kodaira")</f>
        <v>Satoshi Kodaira</v>
      </c>
      <c r="D240">
        <f ca="1">IFERROR(__xludf.DUMMYFUNCTION("""COMPUTED_VALUE"""),12)</f>
        <v>12</v>
      </c>
      <c r="E240" t="str">
        <f ca="1">IFERROR(__xludf.DUMMYFUNCTION("""COMPUTED_VALUE"""),"39' 9""")</f>
        <v>39' 9"</v>
      </c>
      <c r="F240" s="2">
        <f ca="1">IFERROR(__xludf.DUMMYFUNCTION("""COMPUTED_VALUE"""),1787.75)</f>
        <v>1787.75</v>
      </c>
      <c r="G240">
        <f ca="1">IFERROR(__xludf.DUMMYFUNCTION("""COMPUTED_VALUE"""),45)</f>
        <v>45</v>
      </c>
      <c r="H240" t="str">
        <f ca="1">IFERROR(__xludf.DUMMYFUNCTION("""COMPUTED_VALUE"""),"+2")</f>
        <v>+2</v>
      </c>
    </row>
    <row r="241" spans="1:8" ht="12.75">
      <c r="A241">
        <f ca="1">IFERROR(__xludf.DUMMYFUNCTION("""COMPUTED_VALUE"""),240)</f>
        <v>240</v>
      </c>
      <c r="B241" t="str">
        <f ca="1">IFERROR(__xludf.DUMMYFUNCTION("""COMPUTED_VALUE"""),"T249")</f>
        <v>T249</v>
      </c>
      <c r="C241" t="str">
        <f ca="1">IFERROR(__xludf.DUMMYFUNCTION("""COMPUTED_VALUE"""),"Erik van Rooyen")</f>
        <v>Erik van Rooyen</v>
      </c>
      <c r="D241">
        <f ca="1">IFERROR(__xludf.DUMMYFUNCTION("""COMPUTED_VALUE"""),10)</f>
        <v>10</v>
      </c>
      <c r="E241" t="str">
        <f ca="1">IFERROR(__xludf.DUMMYFUNCTION("""COMPUTED_VALUE"""),"39' 10""")</f>
        <v>39' 10"</v>
      </c>
      <c r="F241">
        <f ca="1">IFERROR(__xludf.DUMMYFUNCTION("""COMPUTED_VALUE"""),835.667)</f>
        <v>835.66700000000003</v>
      </c>
      <c r="G241">
        <f ca="1">IFERROR(__xludf.DUMMYFUNCTION("""COMPUTED_VALUE"""),21)</f>
        <v>21</v>
      </c>
      <c r="H241" t="str">
        <f ca="1">IFERROR(__xludf.DUMMYFUNCTION("""COMPUTED_VALUE"""),"+1")</f>
        <v>+1</v>
      </c>
    </row>
    <row r="242" spans="1:8" ht="12.75">
      <c r="A242" t="str">
        <f ca="1">IFERROR(__xludf.DUMMYFUNCTION("""COMPUTED_VALUE"""),"T241")</f>
        <v>T241</v>
      </c>
      <c r="B242">
        <f ca="1">IFERROR(__xludf.DUMMYFUNCTION("""COMPUTED_VALUE"""),231)</f>
        <v>231</v>
      </c>
      <c r="C242" t="str">
        <f ca="1">IFERROR(__xludf.DUMMYFUNCTION("""COMPUTED_VALUE"""),"Dominic Bozzelli")</f>
        <v>Dominic Bozzelli</v>
      </c>
      <c r="D242">
        <f ca="1">IFERROR(__xludf.DUMMYFUNCTION("""COMPUTED_VALUE"""),8)</f>
        <v>8</v>
      </c>
      <c r="E242" t="str">
        <f ca="1">IFERROR(__xludf.DUMMYFUNCTION("""COMPUTED_VALUE"""),"40' 2""")</f>
        <v>40' 2"</v>
      </c>
      <c r="F242">
        <f ca="1">IFERROR(__xludf.DUMMYFUNCTION("""COMPUTED_VALUE"""),160.5)</f>
        <v>160.5</v>
      </c>
      <c r="G242">
        <f ca="1">IFERROR(__xludf.DUMMYFUNCTION("""COMPUTED_VALUE"""),4)</f>
        <v>4</v>
      </c>
      <c r="H242" t="str">
        <f ca="1">IFERROR(__xludf.DUMMYFUNCTION("""COMPUTED_VALUE"""),"+1")</f>
        <v>+1</v>
      </c>
    </row>
    <row r="243" spans="1:8" ht="12.75">
      <c r="A243" t="str">
        <f ca="1">IFERROR(__xludf.DUMMYFUNCTION("""COMPUTED_VALUE"""),"T241")</f>
        <v>T241</v>
      </c>
      <c r="B243" t="str">
        <f ca="1">IFERROR(__xludf.DUMMYFUNCTION("""COMPUTED_VALUE"""),"T220")</f>
        <v>T220</v>
      </c>
      <c r="C243" t="str">
        <f ca="1">IFERROR(__xludf.DUMMYFUNCTION("""COMPUTED_VALUE"""),"Henrik Stenson")</f>
        <v>Henrik Stenson</v>
      </c>
      <c r="D243">
        <f ca="1">IFERROR(__xludf.DUMMYFUNCTION("""COMPUTED_VALUE"""),11)</f>
        <v>11</v>
      </c>
      <c r="E243" t="str">
        <f ca="1">IFERROR(__xludf.DUMMYFUNCTION("""COMPUTED_VALUE"""),"40' 2""")</f>
        <v>40' 2"</v>
      </c>
      <c r="F243">
        <f ca="1">IFERROR(__xludf.DUMMYFUNCTION("""COMPUTED_VALUE"""),562.5)</f>
        <v>562.5</v>
      </c>
      <c r="G243">
        <f ca="1">IFERROR(__xludf.DUMMYFUNCTION("""COMPUTED_VALUE"""),14)</f>
        <v>14</v>
      </c>
      <c r="H243" t="str">
        <f ca="1">IFERROR(__xludf.DUMMYFUNCTION("""COMPUTED_VALUE"""),"+4")</f>
        <v>+4</v>
      </c>
    </row>
    <row r="244" spans="1:8" ht="12.75">
      <c r="A244">
        <f ca="1">IFERROR(__xludf.DUMMYFUNCTION("""COMPUTED_VALUE"""),243)</f>
        <v>243</v>
      </c>
      <c r="B244" t="str">
        <f ca="1">IFERROR(__xludf.DUMMYFUNCTION("""COMPUTED_VALUE"""),"T242")</f>
        <v>T242</v>
      </c>
      <c r="C244" t="str">
        <f ca="1">IFERROR(__xludf.DUMMYFUNCTION("""COMPUTED_VALUE"""),"Beau Hossler")</f>
        <v>Beau Hossler</v>
      </c>
      <c r="D244">
        <f ca="1">IFERROR(__xludf.DUMMYFUNCTION("""COMPUTED_VALUE"""),22)</f>
        <v>22</v>
      </c>
      <c r="E244" t="str">
        <f ca="1">IFERROR(__xludf.DUMMYFUNCTION("""COMPUTED_VALUE"""),"40' 5""")</f>
        <v>40' 5"</v>
      </c>
      <c r="F244">
        <f ca="1">IFERROR(__xludf.DUMMYFUNCTION("""COMPUTED_VALUE"""),970.5)</f>
        <v>970.5</v>
      </c>
      <c r="G244">
        <f ca="1">IFERROR(__xludf.DUMMYFUNCTION("""COMPUTED_VALUE"""),24)</f>
        <v>24</v>
      </c>
      <c r="H244" t="str">
        <f ca="1">IFERROR(__xludf.DUMMYFUNCTION("""COMPUTED_VALUE"""),"+4")</f>
        <v>+4</v>
      </c>
    </row>
    <row r="245" spans="1:8" ht="12.75">
      <c r="A245" t="str">
        <f ca="1">IFERROR(__xludf.DUMMYFUNCTION("""COMPUTED_VALUE"""),"T244")</f>
        <v>T244</v>
      </c>
      <c r="B245" t="str">
        <f ca="1">IFERROR(__xludf.DUMMYFUNCTION("""COMPUTED_VALUE"""),"T220")</f>
        <v>T220</v>
      </c>
      <c r="C245" t="str">
        <f ca="1">IFERROR(__xludf.DUMMYFUNCTION("""COMPUTED_VALUE"""),"Scottie Scheffler")</f>
        <v>Scottie Scheffler</v>
      </c>
      <c r="D245">
        <f ca="1">IFERROR(__xludf.DUMMYFUNCTION("""COMPUTED_VALUE"""),18)</f>
        <v>18</v>
      </c>
      <c r="E245" t="str">
        <f ca="1">IFERROR(__xludf.DUMMYFUNCTION("""COMPUTED_VALUE"""),"40' 6""")</f>
        <v>40' 6"</v>
      </c>
      <c r="F245" s="2">
        <f ca="1">IFERROR(__xludf.DUMMYFUNCTION("""COMPUTED_VALUE"""),1862.667)</f>
        <v>1862.6669999999999</v>
      </c>
      <c r="G245">
        <f ca="1">IFERROR(__xludf.DUMMYFUNCTION("""COMPUTED_VALUE"""),46)</f>
        <v>46</v>
      </c>
      <c r="H245" t="str">
        <f ca="1">IFERROR(__xludf.DUMMYFUNCTION("""COMPUTED_VALUE"""),"+5")</f>
        <v>+5</v>
      </c>
    </row>
    <row r="246" spans="1:8" ht="12.75">
      <c r="A246" t="str">
        <f ca="1">IFERROR(__xludf.DUMMYFUNCTION("""COMPUTED_VALUE"""),"T244")</f>
        <v>T244</v>
      </c>
      <c r="B246">
        <f ca="1">IFERROR(__xludf.DUMMYFUNCTION("""COMPUTED_VALUE"""),235)</f>
        <v>235</v>
      </c>
      <c r="C246" t="str">
        <f ca="1">IFERROR(__xludf.DUMMYFUNCTION("""COMPUTED_VALUE"""),"Alex Noren")</f>
        <v>Alex Noren</v>
      </c>
      <c r="D246">
        <f ca="1">IFERROR(__xludf.DUMMYFUNCTION("""COMPUTED_VALUE"""),14)</f>
        <v>14</v>
      </c>
      <c r="E246" t="str">
        <f ca="1">IFERROR(__xludf.DUMMYFUNCTION("""COMPUTED_VALUE"""),"40' 6""")</f>
        <v>40' 6"</v>
      </c>
      <c r="F246" s="2">
        <f ca="1">IFERROR(__xludf.DUMMYFUNCTION("""COMPUTED_VALUE"""),1538.167)</f>
        <v>1538.1669999999999</v>
      </c>
      <c r="G246">
        <f ca="1">IFERROR(__xludf.DUMMYFUNCTION("""COMPUTED_VALUE"""),38)</f>
        <v>38</v>
      </c>
      <c r="H246" t="str">
        <f ca="1">IFERROR(__xludf.DUMMYFUNCTION("""COMPUTED_VALUE"""),"+4")</f>
        <v>+4</v>
      </c>
    </row>
    <row r="247" spans="1:8" ht="12.75">
      <c r="A247">
        <f ca="1">IFERROR(__xludf.DUMMYFUNCTION("""COMPUTED_VALUE"""),246)</f>
        <v>246</v>
      </c>
      <c r="B247" t="str">
        <f ca="1">IFERROR(__xludf.DUMMYFUNCTION("""COMPUTED_VALUE"""),"T252")</f>
        <v>T252</v>
      </c>
      <c r="C247" t="str">
        <f ca="1">IFERROR(__xludf.DUMMYFUNCTION("""COMPUTED_VALUE"""),"Kevin Chappell")</f>
        <v>Kevin Chappell</v>
      </c>
      <c r="D247">
        <f ca="1">IFERROR(__xludf.DUMMYFUNCTION("""COMPUTED_VALUE"""),16)</f>
        <v>16</v>
      </c>
      <c r="E247" t="str">
        <f ca="1">IFERROR(__xludf.DUMMYFUNCTION("""COMPUTED_VALUE"""),"40' 7""")</f>
        <v>40' 7"</v>
      </c>
      <c r="F247" s="2">
        <f ca="1">IFERROR(__xludf.DUMMYFUNCTION("""COMPUTED_VALUE"""),1135.333)</f>
        <v>1135.3330000000001</v>
      </c>
      <c r="G247">
        <f ca="1">IFERROR(__xludf.DUMMYFUNCTION("""COMPUTED_VALUE"""),28)</f>
        <v>28</v>
      </c>
      <c r="H247" t="str">
        <f ca="1">IFERROR(__xludf.DUMMYFUNCTION("""COMPUTED_VALUE"""),"+1")</f>
        <v>+1</v>
      </c>
    </row>
    <row r="248" spans="1:8" ht="12.75">
      <c r="A248">
        <f ca="1">IFERROR(__xludf.DUMMYFUNCTION("""COMPUTED_VALUE"""),247)</f>
        <v>247</v>
      </c>
      <c r="B248">
        <f ca="1">IFERROR(__xludf.DUMMYFUNCTION("""COMPUTED_VALUE"""),236)</f>
        <v>236</v>
      </c>
      <c r="C248" t="str">
        <f ca="1">IFERROR(__xludf.DUMMYFUNCTION("""COMPUTED_VALUE"""),"Tim Wilkinson")</f>
        <v>Tim Wilkinson</v>
      </c>
      <c r="D248">
        <f ca="1">IFERROR(__xludf.DUMMYFUNCTION("""COMPUTED_VALUE"""),12)</f>
        <v>12</v>
      </c>
      <c r="E248" t="str">
        <f ca="1">IFERROR(__xludf.DUMMYFUNCTION("""COMPUTED_VALUE"""),"40' 8""")</f>
        <v>40' 8"</v>
      </c>
      <c r="F248">
        <f ca="1">IFERROR(__xludf.DUMMYFUNCTION("""COMPUTED_VALUE"""),366.25)</f>
        <v>366.25</v>
      </c>
      <c r="G248">
        <f ca="1">IFERROR(__xludf.DUMMYFUNCTION("""COMPUTED_VALUE"""),9)</f>
        <v>9</v>
      </c>
      <c r="H248" t="str">
        <f ca="1">IFERROR(__xludf.DUMMYFUNCTION("""COMPUTED_VALUE"""),"E")</f>
        <v>E</v>
      </c>
    </row>
    <row r="249" spans="1:8" ht="12.75">
      <c r="A249" t="str">
        <f ca="1">IFERROR(__xludf.DUMMYFUNCTION("""COMPUTED_VALUE"""),"T248")</f>
        <v>T248</v>
      </c>
      <c r="B249">
        <f ca="1">IFERROR(__xludf.DUMMYFUNCTION("""COMPUTED_VALUE"""),239)</f>
        <v>239</v>
      </c>
      <c r="C249" t="str">
        <f ca="1">IFERROR(__xludf.DUMMYFUNCTION("""COMPUTED_VALUE"""),"Rafa Cabrera Bello")</f>
        <v>Rafa Cabrera Bello</v>
      </c>
      <c r="D249">
        <f ca="1">IFERROR(__xludf.DUMMYFUNCTION("""COMPUTED_VALUE"""),14)</f>
        <v>14</v>
      </c>
      <c r="E249" t="str">
        <f ca="1">IFERROR(__xludf.DUMMYFUNCTION("""COMPUTED_VALUE"""),"41' 3""")</f>
        <v>41' 3"</v>
      </c>
      <c r="F249">
        <f ca="1">IFERROR(__xludf.DUMMYFUNCTION("""COMPUTED_VALUE"""),866.083)</f>
        <v>866.08299999999997</v>
      </c>
      <c r="G249">
        <f ca="1">IFERROR(__xludf.DUMMYFUNCTION("""COMPUTED_VALUE"""),21)</f>
        <v>21</v>
      </c>
      <c r="H249" t="str">
        <f ca="1">IFERROR(__xludf.DUMMYFUNCTION("""COMPUTED_VALUE"""),"+3")</f>
        <v>+3</v>
      </c>
    </row>
    <row r="250" spans="1:8" ht="12.75">
      <c r="A250" t="str">
        <f ca="1">IFERROR(__xludf.DUMMYFUNCTION("""COMPUTED_VALUE"""),"T248")</f>
        <v>T248</v>
      </c>
      <c r="B250" t="str">
        <f ca="1">IFERROR(__xludf.DUMMYFUNCTION("""COMPUTED_VALUE"""),"T203")</f>
        <v>T203</v>
      </c>
      <c r="C250" t="str">
        <f ca="1">IFERROR(__xludf.DUMMYFUNCTION("""COMPUTED_VALUE"""),"Martin Trainer")</f>
        <v>Martin Trainer</v>
      </c>
      <c r="D250">
        <f ca="1">IFERROR(__xludf.DUMMYFUNCTION("""COMPUTED_VALUE"""),10)</f>
        <v>10</v>
      </c>
      <c r="E250" t="str">
        <f ca="1">IFERROR(__xludf.DUMMYFUNCTION("""COMPUTED_VALUE"""),"41' 3""")</f>
        <v>41' 3"</v>
      </c>
      <c r="F250">
        <f ca="1">IFERROR(__xludf.DUMMYFUNCTION("""COMPUTED_VALUE"""),578)</f>
        <v>578</v>
      </c>
      <c r="G250">
        <f ca="1">IFERROR(__xludf.DUMMYFUNCTION("""COMPUTED_VALUE"""),14)</f>
        <v>14</v>
      </c>
      <c r="H250" t="str">
        <f ca="1">IFERROR(__xludf.DUMMYFUNCTION("""COMPUTED_VALUE"""),"+4")</f>
        <v>+4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IFERROR(__xludf.DUMMYFUNCTION("""COMPUTED_VALUE"""),230)</f>
        <v>230</v>
      </c>
      <c r="C251" t="str">
        <f ca="1">IFERROR(__xludf.DUMMYFUNCTION("""COMPUTED_VALUE"""),"Kristoffer Ventura")</f>
        <v>Kristoffer Ventura</v>
      </c>
      <c r="D251">
        <f ca="1">IFERROR(__xludf.DUMMYFUNCTION("""COMPUTED_VALUE"""),20)</f>
        <v>20</v>
      </c>
      <c r="E251" t="str">
        <f ca="1">IFERROR(__xludf.DUMMYFUNCTION("""COMPUTED_VALUE"""),"41' 5""")</f>
        <v>41' 5"</v>
      </c>
      <c r="F251" s="2">
        <f ca="1">IFERROR(__xludf.DUMMYFUNCTION("""COMPUTED_VALUE"""),1118.75)</f>
        <v>1118.75</v>
      </c>
      <c r="G251">
        <f ca="1">IFERROR(__xludf.DUMMYFUNCTION("""COMPUTED_VALUE"""),27)</f>
        <v>27</v>
      </c>
      <c r="H251" t="str">
        <f ca="1">IFERROR(__xludf.DUMMYFUNCTION("""COMPUTED_VALUE"""),"+3")</f>
        <v>+3</v>
      </c>
    </row>
    <row r="252" spans="1:8" ht="12.75">
      <c r="A252" t="str">
        <f ca="1">IFERROR(__xludf.DUMMYFUNCTION("""COMPUTED_VALUE"""),"T251")</f>
        <v>T251</v>
      </c>
      <c r="B252" t="str">
        <f ca="1">IFERROR(__xludf.DUMMYFUNCTION("""COMPUTED_VALUE"""),"T240")</f>
        <v>T240</v>
      </c>
      <c r="C252" t="str">
        <f ca="1">IFERROR(__xludf.DUMMYFUNCTION("""COMPUTED_VALUE"""),"D.J. Trahan")</f>
        <v>D.J. Trahan</v>
      </c>
      <c r="D252">
        <f ca="1">IFERROR(__xludf.DUMMYFUNCTION("""COMPUTED_VALUE"""),16)</f>
        <v>16</v>
      </c>
      <c r="E252" t="str">
        <f ca="1">IFERROR(__xludf.DUMMYFUNCTION("""COMPUTED_VALUE"""),"41' 6""")</f>
        <v>41' 6"</v>
      </c>
      <c r="F252">
        <f ca="1">IFERROR(__xludf.DUMMYFUNCTION("""COMPUTED_VALUE"""),663.417)</f>
        <v>663.41700000000003</v>
      </c>
      <c r="G252">
        <f ca="1">IFERROR(__xludf.DUMMYFUNCTION("""COMPUTED_VALUE"""),16)</f>
        <v>16</v>
      </c>
      <c r="H252" t="str">
        <f ca="1">IFERROR(__xludf.DUMMYFUNCTION("""COMPUTED_VALUE"""),"+2")</f>
        <v>+2</v>
      </c>
    </row>
    <row r="253" spans="1:8" ht="12.75">
      <c r="A253" t="str">
        <f ca="1">IFERROR(__xludf.DUMMYFUNCTION("""COMPUTED_VALUE"""),"T251")</f>
        <v>T251</v>
      </c>
      <c r="B253" t="str">
        <f ca="1">IFERROR(__xludf.DUMMYFUNCTION("""COMPUTED_VALUE"""),"")</f>
        <v/>
      </c>
      <c r="C253" t="str">
        <f ca="1">IFERROR(__xludf.DUMMYFUNCTION("""COMPUTED_VALUE"""),"Dawie van der Walt")</f>
        <v>Dawie van der Walt</v>
      </c>
      <c r="D253">
        <f ca="1">IFERROR(__xludf.DUMMYFUNCTION("""COMPUTED_VALUE"""),4)</f>
        <v>4</v>
      </c>
      <c r="E253" t="str">
        <f ca="1">IFERROR(__xludf.DUMMYFUNCTION("""COMPUTED_VALUE"""),"41' 6""")</f>
        <v>41' 6"</v>
      </c>
      <c r="F253">
        <f ca="1">IFERROR(__xludf.DUMMYFUNCTION("""COMPUTED_VALUE"""),373.5)</f>
        <v>373.5</v>
      </c>
      <c r="G253">
        <f ca="1">IFERROR(__xludf.DUMMYFUNCTION("""COMPUTED_VALUE"""),9)</f>
        <v>9</v>
      </c>
      <c r="H253" t="str">
        <f ca="1">IFERROR(__xludf.DUMMYFUNCTION("""COMPUTED_VALUE"""),"E")</f>
        <v>E</v>
      </c>
    </row>
    <row r="254" spans="1:8" ht="12.75">
      <c r="A254" t="str">
        <f ca="1">IFERROR(__xludf.DUMMYFUNCTION("""COMPUTED_VALUE"""),"T251")</f>
        <v>T251</v>
      </c>
      <c r="B254" t="str">
        <f ca="1">IFERROR(__xludf.DUMMYFUNCTION("""COMPUTED_VALUE"""),"T240")</f>
        <v>T240</v>
      </c>
      <c r="C254" t="str">
        <f ca="1">IFERROR(__xludf.DUMMYFUNCTION("""COMPUTED_VALUE"""),"Chris Stroud")</f>
        <v>Chris Stroud</v>
      </c>
      <c r="D254">
        <f ca="1">IFERROR(__xludf.DUMMYFUNCTION("""COMPUTED_VALUE"""),6)</f>
        <v>6</v>
      </c>
      <c r="E254" t="str">
        <f ca="1">IFERROR(__xludf.DUMMYFUNCTION("""COMPUTED_VALUE"""),"41' 6""")</f>
        <v>41' 6"</v>
      </c>
      <c r="F254">
        <f ca="1">IFERROR(__xludf.DUMMYFUNCTION("""COMPUTED_VALUE"""),249)</f>
        <v>249</v>
      </c>
      <c r="G254">
        <f ca="1">IFERROR(__xludf.DUMMYFUNCTION("""COMPUTED_VALUE"""),6)</f>
        <v>6</v>
      </c>
      <c r="H254" t="str">
        <f ca="1">IFERROR(__xludf.DUMMYFUNCTION("""COMPUTED_VALUE"""),"+2")</f>
        <v>+2</v>
      </c>
    </row>
    <row r="255" spans="1:8" ht="12.75">
      <c r="A255">
        <f ca="1">IFERROR(__xludf.DUMMYFUNCTION("""COMPUTED_VALUE"""),254)</f>
        <v>254</v>
      </c>
      <c r="B255" t="str">
        <f ca="1">IFERROR(__xludf.DUMMYFUNCTION("""COMPUTED_VALUE"""),"T242")</f>
        <v>T242</v>
      </c>
      <c r="C255" t="str">
        <f ca="1">IFERROR(__xludf.DUMMYFUNCTION("""COMPUTED_VALUE"""),"Mark Anderson")</f>
        <v>Mark Anderson</v>
      </c>
      <c r="D255">
        <f ca="1">IFERROR(__xludf.DUMMYFUNCTION("""COMPUTED_VALUE"""),14)</f>
        <v>14</v>
      </c>
      <c r="E255" t="str">
        <f ca="1">IFERROR(__xludf.DUMMYFUNCTION("""COMPUTED_VALUE"""),"41' 7""")</f>
        <v>41' 7"</v>
      </c>
      <c r="F255">
        <f ca="1">IFERROR(__xludf.DUMMYFUNCTION("""COMPUTED_VALUE"""),498.5)</f>
        <v>498.5</v>
      </c>
      <c r="G255">
        <f ca="1">IFERROR(__xludf.DUMMYFUNCTION("""COMPUTED_VALUE"""),12)</f>
        <v>12</v>
      </c>
      <c r="H255" t="str">
        <f ca="1">IFERROR(__xludf.DUMMYFUNCTION("""COMPUTED_VALUE"""),"+2")</f>
        <v>+2</v>
      </c>
    </row>
    <row r="256" spans="1:8" ht="12.75">
      <c r="A256" t="str">
        <f ca="1">IFERROR(__xludf.DUMMYFUNCTION("""COMPUTED_VALUE"""),"T255")</f>
        <v>T255</v>
      </c>
      <c r="B256" t="str">
        <f ca="1">IFERROR(__xludf.DUMMYFUNCTION("""COMPUTED_VALUE"""),"T245")</f>
        <v>T245</v>
      </c>
      <c r="C256" t="str">
        <f ca="1">IFERROR(__xludf.DUMMYFUNCTION("""COMPUTED_VALUE"""),"Will Zalatoris")</f>
        <v>Will Zalatoris</v>
      </c>
      <c r="D256">
        <f ca="1">IFERROR(__xludf.DUMMYFUNCTION("""COMPUTED_VALUE"""),18)</f>
        <v>18</v>
      </c>
      <c r="E256" t="str">
        <f ca="1">IFERROR(__xludf.DUMMYFUNCTION("""COMPUTED_VALUE"""),"41' 9""")</f>
        <v>41' 9"</v>
      </c>
      <c r="F256">
        <f ca="1">IFERROR(__xludf.DUMMYFUNCTION("""COMPUTED_VALUE"""),626.5)</f>
        <v>626.5</v>
      </c>
      <c r="G256">
        <f ca="1">IFERROR(__xludf.DUMMYFUNCTION("""COMPUTED_VALUE"""),15)</f>
        <v>15</v>
      </c>
      <c r="H256">
        <f ca="1">IFERROR(__xludf.DUMMYFUNCTION("""COMPUTED_VALUE"""),-3)</f>
        <v>-3</v>
      </c>
    </row>
    <row r="257" spans="1:8" ht="12.75">
      <c r="A257" t="str">
        <f ca="1">IFERROR(__xludf.DUMMYFUNCTION("""COMPUTED_VALUE"""),"T255")</f>
        <v>T255</v>
      </c>
      <c r="B257" t="str">
        <f ca="1">IFERROR(__xludf.DUMMYFUNCTION("""COMPUTED_VALUE"""),"T245")</f>
        <v>T245</v>
      </c>
      <c r="C257" t="str">
        <f ca="1">IFERROR(__xludf.DUMMYFUNCTION("""COMPUTED_VALUE"""),"Matt Every")</f>
        <v>Matt Every</v>
      </c>
      <c r="D257">
        <f ca="1">IFERROR(__xludf.DUMMYFUNCTION("""COMPUTED_VALUE"""),8)</f>
        <v>8</v>
      </c>
      <c r="E257" t="str">
        <f ca="1">IFERROR(__xludf.DUMMYFUNCTION("""COMPUTED_VALUE"""),"41' 9""")</f>
        <v>41' 9"</v>
      </c>
      <c r="F257">
        <f ca="1">IFERROR(__xludf.DUMMYFUNCTION("""COMPUTED_VALUE"""),333.667)</f>
        <v>333.66699999999997</v>
      </c>
      <c r="G257">
        <f ca="1">IFERROR(__xludf.DUMMYFUNCTION("""COMPUTED_VALUE"""),8)</f>
        <v>8</v>
      </c>
      <c r="H257" t="str">
        <f ca="1">IFERROR(__xludf.DUMMYFUNCTION("""COMPUTED_VALUE"""),"E")</f>
        <v>E</v>
      </c>
    </row>
    <row r="258" spans="1:8" ht="12.75">
      <c r="A258" t="str">
        <f ca="1">IFERROR(__xludf.DUMMYFUNCTION("""COMPUTED_VALUE"""),"T255")</f>
        <v>T255</v>
      </c>
      <c r="B258">
        <f ca="1">IFERROR(__xludf.DUMMYFUNCTION("""COMPUTED_VALUE"""),254)</f>
        <v>254</v>
      </c>
      <c r="C258" t="str">
        <f ca="1">IFERROR(__xludf.DUMMYFUNCTION("""COMPUTED_VALUE"""),"Lee Westwood")</f>
        <v>Lee Westwood</v>
      </c>
      <c r="D258">
        <f ca="1">IFERROR(__xludf.DUMMYFUNCTION("""COMPUTED_VALUE"""),6)</f>
        <v>6</v>
      </c>
      <c r="E258" t="str">
        <f ca="1">IFERROR(__xludf.DUMMYFUNCTION("""COMPUTED_VALUE"""),"41' 9""")</f>
        <v>41' 9"</v>
      </c>
      <c r="F258">
        <f ca="1">IFERROR(__xludf.DUMMYFUNCTION("""COMPUTED_VALUE"""),542.75)</f>
        <v>542.75</v>
      </c>
      <c r="G258">
        <f ca="1">IFERROR(__xludf.DUMMYFUNCTION("""COMPUTED_VALUE"""),13)</f>
        <v>13</v>
      </c>
      <c r="H258" t="str">
        <f ca="1">IFERROR(__xludf.DUMMYFUNCTION("""COMPUTED_VALUE"""),"+3")</f>
        <v>+3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IFERROR(__xludf.DUMMYFUNCTION("""COMPUTED_VALUE"""),251)</f>
        <v>251</v>
      </c>
      <c r="C259" t="str">
        <f ca="1">IFERROR(__xludf.DUMMYFUNCTION("""COMPUTED_VALUE"""),"Peter Uihlein")</f>
        <v>Peter Uihlein</v>
      </c>
      <c r="D259">
        <f ca="1">IFERROR(__xludf.DUMMYFUNCTION("""COMPUTED_VALUE"""),8)</f>
        <v>8</v>
      </c>
      <c r="E259" t="str">
        <f ca="1">IFERROR(__xludf.DUMMYFUNCTION("""COMPUTED_VALUE"""),"42' 3""")</f>
        <v>42' 3"</v>
      </c>
      <c r="F259">
        <f ca="1">IFERROR(__xludf.DUMMYFUNCTION("""COMPUTED_VALUE"""),168.833)</f>
        <v>168.833</v>
      </c>
      <c r="G259">
        <f ca="1">IFERROR(__xludf.DUMMYFUNCTION("""COMPUTED_VALUE"""),4)</f>
        <v>4</v>
      </c>
      <c r="H259" t="str">
        <f ca="1">IFERROR(__xludf.DUMMYFUNCTION("""COMPUTED_VALUE"""),"+1")</f>
        <v>+1</v>
      </c>
    </row>
    <row r="260" spans="1:8" ht="12.75">
      <c r="A260">
        <f ca="1">IFERROR(__xludf.DUMMYFUNCTION("""COMPUTED_VALUE"""),259)</f>
        <v>259</v>
      </c>
      <c r="B260">
        <f ca="1">IFERROR(__xludf.DUMMYFUNCTION("""COMPUTED_VALUE"""),256)</f>
        <v>256</v>
      </c>
      <c r="C260" t="str">
        <f ca="1">IFERROR(__xludf.DUMMYFUNCTION("""COMPUTED_VALUE"""),"Jimmy Walker")</f>
        <v>Jimmy Walker</v>
      </c>
      <c r="D260">
        <f ca="1">IFERROR(__xludf.DUMMYFUNCTION("""COMPUTED_VALUE"""),10)</f>
        <v>10</v>
      </c>
      <c r="E260" t="str">
        <f ca="1">IFERROR(__xludf.DUMMYFUNCTION("""COMPUTED_VALUE"""),"42' 5""")</f>
        <v>42' 5"</v>
      </c>
      <c r="F260">
        <f ca="1">IFERROR(__xludf.DUMMYFUNCTION("""COMPUTED_VALUE"""),721.333)</f>
        <v>721.33299999999997</v>
      </c>
      <c r="G260">
        <f ca="1">IFERROR(__xludf.DUMMYFUNCTION("""COMPUTED_VALUE"""),17)</f>
        <v>17</v>
      </c>
      <c r="H260" t="str">
        <f ca="1">IFERROR(__xludf.DUMMYFUNCTION("""COMPUTED_VALUE"""),"+7")</f>
        <v>+7</v>
      </c>
    </row>
    <row r="261" spans="1:8" ht="12.75">
      <c r="A261">
        <f ca="1">IFERROR(__xludf.DUMMYFUNCTION("""COMPUTED_VALUE"""),260)</f>
        <v>260</v>
      </c>
      <c r="B261" t="str">
        <f ca="1">IFERROR(__xludf.DUMMYFUNCTION("""COMPUTED_VALUE"""),"T252")</f>
        <v>T252</v>
      </c>
      <c r="C261" t="str">
        <f ca="1">IFERROR(__xludf.DUMMYFUNCTION("""COMPUTED_VALUE"""),"Christiaan Bezuidenhout")</f>
        <v>Christiaan Bezuidenhout</v>
      </c>
      <c r="D261">
        <f ca="1">IFERROR(__xludf.DUMMYFUNCTION("""COMPUTED_VALUE"""),4)</f>
        <v>4</v>
      </c>
      <c r="E261" t="str">
        <f ca="1">IFERROR(__xludf.DUMMYFUNCTION("""COMPUTED_VALUE"""),"42' 11""")</f>
        <v>42' 11"</v>
      </c>
      <c r="F261">
        <f ca="1">IFERROR(__xludf.DUMMYFUNCTION("""COMPUTED_VALUE"""),472.333)</f>
        <v>472.33300000000003</v>
      </c>
      <c r="G261">
        <f ca="1">IFERROR(__xludf.DUMMYFUNCTION("""COMPUTED_VALUE"""),11)</f>
        <v>11</v>
      </c>
      <c r="H261" t="str">
        <f ca="1">IFERROR(__xludf.DUMMYFUNCTION("""COMPUTED_VALUE"""),"+2")</f>
        <v>+2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IFERROR(__xludf.DUMMYFUNCTION("""COMPUTED_VALUE"""),255)</f>
        <v>255</v>
      </c>
      <c r="C262" t="str">
        <f ca="1">IFERROR(__xludf.DUMMYFUNCTION("""COMPUTED_VALUE"""),"Thomas Detry")</f>
        <v>Thomas Detry</v>
      </c>
      <c r="D262">
        <f ca="1">IFERROR(__xludf.DUMMYFUNCTION("""COMPUTED_VALUE"""),8)</f>
        <v>8</v>
      </c>
      <c r="E262" t="str">
        <f ca="1">IFERROR(__xludf.DUMMYFUNCTION("""COMPUTED_VALUE"""),"43' 8""")</f>
        <v>43' 8"</v>
      </c>
      <c r="F262">
        <f ca="1">IFERROR(__xludf.DUMMYFUNCTION("""COMPUTED_VALUE"""),436.75)</f>
        <v>436.75</v>
      </c>
      <c r="G262">
        <f ca="1">IFERROR(__xludf.DUMMYFUNCTION("""COMPUTED_VALUE"""),10)</f>
        <v>10</v>
      </c>
      <c r="H262" t="str">
        <f ca="1">IFERROR(__xludf.DUMMYFUNCTION("""COMPUTED_VALUE"""),"E")</f>
        <v>E</v>
      </c>
    </row>
    <row r="263" spans="1:8" ht="12.75">
      <c r="A263" t="str">
        <f ca="1">IFERROR(__xludf.DUMMYFUNCTION("""COMPUTED_VALUE"""),"T262")</f>
        <v>T262</v>
      </c>
      <c r="B263" t="str">
        <f ca="1">IFERROR(__xludf.DUMMYFUNCTION("""COMPUTED_VALUE"""),"")</f>
        <v/>
      </c>
      <c r="C263" t="str">
        <f ca="1">IFERROR(__xludf.DUMMYFUNCTION("""COMPUTED_VALUE"""),"Ollie Schniederjans")</f>
        <v>Ollie Schniederjans</v>
      </c>
      <c r="D263">
        <f ca="1">IFERROR(__xludf.DUMMYFUNCTION("""COMPUTED_VALUE"""),6)</f>
        <v>6</v>
      </c>
      <c r="E263" t="str">
        <f ca="1">IFERROR(__xludf.DUMMYFUNCTION("""COMPUTED_VALUE"""),"44' 5""")</f>
        <v>44' 5"</v>
      </c>
      <c r="F263">
        <f ca="1">IFERROR(__xludf.DUMMYFUNCTION("""COMPUTED_VALUE"""),133.25)</f>
        <v>133.25</v>
      </c>
      <c r="G263">
        <f ca="1">IFERROR(__xludf.DUMMYFUNCTION("""COMPUTED_VALUE"""),3)</f>
        <v>3</v>
      </c>
      <c r="H263">
        <f ca="1">IFERROR(__xludf.DUMMYFUNCTION("""COMPUTED_VALUE"""),-1)</f>
        <v>-1</v>
      </c>
    </row>
    <row r="264" spans="1:8" ht="12.75">
      <c r="A264" t="str">
        <f ca="1">IFERROR(__xludf.DUMMYFUNCTION("""COMPUTED_VALUE"""),"T262")</f>
        <v>T262</v>
      </c>
      <c r="B264" t="str">
        <f ca="1">IFERROR(__xludf.DUMMYFUNCTION("""COMPUTED_VALUE"""),"T247")</f>
        <v>T247</v>
      </c>
      <c r="C264" t="str">
        <f ca="1">IFERROR(__xludf.DUMMYFUNCTION("""COMPUTED_VALUE"""),"Hunter Mahan")</f>
        <v>Hunter Mahan</v>
      </c>
      <c r="D264">
        <f ca="1">IFERROR(__xludf.DUMMYFUNCTION("""COMPUTED_VALUE"""),14)</f>
        <v>14</v>
      </c>
      <c r="E264" t="str">
        <f ca="1">IFERROR(__xludf.DUMMYFUNCTION("""COMPUTED_VALUE"""),"44' 5""")</f>
        <v>44' 5"</v>
      </c>
      <c r="F264">
        <f ca="1">IFERROR(__xludf.DUMMYFUNCTION("""COMPUTED_VALUE"""),844.333)</f>
        <v>844.33299999999997</v>
      </c>
      <c r="G264">
        <f ca="1">IFERROR(__xludf.DUMMYFUNCTION("""COMPUTED_VALUE"""),19)</f>
        <v>19</v>
      </c>
      <c r="H264" t="str">
        <f ca="1">IFERROR(__xludf.DUMMYFUNCTION("""COMPUTED_VALUE"""),"+6")</f>
        <v>+6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IFERROR(__xludf.DUMMYFUNCTION("""COMPUTED_VALUE"""),257)</f>
        <v>257</v>
      </c>
      <c r="C265" t="str">
        <f ca="1">IFERROR(__xludf.DUMMYFUNCTION("""COMPUTED_VALUE"""),"Charles Howell III")</f>
        <v>Charles Howell III</v>
      </c>
      <c r="D265">
        <f ca="1">IFERROR(__xludf.DUMMYFUNCTION("""COMPUTED_VALUE"""),10)</f>
        <v>10</v>
      </c>
      <c r="E265" t="str">
        <f ca="1">IFERROR(__xludf.DUMMYFUNCTION("""COMPUTED_VALUE"""),"44' 6""")</f>
        <v>44' 6"</v>
      </c>
      <c r="F265">
        <f ca="1">IFERROR(__xludf.DUMMYFUNCTION("""COMPUTED_VALUE"""),711.333)</f>
        <v>711.33299999999997</v>
      </c>
      <c r="G265">
        <f ca="1">IFERROR(__xludf.DUMMYFUNCTION("""COMPUTED_VALUE"""),16)</f>
        <v>16</v>
      </c>
      <c r="H265">
        <f ca="1">IFERROR(__xludf.DUMMYFUNCTION("""COMPUTED_VALUE"""),-1)</f>
        <v>-1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IFERROR(__xludf.DUMMYFUNCTION("""COMPUTED_VALUE"""),258)</f>
        <v>258</v>
      </c>
      <c r="C266" t="str">
        <f ca="1">IFERROR(__xludf.DUMMYFUNCTION("""COMPUTED_VALUE"""),"Brian Gay")</f>
        <v>Brian Gay</v>
      </c>
      <c r="D266">
        <f ca="1">IFERROR(__xludf.DUMMYFUNCTION("""COMPUTED_VALUE"""),8)</f>
        <v>8</v>
      </c>
      <c r="E266" t="str">
        <f ca="1">IFERROR(__xludf.DUMMYFUNCTION("""COMPUTED_VALUE"""),"45' 4""")</f>
        <v>45' 4"</v>
      </c>
      <c r="F266">
        <f ca="1">IFERROR(__xludf.DUMMYFUNCTION("""COMPUTED_VALUE"""),272)</f>
        <v>272</v>
      </c>
      <c r="G266">
        <f ca="1">IFERROR(__xludf.DUMMYFUNCTION("""COMPUTED_VALUE"""),6)</f>
        <v>6</v>
      </c>
      <c r="H266" t="str">
        <f ca="1">IFERROR(__xludf.DUMMYFUNCTION("""COMPUTED_VALUE"""),"+1")</f>
        <v>+1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IFERROR(__xludf.DUMMYFUNCTION("""COMPUTED_VALUE"""),266)</f>
        <v>266</v>
      </c>
      <c r="C267" t="str">
        <f ca="1">IFERROR(__xludf.DUMMYFUNCTION("""COMPUTED_VALUE"""),"Dustin Johnson")</f>
        <v>Dustin Johnson</v>
      </c>
      <c r="D267">
        <f ca="1">IFERROR(__xludf.DUMMYFUNCTION("""COMPUTED_VALUE"""),8)</f>
        <v>8</v>
      </c>
      <c r="E267" t="str">
        <f ca="1">IFERROR(__xludf.DUMMYFUNCTION("""COMPUTED_VALUE"""),"45' 10""")</f>
        <v>45' 10"</v>
      </c>
      <c r="F267">
        <f ca="1">IFERROR(__xludf.DUMMYFUNCTION("""COMPUTED_VALUE"""),870.083)</f>
        <v>870.08299999999997</v>
      </c>
      <c r="G267">
        <f ca="1">IFERROR(__xludf.DUMMYFUNCTION("""COMPUTED_VALUE"""),19)</f>
        <v>19</v>
      </c>
      <c r="H267" t="str">
        <f ca="1">IFERROR(__xludf.DUMMYFUNCTION("""COMPUTED_VALUE"""),"+2")</f>
        <v>+2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IFERROR(__xludf.DUMMYFUNCTION("""COMPUTED_VALUE"""),"Matthias Schwab")</f>
        <v>Matthias Schwab</v>
      </c>
      <c r="D268">
        <f ca="1">IFERROR(__xludf.DUMMYFUNCTION("""COMPUTED_VALUE"""),8)</f>
        <v>8</v>
      </c>
      <c r="E268" t="str">
        <f ca="1">IFERROR(__xludf.DUMMYFUNCTION("""COMPUTED_VALUE"""),"46' 0""")</f>
        <v>46' 0"</v>
      </c>
      <c r="F268">
        <f ca="1">IFERROR(__xludf.DUMMYFUNCTION("""COMPUTED_VALUE"""),229.833)</f>
        <v>229.833</v>
      </c>
      <c r="G268">
        <f ca="1">IFERROR(__xludf.DUMMYFUNCTION("""COMPUTED_VALUE"""),5)</f>
        <v>5</v>
      </c>
      <c r="H268" t="str">
        <f ca="1">IFERROR(__xludf.DUMMYFUNCTION("""COMPUTED_VALUE"""),"+2")</f>
        <v>+2</v>
      </c>
    </row>
    <row r="269" spans="1:8" ht="12.75">
      <c r="A269">
        <f ca="1">IFERROR(__xludf.DUMMYFUNCTION("""COMPUTED_VALUE"""),268)</f>
        <v>268</v>
      </c>
      <c r="B269" t="str">
        <f ca="1">IFERROR(__xludf.DUMMYFUNCTION("""COMPUTED_VALUE"""),"")</f>
        <v/>
      </c>
      <c r="C269" t="str">
        <f ca="1">IFERROR(__xludf.DUMMYFUNCTION("""COMPUTED_VALUE"""),"Greg Chalmers")</f>
        <v>Greg Chalmers</v>
      </c>
      <c r="D269">
        <f ca="1">IFERROR(__xludf.DUMMYFUNCTION("""COMPUTED_VALUE"""),6)</f>
        <v>6</v>
      </c>
      <c r="E269" t="str">
        <f ca="1">IFERROR(__xludf.DUMMYFUNCTION("""COMPUTED_VALUE"""),"46' 1""")</f>
        <v>46' 1"</v>
      </c>
      <c r="F269">
        <f ca="1">IFERROR(__xludf.DUMMYFUNCTION("""COMPUTED_VALUE"""),691.333)</f>
        <v>691.33299999999997</v>
      </c>
      <c r="G269">
        <f ca="1">IFERROR(__xludf.DUMMYFUNCTION("""COMPUTED_VALUE"""),15)</f>
        <v>15</v>
      </c>
      <c r="H269" t="str">
        <f ca="1">IFERROR(__xludf.DUMMYFUNCTION("""COMPUTED_VALUE"""),"+2")</f>
        <v>+2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IFERROR(__xludf.DUMMYFUNCTION("""COMPUTED_VALUE"""),267)</f>
        <v>267</v>
      </c>
      <c r="C270" t="str">
        <f ca="1">IFERROR(__xludf.DUMMYFUNCTION("""COMPUTED_VALUE"""),"Matt Jones")</f>
        <v>Matt Jones</v>
      </c>
      <c r="D270">
        <f ca="1">IFERROR(__xludf.DUMMYFUNCTION("""COMPUTED_VALUE"""),20)</f>
        <v>20</v>
      </c>
      <c r="E270" t="str">
        <f ca="1">IFERROR(__xludf.DUMMYFUNCTION("""COMPUTED_VALUE"""),"46' 6""")</f>
        <v>46' 6"</v>
      </c>
      <c r="F270" s="2">
        <f ca="1">IFERROR(__xludf.DUMMYFUNCTION("""COMPUTED_VALUE"""),1022.083)</f>
        <v>1022.083</v>
      </c>
      <c r="G270">
        <f ca="1">IFERROR(__xludf.DUMMYFUNCTION("""COMPUTED_VALUE"""),22)</f>
        <v>22</v>
      </c>
      <c r="H270" t="str">
        <f ca="1">IFERROR(__xludf.DUMMYFUNCTION("""COMPUTED_VALUE"""),"+4")</f>
        <v>+4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IFERROR(__xludf.DUMMYFUNCTION("""COMPUTED_VALUE"""),262)</f>
        <v>262</v>
      </c>
      <c r="C271" t="str">
        <f ca="1">IFERROR(__xludf.DUMMYFUNCTION("""COMPUTED_VALUE"""),"Rasmus Hojgaard")</f>
        <v>Rasmus Hojgaard</v>
      </c>
      <c r="D271">
        <f ca="1">IFERROR(__xludf.DUMMYFUNCTION("""COMPUTED_VALUE"""),6)</f>
        <v>6</v>
      </c>
      <c r="E271" t="str">
        <f ca="1">IFERROR(__xludf.DUMMYFUNCTION("""COMPUTED_VALUE"""),"47' 4""")</f>
        <v>47' 4"</v>
      </c>
      <c r="F271">
        <f ca="1">IFERROR(__xludf.DUMMYFUNCTION("""COMPUTED_VALUE"""),189.167)</f>
        <v>189.167</v>
      </c>
      <c r="G271">
        <f ca="1">IFERROR(__xludf.DUMMYFUNCTION("""COMPUTED_VALUE"""),4)</f>
        <v>4</v>
      </c>
      <c r="H271" t="str">
        <f ca="1">IFERROR(__xludf.DUMMYFUNCTION("""COMPUTED_VALUE"""),"+2")</f>
        <v>+2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IFERROR(__xludf.DUMMYFUNCTION("""COMPUTED_VALUE"""),"Stephan Jaeger")</f>
        <v>Stephan Jaeger</v>
      </c>
      <c r="D272">
        <f ca="1">IFERROR(__xludf.DUMMYFUNCTION("""COMPUTED_VALUE"""),4)</f>
        <v>4</v>
      </c>
      <c r="E272" t="str">
        <f ca="1">IFERROR(__xludf.DUMMYFUNCTION("""COMPUTED_VALUE"""),"48' 9""")</f>
        <v>48' 9"</v>
      </c>
      <c r="F272">
        <f ca="1">IFERROR(__xludf.DUMMYFUNCTION("""COMPUTED_VALUE"""),487.333)</f>
        <v>487.33300000000003</v>
      </c>
      <c r="G272">
        <f ca="1">IFERROR(__xludf.DUMMYFUNCTION("""COMPUTED_VALUE"""),10)</f>
        <v>10</v>
      </c>
      <c r="H272">
        <f ca="1">IFERROR(__xludf.DUMMYFUNCTION("""COMPUTED_VALUE"""),-1)</f>
        <v>-1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IFERROR(__xludf.DUMMYFUNCTION("""COMPUTED_VALUE"""),260)</f>
        <v>260</v>
      </c>
      <c r="C273" t="str">
        <f ca="1">IFERROR(__xludf.DUMMYFUNCTION("""COMPUTED_VALUE"""),"Nate Lashley")</f>
        <v>Nate Lashley</v>
      </c>
      <c r="D273">
        <f ca="1">IFERROR(__xludf.DUMMYFUNCTION("""COMPUTED_VALUE"""),16)</f>
        <v>16</v>
      </c>
      <c r="E273" t="str">
        <f ca="1">IFERROR(__xludf.DUMMYFUNCTION("""COMPUTED_VALUE"""),"49' 10""")</f>
        <v>49' 10"</v>
      </c>
      <c r="F273" s="2">
        <f ca="1">IFERROR(__xludf.DUMMYFUNCTION("""COMPUTED_VALUE"""),1246.167)</f>
        <v>1246.1669999999999</v>
      </c>
      <c r="G273">
        <f ca="1">IFERROR(__xludf.DUMMYFUNCTION("""COMPUTED_VALUE"""),25)</f>
        <v>25</v>
      </c>
      <c r="H273" t="str">
        <f ca="1">IFERROR(__xludf.DUMMYFUNCTION("""COMPUTED_VALUE"""),"E")</f>
        <v>E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IFERROR(__xludf.DUMMYFUNCTION("""COMPUTED_VALUE"""),264)</f>
        <v>264</v>
      </c>
      <c r="C274" t="str">
        <f ca="1">IFERROR(__xludf.DUMMYFUNCTION("""COMPUTED_VALUE"""),"Bernd Wiesberger")</f>
        <v>Bernd Wiesberger</v>
      </c>
      <c r="D274">
        <f ca="1">IFERROR(__xludf.DUMMYFUNCTION("""COMPUTED_VALUE"""),4)</f>
        <v>4</v>
      </c>
      <c r="E274" t="str">
        <f ca="1">IFERROR(__xludf.DUMMYFUNCTION("""COMPUTED_VALUE"""),"52' 0""")</f>
        <v>52' 0"</v>
      </c>
      <c r="F274">
        <f ca="1">IFERROR(__xludf.DUMMYFUNCTION("""COMPUTED_VALUE"""),468)</f>
        <v>468</v>
      </c>
      <c r="G274">
        <f ca="1">IFERROR(__xludf.DUMMYFUNCTION("""COMPUTED_VALUE"""),9)</f>
        <v>9</v>
      </c>
      <c r="H274" t="str">
        <f ca="1">IFERROR(__xludf.DUMMYFUNCTION("""COMPUTED_VALUE"""),"+3")</f>
        <v>+3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IFERROR(__xludf.DUMMYFUNCTION("""COMPUTED_VALUE"""),265)</f>
        <v>265</v>
      </c>
      <c r="C275" t="str">
        <f ca="1">IFERROR(__xludf.DUMMYFUNCTION("""COMPUTED_VALUE"""),"Rory Sabbatini")</f>
        <v>Rory Sabbatini</v>
      </c>
      <c r="D275">
        <f ca="1">IFERROR(__xludf.DUMMYFUNCTION("""COMPUTED_VALUE"""),13)</f>
        <v>13</v>
      </c>
      <c r="E275" t="str">
        <f ca="1">IFERROR(__xludf.DUMMYFUNCTION("""COMPUTED_VALUE"""),"53' 4""")</f>
        <v>53' 4"</v>
      </c>
      <c r="F275" s="2">
        <f ca="1">IFERROR(__xludf.DUMMYFUNCTION("""COMPUTED_VALUE"""),1439.917)</f>
        <v>1439.9169999999999</v>
      </c>
      <c r="G275">
        <f ca="1">IFERROR(__xludf.DUMMYFUNCTION("""COMPUTED_VALUE"""),27)</f>
        <v>27</v>
      </c>
      <c r="H275" t="str">
        <f ca="1">IFERROR(__xludf.DUMMYFUNCTION("""COMPUTED_VALUE"""),"+5")</f>
        <v>+5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IFERROR(__xludf.DUMMYFUNCTION("""COMPUTED_VALUE"""),"Renato Paratore")</f>
        <v>Renato Paratore</v>
      </c>
      <c r="D276">
        <f ca="1">IFERROR(__xludf.DUMMYFUNCTION("""COMPUTED_VALUE"""),4)</f>
        <v>4</v>
      </c>
      <c r="E276" t="str">
        <f ca="1">IFERROR(__xludf.DUMMYFUNCTION("""COMPUTED_VALUE"""),"64' 3""")</f>
        <v>64' 3"</v>
      </c>
      <c r="F276">
        <f ca="1">IFERROR(__xludf.DUMMYFUNCTION("""COMPUTED_VALUE"""),449.917)</f>
        <v>449.91699999999997</v>
      </c>
      <c r="G276">
        <f ca="1">IFERROR(__xludf.DUMMYFUNCTION("""COMPUTED_VALUE"""),7)</f>
        <v>7</v>
      </c>
      <c r="H276" t="str">
        <f ca="1">IFERROR(__xludf.DUMMYFUNCTION("""COMPUTED_VALUE"""),"+3")</f>
        <v>+3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IFERROR(__xludf.DUMMYFUNCTION("""COMPUTED_VALUE"""),"Taylor Pendrith")</f>
        <v>Taylor Pendrith</v>
      </c>
      <c r="D277">
        <f ca="1">IFERROR(__xludf.DUMMYFUNCTION("""COMPUTED_VALUE"""),4)</f>
        <v>4</v>
      </c>
      <c r="E277" t="str">
        <f ca="1">IFERROR(__xludf.DUMMYFUNCTION("""COMPUTED_VALUE"""),"72' 9""")</f>
        <v>72' 9"</v>
      </c>
      <c r="F277">
        <f ca="1">IFERROR(__xludf.DUMMYFUNCTION("""COMPUTED_VALUE"""),509.417)</f>
        <v>509.41699999999997</v>
      </c>
      <c r="G277">
        <f ca="1">IFERROR(__xludf.DUMMYFUNCTION("""COMPUTED_VALUE"""),7)</f>
        <v>7</v>
      </c>
      <c r="H277" t="str">
        <f ca="1">IFERROR(__xludf.DUMMYFUNCTION("""COMPUTED_VALUE"""),"+1")</f>
        <v>+1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IFERROR(__xludf.DUMMYFUNCTION("importhtml(""http://www.pgatour.com/stats/stat.336.html"",""table"",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ATTEMPTS")</f>
        <v># OF ATTEMPTS</v>
      </c>
      <c r="H1" t="str">
        <f ca="1">IFERROR(__xludf.DUMMYFUNCTION("""COMPUTED_VALUE"""),"RELATIVE TO PAR")</f>
        <v>RELATIVE TO PAR</v>
      </c>
    </row>
    <row r="2" spans="1:8" ht="15.75" customHeight="1">
      <c r="A2">
        <f ca="1">IFERROR(__xludf.DUMMYFUNCTION("""COMPUTED_VALUE"""),1)</f>
        <v>1</v>
      </c>
      <c r="B2" t="str">
        <f ca="1">IFERROR(__xludf.DUMMYFUNCTION("""COMPUTED_VALUE"""),"")</f>
        <v/>
      </c>
      <c r="C2" t="str">
        <f ca="1">IFERROR(__xludf.DUMMYFUNCTION("""COMPUTED_VALUE"""),"Erik Barnes")</f>
        <v>Erik Barnes</v>
      </c>
      <c r="D2">
        <f ca="1">IFERROR(__xludf.DUMMYFUNCTION("""COMPUTED_VALUE"""),4)</f>
        <v>4</v>
      </c>
      <c r="E2" t="str">
        <f ca="1">IFERROR(__xludf.DUMMYFUNCTION("""COMPUTED_VALUE"""),"31' 0""")</f>
        <v>31' 0"</v>
      </c>
      <c r="F2">
        <f ca="1">IFERROR(__xludf.DUMMYFUNCTION("""COMPUTED_VALUE"""),247.833)</f>
        <v>247.833</v>
      </c>
      <c r="G2">
        <f ca="1">IFERROR(__xludf.DUMMYFUNCTION("""COMPUTED_VALUE"""),8)</f>
        <v>8</v>
      </c>
      <c r="H2">
        <f ca="1">IFERROR(__xludf.DUMMYFUNCTION("""COMPUTED_VALUE"""),-4)</f>
        <v>-4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IFERROR(__xludf.DUMMYFUNCTION("""COMPUTED_VALUE"""),1)</f>
        <v>1</v>
      </c>
      <c r="C3" t="str">
        <f ca="1">IFERROR(__xludf.DUMMYFUNCTION("""COMPUTED_VALUE"""),"Ryan Blaum")</f>
        <v>Ryan Blaum</v>
      </c>
      <c r="D3">
        <f ca="1">IFERROR(__xludf.DUMMYFUNCTION("""COMPUTED_VALUE"""),8)</f>
        <v>8</v>
      </c>
      <c r="E3" t="str">
        <f ca="1">IFERROR(__xludf.DUMMYFUNCTION("""COMPUTED_VALUE"""),"31' 9""")</f>
        <v>31' 9"</v>
      </c>
      <c r="F3">
        <f ca="1">IFERROR(__xludf.DUMMYFUNCTION("""COMPUTED_VALUE"""),381.25)</f>
        <v>381.25</v>
      </c>
      <c r="G3">
        <f ca="1">IFERROR(__xludf.DUMMYFUNCTION("""COMPUTED_VALUE"""),12)</f>
        <v>12</v>
      </c>
      <c r="H3">
        <f ca="1">IFERROR(__xludf.DUMMYFUNCTION("""COMPUTED_VALUE"""),-3)</f>
        <v>-3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IFERROR(__xludf.DUMMYFUNCTION("""COMPUTED_VALUE"""),"Gary Woodland")</f>
        <v>Gary Woodland</v>
      </c>
      <c r="D4">
        <f ca="1">IFERROR(__xludf.DUMMYFUNCTION("""COMPUTED_VALUE"""),6)</f>
        <v>6</v>
      </c>
      <c r="E4" t="str">
        <f ca="1">IFERROR(__xludf.DUMMYFUNCTION("""COMPUTED_VALUE"""),"31' 11""")</f>
        <v>31' 11"</v>
      </c>
      <c r="F4">
        <f ca="1">IFERROR(__xludf.DUMMYFUNCTION("""COMPUTED_VALUE"""),733.917)</f>
        <v>733.91700000000003</v>
      </c>
      <c r="G4">
        <f ca="1">IFERROR(__xludf.DUMMYFUNCTION("""COMPUTED_VALUE"""),23)</f>
        <v>23</v>
      </c>
      <c r="H4">
        <f ca="1">IFERROR(__xludf.DUMMYFUNCTION("""COMPUTED_VALUE"""),-7)</f>
        <v>-7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IFERROR(__xludf.DUMMYFUNCTION("""COMPUTED_VALUE"""),"Luke Schniederjans")</f>
        <v>Luke Schniederjans</v>
      </c>
      <c r="D5">
        <f ca="1">IFERROR(__xludf.DUMMYFUNCTION("""COMPUTED_VALUE"""),4)</f>
        <v>4</v>
      </c>
      <c r="E5" t="str">
        <f ca="1">IFERROR(__xludf.DUMMYFUNCTION("""COMPUTED_VALUE"""),"33' 5""")</f>
        <v>33' 5"</v>
      </c>
      <c r="F5">
        <f ca="1">IFERROR(__xludf.DUMMYFUNCTION("""COMPUTED_VALUE"""),100.333)</f>
        <v>100.333</v>
      </c>
      <c r="G5">
        <f ca="1">IFERROR(__xludf.DUMMYFUNCTION("""COMPUTED_VALUE"""),3)</f>
        <v>3</v>
      </c>
      <c r="H5" t="str">
        <f ca="1">IFERROR(__xludf.DUMMYFUNCTION("""COMPUTED_VALUE"""),"E")</f>
        <v>E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IFERROR(__xludf.DUMMYFUNCTION("""COMPUTED_VALUE"""),"Ricky Barnes")</f>
        <v>Ricky Barnes</v>
      </c>
      <c r="D6">
        <f ca="1">IFERROR(__xludf.DUMMYFUNCTION("""COMPUTED_VALUE"""),12)</f>
        <v>12</v>
      </c>
      <c r="E6" t="str">
        <f ca="1">IFERROR(__xludf.DUMMYFUNCTION("""COMPUTED_VALUE"""),"33' 6""")</f>
        <v>33' 6"</v>
      </c>
      <c r="F6">
        <f ca="1">IFERROR(__xludf.DUMMYFUNCTION("""COMPUTED_VALUE"""),301.25)</f>
        <v>301.25</v>
      </c>
      <c r="G6">
        <f ca="1">IFERROR(__xludf.DUMMYFUNCTION("""COMPUTED_VALUE"""),9)</f>
        <v>9</v>
      </c>
      <c r="H6">
        <f ca="1">IFERROR(__xludf.DUMMYFUNCTION("""COMPUTED_VALUE"""),-2)</f>
        <v>-2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IFERROR(__xludf.DUMMYFUNCTION("""COMPUTED_VALUE"""),"Romain Langasque")</f>
        <v>Romain Langasque</v>
      </c>
      <c r="D7">
        <f ca="1">IFERROR(__xludf.DUMMYFUNCTION("""COMPUTED_VALUE"""),4)</f>
        <v>4</v>
      </c>
      <c r="E7" t="str">
        <f ca="1">IFERROR(__xludf.DUMMYFUNCTION("""COMPUTED_VALUE"""),"34' 10""")</f>
        <v>34' 10"</v>
      </c>
      <c r="F7">
        <f ca="1">IFERROR(__xludf.DUMMYFUNCTION("""COMPUTED_VALUE"""),452.5)</f>
        <v>452.5</v>
      </c>
      <c r="G7">
        <f ca="1">IFERROR(__xludf.DUMMYFUNCTION("""COMPUTED_VALUE"""),13)</f>
        <v>13</v>
      </c>
      <c r="H7" t="str">
        <f ca="1">IFERROR(__xludf.DUMMYFUNCTION("""COMPUTED_VALUE"""),"+2")</f>
        <v>+2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IFERROR(__xludf.DUMMYFUNCTION("""COMPUTED_VALUE"""),"Anirban Lahiri")</f>
        <v>Anirban Lahiri</v>
      </c>
      <c r="D8">
        <f ca="1">IFERROR(__xludf.DUMMYFUNCTION("""COMPUTED_VALUE"""),16)</f>
        <v>16</v>
      </c>
      <c r="E8" t="str">
        <f ca="1">IFERROR(__xludf.DUMMYFUNCTION("""COMPUTED_VALUE"""),"35' 7""")</f>
        <v>35' 7"</v>
      </c>
      <c r="F8">
        <f ca="1">IFERROR(__xludf.DUMMYFUNCTION("""COMPUTED_VALUE"""),746.417)</f>
        <v>746.41700000000003</v>
      </c>
      <c r="G8">
        <f ca="1">IFERROR(__xludf.DUMMYFUNCTION("""COMPUTED_VALUE"""),21)</f>
        <v>21</v>
      </c>
      <c r="H8">
        <f ca="1">IFERROR(__xludf.DUMMYFUNCTION("""COMPUTED_VALUE"""),-9)</f>
        <v>-9</v>
      </c>
    </row>
    <row r="9" spans="1:8" ht="15.75" customHeight="1">
      <c r="A9">
        <f ca="1">IFERROR(__xludf.DUMMYFUNCTION("""COMPUTED_VALUE"""),8)</f>
        <v>8</v>
      </c>
      <c r="B9" t="str">
        <f ca="1">IFERROR(__xludf.DUMMYFUNCTION("""COMPUTED_VALUE"""),"T8")</f>
        <v>T8</v>
      </c>
      <c r="C9" t="str">
        <f ca="1">IFERROR(__xludf.DUMMYFUNCTION("""COMPUTED_VALUE"""),"Jaekyeong Lee")</f>
        <v>Jaekyeong Lee</v>
      </c>
      <c r="D9">
        <f ca="1">IFERROR(__xludf.DUMMYFUNCTION("""COMPUTED_VALUE"""),4)</f>
        <v>4</v>
      </c>
      <c r="E9" t="str">
        <f ca="1">IFERROR(__xludf.DUMMYFUNCTION("""COMPUTED_VALUE"""),"36' 6""")</f>
        <v>36' 6"</v>
      </c>
      <c r="F9">
        <f ca="1">IFERROR(__xludf.DUMMYFUNCTION("""COMPUTED_VALUE"""),511.417)</f>
        <v>511.41699999999997</v>
      </c>
      <c r="G9">
        <f ca="1">IFERROR(__xludf.DUMMYFUNCTION("""COMPUTED_VALUE"""),14)</f>
        <v>14</v>
      </c>
      <c r="H9">
        <f ca="1">IFERROR(__xludf.DUMMYFUNCTION("""COMPUTED_VALUE"""),-2)</f>
        <v>-2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IFERROR(__xludf.DUMMYFUNCTION("""COMPUTED_VALUE"""),"Ben Taylor")</f>
        <v>Ben Taylor</v>
      </c>
      <c r="D10">
        <f ca="1">IFERROR(__xludf.DUMMYFUNCTION("""COMPUTED_VALUE"""),10)</f>
        <v>10</v>
      </c>
      <c r="E10" t="str">
        <f ca="1">IFERROR(__xludf.DUMMYFUNCTION("""COMPUTED_VALUE"""),"37' 1""")</f>
        <v>37' 1"</v>
      </c>
      <c r="F10">
        <f ca="1">IFERROR(__xludf.DUMMYFUNCTION("""COMPUTED_VALUE"""),407.583)</f>
        <v>407.58300000000003</v>
      </c>
      <c r="G10">
        <f ca="1">IFERROR(__xludf.DUMMYFUNCTION("""COMPUTED_VALUE"""),11)</f>
        <v>11</v>
      </c>
      <c r="H10">
        <f ca="1">IFERROR(__xludf.DUMMYFUNCTION("""COMPUTED_VALUE"""),-4)</f>
        <v>-4</v>
      </c>
    </row>
    <row r="11" spans="1:8" ht="15.75" customHeight="1">
      <c r="A11">
        <f ca="1">IFERROR(__xludf.DUMMYFUNCTION("""COMPUTED_VALUE"""),10)</f>
        <v>10</v>
      </c>
      <c r="B11" t="str">
        <f ca="1">IFERROR(__xludf.DUMMYFUNCTION("""COMPUTED_VALUE"""),"")</f>
        <v/>
      </c>
      <c r="C11" t="str">
        <f ca="1">IFERROR(__xludf.DUMMYFUNCTION("""COMPUTED_VALUE"""),"Ollie Schniederjans")</f>
        <v>Ollie Schniederjans</v>
      </c>
      <c r="D11">
        <f ca="1">IFERROR(__xludf.DUMMYFUNCTION("""COMPUTED_VALUE"""),6)</f>
        <v>6</v>
      </c>
      <c r="E11" t="str">
        <f ca="1">IFERROR(__xludf.DUMMYFUNCTION("""COMPUTED_VALUE"""),"37' 8""")</f>
        <v>37' 8"</v>
      </c>
      <c r="F11">
        <f ca="1">IFERROR(__xludf.DUMMYFUNCTION("""COMPUTED_VALUE"""),188.25)</f>
        <v>188.25</v>
      </c>
      <c r="G11">
        <f ca="1">IFERROR(__xludf.DUMMYFUNCTION("""COMPUTED_VALUE"""),5)</f>
        <v>5</v>
      </c>
      <c r="H11">
        <f ca="1">IFERROR(__xludf.DUMMYFUNCTION("""COMPUTED_VALUE"""),-1)</f>
        <v>-1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IFERROR(__xludf.DUMMYFUNCTION("""COMPUTED_VALUE"""),11)</f>
        <v>11</v>
      </c>
      <c r="C12" t="str">
        <f ca="1">IFERROR(__xludf.DUMMYFUNCTION("""COMPUTED_VALUE"""),"Hanbyeol Kim")</f>
        <v>Hanbyeol Kim</v>
      </c>
      <c r="D12">
        <f ca="1">IFERROR(__xludf.DUMMYFUNCTION("""COMPUTED_VALUE"""),4)</f>
        <v>4</v>
      </c>
      <c r="E12" t="str">
        <f ca="1">IFERROR(__xludf.DUMMYFUNCTION("""COMPUTED_VALUE"""),"38' 1""")</f>
        <v>38' 1"</v>
      </c>
      <c r="F12">
        <f ca="1">IFERROR(__xludf.DUMMYFUNCTION("""COMPUTED_VALUE"""),495.083)</f>
        <v>495.08300000000003</v>
      </c>
      <c r="G12">
        <f ca="1">IFERROR(__xludf.DUMMYFUNCTION("""COMPUTED_VALUE"""),13)</f>
        <v>13</v>
      </c>
      <c r="H12">
        <f ca="1">IFERROR(__xludf.DUMMYFUNCTION("""COMPUTED_VALUE"""),-4)</f>
        <v>-4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IFERROR(__xludf.DUMMYFUNCTION("""COMPUTED_VALUE"""),5)</f>
        <v>5</v>
      </c>
      <c r="C13" t="str">
        <f ca="1">IFERROR(__xludf.DUMMYFUNCTION("""COMPUTED_VALUE"""),"Tony Finau")</f>
        <v>Tony Finau</v>
      </c>
      <c r="D13">
        <f ca="1">IFERROR(__xludf.DUMMYFUNCTION("""COMPUTED_VALUE"""),12)</f>
        <v>12</v>
      </c>
      <c r="E13" t="str">
        <f ca="1">IFERROR(__xludf.DUMMYFUNCTION("""COMPUTED_VALUE"""),"39' 2""")</f>
        <v>39' 2"</v>
      </c>
      <c r="F13" s="2">
        <f ca="1">IFERROR(__xludf.DUMMYFUNCTION("""COMPUTED_VALUE"""),1526.75)</f>
        <v>1526.75</v>
      </c>
      <c r="G13">
        <f ca="1">IFERROR(__xludf.DUMMYFUNCTION("""COMPUTED_VALUE"""),39)</f>
        <v>39</v>
      </c>
      <c r="H13">
        <f ca="1">IFERROR(__xludf.DUMMYFUNCTION("""COMPUTED_VALUE"""),-12)</f>
        <v>-12</v>
      </c>
    </row>
    <row r="14" spans="1:8" ht="15.75" customHeight="1">
      <c r="A14" t="str">
        <f ca="1">IFERROR(__xludf.DUMMYFUNCTION("""COMPUTED_VALUE"""),"T13")</f>
        <v>T13</v>
      </c>
      <c r="B14" t="str">
        <f ca="1">IFERROR(__xludf.DUMMYFUNCTION("""COMPUTED_VALUE"""),"T13")</f>
        <v>T13</v>
      </c>
      <c r="C14" t="str">
        <f ca="1">IFERROR(__xludf.DUMMYFUNCTION("""COMPUTED_VALUE"""),"Robert Streb")</f>
        <v>Robert Streb</v>
      </c>
      <c r="D14">
        <f ca="1">IFERROR(__xludf.DUMMYFUNCTION("""COMPUTED_VALUE"""),12)</f>
        <v>12</v>
      </c>
      <c r="E14" t="str">
        <f ca="1">IFERROR(__xludf.DUMMYFUNCTION("""COMPUTED_VALUE"""),"39' 3""")</f>
        <v>39' 3"</v>
      </c>
      <c r="F14">
        <f ca="1">IFERROR(__xludf.DUMMYFUNCTION("""COMPUTED_VALUE"""),431.917)</f>
        <v>431.91699999999997</v>
      </c>
      <c r="G14">
        <f ca="1">IFERROR(__xludf.DUMMYFUNCTION("""COMPUTED_VALUE"""),11)</f>
        <v>11</v>
      </c>
      <c r="H14">
        <f ca="1">IFERROR(__xludf.DUMMYFUNCTION("""COMPUTED_VALUE"""),-3)</f>
        <v>-3</v>
      </c>
    </row>
    <row r="15" spans="1:8" ht="15.75" customHeight="1">
      <c r="A15" t="str">
        <f ca="1">IFERROR(__xludf.DUMMYFUNCTION("""COMPUTED_VALUE"""),"T13")</f>
        <v>T13</v>
      </c>
      <c r="B15" t="str">
        <f ca="1">IFERROR(__xludf.DUMMYFUNCTION("""COMPUTED_VALUE"""),"T13")</f>
        <v>T13</v>
      </c>
      <c r="C15" t="str">
        <f ca="1">IFERROR(__xludf.DUMMYFUNCTION("""COMPUTED_VALUE"""),"Zack Sucher")</f>
        <v>Zack Sucher</v>
      </c>
      <c r="D15">
        <f ca="1">IFERROR(__xludf.DUMMYFUNCTION("""COMPUTED_VALUE"""),6)</f>
        <v>6</v>
      </c>
      <c r="E15" t="str">
        <f ca="1">IFERROR(__xludf.DUMMYFUNCTION("""COMPUTED_VALUE"""),"39' 3""")</f>
        <v>39' 3"</v>
      </c>
      <c r="F15">
        <f ca="1">IFERROR(__xludf.DUMMYFUNCTION("""COMPUTED_VALUE"""),196.333)</f>
        <v>196.333</v>
      </c>
      <c r="G15">
        <f ca="1">IFERROR(__xludf.DUMMYFUNCTION("""COMPUTED_VALUE"""),5)</f>
        <v>5</v>
      </c>
      <c r="H15" t="str">
        <f ca="1">IFERROR(__xludf.DUMMYFUNCTION("""COMPUTED_VALUE"""),"+1")</f>
        <v>+1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IFERROR(__xludf.DUMMYFUNCTION("""COMPUTED_VALUE"""),"Paul Casey")</f>
        <v>Paul Casey</v>
      </c>
      <c r="D16">
        <f ca="1">IFERROR(__xludf.DUMMYFUNCTION("""COMPUTED_VALUE"""),14)</f>
        <v>14</v>
      </c>
      <c r="E16" t="str">
        <f ca="1">IFERROR(__xludf.DUMMYFUNCTION("""COMPUTED_VALUE"""),"39' 5""")</f>
        <v>39' 5"</v>
      </c>
      <c r="F16" s="2">
        <f ca="1">IFERROR(__xludf.DUMMYFUNCTION("""COMPUTED_VALUE"""),2011.25)</f>
        <v>2011.25</v>
      </c>
      <c r="G16">
        <f ca="1">IFERROR(__xludf.DUMMYFUNCTION("""COMPUTED_VALUE"""),51)</f>
        <v>51</v>
      </c>
      <c r="H16">
        <f ca="1">IFERROR(__xludf.DUMMYFUNCTION("""COMPUTED_VALUE"""),-14)</f>
        <v>-14</v>
      </c>
    </row>
    <row r="17" spans="1:8" ht="15.75" customHeight="1">
      <c r="A17">
        <f ca="1">IFERROR(__xludf.DUMMYFUNCTION("""COMPUTED_VALUE"""),16)</f>
        <v>16</v>
      </c>
      <c r="B17" t="str">
        <f ca="1">IFERROR(__xludf.DUMMYFUNCTION("""COMPUTED_VALUE"""),"T48")</f>
        <v>T48</v>
      </c>
      <c r="C17" t="str">
        <f ca="1">IFERROR(__xludf.DUMMYFUNCTION("""COMPUTED_VALUE"""),"Graham DeLaet")</f>
        <v>Graham DeLaet</v>
      </c>
      <c r="D17">
        <f ca="1">IFERROR(__xludf.DUMMYFUNCTION("""COMPUTED_VALUE"""),9)</f>
        <v>9</v>
      </c>
      <c r="E17" t="str">
        <f ca="1">IFERROR(__xludf.DUMMYFUNCTION("""COMPUTED_VALUE"""),"39' 11""")</f>
        <v>39' 11"</v>
      </c>
      <c r="F17">
        <f ca="1">IFERROR(__xludf.DUMMYFUNCTION("""COMPUTED_VALUE"""),518.75)</f>
        <v>518.75</v>
      </c>
      <c r="G17">
        <f ca="1">IFERROR(__xludf.DUMMYFUNCTION("""COMPUTED_VALUE"""),13)</f>
        <v>13</v>
      </c>
      <c r="H17">
        <f ca="1">IFERROR(__xludf.DUMMYFUNCTION("""COMPUTED_VALUE"""),-2)</f>
        <v>-2</v>
      </c>
    </row>
    <row r="18" spans="1:8" ht="15.75" customHeight="1">
      <c r="A18">
        <f ca="1">IFERROR(__xludf.DUMMYFUNCTION("""COMPUTED_VALUE"""),17)</f>
        <v>17</v>
      </c>
      <c r="B18" t="str">
        <f ca="1">IFERROR(__xludf.DUMMYFUNCTION("""COMPUTED_VALUE"""),"T16")</f>
        <v>T16</v>
      </c>
      <c r="C18" t="str">
        <f ca="1">IFERROR(__xludf.DUMMYFUNCTION("""COMPUTED_VALUE"""),"Jim Furyk")</f>
        <v>Jim Furyk</v>
      </c>
      <c r="D18">
        <f ca="1">IFERROR(__xludf.DUMMYFUNCTION("""COMPUTED_VALUE"""),4)</f>
        <v>4</v>
      </c>
      <c r="E18" t="str">
        <f ca="1">IFERROR(__xludf.DUMMYFUNCTION("""COMPUTED_VALUE"""),"40' 0""")</f>
        <v>40' 0"</v>
      </c>
      <c r="F18">
        <f ca="1">IFERROR(__xludf.DUMMYFUNCTION("""COMPUTED_VALUE"""),279.833)</f>
        <v>279.83300000000003</v>
      </c>
      <c r="G18">
        <f ca="1">IFERROR(__xludf.DUMMYFUNCTION("""COMPUTED_VALUE"""),7)</f>
        <v>7</v>
      </c>
      <c r="H18">
        <f ca="1">IFERROR(__xludf.DUMMYFUNCTION("""COMPUTED_VALUE"""),-1)</f>
        <v>-1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IFERROR(__xludf.DUMMYFUNCTION("""COMPUTED_VALUE"""),19)</f>
        <v>19</v>
      </c>
      <c r="C19" t="str">
        <f ca="1">IFERROR(__xludf.DUMMYFUNCTION("""COMPUTED_VALUE"""),"Akshay Bhatia")</f>
        <v>Akshay Bhatia</v>
      </c>
      <c r="D19">
        <f ca="1">IFERROR(__xludf.DUMMYFUNCTION("""COMPUTED_VALUE"""),6)</f>
        <v>6</v>
      </c>
      <c r="E19" t="str">
        <f ca="1">IFERROR(__xludf.DUMMYFUNCTION("""COMPUTED_VALUE"""),"40' 5""")</f>
        <v>40' 5"</v>
      </c>
      <c r="F19">
        <f ca="1">IFERROR(__xludf.DUMMYFUNCTION("""COMPUTED_VALUE"""),525.333)</f>
        <v>525.33299999999997</v>
      </c>
      <c r="G19">
        <f ca="1">IFERROR(__xludf.DUMMYFUNCTION("""COMPUTED_VALUE"""),13)</f>
        <v>13</v>
      </c>
      <c r="H19">
        <f ca="1">IFERROR(__xludf.DUMMYFUNCTION("""COMPUTED_VALUE"""),-8)</f>
        <v>-8</v>
      </c>
    </row>
    <row r="20" spans="1:8" ht="15.75" customHeight="1">
      <c r="A20">
        <f ca="1">IFERROR(__xludf.DUMMYFUNCTION("""COMPUTED_VALUE"""),19)</f>
        <v>19</v>
      </c>
      <c r="B20">
        <f ca="1">IFERROR(__xludf.DUMMYFUNCTION("""COMPUTED_VALUE"""),18)</f>
        <v>18</v>
      </c>
      <c r="C20" t="str">
        <f ca="1">IFERROR(__xludf.DUMMYFUNCTION("""COMPUTED_VALUE"""),"Tyrrell Hatton")</f>
        <v>Tyrrell Hatton</v>
      </c>
      <c r="D20">
        <f ca="1">IFERROR(__xludf.DUMMYFUNCTION("""COMPUTED_VALUE"""),14)</f>
        <v>14</v>
      </c>
      <c r="E20" t="str">
        <f ca="1">IFERROR(__xludf.DUMMYFUNCTION("""COMPUTED_VALUE"""),"40' 7""")</f>
        <v>40' 7"</v>
      </c>
      <c r="F20" s="2">
        <f ca="1">IFERROR(__xludf.DUMMYFUNCTION("""COMPUTED_VALUE"""),1827.583)</f>
        <v>1827.5830000000001</v>
      </c>
      <c r="G20">
        <f ca="1">IFERROR(__xludf.DUMMYFUNCTION("""COMPUTED_VALUE"""),45)</f>
        <v>45</v>
      </c>
      <c r="H20">
        <f ca="1">IFERROR(__xludf.DUMMYFUNCTION("""COMPUTED_VALUE"""),-10)</f>
        <v>-10</v>
      </c>
    </row>
    <row r="21" spans="1:8" ht="15.75" customHeight="1">
      <c r="A21">
        <f ca="1">IFERROR(__xludf.DUMMYFUNCTION("""COMPUTED_VALUE"""),20)</f>
        <v>20</v>
      </c>
      <c r="B21">
        <f ca="1">IFERROR(__xludf.DUMMYFUNCTION("""COMPUTED_VALUE"""),20)</f>
        <v>20</v>
      </c>
      <c r="C21" t="str">
        <f ca="1">IFERROR(__xludf.DUMMYFUNCTION("""COMPUTED_VALUE"""),"Sebastian Cappelen")</f>
        <v>Sebastian Cappelen</v>
      </c>
      <c r="D21">
        <f ca="1">IFERROR(__xludf.DUMMYFUNCTION("""COMPUTED_VALUE"""),8)</f>
        <v>8</v>
      </c>
      <c r="E21" t="str">
        <f ca="1">IFERROR(__xludf.DUMMYFUNCTION("""COMPUTED_VALUE"""),"40' 8""")</f>
        <v>40' 8"</v>
      </c>
      <c r="F21">
        <f ca="1">IFERROR(__xludf.DUMMYFUNCTION("""COMPUTED_VALUE"""),366.167)</f>
        <v>366.16699999999997</v>
      </c>
      <c r="G21">
        <f ca="1">IFERROR(__xludf.DUMMYFUNCTION("""COMPUTED_VALUE"""),9)</f>
        <v>9</v>
      </c>
      <c r="H21">
        <f ca="1">IFERROR(__xludf.DUMMYFUNCTION("""COMPUTED_VALUE"""),-2)</f>
        <v>-2</v>
      </c>
    </row>
    <row r="22" spans="1:8" ht="15.75" customHeight="1">
      <c r="A22">
        <f ca="1">IFERROR(__xludf.DUMMYFUNCTION("""COMPUTED_VALUE"""),21)</f>
        <v>21</v>
      </c>
      <c r="B22" t="str">
        <f ca="1">IFERROR(__xludf.DUMMYFUNCTION("""COMPUTED_VALUE"""),"T21")</f>
        <v>T21</v>
      </c>
      <c r="C22" t="str">
        <f ca="1">IFERROR(__xludf.DUMMYFUNCTION("""COMPUTED_VALUE"""),"Seonghyeon Kim")</f>
        <v>Seonghyeon Kim</v>
      </c>
      <c r="D22">
        <f ca="1">IFERROR(__xludf.DUMMYFUNCTION("""COMPUTED_VALUE"""),4)</f>
        <v>4</v>
      </c>
      <c r="E22" t="str">
        <f ca="1">IFERROR(__xludf.DUMMYFUNCTION("""COMPUTED_VALUE"""),"40' 9""")</f>
        <v>40' 9"</v>
      </c>
      <c r="F22">
        <f ca="1">IFERROR(__xludf.DUMMYFUNCTION("""COMPUTED_VALUE"""),570.917)</f>
        <v>570.91700000000003</v>
      </c>
      <c r="G22">
        <f ca="1">IFERROR(__xludf.DUMMYFUNCTION("""COMPUTED_VALUE"""),14)</f>
        <v>14</v>
      </c>
      <c r="H22" t="str">
        <f ca="1">IFERROR(__xludf.DUMMYFUNCTION("""COMPUTED_VALUE"""),"+1")</f>
        <v>+1</v>
      </c>
    </row>
    <row r="23" spans="1:8" ht="15.75" customHeight="1">
      <c r="A23">
        <f ca="1">IFERROR(__xludf.DUMMYFUNCTION("""COMPUTED_VALUE"""),22)</f>
        <v>22</v>
      </c>
      <c r="B23" t="str">
        <f ca="1">IFERROR(__xludf.DUMMYFUNCTION("""COMPUTED_VALUE"""),"T16")</f>
        <v>T16</v>
      </c>
      <c r="C23" t="str">
        <f ca="1">IFERROR(__xludf.DUMMYFUNCTION("""COMPUTED_VALUE"""),"Scott Brown")</f>
        <v>Scott Brown</v>
      </c>
      <c r="D23">
        <f ca="1">IFERROR(__xludf.DUMMYFUNCTION("""COMPUTED_VALUE"""),14)</f>
        <v>14</v>
      </c>
      <c r="E23" t="str">
        <f ca="1">IFERROR(__xludf.DUMMYFUNCTION("""COMPUTED_VALUE"""),"40' 10""")</f>
        <v>40' 10"</v>
      </c>
      <c r="F23" s="2">
        <f ca="1">IFERROR(__xludf.DUMMYFUNCTION("""COMPUTED_VALUE"""),1061.833)</f>
        <v>1061.8330000000001</v>
      </c>
      <c r="G23">
        <f ca="1">IFERROR(__xludf.DUMMYFUNCTION("""COMPUTED_VALUE"""),26)</f>
        <v>26</v>
      </c>
      <c r="H23">
        <f ca="1">IFERROR(__xludf.DUMMYFUNCTION("""COMPUTED_VALUE"""),-8)</f>
        <v>-8</v>
      </c>
    </row>
    <row r="24" spans="1:8" ht="15.75" customHeight="1">
      <c r="A24">
        <f ca="1">IFERROR(__xludf.DUMMYFUNCTION("""COMPUTED_VALUE"""),23)</f>
        <v>23</v>
      </c>
      <c r="B24" t="str">
        <f ca="1">IFERROR(__xludf.DUMMYFUNCTION("""COMPUTED_VALUE"""),"T24")</f>
        <v>T24</v>
      </c>
      <c r="C24" t="str">
        <f ca="1">IFERROR(__xludf.DUMMYFUNCTION("""COMPUTED_VALUE"""),"Rasmus Hojgaard")</f>
        <v>Rasmus Hojgaard</v>
      </c>
      <c r="D24">
        <f ca="1">IFERROR(__xludf.DUMMYFUNCTION("""COMPUTED_VALUE"""),6)</f>
        <v>6</v>
      </c>
      <c r="E24" t="str">
        <f ca="1">IFERROR(__xludf.DUMMYFUNCTION("""COMPUTED_VALUE"""),"41' 1""")</f>
        <v>41' 1"</v>
      </c>
      <c r="F24">
        <f ca="1">IFERROR(__xludf.DUMMYFUNCTION("""COMPUTED_VALUE"""),246.333)</f>
        <v>246.333</v>
      </c>
      <c r="G24">
        <f ca="1">IFERROR(__xludf.DUMMYFUNCTION("""COMPUTED_VALUE"""),6)</f>
        <v>6</v>
      </c>
      <c r="H24" t="str">
        <f ca="1">IFERROR(__xludf.DUMMYFUNCTION("""COMPUTED_VALUE"""),"E")</f>
        <v>E</v>
      </c>
    </row>
    <row r="25" spans="1:8" ht="15.75" customHeight="1">
      <c r="A25">
        <f ca="1">IFERROR(__xludf.DUMMYFUNCTION("""COMPUTED_VALUE"""),24)</f>
        <v>24</v>
      </c>
      <c r="B25">
        <f ca="1">IFERROR(__xludf.DUMMYFUNCTION("""COMPUTED_VALUE"""),28)</f>
        <v>28</v>
      </c>
      <c r="C25" t="str">
        <f ca="1">IFERROR(__xludf.DUMMYFUNCTION("""COMPUTED_VALUE"""),"Bubba Watson")</f>
        <v>Bubba Watson</v>
      </c>
      <c r="D25">
        <f ca="1">IFERROR(__xludf.DUMMYFUNCTION("""COMPUTED_VALUE"""),12)</f>
        <v>12</v>
      </c>
      <c r="E25" t="str">
        <f ca="1">IFERROR(__xludf.DUMMYFUNCTION("""COMPUTED_VALUE"""),"41' 6""")</f>
        <v>41' 6"</v>
      </c>
      <c r="F25" s="2">
        <f ca="1">IFERROR(__xludf.DUMMYFUNCTION("""COMPUTED_VALUE"""),1993.417)</f>
        <v>1993.4169999999999</v>
      </c>
      <c r="G25">
        <f ca="1">IFERROR(__xludf.DUMMYFUNCTION("""COMPUTED_VALUE"""),48)</f>
        <v>48</v>
      </c>
      <c r="H25">
        <f ca="1">IFERROR(__xludf.DUMMYFUNCTION("""COMPUTED_VALUE"""),-14)</f>
        <v>-14</v>
      </c>
    </row>
    <row r="26" spans="1:8" ht="15.75" customHeight="1">
      <c r="A26">
        <f ca="1">IFERROR(__xludf.DUMMYFUNCTION("""COMPUTED_VALUE"""),25)</f>
        <v>25</v>
      </c>
      <c r="B26">
        <f ca="1">IFERROR(__xludf.DUMMYFUNCTION("""COMPUTED_VALUE"""),26)</f>
        <v>26</v>
      </c>
      <c r="C26" t="str">
        <f ca="1">IFERROR(__xludf.DUMMYFUNCTION("""COMPUTED_VALUE"""),"Carlos Ortiz")</f>
        <v>Carlos Ortiz</v>
      </c>
      <c r="D26">
        <f ca="1">IFERROR(__xludf.DUMMYFUNCTION("""COMPUTED_VALUE"""),20)</f>
        <v>20</v>
      </c>
      <c r="E26" t="str">
        <f ca="1">IFERROR(__xludf.DUMMYFUNCTION("""COMPUTED_VALUE"""),"41' 7""")</f>
        <v>41' 7"</v>
      </c>
      <c r="F26" s="2">
        <f ca="1">IFERROR(__xludf.DUMMYFUNCTION("""COMPUTED_VALUE"""),2912.75)</f>
        <v>2912.75</v>
      </c>
      <c r="G26">
        <f ca="1">IFERROR(__xludf.DUMMYFUNCTION("""COMPUTED_VALUE"""),70)</f>
        <v>70</v>
      </c>
      <c r="H26">
        <f ca="1">IFERROR(__xludf.DUMMYFUNCTION("""COMPUTED_VALUE"""),-26)</f>
        <v>-26</v>
      </c>
    </row>
    <row r="27" spans="1:8" ht="15.75" customHeight="1">
      <c r="A27">
        <f ca="1">IFERROR(__xludf.DUMMYFUNCTION("""COMPUTED_VALUE"""),26)</f>
        <v>26</v>
      </c>
      <c r="B27">
        <f ca="1">IFERROR(__xludf.DUMMYFUNCTION("""COMPUTED_VALUE"""),29)</f>
        <v>29</v>
      </c>
      <c r="C27" t="str">
        <f ca="1">IFERROR(__xludf.DUMMYFUNCTION("""COMPUTED_VALUE"""),"Ryan Palmer")</f>
        <v>Ryan Palmer</v>
      </c>
      <c r="D27">
        <f ca="1">IFERROR(__xludf.DUMMYFUNCTION("""COMPUTED_VALUE"""),14)</f>
        <v>14</v>
      </c>
      <c r="E27" t="str">
        <f ca="1">IFERROR(__xludf.DUMMYFUNCTION("""COMPUTED_VALUE"""),"41' 9""")</f>
        <v>41' 9"</v>
      </c>
      <c r="F27" s="2">
        <f ca="1">IFERROR(__xludf.DUMMYFUNCTION("""COMPUTED_VALUE"""),2003.583)</f>
        <v>2003.5830000000001</v>
      </c>
      <c r="G27">
        <f ca="1">IFERROR(__xludf.DUMMYFUNCTION("""COMPUTED_VALUE"""),48)</f>
        <v>48</v>
      </c>
      <c r="H27">
        <f ca="1">IFERROR(__xludf.DUMMYFUNCTION("""COMPUTED_VALUE"""),-8)</f>
        <v>-8</v>
      </c>
    </row>
    <row r="28" spans="1:8" ht="15.75" customHeight="1">
      <c r="A28">
        <f ca="1">IFERROR(__xludf.DUMMYFUNCTION("""COMPUTED_VALUE"""),27)</f>
        <v>27</v>
      </c>
      <c r="B28">
        <f ca="1">IFERROR(__xludf.DUMMYFUNCTION("""COMPUTED_VALUE"""),30)</f>
        <v>30</v>
      </c>
      <c r="C28" t="str">
        <f ca="1">IFERROR(__xludf.DUMMYFUNCTION("""COMPUTED_VALUE"""),"Brandon Hagy")</f>
        <v>Brandon Hagy</v>
      </c>
      <c r="D28">
        <f ca="1">IFERROR(__xludf.DUMMYFUNCTION("""COMPUTED_VALUE"""),10)</f>
        <v>10</v>
      </c>
      <c r="E28" t="str">
        <f ca="1">IFERROR(__xludf.DUMMYFUNCTION("""COMPUTED_VALUE"""),"41' 11""")</f>
        <v>41' 11"</v>
      </c>
      <c r="F28">
        <f ca="1">IFERROR(__xludf.DUMMYFUNCTION("""COMPUTED_VALUE"""),628.5)</f>
        <v>628.5</v>
      </c>
      <c r="G28">
        <f ca="1">IFERROR(__xludf.DUMMYFUNCTION("""COMPUTED_VALUE"""),15)</f>
        <v>15</v>
      </c>
      <c r="H28">
        <f ca="1">IFERROR(__xludf.DUMMYFUNCTION("""COMPUTED_VALUE"""),-3)</f>
        <v>-3</v>
      </c>
    </row>
    <row r="29" spans="1:8" ht="15.75" customHeight="1">
      <c r="A29">
        <f ca="1">IFERROR(__xludf.DUMMYFUNCTION("""COMPUTED_VALUE"""),28)</f>
        <v>28</v>
      </c>
      <c r="B29">
        <f ca="1">IFERROR(__xludf.DUMMYFUNCTION("""COMPUTED_VALUE"""),31)</f>
        <v>31</v>
      </c>
      <c r="C29" t="str">
        <f ca="1">IFERROR(__xludf.DUMMYFUNCTION("""COMPUTED_VALUE"""),"Justin Suh")</f>
        <v>Justin Suh</v>
      </c>
      <c r="D29">
        <f ca="1">IFERROR(__xludf.DUMMYFUNCTION("""COMPUTED_VALUE"""),10)</f>
        <v>10</v>
      </c>
      <c r="E29" t="str">
        <f ca="1">IFERROR(__xludf.DUMMYFUNCTION("""COMPUTED_VALUE"""),"42' 1""")</f>
        <v>42' 1"</v>
      </c>
      <c r="F29">
        <f ca="1">IFERROR(__xludf.DUMMYFUNCTION("""COMPUTED_VALUE"""),505.25)</f>
        <v>505.25</v>
      </c>
      <c r="G29">
        <f ca="1">IFERROR(__xludf.DUMMYFUNCTION("""COMPUTED_VALUE"""),12)</f>
        <v>12</v>
      </c>
      <c r="H29">
        <f ca="1">IFERROR(__xludf.DUMMYFUNCTION("""COMPUTED_VALUE"""),-5)</f>
        <v>-5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IFERROR(__xludf.DUMMYFUNCTION("""COMPUTED_VALUE"""),"T32")</f>
        <v>T32</v>
      </c>
      <c r="C30" t="str">
        <f ca="1">IFERROR(__xludf.DUMMYFUNCTION("""COMPUTED_VALUE"""),"William McGirt")</f>
        <v>William McGirt</v>
      </c>
      <c r="D30">
        <f ca="1">IFERROR(__xludf.DUMMYFUNCTION("""COMPUTED_VALUE"""),6)</f>
        <v>6</v>
      </c>
      <c r="E30" t="str">
        <f ca="1">IFERROR(__xludf.DUMMYFUNCTION("""COMPUTED_VALUE"""),"42' 3""")</f>
        <v>42' 3"</v>
      </c>
      <c r="F30">
        <f ca="1">IFERROR(__xludf.DUMMYFUNCTION("""COMPUTED_VALUE"""),591.083)</f>
        <v>591.08299999999997</v>
      </c>
      <c r="G30">
        <f ca="1">IFERROR(__xludf.DUMMYFUNCTION("""COMPUTED_VALUE"""),14)</f>
        <v>14</v>
      </c>
      <c r="H30" t="str">
        <f ca="1">IFERROR(__xludf.DUMMYFUNCTION("""COMPUTED_VALUE"""),"E")</f>
        <v>E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IFERROR(__xludf.DUMMYFUNCTION("""COMPUTED_VALUE"""),"T32")</f>
        <v>T32</v>
      </c>
      <c r="C31" t="str">
        <f ca="1">IFERROR(__xludf.DUMMYFUNCTION("""COMPUTED_VALUE"""),"Thomas Pieters")</f>
        <v>Thomas Pieters</v>
      </c>
      <c r="D31">
        <f ca="1">IFERROR(__xludf.DUMMYFUNCTION("""COMPUTED_VALUE"""),4)</f>
        <v>4</v>
      </c>
      <c r="E31" t="str">
        <f ca="1">IFERROR(__xludf.DUMMYFUNCTION("""COMPUTED_VALUE"""),"42' 3""")</f>
        <v>42' 3"</v>
      </c>
      <c r="F31">
        <f ca="1">IFERROR(__xludf.DUMMYFUNCTION("""COMPUTED_VALUE"""),549.417)</f>
        <v>549.41700000000003</v>
      </c>
      <c r="G31">
        <f ca="1">IFERROR(__xludf.DUMMYFUNCTION("""COMPUTED_VALUE"""),13)</f>
        <v>13</v>
      </c>
      <c r="H31" t="str">
        <f ca="1">IFERROR(__xludf.DUMMYFUNCTION("""COMPUTED_VALUE"""),"+2")</f>
        <v>+2</v>
      </c>
    </row>
    <row r="32" spans="1:8" ht="12.75">
      <c r="A32" t="str">
        <f ca="1">IFERROR(__xludf.DUMMYFUNCTION("""COMPUTED_VALUE"""),"T29")</f>
        <v>T29</v>
      </c>
      <c r="B32" t="str">
        <f ca="1">IFERROR(__xludf.DUMMYFUNCTION("""COMPUTED_VALUE"""),"T32")</f>
        <v>T32</v>
      </c>
      <c r="C32" t="str">
        <f ca="1">IFERROR(__xludf.DUMMYFUNCTION("""COMPUTED_VALUE"""),"Wes Roach")</f>
        <v>Wes Roach</v>
      </c>
      <c r="D32">
        <f ca="1">IFERROR(__xludf.DUMMYFUNCTION("""COMPUTED_VALUE"""),6)</f>
        <v>6</v>
      </c>
      <c r="E32" t="str">
        <f ca="1">IFERROR(__xludf.DUMMYFUNCTION("""COMPUTED_VALUE"""),"42' 3""")</f>
        <v>42' 3"</v>
      </c>
      <c r="F32">
        <f ca="1">IFERROR(__xludf.DUMMYFUNCTION("""COMPUTED_VALUE"""),295.667)</f>
        <v>295.66699999999997</v>
      </c>
      <c r="G32">
        <f ca="1">IFERROR(__xludf.DUMMYFUNCTION("""COMPUTED_VALUE"""),7)</f>
        <v>7</v>
      </c>
      <c r="H32">
        <f ca="1">IFERROR(__xludf.DUMMYFUNCTION("""COMPUTED_VALUE"""),-2)</f>
        <v>-2</v>
      </c>
    </row>
    <row r="33" spans="1:8" ht="12.75">
      <c r="A33">
        <f ca="1">IFERROR(__xludf.DUMMYFUNCTION("""COMPUTED_VALUE"""),32)</f>
        <v>32</v>
      </c>
      <c r="B33" t="str">
        <f ca="1">IFERROR(__xludf.DUMMYFUNCTION("""COMPUTED_VALUE"""),"T8")</f>
        <v>T8</v>
      </c>
      <c r="C33" t="str">
        <f ca="1">IFERROR(__xludf.DUMMYFUNCTION("""COMPUTED_VALUE"""),"Erik van Rooyen")</f>
        <v>Erik van Rooyen</v>
      </c>
      <c r="D33">
        <f ca="1">IFERROR(__xludf.DUMMYFUNCTION("""COMPUTED_VALUE"""),10)</f>
        <v>10</v>
      </c>
      <c r="E33" t="str">
        <f ca="1">IFERROR(__xludf.DUMMYFUNCTION("""COMPUTED_VALUE"""),"42' 7""")</f>
        <v>42' 7"</v>
      </c>
      <c r="F33" s="2">
        <f ca="1">IFERROR(__xludf.DUMMYFUNCTION("""COMPUTED_VALUE"""),1405.25)</f>
        <v>1405.25</v>
      </c>
      <c r="G33">
        <f ca="1">IFERROR(__xludf.DUMMYFUNCTION("""COMPUTED_VALUE"""),33)</f>
        <v>33</v>
      </c>
      <c r="H33" t="str">
        <f ca="1">IFERROR(__xludf.DUMMYFUNCTION("""COMPUTED_VALUE"""),"+1")</f>
        <v>+1</v>
      </c>
    </row>
    <row r="34" spans="1:8" ht="12.75">
      <c r="A34">
        <f ca="1">IFERROR(__xludf.DUMMYFUNCTION("""COMPUTED_VALUE"""),33)</f>
        <v>33</v>
      </c>
      <c r="B34">
        <f ca="1">IFERROR(__xludf.DUMMYFUNCTION("""COMPUTED_VALUE"""),41)</f>
        <v>41</v>
      </c>
      <c r="C34" t="str">
        <f ca="1">IFERROR(__xludf.DUMMYFUNCTION("""COMPUTED_VALUE"""),"Martin Laird")</f>
        <v>Martin Laird</v>
      </c>
      <c r="D34">
        <f ca="1">IFERROR(__xludf.DUMMYFUNCTION("""COMPUTED_VALUE"""),16)</f>
        <v>16</v>
      </c>
      <c r="E34" t="str">
        <f ca="1">IFERROR(__xludf.DUMMYFUNCTION("""COMPUTED_VALUE"""),"42' 10""")</f>
        <v>42' 10"</v>
      </c>
      <c r="F34" s="2">
        <f ca="1">IFERROR(__xludf.DUMMYFUNCTION("""COMPUTED_VALUE"""),1798.75)</f>
        <v>1798.75</v>
      </c>
      <c r="G34">
        <f ca="1">IFERROR(__xludf.DUMMYFUNCTION("""COMPUTED_VALUE"""),42)</f>
        <v>42</v>
      </c>
      <c r="H34">
        <f ca="1">IFERROR(__xludf.DUMMYFUNCTION("""COMPUTED_VALUE"""),-4)</f>
        <v>-4</v>
      </c>
    </row>
    <row r="35" spans="1:8" ht="12.75">
      <c r="A35">
        <f ca="1">IFERROR(__xludf.DUMMYFUNCTION("""COMPUTED_VALUE"""),34)</f>
        <v>34</v>
      </c>
      <c r="B35">
        <f ca="1">IFERROR(__xludf.DUMMYFUNCTION("""COMPUTED_VALUE"""),38)</f>
        <v>38</v>
      </c>
      <c r="C35" t="str">
        <f ca="1">IFERROR(__xludf.DUMMYFUNCTION("""COMPUTED_VALUE"""),"Tyler McCumber")</f>
        <v>Tyler McCumber</v>
      </c>
      <c r="D35">
        <f ca="1">IFERROR(__xludf.DUMMYFUNCTION("""COMPUTED_VALUE"""),14)</f>
        <v>14</v>
      </c>
      <c r="E35" t="str">
        <f ca="1">IFERROR(__xludf.DUMMYFUNCTION("""COMPUTED_VALUE"""),"42' 11""")</f>
        <v>42' 11"</v>
      </c>
      <c r="F35">
        <f ca="1">IFERROR(__xludf.DUMMYFUNCTION("""COMPUTED_VALUE"""),901.333)</f>
        <v>901.33299999999997</v>
      </c>
      <c r="G35">
        <f ca="1">IFERROR(__xludf.DUMMYFUNCTION("""COMPUTED_VALUE"""),21)</f>
        <v>21</v>
      </c>
      <c r="H35">
        <f ca="1">IFERROR(__xludf.DUMMYFUNCTION("""COMPUTED_VALUE"""),-6)</f>
        <v>-6</v>
      </c>
    </row>
    <row r="36" spans="1:8" ht="12.75">
      <c r="A36">
        <f ca="1">IFERROR(__xludf.DUMMYFUNCTION("""COMPUTED_VALUE"""),35)</f>
        <v>35</v>
      </c>
      <c r="B36">
        <f ca="1">IFERROR(__xludf.DUMMYFUNCTION("""COMPUTED_VALUE"""),39)</f>
        <v>39</v>
      </c>
      <c r="C36" t="str">
        <f ca="1">IFERROR(__xludf.DUMMYFUNCTION("""COMPUTED_VALUE"""),"Cameron Champ")</f>
        <v>Cameron Champ</v>
      </c>
      <c r="D36">
        <f ca="1">IFERROR(__xludf.DUMMYFUNCTION("""COMPUTED_VALUE"""),12)</f>
        <v>12</v>
      </c>
      <c r="E36" t="str">
        <f ca="1">IFERROR(__xludf.DUMMYFUNCTION("""COMPUTED_VALUE"""),"43' 0""")</f>
        <v>43' 0"</v>
      </c>
      <c r="F36" s="2">
        <f ca="1">IFERROR(__xludf.DUMMYFUNCTION("""COMPUTED_VALUE"""),1936.583)</f>
        <v>1936.5830000000001</v>
      </c>
      <c r="G36">
        <f ca="1">IFERROR(__xludf.DUMMYFUNCTION("""COMPUTED_VALUE"""),45)</f>
        <v>45</v>
      </c>
      <c r="H36">
        <f ca="1">IFERROR(__xludf.DUMMYFUNCTION("""COMPUTED_VALUE"""),-14)</f>
        <v>-14</v>
      </c>
    </row>
    <row r="37" spans="1:8" ht="12.75">
      <c r="A37">
        <f ca="1">IFERROR(__xludf.DUMMYFUNCTION("""COMPUTED_VALUE"""),36)</f>
        <v>36</v>
      </c>
      <c r="B37">
        <f ca="1">IFERROR(__xludf.DUMMYFUNCTION("""COMPUTED_VALUE"""),40)</f>
        <v>40</v>
      </c>
      <c r="C37" t="str">
        <f ca="1">IFERROR(__xludf.DUMMYFUNCTION("""COMPUTED_VALUE"""),"John Pak")</f>
        <v>John Pak</v>
      </c>
      <c r="D37">
        <f ca="1">IFERROR(__xludf.DUMMYFUNCTION("""COMPUTED_VALUE"""),4)</f>
        <v>4</v>
      </c>
      <c r="E37" t="str">
        <f ca="1">IFERROR(__xludf.DUMMYFUNCTION("""COMPUTED_VALUE"""),"43' 2""")</f>
        <v>43' 2"</v>
      </c>
      <c r="F37">
        <f ca="1">IFERROR(__xludf.DUMMYFUNCTION("""COMPUTED_VALUE"""),776.75)</f>
        <v>776.75</v>
      </c>
      <c r="G37">
        <f ca="1">IFERROR(__xludf.DUMMYFUNCTION("""COMPUTED_VALUE"""),18)</f>
        <v>18</v>
      </c>
      <c r="H37" t="str">
        <f ca="1">IFERROR(__xludf.DUMMYFUNCTION("""COMPUTED_VALUE"""),"+3")</f>
        <v>+3</v>
      </c>
    </row>
    <row r="38" spans="1:8" ht="12.75">
      <c r="A38" t="str">
        <f ca="1">IFERROR(__xludf.DUMMYFUNCTION("""COMPUTED_VALUE"""),"T37")</f>
        <v>T37</v>
      </c>
      <c r="B38" t="str">
        <f ca="1">IFERROR(__xludf.DUMMYFUNCTION("""COMPUTED_VALUE"""),"T42")</f>
        <v>T42</v>
      </c>
      <c r="C38" t="str">
        <f ca="1">IFERROR(__xludf.DUMMYFUNCTION("""COMPUTED_VALUE"""),"Lucas Herbert")</f>
        <v>Lucas Herbert</v>
      </c>
      <c r="D38">
        <f ca="1">IFERROR(__xludf.DUMMYFUNCTION("""COMPUTED_VALUE"""),4)</f>
        <v>4</v>
      </c>
      <c r="E38" t="str">
        <f ca="1">IFERROR(__xludf.DUMMYFUNCTION("""COMPUTED_VALUE"""),"43' 5""")</f>
        <v>43' 5"</v>
      </c>
      <c r="F38">
        <f ca="1">IFERROR(__xludf.DUMMYFUNCTION("""COMPUTED_VALUE"""),781.917)</f>
        <v>781.91700000000003</v>
      </c>
      <c r="G38">
        <f ca="1">IFERROR(__xludf.DUMMYFUNCTION("""COMPUTED_VALUE"""),18)</f>
        <v>18</v>
      </c>
      <c r="H38" t="str">
        <f ca="1">IFERROR(__xludf.DUMMYFUNCTION("""COMPUTED_VALUE"""),"+2")</f>
        <v>+2</v>
      </c>
    </row>
    <row r="39" spans="1:8" ht="12.75">
      <c r="A39" t="str">
        <f ca="1">IFERROR(__xludf.DUMMYFUNCTION("""COMPUTED_VALUE"""),"T37")</f>
        <v>T37</v>
      </c>
      <c r="B39" t="str">
        <f ca="1">IFERROR(__xludf.DUMMYFUNCTION("""COMPUTED_VALUE"""),"T42")</f>
        <v>T42</v>
      </c>
      <c r="C39" t="str">
        <f ca="1">IFERROR(__xludf.DUMMYFUNCTION("""COMPUTED_VALUE"""),"George McNeill")</f>
        <v>George McNeill</v>
      </c>
      <c r="D39">
        <f ca="1">IFERROR(__xludf.DUMMYFUNCTION("""COMPUTED_VALUE"""),8)</f>
        <v>8</v>
      </c>
      <c r="E39" t="str">
        <f ca="1">IFERROR(__xludf.DUMMYFUNCTION("""COMPUTED_VALUE"""),"43' 5""")</f>
        <v>43' 5"</v>
      </c>
      <c r="F39">
        <f ca="1">IFERROR(__xludf.DUMMYFUNCTION("""COMPUTED_VALUE"""),130.333)</f>
        <v>130.333</v>
      </c>
      <c r="G39">
        <f ca="1">IFERROR(__xludf.DUMMYFUNCTION("""COMPUTED_VALUE"""),3)</f>
        <v>3</v>
      </c>
      <c r="H39" t="str">
        <f ca="1">IFERROR(__xludf.DUMMYFUNCTION("""COMPUTED_VALUE"""),"+1")</f>
        <v>+1</v>
      </c>
    </row>
    <row r="40" spans="1:8" ht="12.75">
      <c r="A40">
        <f ca="1">IFERROR(__xludf.DUMMYFUNCTION("""COMPUTED_VALUE"""),39)</f>
        <v>39</v>
      </c>
      <c r="B40">
        <f ca="1">IFERROR(__xludf.DUMMYFUNCTION("""COMPUTED_VALUE"""),44)</f>
        <v>44</v>
      </c>
      <c r="C40" t="str">
        <f ca="1">IFERROR(__xludf.DUMMYFUNCTION("""COMPUTED_VALUE"""),"Andy Zhang")</f>
        <v>Andy Zhang</v>
      </c>
      <c r="D40">
        <f ca="1">IFERROR(__xludf.DUMMYFUNCTION("""COMPUTED_VALUE"""),4)</f>
        <v>4</v>
      </c>
      <c r="E40" t="str">
        <f ca="1">IFERROR(__xludf.DUMMYFUNCTION("""COMPUTED_VALUE"""),"43' 8""")</f>
        <v>43' 8"</v>
      </c>
      <c r="F40">
        <f ca="1">IFERROR(__xludf.DUMMYFUNCTION("""COMPUTED_VALUE"""),392.833)</f>
        <v>392.83300000000003</v>
      </c>
      <c r="G40">
        <f ca="1">IFERROR(__xludf.DUMMYFUNCTION("""COMPUTED_VALUE"""),9)</f>
        <v>9</v>
      </c>
      <c r="H40">
        <f ca="1">IFERROR(__xludf.DUMMYFUNCTION("""COMPUTED_VALUE"""),-1)</f>
        <v>-1</v>
      </c>
    </row>
    <row r="41" spans="1:8" ht="12.75">
      <c r="A41">
        <f ca="1">IFERROR(__xludf.DUMMYFUNCTION("""COMPUTED_VALUE"""),40)</f>
        <v>40</v>
      </c>
      <c r="B41">
        <f ca="1">IFERROR(__xludf.DUMMYFUNCTION("""COMPUTED_VALUE"""),45)</f>
        <v>45</v>
      </c>
      <c r="C41" t="str">
        <f ca="1">IFERROR(__xludf.DUMMYFUNCTION("""COMPUTED_VALUE"""),"Kurt Kitayama")</f>
        <v>Kurt Kitayama</v>
      </c>
      <c r="D41">
        <f ca="1">IFERROR(__xludf.DUMMYFUNCTION("""COMPUTED_VALUE"""),4)</f>
        <v>4</v>
      </c>
      <c r="E41" t="str">
        <f ca="1">IFERROR(__xludf.DUMMYFUNCTION("""COMPUTED_VALUE"""),"43' 9""")</f>
        <v>43' 9"</v>
      </c>
      <c r="F41">
        <f ca="1">IFERROR(__xludf.DUMMYFUNCTION("""COMPUTED_VALUE"""),262.417)</f>
        <v>262.41699999999997</v>
      </c>
      <c r="G41">
        <f ca="1">IFERROR(__xludf.DUMMYFUNCTION("""COMPUTED_VALUE"""),6)</f>
        <v>6</v>
      </c>
      <c r="H41" t="str">
        <f ca="1">IFERROR(__xludf.DUMMYFUNCTION("""COMPUTED_VALUE"""),"+3")</f>
        <v>+3</v>
      </c>
    </row>
    <row r="42" spans="1:8" ht="12.75">
      <c r="A42">
        <f ca="1">IFERROR(__xludf.DUMMYFUNCTION("""COMPUTED_VALUE"""),41)</f>
        <v>41</v>
      </c>
      <c r="B42">
        <f ca="1">IFERROR(__xludf.DUMMYFUNCTION("""COMPUTED_VALUE"""),46)</f>
        <v>46</v>
      </c>
      <c r="C42" t="str">
        <f ca="1">IFERROR(__xludf.DUMMYFUNCTION("""COMPUTED_VALUE"""),"Zac Blair")</f>
        <v>Zac Blair</v>
      </c>
      <c r="D42">
        <f ca="1">IFERROR(__xludf.DUMMYFUNCTION("""COMPUTED_VALUE"""),10)</f>
        <v>10</v>
      </c>
      <c r="E42" t="str">
        <f ca="1">IFERROR(__xludf.DUMMYFUNCTION("""COMPUTED_VALUE"""),"44' 1""")</f>
        <v>44' 1"</v>
      </c>
      <c r="F42">
        <f ca="1">IFERROR(__xludf.DUMMYFUNCTION("""COMPUTED_VALUE"""),485.167)</f>
        <v>485.16699999999997</v>
      </c>
      <c r="G42">
        <f ca="1">IFERROR(__xludf.DUMMYFUNCTION("""COMPUTED_VALUE"""),11)</f>
        <v>11</v>
      </c>
      <c r="H42" t="str">
        <f ca="1">IFERROR(__xludf.DUMMYFUNCTION("""COMPUTED_VALUE"""),"E")</f>
        <v>E</v>
      </c>
    </row>
    <row r="43" spans="1:8" ht="12.75">
      <c r="A43">
        <f ca="1">IFERROR(__xludf.DUMMYFUNCTION("""COMPUTED_VALUE"""),42)</f>
        <v>42</v>
      </c>
      <c r="B43">
        <f ca="1">IFERROR(__xludf.DUMMYFUNCTION("""COMPUTED_VALUE"""),51)</f>
        <v>51</v>
      </c>
      <c r="C43" t="str">
        <f ca="1">IFERROR(__xludf.DUMMYFUNCTION("""COMPUTED_VALUE"""),"Corey Conners")</f>
        <v>Corey Conners</v>
      </c>
      <c r="D43">
        <f ca="1">IFERROR(__xludf.DUMMYFUNCTION("""COMPUTED_VALUE"""),20)</f>
        <v>20</v>
      </c>
      <c r="E43" t="str">
        <f ca="1">IFERROR(__xludf.DUMMYFUNCTION("""COMPUTED_VALUE"""),"44' 4""")</f>
        <v>44' 4"</v>
      </c>
      <c r="F43" s="2">
        <f ca="1">IFERROR(__xludf.DUMMYFUNCTION("""COMPUTED_VALUE"""),2750.333)</f>
        <v>2750.3330000000001</v>
      </c>
      <c r="G43">
        <f ca="1">IFERROR(__xludf.DUMMYFUNCTION("""COMPUTED_VALUE"""),62)</f>
        <v>62</v>
      </c>
      <c r="H43">
        <f ca="1">IFERROR(__xludf.DUMMYFUNCTION("""COMPUTED_VALUE"""),-13)</f>
        <v>-13</v>
      </c>
    </row>
    <row r="44" spans="1:8" ht="12.75">
      <c r="A44">
        <f ca="1">IFERROR(__xludf.DUMMYFUNCTION("""COMPUTED_VALUE"""),43)</f>
        <v>43</v>
      </c>
      <c r="B44">
        <f ca="1">IFERROR(__xludf.DUMMYFUNCTION("""COMPUTED_VALUE"""),47)</f>
        <v>47</v>
      </c>
      <c r="C44" t="str">
        <f ca="1">IFERROR(__xludf.DUMMYFUNCTION("""COMPUTED_VALUE"""),"Will Zalatoris")</f>
        <v>Will Zalatoris</v>
      </c>
      <c r="D44">
        <f ca="1">IFERROR(__xludf.DUMMYFUNCTION("""COMPUTED_VALUE"""),18)</f>
        <v>18</v>
      </c>
      <c r="E44" t="str">
        <f ca="1">IFERROR(__xludf.DUMMYFUNCTION("""COMPUTED_VALUE"""),"44' 6""")</f>
        <v>44' 6"</v>
      </c>
      <c r="F44" s="2">
        <f ca="1">IFERROR(__xludf.DUMMYFUNCTION("""COMPUTED_VALUE"""),1379.667)</f>
        <v>1379.6669999999999</v>
      </c>
      <c r="G44">
        <f ca="1">IFERROR(__xludf.DUMMYFUNCTION("""COMPUTED_VALUE"""),31)</f>
        <v>31</v>
      </c>
      <c r="H44">
        <f ca="1">IFERROR(__xludf.DUMMYFUNCTION("""COMPUTED_VALUE"""),-9)</f>
        <v>-9</v>
      </c>
    </row>
    <row r="45" spans="1:8" ht="12.75">
      <c r="A45">
        <f ca="1">IFERROR(__xludf.DUMMYFUNCTION("""COMPUTED_VALUE"""),44)</f>
        <v>44</v>
      </c>
      <c r="B45" t="str">
        <f ca="1">IFERROR(__xludf.DUMMYFUNCTION("""COMPUTED_VALUE"""),"T48")</f>
        <v>T48</v>
      </c>
      <c r="C45" t="str">
        <f ca="1">IFERROR(__xludf.DUMMYFUNCTION("""COMPUTED_VALUE"""),"Rafael Campos")</f>
        <v>Rafael Campos</v>
      </c>
      <c r="D45">
        <f ca="1">IFERROR(__xludf.DUMMYFUNCTION("""COMPUTED_VALUE"""),6)</f>
        <v>6</v>
      </c>
      <c r="E45" t="str">
        <f ca="1">IFERROR(__xludf.DUMMYFUNCTION("""COMPUTED_VALUE"""),"44' 10""")</f>
        <v>44' 10"</v>
      </c>
      <c r="F45">
        <f ca="1">IFERROR(__xludf.DUMMYFUNCTION("""COMPUTED_VALUE"""),224.083)</f>
        <v>224.083</v>
      </c>
      <c r="G45">
        <f ca="1">IFERROR(__xludf.DUMMYFUNCTION("""COMPUTED_VALUE"""),5)</f>
        <v>5</v>
      </c>
      <c r="H45" t="str">
        <f ca="1">IFERROR(__xludf.DUMMYFUNCTION("""COMPUTED_VALUE"""),"+1")</f>
        <v>+1</v>
      </c>
    </row>
    <row r="46" spans="1:8" ht="12.75">
      <c r="A46" t="str">
        <f ca="1">IFERROR(__xludf.DUMMYFUNCTION("""COMPUTED_VALUE"""),"T45")</f>
        <v>T45</v>
      </c>
      <c r="B46">
        <f ca="1">IFERROR(__xludf.DUMMYFUNCTION("""COMPUTED_VALUE"""),82)</f>
        <v>82</v>
      </c>
      <c r="C46" t="str">
        <f ca="1">IFERROR(__xludf.DUMMYFUNCTION("""COMPUTED_VALUE"""),"Kristoffer Ventura")</f>
        <v>Kristoffer Ventura</v>
      </c>
      <c r="D46">
        <f ca="1">IFERROR(__xludf.DUMMYFUNCTION("""COMPUTED_VALUE"""),20)</f>
        <v>20</v>
      </c>
      <c r="E46" t="str">
        <f ca="1">IFERROR(__xludf.DUMMYFUNCTION("""COMPUTED_VALUE"""),"45' 0""")</f>
        <v>45' 0"</v>
      </c>
      <c r="F46" s="2">
        <f ca="1">IFERROR(__xludf.DUMMYFUNCTION("""COMPUTED_VALUE"""),1710.917)</f>
        <v>1710.9169999999999</v>
      </c>
      <c r="G46">
        <f ca="1">IFERROR(__xludf.DUMMYFUNCTION("""COMPUTED_VALUE"""),38)</f>
        <v>38</v>
      </c>
      <c r="H46">
        <f ca="1">IFERROR(__xludf.DUMMYFUNCTION("""COMPUTED_VALUE"""),-10)</f>
        <v>-10</v>
      </c>
    </row>
    <row r="47" spans="1:8" ht="12.75">
      <c r="A47" t="str">
        <f ca="1">IFERROR(__xludf.DUMMYFUNCTION("""COMPUTED_VALUE"""),"T45")</f>
        <v>T45</v>
      </c>
      <c r="B47">
        <f ca="1">IFERROR(__xludf.DUMMYFUNCTION("""COMPUTED_VALUE"""),58)</f>
        <v>58</v>
      </c>
      <c r="C47" t="str">
        <f ca="1">IFERROR(__xludf.DUMMYFUNCTION("""COMPUTED_VALUE"""),"Russell Knox")</f>
        <v>Russell Knox</v>
      </c>
      <c r="D47">
        <f ca="1">IFERROR(__xludf.DUMMYFUNCTION("""COMPUTED_VALUE"""),16)</f>
        <v>16</v>
      </c>
      <c r="E47" t="str">
        <f ca="1">IFERROR(__xludf.DUMMYFUNCTION("""COMPUTED_VALUE"""),"45' 0""")</f>
        <v>45' 0"</v>
      </c>
      <c r="F47" s="2">
        <f ca="1">IFERROR(__xludf.DUMMYFUNCTION("""COMPUTED_VALUE"""),1304)</f>
        <v>1304</v>
      </c>
      <c r="G47">
        <f ca="1">IFERROR(__xludf.DUMMYFUNCTION("""COMPUTED_VALUE"""),29)</f>
        <v>29</v>
      </c>
      <c r="H47">
        <f ca="1">IFERROR(__xludf.DUMMYFUNCTION("""COMPUTED_VALUE"""),-8)</f>
        <v>-8</v>
      </c>
    </row>
    <row r="48" spans="1:8" ht="12.75">
      <c r="A48">
        <f ca="1">IFERROR(__xludf.DUMMYFUNCTION("""COMPUTED_VALUE"""),47)</f>
        <v>47</v>
      </c>
      <c r="B48">
        <f ca="1">IFERROR(__xludf.DUMMYFUNCTION("""COMPUTED_VALUE"""),50)</f>
        <v>50</v>
      </c>
      <c r="C48" t="str">
        <f ca="1">IFERROR(__xludf.DUMMYFUNCTION("""COMPUTED_VALUE"""),"Harris English")</f>
        <v>Harris English</v>
      </c>
      <c r="D48">
        <f ca="1">IFERROR(__xludf.DUMMYFUNCTION("""COMPUTED_VALUE"""),14)</f>
        <v>14</v>
      </c>
      <c r="E48" t="str">
        <f ca="1">IFERROR(__xludf.DUMMYFUNCTION("""COMPUTED_VALUE"""),"45' 1""")</f>
        <v>45' 1"</v>
      </c>
      <c r="F48" s="2">
        <f ca="1">IFERROR(__xludf.DUMMYFUNCTION("""COMPUTED_VALUE"""),2526.25)</f>
        <v>2526.25</v>
      </c>
      <c r="G48">
        <f ca="1">IFERROR(__xludf.DUMMYFUNCTION("""COMPUTED_VALUE"""),56)</f>
        <v>56</v>
      </c>
      <c r="H48">
        <f ca="1">IFERROR(__xludf.DUMMYFUNCTION("""COMPUTED_VALUE"""),-17)</f>
        <v>-17</v>
      </c>
    </row>
    <row r="49" spans="1:8" ht="12.75">
      <c r="A49">
        <f ca="1">IFERROR(__xludf.DUMMYFUNCTION("""COMPUTED_VALUE"""),48)</f>
        <v>48</v>
      </c>
      <c r="B49">
        <f ca="1">IFERROR(__xludf.DUMMYFUNCTION("""COMPUTED_VALUE"""),63)</f>
        <v>63</v>
      </c>
      <c r="C49" t="str">
        <f ca="1">IFERROR(__xludf.DUMMYFUNCTION("""COMPUTED_VALUE"""),"Will Gordon")</f>
        <v>Will Gordon</v>
      </c>
      <c r="D49">
        <f ca="1">IFERROR(__xludf.DUMMYFUNCTION("""COMPUTED_VALUE"""),20)</f>
        <v>20</v>
      </c>
      <c r="E49" t="str">
        <f ca="1">IFERROR(__xludf.DUMMYFUNCTION("""COMPUTED_VALUE"""),"45' 3""")</f>
        <v>45' 3"</v>
      </c>
      <c r="F49" s="2">
        <f ca="1">IFERROR(__xludf.DUMMYFUNCTION("""COMPUTED_VALUE"""),2262)</f>
        <v>2262</v>
      </c>
      <c r="G49">
        <f ca="1">IFERROR(__xludf.DUMMYFUNCTION("""COMPUTED_VALUE"""),50)</f>
        <v>50</v>
      </c>
      <c r="H49">
        <f ca="1">IFERROR(__xludf.DUMMYFUNCTION("""COMPUTED_VALUE"""),-16)</f>
        <v>-16</v>
      </c>
    </row>
    <row r="50" spans="1:8" ht="12.75">
      <c r="A50">
        <f ca="1">IFERROR(__xludf.DUMMYFUNCTION("""COMPUTED_VALUE"""),49)</f>
        <v>49</v>
      </c>
      <c r="B50" t="str">
        <f ca="1">IFERROR(__xludf.DUMMYFUNCTION("""COMPUTED_VALUE"""),"T52")</f>
        <v>T52</v>
      </c>
      <c r="C50" t="str">
        <f ca="1">IFERROR(__xludf.DUMMYFUNCTION("""COMPUTED_VALUE"""),"Webb Simpson")</f>
        <v>Webb Simpson</v>
      </c>
      <c r="D50">
        <f ca="1">IFERROR(__xludf.DUMMYFUNCTION("""COMPUTED_VALUE"""),12)</f>
        <v>12</v>
      </c>
      <c r="E50" t="str">
        <f ca="1">IFERROR(__xludf.DUMMYFUNCTION("""COMPUTED_VALUE"""),"45' 4""")</f>
        <v>45' 4"</v>
      </c>
      <c r="F50" s="2">
        <f ca="1">IFERROR(__xludf.DUMMYFUNCTION("""COMPUTED_VALUE"""),2267.25)</f>
        <v>2267.25</v>
      </c>
      <c r="G50">
        <f ca="1">IFERROR(__xludf.DUMMYFUNCTION("""COMPUTED_VALUE"""),50)</f>
        <v>50</v>
      </c>
      <c r="H50">
        <f ca="1">IFERROR(__xludf.DUMMYFUNCTION("""COMPUTED_VALUE"""),-15)</f>
        <v>-15</v>
      </c>
    </row>
    <row r="51" spans="1:8" ht="12.75">
      <c r="A51">
        <f ca="1">IFERROR(__xludf.DUMMYFUNCTION("""COMPUTED_VALUE"""),50)</f>
        <v>50</v>
      </c>
      <c r="B51" t="str">
        <f ca="1">IFERROR(__xludf.DUMMYFUNCTION("""COMPUTED_VALUE"""),"T54")</f>
        <v>T54</v>
      </c>
      <c r="C51" t="str">
        <f ca="1">IFERROR(__xludf.DUMMYFUNCTION("""COMPUTED_VALUE"""),"Cameron Percy")</f>
        <v>Cameron Percy</v>
      </c>
      <c r="D51">
        <f ca="1">IFERROR(__xludf.DUMMYFUNCTION("""COMPUTED_VALUE"""),16)</f>
        <v>16</v>
      </c>
      <c r="E51" t="str">
        <f ca="1">IFERROR(__xludf.DUMMYFUNCTION("""COMPUTED_VALUE"""),"45' 5""")</f>
        <v>45' 5"</v>
      </c>
      <c r="F51">
        <f ca="1">IFERROR(__xludf.DUMMYFUNCTION("""COMPUTED_VALUE"""),909.083)</f>
        <v>909.08299999999997</v>
      </c>
      <c r="G51">
        <f ca="1">IFERROR(__xludf.DUMMYFUNCTION("""COMPUTED_VALUE"""),20)</f>
        <v>20</v>
      </c>
      <c r="H51">
        <f ca="1">IFERROR(__xludf.DUMMYFUNCTION("""COMPUTED_VALUE"""),-7)</f>
        <v>-7</v>
      </c>
    </row>
    <row r="52" spans="1:8" ht="12.75">
      <c r="A52">
        <f ca="1">IFERROR(__xludf.DUMMYFUNCTION("""COMPUTED_VALUE"""),51)</f>
        <v>51</v>
      </c>
      <c r="B52">
        <f ca="1">IFERROR(__xludf.DUMMYFUNCTION("""COMPUTED_VALUE"""),92)</f>
        <v>92</v>
      </c>
      <c r="C52" t="str">
        <f ca="1">IFERROR(__xludf.DUMMYFUNCTION("""COMPUTED_VALUE"""),"Doc Redman")</f>
        <v>Doc Redman</v>
      </c>
      <c r="D52">
        <f ca="1">IFERROR(__xludf.DUMMYFUNCTION("""COMPUTED_VALUE"""),18)</f>
        <v>18</v>
      </c>
      <c r="E52" t="str">
        <f ca="1">IFERROR(__xludf.DUMMYFUNCTION("""COMPUTED_VALUE"""),"45' 7""")</f>
        <v>45' 7"</v>
      </c>
      <c r="F52" s="2">
        <f ca="1">IFERROR(__xludf.DUMMYFUNCTION("""COMPUTED_VALUE"""),2096.167)</f>
        <v>2096.1669999999999</v>
      </c>
      <c r="G52">
        <f ca="1">IFERROR(__xludf.DUMMYFUNCTION("""COMPUTED_VALUE"""),46)</f>
        <v>46</v>
      </c>
      <c r="H52">
        <f ca="1">IFERROR(__xludf.DUMMYFUNCTION("""COMPUTED_VALUE"""),-12)</f>
        <v>-12</v>
      </c>
    </row>
    <row r="53" spans="1:8" ht="12.75">
      <c r="A53">
        <f ca="1">IFERROR(__xludf.DUMMYFUNCTION("""COMPUTED_VALUE"""),52)</f>
        <v>52</v>
      </c>
      <c r="B53">
        <f ca="1">IFERROR(__xludf.DUMMYFUNCTION("""COMPUTED_VALUE"""),59)</f>
        <v>59</v>
      </c>
      <c r="C53" t="str">
        <f ca="1">IFERROR(__xludf.DUMMYFUNCTION("""COMPUTED_VALUE"""),"Justin Rose")</f>
        <v>Justin Rose</v>
      </c>
      <c r="D53">
        <f ca="1">IFERROR(__xludf.DUMMYFUNCTION("""COMPUTED_VALUE"""),10)</f>
        <v>10</v>
      </c>
      <c r="E53" t="str">
        <f ca="1">IFERROR(__xludf.DUMMYFUNCTION("""COMPUTED_VALUE"""),"45' 9""")</f>
        <v>45' 9"</v>
      </c>
      <c r="F53" s="2">
        <f ca="1">IFERROR(__xludf.DUMMYFUNCTION("""COMPUTED_VALUE"""),1691.667)</f>
        <v>1691.6669999999999</v>
      </c>
      <c r="G53">
        <f ca="1">IFERROR(__xludf.DUMMYFUNCTION("""COMPUTED_VALUE"""),37)</f>
        <v>37</v>
      </c>
      <c r="H53">
        <f ca="1">IFERROR(__xludf.DUMMYFUNCTION("""COMPUTED_VALUE"""),-5)</f>
        <v>-5</v>
      </c>
    </row>
    <row r="54" spans="1:8" ht="12.75">
      <c r="A54" t="str">
        <f ca="1">IFERROR(__xludf.DUMMYFUNCTION("""COMPUTED_VALUE"""),"T53")</f>
        <v>T53</v>
      </c>
      <c r="B54">
        <f ca="1">IFERROR(__xludf.DUMMYFUNCTION("""COMPUTED_VALUE"""),60)</f>
        <v>60</v>
      </c>
      <c r="C54" t="str">
        <f ca="1">IFERROR(__xludf.DUMMYFUNCTION("""COMPUTED_VALUE"""),"Matthew Wolff")</f>
        <v>Matthew Wolff</v>
      </c>
      <c r="D54">
        <f ca="1">IFERROR(__xludf.DUMMYFUNCTION("""COMPUTED_VALUE"""),16)</f>
        <v>16</v>
      </c>
      <c r="E54" t="str">
        <f ca="1">IFERROR(__xludf.DUMMYFUNCTION("""COMPUTED_VALUE"""),"45' 10""")</f>
        <v>45' 10"</v>
      </c>
      <c r="F54" s="2">
        <f ca="1">IFERROR(__xludf.DUMMYFUNCTION("""COMPUTED_VALUE"""),2980.417)</f>
        <v>2980.4169999999999</v>
      </c>
      <c r="G54">
        <f ca="1">IFERROR(__xludf.DUMMYFUNCTION("""COMPUTED_VALUE"""),65)</f>
        <v>65</v>
      </c>
      <c r="H54">
        <f ca="1">IFERROR(__xludf.DUMMYFUNCTION("""COMPUTED_VALUE"""),-1)</f>
        <v>-1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IFERROR(__xludf.DUMMYFUNCTION("""COMPUTED_VALUE"""),"T24")</f>
        <v>T24</v>
      </c>
      <c r="C55" t="str">
        <f ca="1">IFERROR(__xludf.DUMMYFUNCTION("""COMPUTED_VALUE"""),"Maverick McNealy")</f>
        <v>Maverick McNealy</v>
      </c>
      <c r="D55">
        <f ca="1">IFERROR(__xludf.DUMMYFUNCTION("""COMPUTED_VALUE"""),16)</f>
        <v>16</v>
      </c>
      <c r="E55" t="str">
        <f ca="1">IFERROR(__xludf.DUMMYFUNCTION("""COMPUTED_VALUE"""),"45' 10""")</f>
        <v>45' 10"</v>
      </c>
      <c r="F55" s="2">
        <f ca="1">IFERROR(__xludf.DUMMYFUNCTION("""COMPUTED_VALUE"""),1238.083)</f>
        <v>1238.0830000000001</v>
      </c>
      <c r="G55">
        <f ca="1">IFERROR(__xludf.DUMMYFUNCTION("""COMPUTED_VALUE"""),27)</f>
        <v>27</v>
      </c>
      <c r="H55">
        <f ca="1">IFERROR(__xludf.DUMMYFUNCTION("""COMPUTED_VALUE"""),-1)</f>
        <v>-1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IFERROR(__xludf.DUMMYFUNCTION("""COMPUTED_VALUE"""),"T61")</f>
        <v>T61</v>
      </c>
      <c r="C56" t="str">
        <f ca="1">IFERROR(__xludf.DUMMYFUNCTION("""COMPUTED_VALUE"""),"Xander Schauffele")</f>
        <v>Xander Schauffele</v>
      </c>
      <c r="D56">
        <f ca="1">IFERROR(__xludf.DUMMYFUNCTION("""COMPUTED_VALUE"""),12)</f>
        <v>12</v>
      </c>
      <c r="E56" t="str">
        <f ca="1">IFERROR(__xludf.DUMMYFUNCTION("""COMPUTED_VALUE"""),"45' 11""")</f>
        <v>45' 11"</v>
      </c>
      <c r="F56" s="2">
        <f ca="1">IFERROR(__xludf.DUMMYFUNCTION("""COMPUTED_VALUE"""),2111)</f>
        <v>2111</v>
      </c>
      <c r="G56">
        <f ca="1">IFERROR(__xludf.DUMMYFUNCTION("""COMPUTED_VALUE"""),46)</f>
        <v>46</v>
      </c>
      <c r="H56">
        <f ca="1">IFERROR(__xludf.DUMMYFUNCTION("""COMPUTED_VALUE"""),-14)</f>
        <v>-14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IFERROR(__xludf.DUMMYFUNCTION("""COMPUTED_VALUE"""),"T61")</f>
        <v>T61</v>
      </c>
      <c r="C57" t="str">
        <f ca="1">IFERROR(__xludf.DUMMYFUNCTION("""COMPUTED_VALUE"""),"Sangmoon Bae")</f>
        <v>Sangmoon Bae</v>
      </c>
      <c r="D57">
        <f ca="1">IFERROR(__xludf.DUMMYFUNCTION("""COMPUTED_VALUE"""),8)</f>
        <v>8</v>
      </c>
      <c r="E57" t="str">
        <f ca="1">IFERROR(__xludf.DUMMYFUNCTION("""COMPUTED_VALUE"""),"45' 11""")</f>
        <v>45' 11"</v>
      </c>
      <c r="F57">
        <f ca="1">IFERROR(__xludf.DUMMYFUNCTION("""COMPUTED_VALUE"""),229.583)</f>
        <v>229.583</v>
      </c>
      <c r="G57">
        <f ca="1">IFERROR(__xludf.DUMMYFUNCTION("""COMPUTED_VALUE"""),5)</f>
        <v>5</v>
      </c>
      <c r="H57" t="str">
        <f ca="1">IFERROR(__xludf.DUMMYFUNCTION("""COMPUTED_VALUE"""),"+1")</f>
        <v>+1</v>
      </c>
    </row>
    <row r="58" spans="1:8" ht="12.75">
      <c r="A58">
        <f ca="1">IFERROR(__xludf.DUMMYFUNCTION("""COMPUTED_VALUE"""),57)</f>
        <v>57</v>
      </c>
      <c r="B58" t="str">
        <f ca="1">IFERROR(__xludf.DUMMYFUNCTION("""COMPUTED_VALUE"""),"T76")</f>
        <v>T76</v>
      </c>
      <c r="C58" t="str">
        <f ca="1">IFERROR(__xludf.DUMMYFUNCTION("""COMPUTED_VALUE"""),"Phil Mickelson")</f>
        <v>Phil Mickelson</v>
      </c>
      <c r="D58">
        <f ca="1">IFERROR(__xludf.DUMMYFUNCTION("""COMPUTED_VALUE"""),12)</f>
        <v>12</v>
      </c>
      <c r="E58" t="str">
        <f ca="1">IFERROR(__xludf.DUMMYFUNCTION("""COMPUTED_VALUE"""),"46' 0""")</f>
        <v>46' 0"</v>
      </c>
      <c r="F58" s="2">
        <f ca="1">IFERROR(__xludf.DUMMYFUNCTION("""COMPUTED_VALUE"""),1703.333)</f>
        <v>1703.3330000000001</v>
      </c>
      <c r="G58">
        <f ca="1">IFERROR(__xludf.DUMMYFUNCTION("""COMPUTED_VALUE"""),37)</f>
        <v>37</v>
      </c>
      <c r="H58" t="str">
        <f ca="1">IFERROR(__xludf.DUMMYFUNCTION("""COMPUTED_VALUE"""),"+9")</f>
        <v>+9</v>
      </c>
    </row>
    <row r="59" spans="1:8" ht="12.75">
      <c r="A59" t="str">
        <f ca="1">IFERROR(__xludf.DUMMYFUNCTION("""COMPUTED_VALUE"""),"T58")</f>
        <v>T58</v>
      </c>
      <c r="B59">
        <f ca="1">IFERROR(__xludf.DUMMYFUNCTION("""COMPUTED_VALUE"""),93)</f>
        <v>93</v>
      </c>
      <c r="C59" t="str">
        <f ca="1">IFERROR(__xludf.DUMMYFUNCTION("""COMPUTED_VALUE"""),"Zach Johnson")</f>
        <v>Zach Johnson</v>
      </c>
      <c r="D59">
        <f ca="1">IFERROR(__xludf.DUMMYFUNCTION("""COMPUTED_VALUE"""),16)</f>
        <v>16</v>
      </c>
      <c r="E59" t="str">
        <f ca="1">IFERROR(__xludf.DUMMYFUNCTION("""COMPUTED_VALUE"""),"46' 1""")</f>
        <v>46' 1"</v>
      </c>
      <c r="F59" s="2">
        <f ca="1">IFERROR(__xludf.DUMMYFUNCTION("""COMPUTED_VALUE"""),2442.583)</f>
        <v>2442.5830000000001</v>
      </c>
      <c r="G59">
        <f ca="1">IFERROR(__xludf.DUMMYFUNCTION("""COMPUTED_VALUE"""),53)</f>
        <v>53</v>
      </c>
      <c r="H59">
        <f ca="1">IFERROR(__xludf.DUMMYFUNCTION("""COMPUTED_VALUE"""),-3)</f>
        <v>-3</v>
      </c>
    </row>
    <row r="60" spans="1:8" ht="12.75">
      <c r="A60" t="str">
        <f ca="1">IFERROR(__xludf.DUMMYFUNCTION("""COMPUTED_VALUE"""),"T58")</f>
        <v>T58</v>
      </c>
      <c r="B60" t="str">
        <f ca="1">IFERROR(__xludf.DUMMYFUNCTION("""COMPUTED_VALUE"""),"T64")</f>
        <v>T64</v>
      </c>
      <c r="C60" t="str">
        <f ca="1">IFERROR(__xludf.DUMMYFUNCTION("""COMPUTED_VALUE"""),"Mark Hubbard")</f>
        <v>Mark Hubbard</v>
      </c>
      <c r="D60">
        <f ca="1">IFERROR(__xludf.DUMMYFUNCTION("""COMPUTED_VALUE"""),20)</f>
        <v>20</v>
      </c>
      <c r="E60" t="str">
        <f ca="1">IFERROR(__xludf.DUMMYFUNCTION("""COMPUTED_VALUE"""),"46' 1""")</f>
        <v>46' 1"</v>
      </c>
      <c r="F60" s="2">
        <f ca="1">IFERROR(__xludf.DUMMYFUNCTION("""COMPUTED_VALUE"""),3177.5)</f>
        <v>3177.5</v>
      </c>
      <c r="G60">
        <f ca="1">IFERROR(__xludf.DUMMYFUNCTION("""COMPUTED_VALUE"""),69)</f>
        <v>69</v>
      </c>
      <c r="H60">
        <f ca="1">IFERROR(__xludf.DUMMYFUNCTION("""COMPUTED_VALUE"""),-13)</f>
        <v>-13</v>
      </c>
    </row>
    <row r="61" spans="1:8" ht="12.75">
      <c r="A61">
        <f ca="1">IFERROR(__xludf.DUMMYFUNCTION("""COMPUTED_VALUE"""),60)</f>
        <v>60</v>
      </c>
      <c r="B61" t="str">
        <f ca="1">IFERROR(__xludf.DUMMYFUNCTION("""COMPUTED_VALUE"""),"T56")</f>
        <v>T56</v>
      </c>
      <c r="C61" t="str">
        <f ca="1">IFERROR(__xludf.DUMMYFUNCTION("""COMPUTED_VALUE"""),"Sean O'Hair")</f>
        <v>Sean O'Hair</v>
      </c>
      <c r="D61">
        <f ca="1">IFERROR(__xludf.DUMMYFUNCTION("""COMPUTED_VALUE"""),14)</f>
        <v>14</v>
      </c>
      <c r="E61" t="str">
        <f ca="1">IFERROR(__xludf.DUMMYFUNCTION("""COMPUTED_VALUE"""),"46' 3""")</f>
        <v>46' 3"</v>
      </c>
      <c r="F61" s="2">
        <f ca="1">IFERROR(__xludf.DUMMYFUNCTION("""COMPUTED_VALUE"""),1110.417)</f>
        <v>1110.4169999999999</v>
      </c>
      <c r="G61">
        <f ca="1">IFERROR(__xludf.DUMMYFUNCTION("""COMPUTED_VALUE"""),24)</f>
        <v>24</v>
      </c>
      <c r="H61">
        <f ca="1">IFERROR(__xludf.DUMMYFUNCTION("""COMPUTED_VALUE"""),-7)</f>
        <v>-7</v>
      </c>
    </row>
    <row r="62" spans="1:8" ht="12.75">
      <c r="A62" t="str">
        <f ca="1">IFERROR(__xludf.DUMMYFUNCTION("""COMPUTED_VALUE"""),"T61")</f>
        <v>T61</v>
      </c>
      <c r="B62" t="str">
        <f ca="1">IFERROR(__xludf.DUMMYFUNCTION("""COMPUTED_VALUE"""),"")</f>
        <v/>
      </c>
      <c r="C62" t="str">
        <f ca="1">IFERROR(__xludf.DUMMYFUNCTION("""COMPUTED_VALUE"""),"Justin Harding")</f>
        <v>Justin Harding</v>
      </c>
      <c r="D62">
        <f ca="1">IFERROR(__xludf.DUMMYFUNCTION("""COMPUTED_VALUE"""),6)</f>
        <v>6</v>
      </c>
      <c r="E62" t="str">
        <f ca="1">IFERROR(__xludf.DUMMYFUNCTION("""COMPUTED_VALUE"""),"46' 4""")</f>
        <v>46' 4"</v>
      </c>
      <c r="F62">
        <f ca="1">IFERROR(__xludf.DUMMYFUNCTION("""COMPUTED_VALUE"""),972.333)</f>
        <v>972.33299999999997</v>
      </c>
      <c r="G62">
        <f ca="1">IFERROR(__xludf.DUMMYFUNCTION("""COMPUTED_VALUE"""),21)</f>
        <v>21</v>
      </c>
      <c r="H62" t="str">
        <f ca="1">IFERROR(__xludf.DUMMYFUNCTION("""COMPUTED_VALUE"""),"E")</f>
        <v>E</v>
      </c>
    </row>
    <row r="63" spans="1:8" ht="12.75">
      <c r="A63" t="str">
        <f ca="1">IFERROR(__xludf.DUMMYFUNCTION("""COMPUTED_VALUE"""),"T61")</f>
        <v>T61</v>
      </c>
      <c r="B63" t="str">
        <f ca="1">IFERROR(__xludf.DUMMYFUNCTION("""COMPUTED_VALUE"""),"T64")</f>
        <v>T64</v>
      </c>
      <c r="C63" t="str">
        <f ca="1">IFERROR(__xludf.DUMMYFUNCTION("""COMPUTED_VALUE"""),"Taylor Pendrith")</f>
        <v>Taylor Pendrith</v>
      </c>
      <c r="D63">
        <f ca="1">IFERROR(__xludf.DUMMYFUNCTION("""COMPUTED_VALUE"""),4)</f>
        <v>4</v>
      </c>
      <c r="E63" t="str">
        <f ca="1">IFERROR(__xludf.DUMMYFUNCTION("""COMPUTED_VALUE"""),"46' 4""")</f>
        <v>46' 4"</v>
      </c>
      <c r="F63">
        <f ca="1">IFERROR(__xludf.DUMMYFUNCTION("""COMPUTED_VALUE"""),555.917)</f>
        <v>555.91700000000003</v>
      </c>
      <c r="G63">
        <f ca="1">IFERROR(__xludf.DUMMYFUNCTION("""COMPUTED_VALUE"""),12)</f>
        <v>12</v>
      </c>
      <c r="H63" t="str">
        <f ca="1">IFERROR(__xludf.DUMMYFUNCTION("""COMPUTED_VALUE"""),"+2")</f>
        <v>+2</v>
      </c>
    </row>
    <row r="64" spans="1:8" ht="12.75">
      <c r="A64">
        <f ca="1">IFERROR(__xludf.DUMMYFUNCTION("""COMPUTED_VALUE"""),63)</f>
        <v>63</v>
      </c>
      <c r="B64" t="str">
        <f ca="1">IFERROR(__xludf.DUMMYFUNCTION("""COMPUTED_VALUE"""),"T66")</f>
        <v>T66</v>
      </c>
      <c r="C64" t="str">
        <f ca="1">IFERROR(__xludf.DUMMYFUNCTION("""COMPUTED_VALUE"""),"Justin Thomas")</f>
        <v>Justin Thomas</v>
      </c>
      <c r="D64">
        <f ca="1">IFERROR(__xludf.DUMMYFUNCTION("""COMPUTED_VALUE"""),12)</f>
        <v>12</v>
      </c>
      <c r="E64" t="str">
        <f ca="1">IFERROR(__xludf.DUMMYFUNCTION("""COMPUTED_VALUE"""),"46' 5""")</f>
        <v>46' 5"</v>
      </c>
      <c r="F64" s="2">
        <f ca="1">IFERROR(__xludf.DUMMYFUNCTION("""COMPUTED_VALUE"""),2043.917)</f>
        <v>2043.9169999999999</v>
      </c>
      <c r="G64">
        <f ca="1">IFERROR(__xludf.DUMMYFUNCTION("""COMPUTED_VALUE"""),44)</f>
        <v>44</v>
      </c>
      <c r="H64">
        <f ca="1">IFERROR(__xludf.DUMMYFUNCTION("""COMPUTED_VALUE"""),-6)</f>
        <v>-6</v>
      </c>
    </row>
    <row r="65" spans="1:8" ht="12.75">
      <c r="A65">
        <f ca="1">IFERROR(__xludf.DUMMYFUNCTION("""COMPUTED_VALUE"""),64)</f>
        <v>64</v>
      </c>
      <c r="B65" t="str">
        <f ca="1">IFERROR(__xludf.DUMMYFUNCTION("""COMPUTED_VALUE"""),"T56")</f>
        <v>T56</v>
      </c>
      <c r="C65" t="str">
        <f ca="1">IFERROR(__xludf.DUMMYFUNCTION("""COMPUTED_VALUE"""),"Lee Westwood")</f>
        <v>Lee Westwood</v>
      </c>
      <c r="D65">
        <f ca="1">IFERROR(__xludf.DUMMYFUNCTION("""COMPUTED_VALUE"""),6)</f>
        <v>6</v>
      </c>
      <c r="E65" t="str">
        <f ca="1">IFERROR(__xludf.DUMMYFUNCTION("""COMPUTED_VALUE"""),"46' 6""")</f>
        <v>46' 6"</v>
      </c>
      <c r="F65" s="2">
        <f ca="1">IFERROR(__xludf.DUMMYFUNCTION("""COMPUTED_VALUE"""),1022.833)</f>
        <v>1022.833</v>
      </c>
      <c r="G65">
        <f ca="1">IFERROR(__xludf.DUMMYFUNCTION("""COMPUTED_VALUE"""),22)</f>
        <v>22</v>
      </c>
      <c r="H65" t="str">
        <f ca="1">IFERROR(__xludf.DUMMYFUNCTION("""COMPUTED_VALUE"""),"+3")</f>
        <v>+3</v>
      </c>
    </row>
    <row r="66" spans="1:8" ht="12.75">
      <c r="A66">
        <f ca="1">IFERROR(__xludf.DUMMYFUNCTION("""COMPUTED_VALUE"""),65)</f>
        <v>65</v>
      </c>
      <c r="B66">
        <f ca="1">IFERROR(__xludf.DUMMYFUNCTION("""COMPUTED_VALUE"""),71)</f>
        <v>71</v>
      </c>
      <c r="C66" t="str">
        <f ca="1">IFERROR(__xludf.DUMMYFUNCTION("""COMPUTED_VALUE"""),"Chez Reavie")</f>
        <v>Chez Reavie</v>
      </c>
      <c r="D66">
        <f ca="1">IFERROR(__xludf.DUMMYFUNCTION("""COMPUTED_VALUE"""),14)</f>
        <v>14</v>
      </c>
      <c r="E66" t="str">
        <f ca="1">IFERROR(__xludf.DUMMYFUNCTION("""COMPUTED_VALUE"""),"46' 9""")</f>
        <v>46' 9"</v>
      </c>
      <c r="F66" s="2">
        <f ca="1">IFERROR(__xludf.DUMMYFUNCTION("""COMPUTED_VALUE"""),2104.5)</f>
        <v>2104.5</v>
      </c>
      <c r="G66">
        <f ca="1">IFERROR(__xludf.DUMMYFUNCTION("""COMPUTED_VALUE"""),45)</f>
        <v>45</v>
      </c>
      <c r="H66" t="str">
        <f ca="1">IFERROR(__xludf.DUMMYFUNCTION("""COMPUTED_VALUE"""),"+1")</f>
        <v>+1</v>
      </c>
    </row>
    <row r="67" spans="1:8" ht="12.75">
      <c r="A67" t="str">
        <f ca="1">IFERROR(__xludf.DUMMYFUNCTION("""COMPUTED_VALUE"""),"T66")</f>
        <v>T66</v>
      </c>
      <c r="B67" t="str">
        <f ca="1">IFERROR(__xludf.DUMMYFUNCTION("""COMPUTED_VALUE"""),"T87")</f>
        <v>T87</v>
      </c>
      <c r="C67" t="str">
        <f ca="1">IFERROR(__xludf.DUMMYFUNCTION("""COMPUTED_VALUE"""),"Nate Lashley")</f>
        <v>Nate Lashley</v>
      </c>
      <c r="D67">
        <f ca="1">IFERROR(__xludf.DUMMYFUNCTION("""COMPUTED_VALUE"""),16)</f>
        <v>16</v>
      </c>
      <c r="E67" t="str">
        <f ca="1">IFERROR(__xludf.DUMMYFUNCTION("""COMPUTED_VALUE"""),"46' 10""")</f>
        <v>46' 10"</v>
      </c>
      <c r="F67" s="2">
        <f ca="1">IFERROR(__xludf.DUMMYFUNCTION("""COMPUTED_VALUE"""),1405.25)</f>
        <v>1405.25</v>
      </c>
      <c r="G67">
        <f ca="1">IFERROR(__xludf.DUMMYFUNCTION("""COMPUTED_VALUE"""),30)</f>
        <v>30</v>
      </c>
      <c r="H67">
        <f ca="1">IFERROR(__xludf.DUMMYFUNCTION("""COMPUTED_VALUE"""),-4)</f>
        <v>-4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IFERROR(__xludf.DUMMYFUNCTION("""COMPUTED_VALUE"""),"T54")</f>
        <v>T54</v>
      </c>
      <c r="C68" t="str">
        <f ca="1">IFERROR(__xludf.DUMMYFUNCTION("""COMPUTED_VALUE"""),"Matthew NeSmith")</f>
        <v>Matthew NeSmith</v>
      </c>
      <c r="D68">
        <f ca="1">IFERROR(__xludf.DUMMYFUNCTION("""COMPUTED_VALUE"""),16)</f>
        <v>16</v>
      </c>
      <c r="E68" t="str">
        <f ca="1">IFERROR(__xludf.DUMMYFUNCTION("""COMPUTED_VALUE"""),"46' 10""")</f>
        <v>46' 10"</v>
      </c>
      <c r="F68" s="2">
        <f ca="1">IFERROR(__xludf.DUMMYFUNCTION("""COMPUTED_VALUE"""),1686.917)</f>
        <v>1686.9169999999999</v>
      </c>
      <c r="G68">
        <f ca="1">IFERROR(__xludf.DUMMYFUNCTION("""COMPUTED_VALUE"""),36)</f>
        <v>36</v>
      </c>
      <c r="H68">
        <f ca="1">IFERROR(__xludf.DUMMYFUNCTION("""COMPUTED_VALUE"""),-10)</f>
        <v>-10</v>
      </c>
    </row>
    <row r="69" spans="1:8" ht="12.75">
      <c r="A69">
        <f ca="1">IFERROR(__xludf.DUMMYFUNCTION("""COMPUTED_VALUE"""),68)</f>
        <v>68</v>
      </c>
      <c r="B69">
        <f ca="1">IFERROR(__xludf.DUMMYFUNCTION("""COMPUTED_VALUE"""),188)</f>
        <v>188</v>
      </c>
      <c r="C69" t="str">
        <f ca="1">IFERROR(__xludf.DUMMYFUNCTION("""COMPUTED_VALUE"""),"Chris Kirk")</f>
        <v>Chris Kirk</v>
      </c>
      <c r="D69">
        <f ca="1">IFERROR(__xludf.DUMMYFUNCTION("""COMPUTED_VALUE"""),10)</f>
        <v>10</v>
      </c>
      <c r="E69" t="str">
        <f ca="1">IFERROR(__xludf.DUMMYFUNCTION("""COMPUTED_VALUE"""),"46' 11""")</f>
        <v>46' 11"</v>
      </c>
      <c r="F69">
        <f ca="1">IFERROR(__xludf.DUMMYFUNCTION("""COMPUTED_VALUE"""),938.583)</f>
        <v>938.58299999999997</v>
      </c>
      <c r="G69">
        <f ca="1">IFERROR(__xludf.DUMMYFUNCTION("""COMPUTED_VALUE"""),20)</f>
        <v>20</v>
      </c>
      <c r="H69" t="str">
        <f ca="1">IFERROR(__xludf.DUMMYFUNCTION("""COMPUTED_VALUE"""),"+4")</f>
        <v>+4</v>
      </c>
    </row>
    <row r="70" spans="1:8" ht="12.75">
      <c r="A70">
        <f ca="1">IFERROR(__xludf.DUMMYFUNCTION("""COMPUTED_VALUE"""),69)</f>
        <v>69</v>
      </c>
      <c r="B70">
        <f ca="1">IFERROR(__xludf.DUMMYFUNCTION("""COMPUTED_VALUE"""),75)</f>
        <v>75</v>
      </c>
      <c r="C70" t="str">
        <f ca="1">IFERROR(__xludf.DUMMYFUNCTION("""COMPUTED_VALUE"""),"Tim Wilkinson")</f>
        <v>Tim Wilkinson</v>
      </c>
      <c r="D70">
        <f ca="1">IFERROR(__xludf.DUMMYFUNCTION("""COMPUTED_VALUE"""),12)</f>
        <v>12</v>
      </c>
      <c r="E70" t="str">
        <f ca="1">IFERROR(__xludf.DUMMYFUNCTION("""COMPUTED_VALUE"""),"47' 1""")</f>
        <v>47' 1"</v>
      </c>
      <c r="F70">
        <f ca="1">IFERROR(__xludf.DUMMYFUNCTION("""COMPUTED_VALUE"""),894.917)</f>
        <v>894.91700000000003</v>
      </c>
      <c r="G70">
        <f ca="1">IFERROR(__xludf.DUMMYFUNCTION("""COMPUTED_VALUE"""),19)</f>
        <v>19</v>
      </c>
      <c r="H70">
        <f ca="1">IFERROR(__xludf.DUMMYFUNCTION("""COMPUTED_VALUE"""),-7)</f>
        <v>-7</v>
      </c>
    </row>
    <row r="71" spans="1:8" ht="12.75">
      <c r="A71" t="str">
        <f ca="1">IFERROR(__xludf.DUMMYFUNCTION("""COMPUTED_VALUE"""),"T70")</f>
        <v>T70</v>
      </c>
      <c r="B71">
        <f ca="1">IFERROR(__xludf.DUMMYFUNCTION("""COMPUTED_VALUE"""),68)</f>
        <v>68</v>
      </c>
      <c r="C71" t="str">
        <f ca="1">IFERROR(__xludf.DUMMYFUNCTION("""COMPUTED_VALUE"""),"Emiliano Grillo")</f>
        <v>Emiliano Grillo</v>
      </c>
      <c r="D71">
        <f ca="1">IFERROR(__xludf.DUMMYFUNCTION("""COMPUTED_VALUE"""),22)</f>
        <v>22</v>
      </c>
      <c r="E71" t="str">
        <f ca="1">IFERROR(__xludf.DUMMYFUNCTION("""COMPUTED_VALUE"""),"47' 2""")</f>
        <v>47' 2"</v>
      </c>
      <c r="F71" s="2">
        <f ca="1">IFERROR(__xludf.DUMMYFUNCTION("""COMPUTED_VALUE"""),2124.25)</f>
        <v>2124.25</v>
      </c>
      <c r="G71">
        <f ca="1">IFERROR(__xludf.DUMMYFUNCTION("""COMPUTED_VALUE"""),45)</f>
        <v>45</v>
      </c>
      <c r="H71">
        <f ca="1">IFERROR(__xludf.DUMMYFUNCTION("""COMPUTED_VALUE"""),-15)</f>
        <v>-15</v>
      </c>
    </row>
    <row r="72" spans="1:8" ht="12.75">
      <c r="A72" t="str">
        <f ca="1">IFERROR(__xludf.DUMMYFUNCTION("""COMPUTED_VALUE"""),"T70")</f>
        <v>T70</v>
      </c>
      <c r="B72">
        <f ca="1">IFERROR(__xludf.DUMMYFUNCTION("""COMPUTED_VALUE"""),72)</f>
        <v>72</v>
      </c>
      <c r="C72" t="str">
        <f ca="1">IFERROR(__xludf.DUMMYFUNCTION("""COMPUTED_VALUE"""),"Adam Long")</f>
        <v>Adam Long</v>
      </c>
      <c r="D72">
        <f ca="1">IFERROR(__xludf.DUMMYFUNCTION("""COMPUTED_VALUE"""),22)</f>
        <v>22</v>
      </c>
      <c r="E72" t="str">
        <f ca="1">IFERROR(__xludf.DUMMYFUNCTION("""COMPUTED_VALUE"""),"47' 2""")</f>
        <v>47' 2"</v>
      </c>
      <c r="F72" s="2">
        <f ca="1">IFERROR(__xludf.DUMMYFUNCTION("""COMPUTED_VALUE"""),3206.25)</f>
        <v>3206.25</v>
      </c>
      <c r="G72">
        <f ca="1">IFERROR(__xludf.DUMMYFUNCTION("""COMPUTED_VALUE"""),68)</f>
        <v>68</v>
      </c>
      <c r="H72">
        <f ca="1">IFERROR(__xludf.DUMMYFUNCTION("""COMPUTED_VALUE"""),-5)</f>
        <v>-5</v>
      </c>
    </row>
    <row r="73" spans="1:8" ht="12.75">
      <c r="A73" t="str">
        <f ca="1">IFERROR(__xludf.DUMMYFUNCTION("""COMPUTED_VALUE"""),"T70")</f>
        <v>T70</v>
      </c>
      <c r="B73" t="str">
        <f ca="1">IFERROR(__xludf.DUMMYFUNCTION("""COMPUTED_VALUE"""),"T76")</f>
        <v>T76</v>
      </c>
      <c r="C73" t="str">
        <f ca="1">IFERROR(__xludf.DUMMYFUNCTION("""COMPUTED_VALUE"""),"Joaquin Niemann")</f>
        <v>Joaquin Niemann</v>
      </c>
      <c r="D73">
        <f ca="1">IFERROR(__xludf.DUMMYFUNCTION("""COMPUTED_VALUE"""),16)</f>
        <v>16</v>
      </c>
      <c r="E73" t="str">
        <f ca="1">IFERROR(__xludf.DUMMYFUNCTION("""COMPUTED_VALUE"""),"47' 2""")</f>
        <v>47' 2"</v>
      </c>
      <c r="F73" s="2">
        <f ca="1">IFERROR(__xludf.DUMMYFUNCTION("""COMPUTED_VALUE"""),2687.917)</f>
        <v>2687.9169999999999</v>
      </c>
      <c r="G73">
        <f ca="1">IFERROR(__xludf.DUMMYFUNCTION("""COMPUTED_VALUE"""),57)</f>
        <v>57</v>
      </c>
      <c r="H73">
        <f ca="1">IFERROR(__xludf.DUMMYFUNCTION("""COMPUTED_VALUE"""),-9)</f>
        <v>-9</v>
      </c>
    </row>
    <row r="74" spans="1:8" ht="12.75">
      <c r="A74" t="str">
        <f ca="1">IFERROR(__xludf.DUMMYFUNCTION("""COMPUTED_VALUE"""),"T73")</f>
        <v>T73</v>
      </c>
      <c r="B74" t="str">
        <f ca="1">IFERROR(__xludf.DUMMYFUNCTION("""COMPUTED_VALUE"""),"T115")</f>
        <v>T115</v>
      </c>
      <c r="C74" t="str">
        <f ca="1">IFERROR(__xludf.DUMMYFUNCTION("""COMPUTED_VALUE"""),"Sung Kang")</f>
        <v>Sung Kang</v>
      </c>
      <c r="D74">
        <f ca="1">IFERROR(__xludf.DUMMYFUNCTION("""COMPUTED_VALUE"""),14)</f>
        <v>14</v>
      </c>
      <c r="E74" t="str">
        <f ca="1">IFERROR(__xludf.DUMMYFUNCTION("""COMPUTED_VALUE"""),"47' 3""")</f>
        <v>47' 3"</v>
      </c>
      <c r="F74" s="2">
        <f ca="1">IFERROR(__xludf.DUMMYFUNCTION("""COMPUTED_VALUE"""),2267.417)</f>
        <v>2267.4169999999999</v>
      </c>
      <c r="G74">
        <f ca="1">IFERROR(__xludf.DUMMYFUNCTION("""COMPUTED_VALUE"""),48)</f>
        <v>48</v>
      </c>
      <c r="H74" t="str">
        <f ca="1">IFERROR(__xludf.DUMMYFUNCTION("""COMPUTED_VALUE"""),"E")</f>
        <v>E</v>
      </c>
    </row>
    <row r="75" spans="1:8" ht="12.75">
      <c r="A75" t="str">
        <f ca="1">IFERROR(__xludf.DUMMYFUNCTION("""COMPUTED_VALUE"""),"T73")</f>
        <v>T73</v>
      </c>
      <c r="B75">
        <f ca="1">IFERROR(__xludf.DUMMYFUNCTION("""COMPUTED_VALUE"""),79)</f>
        <v>79</v>
      </c>
      <c r="C75" t="str">
        <f ca="1">IFERROR(__xludf.DUMMYFUNCTION("""COMPUTED_VALUE"""),"Rory McIlroy")</f>
        <v>Rory McIlroy</v>
      </c>
      <c r="D75">
        <f ca="1">IFERROR(__xludf.DUMMYFUNCTION("""COMPUTED_VALUE"""),12)</f>
        <v>12</v>
      </c>
      <c r="E75" t="str">
        <f ca="1">IFERROR(__xludf.DUMMYFUNCTION("""COMPUTED_VALUE"""),"47' 3""")</f>
        <v>47' 3"</v>
      </c>
      <c r="F75" s="2">
        <f ca="1">IFERROR(__xludf.DUMMYFUNCTION("""COMPUTED_VALUE"""),1984.167)</f>
        <v>1984.1669999999999</v>
      </c>
      <c r="G75">
        <f ca="1">IFERROR(__xludf.DUMMYFUNCTION("""COMPUTED_VALUE"""),42)</f>
        <v>42</v>
      </c>
      <c r="H75">
        <f ca="1">IFERROR(__xludf.DUMMYFUNCTION("""COMPUTED_VALUE"""),-11)</f>
        <v>-11</v>
      </c>
    </row>
    <row r="76" spans="1:8" ht="12.75">
      <c r="A76" t="str">
        <f ca="1">IFERROR(__xludf.DUMMYFUNCTION("""COMPUTED_VALUE"""),"T75")</f>
        <v>T75</v>
      </c>
      <c r="B76" t="str">
        <f ca="1">IFERROR(__xludf.DUMMYFUNCTION("""COMPUTED_VALUE"""),"T80")</f>
        <v>T80</v>
      </c>
      <c r="C76" t="str">
        <f ca="1">IFERROR(__xludf.DUMMYFUNCTION("""COMPUTED_VALUE"""),"Collin Morikawa")</f>
        <v>Collin Morikawa</v>
      </c>
      <c r="D76">
        <f ca="1">IFERROR(__xludf.DUMMYFUNCTION("""COMPUTED_VALUE"""),12)</f>
        <v>12</v>
      </c>
      <c r="E76" t="str">
        <f ca="1">IFERROR(__xludf.DUMMYFUNCTION("""COMPUTED_VALUE"""),"47' 4""")</f>
        <v>47' 4"</v>
      </c>
      <c r="F76" s="2">
        <f ca="1">IFERROR(__xludf.DUMMYFUNCTION("""COMPUTED_VALUE"""),2510.333)</f>
        <v>2510.3330000000001</v>
      </c>
      <c r="G76">
        <f ca="1">IFERROR(__xludf.DUMMYFUNCTION("""COMPUTED_VALUE"""),53)</f>
        <v>53</v>
      </c>
      <c r="H76">
        <f ca="1">IFERROR(__xludf.DUMMYFUNCTION("""COMPUTED_VALUE"""),-16)</f>
        <v>-16</v>
      </c>
    </row>
    <row r="77" spans="1:8" ht="12.75">
      <c r="A77" t="str">
        <f ca="1">IFERROR(__xludf.DUMMYFUNCTION("""COMPUTED_VALUE"""),"T75")</f>
        <v>T75</v>
      </c>
      <c r="B77">
        <f ca="1">IFERROR(__xludf.DUMMYFUNCTION("""COMPUTED_VALUE"""),37)</f>
        <v>37</v>
      </c>
      <c r="C77" t="str">
        <f ca="1">IFERROR(__xludf.DUMMYFUNCTION("""COMPUTED_VALUE"""),"James Hahn")</f>
        <v>James Hahn</v>
      </c>
      <c r="D77">
        <f ca="1">IFERROR(__xludf.DUMMYFUNCTION("""COMPUTED_VALUE"""),16)</f>
        <v>16</v>
      </c>
      <c r="E77" t="str">
        <f ca="1">IFERROR(__xludf.DUMMYFUNCTION("""COMPUTED_VALUE"""),"47' 4""")</f>
        <v>47' 4"</v>
      </c>
      <c r="F77" s="2">
        <f ca="1">IFERROR(__xludf.DUMMYFUNCTION("""COMPUTED_VALUE"""),1989.583)</f>
        <v>1989.5830000000001</v>
      </c>
      <c r="G77">
        <f ca="1">IFERROR(__xludf.DUMMYFUNCTION("""COMPUTED_VALUE"""),42)</f>
        <v>42</v>
      </c>
      <c r="H77">
        <f ca="1">IFERROR(__xludf.DUMMYFUNCTION("""COMPUTED_VALUE"""),-9)</f>
        <v>-9</v>
      </c>
    </row>
    <row r="78" spans="1:8" ht="12.75">
      <c r="A78" t="str">
        <f ca="1">IFERROR(__xludf.DUMMYFUNCTION("""COMPUTED_VALUE"""),"T75")</f>
        <v>T75</v>
      </c>
      <c r="B78" t="str">
        <f ca="1">IFERROR(__xludf.DUMMYFUNCTION("""COMPUTED_VALUE"""),"T80")</f>
        <v>T80</v>
      </c>
      <c r="C78" t="str">
        <f ca="1">IFERROR(__xludf.DUMMYFUNCTION("""COMPUTED_VALUE"""),"Bud Cauley")</f>
        <v>Bud Cauley</v>
      </c>
      <c r="D78">
        <f ca="1">IFERROR(__xludf.DUMMYFUNCTION("""COMPUTED_VALUE"""),4)</f>
        <v>4</v>
      </c>
      <c r="E78" t="str">
        <f ca="1">IFERROR(__xludf.DUMMYFUNCTION("""COMPUTED_VALUE"""),"47' 4""")</f>
        <v>47' 4"</v>
      </c>
      <c r="F78">
        <f ca="1">IFERROR(__xludf.DUMMYFUNCTION("""COMPUTED_VALUE"""),710.5)</f>
        <v>710.5</v>
      </c>
      <c r="G78">
        <f ca="1">IFERROR(__xludf.DUMMYFUNCTION("""COMPUTED_VALUE"""),15)</f>
        <v>15</v>
      </c>
      <c r="H78">
        <f ca="1">IFERROR(__xludf.DUMMYFUNCTION("""COMPUTED_VALUE"""),-8)</f>
        <v>-8</v>
      </c>
    </row>
    <row r="79" spans="1:8" ht="12.75">
      <c r="A79">
        <f ca="1">IFERROR(__xludf.DUMMYFUNCTION("""COMPUTED_VALUE"""),78)</f>
        <v>78</v>
      </c>
      <c r="B79" t="str">
        <f ca="1">IFERROR(__xludf.DUMMYFUNCTION("""COMPUTED_VALUE"""),"T52")</f>
        <v>T52</v>
      </c>
      <c r="C79" t="str">
        <f ca="1">IFERROR(__xludf.DUMMYFUNCTION("""COMPUTED_VALUE"""),"Isaiah Salinda")</f>
        <v>Isaiah Salinda</v>
      </c>
      <c r="D79">
        <f ca="1">IFERROR(__xludf.DUMMYFUNCTION("""COMPUTED_VALUE"""),8)</f>
        <v>8</v>
      </c>
      <c r="E79" t="str">
        <f ca="1">IFERROR(__xludf.DUMMYFUNCTION("""COMPUTED_VALUE"""),"47' 5""")</f>
        <v>47' 5"</v>
      </c>
      <c r="F79" s="2">
        <f ca="1">IFERROR(__xludf.DUMMYFUNCTION("""COMPUTED_VALUE"""),1043.5)</f>
        <v>1043.5</v>
      </c>
      <c r="G79">
        <f ca="1">IFERROR(__xludf.DUMMYFUNCTION("""COMPUTED_VALUE"""),22)</f>
        <v>22</v>
      </c>
      <c r="H79">
        <f ca="1">IFERROR(__xludf.DUMMYFUNCTION("""COMPUTED_VALUE"""),-8)</f>
        <v>-8</v>
      </c>
    </row>
    <row r="80" spans="1:8" ht="12.75">
      <c r="A80">
        <f ca="1">IFERROR(__xludf.DUMMYFUNCTION("""COMPUTED_VALUE"""),79)</f>
        <v>79</v>
      </c>
      <c r="B80">
        <f ca="1">IFERROR(__xludf.DUMMYFUNCTION("""COMPUTED_VALUE"""),23)</f>
        <v>23</v>
      </c>
      <c r="C80" t="str">
        <f ca="1">IFERROR(__xludf.DUMMYFUNCTION("""COMPUTED_VALUE"""),"Grayson Murray")</f>
        <v>Grayson Murray</v>
      </c>
      <c r="D80">
        <f ca="1">IFERROR(__xludf.DUMMYFUNCTION("""COMPUTED_VALUE"""),10)</f>
        <v>10</v>
      </c>
      <c r="E80" t="str">
        <f ca="1">IFERROR(__xludf.DUMMYFUNCTION("""COMPUTED_VALUE"""),"47' 6""")</f>
        <v>47' 6"</v>
      </c>
      <c r="F80" s="2">
        <f ca="1">IFERROR(__xludf.DUMMYFUNCTION("""COMPUTED_VALUE"""),1378.083)</f>
        <v>1378.0830000000001</v>
      </c>
      <c r="G80">
        <f ca="1">IFERROR(__xludf.DUMMYFUNCTION("""COMPUTED_VALUE"""),29)</f>
        <v>29</v>
      </c>
      <c r="H80">
        <f ca="1">IFERROR(__xludf.DUMMYFUNCTION("""COMPUTED_VALUE"""),-9)</f>
        <v>-9</v>
      </c>
    </row>
    <row r="81" spans="1:8" ht="12.75">
      <c r="A81" t="str">
        <f ca="1">IFERROR(__xludf.DUMMYFUNCTION("""COMPUTED_VALUE"""),"T80")</f>
        <v>T80</v>
      </c>
      <c r="B81" t="str">
        <f ca="1">IFERROR(__xludf.DUMMYFUNCTION("""COMPUTED_VALUE"""),"T83")</f>
        <v>T83</v>
      </c>
      <c r="C81" t="str">
        <f ca="1">IFERROR(__xludf.DUMMYFUNCTION("""COMPUTED_VALUE"""),"Byeong Hun An")</f>
        <v>Byeong Hun An</v>
      </c>
      <c r="D81">
        <f ca="1">IFERROR(__xludf.DUMMYFUNCTION("""COMPUTED_VALUE"""),14)</f>
        <v>14</v>
      </c>
      <c r="E81" t="str">
        <f ca="1">IFERROR(__xludf.DUMMYFUNCTION("""COMPUTED_VALUE"""),"47' 8""")</f>
        <v>47' 8"</v>
      </c>
      <c r="F81" s="2">
        <f ca="1">IFERROR(__xludf.DUMMYFUNCTION("""COMPUTED_VALUE"""),2429.667)</f>
        <v>2429.6669999999999</v>
      </c>
      <c r="G81">
        <f ca="1">IFERROR(__xludf.DUMMYFUNCTION("""COMPUTED_VALUE"""),51)</f>
        <v>51</v>
      </c>
      <c r="H81">
        <f ca="1">IFERROR(__xludf.DUMMYFUNCTION("""COMPUTED_VALUE"""),-5)</f>
        <v>-5</v>
      </c>
    </row>
    <row r="82" spans="1:8" ht="12.75">
      <c r="A82" t="str">
        <f ca="1">IFERROR(__xludf.DUMMYFUNCTION("""COMPUTED_VALUE"""),"T80")</f>
        <v>T80</v>
      </c>
      <c r="B82" t="str">
        <f ca="1">IFERROR(__xludf.DUMMYFUNCTION("""COMPUTED_VALUE"""),"T83")</f>
        <v>T83</v>
      </c>
      <c r="C82" t="str">
        <f ca="1">IFERROR(__xludf.DUMMYFUNCTION("""COMPUTED_VALUE"""),"K.J. Choi")</f>
        <v>K.J. Choi</v>
      </c>
      <c r="D82">
        <f ca="1">IFERROR(__xludf.DUMMYFUNCTION("""COMPUTED_VALUE"""),6)</f>
        <v>6</v>
      </c>
      <c r="E82" t="str">
        <f ca="1">IFERROR(__xludf.DUMMYFUNCTION("""COMPUTED_VALUE"""),"47' 8""")</f>
        <v>47' 8"</v>
      </c>
      <c r="F82">
        <f ca="1">IFERROR(__xludf.DUMMYFUNCTION("""COMPUTED_VALUE"""),571.667)</f>
        <v>571.66700000000003</v>
      </c>
      <c r="G82">
        <f ca="1">IFERROR(__xludf.DUMMYFUNCTION("""COMPUTED_VALUE"""),12)</f>
        <v>12</v>
      </c>
      <c r="H82" t="str">
        <f ca="1">IFERROR(__xludf.DUMMYFUNCTION("""COMPUTED_VALUE"""),"+1")</f>
        <v>+1</v>
      </c>
    </row>
    <row r="83" spans="1:8" ht="12.75">
      <c r="A83" t="str">
        <f ca="1">IFERROR(__xludf.DUMMYFUNCTION("""COMPUTED_VALUE"""),"T82")</f>
        <v>T82</v>
      </c>
      <c r="B83" t="str">
        <f ca="1">IFERROR(__xludf.DUMMYFUNCTION("""COMPUTED_VALUE"""),"T87")</f>
        <v>T87</v>
      </c>
      <c r="C83" t="str">
        <f ca="1">IFERROR(__xludf.DUMMYFUNCTION("""COMPUTED_VALUE"""),"John Senden")</f>
        <v>John Senden</v>
      </c>
      <c r="D83">
        <f ca="1">IFERROR(__xludf.DUMMYFUNCTION("""COMPUTED_VALUE"""),8)</f>
        <v>8</v>
      </c>
      <c r="E83" t="str">
        <f ca="1">IFERROR(__xludf.DUMMYFUNCTION("""COMPUTED_VALUE"""),"48' 2""")</f>
        <v>48' 2"</v>
      </c>
      <c r="F83">
        <f ca="1">IFERROR(__xludf.DUMMYFUNCTION("""COMPUTED_VALUE"""),289.167)</f>
        <v>289.16699999999997</v>
      </c>
      <c r="G83">
        <f ca="1">IFERROR(__xludf.DUMMYFUNCTION("""COMPUTED_VALUE"""),6)</f>
        <v>6</v>
      </c>
      <c r="H83" t="str">
        <f ca="1">IFERROR(__xludf.DUMMYFUNCTION("""COMPUTED_VALUE"""),"E")</f>
        <v>E</v>
      </c>
    </row>
    <row r="84" spans="1:8" ht="12.75">
      <c r="A84" t="str">
        <f ca="1">IFERROR(__xludf.DUMMYFUNCTION("""COMPUTED_VALUE"""),"T82")</f>
        <v>T82</v>
      </c>
      <c r="B84" t="str">
        <f ca="1">IFERROR(__xludf.DUMMYFUNCTION("""COMPUTED_VALUE"""),"T87")</f>
        <v>T87</v>
      </c>
      <c r="C84" t="str">
        <f ca="1">IFERROR(__xludf.DUMMYFUNCTION("""COMPUTED_VALUE"""),"Chris Baker")</f>
        <v>Chris Baker</v>
      </c>
      <c r="D84">
        <f ca="1">IFERROR(__xludf.DUMMYFUNCTION("""COMPUTED_VALUE"""),8)</f>
        <v>8</v>
      </c>
      <c r="E84" t="str">
        <f ca="1">IFERROR(__xludf.DUMMYFUNCTION("""COMPUTED_VALUE"""),"48' 2""")</f>
        <v>48' 2"</v>
      </c>
      <c r="F84">
        <f ca="1">IFERROR(__xludf.DUMMYFUNCTION("""COMPUTED_VALUE"""),722.25)</f>
        <v>722.25</v>
      </c>
      <c r="G84">
        <f ca="1">IFERROR(__xludf.DUMMYFUNCTION("""COMPUTED_VALUE"""),15)</f>
        <v>15</v>
      </c>
      <c r="H84" t="str">
        <f ca="1">IFERROR(__xludf.DUMMYFUNCTION("""COMPUTED_VALUE"""),"E")</f>
        <v>E</v>
      </c>
    </row>
    <row r="85" spans="1:8" ht="12.75">
      <c r="A85" t="str">
        <f ca="1">IFERROR(__xludf.DUMMYFUNCTION("""COMPUTED_VALUE"""),"T82")</f>
        <v>T82</v>
      </c>
      <c r="B85" t="str">
        <f ca="1">IFERROR(__xludf.DUMMYFUNCTION("""COMPUTED_VALUE"""),"T87")</f>
        <v>T87</v>
      </c>
      <c r="C85" t="str">
        <f ca="1">IFERROR(__xludf.DUMMYFUNCTION("""COMPUTED_VALUE"""),"Cameron Smith")</f>
        <v>Cameron Smith</v>
      </c>
      <c r="D85">
        <f ca="1">IFERROR(__xludf.DUMMYFUNCTION("""COMPUTED_VALUE"""),16)</f>
        <v>16</v>
      </c>
      <c r="E85" t="str">
        <f ca="1">IFERROR(__xludf.DUMMYFUNCTION("""COMPUTED_VALUE"""),"48' 2""")</f>
        <v>48' 2"</v>
      </c>
      <c r="F85" s="2">
        <f ca="1">IFERROR(__xludf.DUMMYFUNCTION("""COMPUTED_VALUE"""),2600)</f>
        <v>2600</v>
      </c>
      <c r="G85">
        <f ca="1">IFERROR(__xludf.DUMMYFUNCTION("""COMPUTED_VALUE"""),54)</f>
        <v>54</v>
      </c>
      <c r="H85">
        <f ca="1">IFERROR(__xludf.DUMMYFUNCTION("""COMPUTED_VALUE"""),-5)</f>
        <v>-5</v>
      </c>
    </row>
    <row r="86" spans="1:8" ht="12.75">
      <c r="A86" t="str">
        <f ca="1">IFERROR(__xludf.DUMMYFUNCTION("""COMPUTED_VALUE"""),"T85")</f>
        <v>T85</v>
      </c>
      <c r="B86" t="str">
        <f ca="1">IFERROR(__xludf.DUMMYFUNCTION("""COMPUTED_VALUE"""),"T73")</f>
        <v>T73</v>
      </c>
      <c r="C86" t="str">
        <f ca="1">IFERROR(__xludf.DUMMYFUNCTION("""COMPUTED_VALUE"""),"Shane Lowry")</f>
        <v>Shane Lowry</v>
      </c>
      <c r="D86">
        <f ca="1">IFERROR(__xludf.DUMMYFUNCTION("""COMPUTED_VALUE"""),14)</f>
        <v>14</v>
      </c>
      <c r="E86" t="str">
        <f ca="1">IFERROR(__xludf.DUMMYFUNCTION("""COMPUTED_VALUE"""),"48' 5""")</f>
        <v>48' 5"</v>
      </c>
      <c r="F86" s="2">
        <f ca="1">IFERROR(__xludf.DUMMYFUNCTION("""COMPUTED_VALUE"""),2323.417)</f>
        <v>2323.4169999999999</v>
      </c>
      <c r="G86">
        <f ca="1">IFERROR(__xludf.DUMMYFUNCTION("""COMPUTED_VALUE"""),48)</f>
        <v>48</v>
      </c>
      <c r="H86">
        <f ca="1">IFERROR(__xludf.DUMMYFUNCTION("""COMPUTED_VALUE"""),-6)</f>
        <v>-6</v>
      </c>
    </row>
    <row r="87" spans="1:8" ht="12.75">
      <c r="A87" t="str">
        <f ca="1">IFERROR(__xludf.DUMMYFUNCTION("""COMPUTED_VALUE"""),"T85")</f>
        <v>T85</v>
      </c>
      <c r="B87" t="str">
        <f ca="1">IFERROR(__xludf.DUMMYFUNCTION("""COMPUTED_VALUE"""),"")</f>
        <v/>
      </c>
      <c r="C87" t="str">
        <f ca="1">IFERROR(__xludf.DUMMYFUNCTION("""COMPUTED_VALUE"""),"Dawie van der Walt")</f>
        <v>Dawie van der Walt</v>
      </c>
      <c r="D87">
        <f ca="1">IFERROR(__xludf.DUMMYFUNCTION("""COMPUTED_VALUE"""),4)</f>
        <v>4</v>
      </c>
      <c r="E87" t="str">
        <f ca="1">IFERROR(__xludf.DUMMYFUNCTION("""COMPUTED_VALUE"""),"48' 5""")</f>
        <v>48' 5"</v>
      </c>
      <c r="F87">
        <f ca="1">IFERROR(__xludf.DUMMYFUNCTION("""COMPUTED_VALUE"""),338.667)</f>
        <v>338.66699999999997</v>
      </c>
      <c r="G87">
        <f ca="1">IFERROR(__xludf.DUMMYFUNCTION("""COMPUTED_VALUE"""),7)</f>
        <v>7</v>
      </c>
      <c r="H87" t="str">
        <f ca="1">IFERROR(__xludf.DUMMYFUNCTION("""COMPUTED_VALUE"""),"+1")</f>
        <v>+1</v>
      </c>
    </row>
    <row r="88" spans="1:8" ht="12.75">
      <c r="A88">
        <f ca="1">IFERROR(__xludf.DUMMYFUNCTION("""COMPUTED_VALUE"""),87)</f>
        <v>87</v>
      </c>
      <c r="B88" t="str">
        <f ca="1">IFERROR(__xludf.DUMMYFUNCTION("""COMPUTED_VALUE"""),"T35")</f>
        <v>T35</v>
      </c>
      <c r="C88" t="str">
        <f ca="1">IFERROR(__xludf.DUMMYFUNCTION("""COMPUTED_VALUE"""),"Vaughn Taylor")</f>
        <v>Vaughn Taylor</v>
      </c>
      <c r="D88">
        <f ca="1">IFERROR(__xludf.DUMMYFUNCTION("""COMPUTED_VALUE"""),12)</f>
        <v>12</v>
      </c>
      <c r="E88" t="str">
        <f ca="1">IFERROR(__xludf.DUMMYFUNCTION("""COMPUTED_VALUE"""),"48' 6""")</f>
        <v>48' 6"</v>
      </c>
      <c r="F88">
        <f ca="1">IFERROR(__xludf.DUMMYFUNCTION("""COMPUTED_VALUE"""),824.833)</f>
        <v>824.83299999999997</v>
      </c>
      <c r="G88">
        <f ca="1">IFERROR(__xludf.DUMMYFUNCTION("""COMPUTED_VALUE"""),17)</f>
        <v>17</v>
      </c>
      <c r="H88">
        <f ca="1">IFERROR(__xludf.DUMMYFUNCTION("""COMPUTED_VALUE"""),-3)</f>
        <v>-3</v>
      </c>
    </row>
    <row r="89" spans="1:8" ht="12.75">
      <c r="A89" t="str">
        <f ca="1">IFERROR(__xludf.DUMMYFUNCTION("""COMPUTED_VALUE"""),"T88")</f>
        <v>T88</v>
      </c>
      <c r="B89" t="str">
        <f ca="1">IFERROR(__xludf.DUMMYFUNCTION("""COMPUTED_VALUE"""),"T21")</f>
        <v>T21</v>
      </c>
      <c r="C89" t="str">
        <f ca="1">IFERROR(__xludf.DUMMYFUNCTION("""COMPUTED_VALUE"""),"Ryan Armour")</f>
        <v>Ryan Armour</v>
      </c>
      <c r="D89">
        <f ca="1">IFERROR(__xludf.DUMMYFUNCTION("""COMPUTED_VALUE"""),16)</f>
        <v>16</v>
      </c>
      <c r="E89" t="str">
        <f ca="1">IFERROR(__xludf.DUMMYFUNCTION("""COMPUTED_VALUE"""),"48' 7""")</f>
        <v>48' 7"</v>
      </c>
      <c r="F89" s="2">
        <f ca="1">IFERROR(__xludf.DUMMYFUNCTION("""COMPUTED_VALUE"""),1214.083)</f>
        <v>1214.0830000000001</v>
      </c>
      <c r="G89">
        <f ca="1">IFERROR(__xludf.DUMMYFUNCTION("""COMPUTED_VALUE"""),25)</f>
        <v>25</v>
      </c>
      <c r="H89" t="str">
        <f ca="1">IFERROR(__xludf.DUMMYFUNCTION("""COMPUTED_VALUE"""),"+4")</f>
        <v>+4</v>
      </c>
    </row>
    <row r="90" spans="1:8" ht="12.75">
      <c r="A90" t="str">
        <f ca="1">IFERROR(__xludf.DUMMYFUNCTION("""COMPUTED_VALUE"""),"T88")</f>
        <v>T88</v>
      </c>
      <c r="B90">
        <f ca="1">IFERROR(__xludf.DUMMYFUNCTION("""COMPUTED_VALUE"""),85)</f>
        <v>85</v>
      </c>
      <c r="C90" t="str">
        <f ca="1">IFERROR(__xludf.DUMMYFUNCTION("""COMPUTED_VALUE"""),"Cameron Davis")</f>
        <v>Cameron Davis</v>
      </c>
      <c r="D90">
        <f ca="1">IFERROR(__xludf.DUMMYFUNCTION("""COMPUTED_VALUE"""),16)</f>
        <v>16</v>
      </c>
      <c r="E90" t="str">
        <f ca="1">IFERROR(__xludf.DUMMYFUNCTION("""COMPUTED_VALUE"""),"48' 7""")</f>
        <v>48' 7"</v>
      </c>
      <c r="F90" s="2">
        <f ca="1">IFERROR(__xludf.DUMMYFUNCTION("""COMPUTED_VALUE"""),2185.417)</f>
        <v>2185.4169999999999</v>
      </c>
      <c r="G90">
        <f ca="1">IFERROR(__xludf.DUMMYFUNCTION("""COMPUTED_VALUE"""),45)</f>
        <v>45</v>
      </c>
      <c r="H90">
        <f ca="1">IFERROR(__xludf.DUMMYFUNCTION("""COMPUTED_VALUE"""),-12)</f>
        <v>-12</v>
      </c>
    </row>
    <row r="91" spans="1:8" ht="12.75">
      <c r="A91" t="str">
        <f ca="1">IFERROR(__xludf.DUMMYFUNCTION("""COMPUTED_VALUE"""),"T90")</f>
        <v>T90</v>
      </c>
      <c r="B91" t="str">
        <f ca="1">IFERROR(__xludf.DUMMYFUNCTION("""COMPUTED_VALUE"""),"T94")</f>
        <v>T94</v>
      </c>
      <c r="C91" t="str">
        <f ca="1">IFERROR(__xludf.DUMMYFUNCTION("""COMPUTED_VALUE"""),"Jon Rahm")</f>
        <v>Jon Rahm</v>
      </c>
      <c r="D91">
        <f ca="1">IFERROR(__xludf.DUMMYFUNCTION("""COMPUTED_VALUE"""),12)</f>
        <v>12</v>
      </c>
      <c r="E91" t="str">
        <f ca="1">IFERROR(__xludf.DUMMYFUNCTION("""COMPUTED_VALUE"""),"48' 8""")</f>
        <v>48' 8"</v>
      </c>
      <c r="F91" s="2">
        <f ca="1">IFERROR(__xludf.DUMMYFUNCTION("""COMPUTED_VALUE"""),2094.333)</f>
        <v>2094.3330000000001</v>
      </c>
      <c r="G91">
        <f ca="1">IFERROR(__xludf.DUMMYFUNCTION("""COMPUTED_VALUE"""),43)</f>
        <v>43</v>
      </c>
      <c r="H91">
        <f ca="1">IFERROR(__xludf.DUMMYFUNCTION("""COMPUTED_VALUE"""),-5)</f>
        <v>-5</v>
      </c>
    </row>
    <row r="92" spans="1:8" ht="12.75">
      <c r="A92" t="str">
        <f ca="1">IFERROR(__xludf.DUMMYFUNCTION("""COMPUTED_VALUE"""),"T90")</f>
        <v>T90</v>
      </c>
      <c r="B92" t="str">
        <f ca="1">IFERROR(__xludf.DUMMYFUNCTION("""COMPUTED_VALUE"""),"T76")</f>
        <v>T76</v>
      </c>
      <c r="C92" t="str">
        <f ca="1">IFERROR(__xludf.DUMMYFUNCTION("""COMPUTED_VALUE"""),"Sungjae Im")</f>
        <v>Sungjae Im</v>
      </c>
      <c r="D92">
        <f ca="1">IFERROR(__xludf.DUMMYFUNCTION("""COMPUTED_VALUE"""),24)</f>
        <v>24</v>
      </c>
      <c r="E92" t="str">
        <f ca="1">IFERROR(__xludf.DUMMYFUNCTION("""COMPUTED_VALUE"""),"48' 8""")</f>
        <v>48' 8"</v>
      </c>
      <c r="F92" s="2">
        <f ca="1">IFERROR(__xludf.DUMMYFUNCTION("""COMPUTED_VALUE"""),4474)</f>
        <v>4474</v>
      </c>
      <c r="G92">
        <f ca="1">IFERROR(__xludf.DUMMYFUNCTION("""COMPUTED_VALUE"""),92)</f>
        <v>92</v>
      </c>
      <c r="H92">
        <f ca="1">IFERROR(__xludf.DUMMYFUNCTION("""COMPUTED_VALUE"""),-27)</f>
        <v>-27</v>
      </c>
    </row>
    <row r="93" spans="1:8" ht="12.75">
      <c r="A93" t="str">
        <f ca="1">IFERROR(__xludf.DUMMYFUNCTION("""COMPUTED_VALUE"""),"T90")</f>
        <v>T90</v>
      </c>
      <c r="B93" t="str">
        <f ca="1">IFERROR(__xludf.DUMMYFUNCTION("""COMPUTED_VALUE"""),"T94")</f>
        <v>T94</v>
      </c>
      <c r="C93" t="str">
        <f ca="1">IFERROR(__xludf.DUMMYFUNCTION("""COMPUTED_VALUE"""),"Kevin Na")</f>
        <v>Kevin Na</v>
      </c>
      <c r="D93">
        <f ca="1">IFERROR(__xludf.DUMMYFUNCTION("""COMPUTED_VALUE"""),14)</f>
        <v>14</v>
      </c>
      <c r="E93" t="str">
        <f ca="1">IFERROR(__xludf.DUMMYFUNCTION("""COMPUTED_VALUE"""),"48' 8""")</f>
        <v>48' 8"</v>
      </c>
      <c r="F93" s="2">
        <f ca="1">IFERROR(__xludf.DUMMYFUNCTION("""COMPUTED_VALUE"""),2919.25)</f>
        <v>2919.25</v>
      </c>
      <c r="G93">
        <f ca="1">IFERROR(__xludf.DUMMYFUNCTION("""COMPUTED_VALUE"""),60)</f>
        <v>60</v>
      </c>
      <c r="H93">
        <f ca="1">IFERROR(__xludf.DUMMYFUNCTION("""COMPUTED_VALUE"""),-13)</f>
        <v>-13</v>
      </c>
    </row>
    <row r="94" spans="1:8" ht="12.75">
      <c r="A94" t="str">
        <f ca="1">IFERROR(__xludf.DUMMYFUNCTION("""COMPUTED_VALUE"""),"T90")</f>
        <v>T90</v>
      </c>
      <c r="B94">
        <f ca="1">IFERROR(__xludf.DUMMYFUNCTION("""COMPUTED_VALUE"""),108)</f>
        <v>108</v>
      </c>
      <c r="C94" t="str">
        <f ca="1">IFERROR(__xludf.DUMMYFUNCTION("""COMPUTED_VALUE"""),"Scott Piercy")</f>
        <v>Scott Piercy</v>
      </c>
      <c r="D94">
        <f ca="1">IFERROR(__xludf.DUMMYFUNCTION("""COMPUTED_VALUE"""),18)</f>
        <v>18</v>
      </c>
      <c r="E94" t="str">
        <f ca="1">IFERROR(__xludf.DUMMYFUNCTION("""COMPUTED_VALUE"""),"48' 8""")</f>
        <v>48' 8"</v>
      </c>
      <c r="F94" s="2">
        <f ca="1">IFERROR(__xludf.DUMMYFUNCTION("""COMPUTED_VALUE"""),2336.583)</f>
        <v>2336.5830000000001</v>
      </c>
      <c r="G94">
        <f ca="1">IFERROR(__xludf.DUMMYFUNCTION("""COMPUTED_VALUE"""),48)</f>
        <v>48</v>
      </c>
      <c r="H94">
        <f ca="1">IFERROR(__xludf.DUMMYFUNCTION("""COMPUTED_VALUE"""),-8)</f>
        <v>-8</v>
      </c>
    </row>
    <row r="95" spans="1:8" ht="12.75">
      <c r="A95" t="str">
        <f ca="1">IFERROR(__xludf.DUMMYFUNCTION("""COMPUTED_VALUE"""),"T90")</f>
        <v>T90</v>
      </c>
      <c r="B95" t="str">
        <f ca="1">IFERROR(__xludf.DUMMYFUNCTION("""COMPUTED_VALUE"""),"T147")</f>
        <v>T147</v>
      </c>
      <c r="C95" t="str">
        <f ca="1">IFERROR(__xludf.DUMMYFUNCTION("""COMPUTED_VALUE"""),"Camilo Villegas")</f>
        <v>Camilo Villegas</v>
      </c>
      <c r="D95">
        <f ca="1">IFERROR(__xludf.DUMMYFUNCTION("""COMPUTED_VALUE"""),14)</f>
        <v>14</v>
      </c>
      <c r="E95" t="str">
        <f ca="1">IFERROR(__xludf.DUMMYFUNCTION("""COMPUTED_VALUE"""),"48' 8""")</f>
        <v>48' 8"</v>
      </c>
      <c r="F95" s="2">
        <f ca="1">IFERROR(__xludf.DUMMYFUNCTION("""COMPUTED_VALUE"""),1509.167)</f>
        <v>1509.1669999999999</v>
      </c>
      <c r="G95">
        <f ca="1">IFERROR(__xludf.DUMMYFUNCTION("""COMPUTED_VALUE"""),31)</f>
        <v>31</v>
      </c>
      <c r="H95">
        <f ca="1">IFERROR(__xludf.DUMMYFUNCTION("""COMPUTED_VALUE"""),-8)</f>
        <v>-8</v>
      </c>
    </row>
    <row r="96" spans="1:8" ht="12.75">
      <c r="A96" t="str">
        <f ca="1">IFERROR(__xludf.DUMMYFUNCTION("""COMPUTED_VALUE"""),"T95")</f>
        <v>T95</v>
      </c>
      <c r="B96" t="str">
        <f ca="1">IFERROR(__xludf.DUMMYFUNCTION("""COMPUTED_VALUE"""),"T97")</f>
        <v>T97</v>
      </c>
      <c r="C96" t="str">
        <f ca="1">IFERROR(__xludf.DUMMYFUNCTION("""COMPUTED_VALUE"""),"Sahith Theegala")</f>
        <v>Sahith Theegala</v>
      </c>
      <c r="D96">
        <f ca="1">IFERROR(__xludf.DUMMYFUNCTION("""COMPUTED_VALUE"""),6)</f>
        <v>6</v>
      </c>
      <c r="E96" t="str">
        <f ca="1">IFERROR(__xludf.DUMMYFUNCTION("""COMPUTED_VALUE"""),"48' 9""")</f>
        <v>48' 9"</v>
      </c>
      <c r="F96">
        <f ca="1">IFERROR(__xludf.DUMMYFUNCTION("""COMPUTED_VALUE"""),876.833)</f>
        <v>876.83299999999997</v>
      </c>
      <c r="G96">
        <f ca="1">IFERROR(__xludf.DUMMYFUNCTION("""COMPUTED_VALUE"""),18)</f>
        <v>18</v>
      </c>
      <c r="H96">
        <f ca="1">IFERROR(__xludf.DUMMYFUNCTION("""COMPUTED_VALUE"""),-6)</f>
        <v>-6</v>
      </c>
    </row>
    <row r="97" spans="1:8" ht="12.75">
      <c r="A97" t="str">
        <f ca="1">IFERROR(__xludf.DUMMYFUNCTION("""COMPUTED_VALUE"""),"T95")</f>
        <v>T95</v>
      </c>
      <c r="B97" t="str">
        <f ca="1">IFERROR(__xludf.DUMMYFUNCTION("""COMPUTED_VALUE"""),"T109")</f>
        <v>T109</v>
      </c>
      <c r="C97" t="str">
        <f ca="1">IFERROR(__xludf.DUMMYFUNCTION("""COMPUTED_VALUE"""),"Brian Harman")</f>
        <v>Brian Harman</v>
      </c>
      <c r="D97">
        <f ca="1">IFERROR(__xludf.DUMMYFUNCTION("""COMPUTED_VALUE"""),24)</f>
        <v>24</v>
      </c>
      <c r="E97" t="str">
        <f ca="1">IFERROR(__xludf.DUMMYFUNCTION("""COMPUTED_VALUE"""),"48' 9""")</f>
        <v>48' 9"</v>
      </c>
      <c r="F97" s="2">
        <f ca="1">IFERROR(__xludf.DUMMYFUNCTION("""COMPUTED_VALUE"""),4045.25)</f>
        <v>4045.25</v>
      </c>
      <c r="G97">
        <f ca="1">IFERROR(__xludf.DUMMYFUNCTION("""COMPUTED_VALUE"""),83)</f>
        <v>83</v>
      </c>
      <c r="H97">
        <f ca="1">IFERROR(__xludf.DUMMYFUNCTION("""COMPUTED_VALUE"""),-18)</f>
        <v>-18</v>
      </c>
    </row>
    <row r="98" spans="1:8" ht="12.75">
      <c r="A98">
        <f ca="1">IFERROR(__xludf.DUMMYFUNCTION("""COMPUTED_VALUE"""),97)</f>
        <v>97</v>
      </c>
      <c r="B98">
        <f ca="1">IFERROR(__xludf.DUMMYFUNCTION("""COMPUTED_VALUE"""),99)</f>
        <v>99</v>
      </c>
      <c r="C98" t="str">
        <f ca="1">IFERROR(__xludf.DUMMYFUNCTION("""COMPUTED_VALUE"""),"Harry Higgs")</f>
        <v>Harry Higgs</v>
      </c>
      <c r="D98">
        <f ca="1">IFERROR(__xludf.DUMMYFUNCTION("""COMPUTED_VALUE"""),14)</f>
        <v>14</v>
      </c>
      <c r="E98" t="str">
        <f ca="1">IFERROR(__xludf.DUMMYFUNCTION("""COMPUTED_VALUE"""),"48' 10""")</f>
        <v>48' 10"</v>
      </c>
      <c r="F98" s="2">
        <f ca="1">IFERROR(__xludf.DUMMYFUNCTION("""COMPUTED_VALUE"""),2149.083)</f>
        <v>2149.0830000000001</v>
      </c>
      <c r="G98">
        <f ca="1">IFERROR(__xludf.DUMMYFUNCTION("""COMPUTED_VALUE"""),44)</f>
        <v>44</v>
      </c>
      <c r="H98">
        <f ca="1">IFERROR(__xludf.DUMMYFUNCTION("""COMPUTED_VALUE"""),-13)</f>
        <v>-13</v>
      </c>
    </row>
    <row r="99" spans="1:8" ht="12.75">
      <c r="A99" t="str">
        <f ca="1">IFERROR(__xludf.DUMMYFUNCTION("""COMPUTED_VALUE"""),"T98")</f>
        <v>T98</v>
      </c>
      <c r="B99" t="str">
        <f ca="1">IFERROR(__xludf.DUMMYFUNCTION("""COMPUTED_VALUE"""),"T87")</f>
        <v>T87</v>
      </c>
      <c r="C99" t="str">
        <f ca="1">IFERROR(__xludf.DUMMYFUNCTION("""COMPUTED_VALUE"""),"Keegan Bradley")</f>
        <v>Keegan Bradley</v>
      </c>
      <c r="D99">
        <f ca="1">IFERROR(__xludf.DUMMYFUNCTION("""COMPUTED_VALUE"""),16)</f>
        <v>16</v>
      </c>
      <c r="E99" t="str">
        <f ca="1">IFERROR(__xludf.DUMMYFUNCTION("""COMPUTED_VALUE"""),"48' 11""")</f>
        <v>48' 11"</v>
      </c>
      <c r="F99" s="2">
        <f ca="1">IFERROR(__xludf.DUMMYFUNCTION("""COMPUTED_VALUE"""),2886.917)</f>
        <v>2886.9169999999999</v>
      </c>
      <c r="G99">
        <f ca="1">IFERROR(__xludf.DUMMYFUNCTION("""COMPUTED_VALUE"""),59)</f>
        <v>59</v>
      </c>
      <c r="H99">
        <f ca="1">IFERROR(__xludf.DUMMYFUNCTION("""COMPUTED_VALUE"""),-15)</f>
        <v>-15</v>
      </c>
    </row>
    <row r="100" spans="1:8" ht="12.75">
      <c r="A100" t="str">
        <f ca="1">IFERROR(__xludf.DUMMYFUNCTION("""COMPUTED_VALUE"""),"T98")</f>
        <v>T98</v>
      </c>
      <c r="B100" t="str">
        <f ca="1">IFERROR(__xludf.DUMMYFUNCTION("""COMPUTED_VALUE"""),"T102")</f>
        <v>T102</v>
      </c>
      <c r="C100" t="str">
        <f ca="1">IFERROR(__xludf.DUMMYFUNCTION("""COMPUTED_VALUE"""),"Tom Hoge")</f>
        <v>Tom Hoge</v>
      </c>
      <c r="D100">
        <f ca="1">IFERROR(__xludf.DUMMYFUNCTION("""COMPUTED_VALUE"""),22)</f>
        <v>22</v>
      </c>
      <c r="E100" t="str">
        <f ca="1">IFERROR(__xludf.DUMMYFUNCTION("""COMPUTED_VALUE"""),"48' 11""")</f>
        <v>48' 11"</v>
      </c>
      <c r="F100" s="2">
        <f ca="1">IFERROR(__xludf.DUMMYFUNCTION("""COMPUTED_VALUE"""),3765.167)</f>
        <v>3765.1669999999999</v>
      </c>
      <c r="G100">
        <f ca="1">IFERROR(__xludf.DUMMYFUNCTION("""COMPUTED_VALUE"""),77)</f>
        <v>77</v>
      </c>
      <c r="H100">
        <f ca="1">IFERROR(__xludf.DUMMYFUNCTION("""COMPUTED_VALUE"""),-13)</f>
        <v>-13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IFERROR(__xludf.DUMMYFUNCTION("""COMPUTED_VALUE"""),"T109")</f>
        <v>T109</v>
      </c>
      <c r="C101" t="str">
        <f ca="1">IFERROR(__xludf.DUMMYFUNCTION("""COMPUTED_VALUE"""),"Sepp Straka")</f>
        <v>Sepp Straka</v>
      </c>
      <c r="D101">
        <f ca="1">IFERROR(__xludf.DUMMYFUNCTION("""COMPUTED_VALUE"""),22)</f>
        <v>22</v>
      </c>
      <c r="E101" t="str">
        <f ca="1">IFERROR(__xludf.DUMMYFUNCTION("""COMPUTED_VALUE"""),"49' 1""")</f>
        <v>49' 1"</v>
      </c>
      <c r="F101" s="2">
        <f ca="1">IFERROR(__xludf.DUMMYFUNCTION("""COMPUTED_VALUE"""),1817.417)</f>
        <v>1817.4169999999999</v>
      </c>
      <c r="G101">
        <f ca="1">IFERROR(__xludf.DUMMYFUNCTION("""COMPUTED_VALUE"""),37)</f>
        <v>37</v>
      </c>
      <c r="H101">
        <f ca="1">IFERROR(__xludf.DUMMYFUNCTION("""COMPUTED_VALUE"""),-9)</f>
        <v>-9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IFERROR(__xludf.DUMMYFUNCTION("""COMPUTED_VALUE"""),"T139")</f>
        <v>T139</v>
      </c>
      <c r="C102" t="str">
        <f ca="1">IFERROR(__xludf.DUMMYFUNCTION("""COMPUTED_VALUE"""),"Charley Hoffman")</f>
        <v>Charley Hoffman</v>
      </c>
      <c r="D102">
        <f ca="1">IFERROR(__xludf.DUMMYFUNCTION("""COMPUTED_VALUE"""),20)</f>
        <v>20</v>
      </c>
      <c r="E102" t="str">
        <f ca="1">IFERROR(__xludf.DUMMYFUNCTION("""COMPUTED_VALUE"""),"49' 1""")</f>
        <v>49' 1"</v>
      </c>
      <c r="F102" s="2">
        <f ca="1">IFERROR(__xludf.DUMMYFUNCTION("""COMPUTED_VALUE"""),1864)</f>
        <v>1864</v>
      </c>
      <c r="G102">
        <f ca="1">IFERROR(__xludf.DUMMYFUNCTION("""COMPUTED_VALUE"""),38)</f>
        <v>38</v>
      </c>
      <c r="H102">
        <f ca="1">IFERROR(__xludf.DUMMYFUNCTION("""COMPUTED_VALUE"""),-11)</f>
        <v>-11</v>
      </c>
    </row>
    <row r="103" spans="1:8" ht="12.75">
      <c r="A103">
        <f ca="1">IFERROR(__xludf.DUMMYFUNCTION("""COMPUTED_VALUE"""),102)</f>
        <v>102</v>
      </c>
      <c r="B103" t="str">
        <f ca="1">IFERROR(__xludf.DUMMYFUNCTION("""COMPUTED_VALUE"""),"T104")</f>
        <v>T104</v>
      </c>
      <c r="C103" t="str">
        <f ca="1">IFERROR(__xludf.DUMMYFUNCTION("""COMPUTED_VALUE"""),"Bryson DeChambeau")</f>
        <v>Bryson DeChambeau</v>
      </c>
      <c r="D103">
        <f ca="1">IFERROR(__xludf.DUMMYFUNCTION("""COMPUTED_VALUE"""),8)</f>
        <v>8</v>
      </c>
      <c r="E103" t="str">
        <f ca="1">IFERROR(__xludf.DUMMYFUNCTION("""COMPUTED_VALUE"""),"49' 3""")</f>
        <v>49' 3"</v>
      </c>
      <c r="F103" s="2">
        <f ca="1">IFERROR(__xludf.DUMMYFUNCTION("""COMPUTED_VALUE"""),1279.667)</f>
        <v>1279.6669999999999</v>
      </c>
      <c r="G103">
        <f ca="1">IFERROR(__xludf.DUMMYFUNCTION("""COMPUTED_VALUE"""),26)</f>
        <v>26</v>
      </c>
      <c r="H103">
        <f ca="1">IFERROR(__xludf.DUMMYFUNCTION("""COMPUTED_VALUE"""),-5)</f>
        <v>-5</v>
      </c>
    </row>
    <row r="104" spans="1:8" ht="12.75">
      <c r="A104" t="str">
        <f ca="1">IFERROR(__xludf.DUMMYFUNCTION("""COMPUTED_VALUE"""),"T103")</f>
        <v>T103</v>
      </c>
      <c r="B104">
        <f ca="1">IFERROR(__xludf.DUMMYFUNCTION("""COMPUTED_VALUE"""),101)</f>
        <v>101</v>
      </c>
      <c r="C104" t="str">
        <f ca="1">IFERROR(__xludf.DUMMYFUNCTION("""COMPUTED_VALUE"""),"Danny Lee")</f>
        <v>Danny Lee</v>
      </c>
      <c r="D104">
        <f ca="1">IFERROR(__xludf.DUMMYFUNCTION("""COMPUTED_VALUE"""),15)</f>
        <v>15</v>
      </c>
      <c r="E104" t="str">
        <f ca="1">IFERROR(__xludf.DUMMYFUNCTION("""COMPUTED_VALUE"""),"49' 5""")</f>
        <v>49' 5"</v>
      </c>
      <c r="F104" s="2">
        <f ca="1">IFERROR(__xludf.DUMMYFUNCTION("""COMPUTED_VALUE"""),2765.667)</f>
        <v>2765.6669999999999</v>
      </c>
      <c r="G104">
        <f ca="1">IFERROR(__xludf.DUMMYFUNCTION("""COMPUTED_VALUE"""),56)</f>
        <v>56</v>
      </c>
      <c r="H104">
        <f ca="1">IFERROR(__xludf.DUMMYFUNCTION("""COMPUTED_VALUE"""),-6)</f>
        <v>-6</v>
      </c>
    </row>
    <row r="105" spans="1:8" ht="12.75">
      <c r="A105" t="str">
        <f ca="1">IFERROR(__xludf.DUMMYFUNCTION("""COMPUTED_VALUE"""),"T103")</f>
        <v>T103</v>
      </c>
      <c r="B105">
        <f ca="1">IFERROR(__xludf.DUMMYFUNCTION("""COMPUTED_VALUE"""),106)</f>
        <v>106</v>
      </c>
      <c r="C105" t="str">
        <f ca="1">IFERROR(__xludf.DUMMYFUNCTION("""COMPUTED_VALUE"""),"Mark Anderson")</f>
        <v>Mark Anderson</v>
      </c>
      <c r="D105">
        <f ca="1">IFERROR(__xludf.DUMMYFUNCTION("""COMPUTED_VALUE"""),14)</f>
        <v>14</v>
      </c>
      <c r="E105" t="str">
        <f ca="1">IFERROR(__xludf.DUMMYFUNCTION("""COMPUTED_VALUE"""),"49' 5""")</f>
        <v>49' 5"</v>
      </c>
      <c r="F105">
        <f ca="1">IFERROR(__xludf.DUMMYFUNCTION("""COMPUTED_VALUE"""),790.667)</f>
        <v>790.66700000000003</v>
      </c>
      <c r="G105">
        <f ca="1">IFERROR(__xludf.DUMMYFUNCTION("""COMPUTED_VALUE"""),16)</f>
        <v>16</v>
      </c>
      <c r="H105">
        <f ca="1">IFERROR(__xludf.DUMMYFUNCTION("""COMPUTED_VALUE"""),-4)</f>
        <v>-4</v>
      </c>
    </row>
    <row r="106" spans="1:8" ht="12.75">
      <c r="A106" t="str">
        <f ca="1">IFERROR(__xludf.DUMMYFUNCTION("""COMPUTED_VALUE"""),"T105")</f>
        <v>T105</v>
      </c>
      <c r="B106">
        <f ca="1">IFERROR(__xludf.DUMMYFUNCTION("""COMPUTED_VALUE"""),107)</f>
        <v>107</v>
      </c>
      <c r="C106" t="str">
        <f ca="1">IFERROR(__xludf.DUMMYFUNCTION("""COMPUTED_VALUE"""),"Kiradech Aphibarnrat")</f>
        <v>Kiradech Aphibarnrat</v>
      </c>
      <c r="D106">
        <f ca="1">IFERROR(__xludf.DUMMYFUNCTION("""COMPUTED_VALUE"""),12)</f>
        <v>12</v>
      </c>
      <c r="E106" t="str">
        <f ca="1">IFERROR(__xludf.DUMMYFUNCTION("""COMPUTED_VALUE"""),"49' 6""")</f>
        <v>49' 6"</v>
      </c>
      <c r="F106">
        <f ca="1">IFERROR(__xludf.DUMMYFUNCTION("""COMPUTED_VALUE"""),396.083)</f>
        <v>396.08300000000003</v>
      </c>
      <c r="G106">
        <f ca="1">IFERROR(__xludf.DUMMYFUNCTION("""COMPUTED_VALUE"""),8)</f>
        <v>8</v>
      </c>
      <c r="H106" t="str">
        <f ca="1">IFERROR(__xludf.DUMMYFUNCTION("""COMPUTED_VALUE"""),"E")</f>
        <v>E</v>
      </c>
    </row>
    <row r="107" spans="1:8" ht="12.75">
      <c r="A107" t="str">
        <f ca="1">IFERROR(__xludf.DUMMYFUNCTION("""COMPUTED_VALUE"""),"T105")</f>
        <v>T105</v>
      </c>
      <c r="B107">
        <f ca="1">IFERROR(__xludf.DUMMYFUNCTION("""COMPUTED_VALUE"""),12)</f>
        <v>12</v>
      </c>
      <c r="C107" t="str">
        <f ca="1">IFERROR(__xludf.DUMMYFUNCTION("""COMPUTED_VALUE"""),"Scott Harrington")</f>
        <v>Scott Harrington</v>
      </c>
      <c r="D107">
        <f ca="1">IFERROR(__xludf.DUMMYFUNCTION("""COMPUTED_VALUE"""),18)</f>
        <v>18</v>
      </c>
      <c r="E107" t="str">
        <f ca="1">IFERROR(__xludf.DUMMYFUNCTION("""COMPUTED_VALUE"""),"49' 6""")</f>
        <v>49' 6"</v>
      </c>
      <c r="F107" s="2">
        <f ca="1">IFERROR(__xludf.DUMMYFUNCTION("""COMPUTED_VALUE"""),1684.167)</f>
        <v>1684.1669999999999</v>
      </c>
      <c r="G107">
        <f ca="1">IFERROR(__xludf.DUMMYFUNCTION("""COMPUTED_VALUE"""),34)</f>
        <v>34</v>
      </c>
      <c r="H107">
        <f ca="1">IFERROR(__xludf.DUMMYFUNCTION("""COMPUTED_VALUE"""),-13)</f>
        <v>-13</v>
      </c>
    </row>
    <row r="108" spans="1:8" ht="12.75">
      <c r="A108" t="str">
        <f ca="1">IFERROR(__xludf.DUMMYFUNCTION("""COMPUTED_VALUE"""),"T107")</f>
        <v>T107</v>
      </c>
      <c r="B108" t="str">
        <f ca="1">IFERROR(__xludf.DUMMYFUNCTION("""COMPUTED_VALUE"""),"T109")</f>
        <v>T109</v>
      </c>
      <c r="C108" t="str">
        <f ca="1">IFERROR(__xludf.DUMMYFUNCTION("""COMPUTED_VALUE"""),"Richy Werenski")</f>
        <v>Richy Werenski</v>
      </c>
      <c r="D108">
        <f ca="1">IFERROR(__xludf.DUMMYFUNCTION("""COMPUTED_VALUE"""),16)</f>
        <v>16</v>
      </c>
      <c r="E108" t="str">
        <f ca="1">IFERROR(__xludf.DUMMYFUNCTION("""COMPUTED_VALUE"""),"49' 8""")</f>
        <v>49' 8"</v>
      </c>
      <c r="F108" s="2">
        <f ca="1">IFERROR(__xludf.DUMMYFUNCTION("""COMPUTED_VALUE"""),2979.167)</f>
        <v>2979.1669999999999</v>
      </c>
      <c r="G108">
        <f ca="1">IFERROR(__xludf.DUMMYFUNCTION("""COMPUTED_VALUE"""),60)</f>
        <v>60</v>
      </c>
      <c r="H108">
        <f ca="1">IFERROR(__xludf.DUMMYFUNCTION("""COMPUTED_VALUE"""),-12)</f>
        <v>-12</v>
      </c>
    </row>
    <row r="109" spans="1:8" ht="12.75">
      <c r="A109" t="str">
        <f ca="1">IFERROR(__xludf.DUMMYFUNCTION("""COMPUTED_VALUE"""),"T107")</f>
        <v>T107</v>
      </c>
      <c r="B109" t="str">
        <f ca="1">IFERROR(__xludf.DUMMYFUNCTION("""COMPUTED_VALUE"""),"T109")</f>
        <v>T109</v>
      </c>
      <c r="C109" t="str">
        <f ca="1">IFERROR(__xludf.DUMMYFUNCTION("""COMPUTED_VALUE"""),"Parker McLachlin")</f>
        <v>Parker McLachlin</v>
      </c>
      <c r="D109">
        <f ca="1">IFERROR(__xludf.DUMMYFUNCTION("""COMPUTED_VALUE"""),4)</f>
        <v>4</v>
      </c>
      <c r="E109" t="str">
        <f ca="1">IFERROR(__xludf.DUMMYFUNCTION("""COMPUTED_VALUE"""),"49' 8""")</f>
        <v>49' 8"</v>
      </c>
      <c r="F109">
        <f ca="1">IFERROR(__xludf.DUMMYFUNCTION("""COMPUTED_VALUE"""),198.667)</f>
        <v>198.667</v>
      </c>
      <c r="G109">
        <f ca="1">IFERROR(__xludf.DUMMYFUNCTION("""COMPUTED_VALUE"""),4)</f>
        <v>4</v>
      </c>
      <c r="H109" t="str">
        <f ca="1">IFERROR(__xludf.DUMMYFUNCTION("""COMPUTED_VALUE"""),"E")</f>
        <v>E</v>
      </c>
    </row>
    <row r="110" spans="1:8" ht="12.75">
      <c r="A110" t="str">
        <f ca="1">IFERROR(__xludf.DUMMYFUNCTION("""COMPUTED_VALUE"""),"T107")</f>
        <v>T107</v>
      </c>
      <c r="B110" t="str">
        <f ca="1">IFERROR(__xludf.DUMMYFUNCTION("""COMPUTED_VALUE"""),"T109")</f>
        <v>T109</v>
      </c>
      <c r="C110" t="str">
        <f ca="1">IFERROR(__xludf.DUMMYFUNCTION("""COMPUTED_VALUE"""),"Alex Cejka")</f>
        <v>Alex Cejka</v>
      </c>
      <c r="D110">
        <f ca="1">IFERROR(__xludf.DUMMYFUNCTION("""COMPUTED_VALUE"""),6)</f>
        <v>6</v>
      </c>
      <c r="E110" t="str">
        <f ca="1">IFERROR(__xludf.DUMMYFUNCTION("""COMPUTED_VALUE"""),"49' 8""")</f>
        <v>49' 8"</v>
      </c>
      <c r="F110">
        <f ca="1">IFERROR(__xludf.DUMMYFUNCTION("""COMPUTED_VALUE"""),297.917)</f>
        <v>297.91699999999997</v>
      </c>
      <c r="G110">
        <f ca="1">IFERROR(__xludf.DUMMYFUNCTION("""COMPUTED_VALUE"""),6)</f>
        <v>6</v>
      </c>
      <c r="H110" t="str">
        <f ca="1">IFERROR(__xludf.DUMMYFUNCTION("""COMPUTED_VALUE"""),"+2")</f>
        <v>+2</v>
      </c>
    </row>
    <row r="111" spans="1:8" ht="12.75">
      <c r="A111" t="str">
        <f ca="1">IFERROR(__xludf.DUMMYFUNCTION("""COMPUTED_VALUE"""),"T110")</f>
        <v>T110</v>
      </c>
      <c r="B111" t="str">
        <f ca="1">IFERROR(__xludf.DUMMYFUNCTION("""COMPUTED_VALUE"""),"T109")</f>
        <v>T109</v>
      </c>
      <c r="C111" t="str">
        <f ca="1">IFERROR(__xludf.DUMMYFUNCTION("""COMPUTED_VALUE"""),"Sergio Garcia")</f>
        <v>Sergio Garcia</v>
      </c>
      <c r="D111">
        <f ca="1">IFERROR(__xludf.DUMMYFUNCTION("""COMPUTED_VALUE"""),18)</f>
        <v>18</v>
      </c>
      <c r="E111" t="str">
        <f ca="1">IFERROR(__xludf.DUMMYFUNCTION("""COMPUTED_VALUE"""),"49' 9""")</f>
        <v>49' 9"</v>
      </c>
      <c r="F111" s="2">
        <f ca="1">IFERROR(__xludf.DUMMYFUNCTION("""COMPUTED_VALUE"""),2637.417)</f>
        <v>2637.4169999999999</v>
      </c>
      <c r="G111">
        <f ca="1">IFERROR(__xludf.DUMMYFUNCTION("""COMPUTED_VALUE"""),53)</f>
        <v>53</v>
      </c>
      <c r="H111">
        <f ca="1">IFERROR(__xludf.DUMMYFUNCTION("""COMPUTED_VALUE"""),-7)</f>
        <v>-7</v>
      </c>
    </row>
    <row r="112" spans="1:8" ht="12.75">
      <c r="A112" t="str">
        <f ca="1">IFERROR(__xludf.DUMMYFUNCTION("""COMPUTED_VALUE"""),"T110")</f>
        <v>T110</v>
      </c>
      <c r="B112" t="str">
        <f ca="1">IFERROR(__xludf.DUMMYFUNCTION("""COMPUTED_VALUE"""),"T117")</f>
        <v>T117</v>
      </c>
      <c r="C112" t="str">
        <f ca="1">IFERROR(__xludf.DUMMYFUNCTION("""COMPUTED_VALUE"""),"Luke Donald")</f>
        <v>Luke Donald</v>
      </c>
      <c r="D112">
        <f ca="1">IFERROR(__xludf.DUMMYFUNCTION("""COMPUTED_VALUE"""),14)</f>
        <v>14</v>
      </c>
      <c r="E112" t="str">
        <f ca="1">IFERROR(__xludf.DUMMYFUNCTION("""COMPUTED_VALUE"""),"49' 9""")</f>
        <v>49' 9"</v>
      </c>
      <c r="F112" s="2">
        <f ca="1">IFERROR(__xludf.DUMMYFUNCTION("""COMPUTED_VALUE"""),1543.417)</f>
        <v>1543.4169999999999</v>
      </c>
      <c r="G112">
        <f ca="1">IFERROR(__xludf.DUMMYFUNCTION("""COMPUTED_VALUE"""),31)</f>
        <v>31</v>
      </c>
      <c r="H112">
        <f ca="1">IFERROR(__xludf.DUMMYFUNCTION("""COMPUTED_VALUE"""),-4)</f>
        <v>-4</v>
      </c>
    </row>
    <row r="113" spans="1:8" ht="12.75">
      <c r="A113" t="str">
        <f ca="1">IFERROR(__xludf.DUMMYFUNCTION("""COMPUTED_VALUE"""),"T110")</f>
        <v>T110</v>
      </c>
      <c r="B113" t="str">
        <f ca="1">IFERROR(__xludf.DUMMYFUNCTION("""COMPUTED_VALUE"""),"T102")</f>
        <v>T102</v>
      </c>
      <c r="C113" t="str">
        <f ca="1">IFERROR(__xludf.DUMMYFUNCTION("""COMPUTED_VALUE"""),"C.T. Pan")</f>
        <v>C.T. Pan</v>
      </c>
      <c r="D113">
        <f ca="1">IFERROR(__xludf.DUMMYFUNCTION("""COMPUTED_VALUE"""),20)</f>
        <v>20</v>
      </c>
      <c r="E113" t="str">
        <f ca="1">IFERROR(__xludf.DUMMYFUNCTION("""COMPUTED_VALUE"""),"49' 9""")</f>
        <v>49' 9"</v>
      </c>
      <c r="F113" s="2">
        <f ca="1">IFERROR(__xludf.DUMMYFUNCTION("""COMPUTED_VALUE"""),2090.583)</f>
        <v>2090.5830000000001</v>
      </c>
      <c r="G113">
        <f ca="1">IFERROR(__xludf.DUMMYFUNCTION("""COMPUTED_VALUE"""),42)</f>
        <v>42</v>
      </c>
      <c r="H113">
        <f ca="1">IFERROR(__xludf.DUMMYFUNCTION("""COMPUTED_VALUE"""),-3)</f>
        <v>-3</v>
      </c>
    </row>
    <row r="114" spans="1:8" ht="12.75">
      <c r="A114" t="str">
        <f ca="1">IFERROR(__xludf.DUMMYFUNCTION("""COMPUTED_VALUE"""),"T110")</f>
        <v>T110</v>
      </c>
      <c r="B114" t="str">
        <f ca="1">IFERROR(__xludf.DUMMYFUNCTION("""COMPUTED_VALUE"""),"T153")</f>
        <v>T153</v>
      </c>
      <c r="C114" t="str">
        <f ca="1">IFERROR(__xludf.DUMMYFUNCTION("""COMPUTED_VALUE"""),"Patrick Rodgers")</f>
        <v>Patrick Rodgers</v>
      </c>
      <c r="D114">
        <f ca="1">IFERROR(__xludf.DUMMYFUNCTION("""COMPUTED_VALUE"""),18)</f>
        <v>18</v>
      </c>
      <c r="E114" t="str">
        <f ca="1">IFERROR(__xludf.DUMMYFUNCTION("""COMPUTED_VALUE"""),"49' 9""")</f>
        <v>49' 9"</v>
      </c>
      <c r="F114" s="2">
        <f ca="1">IFERROR(__xludf.DUMMYFUNCTION("""COMPUTED_VALUE"""),1293.5)</f>
        <v>1293.5</v>
      </c>
      <c r="G114">
        <f ca="1">IFERROR(__xludf.DUMMYFUNCTION("""COMPUTED_VALUE"""),26)</f>
        <v>26</v>
      </c>
      <c r="H114">
        <f ca="1">IFERROR(__xludf.DUMMYFUNCTION("""COMPUTED_VALUE"""),-7)</f>
        <v>-7</v>
      </c>
    </row>
    <row r="115" spans="1:8" ht="12.75">
      <c r="A115" t="str">
        <f ca="1">IFERROR(__xludf.DUMMYFUNCTION("""COMPUTED_VALUE"""),"T114")</f>
        <v>T114</v>
      </c>
      <c r="B115" t="str">
        <f ca="1">IFERROR(__xludf.DUMMYFUNCTION("""COMPUTED_VALUE"""),"T117")</f>
        <v>T117</v>
      </c>
      <c r="C115" t="str">
        <f ca="1">IFERROR(__xludf.DUMMYFUNCTION("""COMPUTED_VALUE"""),"Mikumu Horikawa")</f>
        <v>Mikumu Horikawa</v>
      </c>
      <c r="D115">
        <f ca="1">IFERROR(__xludf.DUMMYFUNCTION("""COMPUTED_VALUE"""),4)</f>
        <v>4</v>
      </c>
      <c r="E115" t="str">
        <f ca="1">IFERROR(__xludf.DUMMYFUNCTION("""COMPUTED_VALUE"""),"49' 10""")</f>
        <v>49' 10"</v>
      </c>
      <c r="F115">
        <f ca="1">IFERROR(__xludf.DUMMYFUNCTION("""COMPUTED_VALUE"""),797.417)</f>
        <v>797.41700000000003</v>
      </c>
      <c r="G115">
        <f ca="1">IFERROR(__xludf.DUMMYFUNCTION("""COMPUTED_VALUE"""),16)</f>
        <v>16</v>
      </c>
      <c r="H115">
        <f ca="1">IFERROR(__xludf.DUMMYFUNCTION("""COMPUTED_VALUE"""),-1)</f>
        <v>-1</v>
      </c>
    </row>
    <row r="116" spans="1:8" ht="12.75">
      <c r="A116" t="str">
        <f ca="1">IFERROR(__xludf.DUMMYFUNCTION("""COMPUTED_VALUE"""),"T114")</f>
        <v>T114</v>
      </c>
      <c r="B116" t="str">
        <f ca="1">IFERROR(__xludf.DUMMYFUNCTION("""COMPUTED_VALUE"""),"T117")</f>
        <v>T117</v>
      </c>
      <c r="C116" t="str">
        <f ca="1">IFERROR(__xludf.DUMMYFUNCTION("""COMPUTED_VALUE"""),"Joseph Bramlett")</f>
        <v>Joseph Bramlett</v>
      </c>
      <c r="D116">
        <f ca="1">IFERROR(__xludf.DUMMYFUNCTION("""COMPUTED_VALUE"""),18)</f>
        <v>18</v>
      </c>
      <c r="E116" t="str">
        <f ca="1">IFERROR(__xludf.DUMMYFUNCTION("""COMPUTED_VALUE"""),"49' 10""")</f>
        <v>49' 10"</v>
      </c>
      <c r="F116" s="2">
        <f ca="1">IFERROR(__xludf.DUMMYFUNCTION("""COMPUTED_VALUE"""),1344.583)</f>
        <v>1344.5830000000001</v>
      </c>
      <c r="G116">
        <f ca="1">IFERROR(__xludf.DUMMYFUNCTION("""COMPUTED_VALUE"""),27)</f>
        <v>27</v>
      </c>
      <c r="H116">
        <f ca="1">IFERROR(__xludf.DUMMYFUNCTION("""COMPUTED_VALUE"""),-6)</f>
        <v>-6</v>
      </c>
    </row>
    <row r="117" spans="1:8" ht="12.75">
      <c r="A117" t="str">
        <f ca="1">IFERROR(__xludf.DUMMYFUNCTION("""COMPUTED_VALUE"""),"T114")</f>
        <v>T114</v>
      </c>
      <c r="B117" t="str">
        <f ca="1">IFERROR(__xludf.DUMMYFUNCTION("""COMPUTED_VALUE"""),"T117")</f>
        <v>T117</v>
      </c>
      <c r="C117" t="str">
        <f ca="1">IFERROR(__xludf.DUMMYFUNCTION("""COMPUTED_VALUE"""),"Abraham Ancer")</f>
        <v>Abraham Ancer</v>
      </c>
      <c r="D117">
        <f ca="1">IFERROR(__xludf.DUMMYFUNCTION("""COMPUTED_VALUE"""),16)</f>
        <v>16</v>
      </c>
      <c r="E117" t="str">
        <f ca="1">IFERROR(__xludf.DUMMYFUNCTION("""COMPUTED_VALUE"""),"49' 10""")</f>
        <v>49' 10"</v>
      </c>
      <c r="F117" s="2">
        <f ca="1">IFERROR(__xludf.DUMMYFUNCTION("""COMPUTED_VALUE"""),3188.25)</f>
        <v>3188.25</v>
      </c>
      <c r="G117">
        <f ca="1">IFERROR(__xludf.DUMMYFUNCTION("""COMPUTED_VALUE"""),64)</f>
        <v>64</v>
      </c>
      <c r="H117">
        <f ca="1">IFERROR(__xludf.DUMMYFUNCTION("""COMPUTED_VALUE"""),-9)</f>
        <v>-9</v>
      </c>
    </row>
    <row r="118" spans="1:8" ht="12.75">
      <c r="A118">
        <f ca="1">IFERROR(__xludf.DUMMYFUNCTION("""COMPUTED_VALUE"""),117)</f>
        <v>117</v>
      </c>
      <c r="B118">
        <f ca="1">IFERROR(__xludf.DUMMYFUNCTION("""COMPUTED_VALUE"""),122)</f>
        <v>122</v>
      </c>
      <c r="C118" t="str">
        <f ca="1">IFERROR(__xludf.DUMMYFUNCTION("""COMPUTED_VALUE"""),"Patrick Cantlay")</f>
        <v>Patrick Cantlay</v>
      </c>
      <c r="D118">
        <f ca="1">IFERROR(__xludf.DUMMYFUNCTION("""COMPUTED_VALUE"""),16)</f>
        <v>16</v>
      </c>
      <c r="E118" t="str">
        <f ca="1">IFERROR(__xludf.DUMMYFUNCTION("""COMPUTED_VALUE"""),"49' 11""")</f>
        <v>49' 11"</v>
      </c>
      <c r="F118" s="2">
        <f ca="1">IFERROR(__xludf.DUMMYFUNCTION("""COMPUTED_VALUE"""),3044.75)</f>
        <v>3044.75</v>
      </c>
      <c r="G118">
        <f ca="1">IFERROR(__xludf.DUMMYFUNCTION("""COMPUTED_VALUE"""),61)</f>
        <v>61</v>
      </c>
      <c r="H118">
        <f ca="1">IFERROR(__xludf.DUMMYFUNCTION("""COMPUTED_VALUE"""),-14)</f>
        <v>-14</v>
      </c>
    </row>
    <row r="119" spans="1:8" ht="12.75">
      <c r="A119">
        <f ca="1">IFERROR(__xludf.DUMMYFUNCTION("""COMPUTED_VALUE"""),118)</f>
        <v>118</v>
      </c>
      <c r="B119" t="str">
        <f ca="1">IFERROR(__xludf.DUMMYFUNCTION("""COMPUTED_VALUE"""),"T94")</f>
        <v>T94</v>
      </c>
      <c r="C119" t="str">
        <f ca="1">IFERROR(__xludf.DUMMYFUNCTION("""COMPUTED_VALUE"""),"Patton Kizzire")</f>
        <v>Patton Kizzire</v>
      </c>
      <c r="D119">
        <f ca="1">IFERROR(__xludf.DUMMYFUNCTION("""COMPUTED_VALUE"""),18)</f>
        <v>18</v>
      </c>
      <c r="E119" t="str">
        <f ca="1">IFERROR(__xludf.DUMMYFUNCTION("""COMPUTED_VALUE"""),"50' 2""")</f>
        <v>50' 2"</v>
      </c>
      <c r="F119" s="2">
        <f ca="1">IFERROR(__xludf.DUMMYFUNCTION("""COMPUTED_VALUE"""),2108.583)</f>
        <v>2108.5830000000001</v>
      </c>
      <c r="G119">
        <f ca="1">IFERROR(__xludf.DUMMYFUNCTION("""COMPUTED_VALUE"""),42)</f>
        <v>42</v>
      </c>
      <c r="H119">
        <f ca="1">IFERROR(__xludf.DUMMYFUNCTION("""COMPUTED_VALUE"""),-7)</f>
        <v>-7</v>
      </c>
    </row>
    <row r="120" spans="1:8" ht="12.75">
      <c r="A120" t="str">
        <f ca="1">IFERROR(__xludf.DUMMYFUNCTION("""COMPUTED_VALUE"""),"T119")</f>
        <v>T119</v>
      </c>
      <c r="B120" t="str">
        <f ca="1">IFERROR(__xludf.DUMMYFUNCTION("""COMPUTED_VALUE"""),"T104")</f>
        <v>T104</v>
      </c>
      <c r="C120" t="str">
        <f ca="1">IFERROR(__xludf.DUMMYFUNCTION("""COMPUTED_VALUE"""),"Viktor Hovland")</f>
        <v>Viktor Hovland</v>
      </c>
      <c r="D120">
        <f ca="1">IFERROR(__xludf.DUMMYFUNCTION("""COMPUTED_VALUE"""),16)</f>
        <v>16</v>
      </c>
      <c r="E120" t="str">
        <f ca="1">IFERROR(__xludf.DUMMYFUNCTION("""COMPUTED_VALUE"""),"50' 3""")</f>
        <v>50' 3"</v>
      </c>
      <c r="F120" s="2">
        <f ca="1">IFERROR(__xludf.DUMMYFUNCTION("""COMPUTED_VALUE"""),2864.417)</f>
        <v>2864.4169999999999</v>
      </c>
      <c r="G120">
        <f ca="1">IFERROR(__xludf.DUMMYFUNCTION("""COMPUTED_VALUE"""),57)</f>
        <v>57</v>
      </c>
      <c r="H120">
        <f ca="1">IFERROR(__xludf.DUMMYFUNCTION("""COMPUTED_VALUE"""),-7)</f>
        <v>-7</v>
      </c>
    </row>
    <row r="121" spans="1:8" ht="12.75">
      <c r="A121" t="str">
        <f ca="1">IFERROR(__xludf.DUMMYFUNCTION("""COMPUTED_VALUE"""),"T119")</f>
        <v>T119</v>
      </c>
      <c r="B121">
        <f ca="1">IFERROR(__xludf.DUMMYFUNCTION("""COMPUTED_VALUE"""),100)</f>
        <v>100</v>
      </c>
      <c r="C121" t="str">
        <f ca="1">IFERROR(__xludf.DUMMYFUNCTION("""COMPUTED_VALUE"""),"Kevin Stadler")</f>
        <v>Kevin Stadler</v>
      </c>
      <c r="D121">
        <f ca="1">IFERROR(__xludf.DUMMYFUNCTION("""COMPUTED_VALUE"""),8)</f>
        <v>8</v>
      </c>
      <c r="E121" t="str">
        <f ca="1">IFERROR(__xludf.DUMMYFUNCTION("""COMPUTED_VALUE"""),"50' 3""")</f>
        <v>50' 3"</v>
      </c>
      <c r="F121">
        <f ca="1">IFERROR(__xludf.DUMMYFUNCTION("""COMPUTED_VALUE"""),954.417)</f>
        <v>954.41700000000003</v>
      </c>
      <c r="G121">
        <f ca="1">IFERROR(__xludf.DUMMYFUNCTION("""COMPUTED_VALUE"""),19)</f>
        <v>19</v>
      </c>
      <c r="H121" t="str">
        <f ca="1">IFERROR(__xludf.DUMMYFUNCTION("""COMPUTED_VALUE"""),"+2")</f>
        <v>+2</v>
      </c>
    </row>
    <row r="122" spans="1:8" ht="12.75">
      <c r="A122" t="str">
        <f ca="1">IFERROR(__xludf.DUMMYFUNCTION("""COMPUTED_VALUE"""),"T121")</f>
        <v>T121</v>
      </c>
      <c r="B122" t="str">
        <f ca="1">IFERROR(__xludf.DUMMYFUNCTION("""COMPUTED_VALUE"""),"T126")</f>
        <v>T126</v>
      </c>
      <c r="C122" t="str">
        <f ca="1">IFERROR(__xludf.DUMMYFUNCTION("""COMPUTED_VALUE"""),"Sebastián Muñoz")</f>
        <v>Sebastián Muñoz</v>
      </c>
      <c r="D122">
        <f ca="1">IFERROR(__xludf.DUMMYFUNCTION("""COMPUTED_VALUE"""),20)</f>
        <v>20</v>
      </c>
      <c r="E122" t="str">
        <f ca="1">IFERROR(__xludf.DUMMYFUNCTION("""COMPUTED_VALUE"""),"50' 5""")</f>
        <v>50' 5"</v>
      </c>
      <c r="F122" s="2">
        <f ca="1">IFERROR(__xludf.DUMMYFUNCTION("""COMPUTED_VALUE"""),3580.083)</f>
        <v>3580.0830000000001</v>
      </c>
      <c r="G122">
        <f ca="1">IFERROR(__xludf.DUMMYFUNCTION("""COMPUTED_VALUE"""),71)</f>
        <v>71</v>
      </c>
      <c r="H122">
        <f ca="1">IFERROR(__xludf.DUMMYFUNCTION("""COMPUTED_VALUE"""),-8)</f>
        <v>-8</v>
      </c>
    </row>
    <row r="123" spans="1:8" ht="12.75">
      <c r="A123" t="str">
        <f ca="1">IFERROR(__xludf.DUMMYFUNCTION("""COMPUTED_VALUE"""),"T121")</f>
        <v>T121</v>
      </c>
      <c r="B123" t="str">
        <f ca="1">IFERROR(__xludf.DUMMYFUNCTION("""COMPUTED_VALUE"""),"T97")</f>
        <v>T97</v>
      </c>
      <c r="C123" t="str">
        <f ca="1">IFERROR(__xludf.DUMMYFUNCTION("""COMPUTED_VALUE"""),"Kevin Tway")</f>
        <v>Kevin Tway</v>
      </c>
      <c r="D123">
        <f ca="1">IFERROR(__xludf.DUMMYFUNCTION("""COMPUTED_VALUE"""),16)</f>
        <v>16</v>
      </c>
      <c r="E123" t="str">
        <f ca="1">IFERROR(__xludf.DUMMYFUNCTION("""COMPUTED_VALUE"""),"50' 5""")</f>
        <v>50' 5"</v>
      </c>
      <c r="F123">
        <f ca="1">IFERROR(__xludf.DUMMYFUNCTION("""COMPUTED_VALUE"""),907.417)</f>
        <v>907.41700000000003</v>
      </c>
      <c r="G123">
        <f ca="1">IFERROR(__xludf.DUMMYFUNCTION("""COMPUTED_VALUE"""),18)</f>
        <v>18</v>
      </c>
      <c r="H123">
        <f ca="1">IFERROR(__xludf.DUMMYFUNCTION("""COMPUTED_VALUE"""),-1)</f>
        <v>-1</v>
      </c>
    </row>
    <row r="124" spans="1:8" ht="12.75">
      <c r="A124" t="str">
        <f ca="1">IFERROR(__xludf.DUMMYFUNCTION("""COMPUTED_VALUE"""),"T123")</f>
        <v>T123</v>
      </c>
      <c r="B124">
        <f ca="1">IFERROR(__xludf.DUMMYFUNCTION("""COMPUTED_VALUE"""),150)</f>
        <v>150</v>
      </c>
      <c r="C124" t="str">
        <f ca="1">IFERROR(__xludf.DUMMYFUNCTION("""COMPUTED_VALUE"""),"Branden Grace")</f>
        <v>Branden Grace</v>
      </c>
      <c r="D124">
        <f ca="1">IFERROR(__xludf.DUMMYFUNCTION("""COMPUTED_VALUE"""),16)</f>
        <v>16</v>
      </c>
      <c r="E124" t="str">
        <f ca="1">IFERROR(__xludf.DUMMYFUNCTION("""COMPUTED_VALUE"""),"50' 6""")</f>
        <v>50' 6"</v>
      </c>
      <c r="F124" s="2">
        <f ca="1">IFERROR(__xludf.DUMMYFUNCTION("""COMPUTED_VALUE"""),1414)</f>
        <v>1414</v>
      </c>
      <c r="G124">
        <f ca="1">IFERROR(__xludf.DUMMYFUNCTION("""COMPUTED_VALUE"""),28)</f>
        <v>28</v>
      </c>
      <c r="H124" t="str">
        <f ca="1">IFERROR(__xludf.DUMMYFUNCTION("""COMPUTED_VALUE"""),"+6")</f>
        <v>+6</v>
      </c>
    </row>
    <row r="125" spans="1:8" ht="12.75">
      <c r="A125" t="str">
        <f ca="1">IFERROR(__xludf.DUMMYFUNCTION("""COMPUTED_VALUE"""),"T123")</f>
        <v>T123</v>
      </c>
      <c r="B125">
        <f ca="1">IFERROR(__xludf.DUMMYFUNCTION("""COMPUTED_VALUE"""),27)</f>
        <v>27</v>
      </c>
      <c r="C125" t="str">
        <f ca="1">IFERROR(__xludf.DUMMYFUNCTION("""COMPUTED_VALUE"""),"John Huh")</f>
        <v>John Huh</v>
      </c>
      <c r="D125">
        <f ca="1">IFERROR(__xludf.DUMMYFUNCTION("""COMPUTED_VALUE"""),8)</f>
        <v>8</v>
      </c>
      <c r="E125" t="str">
        <f ca="1">IFERROR(__xludf.DUMMYFUNCTION("""COMPUTED_VALUE"""),"50' 6""")</f>
        <v>50' 6"</v>
      </c>
      <c r="F125" s="2">
        <f ca="1">IFERROR(__xludf.DUMMYFUNCTION("""COMPUTED_VALUE"""),1312.75)</f>
        <v>1312.75</v>
      </c>
      <c r="G125">
        <f ca="1">IFERROR(__xludf.DUMMYFUNCTION("""COMPUTED_VALUE"""),26)</f>
        <v>26</v>
      </c>
      <c r="H125">
        <f ca="1">IFERROR(__xludf.DUMMYFUNCTION("""COMPUTED_VALUE"""),-6)</f>
        <v>-6</v>
      </c>
    </row>
    <row r="126" spans="1:8" ht="12.75">
      <c r="A126" t="str">
        <f ca="1">IFERROR(__xludf.DUMMYFUNCTION("""COMPUTED_VALUE"""),"T123")</f>
        <v>T123</v>
      </c>
      <c r="B126" t="str">
        <f ca="1">IFERROR(__xludf.DUMMYFUNCTION("""COMPUTED_VALUE"""),"T162")</f>
        <v>T162</v>
      </c>
      <c r="C126" t="str">
        <f ca="1">IFERROR(__xludf.DUMMYFUNCTION("""COMPUTED_VALUE"""),"Russell Henley")</f>
        <v>Russell Henley</v>
      </c>
      <c r="D126">
        <f ca="1">IFERROR(__xludf.DUMMYFUNCTION("""COMPUTED_VALUE"""),16)</f>
        <v>16</v>
      </c>
      <c r="E126" t="str">
        <f ca="1">IFERROR(__xludf.DUMMYFUNCTION("""COMPUTED_VALUE"""),"50' 6""")</f>
        <v>50' 6"</v>
      </c>
      <c r="F126" s="2">
        <f ca="1">IFERROR(__xludf.DUMMYFUNCTION("""COMPUTED_VALUE"""),2727.833)</f>
        <v>2727.8330000000001</v>
      </c>
      <c r="G126">
        <f ca="1">IFERROR(__xludf.DUMMYFUNCTION("""COMPUTED_VALUE"""),54)</f>
        <v>54</v>
      </c>
      <c r="H126">
        <f ca="1">IFERROR(__xludf.DUMMYFUNCTION("""COMPUTED_VALUE"""),-15)</f>
        <v>-15</v>
      </c>
    </row>
    <row r="127" spans="1:8" ht="12.75">
      <c r="A127">
        <f ca="1">IFERROR(__xludf.DUMMYFUNCTION("""COMPUTED_VALUE"""),126)</f>
        <v>126</v>
      </c>
      <c r="B127">
        <f ca="1">IFERROR(__xludf.DUMMYFUNCTION("""COMPUTED_VALUE"""),129)</f>
        <v>129</v>
      </c>
      <c r="C127" t="str">
        <f ca="1">IFERROR(__xludf.DUMMYFUNCTION("""COMPUTED_VALUE"""),"Nick Watney")</f>
        <v>Nick Watney</v>
      </c>
      <c r="D127">
        <f ca="1">IFERROR(__xludf.DUMMYFUNCTION("""COMPUTED_VALUE"""),10)</f>
        <v>10</v>
      </c>
      <c r="E127" t="str">
        <f ca="1">IFERROR(__xludf.DUMMYFUNCTION("""COMPUTED_VALUE"""),"50' 7""")</f>
        <v>50' 7"</v>
      </c>
      <c r="F127" s="2">
        <f ca="1">IFERROR(__xludf.DUMMYFUNCTION("""COMPUTED_VALUE"""),1112.75)</f>
        <v>1112.75</v>
      </c>
      <c r="G127">
        <f ca="1">IFERROR(__xludf.DUMMYFUNCTION("""COMPUTED_VALUE"""),22)</f>
        <v>22</v>
      </c>
      <c r="H127">
        <f ca="1">IFERROR(__xludf.DUMMYFUNCTION("""COMPUTED_VALUE"""),-4)</f>
        <v>-4</v>
      </c>
    </row>
    <row r="128" spans="1:8" ht="12.75">
      <c r="A128" t="str">
        <f ca="1">IFERROR(__xludf.DUMMYFUNCTION("""COMPUTED_VALUE"""),"T127")</f>
        <v>T127</v>
      </c>
      <c r="B128" t="str">
        <f ca="1">IFERROR(__xludf.DUMMYFUNCTION("""COMPUTED_VALUE"""),"T144")</f>
        <v>T144</v>
      </c>
      <c r="C128" t="str">
        <f ca="1">IFERROR(__xludf.DUMMYFUNCTION("""COMPUTED_VALUE"""),"Robby Shelton")</f>
        <v>Robby Shelton</v>
      </c>
      <c r="D128">
        <f ca="1">IFERROR(__xludf.DUMMYFUNCTION("""COMPUTED_VALUE"""),14)</f>
        <v>14</v>
      </c>
      <c r="E128" t="str">
        <f ca="1">IFERROR(__xludf.DUMMYFUNCTION("""COMPUTED_VALUE"""),"50' 8""")</f>
        <v>50' 8"</v>
      </c>
      <c r="F128" s="2">
        <f ca="1">IFERROR(__xludf.DUMMYFUNCTION("""COMPUTED_VALUE"""),2178.417)</f>
        <v>2178.4169999999999</v>
      </c>
      <c r="G128">
        <f ca="1">IFERROR(__xludf.DUMMYFUNCTION("""COMPUTED_VALUE"""),43)</f>
        <v>43</v>
      </c>
      <c r="H128">
        <f ca="1">IFERROR(__xludf.DUMMYFUNCTION("""COMPUTED_VALUE"""),-10)</f>
        <v>-10</v>
      </c>
    </row>
    <row r="129" spans="1:8" ht="12.75">
      <c r="A129" t="str">
        <f ca="1">IFERROR(__xludf.DUMMYFUNCTION("""COMPUTED_VALUE"""),"T127")</f>
        <v>T127</v>
      </c>
      <c r="B129" t="str">
        <f ca="1">IFERROR(__xludf.DUMMYFUNCTION("""COMPUTED_VALUE"""),"T73")</f>
        <v>T73</v>
      </c>
      <c r="C129" t="str">
        <f ca="1">IFERROR(__xludf.DUMMYFUNCTION("""COMPUTED_VALUE"""),"Sam Burns")</f>
        <v>Sam Burns</v>
      </c>
      <c r="D129">
        <f ca="1">IFERROR(__xludf.DUMMYFUNCTION("""COMPUTED_VALUE"""),18)</f>
        <v>18</v>
      </c>
      <c r="E129" t="str">
        <f ca="1">IFERROR(__xludf.DUMMYFUNCTION("""COMPUTED_VALUE"""),"50' 8""")</f>
        <v>50' 8"</v>
      </c>
      <c r="F129" s="2">
        <f ca="1">IFERROR(__xludf.DUMMYFUNCTION("""COMPUTED_VALUE"""),2027.917)</f>
        <v>2027.9169999999999</v>
      </c>
      <c r="G129">
        <f ca="1">IFERROR(__xludf.DUMMYFUNCTION("""COMPUTED_VALUE"""),40)</f>
        <v>40</v>
      </c>
      <c r="H129">
        <f ca="1">IFERROR(__xludf.DUMMYFUNCTION("""COMPUTED_VALUE"""),-10)</f>
        <v>-10</v>
      </c>
    </row>
    <row r="130" spans="1:8" ht="12.75">
      <c r="A130" t="str">
        <f ca="1">IFERROR(__xludf.DUMMYFUNCTION("""COMPUTED_VALUE"""),"T127")</f>
        <v>T127</v>
      </c>
      <c r="B130" t="str">
        <f ca="1">IFERROR(__xludf.DUMMYFUNCTION("""COMPUTED_VALUE"""),"T115")</f>
        <v>T115</v>
      </c>
      <c r="C130" t="str">
        <f ca="1">IFERROR(__xludf.DUMMYFUNCTION("""COMPUTED_VALUE"""),"Jason Day")</f>
        <v>Jason Day</v>
      </c>
      <c r="D130">
        <f ca="1">IFERROR(__xludf.DUMMYFUNCTION("""COMPUTED_VALUE"""),17)</f>
        <v>17</v>
      </c>
      <c r="E130" t="str">
        <f ca="1">IFERROR(__xludf.DUMMYFUNCTION("""COMPUTED_VALUE"""),"50' 8""")</f>
        <v>50' 8"</v>
      </c>
      <c r="F130" s="2">
        <f ca="1">IFERROR(__xludf.DUMMYFUNCTION("""COMPUTED_VALUE"""),3291.75)</f>
        <v>3291.75</v>
      </c>
      <c r="G130">
        <f ca="1">IFERROR(__xludf.DUMMYFUNCTION("""COMPUTED_VALUE"""),65)</f>
        <v>65</v>
      </c>
      <c r="H130">
        <f ca="1">IFERROR(__xludf.DUMMYFUNCTION("""COMPUTED_VALUE"""),-10)</f>
        <v>-10</v>
      </c>
    </row>
    <row r="131" spans="1:8" ht="12.75">
      <c r="A131" t="str">
        <f ca="1">IFERROR(__xludf.DUMMYFUNCTION("""COMPUTED_VALUE"""),"T130")</f>
        <v>T130</v>
      </c>
      <c r="B131">
        <f ca="1">IFERROR(__xludf.DUMMYFUNCTION("""COMPUTED_VALUE"""),130)</f>
        <v>130</v>
      </c>
      <c r="C131" t="str">
        <f ca="1">IFERROR(__xludf.DUMMYFUNCTION("""COMPUTED_VALUE"""),"Jason Kokrak")</f>
        <v>Jason Kokrak</v>
      </c>
      <c r="D131">
        <f ca="1">IFERROR(__xludf.DUMMYFUNCTION("""COMPUTED_VALUE"""),14)</f>
        <v>14</v>
      </c>
      <c r="E131" t="str">
        <f ca="1">IFERROR(__xludf.DUMMYFUNCTION("""COMPUTED_VALUE"""),"50' 9""")</f>
        <v>50' 9"</v>
      </c>
      <c r="F131" s="2">
        <f ca="1">IFERROR(__xludf.DUMMYFUNCTION("""COMPUTED_VALUE"""),2434.917)</f>
        <v>2434.9169999999999</v>
      </c>
      <c r="G131">
        <f ca="1">IFERROR(__xludf.DUMMYFUNCTION("""COMPUTED_VALUE"""),48)</f>
        <v>48</v>
      </c>
      <c r="H131">
        <f ca="1">IFERROR(__xludf.DUMMYFUNCTION("""COMPUTED_VALUE"""),-11)</f>
        <v>-11</v>
      </c>
    </row>
    <row r="132" spans="1:8" ht="12.75">
      <c r="A132" t="str">
        <f ca="1">IFERROR(__xludf.DUMMYFUNCTION("""COMPUTED_VALUE"""),"T130")</f>
        <v>T130</v>
      </c>
      <c r="B132" t="str">
        <f ca="1">IFERROR(__xludf.DUMMYFUNCTION("""COMPUTED_VALUE"""),"T164")</f>
        <v>T164</v>
      </c>
      <c r="C132" t="str">
        <f ca="1">IFERROR(__xludf.DUMMYFUNCTION("""COMPUTED_VALUE"""),"Lanto Griffin")</f>
        <v>Lanto Griffin</v>
      </c>
      <c r="D132">
        <f ca="1">IFERROR(__xludf.DUMMYFUNCTION("""COMPUTED_VALUE"""),18)</f>
        <v>18</v>
      </c>
      <c r="E132" t="str">
        <f ca="1">IFERROR(__xludf.DUMMYFUNCTION("""COMPUTED_VALUE"""),"50' 9""")</f>
        <v>50' 9"</v>
      </c>
      <c r="F132" s="2">
        <f ca="1">IFERROR(__xludf.DUMMYFUNCTION("""COMPUTED_VALUE"""),3144.083)</f>
        <v>3144.0830000000001</v>
      </c>
      <c r="G132">
        <f ca="1">IFERROR(__xludf.DUMMYFUNCTION("""COMPUTED_VALUE"""),62)</f>
        <v>62</v>
      </c>
      <c r="H132">
        <f ca="1">IFERROR(__xludf.DUMMYFUNCTION("""COMPUTED_VALUE"""),-5)</f>
        <v>-5</v>
      </c>
    </row>
    <row r="133" spans="1:8" ht="12.75">
      <c r="A133" t="str">
        <f ca="1">IFERROR(__xludf.DUMMYFUNCTION("""COMPUTED_VALUE"""),"T132")</f>
        <v>T132</v>
      </c>
      <c r="B133">
        <f ca="1">IFERROR(__xludf.DUMMYFUNCTION("""COMPUTED_VALUE"""),131)</f>
        <v>131</v>
      </c>
      <c r="C133" t="str">
        <f ca="1">IFERROR(__xludf.DUMMYFUNCTION("""COMPUTED_VALUE"""),"Thomas Detry")</f>
        <v>Thomas Detry</v>
      </c>
      <c r="D133">
        <f ca="1">IFERROR(__xludf.DUMMYFUNCTION("""COMPUTED_VALUE"""),8)</f>
        <v>8</v>
      </c>
      <c r="E133" t="str">
        <f ca="1">IFERROR(__xludf.DUMMYFUNCTION("""COMPUTED_VALUE"""),"50' 10""")</f>
        <v>50' 10"</v>
      </c>
      <c r="F133">
        <f ca="1">IFERROR(__xludf.DUMMYFUNCTION("""COMPUTED_VALUE"""),763.083)</f>
        <v>763.08299999999997</v>
      </c>
      <c r="G133">
        <f ca="1">IFERROR(__xludf.DUMMYFUNCTION("""COMPUTED_VALUE"""),15)</f>
        <v>15</v>
      </c>
      <c r="H133" t="str">
        <f ca="1">IFERROR(__xludf.DUMMYFUNCTION("""COMPUTED_VALUE"""),"+2")</f>
        <v>+2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IFERROR(__xludf.DUMMYFUNCTION("""COMPUTED_VALUE"""),"T69")</f>
        <v>T69</v>
      </c>
      <c r="C134" t="str">
        <f ca="1">IFERROR(__xludf.DUMMYFUNCTION("""COMPUTED_VALUE"""),"Xinjun Zhang")</f>
        <v>Xinjun Zhang</v>
      </c>
      <c r="D134">
        <f ca="1">IFERROR(__xludf.DUMMYFUNCTION("""COMPUTED_VALUE"""),14)</f>
        <v>14</v>
      </c>
      <c r="E134" t="str">
        <f ca="1">IFERROR(__xludf.DUMMYFUNCTION("""COMPUTED_VALUE"""),"50' 10""")</f>
        <v>50' 10"</v>
      </c>
      <c r="F134" s="2">
        <f ca="1">IFERROR(__xludf.DUMMYFUNCTION("""COMPUTED_VALUE"""),1270.5)</f>
        <v>1270.5</v>
      </c>
      <c r="G134">
        <f ca="1">IFERROR(__xludf.DUMMYFUNCTION("""COMPUTED_VALUE"""),25)</f>
        <v>25</v>
      </c>
      <c r="H134">
        <f ca="1">IFERROR(__xludf.DUMMYFUNCTION("""COMPUTED_VALUE"""),-5)</f>
        <v>-5</v>
      </c>
    </row>
    <row r="135" spans="1:8" ht="12.75">
      <c r="A135">
        <f ca="1">IFERROR(__xludf.DUMMYFUNCTION("""COMPUTED_VALUE"""),134)</f>
        <v>134</v>
      </c>
      <c r="B135">
        <f ca="1">IFERROR(__xludf.DUMMYFUNCTION("""COMPUTED_VALUE"""),132)</f>
        <v>132</v>
      </c>
      <c r="C135" t="str">
        <f ca="1">IFERROR(__xludf.DUMMYFUNCTION("""COMPUTED_VALUE"""),"Brendan Steele")</f>
        <v>Brendan Steele</v>
      </c>
      <c r="D135">
        <f ca="1">IFERROR(__xludf.DUMMYFUNCTION("""COMPUTED_VALUE"""),14)</f>
        <v>14</v>
      </c>
      <c r="E135" t="str">
        <f ca="1">IFERROR(__xludf.DUMMYFUNCTION("""COMPUTED_VALUE"""),"50' 11""")</f>
        <v>50' 11"</v>
      </c>
      <c r="F135" s="2">
        <f ca="1">IFERROR(__xludf.DUMMYFUNCTION("""COMPUTED_VALUE"""),2393.5)</f>
        <v>2393.5</v>
      </c>
      <c r="G135">
        <f ca="1">IFERROR(__xludf.DUMMYFUNCTION("""COMPUTED_VALUE"""),47)</f>
        <v>47</v>
      </c>
      <c r="H135">
        <f ca="1">IFERROR(__xludf.DUMMYFUNCTION("""COMPUTED_VALUE"""),-6)</f>
        <v>-6</v>
      </c>
    </row>
    <row r="136" spans="1:8" ht="12.75">
      <c r="A136">
        <f ca="1">IFERROR(__xludf.DUMMYFUNCTION("""COMPUTED_VALUE"""),135)</f>
        <v>135</v>
      </c>
      <c r="B136" t="str">
        <f ca="1">IFERROR(__xludf.DUMMYFUNCTION("""COMPUTED_VALUE"""),"T141")</f>
        <v>T141</v>
      </c>
      <c r="C136" t="str">
        <f ca="1">IFERROR(__xludf.DUMMYFUNCTION("""COMPUTED_VALUE"""),"J.T. Poston")</f>
        <v>J.T. Poston</v>
      </c>
      <c r="D136">
        <f ca="1">IFERROR(__xludf.DUMMYFUNCTION("""COMPUTED_VALUE"""),18)</f>
        <v>18</v>
      </c>
      <c r="E136" t="str">
        <f ca="1">IFERROR(__xludf.DUMMYFUNCTION("""COMPUTED_VALUE"""),"51' 0""")</f>
        <v>51' 0"</v>
      </c>
      <c r="F136" s="2">
        <f ca="1">IFERROR(__xludf.DUMMYFUNCTION("""COMPUTED_VALUE"""),3261.583)</f>
        <v>3261.5830000000001</v>
      </c>
      <c r="G136">
        <f ca="1">IFERROR(__xludf.DUMMYFUNCTION("""COMPUTED_VALUE"""),64)</f>
        <v>64</v>
      </c>
      <c r="H136">
        <f ca="1">IFERROR(__xludf.DUMMYFUNCTION("""COMPUTED_VALUE"""),-9)</f>
        <v>-9</v>
      </c>
    </row>
    <row r="137" spans="1:8" ht="12.75">
      <c r="A137" t="str">
        <f ca="1">IFERROR(__xludf.DUMMYFUNCTION("""COMPUTED_VALUE"""),"T136")</f>
        <v>T136</v>
      </c>
      <c r="B137" t="str">
        <f ca="1">IFERROR(__xludf.DUMMYFUNCTION("""COMPUTED_VALUE"""),"T135")</f>
        <v>T135</v>
      </c>
      <c r="C137" t="str">
        <f ca="1">IFERROR(__xludf.DUMMYFUNCTION("""COMPUTED_VALUE"""),"Louis Oosthuizen")</f>
        <v>Louis Oosthuizen</v>
      </c>
      <c r="D137">
        <f ca="1">IFERROR(__xludf.DUMMYFUNCTION("""COMPUTED_VALUE"""),12)</f>
        <v>12</v>
      </c>
      <c r="E137" t="str">
        <f ca="1">IFERROR(__xludf.DUMMYFUNCTION("""COMPUTED_VALUE"""),"51' 2""")</f>
        <v>51' 2"</v>
      </c>
      <c r="F137" s="2">
        <f ca="1">IFERROR(__xludf.DUMMYFUNCTION("""COMPUTED_VALUE"""),2556.25)</f>
        <v>2556.25</v>
      </c>
      <c r="G137">
        <f ca="1">IFERROR(__xludf.DUMMYFUNCTION("""COMPUTED_VALUE"""),50)</f>
        <v>50</v>
      </c>
      <c r="H137">
        <f ca="1">IFERROR(__xludf.DUMMYFUNCTION("""COMPUTED_VALUE"""),-7)</f>
        <v>-7</v>
      </c>
    </row>
    <row r="138" spans="1:8" ht="12.75">
      <c r="A138" t="str">
        <f ca="1">IFERROR(__xludf.DUMMYFUNCTION("""COMPUTED_VALUE"""),"T136")</f>
        <v>T136</v>
      </c>
      <c r="B138">
        <f ca="1">IFERROR(__xludf.DUMMYFUNCTION("""COMPUTED_VALUE"""),125)</f>
        <v>125</v>
      </c>
      <c r="C138" t="str">
        <f ca="1">IFERROR(__xludf.DUMMYFUNCTION("""COMPUTED_VALUE"""),"Harold Varner III")</f>
        <v>Harold Varner III</v>
      </c>
      <c r="D138">
        <f ca="1">IFERROR(__xludf.DUMMYFUNCTION("""COMPUTED_VALUE"""),14)</f>
        <v>14</v>
      </c>
      <c r="E138" t="str">
        <f ca="1">IFERROR(__xludf.DUMMYFUNCTION("""COMPUTED_VALUE"""),"51' 2""")</f>
        <v>51' 2"</v>
      </c>
      <c r="F138" s="2">
        <f ca="1">IFERROR(__xludf.DUMMYFUNCTION("""COMPUTED_VALUE"""),1945.583)</f>
        <v>1945.5830000000001</v>
      </c>
      <c r="G138">
        <f ca="1">IFERROR(__xludf.DUMMYFUNCTION("""COMPUTED_VALUE"""),38)</f>
        <v>38</v>
      </c>
      <c r="H138">
        <f ca="1">IFERROR(__xludf.DUMMYFUNCTION("""COMPUTED_VALUE"""),-12)</f>
        <v>-12</v>
      </c>
    </row>
    <row r="139" spans="1:8" ht="12.75">
      <c r="A139" t="str">
        <f ca="1">IFERROR(__xludf.DUMMYFUNCTION("""COMPUTED_VALUE"""),"T138")</f>
        <v>T138</v>
      </c>
      <c r="B139" t="str">
        <f ca="1">IFERROR(__xludf.DUMMYFUNCTION("""COMPUTED_VALUE"""),"T141")</f>
        <v>T141</v>
      </c>
      <c r="C139" t="str">
        <f ca="1">IFERROR(__xludf.DUMMYFUNCTION("""COMPUTED_VALUE"""),"Kyle Stanley")</f>
        <v>Kyle Stanley</v>
      </c>
      <c r="D139">
        <f ca="1">IFERROR(__xludf.DUMMYFUNCTION("""COMPUTED_VALUE"""),16)</f>
        <v>16</v>
      </c>
      <c r="E139" t="str">
        <f ca="1">IFERROR(__xludf.DUMMYFUNCTION("""COMPUTED_VALUE"""),"51' 4""")</f>
        <v>51' 4"</v>
      </c>
      <c r="F139">
        <f ca="1">IFERROR(__xludf.DUMMYFUNCTION("""COMPUTED_VALUE"""),924.083)</f>
        <v>924.08299999999997</v>
      </c>
      <c r="G139">
        <f ca="1">IFERROR(__xludf.DUMMYFUNCTION("""COMPUTED_VALUE"""),18)</f>
        <v>18</v>
      </c>
      <c r="H139">
        <f ca="1">IFERROR(__xludf.DUMMYFUNCTION("""COMPUTED_VALUE"""),-1)</f>
        <v>-1</v>
      </c>
    </row>
    <row r="140" spans="1:8" ht="12.75">
      <c r="A140" t="str">
        <f ca="1">IFERROR(__xludf.DUMMYFUNCTION("""COMPUTED_VALUE"""),"T138")</f>
        <v>T138</v>
      </c>
      <c r="B140" t="str">
        <f ca="1">IFERROR(__xludf.DUMMYFUNCTION("""COMPUTED_VALUE"""),"T123")</f>
        <v>T123</v>
      </c>
      <c r="C140" t="str">
        <f ca="1">IFERROR(__xludf.DUMMYFUNCTION("""COMPUTED_VALUE"""),"Scott Stallings")</f>
        <v>Scott Stallings</v>
      </c>
      <c r="D140">
        <f ca="1">IFERROR(__xludf.DUMMYFUNCTION("""COMPUTED_VALUE"""),14)</f>
        <v>14</v>
      </c>
      <c r="E140" t="str">
        <f ca="1">IFERROR(__xludf.DUMMYFUNCTION("""COMPUTED_VALUE"""),"51' 4""")</f>
        <v>51' 4"</v>
      </c>
      <c r="F140" s="2">
        <f ca="1">IFERROR(__xludf.DUMMYFUNCTION("""COMPUTED_VALUE"""),1592)</f>
        <v>1592</v>
      </c>
      <c r="G140">
        <f ca="1">IFERROR(__xludf.DUMMYFUNCTION("""COMPUTED_VALUE"""),31)</f>
        <v>31</v>
      </c>
      <c r="H140">
        <f ca="1">IFERROR(__xludf.DUMMYFUNCTION("""COMPUTED_VALUE"""),-9)</f>
        <v>-9</v>
      </c>
    </row>
    <row r="141" spans="1:8" ht="12.75">
      <c r="A141">
        <f ca="1">IFERROR(__xludf.DUMMYFUNCTION("""COMPUTED_VALUE"""),140)</f>
        <v>140</v>
      </c>
      <c r="B141" t="str">
        <f ca="1">IFERROR(__xludf.DUMMYFUNCTION("""COMPUTED_VALUE"""),"T126")</f>
        <v>T126</v>
      </c>
      <c r="C141" t="str">
        <f ca="1">IFERROR(__xludf.DUMMYFUNCTION("""COMPUTED_VALUE"""),"Austin Cook")</f>
        <v>Austin Cook</v>
      </c>
      <c r="D141">
        <f ca="1">IFERROR(__xludf.DUMMYFUNCTION("""COMPUTED_VALUE"""),14)</f>
        <v>14</v>
      </c>
      <c r="E141" t="str">
        <f ca="1">IFERROR(__xludf.DUMMYFUNCTION("""COMPUTED_VALUE"""),"51' 5""")</f>
        <v>51' 5"</v>
      </c>
      <c r="F141" s="2">
        <f ca="1">IFERROR(__xludf.DUMMYFUNCTION("""COMPUTED_VALUE"""),2107.417)</f>
        <v>2107.4169999999999</v>
      </c>
      <c r="G141">
        <f ca="1">IFERROR(__xludf.DUMMYFUNCTION("""COMPUTED_VALUE"""),41)</f>
        <v>41</v>
      </c>
      <c r="H141">
        <f ca="1">IFERROR(__xludf.DUMMYFUNCTION("""COMPUTED_VALUE"""),-4)</f>
        <v>-4</v>
      </c>
    </row>
    <row r="142" spans="1:8" ht="12.75">
      <c r="A142">
        <f ca="1">IFERROR(__xludf.DUMMYFUNCTION("""COMPUTED_VALUE"""),141)</f>
        <v>141</v>
      </c>
      <c r="B142">
        <f ca="1">IFERROR(__xludf.DUMMYFUNCTION("""COMPUTED_VALUE"""),146)</f>
        <v>146</v>
      </c>
      <c r="C142" t="str">
        <f ca="1">IFERROR(__xludf.DUMMYFUNCTION("""COMPUTED_VALUE"""),"Marc Leishman")</f>
        <v>Marc Leishman</v>
      </c>
      <c r="D142">
        <f ca="1">IFERROR(__xludf.DUMMYFUNCTION("""COMPUTED_VALUE"""),10)</f>
        <v>10</v>
      </c>
      <c r="E142" t="str">
        <f ca="1">IFERROR(__xludf.DUMMYFUNCTION("""COMPUTED_VALUE"""),"51' 6""")</f>
        <v>51' 6"</v>
      </c>
      <c r="F142" s="2">
        <f ca="1">IFERROR(__xludf.DUMMYFUNCTION("""COMPUTED_VALUE"""),1906.167)</f>
        <v>1906.1669999999999</v>
      </c>
      <c r="G142">
        <f ca="1">IFERROR(__xludf.DUMMYFUNCTION("""COMPUTED_VALUE"""),37)</f>
        <v>37</v>
      </c>
      <c r="H142">
        <f ca="1">IFERROR(__xludf.DUMMYFUNCTION("""COMPUTED_VALUE"""),-5)</f>
        <v>-5</v>
      </c>
    </row>
    <row r="143" spans="1:8" ht="12.75">
      <c r="A143">
        <f ca="1">IFERROR(__xludf.DUMMYFUNCTION("""COMPUTED_VALUE"""),142)</f>
        <v>142</v>
      </c>
      <c r="B143" t="str">
        <f ca="1">IFERROR(__xludf.DUMMYFUNCTION("""COMPUTED_VALUE"""),"T147")</f>
        <v>T147</v>
      </c>
      <c r="C143" t="str">
        <f ca="1">IFERROR(__xludf.DUMMYFUNCTION("""COMPUTED_VALUE"""),"Adam Hadwin")</f>
        <v>Adam Hadwin</v>
      </c>
      <c r="D143">
        <f ca="1">IFERROR(__xludf.DUMMYFUNCTION("""COMPUTED_VALUE"""),16)</f>
        <v>16</v>
      </c>
      <c r="E143" t="str">
        <f ca="1">IFERROR(__xludf.DUMMYFUNCTION("""COMPUTED_VALUE"""),"51' 7""")</f>
        <v>51' 7"</v>
      </c>
      <c r="F143" s="2">
        <f ca="1">IFERROR(__xludf.DUMMYFUNCTION("""COMPUTED_VALUE"""),3095.333)</f>
        <v>3095.3330000000001</v>
      </c>
      <c r="G143">
        <f ca="1">IFERROR(__xludf.DUMMYFUNCTION("""COMPUTED_VALUE"""),60)</f>
        <v>60</v>
      </c>
      <c r="H143">
        <f ca="1">IFERROR(__xludf.DUMMYFUNCTION("""COMPUTED_VALUE"""),-5)</f>
        <v>-5</v>
      </c>
    </row>
    <row r="144" spans="1:8" ht="12.75">
      <c r="A144" t="str">
        <f ca="1">IFERROR(__xludf.DUMMYFUNCTION("""COMPUTED_VALUE"""),"T143")</f>
        <v>T143</v>
      </c>
      <c r="B144" t="str">
        <f ca="1">IFERROR(__xludf.DUMMYFUNCTION("""COMPUTED_VALUE"""),"T144")</f>
        <v>T144</v>
      </c>
      <c r="C144" t="str">
        <f ca="1">IFERROR(__xludf.DUMMYFUNCTION("""COMPUTED_VALUE"""),"Michael Kim")</f>
        <v>Michael Kim</v>
      </c>
      <c r="D144">
        <f ca="1">IFERROR(__xludf.DUMMYFUNCTION("""COMPUTED_VALUE"""),12)</f>
        <v>12</v>
      </c>
      <c r="E144" t="str">
        <f ca="1">IFERROR(__xludf.DUMMYFUNCTION("""COMPUTED_VALUE"""),"51' 10""")</f>
        <v>51' 10"</v>
      </c>
      <c r="F144">
        <f ca="1">IFERROR(__xludf.DUMMYFUNCTION("""COMPUTED_VALUE"""),933.5)</f>
        <v>933.5</v>
      </c>
      <c r="G144">
        <f ca="1">IFERROR(__xludf.DUMMYFUNCTION("""COMPUTED_VALUE"""),18)</f>
        <v>18</v>
      </c>
      <c r="H144">
        <f ca="1">IFERROR(__xludf.DUMMYFUNCTION("""COMPUTED_VALUE"""),-3)</f>
        <v>-3</v>
      </c>
    </row>
    <row r="145" spans="1:8" ht="12.75">
      <c r="A145" t="str">
        <f ca="1">IFERROR(__xludf.DUMMYFUNCTION("""COMPUTED_VALUE"""),"T143")</f>
        <v>T143</v>
      </c>
      <c r="B145">
        <f ca="1">IFERROR(__xludf.DUMMYFUNCTION("""COMPUTED_VALUE"""),149)</f>
        <v>149</v>
      </c>
      <c r="C145" t="str">
        <f ca="1">IFERROR(__xludf.DUMMYFUNCTION("""COMPUTED_VALUE"""),"J.J. Spaun")</f>
        <v>J.J. Spaun</v>
      </c>
      <c r="D145">
        <f ca="1">IFERROR(__xludf.DUMMYFUNCTION("""COMPUTED_VALUE"""),10)</f>
        <v>10</v>
      </c>
      <c r="E145" t="str">
        <f ca="1">IFERROR(__xludf.DUMMYFUNCTION("""COMPUTED_VALUE"""),"51' 10""")</f>
        <v>51' 10"</v>
      </c>
      <c r="F145">
        <f ca="1">IFERROR(__xludf.DUMMYFUNCTION("""COMPUTED_VALUE"""),828.667)</f>
        <v>828.66700000000003</v>
      </c>
      <c r="G145">
        <f ca="1">IFERROR(__xludf.DUMMYFUNCTION("""COMPUTED_VALUE"""),16)</f>
        <v>16</v>
      </c>
      <c r="H145">
        <f ca="1">IFERROR(__xludf.DUMMYFUNCTION("""COMPUTED_VALUE"""),-3)</f>
        <v>-3</v>
      </c>
    </row>
    <row r="146" spans="1:8" ht="12.75">
      <c r="A146" t="str">
        <f ca="1">IFERROR(__xludf.DUMMYFUNCTION("""COMPUTED_VALUE"""),"T143")</f>
        <v>T143</v>
      </c>
      <c r="B146" t="str">
        <f ca="1">IFERROR(__xludf.DUMMYFUNCTION("""COMPUTED_VALUE"""),"T117")</f>
        <v>T117</v>
      </c>
      <c r="C146" t="str">
        <f ca="1">IFERROR(__xludf.DUMMYFUNCTION("""COMPUTED_VALUE"""),"Stewart Cink")</f>
        <v>Stewart Cink</v>
      </c>
      <c r="D146">
        <f ca="1">IFERROR(__xludf.DUMMYFUNCTION("""COMPUTED_VALUE"""),18)</f>
        <v>18</v>
      </c>
      <c r="E146" t="str">
        <f ca="1">IFERROR(__xludf.DUMMYFUNCTION("""COMPUTED_VALUE"""),"51' 10""")</f>
        <v>51' 10"</v>
      </c>
      <c r="F146" s="2">
        <f ca="1">IFERROR(__xludf.DUMMYFUNCTION("""COMPUTED_VALUE"""),2486.167)</f>
        <v>2486.1669999999999</v>
      </c>
      <c r="G146">
        <f ca="1">IFERROR(__xludf.DUMMYFUNCTION("""COMPUTED_VALUE"""),48)</f>
        <v>48</v>
      </c>
      <c r="H146">
        <f ca="1">IFERROR(__xludf.DUMMYFUNCTION("""COMPUTED_VALUE"""),-17)</f>
        <v>-17</v>
      </c>
    </row>
    <row r="147" spans="1:8" ht="12.75">
      <c r="A147" t="str">
        <f ca="1">IFERROR(__xludf.DUMMYFUNCTION("""COMPUTED_VALUE"""),"T146")</f>
        <v>T146</v>
      </c>
      <c r="B147" t="str">
        <f ca="1">IFERROR(__xludf.DUMMYFUNCTION("""COMPUTED_VALUE"""),"T123")</f>
        <v>T123</v>
      </c>
      <c r="C147" t="str">
        <f ca="1">IFERROR(__xludf.DUMMYFUNCTION("""COMPUTED_VALUE"""),"Luke List")</f>
        <v>Luke List</v>
      </c>
      <c r="D147">
        <f ca="1">IFERROR(__xludf.DUMMYFUNCTION("""COMPUTED_VALUE"""),18)</f>
        <v>18</v>
      </c>
      <c r="E147" t="str">
        <f ca="1">IFERROR(__xludf.DUMMYFUNCTION("""COMPUTED_VALUE"""),"51' 11""")</f>
        <v>51' 11"</v>
      </c>
      <c r="F147" s="2">
        <f ca="1">IFERROR(__xludf.DUMMYFUNCTION("""COMPUTED_VALUE"""),1453.083)</f>
        <v>1453.0830000000001</v>
      </c>
      <c r="G147">
        <f ca="1">IFERROR(__xludf.DUMMYFUNCTION("""COMPUTED_VALUE"""),28)</f>
        <v>28</v>
      </c>
      <c r="H147">
        <f ca="1">IFERROR(__xludf.DUMMYFUNCTION("""COMPUTED_VALUE"""),-7)</f>
        <v>-7</v>
      </c>
    </row>
    <row r="148" spans="1:8" ht="12.75">
      <c r="A148" t="str">
        <f ca="1">IFERROR(__xludf.DUMMYFUNCTION("""COMPUTED_VALUE"""),"T146")</f>
        <v>T146</v>
      </c>
      <c r="B148">
        <f ca="1">IFERROR(__xludf.DUMMYFUNCTION("""COMPUTED_VALUE"""),161)</f>
        <v>161</v>
      </c>
      <c r="C148" t="str">
        <f ca="1">IFERROR(__xludf.DUMMYFUNCTION("""COMPUTED_VALUE"""),"Talor Gooch")</f>
        <v>Talor Gooch</v>
      </c>
      <c r="D148">
        <f ca="1">IFERROR(__xludf.DUMMYFUNCTION("""COMPUTED_VALUE"""),20)</f>
        <v>20</v>
      </c>
      <c r="E148" t="str">
        <f ca="1">IFERROR(__xludf.DUMMYFUNCTION("""COMPUTED_VALUE"""),"51' 11""")</f>
        <v>51' 11"</v>
      </c>
      <c r="F148" s="2">
        <f ca="1">IFERROR(__xludf.DUMMYFUNCTION("""COMPUTED_VALUE"""),3943.167)</f>
        <v>3943.1669999999999</v>
      </c>
      <c r="G148">
        <f ca="1">IFERROR(__xludf.DUMMYFUNCTION("""COMPUTED_VALUE"""),76)</f>
        <v>76</v>
      </c>
      <c r="H148">
        <f ca="1">IFERROR(__xludf.DUMMYFUNCTION("""COMPUTED_VALUE"""),-23)</f>
        <v>-23</v>
      </c>
    </row>
    <row r="149" spans="1:8" ht="12.75">
      <c r="A149" t="str">
        <f ca="1">IFERROR(__xludf.DUMMYFUNCTION("""COMPUTED_VALUE"""),"T148")</f>
        <v>T148</v>
      </c>
      <c r="B149" t="str">
        <f ca="1">IFERROR(__xludf.DUMMYFUNCTION("""COMPUTED_VALUE"""),"T151")</f>
        <v>T151</v>
      </c>
      <c r="C149" t="str">
        <f ca="1">IFERROR(__xludf.DUMMYFUNCTION("""COMPUTED_VALUE"""),"Joel Dahmen")</f>
        <v>Joel Dahmen</v>
      </c>
      <c r="D149">
        <f ca="1">IFERROR(__xludf.DUMMYFUNCTION("""COMPUTED_VALUE"""),18)</f>
        <v>18</v>
      </c>
      <c r="E149" t="str">
        <f ca="1">IFERROR(__xludf.DUMMYFUNCTION("""COMPUTED_VALUE"""),"52' 0""")</f>
        <v>52' 0"</v>
      </c>
      <c r="F149" s="2">
        <f ca="1">IFERROR(__xludf.DUMMYFUNCTION("""COMPUTED_VALUE"""),3689.25)</f>
        <v>3689.25</v>
      </c>
      <c r="G149">
        <f ca="1">IFERROR(__xludf.DUMMYFUNCTION("""COMPUTED_VALUE"""),71)</f>
        <v>71</v>
      </c>
      <c r="H149">
        <f ca="1">IFERROR(__xludf.DUMMYFUNCTION("""COMPUTED_VALUE"""),-9)</f>
        <v>-9</v>
      </c>
    </row>
    <row r="150" spans="1:8" ht="12.75">
      <c r="A150" t="str">
        <f ca="1">IFERROR(__xludf.DUMMYFUNCTION("""COMPUTED_VALUE"""),"T148")</f>
        <v>T148</v>
      </c>
      <c r="B150" t="str">
        <f ca="1">IFERROR(__xludf.DUMMYFUNCTION("""COMPUTED_VALUE"""),"T151")</f>
        <v>T151</v>
      </c>
      <c r="C150" t="str">
        <f ca="1">IFERROR(__xludf.DUMMYFUNCTION("""COMPUTED_VALUE"""),"Tiger Woods")</f>
        <v>Tiger Woods</v>
      </c>
      <c r="D150">
        <f ca="1">IFERROR(__xludf.DUMMYFUNCTION("""COMPUTED_VALUE"""),6)</f>
        <v>6</v>
      </c>
      <c r="E150" t="str">
        <f ca="1">IFERROR(__xludf.DUMMYFUNCTION("""COMPUTED_VALUE"""),"52' 0""")</f>
        <v>52' 0"</v>
      </c>
      <c r="F150" s="2">
        <f ca="1">IFERROR(__xludf.DUMMYFUNCTION("""COMPUTED_VALUE"""),1144.667)</f>
        <v>1144.6669999999999</v>
      </c>
      <c r="G150">
        <f ca="1">IFERROR(__xludf.DUMMYFUNCTION("""COMPUTED_VALUE"""),22)</f>
        <v>22</v>
      </c>
      <c r="H150">
        <f ca="1">IFERROR(__xludf.DUMMYFUNCTION("""COMPUTED_VALUE"""),-2)</f>
        <v>-2</v>
      </c>
    </row>
    <row r="151" spans="1:8" ht="12.75">
      <c r="A151" t="str">
        <f ca="1">IFERROR(__xludf.DUMMYFUNCTION("""COMPUTED_VALUE"""),"T150")</f>
        <v>T150</v>
      </c>
      <c r="B151" t="str">
        <f ca="1">IFERROR(__xludf.DUMMYFUNCTION("""COMPUTED_VALUE"""),"T153")</f>
        <v>T153</v>
      </c>
      <c r="C151" t="str">
        <f ca="1">IFERROR(__xludf.DUMMYFUNCTION("""COMPUTED_VALUE"""),"Kevin Kisner")</f>
        <v>Kevin Kisner</v>
      </c>
      <c r="D151">
        <f ca="1">IFERROR(__xludf.DUMMYFUNCTION("""COMPUTED_VALUE"""),10)</f>
        <v>10</v>
      </c>
      <c r="E151" t="str">
        <f ca="1">IFERROR(__xludf.DUMMYFUNCTION("""COMPUTED_VALUE"""),"52' 1""")</f>
        <v>52' 1"</v>
      </c>
      <c r="F151" s="2">
        <f ca="1">IFERROR(__xludf.DUMMYFUNCTION("""COMPUTED_VALUE"""),2551.333)</f>
        <v>2551.3330000000001</v>
      </c>
      <c r="G151">
        <f ca="1">IFERROR(__xludf.DUMMYFUNCTION("""COMPUTED_VALUE"""),49)</f>
        <v>49</v>
      </c>
      <c r="H151">
        <f ca="1">IFERROR(__xludf.DUMMYFUNCTION("""COMPUTED_VALUE"""),-3)</f>
        <v>-3</v>
      </c>
    </row>
    <row r="152" spans="1:8" ht="12.75">
      <c r="A152" t="str">
        <f ca="1">IFERROR(__xludf.DUMMYFUNCTION("""COMPUTED_VALUE"""),"T150")</f>
        <v>T150</v>
      </c>
      <c r="B152" t="str">
        <f ca="1">IFERROR(__xludf.DUMMYFUNCTION("""COMPUTED_VALUE"""),"T153")</f>
        <v>T153</v>
      </c>
      <c r="C152" t="str">
        <f ca="1">IFERROR(__xludf.DUMMYFUNCTION("""COMPUTED_VALUE"""),"Ryan Brehm")</f>
        <v>Ryan Brehm</v>
      </c>
      <c r="D152">
        <f ca="1">IFERROR(__xludf.DUMMYFUNCTION("""COMPUTED_VALUE"""),10)</f>
        <v>10</v>
      </c>
      <c r="E152" t="str">
        <f ca="1">IFERROR(__xludf.DUMMYFUNCTION("""COMPUTED_VALUE"""),"52' 1""")</f>
        <v>52' 1"</v>
      </c>
      <c r="F152">
        <f ca="1">IFERROR(__xludf.DUMMYFUNCTION("""COMPUTED_VALUE"""),208.25)</f>
        <v>208.25</v>
      </c>
      <c r="G152">
        <f ca="1">IFERROR(__xludf.DUMMYFUNCTION("""COMPUTED_VALUE"""),4)</f>
        <v>4</v>
      </c>
      <c r="H152" t="str">
        <f ca="1">IFERROR(__xludf.DUMMYFUNCTION("""COMPUTED_VALUE"""),"+1")</f>
        <v>+1</v>
      </c>
    </row>
    <row r="153" spans="1:8" ht="12.75">
      <c r="A153">
        <f ca="1">IFERROR(__xludf.DUMMYFUNCTION("""COMPUTED_VALUE"""),152)</f>
        <v>152</v>
      </c>
      <c r="B153">
        <f ca="1">IFERROR(__xludf.DUMMYFUNCTION("""COMPUTED_VALUE"""),156)</f>
        <v>156</v>
      </c>
      <c r="C153" t="str">
        <f ca="1">IFERROR(__xludf.DUMMYFUNCTION("""COMPUTED_VALUE"""),"Steve Lewton")</f>
        <v>Steve Lewton</v>
      </c>
      <c r="D153">
        <f ca="1">IFERROR(__xludf.DUMMYFUNCTION("""COMPUTED_VALUE"""),4)</f>
        <v>4</v>
      </c>
      <c r="E153" t="str">
        <f ca="1">IFERROR(__xludf.DUMMYFUNCTION("""COMPUTED_VALUE"""),"52' 2""")</f>
        <v>52' 2"</v>
      </c>
      <c r="F153">
        <f ca="1">IFERROR(__xludf.DUMMYFUNCTION("""COMPUTED_VALUE"""),677.75)</f>
        <v>677.75</v>
      </c>
      <c r="G153">
        <f ca="1">IFERROR(__xludf.DUMMYFUNCTION("""COMPUTED_VALUE"""),13)</f>
        <v>13</v>
      </c>
      <c r="H153">
        <f ca="1">IFERROR(__xludf.DUMMYFUNCTION("""COMPUTED_VALUE"""),-2)</f>
        <v>-2</v>
      </c>
    </row>
    <row r="154" spans="1:8" ht="12.75">
      <c r="A154" t="str">
        <f ca="1">IFERROR(__xludf.DUMMYFUNCTION("""COMPUTED_VALUE"""),"T153")</f>
        <v>T153</v>
      </c>
      <c r="B154" t="str">
        <f ca="1">IFERROR(__xludf.DUMMYFUNCTION("""COMPUTED_VALUE"""),"T158")</f>
        <v>T158</v>
      </c>
      <c r="C154" t="str">
        <f ca="1">IFERROR(__xludf.DUMMYFUNCTION("""COMPUTED_VALUE"""),"Jeongwoo Ham")</f>
        <v>Jeongwoo Ham</v>
      </c>
      <c r="D154">
        <f ca="1">IFERROR(__xludf.DUMMYFUNCTION("""COMPUTED_VALUE"""),4)</f>
        <v>4</v>
      </c>
      <c r="E154" t="str">
        <f ca="1">IFERROR(__xludf.DUMMYFUNCTION("""COMPUTED_VALUE"""),"52' 5""")</f>
        <v>52' 5"</v>
      </c>
      <c r="F154">
        <f ca="1">IFERROR(__xludf.DUMMYFUNCTION("""COMPUTED_VALUE"""),838.583)</f>
        <v>838.58299999999997</v>
      </c>
      <c r="G154">
        <f ca="1">IFERROR(__xludf.DUMMYFUNCTION("""COMPUTED_VALUE"""),16)</f>
        <v>16</v>
      </c>
      <c r="H154">
        <f ca="1">IFERROR(__xludf.DUMMYFUNCTION("""COMPUTED_VALUE"""),-1)</f>
        <v>-1</v>
      </c>
    </row>
    <row r="155" spans="1:8" ht="12.75">
      <c r="A155" t="str">
        <f ca="1">IFERROR(__xludf.DUMMYFUNCTION("""COMPUTED_VALUE"""),"T153")</f>
        <v>T153</v>
      </c>
      <c r="B155" t="str">
        <f ca="1">IFERROR(__xludf.DUMMYFUNCTION("""COMPUTED_VALUE"""),"T158")</f>
        <v>T158</v>
      </c>
      <c r="C155" t="str">
        <f ca="1">IFERROR(__xludf.DUMMYFUNCTION("""COMPUTED_VALUE"""),"Ryo Ishikawa")</f>
        <v>Ryo Ishikawa</v>
      </c>
      <c r="D155">
        <f ca="1">IFERROR(__xludf.DUMMYFUNCTION("""COMPUTED_VALUE"""),8)</f>
        <v>8</v>
      </c>
      <c r="E155" t="str">
        <f ca="1">IFERROR(__xludf.DUMMYFUNCTION("""COMPUTED_VALUE"""),"52' 5""")</f>
        <v>52' 5"</v>
      </c>
      <c r="F155" s="2">
        <f ca="1">IFERROR(__xludf.DUMMYFUNCTION("""COMPUTED_VALUE"""),1520.167)</f>
        <v>1520.1669999999999</v>
      </c>
      <c r="G155">
        <f ca="1">IFERROR(__xludf.DUMMYFUNCTION("""COMPUTED_VALUE"""),29)</f>
        <v>29</v>
      </c>
      <c r="H155" t="str">
        <f ca="1">IFERROR(__xludf.DUMMYFUNCTION("""COMPUTED_VALUE"""),"+1")</f>
        <v>+1</v>
      </c>
    </row>
    <row r="156" spans="1:8" ht="12.75">
      <c r="A156" t="str">
        <f ca="1">IFERROR(__xludf.DUMMYFUNCTION("""COMPUTED_VALUE"""),"T153")</f>
        <v>T153</v>
      </c>
      <c r="B156">
        <f ca="1">IFERROR(__xludf.DUMMYFUNCTION("""COMPUTED_VALUE"""),157)</f>
        <v>157</v>
      </c>
      <c r="C156" t="str">
        <f ca="1">IFERROR(__xludf.DUMMYFUNCTION("""COMPUTED_VALUE"""),"Michael Thompson")</f>
        <v>Michael Thompson</v>
      </c>
      <c r="D156">
        <f ca="1">IFERROR(__xludf.DUMMYFUNCTION("""COMPUTED_VALUE"""),16)</f>
        <v>16</v>
      </c>
      <c r="E156" t="str">
        <f ca="1">IFERROR(__xludf.DUMMYFUNCTION("""COMPUTED_VALUE"""),"52' 5""")</f>
        <v>52' 5"</v>
      </c>
      <c r="F156" s="2">
        <f ca="1">IFERROR(__xludf.DUMMYFUNCTION("""COMPUTED_VALUE"""),3719.25)</f>
        <v>3719.25</v>
      </c>
      <c r="G156">
        <f ca="1">IFERROR(__xludf.DUMMYFUNCTION("""COMPUTED_VALUE"""),71)</f>
        <v>71</v>
      </c>
      <c r="H156">
        <f ca="1">IFERROR(__xludf.DUMMYFUNCTION("""COMPUTED_VALUE"""),-3)</f>
        <v>-3</v>
      </c>
    </row>
    <row r="157" spans="1:8" ht="12.75">
      <c r="A157">
        <f ca="1">IFERROR(__xludf.DUMMYFUNCTION("""COMPUTED_VALUE"""),156)</f>
        <v>156</v>
      </c>
      <c r="B157" t="str">
        <f ca="1">IFERROR(__xludf.DUMMYFUNCTION("""COMPUTED_VALUE"""),"T141")</f>
        <v>T141</v>
      </c>
      <c r="C157" t="str">
        <f ca="1">IFERROR(__xludf.DUMMYFUNCTION("""COMPUTED_VALUE"""),"Brooks Koepka")</f>
        <v>Brooks Koepka</v>
      </c>
      <c r="D157">
        <f ca="1">IFERROR(__xludf.DUMMYFUNCTION("""COMPUTED_VALUE"""),8)</f>
        <v>8</v>
      </c>
      <c r="E157" t="str">
        <f ca="1">IFERROR(__xludf.DUMMYFUNCTION("""COMPUTED_VALUE"""),"52' 6""")</f>
        <v>52' 6"</v>
      </c>
      <c r="F157" s="2">
        <f ca="1">IFERROR(__xludf.DUMMYFUNCTION("""COMPUTED_VALUE"""),1154.333)</f>
        <v>1154.3330000000001</v>
      </c>
      <c r="G157">
        <f ca="1">IFERROR(__xludf.DUMMYFUNCTION("""COMPUTED_VALUE"""),22)</f>
        <v>22</v>
      </c>
      <c r="H157">
        <f ca="1">IFERROR(__xludf.DUMMYFUNCTION("""COMPUTED_VALUE"""),-5)</f>
        <v>-5</v>
      </c>
    </row>
    <row r="158" spans="1:8" ht="12.75">
      <c r="A158" t="str">
        <f ca="1">IFERROR(__xludf.DUMMYFUNCTION("""COMPUTED_VALUE"""),"T157")</f>
        <v>T157</v>
      </c>
      <c r="B158">
        <f ca="1">IFERROR(__xludf.DUMMYFUNCTION("""COMPUTED_VALUE"""),181)</f>
        <v>181</v>
      </c>
      <c r="C158" t="str">
        <f ca="1">IFERROR(__xludf.DUMMYFUNCTION("""COMPUTED_VALUE"""),"Scottie Scheffler")</f>
        <v>Scottie Scheffler</v>
      </c>
      <c r="D158">
        <f ca="1">IFERROR(__xludf.DUMMYFUNCTION("""COMPUTED_VALUE"""),18)</f>
        <v>18</v>
      </c>
      <c r="E158" t="str">
        <f ca="1">IFERROR(__xludf.DUMMYFUNCTION("""COMPUTED_VALUE"""),"52' 8""")</f>
        <v>52' 8"</v>
      </c>
      <c r="F158" s="2">
        <f ca="1">IFERROR(__xludf.DUMMYFUNCTION("""COMPUTED_VALUE"""),3421.917)</f>
        <v>3421.9169999999999</v>
      </c>
      <c r="G158">
        <f ca="1">IFERROR(__xludf.DUMMYFUNCTION("""COMPUTED_VALUE"""),65)</f>
        <v>65</v>
      </c>
      <c r="H158">
        <f ca="1">IFERROR(__xludf.DUMMYFUNCTION("""COMPUTED_VALUE"""),-19)</f>
        <v>-19</v>
      </c>
    </row>
    <row r="159" spans="1:8" ht="12.75">
      <c r="A159" t="str">
        <f ca="1">IFERROR(__xludf.DUMMYFUNCTION("""COMPUTED_VALUE"""),"T157")</f>
        <v>T157</v>
      </c>
      <c r="B159" t="str">
        <f ca="1">IFERROR(__xludf.DUMMYFUNCTION("""COMPUTED_VALUE"""),"T164")</f>
        <v>T164</v>
      </c>
      <c r="C159" t="str">
        <f ca="1">IFERROR(__xludf.DUMMYFUNCTION("""COMPUTED_VALUE"""),"Tommy Fleetwood")</f>
        <v>Tommy Fleetwood</v>
      </c>
      <c r="D159">
        <f ca="1">IFERROR(__xludf.DUMMYFUNCTION("""COMPUTED_VALUE"""),10)</f>
        <v>10</v>
      </c>
      <c r="E159" t="str">
        <f ca="1">IFERROR(__xludf.DUMMYFUNCTION("""COMPUTED_VALUE"""),"52' 8""")</f>
        <v>52' 8"</v>
      </c>
      <c r="F159" s="2">
        <f ca="1">IFERROR(__xludf.DUMMYFUNCTION("""COMPUTED_VALUE"""),2107.667)</f>
        <v>2107.6669999999999</v>
      </c>
      <c r="G159">
        <f ca="1">IFERROR(__xludf.DUMMYFUNCTION("""COMPUTED_VALUE"""),40)</f>
        <v>40</v>
      </c>
      <c r="H159">
        <f ca="1">IFERROR(__xludf.DUMMYFUNCTION("""COMPUTED_VALUE"""),-2)</f>
        <v>-2</v>
      </c>
    </row>
    <row r="160" spans="1:8" ht="12.75">
      <c r="A160" t="str">
        <f ca="1">IFERROR(__xludf.DUMMYFUNCTION("""COMPUTED_VALUE"""),"T159")</f>
        <v>T159</v>
      </c>
      <c r="B160" t="str">
        <f ca="1">IFERROR(__xludf.DUMMYFUNCTION("""COMPUTED_VALUE"""),"T166")</f>
        <v>T166</v>
      </c>
      <c r="C160" t="str">
        <f ca="1">IFERROR(__xludf.DUMMYFUNCTION("""COMPUTED_VALUE"""),"Hank Lebioda")</f>
        <v>Hank Lebioda</v>
      </c>
      <c r="D160">
        <f ca="1">IFERROR(__xludf.DUMMYFUNCTION("""COMPUTED_VALUE"""),14)</f>
        <v>14</v>
      </c>
      <c r="E160" t="str">
        <f ca="1">IFERROR(__xludf.DUMMYFUNCTION("""COMPUTED_VALUE"""),"52' 9""")</f>
        <v>52' 9"</v>
      </c>
      <c r="F160">
        <f ca="1">IFERROR(__xludf.DUMMYFUNCTION("""COMPUTED_VALUE"""),685.667)</f>
        <v>685.66700000000003</v>
      </c>
      <c r="G160">
        <f ca="1">IFERROR(__xludf.DUMMYFUNCTION("""COMPUTED_VALUE"""),13)</f>
        <v>13</v>
      </c>
      <c r="H160">
        <f ca="1">IFERROR(__xludf.DUMMYFUNCTION("""COMPUTED_VALUE"""),-3)</f>
        <v>-3</v>
      </c>
    </row>
    <row r="161" spans="1:8" ht="12.75">
      <c r="A161" t="str">
        <f ca="1">IFERROR(__xludf.DUMMYFUNCTION("""COMPUTED_VALUE"""),"T159")</f>
        <v>T159</v>
      </c>
      <c r="B161" t="str">
        <f ca="1">IFERROR(__xludf.DUMMYFUNCTION("""COMPUTED_VALUE"""),"T166")</f>
        <v>T166</v>
      </c>
      <c r="C161" t="str">
        <f ca="1">IFERROR(__xludf.DUMMYFUNCTION("""COMPUTED_VALUE"""),"MJ Daffue")</f>
        <v>MJ Daffue</v>
      </c>
      <c r="D161">
        <f ca="1">IFERROR(__xludf.DUMMYFUNCTION("""COMPUTED_VALUE"""),10)</f>
        <v>10</v>
      </c>
      <c r="E161" t="str">
        <f ca="1">IFERROR(__xludf.DUMMYFUNCTION("""COMPUTED_VALUE"""),"52' 9""")</f>
        <v>52' 9"</v>
      </c>
      <c r="F161" s="2">
        <f ca="1">IFERROR(__xludf.DUMMYFUNCTION("""COMPUTED_VALUE"""),1318)</f>
        <v>1318</v>
      </c>
      <c r="G161">
        <f ca="1">IFERROR(__xludf.DUMMYFUNCTION("""COMPUTED_VALUE"""),25)</f>
        <v>25</v>
      </c>
      <c r="H161">
        <f ca="1">IFERROR(__xludf.DUMMYFUNCTION("""COMPUTED_VALUE"""),-5)</f>
        <v>-5</v>
      </c>
    </row>
    <row r="162" spans="1:8" ht="12.75">
      <c r="A162" t="str">
        <f ca="1">IFERROR(__xludf.DUMMYFUNCTION("""COMPUTED_VALUE"""),"T161")</f>
        <v>T161</v>
      </c>
      <c r="B162">
        <f ca="1">IFERROR(__xludf.DUMMYFUNCTION("""COMPUTED_VALUE"""),183)</f>
        <v>183</v>
      </c>
      <c r="C162" t="str">
        <f ca="1">IFERROR(__xludf.DUMMYFUNCTION("""COMPUTED_VALUE"""),"Hudson Swafford")</f>
        <v>Hudson Swafford</v>
      </c>
      <c r="D162">
        <f ca="1">IFERROR(__xludf.DUMMYFUNCTION("""COMPUTED_VALUE"""),18)</f>
        <v>18</v>
      </c>
      <c r="E162" t="str">
        <f ca="1">IFERROR(__xludf.DUMMYFUNCTION("""COMPUTED_VALUE"""),"52' 10""")</f>
        <v>52' 10"</v>
      </c>
      <c r="F162" s="2">
        <f ca="1">IFERROR(__xludf.DUMMYFUNCTION("""COMPUTED_VALUE"""),1426.667)</f>
        <v>1426.6669999999999</v>
      </c>
      <c r="G162">
        <f ca="1">IFERROR(__xludf.DUMMYFUNCTION("""COMPUTED_VALUE"""),27)</f>
        <v>27</v>
      </c>
      <c r="H162">
        <f ca="1">IFERROR(__xludf.DUMMYFUNCTION("""COMPUTED_VALUE"""),-5)</f>
        <v>-5</v>
      </c>
    </row>
    <row r="163" spans="1:8" ht="12.75">
      <c r="A163" t="str">
        <f ca="1">IFERROR(__xludf.DUMMYFUNCTION("""COMPUTED_VALUE"""),"T161")</f>
        <v>T161</v>
      </c>
      <c r="B163" t="str">
        <f ca="1">IFERROR(__xludf.DUMMYFUNCTION("""COMPUTED_VALUE"""),"T135")</f>
        <v>T135</v>
      </c>
      <c r="C163" t="str">
        <f ca="1">IFERROR(__xludf.DUMMYFUNCTION("""COMPUTED_VALUE"""),"Alex Noren")</f>
        <v>Alex Noren</v>
      </c>
      <c r="D163">
        <f ca="1">IFERROR(__xludf.DUMMYFUNCTION("""COMPUTED_VALUE"""),14)</f>
        <v>14</v>
      </c>
      <c r="E163" t="str">
        <f ca="1">IFERROR(__xludf.DUMMYFUNCTION("""COMPUTED_VALUE"""),"52' 10""")</f>
        <v>52' 10"</v>
      </c>
      <c r="F163" s="2">
        <f ca="1">IFERROR(__xludf.DUMMYFUNCTION("""COMPUTED_VALUE"""),2587.667)</f>
        <v>2587.6669999999999</v>
      </c>
      <c r="G163">
        <f ca="1">IFERROR(__xludf.DUMMYFUNCTION("""COMPUTED_VALUE"""),49)</f>
        <v>49</v>
      </c>
      <c r="H163">
        <f ca="1">IFERROR(__xludf.DUMMYFUNCTION("""COMPUTED_VALUE"""),-2)</f>
        <v>-2</v>
      </c>
    </row>
    <row r="164" spans="1:8" ht="12.75">
      <c r="A164" t="str">
        <f ca="1">IFERROR(__xludf.DUMMYFUNCTION("""COMPUTED_VALUE"""),"T161")</f>
        <v>T161</v>
      </c>
      <c r="B164">
        <f ca="1">IFERROR(__xludf.DUMMYFUNCTION("""COMPUTED_VALUE"""),168)</f>
        <v>168</v>
      </c>
      <c r="C164" t="str">
        <f ca="1">IFERROR(__xludf.DUMMYFUNCTION("""COMPUTED_VALUE"""),"Bill Haas")</f>
        <v>Bill Haas</v>
      </c>
      <c r="D164">
        <f ca="1">IFERROR(__xludf.DUMMYFUNCTION("""COMPUTED_VALUE"""),10)</f>
        <v>10</v>
      </c>
      <c r="E164" t="str">
        <f ca="1">IFERROR(__xludf.DUMMYFUNCTION("""COMPUTED_VALUE"""),"52' 10""")</f>
        <v>52' 10"</v>
      </c>
      <c r="F164" s="2">
        <f ca="1">IFERROR(__xludf.DUMMYFUNCTION("""COMPUTED_VALUE"""),1004)</f>
        <v>1004</v>
      </c>
      <c r="G164">
        <f ca="1">IFERROR(__xludf.DUMMYFUNCTION("""COMPUTED_VALUE"""),19)</f>
        <v>19</v>
      </c>
      <c r="H164">
        <f ca="1">IFERROR(__xludf.DUMMYFUNCTION("""COMPUTED_VALUE"""),-4)</f>
        <v>-4</v>
      </c>
    </row>
    <row r="165" spans="1:8" ht="12.75">
      <c r="A165">
        <f ca="1">IFERROR(__xludf.DUMMYFUNCTION("""COMPUTED_VALUE"""),164)</f>
        <v>164</v>
      </c>
      <c r="B165">
        <f ca="1">IFERROR(__xludf.DUMMYFUNCTION("""COMPUTED_VALUE"""),171)</f>
        <v>171</v>
      </c>
      <c r="C165" t="str">
        <f ca="1">IFERROR(__xludf.DUMMYFUNCTION("""COMPUTED_VALUE"""),"Rafa Cabrera Bello")</f>
        <v>Rafa Cabrera Bello</v>
      </c>
      <c r="D165">
        <f ca="1">IFERROR(__xludf.DUMMYFUNCTION("""COMPUTED_VALUE"""),14)</f>
        <v>14</v>
      </c>
      <c r="E165" t="str">
        <f ca="1">IFERROR(__xludf.DUMMYFUNCTION("""COMPUTED_VALUE"""),"53' 0""")</f>
        <v>53' 0"</v>
      </c>
      <c r="F165" s="2">
        <f ca="1">IFERROR(__xludf.DUMMYFUNCTION("""COMPUTED_VALUE"""),2597.833)</f>
        <v>2597.8330000000001</v>
      </c>
      <c r="G165">
        <f ca="1">IFERROR(__xludf.DUMMYFUNCTION("""COMPUTED_VALUE"""),49)</f>
        <v>49</v>
      </c>
      <c r="H165">
        <f ca="1">IFERROR(__xludf.DUMMYFUNCTION("""COMPUTED_VALUE"""),-9)</f>
        <v>-9</v>
      </c>
    </row>
    <row r="166" spans="1:8" ht="12.75">
      <c r="A166" t="str">
        <f ca="1">IFERROR(__xludf.DUMMYFUNCTION("""COMPUTED_VALUE"""),"T165")</f>
        <v>T165</v>
      </c>
      <c r="B166" t="str">
        <f ca="1">IFERROR(__xludf.DUMMYFUNCTION("""COMPUTED_VALUE"""),"T172")</f>
        <v>T172</v>
      </c>
      <c r="C166" t="str">
        <f ca="1">IFERROR(__xludf.DUMMYFUNCTION("""COMPUTED_VALUE"""),"Tae Hee Lee")</f>
        <v>Tae Hee Lee</v>
      </c>
      <c r="D166">
        <f ca="1">IFERROR(__xludf.DUMMYFUNCTION("""COMPUTED_VALUE"""),4)</f>
        <v>4</v>
      </c>
      <c r="E166" t="str">
        <f ca="1">IFERROR(__xludf.DUMMYFUNCTION("""COMPUTED_VALUE"""),"53' 1""")</f>
        <v>53' 1"</v>
      </c>
      <c r="F166">
        <f ca="1">IFERROR(__xludf.DUMMYFUNCTION("""COMPUTED_VALUE"""),690.417)</f>
        <v>690.41700000000003</v>
      </c>
      <c r="G166">
        <f ca="1">IFERROR(__xludf.DUMMYFUNCTION("""COMPUTED_VALUE"""),13)</f>
        <v>13</v>
      </c>
      <c r="H166" t="str">
        <f ca="1">IFERROR(__xludf.DUMMYFUNCTION("""COMPUTED_VALUE"""),"+2")</f>
        <v>+2</v>
      </c>
    </row>
    <row r="167" spans="1:8" ht="12.75">
      <c r="A167" t="str">
        <f ca="1">IFERROR(__xludf.DUMMYFUNCTION("""COMPUTED_VALUE"""),"T165")</f>
        <v>T165</v>
      </c>
      <c r="B167" t="str">
        <f ca="1">IFERROR(__xludf.DUMMYFUNCTION("""COMPUTED_VALUE"""),"T66")</f>
        <v>T66</v>
      </c>
      <c r="C167" t="str">
        <f ca="1">IFERROR(__xludf.DUMMYFUNCTION("""COMPUTED_VALUE"""),"Keith Mitchell")</f>
        <v>Keith Mitchell</v>
      </c>
      <c r="D167">
        <f ca="1">IFERROR(__xludf.DUMMYFUNCTION("""COMPUTED_VALUE"""),14)</f>
        <v>14</v>
      </c>
      <c r="E167" t="str">
        <f ca="1">IFERROR(__xludf.DUMMYFUNCTION("""COMPUTED_VALUE"""),"53' 1""")</f>
        <v>53' 1"</v>
      </c>
      <c r="F167">
        <f ca="1">IFERROR(__xludf.DUMMYFUNCTION("""COMPUTED_VALUE"""),742.75)</f>
        <v>742.75</v>
      </c>
      <c r="G167">
        <f ca="1">IFERROR(__xludf.DUMMYFUNCTION("""COMPUTED_VALUE"""),14)</f>
        <v>14</v>
      </c>
      <c r="H167" t="str">
        <f ca="1">IFERROR(__xludf.DUMMYFUNCTION("""COMPUTED_VALUE"""),"+1")</f>
        <v>+1</v>
      </c>
    </row>
    <row r="168" spans="1:8" ht="12.75">
      <c r="A168" t="str">
        <f ca="1">IFERROR(__xludf.DUMMYFUNCTION("""COMPUTED_VALUE"""),"T167")</f>
        <v>T167</v>
      </c>
      <c r="B168" t="str">
        <f ca="1">IFERROR(__xludf.DUMMYFUNCTION("""COMPUTED_VALUE"""),"T174")</f>
        <v>T174</v>
      </c>
      <c r="C168" t="str">
        <f ca="1">IFERROR(__xludf.DUMMYFUNCTION("""COMPUTED_VALUE"""),"Chesson Hadley")</f>
        <v>Chesson Hadley</v>
      </c>
      <c r="D168">
        <f ca="1">IFERROR(__xludf.DUMMYFUNCTION("""COMPUTED_VALUE"""),16)</f>
        <v>16</v>
      </c>
      <c r="E168" t="str">
        <f ca="1">IFERROR(__xludf.DUMMYFUNCTION("""COMPUTED_VALUE"""),"53' 2""")</f>
        <v>53' 2"</v>
      </c>
      <c r="F168" s="2">
        <f ca="1">IFERROR(__xludf.DUMMYFUNCTION("""COMPUTED_VALUE"""),1861.333)</f>
        <v>1861.3330000000001</v>
      </c>
      <c r="G168">
        <f ca="1">IFERROR(__xludf.DUMMYFUNCTION("""COMPUTED_VALUE"""),35)</f>
        <v>35</v>
      </c>
      <c r="H168" t="str">
        <f ca="1">IFERROR(__xludf.DUMMYFUNCTION("""COMPUTED_VALUE"""),"E")</f>
        <v>E</v>
      </c>
    </row>
    <row r="169" spans="1:8" ht="12.75">
      <c r="A169" t="str">
        <f ca="1">IFERROR(__xludf.DUMMYFUNCTION("""COMPUTED_VALUE"""),"T167")</f>
        <v>T167</v>
      </c>
      <c r="B169" t="str">
        <f ca="1">IFERROR(__xludf.DUMMYFUNCTION("""COMPUTED_VALUE"""),"T174")</f>
        <v>T174</v>
      </c>
      <c r="C169" t="str">
        <f ca="1">IFERROR(__xludf.DUMMYFUNCTION("""COMPUTED_VALUE"""),"Chan Kim")</f>
        <v>Chan Kim</v>
      </c>
      <c r="D169">
        <f ca="1">IFERROR(__xludf.DUMMYFUNCTION("""COMPUTED_VALUE"""),6)</f>
        <v>6</v>
      </c>
      <c r="E169" t="str">
        <f ca="1">IFERROR(__xludf.DUMMYFUNCTION("""COMPUTED_VALUE"""),"53' 2""")</f>
        <v>53' 2"</v>
      </c>
      <c r="F169" s="2">
        <f ca="1">IFERROR(__xludf.DUMMYFUNCTION("""COMPUTED_VALUE"""),1009.5)</f>
        <v>1009.5</v>
      </c>
      <c r="G169">
        <f ca="1">IFERROR(__xludf.DUMMYFUNCTION("""COMPUTED_VALUE"""),19)</f>
        <v>19</v>
      </c>
      <c r="H169" t="str">
        <f ca="1">IFERROR(__xludf.DUMMYFUNCTION("""COMPUTED_VALUE"""),"+2")</f>
        <v>+2</v>
      </c>
    </row>
    <row r="170" spans="1:8" ht="12.75">
      <c r="A170">
        <f ca="1">IFERROR(__xludf.DUMMYFUNCTION("""COMPUTED_VALUE"""),169)</f>
        <v>169</v>
      </c>
      <c r="B170" t="str">
        <f ca="1">IFERROR(__xludf.DUMMYFUNCTION("""COMPUTED_VALUE"""),"T69")</f>
        <v>T69</v>
      </c>
      <c r="C170" t="str">
        <f ca="1">IFERROR(__xludf.DUMMYFUNCTION("""COMPUTED_VALUE"""),"Jhonattan Vegas")</f>
        <v>Jhonattan Vegas</v>
      </c>
      <c r="D170">
        <f ca="1">IFERROR(__xludf.DUMMYFUNCTION("""COMPUTED_VALUE"""),16)</f>
        <v>16</v>
      </c>
      <c r="E170" t="str">
        <f ca="1">IFERROR(__xludf.DUMMYFUNCTION("""COMPUTED_VALUE"""),"53' 3""")</f>
        <v>53' 3"</v>
      </c>
      <c r="F170" s="2">
        <f ca="1">IFERROR(__xludf.DUMMYFUNCTION("""COMPUTED_VALUE"""),1437.083)</f>
        <v>1437.0830000000001</v>
      </c>
      <c r="G170">
        <f ca="1">IFERROR(__xludf.DUMMYFUNCTION("""COMPUTED_VALUE"""),27)</f>
        <v>27</v>
      </c>
      <c r="H170">
        <f ca="1">IFERROR(__xludf.DUMMYFUNCTION("""COMPUTED_VALUE"""),-5)</f>
        <v>-5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IFERROR(__xludf.DUMMYFUNCTION("""COMPUTED_VALUE"""),"T172")</f>
        <v>T172</v>
      </c>
      <c r="C171" t="str">
        <f ca="1">IFERROR(__xludf.DUMMYFUNCTION("""COMPUTED_VALUE"""),"Kevin Streelman")</f>
        <v>Kevin Streelman</v>
      </c>
      <c r="D171">
        <f ca="1">IFERROR(__xludf.DUMMYFUNCTION("""COMPUTED_VALUE"""),18)</f>
        <v>18</v>
      </c>
      <c r="E171" t="str">
        <f ca="1">IFERROR(__xludf.DUMMYFUNCTION("""COMPUTED_VALUE"""),"53' 4""")</f>
        <v>53' 4"</v>
      </c>
      <c r="F171" s="2">
        <f ca="1">IFERROR(__xludf.DUMMYFUNCTION("""COMPUTED_VALUE"""),3358.5)</f>
        <v>3358.5</v>
      </c>
      <c r="G171">
        <f ca="1">IFERROR(__xludf.DUMMYFUNCTION("""COMPUTED_VALUE"""),63)</f>
        <v>63</v>
      </c>
      <c r="H171">
        <f ca="1">IFERROR(__xludf.DUMMYFUNCTION("""COMPUTED_VALUE"""),-8)</f>
        <v>-8</v>
      </c>
    </row>
    <row r="172" spans="1:8" ht="12.75">
      <c r="A172" t="str">
        <f ca="1">IFERROR(__xludf.DUMMYFUNCTION("""COMPUTED_VALUE"""),"T170")</f>
        <v>T170</v>
      </c>
      <c r="B172">
        <f ca="1">IFERROR(__xludf.DUMMYFUNCTION("""COMPUTED_VALUE"""),86)</f>
        <v>86</v>
      </c>
      <c r="C172" t="str">
        <f ca="1">IFERROR(__xludf.DUMMYFUNCTION("""COMPUTED_VALUE"""),"Pat Perez")</f>
        <v>Pat Perez</v>
      </c>
      <c r="D172">
        <f ca="1">IFERROR(__xludf.DUMMYFUNCTION("""COMPUTED_VALUE"""),16)</f>
        <v>16</v>
      </c>
      <c r="E172" t="str">
        <f ca="1">IFERROR(__xludf.DUMMYFUNCTION("""COMPUTED_VALUE"""),"53' 4""")</f>
        <v>53' 4"</v>
      </c>
      <c r="F172" s="2">
        <f ca="1">IFERROR(__xludf.DUMMYFUNCTION("""COMPUTED_VALUE"""),1546.417)</f>
        <v>1546.4169999999999</v>
      </c>
      <c r="G172">
        <f ca="1">IFERROR(__xludf.DUMMYFUNCTION("""COMPUTED_VALUE"""),29)</f>
        <v>29</v>
      </c>
      <c r="H172">
        <f ca="1">IFERROR(__xludf.DUMMYFUNCTION("""COMPUTED_VALUE"""),-9)</f>
        <v>-9</v>
      </c>
    </row>
    <row r="173" spans="1:8" ht="12.75">
      <c r="A173" t="str">
        <f ca="1">IFERROR(__xludf.DUMMYFUNCTION("""COMPUTED_VALUE"""),"T170")</f>
        <v>T170</v>
      </c>
      <c r="B173">
        <f ca="1">IFERROR(__xludf.DUMMYFUNCTION("""COMPUTED_VALUE"""),177)</f>
        <v>177</v>
      </c>
      <c r="C173" t="str">
        <f ca="1">IFERROR(__xludf.DUMMYFUNCTION("""COMPUTED_VALUE"""),"Dominic Bozzelli")</f>
        <v>Dominic Bozzelli</v>
      </c>
      <c r="D173">
        <f ca="1">IFERROR(__xludf.DUMMYFUNCTION("""COMPUTED_VALUE"""),8)</f>
        <v>8</v>
      </c>
      <c r="E173" t="str">
        <f ca="1">IFERROR(__xludf.DUMMYFUNCTION("""COMPUTED_VALUE"""),"53' 4""")</f>
        <v>53' 4"</v>
      </c>
      <c r="F173">
        <f ca="1">IFERROR(__xludf.DUMMYFUNCTION("""COMPUTED_VALUE"""),266.833)</f>
        <v>266.83300000000003</v>
      </c>
      <c r="G173">
        <f ca="1">IFERROR(__xludf.DUMMYFUNCTION("""COMPUTED_VALUE"""),5)</f>
        <v>5</v>
      </c>
      <c r="H173">
        <f ca="1">IFERROR(__xludf.DUMMYFUNCTION("""COMPUTED_VALUE"""),-1)</f>
        <v>-1</v>
      </c>
    </row>
    <row r="174" spans="1:8" ht="12.75">
      <c r="A174" t="str">
        <f ca="1">IFERROR(__xludf.DUMMYFUNCTION("""COMPUTED_VALUE"""),"T173")</f>
        <v>T173</v>
      </c>
      <c r="B174" t="str">
        <f ca="1">IFERROR(__xludf.DUMMYFUNCTION("""COMPUTED_VALUE"""),"T178")</f>
        <v>T178</v>
      </c>
      <c r="C174" t="str">
        <f ca="1">IFERROR(__xludf.DUMMYFUNCTION("""COMPUTED_VALUE"""),"Davis Riley")</f>
        <v>Davis Riley</v>
      </c>
      <c r="D174">
        <f ca="1">IFERROR(__xludf.DUMMYFUNCTION("""COMPUTED_VALUE"""),4)</f>
        <v>4</v>
      </c>
      <c r="E174" t="str">
        <f ca="1">IFERROR(__xludf.DUMMYFUNCTION("""COMPUTED_VALUE"""),"53' 5""")</f>
        <v>53' 5"</v>
      </c>
      <c r="F174">
        <f ca="1">IFERROR(__xludf.DUMMYFUNCTION("""COMPUTED_VALUE"""),800.75)</f>
        <v>800.75</v>
      </c>
      <c r="G174">
        <f ca="1">IFERROR(__xludf.DUMMYFUNCTION("""COMPUTED_VALUE"""),15)</f>
        <v>15</v>
      </c>
      <c r="H174" t="str">
        <f ca="1">IFERROR(__xludf.DUMMYFUNCTION("""COMPUTED_VALUE"""),"+3")</f>
        <v>+3</v>
      </c>
    </row>
    <row r="175" spans="1:8" ht="12.75">
      <c r="A175" t="str">
        <f ca="1">IFERROR(__xludf.DUMMYFUNCTION("""COMPUTED_VALUE"""),"T173")</f>
        <v>T173</v>
      </c>
      <c r="B175" t="str">
        <f ca="1">IFERROR(__xludf.DUMMYFUNCTION("""COMPUTED_VALUE"""),"T178")</f>
        <v>T178</v>
      </c>
      <c r="C175" t="str">
        <f ca="1">IFERROR(__xludf.DUMMYFUNCTION("""COMPUTED_VALUE"""),"J.B. Holmes")</f>
        <v>J.B. Holmes</v>
      </c>
      <c r="D175">
        <f ca="1">IFERROR(__xludf.DUMMYFUNCTION("""COMPUTED_VALUE"""),10)</f>
        <v>10</v>
      </c>
      <c r="E175" t="str">
        <f ca="1">IFERROR(__xludf.DUMMYFUNCTION("""COMPUTED_VALUE"""),"53' 5""")</f>
        <v>53' 5"</v>
      </c>
      <c r="F175" s="2">
        <f ca="1">IFERROR(__xludf.DUMMYFUNCTION("""COMPUTED_VALUE"""),1227.667)</f>
        <v>1227.6669999999999</v>
      </c>
      <c r="G175">
        <f ca="1">IFERROR(__xludf.DUMMYFUNCTION("""COMPUTED_VALUE"""),23)</f>
        <v>23</v>
      </c>
      <c r="H175" t="str">
        <f ca="1">IFERROR(__xludf.DUMMYFUNCTION("""COMPUTED_VALUE"""),"+2")</f>
        <v>+2</v>
      </c>
    </row>
    <row r="176" spans="1:8" ht="12.75">
      <c r="A176" t="str">
        <f ca="1">IFERROR(__xludf.DUMMYFUNCTION("""COMPUTED_VALUE"""),"T173")</f>
        <v>T173</v>
      </c>
      <c r="B176" t="str">
        <f ca="1">IFERROR(__xludf.DUMMYFUNCTION("""COMPUTED_VALUE"""),"T178")</f>
        <v>T178</v>
      </c>
      <c r="C176" t="str">
        <f ca="1">IFERROR(__xludf.DUMMYFUNCTION("""COMPUTED_VALUE"""),"Rickie Fowler")</f>
        <v>Rickie Fowler</v>
      </c>
      <c r="D176">
        <f ca="1">IFERROR(__xludf.DUMMYFUNCTION("""COMPUTED_VALUE"""),14)</f>
        <v>14</v>
      </c>
      <c r="E176" t="str">
        <f ca="1">IFERROR(__xludf.DUMMYFUNCTION("""COMPUTED_VALUE"""),"53' 5""")</f>
        <v>53' 5"</v>
      </c>
      <c r="F176" s="2">
        <f ca="1">IFERROR(__xludf.DUMMYFUNCTION("""COMPUTED_VALUE"""),2349)</f>
        <v>2349</v>
      </c>
      <c r="G176">
        <f ca="1">IFERROR(__xludf.DUMMYFUNCTION("""COMPUTED_VALUE"""),44)</f>
        <v>44</v>
      </c>
      <c r="H176">
        <f ca="1">IFERROR(__xludf.DUMMYFUNCTION("""COMPUTED_VALUE"""),-2)</f>
        <v>-2</v>
      </c>
    </row>
    <row r="177" spans="1:8" ht="12.75">
      <c r="A177" t="str">
        <f ca="1">IFERROR(__xludf.DUMMYFUNCTION("""COMPUTED_VALUE"""),"T176")</f>
        <v>T176</v>
      </c>
      <c r="B177" t="str">
        <f ca="1">IFERROR(__xludf.DUMMYFUNCTION("""COMPUTED_VALUE"""),"T139")</f>
        <v>T139</v>
      </c>
      <c r="C177" t="str">
        <f ca="1">IFERROR(__xludf.DUMMYFUNCTION("""COMPUTED_VALUE"""),"Brice Garnett")</f>
        <v>Brice Garnett</v>
      </c>
      <c r="D177">
        <f ca="1">IFERROR(__xludf.DUMMYFUNCTION("""COMPUTED_VALUE"""),22)</f>
        <v>22</v>
      </c>
      <c r="E177" t="str">
        <f ca="1">IFERROR(__xludf.DUMMYFUNCTION("""COMPUTED_VALUE"""),"53' 7""")</f>
        <v>53' 7"</v>
      </c>
      <c r="F177" s="2">
        <f ca="1">IFERROR(__xludf.DUMMYFUNCTION("""COMPUTED_VALUE"""),2570.417)</f>
        <v>2570.4169999999999</v>
      </c>
      <c r="G177">
        <f ca="1">IFERROR(__xludf.DUMMYFUNCTION("""COMPUTED_VALUE"""),48)</f>
        <v>48</v>
      </c>
      <c r="H177">
        <f ca="1">IFERROR(__xludf.DUMMYFUNCTION("""COMPUTED_VALUE"""),-11)</f>
        <v>-11</v>
      </c>
    </row>
    <row r="178" spans="1:8" ht="12.75">
      <c r="A178" t="str">
        <f ca="1">IFERROR(__xludf.DUMMYFUNCTION("""COMPUTED_VALUE"""),"T176")</f>
        <v>T176</v>
      </c>
      <c r="B178" t="str">
        <f ca="1">IFERROR(__xludf.DUMMYFUNCTION("""COMPUTED_VALUE"""),"T133")</f>
        <v>T133</v>
      </c>
      <c r="C178" t="str">
        <f ca="1">IFERROR(__xludf.DUMMYFUNCTION("""COMPUTED_VALUE"""),"Jimmy Walker")</f>
        <v>Jimmy Walker</v>
      </c>
      <c r="D178">
        <f ca="1">IFERROR(__xludf.DUMMYFUNCTION("""COMPUTED_VALUE"""),10)</f>
        <v>10</v>
      </c>
      <c r="E178" t="str">
        <f ca="1">IFERROR(__xludf.DUMMYFUNCTION("""COMPUTED_VALUE"""),"53' 7""")</f>
        <v>53' 7"</v>
      </c>
      <c r="F178" s="2">
        <f ca="1">IFERROR(__xludf.DUMMYFUNCTION("""COMPUTED_VALUE"""),1552.75)</f>
        <v>1552.75</v>
      </c>
      <c r="G178">
        <f ca="1">IFERROR(__xludf.DUMMYFUNCTION("""COMPUTED_VALUE"""),29)</f>
        <v>29</v>
      </c>
      <c r="H178" t="str">
        <f ca="1">IFERROR(__xludf.DUMMYFUNCTION("""COMPUTED_VALUE"""),"+2")</f>
        <v>+2</v>
      </c>
    </row>
    <row r="179" spans="1:8" ht="12.75">
      <c r="A179" t="str">
        <f ca="1">IFERROR(__xludf.DUMMYFUNCTION("""COMPUTED_VALUE"""),"T178")</f>
        <v>T178</v>
      </c>
      <c r="B179">
        <f ca="1">IFERROR(__xludf.DUMMYFUNCTION("""COMPUTED_VALUE"""),182)</f>
        <v>182</v>
      </c>
      <c r="C179" t="str">
        <f ca="1">IFERROR(__xludf.DUMMYFUNCTION("""COMPUTED_VALUE"""),"Naoki Sekito")</f>
        <v>Naoki Sekito</v>
      </c>
      <c r="D179">
        <f ca="1">IFERROR(__xludf.DUMMYFUNCTION("""COMPUTED_VALUE"""),4)</f>
        <v>4</v>
      </c>
      <c r="E179" t="str">
        <f ca="1">IFERROR(__xludf.DUMMYFUNCTION("""COMPUTED_VALUE"""),"53' 8""")</f>
        <v>53' 8"</v>
      </c>
      <c r="F179">
        <f ca="1">IFERROR(__xludf.DUMMYFUNCTION("""COMPUTED_VALUE"""),912.917)</f>
        <v>912.91700000000003</v>
      </c>
      <c r="G179">
        <f ca="1">IFERROR(__xludf.DUMMYFUNCTION("""COMPUTED_VALUE"""),17)</f>
        <v>17</v>
      </c>
      <c r="H179">
        <f ca="1">IFERROR(__xludf.DUMMYFUNCTION("""COMPUTED_VALUE"""),-8)</f>
        <v>-8</v>
      </c>
    </row>
    <row r="180" spans="1:8" ht="12.75">
      <c r="A180" t="str">
        <f ca="1">IFERROR(__xludf.DUMMYFUNCTION("""COMPUTED_VALUE"""),"T178")</f>
        <v>T178</v>
      </c>
      <c r="B180" t="str">
        <f ca="1">IFERROR(__xludf.DUMMYFUNCTION("""COMPUTED_VALUE"""),"T169")</f>
        <v>T169</v>
      </c>
      <c r="C180" t="str">
        <f ca="1">IFERROR(__xludf.DUMMYFUNCTION("""COMPUTED_VALUE"""),"Andrew Landry")</f>
        <v>Andrew Landry</v>
      </c>
      <c r="D180">
        <f ca="1">IFERROR(__xludf.DUMMYFUNCTION("""COMPUTED_VALUE"""),14)</f>
        <v>14</v>
      </c>
      <c r="E180" t="str">
        <f ca="1">IFERROR(__xludf.DUMMYFUNCTION("""COMPUTED_VALUE"""),"53' 8""")</f>
        <v>53' 8"</v>
      </c>
      <c r="F180" s="2">
        <f ca="1">IFERROR(__xludf.DUMMYFUNCTION("""COMPUTED_VALUE"""),2899.5)</f>
        <v>2899.5</v>
      </c>
      <c r="G180">
        <f ca="1">IFERROR(__xludf.DUMMYFUNCTION("""COMPUTED_VALUE"""),54)</f>
        <v>54</v>
      </c>
      <c r="H180">
        <f ca="1">IFERROR(__xludf.DUMMYFUNCTION("""COMPUTED_VALUE"""),-8)</f>
        <v>-8</v>
      </c>
    </row>
    <row r="181" spans="1:8" ht="12.75">
      <c r="A181">
        <f ca="1">IFERROR(__xludf.DUMMYFUNCTION("""COMPUTED_VALUE"""),180)</f>
        <v>180</v>
      </c>
      <c r="B181" t="str">
        <f ca="1">IFERROR(__xludf.DUMMYFUNCTION("""COMPUTED_VALUE"""),"T158")</f>
        <v>T158</v>
      </c>
      <c r="C181" t="str">
        <f ca="1">IFERROR(__xludf.DUMMYFUNCTION("""COMPUTED_VALUE"""),"Mackenzie Hughes")</f>
        <v>Mackenzie Hughes</v>
      </c>
      <c r="D181">
        <f ca="1">IFERROR(__xludf.DUMMYFUNCTION("""COMPUTED_VALUE"""),18)</f>
        <v>18</v>
      </c>
      <c r="E181" t="str">
        <f ca="1">IFERROR(__xludf.DUMMYFUNCTION("""COMPUTED_VALUE"""),"53' 9""")</f>
        <v>53' 9"</v>
      </c>
      <c r="F181" s="2">
        <f ca="1">IFERROR(__xludf.DUMMYFUNCTION("""COMPUTED_VALUE"""),2792.833)</f>
        <v>2792.8330000000001</v>
      </c>
      <c r="G181">
        <f ca="1">IFERROR(__xludf.DUMMYFUNCTION("""COMPUTED_VALUE"""),52)</f>
        <v>52</v>
      </c>
      <c r="H181">
        <f ca="1">IFERROR(__xludf.DUMMYFUNCTION("""COMPUTED_VALUE"""),-6)</f>
        <v>-6</v>
      </c>
    </row>
    <row r="182" spans="1:8" ht="12.75">
      <c r="A182">
        <f ca="1">IFERROR(__xludf.DUMMYFUNCTION("""COMPUTED_VALUE"""),181)</f>
        <v>181</v>
      </c>
      <c r="B182" t="str">
        <f ca="1">IFERROR(__xludf.DUMMYFUNCTION("""COMPUTED_VALUE"""),"T184")</f>
        <v>T184</v>
      </c>
      <c r="C182" t="str">
        <f ca="1">IFERROR(__xludf.DUMMYFUNCTION("""COMPUTED_VALUE"""),"Matt Kuchar")</f>
        <v>Matt Kuchar</v>
      </c>
      <c r="D182">
        <f ca="1">IFERROR(__xludf.DUMMYFUNCTION("""COMPUTED_VALUE"""),14)</f>
        <v>14</v>
      </c>
      <c r="E182" t="str">
        <f ca="1">IFERROR(__xludf.DUMMYFUNCTION("""COMPUTED_VALUE"""),"53' 11""")</f>
        <v>53' 11"</v>
      </c>
      <c r="F182" s="2">
        <f ca="1">IFERROR(__xludf.DUMMYFUNCTION("""COMPUTED_VALUE"""),3449.75)</f>
        <v>3449.75</v>
      </c>
      <c r="G182">
        <f ca="1">IFERROR(__xludf.DUMMYFUNCTION("""COMPUTED_VALUE"""),64)</f>
        <v>64</v>
      </c>
      <c r="H182">
        <f ca="1">IFERROR(__xludf.DUMMYFUNCTION("""COMPUTED_VALUE"""),-5)</f>
        <v>-5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IFERROR(__xludf.DUMMYFUNCTION("""COMPUTED_VALUE"""),"T186")</f>
        <v>T186</v>
      </c>
      <c r="C183" t="str">
        <f ca="1">IFERROR(__xludf.DUMMYFUNCTION("""COMPUTED_VALUE"""),"Shaun Norris")</f>
        <v>Shaun Norris</v>
      </c>
      <c r="D183">
        <f ca="1">IFERROR(__xludf.DUMMYFUNCTION("""COMPUTED_VALUE"""),6)</f>
        <v>6</v>
      </c>
      <c r="E183" t="str">
        <f ca="1">IFERROR(__xludf.DUMMYFUNCTION("""COMPUTED_VALUE"""),"54' 1""")</f>
        <v>54' 1"</v>
      </c>
      <c r="F183" s="2">
        <f ca="1">IFERROR(__xludf.DUMMYFUNCTION("""COMPUTED_VALUE"""),1298.667)</f>
        <v>1298.6669999999999</v>
      </c>
      <c r="G183">
        <f ca="1">IFERROR(__xludf.DUMMYFUNCTION("""COMPUTED_VALUE"""),24)</f>
        <v>24</v>
      </c>
      <c r="H183">
        <f ca="1">IFERROR(__xludf.DUMMYFUNCTION("""COMPUTED_VALUE"""),-4)</f>
        <v>-4</v>
      </c>
    </row>
    <row r="184" spans="1:8" ht="12.75">
      <c r="A184" t="str">
        <f ca="1">IFERROR(__xludf.DUMMYFUNCTION("""COMPUTED_VALUE"""),"T182")</f>
        <v>T182</v>
      </c>
      <c r="B184" t="str">
        <f ca="1">IFERROR(__xludf.DUMMYFUNCTION("""COMPUTED_VALUE"""),"T186")</f>
        <v>T186</v>
      </c>
      <c r="C184" t="str">
        <f ca="1">IFERROR(__xludf.DUMMYFUNCTION("""COMPUTED_VALUE"""),"Daniel Berger")</f>
        <v>Daniel Berger</v>
      </c>
      <c r="D184">
        <f ca="1">IFERROR(__xludf.DUMMYFUNCTION("""COMPUTED_VALUE"""),12)</f>
        <v>12</v>
      </c>
      <c r="E184" t="str">
        <f ca="1">IFERROR(__xludf.DUMMYFUNCTION("""COMPUTED_VALUE"""),"54' 1""")</f>
        <v>54' 1"</v>
      </c>
      <c r="F184" s="2">
        <f ca="1">IFERROR(__xludf.DUMMYFUNCTION("""COMPUTED_VALUE"""),2272.167)</f>
        <v>2272.1669999999999</v>
      </c>
      <c r="G184">
        <f ca="1">IFERROR(__xludf.DUMMYFUNCTION("""COMPUTED_VALUE"""),42)</f>
        <v>42</v>
      </c>
      <c r="H184" t="str">
        <f ca="1">IFERROR(__xludf.DUMMYFUNCTION("""COMPUTED_VALUE"""),"+1")</f>
        <v>+1</v>
      </c>
    </row>
    <row r="185" spans="1:8" ht="12.75">
      <c r="A185">
        <f ca="1">IFERROR(__xludf.DUMMYFUNCTION("""COMPUTED_VALUE"""),184)</f>
        <v>184</v>
      </c>
      <c r="B185" t="str">
        <f ca="1">IFERROR(__xludf.DUMMYFUNCTION("""COMPUTED_VALUE"""),"T191")</f>
        <v>T191</v>
      </c>
      <c r="C185" t="str">
        <f ca="1">IFERROR(__xludf.DUMMYFUNCTION("""COMPUTED_VALUE"""),"Jim Herman")</f>
        <v>Jim Herman</v>
      </c>
      <c r="D185">
        <f ca="1">IFERROR(__xludf.DUMMYFUNCTION("""COMPUTED_VALUE"""),12)</f>
        <v>12</v>
      </c>
      <c r="E185" t="str">
        <f ca="1">IFERROR(__xludf.DUMMYFUNCTION("""COMPUTED_VALUE"""),"54' 4""")</f>
        <v>54' 4"</v>
      </c>
      <c r="F185" s="2">
        <f ca="1">IFERROR(__xludf.DUMMYFUNCTION("""COMPUTED_VALUE"""),2226.25)</f>
        <v>2226.25</v>
      </c>
      <c r="G185">
        <f ca="1">IFERROR(__xludf.DUMMYFUNCTION("""COMPUTED_VALUE"""),41)</f>
        <v>41</v>
      </c>
      <c r="H185" t="str">
        <f ca="1">IFERROR(__xludf.DUMMYFUNCTION("""COMPUTED_VALUE"""),"+1")</f>
        <v>+1</v>
      </c>
    </row>
    <row r="186" spans="1:8" ht="12.75">
      <c r="A186" t="str">
        <f ca="1">IFERROR(__xludf.DUMMYFUNCTION("""COMPUTED_VALUE"""),"T185")</f>
        <v>T185</v>
      </c>
      <c r="B186" t="str">
        <f ca="1">IFERROR(__xludf.DUMMYFUNCTION("""COMPUTED_VALUE"""),"T169")</f>
        <v>T169</v>
      </c>
      <c r="C186" t="str">
        <f ca="1">IFERROR(__xludf.DUMMYFUNCTION("""COMPUTED_VALUE"""),"Brian Stuard")</f>
        <v>Brian Stuard</v>
      </c>
      <c r="D186">
        <f ca="1">IFERROR(__xludf.DUMMYFUNCTION("""COMPUTED_VALUE"""),18)</f>
        <v>18</v>
      </c>
      <c r="E186" t="str">
        <f ca="1">IFERROR(__xludf.DUMMYFUNCTION("""COMPUTED_VALUE"""),"54' 5""")</f>
        <v>54' 5"</v>
      </c>
      <c r="F186" s="2">
        <f ca="1">IFERROR(__xludf.DUMMYFUNCTION("""COMPUTED_VALUE"""),1959.333)</f>
        <v>1959.3330000000001</v>
      </c>
      <c r="G186">
        <f ca="1">IFERROR(__xludf.DUMMYFUNCTION("""COMPUTED_VALUE"""),36)</f>
        <v>36</v>
      </c>
      <c r="H186">
        <f ca="1">IFERROR(__xludf.DUMMYFUNCTION("""COMPUTED_VALUE"""),-7)</f>
        <v>-7</v>
      </c>
    </row>
    <row r="187" spans="1:8" ht="12.75">
      <c r="A187" t="str">
        <f ca="1">IFERROR(__xludf.DUMMYFUNCTION("""COMPUTED_VALUE"""),"T185")</f>
        <v>T185</v>
      </c>
      <c r="B187">
        <f ca="1">IFERROR(__xludf.DUMMYFUNCTION("""COMPUTED_VALUE"""),197)</f>
        <v>197</v>
      </c>
      <c r="C187" t="str">
        <f ca="1">IFERROR(__xludf.DUMMYFUNCTION("""COMPUTED_VALUE"""),"Hideki Matsuyama")</f>
        <v>Hideki Matsuyama</v>
      </c>
      <c r="D187">
        <f ca="1">IFERROR(__xludf.DUMMYFUNCTION("""COMPUTED_VALUE"""),18)</f>
        <v>18</v>
      </c>
      <c r="E187" t="str">
        <f ca="1">IFERROR(__xludf.DUMMYFUNCTION("""COMPUTED_VALUE"""),"54' 5""")</f>
        <v>54' 5"</v>
      </c>
      <c r="F187" s="2">
        <f ca="1">IFERROR(__xludf.DUMMYFUNCTION("""COMPUTED_VALUE"""),3264.583)</f>
        <v>3264.5830000000001</v>
      </c>
      <c r="G187">
        <f ca="1">IFERROR(__xludf.DUMMYFUNCTION("""COMPUTED_VALUE"""),60)</f>
        <v>60</v>
      </c>
      <c r="H187">
        <f ca="1">IFERROR(__xludf.DUMMYFUNCTION("""COMPUTED_VALUE"""),-4)</f>
        <v>-4</v>
      </c>
    </row>
    <row r="188" spans="1:8" ht="12.75">
      <c r="A188" t="str">
        <f ca="1">IFERROR(__xludf.DUMMYFUNCTION("""COMPUTED_VALUE"""),"T185")</f>
        <v>T185</v>
      </c>
      <c r="B188" t="str">
        <f ca="1">IFERROR(__xludf.DUMMYFUNCTION("""COMPUTED_VALUE"""),"T193")</f>
        <v>T193</v>
      </c>
      <c r="C188" t="str">
        <f ca="1">IFERROR(__xludf.DUMMYFUNCTION("""COMPUTED_VALUE"""),"Matt Every")</f>
        <v>Matt Every</v>
      </c>
      <c r="D188">
        <f ca="1">IFERROR(__xludf.DUMMYFUNCTION("""COMPUTED_VALUE"""),8)</f>
        <v>8</v>
      </c>
      <c r="E188" t="str">
        <f ca="1">IFERROR(__xludf.DUMMYFUNCTION("""COMPUTED_VALUE"""),"54' 5""")</f>
        <v>54' 5"</v>
      </c>
      <c r="F188">
        <f ca="1">IFERROR(__xludf.DUMMYFUNCTION("""COMPUTED_VALUE"""),598.583)</f>
        <v>598.58299999999997</v>
      </c>
      <c r="G188">
        <f ca="1">IFERROR(__xludf.DUMMYFUNCTION("""COMPUTED_VALUE"""),11)</f>
        <v>11</v>
      </c>
      <c r="H188" t="str">
        <f ca="1">IFERROR(__xludf.DUMMYFUNCTION("""COMPUTED_VALUE"""),"E")</f>
        <v>E</v>
      </c>
    </row>
    <row r="189" spans="1:8" ht="12.75">
      <c r="A189" t="str">
        <f ca="1">IFERROR(__xludf.DUMMYFUNCTION("""COMPUTED_VALUE"""),"T185")</f>
        <v>T185</v>
      </c>
      <c r="B189" t="str">
        <f ca="1">IFERROR(__xludf.DUMMYFUNCTION("""COMPUTED_VALUE"""),"T193")</f>
        <v>T193</v>
      </c>
      <c r="C189" t="str">
        <f ca="1">IFERROR(__xludf.DUMMYFUNCTION("""COMPUTED_VALUE"""),"Matthias Schwab")</f>
        <v>Matthias Schwab</v>
      </c>
      <c r="D189">
        <f ca="1">IFERROR(__xludf.DUMMYFUNCTION("""COMPUTED_VALUE"""),8)</f>
        <v>8</v>
      </c>
      <c r="E189" t="str">
        <f ca="1">IFERROR(__xludf.DUMMYFUNCTION("""COMPUTED_VALUE"""),"54' 5""")</f>
        <v>54' 5"</v>
      </c>
      <c r="F189">
        <f ca="1">IFERROR(__xludf.DUMMYFUNCTION("""COMPUTED_VALUE"""),925.167)</f>
        <v>925.16700000000003</v>
      </c>
      <c r="G189">
        <f ca="1">IFERROR(__xludf.DUMMYFUNCTION("""COMPUTED_VALUE"""),17)</f>
        <v>17</v>
      </c>
      <c r="H189" t="str">
        <f ca="1">IFERROR(__xludf.DUMMYFUNCTION("""COMPUTED_VALUE"""),"+5")</f>
        <v>+5</v>
      </c>
    </row>
    <row r="190" spans="1:8" ht="12.75">
      <c r="A190" t="str">
        <f ca="1">IFERROR(__xludf.DUMMYFUNCTION("""COMPUTED_VALUE"""),"T185")</f>
        <v>T185</v>
      </c>
      <c r="B190" t="str">
        <f ca="1">IFERROR(__xludf.DUMMYFUNCTION("""COMPUTED_VALUE"""),"T193")</f>
        <v>T193</v>
      </c>
      <c r="C190" t="str">
        <f ca="1">IFERROR(__xludf.DUMMYFUNCTION("""COMPUTED_VALUE"""),"Matthew Fitzpatrick")</f>
        <v>Matthew Fitzpatrick</v>
      </c>
      <c r="D190">
        <f ca="1">IFERROR(__xludf.DUMMYFUNCTION("""COMPUTED_VALUE"""),10)</f>
        <v>10</v>
      </c>
      <c r="E190" t="str">
        <f ca="1">IFERROR(__xludf.DUMMYFUNCTION("""COMPUTED_VALUE"""),"54' 5""")</f>
        <v>54' 5"</v>
      </c>
      <c r="F190" s="2">
        <f ca="1">IFERROR(__xludf.DUMMYFUNCTION("""COMPUTED_VALUE"""),2338.333)</f>
        <v>2338.3330000000001</v>
      </c>
      <c r="G190">
        <f ca="1">IFERROR(__xludf.DUMMYFUNCTION("""COMPUTED_VALUE"""),43)</f>
        <v>43</v>
      </c>
      <c r="H190">
        <f ca="1">IFERROR(__xludf.DUMMYFUNCTION("""COMPUTED_VALUE"""),-6)</f>
        <v>-6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IFERROR(__xludf.DUMMYFUNCTION("""COMPUTED_VALUE"""),"T126")</f>
        <v>T126</v>
      </c>
      <c r="C191" t="str">
        <f ca="1">IFERROR(__xludf.DUMMYFUNCTION("""COMPUTED_VALUE"""),"Sam Ryder")</f>
        <v>Sam Ryder</v>
      </c>
      <c r="D191">
        <f ca="1">IFERROR(__xludf.DUMMYFUNCTION("""COMPUTED_VALUE"""),12)</f>
        <v>12</v>
      </c>
      <c r="E191" t="str">
        <f ca="1">IFERROR(__xludf.DUMMYFUNCTION("""COMPUTED_VALUE"""),"54' 6""")</f>
        <v>54' 6"</v>
      </c>
      <c r="F191" s="2">
        <f ca="1">IFERROR(__xludf.DUMMYFUNCTION("""COMPUTED_VALUE"""),1308.833)</f>
        <v>1308.8330000000001</v>
      </c>
      <c r="G191">
        <f ca="1">IFERROR(__xludf.DUMMYFUNCTION("""COMPUTED_VALUE"""),24)</f>
        <v>24</v>
      </c>
      <c r="H191">
        <f ca="1">IFERROR(__xludf.DUMMYFUNCTION("""COMPUTED_VALUE"""),-5)</f>
        <v>-5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IFERROR(__xludf.DUMMYFUNCTION("""COMPUTED_VALUE"""),"T174")</f>
        <v>T174</v>
      </c>
      <c r="C192" t="str">
        <f ca="1">IFERROR(__xludf.DUMMYFUNCTION("""COMPUTED_VALUE"""),"Troy Merritt")</f>
        <v>Troy Merritt</v>
      </c>
      <c r="D192">
        <f ca="1">IFERROR(__xludf.DUMMYFUNCTION("""COMPUTED_VALUE"""),20)</f>
        <v>20</v>
      </c>
      <c r="E192" t="str">
        <f ca="1">IFERROR(__xludf.DUMMYFUNCTION("""COMPUTED_VALUE"""),"54' 6""")</f>
        <v>54' 6"</v>
      </c>
      <c r="F192" s="2">
        <f ca="1">IFERROR(__xludf.DUMMYFUNCTION("""COMPUTED_VALUE"""),3108.333)</f>
        <v>3108.3330000000001</v>
      </c>
      <c r="G192">
        <f ca="1">IFERROR(__xludf.DUMMYFUNCTION("""COMPUTED_VALUE"""),57)</f>
        <v>57</v>
      </c>
      <c r="H192">
        <f ca="1">IFERROR(__xludf.DUMMYFUNCTION("""COMPUTED_VALUE"""),-4)</f>
        <v>-4</v>
      </c>
    </row>
    <row r="193" spans="1:8" ht="12.75">
      <c r="A193" t="str">
        <f ca="1">IFERROR(__xludf.DUMMYFUNCTION("""COMPUTED_VALUE"""),"T192")</f>
        <v>T192</v>
      </c>
      <c r="B193" t="str">
        <f ca="1">IFERROR(__xludf.DUMMYFUNCTION("""COMPUTED_VALUE"""),"T133")</f>
        <v>T133</v>
      </c>
      <c r="C193" t="str">
        <f ca="1">IFERROR(__xludf.DUMMYFUNCTION("""COMPUTED_VALUE"""),"Jason Dufner")</f>
        <v>Jason Dufner</v>
      </c>
      <c r="D193">
        <f ca="1">IFERROR(__xludf.DUMMYFUNCTION("""COMPUTED_VALUE"""),14)</f>
        <v>14</v>
      </c>
      <c r="E193" t="str">
        <f ca="1">IFERROR(__xludf.DUMMYFUNCTION("""COMPUTED_VALUE"""),"54' 7""")</f>
        <v>54' 7"</v>
      </c>
      <c r="F193" s="2">
        <f ca="1">IFERROR(__xludf.DUMMYFUNCTION("""COMPUTED_VALUE"""),1363.833)</f>
        <v>1363.8330000000001</v>
      </c>
      <c r="G193">
        <f ca="1">IFERROR(__xludf.DUMMYFUNCTION("""COMPUTED_VALUE"""),25)</f>
        <v>25</v>
      </c>
      <c r="H193" t="str">
        <f ca="1">IFERROR(__xludf.DUMMYFUNCTION("""COMPUTED_VALUE"""),"E")</f>
        <v>E</v>
      </c>
    </row>
    <row r="194" spans="1:8" ht="12.75">
      <c r="A194" t="str">
        <f ca="1">IFERROR(__xludf.DUMMYFUNCTION("""COMPUTED_VALUE"""),"T192")</f>
        <v>T192</v>
      </c>
      <c r="B194">
        <f ca="1">IFERROR(__xludf.DUMMYFUNCTION("""COMPUTED_VALUE"""),196)</f>
        <v>196</v>
      </c>
      <c r="C194" t="str">
        <f ca="1">IFERROR(__xludf.DUMMYFUNCTION("""COMPUTED_VALUE"""),"Stephan Jaeger")</f>
        <v>Stephan Jaeger</v>
      </c>
      <c r="D194">
        <f ca="1">IFERROR(__xludf.DUMMYFUNCTION("""COMPUTED_VALUE"""),4)</f>
        <v>4</v>
      </c>
      <c r="E194" t="str">
        <f ca="1">IFERROR(__xludf.DUMMYFUNCTION("""COMPUTED_VALUE"""),"54' 7""")</f>
        <v>54' 7"</v>
      </c>
      <c r="F194">
        <f ca="1">IFERROR(__xludf.DUMMYFUNCTION("""COMPUTED_VALUE"""),873.25)</f>
        <v>873.25</v>
      </c>
      <c r="G194">
        <f ca="1">IFERROR(__xludf.DUMMYFUNCTION("""COMPUTED_VALUE"""),16)</f>
        <v>16</v>
      </c>
      <c r="H194" t="str">
        <f ca="1">IFERROR(__xludf.DUMMYFUNCTION("""COMPUTED_VALUE"""),"+2")</f>
        <v>+2</v>
      </c>
    </row>
    <row r="195" spans="1:8" ht="12.75">
      <c r="A195">
        <f ca="1">IFERROR(__xludf.DUMMYFUNCTION("""COMPUTED_VALUE"""),194)</f>
        <v>194</v>
      </c>
      <c r="B195" t="str">
        <f ca="1">IFERROR(__xludf.DUMMYFUNCTION("""COMPUTED_VALUE"""),"T135")</f>
        <v>T135</v>
      </c>
      <c r="C195" t="str">
        <f ca="1">IFERROR(__xludf.DUMMYFUNCTION("""COMPUTED_VALUE"""),"Bronson Burgoon")</f>
        <v>Bronson Burgoon</v>
      </c>
      <c r="D195">
        <f ca="1">IFERROR(__xludf.DUMMYFUNCTION("""COMPUTED_VALUE"""),10)</f>
        <v>10</v>
      </c>
      <c r="E195" t="str">
        <f ca="1">IFERROR(__xludf.DUMMYFUNCTION("""COMPUTED_VALUE"""),"54' 9""")</f>
        <v>54' 9"</v>
      </c>
      <c r="F195" s="2">
        <f ca="1">IFERROR(__xludf.DUMMYFUNCTION("""COMPUTED_VALUE"""),1203.667)</f>
        <v>1203.6669999999999</v>
      </c>
      <c r="G195">
        <f ca="1">IFERROR(__xludf.DUMMYFUNCTION("""COMPUTED_VALUE"""),22)</f>
        <v>22</v>
      </c>
      <c r="H195" t="str">
        <f ca="1">IFERROR(__xludf.DUMMYFUNCTION("""COMPUTED_VALUE"""),"+5")</f>
        <v>+5</v>
      </c>
    </row>
    <row r="196" spans="1:8" ht="12.75">
      <c r="A196">
        <f ca="1">IFERROR(__xludf.DUMMYFUNCTION("""COMPUTED_VALUE"""),195)</f>
        <v>195</v>
      </c>
      <c r="B196">
        <f ca="1">IFERROR(__xludf.DUMMYFUNCTION("""COMPUTED_VALUE"""),198)</f>
        <v>198</v>
      </c>
      <c r="C196" t="str">
        <f ca="1">IFERROR(__xludf.DUMMYFUNCTION("""COMPUTED_VALUE"""),"Ian Poulter")</f>
        <v>Ian Poulter</v>
      </c>
      <c r="D196">
        <f ca="1">IFERROR(__xludf.DUMMYFUNCTION("""COMPUTED_VALUE"""),6)</f>
        <v>6</v>
      </c>
      <c r="E196" t="str">
        <f ca="1">IFERROR(__xludf.DUMMYFUNCTION("""COMPUTED_VALUE"""),"54' 10""")</f>
        <v>54' 10"</v>
      </c>
      <c r="F196" s="2">
        <f ca="1">IFERROR(__xludf.DUMMYFUNCTION("""COMPUTED_VALUE"""),1481.5)</f>
        <v>1481.5</v>
      </c>
      <c r="G196">
        <f ca="1">IFERROR(__xludf.DUMMYFUNCTION("""COMPUTED_VALUE"""),27)</f>
        <v>27</v>
      </c>
      <c r="H196">
        <f ca="1">IFERROR(__xludf.DUMMYFUNCTION("""COMPUTED_VALUE"""),-5)</f>
        <v>-5</v>
      </c>
    </row>
    <row r="197" spans="1:8" ht="12.75">
      <c r="A197">
        <f ca="1">IFERROR(__xludf.DUMMYFUNCTION("""COMPUTED_VALUE"""),196)</f>
        <v>196</v>
      </c>
      <c r="B197" t="str">
        <f ca="1">IFERROR(__xludf.DUMMYFUNCTION("""COMPUTED_VALUE"""),"T189")</f>
        <v>T189</v>
      </c>
      <c r="C197" t="str">
        <f ca="1">IFERROR(__xludf.DUMMYFUNCTION("""COMPUTED_VALUE"""),"Dylan Frittelli")</f>
        <v>Dylan Frittelli</v>
      </c>
      <c r="D197">
        <f ca="1">IFERROR(__xludf.DUMMYFUNCTION("""COMPUTED_VALUE"""),16)</f>
        <v>16</v>
      </c>
      <c r="E197" t="str">
        <f ca="1">IFERROR(__xludf.DUMMYFUNCTION("""COMPUTED_VALUE"""),"54' 11""")</f>
        <v>54' 11"</v>
      </c>
      <c r="F197" s="2">
        <f ca="1">IFERROR(__xludf.DUMMYFUNCTION("""COMPUTED_VALUE"""),3185.583)</f>
        <v>3185.5830000000001</v>
      </c>
      <c r="G197">
        <f ca="1">IFERROR(__xludf.DUMMYFUNCTION("""COMPUTED_VALUE"""),58)</f>
        <v>58</v>
      </c>
      <c r="H197">
        <f ca="1">IFERROR(__xludf.DUMMYFUNCTION("""COMPUTED_VALUE"""),-8)</f>
        <v>-8</v>
      </c>
    </row>
    <row r="198" spans="1:8" ht="12.75">
      <c r="A198">
        <f ca="1">IFERROR(__xludf.DUMMYFUNCTION("""COMPUTED_VALUE"""),197)</f>
        <v>197</v>
      </c>
      <c r="B198">
        <f ca="1">IFERROR(__xludf.DUMMYFUNCTION("""COMPUTED_VALUE"""),203)</f>
        <v>203</v>
      </c>
      <c r="C198" t="str">
        <f ca="1">IFERROR(__xludf.DUMMYFUNCTION("""COMPUTED_VALUE"""),"Kelly Kraft")</f>
        <v>Kelly Kraft</v>
      </c>
      <c r="D198">
        <f ca="1">IFERROR(__xludf.DUMMYFUNCTION("""COMPUTED_VALUE"""),14)</f>
        <v>14</v>
      </c>
      <c r="E198" t="str">
        <f ca="1">IFERROR(__xludf.DUMMYFUNCTION("""COMPUTED_VALUE"""),"55' 0""")</f>
        <v>55' 0"</v>
      </c>
      <c r="F198" s="2">
        <f ca="1">IFERROR(__xludf.DUMMYFUNCTION("""COMPUTED_VALUE"""),1319.083)</f>
        <v>1319.0830000000001</v>
      </c>
      <c r="G198">
        <f ca="1">IFERROR(__xludf.DUMMYFUNCTION("""COMPUTED_VALUE"""),24)</f>
        <v>24</v>
      </c>
      <c r="H198">
        <f ca="1">IFERROR(__xludf.DUMMYFUNCTION("""COMPUTED_VALUE"""),-4)</f>
        <v>-4</v>
      </c>
    </row>
    <row r="199" spans="1:8" ht="12.75">
      <c r="A199">
        <f ca="1">IFERROR(__xludf.DUMMYFUNCTION("""COMPUTED_VALUE"""),198)</f>
        <v>198</v>
      </c>
      <c r="B199">
        <f ca="1">IFERROR(__xludf.DUMMYFUNCTION("""COMPUTED_VALUE"""),199)</f>
        <v>199</v>
      </c>
      <c r="C199" t="str">
        <f ca="1">IFERROR(__xludf.DUMMYFUNCTION("""COMPUTED_VALUE"""),"Shugo Imahira")</f>
        <v>Shugo Imahira</v>
      </c>
      <c r="D199">
        <f ca="1">IFERROR(__xludf.DUMMYFUNCTION("""COMPUTED_VALUE"""),8)</f>
        <v>8</v>
      </c>
      <c r="E199" t="str">
        <f ca="1">IFERROR(__xludf.DUMMYFUNCTION("""COMPUTED_VALUE"""),"55' 3""")</f>
        <v>55' 3"</v>
      </c>
      <c r="F199" s="2">
        <f ca="1">IFERROR(__xludf.DUMMYFUNCTION("""COMPUTED_VALUE"""),2043.667)</f>
        <v>2043.6669999999999</v>
      </c>
      <c r="G199">
        <f ca="1">IFERROR(__xludf.DUMMYFUNCTION("""COMPUTED_VALUE"""),37)</f>
        <v>37</v>
      </c>
      <c r="H199" t="str">
        <f ca="1">IFERROR(__xludf.DUMMYFUNCTION("""COMPUTED_VALUE"""),"E")</f>
        <v>E</v>
      </c>
    </row>
    <row r="200" spans="1:8" ht="12.75">
      <c r="A200" t="str">
        <f ca="1">IFERROR(__xludf.DUMMYFUNCTION("""COMPUTED_VALUE"""),"T199")</f>
        <v>T199</v>
      </c>
      <c r="B200" t="str">
        <f ca="1">IFERROR(__xludf.DUMMYFUNCTION("""COMPUTED_VALUE"""),"T204")</f>
        <v>T204</v>
      </c>
      <c r="C200" t="str">
        <f ca="1">IFERROR(__xludf.DUMMYFUNCTION("""COMPUTED_VALUE"""),"Wyndham Clark")</f>
        <v>Wyndham Clark</v>
      </c>
      <c r="D200">
        <f ca="1">IFERROR(__xludf.DUMMYFUNCTION("""COMPUTED_VALUE"""),16)</f>
        <v>16</v>
      </c>
      <c r="E200" t="str">
        <f ca="1">IFERROR(__xludf.DUMMYFUNCTION("""COMPUTED_VALUE"""),"55' 4""")</f>
        <v>55' 4"</v>
      </c>
      <c r="F200" s="2">
        <f ca="1">IFERROR(__xludf.DUMMYFUNCTION("""COMPUTED_VALUE"""),1771.5)</f>
        <v>1771.5</v>
      </c>
      <c r="G200">
        <f ca="1">IFERROR(__xludf.DUMMYFUNCTION("""COMPUTED_VALUE"""),32)</f>
        <v>32</v>
      </c>
      <c r="H200">
        <f ca="1">IFERROR(__xludf.DUMMYFUNCTION("""COMPUTED_VALUE"""),-13)</f>
        <v>-13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IFERROR(__xludf.DUMMYFUNCTION("""COMPUTED_VALUE"""),"T200")</f>
        <v>T200</v>
      </c>
      <c r="C201" t="str">
        <f ca="1">IFERROR(__xludf.DUMMYFUNCTION("""COMPUTED_VALUE"""),"Robert MacIntyre")</f>
        <v>Robert MacIntyre</v>
      </c>
      <c r="D201">
        <f ca="1">IFERROR(__xludf.DUMMYFUNCTION("""COMPUTED_VALUE"""),4)</f>
        <v>4</v>
      </c>
      <c r="E201" t="str">
        <f ca="1">IFERROR(__xludf.DUMMYFUNCTION("""COMPUTED_VALUE"""),"55' 4""")</f>
        <v>55' 4"</v>
      </c>
      <c r="F201">
        <f ca="1">IFERROR(__xludf.DUMMYFUNCTION("""COMPUTED_VALUE"""),996.167)</f>
        <v>996.16700000000003</v>
      </c>
      <c r="G201">
        <f ca="1">IFERROR(__xludf.DUMMYFUNCTION("""COMPUTED_VALUE"""),18)</f>
        <v>18</v>
      </c>
      <c r="H201" t="str">
        <f ca="1">IFERROR(__xludf.DUMMYFUNCTION("""COMPUTED_VALUE"""),"+9")</f>
        <v>+9</v>
      </c>
    </row>
    <row r="202" spans="1:8" ht="12.75">
      <c r="A202" t="str">
        <f ca="1">IFERROR(__xludf.DUMMYFUNCTION("""COMPUTED_VALUE"""),"T199")</f>
        <v>T199</v>
      </c>
      <c r="B202" t="str">
        <f ca="1">IFERROR(__xludf.DUMMYFUNCTION("""COMPUTED_VALUE"""),"T200")</f>
        <v>T200</v>
      </c>
      <c r="C202" t="str">
        <f ca="1">IFERROR(__xludf.DUMMYFUNCTION("""COMPUTED_VALUE"""),"Joohyung Kim")</f>
        <v>Joohyung Kim</v>
      </c>
      <c r="D202">
        <f ca="1">IFERROR(__xludf.DUMMYFUNCTION("""COMPUTED_VALUE"""),12)</f>
        <v>12</v>
      </c>
      <c r="E202" t="str">
        <f ca="1">IFERROR(__xludf.DUMMYFUNCTION("""COMPUTED_VALUE"""),"55' 4""")</f>
        <v>55' 4"</v>
      </c>
      <c r="F202" s="2">
        <f ca="1">IFERROR(__xludf.DUMMYFUNCTION("""COMPUTED_VALUE"""),1605.75)</f>
        <v>1605.75</v>
      </c>
      <c r="G202">
        <f ca="1">IFERROR(__xludf.DUMMYFUNCTION("""COMPUTED_VALUE"""),29)</f>
        <v>29</v>
      </c>
      <c r="H202" t="str">
        <f ca="1">IFERROR(__xludf.DUMMYFUNCTION("""COMPUTED_VALUE"""),"E")</f>
        <v>E</v>
      </c>
    </row>
    <row r="203" spans="1:8" ht="12.75">
      <c r="A203">
        <f ca="1">IFERROR(__xludf.DUMMYFUNCTION("""COMPUTED_VALUE"""),202)</f>
        <v>202</v>
      </c>
      <c r="B203" t="str">
        <f ca="1">IFERROR(__xludf.DUMMYFUNCTION("""COMPUTED_VALUE"""),"T254")</f>
        <v>T254</v>
      </c>
      <c r="C203" t="str">
        <f ca="1">IFERROR(__xludf.DUMMYFUNCTION("""COMPUTED_VALUE"""),"Fabián Gómez")</f>
        <v>Fabián Gómez</v>
      </c>
      <c r="D203">
        <f ca="1">IFERROR(__xludf.DUMMYFUNCTION("""COMPUTED_VALUE"""),16)</f>
        <v>16</v>
      </c>
      <c r="E203" t="str">
        <f ca="1">IFERROR(__xludf.DUMMYFUNCTION("""COMPUTED_VALUE"""),"55' 5""")</f>
        <v>55' 5"</v>
      </c>
      <c r="F203" s="2">
        <f ca="1">IFERROR(__xludf.DUMMYFUNCTION("""COMPUTED_VALUE"""),1440)</f>
        <v>1440</v>
      </c>
      <c r="G203">
        <f ca="1">IFERROR(__xludf.DUMMYFUNCTION("""COMPUTED_VALUE"""),26)</f>
        <v>26</v>
      </c>
      <c r="H203">
        <f ca="1">IFERROR(__xludf.DUMMYFUNCTION("""COMPUTED_VALUE"""),-4)</f>
        <v>-4</v>
      </c>
    </row>
    <row r="204" spans="1:8" ht="12.75">
      <c r="A204">
        <f ca="1">IFERROR(__xludf.DUMMYFUNCTION("""COMPUTED_VALUE"""),203)</f>
        <v>203</v>
      </c>
      <c r="B204" t="str">
        <f ca="1">IFERROR(__xludf.DUMMYFUNCTION("""COMPUTED_VALUE"""),"T189")</f>
        <v>T189</v>
      </c>
      <c r="C204" t="str">
        <f ca="1">IFERROR(__xludf.DUMMYFUNCTION("""COMPUTED_VALUE"""),"Kyoung-Hoon Lee")</f>
        <v>Kyoung-Hoon Lee</v>
      </c>
      <c r="D204">
        <f ca="1">IFERROR(__xludf.DUMMYFUNCTION("""COMPUTED_VALUE"""),20)</f>
        <v>20</v>
      </c>
      <c r="E204" t="str">
        <f ca="1">IFERROR(__xludf.DUMMYFUNCTION("""COMPUTED_VALUE"""),"55' 6""")</f>
        <v>55' 6"</v>
      </c>
      <c r="F204" s="2">
        <f ca="1">IFERROR(__xludf.DUMMYFUNCTION("""COMPUTED_VALUE"""),2776.583)</f>
        <v>2776.5830000000001</v>
      </c>
      <c r="G204">
        <f ca="1">IFERROR(__xludf.DUMMYFUNCTION("""COMPUTED_VALUE"""),50)</f>
        <v>50</v>
      </c>
      <c r="H204">
        <f ca="1">IFERROR(__xludf.DUMMYFUNCTION("""COMPUTED_VALUE"""),-3)</f>
        <v>-3</v>
      </c>
    </row>
    <row r="205" spans="1:8" ht="12.75">
      <c r="A205">
        <f ca="1">IFERROR(__xludf.DUMMYFUNCTION("""COMPUTED_VALUE"""),204)</f>
        <v>204</v>
      </c>
      <c r="B205" t="str">
        <f ca="1">IFERROR(__xludf.DUMMYFUNCTION("""COMPUTED_VALUE"""),"T245")</f>
        <v>T245</v>
      </c>
      <c r="C205" t="str">
        <f ca="1">IFERROR(__xludf.DUMMYFUNCTION("""COMPUTED_VALUE"""),"Graeme McDowell")</f>
        <v>Graeme McDowell</v>
      </c>
      <c r="D205">
        <f ca="1">IFERROR(__xludf.DUMMYFUNCTION("""COMPUTED_VALUE"""),8)</f>
        <v>8</v>
      </c>
      <c r="E205" t="str">
        <f ca="1">IFERROR(__xludf.DUMMYFUNCTION("""COMPUTED_VALUE"""),"55' 7""")</f>
        <v>55' 7"</v>
      </c>
      <c r="F205" s="2">
        <f ca="1">IFERROR(__xludf.DUMMYFUNCTION("""COMPUTED_VALUE"""),1055.333)</f>
        <v>1055.3330000000001</v>
      </c>
      <c r="G205">
        <f ca="1">IFERROR(__xludf.DUMMYFUNCTION("""COMPUTED_VALUE"""),19)</f>
        <v>19</v>
      </c>
      <c r="H205" t="str">
        <f ca="1">IFERROR(__xludf.DUMMYFUNCTION("""COMPUTED_VALUE"""),"+7")</f>
        <v>+7</v>
      </c>
    </row>
    <row r="206" spans="1:8" ht="12.75">
      <c r="A206">
        <f ca="1">IFERROR(__xludf.DUMMYFUNCTION("""COMPUTED_VALUE"""),205)</f>
        <v>205</v>
      </c>
      <c r="B206" t="str">
        <f ca="1">IFERROR(__xludf.DUMMYFUNCTION("""COMPUTED_VALUE"""),"T191")</f>
        <v>T191</v>
      </c>
      <c r="C206" t="str">
        <f ca="1">IFERROR(__xludf.DUMMYFUNCTION("""COMPUTED_VALUE"""),"Si Woo Kim")</f>
        <v>Si Woo Kim</v>
      </c>
      <c r="D206">
        <f ca="1">IFERROR(__xludf.DUMMYFUNCTION("""COMPUTED_VALUE"""),20)</f>
        <v>20</v>
      </c>
      <c r="E206" t="str">
        <f ca="1">IFERROR(__xludf.DUMMYFUNCTION("""COMPUTED_VALUE"""),"55' 8""")</f>
        <v>55' 8"</v>
      </c>
      <c r="F206" s="2">
        <f ca="1">IFERROR(__xludf.DUMMYFUNCTION("""COMPUTED_VALUE"""),4229.25)</f>
        <v>4229.25</v>
      </c>
      <c r="G206">
        <f ca="1">IFERROR(__xludf.DUMMYFUNCTION("""COMPUTED_VALUE"""),76)</f>
        <v>76</v>
      </c>
      <c r="H206">
        <f ca="1">IFERROR(__xludf.DUMMYFUNCTION("""COMPUTED_VALUE"""),-11)</f>
        <v>-11</v>
      </c>
    </row>
    <row r="207" spans="1:8" ht="12.75">
      <c r="A207">
        <f ca="1">IFERROR(__xludf.DUMMYFUNCTION("""COMPUTED_VALUE"""),206)</f>
        <v>206</v>
      </c>
      <c r="B207" t="str">
        <f ca="1">IFERROR(__xludf.DUMMYFUNCTION("""COMPUTED_VALUE"""),"T204")</f>
        <v>T204</v>
      </c>
      <c r="C207" t="str">
        <f ca="1">IFERROR(__xludf.DUMMYFUNCTION("""COMPUTED_VALUE"""),"Doug Ghim")</f>
        <v>Doug Ghim</v>
      </c>
      <c r="D207">
        <f ca="1">IFERROR(__xludf.DUMMYFUNCTION("""COMPUTED_VALUE"""),14)</f>
        <v>14</v>
      </c>
      <c r="E207" t="str">
        <f ca="1">IFERROR(__xludf.DUMMYFUNCTION("""COMPUTED_VALUE"""),"55' 9""")</f>
        <v>55' 9"</v>
      </c>
      <c r="F207" s="2">
        <f ca="1">IFERROR(__xludf.DUMMYFUNCTION("""COMPUTED_VALUE"""),1616.167)</f>
        <v>1616.1669999999999</v>
      </c>
      <c r="G207">
        <f ca="1">IFERROR(__xludf.DUMMYFUNCTION("""COMPUTED_VALUE"""),29)</f>
        <v>29</v>
      </c>
      <c r="H207">
        <f ca="1">IFERROR(__xludf.DUMMYFUNCTION("""COMPUTED_VALUE"""),-13)</f>
        <v>-13</v>
      </c>
    </row>
    <row r="208" spans="1:8" ht="12.75">
      <c r="A208">
        <f ca="1">IFERROR(__xludf.DUMMYFUNCTION("""COMPUTED_VALUE"""),207)</f>
        <v>207</v>
      </c>
      <c r="B208">
        <f ca="1">IFERROR(__xludf.DUMMYFUNCTION("""COMPUTED_VALUE"""),222)</f>
        <v>222</v>
      </c>
      <c r="C208" t="str">
        <f ca="1">IFERROR(__xludf.DUMMYFUNCTION("""COMPUTED_VALUE"""),"David Hearn")</f>
        <v>David Hearn</v>
      </c>
      <c r="D208">
        <f ca="1">IFERROR(__xludf.DUMMYFUNCTION("""COMPUTED_VALUE"""),16)</f>
        <v>16</v>
      </c>
      <c r="E208" t="str">
        <f ca="1">IFERROR(__xludf.DUMMYFUNCTION("""COMPUTED_VALUE"""),"55' 10""")</f>
        <v>55' 10"</v>
      </c>
      <c r="F208" s="2">
        <f ca="1">IFERROR(__xludf.DUMMYFUNCTION("""COMPUTED_VALUE"""),1283.333)</f>
        <v>1283.3330000000001</v>
      </c>
      <c r="G208">
        <f ca="1">IFERROR(__xludf.DUMMYFUNCTION("""COMPUTED_VALUE"""),23)</f>
        <v>23</v>
      </c>
      <c r="H208" t="str">
        <f ca="1">IFERROR(__xludf.DUMMYFUNCTION("""COMPUTED_VALUE"""),"E")</f>
        <v>E</v>
      </c>
    </row>
    <row r="209" spans="1:8" ht="12.75">
      <c r="A209" t="str">
        <f ca="1">IFERROR(__xludf.DUMMYFUNCTION("""COMPUTED_VALUE"""),"T208")</f>
        <v>T208</v>
      </c>
      <c r="B209" t="str">
        <f ca="1">IFERROR(__xludf.DUMMYFUNCTION("""COMPUTED_VALUE"""),"T216")</f>
        <v>T216</v>
      </c>
      <c r="C209" t="str">
        <f ca="1">IFERROR(__xludf.DUMMYFUNCTION("""COMPUTED_VALUE"""),"Lucas Glover")</f>
        <v>Lucas Glover</v>
      </c>
      <c r="D209">
        <f ca="1">IFERROR(__xludf.DUMMYFUNCTION("""COMPUTED_VALUE"""),12)</f>
        <v>12</v>
      </c>
      <c r="E209" t="str">
        <f ca="1">IFERROR(__xludf.DUMMYFUNCTION("""COMPUTED_VALUE"""),"55' 11""")</f>
        <v>55' 11"</v>
      </c>
      <c r="F209" s="2">
        <f ca="1">IFERROR(__xludf.DUMMYFUNCTION("""COMPUTED_VALUE"""),2629.833)</f>
        <v>2629.8330000000001</v>
      </c>
      <c r="G209">
        <f ca="1">IFERROR(__xludf.DUMMYFUNCTION("""COMPUTED_VALUE"""),47)</f>
        <v>47</v>
      </c>
      <c r="H209">
        <f ca="1">IFERROR(__xludf.DUMMYFUNCTION("""COMPUTED_VALUE"""),-3)</f>
        <v>-3</v>
      </c>
    </row>
    <row r="210" spans="1:8" ht="12.75">
      <c r="A210" t="str">
        <f ca="1">IFERROR(__xludf.DUMMYFUNCTION("""COMPUTED_VALUE"""),"T208")</f>
        <v>T208</v>
      </c>
      <c r="B210" t="str">
        <f ca="1">IFERROR(__xludf.DUMMYFUNCTION("""COMPUTED_VALUE"""),"T212")</f>
        <v>T212</v>
      </c>
      <c r="C210" t="str">
        <f ca="1">IFERROR(__xludf.DUMMYFUNCTION("""COMPUTED_VALUE"""),"Kevin Chappell")</f>
        <v>Kevin Chappell</v>
      </c>
      <c r="D210">
        <f ca="1">IFERROR(__xludf.DUMMYFUNCTION("""COMPUTED_VALUE"""),16)</f>
        <v>16</v>
      </c>
      <c r="E210" t="str">
        <f ca="1">IFERROR(__xludf.DUMMYFUNCTION("""COMPUTED_VALUE"""),"55' 11""")</f>
        <v>55' 11"</v>
      </c>
      <c r="F210" s="2">
        <f ca="1">IFERROR(__xludf.DUMMYFUNCTION("""COMPUTED_VALUE"""),1901.667)</f>
        <v>1901.6669999999999</v>
      </c>
      <c r="G210">
        <f ca="1">IFERROR(__xludf.DUMMYFUNCTION("""COMPUTED_VALUE"""),34)</f>
        <v>34</v>
      </c>
      <c r="H210" t="str">
        <f ca="1">IFERROR(__xludf.DUMMYFUNCTION("""COMPUTED_VALUE"""),"+2")</f>
        <v>+2</v>
      </c>
    </row>
    <row r="211" spans="1:8" ht="12.75">
      <c r="A211" t="str">
        <f ca="1">IFERROR(__xludf.DUMMYFUNCTION("""COMPUTED_VALUE"""),"T208")</f>
        <v>T208</v>
      </c>
      <c r="B211">
        <f ca="1">IFERROR(__xludf.DUMMYFUNCTION("""COMPUTED_VALUE"""),231)</f>
        <v>231</v>
      </c>
      <c r="C211" t="str">
        <f ca="1">IFERROR(__xludf.DUMMYFUNCTION("""COMPUTED_VALUE"""),"Cameron Tringale")</f>
        <v>Cameron Tringale</v>
      </c>
      <c r="D211">
        <f ca="1">IFERROR(__xludf.DUMMYFUNCTION("""COMPUTED_VALUE"""),16)</f>
        <v>16</v>
      </c>
      <c r="E211" t="str">
        <f ca="1">IFERROR(__xludf.DUMMYFUNCTION("""COMPUTED_VALUE"""),"55' 11""")</f>
        <v>55' 11"</v>
      </c>
      <c r="F211" s="2">
        <f ca="1">IFERROR(__xludf.DUMMYFUNCTION("""COMPUTED_VALUE"""),2238.083)</f>
        <v>2238.0830000000001</v>
      </c>
      <c r="G211">
        <f ca="1">IFERROR(__xludf.DUMMYFUNCTION("""COMPUTED_VALUE"""),40)</f>
        <v>40</v>
      </c>
      <c r="H211">
        <f ca="1">IFERROR(__xludf.DUMMYFUNCTION("""COMPUTED_VALUE"""),-5)</f>
        <v>-5</v>
      </c>
    </row>
    <row r="212" spans="1:8" ht="12.75">
      <c r="A212">
        <f ca="1">IFERROR(__xludf.DUMMYFUNCTION("""COMPUTED_VALUE"""),211)</f>
        <v>211</v>
      </c>
      <c r="B212" t="str">
        <f ca="1">IFERROR(__xludf.DUMMYFUNCTION("""COMPUTED_VALUE"""),"T207")</f>
        <v>T207</v>
      </c>
      <c r="C212" t="str">
        <f ca="1">IFERROR(__xludf.DUMMYFUNCTION("""COMPUTED_VALUE"""),"Peter Uihlein")</f>
        <v>Peter Uihlein</v>
      </c>
      <c r="D212">
        <f ca="1">IFERROR(__xludf.DUMMYFUNCTION("""COMPUTED_VALUE"""),8)</f>
        <v>8</v>
      </c>
      <c r="E212" t="str">
        <f ca="1">IFERROR(__xludf.DUMMYFUNCTION("""COMPUTED_VALUE"""),"56' 1""")</f>
        <v>56' 1"</v>
      </c>
      <c r="F212">
        <f ca="1">IFERROR(__xludf.DUMMYFUNCTION("""COMPUTED_VALUE"""),224.417)</f>
        <v>224.417</v>
      </c>
      <c r="G212">
        <f ca="1">IFERROR(__xludf.DUMMYFUNCTION("""COMPUTED_VALUE"""),4)</f>
        <v>4</v>
      </c>
      <c r="H212">
        <f ca="1">IFERROR(__xludf.DUMMYFUNCTION("""COMPUTED_VALUE"""),-1)</f>
        <v>-1</v>
      </c>
    </row>
    <row r="213" spans="1:8" ht="12.75">
      <c r="A213">
        <f ca="1">IFERROR(__xludf.DUMMYFUNCTION("""COMPUTED_VALUE"""),212)</f>
        <v>212</v>
      </c>
      <c r="B213">
        <f ca="1">IFERROR(__xludf.DUMMYFUNCTION("""COMPUTED_VALUE"""),209)</f>
        <v>209</v>
      </c>
      <c r="C213" t="str">
        <f ca="1">IFERROR(__xludf.DUMMYFUNCTION("""COMPUTED_VALUE"""),"Rhein Gibson")</f>
        <v>Rhein Gibson</v>
      </c>
      <c r="D213">
        <f ca="1">IFERROR(__xludf.DUMMYFUNCTION("""COMPUTED_VALUE"""),10)</f>
        <v>10</v>
      </c>
      <c r="E213" t="str">
        <f ca="1">IFERROR(__xludf.DUMMYFUNCTION("""COMPUTED_VALUE"""),"56' 2""")</f>
        <v>56' 2"</v>
      </c>
      <c r="F213">
        <f ca="1">IFERROR(__xludf.DUMMYFUNCTION("""COMPUTED_VALUE"""),673.583)</f>
        <v>673.58299999999997</v>
      </c>
      <c r="G213">
        <f ca="1">IFERROR(__xludf.DUMMYFUNCTION("""COMPUTED_VALUE"""),12)</f>
        <v>12</v>
      </c>
      <c r="H213">
        <f ca="1">IFERROR(__xludf.DUMMYFUNCTION("""COMPUTED_VALUE"""),-4)</f>
        <v>-4</v>
      </c>
    </row>
    <row r="214" spans="1:8" ht="12.75">
      <c r="A214" t="str">
        <f ca="1">IFERROR(__xludf.DUMMYFUNCTION("""COMPUTED_VALUE"""),"T213")</f>
        <v>T213</v>
      </c>
      <c r="B214" t="str">
        <f ca="1">IFERROR(__xludf.DUMMYFUNCTION("""COMPUTED_VALUE"""),"T212")</f>
        <v>T212</v>
      </c>
      <c r="C214" t="str">
        <f ca="1">IFERROR(__xludf.DUMMYFUNCTION("""COMPUTED_VALUE"""),"Chris Stroud")</f>
        <v>Chris Stroud</v>
      </c>
      <c r="D214">
        <f ca="1">IFERROR(__xludf.DUMMYFUNCTION("""COMPUTED_VALUE"""),6)</f>
        <v>6</v>
      </c>
      <c r="E214" t="str">
        <f ca="1">IFERROR(__xludf.DUMMYFUNCTION("""COMPUTED_VALUE"""),"56' 4""")</f>
        <v>56' 4"</v>
      </c>
      <c r="F214">
        <f ca="1">IFERROR(__xludf.DUMMYFUNCTION("""COMPUTED_VALUE"""),619.75)</f>
        <v>619.75</v>
      </c>
      <c r="G214">
        <f ca="1">IFERROR(__xludf.DUMMYFUNCTION("""COMPUTED_VALUE"""),11)</f>
        <v>11</v>
      </c>
      <c r="H214">
        <f ca="1">IFERROR(__xludf.DUMMYFUNCTION("""COMPUTED_VALUE"""),-3)</f>
        <v>-3</v>
      </c>
    </row>
    <row r="215" spans="1:8" ht="12.75">
      <c r="A215" t="str">
        <f ca="1">IFERROR(__xludf.DUMMYFUNCTION("""COMPUTED_VALUE"""),"T213")</f>
        <v>T213</v>
      </c>
      <c r="B215">
        <f ca="1">IFERROR(__xludf.DUMMYFUNCTION("""COMPUTED_VALUE"""),214)</f>
        <v>214</v>
      </c>
      <c r="C215" t="str">
        <f ca="1">IFERROR(__xludf.DUMMYFUNCTION("""COMPUTED_VALUE"""),"Bo Hoag")</f>
        <v>Bo Hoag</v>
      </c>
      <c r="D215">
        <f ca="1">IFERROR(__xludf.DUMMYFUNCTION("""COMPUTED_VALUE"""),14)</f>
        <v>14</v>
      </c>
      <c r="E215" t="str">
        <f ca="1">IFERROR(__xludf.DUMMYFUNCTION("""COMPUTED_VALUE"""),"56' 4""")</f>
        <v>56' 4"</v>
      </c>
      <c r="F215" s="2">
        <f ca="1">IFERROR(__xludf.DUMMYFUNCTION("""COMPUTED_VALUE"""),1802.417)</f>
        <v>1802.4169999999999</v>
      </c>
      <c r="G215">
        <f ca="1">IFERROR(__xludf.DUMMYFUNCTION("""COMPUTED_VALUE"""),32)</f>
        <v>32</v>
      </c>
      <c r="H215">
        <f ca="1">IFERROR(__xludf.DUMMYFUNCTION("""COMPUTED_VALUE"""),-5)</f>
        <v>-5</v>
      </c>
    </row>
    <row r="216" spans="1:8" ht="12.75">
      <c r="A216" t="str">
        <f ca="1">IFERROR(__xludf.DUMMYFUNCTION("""COMPUTED_VALUE"""),"T215")</f>
        <v>T215</v>
      </c>
      <c r="B216">
        <f ca="1">IFERROR(__xludf.DUMMYFUNCTION("""COMPUTED_VALUE"""),253)</f>
        <v>253</v>
      </c>
      <c r="C216" t="str">
        <f ca="1">IFERROR(__xludf.DUMMYFUNCTION("""COMPUTED_VALUE"""),"Satoshi Kodaira")</f>
        <v>Satoshi Kodaira</v>
      </c>
      <c r="D216">
        <f ca="1">IFERROR(__xludf.DUMMYFUNCTION("""COMPUTED_VALUE"""),12)</f>
        <v>12</v>
      </c>
      <c r="E216" t="str">
        <f ca="1">IFERROR(__xludf.DUMMYFUNCTION("""COMPUTED_VALUE"""),"56' 8""")</f>
        <v>56' 8"</v>
      </c>
      <c r="F216" s="2">
        <f ca="1">IFERROR(__xludf.DUMMYFUNCTION("""COMPUTED_VALUE"""),2154)</f>
        <v>2154</v>
      </c>
      <c r="G216">
        <f ca="1">IFERROR(__xludf.DUMMYFUNCTION("""COMPUTED_VALUE"""),38)</f>
        <v>38</v>
      </c>
      <c r="H216">
        <f ca="1">IFERROR(__xludf.DUMMYFUNCTION("""COMPUTED_VALUE"""),-3)</f>
        <v>-3</v>
      </c>
    </row>
    <row r="217" spans="1:8" ht="12.75">
      <c r="A217" t="str">
        <f ca="1">IFERROR(__xludf.DUMMYFUNCTION("""COMPUTED_VALUE"""),"T215")</f>
        <v>T215</v>
      </c>
      <c r="B217" t="str">
        <f ca="1">IFERROR(__xludf.DUMMYFUNCTION("""COMPUTED_VALUE"""),"T207")</f>
        <v>T207</v>
      </c>
      <c r="C217" t="str">
        <f ca="1">IFERROR(__xludf.DUMMYFUNCTION("""COMPUTED_VALUE"""),"Adam Scott")</f>
        <v>Adam Scott</v>
      </c>
      <c r="D217">
        <f ca="1">IFERROR(__xludf.DUMMYFUNCTION("""COMPUTED_VALUE"""),8)</f>
        <v>8</v>
      </c>
      <c r="E217" t="str">
        <f ca="1">IFERROR(__xludf.DUMMYFUNCTION("""COMPUTED_VALUE"""),"56' 8""")</f>
        <v>56' 8"</v>
      </c>
      <c r="F217" s="2">
        <f ca="1">IFERROR(__xludf.DUMMYFUNCTION("""COMPUTED_VALUE"""),1246.917)</f>
        <v>1246.9169999999999</v>
      </c>
      <c r="G217">
        <f ca="1">IFERROR(__xludf.DUMMYFUNCTION("""COMPUTED_VALUE"""),22)</f>
        <v>22</v>
      </c>
      <c r="H217">
        <f ca="1">IFERROR(__xludf.DUMMYFUNCTION("""COMPUTED_VALUE"""),-1)</f>
        <v>-1</v>
      </c>
    </row>
    <row r="218" spans="1:8" ht="12.75">
      <c r="A218">
        <f ca="1">IFERROR(__xludf.DUMMYFUNCTION("""COMPUTED_VALUE"""),217)</f>
        <v>217</v>
      </c>
      <c r="B218">
        <f ca="1">IFERROR(__xludf.DUMMYFUNCTION("""COMPUTED_VALUE"""),215)</f>
        <v>215</v>
      </c>
      <c r="C218" t="str">
        <f ca="1">IFERROR(__xludf.DUMMYFUNCTION("""COMPUTED_VALUE"""),"Rob Oppenheim")</f>
        <v>Rob Oppenheim</v>
      </c>
      <c r="D218">
        <f ca="1">IFERROR(__xludf.DUMMYFUNCTION("""COMPUTED_VALUE"""),16)</f>
        <v>16</v>
      </c>
      <c r="E218" t="str">
        <f ca="1">IFERROR(__xludf.DUMMYFUNCTION("""COMPUTED_VALUE"""),"56' 9""")</f>
        <v>56' 9"</v>
      </c>
      <c r="F218" s="2">
        <f ca="1">IFERROR(__xludf.DUMMYFUNCTION("""COMPUTED_VALUE"""),1986.917)</f>
        <v>1986.9169999999999</v>
      </c>
      <c r="G218">
        <f ca="1">IFERROR(__xludf.DUMMYFUNCTION("""COMPUTED_VALUE"""),35)</f>
        <v>35</v>
      </c>
      <c r="H218">
        <f ca="1">IFERROR(__xludf.DUMMYFUNCTION("""COMPUTED_VALUE"""),-8)</f>
        <v>-8</v>
      </c>
    </row>
    <row r="219" spans="1:8" ht="12.75">
      <c r="A219" t="str">
        <f ca="1">IFERROR(__xludf.DUMMYFUNCTION("""COMPUTED_VALUE"""),"T218")</f>
        <v>T218</v>
      </c>
      <c r="B219" t="str">
        <f ca="1">IFERROR(__xludf.DUMMYFUNCTION("""COMPUTED_VALUE"""),"T216")</f>
        <v>T216</v>
      </c>
      <c r="C219" t="str">
        <f ca="1">IFERROR(__xludf.DUMMYFUNCTION("""COMPUTED_VALUE"""),"Michael Gligic")</f>
        <v>Michael Gligic</v>
      </c>
      <c r="D219">
        <f ca="1">IFERROR(__xludf.DUMMYFUNCTION("""COMPUTED_VALUE"""),18)</f>
        <v>18</v>
      </c>
      <c r="E219" t="str">
        <f ca="1">IFERROR(__xludf.DUMMYFUNCTION("""COMPUTED_VALUE"""),"57' 0""")</f>
        <v>57' 0"</v>
      </c>
      <c r="F219" s="2">
        <f ca="1">IFERROR(__xludf.DUMMYFUNCTION("""COMPUTED_VALUE"""),2109.333)</f>
        <v>2109.3330000000001</v>
      </c>
      <c r="G219">
        <f ca="1">IFERROR(__xludf.DUMMYFUNCTION("""COMPUTED_VALUE"""),37)</f>
        <v>37</v>
      </c>
      <c r="H219">
        <f ca="1">IFERROR(__xludf.DUMMYFUNCTION("""COMPUTED_VALUE"""),-13)</f>
        <v>-13</v>
      </c>
    </row>
    <row r="220" spans="1:8" ht="12.75">
      <c r="A220" t="str">
        <f ca="1">IFERROR(__xludf.DUMMYFUNCTION("""COMPUTED_VALUE"""),"T218")</f>
        <v>T218</v>
      </c>
      <c r="B220" t="str">
        <f ca="1">IFERROR(__xludf.DUMMYFUNCTION("""COMPUTED_VALUE"""),"T216")</f>
        <v>T216</v>
      </c>
      <c r="C220" t="str">
        <f ca="1">IFERROR(__xludf.DUMMYFUNCTION("""COMPUTED_VALUE"""),"Peter Malnati")</f>
        <v>Peter Malnati</v>
      </c>
      <c r="D220">
        <f ca="1">IFERROR(__xludf.DUMMYFUNCTION("""COMPUTED_VALUE"""),18)</f>
        <v>18</v>
      </c>
      <c r="E220" t="str">
        <f ca="1">IFERROR(__xludf.DUMMYFUNCTION("""COMPUTED_VALUE"""),"57' 0""")</f>
        <v>57' 0"</v>
      </c>
      <c r="F220" s="2">
        <f ca="1">IFERROR(__xludf.DUMMYFUNCTION("""COMPUTED_VALUE"""),1824.167)</f>
        <v>1824.1669999999999</v>
      </c>
      <c r="G220">
        <f ca="1">IFERROR(__xludf.DUMMYFUNCTION("""COMPUTED_VALUE"""),32)</f>
        <v>32</v>
      </c>
      <c r="H220">
        <f ca="1">IFERROR(__xludf.DUMMYFUNCTION("""COMPUTED_VALUE"""),-6)</f>
        <v>-6</v>
      </c>
    </row>
    <row r="221" spans="1:8" ht="12.75">
      <c r="A221" t="str">
        <f ca="1">IFERROR(__xludf.DUMMYFUNCTION("""COMPUTED_VALUE"""),"T220")</f>
        <v>T220</v>
      </c>
      <c r="B221" t="str">
        <f ca="1">IFERROR(__xludf.DUMMYFUNCTION("""COMPUTED_VALUE"""),"T200")</f>
        <v>T200</v>
      </c>
      <c r="C221" t="str">
        <f ca="1">IFERROR(__xludf.DUMMYFUNCTION("""COMPUTED_VALUE"""),"Adam Schenk")</f>
        <v>Adam Schenk</v>
      </c>
      <c r="D221">
        <f ca="1">IFERROR(__xludf.DUMMYFUNCTION("""COMPUTED_VALUE"""),22)</f>
        <v>22</v>
      </c>
      <c r="E221" t="str">
        <f ca="1">IFERROR(__xludf.DUMMYFUNCTION("""COMPUTED_VALUE"""),"57' 2""")</f>
        <v>57' 2"</v>
      </c>
      <c r="F221" s="2">
        <f ca="1">IFERROR(__xludf.DUMMYFUNCTION("""COMPUTED_VALUE"""),2516.75)</f>
        <v>2516.75</v>
      </c>
      <c r="G221">
        <f ca="1">IFERROR(__xludf.DUMMYFUNCTION("""COMPUTED_VALUE"""),44)</f>
        <v>44</v>
      </c>
      <c r="H221">
        <f ca="1">IFERROR(__xludf.DUMMYFUNCTION("""COMPUTED_VALUE"""),-6)</f>
        <v>-6</v>
      </c>
    </row>
    <row r="222" spans="1:8" ht="12.75">
      <c r="A222" t="str">
        <f ca="1">IFERROR(__xludf.DUMMYFUNCTION("""COMPUTED_VALUE"""),"T220")</f>
        <v>T220</v>
      </c>
      <c r="B222">
        <f ca="1">IFERROR(__xludf.DUMMYFUNCTION("""COMPUTED_VALUE"""),242)</f>
        <v>242</v>
      </c>
      <c r="C222" t="str">
        <f ca="1">IFERROR(__xludf.DUMMYFUNCTION("""COMPUTED_VALUE"""),"Jamie Lovemark")</f>
        <v>Jamie Lovemark</v>
      </c>
      <c r="D222">
        <f ca="1">IFERROR(__xludf.DUMMYFUNCTION("""COMPUTED_VALUE"""),18)</f>
        <v>18</v>
      </c>
      <c r="E222" t="str">
        <f ca="1">IFERROR(__xludf.DUMMYFUNCTION("""COMPUTED_VALUE"""),"57' 2""")</f>
        <v>57' 2"</v>
      </c>
      <c r="F222" s="2">
        <f ca="1">IFERROR(__xludf.DUMMYFUNCTION("""COMPUTED_VALUE"""),1485.75)</f>
        <v>1485.75</v>
      </c>
      <c r="G222">
        <f ca="1">IFERROR(__xludf.DUMMYFUNCTION("""COMPUTED_VALUE"""),26)</f>
        <v>26</v>
      </c>
      <c r="H222" t="str">
        <f ca="1">IFERROR(__xludf.DUMMYFUNCTION("""COMPUTED_VALUE"""),"+3")</f>
        <v>+3</v>
      </c>
    </row>
    <row r="223" spans="1:8" ht="12.75">
      <c r="A223" t="str">
        <f ca="1">IFERROR(__xludf.DUMMYFUNCTION("""COMPUTED_VALUE"""),"T220")</f>
        <v>T220</v>
      </c>
      <c r="B223" t="str">
        <f ca="1">IFERROR(__xludf.DUMMYFUNCTION("""COMPUTED_VALUE"""),"T135")</f>
        <v>T135</v>
      </c>
      <c r="C223" t="str">
        <f ca="1">IFERROR(__xludf.DUMMYFUNCTION("""COMPUTED_VALUE"""),"Matt Jones")</f>
        <v>Matt Jones</v>
      </c>
      <c r="D223">
        <f ca="1">IFERROR(__xludf.DUMMYFUNCTION("""COMPUTED_VALUE"""),20)</f>
        <v>20</v>
      </c>
      <c r="E223" t="str">
        <f ca="1">IFERROR(__xludf.DUMMYFUNCTION("""COMPUTED_VALUE"""),"57' 2""")</f>
        <v>57' 2"</v>
      </c>
      <c r="F223" s="2">
        <f ca="1">IFERROR(__xludf.DUMMYFUNCTION("""COMPUTED_VALUE"""),2401.583)</f>
        <v>2401.5830000000001</v>
      </c>
      <c r="G223">
        <f ca="1">IFERROR(__xludf.DUMMYFUNCTION("""COMPUTED_VALUE"""),42)</f>
        <v>42</v>
      </c>
      <c r="H223">
        <f ca="1">IFERROR(__xludf.DUMMYFUNCTION("""COMPUTED_VALUE"""),-8)</f>
        <v>-8</v>
      </c>
    </row>
    <row r="224" spans="1:8" ht="12.75">
      <c r="A224">
        <f ca="1">IFERROR(__xludf.DUMMYFUNCTION("""COMPUTED_VALUE"""),223)</f>
        <v>223</v>
      </c>
      <c r="B224">
        <f ca="1">IFERROR(__xludf.DUMMYFUNCTION("""COMPUTED_VALUE"""),233)</f>
        <v>233</v>
      </c>
      <c r="C224" t="str">
        <f ca="1">IFERROR(__xludf.DUMMYFUNCTION("""COMPUTED_VALUE"""),"Andrew Putnam")</f>
        <v>Andrew Putnam</v>
      </c>
      <c r="D224">
        <f ca="1">IFERROR(__xludf.DUMMYFUNCTION("""COMPUTED_VALUE"""),19)</f>
        <v>19</v>
      </c>
      <c r="E224" t="str">
        <f ca="1">IFERROR(__xludf.DUMMYFUNCTION("""COMPUTED_VALUE"""),"57' 3""")</f>
        <v>57' 3"</v>
      </c>
      <c r="F224" s="2">
        <f ca="1">IFERROR(__xludf.DUMMYFUNCTION("""COMPUTED_VALUE"""),2404.333)</f>
        <v>2404.3330000000001</v>
      </c>
      <c r="G224">
        <f ca="1">IFERROR(__xludf.DUMMYFUNCTION("""COMPUTED_VALUE"""),42)</f>
        <v>42</v>
      </c>
      <c r="H224" t="str">
        <f ca="1">IFERROR(__xludf.DUMMYFUNCTION("""COMPUTED_VALUE"""),"+1")</f>
        <v>+1</v>
      </c>
    </row>
    <row r="225" spans="1:8" ht="12.75">
      <c r="A225">
        <f ca="1">IFERROR(__xludf.DUMMYFUNCTION("""COMPUTED_VALUE"""),224)</f>
        <v>224</v>
      </c>
      <c r="B225">
        <f ca="1">IFERROR(__xludf.DUMMYFUNCTION("""COMPUTED_VALUE"""),219)</f>
        <v>219</v>
      </c>
      <c r="C225" t="str">
        <f ca="1">IFERROR(__xludf.DUMMYFUNCTION("""COMPUTED_VALUE"""),"Gunn Charoenkul")</f>
        <v>Gunn Charoenkul</v>
      </c>
      <c r="D225">
        <f ca="1">IFERROR(__xludf.DUMMYFUNCTION("""COMPUTED_VALUE"""),4)</f>
        <v>4</v>
      </c>
      <c r="E225" t="str">
        <f ca="1">IFERROR(__xludf.DUMMYFUNCTION("""COMPUTED_VALUE"""),"57' 4""")</f>
        <v>57' 4"</v>
      </c>
      <c r="F225">
        <f ca="1">IFERROR(__xludf.DUMMYFUNCTION("""COMPUTED_VALUE"""),859.5)</f>
        <v>859.5</v>
      </c>
      <c r="G225">
        <f ca="1">IFERROR(__xludf.DUMMYFUNCTION("""COMPUTED_VALUE"""),15)</f>
        <v>15</v>
      </c>
      <c r="H225">
        <f ca="1">IFERROR(__xludf.DUMMYFUNCTION("""COMPUTED_VALUE"""),-1)</f>
        <v>-1</v>
      </c>
    </row>
    <row r="226" spans="1:8" ht="12.75">
      <c r="A226" t="str">
        <f ca="1">IFERROR(__xludf.DUMMYFUNCTION("""COMPUTED_VALUE"""),"T225")</f>
        <v>T225</v>
      </c>
      <c r="B226">
        <f ca="1">IFERROR(__xludf.DUMMYFUNCTION("""COMPUTED_VALUE"""),259)</f>
        <v>259</v>
      </c>
      <c r="C226" t="str">
        <f ca="1">IFERROR(__xludf.DUMMYFUNCTION("""COMPUTED_VALUE"""),"Kramer Hickok")</f>
        <v>Kramer Hickok</v>
      </c>
      <c r="D226">
        <f ca="1">IFERROR(__xludf.DUMMYFUNCTION("""COMPUTED_VALUE"""),16)</f>
        <v>16</v>
      </c>
      <c r="E226" t="str">
        <f ca="1">IFERROR(__xludf.DUMMYFUNCTION("""COMPUTED_VALUE"""),"57' 5""")</f>
        <v>57' 5"</v>
      </c>
      <c r="F226" s="2">
        <f ca="1">IFERROR(__xludf.DUMMYFUNCTION("""COMPUTED_VALUE"""),1321.083)</f>
        <v>1321.0830000000001</v>
      </c>
      <c r="G226">
        <f ca="1">IFERROR(__xludf.DUMMYFUNCTION("""COMPUTED_VALUE"""),23)</f>
        <v>23</v>
      </c>
      <c r="H226" t="str">
        <f ca="1">IFERROR(__xludf.DUMMYFUNCTION("""COMPUTED_VALUE"""),"+1")</f>
        <v>+1</v>
      </c>
    </row>
    <row r="227" spans="1:8" ht="12.75">
      <c r="A227" t="str">
        <f ca="1">IFERROR(__xludf.DUMMYFUNCTION("""COMPUTED_VALUE"""),"T225")</f>
        <v>T225</v>
      </c>
      <c r="B227">
        <f ca="1">IFERROR(__xludf.DUMMYFUNCTION("""COMPUTED_VALUE"""),220)</f>
        <v>220</v>
      </c>
      <c r="C227" t="str">
        <f ca="1">IFERROR(__xludf.DUMMYFUNCTION("""COMPUTED_VALUE"""),"Patrick Reed")</f>
        <v>Patrick Reed</v>
      </c>
      <c r="D227">
        <f ca="1">IFERROR(__xludf.DUMMYFUNCTION("""COMPUTED_VALUE"""),8)</f>
        <v>8</v>
      </c>
      <c r="E227" t="str">
        <f ca="1">IFERROR(__xludf.DUMMYFUNCTION("""COMPUTED_VALUE"""),"57' 5""")</f>
        <v>57' 5"</v>
      </c>
      <c r="F227" s="2">
        <f ca="1">IFERROR(__xludf.DUMMYFUNCTION("""COMPUTED_VALUE"""),2010.917)</f>
        <v>2010.9169999999999</v>
      </c>
      <c r="G227">
        <f ca="1">IFERROR(__xludf.DUMMYFUNCTION("""COMPUTED_VALUE"""),35)</f>
        <v>35</v>
      </c>
      <c r="H227">
        <f ca="1">IFERROR(__xludf.DUMMYFUNCTION("""COMPUTED_VALUE"""),-10)</f>
        <v>-10</v>
      </c>
    </row>
    <row r="228" spans="1:8" ht="12.75">
      <c r="A228">
        <f ca="1">IFERROR(__xludf.DUMMYFUNCTION("""COMPUTED_VALUE"""),227)</f>
        <v>227</v>
      </c>
      <c r="B228" t="str">
        <f ca="1">IFERROR(__xludf.DUMMYFUNCTION("""COMPUTED_VALUE"""),"T162")</f>
        <v>T162</v>
      </c>
      <c r="C228" t="str">
        <f ca="1">IFERROR(__xludf.DUMMYFUNCTION("""COMPUTED_VALUE"""),"Dustin Johnson")</f>
        <v>Dustin Johnson</v>
      </c>
      <c r="D228">
        <f ca="1">IFERROR(__xludf.DUMMYFUNCTION("""COMPUTED_VALUE"""),8)</f>
        <v>8</v>
      </c>
      <c r="E228" t="str">
        <f ca="1">IFERROR(__xludf.DUMMYFUNCTION("""COMPUTED_VALUE"""),"57' 6""")</f>
        <v>57' 6"</v>
      </c>
      <c r="F228" s="2">
        <f ca="1">IFERROR(__xludf.DUMMYFUNCTION("""COMPUTED_VALUE"""),1438)</f>
        <v>1438</v>
      </c>
      <c r="G228">
        <f ca="1">IFERROR(__xludf.DUMMYFUNCTION("""COMPUTED_VALUE"""),25)</f>
        <v>25</v>
      </c>
      <c r="H228">
        <f ca="1">IFERROR(__xludf.DUMMYFUNCTION("""COMPUTED_VALUE"""),-1)</f>
        <v>-1</v>
      </c>
    </row>
    <row r="229" spans="1:8" ht="12.75">
      <c r="A229">
        <f ca="1">IFERROR(__xludf.DUMMYFUNCTION("""COMPUTED_VALUE"""),228)</f>
        <v>228</v>
      </c>
      <c r="B229">
        <f ca="1">IFERROR(__xludf.DUMMYFUNCTION("""COMPUTED_VALUE"""),221)</f>
        <v>221</v>
      </c>
      <c r="C229" t="str">
        <f ca="1">IFERROR(__xludf.DUMMYFUNCTION("""COMPUTED_VALUE"""),"Nelson Ledesma")</f>
        <v>Nelson Ledesma</v>
      </c>
      <c r="D229">
        <f ca="1">IFERROR(__xludf.DUMMYFUNCTION("""COMPUTED_VALUE"""),8)</f>
        <v>8</v>
      </c>
      <c r="E229" t="str">
        <f ca="1">IFERROR(__xludf.DUMMYFUNCTION("""COMPUTED_VALUE"""),"57' 8""")</f>
        <v>57' 8"</v>
      </c>
      <c r="F229">
        <f ca="1">IFERROR(__xludf.DUMMYFUNCTION("""COMPUTED_VALUE"""),807)</f>
        <v>807</v>
      </c>
      <c r="G229">
        <f ca="1">IFERROR(__xludf.DUMMYFUNCTION("""COMPUTED_VALUE"""),14)</f>
        <v>14</v>
      </c>
      <c r="H229">
        <f ca="1">IFERROR(__xludf.DUMMYFUNCTION("""COMPUTED_VALUE"""),-2)</f>
        <v>-2</v>
      </c>
    </row>
    <row r="230" spans="1:8" ht="12.75">
      <c r="A230">
        <f ca="1">IFERROR(__xludf.DUMMYFUNCTION("""COMPUTED_VALUE"""),229)</f>
        <v>229</v>
      </c>
      <c r="B230" t="str">
        <f ca="1">IFERROR(__xludf.DUMMYFUNCTION("""COMPUTED_VALUE"""),"T210")</f>
        <v>T210</v>
      </c>
      <c r="C230" t="str">
        <f ca="1">IFERROR(__xludf.DUMMYFUNCTION("""COMPUTED_VALUE"""),"Tom Lewis")</f>
        <v>Tom Lewis</v>
      </c>
      <c r="D230">
        <f ca="1">IFERROR(__xludf.DUMMYFUNCTION("""COMPUTED_VALUE"""),12)</f>
        <v>12</v>
      </c>
      <c r="E230" t="str">
        <f ca="1">IFERROR(__xludf.DUMMYFUNCTION("""COMPUTED_VALUE"""),"57' 10""")</f>
        <v>57' 10"</v>
      </c>
      <c r="F230" s="2">
        <f ca="1">IFERROR(__xludf.DUMMYFUNCTION("""COMPUTED_VALUE"""),1734.083)</f>
        <v>1734.0830000000001</v>
      </c>
      <c r="G230">
        <f ca="1">IFERROR(__xludf.DUMMYFUNCTION("""COMPUTED_VALUE"""),30)</f>
        <v>30</v>
      </c>
      <c r="H230" t="str">
        <f ca="1">IFERROR(__xludf.DUMMYFUNCTION("""COMPUTED_VALUE"""),"E")</f>
        <v>E</v>
      </c>
    </row>
    <row r="231" spans="1:8" ht="12.75">
      <c r="A231">
        <f ca="1">IFERROR(__xludf.DUMMYFUNCTION("""COMPUTED_VALUE"""),230)</f>
        <v>230</v>
      </c>
      <c r="B231" t="str">
        <f ca="1">IFERROR(__xludf.DUMMYFUNCTION("""COMPUTED_VALUE"""),"T223")</f>
        <v>T223</v>
      </c>
      <c r="C231" t="str">
        <f ca="1">IFERROR(__xludf.DUMMYFUNCTION("""COMPUTED_VALUE"""),"Renato Paratore")</f>
        <v>Renato Paratore</v>
      </c>
      <c r="D231">
        <f ca="1">IFERROR(__xludf.DUMMYFUNCTION("""COMPUTED_VALUE"""),4)</f>
        <v>4</v>
      </c>
      <c r="E231" t="str">
        <f ca="1">IFERROR(__xludf.DUMMYFUNCTION("""COMPUTED_VALUE"""),"57' 11""")</f>
        <v>57' 11"</v>
      </c>
      <c r="F231">
        <f ca="1">IFERROR(__xludf.DUMMYFUNCTION("""COMPUTED_VALUE"""),753.417)</f>
        <v>753.41700000000003</v>
      </c>
      <c r="G231">
        <f ca="1">IFERROR(__xludf.DUMMYFUNCTION("""COMPUTED_VALUE"""),13)</f>
        <v>13</v>
      </c>
      <c r="H231" t="str">
        <f ca="1">IFERROR(__xludf.DUMMYFUNCTION("""COMPUTED_VALUE"""),"+1")</f>
        <v>+1</v>
      </c>
    </row>
    <row r="232" spans="1:8" ht="12.75">
      <c r="A232">
        <f ca="1">IFERROR(__xludf.DUMMYFUNCTION("""COMPUTED_VALUE"""),231)</f>
        <v>231</v>
      </c>
      <c r="B232">
        <f ca="1">IFERROR(__xludf.DUMMYFUNCTION("""COMPUTED_VALUE"""),225)</f>
        <v>225</v>
      </c>
      <c r="C232" t="str">
        <f ca="1">IFERROR(__xludf.DUMMYFUNCTION("""COMPUTED_VALUE"""),"Shawn Stefani")</f>
        <v>Shawn Stefani</v>
      </c>
      <c r="D232">
        <f ca="1">IFERROR(__xludf.DUMMYFUNCTION("""COMPUTED_VALUE"""),5)</f>
        <v>5</v>
      </c>
      <c r="E232" t="str">
        <f ca="1">IFERROR(__xludf.DUMMYFUNCTION("""COMPUTED_VALUE"""),"58' 1""")</f>
        <v>58' 1"</v>
      </c>
      <c r="F232">
        <f ca="1">IFERROR(__xludf.DUMMYFUNCTION("""COMPUTED_VALUE"""),290.333)</f>
        <v>290.33300000000003</v>
      </c>
      <c r="G232">
        <f ca="1">IFERROR(__xludf.DUMMYFUNCTION("""COMPUTED_VALUE"""),5)</f>
        <v>5</v>
      </c>
      <c r="H232" t="str">
        <f ca="1">IFERROR(__xludf.DUMMYFUNCTION("""COMPUTED_VALUE"""),"E")</f>
        <v>E</v>
      </c>
    </row>
    <row r="233" spans="1:8" ht="12.75">
      <c r="A233">
        <f ca="1">IFERROR(__xludf.DUMMYFUNCTION("""COMPUTED_VALUE"""),232)</f>
        <v>232</v>
      </c>
      <c r="B233">
        <f ca="1">IFERROR(__xludf.DUMMYFUNCTION("""COMPUTED_VALUE"""),226)</f>
        <v>226</v>
      </c>
      <c r="C233" t="str">
        <f ca="1">IFERROR(__xludf.DUMMYFUNCTION("""COMPUTED_VALUE"""),"Brian Gay")</f>
        <v>Brian Gay</v>
      </c>
      <c r="D233">
        <f ca="1">IFERROR(__xludf.DUMMYFUNCTION("""COMPUTED_VALUE"""),8)</f>
        <v>8</v>
      </c>
      <c r="E233" t="str">
        <f ca="1">IFERROR(__xludf.DUMMYFUNCTION("""COMPUTED_VALUE"""),"58' 3""")</f>
        <v>58' 3"</v>
      </c>
      <c r="F233">
        <f ca="1">IFERROR(__xludf.DUMMYFUNCTION("""COMPUTED_VALUE"""),640.75)</f>
        <v>640.75</v>
      </c>
      <c r="G233">
        <f ca="1">IFERROR(__xludf.DUMMYFUNCTION("""COMPUTED_VALUE"""),11)</f>
        <v>11</v>
      </c>
      <c r="H233">
        <f ca="1">IFERROR(__xludf.DUMMYFUNCTION("""COMPUTED_VALUE"""),-1)</f>
        <v>-1</v>
      </c>
    </row>
    <row r="234" spans="1:8" ht="12.75">
      <c r="A234" t="str">
        <f ca="1">IFERROR(__xludf.DUMMYFUNCTION("""COMPUTED_VALUE"""),"T233")</f>
        <v>T233</v>
      </c>
      <c r="B234" t="str">
        <f ca="1">IFERROR(__xludf.DUMMYFUNCTION("""COMPUTED_VALUE"""),"T229")</f>
        <v>T229</v>
      </c>
      <c r="C234" t="str">
        <f ca="1">IFERROR(__xludf.DUMMYFUNCTION("""COMPUTED_VALUE"""),"Vincent Whaley")</f>
        <v>Vincent Whaley</v>
      </c>
      <c r="D234">
        <f ca="1">IFERROR(__xludf.DUMMYFUNCTION("""COMPUTED_VALUE"""),14)</f>
        <v>14</v>
      </c>
      <c r="E234" t="str">
        <f ca="1">IFERROR(__xludf.DUMMYFUNCTION("""COMPUTED_VALUE"""),"58' 5""")</f>
        <v>58' 5"</v>
      </c>
      <c r="F234" s="2">
        <f ca="1">IFERROR(__xludf.DUMMYFUNCTION("""COMPUTED_VALUE"""),1576.5)</f>
        <v>1576.5</v>
      </c>
      <c r="G234">
        <f ca="1">IFERROR(__xludf.DUMMYFUNCTION("""COMPUTED_VALUE"""),27)</f>
        <v>27</v>
      </c>
      <c r="H234">
        <f ca="1">IFERROR(__xludf.DUMMYFUNCTION("""COMPUTED_VALUE"""),-8)</f>
        <v>-8</v>
      </c>
    </row>
    <row r="235" spans="1:8" ht="12.75">
      <c r="A235" t="str">
        <f ca="1">IFERROR(__xludf.DUMMYFUNCTION("""COMPUTED_VALUE"""),"T233")</f>
        <v>T233</v>
      </c>
      <c r="B235" t="str">
        <f ca="1">IFERROR(__xludf.DUMMYFUNCTION("""COMPUTED_VALUE"""),"T229")</f>
        <v>T229</v>
      </c>
      <c r="C235" t="str">
        <f ca="1">IFERROR(__xludf.DUMMYFUNCTION("""COMPUTED_VALUE"""),"Wesley Bryan")</f>
        <v>Wesley Bryan</v>
      </c>
      <c r="D235">
        <f ca="1">IFERROR(__xludf.DUMMYFUNCTION("""COMPUTED_VALUE"""),8)</f>
        <v>8</v>
      </c>
      <c r="E235" t="str">
        <f ca="1">IFERROR(__xludf.DUMMYFUNCTION("""COMPUTED_VALUE"""),"58' 5""")</f>
        <v>58' 5"</v>
      </c>
      <c r="F235" s="2">
        <f ca="1">IFERROR(__xludf.DUMMYFUNCTION("""COMPUTED_VALUE"""),1051)</f>
        <v>1051</v>
      </c>
      <c r="G235">
        <f ca="1">IFERROR(__xludf.DUMMYFUNCTION("""COMPUTED_VALUE"""),18)</f>
        <v>18</v>
      </c>
      <c r="H235">
        <f ca="1">IFERROR(__xludf.DUMMYFUNCTION("""COMPUTED_VALUE"""),-7)</f>
        <v>-7</v>
      </c>
    </row>
    <row r="236" spans="1:8" ht="12.75">
      <c r="A236" t="str">
        <f ca="1">IFERROR(__xludf.DUMMYFUNCTION("""COMPUTED_VALUE"""),"T235")</f>
        <v>T235</v>
      </c>
      <c r="B236" t="str">
        <f ca="1">IFERROR(__xludf.DUMMYFUNCTION("""COMPUTED_VALUE"""),"T234")</f>
        <v>T234</v>
      </c>
      <c r="C236" t="str">
        <f ca="1">IFERROR(__xludf.DUMMYFUNCTION("""COMPUTED_VALUE"""),"D.J. Trahan")</f>
        <v>D.J. Trahan</v>
      </c>
      <c r="D236">
        <f ca="1">IFERROR(__xludf.DUMMYFUNCTION("""COMPUTED_VALUE"""),16)</f>
        <v>16</v>
      </c>
      <c r="E236" t="str">
        <f ca="1">IFERROR(__xludf.DUMMYFUNCTION("""COMPUTED_VALUE"""),"58' 11""")</f>
        <v>58' 11"</v>
      </c>
      <c r="F236" s="2">
        <f ca="1">IFERROR(__xludf.DUMMYFUNCTION("""COMPUTED_VALUE"""),1767.917)</f>
        <v>1767.9169999999999</v>
      </c>
      <c r="G236">
        <f ca="1">IFERROR(__xludf.DUMMYFUNCTION("""COMPUTED_VALUE"""),30)</f>
        <v>30</v>
      </c>
      <c r="H236">
        <f ca="1">IFERROR(__xludf.DUMMYFUNCTION("""COMPUTED_VALUE"""),-9)</f>
        <v>-9</v>
      </c>
    </row>
    <row r="237" spans="1:8" ht="12.75">
      <c r="A237" t="str">
        <f ca="1">IFERROR(__xludf.DUMMYFUNCTION("""COMPUTED_VALUE"""),"T235")</f>
        <v>T235</v>
      </c>
      <c r="B237" t="str">
        <f ca="1">IFERROR(__xludf.DUMMYFUNCTION("""COMPUTED_VALUE"""),"T254")</f>
        <v>T254</v>
      </c>
      <c r="C237" t="str">
        <f ca="1">IFERROR(__xludf.DUMMYFUNCTION("""COMPUTED_VALUE"""),"Ted Potter, Jr.")</f>
        <v>Ted Potter, Jr.</v>
      </c>
      <c r="D237">
        <f ca="1">IFERROR(__xludf.DUMMYFUNCTION("""COMPUTED_VALUE"""),8)</f>
        <v>8</v>
      </c>
      <c r="E237" t="str">
        <f ca="1">IFERROR(__xludf.DUMMYFUNCTION("""COMPUTED_VALUE"""),"58' 11""")</f>
        <v>58' 11"</v>
      </c>
      <c r="F237" s="2">
        <f ca="1">IFERROR(__xludf.DUMMYFUNCTION("""COMPUTED_VALUE"""),1355.083)</f>
        <v>1355.0830000000001</v>
      </c>
      <c r="G237">
        <f ca="1">IFERROR(__xludf.DUMMYFUNCTION("""COMPUTED_VALUE"""),23)</f>
        <v>23</v>
      </c>
      <c r="H237">
        <f ca="1">IFERROR(__xludf.DUMMYFUNCTION("""COMPUTED_VALUE"""),-1)</f>
        <v>-1</v>
      </c>
    </row>
    <row r="238" spans="1:8" ht="12.75">
      <c r="A238" t="str">
        <f ca="1">IFERROR(__xludf.DUMMYFUNCTION("""COMPUTED_VALUE"""),"T237")</f>
        <v>T237</v>
      </c>
      <c r="B238">
        <f ca="1">IFERROR(__xludf.DUMMYFUNCTION("""COMPUTED_VALUE"""),206)</f>
        <v>206</v>
      </c>
      <c r="C238" t="str">
        <f ca="1">IFERROR(__xludf.DUMMYFUNCTION("""COMPUTED_VALUE"""),"Henrik Stenson")</f>
        <v>Henrik Stenson</v>
      </c>
      <c r="D238">
        <f ca="1">IFERROR(__xludf.DUMMYFUNCTION("""COMPUTED_VALUE"""),11)</f>
        <v>11</v>
      </c>
      <c r="E238" t="str">
        <f ca="1">IFERROR(__xludf.DUMMYFUNCTION("""COMPUTED_VALUE"""),"59' 0""")</f>
        <v>59' 0"</v>
      </c>
      <c r="F238" s="2">
        <f ca="1">IFERROR(__xludf.DUMMYFUNCTION("""COMPUTED_VALUE"""),1239.25)</f>
        <v>1239.25</v>
      </c>
      <c r="G238">
        <f ca="1">IFERROR(__xludf.DUMMYFUNCTION("""COMPUTED_VALUE"""),21)</f>
        <v>21</v>
      </c>
      <c r="H238" t="str">
        <f ca="1">IFERROR(__xludf.DUMMYFUNCTION("""COMPUTED_VALUE"""),"+5")</f>
        <v>+5</v>
      </c>
    </row>
    <row r="239" spans="1:8" ht="12.75">
      <c r="A239" t="str">
        <f ca="1">IFERROR(__xludf.DUMMYFUNCTION("""COMPUTED_VALUE"""),"T237")</f>
        <v>T237</v>
      </c>
      <c r="B239">
        <f ca="1">IFERROR(__xludf.DUMMYFUNCTION("""COMPUTED_VALUE"""),236)</f>
        <v>236</v>
      </c>
      <c r="C239" t="str">
        <f ca="1">IFERROR(__xludf.DUMMYFUNCTION("""COMPUTED_VALUE"""),"Brendon Todd")</f>
        <v>Brendon Todd</v>
      </c>
      <c r="D239">
        <f ca="1">IFERROR(__xludf.DUMMYFUNCTION("""COMPUTED_VALUE"""),14)</f>
        <v>14</v>
      </c>
      <c r="E239" t="str">
        <f ca="1">IFERROR(__xludf.DUMMYFUNCTION("""COMPUTED_VALUE"""),"59' 0""")</f>
        <v>59' 0"</v>
      </c>
      <c r="F239" s="2">
        <f ca="1">IFERROR(__xludf.DUMMYFUNCTION("""COMPUTED_VALUE"""),3127.417)</f>
        <v>3127.4169999999999</v>
      </c>
      <c r="G239">
        <f ca="1">IFERROR(__xludf.DUMMYFUNCTION("""COMPUTED_VALUE"""),53)</f>
        <v>53</v>
      </c>
      <c r="H239">
        <f ca="1">IFERROR(__xludf.DUMMYFUNCTION("""COMPUTED_VALUE"""),-10)</f>
        <v>-10</v>
      </c>
    </row>
    <row r="240" spans="1:8" ht="12.75">
      <c r="A240" t="str">
        <f ca="1">IFERROR(__xludf.DUMMYFUNCTION("""COMPUTED_VALUE"""),"T239")</f>
        <v>T239</v>
      </c>
      <c r="B240" t="str">
        <f ca="1">IFERROR(__xludf.DUMMYFUNCTION("""COMPUTED_VALUE"""),"T227")</f>
        <v>T227</v>
      </c>
      <c r="C240" t="str">
        <f ca="1">IFERROR(__xludf.DUMMYFUNCTION("""COMPUTED_VALUE"""),"Brandt Snedeker")</f>
        <v>Brandt Snedeker</v>
      </c>
      <c r="D240">
        <f ca="1">IFERROR(__xludf.DUMMYFUNCTION("""COMPUTED_VALUE"""),16)</f>
        <v>16</v>
      </c>
      <c r="E240" t="str">
        <f ca="1">IFERROR(__xludf.DUMMYFUNCTION("""COMPUTED_VALUE"""),"59' 1""")</f>
        <v>59' 1"</v>
      </c>
      <c r="F240" s="2">
        <f ca="1">IFERROR(__xludf.DUMMYFUNCTION("""COMPUTED_VALUE"""),3014.25)</f>
        <v>3014.25</v>
      </c>
      <c r="G240">
        <f ca="1">IFERROR(__xludf.DUMMYFUNCTION("""COMPUTED_VALUE"""),51)</f>
        <v>51</v>
      </c>
      <c r="H240">
        <f ca="1">IFERROR(__xludf.DUMMYFUNCTION("""COMPUTED_VALUE"""),-3)</f>
        <v>-3</v>
      </c>
    </row>
    <row r="241" spans="1:8" ht="12.75">
      <c r="A241" t="str">
        <f ca="1">IFERROR(__xludf.DUMMYFUNCTION("""COMPUTED_VALUE"""),"T239")</f>
        <v>T239</v>
      </c>
      <c r="B241" t="str">
        <f ca="1">IFERROR(__xludf.DUMMYFUNCTION("""COMPUTED_VALUE"""),"T237")</f>
        <v>T237</v>
      </c>
      <c r="C241" t="str">
        <f ca="1">IFERROR(__xludf.DUMMYFUNCTION("""COMPUTED_VALUE"""),"Aaron Baddeley")</f>
        <v>Aaron Baddeley</v>
      </c>
      <c r="D241">
        <f ca="1">IFERROR(__xludf.DUMMYFUNCTION("""COMPUTED_VALUE"""),8)</f>
        <v>8</v>
      </c>
      <c r="E241" t="str">
        <f ca="1">IFERROR(__xludf.DUMMYFUNCTION("""COMPUTED_VALUE"""),"59' 1""")</f>
        <v>59' 1"</v>
      </c>
      <c r="F241">
        <f ca="1">IFERROR(__xludf.DUMMYFUNCTION("""COMPUTED_VALUE"""),649.833)</f>
        <v>649.83299999999997</v>
      </c>
      <c r="G241">
        <f ca="1">IFERROR(__xludf.DUMMYFUNCTION("""COMPUTED_VALUE"""),11)</f>
        <v>11</v>
      </c>
      <c r="H241">
        <f ca="1">IFERROR(__xludf.DUMMYFUNCTION("""COMPUTED_VALUE"""),-3)</f>
        <v>-3</v>
      </c>
    </row>
    <row r="242" spans="1:8" ht="12.75">
      <c r="A242" t="str">
        <f ca="1">IFERROR(__xludf.DUMMYFUNCTION("""COMPUTED_VALUE"""),"T239")</f>
        <v>T239</v>
      </c>
      <c r="B242" t="str">
        <f ca="1">IFERROR(__xludf.DUMMYFUNCTION("""COMPUTED_VALUE"""),"T237")</f>
        <v>T237</v>
      </c>
      <c r="C242" t="str">
        <f ca="1">IFERROR(__xludf.DUMMYFUNCTION("""COMPUTED_VALUE"""),"Chase Seiffert")</f>
        <v>Chase Seiffert</v>
      </c>
      <c r="D242">
        <f ca="1">IFERROR(__xludf.DUMMYFUNCTION("""COMPUTED_VALUE"""),14)</f>
        <v>14</v>
      </c>
      <c r="E242" t="str">
        <f ca="1">IFERROR(__xludf.DUMMYFUNCTION("""COMPUTED_VALUE"""),"59' 1""")</f>
        <v>59' 1"</v>
      </c>
      <c r="F242" s="2">
        <f ca="1">IFERROR(__xludf.DUMMYFUNCTION("""COMPUTED_VALUE"""),1536.25)</f>
        <v>1536.25</v>
      </c>
      <c r="G242">
        <f ca="1">IFERROR(__xludf.DUMMYFUNCTION("""COMPUTED_VALUE"""),26)</f>
        <v>26</v>
      </c>
      <c r="H242">
        <f ca="1">IFERROR(__xludf.DUMMYFUNCTION("""COMPUTED_VALUE"""),-5)</f>
        <v>-5</v>
      </c>
    </row>
    <row r="243" spans="1:8" ht="12.75">
      <c r="A243">
        <f ca="1">IFERROR(__xludf.DUMMYFUNCTION("""COMPUTED_VALUE"""),242)</f>
        <v>242</v>
      </c>
      <c r="B243" t="str">
        <f ca="1">IFERROR(__xludf.DUMMYFUNCTION("""COMPUTED_VALUE"""),"T227")</f>
        <v>T227</v>
      </c>
      <c r="C243" t="str">
        <f ca="1">IFERROR(__xludf.DUMMYFUNCTION("""COMPUTED_VALUE"""),"Denny McCarthy")</f>
        <v>Denny McCarthy</v>
      </c>
      <c r="D243">
        <f ca="1">IFERROR(__xludf.DUMMYFUNCTION("""COMPUTED_VALUE"""),22)</f>
        <v>22</v>
      </c>
      <c r="E243" t="str">
        <f ca="1">IFERROR(__xludf.DUMMYFUNCTION("""COMPUTED_VALUE"""),"59' 3""")</f>
        <v>59' 3"</v>
      </c>
      <c r="F243" s="2">
        <f ca="1">IFERROR(__xludf.DUMMYFUNCTION("""COMPUTED_VALUE"""),2489.917)</f>
        <v>2489.9169999999999</v>
      </c>
      <c r="G243">
        <f ca="1">IFERROR(__xludf.DUMMYFUNCTION("""COMPUTED_VALUE"""),42)</f>
        <v>42</v>
      </c>
      <c r="H243">
        <f ca="1">IFERROR(__xludf.DUMMYFUNCTION("""COMPUTED_VALUE"""),-1)</f>
        <v>-1</v>
      </c>
    </row>
    <row r="244" spans="1:8" ht="12.75">
      <c r="A244" t="str">
        <f ca="1">IFERROR(__xludf.DUMMYFUNCTION("""COMPUTED_VALUE"""),"T243")</f>
        <v>T243</v>
      </c>
      <c r="B244">
        <f ca="1">IFERROR(__xludf.DUMMYFUNCTION("""COMPUTED_VALUE"""),240)</f>
        <v>240</v>
      </c>
      <c r="C244" t="str">
        <f ca="1">IFERROR(__xludf.DUMMYFUNCTION("""COMPUTED_VALUE"""),"Rikuya Hoshino")</f>
        <v>Rikuya Hoshino</v>
      </c>
      <c r="D244">
        <f ca="1">IFERROR(__xludf.DUMMYFUNCTION("""COMPUTED_VALUE"""),4)</f>
        <v>4</v>
      </c>
      <c r="E244" t="str">
        <f ca="1">IFERROR(__xludf.DUMMYFUNCTION("""COMPUTED_VALUE"""),"59' 4""")</f>
        <v>59' 4"</v>
      </c>
      <c r="F244" s="2">
        <f ca="1">IFERROR(__xludf.DUMMYFUNCTION("""COMPUTED_VALUE"""),1187.167)</f>
        <v>1187.1669999999999</v>
      </c>
      <c r="G244">
        <f ca="1">IFERROR(__xludf.DUMMYFUNCTION("""COMPUTED_VALUE"""),20)</f>
        <v>20</v>
      </c>
      <c r="H244">
        <f ca="1">IFERROR(__xludf.DUMMYFUNCTION("""COMPUTED_VALUE"""),-4)</f>
        <v>-4</v>
      </c>
    </row>
    <row r="245" spans="1:8" ht="12.75">
      <c r="A245" t="str">
        <f ca="1">IFERROR(__xludf.DUMMYFUNCTION("""COMPUTED_VALUE"""),"T243")</f>
        <v>T243</v>
      </c>
      <c r="B245" t="str">
        <f ca="1">IFERROR(__xludf.DUMMYFUNCTION("""COMPUTED_VALUE"""),"T210")</f>
        <v>T210</v>
      </c>
      <c r="C245" t="str">
        <f ca="1">IFERROR(__xludf.DUMMYFUNCTION("""COMPUTED_VALUE"""),"Henrik Norlander")</f>
        <v>Henrik Norlander</v>
      </c>
      <c r="D245">
        <f ca="1">IFERROR(__xludf.DUMMYFUNCTION("""COMPUTED_VALUE"""),16)</f>
        <v>16</v>
      </c>
      <c r="E245" t="str">
        <f ca="1">IFERROR(__xludf.DUMMYFUNCTION("""COMPUTED_VALUE"""),"59' 4""")</f>
        <v>59' 4"</v>
      </c>
      <c r="F245" s="2">
        <f ca="1">IFERROR(__xludf.DUMMYFUNCTION("""COMPUTED_VALUE"""),2550.667)</f>
        <v>2550.6669999999999</v>
      </c>
      <c r="G245">
        <f ca="1">IFERROR(__xludf.DUMMYFUNCTION("""COMPUTED_VALUE"""),43)</f>
        <v>43</v>
      </c>
      <c r="H245">
        <f ca="1">IFERROR(__xludf.DUMMYFUNCTION("""COMPUTED_VALUE"""),-12)</f>
        <v>-12</v>
      </c>
    </row>
    <row r="246" spans="1:8" ht="12.75">
      <c r="A246">
        <f ca="1">IFERROR(__xludf.DUMMYFUNCTION("""COMPUTED_VALUE"""),245)</f>
        <v>245</v>
      </c>
      <c r="B246">
        <f ca="1">IFERROR(__xludf.DUMMYFUNCTION("""COMPUTED_VALUE"""),239)</f>
        <v>239</v>
      </c>
      <c r="C246" t="str">
        <f ca="1">IFERROR(__xludf.DUMMYFUNCTION("""COMPUTED_VALUE"""),"Tyler Duncan")</f>
        <v>Tyler Duncan</v>
      </c>
      <c r="D246">
        <f ca="1">IFERROR(__xludf.DUMMYFUNCTION("""COMPUTED_VALUE"""),18)</f>
        <v>18</v>
      </c>
      <c r="E246" t="str">
        <f ca="1">IFERROR(__xludf.DUMMYFUNCTION("""COMPUTED_VALUE"""),"59' 8""")</f>
        <v>59' 8"</v>
      </c>
      <c r="F246" s="2">
        <f ca="1">IFERROR(__xludf.DUMMYFUNCTION("""COMPUTED_VALUE"""),4714.917)</f>
        <v>4714.9170000000004</v>
      </c>
      <c r="G246">
        <f ca="1">IFERROR(__xludf.DUMMYFUNCTION("""COMPUTED_VALUE"""),79)</f>
        <v>79</v>
      </c>
      <c r="H246">
        <f ca="1">IFERROR(__xludf.DUMMYFUNCTION("""COMPUTED_VALUE"""),-20)</f>
        <v>-20</v>
      </c>
    </row>
    <row r="247" spans="1:8" ht="12.75">
      <c r="A247">
        <f ca="1">IFERROR(__xludf.DUMMYFUNCTION("""COMPUTED_VALUE"""),246)</f>
        <v>246</v>
      </c>
      <c r="B247">
        <f ca="1">IFERROR(__xludf.DUMMYFUNCTION("""COMPUTED_VALUE"""),241)</f>
        <v>241</v>
      </c>
      <c r="C247" t="str">
        <f ca="1">IFERROR(__xludf.DUMMYFUNCTION("""COMPUTED_VALUE"""),"Bernd Wiesberger")</f>
        <v>Bernd Wiesberger</v>
      </c>
      <c r="D247">
        <f ca="1">IFERROR(__xludf.DUMMYFUNCTION("""COMPUTED_VALUE"""),4)</f>
        <v>4</v>
      </c>
      <c r="E247" t="str">
        <f ca="1">IFERROR(__xludf.DUMMYFUNCTION("""COMPUTED_VALUE"""),"59' 9""")</f>
        <v>59' 9"</v>
      </c>
      <c r="F247">
        <f ca="1">IFERROR(__xludf.DUMMYFUNCTION("""COMPUTED_VALUE"""),956)</f>
        <v>956</v>
      </c>
      <c r="G247">
        <f ca="1">IFERROR(__xludf.DUMMYFUNCTION("""COMPUTED_VALUE"""),16)</f>
        <v>16</v>
      </c>
      <c r="H247" t="str">
        <f ca="1">IFERROR(__xludf.DUMMYFUNCTION("""COMPUTED_VALUE"""),"+6")</f>
        <v>+6</v>
      </c>
    </row>
    <row r="248" spans="1:8" ht="12.75">
      <c r="A248">
        <f ca="1">IFERROR(__xludf.DUMMYFUNCTION("""COMPUTED_VALUE"""),247)</f>
        <v>247</v>
      </c>
      <c r="B248" t="str">
        <f ca="1">IFERROR(__xludf.DUMMYFUNCTION("""COMPUTED_VALUE"""),"T234")</f>
        <v>T234</v>
      </c>
      <c r="C248" t="str">
        <f ca="1">IFERROR(__xludf.DUMMYFUNCTION("""COMPUTED_VALUE"""),"Rory Sabbatini")</f>
        <v>Rory Sabbatini</v>
      </c>
      <c r="D248">
        <f ca="1">IFERROR(__xludf.DUMMYFUNCTION("""COMPUTED_VALUE"""),13)</f>
        <v>13</v>
      </c>
      <c r="E248" t="str">
        <f ca="1">IFERROR(__xludf.DUMMYFUNCTION("""COMPUTED_VALUE"""),"60' 3""")</f>
        <v>60' 3"</v>
      </c>
      <c r="F248" s="2">
        <f ca="1">IFERROR(__xludf.DUMMYFUNCTION("""COMPUTED_VALUE"""),2833.167)</f>
        <v>2833.1669999999999</v>
      </c>
      <c r="G248">
        <f ca="1">IFERROR(__xludf.DUMMYFUNCTION("""COMPUTED_VALUE"""),47)</f>
        <v>47</v>
      </c>
      <c r="H248" t="str">
        <f ca="1">IFERROR(__xludf.DUMMYFUNCTION("""COMPUTED_VALUE"""),"+2")</f>
        <v>+2</v>
      </c>
    </row>
    <row r="249" spans="1:8" ht="12.75">
      <c r="A249">
        <f ca="1">IFERROR(__xludf.DUMMYFUNCTION("""COMPUTED_VALUE"""),248)</f>
        <v>248</v>
      </c>
      <c r="B249">
        <f ca="1">IFERROR(__xludf.DUMMYFUNCTION("""COMPUTED_VALUE"""),243)</f>
        <v>243</v>
      </c>
      <c r="C249" t="str">
        <f ca="1">IFERROR(__xludf.DUMMYFUNCTION("""COMPUTED_VALUE"""),"Charles Howell III")</f>
        <v>Charles Howell III</v>
      </c>
      <c r="D249">
        <f ca="1">IFERROR(__xludf.DUMMYFUNCTION("""COMPUTED_VALUE"""),10)</f>
        <v>10</v>
      </c>
      <c r="E249" t="str">
        <f ca="1">IFERROR(__xludf.DUMMYFUNCTION("""COMPUTED_VALUE"""),"60' 4""")</f>
        <v>60' 4"</v>
      </c>
      <c r="F249" s="2">
        <f ca="1">IFERROR(__xludf.DUMMYFUNCTION("""COMPUTED_VALUE"""),1447.5)</f>
        <v>1447.5</v>
      </c>
      <c r="G249">
        <f ca="1">IFERROR(__xludf.DUMMYFUNCTION("""COMPUTED_VALUE"""),24)</f>
        <v>24</v>
      </c>
      <c r="H249" t="str">
        <f ca="1">IFERROR(__xludf.DUMMYFUNCTION("""COMPUTED_VALUE"""),"+2")</f>
        <v>+2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IFERROR(__xludf.DUMMYFUNCTION("""COMPUTED_VALUE"""),244)</f>
        <v>244</v>
      </c>
      <c r="C250" t="str">
        <f ca="1">IFERROR(__xludf.DUMMYFUNCTION("""COMPUTED_VALUE"""),"Christiaan Bezuidenhout")</f>
        <v>Christiaan Bezuidenhout</v>
      </c>
      <c r="D250">
        <f ca="1">IFERROR(__xludf.DUMMYFUNCTION("""COMPUTED_VALUE"""),4)</f>
        <v>4</v>
      </c>
      <c r="E250" t="str">
        <f ca="1">IFERROR(__xludf.DUMMYFUNCTION("""COMPUTED_VALUE"""),"60' 5""")</f>
        <v>60' 5"</v>
      </c>
      <c r="F250">
        <f ca="1">IFERROR(__xludf.DUMMYFUNCTION("""COMPUTED_VALUE"""),905.917)</f>
        <v>905.91700000000003</v>
      </c>
      <c r="G250">
        <f ca="1">IFERROR(__xludf.DUMMYFUNCTION("""COMPUTED_VALUE"""),15)</f>
        <v>15</v>
      </c>
      <c r="H250" t="str">
        <f ca="1">IFERROR(__xludf.DUMMYFUNCTION("""COMPUTED_VALUE"""),"+2")</f>
        <v>+2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IFERROR(__xludf.DUMMYFUNCTION("""COMPUTED_VALUE"""),"T184")</f>
        <v>T184</v>
      </c>
      <c r="C251" t="str">
        <f ca="1">IFERROR(__xludf.DUMMYFUNCTION("""COMPUTED_VALUE"""),"Aaron Wise")</f>
        <v>Aaron Wise</v>
      </c>
      <c r="D251">
        <f ca="1">IFERROR(__xludf.DUMMYFUNCTION("""COMPUTED_VALUE"""),16)</f>
        <v>16</v>
      </c>
      <c r="E251" t="str">
        <f ca="1">IFERROR(__xludf.DUMMYFUNCTION("""COMPUTED_VALUE"""),"60' 6""")</f>
        <v>60' 6"</v>
      </c>
      <c r="F251" s="2">
        <f ca="1">IFERROR(__xludf.DUMMYFUNCTION("""COMPUTED_VALUE"""),1754.917)</f>
        <v>1754.9169999999999</v>
      </c>
      <c r="G251">
        <f ca="1">IFERROR(__xludf.DUMMYFUNCTION("""COMPUTED_VALUE"""),29)</f>
        <v>29</v>
      </c>
      <c r="H251">
        <f ca="1">IFERROR(__xludf.DUMMYFUNCTION("""COMPUTED_VALUE"""),-7)</f>
        <v>-7</v>
      </c>
    </row>
    <row r="252" spans="1:8" ht="12.75">
      <c r="A252">
        <f ca="1">IFERROR(__xludf.DUMMYFUNCTION("""COMPUTED_VALUE"""),251)</f>
        <v>251</v>
      </c>
      <c r="B252" t="str">
        <f ca="1">IFERROR(__xludf.DUMMYFUNCTION("""COMPUTED_VALUE"""),"T245")</f>
        <v>T245</v>
      </c>
      <c r="C252" t="str">
        <f ca="1">IFERROR(__xludf.DUMMYFUNCTION("""COMPUTED_VALUE"""),"George Markham")</f>
        <v>George Markham</v>
      </c>
      <c r="D252">
        <f ca="1">IFERROR(__xludf.DUMMYFUNCTION("""COMPUTED_VALUE"""),4)</f>
        <v>4</v>
      </c>
      <c r="E252" t="str">
        <f ca="1">IFERROR(__xludf.DUMMYFUNCTION("""COMPUTED_VALUE"""),"60' 7""")</f>
        <v>60' 7"</v>
      </c>
      <c r="F252">
        <f ca="1">IFERROR(__xludf.DUMMYFUNCTION("""COMPUTED_VALUE"""),787.25)</f>
        <v>787.25</v>
      </c>
      <c r="G252">
        <f ca="1">IFERROR(__xludf.DUMMYFUNCTION("""COMPUTED_VALUE"""),13)</f>
        <v>13</v>
      </c>
      <c r="H252" t="str">
        <f ca="1">IFERROR(__xludf.DUMMYFUNCTION("""COMPUTED_VALUE"""),"+2")</f>
        <v>+2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IFERROR(__xludf.DUMMYFUNCTION("""COMPUTED_VALUE"""),247)</f>
        <v>247</v>
      </c>
      <c r="C253" t="str">
        <f ca="1">IFERROR(__xludf.DUMMYFUNCTION("""COMPUTED_VALUE"""),"Takumi Kanaya")</f>
        <v>Takumi Kanaya</v>
      </c>
      <c r="D253">
        <f ca="1">IFERROR(__xludf.DUMMYFUNCTION("""COMPUTED_VALUE"""),6)</f>
        <v>6</v>
      </c>
      <c r="E253" t="str">
        <f ca="1">IFERROR(__xludf.DUMMYFUNCTION("""COMPUTED_VALUE"""),"60' 10""")</f>
        <v>60' 10"</v>
      </c>
      <c r="F253" s="2">
        <f ca="1">IFERROR(__xludf.DUMMYFUNCTION("""COMPUTED_VALUE"""),1521.333)</f>
        <v>1521.3330000000001</v>
      </c>
      <c r="G253">
        <f ca="1">IFERROR(__xludf.DUMMYFUNCTION("""COMPUTED_VALUE"""),25)</f>
        <v>25</v>
      </c>
      <c r="H253">
        <f ca="1">IFERROR(__xludf.DUMMYFUNCTION("""COMPUTED_VALUE"""),-7)</f>
        <v>-7</v>
      </c>
    </row>
    <row r="254" spans="1:8" ht="12.75">
      <c r="A254">
        <f ca="1">IFERROR(__xludf.DUMMYFUNCTION("""COMPUTED_VALUE"""),253)</f>
        <v>253</v>
      </c>
      <c r="B254">
        <f ca="1">IFERROR(__xludf.DUMMYFUNCTION("""COMPUTED_VALUE"""),260)</f>
        <v>260</v>
      </c>
      <c r="C254" t="str">
        <f ca="1">IFERROR(__xludf.DUMMYFUNCTION("""COMPUTED_VALUE"""),"Danny Willett")</f>
        <v>Danny Willett</v>
      </c>
      <c r="D254">
        <f ca="1">IFERROR(__xludf.DUMMYFUNCTION("""COMPUTED_VALUE"""),7)</f>
        <v>7</v>
      </c>
      <c r="E254" t="str">
        <f ca="1">IFERROR(__xludf.DUMMYFUNCTION("""COMPUTED_VALUE"""),"60' 11""")</f>
        <v>60' 11"</v>
      </c>
      <c r="F254">
        <f ca="1">IFERROR(__xludf.DUMMYFUNCTION("""COMPUTED_VALUE"""),608.917)</f>
        <v>608.91700000000003</v>
      </c>
      <c r="G254">
        <f ca="1">IFERROR(__xludf.DUMMYFUNCTION("""COMPUTED_VALUE"""),10)</f>
        <v>10</v>
      </c>
      <c r="H254" t="str">
        <f ca="1">IFERROR(__xludf.DUMMYFUNCTION("""COMPUTED_VALUE"""),"+3")</f>
        <v>+3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IFERROR(__xludf.DUMMYFUNCTION("""COMPUTED_VALUE"""),250)</f>
        <v>250</v>
      </c>
      <c r="C255" t="str">
        <f ca="1">IFERROR(__xludf.DUMMYFUNCTION("""COMPUTED_VALUE"""),"Jazz Janewattananond")</f>
        <v>Jazz Janewattananond</v>
      </c>
      <c r="D255">
        <f ca="1">IFERROR(__xludf.DUMMYFUNCTION("""COMPUTED_VALUE"""),6)</f>
        <v>6</v>
      </c>
      <c r="E255" t="str">
        <f ca="1">IFERROR(__xludf.DUMMYFUNCTION("""COMPUTED_VALUE"""),"61' 1""")</f>
        <v>61' 1"</v>
      </c>
      <c r="F255" s="2">
        <f ca="1">IFERROR(__xludf.DUMMYFUNCTION("""COMPUTED_VALUE"""),1587.083)</f>
        <v>1587.0830000000001</v>
      </c>
      <c r="G255">
        <f ca="1">IFERROR(__xludf.DUMMYFUNCTION("""COMPUTED_VALUE"""),26)</f>
        <v>26</v>
      </c>
      <c r="H255">
        <f ca="1">IFERROR(__xludf.DUMMYFUNCTION("""COMPUTED_VALUE"""),-6)</f>
        <v>-6</v>
      </c>
    </row>
    <row r="256" spans="1:8" ht="12.75">
      <c r="A256">
        <f ca="1">IFERROR(__xludf.DUMMYFUNCTION("""COMPUTED_VALUE"""),255)</f>
        <v>255</v>
      </c>
      <c r="B256">
        <f ca="1">IFERROR(__xludf.DUMMYFUNCTION("""COMPUTED_VALUE"""),258)</f>
        <v>258</v>
      </c>
      <c r="C256" t="str">
        <f ca="1">IFERROR(__xludf.DUMMYFUNCTION("""COMPUTED_VALUE"""),"Charl Schwartzel")</f>
        <v>Charl Schwartzel</v>
      </c>
      <c r="D256">
        <f ca="1">IFERROR(__xludf.DUMMYFUNCTION("""COMPUTED_VALUE"""),12)</f>
        <v>12</v>
      </c>
      <c r="E256" t="str">
        <f ca="1">IFERROR(__xludf.DUMMYFUNCTION("""COMPUTED_VALUE"""),"61' 2""")</f>
        <v>61' 2"</v>
      </c>
      <c r="F256" s="2">
        <f ca="1">IFERROR(__xludf.DUMMYFUNCTION("""COMPUTED_VALUE"""),2141.167)</f>
        <v>2141.1669999999999</v>
      </c>
      <c r="G256">
        <f ca="1">IFERROR(__xludf.DUMMYFUNCTION("""COMPUTED_VALUE"""),35)</f>
        <v>35</v>
      </c>
      <c r="H256">
        <f ca="1">IFERROR(__xludf.DUMMYFUNCTION("""COMPUTED_VALUE"""),-6)</f>
        <v>-6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IFERROR(__xludf.DUMMYFUNCTION("""COMPUTED_VALUE"""),251)</f>
        <v>251</v>
      </c>
      <c r="C257" t="str">
        <f ca="1">IFERROR(__xludf.DUMMYFUNCTION("""COMPUTED_VALUE"""),"Jonathan Byrd")</f>
        <v>Jonathan Byrd</v>
      </c>
      <c r="D257">
        <f ca="1">IFERROR(__xludf.DUMMYFUNCTION("""COMPUTED_VALUE"""),14)</f>
        <v>14</v>
      </c>
      <c r="E257" t="str">
        <f ca="1">IFERROR(__xludf.DUMMYFUNCTION("""COMPUTED_VALUE"""),"61' 3""")</f>
        <v>61' 3"</v>
      </c>
      <c r="F257">
        <f ca="1">IFERROR(__xludf.DUMMYFUNCTION("""COMPUTED_VALUE"""),795.917)</f>
        <v>795.91700000000003</v>
      </c>
      <c r="G257">
        <f ca="1">IFERROR(__xludf.DUMMYFUNCTION("""COMPUTED_VALUE"""),13)</f>
        <v>13</v>
      </c>
      <c r="H257" t="str">
        <f ca="1">IFERROR(__xludf.DUMMYFUNCTION("""COMPUTED_VALUE"""),"+1")</f>
        <v>+1</v>
      </c>
    </row>
    <row r="258" spans="1:8" ht="12.75">
      <c r="A258">
        <f ca="1">IFERROR(__xludf.DUMMYFUNCTION("""COMPUTED_VALUE"""),257)</f>
        <v>257</v>
      </c>
      <c r="B258">
        <f ca="1">IFERROR(__xludf.DUMMYFUNCTION("""COMPUTED_VALUE"""),252)</f>
        <v>252</v>
      </c>
      <c r="C258" t="str">
        <f ca="1">IFERROR(__xludf.DUMMYFUNCTION("""COMPUTED_VALUE"""),"Nick Taylor")</f>
        <v>Nick Taylor</v>
      </c>
      <c r="D258">
        <f ca="1">IFERROR(__xludf.DUMMYFUNCTION("""COMPUTED_VALUE"""),12)</f>
        <v>12</v>
      </c>
      <c r="E258" t="str">
        <f ca="1">IFERROR(__xludf.DUMMYFUNCTION("""COMPUTED_VALUE"""),"61' 4""")</f>
        <v>61' 4"</v>
      </c>
      <c r="F258" s="2">
        <f ca="1">IFERROR(__xludf.DUMMYFUNCTION("""COMPUTED_VALUE"""),2514.417)</f>
        <v>2514.4169999999999</v>
      </c>
      <c r="G258">
        <f ca="1">IFERROR(__xludf.DUMMYFUNCTION("""COMPUTED_VALUE"""),41)</f>
        <v>41</v>
      </c>
      <c r="H258">
        <f ca="1">IFERROR(__xludf.DUMMYFUNCTION("""COMPUTED_VALUE"""),-5)</f>
        <v>-5</v>
      </c>
    </row>
    <row r="259" spans="1:8" ht="12.75">
      <c r="A259">
        <f ca="1">IFERROR(__xludf.DUMMYFUNCTION("""COMPUTED_VALUE"""),258)</f>
        <v>258</v>
      </c>
      <c r="B259" t="str">
        <f ca="1">IFERROR(__xludf.DUMMYFUNCTION("""COMPUTED_VALUE"""),"T223")</f>
        <v>T223</v>
      </c>
      <c r="C259" t="str">
        <f ca="1">IFERROR(__xludf.DUMMYFUNCTION("""COMPUTED_VALUE"""),"Bo Van Pelt")</f>
        <v>Bo Van Pelt</v>
      </c>
      <c r="D259">
        <f ca="1">IFERROR(__xludf.DUMMYFUNCTION("""COMPUTED_VALUE"""),10)</f>
        <v>10</v>
      </c>
      <c r="E259" t="str">
        <f ca="1">IFERROR(__xludf.DUMMYFUNCTION("""COMPUTED_VALUE"""),"61' 6""")</f>
        <v>61' 6"</v>
      </c>
      <c r="F259">
        <f ca="1">IFERROR(__xludf.DUMMYFUNCTION("""COMPUTED_VALUE"""),676.583)</f>
        <v>676.58299999999997</v>
      </c>
      <c r="G259">
        <f ca="1">IFERROR(__xludf.DUMMYFUNCTION("""COMPUTED_VALUE"""),11)</f>
        <v>11</v>
      </c>
      <c r="H259">
        <f ca="1">IFERROR(__xludf.DUMMYFUNCTION("""COMPUTED_VALUE"""),-1)</f>
        <v>-1</v>
      </c>
    </row>
    <row r="260" spans="1:8" ht="12.75">
      <c r="A260">
        <f ca="1">IFERROR(__xludf.DUMMYFUNCTION("""COMPUTED_VALUE"""),259)</f>
        <v>259</v>
      </c>
      <c r="B260" t="str">
        <f ca="1">IFERROR(__xludf.DUMMYFUNCTION("""COMPUTED_VALUE"""),"")</f>
        <v/>
      </c>
      <c r="C260" t="str">
        <f ca="1">IFERROR(__xludf.DUMMYFUNCTION("""COMPUTED_VALUE"""),"Padraig Harrington")</f>
        <v>Padraig Harrington</v>
      </c>
      <c r="D260">
        <f ca="1">IFERROR(__xludf.DUMMYFUNCTION("""COMPUTED_VALUE"""),8)</f>
        <v>8</v>
      </c>
      <c r="E260" t="str">
        <f ca="1">IFERROR(__xludf.DUMMYFUNCTION("""COMPUTED_VALUE"""),"61' 7""")</f>
        <v>61' 7"</v>
      </c>
      <c r="F260">
        <f ca="1">IFERROR(__xludf.DUMMYFUNCTION("""COMPUTED_VALUE"""),554)</f>
        <v>554</v>
      </c>
      <c r="G260">
        <f ca="1">IFERROR(__xludf.DUMMYFUNCTION("""COMPUTED_VALUE"""),9)</f>
        <v>9</v>
      </c>
      <c r="H260" t="str">
        <f ca="1">IFERROR(__xludf.DUMMYFUNCTION("""COMPUTED_VALUE"""),"E")</f>
        <v>E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IFERROR(__xludf.DUMMYFUNCTION("""COMPUTED_VALUE"""),232)</f>
        <v>232</v>
      </c>
      <c r="C261" t="str">
        <f ca="1">IFERROR(__xludf.DUMMYFUNCTION("""COMPUTED_VALUE"""),"Hunter Mahan")</f>
        <v>Hunter Mahan</v>
      </c>
      <c r="D261">
        <f ca="1">IFERROR(__xludf.DUMMYFUNCTION("""COMPUTED_VALUE"""),14)</f>
        <v>14</v>
      </c>
      <c r="E261" t="str">
        <f ca="1">IFERROR(__xludf.DUMMYFUNCTION("""COMPUTED_VALUE"""),"61' 9""")</f>
        <v>61' 9"</v>
      </c>
      <c r="F261" s="2">
        <f ca="1">IFERROR(__xludf.DUMMYFUNCTION("""COMPUTED_VALUE"""),1481.417)</f>
        <v>1481.4169999999999</v>
      </c>
      <c r="G261">
        <f ca="1">IFERROR(__xludf.DUMMYFUNCTION("""COMPUTED_VALUE"""),24)</f>
        <v>24</v>
      </c>
      <c r="H261">
        <f ca="1">IFERROR(__xludf.DUMMYFUNCTION("""COMPUTED_VALUE"""),-3)</f>
        <v>-3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IFERROR(__xludf.DUMMYFUNCTION("""COMPUTED_VALUE"""),261)</f>
        <v>261</v>
      </c>
      <c r="C262" t="str">
        <f ca="1">IFERROR(__xludf.DUMMYFUNCTION("""COMPUTED_VALUE"""),"Jordan Spieth")</f>
        <v>Jordan Spieth</v>
      </c>
      <c r="D262">
        <f ca="1">IFERROR(__xludf.DUMMYFUNCTION("""COMPUTED_VALUE"""),14)</f>
        <v>14</v>
      </c>
      <c r="E262" t="str">
        <f ca="1">IFERROR(__xludf.DUMMYFUNCTION("""COMPUTED_VALUE"""),"62' 2""")</f>
        <v>62' 2"</v>
      </c>
      <c r="F262" s="2">
        <f ca="1">IFERROR(__xludf.DUMMYFUNCTION("""COMPUTED_VALUE"""),2736.417)</f>
        <v>2736.4169999999999</v>
      </c>
      <c r="G262">
        <f ca="1">IFERROR(__xludf.DUMMYFUNCTION("""COMPUTED_VALUE"""),44)</f>
        <v>44</v>
      </c>
      <c r="H262">
        <f ca="1">IFERROR(__xludf.DUMMYFUNCTION("""COMPUTED_VALUE"""),-4)</f>
        <v>-4</v>
      </c>
    </row>
    <row r="263" spans="1:8" ht="12.75">
      <c r="A263">
        <f ca="1">IFERROR(__xludf.DUMMYFUNCTION("""COMPUTED_VALUE"""),262)</f>
        <v>262</v>
      </c>
      <c r="B263" t="str">
        <f ca="1">IFERROR(__xludf.DUMMYFUNCTION("""COMPUTED_VALUE"""),"T35")</f>
        <v>T35</v>
      </c>
      <c r="C263" t="str">
        <f ca="1">IFERROR(__xludf.DUMMYFUNCTION("""COMPUTED_VALUE"""),"Max Homa")</f>
        <v>Max Homa</v>
      </c>
      <c r="D263">
        <f ca="1">IFERROR(__xludf.DUMMYFUNCTION("""COMPUTED_VALUE"""),12)</f>
        <v>12</v>
      </c>
      <c r="E263" t="str">
        <f ca="1">IFERROR(__xludf.DUMMYFUNCTION("""COMPUTED_VALUE"""),"62' 3""")</f>
        <v>62' 3"</v>
      </c>
      <c r="F263" s="2">
        <f ca="1">IFERROR(__xludf.DUMMYFUNCTION("""COMPUTED_VALUE"""),1244.333)</f>
        <v>1244.3330000000001</v>
      </c>
      <c r="G263">
        <f ca="1">IFERROR(__xludf.DUMMYFUNCTION("""COMPUTED_VALUE"""),20)</f>
        <v>20</v>
      </c>
      <c r="H263">
        <f ca="1">IFERROR(__xludf.DUMMYFUNCTION("""COMPUTED_VALUE"""),-1)</f>
        <v>-1</v>
      </c>
    </row>
    <row r="264" spans="1:8" ht="12.75">
      <c r="A264">
        <f ca="1">IFERROR(__xludf.DUMMYFUNCTION("""COMPUTED_VALUE"""),263)</f>
        <v>263</v>
      </c>
      <c r="B264" t="str">
        <f ca="1">IFERROR(__xludf.DUMMYFUNCTION("""COMPUTED_VALUE"""),"T254")</f>
        <v>T254</v>
      </c>
      <c r="C264" t="str">
        <f ca="1">IFERROR(__xludf.DUMMYFUNCTION("""COMPUTED_VALUE"""),"D.A. Points")</f>
        <v>D.A. Points</v>
      </c>
      <c r="D264">
        <f ca="1">IFERROR(__xludf.DUMMYFUNCTION("""COMPUTED_VALUE"""),12)</f>
        <v>12</v>
      </c>
      <c r="E264" t="str">
        <f ca="1">IFERROR(__xludf.DUMMYFUNCTION("""COMPUTED_VALUE"""),"62' 7""")</f>
        <v>62' 7"</v>
      </c>
      <c r="F264" s="2">
        <f ca="1">IFERROR(__xludf.DUMMYFUNCTION("""COMPUTED_VALUE"""),1502.583)</f>
        <v>1502.5830000000001</v>
      </c>
      <c r="G264">
        <f ca="1">IFERROR(__xludf.DUMMYFUNCTION("""COMPUTED_VALUE"""),24)</f>
        <v>24</v>
      </c>
      <c r="H264" t="str">
        <f ca="1">IFERROR(__xludf.DUMMYFUNCTION("""COMPUTED_VALUE"""),"+2")</f>
        <v>+2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IFERROR(__xludf.DUMMYFUNCTION("""COMPUTED_VALUE"""),257)</f>
        <v>257</v>
      </c>
      <c r="C265" t="str">
        <f ca="1">IFERROR(__xludf.DUMMYFUNCTION("""COMPUTED_VALUE"""),"Matt Wallace")</f>
        <v>Matt Wallace</v>
      </c>
      <c r="D265">
        <f ca="1">IFERROR(__xludf.DUMMYFUNCTION("""COMPUTED_VALUE"""),4)</f>
        <v>4</v>
      </c>
      <c r="E265" t="str">
        <f ca="1">IFERROR(__xludf.DUMMYFUNCTION("""COMPUTED_VALUE"""),"62' 8""")</f>
        <v>62' 8"</v>
      </c>
      <c r="F265" s="2">
        <f ca="1">IFERROR(__xludf.DUMMYFUNCTION("""COMPUTED_VALUE"""),1065.167)</f>
        <v>1065.1669999999999</v>
      </c>
      <c r="G265">
        <f ca="1">IFERROR(__xludf.DUMMYFUNCTION("""COMPUTED_VALUE"""),17)</f>
        <v>17</v>
      </c>
      <c r="H265" t="str">
        <f ca="1">IFERROR(__xludf.DUMMYFUNCTION("""COMPUTED_VALUE"""),"+8")</f>
        <v>+8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IFERROR(__xludf.DUMMYFUNCTION("""COMPUTED_VALUE"""),249)</f>
        <v>249</v>
      </c>
      <c r="C266" t="str">
        <f ca="1">IFERROR(__xludf.DUMMYFUNCTION("""COMPUTED_VALUE"""),"Beau Hossler")</f>
        <v>Beau Hossler</v>
      </c>
      <c r="D266">
        <f ca="1">IFERROR(__xludf.DUMMYFUNCTION("""COMPUTED_VALUE"""),22)</f>
        <v>22</v>
      </c>
      <c r="E266" t="str">
        <f ca="1">IFERROR(__xludf.DUMMYFUNCTION("""COMPUTED_VALUE"""),"63' 4""")</f>
        <v>63' 4"</v>
      </c>
      <c r="F266" s="2">
        <f ca="1">IFERROR(__xludf.DUMMYFUNCTION("""COMPUTED_VALUE"""),2913.417)</f>
        <v>2913.4169999999999</v>
      </c>
      <c r="G266">
        <f ca="1">IFERROR(__xludf.DUMMYFUNCTION("""COMPUTED_VALUE"""),46)</f>
        <v>46</v>
      </c>
      <c r="H266">
        <f ca="1">IFERROR(__xludf.DUMMYFUNCTION("""COMPUTED_VALUE"""),-13)</f>
        <v>-13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IFERROR(__xludf.DUMMYFUNCTION("""COMPUTED_VALUE"""),262)</f>
        <v>262</v>
      </c>
      <c r="C267" t="str">
        <f ca="1">IFERROR(__xludf.DUMMYFUNCTION("""COMPUTED_VALUE"""),"Jay McLuen")</f>
        <v>Jay McLuen</v>
      </c>
      <c r="D267">
        <f ca="1">IFERROR(__xludf.DUMMYFUNCTION("""COMPUTED_VALUE"""),4)</f>
        <v>4</v>
      </c>
      <c r="E267" t="str">
        <f ca="1">IFERROR(__xludf.DUMMYFUNCTION("""COMPUTED_VALUE"""),"65' 7""")</f>
        <v>65' 7"</v>
      </c>
      <c r="F267">
        <f ca="1">IFERROR(__xludf.DUMMYFUNCTION("""COMPUTED_VALUE"""),721.833)</f>
        <v>721.83299999999997</v>
      </c>
      <c r="G267">
        <f ca="1">IFERROR(__xludf.DUMMYFUNCTION("""COMPUTED_VALUE"""),11)</f>
        <v>11</v>
      </c>
      <c r="H267" t="str">
        <f ca="1">IFERROR(__xludf.DUMMYFUNCTION("""COMPUTED_VALUE"""),"+1")</f>
        <v>+1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IFERROR(__xludf.DUMMYFUNCTION("""COMPUTED_VALUE"""),263)</f>
        <v>263</v>
      </c>
      <c r="C268" t="str">
        <f ca="1">IFERROR(__xludf.DUMMYFUNCTION("""COMPUTED_VALUE"""),"Billy Horschel")</f>
        <v>Billy Horschel</v>
      </c>
      <c r="D268">
        <f ca="1">IFERROR(__xludf.DUMMYFUNCTION("""COMPUTED_VALUE"""),12)</f>
        <v>12</v>
      </c>
      <c r="E268" t="str">
        <f ca="1">IFERROR(__xludf.DUMMYFUNCTION("""COMPUTED_VALUE"""),"65' 10""")</f>
        <v>65' 10"</v>
      </c>
      <c r="F268" s="2">
        <f ca="1">IFERROR(__xludf.DUMMYFUNCTION("""COMPUTED_VALUE"""),3095.833)</f>
        <v>3095.8330000000001</v>
      </c>
      <c r="G268">
        <f ca="1">IFERROR(__xludf.DUMMYFUNCTION("""COMPUTED_VALUE"""),47)</f>
        <v>47</v>
      </c>
      <c r="H268">
        <f ca="1">IFERROR(__xludf.DUMMYFUNCTION("""COMPUTED_VALUE"""),-4)</f>
        <v>-4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IFERROR(__xludf.DUMMYFUNCTION("""COMPUTED_VALUE"""),264)</f>
        <v>264</v>
      </c>
      <c r="C269" t="str">
        <f ca="1">IFERROR(__xludf.DUMMYFUNCTION("""COMPUTED_VALUE"""),"Josh Teater")</f>
        <v>Josh Teater</v>
      </c>
      <c r="D269">
        <f ca="1">IFERROR(__xludf.DUMMYFUNCTION("""COMPUTED_VALUE"""),6)</f>
        <v>6</v>
      </c>
      <c r="E269" t="str">
        <f ca="1">IFERROR(__xludf.DUMMYFUNCTION("""COMPUTED_VALUE"""),"66' 2""")</f>
        <v>66' 2"</v>
      </c>
      <c r="F269">
        <f ca="1">IFERROR(__xludf.DUMMYFUNCTION("""COMPUTED_VALUE"""),529)</f>
        <v>529</v>
      </c>
      <c r="G269">
        <f ca="1">IFERROR(__xludf.DUMMYFUNCTION("""COMPUTED_VALUE"""),8)</f>
        <v>8</v>
      </c>
      <c r="H269">
        <f ca="1">IFERROR(__xludf.DUMMYFUNCTION("""COMPUTED_VALUE"""),-4)</f>
        <v>-4</v>
      </c>
    </row>
    <row r="270" spans="1:8" ht="12.75">
      <c r="A270">
        <f ca="1">IFERROR(__xludf.DUMMYFUNCTION("""COMPUTED_VALUE"""),269)</f>
        <v>269</v>
      </c>
      <c r="B270" t="str">
        <f ca="1">IFERROR(__xludf.DUMMYFUNCTION("""COMPUTED_VALUE"""),"")</f>
        <v/>
      </c>
      <c r="C270" t="str">
        <f ca="1">IFERROR(__xludf.DUMMYFUNCTION("""COMPUTED_VALUE"""),"Francesco Molinari")</f>
        <v>Francesco Molinari</v>
      </c>
      <c r="D270">
        <f ca="1">IFERROR(__xludf.DUMMYFUNCTION("""COMPUTED_VALUE"""),6)</f>
        <v>6</v>
      </c>
      <c r="E270" t="str">
        <f ca="1">IFERROR(__xludf.DUMMYFUNCTION("""COMPUTED_VALUE"""),"67' 7""")</f>
        <v>67' 7"</v>
      </c>
      <c r="F270">
        <f ca="1">IFERROR(__xludf.DUMMYFUNCTION("""COMPUTED_VALUE"""),811.25)</f>
        <v>811.25</v>
      </c>
      <c r="G270">
        <f ca="1">IFERROR(__xludf.DUMMYFUNCTION("""COMPUTED_VALUE"""),12)</f>
        <v>12</v>
      </c>
      <c r="H270">
        <f ca="1">IFERROR(__xludf.DUMMYFUNCTION("""COMPUTED_VALUE"""),-2)</f>
        <v>-2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IFERROR(__xludf.DUMMYFUNCTION("""COMPUTED_VALUE"""),248)</f>
        <v>248</v>
      </c>
      <c r="C271" t="str">
        <f ca="1">IFERROR(__xludf.DUMMYFUNCTION("""COMPUTED_VALUE"""),"Martin Trainer")</f>
        <v>Martin Trainer</v>
      </c>
      <c r="D271">
        <f ca="1">IFERROR(__xludf.DUMMYFUNCTION("""COMPUTED_VALUE"""),10)</f>
        <v>10</v>
      </c>
      <c r="E271" t="str">
        <f ca="1">IFERROR(__xludf.DUMMYFUNCTION("""COMPUTED_VALUE"""),"67' 8""")</f>
        <v>67' 8"</v>
      </c>
      <c r="F271" s="2">
        <f ca="1">IFERROR(__xludf.DUMMYFUNCTION("""COMPUTED_VALUE"""),1421.417)</f>
        <v>1421.4169999999999</v>
      </c>
      <c r="G271">
        <f ca="1">IFERROR(__xludf.DUMMYFUNCTION("""COMPUTED_VALUE"""),21)</f>
        <v>21</v>
      </c>
      <c r="H271" t="str">
        <f ca="1">IFERROR(__xludf.DUMMYFUNCTION("""COMPUTED_VALUE"""),"E")</f>
        <v>E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IFERROR(__xludf.DUMMYFUNCTION("""COMPUTED_VALUE"""),265)</f>
        <v>265</v>
      </c>
      <c r="C272" t="str">
        <f ca="1">IFERROR(__xludf.DUMMYFUNCTION("""COMPUTED_VALUE"""),"Roger Sloan")</f>
        <v>Roger Sloan</v>
      </c>
      <c r="D272">
        <f ca="1">IFERROR(__xludf.DUMMYFUNCTION("""COMPUTED_VALUE"""),12)</f>
        <v>12</v>
      </c>
      <c r="E272" t="str">
        <f ca="1">IFERROR(__xludf.DUMMYFUNCTION("""COMPUTED_VALUE"""),"67' 9""")</f>
        <v>67' 9"</v>
      </c>
      <c r="F272" s="2">
        <f ca="1">IFERROR(__xludf.DUMMYFUNCTION("""COMPUTED_VALUE"""),1558.667)</f>
        <v>1558.6669999999999</v>
      </c>
      <c r="G272">
        <f ca="1">IFERROR(__xludf.DUMMYFUNCTION("""COMPUTED_VALUE"""),23)</f>
        <v>23</v>
      </c>
      <c r="H272">
        <f ca="1">IFERROR(__xludf.DUMMYFUNCTION("""COMPUTED_VALUE"""),-4)</f>
        <v>-4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IFERROR(__xludf.DUMMYFUNCTION("""COMPUTED_VALUE"""),266)</f>
        <v>266</v>
      </c>
      <c r="C273" t="str">
        <f ca="1">IFERROR(__xludf.DUMMYFUNCTION("""COMPUTED_VALUE"""),"Michael Gellerman")</f>
        <v>Michael Gellerman</v>
      </c>
      <c r="D273">
        <f ca="1">IFERROR(__xludf.DUMMYFUNCTION("""COMPUTED_VALUE"""),5)</f>
        <v>5</v>
      </c>
      <c r="E273" t="str">
        <f ca="1">IFERROR(__xludf.DUMMYFUNCTION("""COMPUTED_VALUE"""),"69' 5""")</f>
        <v>69' 5"</v>
      </c>
      <c r="F273">
        <f ca="1">IFERROR(__xludf.DUMMYFUNCTION("""COMPUTED_VALUE"""),347.167)</f>
        <v>347.16699999999997</v>
      </c>
      <c r="G273">
        <f ca="1">IFERROR(__xludf.DUMMYFUNCTION("""COMPUTED_VALUE"""),5)</f>
        <v>5</v>
      </c>
      <c r="H273">
        <f ca="1">IFERROR(__xludf.DUMMYFUNCTION("""COMPUTED_VALUE"""),-1)</f>
        <v>-1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IFERROR(__xludf.DUMMYFUNCTION("""COMPUTED_VALUE"""),267)</f>
        <v>267</v>
      </c>
      <c r="C274" t="str">
        <f ca="1">IFERROR(__xludf.DUMMYFUNCTION("""COMPUTED_VALUE"""),"Seamus Power")</f>
        <v>Seamus Power</v>
      </c>
      <c r="D274">
        <f ca="1">IFERROR(__xludf.DUMMYFUNCTION("""COMPUTED_VALUE"""),8)</f>
        <v>8</v>
      </c>
      <c r="E274" t="str">
        <f ca="1">IFERROR(__xludf.DUMMYFUNCTION("""COMPUTED_VALUE"""),"69' 7""")</f>
        <v>69' 7"</v>
      </c>
      <c r="F274">
        <f ca="1">IFERROR(__xludf.DUMMYFUNCTION("""COMPUTED_VALUE"""),626.583)</f>
        <v>626.58299999999997</v>
      </c>
      <c r="G274">
        <f ca="1">IFERROR(__xludf.DUMMYFUNCTION("""COMPUTED_VALUE"""),9)</f>
        <v>9</v>
      </c>
      <c r="H274">
        <f ca="1">IFERROR(__xludf.DUMMYFUNCTION("""COMPUTED_VALUE"""),-1)</f>
        <v>-1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IFERROR(__xludf.DUMMYFUNCTION("""COMPUTED_VALUE"""),268)</f>
        <v>268</v>
      </c>
      <c r="C275" t="str">
        <f ca="1">IFERROR(__xludf.DUMMYFUNCTION("""COMPUTED_VALUE"""),"Brad Kennedy")</f>
        <v>Brad Kennedy</v>
      </c>
      <c r="D275">
        <f ca="1">IFERROR(__xludf.DUMMYFUNCTION("""COMPUTED_VALUE"""),4)</f>
        <v>4</v>
      </c>
      <c r="E275" t="str">
        <f ca="1">IFERROR(__xludf.DUMMYFUNCTION("""COMPUTED_VALUE"""),"70' 9""")</f>
        <v>70' 9"</v>
      </c>
      <c r="F275" s="2">
        <f ca="1">IFERROR(__xludf.DUMMYFUNCTION("""COMPUTED_VALUE"""),1061.25)</f>
        <v>1061.25</v>
      </c>
      <c r="G275">
        <f ca="1">IFERROR(__xludf.DUMMYFUNCTION("""COMPUTED_VALUE"""),15)</f>
        <v>15</v>
      </c>
      <c r="H275" t="str">
        <f ca="1">IFERROR(__xludf.DUMMYFUNCTION("""COMPUTED_VALUE"""),"+1")</f>
        <v>+1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IFERROR(__xludf.DUMMYFUNCTION("""COMPUTED_VALUE"""),269)</f>
        <v>269</v>
      </c>
      <c r="C276" t="str">
        <f ca="1">IFERROR(__xludf.DUMMYFUNCTION("""COMPUTED_VALUE"""),"Johnson Wagner")</f>
        <v>Johnson Wagner</v>
      </c>
      <c r="D276">
        <f ca="1">IFERROR(__xludf.DUMMYFUNCTION("""COMPUTED_VALUE"""),8)</f>
        <v>8</v>
      </c>
      <c r="E276" t="str">
        <f ca="1">IFERROR(__xludf.DUMMYFUNCTION("""COMPUTED_VALUE"""),"74' 3""")</f>
        <v>74' 3"</v>
      </c>
      <c r="F276">
        <f ca="1">IFERROR(__xludf.DUMMYFUNCTION("""COMPUTED_VALUE"""),519.833)</f>
        <v>519.83299999999997</v>
      </c>
      <c r="G276">
        <f ca="1">IFERROR(__xludf.DUMMYFUNCTION("""COMPUTED_VALUE"""),7)</f>
        <v>7</v>
      </c>
      <c r="H276" t="str">
        <f ca="1">IFERROR(__xludf.DUMMYFUNCTION("""COMPUTED_VALUE"""),"+1")</f>
        <v>+1</v>
      </c>
    </row>
    <row r="277" spans="1:8" ht="12.75">
      <c r="A277">
        <f ca="1">IFERROR(__xludf.DUMMYFUNCTION("""COMPUTED_VALUE"""),276)</f>
        <v>276</v>
      </c>
      <c r="B277" t="str">
        <f ca="1">IFERROR(__xludf.DUMMYFUNCTION("""COMPUTED_VALUE"""),"")</f>
        <v/>
      </c>
      <c r="C277" t="str">
        <f ca="1">IFERROR(__xludf.DUMMYFUNCTION("""COMPUTED_VALUE"""),"Greg Chalmers")</f>
        <v>Greg Chalmers</v>
      </c>
      <c r="D277">
        <f ca="1">IFERROR(__xludf.DUMMYFUNCTION("""COMPUTED_VALUE"""),6)</f>
        <v>6</v>
      </c>
      <c r="E277" t="str">
        <f ca="1">IFERROR(__xludf.DUMMYFUNCTION("""COMPUTED_VALUE"""),"74' 8""")</f>
        <v>74' 8"</v>
      </c>
      <c r="F277" s="2">
        <f ca="1">IFERROR(__xludf.DUMMYFUNCTION("""COMPUTED_VALUE"""),1045.167)</f>
        <v>1045.1669999999999</v>
      </c>
      <c r="G277">
        <f ca="1">IFERROR(__xludf.DUMMYFUNCTION("""COMPUTED_VALUE"""),14)</f>
        <v>14</v>
      </c>
      <c r="H277" t="str">
        <f ca="1">IFERROR(__xludf.DUMMYFUNCTION("""COMPUTED_VALUE"""),"+1")</f>
        <v>+1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277"/>
  <sheetViews>
    <sheetView workbookViewId="0"/>
  </sheetViews>
  <sheetFormatPr defaultColWidth="14.42578125" defaultRowHeight="15.75" customHeight="1"/>
  <sheetData>
    <row r="1" spans="1:9" ht="15.75" customHeight="1">
      <c r="A1" t="str">
        <f ca="1">IFERROR(__xludf.DUMMYFUNCTION("importhtml(""http://www.pgatour.com/stats/stat.437.html"",""table"",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DISTANCE (INCHES)")</f>
        <v>TOTAL DISTANCE (INCHES)</v>
      </c>
      <c r="G1" t="str">
        <f ca="1">IFERROR(__xludf.DUMMYFUNCTION("""COMPUTED_VALUE"""),"ATTEMPTS")</f>
        <v>ATTEMPTS</v>
      </c>
      <c r="H1" t="str">
        <f ca="1">IFERROR(__xludf.DUMMYFUNCTION("""COMPUTED_VALUE"""),"TOTAL DISTANCE (FEET)")</f>
        <v>TOTAL DISTANCE (FEET)</v>
      </c>
      <c r="I1" t="str">
        <f ca="1">IFERROR(__xludf.DUMMYFUNCTION("""COMPUTED_VALUE"""),"RELATIVE TO PAR")</f>
        <v>RELATIVE TO PAR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IFERROR(__xludf.DUMMYFUNCTION("""COMPUTED_VALUE"""),"Brad Kennedy")</f>
        <v>Brad Kennedy</v>
      </c>
      <c r="D2">
        <f ca="1">IFERROR(__xludf.DUMMYFUNCTION("""COMPUTED_VALUE"""),4)</f>
        <v>4</v>
      </c>
      <c r="E2" t="str">
        <f ca="1">IFERROR(__xludf.DUMMYFUNCTION("""COMPUTED_VALUE"""),"26' 6""")</f>
        <v>26' 6"</v>
      </c>
      <c r="F2" s="1">
        <f ca="1">IFERROR(__xludf.DUMMYFUNCTION("""COMPUTED_VALUE"""),1271)</f>
        <v>1271</v>
      </c>
      <c r="G2">
        <f ca="1">IFERROR(__xludf.DUMMYFUNCTION("""COMPUTED_VALUE"""),4)</f>
        <v>4</v>
      </c>
      <c r="H2">
        <f ca="1">IFERROR(__xludf.DUMMYFUNCTION("""COMPUTED_VALUE"""),105.917)</f>
        <v>105.917</v>
      </c>
      <c r="I2">
        <f ca="1">IFERROR(__xludf.DUMMYFUNCTION("""COMPUTED_VALUE"""),-1)</f>
        <v>-1</v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IFERROR(__xludf.DUMMYFUNCTION("""COMPUTED_VALUE"""),"Wes Roach")</f>
        <v>Wes Roach</v>
      </c>
      <c r="D3">
        <f ca="1">IFERROR(__xludf.DUMMYFUNCTION("""COMPUTED_VALUE"""),6)</f>
        <v>6</v>
      </c>
      <c r="E3" t="str">
        <f ca="1">IFERROR(__xludf.DUMMYFUNCTION("""COMPUTED_VALUE"""),"26' 10""")</f>
        <v>26' 10"</v>
      </c>
      <c r="F3">
        <f ca="1">IFERROR(__xludf.DUMMYFUNCTION("""COMPUTED_VALUE"""),644)</f>
        <v>644</v>
      </c>
      <c r="G3">
        <f ca="1">IFERROR(__xludf.DUMMYFUNCTION("""COMPUTED_VALUE"""),2)</f>
        <v>2</v>
      </c>
      <c r="H3">
        <f ca="1">IFERROR(__xludf.DUMMYFUNCTION("""COMPUTED_VALUE"""),53.667)</f>
        <v>53.667000000000002</v>
      </c>
      <c r="I3">
        <f ca="1">IFERROR(__xludf.DUMMYFUNCTION("""COMPUTED_VALUE"""),-1)</f>
        <v>-1</v>
      </c>
    </row>
    <row r="4" spans="1:9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IFERROR(__xludf.DUMMYFUNCTION("""COMPUTED_VALUE"""),"Akshay Bhatia")</f>
        <v>Akshay Bhatia</v>
      </c>
      <c r="D4">
        <f ca="1">IFERROR(__xludf.DUMMYFUNCTION("""COMPUTED_VALUE"""),6)</f>
        <v>6</v>
      </c>
      <c r="E4" t="str">
        <f ca="1">IFERROR(__xludf.DUMMYFUNCTION("""COMPUTED_VALUE"""),"28' 6""")</f>
        <v>28' 6"</v>
      </c>
      <c r="F4" s="1">
        <f ca="1">IFERROR(__xludf.DUMMYFUNCTION("""COMPUTED_VALUE"""),6835)</f>
        <v>6835</v>
      </c>
      <c r="G4">
        <f ca="1">IFERROR(__xludf.DUMMYFUNCTION("""COMPUTED_VALUE"""),20)</f>
        <v>20</v>
      </c>
      <c r="H4">
        <f ca="1">IFERROR(__xludf.DUMMYFUNCTION("""COMPUTED_VALUE"""),569.583)</f>
        <v>569.58299999999997</v>
      </c>
      <c r="I4">
        <f ca="1">IFERROR(__xludf.DUMMYFUNCTION("""COMPUTED_VALUE"""),-2)</f>
        <v>-2</v>
      </c>
    </row>
    <row r="5" spans="1:9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IFERROR(__xludf.DUMMYFUNCTION("""COMPUTED_VALUE"""),"Jonathan Byrd")</f>
        <v>Jonathan Byrd</v>
      </c>
      <c r="D5">
        <f ca="1">IFERROR(__xludf.DUMMYFUNCTION("""COMPUTED_VALUE"""),14)</f>
        <v>14</v>
      </c>
      <c r="E5" t="str">
        <f ca="1">IFERROR(__xludf.DUMMYFUNCTION("""COMPUTED_VALUE"""),"28' 8""")</f>
        <v>28' 8"</v>
      </c>
      <c r="F5" s="1">
        <f ca="1">IFERROR(__xludf.DUMMYFUNCTION("""COMPUTED_VALUE"""),11003)</f>
        <v>11003</v>
      </c>
      <c r="G5">
        <f ca="1">IFERROR(__xludf.DUMMYFUNCTION("""COMPUTED_VALUE"""),32)</f>
        <v>32</v>
      </c>
      <c r="H5">
        <f ca="1">IFERROR(__xludf.DUMMYFUNCTION("""COMPUTED_VALUE"""),916.917)</f>
        <v>916.91700000000003</v>
      </c>
      <c r="I5">
        <f ca="1">IFERROR(__xludf.DUMMYFUNCTION("""COMPUTED_VALUE"""),-3)</f>
        <v>-3</v>
      </c>
    </row>
    <row r="6" spans="1:9" ht="15.75" customHeight="1">
      <c r="A6">
        <f ca="1">IFERROR(__xludf.DUMMYFUNCTION("""COMPUTED_VALUE"""),5)</f>
        <v>5</v>
      </c>
      <c r="B6">
        <f ca="1">IFERROR(__xludf.DUMMYFUNCTION("""COMPUTED_VALUE"""),7)</f>
        <v>7</v>
      </c>
      <c r="C6" t="str">
        <f ca="1">IFERROR(__xludf.DUMMYFUNCTION("""COMPUTED_VALUE"""),"George McNeill")</f>
        <v>George McNeill</v>
      </c>
      <c r="D6">
        <f ca="1">IFERROR(__xludf.DUMMYFUNCTION("""COMPUTED_VALUE"""),8)</f>
        <v>8</v>
      </c>
      <c r="E6" t="str">
        <f ca="1">IFERROR(__xludf.DUMMYFUNCTION("""COMPUTED_VALUE"""),"30' 4""")</f>
        <v>30' 4"</v>
      </c>
      <c r="F6" s="1">
        <f ca="1">IFERROR(__xludf.DUMMYFUNCTION("""COMPUTED_VALUE"""),4000)</f>
        <v>4000</v>
      </c>
      <c r="G6">
        <f ca="1">IFERROR(__xludf.DUMMYFUNCTION("""COMPUTED_VALUE"""),11)</f>
        <v>11</v>
      </c>
      <c r="H6">
        <f ca="1">IFERROR(__xludf.DUMMYFUNCTION("""COMPUTED_VALUE"""),333.333)</f>
        <v>333.33300000000003</v>
      </c>
      <c r="I6" t="str">
        <f ca="1">IFERROR(__xludf.DUMMYFUNCTION("""COMPUTED_VALUE"""),"E")</f>
        <v>E</v>
      </c>
    </row>
    <row r="7" spans="1:9" ht="15.75" customHeight="1">
      <c r="A7">
        <f ca="1">IFERROR(__xludf.DUMMYFUNCTION("""COMPUTED_VALUE"""),6)</f>
        <v>6</v>
      </c>
      <c r="B7">
        <f ca="1">IFERROR(__xludf.DUMMYFUNCTION("""COMPUTED_VALUE"""),10)</f>
        <v>10</v>
      </c>
      <c r="C7" t="str">
        <f ca="1">IFERROR(__xludf.DUMMYFUNCTION("""COMPUTED_VALUE"""),"Seamus Power")</f>
        <v>Seamus Power</v>
      </c>
      <c r="D7">
        <f ca="1">IFERROR(__xludf.DUMMYFUNCTION("""COMPUTED_VALUE"""),8)</f>
        <v>8</v>
      </c>
      <c r="E7" t="str">
        <f ca="1">IFERROR(__xludf.DUMMYFUNCTION("""COMPUTED_VALUE"""),"31' 2""")</f>
        <v>31' 2"</v>
      </c>
      <c r="F7" s="1">
        <f ca="1">IFERROR(__xludf.DUMMYFUNCTION("""COMPUTED_VALUE"""),2989)</f>
        <v>2989</v>
      </c>
      <c r="G7">
        <f ca="1">IFERROR(__xludf.DUMMYFUNCTION("""COMPUTED_VALUE"""),8)</f>
        <v>8</v>
      </c>
      <c r="H7">
        <f ca="1">IFERROR(__xludf.DUMMYFUNCTION("""COMPUTED_VALUE"""),249.083)</f>
        <v>249.083</v>
      </c>
      <c r="I7" t="str">
        <f ca="1">IFERROR(__xludf.DUMMYFUNCTION("""COMPUTED_VALUE"""),"+2.00")</f>
        <v>+2.00</v>
      </c>
    </row>
    <row r="8" spans="1:9" ht="15.75" customHeight="1">
      <c r="A8">
        <f ca="1">IFERROR(__xludf.DUMMYFUNCTION("""COMPUTED_VALUE"""),7)</f>
        <v>7</v>
      </c>
      <c r="B8">
        <f ca="1">IFERROR(__xludf.DUMMYFUNCTION("""COMPUTED_VALUE"""),11)</f>
        <v>11</v>
      </c>
      <c r="C8" t="str">
        <f ca="1">IFERROR(__xludf.DUMMYFUNCTION("""COMPUTED_VALUE"""),"George Markham")</f>
        <v>George Markham</v>
      </c>
      <c r="D8">
        <f ca="1">IFERROR(__xludf.DUMMYFUNCTION("""COMPUTED_VALUE"""),4)</f>
        <v>4</v>
      </c>
      <c r="E8" t="str">
        <f ca="1">IFERROR(__xludf.DUMMYFUNCTION("""COMPUTED_VALUE"""),"31' 6""")</f>
        <v>31' 6"</v>
      </c>
      <c r="F8" s="1">
        <f ca="1">IFERROR(__xludf.DUMMYFUNCTION("""COMPUTED_VALUE"""),3783)</f>
        <v>3783</v>
      </c>
      <c r="G8">
        <f ca="1">IFERROR(__xludf.DUMMYFUNCTION("""COMPUTED_VALUE"""),10)</f>
        <v>10</v>
      </c>
      <c r="H8">
        <f ca="1">IFERROR(__xludf.DUMMYFUNCTION("""COMPUTED_VALUE"""),315.25)</f>
        <v>315.25</v>
      </c>
      <c r="I8" t="str">
        <f ca="1">IFERROR(__xludf.DUMMYFUNCTION("""COMPUTED_VALUE"""),"+1.00")</f>
        <v>+1.00</v>
      </c>
    </row>
    <row r="9" spans="1:9" ht="15.75" customHeight="1">
      <c r="A9">
        <f ca="1">IFERROR(__xludf.DUMMYFUNCTION("""COMPUTED_VALUE"""),8)</f>
        <v>8</v>
      </c>
      <c r="B9">
        <f ca="1">IFERROR(__xludf.DUMMYFUNCTION("""COMPUTED_VALUE"""),12)</f>
        <v>12</v>
      </c>
      <c r="C9" t="str">
        <f ca="1">IFERROR(__xludf.DUMMYFUNCTION("""COMPUTED_VALUE"""),"Ryan Blaum")</f>
        <v>Ryan Blaum</v>
      </c>
      <c r="D9">
        <f ca="1">IFERROR(__xludf.DUMMYFUNCTION("""COMPUTED_VALUE"""),8)</f>
        <v>8</v>
      </c>
      <c r="E9" t="str">
        <f ca="1">IFERROR(__xludf.DUMMYFUNCTION("""COMPUTED_VALUE"""),"31' 8""")</f>
        <v>31' 8"</v>
      </c>
      <c r="F9" s="1">
        <f ca="1">IFERROR(__xludf.DUMMYFUNCTION("""COMPUTED_VALUE"""),6462)</f>
        <v>6462</v>
      </c>
      <c r="G9">
        <f ca="1">IFERROR(__xludf.DUMMYFUNCTION("""COMPUTED_VALUE"""),17)</f>
        <v>17</v>
      </c>
      <c r="H9">
        <f ca="1">IFERROR(__xludf.DUMMYFUNCTION("""COMPUTED_VALUE"""),538.5)</f>
        <v>538.5</v>
      </c>
      <c r="I9" t="str">
        <f ca="1">IFERROR(__xludf.DUMMYFUNCTION("""COMPUTED_VALUE"""),"+1.00")</f>
        <v>+1.00</v>
      </c>
    </row>
    <row r="10" spans="1:9" ht="15.75" customHeight="1">
      <c r="A10" t="str">
        <f ca="1">IFERROR(__xludf.DUMMYFUNCTION("""COMPUTED_VALUE"""),"T9")</f>
        <v>T9</v>
      </c>
      <c r="B10">
        <f ca="1">IFERROR(__xludf.DUMMYFUNCTION("""COMPUTED_VALUE"""),13)</f>
        <v>13</v>
      </c>
      <c r="C10" t="str">
        <f ca="1">IFERROR(__xludf.DUMMYFUNCTION("""COMPUTED_VALUE"""),"Ted Potter, Jr.")</f>
        <v>Ted Potter, Jr.</v>
      </c>
      <c r="D10">
        <f ca="1">IFERROR(__xludf.DUMMYFUNCTION("""COMPUTED_VALUE"""),8)</f>
        <v>8</v>
      </c>
      <c r="E10" t="str">
        <f ca="1">IFERROR(__xludf.DUMMYFUNCTION("""COMPUTED_VALUE"""),"34' 0""")</f>
        <v>34' 0"</v>
      </c>
      <c r="F10" s="1">
        <f ca="1">IFERROR(__xludf.DUMMYFUNCTION("""COMPUTED_VALUE"""),14689)</f>
        <v>14689</v>
      </c>
      <c r="G10">
        <f ca="1">IFERROR(__xludf.DUMMYFUNCTION("""COMPUTED_VALUE"""),36)</f>
        <v>36</v>
      </c>
      <c r="H10" s="2">
        <f ca="1">IFERROR(__xludf.DUMMYFUNCTION("""COMPUTED_VALUE"""),1224.083)</f>
        <v>1224.0830000000001</v>
      </c>
      <c r="I10" t="str">
        <f ca="1">IFERROR(__xludf.DUMMYFUNCTION("""COMPUTED_VALUE"""),"+4.00")</f>
        <v>+4.00</v>
      </c>
    </row>
    <row r="11" spans="1:9" ht="15.75" customHeight="1">
      <c r="A11" t="str">
        <f ca="1">IFERROR(__xludf.DUMMYFUNCTION("""COMPUTED_VALUE"""),"T9")</f>
        <v>T9</v>
      </c>
      <c r="B11">
        <f ca="1">IFERROR(__xludf.DUMMYFUNCTION("""COMPUTED_VALUE"""),14)</f>
        <v>14</v>
      </c>
      <c r="C11" t="str">
        <f ca="1">IFERROR(__xludf.DUMMYFUNCTION("""COMPUTED_VALUE"""),"Michael Gellerman")</f>
        <v>Michael Gellerman</v>
      </c>
      <c r="D11">
        <f ca="1">IFERROR(__xludf.DUMMYFUNCTION("""COMPUTED_VALUE"""),5)</f>
        <v>5</v>
      </c>
      <c r="E11" t="str">
        <f ca="1">IFERROR(__xludf.DUMMYFUNCTION("""COMPUTED_VALUE"""),"34' 0""")</f>
        <v>34' 0"</v>
      </c>
      <c r="F11" s="1">
        <f ca="1">IFERROR(__xludf.DUMMYFUNCTION("""COMPUTED_VALUE"""),1224)</f>
        <v>1224</v>
      </c>
      <c r="G11">
        <f ca="1">IFERROR(__xludf.DUMMYFUNCTION("""COMPUTED_VALUE"""),3)</f>
        <v>3</v>
      </c>
      <c r="H11">
        <f ca="1">IFERROR(__xludf.DUMMYFUNCTION("""COMPUTED_VALUE"""),102)</f>
        <v>102</v>
      </c>
      <c r="I11">
        <f ca="1">IFERROR(__xludf.DUMMYFUNCTION("""COMPUTED_VALUE"""),-1)</f>
        <v>-1</v>
      </c>
    </row>
    <row r="12" spans="1:9" ht="15.75" customHeight="1">
      <c r="A12">
        <f ca="1">IFERROR(__xludf.DUMMYFUNCTION("""COMPUTED_VALUE"""),11)</f>
        <v>11</v>
      </c>
      <c r="B12">
        <f ca="1">IFERROR(__xludf.DUMMYFUNCTION("""COMPUTED_VALUE"""),15)</f>
        <v>15</v>
      </c>
      <c r="C12" t="str">
        <f ca="1">IFERROR(__xludf.DUMMYFUNCTION("""COMPUTED_VALUE"""),"Nelson Ledesma")</f>
        <v>Nelson Ledesma</v>
      </c>
      <c r="D12">
        <f ca="1">IFERROR(__xludf.DUMMYFUNCTION("""COMPUTED_VALUE"""),8)</f>
        <v>8</v>
      </c>
      <c r="E12" t="str">
        <f ca="1">IFERROR(__xludf.DUMMYFUNCTION("""COMPUTED_VALUE"""),"34' 6""")</f>
        <v>34' 6"</v>
      </c>
      <c r="F12" s="1">
        <f ca="1">IFERROR(__xludf.DUMMYFUNCTION("""COMPUTED_VALUE"""),8286)</f>
        <v>8286</v>
      </c>
      <c r="G12">
        <f ca="1">IFERROR(__xludf.DUMMYFUNCTION("""COMPUTED_VALUE"""),20)</f>
        <v>20</v>
      </c>
      <c r="H12">
        <f ca="1">IFERROR(__xludf.DUMMYFUNCTION("""COMPUTED_VALUE"""),690.5)</f>
        <v>690.5</v>
      </c>
      <c r="I12">
        <f ca="1">IFERROR(__xludf.DUMMYFUNCTION("""COMPUTED_VALUE"""),-4)</f>
        <v>-4</v>
      </c>
    </row>
    <row r="13" spans="1:9" ht="15.75" customHeight="1">
      <c r="A13">
        <f ca="1">IFERROR(__xludf.DUMMYFUNCTION("""COMPUTED_VALUE"""),12)</f>
        <v>12</v>
      </c>
      <c r="B13">
        <f ca="1">IFERROR(__xludf.DUMMYFUNCTION("""COMPUTED_VALUE"""),16)</f>
        <v>16</v>
      </c>
      <c r="C13" t="str">
        <f ca="1">IFERROR(__xludf.DUMMYFUNCTION("""COMPUTED_VALUE"""),"Josh Teater")</f>
        <v>Josh Teater</v>
      </c>
      <c r="D13">
        <f ca="1">IFERROR(__xludf.DUMMYFUNCTION("""COMPUTED_VALUE"""),6)</f>
        <v>6</v>
      </c>
      <c r="E13" t="str">
        <f ca="1">IFERROR(__xludf.DUMMYFUNCTION("""COMPUTED_VALUE"""),"34' 10""")</f>
        <v>34' 10"</v>
      </c>
      <c r="F13" s="1">
        <f ca="1">IFERROR(__xludf.DUMMYFUNCTION("""COMPUTED_VALUE"""),3762)</f>
        <v>3762</v>
      </c>
      <c r="G13">
        <f ca="1">IFERROR(__xludf.DUMMYFUNCTION("""COMPUTED_VALUE"""),9)</f>
        <v>9</v>
      </c>
      <c r="H13">
        <f ca="1">IFERROR(__xludf.DUMMYFUNCTION("""COMPUTED_VALUE"""),313.5)</f>
        <v>313.5</v>
      </c>
      <c r="I13" t="str">
        <f ca="1">IFERROR(__xludf.DUMMYFUNCTION("""COMPUTED_VALUE"""),"E")</f>
        <v>E</v>
      </c>
    </row>
    <row r="14" spans="1:9" ht="15.75" customHeight="1">
      <c r="A14">
        <f ca="1">IFERROR(__xludf.DUMMYFUNCTION("""COMPUTED_VALUE"""),13)</f>
        <v>13</v>
      </c>
      <c r="B14">
        <f ca="1">IFERROR(__xludf.DUMMYFUNCTION("""COMPUTED_VALUE"""),17)</f>
        <v>17</v>
      </c>
      <c r="C14" t="str">
        <f ca="1">IFERROR(__xludf.DUMMYFUNCTION("""COMPUTED_VALUE"""),"Kyle Stanley")</f>
        <v>Kyle Stanley</v>
      </c>
      <c r="D14">
        <f ca="1">IFERROR(__xludf.DUMMYFUNCTION("""COMPUTED_VALUE"""),16)</f>
        <v>16</v>
      </c>
      <c r="E14" t="str">
        <f ca="1">IFERROR(__xludf.DUMMYFUNCTION("""COMPUTED_VALUE"""),"34' 11""")</f>
        <v>34' 11"</v>
      </c>
      <c r="F14" s="1">
        <f ca="1">IFERROR(__xludf.DUMMYFUNCTION("""COMPUTED_VALUE"""),11732)</f>
        <v>11732</v>
      </c>
      <c r="G14">
        <f ca="1">IFERROR(__xludf.DUMMYFUNCTION("""COMPUTED_VALUE"""),28)</f>
        <v>28</v>
      </c>
      <c r="H14">
        <f ca="1">IFERROR(__xludf.DUMMYFUNCTION("""COMPUTED_VALUE"""),977.667)</f>
        <v>977.66700000000003</v>
      </c>
      <c r="I14">
        <f ca="1">IFERROR(__xludf.DUMMYFUNCTION("""COMPUTED_VALUE"""),-3)</f>
        <v>-3</v>
      </c>
    </row>
    <row r="15" spans="1:9" ht="15.75" customHeight="1">
      <c r="A15">
        <f ca="1">IFERROR(__xludf.DUMMYFUNCTION("""COMPUTED_VALUE"""),14)</f>
        <v>14</v>
      </c>
      <c r="B15">
        <f ca="1">IFERROR(__xludf.DUMMYFUNCTION("""COMPUTED_VALUE"""),18)</f>
        <v>18</v>
      </c>
      <c r="C15" t="str">
        <f ca="1">IFERROR(__xludf.DUMMYFUNCTION("""COMPUTED_VALUE"""),"Aaron Baddeley")</f>
        <v>Aaron Baddeley</v>
      </c>
      <c r="D15">
        <f ca="1">IFERROR(__xludf.DUMMYFUNCTION("""COMPUTED_VALUE"""),8)</f>
        <v>8</v>
      </c>
      <c r="E15" t="str">
        <f ca="1">IFERROR(__xludf.DUMMYFUNCTION("""COMPUTED_VALUE"""),"35' 3""")</f>
        <v>35' 3"</v>
      </c>
      <c r="F15" s="1">
        <f ca="1">IFERROR(__xludf.DUMMYFUNCTION("""COMPUTED_VALUE"""),8044)</f>
        <v>8044</v>
      </c>
      <c r="G15">
        <f ca="1">IFERROR(__xludf.DUMMYFUNCTION("""COMPUTED_VALUE"""),19)</f>
        <v>19</v>
      </c>
      <c r="H15">
        <f ca="1">IFERROR(__xludf.DUMMYFUNCTION("""COMPUTED_VALUE"""),670.333)</f>
        <v>670.33299999999997</v>
      </c>
      <c r="I15" t="str">
        <f ca="1">IFERROR(__xludf.DUMMYFUNCTION("""COMPUTED_VALUE"""),"E")</f>
        <v>E</v>
      </c>
    </row>
    <row r="16" spans="1:9" ht="15.75" customHeight="1">
      <c r="A16">
        <f ca="1">IFERROR(__xludf.DUMMYFUNCTION("""COMPUTED_VALUE"""),15)</f>
        <v>15</v>
      </c>
      <c r="B16">
        <f ca="1">IFERROR(__xludf.DUMMYFUNCTION("""COMPUTED_VALUE"""),19)</f>
        <v>19</v>
      </c>
      <c r="C16" t="str">
        <f ca="1">IFERROR(__xludf.DUMMYFUNCTION("""COMPUTED_VALUE"""),"Hank Lebioda")</f>
        <v>Hank Lebioda</v>
      </c>
      <c r="D16">
        <f ca="1">IFERROR(__xludf.DUMMYFUNCTION("""COMPUTED_VALUE"""),14)</f>
        <v>14</v>
      </c>
      <c r="E16" t="str">
        <f ca="1">IFERROR(__xludf.DUMMYFUNCTION("""COMPUTED_VALUE"""),"35' 6""")</f>
        <v>35' 6"</v>
      </c>
      <c r="F16" s="1">
        <f ca="1">IFERROR(__xludf.DUMMYFUNCTION("""COMPUTED_VALUE"""),14478)</f>
        <v>14478</v>
      </c>
      <c r="G16">
        <f ca="1">IFERROR(__xludf.DUMMYFUNCTION("""COMPUTED_VALUE"""),34)</f>
        <v>34</v>
      </c>
      <c r="H16" s="2">
        <f ca="1">IFERROR(__xludf.DUMMYFUNCTION("""COMPUTED_VALUE"""),1206.5)</f>
        <v>1206.5</v>
      </c>
      <c r="I16" t="str">
        <f ca="1">IFERROR(__xludf.DUMMYFUNCTION("""COMPUTED_VALUE"""),"E")</f>
        <v>E</v>
      </c>
    </row>
    <row r="17" spans="1:9" ht="15.75" customHeight="1">
      <c r="A17">
        <f ca="1">IFERROR(__xludf.DUMMYFUNCTION("""COMPUTED_VALUE"""),16)</f>
        <v>16</v>
      </c>
      <c r="B17" t="str">
        <f ca="1">IFERROR(__xludf.DUMMYFUNCTION("""COMPUTED_VALUE"""),"T21")</f>
        <v>T21</v>
      </c>
      <c r="C17" t="str">
        <f ca="1">IFERROR(__xludf.DUMMYFUNCTION("""COMPUTED_VALUE"""),"Chris Baker")</f>
        <v>Chris Baker</v>
      </c>
      <c r="D17">
        <f ca="1">IFERROR(__xludf.DUMMYFUNCTION("""COMPUTED_VALUE"""),8)</f>
        <v>8</v>
      </c>
      <c r="E17" t="str">
        <f ca="1">IFERROR(__xludf.DUMMYFUNCTION("""COMPUTED_VALUE"""),"35' 11""")</f>
        <v>35' 11"</v>
      </c>
      <c r="F17" s="1">
        <f ca="1">IFERROR(__xludf.DUMMYFUNCTION("""COMPUTED_VALUE"""),7761)</f>
        <v>7761</v>
      </c>
      <c r="G17">
        <f ca="1">IFERROR(__xludf.DUMMYFUNCTION("""COMPUTED_VALUE"""),18)</f>
        <v>18</v>
      </c>
      <c r="H17">
        <f ca="1">IFERROR(__xludf.DUMMYFUNCTION("""COMPUTED_VALUE"""),646.75)</f>
        <v>646.75</v>
      </c>
      <c r="I17">
        <f ca="1">IFERROR(__xludf.DUMMYFUNCTION("""COMPUTED_VALUE"""),-2)</f>
        <v>-2</v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IFERROR(__xludf.DUMMYFUNCTION("""COMPUTED_VALUE"""),8)</f>
        <v>8</v>
      </c>
      <c r="C18" t="str">
        <f ca="1">IFERROR(__xludf.DUMMYFUNCTION("""COMPUTED_VALUE"""),"Austin Cook")</f>
        <v>Austin Cook</v>
      </c>
      <c r="D18">
        <f ca="1">IFERROR(__xludf.DUMMYFUNCTION("""COMPUTED_VALUE"""),14)</f>
        <v>14</v>
      </c>
      <c r="E18" t="str">
        <f ca="1">IFERROR(__xludf.DUMMYFUNCTION("""COMPUTED_VALUE"""),"36' 0""")</f>
        <v>36' 0"</v>
      </c>
      <c r="F18" s="1">
        <f ca="1">IFERROR(__xludf.DUMMYFUNCTION("""COMPUTED_VALUE"""),18586)</f>
        <v>18586</v>
      </c>
      <c r="G18">
        <f ca="1">IFERROR(__xludf.DUMMYFUNCTION("""COMPUTED_VALUE"""),43)</f>
        <v>43</v>
      </c>
      <c r="H18" s="2">
        <f ca="1">IFERROR(__xludf.DUMMYFUNCTION("""COMPUTED_VALUE"""),1548.833)</f>
        <v>1548.8330000000001</v>
      </c>
      <c r="I18" t="str">
        <f ca="1">IFERROR(__xludf.DUMMYFUNCTION("""COMPUTED_VALUE"""),"+2.00")</f>
        <v>+2.00</v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IFERROR(__xludf.DUMMYFUNCTION("""COMPUTED_VALUE"""),"Hanbyeol Kim")</f>
        <v>Hanbyeol Kim</v>
      </c>
      <c r="D19">
        <f ca="1">IFERROR(__xludf.DUMMYFUNCTION("""COMPUTED_VALUE"""),4)</f>
        <v>4</v>
      </c>
      <c r="E19" t="str">
        <f ca="1">IFERROR(__xludf.DUMMYFUNCTION("""COMPUTED_VALUE"""),"36' 1""")</f>
        <v>36' 1"</v>
      </c>
      <c r="F19" s="1">
        <f ca="1">IFERROR(__xludf.DUMMYFUNCTION("""COMPUTED_VALUE"""),5630)</f>
        <v>5630</v>
      </c>
      <c r="G19">
        <f ca="1">IFERROR(__xludf.DUMMYFUNCTION("""COMPUTED_VALUE"""),13)</f>
        <v>13</v>
      </c>
      <c r="H19">
        <f ca="1">IFERROR(__xludf.DUMMYFUNCTION("""COMPUTED_VALUE"""),469.167)</f>
        <v>469.16699999999997</v>
      </c>
      <c r="I19" t="str">
        <f ca="1">IFERROR(__xludf.DUMMYFUNCTION("""COMPUTED_VALUE"""),"+3.00")</f>
        <v>+3.00</v>
      </c>
    </row>
    <row r="20" spans="1:9" ht="15.75" customHeight="1">
      <c r="A20">
        <f ca="1">IFERROR(__xludf.DUMMYFUNCTION("""COMPUTED_VALUE"""),19)</f>
        <v>19</v>
      </c>
      <c r="B20" t="str">
        <f ca="1">IFERROR(__xludf.DUMMYFUNCTION("""COMPUTED_VALUE"""),"T26")</f>
        <v>T26</v>
      </c>
      <c r="C20" t="str">
        <f ca="1">IFERROR(__xludf.DUMMYFUNCTION("""COMPUTED_VALUE"""),"Bud Cauley")</f>
        <v>Bud Cauley</v>
      </c>
      <c r="D20">
        <f ca="1">IFERROR(__xludf.DUMMYFUNCTION("""COMPUTED_VALUE"""),4)</f>
        <v>4</v>
      </c>
      <c r="E20" t="str">
        <f ca="1">IFERROR(__xludf.DUMMYFUNCTION("""COMPUTED_VALUE"""),"36' 8""")</f>
        <v>36' 8"</v>
      </c>
      <c r="F20" s="1">
        <f ca="1">IFERROR(__xludf.DUMMYFUNCTION("""COMPUTED_VALUE"""),7037)</f>
        <v>7037</v>
      </c>
      <c r="G20">
        <f ca="1">IFERROR(__xludf.DUMMYFUNCTION("""COMPUTED_VALUE"""),16)</f>
        <v>16</v>
      </c>
      <c r="H20">
        <f ca="1">IFERROR(__xludf.DUMMYFUNCTION("""COMPUTED_VALUE"""),586.417)</f>
        <v>586.41700000000003</v>
      </c>
      <c r="I20">
        <f ca="1">IFERROR(__xludf.DUMMYFUNCTION("""COMPUTED_VALUE"""),-3)</f>
        <v>-3</v>
      </c>
    </row>
    <row r="21" spans="1:9" ht="15.75" customHeight="1">
      <c r="A21">
        <f ca="1">IFERROR(__xludf.DUMMYFUNCTION("""COMPUTED_VALUE"""),20)</f>
        <v>20</v>
      </c>
      <c r="B21" t="str">
        <f ca="1">IFERROR(__xludf.DUMMYFUNCTION("""COMPUTED_VALUE"""),"T29")</f>
        <v>T29</v>
      </c>
      <c r="C21" t="str">
        <f ca="1">IFERROR(__xludf.DUMMYFUNCTION("""COMPUTED_VALUE"""),"Ricky Barnes")</f>
        <v>Ricky Barnes</v>
      </c>
      <c r="D21">
        <f ca="1">IFERROR(__xludf.DUMMYFUNCTION("""COMPUTED_VALUE"""),12)</f>
        <v>12</v>
      </c>
      <c r="E21" t="str">
        <f ca="1">IFERROR(__xludf.DUMMYFUNCTION("""COMPUTED_VALUE"""),"36' 10""")</f>
        <v>36' 10"</v>
      </c>
      <c r="F21" s="1">
        <f ca="1">IFERROR(__xludf.DUMMYFUNCTION("""COMPUTED_VALUE"""),8839)</f>
        <v>8839</v>
      </c>
      <c r="G21">
        <f ca="1">IFERROR(__xludf.DUMMYFUNCTION("""COMPUTED_VALUE"""),20)</f>
        <v>20</v>
      </c>
      <c r="H21">
        <f ca="1">IFERROR(__xludf.DUMMYFUNCTION("""COMPUTED_VALUE"""),736.583)</f>
        <v>736.58299999999997</v>
      </c>
      <c r="I21">
        <f ca="1">IFERROR(__xludf.DUMMYFUNCTION("""COMPUTED_VALUE"""),-6)</f>
        <v>-6</v>
      </c>
    </row>
    <row r="22" spans="1:9" ht="15.75" customHeight="1">
      <c r="A22">
        <f ca="1">IFERROR(__xludf.DUMMYFUNCTION("""COMPUTED_VALUE"""),21)</f>
        <v>21</v>
      </c>
      <c r="B22">
        <f ca="1">IFERROR(__xludf.DUMMYFUNCTION("""COMPUTED_VALUE"""),31)</f>
        <v>31</v>
      </c>
      <c r="C22" t="str">
        <f ca="1">IFERROR(__xludf.DUMMYFUNCTION("""COMPUTED_VALUE"""),"Peter Malnati")</f>
        <v>Peter Malnati</v>
      </c>
      <c r="D22">
        <f ca="1">IFERROR(__xludf.DUMMYFUNCTION("""COMPUTED_VALUE"""),18)</f>
        <v>18</v>
      </c>
      <c r="E22" t="str">
        <f ca="1">IFERROR(__xludf.DUMMYFUNCTION("""COMPUTED_VALUE"""),"36' 11""")</f>
        <v>36' 11"</v>
      </c>
      <c r="F22" s="1">
        <f ca="1">IFERROR(__xludf.DUMMYFUNCTION("""COMPUTED_VALUE"""),19028)</f>
        <v>19028</v>
      </c>
      <c r="G22">
        <f ca="1">IFERROR(__xludf.DUMMYFUNCTION("""COMPUTED_VALUE"""),43)</f>
        <v>43</v>
      </c>
      <c r="H22" s="2">
        <f ca="1">IFERROR(__xludf.DUMMYFUNCTION("""COMPUTED_VALUE"""),1585.667)</f>
        <v>1585.6669999999999</v>
      </c>
      <c r="I22" t="str">
        <f ca="1">IFERROR(__xludf.DUMMYFUNCTION("""COMPUTED_VALUE"""),"E")</f>
        <v>E</v>
      </c>
    </row>
    <row r="23" spans="1:9" ht="15.75" customHeight="1">
      <c r="A23" t="str">
        <f ca="1">IFERROR(__xludf.DUMMYFUNCTION("""COMPUTED_VALUE"""),"T22")</f>
        <v>T22</v>
      </c>
      <c r="B23" t="str">
        <f ca="1">IFERROR(__xludf.DUMMYFUNCTION("""COMPUTED_VALUE"""),"T32")</f>
        <v>T32</v>
      </c>
      <c r="C23" t="str">
        <f ca="1">IFERROR(__xludf.DUMMYFUNCTION("""COMPUTED_VALUE"""),"Justin Suh")</f>
        <v>Justin Suh</v>
      </c>
      <c r="D23">
        <f ca="1">IFERROR(__xludf.DUMMYFUNCTION("""COMPUTED_VALUE"""),10)</f>
        <v>10</v>
      </c>
      <c r="E23" t="str">
        <f ca="1">IFERROR(__xludf.DUMMYFUNCTION("""COMPUTED_VALUE"""),"37' 0""")</f>
        <v>37' 0"</v>
      </c>
      <c r="F23" s="1">
        <f ca="1">IFERROR(__xludf.DUMMYFUNCTION("""COMPUTED_VALUE"""),6213)</f>
        <v>6213</v>
      </c>
      <c r="G23">
        <f ca="1">IFERROR(__xludf.DUMMYFUNCTION("""COMPUTED_VALUE"""),14)</f>
        <v>14</v>
      </c>
      <c r="H23">
        <f ca="1">IFERROR(__xludf.DUMMYFUNCTION("""COMPUTED_VALUE"""),517.75)</f>
        <v>517.75</v>
      </c>
      <c r="I23">
        <f ca="1">IFERROR(__xludf.DUMMYFUNCTION("""COMPUTED_VALUE"""),-3)</f>
        <v>-3</v>
      </c>
    </row>
    <row r="24" spans="1:9" ht="15.75" customHeight="1">
      <c r="A24" t="str">
        <f ca="1">IFERROR(__xludf.DUMMYFUNCTION("""COMPUTED_VALUE"""),"T22")</f>
        <v>T22</v>
      </c>
      <c r="B24" t="str">
        <f ca="1">IFERROR(__xludf.DUMMYFUNCTION("""COMPUTED_VALUE"""),"T32")</f>
        <v>T32</v>
      </c>
      <c r="C24" t="str">
        <f ca="1">IFERROR(__xludf.DUMMYFUNCTION("""COMPUTED_VALUE"""),"William McGirt")</f>
        <v>William McGirt</v>
      </c>
      <c r="D24">
        <f ca="1">IFERROR(__xludf.DUMMYFUNCTION("""COMPUTED_VALUE"""),6)</f>
        <v>6</v>
      </c>
      <c r="E24" t="str">
        <f ca="1">IFERROR(__xludf.DUMMYFUNCTION("""COMPUTED_VALUE"""),"37' 0""")</f>
        <v>37' 0"</v>
      </c>
      <c r="F24" s="1">
        <f ca="1">IFERROR(__xludf.DUMMYFUNCTION("""COMPUTED_VALUE"""),13775)</f>
        <v>13775</v>
      </c>
      <c r="G24">
        <f ca="1">IFERROR(__xludf.DUMMYFUNCTION("""COMPUTED_VALUE"""),31)</f>
        <v>31</v>
      </c>
      <c r="H24" s="2">
        <f ca="1">IFERROR(__xludf.DUMMYFUNCTION("""COMPUTED_VALUE"""),1147.917)</f>
        <v>1147.9169999999999</v>
      </c>
      <c r="I24" t="str">
        <f ca="1">IFERROR(__xludf.DUMMYFUNCTION("""COMPUTED_VALUE"""),"E")</f>
        <v>E</v>
      </c>
    </row>
    <row r="25" spans="1:9" ht="15.75" customHeight="1">
      <c r="A25">
        <f ca="1">IFERROR(__xludf.DUMMYFUNCTION("""COMPUTED_VALUE"""),24)</f>
        <v>24</v>
      </c>
      <c r="B25">
        <f ca="1">IFERROR(__xludf.DUMMYFUNCTION("""COMPUTED_VALUE"""),34)</f>
        <v>34</v>
      </c>
      <c r="C25" t="str">
        <f ca="1">IFERROR(__xludf.DUMMYFUNCTION("""COMPUTED_VALUE"""),"John Senden")</f>
        <v>John Senden</v>
      </c>
      <c r="D25">
        <f ca="1">IFERROR(__xludf.DUMMYFUNCTION("""COMPUTED_VALUE"""),8)</f>
        <v>8</v>
      </c>
      <c r="E25" t="str">
        <f ca="1">IFERROR(__xludf.DUMMYFUNCTION("""COMPUTED_VALUE"""),"37' 6""")</f>
        <v>37' 6"</v>
      </c>
      <c r="F25" s="1">
        <f ca="1">IFERROR(__xludf.DUMMYFUNCTION("""COMPUTED_VALUE"""),4947)</f>
        <v>4947</v>
      </c>
      <c r="G25">
        <f ca="1">IFERROR(__xludf.DUMMYFUNCTION("""COMPUTED_VALUE"""),11)</f>
        <v>11</v>
      </c>
      <c r="H25">
        <f ca="1">IFERROR(__xludf.DUMMYFUNCTION("""COMPUTED_VALUE"""),412.25)</f>
        <v>412.25</v>
      </c>
      <c r="I25" t="str">
        <f ca="1">IFERROR(__xludf.DUMMYFUNCTION("""COMPUTED_VALUE"""),"+3.00")</f>
        <v>+3.00</v>
      </c>
    </row>
    <row r="26" spans="1:9" ht="15.75" customHeight="1">
      <c r="A26" t="str">
        <f ca="1">IFERROR(__xludf.DUMMYFUNCTION("""COMPUTED_VALUE"""),"T25")</f>
        <v>T25</v>
      </c>
      <c r="B26" t="str">
        <f ca="1">IFERROR(__xludf.DUMMYFUNCTION("""COMPUTED_VALUE"""),"T35")</f>
        <v>T35</v>
      </c>
      <c r="C26" t="str">
        <f ca="1">IFERROR(__xludf.DUMMYFUNCTION("""COMPUTED_VALUE"""),"Ryan Brehm")</f>
        <v>Ryan Brehm</v>
      </c>
      <c r="D26">
        <f ca="1">IFERROR(__xludf.DUMMYFUNCTION("""COMPUTED_VALUE"""),10)</f>
        <v>10</v>
      </c>
      <c r="E26" t="str">
        <f ca="1">IFERROR(__xludf.DUMMYFUNCTION("""COMPUTED_VALUE"""),"37' 7""")</f>
        <v>37' 7"</v>
      </c>
      <c r="F26" s="1">
        <f ca="1">IFERROR(__xludf.DUMMYFUNCTION("""COMPUTED_VALUE"""),5407)</f>
        <v>5407</v>
      </c>
      <c r="G26">
        <f ca="1">IFERROR(__xludf.DUMMYFUNCTION("""COMPUTED_VALUE"""),12)</f>
        <v>12</v>
      </c>
      <c r="H26">
        <f ca="1">IFERROR(__xludf.DUMMYFUNCTION("""COMPUTED_VALUE"""),450.583)</f>
        <v>450.58300000000003</v>
      </c>
      <c r="I26">
        <f ca="1">IFERROR(__xludf.DUMMYFUNCTION("""COMPUTED_VALUE"""),-1)</f>
        <v>-1</v>
      </c>
    </row>
    <row r="27" spans="1:9" ht="15.75" customHeight="1">
      <c r="A27" t="str">
        <f ca="1">IFERROR(__xludf.DUMMYFUNCTION("""COMPUTED_VALUE"""),"T25")</f>
        <v>T25</v>
      </c>
      <c r="B27" t="str">
        <f ca="1">IFERROR(__xludf.DUMMYFUNCTION("""COMPUTED_VALUE"""),"T35")</f>
        <v>T35</v>
      </c>
      <c r="C27" t="str">
        <f ca="1">IFERROR(__xludf.DUMMYFUNCTION("""COMPUTED_VALUE"""),"Joel Dahmen")</f>
        <v>Joel Dahmen</v>
      </c>
      <c r="D27">
        <f ca="1">IFERROR(__xludf.DUMMYFUNCTION("""COMPUTED_VALUE"""),18)</f>
        <v>18</v>
      </c>
      <c r="E27" t="str">
        <f ca="1">IFERROR(__xludf.DUMMYFUNCTION("""COMPUTED_VALUE"""),"37' 7""")</f>
        <v>37' 7"</v>
      </c>
      <c r="F27" s="1">
        <f ca="1">IFERROR(__xludf.DUMMYFUNCTION("""COMPUTED_VALUE"""),19825)</f>
        <v>19825</v>
      </c>
      <c r="G27">
        <f ca="1">IFERROR(__xludf.DUMMYFUNCTION("""COMPUTED_VALUE"""),44)</f>
        <v>44</v>
      </c>
      <c r="H27" s="2">
        <f ca="1">IFERROR(__xludf.DUMMYFUNCTION("""COMPUTED_VALUE"""),1652.083)</f>
        <v>1652.0830000000001</v>
      </c>
      <c r="I27" t="str">
        <f ca="1">IFERROR(__xludf.DUMMYFUNCTION("""COMPUTED_VALUE"""),"+2.00")</f>
        <v>+2.00</v>
      </c>
    </row>
    <row r="28" spans="1:9" ht="15.75" customHeight="1">
      <c r="A28">
        <f ca="1">IFERROR(__xludf.DUMMYFUNCTION("""COMPUTED_VALUE"""),27)</f>
        <v>27</v>
      </c>
      <c r="B28" t="str">
        <f ca="1">IFERROR(__xludf.DUMMYFUNCTION("""COMPUTED_VALUE"""),"T38")</f>
        <v>T38</v>
      </c>
      <c r="C28" t="str">
        <f ca="1">IFERROR(__xludf.DUMMYFUNCTION("""COMPUTED_VALUE"""),"Wesley Bryan")</f>
        <v>Wesley Bryan</v>
      </c>
      <c r="D28">
        <f ca="1">IFERROR(__xludf.DUMMYFUNCTION("""COMPUTED_VALUE"""),8)</f>
        <v>8</v>
      </c>
      <c r="E28" t="str">
        <f ca="1">IFERROR(__xludf.DUMMYFUNCTION("""COMPUTED_VALUE"""),"37' 9""")</f>
        <v>37' 9"</v>
      </c>
      <c r="F28" s="1">
        <f ca="1">IFERROR(__xludf.DUMMYFUNCTION("""COMPUTED_VALUE"""),14509)</f>
        <v>14509</v>
      </c>
      <c r="G28">
        <f ca="1">IFERROR(__xludf.DUMMYFUNCTION("""COMPUTED_VALUE"""),32)</f>
        <v>32</v>
      </c>
      <c r="H28" s="2">
        <f ca="1">IFERROR(__xludf.DUMMYFUNCTION("""COMPUTED_VALUE"""),1209.083)</f>
        <v>1209.0830000000001</v>
      </c>
      <c r="I28">
        <f ca="1">IFERROR(__xludf.DUMMYFUNCTION("""COMPUTED_VALUE"""),-1)</f>
        <v>-1</v>
      </c>
    </row>
    <row r="29" spans="1:9" ht="15.75" customHeight="1">
      <c r="A29">
        <f ca="1">IFERROR(__xludf.DUMMYFUNCTION("""COMPUTED_VALUE"""),28)</f>
        <v>28</v>
      </c>
      <c r="B29" t="str">
        <f ca="1">IFERROR(__xludf.DUMMYFUNCTION("""COMPUTED_VALUE"""),"T38")</f>
        <v>T38</v>
      </c>
      <c r="C29" t="str">
        <f ca="1">IFERROR(__xludf.DUMMYFUNCTION("""COMPUTED_VALUE"""),"Jason Dufner")</f>
        <v>Jason Dufner</v>
      </c>
      <c r="D29">
        <f ca="1">IFERROR(__xludf.DUMMYFUNCTION("""COMPUTED_VALUE"""),14)</f>
        <v>14</v>
      </c>
      <c r="E29" t="str">
        <f ca="1">IFERROR(__xludf.DUMMYFUNCTION("""COMPUTED_VALUE"""),"38' 0""")</f>
        <v>38' 0"</v>
      </c>
      <c r="F29" s="1">
        <f ca="1">IFERROR(__xludf.DUMMYFUNCTION("""COMPUTED_VALUE"""),18258)</f>
        <v>18258</v>
      </c>
      <c r="G29">
        <f ca="1">IFERROR(__xludf.DUMMYFUNCTION("""COMPUTED_VALUE"""),40)</f>
        <v>40</v>
      </c>
      <c r="H29" s="2">
        <f ca="1">IFERROR(__xludf.DUMMYFUNCTION("""COMPUTED_VALUE"""),1521.5)</f>
        <v>1521.5</v>
      </c>
      <c r="I29" t="str">
        <f ca="1">IFERROR(__xludf.DUMMYFUNCTION("""COMPUTED_VALUE"""),"+5.00")</f>
        <v>+5.00</v>
      </c>
    </row>
    <row r="30" spans="1:9" ht="15.75" customHeight="1">
      <c r="A30">
        <f ca="1">IFERROR(__xludf.DUMMYFUNCTION("""COMPUTED_VALUE"""),29)</f>
        <v>29</v>
      </c>
      <c r="B30" t="str">
        <f ca="1">IFERROR(__xludf.DUMMYFUNCTION("""COMPUTED_VALUE"""),"T29")</f>
        <v>T29</v>
      </c>
      <c r="C30" t="str">
        <f ca="1">IFERROR(__xludf.DUMMYFUNCTION("""COMPUTED_VALUE"""),"Beau Hossler")</f>
        <v>Beau Hossler</v>
      </c>
      <c r="D30">
        <f ca="1">IFERROR(__xludf.DUMMYFUNCTION("""COMPUTED_VALUE"""),22)</f>
        <v>22</v>
      </c>
      <c r="E30" t="str">
        <f ca="1">IFERROR(__xludf.DUMMYFUNCTION("""COMPUTED_VALUE"""),"38' 2""")</f>
        <v>38' 2"</v>
      </c>
      <c r="F30" s="1">
        <f ca="1">IFERROR(__xludf.DUMMYFUNCTION("""COMPUTED_VALUE"""),33436)</f>
        <v>33436</v>
      </c>
      <c r="G30">
        <f ca="1">IFERROR(__xludf.DUMMYFUNCTION("""COMPUTED_VALUE"""),73)</f>
        <v>73</v>
      </c>
      <c r="H30" s="2">
        <f ca="1">IFERROR(__xludf.DUMMYFUNCTION("""COMPUTED_VALUE"""),2786.333)</f>
        <v>2786.3330000000001</v>
      </c>
      <c r="I30" t="str">
        <f ca="1">IFERROR(__xludf.DUMMYFUNCTION("""COMPUTED_VALUE"""),"+5.00")</f>
        <v>+5.00</v>
      </c>
    </row>
    <row r="31" spans="1:9" ht="12.75">
      <c r="A31">
        <f ca="1">IFERROR(__xludf.DUMMYFUNCTION("""COMPUTED_VALUE"""),30)</f>
        <v>30</v>
      </c>
      <c r="B31" t="str">
        <f ca="1">IFERROR(__xludf.DUMMYFUNCTION("""COMPUTED_VALUE"""),"T42")</f>
        <v>T42</v>
      </c>
      <c r="C31" t="str">
        <f ca="1">IFERROR(__xludf.DUMMYFUNCTION("""COMPUTED_VALUE"""),"Matt Every")</f>
        <v>Matt Every</v>
      </c>
      <c r="D31">
        <f ca="1">IFERROR(__xludf.DUMMYFUNCTION("""COMPUTED_VALUE"""),8)</f>
        <v>8</v>
      </c>
      <c r="E31" t="str">
        <f ca="1">IFERROR(__xludf.DUMMYFUNCTION("""COMPUTED_VALUE"""),"38' 4""")</f>
        <v>38' 4"</v>
      </c>
      <c r="F31" s="1">
        <f ca="1">IFERROR(__xludf.DUMMYFUNCTION("""COMPUTED_VALUE"""),8748)</f>
        <v>8748</v>
      </c>
      <c r="G31">
        <f ca="1">IFERROR(__xludf.DUMMYFUNCTION("""COMPUTED_VALUE"""),19)</f>
        <v>19</v>
      </c>
      <c r="H31">
        <f ca="1">IFERROR(__xludf.DUMMYFUNCTION("""COMPUTED_VALUE"""),729)</f>
        <v>729</v>
      </c>
      <c r="I31" t="str">
        <f ca="1">IFERROR(__xludf.DUMMYFUNCTION("""COMPUTED_VALUE"""),"+4.00")</f>
        <v>+4.00</v>
      </c>
    </row>
    <row r="32" spans="1:9" ht="12.75">
      <c r="A32">
        <f ca="1">IFERROR(__xludf.DUMMYFUNCTION("""COMPUTED_VALUE"""),31)</f>
        <v>31</v>
      </c>
      <c r="B32" t="str">
        <f ca="1">IFERROR(__xludf.DUMMYFUNCTION("""COMPUTED_VALUE"""),"T46")</f>
        <v>T46</v>
      </c>
      <c r="C32" t="str">
        <f ca="1">IFERROR(__xludf.DUMMYFUNCTION("""COMPUTED_VALUE"""),"J.J. Spaun")</f>
        <v>J.J. Spaun</v>
      </c>
      <c r="D32">
        <f ca="1">IFERROR(__xludf.DUMMYFUNCTION("""COMPUTED_VALUE"""),10)</f>
        <v>10</v>
      </c>
      <c r="E32" t="str">
        <f ca="1">IFERROR(__xludf.DUMMYFUNCTION("""COMPUTED_VALUE"""),"38' 9""")</f>
        <v>38' 9"</v>
      </c>
      <c r="F32" s="1">
        <f ca="1">IFERROR(__xludf.DUMMYFUNCTION("""COMPUTED_VALUE"""),8834)</f>
        <v>8834</v>
      </c>
      <c r="G32">
        <f ca="1">IFERROR(__xludf.DUMMYFUNCTION("""COMPUTED_VALUE"""),19)</f>
        <v>19</v>
      </c>
      <c r="H32">
        <f ca="1">IFERROR(__xludf.DUMMYFUNCTION("""COMPUTED_VALUE"""),736.167)</f>
        <v>736.16700000000003</v>
      </c>
      <c r="I32">
        <f ca="1">IFERROR(__xludf.DUMMYFUNCTION("""COMPUTED_VALUE"""),-4)</f>
        <v>-4</v>
      </c>
    </row>
    <row r="33" spans="1:9" ht="12.75">
      <c r="A33">
        <f ca="1">IFERROR(__xludf.DUMMYFUNCTION("""COMPUTED_VALUE"""),32)</f>
        <v>32</v>
      </c>
      <c r="B33">
        <f ca="1">IFERROR(__xludf.DUMMYFUNCTION("""COMPUTED_VALUE"""),20)</f>
        <v>20</v>
      </c>
      <c r="C33" t="str">
        <f ca="1">IFERROR(__xludf.DUMMYFUNCTION("""COMPUTED_VALUE"""),"Charl Schwartzel")</f>
        <v>Charl Schwartzel</v>
      </c>
      <c r="D33">
        <f ca="1">IFERROR(__xludf.DUMMYFUNCTION("""COMPUTED_VALUE"""),12)</f>
        <v>12</v>
      </c>
      <c r="E33" t="str">
        <f ca="1">IFERROR(__xludf.DUMMYFUNCTION("""COMPUTED_VALUE"""),"38' 11""")</f>
        <v>38' 11"</v>
      </c>
      <c r="F33" s="1">
        <f ca="1">IFERROR(__xludf.DUMMYFUNCTION("""COMPUTED_VALUE"""),24729)</f>
        <v>24729</v>
      </c>
      <c r="G33">
        <f ca="1">IFERROR(__xludf.DUMMYFUNCTION("""COMPUTED_VALUE"""),53)</f>
        <v>53</v>
      </c>
      <c r="H33" s="2">
        <f ca="1">IFERROR(__xludf.DUMMYFUNCTION("""COMPUTED_VALUE"""),2060.75)</f>
        <v>2060.75</v>
      </c>
      <c r="I33" t="str">
        <f ca="1">IFERROR(__xludf.DUMMYFUNCTION("""COMPUTED_VALUE"""),"+1.00")</f>
        <v>+1.00</v>
      </c>
    </row>
    <row r="34" spans="1:9" ht="12.75">
      <c r="A34">
        <f ca="1">IFERROR(__xludf.DUMMYFUNCTION("""COMPUTED_VALUE"""),33)</f>
        <v>33</v>
      </c>
      <c r="B34" t="str">
        <f ca="1">IFERROR(__xludf.DUMMYFUNCTION("""COMPUTED_VALUE"""),"T49")</f>
        <v>T49</v>
      </c>
      <c r="C34" t="str">
        <f ca="1">IFERROR(__xludf.DUMMYFUNCTION("""COMPUTED_VALUE"""),"K.J. Choi")</f>
        <v>K.J. Choi</v>
      </c>
      <c r="D34">
        <f ca="1">IFERROR(__xludf.DUMMYFUNCTION("""COMPUTED_VALUE"""),6)</f>
        <v>6</v>
      </c>
      <c r="E34" t="str">
        <f ca="1">IFERROR(__xludf.DUMMYFUNCTION("""COMPUTED_VALUE"""),"39' 0""")</f>
        <v>39' 0"</v>
      </c>
      <c r="F34" s="1">
        <f ca="1">IFERROR(__xludf.DUMMYFUNCTION("""COMPUTED_VALUE"""),9353)</f>
        <v>9353</v>
      </c>
      <c r="G34">
        <f ca="1">IFERROR(__xludf.DUMMYFUNCTION("""COMPUTED_VALUE"""),20)</f>
        <v>20</v>
      </c>
      <c r="H34">
        <f ca="1">IFERROR(__xludf.DUMMYFUNCTION("""COMPUTED_VALUE"""),779.417)</f>
        <v>779.41700000000003</v>
      </c>
      <c r="I34" t="str">
        <f ca="1">IFERROR(__xludf.DUMMYFUNCTION("""COMPUTED_VALUE"""),"+4.00")</f>
        <v>+4.00</v>
      </c>
    </row>
    <row r="35" spans="1:9" ht="12.75">
      <c r="A35" t="str">
        <f ca="1">IFERROR(__xludf.DUMMYFUNCTION("""COMPUTED_VALUE"""),"T34")</f>
        <v>T34</v>
      </c>
      <c r="B35" t="str">
        <f ca="1">IFERROR(__xludf.DUMMYFUNCTION("""COMPUTED_VALUE"""),"T52")</f>
        <v>T52</v>
      </c>
      <c r="C35" t="str">
        <f ca="1">IFERROR(__xludf.DUMMYFUNCTION("""COMPUTED_VALUE"""),"Jim Furyk")</f>
        <v>Jim Furyk</v>
      </c>
      <c r="D35">
        <f ca="1">IFERROR(__xludf.DUMMYFUNCTION("""COMPUTED_VALUE"""),4)</f>
        <v>4</v>
      </c>
      <c r="E35" t="str">
        <f ca="1">IFERROR(__xludf.DUMMYFUNCTION("""COMPUTED_VALUE"""),"39' 4""")</f>
        <v>39' 4"</v>
      </c>
      <c r="F35" s="1">
        <f ca="1">IFERROR(__xludf.DUMMYFUNCTION("""COMPUTED_VALUE"""),4244)</f>
        <v>4244</v>
      </c>
      <c r="G35">
        <f ca="1">IFERROR(__xludf.DUMMYFUNCTION("""COMPUTED_VALUE"""),9)</f>
        <v>9</v>
      </c>
      <c r="H35">
        <f ca="1">IFERROR(__xludf.DUMMYFUNCTION("""COMPUTED_VALUE"""),353.667)</f>
        <v>353.66699999999997</v>
      </c>
      <c r="I35" t="str">
        <f ca="1">IFERROR(__xludf.DUMMYFUNCTION("""COMPUTED_VALUE"""),"+1.00")</f>
        <v>+1.00</v>
      </c>
    </row>
    <row r="36" spans="1:9" ht="12.75">
      <c r="A36" t="str">
        <f ca="1">IFERROR(__xludf.DUMMYFUNCTION("""COMPUTED_VALUE"""),"T34")</f>
        <v>T34</v>
      </c>
      <c r="B36">
        <f ca="1">IFERROR(__xludf.DUMMYFUNCTION("""COMPUTED_VALUE"""),4)</f>
        <v>4</v>
      </c>
      <c r="C36" t="str">
        <f ca="1">IFERROR(__xludf.DUMMYFUNCTION("""COMPUTED_VALUE"""),"Sam Ryder")</f>
        <v>Sam Ryder</v>
      </c>
      <c r="D36">
        <f ca="1">IFERROR(__xludf.DUMMYFUNCTION("""COMPUTED_VALUE"""),12)</f>
        <v>12</v>
      </c>
      <c r="E36" t="str">
        <f ca="1">IFERROR(__xludf.DUMMYFUNCTION("""COMPUTED_VALUE"""),"39' 4""")</f>
        <v>39' 4"</v>
      </c>
      <c r="F36" s="1">
        <f ca="1">IFERROR(__xludf.DUMMYFUNCTION("""COMPUTED_VALUE"""),15109)</f>
        <v>15109</v>
      </c>
      <c r="G36">
        <f ca="1">IFERROR(__xludf.DUMMYFUNCTION("""COMPUTED_VALUE"""),32)</f>
        <v>32</v>
      </c>
      <c r="H36" s="2">
        <f ca="1">IFERROR(__xludf.DUMMYFUNCTION("""COMPUTED_VALUE"""),1259.083)</f>
        <v>1259.0830000000001</v>
      </c>
      <c r="I36" t="str">
        <f ca="1">IFERROR(__xludf.DUMMYFUNCTION("""COMPUTED_VALUE"""),"E")</f>
        <v>E</v>
      </c>
    </row>
    <row r="37" spans="1:9" ht="12.75">
      <c r="A37" t="str">
        <f ca="1">IFERROR(__xludf.DUMMYFUNCTION("""COMPUTED_VALUE"""),"T34")</f>
        <v>T34</v>
      </c>
      <c r="B37" t="str">
        <f ca="1">IFERROR(__xludf.DUMMYFUNCTION("""COMPUTED_VALUE"""),"T52")</f>
        <v>T52</v>
      </c>
      <c r="C37" t="str">
        <f ca="1">IFERROR(__xludf.DUMMYFUNCTION("""COMPUTED_VALUE"""),"Bryson DeChambeau")</f>
        <v>Bryson DeChambeau</v>
      </c>
      <c r="D37">
        <f ca="1">IFERROR(__xludf.DUMMYFUNCTION("""COMPUTED_VALUE"""),8)</f>
        <v>8</v>
      </c>
      <c r="E37" t="str">
        <f ca="1">IFERROR(__xludf.DUMMYFUNCTION("""COMPUTED_VALUE"""),"39' 4""")</f>
        <v>39' 4"</v>
      </c>
      <c r="F37" s="1">
        <f ca="1">IFERROR(__xludf.DUMMYFUNCTION("""COMPUTED_VALUE"""),14165)</f>
        <v>14165</v>
      </c>
      <c r="G37">
        <f ca="1">IFERROR(__xludf.DUMMYFUNCTION("""COMPUTED_VALUE"""),30)</f>
        <v>30</v>
      </c>
      <c r="H37" s="2">
        <f ca="1">IFERROR(__xludf.DUMMYFUNCTION("""COMPUTED_VALUE"""),1180.417)</f>
        <v>1180.4169999999999</v>
      </c>
      <c r="I37">
        <f ca="1">IFERROR(__xludf.DUMMYFUNCTION("""COMPUTED_VALUE"""),-4)</f>
        <v>-4</v>
      </c>
    </row>
    <row r="38" spans="1:9" ht="12.75">
      <c r="A38">
        <f ca="1">IFERROR(__xludf.DUMMYFUNCTION("""COMPUTED_VALUE"""),37)</f>
        <v>37</v>
      </c>
      <c r="B38" t="str">
        <f ca="1">IFERROR(__xludf.DUMMYFUNCTION("""COMPUTED_VALUE"""),"T68")</f>
        <v>T68</v>
      </c>
      <c r="C38" t="str">
        <f ca="1">IFERROR(__xludf.DUMMYFUNCTION("""COMPUTED_VALUE"""),"Vaughn Taylor")</f>
        <v>Vaughn Taylor</v>
      </c>
      <c r="D38">
        <f ca="1">IFERROR(__xludf.DUMMYFUNCTION("""COMPUTED_VALUE"""),12)</f>
        <v>12</v>
      </c>
      <c r="E38" t="str">
        <f ca="1">IFERROR(__xludf.DUMMYFUNCTION("""COMPUTED_VALUE"""),"39' 5""")</f>
        <v>39' 5"</v>
      </c>
      <c r="F38" s="1">
        <f ca="1">IFERROR(__xludf.DUMMYFUNCTION("""COMPUTED_VALUE"""),7102)</f>
        <v>7102</v>
      </c>
      <c r="G38">
        <f ca="1">IFERROR(__xludf.DUMMYFUNCTION("""COMPUTED_VALUE"""),15)</f>
        <v>15</v>
      </c>
      <c r="H38">
        <f ca="1">IFERROR(__xludf.DUMMYFUNCTION("""COMPUTED_VALUE"""),591.833)</f>
        <v>591.83299999999997</v>
      </c>
      <c r="I38" t="str">
        <f ca="1">IFERROR(__xludf.DUMMYFUNCTION("""COMPUTED_VALUE"""),"+4.00")</f>
        <v>+4.00</v>
      </c>
    </row>
    <row r="39" spans="1:9" ht="12.75">
      <c r="A39">
        <f ca="1">IFERROR(__xludf.DUMMYFUNCTION("""COMPUTED_VALUE"""),38)</f>
        <v>38</v>
      </c>
      <c r="B39" t="str">
        <f ca="1">IFERROR(__xludf.DUMMYFUNCTION("""COMPUTED_VALUE"""),"T35")</f>
        <v>T35</v>
      </c>
      <c r="C39" t="str">
        <f ca="1">IFERROR(__xludf.DUMMYFUNCTION("""COMPUTED_VALUE"""),"Emiliano Grillo")</f>
        <v>Emiliano Grillo</v>
      </c>
      <c r="D39">
        <f ca="1">IFERROR(__xludf.DUMMYFUNCTION("""COMPUTED_VALUE"""),22)</f>
        <v>22</v>
      </c>
      <c r="E39" t="str">
        <f ca="1">IFERROR(__xludf.DUMMYFUNCTION("""COMPUTED_VALUE"""),"39' 7""")</f>
        <v>39' 7"</v>
      </c>
      <c r="F39" s="1">
        <f ca="1">IFERROR(__xludf.DUMMYFUNCTION("""COMPUTED_VALUE"""),26578)</f>
        <v>26578</v>
      </c>
      <c r="G39">
        <f ca="1">IFERROR(__xludf.DUMMYFUNCTION("""COMPUTED_VALUE"""),56)</f>
        <v>56</v>
      </c>
      <c r="H39" s="2">
        <f ca="1">IFERROR(__xludf.DUMMYFUNCTION("""COMPUTED_VALUE"""),2214.833)</f>
        <v>2214.8330000000001</v>
      </c>
      <c r="I39">
        <f ca="1">IFERROR(__xludf.DUMMYFUNCTION("""COMPUTED_VALUE"""),-3)</f>
        <v>-3</v>
      </c>
    </row>
    <row r="40" spans="1:9" ht="12.75">
      <c r="A40">
        <f ca="1">IFERROR(__xludf.DUMMYFUNCTION("""COMPUTED_VALUE"""),39)</f>
        <v>39</v>
      </c>
      <c r="B40">
        <f ca="1">IFERROR(__xludf.DUMMYFUNCTION("""COMPUTED_VALUE"""),58)</f>
        <v>58</v>
      </c>
      <c r="C40" t="str">
        <f ca="1">IFERROR(__xludf.DUMMYFUNCTION("""COMPUTED_VALUE"""),"Naoki Sekito")</f>
        <v>Naoki Sekito</v>
      </c>
      <c r="D40">
        <f ca="1">IFERROR(__xludf.DUMMYFUNCTION("""COMPUTED_VALUE"""),4)</f>
        <v>4</v>
      </c>
      <c r="E40" t="str">
        <f ca="1">IFERROR(__xludf.DUMMYFUNCTION("""COMPUTED_VALUE"""),"39' 10""")</f>
        <v>39' 10"</v>
      </c>
      <c r="F40">
        <f ca="1">IFERROR(__xludf.DUMMYFUNCTION("""COMPUTED_VALUE"""),956)</f>
        <v>956</v>
      </c>
      <c r="G40">
        <f ca="1">IFERROR(__xludf.DUMMYFUNCTION("""COMPUTED_VALUE"""),2)</f>
        <v>2</v>
      </c>
      <c r="H40">
        <f ca="1">IFERROR(__xludf.DUMMYFUNCTION("""COMPUTED_VALUE"""),79.667)</f>
        <v>79.667000000000002</v>
      </c>
      <c r="I40" t="str">
        <f ca="1">IFERROR(__xludf.DUMMYFUNCTION("""COMPUTED_VALUE"""),"+1.00")</f>
        <v>+1.00</v>
      </c>
    </row>
    <row r="41" spans="1:9" ht="12.75">
      <c r="A41" t="str">
        <f ca="1">IFERROR(__xludf.DUMMYFUNCTION("""COMPUTED_VALUE"""),"T40")</f>
        <v>T40</v>
      </c>
      <c r="B41">
        <f ca="1">IFERROR(__xludf.DUMMYFUNCTION("""COMPUTED_VALUE"""),59)</f>
        <v>59</v>
      </c>
      <c r="C41" t="str">
        <f ca="1">IFERROR(__xludf.DUMMYFUNCTION("""COMPUTED_VALUE"""),"Gunn Charoenkul")</f>
        <v>Gunn Charoenkul</v>
      </c>
      <c r="D41">
        <f ca="1">IFERROR(__xludf.DUMMYFUNCTION("""COMPUTED_VALUE"""),4)</f>
        <v>4</v>
      </c>
      <c r="E41" t="str">
        <f ca="1">IFERROR(__xludf.DUMMYFUNCTION("""COMPUTED_VALUE"""),"39' 11""")</f>
        <v>39' 11"</v>
      </c>
      <c r="F41">
        <f ca="1">IFERROR(__xludf.DUMMYFUNCTION("""COMPUTED_VALUE"""),957)</f>
        <v>957</v>
      </c>
      <c r="G41">
        <f ca="1">IFERROR(__xludf.DUMMYFUNCTION("""COMPUTED_VALUE"""),2)</f>
        <v>2</v>
      </c>
      <c r="H41">
        <f ca="1">IFERROR(__xludf.DUMMYFUNCTION("""COMPUTED_VALUE"""),79.75)</f>
        <v>79.75</v>
      </c>
      <c r="I41" t="str">
        <f ca="1">IFERROR(__xludf.DUMMYFUNCTION("""COMPUTED_VALUE"""),"E")</f>
        <v>E</v>
      </c>
    </row>
    <row r="42" spans="1:9" ht="12.75">
      <c r="A42" t="str">
        <f ca="1">IFERROR(__xludf.DUMMYFUNCTION("""COMPUTED_VALUE"""),"T40")</f>
        <v>T40</v>
      </c>
      <c r="B42">
        <f ca="1">IFERROR(__xludf.DUMMYFUNCTION("""COMPUTED_VALUE"""),3)</f>
        <v>3</v>
      </c>
      <c r="C42" t="str">
        <f ca="1">IFERROR(__xludf.DUMMYFUNCTION("""COMPUTED_VALUE"""),"Chris Kirk")</f>
        <v>Chris Kirk</v>
      </c>
      <c r="D42">
        <f ca="1">IFERROR(__xludf.DUMMYFUNCTION("""COMPUTED_VALUE"""),10)</f>
        <v>10</v>
      </c>
      <c r="E42" t="str">
        <f ca="1">IFERROR(__xludf.DUMMYFUNCTION("""COMPUTED_VALUE"""),"39' 11""")</f>
        <v>39' 11"</v>
      </c>
      <c r="F42" s="1">
        <f ca="1">IFERROR(__xludf.DUMMYFUNCTION("""COMPUTED_VALUE"""),17255)</f>
        <v>17255</v>
      </c>
      <c r="G42">
        <f ca="1">IFERROR(__xludf.DUMMYFUNCTION("""COMPUTED_VALUE"""),36)</f>
        <v>36</v>
      </c>
      <c r="H42" s="2">
        <f ca="1">IFERROR(__xludf.DUMMYFUNCTION("""COMPUTED_VALUE"""),1437.917)</f>
        <v>1437.9169999999999</v>
      </c>
      <c r="I42" t="str">
        <f ca="1">IFERROR(__xludf.DUMMYFUNCTION("""COMPUTED_VALUE"""),"+4.00")</f>
        <v>+4.00</v>
      </c>
    </row>
    <row r="43" spans="1:9" ht="12.75">
      <c r="A43" t="str">
        <f ca="1">IFERROR(__xludf.DUMMYFUNCTION("""COMPUTED_VALUE"""),"T42")</f>
        <v>T42</v>
      </c>
      <c r="B43" t="str">
        <f ca="1">IFERROR(__xludf.DUMMYFUNCTION("""COMPUTED_VALUE"""),"T42")</f>
        <v>T42</v>
      </c>
      <c r="C43" t="str">
        <f ca="1">IFERROR(__xludf.DUMMYFUNCTION("""COMPUTED_VALUE"""),"Kevin Tway")</f>
        <v>Kevin Tway</v>
      </c>
      <c r="D43">
        <f ca="1">IFERROR(__xludf.DUMMYFUNCTION("""COMPUTED_VALUE"""),16)</f>
        <v>16</v>
      </c>
      <c r="E43" t="str">
        <f ca="1">IFERROR(__xludf.DUMMYFUNCTION("""COMPUTED_VALUE"""),"40' 1""")</f>
        <v>40' 1"</v>
      </c>
      <c r="F43" s="1">
        <f ca="1">IFERROR(__xludf.DUMMYFUNCTION("""COMPUTED_VALUE"""),17815)</f>
        <v>17815</v>
      </c>
      <c r="G43">
        <f ca="1">IFERROR(__xludf.DUMMYFUNCTION("""COMPUTED_VALUE"""),37)</f>
        <v>37</v>
      </c>
      <c r="H43" s="2">
        <f ca="1">IFERROR(__xludf.DUMMYFUNCTION("""COMPUTED_VALUE"""),1484.583)</f>
        <v>1484.5830000000001</v>
      </c>
      <c r="I43">
        <f ca="1">IFERROR(__xludf.DUMMYFUNCTION("""COMPUTED_VALUE"""),-2)</f>
        <v>-2</v>
      </c>
    </row>
    <row r="44" spans="1:9" ht="12.75">
      <c r="A44" t="str">
        <f ca="1">IFERROR(__xludf.DUMMYFUNCTION("""COMPUTED_VALUE"""),"T42")</f>
        <v>T42</v>
      </c>
      <c r="B44">
        <f ca="1">IFERROR(__xludf.DUMMYFUNCTION("""COMPUTED_VALUE"""),60)</f>
        <v>60</v>
      </c>
      <c r="C44" t="str">
        <f ca="1">IFERROR(__xludf.DUMMYFUNCTION("""COMPUTED_VALUE"""),"Peter Uihlein")</f>
        <v>Peter Uihlein</v>
      </c>
      <c r="D44">
        <f ca="1">IFERROR(__xludf.DUMMYFUNCTION("""COMPUTED_VALUE"""),8)</f>
        <v>8</v>
      </c>
      <c r="E44" t="str">
        <f ca="1">IFERROR(__xludf.DUMMYFUNCTION("""COMPUTED_VALUE"""),"40' 1""")</f>
        <v>40' 1"</v>
      </c>
      <c r="F44" s="1">
        <f ca="1">IFERROR(__xludf.DUMMYFUNCTION("""COMPUTED_VALUE"""),6730)</f>
        <v>6730</v>
      </c>
      <c r="G44">
        <f ca="1">IFERROR(__xludf.DUMMYFUNCTION("""COMPUTED_VALUE"""),14)</f>
        <v>14</v>
      </c>
      <c r="H44">
        <f ca="1">IFERROR(__xludf.DUMMYFUNCTION("""COMPUTED_VALUE"""),560.833)</f>
        <v>560.83299999999997</v>
      </c>
      <c r="I44">
        <f ca="1">IFERROR(__xludf.DUMMYFUNCTION("""COMPUTED_VALUE"""),-2)</f>
        <v>-2</v>
      </c>
    </row>
    <row r="45" spans="1:9" ht="12.75">
      <c r="A45">
        <f ca="1">IFERROR(__xludf.DUMMYFUNCTION("""COMPUTED_VALUE"""),44)</f>
        <v>44</v>
      </c>
      <c r="B45">
        <f ca="1">IFERROR(__xludf.DUMMYFUNCTION("""COMPUTED_VALUE"""),41)</f>
        <v>41</v>
      </c>
      <c r="C45" t="str">
        <f ca="1">IFERROR(__xludf.DUMMYFUNCTION("""COMPUTED_VALUE"""),"Jamie Lovemark")</f>
        <v>Jamie Lovemark</v>
      </c>
      <c r="D45">
        <f ca="1">IFERROR(__xludf.DUMMYFUNCTION("""COMPUTED_VALUE"""),18)</f>
        <v>18</v>
      </c>
      <c r="E45" t="str">
        <f ca="1">IFERROR(__xludf.DUMMYFUNCTION("""COMPUTED_VALUE"""),"40' 2""")</f>
        <v>40' 2"</v>
      </c>
      <c r="F45" s="1">
        <f ca="1">IFERROR(__xludf.DUMMYFUNCTION("""COMPUTED_VALUE"""),34708)</f>
        <v>34708</v>
      </c>
      <c r="G45">
        <f ca="1">IFERROR(__xludf.DUMMYFUNCTION("""COMPUTED_VALUE"""),72)</f>
        <v>72</v>
      </c>
      <c r="H45" s="2">
        <f ca="1">IFERROR(__xludf.DUMMYFUNCTION("""COMPUTED_VALUE"""),2892.333)</f>
        <v>2892.3330000000001</v>
      </c>
      <c r="I45">
        <f ca="1">IFERROR(__xludf.DUMMYFUNCTION("""COMPUTED_VALUE"""),-8)</f>
        <v>-8</v>
      </c>
    </row>
    <row r="46" spans="1:9" ht="12.75">
      <c r="A46">
        <f ca="1">IFERROR(__xludf.DUMMYFUNCTION("""COMPUTED_VALUE"""),45)</f>
        <v>45</v>
      </c>
      <c r="B46">
        <f ca="1">IFERROR(__xludf.DUMMYFUNCTION("""COMPUTED_VALUE"""),28)</f>
        <v>28</v>
      </c>
      <c r="C46" t="str">
        <f ca="1">IFERROR(__xludf.DUMMYFUNCTION("""COMPUTED_VALUE"""),"Scott Stallings")</f>
        <v>Scott Stallings</v>
      </c>
      <c r="D46">
        <f ca="1">IFERROR(__xludf.DUMMYFUNCTION("""COMPUTED_VALUE"""),14)</f>
        <v>14</v>
      </c>
      <c r="E46" t="str">
        <f ca="1">IFERROR(__xludf.DUMMYFUNCTION("""COMPUTED_VALUE"""),"40' 3""")</f>
        <v>40' 3"</v>
      </c>
      <c r="F46" s="1">
        <f ca="1">IFERROR(__xludf.DUMMYFUNCTION("""COMPUTED_VALUE"""),21751)</f>
        <v>21751</v>
      </c>
      <c r="G46">
        <f ca="1">IFERROR(__xludf.DUMMYFUNCTION("""COMPUTED_VALUE"""),45)</f>
        <v>45</v>
      </c>
      <c r="H46" s="2">
        <f ca="1">IFERROR(__xludf.DUMMYFUNCTION("""COMPUTED_VALUE"""),1812.583)</f>
        <v>1812.5830000000001</v>
      </c>
      <c r="I46" t="str">
        <f ca="1">IFERROR(__xludf.DUMMYFUNCTION("""COMPUTED_VALUE"""),"+2.00")</f>
        <v>+2.00</v>
      </c>
    </row>
    <row r="47" spans="1:9" ht="12.75">
      <c r="A47">
        <f ca="1">IFERROR(__xludf.DUMMYFUNCTION("""COMPUTED_VALUE"""),46)</f>
        <v>46</v>
      </c>
      <c r="B47">
        <f ca="1">IFERROR(__xludf.DUMMYFUNCTION("""COMPUTED_VALUE"""),54)</f>
        <v>54</v>
      </c>
      <c r="C47" t="str">
        <f ca="1">IFERROR(__xludf.DUMMYFUNCTION("""COMPUTED_VALUE"""),"Adam Schenk")</f>
        <v>Adam Schenk</v>
      </c>
      <c r="D47">
        <f ca="1">IFERROR(__xludf.DUMMYFUNCTION("""COMPUTED_VALUE"""),22)</f>
        <v>22</v>
      </c>
      <c r="E47" t="str">
        <f ca="1">IFERROR(__xludf.DUMMYFUNCTION("""COMPUTED_VALUE"""),"40' 4""")</f>
        <v>40' 4"</v>
      </c>
      <c r="F47" s="1">
        <f ca="1">IFERROR(__xludf.DUMMYFUNCTION("""COMPUTED_VALUE"""),28574)</f>
        <v>28574</v>
      </c>
      <c r="G47">
        <f ca="1">IFERROR(__xludf.DUMMYFUNCTION("""COMPUTED_VALUE"""),59)</f>
        <v>59</v>
      </c>
      <c r="H47" s="2">
        <f ca="1">IFERROR(__xludf.DUMMYFUNCTION("""COMPUTED_VALUE"""),2381.167)</f>
        <v>2381.1669999999999</v>
      </c>
      <c r="I47" t="str">
        <f ca="1">IFERROR(__xludf.DUMMYFUNCTION("""COMPUTED_VALUE"""),"+1.00")</f>
        <v>+1.00</v>
      </c>
    </row>
    <row r="48" spans="1:9" ht="12.75">
      <c r="A48" t="str">
        <f ca="1">IFERROR(__xludf.DUMMYFUNCTION("""COMPUTED_VALUE"""),"T47")</f>
        <v>T47</v>
      </c>
      <c r="B48">
        <f ca="1">IFERROR(__xludf.DUMMYFUNCTION("""COMPUTED_VALUE"""),61)</f>
        <v>61</v>
      </c>
      <c r="C48" t="str">
        <f ca="1">IFERROR(__xludf.DUMMYFUNCTION("""COMPUTED_VALUE"""),"Brandon Hagy")</f>
        <v>Brandon Hagy</v>
      </c>
      <c r="D48">
        <f ca="1">IFERROR(__xludf.DUMMYFUNCTION("""COMPUTED_VALUE"""),10)</f>
        <v>10</v>
      </c>
      <c r="E48" t="str">
        <f ca="1">IFERROR(__xludf.DUMMYFUNCTION("""COMPUTED_VALUE"""),"40' 5""")</f>
        <v>40' 5"</v>
      </c>
      <c r="F48" s="1">
        <f ca="1">IFERROR(__xludf.DUMMYFUNCTION("""COMPUTED_VALUE"""),16963)</f>
        <v>16963</v>
      </c>
      <c r="G48">
        <f ca="1">IFERROR(__xludf.DUMMYFUNCTION("""COMPUTED_VALUE"""),35)</f>
        <v>35</v>
      </c>
      <c r="H48" s="2">
        <f ca="1">IFERROR(__xludf.DUMMYFUNCTION("""COMPUTED_VALUE"""),1413.583)</f>
        <v>1413.5830000000001</v>
      </c>
      <c r="I48">
        <f ca="1">IFERROR(__xludf.DUMMYFUNCTION("""COMPUTED_VALUE"""),-4)</f>
        <v>-4</v>
      </c>
    </row>
    <row r="49" spans="1:9" ht="12.75">
      <c r="A49" t="str">
        <f ca="1">IFERROR(__xludf.DUMMYFUNCTION("""COMPUTED_VALUE"""),"T47")</f>
        <v>T47</v>
      </c>
      <c r="B49" t="str">
        <f ca="1">IFERROR(__xludf.DUMMYFUNCTION("""COMPUTED_VALUE"""),"T55")</f>
        <v>T55</v>
      </c>
      <c r="C49" t="str">
        <f ca="1">IFERROR(__xludf.DUMMYFUNCTION("""COMPUTED_VALUE"""),"Will Gordon")</f>
        <v>Will Gordon</v>
      </c>
      <c r="D49">
        <f ca="1">IFERROR(__xludf.DUMMYFUNCTION("""COMPUTED_VALUE"""),20)</f>
        <v>20</v>
      </c>
      <c r="E49" t="str">
        <f ca="1">IFERROR(__xludf.DUMMYFUNCTION("""COMPUTED_VALUE"""),"40' 5""")</f>
        <v>40' 5"</v>
      </c>
      <c r="F49" s="1">
        <f ca="1">IFERROR(__xludf.DUMMYFUNCTION("""COMPUTED_VALUE"""),27663)</f>
        <v>27663</v>
      </c>
      <c r="G49">
        <f ca="1">IFERROR(__xludf.DUMMYFUNCTION("""COMPUTED_VALUE"""),57)</f>
        <v>57</v>
      </c>
      <c r="H49" s="2">
        <f ca="1">IFERROR(__xludf.DUMMYFUNCTION("""COMPUTED_VALUE"""),2305.25)</f>
        <v>2305.25</v>
      </c>
      <c r="I49" t="str">
        <f ca="1">IFERROR(__xludf.DUMMYFUNCTION("""COMPUTED_VALUE"""),"+7.00")</f>
        <v>+7.00</v>
      </c>
    </row>
    <row r="50" spans="1:9" ht="12.75">
      <c r="A50">
        <f ca="1">IFERROR(__xludf.DUMMYFUNCTION("""COMPUTED_VALUE"""),49)</f>
        <v>49</v>
      </c>
      <c r="B50">
        <f ca="1">IFERROR(__xludf.DUMMYFUNCTION("""COMPUTED_VALUE"""),62)</f>
        <v>62</v>
      </c>
      <c r="C50" t="str">
        <f ca="1">IFERROR(__xludf.DUMMYFUNCTION("""COMPUTED_VALUE"""),"Chez Reavie")</f>
        <v>Chez Reavie</v>
      </c>
      <c r="D50">
        <f ca="1">IFERROR(__xludf.DUMMYFUNCTION("""COMPUTED_VALUE"""),14)</f>
        <v>14</v>
      </c>
      <c r="E50" t="str">
        <f ca="1">IFERROR(__xludf.DUMMYFUNCTION("""COMPUTED_VALUE"""),"40' 7""")</f>
        <v>40' 7"</v>
      </c>
      <c r="F50" s="1">
        <f ca="1">IFERROR(__xludf.DUMMYFUNCTION("""COMPUTED_VALUE"""),18495)</f>
        <v>18495</v>
      </c>
      <c r="G50">
        <f ca="1">IFERROR(__xludf.DUMMYFUNCTION("""COMPUTED_VALUE"""),38)</f>
        <v>38</v>
      </c>
      <c r="H50" s="2">
        <f ca="1">IFERROR(__xludf.DUMMYFUNCTION("""COMPUTED_VALUE"""),1541.25)</f>
        <v>1541.25</v>
      </c>
      <c r="I50" t="str">
        <f ca="1">IFERROR(__xludf.DUMMYFUNCTION("""COMPUTED_VALUE"""),"+10.00")</f>
        <v>+10.00</v>
      </c>
    </row>
    <row r="51" spans="1:9" ht="12.75">
      <c r="A51" t="str">
        <f ca="1">IFERROR(__xludf.DUMMYFUNCTION("""COMPUTED_VALUE"""),"T50")</f>
        <v>T50</v>
      </c>
      <c r="B51">
        <f ca="1">IFERROR(__xludf.DUMMYFUNCTION("""COMPUTED_VALUE"""),25)</f>
        <v>25</v>
      </c>
      <c r="C51" t="str">
        <f ca="1">IFERROR(__xludf.DUMMYFUNCTION("""COMPUTED_VALUE"""),"Kevin Streelman")</f>
        <v>Kevin Streelman</v>
      </c>
      <c r="D51">
        <f ca="1">IFERROR(__xludf.DUMMYFUNCTION("""COMPUTED_VALUE"""),18)</f>
        <v>18</v>
      </c>
      <c r="E51" t="str">
        <f ca="1">IFERROR(__xludf.DUMMYFUNCTION("""COMPUTED_VALUE"""),"40' 9""")</f>
        <v>40' 9"</v>
      </c>
      <c r="F51" s="1">
        <f ca="1">IFERROR(__xludf.DUMMYFUNCTION("""COMPUTED_VALUE"""),30296)</f>
        <v>30296</v>
      </c>
      <c r="G51">
        <f ca="1">IFERROR(__xludf.DUMMYFUNCTION("""COMPUTED_VALUE"""),62)</f>
        <v>62</v>
      </c>
      <c r="H51" s="2">
        <f ca="1">IFERROR(__xludf.DUMMYFUNCTION("""COMPUTED_VALUE"""),2524.667)</f>
        <v>2524.6669999999999</v>
      </c>
      <c r="I51" t="str">
        <f ca="1">IFERROR(__xludf.DUMMYFUNCTION("""COMPUTED_VALUE"""),"+2.00")</f>
        <v>+2.00</v>
      </c>
    </row>
    <row r="52" spans="1:9" ht="12.75">
      <c r="A52" t="str">
        <f ca="1">IFERROR(__xludf.DUMMYFUNCTION("""COMPUTED_VALUE"""),"T50")</f>
        <v>T50</v>
      </c>
      <c r="B52" t="str">
        <f ca="1">IFERROR(__xludf.DUMMYFUNCTION("""COMPUTED_VALUE"""),"T63")</f>
        <v>T63</v>
      </c>
      <c r="C52" t="str">
        <f ca="1">IFERROR(__xludf.DUMMYFUNCTION("""COMPUTED_VALUE"""),"J.B. Holmes")</f>
        <v>J.B. Holmes</v>
      </c>
      <c r="D52">
        <f ca="1">IFERROR(__xludf.DUMMYFUNCTION("""COMPUTED_VALUE"""),10)</f>
        <v>10</v>
      </c>
      <c r="E52" t="str">
        <f ca="1">IFERROR(__xludf.DUMMYFUNCTION("""COMPUTED_VALUE"""),"40' 9""")</f>
        <v>40' 9"</v>
      </c>
      <c r="F52" s="1">
        <f ca="1">IFERROR(__xludf.DUMMYFUNCTION("""COMPUTED_VALUE"""),27898)</f>
        <v>27898</v>
      </c>
      <c r="G52">
        <f ca="1">IFERROR(__xludf.DUMMYFUNCTION("""COMPUTED_VALUE"""),57)</f>
        <v>57</v>
      </c>
      <c r="H52" s="2">
        <f ca="1">IFERROR(__xludf.DUMMYFUNCTION("""COMPUTED_VALUE"""),2324.833)</f>
        <v>2324.8330000000001</v>
      </c>
      <c r="I52">
        <f ca="1">IFERROR(__xludf.DUMMYFUNCTION("""COMPUTED_VALUE"""),-8)</f>
        <v>-8</v>
      </c>
    </row>
    <row r="53" spans="1:9" ht="12.75">
      <c r="A53" t="str">
        <f ca="1">IFERROR(__xludf.DUMMYFUNCTION("""COMPUTED_VALUE"""),"T50")</f>
        <v>T50</v>
      </c>
      <c r="B53" t="str">
        <f ca="1">IFERROR(__xludf.DUMMYFUNCTION("""COMPUTED_VALUE"""),"T119")</f>
        <v>T119</v>
      </c>
      <c r="C53" t="str">
        <f ca="1">IFERROR(__xludf.DUMMYFUNCTION("""COMPUTED_VALUE"""),"Ryan Armour")</f>
        <v>Ryan Armour</v>
      </c>
      <c r="D53">
        <f ca="1">IFERROR(__xludf.DUMMYFUNCTION("""COMPUTED_VALUE"""),16)</f>
        <v>16</v>
      </c>
      <c r="E53" t="str">
        <f ca="1">IFERROR(__xludf.DUMMYFUNCTION("""COMPUTED_VALUE"""),"40' 9""")</f>
        <v>40' 9"</v>
      </c>
      <c r="F53" s="1">
        <f ca="1">IFERROR(__xludf.DUMMYFUNCTION("""COMPUTED_VALUE"""),14177)</f>
        <v>14177</v>
      </c>
      <c r="G53">
        <f ca="1">IFERROR(__xludf.DUMMYFUNCTION("""COMPUTED_VALUE"""),29)</f>
        <v>29</v>
      </c>
      <c r="H53" s="2">
        <f ca="1">IFERROR(__xludf.DUMMYFUNCTION("""COMPUTED_VALUE"""),1181.417)</f>
        <v>1181.4169999999999</v>
      </c>
      <c r="I53" t="str">
        <f ca="1">IFERROR(__xludf.DUMMYFUNCTION("""COMPUTED_VALUE"""),"+5.00")</f>
        <v>+5.00</v>
      </c>
    </row>
    <row r="54" spans="1:9" ht="12.75">
      <c r="A54" t="str">
        <f ca="1">IFERROR(__xludf.DUMMYFUNCTION("""COMPUTED_VALUE"""),"T50")</f>
        <v>T50</v>
      </c>
      <c r="B54" t="str">
        <f ca="1">IFERROR(__xludf.DUMMYFUNCTION("""COMPUTED_VALUE"""),"T63")</f>
        <v>T63</v>
      </c>
      <c r="C54" t="str">
        <f ca="1">IFERROR(__xludf.DUMMYFUNCTION("""COMPUTED_VALUE"""),"Rob Oppenheim")</f>
        <v>Rob Oppenheim</v>
      </c>
      <c r="D54">
        <f ca="1">IFERROR(__xludf.DUMMYFUNCTION("""COMPUTED_VALUE"""),16)</f>
        <v>16</v>
      </c>
      <c r="E54" t="str">
        <f ca="1">IFERROR(__xludf.DUMMYFUNCTION("""COMPUTED_VALUE"""),"40' 9""")</f>
        <v>40' 9"</v>
      </c>
      <c r="F54" s="1">
        <f ca="1">IFERROR(__xludf.DUMMYFUNCTION("""COMPUTED_VALUE"""),17098)</f>
        <v>17098</v>
      </c>
      <c r="G54">
        <f ca="1">IFERROR(__xludf.DUMMYFUNCTION("""COMPUTED_VALUE"""),35)</f>
        <v>35</v>
      </c>
      <c r="H54" s="2">
        <f ca="1">IFERROR(__xludf.DUMMYFUNCTION("""COMPUTED_VALUE"""),1424.833)</f>
        <v>1424.8330000000001</v>
      </c>
      <c r="I54">
        <f ca="1">IFERROR(__xludf.DUMMYFUNCTION("""COMPUTED_VALUE"""),-1)</f>
        <v>-1</v>
      </c>
    </row>
    <row r="55" spans="1:9" ht="12.75">
      <c r="A55" t="str">
        <f ca="1">IFERROR(__xludf.DUMMYFUNCTION("""COMPUTED_VALUE"""),"T50")</f>
        <v>T50</v>
      </c>
      <c r="B55" t="str">
        <f ca="1">IFERROR(__xludf.DUMMYFUNCTION("""COMPUTED_VALUE"""),"T63")</f>
        <v>T63</v>
      </c>
      <c r="C55" t="str">
        <f ca="1">IFERROR(__xludf.DUMMYFUNCTION("""COMPUTED_VALUE"""),"Vincent Whaley")</f>
        <v>Vincent Whaley</v>
      </c>
      <c r="D55">
        <f ca="1">IFERROR(__xludf.DUMMYFUNCTION("""COMPUTED_VALUE"""),14)</f>
        <v>14</v>
      </c>
      <c r="E55" t="str">
        <f ca="1">IFERROR(__xludf.DUMMYFUNCTION("""COMPUTED_VALUE"""),"40' 9""")</f>
        <v>40' 9"</v>
      </c>
      <c r="F55" s="1">
        <f ca="1">IFERROR(__xludf.DUMMYFUNCTION("""COMPUTED_VALUE"""),19571)</f>
        <v>19571</v>
      </c>
      <c r="G55">
        <f ca="1">IFERROR(__xludf.DUMMYFUNCTION("""COMPUTED_VALUE"""),40)</f>
        <v>40</v>
      </c>
      <c r="H55" s="2">
        <f ca="1">IFERROR(__xludf.DUMMYFUNCTION("""COMPUTED_VALUE"""),1630.917)</f>
        <v>1630.9169999999999</v>
      </c>
      <c r="I55">
        <f ca="1">IFERROR(__xludf.DUMMYFUNCTION("""COMPUTED_VALUE"""),-4)</f>
        <v>-4</v>
      </c>
    </row>
    <row r="56" spans="1:9" ht="12.75">
      <c r="A56" t="str">
        <f ca="1">IFERROR(__xludf.DUMMYFUNCTION("""COMPUTED_VALUE"""),"T50")</f>
        <v>T50</v>
      </c>
      <c r="B56" t="str">
        <f ca="1">IFERROR(__xludf.DUMMYFUNCTION("""COMPUTED_VALUE"""),"T63")</f>
        <v>T63</v>
      </c>
      <c r="C56" t="str">
        <f ca="1">IFERROR(__xludf.DUMMYFUNCTION("""COMPUTED_VALUE"""),"Sebastian Cappelen")</f>
        <v>Sebastian Cappelen</v>
      </c>
      <c r="D56">
        <f ca="1">IFERROR(__xludf.DUMMYFUNCTION("""COMPUTED_VALUE"""),8)</f>
        <v>8</v>
      </c>
      <c r="E56" t="str">
        <f ca="1">IFERROR(__xludf.DUMMYFUNCTION("""COMPUTED_VALUE"""),"40' 9""")</f>
        <v>40' 9"</v>
      </c>
      <c r="F56" s="1">
        <f ca="1">IFERROR(__xludf.DUMMYFUNCTION("""COMPUTED_VALUE"""),9295)</f>
        <v>9295</v>
      </c>
      <c r="G56">
        <f ca="1">IFERROR(__xludf.DUMMYFUNCTION("""COMPUTED_VALUE"""),19)</f>
        <v>19</v>
      </c>
      <c r="H56">
        <f ca="1">IFERROR(__xludf.DUMMYFUNCTION("""COMPUTED_VALUE"""),774.583)</f>
        <v>774.58299999999997</v>
      </c>
      <c r="I56">
        <f ca="1">IFERROR(__xludf.DUMMYFUNCTION("""COMPUTED_VALUE"""),-1)</f>
        <v>-1</v>
      </c>
    </row>
    <row r="57" spans="1:9" ht="12.75">
      <c r="A57">
        <f ca="1">IFERROR(__xludf.DUMMYFUNCTION("""COMPUTED_VALUE"""),56)</f>
        <v>56</v>
      </c>
      <c r="B57">
        <f ca="1">IFERROR(__xludf.DUMMYFUNCTION("""COMPUTED_VALUE"""),44)</f>
        <v>44</v>
      </c>
      <c r="C57" t="str">
        <f ca="1">IFERROR(__xludf.DUMMYFUNCTION("""COMPUTED_VALUE"""),"Hunter Mahan")</f>
        <v>Hunter Mahan</v>
      </c>
      <c r="D57">
        <f ca="1">IFERROR(__xludf.DUMMYFUNCTION("""COMPUTED_VALUE"""),14)</f>
        <v>14</v>
      </c>
      <c r="E57" t="str">
        <f ca="1">IFERROR(__xludf.DUMMYFUNCTION("""COMPUTED_VALUE"""),"41' 0""")</f>
        <v>41' 0"</v>
      </c>
      <c r="F57" s="1">
        <f ca="1">IFERROR(__xludf.DUMMYFUNCTION("""COMPUTED_VALUE"""),27554)</f>
        <v>27554</v>
      </c>
      <c r="G57">
        <f ca="1">IFERROR(__xludf.DUMMYFUNCTION("""COMPUTED_VALUE"""),56)</f>
        <v>56</v>
      </c>
      <c r="H57" s="2">
        <f ca="1">IFERROR(__xludf.DUMMYFUNCTION("""COMPUTED_VALUE"""),2296.167)</f>
        <v>2296.1669999999999</v>
      </c>
      <c r="I57" t="str">
        <f ca="1">IFERROR(__xludf.DUMMYFUNCTION("""COMPUTED_VALUE"""),"+6.00")</f>
        <v>+6.00</v>
      </c>
    </row>
    <row r="58" spans="1:9" ht="12.75">
      <c r="A58" t="str">
        <f ca="1">IFERROR(__xludf.DUMMYFUNCTION("""COMPUTED_VALUE"""),"T57")</f>
        <v>T57</v>
      </c>
      <c r="B58" t="str">
        <f ca="1">IFERROR(__xludf.DUMMYFUNCTION("""COMPUTED_VALUE"""),"T71")</f>
        <v>T71</v>
      </c>
      <c r="C58" t="str">
        <f ca="1">IFERROR(__xludf.DUMMYFUNCTION("""COMPUTED_VALUE"""),"Mark Anderson")</f>
        <v>Mark Anderson</v>
      </c>
      <c r="D58">
        <f ca="1">IFERROR(__xludf.DUMMYFUNCTION("""COMPUTED_VALUE"""),14)</f>
        <v>14</v>
      </c>
      <c r="E58" t="str">
        <f ca="1">IFERROR(__xludf.DUMMYFUNCTION("""COMPUTED_VALUE"""),"41' 1""")</f>
        <v>41' 1"</v>
      </c>
      <c r="F58" s="1">
        <f ca="1">IFERROR(__xludf.DUMMYFUNCTION("""COMPUTED_VALUE"""),12331)</f>
        <v>12331</v>
      </c>
      <c r="G58">
        <f ca="1">IFERROR(__xludf.DUMMYFUNCTION("""COMPUTED_VALUE"""),25)</f>
        <v>25</v>
      </c>
      <c r="H58" s="2">
        <f ca="1">IFERROR(__xludf.DUMMYFUNCTION("""COMPUTED_VALUE"""),1027.583)</f>
        <v>1027.5830000000001</v>
      </c>
      <c r="I58">
        <f ca="1">IFERROR(__xludf.DUMMYFUNCTION("""COMPUTED_VALUE"""),-2)</f>
        <v>-2</v>
      </c>
    </row>
    <row r="59" spans="1:9" ht="12.75">
      <c r="A59" t="str">
        <f ca="1">IFERROR(__xludf.DUMMYFUNCTION("""COMPUTED_VALUE"""),"T57")</f>
        <v>T57</v>
      </c>
      <c r="B59" t="str">
        <f ca="1">IFERROR(__xludf.DUMMYFUNCTION("""COMPUTED_VALUE"""),"T71")</f>
        <v>T71</v>
      </c>
      <c r="C59" t="str">
        <f ca="1">IFERROR(__xludf.DUMMYFUNCTION("""COMPUTED_VALUE"""),"Mikumu Horikawa")</f>
        <v>Mikumu Horikawa</v>
      </c>
      <c r="D59">
        <f ca="1">IFERROR(__xludf.DUMMYFUNCTION("""COMPUTED_VALUE"""),4)</f>
        <v>4</v>
      </c>
      <c r="E59" t="str">
        <f ca="1">IFERROR(__xludf.DUMMYFUNCTION("""COMPUTED_VALUE"""),"41' 1""")</f>
        <v>41' 1"</v>
      </c>
      <c r="F59" s="1">
        <f ca="1">IFERROR(__xludf.DUMMYFUNCTION("""COMPUTED_VALUE"""),4929)</f>
        <v>4929</v>
      </c>
      <c r="G59">
        <f ca="1">IFERROR(__xludf.DUMMYFUNCTION("""COMPUTED_VALUE"""),10)</f>
        <v>10</v>
      </c>
      <c r="H59">
        <f ca="1">IFERROR(__xludf.DUMMYFUNCTION("""COMPUTED_VALUE"""),410.75)</f>
        <v>410.75</v>
      </c>
      <c r="I59" t="str">
        <f ca="1">IFERROR(__xludf.DUMMYFUNCTION("""COMPUTED_VALUE"""),"+1.00")</f>
        <v>+1.00</v>
      </c>
    </row>
    <row r="60" spans="1:9" ht="12.75">
      <c r="A60" t="str">
        <f ca="1">IFERROR(__xludf.DUMMYFUNCTION("""COMPUTED_VALUE"""),"T59")</f>
        <v>T59</v>
      </c>
      <c r="B60" t="str">
        <f ca="1">IFERROR(__xludf.DUMMYFUNCTION("""COMPUTED_VALUE"""),"T73")</f>
        <v>T73</v>
      </c>
      <c r="C60" t="str">
        <f ca="1">IFERROR(__xludf.DUMMYFUNCTION("""COMPUTED_VALUE"""),"Zac Blair")</f>
        <v>Zac Blair</v>
      </c>
      <c r="D60">
        <f ca="1">IFERROR(__xludf.DUMMYFUNCTION("""COMPUTED_VALUE"""),10)</f>
        <v>10</v>
      </c>
      <c r="E60" t="str">
        <f ca="1">IFERROR(__xludf.DUMMYFUNCTION("""COMPUTED_VALUE"""),"41' 2""")</f>
        <v>41' 2"</v>
      </c>
      <c r="F60" s="1">
        <f ca="1">IFERROR(__xludf.DUMMYFUNCTION("""COMPUTED_VALUE"""),13347)</f>
        <v>13347</v>
      </c>
      <c r="G60">
        <f ca="1">IFERROR(__xludf.DUMMYFUNCTION("""COMPUTED_VALUE"""),27)</f>
        <v>27</v>
      </c>
      <c r="H60" s="2">
        <f ca="1">IFERROR(__xludf.DUMMYFUNCTION("""COMPUTED_VALUE"""),1112.25)</f>
        <v>1112.25</v>
      </c>
      <c r="I60" t="str">
        <f ca="1">IFERROR(__xludf.DUMMYFUNCTION("""COMPUTED_VALUE"""),"+1.00")</f>
        <v>+1.00</v>
      </c>
    </row>
    <row r="61" spans="1:9" ht="12.75">
      <c r="A61" t="str">
        <f ca="1">IFERROR(__xludf.DUMMYFUNCTION("""COMPUTED_VALUE"""),"T59")</f>
        <v>T59</v>
      </c>
      <c r="B61" t="str">
        <f ca="1">IFERROR(__xludf.DUMMYFUNCTION("""COMPUTED_VALUE"""),"T73")</f>
        <v>T73</v>
      </c>
      <c r="C61" t="str">
        <f ca="1">IFERROR(__xludf.DUMMYFUNCTION("""COMPUTED_VALUE"""),"Johnson Wagner")</f>
        <v>Johnson Wagner</v>
      </c>
      <c r="D61">
        <f ca="1">IFERROR(__xludf.DUMMYFUNCTION("""COMPUTED_VALUE"""),8)</f>
        <v>8</v>
      </c>
      <c r="E61" t="str">
        <f ca="1">IFERROR(__xludf.DUMMYFUNCTION("""COMPUTED_VALUE"""),"41' 2""")</f>
        <v>41' 2"</v>
      </c>
      <c r="F61" s="1">
        <f ca="1">IFERROR(__xludf.DUMMYFUNCTION("""COMPUTED_VALUE"""),2963)</f>
        <v>2963</v>
      </c>
      <c r="G61">
        <f ca="1">IFERROR(__xludf.DUMMYFUNCTION("""COMPUTED_VALUE"""),6)</f>
        <v>6</v>
      </c>
      <c r="H61">
        <f ca="1">IFERROR(__xludf.DUMMYFUNCTION("""COMPUTED_VALUE"""),246.917)</f>
        <v>246.917</v>
      </c>
      <c r="I61" t="str">
        <f ca="1">IFERROR(__xludf.DUMMYFUNCTION("""COMPUTED_VALUE"""),"+2.00")</f>
        <v>+2.00</v>
      </c>
    </row>
    <row r="62" spans="1:9" ht="12.75">
      <c r="A62">
        <f ca="1">IFERROR(__xludf.DUMMYFUNCTION("""COMPUTED_VALUE"""),61)</f>
        <v>61</v>
      </c>
      <c r="B62">
        <f ca="1">IFERROR(__xludf.DUMMYFUNCTION("""COMPUTED_VALUE"""),75)</f>
        <v>75</v>
      </c>
      <c r="C62" t="str">
        <f ca="1">IFERROR(__xludf.DUMMYFUNCTION("""COMPUTED_VALUE"""),"Jaekyeong Lee")</f>
        <v>Jaekyeong Lee</v>
      </c>
      <c r="D62">
        <f ca="1">IFERROR(__xludf.DUMMYFUNCTION("""COMPUTED_VALUE"""),4)</f>
        <v>4</v>
      </c>
      <c r="E62" t="str">
        <f ca="1">IFERROR(__xludf.DUMMYFUNCTION("""COMPUTED_VALUE"""),"41' 3""")</f>
        <v>41' 3"</v>
      </c>
      <c r="F62" s="1">
        <f ca="1">IFERROR(__xludf.DUMMYFUNCTION("""COMPUTED_VALUE"""),6931)</f>
        <v>6931</v>
      </c>
      <c r="G62">
        <f ca="1">IFERROR(__xludf.DUMMYFUNCTION("""COMPUTED_VALUE"""),14)</f>
        <v>14</v>
      </c>
      <c r="H62">
        <f ca="1">IFERROR(__xludf.DUMMYFUNCTION("""COMPUTED_VALUE"""),577.583)</f>
        <v>577.58299999999997</v>
      </c>
      <c r="I62" t="str">
        <f ca="1">IFERROR(__xludf.DUMMYFUNCTION("""COMPUTED_VALUE"""),"+2.00")</f>
        <v>+2.00</v>
      </c>
    </row>
    <row r="63" spans="1:9" ht="12.75">
      <c r="A63" t="str">
        <f ca="1">IFERROR(__xludf.DUMMYFUNCTION("""COMPUTED_VALUE"""),"T62")</f>
        <v>T62</v>
      </c>
      <c r="B63" t="str">
        <f ca="1">IFERROR(__xludf.DUMMYFUNCTION("""COMPUTED_VALUE"""),"T79")</f>
        <v>T79</v>
      </c>
      <c r="C63" t="str">
        <f ca="1">IFERROR(__xludf.DUMMYFUNCTION("""COMPUTED_VALUE"""),"Zack Sucher")</f>
        <v>Zack Sucher</v>
      </c>
      <c r="D63">
        <f ca="1">IFERROR(__xludf.DUMMYFUNCTION("""COMPUTED_VALUE"""),6)</f>
        <v>6</v>
      </c>
      <c r="E63" t="str">
        <f ca="1">IFERROR(__xludf.DUMMYFUNCTION("""COMPUTED_VALUE"""),"41' 7""")</f>
        <v>41' 7"</v>
      </c>
      <c r="F63" s="1">
        <f ca="1">IFERROR(__xludf.DUMMYFUNCTION("""COMPUTED_VALUE"""),5987)</f>
        <v>5987</v>
      </c>
      <c r="G63">
        <f ca="1">IFERROR(__xludf.DUMMYFUNCTION("""COMPUTED_VALUE"""),12)</f>
        <v>12</v>
      </c>
      <c r="H63">
        <f ca="1">IFERROR(__xludf.DUMMYFUNCTION("""COMPUTED_VALUE"""),498.917)</f>
        <v>498.91699999999997</v>
      </c>
      <c r="I63">
        <f ca="1">IFERROR(__xludf.DUMMYFUNCTION("""COMPUTED_VALUE"""),-4)</f>
        <v>-4</v>
      </c>
    </row>
    <row r="64" spans="1:9" ht="12.75">
      <c r="A64" t="str">
        <f ca="1">IFERROR(__xludf.DUMMYFUNCTION("""COMPUTED_VALUE"""),"T62")</f>
        <v>T62</v>
      </c>
      <c r="B64" t="str">
        <f ca="1">IFERROR(__xludf.DUMMYFUNCTION("""COMPUTED_VALUE"""),"T79")</f>
        <v>T79</v>
      </c>
      <c r="C64" t="str">
        <f ca="1">IFERROR(__xludf.DUMMYFUNCTION("""COMPUTED_VALUE"""),"Shaun Norris")</f>
        <v>Shaun Norris</v>
      </c>
      <c r="D64">
        <f ca="1">IFERROR(__xludf.DUMMYFUNCTION("""COMPUTED_VALUE"""),6)</f>
        <v>6</v>
      </c>
      <c r="E64" t="str">
        <f ca="1">IFERROR(__xludf.DUMMYFUNCTION("""COMPUTED_VALUE"""),"41' 7""")</f>
        <v>41' 7"</v>
      </c>
      <c r="F64" s="1">
        <f ca="1">IFERROR(__xludf.DUMMYFUNCTION("""COMPUTED_VALUE"""),9970)</f>
        <v>9970</v>
      </c>
      <c r="G64">
        <f ca="1">IFERROR(__xludf.DUMMYFUNCTION("""COMPUTED_VALUE"""),20)</f>
        <v>20</v>
      </c>
      <c r="H64">
        <f ca="1">IFERROR(__xludf.DUMMYFUNCTION("""COMPUTED_VALUE"""),830.833)</f>
        <v>830.83299999999997</v>
      </c>
      <c r="I64" t="str">
        <f ca="1">IFERROR(__xludf.DUMMYFUNCTION("""COMPUTED_VALUE"""),"+4.00")</f>
        <v>+4.00</v>
      </c>
    </row>
    <row r="65" spans="1:9" ht="12.75">
      <c r="A65" t="str">
        <f ca="1">IFERROR(__xludf.DUMMYFUNCTION("""COMPUTED_VALUE"""),"T64")</f>
        <v>T64</v>
      </c>
      <c r="B65">
        <f ca="1">IFERROR(__xludf.DUMMYFUNCTION("""COMPUTED_VALUE"""),40)</f>
        <v>40</v>
      </c>
      <c r="C65" t="str">
        <f ca="1">IFERROR(__xludf.DUMMYFUNCTION("""COMPUTED_VALUE"""),"David Hearn")</f>
        <v>David Hearn</v>
      </c>
      <c r="D65">
        <f ca="1">IFERROR(__xludf.DUMMYFUNCTION("""COMPUTED_VALUE"""),16)</f>
        <v>16</v>
      </c>
      <c r="E65" t="str">
        <f ca="1">IFERROR(__xludf.DUMMYFUNCTION("""COMPUTED_VALUE"""),"41' 8""")</f>
        <v>41' 8"</v>
      </c>
      <c r="F65" s="1">
        <f ca="1">IFERROR(__xludf.DUMMYFUNCTION("""COMPUTED_VALUE"""),15503)</f>
        <v>15503</v>
      </c>
      <c r="G65">
        <f ca="1">IFERROR(__xludf.DUMMYFUNCTION("""COMPUTED_VALUE"""),31)</f>
        <v>31</v>
      </c>
      <c r="H65" s="2">
        <f ca="1">IFERROR(__xludf.DUMMYFUNCTION("""COMPUTED_VALUE"""),1291.917)</f>
        <v>1291.9169999999999</v>
      </c>
      <c r="I65" t="str">
        <f ca="1">IFERROR(__xludf.DUMMYFUNCTION("""COMPUTED_VALUE"""),"+5.00")</f>
        <v>+5.00</v>
      </c>
    </row>
    <row r="66" spans="1:9" ht="12.75">
      <c r="A66" t="str">
        <f ca="1">IFERROR(__xludf.DUMMYFUNCTION("""COMPUTED_VALUE"""),"T64")</f>
        <v>T64</v>
      </c>
      <c r="B66" t="str">
        <f ca="1">IFERROR(__xludf.DUMMYFUNCTION("""COMPUTED_VALUE"""),"T82")</f>
        <v>T82</v>
      </c>
      <c r="C66" t="str">
        <f ca="1">IFERROR(__xludf.DUMMYFUNCTION("""COMPUTED_VALUE"""),"Robert Streb")</f>
        <v>Robert Streb</v>
      </c>
      <c r="D66">
        <f ca="1">IFERROR(__xludf.DUMMYFUNCTION("""COMPUTED_VALUE"""),12)</f>
        <v>12</v>
      </c>
      <c r="E66" t="str">
        <f ca="1">IFERROR(__xludf.DUMMYFUNCTION("""COMPUTED_VALUE"""),"41' 8""")</f>
        <v>41' 8"</v>
      </c>
      <c r="F66" s="1">
        <f ca="1">IFERROR(__xludf.DUMMYFUNCTION("""COMPUTED_VALUE"""),5996)</f>
        <v>5996</v>
      </c>
      <c r="G66">
        <f ca="1">IFERROR(__xludf.DUMMYFUNCTION("""COMPUTED_VALUE"""),12)</f>
        <v>12</v>
      </c>
      <c r="H66">
        <f ca="1">IFERROR(__xludf.DUMMYFUNCTION("""COMPUTED_VALUE"""),499.667)</f>
        <v>499.66699999999997</v>
      </c>
      <c r="I66" t="str">
        <f ca="1">IFERROR(__xludf.DUMMYFUNCTION("""COMPUTED_VALUE"""),"E")</f>
        <v>E</v>
      </c>
    </row>
    <row r="67" spans="1:9" ht="12.75">
      <c r="A67" t="str">
        <f ca="1">IFERROR(__xludf.DUMMYFUNCTION("""COMPUTED_VALUE"""),"T66")</f>
        <v>T66</v>
      </c>
      <c r="B67" t="str">
        <f ca="1">IFERROR(__xludf.DUMMYFUNCTION("""COMPUTED_VALUE"""),"T84")</f>
        <v>T84</v>
      </c>
      <c r="C67" t="str">
        <f ca="1">IFERROR(__xludf.DUMMYFUNCTION("""COMPUTED_VALUE"""),"Andy Zhang")</f>
        <v>Andy Zhang</v>
      </c>
      <c r="D67">
        <f ca="1">IFERROR(__xludf.DUMMYFUNCTION("""COMPUTED_VALUE"""),4)</f>
        <v>4</v>
      </c>
      <c r="E67" t="str">
        <f ca="1">IFERROR(__xludf.DUMMYFUNCTION("""COMPUTED_VALUE"""),"41' 10""")</f>
        <v>41' 10"</v>
      </c>
      <c r="F67" s="1">
        <f ca="1">IFERROR(__xludf.DUMMYFUNCTION("""COMPUTED_VALUE"""),12559)</f>
        <v>12559</v>
      </c>
      <c r="G67">
        <f ca="1">IFERROR(__xludf.DUMMYFUNCTION("""COMPUTED_VALUE"""),25)</f>
        <v>25</v>
      </c>
      <c r="H67" s="2">
        <f ca="1">IFERROR(__xludf.DUMMYFUNCTION("""COMPUTED_VALUE"""),1046.583)</f>
        <v>1046.5830000000001</v>
      </c>
      <c r="I67" t="str">
        <f ca="1">IFERROR(__xludf.DUMMYFUNCTION("""COMPUTED_VALUE"""),"+8.00")</f>
        <v>+8.00</v>
      </c>
    </row>
    <row r="68" spans="1:9" ht="12.75">
      <c r="A68" t="str">
        <f ca="1">IFERROR(__xludf.DUMMYFUNCTION("""COMPUTED_VALUE"""),"T66")</f>
        <v>T66</v>
      </c>
      <c r="B68" t="str">
        <f ca="1">IFERROR(__xludf.DUMMYFUNCTION("""COMPUTED_VALUE"""),"T84")</f>
        <v>T84</v>
      </c>
      <c r="C68" t="str">
        <f ca="1">IFERROR(__xludf.DUMMYFUNCTION("""COMPUTED_VALUE"""),"Anirban Lahiri")</f>
        <v>Anirban Lahiri</v>
      </c>
      <c r="D68">
        <f ca="1">IFERROR(__xludf.DUMMYFUNCTION("""COMPUTED_VALUE"""),16)</f>
        <v>16</v>
      </c>
      <c r="E68" t="str">
        <f ca="1">IFERROR(__xludf.DUMMYFUNCTION("""COMPUTED_VALUE"""),"41' 10""")</f>
        <v>41' 10"</v>
      </c>
      <c r="F68" s="1">
        <f ca="1">IFERROR(__xludf.DUMMYFUNCTION("""COMPUTED_VALUE"""),21571)</f>
        <v>21571</v>
      </c>
      <c r="G68">
        <f ca="1">IFERROR(__xludf.DUMMYFUNCTION("""COMPUTED_VALUE"""),43)</f>
        <v>43</v>
      </c>
      <c r="H68" s="2">
        <f ca="1">IFERROR(__xludf.DUMMYFUNCTION("""COMPUTED_VALUE"""),1797.583)</f>
        <v>1797.5830000000001</v>
      </c>
      <c r="I68" t="str">
        <f ca="1">IFERROR(__xludf.DUMMYFUNCTION("""COMPUTED_VALUE"""),"+3.00")</f>
        <v>+3.00</v>
      </c>
    </row>
    <row r="69" spans="1:9" ht="12.75">
      <c r="A69" t="str">
        <f ca="1">IFERROR(__xludf.DUMMYFUNCTION("""COMPUTED_VALUE"""),"T68")</f>
        <v>T68</v>
      </c>
      <c r="B69" t="str">
        <f ca="1">IFERROR(__xludf.DUMMYFUNCTION("""COMPUTED_VALUE"""),"T87")</f>
        <v>T87</v>
      </c>
      <c r="C69" t="str">
        <f ca="1">IFERROR(__xludf.DUMMYFUNCTION("""COMPUTED_VALUE"""),"Nick Watney")</f>
        <v>Nick Watney</v>
      </c>
      <c r="D69">
        <f ca="1">IFERROR(__xludf.DUMMYFUNCTION("""COMPUTED_VALUE"""),10)</f>
        <v>10</v>
      </c>
      <c r="E69" t="str">
        <f ca="1">IFERROR(__xludf.DUMMYFUNCTION("""COMPUTED_VALUE"""),"41' 11""")</f>
        <v>41' 11"</v>
      </c>
      <c r="F69" s="1">
        <f ca="1">IFERROR(__xludf.DUMMYFUNCTION("""COMPUTED_VALUE"""),19131)</f>
        <v>19131</v>
      </c>
      <c r="G69">
        <f ca="1">IFERROR(__xludf.DUMMYFUNCTION("""COMPUTED_VALUE"""),38)</f>
        <v>38</v>
      </c>
      <c r="H69" s="2">
        <f ca="1">IFERROR(__xludf.DUMMYFUNCTION("""COMPUTED_VALUE"""),1594.25)</f>
        <v>1594.25</v>
      </c>
      <c r="I69">
        <f ca="1">IFERROR(__xludf.DUMMYFUNCTION("""COMPUTED_VALUE"""),-1)</f>
        <v>-1</v>
      </c>
    </row>
    <row r="70" spans="1:9" ht="12.75">
      <c r="A70" t="str">
        <f ca="1">IFERROR(__xludf.DUMMYFUNCTION("""COMPUTED_VALUE"""),"T68")</f>
        <v>T68</v>
      </c>
      <c r="B70" t="str">
        <f ca="1">IFERROR(__xludf.DUMMYFUNCTION("""COMPUTED_VALUE"""),"T87")</f>
        <v>T87</v>
      </c>
      <c r="C70" t="str">
        <f ca="1">IFERROR(__xludf.DUMMYFUNCTION("""COMPUTED_VALUE"""),"MJ Daffue")</f>
        <v>MJ Daffue</v>
      </c>
      <c r="D70">
        <f ca="1">IFERROR(__xludf.DUMMYFUNCTION("""COMPUTED_VALUE"""),10)</f>
        <v>10</v>
      </c>
      <c r="E70" t="str">
        <f ca="1">IFERROR(__xludf.DUMMYFUNCTION("""COMPUTED_VALUE"""),"41' 11""")</f>
        <v>41' 11"</v>
      </c>
      <c r="F70" s="1">
        <f ca="1">IFERROR(__xludf.DUMMYFUNCTION("""COMPUTED_VALUE"""),27639)</f>
        <v>27639</v>
      </c>
      <c r="G70">
        <f ca="1">IFERROR(__xludf.DUMMYFUNCTION("""COMPUTED_VALUE"""),55)</f>
        <v>55</v>
      </c>
      <c r="H70" s="2">
        <f ca="1">IFERROR(__xludf.DUMMYFUNCTION("""COMPUTED_VALUE"""),2303.25)</f>
        <v>2303.25</v>
      </c>
      <c r="I70">
        <f ca="1">IFERROR(__xludf.DUMMYFUNCTION("""COMPUTED_VALUE"""),-9)</f>
        <v>-9</v>
      </c>
    </row>
    <row r="71" spans="1:9" ht="12.75">
      <c r="A71" t="str">
        <f ca="1">IFERROR(__xludf.DUMMYFUNCTION("""COMPUTED_VALUE"""),"T68")</f>
        <v>T68</v>
      </c>
      <c r="B71" t="str">
        <f ca="1">IFERROR(__xludf.DUMMYFUNCTION("""COMPUTED_VALUE"""),"T87")</f>
        <v>T87</v>
      </c>
      <c r="C71" t="str">
        <f ca="1">IFERROR(__xludf.DUMMYFUNCTION("""COMPUTED_VALUE"""),"Joseph Bramlett")</f>
        <v>Joseph Bramlett</v>
      </c>
      <c r="D71">
        <f ca="1">IFERROR(__xludf.DUMMYFUNCTION("""COMPUTED_VALUE"""),18)</f>
        <v>18</v>
      </c>
      <c r="E71" t="str">
        <f ca="1">IFERROR(__xludf.DUMMYFUNCTION("""COMPUTED_VALUE"""),"41' 11""")</f>
        <v>41' 11"</v>
      </c>
      <c r="F71" s="1">
        <f ca="1">IFERROR(__xludf.DUMMYFUNCTION("""COMPUTED_VALUE"""),23624)</f>
        <v>23624</v>
      </c>
      <c r="G71">
        <f ca="1">IFERROR(__xludf.DUMMYFUNCTION("""COMPUTED_VALUE"""),47)</f>
        <v>47</v>
      </c>
      <c r="H71" s="2">
        <f ca="1">IFERROR(__xludf.DUMMYFUNCTION("""COMPUTED_VALUE"""),1968.667)</f>
        <v>1968.6669999999999</v>
      </c>
      <c r="I71">
        <f ca="1">IFERROR(__xludf.DUMMYFUNCTION("""COMPUTED_VALUE"""),-5)</f>
        <v>-5</v>
      </c>
    </row>
    <row r="72" spans="1:9" ht="12.75">
      <c r="A72" t="str">
        <f ca="1">IFERROR(__xludf.DUMMYFUNCTION("""COMPUTED_VALUE"""),"T71")</f>
        <v>T71</v>
      </c>
      <c r="B72" t="str">
        <f ca="1">IFERROR(__xludf.DUMMYFUNCTION("""COMPUTED_VALUE"""),"T113")</f>
        <v>T113</v>
      </c>
      <c r="C72" t="str">
        <f ca="1">IFERROR(__xludf.DUMMYFUNCTION("""COMPUTED_VALUE"""),"Stewart Cink")</f>
        <v>Stewart Cink</v>
      </c>
      <c r="D72">
        <f ca="1">IFERROR(__xludf.DUMMYFUNCTION("""COMPUTED_VALUE"""),18)</f>
        <v>18</v>
      </c>
      <c r="E72" t="str">
        <f ca="1">IFERROR(__xludf.DUMMYFUNCTION("""COMPUTED_VALUE"""),"42' 0""")</f>
        <v>42' 0"</v>
      </c>
      <c r="F72" s="1">
        <f ca="1">IFERROR(__xludf.DUMMYFUNCTION("""COMPUTED_VALUE"""),25224)</f>
        <v>25224</v>
      </c>
      <c r="G72">
        <f ca="1">IFERROR(__xludf.DUMMYFUNCTION("""COMPUTED_VALUE"""),50)</f>
        <v>50</v>
      </c>
      <c r="H72" s="2">
        <f ca="1">IFERROR(__xludf.DUMMYFUNCTION("""COMPUTED_VALUE"""),2102)</f>
        <v>2102</v>
      </c>
      <c r="I72" t="str">
        <f ca="1">IFERROR(__xludf.DUMMYFUNCTION("""COMPUTED_VALUE"""),"+2.00")</f>
        <v>+2.00</v>
      </c>
    </row>
    <row r="73" spans="1:9" ht="12.75">
      <c r="A73" t="str">
        <f ca="1">IFERROR(__xludf.DUMMYFUNCTION("""COMPUTED_VALUE"""),"T71")</f>
        <v>T71</v>
      </c>
      <c r="B73" t="str">
        <f ca="1">IFERROR(__xludf.DUMMYFUNCTION("""COMPUTED_VALUE"""),"T84")</f>
        <v>T84</v>
      </c>
      <c r="C73" t="str">
        <f ca="1">IFERROR(__xludf.DUMMYFUNCTION("""COMPUTED_VALUE"""),"Brian Stuard")</f>
        <v>Brian Stuard</v>
      </c>
      <c r="D73">
        <f ca="1">IFERROR(__xludf.DUMMYFUNCTION("""COMPUTED_VALUE"""),18)</f>
        <v>18</v>
      </c>
      <c r="E73" t="str">
        <f ca="1">IFERROR(__xludf.DUMMYFUNCTION("""COMPUTED_VALUE"""),"42' 0""")</f>
        <v>42' 0"</v>
      </c>
      <c r="F73" s="1">
        <f ca="1">IFERROR(__xludf.DUMMYFUNCTION("""COMPUTED_VALUE"""),23678)</f>
        <v>23678</v>
      </c>
      <c r="G73">
        <f ca="1">IFERROR(__xludf.DUMMYFUNCTION("""COMPUTED_VALUE"""),47)</f>
        <v>47</v>
      </c>
      <c r="H73" s="2">
        <f ca="1">IFERROR(__xludf.DUMMYFUNCTION("""COMPUTED_VALUE"""),1973.167)</f>
        <v>1973.1669999999999</v>
      </c>
      <c r="I73" t="str">
        <f ca="1">IFERROR(__xludf.DUMMYFUNCTION("""COMPUTED_VALUE"""),"+2.00")</f>
        <v>+2.00</v>
      </c>
    </row>
    <row r="74" spans="1:9" ht="12.75">
      <c r="A74" t="str">
        <f ca="1">IFERROR(__xludf.DUMMYFUNCTION("""COMPUTED_VALUE"""),"T73")</f>
        <v>T73</v>
      </c>
      <c r="B74" t="str">
        <f ca="1">IFERROR(__xludf.DUMMYFUNCTION("""COMPUTED_VALUE"""),"T92")</f>
        <v>T92</v>
      </c>
      <c r="C74" t="str">
        <f ca="1">IFERROR(__xludf.DUMMYFUNCTION("""COMPUTED_VALUE"""),"Sangmoon Bae")</f>
        <v>Sangmoon Bae</v>
      </c>
      <c r="D74">
        <f ca="1">IFERROR(__xludf.DUMMYFUNCTION("""COMPUTED_VALUE"""),8)</f>
        <v>8</v>
      </c>
      <c r="E74" t="str">
        <f ca="1">IFERROR(__xludf.DUMMYFUNCTION("""COMPUTED_VALUE"""),"42' 2""")</f>
        <v>42' 2"</v>
      </c>
      <c r="F74" s="1">
        <f ca="1">IFERROR(__xludf.DUMMYFUNCTION("""COMPUTED_VALUE"""),5570)</f>
        <v>5570</v>
      </c>
      <c r="G74">
        <f ca="1">IFERROR(__xludf.DUMMYFUNCTION("""COMPUTED_VALUE"""),11)</f>
        <v>11</v>
      </c>
      <c r="H74">
        <f ca="1">IFERROR(__xludf.DUMMYFUNCTION("""COMPUTED_VALUE"""),464.167)</f>
        <v>464.16699999999997</v>
      </c>
      <c r="I74" t="str">
        <f ca="1">IFERROR(__xludf.DUMMYFUNCTION("""COMPUTED_VALUE"""),"+1.00")</f>
        <v>+1.00</v>
      </c>
    </row>
    <row r="75" spans="1:9" ht="12.75">
      <c r="A75" t="str">
        <f ca="1">IFERROR(__xludf.DUMMYFUNCTION("""COMPUTED_VALUE"""),"T73")</f>
        <v>T73</v>
      </c>
      <c r="B75" t="str">
        <f ca="1">IFERROR(__xludf.DUMMYFUNCTION("""COMPUTED_VALUE"""),"T92")</f>
        <v>T92</v>
      </c>
      <c r="C75" t="str">
        <f ca="1">IFERROR(__xludf.DUMMYFUNCTION("""COMPUTED_VALUE"""),"Chase Seiffert")</f>
        <v>Chase Seiffert</v>
      </c>
      <c r="D75">
        <f ca="1">IFERROR(__xludf.DUMMYFUNCTION("""COMPUTED_VALUE"""),14)</f>
        <v>14</v>
      </c>
      <c r="E75" t="str">
        <f ca="1">IFERROR(__xludf.DUMMYFUNCTION("""COMPUTED_VALUE"""),"42' 2""")</f>
        <v>42' 2"</v>
      </c>
      <c r="F75" s="1">
        <f ca="1">IFERROR(__xludf.DUMMYFUNCTION("""COMPUTED_VALUE"""),15675)</f>
        <v>15675</v>
      </c>
      <c r="G75">
        <f ca="1">IFERROR(__xludf.DUMMYFUNCTION("""COMPUTED_VALUE"""),31)</f>
        <v>31</v>
      </c>
      <c r="H75" s="2">
        <f ca="1">IFERROR(__xludf.DUMMYFUNCTION("""COMPUTED_VALUE"""),1306.25)</f>
        <v>1306.25</v>
      </c>
      <c r="I75" t="str">
        <f ca="1">IFERROR(__xludf.DUMMYFUNCTION("""COMPUTED_VALUE"""),"+3.00")</f>
        <v>+3.00</v>
      </c>
    </row>
    <row r="76" spans="1:9" ht="12.75">
      <c r="A76">
        <f ca="1">IFERROR(__xludf.DUMMYFUNCTION("""COMPUTED_VALUE"""),75)</f>
        <v>75</v>
      </c>
      <c r="B76">
        <f ca="1">IFERROR(__xludf.DUMMYFUNCTION("""COMPUTED_VALUE"""),96)</f>
        <v>96</v>
      </c>
      <c r="C76" t="str">
        <f ca="1">IFERROR(__xludf.DUMMYFUNCTION("""COMPUTED_VALUE"""),"Dominic Bozzelli")</f>
        <v>Dominic Bozzelli</v>
      </c>
      <c r="D76">
        <f ca="1">IFERROR(__xludf.DUMMYFUNCTION("""COMPUTED_VALUE"""),8)</f>
        <v>8</v>
      </c>
      <c r="E76" t="str">
        <f ca="1">IFERROR(__xludf.DUMMYFUNCTION("""COMPUTED_VALUE"""),"42' 4""")</f>
        <v>42' 4"</v>
      </c>
      <c r="F76" s="1">
        <f ca="1">IFERROR(__xludf.DUMMYFUNCTION("""COMPUTED_VALUE"""),4568)</f>
        <v>4568</v>
      </c>
      <c r="G76">
        <f ca="1">IFERROR(__xludf.DUMMYFUNCTION("""COMPUTED_VALUE"""),9)</f>
        <v>9</v>
      </c>
      <c r="H76">
        <f ca="1">IFERROR(__xludf.DUMMYFUNCTION("""COMPUTED_VALUE"""),380.667)</f>
        <v>380.66699999999997</v>
      </c>
      <c r="I76" t="str">
        <f ca="1">IFERROR(__xludf.DUMMYFUNCTION("""COMPUTED_VALUE"""),"E")</f>
        <v>E</v>
      </c>
    </row>
    <row r="77" spans="1:9" ht="12.75">
      <c r="A77">
        <f ca="1">IFERROR(__xludf.DUMMYFUNCTION("""COMPUTED_VALUE"""),76)</f>
        <v>76</v>
      </c>
      <c r="B77" t="str">
        <f ca="1">IFERROR(__xludf.DUMMYFUNCTION("""COMPUTED_VALUE"""),"T68")</f>
        <v>T68</v>
      </c>
      <c r="C77" t="str">
        <f ca="1">IFERROR(__xludf.DUMMYFUNCTION("""COMPUTED_VALUE"""),"Sam Burns")</f>
        <v>Sam Burns</v>
      </c>
      <c r="D77">
        <f ca="1">IFERROR(__xludf.DUMMYFUNCTION("""COMPUTED_VALUE"""),18)</f>
        <v>18</v>
      </c>
      <c r="E77" t="str">
        <f ca="1">IFERROR(__xludf.DUMMYFUNCTION("""COMPUTED_VALUE"""),"42' 7""")</f>
        <v>42' 7"</v>
      </c>
      <c r="F77" s="1">
        <f ca="1">IFERROR(__xludf.DUMMYFUNCTION("""COMPUTED_VALUE"""),30683)</f>
        <v>30683</v>
      </c>
      <c r="G77">
        <f ca="1">IFERROR(__xludf.DUMMYFUNCTION("""COMPUTED_VALUE"""),60)</f>
        <v>60</v>
      </c>
      <c r="H77" s="2">
        <f ca="1">IFERROR(__xludf.DUMMYFUNCTION("""COMPUTED_VALUE"""),2556.917)</f>
        <v>2556.9169999999999</v>
      </c>
      <c r="I77" t="str">
        <f ca="1">IFERROR(__xludf.DUMMYFUNCTION("""COMPUTED_VALUE"""),"E")</f>
        <v>E</v>
      </c>
    </row>
    <row r="78" spans="1:9" ht="12.75">
      <c r="A78">
        <f ca="1">IFERROR(__xludf.DUMMYFUNCTION("""COMPUTED_VALUE"""),77)</f>
        <v>77</v>
      </c>
      <c r="B78" t="str">
        <f ca="1">IFERROR(__xludf.DUMMYFUNCTION("""COMPUTED_VALUE"""),"T55")</f>
        <v>T55</v>
      </c>
      <c r="C78" t="str">
        <f ca="1">IFERROR(__xludf.DUMMYFUNCTION("""COMPUTED_VALUE"""),"Charley Hoffman")</f>
        <v>Charley Hoffman</v>
      </c>
      <c r="D78">
        <f ca="1">IFERROR(__xludf.DUMMYFUNCTION("""COMPUTED_VALUE"""),20)</f>
        <v>20</v>
      </c>
      <c r="E78" t="str">
        <f ca="1">IFERROR(__xludf.DUMMYFUNCTION("""COMPUTED_VALUE"""),"42' 8""")</f>
        <v>42' 8"</v>
      </c>
      <c r="F78" s="1">
        <f ca="1">IFERROR(__xludf.DUMMYFUNCTION("""COMPUTED_VALUE"""),33256)</f>
        <v>33256</v>
      </c>
      <c r="G78">
        <f ca="1">IFERROR(__xludf.DUMMYFUNCTION("""COMPUTED_VALUE"""),65)</f>
        <v>65</v>
      </c>
      <c r="H78" s="2">
        <f ca="1">IFERROR(__xludf.DUMMYFUNCTION("""COMPUTED_VALUE"""),2771.333)</f>
        <v>2771.3330000000001</v>
      </c>
      <c r="I78" t="str">
        <f ca="1">IFERROR(__xludf.DUMMYFUNCTION("""COMPUTED_VALUE"""),"+2.00")</f>
        <v>+2.00</v>
      </c>
    </row>
    <row r="79" spans="1:9" ht="12.75">
      <c r="A79">
        <f ca="1">IFERROR(__xludf.DUMMYFUNCTION("""COMPUTED_VALUE"""),78)</f>
        <v>78</v>
      </c>
      <c r="B79" t="str">
        <f ca="1">IFERROR(__xludf.DUMMYFUNCTION("""COMPUTED_VALUE"""),"T49")</f>
        <v>T49</v>
      </c>
      <c r="C79" t="str">
        <f ca="1">IFERROR(__xludf.DUMMYFUNCTION("""COMPUTED_VALUE"""),"Jhonattan Vegas")</f>
        <v>Jhonattan Vegas</v>
      </c>
      <c r="D79">
        <f ca="1">IFERROR(__xludf.DUMMYFUNCTION("""COMPUTED_VALUE"""),16)</f>
        <v>16</v>
      </c>
      <c r="E79" t="str">
        <f ca="1">IFERROR(__xludf.DUMMYFUNCTION("""COMPUTED_VALUE"""),"42' 9""")</f>
        <v>42' 9"</v>
      </c>
      <c r="F79" s="1">
        <f ca="1">IFERROR(__xludf.DUMMYFUNCTION("""COMPUTED_VALUE"""),25641)</f>
        <v>25641</v>
      </c>
      <c r="G79">
        <f ca="1">IFERROR(__xludf.DUMMYFUNCTION("""COMPUTED_VALUE"""),50)</f>
        <v>50</v>
      </c>
      <c r="H79" s="2">
        <f ca="1">IFERROR(__xludf.DUMMYFUNCTION("""COMPUTED_VALUE"""),2136.75)</f>
        <v>2136.75</v>
      </c>
      <c r="I79" t="str">
        <f ca="1">IFERROR(__xludf.DUMMYFUNCTION("""COMPUTED_VALUE"""),"E")</f>
        <v>E</v>
      </c>
    </row>
    <row r="80" spans="1:9" ht="12.75">
      <c r="A80">
        <f ca="1">IFERROR(__xludf.DUMMYFUNCTION("""COMPUTED_VALUE"""),79)</f>
        <v>79</v>
      </c>
      <c r="B80">
        <f ca="1">IFERROR(__xludf.DUMMYFUNCTION("""COMPUTED_VALUE"""),101)</f>
        <v>101</v>
      </c>
      <c r="C80" t="str">
        <f ca="1">IFERROR(__xludf.DUMMYFUNCTION("""COMPUTED_VALUE"""),"Joohyung Kim")</f>
        <v>Joohyung Kim</v>
      </c>
      <c r="D80">
        <f ca="1">IFERROR(__xludf.DUMMYFUNCTION("""COMPUTED_VALUE"""),12)</f>
        <v>12</v>
      </c>
      <c r="E80" t="str">
        <f ca="1">IFERROR(__xludf.DUMMYFUNCTION("""COMPUTED_VALUE"""),"42' 11""")</f>
        <v>42' 11"</v>
      </c>
      <c r="F80" s="1">
        <f ca="1">IFERROR(__xludf.DUMMYFUNCTION("""COMPUTED_VALUE"""),14424)</f>
        <v>14424</v>
      </c>
      <c r="G80">
        <f ca="1">IFERROR(__xludf.DUMMYFUNCTION("""COMPUTED_VALUE"""),28)</f>
        <v>28</v>
      </c>
      <c r="H80" s="2">
        <f ca="1">IFERROR(__xludf.DUMMYFUNCTION("""COMPUTED_VALUE"""),1202)</f>
        <v>1202</v>
      </c>
      <c r="I80" t="str">
        <f ca="1">IFERROR(__xludf.DUMMYFUNCTION("""COMPUTED_VALUE"""),"+3.00")</f>
        <v>+3.00</v>
      </c>
    </row>
    <row r="81" spans="1:9" ht="12.75">
      <c r="A81" t="str">
        <f ca="1">IFERROR(__xludf.DUMMYFUNCTION("""COMPUTED_VALUE"""),"T80")</f>
        <v>T80</v>
      </c>
      <c r="B81">
        <f ca="1">IFERROR(__xludf.DUMMYFUNCTION("""COMPUTED_VALUE"""),104)</f>
        <v>104</v>
      </c>
      <c r="C81" t="str">
        <f ca="1">IFERROR(__xludf.DUMMYFUNCTION("""COMPUTED_VALUE"""),"Si Woo Kim")</f>
        <v>Si Woo Kim</v>
      </c>
      <c r="D81">
        <f ca="1">IFERROR(__xludf.DUMMYFUNCTION("""COMPUTED_VALUE"""),20)</f>
        <v>20</v>
      </c>
      <c r="E81" t="str">
        <f ca="1">IFERROR(__xludf.DUMMYFUNCTION("""COMPUTED_VALUE"""),"43' 2""")</f>
        <v>43' 2"</v>
      </c>
      <c r="F81" s="1">
        <f ca="1">IFERROR(__xludf.DUMMYFUNCTION("""COMPUTED_VALUE"""),44519)</f>
        <v>44519</v>
      </c>
      <c r="G81">
        <f ca="1">IFERROR(__xludf.DUMMYFUNCTION("""COMPUTED_VALUE"""),86)</f>
        <v>86</v>
      </c>
      <c r="H81" s="2">
        <f ca="1">IFERROR(__xludf.DUMMYFUNCTION("""COMPUTED_VALUE"""),3709.917)</f>
        <v>3709.9169999999999</v>
      </c>
      <c r="I81" t="str">
        <f ca="1">IFERROR(__xludf.DUMMYFUNCTION("""COMPUTED_VALUE"""),"+5.00")</f>
        <v>+5.00</v>
      </c>
    </row>
    <row r="82" spans="1:9" ht="12.75">
      <c r="A82" t="str">
        <f ca="1">IFERROR(__xludf.DUMMYFUNCTION("""COMPUTED_VALUE"""),"T80")</f>
        <v>T80</v>
      </c>
      <c r="B82" t="str">
        <f ca="1">IFERROR(__xludf.DUMMYFUNCTION("""COMPUTED_VALUE"""),"T105")</f>
        <v>T105</v>
      </c>
      <c r="C82" t="str">
        <f ca="1">IFERROR(__xludf.DUMMYFUNCTION("""COMPUTED_VALUE"""),"Jay McLuen")</f>
        <v>Jay McLuen</v>
      </c>
      <c r="D82">
        <f ca="1">IFERROR(__xludf.DUMMYFUNCTION("""COMPUTED_VALUE"""),4)</f>
        <v>4</v>
      </c>
      <c r="E82" t="str">
        <f ca="1">IFERROR(__xludf.DUMMYFUNCTION("""COMPUTED_VALUE"""),"43' 2""")</f>
        <v>43' 2"</v>
      </c>
      <c r="F82" s="1">
        <f ca="1">IFERROR(__xludf.DUMMYFUNCTION("""COMPUTED_VALUE"""),9326)</f>
        <v>9326</v>
      </c>
      <c r="G82">
        <f ca="1">IFERROR(__xludf.DUMMYFUNCTION("""COMPUTED_VALUE"""),18)</f>
        <v>18</v>
      </c>
      <c r="H82">
        <f ca="1">IFERROR(__xludf.DUMMYFUNCTION("""COMPUTED_VALUE"""),777.167)</f>
        <v>777.16700000000003</v>
      </c>
      <c r="I82" t="str">
        <f ca="1">IFERROR(__xludf.DUMMYFUNCTION("""COMPUTED_VALUE"""),"+1.00")</f>
        <v>+1.00</v>
      </c>
    </row>
    <row r="83" spans="1:9" ht="12.75">
      <c r="A83">
        <f ca="1">IFERROR(__xludf.DUMMYFUNCTION("""COMPUTED_VALUE"""),82)</f>
        <v>82</v>
      </c>
      <c r="B83">
        <f ca="1">IFERROR(__xludf.DUMMYFUNCTION("""COMPUTED_VALUE"""),108)</f>
        <v>108</v>
      </c>
      <c r="C83" t="str">
        <f ca="1">IFERROR(__xludf.DUMMYFUNCTION("""COMPUTED_VALUE"""),"Harry Higgs")</f>
        <v>Harry Higgs</v>
      </c>
      <c r="D83">
        <f ca="1">IFERROR(__xludf.DUMMYFUNCTION("""COMPUTED_VALUE"""),14)</f>
        <v>14</v>
      </c>
      <c r="E83" t="str">
        <f ca="1">IFERROR(__xludf.DUMMYFUNCTION("""COMPUTED_VALUE"""),"43' 3""")</f>
        <v>43' 3"</v>
      </c>
      <c r="F83" s="1">
        <f ca="1">IFERROR(__xludf.DUMMYFUNCTION("""COMPUTED_VALUE"""),26491)</f>
        <v>26491</v>
      </c>
      <c r="G83">
        <f ca="1">IFERROR(__xludf.DUMMYFUNCTION("""COMPUTED_VALUE"""),51)</f>
        <v>51</v>
      </c>
      <c r="H83" s="2">
        <f ca="1">IFERROR(__xludf.DUMMYFUNCTION("""COMPUTED_VALUE"""),2207.583)</f>
        <v>2207.5830000000001</v>
      </c>
      <c r="I83">
        <f ca="1">IFERROR(__xludf.DUMMYFUNCTION("""COMPUTED_VALUE"""),-4)</f>
        <v>-4</v>
      </c>
    </row>
    <row r="84" spans="1:9" ht="12.75">
      <c r="A84" t="str">
        <f ca="1">IFERROR(__xludf.DUMMYFUNCTION("""COMPUTED_VALUE"""),"T83")</f>
        <v>T83</v>
      </c>
      <c r="B84">
        <f ca="1">IFERROR(__xludf.DUMMYFUNCTION("""COMPUTED_VALUE"""),109)</f>
        <v>109</v>
      </c>
      <c r="C84" t="str">
        <f ca="1">IFERROR(__xludf.DUMMYFUNCTION("""COMPUTED_VALUE"""),"Kiradech Aphibarnrat")</f>
        <v>Kiradech Aphibarnrat</v>
      </c>
      <c r="D84">
        <f ca="1">IFERROR(__xludf.DUMMYFUNCTION("""COMPUTED_VALUE"""),12)</f>
        <v>12</v>
      </c>
      <c r="E84" t="str">
        <f ca="1">IFERROR(__xludf.DUMMYFUNCTION("""COMPUTED_VALUE"""),"43' 4""")</f>
        <v>43' 4"</v>
      </c>
      <c r="F84" s="1">
        <f ca="1">IFERROR(__xludf.DUMMYFUNCTION("""COMPUTED_VALUE"""),13512)</f>
        <v>13512</v>
      </c>
      <c r="G84">
        <f ca="1">IFERROR(__xludf.DUMMYFUNCTION("""COMPUTED_VALUE"""),26)</f>
        <v>26</v>
      </c>
      <c r="H84" s="2">
        <f ca="1">IFERROR(__xludf.DUMMYFUNCTION("""COMPUTED_VALUE"""),1126)</f>
        <v>1126</v>
      </c>
      <c r="I84">
        <f ca="1">IFERROR(__xludf.DUMMYFUNCTION("""COMPUTED_VALUE"""),-2)</f>
        <v>-2</v>
      </c>
    </row>
    <row r="85" spans="1:9" ht="12.75">
      <c r="A85" t="str">
        <f ca="1">IFERROR(__xludf.DUMMYFUNCTION("""COMPUTED_VALUE"""),"T83")</f>
        <v>T83</v>
      </c>
      <c r="B85">
        <f ca="1">IFERROR(__xludf.DUMMYFUNCTION("""COMPUTED_VALUE"""),57)</f>
        <v>57</v>
      </c>
      <c r="C85" t="str">
        <f ca="1">IFERROR(__xludf.DUMMYFUNCTION("""COMPUTED_VALUE"""),"Dustin Johnson")</f>
        <v>Dustin Johnson</v>
      </c>
      <c r="D85">
        <f ca="1">IFERROR(__xludf.DUMMYFUNCTION("""COMPUTED_VALUE"""),8)</f>
        <v>8</v>
      </c>
      <c r="E85" t="str">
        <f ca="1">IFERROR(__xludf.DUMMYFUNCTION("""COMPUTED_VALUE"""),"43' 4""")</f>
        <v>43' 4"</v>
      </c>
      <c r="F85" s="1">
        <f ca="1">IFERROR(__xludf.DUMMYFUNCTION("""COMPUTED_VALUE"""),18191)</f>
        <v>18191</v>
      </c>
      <c r="G85">
        <f ca="1">IFERROR(__xludf.DUMMYFUNCTION("""COMPUTED_VALUE"""),35)</f>
        <v>35</v>
      </c>
      <c r="H85" s="2">
        <f ca="1">IFERROR(__xludf.DUMMYFUNCTION("""COMPUTED_VALUE"""),1515.917)</f>
        <v>1515.9169999999999</v>
      </c>
      <c r="I85" t="str">
        <f ca="1">IFERROR(__xludf.DUMMYFUNCTION("""COMPUTED_VALUE"""),"+5.00")</f>
        <v>+5.00</v>
      </c>
    </row>
    <row r="86" spans="1:9" ht="12.75">
      <c r="A86">
        <f ca="1">IFERROR(__xludf.DUMMYFUNCTION("""COMPUTED_VALUE"""),85)</f>
        <v>85</v>
      </c>
      <c r="B86" t="str">
        <f ca="1">IFERROR(__xludf.DUMMYFUNCTION("""COMPUTED_VALUE"""),"T21")</f>
        <v>T21</v>
      </c>
      <c r="C86" t="str">
        <f ca="1">IFERROR(__xludf.DUMMYFUNCTION("""COMPUTED_VALUE"""),"Keith Mitchell")</f>
        <v>Keith Mitchell</v>
      </c>
      <c r="D86">
        <f ca="1">IFERROR(__xludf.DUMMYFUNCTION("""COMPUTED_VALUE"""),14)</f>
        <v>14</v>
      </c>
      <c r="E86" t="str">
        <f ca="1">IFERROR(__xludf.DUMMYFUNCTION("""COMPUTED_VALUE"""),"43' 5""")</f>
        <v>43' 5"</v>
      </c>
      <c r="F86" s="1">
        <f ca="1">IFERROR(__xludf.DUMMYFUNCTION("""COMPUTED_VALUE"""),16152)</f>
        <v>16152</v>
      </c>
      <c r="G86">
        <f ca="1">IFERROR(__xludf.DUMMYFUNCTION("""COMPUTED_VALUE"""),31)</f>
        <v>31</v>
      </c>
      <c r="H86" s="2">
        <f ca="1">IFERROR(__xludf.DUMMYFUNCTION("""COMPUTED_VALUE"""),1346)</f>
        <v>1346</v>
      </c>
      <c r="I86" t="str">
        <f ca="1">IFERROR(__xludf.DUMMYFUNCTION("""COMPUTED_VALUE"""),"+4.00")</f>
        <v>+4.00</v>
      </c>
    </row>
    <row r="87" spans="1:9" ht="12.75">
      <c r="A87" t="str">
        <f ca="1">IFERROR(__xludf.DUMMYFUNCTION("""COMPUTED_VALUE"""),"T86")</f>
        <v>T86</v>
      </c>
      <c r="B87">
        <f ca="1">IFERROR(__xludf.DUMMYFUNCTION("""COMPUTED_VALUE"""),45)</f>
        <v>45</v>
      </c>
      <c r="C87" t="str">
        <f ca="1">IFERROR(__xludf.DUMMYFUNCTION("""COMPUTED_VALUE"""),"Kevin Chappell")</f>
        <v>Kevin Chappell</v>
      </c>
      <c r="D87">
        <f ca="1">IFERROR(__xludf.DUMMYFUNCTION("""COMPUTED_VALUE"""),16)</f>
        <v>16</v>
      </c>
      <c r="E87" t="str">
        <f ca="1">IFERROR(__xludf.DUMMYFUNCTION("""COMPUTED_VALUE"""),"43' 6""")</f>
        <v>43' 6"</v>
      </c>
      <c r="F87" s="1">
        <f ca="1">IFERROR(__xludf.DUMMYFUNCTION("""COMPUTED_VALUE"""),34462)</f>
        <v>34462</v>
      </c>
      <c r="G87">
        <f ca="1">IFERROR(__xludf.DUMMYFUNCTION("""COMPUTED_VALUE"""),66)</f>
        <v>66</v>
      </c>
      <c r="H87" s="2">
        <f ca="1">IFERROR(__xludf.DUMMYFUNCTION("""COMPUTED_VALUE"""),2871.833)</f>
        <v>2871.8330000000001</v>
      </c>
      <c r="I87" t="str">
        <f ca="1">IFERROR(__xludf.DUMMYFUNCTION("""COMPUTED_VALUE"""),"E")</f>
        <v>E</v>
      </c>
    </row>
    <row r="88" spans="1:9" ht="12.75">
      <c r="A88" t="str">
        <f ca="1">IFERROR(__xludf.DUMMYFUNCTION("""COMPUTED_VALUE"""),"T86")</f>
        <v>T86</v>
      </c>
      <c r="B88" t="str">
        <f ca="1">IFERROR(__xludf.DUMMYFUNCTION("""COMPUTED_VALUE"""),"T113")</f>
        <v>T113</v>
      </c>
      <c r="C88" t="str">
        <f ca="1">IFERROR(__xludf.DUMMYFUNCTION("""COMPUTED_VALUE"""),"Nick Taylor")</f>
        <v>Nick Taylor</v>
      </c>
      <c r="D88">
        <f ca="1">IFERROR(__xludf.DUMMYFUNCTION("""COMPUTED_VALUE"""),12)</f>
        <v>12</v>
      </c>
      <c r="E88" t="str">
        <f ca="1">IFERROR(__xludf.DUMMYFUNCTION("""COMPUTED_VALUE"""),"43' 6""")</f>
        <v>43' 6"</v>
      </c>
      <c r="F88" s="1">
        <f ca="1">IFERROR(__xludf.DUMMYFUNCTION("""COMPUTED_VALUE"""),19331)</f>
        <v>19331</v>
      </c>
      <c r="G88">
        <f ca="1">IFERROR(__xludf.DUMMYFUNCTION("""COMPUTED_VALUE"""),37)</f>
        <v>37</v>
      </c>
      <c r="H88" s="2">
        <f ca="1">IFERROR(__xludf.DUMMYFUNCTION("""COMPUTED_VALUE"""),1610.917)</f>
        <v>1610.9169999999999</v>
      </c>
      <c r="I88" t="str">
        <f ca="1">IFERROR(__xludf.DUMMYFUNCTION("""COMPUTED_VALUE"""),"+6.00")</f>
        <v>+6.00</v>
      </c>
    </row>
    <row r="89" spans="1:9" ht="12.75">
      <c r="A89" t="str">
        <f ca="1">IFERROR(__xludf.DUMMYFUNCTION("""COMPUTED_VALUE"""),"T88")</f>
        <v>T88</v>
      </c>
      <c r="B89">
        <f ca="1">IFERROR(__xludf.DUMMYFUNCTION("""COMPUTED_VALUE"""),48)</f>
        <v>48</v>
      </c>
      <c r="C89" t="str">
        <f ca="1">IFERROR(__xludf.DUMMYFUNCTION("""COMPUTED_VALUE"""),"Corey Conners")</f>
        <v>Corey Conners</v>
      </c>
      <c r="D89">
        <f ca="1">IFERROR(__xludf.DUMMYFUNCTION("""COMPUTED_VALUE"""),20)</f>
        <v>20</v>
      </c>
      <c r="E89" t="str">
        <f ca="1">IFERROR(__xludf.DUMMYFUNCTION("""COMPUTED_VALUE"""),"43' 7""")</f>
        <v>43' 7"</v>
      </c>
      <c r="F89" s="1">
        <f ca="1">IFERROR(__xludf.DUMMYFUNCTION("""COMPUTED_VALUE"""),27715)</f>
        <v>27715</v>
      </c>
      <c r="G89">
        <f ca="1">IFERROR(__xludf.DUMMYFUNCTION("""COMPUTED_VALUE"""),53)</f>
        <v>53</v>
      </c>
      <c r="H89" s="2">
        <f ca="1">IFERROR(__xludf.DUMMYFUNCTION("""COMPUTED_VALUE"""),2309.583)</f>
        <v>2309.5830000000001</v>
      </c>
      <c r="I89">
        <f ca="1">IFERROR(__xludf.DUMMYFUNCTION("""COMPUTED_VALUE"""),-1)</f>
        <v>-1</v>
      </c>
    </row>
    <row r="90" spans="1:9" ht="12.75">
      <c r="A90" t="str">
        <f ca="1">IFERROR(__xludf.DUMMYFUNCTION("""COMPUTED_VALUE"""),"T88")</f>
        <v>T88</v>
      </c>
      <c r="B90" t="str">
        <f ca="1">IFERROR(__xludf.DUMMYFUNCTION("""COMPUTED_VALUE"""),"T115")</f>
        <v>T115</v>
      </c>
      <c r="C90" t="str">
        <f ca="1">IFERROR(__xludf.DUMMYFUNCTION("""COMPUTED_VALUE"""),"Shawn Stefani")</f>
        <v>Shawn Stefani</v>
      </c>
      <c r="D90">
        <f ca="1">IFERROR(__xludf.DUMMYFUNCTION("""COMPUTED_VALUE"""),5)</f>
        <v>5</v>
      </c>
      <c r="E90" t="str">
        <f ca="1">IFERROR(__xludf.DUMMYFUNCTION("""COMPUTED_VALUE"""),"43' 7""")</f>
        <v>43' 7"</v>
      </c>
      <c r="F90" s="1">
        <f ca="1">IFERROR(__xludf.DUMMYFUNCTION("""COMPUTED_VALUE"""),6271)</f>
        <v>6271</v>
      </c>
      <c r="G90">
        <f ca="1">IFERROR(__xludf.DUMMYFUNCTION("""COMPUTED_VALUE"""),12)</f>
        <v>12</v>
      </c>
      <c r="H90">
        <f ca="1">IFERROR(__xludf.DUMMYFUNCTION("""COMPUTED_VALUE"""),522.583)</f>
        <v>522.58299999999997</v>
      </c>
      <c r="I90" t="str">
        <f ca="1">IFERROR(__xludf.DUMMYFUNCTION("""COMPUTED_VALUE"""),"+5.00")</f>
        <v>+5.00</v>
      </c>
    </row>
    <row r="91" spans="1:9" ht="12.75">
      <c r="A91" t="str">
        <f ca="1">IFERROR(__xludf.DUMMYFUNCTION("""COMPUTED_VALUE"""),"T90")</f>
        <v>T90</v>
      </c>
      <c r="B91">
        <f ca="1">IFERROR(__xludf.DUMMYFUNCTION("""COMPUTED_VALUE"""),98)</f>
        <v>98</v>
      </c>
      <c r="C91" t="str">
        <f ca="1">IFERROR(__xludf.DUMMYFUNCTION("""COMPUTED_VALUE"""),"Xinjun Zhang")</f>
        <v>Xinjun Zhang</v>
      </c>
      <c r="D91">
        <f ca="1">IFERROR(__xludf.DUMMYFUNCTION("""COMPUTED_VALUE"""),14)</f>
        <v>14</v>
      </c>
      <c r="E91" t="str">
        <f ca="1">IFERROR(__xludf.DUMMYFUNCTION("""COMPUTED_VALUE"""),"43' 8""")</f>
        <v>43' 8"</v>
      </c>
      <c r="F91" s="1">
        <f ca="1">IFERROR(__xludf.DUMMYFUNCTION("""COMPUTED_VALUE"""),26215)</f>
        <v>26215</v>
      </c>
      <c r="G91">
        <f ca="1">IFERROR(__xludf.DUMMYFUNCTION("""COMPUTED_VALUE"""),50)</f>
        <v>50</v>
      </c>
      <c r="H91" s="2">
        <f ca="1">IFERROR(__xludf.DUMMYFUNCTION("""COMPUTED_VALUE"""),2184.583)</f>
        <v>2184.5830000000001</v>
      </c>
      <c r="I91" t="str">
        <f ca="1">IFERROR(__xludf.DUMMYFUNCTION("""COMPUTED_VALUE"""),"E")</f>
        <v>E</v>
      </c>
    </row>
    <row r="92" spans="1:9" ht="12.75">
      <c r="A92" t="str">
        <f ca="1">IFERROR(__xludf.DUMMYFUNCTION("""COMPUTED_VALUE"""),"T90")</f>
        <v>T90</v>
      </c>
      <c r="B92" t="str">
        <f ca="1">IFERROR(__xludf.DUMMYFUNCTION("""COMPUTED_VALUE"""),"T138")</f>
        <v>T138</v>
      </c>
      <c r="C92" t="str">
        <f ca="1">IFERROR(__xludf.DUMMYFUNCTION("""COMPUTED_VALUE"""),"Bo Hoag")</f>
        <v>Bo Hoag</v>
      </c>
      <c r="D92">
        <f ca="1">IFERROR(__xludf.DUMMYFUNCTION("""COMPUTED_VALUE"""),14)</f>
        <v>14</v>
      </c>
      <c r="E92" t="str">
        <f ca="1">IFERROR(__xludf.DUMMYFUNCTION("""COMPUTED_VALUE"""),"43' 8""")</f>
        <v>43' 8"</v>
      </c>
      <c r="F92" s="1">
        <f ca="1">IFERROR(__xludf.DUMMYFUNCTION("""COMPUTED_VALUE"""),19916)</f>
        <v>19916</v>
      </c>
      <c r="G92">
        <f ca="1">IFERROR(__xludf.DUMMYFUNCTION("""COMPUTED_VALUE"""),38)</f>
        <v>38</v>
      </c>
      <c r="H92" s="2">
        <f ca="1">IFERROR(__xludf.DUMMYFUNCTION("""COMPUTED_VALUE"""),1659.667)</f>
        <v>1659.6669999999999</v>
      </c>
      <c r="I92">
        <f ca="1">IFERROR(__xludf.DUMMYFUNCTION("""COMPUTED_VALUE"""),-2)</f>
        <v>-2</v>
      </c>
    </row>
    <row r="93" spans="1:9" ht="12.75">
      <c r="A93">
        <f ca="1">IFERROR(__xludf.DUMMYFUNCTION("""COMPUTED_VALUE"""),92)</f>
        <v>92</v>
      </c>
      <c r="B93">
        <f ca="1">IFERROR(__xludf.DUMMYFUNCTION("""COMPUTED_VALUE"""),118)</f>
        <v>118</v>
      </c>
      <c r="C93" t="str">
        <f ca="1">IFERROR(__xludf.DUMMYFUNCTION("""COMPUTED_VALUE"""),"Doug Ghim")</f>
        <v>Doug Ghim</v>
      </c>
      <c r="D93">
        <f ca="1">IFERROR(__xludf.DUMMYFUNCTION("""COMPUTED_VALUE"""),14)</f>
        <v>14</v>
      </c>
      <c r="E93" t="str">
        <f ca="1">IFERROR(__xludf.DUMMYFUNCTION("""COMPUTED_VALUE"""),"43' 9""")</f>
        <v>43' 9"</v>
      </c>
      <c r="F93" s="1">
        <f ca="1">IFERROR(__xludf.DUMMYFUNCTION("""COMPUTED_VALUE"""),16791)</f>
        <v>16791</v>
      </c>
      <c r="G93">
        <f ca="1">IFERROR(__xludf.DUMMYFUNCTION("""COMPUTED_VALUE"""),32)</f>
        <v>32</v>
      </c>
      <c r="H93" s="2">
        <f ca="1">IFERROR(__xludf.DUMMYFUNCTION("""COMPUTED_VALUE"""),1399.25)</f>
        <v>1399.25</v>
      </c>
      <c r="I93">
        <f ca="1">IFERROR(__xludf.DUMMYFUNCTION("""COMPUTED_VALUE"""),-2)</f>
        <v>-2</v>
      </c>
    </row>
    <row r="94" spans="1:9" ht="12.75">
      <c r="A94">
        <f ca="1">IFERROR(__xludf.DUMMYFUNCTION("""COMPUTED_VALUE"""),93)</f>
        <v>93</v>
      </c>
      <c r="B94" t="str">
        <f ca="1">IFERROR(__xludf.DUMMYFUNCTION("""COMPUTED_VALUE"""),"T119")</f>
        <v>T119</v>
      </c>
      <c r="C94" t="str">
        <f ca="1">IFERROR(__xludf.DUMMYFUNCTION("""COMPUTED_VALUE"""),"Paul Casey")</f>
        <v>Paul Casey</v>
      </c>
      <c r="D94">
        <f ca="1">IFERROR(__xludf.DUMMYFUNCTION("""COMPUTED_VALUE"""),14)</f>
        <v>14</v>
      </c>
      <c r="E94" t="str">
        <f ca="1">IFERROR(__xludf.DUMMYFUNCTION("""COMPUTED_VALUE"""),"43' 10""")</f>
        <v>43' 10"</v>
      </c>
      <c r="F94" s="1">
        <f ca="1">IFERROR(__xludf.DUMMYFUNCTION("""COMPUTED_VALUE"""),24213)</f>
        <v>24213</v>
      </c>
      <c r="G94">
        <f ca="1">IFERROR(__xludf.DUMMYFUNCTION("""COMPUTED_VALUE"""),46)</f>
        <v>46</v>
      </c>
      <c r="H94" s="2">
        <f ca="1">IFERROR(__xludf.DUMMYFUNCTION("""COMPUTED_VALUE"""),2017.75)</f>
        <v>2017.75</v>
      </c>
      <c r="I94" t="str">
        <f ca="1">IFERROR(__xludf.DUMMYFUNCTION("""COMPUTED_VALUE"""),"+6.00")</f>
        <v>+6.00</v>
      </c>
    </row>
    <row r="95" spans="1:9" ht="12.75">
      <c r="A95">
        <f ca="1">IFERROR(__xludf.DUMMYFUNCTION("""COMPUTED_VALUE"""),94)</f>
        <v>94</v>
      </c>
      <c r="B95" t="str">
        <f ca="1">IFERROR(__xludf.DUMMYFUNCTION("""COMPUTED_VALUE"""),"T122")</f>
        <v>T122</v>
      </c>
      <c r="C95" t="str">
        <f ca="1">IFERROR(__xludf.DUMMYFUNCTION("""COMPUTED_VALUE"""),"Rhein Gibson")</f>
        <v>Rhein Gibson</v>
      </c>
      <c r="D95">
        <f ca="1">IFERROR(__xludf.DUMMYFUNCTION("""COMPUTED_VALUE"""),10)</f>
        <v>10</v>
      </c>
      <c r="E95" t="str">
        <f ca="1">IFERROR(__xludf.DUMMYFUNCTION("""COMPUTED_VALUE"""),"44' 0""")</f>
        <v>44' 0"</v>
      </c>
      <c r="F95" s="1">
        <f ca="1">IFERROR(__xludf.DUMMYFUNCTION("""COMPUTED_VALUE"""),11080)</f>
        <v>11080</v>
      </c>
      <c r="G95">
        <f ca="1">IFERROR(__xludf.DUMMYFUNCTION("""COMPUTED_VALUE"""),21)</f>
        <v>21</v>
      </c>
      <c r="H95">
        <f ca="1">IFERROR(__xludf.DUMMYFUNCTION("""COMPUTED_VALUE"""),923.333)</f>
        <v>923.33299999999997</v>
      </c>
      <c r="I95" t="str">
        <f ca="1">IFERROR(__xludf.DUMMYFUNCTION("""COMPUTED_VALUE"""),"+4.00")</f>
        <v>+4.00</v>
      </c>
    </row>
    <row r="96" spans="1:9" ht="12.75">
      <c r="A96">
        <f ca="1">IFERROR(__xludf.DUMMYFUNCTION("""COMPUTED_VALUE"""),95)</f>
        <v>95</v>
      </c>
      <c r="B96">
        <f ca="1">IFERROR(__xludf.DUMMYFUNCTION("""COMPUTED_VALUE"""),124)</f>
        <v>124</v>
      </c>
      <c r="C96" t="str">
        <f ca="1">IFERROR(__xludf.DUMMYFUNCTION("""COMPUTED_VALUE"""),"Patrick Reed")</f>
        <v>Patrick Reed</v>
      </c>
      <c r="D96">
        <f ca="1">IFERROR(__xludf.DUMMYFUNCTION("""COMPUTED_VALUE"""),8)</f>
        <v>8</v>
      </c>
      <c r="E96" t="str">
        <f ca="1">IFERROR(__xludf.DUMMYFUNCTION("""COMPUTED_VALUE"""),"44' 1""")</f>
        <v>44' 1"</v>
      </c>
      <c r="F96" s="1">
        <f ca="1">IFERROR(__xludf.DUMMYFUNCTION("""COMPUTED_VALUE"""),21141)</f>
        <v>21141</v>
      </c>
      <c r="G96">
        <f ca="1">IFERROR(__xludf.DUMMYFUNCTION("""COMPUTED_VALUE"""),40)</f>
        <v>40</v>
      </c>
      <c r="H96" s="2">
        <f ca="1">IFERROR(__xludf.DUMMYFUNCTION("""COMPUTED_VALUE"""),1761.75)</f>
        <v>1761.75</v>
      </c>
      <c r="I96" t="str">
        <f ca="1">IFERROR(__xludf.DUMMYFUNCTION("""COMPUTED_VALUE"""),"+2.00")</f>
        <v>+2.00</v>
      </c>
    </row>
    <row r="97" spans="1:9" ht="12.75">
      <c r="A97" t="str">
        <f ca="1">IFERROR(__xludf.DUMMYFUNCTION("""COMPUTED_VALUE"""),"T96")</f>
        <v>T96</v>
      </c>
      <c r="B97">
        <f ca="1">IFERROR(__xludf.DUMMYFUNCTION("""COMPUTED_VALUE"""),24)</f>
        <v>24</v>
      </c>
      <c r="C97" t="str">
        <f ca="1">IFERROR(__xludf.DUMMYFUNCTION("""COMPUTED_VALUE"""),"Russell Henley")</f>
        <v>Russell Henley</v>
      </c>
      <c r="D97">
        <f ca="1">IFERROR(__xludf.DUMMYFUNCTION("""COMPUTED_VALUE"""),16)</f>
        <v>16</v>
      </c>
      <c r="E97" t="str">
        <f ca="1">IFERROR(__xludf.DUMMYFUNCTION("""COMPUTED_VALUE"""),"44' 2""")</f>
        <v>44' 2"</v>
      </c>
      <c r="F97" s="1">
        <f ca="1">IFERROR(__xludf.DUMMYFUNCTION("""COMPUTED_VALUE"""),19076)</f>
        <v>19076</v>
      </c>
      <c r="G97">
        <f ca="1">IFERROR(__xludf.DUMMYFUNCTION("""COMPUTED_VALUE"""),36)</f>
        <v>36</v>
      </c>
      <c r="H97" s="2">
        <f ca="1">IFERROR(__xludf.DUMMYFUNCTION("""COMPUTED_VALUE"""),1589.667)</f>
        <v>1589.6669999999999</v>
      </c>
      <c r="I97">
        <f ca="1">IFERROR(__xludf.DUMMYFUNCTION("""COMPUTED_VALUE"""),-2)</f>
        <v>-2</v>
      </c>
    </row>
    <row r="98" spans="1:9" ht="12.75">
      <c r="A98" t="str">
        <f ca="1">IFERROR(__xludf.DUMMYFUNCTION("""COMPUTED_VALUE"""),"T96")</f>
        <v>T96</v>
      </c>
      <c r="B98">
        <f ca="1">IFERROR(__xludf.DUMMYFUNCTION("""COMPUTED_VALUE"""),97)</f>
        <v>97</v>
      </c>
      <c r="C98" t="str">
        <f ca="1">IFERROR(__xludf.DUMMYFUNCTION("""COMPUTED_VALUE"""),"Luke List")</f>
        <v>Luke List</v>
      </c>
      <c r="D98">
        <f ca="1">IFERROR(__xludf.DUMMYFUNCTION("""COMPUTED_VALUE"""),18)</f>
        <v>18</v>
      </c>
      <c r="E98" t="str">
        <f ca="1">IFERROR(__xludf.DUMMYFUNCTION("""COMPUTED_VALUE"""),"44' 2""")</f>
        <v>44' 2"</v>
      </c>
      <c r="F98" s="1">
        <f ca="1">IFERROR(__xludf.DUMMYFUNCTION("""COMPUTED_VALUE"""),23829)</f>
        <v>23829</v>
      </c>
      <c r="G98">
        <f ca="1">IFERROR(__xludf.DUMMYFUNCTION("""COMPUTED_VALUE"""),45)</f>
        <v>45</v>
      </c>
      <c r="H98" s="2">
        <f ca="1">IFERROR(__xludf.DUMMYFUNCTION("""COMPUTED_VALUE"""),1985.75)</f>
        <v>1985.75</v>
      </c>
      <c r="I98" t="str">
        <f ca="1">IFERROR(__xludf.DUMMYFUNCTION("""COMPUTED_VALUE"""),"+2.00")</f>
        <v>+2.00</v>
      </c>
    </row>
    <row r="99" spans="1:9" ht="12.75">
      <c r="A99" t="str">
        <f ca="1">IFERROR(__xludf.DUMMYFUNCTION("""COMPUTED_VALUE"""),"T98")</f>
        <v>T98</v>
      </c>
      <c r="B99">
        <f ca="1">IFERROR(__xludf.DUMMYFUNCTION("""COMPUTED_VALUE"""),126)</f>
        <v>126</v>
      </c>
      <c r="C99" t="str">
        <f ca="1">IFERROR(__xludf.DUMMYFUNCTION("""COMPUTED_VALUE"""),"Bernd Wiesberger")</f>
        <v>Bernd Wiesberger</v>
      </c>
      <c r="D99">
        <f ca="1">IFERROR(__xludf.DUMMYFUNCTION("""COMPUTED_VALUE"""),4)</f>
        <v>4</v>
      </c>
      <c r="E99" t="str">
        <f ca="1">IFERROR(__xludf.DUMMYFUNCTION("""COMPUTED_VALUE"""),"44' 3""")</f>
        <v>44' 3"</v>
      </c>
      <c r="F99" s="1">
        <f ca="1">IFERROR(__xludf.DUMMYFUNCTION("""COMPUTED_VALUE"""),12754)</f>
        <v>12754</v>
      </c>
      <c r="G99">
        <f ca="1">IFERROR(__xludf.DUMMYFUNCTION("""COMPUTED_VALUE"""),24)</f>
        <v>24</v>
      </c>
      <c r="H99" s="2">
        <f ca="1">IFERROR(__xludf.DUMMYFUNCTION("""COMPUTED_VALUE"""),1062.833)</f>
        <v>1062.8330000000001</v>
      </c>
      <c r="I99" t="str">
        <f ca="1">IFERROR(__xludf.DUMMYFUNCTION("""COMPUTED_VALUE"""),"+6.00")</f>
        <v>+6.00</v>
      </c>
    </row>
    <row r="100" spans="1:9" ht="12.75">
      <c r="A100" t="str">
        <f ca="1">IFERROR(__xludf.DUMMYFUNCTION("""COMPUTED_VALUE"""),"T98")</f>
        <v>T98</v>
      </c>
      <c r="B100" t="str">
        <f ca="1">IFERROR(__xludf.DUMMYFUNCTION("""COMPUTED_VALUE"""),"T79")</f>
        <v>T79</v>
      </c>
      <c r="C100" t="str">
        <f ca="1">IFERROR(__xludf.DUMMYFUNCTION("""COMPUTED_VALUE"""),"Carlos Ortiz")</f>
        <v>Carlos Ortiz</v>
      </c>
      <c r="D100">
        <f ca="1">IFERROR(__xludf.DUMMYFUNCTION("""COMPUTED_VALUE"""),20)</f>
        <v>20</v>
      </c>
      <c r="E100" t="str">
        <f ca="1">IFERROR(__xludf.DUMMYFUNCTION("""COMPUTED_VALUE"""),"44' 3""")</f>
        <v>44' 3"</v>
      </c>
      <c r="F100" s="1">
        <f ca="1">IFERROR(__xludf.DUMMYFUNCTION("""COMPUTED_VALUE"""),37679)</f>
        <v>37679</v>
      </c>
      <c r="G100">
        <f ca="1">IFERROR(__xludf.DUMMYFUNCTION("""COMPUTED_VALUE"""),71)</f>
        <v>71</v>
      </c>
      <c r="H100" s="2">
        <f ca="1">IFERROR(__xludf.DUMMYFUNCTION("""COMPUTED_VALUE"""),3139.917)</f>
        <v>3139.9169999999999</v>
      </c>
      <c r="I100" t="str">
        <f ca="1">IFERROR(__xludf.DUMMYFUNCTION("""COMPUTED_VALUE"""),"+4.00")</f>
        <v>+4.00</v>
      </c>
    </row>
    <row r="101" spans="1:9" ht="12.75">
      <c r="A101" t="str">
        <f ca="1">IFERROR(__xludf.DUMMYFUNCTION("""COMPUTED_VALUE"""),"T98")</f>
        <v>T98</v>
      </c>
      <c r="B101">
        <f ca="1">IFERROR(__xludf.DUMMYFUNCTION("""COMPUTED_VALUE"""),125)</f>
        <v>125</v>
      </c>
      <c r="C101" t="str">
        <f ca="1">IFERROR(__xludf.DUMMYFUNCTION("""COMPUTED_VALUE"""),"Andrew Landry")</f>
        <v>Andrew Landry</v>
      </c>
      <c r="D101">
        <f ca="1">IFERROR(__xludf.DUMMYFUNCTION("""COMPUTED_VALUE"""),14)</f>
        <v>14</v>
      </c>
      <c r="E101" t="str">
        <f ca="1">IFERROR(__xludf.DUMMYFUNCTION("""COMPUTED_VALUE"""),"44' 3""")</f>
        <v>44' 3"</v>
      </c>
      <c r="F101" s="1">
        <f ca="1">IFERROR(__xludf.DUMMYFUNCTION("""COMPUTED_VALUE"""),21785)</f>
        <v>21785</v>
      </c>
      <c r="G101">
        <f ca="1">IFERROR(__xludf.DUMMYFUNCTION("""COMPUTED_VALUE"""),41)</f>
        <v>41</v>
      </c>
      <c r="H101" s="2">
        <f ca="1">IFERROR(__xludf.DUMMYFUNCTION("""COMPUTED_VALUE"""),1815.417)</f>
        <v>1815.4169999999999</v>
      </c>
      <c r="I101" t="str">
        <f ca="1">IFERROR(__xludf.DUMMYFUNCTION("""COMPUTED_VALUE"""),"+8.00")</f>
        <v>+8.00</v>
      </c>
    </row>
    <row r="102" spans="1:9" ht="12.75">
      <c r="A102">
        <f ca="1">IFERROR(__xludf.DUMMYFUNCTION("""COMPUTED_VALUE"""),101)</f>
        <v>101</v>
      </c>
      <c r="B102" t="str">
        <f ca="1">IFERROR(__xludf.DUMMYFUNCTION("""COMPUTED_VALUE"""),"T76")</f>
        <v>T76</v>
      </c>
      <c r="C102" t="str">
        <f ca="1">IFERROR(__xludf.DUMMYFUNCTION("""COMPUTED_VALUE"""),"Patrick Rodgers")</f>
        <v>Patrick Rodgers</v>
      </c>
      <c r="D102">
        <f ca="1">IFERROR(__xludf.DUMMYFUNCTION("""COMPUTED_VALUE"""),18)</f>
        <v>18</v>
      </c>
      <c r="E102" t="str">
        <f ca="1">IFERROR(__xludf.DUMMYFUNCTION("""COMPUTED_VALUE"""),"44' 4""")</f>
        <v>44' 4"</v>
      </c>
      <c r="F102" s="1">
        <f ca="1">IFERROR(__xludf.DUMMYFUNCTION("""COMPUTED_VALUE"""),34566)</f>
        <v>34566</v>
      </c>
      <c r="G102">
        <f ca="1">IFERROR(__xludf.DUMMYFUNCTION("""COMPUTED_VALUE"""),65)</f>
        <v>65</v>
      </c>
      <c r="H102" s="2">
        <f ca="1">IFERROR(__xludf.DUMMYFUNCTION("""COMPUTED_VALUE"""),2880.5)</f>
        <v>2880.5</v>
      </c>
      <c r="I102" t="str">
        <f ca="1">IFERROR(__xludf.DUMMYFUNCTION("""COMPUTED_VALUE"""),"+6.00")</f>
        <v>+6.00</v>
      </c>
    </row>
    <row r="103" spans="1:9" ht="12.75">
      <c r="A103" t="str">
        <f ca="1">IFERROR(__xludf.DUMMYFUNCTION("""COMPUTED_VALUE"""),"T102")</f>
        <v>T102</v>
      </c>
      <c r="B103" t="str">
        <f ca="1">IFERROR(__xludf.DUMMYFUNCTION("""COMPUTED_VALUE"""),"T63")</f>
        <v>T63</v>
      </c>
      <c r="C103" t="str">
        <f ca="1">IFERROR(__xludf.DUMMYFUNCTION("""COMPUTED_VALUE"""),"C.T. Pan")</f>
        <v>C.T. Pan</v>
      </c>
      <c r="D103">
        <f ca="1">IFERROR(__xludf.DUMMYFUNCTION("""COMPUTED_VALUE"""),20)</f>
        <v>20</v>
      </c>
      <c r="E103" t="str">
        <f ca="1">IFERROR(__xludf.DUMMYFUNCTION("""COMPUTED_VALUE"""),"44' 5""")</f>
        <v>44' 5"</v>
      </c>
      <c r="F103" s="1">
        <f ca="1">IFERROR(__xludf.DUMMYFUNCTION("""COMPUTED_VALUE"""),35203)</f>
        <v>35203</v>
      </c>
      <c r="G103">
        <f ca="1">IFERROR(__xludf.DUMMYFUNCTION("""COMPUTED_VALUE"""),66)</f>
        <v>66</v>
      </c>
      <c r="H103" s="2">
        <f ca="1">IFERROR(__xludf.DUMMYFUNCTION("""COMPUTED_VALUE"""),2933.583)</f>
        <v>2933.5830000000001</v>
      </c>
      <c r="I103">
        <f ca="1">IFERROR(__xludf.DUMMYFUNCTION("""COMPUTED_VALUE"""),-1)</f>
        <v>-1</v>
      </c>
    </row>
    <row r="104" spans="1:9" ht="12.75">
      <c r="A104" t="str">
        <f ca="1">IFERROR(__xludf.DUMMYFUNCTION("""COMPUTED_VALUE"""),"T102")</f>
        <v>T102</v>
      </c>
      <c r="B104" t="str">
        <f ca="1">IFERROR(__xludf.DUMMYFUNCTION("""COMPUTED_VALUE"""),"T128")</f>
        <v>T128</v>
      </c>
      <c r="C104" t="str">
        <f ca="1">IFERROR(__xludf.DUMMYFUNCTION("""COMPUTED_VALUE"""),"D.J. Trahan")</f>
        <v>D.J. Trahan</v>
      </c>
      <c r="D104">
        <f ca="1">IFERROR(__xludf.DUMMYFUNCTION("""COMPUTED_VALUE"""),16)</f>
        <v>16</v>
      </c>
      <c r="E104" t="str">
        <f ca="1">IFERROR(__xludf.DUMMYFUNCTION("""COMPUTED_VALUE"""),"44' 5""")</f>
        <v>44' 5"</v>
      </c>
      <c r="F104" s="1">
        <f ca="1">IFERROR(__xludf.DUMMYFUNCTION("""COMPUTED_VALUE"""),20801)</f>
        <v>20801</v>
      </c>
      <c r="G104">
        <f ca="1">IFERROR(__xludf.DUMMYFUNCTION("""COMPUTED_VALUE"""),39)</f>
        <v>39</v>
      </c>
      <c r="H104" s="2">
        <f ca="1">IFERROR(__xludf.DUMMYFUNCTION("""COMPUTED_VALUE"""),1733.417)</f>
        <v>1733.4169999999999</v>
      </c>
      <c r="I104">
        <f ca="1">IFERROR(__xludf.DUMMYFUNCTION("""COMPUTED_VALUE"""),-3)</f>
        <v>-3</v>
      </c>
    </row>
    <row r="105" spans="1:9" ht="12.75">
      <c r="A105" t="str">
        <f ca="1">IFERROR(__xludf.DUMMYFUNCTION("""COMPUTED_VALUE"""),"T104")</f>
        <v>T104</v>
      </c>
      <c r="B105">
        <f ca="1">IFERROR(__xludf.DUMMYFUNCTION("""COMPUTED_VALUE"""),51)</f>
        <v>51</v>
      </c>
      <c r="C105" t="str">
        <f ca="1">IFERROR(__xludf.DUMMYFUNCTION("""COMPUTED_VALUE"""),"Matt Jones")</f>
        <v>Matt Jones</v>
      </c>
      <c r="D105">
        <f ca="1">IFERROR(__xludf.DUMMYFUNCTION("""COMPUTED_VALUE"""),20)</f>
        <v>20</v>
      </c>
      <c r="E105" t="str">
        <f ca="1">IFERROR(__xludf.DUMMYFUNCTION("""COMPUTED_VALUE"""),"44' 6""")</f>
        <v>44' 6"</v>
      </c>
      <c r="F105" s="1">
        <f ca="1">IFERROR(__xludf.DUMMYFUNCTION("""COMPUTED_VALUE"""),26695)</f>
        <v>26695</v>
      </c>
      <c r="G105">
        <f ca="1">IFERROR(__xludf.DUMMYFUNCTION("""COMPUTED_VALUE"""),50)</f>
        <v>50</v>
      </c>
      <c r="H105" s="2">
        <f ca="1">IFERROR(__xludf.DUMMYFUNCTION("""COMPUTED_VALUE"""),2224.583)</f>
        <v>2224.5830000000001</v>
      </c>
      <c r="I105" t="str">
        <f ca="1">IFERROR(__xludf.DUMMYFUNCTION("""COMPUTED_VALUE"""),"+9.00")</f>
        <v>+9.00</v>
      </c>
    </row>
    <row r="106" spans="1:9" ht="12.75">
      <c r="A106" t="str">
        <f ca="1">IFERROR(__xludf.DUMMYFUNCTION("""COMPUTED_VALUE"""),"T104")</f>
        <v>T104</v>
      </c>
      <c r="B106" t="str">
        <f ca="1">IFERROR(__xludf.DUMMYFUNCTION("""COMPUTED_VALUE"""),"T26")</f>
        <v>T26</v>
      </c>
      <c r="C106" t="str">
        <f ca="1">IFERROR(__xludf.DUMMYFUNCTION("""COMPUTED_VALUE"""),"Martin Laird")</f>
        <v>Martin Laird</v>
      </c>
      <c r="D106">
        <f ca="1">IFERROR(__xludf.DUMMYFUNCTION("""COMPUTED_VALUE"""),16)</f>
        <v>16</v>
      </c>
      <c r="E106" t="str">
        <f ca="1">IFERROR(__xludf.DUMMYFUNCTION("""COMPUTED_VALUE"""),"44' 6""")</f>
        <v>44' 6"</v>
      </c>
      <c r="F106" s="1">
        <f ca="1">IFERROR(__xludf.DUMMYFUNCTION("""COMPUTED_VALUE"""),20822)</f>
        <v>20822</v>
      </c>
      <c r="G106">
        <f ca="1">IFERROR(__xludf.DUMMYFUNCTION("""COMPUTED_VALUE"""),39)</f>
        <v>39</v>
      </c>
      <c r="H106" s="2">
        <f ca="1">IFERROR(__xludf.DUMMYFUNCTION("""COMPUTED_VALUE"""),1735.167)</f>
        <v>1735.1669999999999</v>
      </c>
      <c r="I106" t="str">
        <f ca="1">IFERROR(__xludf.DUMMYFUNCTION("""COMPUTED_VALUE"""),"+8.00")</f>
        <v>+8.00</v>
      </c>
    </row>
    <row r="107" spans="1:9" ht="12.75">
      <c r="A107" t="str">
        <f ca="1">IFERROR(__xludf.DUMMYFUNCTION("""COMPUTED_VALUE"""),"T104")</f>
        <v>T104</v>
      </c>
      <c r="B107">
        <f ca="1">IFERROR(__xludf.DUMMYFUNCTION("""COMPUTED_VALUE"""),121)</f>
        <v>121</v>
      </c>
      <c r="C107" t="str">
        <f ca="1">IFERROR(__xludf.DUMMYFUNCTION("""COMPUTED_VALUE"""),"James Hahn")</f>
        <v>James Hahn</v>
      </c>
      <c r="D107">
        <f ca="1">IFERROR(__xludf.DUMMYFUNCTION("""COMPUTED_VALUE"""),16)</f>
        <v>16</v>
      </c>
      <c r="E107" t="str">
        <f ca="1">IFERROR(__xludf.DUMMYFUNCTION("""COMPUTED_VALUE"""),"44' 6""")</f>
        <v>44' 6"</v>
      </c>
      <c r="F107" s="1">
        <f ca="1">IFERROR(__xludf.DUMMYFUNCTION("""COMPUTED_VALUE"""),16549)</f>
        <v>16549</v>
      </c>
      <c r="G107">
        <f ca="1">IFERROR(__xludf.DUMMYFUNCTION("""COMPUTED_VALUE"""),31)</f>
        <v>31</v>
      </c>
      <c r="H107" s="2">
        <f ca="1">IFERROR(__xludf.DUMMYFUNCTION("""COMPUTED_VALUE"""),1379.083)</f>
        <v>1379.0830000000001</v>
      </c>
      <c r="I107" t="str">
        <f ca="1">IFERROR(__xludf.DUMMYFUNCTION("""COMPUTED_VALUE"""),"E")</f>
        <v>E</v>
      </c>
    </row>
    <row r="108" spans="1:9" ht="12.75">
      <c r="A108" t="str">
        <f ca="1">IFERROR(__xludf.DUMMYFUNCTION("""COMPUTED_VALUE"""),"T107")</f>
        <v>T107</v>
      </c>
      <c r="B108">
        <f ca="1">IFERROR(__xludf.DUMMYFUNCTION("""COMPUTED_VALUE"""),9)</f>
        <v>9</v>
      </c>
      <c r="C108" t="str">
        <f ca="1">IFERROR(__xludf.DUMMYFUNCTION("""COMPUTED_VALUE"""),"John Huh")</f>
        <v>John Huh</v>
      </c>
      <c r="D108">
        <f ca="1">IFERROR(__xludf.DUMMYFUNCTION("""COMPUTED_VALUE"""),8)</f>
        <v>8</v>
      </c>
      <c r="E108" t="str">
        <f ca="1">IFERROR(__xludf.DUMMYFUNCTION("""COMPUTED_VALUE"""),"44' 7""")</f>
        <v>44' 7"</v>
      </c>
      <c r="F108" s="1">
        <f ca="1">IFERROR(__xludf.DUMMYFUNCTION("""COMPUTED_VALUE"""),13382)</f>
        <v>13382</v>
      </c>
      <c r="G108">
        <f ca="1">IFERROR(__xludf.DUMMYFUNCTION("""COMPUTED_VALUE"""),25)</f>
        <v>25</v>
      </c>
      <c r="H108" s="2">
        <f ca="1">IFERROR(__xludf.DUMMYFUNCTION("""COMPUTED_VALUE"""),1115.167)</f>
        <v>1115.1669999999999</v>
      </c>
      <c r="I108" t="str">
        <f ca="1">IFERROR(__xludf.DUMMYFUNCTION("""COMPUTED_VALUE"""),"+4.00")</f>
        <v>+4.00</v>
      </c>
    </row>
    <row r="109" spans="1:9" ht="12.75">
      <c r="A109" t="str">
        <f ca="1">IFERROR(__xludf.DUMMYFUNCTION("""COMPUTED_VALUE"""),"T107")</f>
        <v>T107</v>
      </c>
      <c r="B109" t="str">
        <f ca="1">IFERROR(__xludf.DUMMYFUNCTION("""COMPUTED_VALUE"""),"T110")</f>
        <v>T110</v>
      </c>
      <c r="C109" t="str">
        <f ca="1">IFERROR(__xludf.DUMMYFUNCTION("""COMPUTED_VALUE"""),"Andrew Putnam")</f>
        <v>Andrew Putnam</v>
      </c>
      <c r="D109">
        <f ca="1">IFERROR(__xludf.DUMMYFUNCTION("""COMPUTED_VALUE"""),19)</f>
        <v>19</v>
      </c>
      <c r="E109" t="str">
        <f ca="1">IFERROR(__xludf.DUMMYFUNCTION("""COMPUTED_VALUE"""),"44' 7""")</f>
        <v>44' 7"</v>
      </c>
      <c r="F109" s="1">
        <f ca="1">IFERROR(__xludf.DUMMYFUNCTION("""COMPUTED_VALUE"""),44394)</f>
        <v>44394</v>
      </c>
      <c r="G109">
        <f ca="1">IFERROR(__xludf.DUMMYFUNCTION("""COMPUTED_VALUE"""),83)</f>
        <v>83</v>
      </c>
      <c r="H109" s="2">
        <f ca="1">IFERROR(__xludf.DUMMYFUNCTION("""COMPUTED_VALUE"""),3699.5)</f>
        <v>3699.5</v>
      </c>
      <c r="I109" t="str">
        <f ca="1">IFERROR(__xludf.DUMMYFUNCTION("""COMPUTED_VALUE"""),"+4.00")</f>
        <v>+4.00</v>
      </c>
    </row>
    <row r="110" spans="1:9" ht="12.75">
      <c r="A110" t="str">
        <f ca="1">IFERROR(__xludf.DUMMYFUNCTION("""COMPUTED_VALUE"""),"T109")</f>
        <v>T109</v>
      </c>
      <c r="B110" t="str">
        <f ca="1">IFERROR(__xludf.DUMMYFUNCTION("""COMPUTED_VALUE"""),"T131")</f>
        <v>T131</v>
      </c>
      <c r="C110" t="str">
        <f ca="1">IFERROR(__xludf.DUMMYFUNCTION("""COMPUTED_VALUE"""),"Roger Sloan")</f>
        <v>Roger Sloan</v>
      </c>
      <c r="D110">
        <f ca="1">IFERROR(__xludf.DUMMYFUNCTION("""COMPUTED_VALUE"""),12)</f>
        <v>12</v>
      </c>
      <c r="E110" t="str">
        <f ca="1">IFERROR(__xludf.DUMMYFUNCTION("""COMPUTED_VALUE"""),"44' 9""")</f>
        <v>44' 9"</v>
      </c>
      <c r="F110" s="1">
        <f ca="1">IFERROR(__xludf.DUMMYFUNCTION("""COMPUTED_VALUE"""),13950)</f>
        <v>13950</v>
      </c>
      <c r="G110">
        <f ca="1">IFERROR(__xludf.DUMMYFUNCTION("""COMPUTED_VALUE"""),26)</f>
        <v>26</v>
      </c>
      <c r="H110" s="2">
        <f ca="1">IFERROR(__xludf.DUMMYFUNCTION("""COMPUTED_VALUE"""),1162.5)</f>
        <v>1162.5</v>
      </c>
      <c r="I110">
        <f ca="1">IFERROR(__xludf.DUMMYFUNCTION("""COMPUTED_VALUE"""),-1)</f>
        <v>-1</v>
      </c>
    </row>
    <row r="111" spans="1:9" ht="12.75">
      <c r="A111" t="str">
        <f ca="1">IFERROR(__xludf.DUMMYFUNCTION("""COMPUTED_VALUE"""),"T109")</f>
        <v>T109</v>
      </c>
      <c r="B111" t="str">
        <f ca="1">IFERROR(__xludf.DUMMYFUNCTION("""COMPUTED_VALUE"""),"T131")</f>
        <v>T131</v>
      </c>
      <c r="C111" t="str">
        <f ca="1">IFERROR(__xludf.DUMMYFUNCTION("""COMPUTED_VALUE"""),"Byeong Hun An")</f>
        <v>Byeong Hun An</v>
      </c>
      <c r="D111">
        <f ca="1">IFERROR(__xludf.DUMMYFUNCTION("""COMPUTED_VALUE"""),14)</f>
        <v>14</v>
      </c>
      <c r="E111" t="str">
        <f ca="1">IFERROR(__xludf.DUMMYFUNCTION("""COMPUTED_VALUE"""),"44' 9""")</f>
        <v>44' 9"</v>
      </c>
      <c r="F111" s="1">
        <f ca="1">IFERROR(__xludf.DUMMYFUNCTION("""COMPUTED_VALUE"""),30624)</f>
        <v>30624</v>
      </c>
      <c r="G111">
        <f ca="1">IFERROR(__xludf.DUMMYFUNCTION("""COMPUTED_VALUE"""),57)</f>
        <v>57</v>
      </c>
      <c r="H111" s="2">
        <f ca="1">IFERROR(__xludf.DUMMYFUNCTION("""COMPUTED_VALUE"""),2552)</f>
        <v>2552</v>
      </c>
      <c r="I111" t="str">
        <f ca="1">IFERROR(__xludf.DUMMYFUNCTION("""COMPUTED_VALUE"""),"+1.00")</f>
        <v>+1.00</v>
      </c>
    </row>
    <row r="112" spans="1:9" ht="12.75">
      <c r="A112" t="str">
        <f ca="1">IFERROR(__xludf.DUMMYFUNCTION("""COMPUTED_VALUE"""),"T109")</f>
        <v>T109</v>
      </c>
      <c r="B112" t="str">
        <f ca="1">IFERROR(__xludf.DUMMYFUNCTION("""COMPUTED_VALUE"""),"T131")</f>
        <v>T131</v>
      </c>
      <c r="C112" t="str">
        <f ca="1">IFERROR(__xludf.DUMMYFUNCTION("""COMPUTED_VALUE"""),"Sahith Theegala")</f>
        <v>Sahith Theegala</v>
      </c>
      <c r="D112">
        <f ca="1">IFERROR(__xludf.DUMMYFUNCTION("""COMPUTED_VALUE"""),6)</f>
        <v>6</v>
      </c>
      <c r="E112" t="str">
        <f ca="1">IFERROR(__xludf.DUMMYFUNCTION("""COMPUTED_VALUE"""),"44' 9""")</f>
        <v>44' 9"</v>
      </c>
      <c r="F112" s="1">
        <f ca="1">IFERROR(__xludf.DUMMYFUNCTION("""COMPUTED_VALUE"""),18243)</f>
        <v>18243</v>
      </c>
      <c r="G112">
        <f ca="1">IFERROR(__xludf.DUMMYFUNCTION("""COMPUTED_VALUE"""),34)</f>
        <v>34</v>
      </c>
      <c r="H112" s="2">
        <f ca="1">IFERROR(__xludf.DUMMYFUNCTION("""COMPUTED_VALUE"""),1520.25)</f>
        <v>1520.25</v>
      </c>
      <c r="I112">
        <f ca="1">IFERROR(__xludf.DUMMYFUNCTION("""COMPUTED_VALUE"""),-4)</f>
        <v>-4</v>
      </c>
    </row>
    <row r="113" spans="1:9" ht="12.75">
      <c r="A113" t="str">
        <f ca="1">IFERROR(__xludf.DUMMYFUNCTION("""COMPUTED_VALUE"""),"T112")</f>
        <v>T112</v>
      </c>
      <c r="B113">
        <f ca="1">IFERROR(__xludf.DUMMYFUNCTION("""COMPUTED_VALUE"""),91)</f>
        <v>91</v>
      </c>
      <c r="C113" t="str">
        <f ca="1">IFERROR(__xludf.DUMMYFUNCTION("""COMPUTED_VALUE"""),"Wyndham Clark")</f>
        <v>Wyndham Clark</v>
      </c>
      <c r="D113">
        <f ca="1">IFERROR(__xludf.DUMMYFUNCTION("""COMPUTED_VALUE"""),16)</f>
        <v>16</v>
      </c>
      <c r="E113" t="str">
        <f ca="1">IFERROR(__xludf.DUMMYFUNCTION("""COMPUTED_VALUE"""),"45' 0""")</f>
        <v>45' 0"</v>
      </c>
      <c r="F113" s="1">
        <f ca="1">IFERROR(__xludf.DUMMYFUNCTION("""COMPUTED_VALUE"""),31835)</f>
        <v>31835</v>
      </c>
      <c r="G113">
        <f ca="1">IFERROR(__xludf.DUMMYFUNCTION("""COMPUTED_VALUE"""),59)</f>
        <v>59</v>
      </c>
      <c r="H113" s="2">
        <f ca="1">IFERROR(__xludf.DUMMYFUNCTION("""COMPUTED_VALUE"""),2652.917)</f>
        <v>2652.9169999999999</v>
      </c>
      <c r="I113" t="str">
        <f ca="1">IFERROR(__xludf.DUMMYFUNCTION("""COMPUTED_VALUE"""),"+5.00")</f>
        <v>+5.00</v>
      </c>
    </row>
    <row r="114" spans="1:9" ht="12.75">
      <c r="A114" t="str">
        <f ca="1">IFERROR(__xludf.DUMMYFUNCTION("""COMPUTED_VALUE"""),"T112")</f>
        <v>T112</v>
      </c>
      <c r="B114" t="str">
        <f ca="1">IFERROR(__xludf.DUMMYFUNCTION("""COMPUTED_VALUE"""),"T92")</f>
        <v>T92</v>
      </c>
      <c r="C114" t="str">
        <f ca="1">IFERROR(__xludf.DUMMYFUNCTION("""COMPUTED_VALUE"""),"Isaiah Salinda")</f>
        <v>Isaiah Salinda</v>
      </c>
      <c r="D114">
        <f ca="1">IFERROR(__xludf.DUMMYFUNCTION("""COMPUTED_VALUE"""),8)</f>
        <v>8</v>
      </c>
      <c r="E114" t="str">
        <f ca="1">IFERROR(__xludf.DUMMYFUNCTION("""COMPUTED_VALUE"""),"45' 0""")</f>
        <v>45' 0"</v>
      </c>
      <c r="F114" s="1">
        <f ca="1">IFERROR(__xludf.DUMMYFUNCTION("""COMPUTED_VALUE"""),18916)</f>
        <v>18916</v>
      </c>
      <c r="G114">
        <f ca="1">IFERROR(__xludf.DUMMYFUNCTION("""COMPUTED_VALUE"""),35)</f>
        <v>35</v>
      </c>
      <c r="H114" s="2">
        <f ca="1">IFERROR(__xludf.DUMMYFUNCTION("""COMPUTED_VALUE"""),1576.333)</f>
        <v>1576.3330000000001</v>
      </c>
      <c r="I114" t="str">
        <f ca="1">IFERROR(__xludf.DUMMYFUNCTION("""COMPUTED_VALUE"""),"+5.00")</f>
        <v>+5.00</v>
      </c>
    </row>
    <row r="115" spans="1:9" ht="12.75">
      <c r="A115" t="str">
        <f ca="1">IFERROR(__xludf.DUMMYFUNCTION("""COMPUTED_VALUE"""),"T114")</f>
        <v>T114</v>
      </c>
      <c r="B115" t="str">
        <f ca="1">IFERROR(__xludf.DUMMYFUNCTION("""COMPUTED_VALUE"""),"T146")</f>
        <v>T146</v>
      </c>
      <c r="C115" t="str">
        <f ca="1">IFERROR(__xludf.DUMMYFUNCTION("""COMPUTED_VALUE"""),"Sepp Straka")</f>
        <v>Sepp Straka</v>
      </c>
      <c r="D115">
        <f ca="1">IFERROR(__xludf.DUMMYFUNCTION("""COMPUTED_VALUE"""),22)</f>
        <v>22</v>
      </c>
      <c r="E115" t="str">
        <f ca="1">IFERROR(__xludf.DUMMYFUNCTION("""COMPUTED_VALUE"""),"45' 3""")</f>
        <v>45' 3"</v>
      </c>
      <c r="F115" s="1">
        <f ca="1">IFERROR(__xludf.DUMMYFUNCTION("""COMPUTED_VALUE"""),36936)</f>
        <v>36936</v>
      </c>
      <c r="G115">
        <f ca="1">IFERROR(__xludf.DUMMYFUNCTION("""COMPUTED_VALUE"""),68)</f>
        <v>68</v>
      </c>
      <c r="H115" s="2">
        <f ca="1">IFERROR(__xludf.DUMMYFUNCTION("""COMPUTED_VALUE"""),3078)</f>
        <v>3078</v>
      </c>
      <c r="I115" t="str">
        <f ca="1">IFERROR(__xludf.DUMMYFUNCTION("""COMPUTED_VALUE"""),"+3.00")</f>
        <v>+3.00</v>
      </c>
    </row>
    <row r="116" spans="1:9" ht="12.75">
      <c r="A116" t="str">
        <f ca="1">IFERROR(__xludf.DUMMYFUNCTION("""COMPUTED_VALUE"""),"T114")</f>
        <v>T114</v>
      </c>
      <c r="B116">
        <f ca="1">IFERROR(__xludf.DUMMYFUNCTION("""COMPUTED_VALUE"""),137)</f>
        <v>137</v>
      </c>
      <c r="C116" t="str">
        <f ca="1">IFERROR(__xludf.DUMMYFUNCTION("""COMPUTED_VALUE"""),"Davis Riley")</f>
        <v>Davis Riley</v>
      </c>
      <c r="D116">
        <f ca="1">IFERROR(__xludf.DUMMYFUNCTION("""COMPUTED_VALUE"""),4)</f>
        <v>4</v>
      </c>
      <c r="E116" t="str">
        <f ca="1">IFERROR(__xludf.DUMMYFUNCTION("""COMPUTED_VALUE"""),"45' 3""")</f>
        <v>45' 3"</v>
      </c>
      <c r="F116" s="1">
        <f ca="1">IFERROR(__xludf.DUMMYFUNCTION("""COMPUTED_VALUE"""),9766)</f>
        <v>9766</v>
      </c>
      <c r="G116">
        <f ca="1">IFERROR(__xludf.DUMMYFUNCTION("""COMPUTED_VALUE"""),18)</f>
        <v>18</v>
      </c>
      <c r="H116">
        <f ca="1">IFERROR(__xludf.DUMMYFUNCTION("""COMPUTED_VALUE"""),813.833)</f>
        <v>813.83299999999997</v>
      </c>
      <c r="I116" t="str">
        <f ca="1">IFERROR(__xludf.DUMMYFUNCTION("""COMPUTED_VALUE"""),"+12.00")</f>
        <v>+12.00</v>
      </c>
    </row>
    <row r="117" spans="1:9" ht="12.75">
      <c r="A117">
        <f ca="1">IFERROR(__xludf.DUMMYFUNCTION("""COMPUTED_VALUE"""),116)</f>
        <v>116</v>
      </c>
      <c r="B117" t="str">
        <f ca="1">IFERROR(__xludf.DUMMYFUNCTION("""COMPUTED_VALUE"""),"T138")</f>
        <v>T138</v>
      </c>
      <c r="C117" t="str">
        <f ca="1">IFERROR(__xludf.DUMMYFUNCTION("""COMPUTED_VALUE"""),"Robert MacIntyre")</f>
        <v>Robert MacIntyre</v>
      </c>
      <c r="D117">
        <f ca="1">IFERROR(__xludf.DUMMYFUNCTION("""COMPUTED_VALUE"""),4)</f>
        <v>4</v>
      </c>
      <c r="E117" t="str">
        <f ca="1">IFERROR(__xludf.DUMMYFUNCTION("""COMPUTED_VALUE"""),"45' 4""")</f>
        <v>45' 4"</v>
      </c>
      <c r="F117" s="1">
        <f ca="1">IFERROR(__xludf.DUMMYFUNCTION("""COMPUTED_VALUE"""),18497)</f>
        <v>18497</v>
      </c>
      <c r="G117">
        <f ca="1">IFERROR(__xludf.DUMMYFUNCTION("""COMPUTED_VALUE"""),34)</f>
        <v>34</v>
      </c>
      <c r="H117" s="2">
        <f ca="1">IFERROR(__xludf.DUMMYFUNCTION("""COMPUTED_VALUE"""),1541.417)</f>
        <v>1541.4169999999999</v>
      </c>
      <c r="I117" t="str">
        <f ca="1">IFERROR(__xludf.DUMMYFUNCTION("""COMPUTED_VALUE"""),"+13.00")</f>
        <v>+13.00</v>
      </c>
    </row>
    <row r="118" spans="1:9" ht="12.75">
      <c r="A118" t="str">
        <f ca="1">IFERROR(__xludf.DUMMYFUNCTION("""COMPUTED_VALUE"""),"T117")</f>
        <v>T117</v>
      </c>
      <c r="B118" t="str">
        <f ca="1">IFERROR(__xludf.DUMMYFUNCTION("""COMPUTED_VALUE"""),"T141")</f>
        <v>T141</v>
      </c>
      <c r="C118" t="str">
        <f ca="1">IFERROR(__xludf.DUMMYFUNCTION("""COMPUTED_VALUE"""),"Rikuya Hoshino")</f>
        <v>Rikuya Hoshino</v>
      </c>
      <c r="D118">
        <f ca="1">IFERROR(__xludf.DUMMYFUNCTION("""COMPUTED_VALUE"""),4)</f>
        <v>4</v>
      </c>
      <c r="E118" t="str">
        <f ca="1">IFERROR(__xludf.DUMMYFUNCTION("""COMPUTED_VALUE"""),"45' 7""")</f>
        <v>45' 7"</v>
      </c>
      <c r="F118" s="1">
        <f ca="1">IFERROR(__xludf.DUMMYFUNCTION("""COMPUTED_VALUE"""),3826)</f>
        <v>3826</v>
      </c>
      <c r="G118">
        <f ca="1">IFERROR(__xludf.DUMMYFUNCTION("""COMPUTED_VALUE"""),7)</f>
        <v>7</v>
      </c>
      <c r="H118">
        <f ca="1">IFERROR(__xludf.DUMMYFUNCTION("""COMPUTED_VALUE"""),318.833)</f>
        <v>318.83300000000003</v>
      </c>
      <c r="I118" t="str">
        <f ca="1">IFERROR(__xludf.DUMMYFUNCTION("""COMPUTED_VALUE"""),"+4.00")</f>
        <v>+4.00</v>
      </c>
    </row>
    <row r="119" spans="1:9" ht="12.75">
      <c r="A119" t="str">
        <f ca="1">IFERROR(__xludf.DUMMYFUNCTION("""COMPUTED_VALUE"""),"T117")</f>
        <v>T117</v>
      </c>
      <c r="B119" t="str">
        <f ca="1">IFERROR(__xludf.DUMMYFUNCTION("""COMPUTED_VALUE"""),"T141")</f>
        <v>T141</v>
      </c>
      <c r="C119" t="str">
        <f ca="1">IFERROR(__xludf.DUMMYFUNCTION("""COMPUTED_VALUE"""),"Steve Lewton")</f>
        <v>Steve Lewton</v>
      </c>
      <c r="D119">
        <f ca="1">IFERROR(__xludf.DUMMYFUNCTION("""COMPUTED_VALUE"""),4)</f>
        <v>4</v>
      </c>
      <c r="E119" t="str">
        <f ca="1">IFERROR(__xludf.DUMMYFUNCTION("""COMPUTED_VALUE"""),"45' 7""")</f>
        <v>45' 7"</v>
      </c>
      <c r="F119" s="1">
        <f ca="1">IFERROR(__xludf.DUMMYFUNCTION("""COMPUTED_VALUE"""),12023)</f>
        <v>12023</v>
      </c>
      <c r="G119">
        <f ca="1">IFERROR(__xludf.DUMMYFUNCTION("""COMPUTED_VALUE"""),22)</f>
        <v>22</v>
      </c>
      <c r="H119" s="2">
        <f ca="1">IFERROR(__xludf.DUMMYFUNCTION("""COMPUTED_VALUE"""),1001.917)</f>
        <v>1001.917</v>
      </c>
      <c r="I119" t="str">
        <f ca="1">IFERROR(__xludf.DUMMYFUNCTION("""COMPUTED_VALUE"""),"+4.00")</f>
        <v>+4.00</v>
      </c>
    </row>
    <row r="120" spans="1:9" ht="12.75">
      <c r="A120" t="str">
        <f ca="1">IFERROR(__xludf.DUMMYFUNCTION("""COMPUTED_VALUE"""),"T119")</f>
        <v>T119</v>
      </c>
      <c r="B120">
        <f ca="1">IFERROR(__xludf.DUMMYFUNCTION("""COMPUTED_VALUE"""),95)</f>
        <v>95</v>
      </c>
      <c r="C120" t="str">
        <f ca="1">IFERROR(__xludf.DUMMYFUNCTION("""COMPUTED_VALUE"""),"Zach Johnson")</f>
        <v>Zach Johnson</v>
      </c>
      <c r="D120">
        <f ca="1">IFERROR(__xludf.DUMMYFUNCTION("""COMPUTED_VALUE"""),16)</f>
        <v>16</v>
      </c>
      <c r="E120" t="str">
        <f ca="1">IFERROR(__xludf.DUMMYFUNCTION("""COMPUTED_VALUE"""),"45' 9""")</f>
        <v>45' 9"</v>
      </c>
      <c r="F120" s="1">
        <f ca="1">IFERROR(__xludf.DUMMYFUNCTION("""COMPUTED_VALUE"""),33493)</f>
        <v>33493</v>
      </c>
      <c r="G120">
        <f ca="1">IFERROR(__xludf.DUMMYFUNCTION("""COMPUTED_VALUE"""),61)</f>
        <v>61</v>
      </c>
      <c r="H120" s="2">
        <f ca="1">IFERROR(__xludf.DUMMYFUNCTION("""COMPUTED_VALUE"""),2791.083)</f>
        <v>2791.0830000000001</v>
      </c>
      <c r="I120" t="str">
        <f ca="1">IFERROR(__xludf.DUMMYFUNCTION("""COMPUTED_VALUE"""),"+7.00")</f>
        <v>+7.00</v>
      </c>
    </row>
    <row r="121" spans="1:9" ht="12.75">
      <c r="A121" t="str">
        <f ca="1">IFERROR(__xludf.DUMMYFUNCTION("""COMPUTED_VALUE"""),"T119")</f>
        <v>T119</v>
      </c>
      <c r="B121" t="str">
        <f ca="1">IFERROR(__xludf.DUMMYFUNCTION("""COMPUTED_VALUE"""),"T177")</f>
        <v>T177</v>
      </c>
      <c r="C121" t="str">
        <f ca="1">IFERROR(__xludf.DUMMYFUNCTION("""COMPUTED_VALUE"""),"Tyrrell Hatton")</f>
        <v>Tyrrell Hatton</v>
      </c>
      <c r="D121">
        <f ca="1">IFERROR(__xludf.DUMMYFUNCTION("""COMPUTED_VALUE"""),14)</f>
        <v>14</v>
      </c>
      <c r="E121" t="str">
        <f ca="1">IFERROR(__xludf.DUMMYFUNCTION("""COMPUTED_VALUE"""),"45' 9""")</f>
        <v>45' 9"</v>
      </c>
      <c r="F121" s="1">
        <f ca="1">IFERROR(__xludf.DUMMYFUNCTION("""COMPUTED_VALUE"""),24164)</f>
        <v>24164</v>
      </c>
      <c r="G121">
        <f ca="1">IFERROR(__xludf.DUMMYFUNCTION("""COMPUTED_VALUE"""),44)</f>
        <v>44</v>
      </c>
      <c r="H121" s="2">
        <f ca="1">IFERROR(__xludf.DUMMYFUNCTION("""COMPUTED_VALUE"""),2013.667)</f>
        <v>2013.6669999999999</v>
      </c>
      <c r="I121" t="str">
        <f ca="1">IFERROR(__xludf.DUMMYFUNCTION("""COMPUTED_VALUE"""),"+4.00")</f>
        <v>+4.00</v>
      </c>
    </row>
    <row r="122" spans="1:9" ht="12.75">
      <c r="A122">
        <f ca="1">IFERROR(__xludf.DUMMYFUNCTION("""COMPUTED_VALUE"""),121)</f>
        <v>121</v>
      </c>
      <c r="B122">
        <f ca="1">IFERROR(__xludf.DUMMYFUNCTION("""COMPUTED_VALUE"""),162)</f>
        <v>162</v>
      </c>
      <c r="C122" t="str">
        <f ca="1">IFERROR(__xludf.DUMMYFUNCTION("""COMPUTED_VALUE"""),"Matthew NeSmith")</f>
        <v>Matthew NeSmith</v>
      </c>
      <c r="D122">
        <f ca="1">IFERROR(__xludf.DUMMYFUNCTION("""COMPUTED_VALUE"""),16)</f>
        <v>16</v>
      </c>
      <c r="E122" t="str">
        <f ca="1">IFERROR(__xludf.DUMMYFUNCTION("""COMPUTED_VALUE"""),"45' 10""")</f>
        <v>45' 10"</v>
      </c>
      <c r="F122" s="1">
        <f ca="1">IFERROR(__xludf.DUMMYFUNCTION("""COMPUTED_VALUE"""),29682)</f>
        <v>29682</v>
      </c>
      <c r="G122">
        <f ca="1">IFERROR(__xludf.DUMMYFUNCTION("""COMPUTED_VALUE"""),54)</f>
        <v>54</v>
      </c>
      <c r="H122" s="2">
        <f ca="1">IFERROR(__xludf.DUMMYFUNCTION("""COMPUTED_VALUE"""),2473.5)</f>
        <v>2473.5</v>
      </c>
      <c r="I122" t="str">
        <f ca="1">IFERROR(__xludf.DUMMYFUNCTION("""COMPUTED_VALUE"""),"+7.00")</f>
        <v>+7.00</v>
      </c>
    </row>
    <row r="123" spans="1:9" ht="12.75">
      <c r="A123" t="str">
        <f ca="1">IFERROR(__xludf.DUMMYFUNCTION("""COMPUTED_VALUE"""),"T122")</f>
        <v>T122</v>
      </c>
      <c r="B123">
        <f ca="1">IFERROR(__xludf.DUMMYFUNCTION("""COMPUTED_VALUE"""),136)</f>
        <v>136</v>
      </c>
      <c r="C123" t="str">
        <f ca="1">IFERROR(__xludf.DUMMYFUNCTION("""COMPUTED_VALUE"""),"Grayson Murray")</f>
        <v>Grayson Murray</v>
      </c>
      <c r="D123">
        <f ca="1">IFERROR(__xludf.DUMMYFUNCTION("""COMPUTED_VALUE"""),10)</f>
        <v>10</v>
      </c>
      <c r="E123" t="str">
        <f ca="1">IFERROR(__xludf.DUMMYFUNCTION("""COMPUTED_VALUE"""),"46' 0""")</f>
        <v>46' 0"</v>
      </c>
      <c r="F123" s="1">
        <f ca="1">IFERROR(__xludf.DUMMYFUNCTION("""COMPUTED_VALUE"""),18784)</f>
        <v>18784</v>
      </c>
      <c r="G123">
        <f ca="1">IFERROR(__xludf.DUMMYFUNCTION("""COMPUTED_VALUE"""),34)</f>
        <v>34</v>
      </c>
      <c r="H123" s="2">
        <f ca="1">IFERROR(__xludf.DUMMYFUNCTION("""COMPUTED_VALUE"""),1565.333)</f>
        <v>1565.3330000000001</v>
      </c>
      <c r="I123" t="str">
        <f ca="1">IFERROR(__xludf.DUMMYFUNCTION("""COMPUTED_VALUE"""),"+13.00")</f>
        <v>+13.00</v>
      </c>
    </row>
    <row r="124" spans="1:9" ht="12.75">
      <c r="A124" t="str">
        <f ca="1">IFERROR(__xludf.DUMMYFUNCTION("""COMPUTED_VALUE"""),"T122")</f>
        <v>T122</v>
      </c>
      <c r="B124" t="str">
        <f ca="1">IFERROR(__xludf.DUMMYFUNCTION("""COMPUTED_VALUE"""),"T115")</f>
        <v>T115</v>
      </c>
      <c r="C124" t="str">
        <f ca="1">IFERROR(__xludf.DUMMYFUNCTION("""COMPUTED_VALUE"""),"D.A. Points")</f>
        <v>D.A. Points</v>
      </c>
      <c r="D124">
        <f ca="1">IFERROR(__xludf.DUMMYFUNCTION("""COMPUTED_VALUE"""),12)</f>
        <v>12</v>
      </c>
      <c r="E124" t="str">
        <f ca="1">IFERROR(__xludf.DUMMYFUNCTION("""COMPUTED_VALUE"""),"46' 0""")</f>
        <v>46' 0"</v>
      </c>
      <c r="F124" s="1">
        <f ca="1">IFERROR(__xludf.DUMMYFUNCTION("""COMPUTED_VALUE"""),22078)</f>
        <v>22078</v>
      </c>
      <c r="G124">
        <f ca="1">IFERROR(__xludf.DUMMYFUNCTION("""COMPUTED_VALUE"""),40)</f>
        <v>40</v>
      </c>
      <c r="H124" s="2">
        <f ca="1">IFERROR(__xludf.DUMMYFUNCTION("""COMPUTED_VALUE"""),1839.833)</f>
        <v>1839.8330000000001</v>
      </c>
      <c r="I124" t="str">
        <f ca="1">IFERROR(__xludf.DUMMYFUNCTION("""COMPUTED_VALUE"""),"+10.00")</f>
        <v>+10.00</v>
      </c>
    </row>
    <row r="125" spans="1:9" ht="12.75">
      <c r="A125" t="str">
        <f ca="1">IFERROR(__xludf.DUMMYFUNCTION("""COMPUTED_VALUE"""),"T124")</f>
        <v>T124</v>
      </c>
      <c r="B125" t="str">
        <f ca="1">IFERROR(__xludf.DUMMYFUNCTION("""COMPUTED_VALUE"""),"T110")</f>
        <v>T110</v>
      </c>
      <c r="C125" t="str">
        <f ca="1">IFERROR(__xludf.DUMMYFUNCTION("""COMPUTED_VALUE"""),"Nate Lashley")</f>
        <v>Nate Lashley</v>
      </c>
      <c r="D125">
        <f ca="1">IFERROR(__xludf.DUMMYFUNCTION("""COMPUTED_VALUE"""),16)</f>
        <v>16</v>
      </c>
      <c r="E125" t="str">
        <f ca="1">IFERROR(__xludf.DUMMYFUNCTION("""COMPUTED_VALUE"""),"46' 1""")</f>
        <v>46' 1"</v>
      </c>
      <c r="F125" s="1">
        <f ca="1">IFERROR(__xludf.DUMMYFUNCTION("""COMPUTED_VALUE"""),27627)</f>
        <v>27627</v>
      </c>
      <c r="G125">
        <f ca="1">IFERROR(__xludf.DUMMYFUNCTION("""COMPUTED_VALUE"""),50)</f>
        <v>50</v>
      </c>
      <c r="H125" s="2">
        <f ca="1">IFERROR(__xludf.DUMMYFUNCTION("""COMPUTED_VALUE"""),2302.25)</f>
        <v>2302.25</v>
      </c>
      <c r="I125" t="str">
        <f ca="1">IFERROR(__xludf.DUMMYFUNCTION("""COMPUTED_VALUE"""),"+5.00")</f>
        <v>+5.00</v>
      </c>
    </row>
    <row r="126" spans="1:9" ht="12.75">
      <c r="A126" t="str">
        <f ca="1">IFERROR(__xludf.DUMMYFUNCTION("""COMPUTED_VALUE"""),"T124")</f>
        <v>T124</v>
      </c>
      <c r="B126" t="str">
        <f ca="1">IFERROR(__xludf.DUMMYFUNCTION("""COMPUTED_VALUE"""),"T146")</f>
        <v>T146</v>
      </c>
      <c r="C126" t="str">
        <f ca="1">IFERROR(__xludf.DUMMYFUNCTION("""COMPUTED_VALUE"""),"Kurt Kitayama")</f>
        <v>Kurt Kitayama</v>
      </c>
      <c r="D126">
        <f ca="1">IFERROR(__xludf.DUMMYFUNCTION("""COMPUTED_VALUE"""),4)</f>
        <v>4</v>
      </c>
      <c r="E126" t="str">
        <f ca="1">IFERROR(__xludf.DUMMYFUNCTION("""COMPUTED_VALUE"""),"46' 1""")</f>
        <v>46' 1"</v>
      </c>
      <c r="F126" s="1">
        <f ca="1">IFERROR(__xludf.DUMMYFUNCTION("""COMPUTED_VALUE"""),8855)</f>
        <v>8855</v>
      </c>
      <c r="G126">
        <f ca="1">IFERROR(__xludf.DUMMYFUNCTION("""COMPUTED_VALUE"""),16)</f>
        <v>16</v>
      </c>
      <c r="H126">
        <f ca="1">IFERROR(__xludf.DUMMYFUNCTION("""COMPUTED_VALUE"""),737.917)</f>
        <v>737.91700000000003</v>
      </c>
      <c r="I126" t="str">
        <f ca="1">IFERROR(__xludf.DUMMYFUNCTION("""COMPUTED_VALUE"""),"+4.00")</f>
        <v>+4.00</v>
      </c>
    </row>
    <row r="127" spans="1:9" ht="12.75">
      <c r="A127" t="str">
        <f ca="1">IFERROR(__xludf.DUMMYFUNCTION("""COMPUTED_VALUE"""),"T126")</f>
        <v>T126</v>
      </c>
      <c r="B127" t="str">
        <f ca="1">IFERROR(__xludf.DUMMYFUNCTION("""COMPUTED_VALUE"""),"T122")</f>
        <v>T122</v>
      </c>
      <c r="C127" t="str">
        <f ca="1">IFERROR(__xludf.DUMMYFUNCTION("""COMPUTED_VALUE"""),"Cameron Tringale")</f>
        <v>Cameron Tringale</v>
      </c>
      <c r="D127">
        <f ca="1">IFERROR(__xludf.DUMMYFUNCTION("""COMPUTED_VALUE"""),16)</f>
        <v>16</v>
      </c>
      <c r="E127" t="str">
        <f ca="1">IFERROR(__xludf.DUMMYFUNCTION("""COMPUTED_VALUE"""),"46' 2""")</f>
        <v>46' 2"</v>
      </c>
      <c r="F127" s="1">
        <f ca="1">IFERROR(__xludf.DUMMYFUNCTION("""COMPUTED_VALUE"""),33260)</f>
        <v>33260</v>
      </c>
      <c r="G127">
        <f ca="1">IFERROR(__xludf.DUMMYFUNCTION("""COMPUTED_VALUE"""),60)</f>
        <v>60</v>
      </c>
      <c r="H127" s="2">
        <f ca="1">IFERROR(__xludf.DUMMYFUNCTION("""COMPUTED_VALUE"""),2771.667)</f>
        <v>2771.6669999999999</v>
      </c>
      <c r="I127" t="str">
        <f ca="1">IFERROR(__xludf.DUMMYFUNCTION("""COMPUTED_VALUE"""),"+3.00")</f>
        <v>+3.00</v>
      </c>
    </row>
    <row r="128" spans="1:9" ht="12.75">
      <c r="A128" t="str">
        <f ca="1">IFERROR(__xludf.DUMMYFUNCTION("""COMPUTED_VALUE"""),"T126")</f>
        <v>T126</v>
      </c>
      <c r="B128" t="str">
        <f ca="1">IFERROR(__xludf.DUMMYFUNCTION("""COMPUTED_VALUE"""),"T105")</f>
        <v>T105</v>
      </c>
      <c r="C128" t="str">
        <f ca="1">IFERROR(__xludf.DUMMYFUNCTION("""COMPUTED_VALUE"""),"Mark Hubbard")</f>
        <v>Mark Hubbard</v>
      </c>
      <c r="D128">
        <f ca="1">IFERROR(__xludf.DUMMYFUNCTION("""COMPUTED_VALUE"""),20)</f>
        <v>20</v>
      </c>
      <c r="E128" t="str">
        <f ca="1">IFERROR(__xludf.DUMMYFUNCTION("""COMPUTED_VALUE"""),"46' 2""")</f>
        <v>46' 2"</v>
      </c>
      <c r="F128" s="1">
        <f ca="1">IFERROR(__xludf.DUMMYFUNCTION("""COMPUTED_VALUE"""),38759)</f>
        <v>38759</v>
      </c>
      <c r="G128">
        <f ca="1">IFERROR(__xludf.DUMMYFUNCTION("""COMPUTED_VALUE"""),70)</f>
        <v>70</v>
      </c>
      <c r="H128" s="2">
        <f ca="1">IFERROR(__xludf.DUMMYFUNCTION("""COMPUTED_VALUE"""),3229.917)</f>
        <v>3229.9169999999999</v>
      </c>
      <c r="I128" t="str">
        <f ca="1">IFERROR(__xludf.DUMMYFUNCTION("""COMPUTED_VALUE"""),"+18.00")</f>
        <v>+18.00</v>
      </c>
    </row>
    <row r="129" spans="1:9" ht="12.75">
      <c r="A129">
        <f ca="1">IFERROR(__xludf.DUMMYFUNCTION("""COMPUTED_VALUE"""),128)</f>
        <v>128</v>
      </c>
      <c r="B129">
        <f ca="1">IFERROR(__xludf.DUMMYFUNCTION("""COMPUTED_VALUE"""),135)</f>
        <v>135</v>
      </c>
      <c r="C129" t="str">
        <f ca="1">IFERROR(__xludf.DUMMYFUNCTION("""COMPUTED_VALUE"""),"Jordan Spieth")</f>
        <v>Jordan Spieth</v>
      </c>
      <c r="D129">
        <f ca="1">IFERROR(__xludf.DUMMYFUNCTION("""COMPUTED_VALUE"""),14)</f>
        <v>14</v>
      </c>
      <c r="E129" t="str">
        <f ca="1">IFERROR(__xludf.DUMMYFUNCTION("""COMPUTED_VALUE"""),"46' 3""")</f>
        <v>46' 3"</v>
      </c>
      <c r="F129" s="1">
        <f ca="1">IFERROR(__xludf.DUMMYFUNCTION("""COMPUTED_VALUE"""),40518)</f>
        <v>40518</v>
      </c>
      <c r="G129">
        <f ca="1">IFERROR(__xludf.DUMMYFUNCTION("""COMPUTED_VALUE"""),73)</f>
        <v>73</v>
      </c>
      <c r="H129" s="2">
        <f ca="1">IFERROR(__xludf.DUMMYFUNCTION("""COMPUTED_VALUE"""),3376.5)</f>
        <v>3376.5</v>
      </c>
      <c r="I129" t="str">
        <f ca="1">IFERROR(__xludf.DUMMYFUNCTION("""COMPUTED_VALUE"""),"+9.00")</f>
        <v>+9.00</v>
      </c>
    </row>
    <row r="130" spans="1:9" ht="12.75">
      <c r="A130">
        <f ca="1">IFERROR(__xludf.DUMMYFUNCTION("""COMPUTED_VALUE"""),129)</f>
        <v>129</v>
      </c>
      <c r="B130" t="str">
        <f ca="1">IFERROR(__xludf.DUMMYFUNCTION("""COMPUTED_VALUE"""),"T149")</f>
        <v>T149</v>
      </c>
      <c r="C130" t="str">
        <f ca="1">IFERROR(__xludf.DUMMYFUNCTION("""COMPUTED_VALUE"""),"Seonghyeon Kim")</f>
        <v>Seonghyeon Kim</v>
      </c>
      <c r="D130">
        <f ca="1">IFERROR(__xludf.DUMMYFUNCTION("""COMPUTED_VALUE"""),4)</f>
        <v>4</v>
      </c>
      <c r="E130" t="str">
        <f ca="1">IFERROR(__xludf.DUMMYFUNCTION("""COMPUTED_VALUE"""),"46' 4""")</f>
        <v>46' 4"</v>
      </c>
      <c r="F130" s="1">
        <f ca="1">IFERROR(__xludf.DUMMYFUNCTION("""COMPUTED_VALUE"""),6674)</f>
        <v>6674</v>
      </c>
      <c r="G130">
        <f ca="1">IFERROR(__xludf.DUMMYFUNCTION("""COMPUTED_VALUE"""),12)</f>
        <v>12</v>
      </c>
      <c r="H130">
        <f ca="1">IFERROR(__xludf.DUMMYFUNCTION("""COMPUTED_VALUE"""),556.167)</f>
        <v>556.16700000000003</v>
      </c>
      <c r="I130" t="str">
        <f ca="1">IFERROR(__xludf.DUMMYFUNCTION("""COMPUTED_VALUE"""),"+3.00")</f>
        <v>+3.00</v>
      </c>
    </row>
    <row r="131" spans="1:9" ht="12.75">
      <c r="A131" t="str">
        <f ca="1">IFERROR(__xludf.DUMMYFUNCTION("""COMPUTED_VALUE"""),"T130")</f>
        <v>T130</v>
      </c>
      <c r="B131">
        <f ca="1">IFERROR(__xludf.DUMMYFUNCTION("""COMPUTED_VALUE"""),151)</f>
        <v>151</v>
      </c>
      <c r="C131" t="str">
        <f ca="1">IFERROR(__xludf.DUMMYFUNCTION("""COMPUTED_VALUE"""),"Chesson Hadley")</f>
        <v>Chesson Hadley</v>
      </c>
      <c r="D131">
        <f ca="1">IFERROR(__xludf.DUMMYFUNCTION("""COMPUTED_VALUE"""),16)</f>
        <v>16</v>
      </c>
      <c r="E131" t="str">
        <f ca="1">IFERROR(__xludf.DUMMYFUNCTION("""COMPUTED_VALUE"""),"46' 5""")</f>
        <v>46' 5"</v>
      </c>
      <c r="F131" s="1">
        <f ca="1">IFERROR(__xludf.DUMMYFUNCTION("""COMPUTED_VALUE"""),32284)</f>
        <v>32284</v>
      </c>
      <c r="G131">
        <f ca="1">IFERROR(__xludf.DUMMYFUNCTION("""COMPUTED_VALUE"""),58)</f>
        <v>58</v>
      </c>
      <c r="H131" s="2">
        <f ca="1">IFERROR(__xludf.DUMMYFUNCTION("""COMPUTED_VALUE"""),2690.333)</f>
        <v>2690.3330000000001</v>
      </c>
      <c r="I131" t="str">
        <f ca="1">IFERROR(__xludf.DUMMYFUNCTION("""COMPUTED_VALUE"""),"+6.00")</f>
        <v>+6.00</v>
      </c>
    </row>
    <row r="132" spans="1:9" ht="12.75">
      <c r="A132" t="str">
        <f ca="1">IFERROR(__xludf.DUMMYFUNCTION("""COMPUTED_VALUE"""),"T130")</f>
        <v>T130</v>
      </c>
      <c r="B132">
        <f ca="1">IFERROR(__xludf.DUMMYFUNCTION("""COMPUTED_VALUE"""),154)</f>
        <v>154</v>
      </c>
      <c r="C132" t="str">
        <f ca="1">IFERROR(__xludf.DUMMYFUNCTION("""COMPUTED_VALUE"""),"Bronson Burgoon")</f>
        <v>Bronson Burgoon</v>
      </c>
      <c r="D132">
        <f ca="1">IFERROR(__xludf.DUMMYFUNCTION("""COMPUTED_VALUE"""),10)</f>
        <v>10</v>
      </c>
      <c r="E132" t="str">
        <f ca="1">IFERROR(__xludf.DUMMYFUNCTION("""COMPUTED_VALUE"""),"46' 5""")</f>
        <v>46' 5"</v>
      </c>
      <c r="F132" s="1">
        <f ca="1">IFERROR(__xludf.DUMMYFUNCTION("""COMPUTED_VALUE"""),18944)</f>
        <v>18944</v>
      </c>
      <c r="G132">
        <f ca="1">IFERROR(__xludf.DUMMYFUNCTION("""COMPUTED_VALUE"""),34)</f>
        <v>34</v>
      </c>
      <c r="H132" s="2">
        <f ca="1">IFERROR(__xludf.DUMMYFUNCTION("""COMPUTED_VALUE"""),1578.667)</f>
        <v>1578.6669999999999</v>
      </c>
      <c r="I132">
        <f ca="1">IFERROR(__xludf.DUMMYFUNCTION("""COMPUTED_VALUE"""),-1)</f>
        <v>-1</v>
      </c>
    </row>
    <row r="133" spans="1:9" ht="12.75">
      <c r="A133">
        <f ca="1">IFERROR(__xludf.DUMMYFUNCTION("""COMPUTED_VALUE"""),132)</f>
        <v>132</v>
      </c>
      <c r="B133" t="str">
        <f ca="1">IFERROR(__xludf.DUMMYFUNCTION("""COMPUTED_VALUE"""),"T76")</f>
        <v>T76</v>
      </c>
      <c r="C133" t="str">
        <f ca="1">IFERROR(__xludf.DUMMYFUNCTION("""COMPUTED_VALUE"""),"Russell Knox")</f>
        <v>Russell Knox</v>
      </c>
      <c r="D133">
        <f ca="1">IFERROR(__xludf.DUMMYFUNCTION("""COMPUTED_VALUE"""),16)</f>
        <v>16</v>
      </c>
      <c r="E133" t="str">
        <f ca="1">IFERROR(__xludf.DUMMYFUNCTION("""COMPUTED_VALUE"""),"46' 7""")</f>
        <v>46' 7"</v>
      </c>
      <c r="F133" s="1">
        <f ca="1">IFERROR(__xludf.DUMMYFUNCTION("""COMPUTED_VALUE"""),26296)</f>
        <v>26296</v>
      </c>
      <c r="G133">
        <f ca="1">IFERROR(__xludf.DUMMYFUNCTION("""COMPUTED_VALUE"""),47)</f>
        <v>47</v>
      </c>
      <c r="H133" s="2">
        <f ca="1">IFERROR(__xludf.DUMMYFUNCTION("""COMPUTED_VALUE"""),2191.333)</f>
        <v>2191.3330000000001</v>
      </c>
      <c r="I133" t="str">
        <f ca="1">IFERROR(__xludf.DUMMYFUNCTION("""COMPUTED_VALUE"""),"+10.00")</f>
        <v>+10.00</v>
      </c>
    </row>
    <row r="134" spans="1:9" ht="12.75">
      <c r="A134" t="str">
        <f ca="1">IFERROR(__xludf.DUMMYFUNCTION("""COMPUTED_VALUE"""),"T133")</f>
        <v>T133</v>
      </c>
      <c r="B134">
        <f ca="1">IFERROR(__xludf.DUMMYFUNCTION("""COMPUTED_VALUE"""),127)</f>
        <v>127</v>
      </c>
      <c r="C134" t="str">
        <f ca="1">IFERROR(__xludf.DUMMYFUNCTION("""COMPUTED_VALUE"""),"Patton Kizzire")</f>
        <v>Patton Kizzire</v>
      </c>
      <c r="D134">
        <f ca="1">IFERROR(__xludf.DUMMYFUNCTION("""COMPUTED_VALUE"""),18)</f>
        <v>18</v>
      </c>
      <c r="E134" t="str">
        <f ca="1">IFERROR(__xludf.DUMMYFUNCTION("""COMPUTED_VALUE"""),"46' 8""")</f>
        <v>46' 8"</v>
      </c>
      <c r="F134" s="1">
        <f ca="1">IFERROR(__xludf.DUMMYFUNCTION("""COMPUTED_VALUE"""),36373)</f>
        <v>36373</v>
      </c>
      <c r="G134">
        <f ca="1">IFERROR(__xludf.DUMMYFUNCTION("""COMPUTED_VALUE"""),65)</f>
        <v>65</v>
      </c>
      <c r="H134" s="2">
        <f ca="1">IFERROR(__xludf.DUMMYFUNCTION("""COMPUTED_VALUE"""),3031.083)</f>
        <v>3031.0830000000001</v>
      </c>
      <c r="I134">
        <f ca="1">IFERROR(__xludf.DUMMYFUNCTION("""COMPUTED_VALUE"""),-1)</f>
        <v>-1</v>
      </c>
    </row>
    <row r="135" spans="1:9" ht="12.75">
      <c r="A135" t="str">
        <f ca="1">IFERROR(__xludf.DUMMYFUNCTION("""COMPUTED_VALUE"""),"T133")</f>
        <v>T133</v>
      </c>
      <c r="B135" t="str">
        <f ca="1">IFERROR(__xludf.DUMMYFUNCTION("""COMPUTED_VALUE"""),"T76")</f>
        <v>T76</v>
      </c>
      <c r="C135" t="str">
        <f ca="1">IFERROR(__xludf.DUMMYFUNCTION("""COMPUTED_VALUE"""),"Branden Grace")</f>
        <v>Branden Grace</v>
      </c>
      <c r="D135">
        <f ca="1">IFERROR(__xludf.DUMMYFUNCTION("""COMPUTED_VALUE"""),16)</f>
        <v>16</v>
      </c>
      <c r="E135" t="str">
        <f ca="1">IFERROR(__xludf.DUMMYFUNCTION("""COMPUTED_VALUE"""),"46' 8""")</f>
        <v>46' 8"</v>
      </c>
      <c r="F135" s="1">
        <f ca="1">IFERROR(__xludf.DUMMYFUNCTION("""COMPUTED_VALUE"""),32457)</f>
        <v>32457</v>
      </c>
      <c r="G135">
        <f ca="1">IFERROR(__xludf.DUMMYFUNCTION("""COMPUTED_VALUE"""),58)</f>
        <v>58</v>
      </c>
      <c r="H135" s="2">
        <f ca="1">IFERROR(__xludf.DUMMYFUNCTION("""COMPUTED_VALUE"""),2704.75)</f>
        <v>2704.75</v>
      </c>
      <c r="I135" t="str">
        <f ca="1">IFERROR(__xludf.DUMMYFUNCTION("""COMPUTED_VALUE"""),"+14.00")</f>
        <v>+14.00</v>
      </c>
    </row>
    <row r="136" spans="1:9" ht="12.75">
      <c r="A136" t="str">
        <f ca="1">IFERROR(__xludf.DUMMYFUNCTION("""COMPUTED_VALUE"""),"T133")</f>
        <v>T133</v>
      </c>
      <c r="B136" t="str">
        <f ca="1">IFERROR(__xludf.DUMMYFUNCTION("""COMPUTED_VALUE"""),"T110")</f>
        <v>T110</v>
      </c>
      <c r="C136" t="str">
        <f ca="1">IFERROR(__xludf.DUMMYFUNCTION("""COMPUTED_VALUE"""),"Robby Shelton")</f>
        <v>Robby Shelton</v>
      </c>
      <c r="D136">
        <f ca="1">IFERROR(__xludf.DUMMYFUNCTION("""COMPUTED_VALUE"""),14)</f>
        <v>14</v>
      </c>
      <c r="E136" t="str">
        <f ca="1">IFERROR(__xludf.DUMMYFUNCTION("""COMPUTED_VALUE"""),"46' 8""")</f>
        <v>46' 8"</v>
      </c>
      <c r="F136" s="1">
        <f ca="1">IFERROR(__xludf.DUMMYFUNCTION("""COMPUTED_VALUE"""),33601)</f>
        <v>33601</v>
      </c>
      <c r="G136">
        <f ca="1">IFERROR(__xludf.DUMMYFUNCTION("""COMPUTED_VALUE"""),60)</f>
        <v>60</v>
      </c>
      <c r="H136" s="2">
        <f ca="1">IFERROR(__xludf.DUMMYFUNCTION("""COMPUTED_VALUE"""),2800.083)</f>
        <v>2800.0830000000001</v>
      </c>
      <c r="I136">
        <f ca="1">IFERROR(__xludf.DUMMYFUNCTION("""COMPUTED_VALUE"""),-1)</f>
        <v>-1</v>
      </c>
    </row>
    <row r="137" spans="1:9" ht="12.75">
      <c r="A137" t="str">
        <f ca="1">IFERROR(__xludf.DUMMYFUNCTION("""COMPUTED_VALUE"""),"T136")</f>
        <v>T136</v>
      </c>
      <c r="B137">
        <f ca="1">IFERROR(__xludf.DUMMYFUNCTION("""COMPUTED_VALUE"""),140)</f>
        <v>140</v>
      </c>
      <c r="C137" t="str">
        <f ca="1">IFERROR(__xludf.DUMMYFUNCTION("""COMPUTED_VALUE"""),"Dylan Frittelli")</f>
        <v>Dylan Frittelli</v>
      </c>
      <c r="D137">
        <f ca="1">IFERROR(__xludf.DUMMYFUNCTION("""COMPUTED_VALUE"""),16)</f>
        <v>16</v>
      </c>
      <c r="E137" t="str">
        <f ca="1">IFERROR(__xludf.DUMMYFUNCTION("""COMPUTED_VALUE"""),"46' 9""")</f>
        <v>46' 9"</v>
      </c>
      <c r="F137" s="1">
        <f ca="1">IFERROR(__xludf.DUMMYFUNCTION("""COMPUTED_VALUE"""),27469)</f>
        <v>27469</v>
      </c>
      <c r="G137">
        <f ca="1">IFERROR(__xludf.DUMMYFUNCTION("""COMPUTED_VALUE"""),49)</f>
        <v>49</v>
      </c>
      <c r="H137" s="2">
        <f ca="1">IFERROR(__xludf.DUMMYFUNCTION("""COMPUTED_VALUE"""),2289.083)</f>
        <v>2289.0830000000001</v>
      </c>
      <c r="I137" t="str">
        <f ca="1">IFERROR(__xludf.DUMMYFUNCTION("""COMPUTED_VALUE"""),"+10.00")</f>
        <v>+10.00</v>
      </c>
    </row>
    <row r="138" spans="1:9" ht="12.75">
      <c r="A138" t="str">
        <f ca="1">IFERROR(__xludf.DUMMYFUNCTION("""COMPUTED_VALUE"""),"T136")</f>
        <v>T136</v>
      </c>
      <c r="B138">
        <f ca="1">IFERROR(__xludf.DUMMYFUNCTION("""COMPUTED_VALUE"""),155)</f>
        <v>155</v>
      </c>
      <c r="C138" t="str">
        <f ca="1">IFERROR(__xludf.DUMMYFUNCTION("""COMPUTED_VALUE"""),"Ryan Palmer")</f>
        <v>Ryan Palmer</v>
      </c>
      <c r="D138">
        <f ca="1">IFERROR(__xludf.DUMMYFUNCTION("""COMPUTED_VALUE"""),14)</f>
        <v>14</v>
      </c>
      <c r="E138" t="str">
        <f ca="1">IFERROR(__xludf.DUMMYFUNCTION("""COMPUTED_VALUE"""),"46' 9""")</f>
        <v>46' 9"</v>
      </c>
      <c r="F138" s="1">
        <f ca="1">IFERROR(__xludf.DUMMYFUNCTION("""COMPUTED_VALUE"""),29165)</f>
        <v>29165</v>
      </c>
      <c r="G138">
        <f ca="1">IFERROR(__xludf.DUMMYFUNCTION("""COMPUTED_VALUE"""),52)</f>
        <v>52</v>
      </c>
      <c r="H138" s="2">
        <f ca="1">IFERROR(__xludf.DUMMYFUNCTION("""COMPUTED_VALUE"""),2430.417)</f>
        <v>2430.4169999999999</v>
      </c>
      <c r="I138">
        <f ca="1">IFERROR(__xludf.DUMMYFUNCTION("""COMPUTED_VALUE"""),-5)</f>
        <v>-5</v>
      </c>
    </row>
    <row r="139" spans="1:9" ht="12.75">
      <c r="A139">
        <f ca="1">IFERROR(__xludf.DUMMYFUNCTION("""COMPUTED_VALUE"""),138)</f>
        <v>138</v>
      </c>
      <c r="B139" t="str">
        <f ca="1">IFERROR(__xludf.DUMMYFUNCTION("""COMPUTED_VALUE"""),"T156")</f>
        <v>T156</v>
      </c>
      <c r="C139" t="str">
        <f ca="1">IFERROR(__xludf.DUMMYFUNCTION("""COMPUTED_VALUE"""),"Ian Poulter")</f>
        <v>Ian Poulter</v>
      </c>
      <c r="D139">
        <f ca="1">IFERROR(__xludf.DUMMYFUNCTION("""COMPUTED_VALUE"""),6)</f>
        <v>6</v>
      </c>
      <c r="E139" t="str">
        <f ca="1">IFERROR(__xludf.DUMMYFUNCTION("""COMPUTED_VALUE"""),"46' 10""")</f>
        <v>46' 10"</v>
      </c>
      <c r="F139" s="1">
        <f ca="1">IFERROR(__xludf.DUMMYFUNCTION("""COMPUTED_VALUE"""),11810)</f>
        <v>11810</v>
      </c>
      <c r="G139">
        <f ca="1">IFERROR(__xludf.DUMMYFUNCTION("""COMPUTED_VALUE"""),21)</f>
        <v>21</v>
      </c>
      <c r="H139">
        <f ca="1">IFERROR(__xludf.DUMMYFUNCTION("""COMPUTED_VALUE"""),984.167)</f>
        <v>984.16700000000003</v>
      </c>
      <c r="I139" t="str">
        <f ca="1">IFERROR(__xludf.DUMMYFUNCTION("""COMPUTED_VALUE"""),"+10.00")</f>
        <v>+10.00</v>
      </c>
    </row>
    <row r="140" spans="1:9" ht="12.75">
      <c r="A140" t="str">
        <f ca="1">IFERROR(__xludf.DUMMYFUNCTION("""COMPUTED_VALUE"""),"T139")</f>
        <v>T139</v>
      </c>
      <c r="B140" t="str">
        <f ca="1">IFERROR(__xludf.DUMMYFUNCTION("""COMPUTED_VALUE"""),"T158")</f>
        <v>T158</v>
      </c>
      <c r="C140" t="str">
        <f ca="1">IFERROR(__xludf.DUMMYFUNCTION("""COMPUTED_VALUE"""),"Louis Oosthuizen")</f>
        <v>Louis Oosthuizen</v>
      </c>
      <c r="D140">
        <f ca="1">IFERROR(__xludf.DUMMYFUNCTION("""COMPUTED_VALUE"""),12)</f>
        <v>12</v>
      </c>
      <c r="E140" t="str">
        <f ca="1">IFERROR(__xludf.DUMMYFUNCTION("""COMPUTED_VALUE"""),"46' 11""")</f>
        <v>46' 11"</v>
      </c>
      <c r="F140" s="1">
        <f ca="1">IFERROR(__xludf.DUMMYFUNCTION("""COMPUTED_VALUE"""),21375)</f>
        <v>21375</v>
      </c>
      <c r="G140">
        <f ca="1">IFERROR(__xludf.DUMMYFUNCTION("""COMPUTED_VALUE"""),38)</f>
        <v>38</v>
      </c>
      <c r="H140" s="2">
        <f ca="1">IFERROR(__xludf.DUMMYFUNCTION("""COMPUTED_VALUE"""),1781.25)</f>
        <v>1781.25</v>
      </c>
      <c r="I140">
        <f ca="1">IFERROR(__xludf.DUMMYFUNCTION("""COMPUTED_VALUE"""),-1)</f>
        <v>-1</v>
      </c>
    </row>
    <row r="141" spans="1:9" ht="12.75">
      <c r="A141" t="str">
        <f ca="1">IFERROR(__xludf.DUMMYFUNCTION("""COMPUTED_VALUE"""),"T139")</f>
        <v>T139</v>
      </c>
      <c r="B141" t="str">
        <f ca="1">IFERROR(__xludf.DUMMYFUNCTION("""COMPUTED_VALUE"""),"T105")</f>
        <v>T105</v>
      </c>
      <c r="C141" t="str">
        <f ca="1">IFERROR(__xludf.DUMMYFUNCTION("""COMPUTED_VALUE"""),"Graham DeLaet")</f>
        <v>Graham DeLaet</v>
      </c>
      <c r="D141">
        <f ca="1">IFERROR(__xludf.DUMMYFUNCTION("""COMPUTED_VALUE"""),9)</f>
        <v>9</v>
      </c>
      <c r="E141" t="str">
        <f ca="1">IFERROR(__xludf.DUMMYFUNCTION("""COMPUTED_VALUE"""),"46' 11""")</f>
        <v>46' 11"</v>
      </c>
      <c r="F141" s="1">
        <f ca="1">IFERROR(__xludf.DUMMYFUNCTION("""COMPUTED_VALUE"""),13508)</f>
        <v>13508</v>
      </c>
      <c r="G141">
        <f ca="1">IFERROR(__xludf.DUMMYFUNCTION("""COMPUTED_VALUE"""),24)</f>
        <v>24</v>
      </c>
      <c r="H141" s="2">
        <f ca="1">IFERROR(__xludf.DUMMYFUNCTION("""COMPUTED_VALUE"""),1125.667)</f>
        <v>1125.6669999999999</v>
      </c>
      <c r="I141" t="str">
        <f ca="1">IFERROR(__xludf.DUMMYFUNCTION("""COMPUTED_VALUE"""),"+12.00")</f>
        <v>+12.00</v>
      </c>
    </row>
    <row r="142" spans="1:9" ht="12.75">
      <c r="A142" t="str">
        <f ca="1">IFERROR(__xludf.DUMMYFUNCTION("""COMPUTED_VALUE"""),"T139")</f>
        <v>T139</v>
      </c>
      <c r="B142" t="str">
        <f ca="1">IFERROR(__xludf.DUMMYFUNCTION("""COMPUTED_VALUE"""),"T158")</f>
        <v>T158</v>
      </c>
      <c r="C142" t="str">
        <f ca="1">IFERROR(__xludf.DUMMYFUNCTION("""COMPUTED_VALUE"""),"Cameron Champ")</f>
        <v>Cameron Champ</v>
      </c>
      <c r="D142">
        <f ca="1">IFERROR(__xludf.DUMMYFUNCTION("""COMPUTED_VALUE"""),12)</f>
        <v>12</v>
      </c>
      <c r="E142" t="str">
        <f ca="1">IFERROR(__xludf.DUMMYFUNCTION("""COMPUTED_VALUE"""),"46' 11""")</f>
        <v>46' 11"</v>
      </c>
      <c r="F142" s="1">
        <f ca="1">IFERROR(__xludf.DUMMYFUNCTION("""COMPUTED_VALUE"""),25337)</f>
        <v>25337</v>
      </c>
      <c r="G142">
        <f ca="1">IFERROR(__xludf.DUMMYFUNCTION("""COMPUTED_VALUE"""),45)</f>
        <v>45</v>
      </c>
      <c r="H142" s="2">
        <f ca="1">IFERROR(__xludf.DUMMYFUNCTION("""COMPUTED_VALUE"""),2111.417)</f>
        <v>2111.4169999999999</v>
      </c>
      <c r="I142" t="str">
        <f ca="1">IFERROR(__xludf.DUMMYFUNCTION("""COMPUTED_VALUE"""),"+10.00")</f>
        <v>+10.00</v>
      </c>
    </row>
    <row r="143" spans="1:9" ht="12.75">
      <c r="A143" t="str">
        <f ca="1">IFERROR(__xludf.DUMMYFUNCTION("""COMPUTED_VALUE"""),"T142")</f>
        <v>T142</v>
      </c>
      <c r="B143" t="str">
        <f ca="1">IFERROR(__xludf.DUMMYFUNCTION("""COMPUTED_VALUE"""),"T160")</f>
        <v>T160</v>
      </c>
      <c r="C143" t="str">
        <f ca="1">IFERROR(__xludf.DUMMYFUNCTION("""COMPUTED_VALUE"""),"Matthew Wolff")</f>
        <v>Matthew Wolff</v>
      </c>
      <c r="D143">
        <f ca="1">IFERROR(__xludf.DUMMYFUNCTION("""COMPUTED_VALUE"""),16)</f>
        <v>16</v>
      </c>
      <c r="E143" t="str">
        <f ca="1">IFERROR(__xludf.DUMMYFUNCTION("""COMPUTED_VALUE"""),"47' 0""")</f>
        <v>47' 0"</v>
      </c>
      <c r="F143" s="1">
        <f ca="1">IFERROR(__xludf.DUMMYFUNCTION("""COMPUTED_VALUE"""),36111)</f>
        <v>36111</v>
      </c>
      <c r="G143">
        <f ca="1">IFERROR(__xludf.DUMMYFUNCTION("""COMPUTED_VALUE"""),64)</f>
        <v>64</v>
      </c>
      <c r="H143" s="2">
        <f ca="1">IFERROR(__xludf.DUMMYFUNCTION("""COMPUTED_VALUE"""),3009.25)</f>
        <v>3009.25</v>
      </c>
      <c r="I143" t="str">
        <f ca="1">IFERROR(__xludf.DUMMYFUNCTION("""COMPUTED_VALUE"""),"+12.00")</f>
        <v>+12.00</v>
      </c>
    </row>
    <row r="144" spans="1:9" ht="12.75">
      <c r="A144" t="str">
        <f ca="1">IFERROR(__xludf.DUMMYFUNCTION("""COMPUTED_VALUE"""),"T142")</f>
        <v>T142</v>
      </c>
      <c r="B144" t="str">
        <f ca="1">IFERROR(__xludf.DUMMYFUNCTION("""COMPUTED_VALUE"""),"T160")</f>
        <v>T160</v>
      </c>
      <c r="C144" t="str">
        <f ca="1">IFERROR(__xludf.DUMMYFUNCTION("""COMPUTED_VALUE"""),"Brendan Steele")</f>
        <v>Brendan Steele</v>
      </c>
      <c r="D144">
        <f ca="1">IFERROR(__xludf.DUMMYFUNCTION("""COMPUTED_VALUE"""),14)</f>
        <v>14</v>
      </c>
      <c r="E144" t="str">
        <f ca="1">IFERROR(__xludf.DUMMYFUNCTION("""COMPUTED_VALUE"""),"47' 0""")</f>
        <v>47' 0"</v>
      </c>
      <c r="F144" s="1">
        <f ca="1">IFERROR(__xludf.DUMMYFUNCTION("""COMPUTED_VALUE"""),21978)</f>
        <v>21978</v>
      </c>
      <c r="G144">
        <f ca="1">IFERROR(__xludf.DUMMYFUNCTION("""COMPUTED_VALUE"""),39)</f>
        <v>39</v>
      </c>
      <c r="H144" s="2">
        <f ca="1">IFERROR(__xludf.DUMMYFUNCTION("""COMPUTED_VALUE"""),1831.5)</f>
        <v>1831.5</v>
      </c>
      <c r="I144">
        <f ca="1">IFERROR(__xludf.DUMMYFUNCTION("""COMPUTED_VALUE"""),-1)</f>
        <v>-1</v>
      </c>
    </row>
    <row r="145" spans="1:9" ht="12.75">
      <c r="A145">
        <f ca="1">IFERROR(__xludf.DUMMYFUNCTION("""COMPUTED_VALUE"""),144)</f>
        <v>144</v>
      </c>
      <c r="B145" t="str">
        <f ca="1">IFERROR(__xludf.DUMMYFUNCTION("""COMPUTED_VALUE"""),"T170")</f>
        <v>T170</v>
      </c>
      <c r="C145" t="str">
        <f ca="1">IFERROR(__xludf.DUMMYFUNCTION("""COMPUTED_VALUE"""),"Phil Mickelson")</f>
        <v>Phil Mickelson</v>
      </c>
      <c r="D145">
        <f ca="1">IFERROR(__xludf.DUMMYFUNCTION("""COMPUTED_VALUE"""),12)</f>
        <v>12</v>
      </c>
      <c r="E145" t="str">
        <f ca="1">IFERROR(__xludf.DUMMYFUNCTION("""COMPUTED_VALUE"""),"47' 1""")</f>
        <v>47' 1"</v>
      </c>
      <c r="F145" s="1">
        <f ca="1">IFERROR(__xludf.DUMMYFUNCTION("""COMPUTED_VALUE"""),43509)</f>
        <v>43509</v>
      </c>
      <c r="G145">
        <f ca="1">IFERROR(__xludf.DUMMYFUNCTION("""COMPUTED_VALUE"""),77)</f>
        <v>77</v>
      </c>
      <c r="H145" s="2">
        <f ca="1">IFERROR(__xludf.DUMMYFUNCTION("""COMPUTED_VALUE"""),3625.75)</f>
        <v>3625.75</v>
      </c>
      <c r="I145" t="str">
        <f ca="1">IFERROR(__xludf.DUMMYFUNCTION("""COMPUTED_VALUE"""),"+1.00")</f>
        <v>+1.00</v>
      </c>
    </row>
    <row r="146" spans="1:9" ht="12.75">
      <c r="A146">
        <f ca="1">IFERROR(__xludf.DUMMYFUNCTION("""COMPUTED_VALUE"""),145)</f>
        <v>145</v>
      </c>
      <c r="B146" t="str">
        <f ca="1">IFERROR(__xludf.DUMMYFUNCTION("""COMPUTED_VALUE"""),"T102")</f>
        <v>T102</v>
      </c>
      <c r="C146" t="str">
        <f ca="1">IFERROR(__xludf.DUMMYFUNCTION("""COMPUTED_VALUE"""),"Michael Kim")</f>
        <v>Michael Kim</v>
      </c>
      <c r="D146">
        <f ca="1">IFERROR(__xludf.DUMMYFUNCTION("""COMPUTED_VALUE"""),12)</f>
        <v>12</v>
      </c>
      <c r="E146" t="str">
        <f ca="1">IFERROR(__xludf.DUMMYFUNCTION("""COMPUTED_VALUE"""),"47' 2""")</f>
        <v>47' 2"</v>
      </c>
      <c r="F146" s="1">
        <f ca="1">IFERROR(__xludf.DUMMYFUNCTION("""COMPUTED_VALUE"""),24910)</f>
        <v>24910</v>
      </c>
      <c r="G146">
        <f ca="1">IFERROR(__xludf.DUMMYFUNCTION("""COMPUTED_VALUE"""),44)</f>
        <v>44</v>
      </c>
      <c r="H146" s="2">
        <f ca="1">IFERROR(__xludf.DUMMYFUNCTION("""COMPUTED_VALUE"""),2075.833)</f>
        <v>2075.8330000000001</v>
      </c>
      <c r="I146" t="str">
        <f ca="1">IFERROR(__xludf.DUMMYFUNCTION("""COMPUTED_VALUE"""),"+2.00")</f>
        <v>+2.00</v>
      </c>
    </row>
    <row r="147" spans="1:9" ht="12.75">
      <c r="A147">
        <f ca="1">IFERROR(__xludf.DUMMYFUNCTION("""COMPUTED_VALUE"""),146)</f>
        <v>146</v>
      </c>
      <c r="B147" t="str">
        <f ca="1">IFERROR(__xludf.DUMMYFUNCTION("""COMPUTED_VALUE"""),"T164")</f>
        <v>T164</v>
      </c>
      <c r="C147" t="str">
        <f ca="1">IFERROR(__xludf.DUMMYFUNCTION("""COMPUTED_VALUE"""),"Justin Rose")</f>
        <v>Justin Rose</v>
      </c>
      <c r="D147">
        <f ca="1">IFERROR(__xludf.DUMMYFUNCTION("""COMPUTED_VALUE"""),10)</f>
        <v>10</v>
      </c>
      <c r="E147" t="str">
        <f ca="1">IFERROR(__xludf.DUMMYFUNCTION("""COMPUTED_VALUE"""),"47' 3""")</f>
        <v>47' 3"</v>
      </c>
      <c r="F147" s="1">
        <f ca="1">IFERROR(__xludf.DUMMYFUNCTION("""COMPUTED_VALUE"""),24388)</f>
        <v>24388</v>
      </c>
      <c r="G147">
        <f ca="1">IFERROR(__xludf.DUMMYFUNCTION("""COMPUTED_VALUE"""),43)</f>
        <v>43</v>
      </c>
      <c r="H147" s="2">
        <f ca="1">IFERROR(__xludf.DUMMYFUNCTION("""COMPUTED_VALUE"""),2032.333)</f>
        <v>2032.3330000000001</v>
      </c>
      <c r="I147" t="str">
        <f ca="1">IFERROR(__xludf.DUMMYFUNCTION("""COMPUTED_VALUE"""),"+8.00")</f>
        <v>+8.00</v>
      </c>
    </row>
    <row r="148" spans="1:9" ht="12.75">
      <c r="A148" t="str">
        <f ca="1">IFERROR(__xludf.DUMMYFUNCTION("""COMPUTED_VALUE"""),"T147")</f>
        <v>T147</v>
      </c>
      <c r="B148">
        <f ca="1">IFERROR(__xludf.DUMMYFUNCTION("""COMPUTED_VALUE"""),215)</f>
        <v>215</v>
      </c>
      <c r="C148" t="str">
        <f ca="1">IFERROR(__xludf.DUMMYFUNCTION("""COMPUTED_VALUE"""),"Danny Willett")</f>
        <v>Danny Willett</v>
      </c>
      <c r="D148">
        <f ca="1">IFERROR(__xludf.DUMMYFUNCTION("""COMPUTED_VALUE"""),7)</f>
        <v>7</v>
      </c>
      <c r="E148" t="str">
        <f ca="1">IFERROR(__xludf.DUMMYFUNCTION("""COMPUTED_VALUE"""),"47' 4""")</f>
        <v>47' 4"</v>
      </c>
      <c r="F148" s="1">
        <f ca="1">IFERROR(__xludf.DUMMYFUNCTION("""COMPUTED_VALUE"""),10799)</f>
        <v>10799</v>
      </c>
      <c r="G148">
        <f ca="1">IFERROR(__xludf.DUMMYFUNCTION("""COMPUTED_VALUE"""),19)</f>
        <v>19</v>
      </c>
      <c r="H148">
        <f ca="1">IFERROR(__xludf.DUMMYFUNCTION("""COMPUTED_VALUE"""),899.917)</f>
        <v>899.91700000000003</v>
      </c>
      <c r="I148" t="str">
        <f ca="1">IFERROR(__xludf.DUMMYFUNCTION("""COMPUTED_VALUE"""),"+10.00")</f>
        <v>+10.00</v>
      </c>
    </row>
    <row r="149" spans="1:9" ht="12.75">
      <c r="A149" t="str">
        <f ca="1">IFERROR(__xludf.DUMMYFUNCTION("""COMPUTED_VALUE"""),"T147")</f>
        <v>T147</v>
      </c>
      <c r="B149" t="str">
        <f ca="1">IFERROR(__xludf.DUMMYFUNCTION("""COMPUTED_VALUE"""),"T166")</f>
        <v>T166</v>
      </c>
      <c r="C149" t="str">
        <f ca="1">IFERROR(__xludf.DUMMYFUNCTION("""COMPUTED_VALUE"""),"Ben Taylor")</f>
        <v>Ben Taylor</v>
      </c>
      <c r="D149">
        <f ca="1">IFERROR(__xludf.DUMMYFUNCTION("""COMPUTED_VALUE"""),10)</f>
        <v>10</v>
      </c>
      <c r="E149" t="str">
        <f ca="1">IFERROR(__xludf.DUMMYFUNCTION("""COMPUTED_VALUE"""),"47' 4""")</f>
        <v>47' 4"</v>
      </c>
      <c r="F149" s="1">
        <f ca="1">IFERROR(__xludf.DUMMYFUNCTION("""COMPUTED_VALUE"""),13631)</f>
        <v>13631</v>
      </c>
      <c r="G149">
        <f ca="1">IFERROR(__xludf.DUMMYFUNCTION("""COMPUTED_VALUE"""),24)</f>
        <v>24</v>
      </c>
      <c r="H149" s="2">
        <f ca="1">IFERROR(__xludf.DUMMYFUNCTION("""COMPUTED_VALUE"""),1135.917)</f>
        <v>1135.9169999999999</v>
      </c>
      <c r="I149">
        <f ca="1">IFERROR(__xludf.DUMMYFUNCTION("""COMPUTED_VALUE"""),-3)</f>
        <v>-3</v>
      </c>
    </row>
    <row r="150" spans="1:9" ht="12.75">
      <c r="A150">
        <f ca="1">IFERROR(__xludf.DUMMYFUNCTION("""COMPUTED_VALUE"""),149)</f>
        <v>149</v>
      </c>
      <c r="B150" t="str">
        <f ca="1">IFERROR(__xludf.DUMMYFUNCTION("""COMPUTED_VALUE"""),"T146")</f>
        <v>T146</v>
      </c>
      <c r="C150" t="str">
        <f ca="1">IFERROR(__xludf.DUMMYFUNCTION("""COMPUTED_VALUE"""),"Kyoung-Hoon Lee")</f>
        <v>Kyoung-Hoon Lee</v>
      </c>
      <c r="D150">
        <f ca="1">IFERROR(__xludf.DUMMYFUNCTION("""COMPUTED_VALUE"""),20)</f>
        <v>20</v>
      </c>
      <c r="E150" t="str">
        <f ca="1">IFERROR(__xludf.DUMMYFUNCTION("""COMPUTED_VALUE"""),"47' 5""")</f>
        <v>47' 5"</v>
      </c>
      <c r="F150" s="1">
        <f ca="1">IFERROR(__xludf.DUMMYFUNCTION("""COMPUTED_VALUE"""),31291)</f>
        <v>31291</v>
      </c>
      <c r="G150">
        <f ca="1">IFERROR(__xludf.DUMMYFUNCTION("""COMPUTED_VALUE"""),55)</f>
        <v>55</v>
      </c>
      <c r="H150" s="2">
        <f ca="1">IFERROR(__xludf.DUMMYFUNCTION("""COMPUTED_VALUE"""),2607.583)</f>
        <v>2607.5830000000001</v>
      </c>
      <c r="I150" t="str">
        <f ca="1">IFERROR(__xludf.DUMMYFUNCTION("""COMPUTED_VALUE"""),"+14.00")</f>
        <v>+14.00</v>
      </c>
    </row>
    <row r="151" spans="1:9" ht="12.75">
      <c r="A151" t="str">
        <f ca="1">IFERROR(__xludf.DUMMYFUNCTION("""COMPUTED_VALUE"""),"T150")</f>
        <v>T150</v>
      </c>
      <c r="B151">
        <f ca="1">IFERROR(__xludf.DUMMYFUNCTION("""COMPUTED_VALUE"""),99)</f>
        <v>99</v>
      </c>
      <c r="C151" t="str">
        <f ca="1">IFERROR(__xludf.DUMMYFUNCTION("""COMPUTED_VALUE"""),"Kristoffer Ventura")</f>
        <v>Kristoffer Ventura</v>
      </c>
      <c r="D151">
        <f ca="1">IFERROR(__xludf.DUMMYFUNCTION("""COMPUTED_VALUE"""),20)</f>
        <v>20</v>
      </c>
      <c r="E151" t="str">
        <f ca="1">IFERROR(__xludf.DUMMYFUNCTION("""COMPUTED_VALUE"""),"47' 6""")</f>
        <v>47' 6"</v>
      </c>
      <c r="F151" s="1">
        <f ca="1">IFERROR(__xludf.DUMMYFUNCTION("""COMPUTED_VALUE"""),37623)</f>
        <v>37623</v>
      </c>
      <c r="G151">
        <f ca="1">IFERROR(__xludf.DUMMYFUNCTION("""COMPUTED_VALUE"""),66)</f>
        <v>66</v>
      </c>
      <c r="H151" s="2">
        <f ca="1">IFERROR(__xludf.DUMMYFUNCTION("""COMPUTED_VALUE"""),3135.25)</f>
        <v>3135.25</v>
      </c>
      <c r="I151">
        <f ca="1">IFERROR(__xludf.DUMMYFUNCTION("""COMPUTED_VALUE"""),-4)</f>
        <v>-4</v>
      </c>
    </row>
    <row r="152" spans="1:9" ht="12.75">
      <c r="A152" t="str">
        <f ca="1">IFERROR(__xludf.DUMMYFUNCTION("""COMPUTED_VALUE"""),"T150")</f>
        <v>T150</v>
      </c>
      <c r="B152" t="str">
        <f ca="1">IFERROR(__xludf.DUMMYFUNCTION("""COMPUTED_VALUE"""),"T149")</f>
        <v>T149</v>
      </c>
      <c r="C152" t="str">
        <f ca="1">IFERROR(__xludf.DUMMYFUNCTION("""COMPUTED_VALUE"""),"Tom Hoge")</f>
        <v>Tom Hoge</v>
      </c>
      <c r="D152">
        <f ca="1">IFERROR(__xludf.DUMMYFUNCTION("""COMPUTED_VALUE"""),22)</f>
        <v>22</v>
      </c>
      <c r="E152" t="str">
        <f ca="1">IFERROR(__xludf.DUMMYFUNCTION("""COMPUTED_VALUE"""),"47' 6""")</f>
        <v>47' 6"</v>
      </c>
      <c r="F152" s="1">
        <f ca="1">IFERROR(__xludf.DUMMYFUNCTION("""COMPUTED_VALUE"""),44460)</f>
        <v>44460</v>
      </c>
      <c r="G152">
        <f ca="1">IFERROR(__xludf.DUMMYFUNCTION("""COMPUTED_VALUE"""),78)</f>
        <v>78</v>
      </c>
      <c r="H152" s="2">
        <f ca="1">IFERROR(__xludf.DUMMYFUNCTION("""COMPUTED_VALUE"""),3705)</f>
        <v>3705</v>
      </c>
      <c r="I152" t="str">
        <f ca="1">IFERROR(__xludf.DUMMYFUNCTION("""COMPUTED_VALUE"""),"+6.00")</f>
        <v>+6.00</v>
      </c>
    </row>
    <row r="153" spans="1:9" ht="12.75">
      <c r="A153" t="str">
        <f ca="1">IFERROR(__xludf.DUMMYFUNCTION("""COMPUTED_VALUE"""),"T150")</f>
        <v>T150</v>
      </c>
      <c r="B153" t="str">
        <f ca="1">IFERROR(__xludf.DUMMYFUNCTION("""COMPUTED_VALUE"""),"T143")</f>
        <v>T143</v>
      </c>
      <c r="C153" t="str">
        <f ca="1">IFERROR(__xludf.DUMMYFUNCTION("""COMPUTED_VALUE"""),"Cameron Davis")</f>
        <v>Cameron Davis</v>
      </c>
      <c r="D153">
        <f ca="1">IFERROR(__xludf.DUMMYFUNCTION("""COMPUTED_VALUE"""),16)</f>
        <v>16</v>
      </c>
      <c r="E153" t="str">
        <f ca="1">IFERROR(__xludf.DUMMYFUNCTION("""COMPUTED_VALUE"""),"47' 6""")</f>
        <v>47' 6"</v>
      </c>
      <c r="F153" s="1">
        <f ca="1">IFERROR(__xludf.DUMMYFUNCTION("""COMPUTED_VALUE"""),44465)</f>
        <v>44465</v>
      </c>
      <c r="G153">
        <f ca="1">IFERROR(__xludf.DUMMYFUNCTION("""COMPUTED_VALUE"""),78)</f>
        <v>78</v>
      </c>
      <c r="H153" s="2">
        <f ca="1">IFERROR(__xludf.DUMMYFUNCTION("""COMPUTED_VALUE"""),3705.417)</f>
        <v>3705.4169999999999</v>
      </c>
      <c r="I153" t="str">
        <f ca="1">IFERROR(__xludf.DUMMYFUNCTION("""COMPUTED_VALUE"""),"+5.00")</f>
        <v>+5.00</v>
      </c>
    </row>
    <row r="154" spans="1:9" ht="12.75">
      <c r="A154" t="str">
        <f ca="1">IFERROR(__xludf.DUMMYFUNCTION("""COMPUTED_VALUE"""),"T150")</f>
        <v>T150</v>
      </c>
      <c r="B154">
        <f ca="1">IFERROR(__xludf.DUMMYFUNCTION("""COMPUTED_VALUE"""),100)</f>
        <v>100</v>
      </c>
      <c r="C154" t="str">
        <f ca="1">IFERROR(__xludf.DUMMYFUNCTION("""COMPUTED_VALUE"""),"Pat Perez")</f>
        <v>Pat Perez</v>
      </c>
      <c r="D154">
        <f ca="1">IFERROR(__xludf.DUMMYFUNCTION("""COMPUTED_VALUE"""),16)</f>
        <v>16</v>
      </c>
      <c r="E154" t="str">
        <f ca="1">IFERROR(__xludf.DUMMYFUNCTION("""COMPUTED_VALUE"""),"47' 6""")</f>
        <v>47' 6"</v>
      </c>
      <c r="F154" s="1">
        <f ca="1">IFERROR(__xludf.DUMMYFUNCTION("""COMPUTED_VALUE"""),23943)</f>
        <v>23943</v>
      </c>
      <c r="G154">
        <f ca="1">IFERROR(__xludf.DUMMYFUNCTION("""COMPUTED_VALUE"""),42)</f>
        <v>42</v>
      </c>
      <c r="H154" s="2">
        <f ca="1">IFERROR(__xludf.DUMMYFUNCTION("""COMPUTED_VALUE"""),1995.25)</f>
        <v>1995.25</v>
      </c>
      <c r="I154" t="str">
        <f ca="1">IFERROR(__xludf.DUMMYFUNCTION("""COMPUTED_VALUE"""),"+2.00")</f>
        <v>+2.00</v>
      </c>
    </row>
    <row r="155" spans="1:9" ht="12.75">
      <c r="A155" t="str">
        <f ca="1">IFERROR(__xludf.DUMMYFUNCTION("""COMPUTED_VALUE"""),"T154")</f>
        <v>T154</v>
      </c>
      <c r="B155" t="str">
        <f ca="1">IFERROR(__xludf.DUMMYFUNCTION("""COMPUTED_VALUE"""),"T164")</f>
        <v>T164</v>
      </c>
      <c r="C155" t="str">
        <f ca="1">IFERROR(__xludf.DUMMYFUNCTION("""COMPUTED_VALUE"""),"Sergio Garcia")</f>
        <v>Sergio Garcia</v>
      </c>
      <c r="D155">
        <f ca="1">IFERROR(__xludf.DUMMYFUNCTION("""COMPUTED_VALUE"""),18)</f>
        <v>18</v>
      </c>
      <c r="E155" t="str">
        <f ca="1">IFERROR(__xludf.DUMMYFUNCTION("""COMPUTED_VALUE"""),"47' 7""")</f>
        <v>47' 7"</v>
      </c>
      <c r="F155" s="1">
        <f ca="1">IFERROR(__xludf.DUMMYFUNCTION("""COMPUTED_VALUE"""),44557)</f>
        <v>44557</v>
      </c>
      <c r="G155">
        <f ca="1">IFERROR(__xludf.DUMMYFUNCTION("""COMPUTED_VALUE"""),78)</f>
        <v>78</v>
      </c>
      <c r="H155" s="2">
        <f ca="1">IFERROR(__xludf.DUMMYFUNCTION("""COMPUTED_VALUE"""),3713.083)</f>
        <v>3713.0830000000001</v>
      </c>
      <c r="I155">
        <f ca="1">IFERROR(__xludf.DUMMYFUNCTION("""COMPUTED_VALUE"""),-1)</f>
        <v>-1</v>
      </c>
    </row>
    <row r="156" spans="1:9" ht="12.75">
      <c r="A156" t="str">
        <f ca="1">IFERROR(__xludf.DUMMYFUNCTION("""COMPUTED_VALUE"""),"T154")</f>
        <v>T154</v>
      </c>
      <c r="B156" t="str">
        <f ca="1">IFERROR(__xludf.DUMMYFUNCTION("""COMPUTED_VALUE"""),"T128")</f>
        <v>T128</v>
      </c>
      <c r="C156" t="str">
        <f ca="1">IFERROR(__xludf.DUMMYFUNCTION("""COMPUTED_VALUE"""),"Talor Gooch")</f>
        <v>Talor Gooch</v>
      </c>
      <c r="D156">
        <f ca="1">IFERROR(__xludf.DUMMYFUNCTION("""COMPUTED_VALUE"""),20)</f>
        <v>20</v>
      </c>
      <c r="E156" t="str">
        <f ca="1">IFERROR(__xludf.DUMMYFUNCTION("""COMPUTED_VALUE"""),"47' 7""")</f>
        <v>47' 7"</v>
      </c>
      <c r="F156" s="1">
        <f ca="1">IFERROR(__xludf.DUMMYFUNCTION("""COMPUTED_VALUE"""),39953)</f>
        <v>39953</v>
      </c>
      <c r="G156">
        <f ca="1">IFERROR(__xludf.DUMMYFUNCTION("""COMPUTED_VALUE"""),70)</f>
        <v>70</v>
      </c>
      <c r="H156" s="2">
        <f ca="1">IFERROR(__xludf.DUMMYFUNCTION("""COMPUTED_VALUE"""),3329.417)</f>
        <v>3329.4169999999999</v>
      </c>
      <c r="I156" t="str">
        <f ca="1">IFERROR(__xludf.DUMMYFUNCTION("""COMPUTED_VALUE"""),"+1.00")</f>
        <v>+1.00</v>
      </c>
    </row>
    <row r="157" spans="1:9" ht="12.75">
      <c r="A157" t="str">
        <f ca="1">IFERROR(__xludf.DUMMYFUNCTION("""COMPUTED_VALUE"""),"T156")</f>
        <v>T156</v>
      </c>
      <c r="B157" t="str">
        <f ca="1">IFERROR(__xludf.DUMMYFUNCTION("""COMPUTED_VALUE"""),"T170")</f>
        <v>T170</v>
      </c>
      <c r="C157" t="str">
        <f ca="1">IFERROR(__xludf.DUMMYFUNCTION("""COMPUTED_VALUE"""),"Daniel Berger")</f>
        <v>Daniel Berger</v>
      </c>
      <c r="D157">
        <f ca="1">IFERROR(__xludf.DUMMYFUNCTION("""COMPUTED_VALUE"""),12)</f>
        <v>12</v>
      </c>
      <c r="E157" t="str">
        <f ca="1">IFERROR(__xludf.DUMMYFUNCTION("""COMPUTED_VALUE"""),"47' 8""")</f>
        <v>47' 8"</v>
      </c>
      <c r="F157" s="1">
        <f ca="1">IFERROR(__xludf.DUMMYFUNCTION("""COMPUTED_VALUE"""),25179)</f>
        <v>25179</v>
      </c>
      <c r="G157">
        <f ca="1">IFERROR(__xludf.DUMMYFUNCTION("""COMPUTED_VALUE"""),44)</f>
        <v>44</v>
      </c>
      <c r="H157" s="2">
        <f ca="1">IFERROR(__xludf.DUMMYFUNCTION("""COMPUTED_VALUE"""),2098.25)</f>
        <v>2098.25</v>
      </c>
      <c r="I157" t="str">
        <f ca="1">IFERROR(__xludf.DUMMYFUNCTION("""COMPUTED_VALUE"""),"E")</f>
        <v>E</v>
      </c>
    </row>
    <row r="158" spans="1:9" ht="12.75">
      <c r="A158" t="str">
        <f ca="1">IFERROR(__xludf.DUMMYFUNCTION("""COMPUTED_VALUE"""),"T156")</f>
        <v>T156</v>
      </c>
      <c r="B158">
        <f ca="1">IFERROR(__xludf.DUMMYFUNCTION("""COMPUTED_VALUE"""),168)</f>
        <v>168</v>
      </c>
      <c r="C158" t="str">
        <f ca="1">IFERROR(__xludf.DUMMYFUNCTION("""COMPUTED_VALUE"""),"Maverick McNealy")</f>
        <v>Maverick McNealy</v>
      </c>
      <c r="D158">
        <f ca="1">IFERROR(__xludf.DUMMYFUNCTION("""COMPUTED_VALUE"""),16)</f>
        <v>16</v>
      </c>
      <c r="E158" t="str">
        <f ca="1">IFERROR(__xludf.DUMMYFUNCTION("""COMPUTED_VALUE"""),"47' 8""")</f>
        <v>47' 8"</v>
      </c>
      <c r="F158" s="1">
        <f ca="1">IFERROR(__xludf.DUMMYFUNCTION("""COMPUTED_VALUE"""),32583)</f>
        <v>32583</v>
      </c>
      <c r="G158">
        <f ca="1">IFERROR(__xludf.DUMMYFUNCTION("""COMPUTED_VALUE"""),57)</f>
        <v>57</v>
      </c>
      <c r="H158" s="2">
        <f ca="1">IFERROR(__xludf.DUMMYFUNCTION("""COMPUTED_VALUE"""),2715.25)</f>
        <v>2715.25</v>
      </c>
      <c r="I158" t="str">
        <f ca="1">IFERROR(__xludf.DUMMYFUNCTION("""COMPUTED_VALUE"""),"+3.00")</f>
        <v>+3.00</v>
      </c>
    </row>
    <row r="159" spans="1:9" ht="12.75">
      <c r="A159" t="str">
        <f ca="1">IFERROR(__xludf.DUMMYFUNCTION("""COMPUTED_VALUE"""),"T156")</f>
        <v>T156</v>
      </c>
      <c r="B159" t="str">
        <f ca="1">IFERROR(__xludf.DUMMYFUNCTION("""COMPUTED_VALUE"""),"")</f>
        <v/>
      </c>
      <c r="C159" t="str">
        <f ca="1">IFERROR(__xludf.DUMMYFUNCTION("""COMPUTED_VALUE"""),"Erik Barnes")</f>
        <v>Erik Barnes</v>
      </c>
      <c r="D159">
        <f ca="1">IFERROR(__xludf.DUMMYFUNCTION("""COMPUTED_VALUE"""),4)</f>
        <v>4</v>
      </c>
      <c r="E159" t="str">
        <f ca="1">IFERROR(__xludf.DUMMYFUNCTION("""COMPUTED_VALUE"""),"47' 8""")</f>
        <v>47' 8"</v>
      </c>
      <c r="F159" s="1">
        <f ca="1">IFERROR(__xludf.DUMMYFUNCTION("""COMPUTED_VALUE"""),10873)</f>
        <v>10873</v>
      </c>
      <c r="G159">
        <f ca="1">IFERROR(__xludf.DUMMYFUNCTION("""COMPUTED_VALUE"""),19)</f>
        <v>19</v>
      </c>
      <c r="H159">
        <f ca="1">IFERROR(__xludf.DUMMYFUNCTION("""COMPUTED_VALUE"""),906.083)</f>
        <v>906.08299999999997</v>
      </c>
      <c r="I159" t="str">
        <f ca="1">IFERROR(__xludf.DUMMYFUNCTION("""COMPUTED_VALUE"""),"+7.00")</f>
        <v>+7.00</v>
      </c>
    </row>
    <row r="160" spans="1:9" ht="12.75">
      <c r="A160">
        <f ca="1">IFERROR(__xludf.DUMMYFUNCTION("""COMPUTED_VALUE"""),159)</f>
        <v>159</v>
      </c>
      <c r="B160" t="str">
        <f ca="1">IFERROR(__xludf.DUMMYFUNCTION("""COMPUTED_VALUE"""),"T166")</f>
        <v>T166</v>
      </c>
      <c r="C160" t="str">
        <f ca="1">IFERROR(__xludf.DUMMYFUNCTION("""COMPUTED_VALUE"""),"Scott Piercy")</f>
        <v>Scott Piercy</v>
      </c>
      <c r="D160">
        <f ca="1">IFERROR(__xludf.DUMMYFUNCTION("""COMPUTED_VALUE"""),18)</f>
        <v>18</v>
      </c>
      <c r="E160" t="str">
        <f ca="1">IFERROR(__xludf.DUMMYFUNCTION("""COMPUTED_VALUE"""),"47' 11""")</f>
        <v>47' 11"</v>
      </c>
      <c r="F160" s="1">
        <f ca="1">IFERROR(__xludf.DUMMYFUNCTION("""COMPUTED_VALUE"""),29330)</f>
        <v>29330</v>
      </c>
      <c r="G160">
        <f ca="1">IFERROR(__xludf.DUMMYFUNCTION("""COMPUTED_VALUE"""),51)</f>
        <v>51</v>
      </c>
      <c r="H160" s="2">
        <f ca="1">IFERROR(__xludf.DUMMYFUNCTION("""COMPUTED_VALUE"""),2444.167)</f>
        <v>2444.1669999999999</v>
      </c>
      <c r="I160" t="str">
        <f ca="1">IFERROR(__xludf.DUMMYFUNCTION("""COMPUTED_VALUE"""),"+6.00")</f>
        <v>+6.00</v>
      </c>
    </row>
    <row r="161" spans="1:9" ht="12.75">
      <c r="A161" t="str">
        <f ca="1">IFERROR(__xludf.DUMMYFUNCTION("""COMPUTED_VALUE"""),"T160")</f>
        <v>T160</v>
      </c>
      <c r="B161" t="str">
        <f ca="1">IFERROR(__xludf.DUMMYFUNCTION("""COMPUTED_VALUE"""),"T172")</f>
        <v>T172</v>
      </c>
      <c r="C161" t="str">
        <f ca="1">IFERROR(__xludf.DUMMYFUNCTION("""COMPUTED_VALUE"""),"Bubba Watson")</f>
        <v>Bubba Watson</v>
      </c>
      <c r="D161">
        <f ca="1">IFERROR(__xludf.DUMMYFUNCTION("""COMPUTED_VALUE"""),12)</f>
        <v>12</v>
      </c>
      <c r="E161" t="str">
        <f ca="1">IFERROR(__xludf.DUMMYFUNCTION("""COMPUTED_VALUE"""),"48' 0""")</f>
        <v>48' 0"</v>
      </c>
      <c r="F161" s="1">
        <f ca="1">IFERROR(__xludf.DUMMYFUNCTION("""COMPUTED_VALUE"""),26516)</f>
        <v>26516</v>
      </c>
      <c r="G161">
        <f ca="1">IFERROR(__xludf.DUMMYFUNCTION("""COMPUTED_VALUE"""),46)</f>
        <v>46</v>
      </c>
      <c r="H161" s="2">
        <f ca="1">IFERROR(__xludf.DUMMYFUNCTION("""COMPUTED_VALUE"""),2209.667)</f>
        <v>2209.6669999999999</v>
      </c>
      <c r="I161" t="str">
        <f ca="1">IFERROR(__xludf.DUMMYFUNCTION("""COMPUTED_VALUE"""),"+6.00")</f>
        <v>+6.00</v>
      </c>
    </row>
    <row r="162" spans="1:9" ht="12.75">
      <c r="A162" t="str">
        <f ca="1">IFERROR(__xludf.DUMMYFUNCTION("""COMPUTED_VALUE"""),"T160")</f>
        <v>T160</v>
      </c>
      <c r="B162">
        <f ca="1">IFERROR(__xludf.DUMMYFUNCTION("""COMPUTED_VALUE"""),169)</f>
        <v>169</v>
      </c>
      <c r="C162" t="str">
        <f ca="1">IFERROR(__xludf.DUMMYFUNCTION("""COMPUTED_VALUE"""),"Camilo Villegas")</f>
        <v>Camilo Villegas</v>
      </c>
      <c r="D162">
        <f ca="1">IFERROR(__xludf.DUMMYFUNCTION("""COMPUTED_VALUE"""),14)</f>
        <v>14</v>
      </c>
      <c r="E162" t="str">
        <f ca="1">IFERROR(__xludf.DUMMYFUNCTION("""COMPUTED_VALUE"""),"48' 0""")</f>
        <v>48' 0"</v>
      </c>
      <c r="F162" s="1">
        <f ca="1">IFERROR(__xludf.DUMMYFUNCTION("""COMPUTED_VALUE"""),29363)</f>
        <v>29363</v>
      </c>
      <c r="G162">
        <f ca="1">IFERROR(__xludf.DUMMYFUNCTION("""COMPUTED_VALUE"""),51)</f>
        <v>51</v>
      </c>
      <c r="H162" s="2">
        <f ca="1">IFERROR(__xludf.DUMMYFUNCTION("""COMPUTED_VALUE"""),2446.917)</f>
        <v>2446.9169999999999</v>
      </c>
      <c r="I162" t="str">
        <f ca="1">IFERROR(__xludf.DUMMYFUNCTION("""COMPUTED_VALUE"""),"+5.00")</f>
        <v>+5.00</v>
      </c>
    </row>
    <row r="163" spans="1:9" ht="12.75">
      <c r="A163" t="str">
        <f ca="1">IFERROR(__xludf.DUMMYFUNCTION("""COMPUTED_VALUE"""),"T160")</f>
        <v>T160</v>
      </c>
      <c r="B163" t="str">
        <f ca="1">IFERROR(__xludf.DUMMYFUNCTION("""COMPUTED_VALUE"""),"")</f>
        <v/>
      </c>
      <c r="C163" t="str">
        <f ca="1">IFERROR(__xludf.DUMMYFUNCTION("""COMPUTED_VALUE"""),"Dawie van der Walt")</f>
        <v>Dawie van der Walt</v>
      </c>
      <c r="D163">
        <f ca="1">IFERROR(__xludf.DUMMYFUNCTION("""COMPUTED_VALUE"""),4)</f>
        <v>4</v>
      </c>
      <c r="E163" t="str">
        <f ca="1">IFERROR(__xludf.DUMMYFUNCTION("""COMPUTED_VALUE"""),"48' 0""")</f>
        <v>48' 0"</v>
      </c>
      <c r="F163" s="1">
        <f ca="1">IFERROR(__xludf.DUMMYFUNCTION("""COMPUTED_VALUE"""),9222)</f>
        <v>9222</v>
      </c>
      <c r="G163">
        <f ca="1">IFERROR(__xludf.DUMMYFUNCTION("""COMPUTED_VALUE"""),16)</f>
        <v>16</v>
      </c>
      <c r="H163">
        <f ca="1">IFERROR(__xludf.DUMMYFUNCTION("""COMPUTED_VALUE"""),768.5)</f>
        <v>768.5</v>
      </c>
      <c r="I163">
        <f ca="1">IFERROR(__xludf.DUMMYFUNCTION("""COMPUTED_VALUE"""),-1)</f>
        <v>-1</v>
      </c>
    </row>
    <row r="164" spans="1:9" ht="12.75">
      <c r="A164" t="str">
        <f ca="1">IFERROR(__xludf.DUMMYFUNCTION("""COMPUTED_VALUE"""),"T160")</f>
        <v>T160</v>
      </c>
      <c r="B164" t="str">
        <f ca="1">IFERROR(__xludf.DUMMYFUNCTION("""COMPUTED_VALUE"""),"T172")</f>
        <v>T172</v>
      </c>
      <c r="C164" t="str">
        <f ca="1">IFERROR(__xludf.DUMMYFUNCTION("""COMPUTED_VALUE"""),"Patrick Cantlay")</f>
        <v>Patrick Cantlay</v>
      </c>
      <c r="D164">
        <f ca="1">IFERROR(__xludf.DUMMYFUNCTION("""COMPUTED_VALUE"""),16)</f>
        <v>16</v>
      </c>
      <c r="E164" t="str">
        <f ca="1">IFERROR(__xludf.DUMMYFUNCTION("""COMPUTED_VALUE"""),"48' 0""")</f>
        <v>48' 0"</v>
      </c>
      <c r="F164" s="1">
        <f ca="1">IFERROR(__xludf.DUMMYFUNCTION("""COMPUTED_VALUE"""),33996)</f>
        <v>33996</v>
      </c>
      <c r="G164">
        <f ca="1">IFERROR(__xludf.DUMMYFUNCTION("""COMPUTED_VALUE"""),59)</f>
        <v>59</v>
      </c>
      <c r="H164" s="2">
        <f ca="1">IFERROR(__xludf.DUMMYFUNCTION("""COMPUTED_VALUE"""),2833)</f>
        <v>2833</v>
      </c>
      <c r="I164" t="str">
        <f ca="1">IFERROR(__xludf.DUMMYFUNCTION("""COMPUTED_VALUE"""),"+3.00")</f>
        <v>+3.00</v>
      </c>
    </row>
    <row r="165" spans="1:9" ht="12.75">
      <c r="A165">
        <f ca="1">IFERROR(__xludf.DUMMYFUNCTION("""COMPUTED_VALUE"""),164)</f>
        <v>164</v>
      </c>
      <c r="B165" t="str">
        <f ca="1">IFERROR(__xludf.DUMMYFUNCTION("""COMPUTED_VALUE"""),"T177")</f>
        <v>T177</v>
      </c>
      <c r="C165" t="str">
        <f ca="1">IFERROR(__xludf.DUMMYFUNCTION("""COMPUTED_VALUE"""),"Harold Varner III")</f>
        <v>Harold Varner III</v>
      </c>
      <c r="D165">
        <f ca="1">IFERROR(__xludf.DUMMYFUNCTION("""COMPUTED_VALUE"""),14)</f>
        <v>14</v>
      </c>
      <c r="E165" t="str">
        <f ca="1">IFERROR(__xludf.DUMMYFUNCTION("""COMPUTED_VALUE"""),"48' 1""")</f>
        <v>48' 1"</v>
      </c>
      <c r="F165" s="1">
        <f ca="1">IFERROR(__xludf.DUMMYFUNCTION("""COMPUTED_VALUE"""),28857)</f>
        <v>28857</v>
      </c>
      <c r="G165">
        <f ca="1">IFERROR(__xludf.DUMMYFUNCTION("""COMPUTED_VALUE"""),50)</f>
        <v>50</v>
      </c>
      <c r="H165" s="2">
        <f ca="1">IFERROR(__xludf.DUMMYFUNCTION("""COMPUTED_VALUE"""),2404.75)</f>
        <v>2404.75</v>
      </c>
      <c r="I165">
        <f ca="1">IFERROR(__xludf.DUMMYFUNCTION("""COMPUTED_VALUE"""),-1)</f>
        <v>-1</v>
      </c>
    </row>
    <row r="166" spans="1:9" ht="12.75">
      <c r="A166" t="str">
        <f ca="1">IFERROR(__xludf.DUMMYFUNCTION("""COMPUTED_VALUE"""),"T165")</f>
        <v>T165</v>
      </c>
      <c r="B166" t="str">
        <f ca="1">IFERROR(__xludf.DUMMYFUNCTION("""COMPUTED_VALUE"""),"T152")</f>
        <v>T152</v>
      </c>
      <c r="C166" t="str">
        <f ca="1">IFERROR(__xludf.DUMMYFUNCTION("""COMPUTED_VALUE"""),"Brian Harman")</f>
        <v>Brian Harman</v>
      </c>
      <c r="D166">
        <f ca="1">IFERROR(__xludf.DUMMYFUNCTION("""COMPUTED_VALUE"""),24)</f>
        <v>24</v>
      </c>
      <c r="E166" t="str">
        <f ca="1">IFERROR(__xludf.DUMMYFUNCTION("""COMPUTED_VALUE"""),"48' 2""")</f>
        <v>48' 2"</v>
      </c>
      <c r="F166" s="1">
        <f ca="1">IFERROR(__xludf.DUMMYFUNCTION("""COMPUTED_VALUE"""),41031)</f>
        <v>41031</v>
      </c>
      <c r="G166">
        <f ca="1">IFERROR(__xludf.DUMMYFUNCTION("""COMPUTED_VALUE"""),71)</f>
        <v>71</v>
      </c>
      <c r="H166" s="2">
        <f ca="1">IFERROR(__xludf.DUMMYFUNCTION("""COMPUTED_VALUE"""),3419.25)</f>
        <v>3419.25</v>
      </c>
      <c r="I166" t="str">
        <f ca="1">IFERROR(__xludf.DUMMYFUNCTION("""COMPUTED_VALUE"""),"+5.00")</f>
        <v>+5.00</v>
      </c>
    </row>
    <row r="167" spans="1:9" ht="12.75">
      <c r="A167" t="str">
        <f ca="1">IFERROR(__xludf.DUMMYFUNCTION("""COMPUTED_VALUE"""),"T165")</f>
        <v>T165</v>
      </c>
      <c r="B167">
        <f ca="1">IFERROR(__xludf.DUMMYFUNCTION("""COMPUTED_VALUE"""),192)</f>
        <v>192</v>
      </c>
      <c r="C167" t="str">
        <f ca="1">IFERROR(__xludf.DUMMYFUNCTION("""COMPUTED_VALUE"""),"Henrik Norlander")</f>
        <v>Henrik Norlander</v>
      </c>
      <c r="D167">
        <f ca="1">IFERROR(__xludf.DUMMYFUNCTION("""COMPUTED_VALUE"""),16)</f>
        <v>16</v>
      </c>
      <c r="E167" t="str">
        <f ca="1">IFERROR(__xludf.DUMMYFUNCTION("""COMPUTED_VALUE"""),"48' 2""")</f>
        <v>48' 2"</v>
      </c>
      <c r="F167" s="1">
        <f ca="1">IFERROR(__xludf.DUMMYFUNCTION("""COMPUTED_VALUE"""),18485)</f>
        <v>18485</v>
      </c>
      <c r="G167">
        <f ca="1">IFERROR(__xludf.DUMMYFUNCTION("""COMPUTED_VALUE"""),32)</f>
        <v>32</v>
      </c>
      <c r="H167" s="2">
        <f ca="1">IFERROR(__xludf.DUMMYFUNCTION("""COMPUTED_VALUE"""),1540.417)</f>
        <v>1540.4169999999999</v>
      </c>
      <c r="I167" t="str">
        <f ca="1">IFERROR(__xludf.DUMMYFUNCTION("""COMPUTED_VALUE"""),"E")</f>
        <v>E</v>
      </c>
    </row>
    <row r="168" spans="1:9" ht="12.75">
      <c r="A168" t="str">
        <f ca="1">IFERROR(__xludf.DUMMYFUNCTION("""COMPUTED_VALUE"""),"T165")</f>
        <v>T165</v>
      </c>
      <c r="B168">
        <f ca="1">IFERROR(__xludf.DUMMYFUNCTION("""COMPUTED_VALUE"""),175)</f>
        <v>175</v>
      </c>
      <c r="C168" t="str">
        <f ca="1">IFERROR(__xludf.DUMMYFUNCTION("""COMPUTED_VALUE"""),"Jim Herman")</f>
        <v>Jim Herman</v>
      </c>
      <c r="D168">
        <f ca="1">IFERROR(__xludf.DUMMYFUNCTION("""COMPUTED_VALUE"""),12)</f>
        <v>12</v>
      </c>
      <c r="E168" t="str">
        <f ca="1">IFERROR(__xludf.DUMMYFUNCTION("""COMPUTED_VALUE"""),"48' 2""")</f>
        <v>48' 2"</v>
      </c>
      <c r="F168" s="1">
        <f ca="1">IFERROR(__xludf.DUMMYFUNCTION("""COMPUTED_VALUE"""),29474)</f>
        <v>29474</v>
      </c>
      <c r="G168">
        <f ca="1">IFERROR(__xludf.DUMMYFUNCTION("""COMPUTED_VALUE"""),51)</f>
        <v>51</v>
      </c>
      <c r="H168" s="2">
        <f ca="1">IFERROR(__xludf.DUMMYFUNCTION("""COMPUTED_VALUE"""),2456.167)</f>
        <v>2456.1669999999999</v>
      </c>
      <c r="I168" t="str">
        <f ca="1">IFERROR(__xludf.DUMMYFUNCTION("""COMPUTED_VALUE"""),"+10.00")</f>
        <v>+10.00</v>
      </c>
    </row>
    <row r="169" spans="1:9" ht="12.75">
      <c r="A169">
        <f ca="1">IFERROR(__xludf.DUMMYFUNCTION("""COMPUTED_VALUE"""),168)</f>
        <v>168</v>
      </c>
      <c r="B169" t="str">
        <f ca="1">IFERROR(__xludf.DUMMYFUNCTION("""COMPUTED_VALUE"""),"")</f>
        <v/>
      </c>
      <c r="C169" t="str">
        <f ca="1">IFERROR(__xludf.DUMMYFUNCTION("""COMPUTED_VALUE"""),"Francesco Molinari")</f>
        <v>Francesco Molinari</v>
      </c>
      <c r="D169">
        <f ca="1">IFERROR(__xludf.DUMMYFUNCTION("""COMPUTED_VALUE"""),6)</f>
        <v>6</v>
      </c>
      <c r="E169" t="str">
        <f ca="1">IFERROR(__xludf.DUMMYFUNCTION("""COMPUTED_VALUE"""),"48' 3""")</f>
        <v>48' 3"</v>
      </c>
      <c r="F169" s="1">
        <f ca="1">IFERROR(__xludf.DUMMYFUNCTION("""COMPUTED_VALUE"""),14473)</f>
        <v>14473</v>
      </c>
      <c r="G169">
        <f ca="1">IFERROR(__xludf.DUMMYFUNCTION("""COMPUTED_VALUE"""),25)</f>
        <v>25</v>
      </c>
      <c r="H169" s="2">
        <f ca="1">IFERROR(__xludf.DUMMYFUNCTION("""COMPUTED_VALUE"""),1206.083)</f>
        <v>1206.0830000000001</v>
      </c>
      <c r="I169">
        <f ca="1">IFERROR(__xludf.DUMMYFUNCTION("""COMPUTED_VALUE"""),-1)</f>
        <v>-1</v>
      </c>
    </row>
    <row r="170" spans="1:9" ht="12.75">
      <c r="A170">
        <f ca="1">IFERROR(__xludf.DUMMYFUNCTION("""COMPUTED_VALUE"""),169)</f>
        <v>169</v>
      </c>
      <c r="B170" t="str">
        <f ca="1">IFERROR(__xludf.DUMMYFUNCTION("""COMPUTED_VALUE"""),"T68")</f>
        <v>T68</v>
      </c>
      <c r="C170" t="str">
        <f ca="1">IFERROR(__xludf.DUMMYFUNCTION("""COMPUTED_VALUE"""),"Scottie Scheffler")</f>
        <v>Scottie Scheffler</v>
      </c>
      <c r="D170">
        <f ca="1">IFERROR(__xludf.DUMMYFUNCTION("""COMPUTED_VALUE"""),18)</f>
        <v>18</v>
      </c>
      <c r="E170" t="str">
        <f ca="1">IFERROR(__xludf.DUMMYFUNCTION("""COMPUTED_VALUE"""),"48' 4""")</f>
        <v>48' 4"</v>
      </c>
      <c r="F170" s="1">
        <f ca="1">IFERROR(__xludf.DUMMYFUNCTION("""COMPUTED_VALUE"""),27859)</f>
        <v>27859</v>
      </c>
      <c r="G170">
        <f ca="1">IFERROR(__xludf.DUMMYFUNCTION("""COMPUTED_VALUE"""),48)</f>
        <v>48</v>
      </c>
      <c r="H170" s="2">
        <f ca="1">IFERROR(__xludf.DUMMYFUNCTION("""COMPUTED_VALUE"""),2321.583)</f>
        <v>2321.5830000000001</v>
      </c>
      <c r="I170" t="str">
        <f ca="1">IFERROR(__xludf.DUMMYFUNCTION("""COMPUTED_VALUE"""),"+5.00")</f>
        <v>+5.00</v>
      </c>
    </row>
    <row r="171" spans="1:9" ht="12.75">
      <c r="A171">
        <f ca="1">IFERROR(__xludf.DUMMYFUNCTION("""COMPUTED_VALUE"""),170)</f>
        <v>170</v>
      </c>
      <c r="B171">
        <f ca="1">IFERROR(__xludf.DUMMYFUNCTION("""COMPUTED_VALUE"""),145)</f>
        <v>145</v>
      </c>
      <c r="C171" t="str">
        <f ca="1">IFERROR(__xludf.DUMMYFUNCTION("""COMPUTED_VALUE"""),"Brandt Snedeker")</f>
        <v>Brandt Snedeker</v>
      </c>
      <c r="D171">
        <f ca="1">IFERROR(__xludf.DUMMYFUNCTION("""COMPUTED_VALUE"""),16)</f>
        <v>16</v>
      </c>
      <c r="E171" t="str">
        <f ca="1">IFERROR(__xludf.DUMMYFUNCTION("""COMPUTED_VALUE"""),"48' 5""")</f>
        <v>48' 5"</v>
      </c>
      <c r="F171" s="1">
        <f ca="1">IFERROR(__xludf.DUMMYFUNCTION("""COMPUTED_VALUE"""),36615)</f>
        <v>36615</v>
      </c>
      <c r="G171">
        <f ca="1">IFERROR(__xludf.DUMMYFUNCTION("""COMPUTED_VALUE"""),63)</f>
        <v>63</v>
      </c>
      <c r="H171" s="2">
        <f ca="1">IFERROR(__xludf.DUMMYFUNCTION("""COMPUTED_VALUE"""),3051.25)</f>
        <v>3051.25</v>
      </c>
      <c r="I171" t="str">
        <f ca="1">IFERROR(__xludf.DUMMYFUNCTION("""COMPUTED_VALUE"""),"+7.00")</f>
        <v>+7.00</v>
      </c>
    </row>
    <row r="172" spans="1:9" ht="12.75">
      <c r="A172">
        <f ca="1">IFERROR(__xludf.DUMMYFUNCTION("""COMPUTED_VALUE"""),171)</f>
        <v>171</v>
      </c>
      <c r="B172">
        <f ca="1">IFERROR(__xludf.DUMMYFUNCTION("""COMPUTED_VALUE"""),117)</f>
        <v>117</v>
      </c>
      <c r="C172" t="str">
        <f ca="1">IFERROR(__xludf.DUMMYFUNCTION("""COMPUTED_VALUE"""),"Martin Trainer")</f>
        <v>Martin Trainer</v>
      </c>
      <c r="D172">
        <f ca="1">IFERROR(__xludf.DUMMYFUNCTION("""COMPUTED_VALUE"""),10)</f>
        <v>10</v>
      </c>
      <c r="E172" t="str">
        <f ca="1">IFERROR(__xludf.DUMMYFUNCTION("""COMPUTED_VALUE"""),"48' 8""")</f>
        <v>48' 8"</v>
      </c>
      <c r="F172" s="1">
        <f ca="1">IFERROR(__xludf.DUMMYFUNCTION("""COMPUTED_VALUE"""),25699)</f>
        <v>25699</v>
      </c>
      <c r="G172">
        <f ca="1">IFERROR(__xludf.DUMMYFUNCTION("""COMPUTED_VALUE"""),44)</f>
        <v>44</v>
      </c>
      <c r="H172" s="2">
        <f ca="1">IFERROR(__xludf.DUMMYFUNCTION("""COMPUTED_VALUE"""),2141.583)</f>
        <v>2141.5830000000001</v>
      </c>
      <c r="I172" t="str">
        <f ca="1">IFERROR(__xludf.DUMMYFUNCTION("""COMPUTED_VALUE"""),"+10.00")</f>
        <v>+10.00</v>
      </c>
    </row>
    <row r="173" spans="1:9" ht="12.75">
      <c r="A173" t="str">
        <f ca="1">IFERROR(__xludf.DUMMYFUNCTION("""COMPUTED_VALUE"""),"T172")</f>
        <v>T172</v>
      </c>
      <c r="B173" t="str">
        <f ca="1">IFERROR(__xludf.DUMMYFUNCTION("""COMPUTED_VALUE"""),"T87")</f>
        <v>T87</v>
      </c>
      <c r="C173" t="str">
        <f ca="1">IFERROR(__xludf.DUMMYFUNCTION("""COMPUTED_VALUE"""),"Brooks Koepka")</f>
        <v>Brooks Koepka</v>
      </c>
      <c r="D173">
        <f ca="1">IFERROR(__xludf.DUMMYFUNCTION("""COMPUTED_VALUE"""),8)</f>
        <v>8</v>
      </c>
      <c r="E173" t="str">
        <f ca="1">IFERROR(__xludf.DUMMYFUNCTION("""COMPUTED_VALUE"""),"48' 9""")</f>
        <v>48' 9"</v>
      </c>
      <c r="F173" s="1">
        <f ca="1">IFERROR(__xludf.DUMMYFUNCTION("""COMPUTED_VALUE"""),18724)</f>
        <v>18724</v>
      </c>
      <c r="G173">
        <f ca="1">IFERROR(__xludf.DUMMYFUNCTION("""COMPUTED_VALUE"""),32)</f>
        <v>32</v>
      </c>
      <c r="H173" s="2">
        <f ca="1">IFERROR(__xludf.DUMMYFUNCTION("""COMPUTED_VALUE"""),1560.333)</f>
        <v>1560.3330000000001</v>
      </c>
      <c r="I173" t="str">
        <f ca="1">IFERROR(__xludf.DUMMYFUNCTION("""COMPUTED_VALUE"""),"+7.00")</f>
        <v>+7.00</v>
      </c>
    </row>
    <row r="174" spans="1:9" ht="12.75">
      <c r="A174" t="str">
        <f ca="1">IFERROR(__xludf.DUMMYFUNCTION("""COMPUTED_VALUE"""),"T172")</f>
        <v>T172</v>
      </c>
      <c r="B174" t="str">
        <f ca="1">IFERROR(__xludf.DUMMYFUNCTION("""COMPUTED_VALUE"""),"T179")</f>
        <v>T179</v>
      </c>
      <c r="C174" t="str">
        <f ca="1">IFERROR(__xludf.DUMMYFUNCTION("""COMPUTED_VALUE"""),"Rafa Cabrera Bello")</f>
        <v>Rafa Cabrera Bello</v>
      </c>
      <c r="D174">
        <f ca="1">IFERROR(__xludf.DUMMYFUNCTION("""COMPUTED_VALUE"""),14)</f>
        <v>14</v>
      </c>
      <c r="E174" t="str">
        <f ca="1">IFERROR(__xludf.DUMMYFUNCTION("""COMPUTED_VALUE"""),"48' 9""")</f>
        <v>48' 9"</v>
      </c>
      <c r="F174" s="1">
        <f ca="1">IFERROR(__xludf.DUMMYFUNCTION("""COMPUTED_VALUE"""),28645)</f>
        <v>28645</v>
      </c>
      <c r="G174">
        <f ca="1">IFERROR(__xludf.DUMMYFUNCTION("""COMPUTED_VALUE"""),49)</f>
        <v>49</v>
      </c>
      <c r="H174" s="2">
        <f ca="1">IFERROR(__xludf.DUMMYFUNCTION("""COMPUTED_VALUE"""),2387.083)</f>
        <v>2387.0830000000001</v>
      </c>
      <c r="I174" t="str">
        <f ca="1">IFERROR(__xludf.DUMMYFUNCTION("""COMPUTED_VALUE"""),"+8.00")</f>
        <v>+8.00</v>
      </c>
    </row>
    <row r="175" spans="1:9" ht="12.75">
      <c r="A175" t="str">
        <f ca="1">IFERROR(__xludf.DUMMYFUNCTION("""COMPUTED_VALUE"""),"T174")</f>
        <v>T174</v>
      </c>
      <c r="B175" t="str">
        <f ca="1">IFERROR(__xludf.DUMMYFUNCTION("""COMPUTED_VALUE"""),"T181")</f>
        <v>T181</v>
      </c>
      <c r="C175" t="str">
        <f ca="1">IFERROR(__xludf.DUMMYFUNCTION("""COMPUTED_VALUE"""),"Brian Gay")</f>
        <v>Brian Gay</v>
      </c>
      <c r="D175">
        <f ca="1">IFERROR(__xludf.DUMMYFUNCTION("""COMPUTED_VALUE"""),8)</f>
        <v>8</v>
      </c>
      <c r="E175" t="str">
        <f ca="1">IFERROR(__xludf.DUMMYFUNCTION("""COMPUTED_VALUE"""),"48' 10""")</f>
        <v>48' 10"</v>
      </c>
      <c r="F175" s="1">
        <f ca="1">IFERROR(__xludf.DUMMYFUNCTION("""COMPUTED_VALUE"""),11126)</f>
        <v>11126</v>
      </c>
      <c r="G175">
        <f ca="1">IFERROR(__xludf.DUMMYFUNCTION("""COMPUTED_VALUE"""),19)</f>
        <v>19</v>
      </c>
      <c r="H175">
        <f ca="1">IFERROR(__xludf.DUMMYFUNCTION("""COMPUTED_VALUE"""),927.167)</f>
        <v>927.16700000000003</v>
      </c>
      <c r="I175" t="str">
        <f ca="1">IFERROR(__xludf.DUMMYFUNCTION("""COMPUTED_VALUE"""),"+3.00")</f>
        <v>+3.00</v>
      </c>
    </row>
    <row r="176" spans="1:9" ht="12.75">
      <c r="A176" t="str">
        <f ca="1">IFERROR(__xludf.DUMMYFUNCTION("""COMPUTED_VALUE"""),"T174")</f>
        <v>T174</v>
      </c>
      <c r="B176">
        <f ca="1">IFERROR(__xludf.DUMMYFUNCTION("""COMPUTED_VALUE"""),134)</f>
        <v>134</v>
      </c>
      <c r="C176" t="str">
        <f ca="1">IFERROR(__xludf.DUMMYFUNCTION("""COMPUTED_VALUE"""),"Scott Brown")</f>
        <v>Scott Brown</v>
      </c>
      <c r="D176">
        <f ca="1">IFERROR(__xludf.DUMMYFUNCTION("""COMPUTED_VALUE"""),14)</f>
        <v>14</v>
      </c>
      <c r="E176" t="str">
        <f ca="1">IFERROR(__xludf.DUMMYFUNCTION("""COMPUTED_VALUE"""),"48' 10""")</f>
        <v>48' 10"</v>
      </c>
      <c r="F176" s="1">
        <f ca="1">IFERROR(__xludf.DUMMYFUNCTION("""COMPUTED_VALUE"""),31059)</f>
        <v>31059</v>
      </c>
      <c r="G176">
        <f ca="1">IFERROR(__xludf.DUMMYFUNCTION("""COMPUTED_VALUE"""),53)</f>
        <v>53</v>
      </c>
      <c r="H176" s="2">
        <f ca="1">IFERROR(__xludf.DUMMYFUNCTION("""COMPUTED_VALUE"""),2588.25)</f>
        <v>2588.25</v>
      </c>
      <c r="I176" t="str">
        <f ca="1">IFERROR(__xludf.DUMMYFUNCTION("""COMPUTED_VALUE"""),"+10.00")</f>
        <v>+10.00</v>
      </c>
    </row>
    <row r="177" spans="1:9" ht="12.75">
      <c r="A177" t="str">
        <f ca="1">IFERROR(__xludf.DUMMYFUNCTION("""COMPUTED_VALUE"""),"T174")</f>
        <v>T174</v>
      </c>
      <c r="B177" t="str">
        <f ca="1">IFERROR(__xludf.DUMMYFUNCTION("""COMPUTED_VALUE"""),"T181")</f>
        <v>T181</v>
      </c>
      <c r="C177" t="str">
        <f ca="1">IFERROR(__xludf.DUMMYFUNCTION("""COMPUTED_VALUE"""),"Tyler McCumber")</f>
        <v>Tyler McCumber</v>
      </c>
      <c r="D177">
        <f ca="1">IFERROR(__xludf.DUMMYFUNCTION("""COMPUTED_VALUE"""),14)</f>
        <v>14</v>
      </c>
      <c r="E177" t="str">
        <f ca="1">IFERROR(__xludf.DUMMYFUNCTION("""COMPUTED_VALUE"""),"48' 10""")</f>
        <v>48' 10"</v>
      </c>
      <c r="F177" s="1">
        <f ca="1">IFERROR(__xludf.DUMMYFUNCTION("""COMPUTED_VALUE"""),22843)</f>
        <v>22843</v>
      </c>
      <c r="G177">
        <f ca="1">IFERROR(__xludf.DUMMYFUNCTION("""COMPUTED_VALUE"""),39)</f>
        <v>39</v>
      </c>
      <c r="H177" s="2">
        <f ca="1">IFERROR(__xludf.DUMMYFUNCTION("""COMPUTED_VALUE"""),1903.583)</f>
        <v>1903.5830000000001</v>
      </c>
      <c r="I177" t="str">
        <f ca="1">IFERROR(__xludf.DUMMYFUNCTION("""COMPUTED_VALUE"""),"+2.00")</f>
        <v>+2.00</v>
      </c>
    </row>
    <row r="178" spans="1:9" ht="12.75">
      <c r="A178">
        <f ca="1">IFERROR(__xludf.DUMMYFUNCTION("""COMPUTED_VALUE"""),177)</f>
        <v>177</v>
      </c>
      <c r="B178">
        <f ca="1">IFERROR(__xludf.DUMMYFUNCTION("""COMPUTED_VALUE"""),183)</f>
        <v>183</v>
      </c>
      <c r="C178" t="str">
        <f ca="1">IFERROR(__xludf.DUMMYFUNCTION("""COMPUTED_VALUE"""),"Bill Haas")</f>
        <v>Bill Haas</v>
      </c>
      <c r="D178">
        <f ca="1">IFERROR(__xludf.DUMMYFUNCTION("""COMPUTED_VALUE"""),10)</f>
        <v>10</v>
      </c>
      <c r="E178" t="str">
        <f ca="1">IFERROR(__xludf.DUMMYFUNCTION("""COMPUTED_VALUE"""),"49' 1""")</f>
        <v>49' 1"</v>
      </c>
      <c r="F178" s="1">
        <f ca="1">IFERROR(__xludf.DUMMYFUNCTION("""COMPUTED_VALUE"""),18260)</f>
        <v>18260</v>
      </c>
      <c r="G178">
        <f ca="1">IFERROR(__xludf.DUMMYFUNCTION("""COMPUTED_VALUE"""),31)</f>
        <v>31</v>
      </c>
      <c r="H178" s="2">
        <f ca="1">IFERROR(__xludf.DUMMYFUNCTION("""COMPUTED_VALUE"""),1521.667)</f>
        <v>1521.6669999999999</v>
      </c>
      <c r="I178" t="str">
        <f ca="1">IFERROR(__xludf.DUMMYFUNCTION("""COMPUTED_VALUE"""),"E")</f>
        <v>E</v>
      </c>
    </row>
    <row r="179" spans="1:9" ht="12.75">
      <c r="A179" t="str">
        <f ca="1">IFERROR(__xludf.DUMMYFUNCTION("""COMPUTED_VALUE"""),"T178")</f>
        <v>T178</v>
      </c>
      <c r="B179" t="str">
        <f ca="1">IFERROR(__xludf.DUMMYFUNCTION("""COMPUTED_VALUE"""),"T184")</f>
        <v>T184</v>
      </c>
      <c r="C179" t="str">
        <f ca="1">IFERROR(__xludf.DUMMYFUNCTION("""COMPUTED_VALUE"""),"Webb Simpson")</f>
        <v>Webb Simpson</v>
      </c>
      <c r="D179">
        <f ca="1">IFERROR(__xludf.DUMMYFUNCTION("""COMPUTED_VALUE"""),12)</f>
        <v>12</v>
      </c>
      <c r="E179" t="str">
        <f ca="1">IFERROR(__xludf.DUMMYFUNCTION("""COMPUTED_VALUE"""),"49' 2""")</f>
        <v>49' 2"</v>
      </c>
      <c r="F179" s="1">
        <f ca="1">IFERROR(__xludf.DUMMYFUNCTION("""COMPUTED_VALUE"""),23014)</f>
        <v>23014</v>
      </c>
      <c r="G179">
        <f ca="1">IFERROR(__xludf.DUMMYFUNCTION("""COMPUTED_VALUE"""),39)</f>
        <v>39</v>
      </c>
      <c r="H179" s="2">
        <f ca="1">IFERROR(__xludf.DUMMYFUNCTION("""COMPUTED_VALUE"""),1917.833)</f>
        <v>1917.8330000000001</v>
      </c>
      <c r="I179" t="str">
        <f ca="1">IFERROR(__xludf.DUMMYFUNCTION("""COMPUTED_VALUE"""),"+8.00")</f>
        <v>+8.00</v>
      </c>
    </row>
    <row r="180" spans="1:9" ht="12.75">
      <c r="A180" t="str">
        <f ca="1">IFERROR(__xludf.DUMMYFUNCTION("""COMPUTED_VALUE"""),"T178")</f>
        <v>T178</v>
      </c>
      <c r="B180" t="str">
        <f ca="1">IFERROR(__xludf.DUMMYFUNCTION("""COMPUTED_VALUE"""),"T172")</f>
        <v>T172</v>
      </c>
      <c r="C180" t="str">
        <f ca="1">IFERROR(__xludf.DUMMYFUNCTION("""COMPUTED_VALUE"""),"J.T. Poston")</f>
        <v>J.T. Poston</v>
      </c>
      <c r="D180">
        <f ca="1">IFERROR(__xludf.DUMMYFUNCTION("""COMPUTED_VALUE"""),18)</f>
        <v>18</v>
      </c>
      <c r="E180" t="str">
        <f ca="1">IFERROR(__xludf.DUMMYFUNCTION("""COMPUTED_VALUE"""),"49' 2""")</f>
        <v>49' 2"</v>
      </c>
      <c r="F180" s="1">
        <f ca="1">IFERROR(__xludf.DUMMYFUNCTION("""COMPUTED_VALUE"""),46647)</f>
        <v>46647</v>
      </c>
      <c r="G180">
        <f ca="1">IFERROR(__xludf.DUMMYFUNCTION("""COMPUTED_VALUE"""),79)</f>
        <v>79</v>
      </c>
      <c r="H180" s="2">
        <f ca="1">IFERROR(__xludf.DUMMYFUNCTION("""COMPUTED_VALUE"""),3887.25)</f>
        <v>3887.25</v>
      </c>
      <c r="I180" t="str">
        <f ca="1">IFERROR(__xludf.DUMMYFUNCTION("""COMPUTED_VALUE"""),"+5.00")</f>
        <v>+5.00</v>
      </c>
    </row>
    <row r="181" spans="1:9" ht="12.75">
      <c r="A181" t="str">
        <f ca="1">IFERROR(__xludf.DUMMYFUNCTION("""COMPUTED_VALUE"""),"T178")</f>
        <v>T178</v>
      </c>
      <c r="B181" t="str">
        <f ca="1">IFERROR(__xludf.DUMMYFUNCTION("""COMPUTED_VALUE"""),"T184")</f>
        <v>T184</v>
      </c>
      <c r="C181" t="str">
        <f ca="1">IFERROR(__xludf.DUMMYFUNCTION("""COMPUTED_VALUE"""),"Collin Morikawa")</f>
        <v>Collin Morikawa</v>
      </c>
      <c r="D181">
        <f ca="1">IFERROR(__xludf.DUMMYFUNCTION("""COMPUTED_VALUE"""),12)</f>
        <v>12</v>
      </c>
      <c r="E181" t="str">
        <f ca="1">IFERROR(__xludf.DUMMYFUNCTION("""COMPUTED_VALUE"""),"49' 2""")</f>
        <v>49' 2"</v>
      </c>
      <c r="F181" s="1">
        <f ca="1">IFERROR(__xludf.DUMMYFUNCTION("""COMPUTED_VALUE"""),21831)</f>
        <v>21831</v>
      </c>
      <c r="G181">
        <f ca="1">IFERROR(__xludf.DUMMYFUNCTION("""COMPUTED_VALUE"""),37)</f>
        <v>37</v>
      </c>
      <c r="H181" s="2">
        <f ca="1">IFERROR(__xludf.DUMMYFUNCTION("""COMPUTED_VALUE"""),1819.25)</f>
        <v>1819.25</v>
      </c>
      <c r="I181" t="str">
        <f ca="1">IFERROR(__xludf.DUMMYFUNCTION("""COMPUTED_VALUE"""),"+11.00")</f>
        <v>+11.00</v>
      </c>
    </row>
    <row r="182" spans="1:9" ht="12.75">
      <c r="A182">
        <f ca="1">IFERROR(__xludf.DUMMYFUNCTION("""COMPUTED_VALUE"""),181)</f>
        <v>181</v>
      </c>
      <c r="B182" t="str">
        <f ca="1">IFERROR(__xludf.DUMMYFUNCTION("""COMPUTED_VALUE"""),"T102")</f>
        <v>T102</v>
      </c>
      <c r="C182" t="str">
        <f ca="1">IFERROR(__xludf.DUMMYFUNCTION("""COMPUTED_VALUE"""),"Doc Redman")</f>
        <v>Doc Redman</v>
      </c>
      <c r="D182">
        <f ca="1">IFERROR(__xludf.DUMMYFUNCTION("""COMPUTED_VALUE"""),18)</f>
        <v>18</v>
      </c>
      <c r="E182" t="str">
        <f ca="1">IFERROR(__xludf.DUMMYFUNCTION("""COMPUTED_VALUE"""),"49' 3""")</f>
        <v>49' 3"</v>
      </c>
      <c r="F182" s="1">
        <f ca="1">IFERROR(__xludf.DUMMYFUNCTION("""COMPUTED_VALUE"""),26016)</f>
        <v>26016</v>
      </c>
      <c r="G182">
        <f ca="1">IFERROR(__xludf.DUMMYFUNCTION("""COMPUTED_VALUE"""),44)</f>
        <v>44</v>
      </c>
      <c r="H182" s="2">
        <f ca="1">IFERROR(__xludf.DUMMYFUNCTION("""COMPUTED_VALUE"""),2168)</f>
        <v>2168</v>
      </c>
      <c r="I182">
        <f ca="1">IFERROR(__xludf.DUMMYFUNCTION("""COMPUTED_VALUE"""),-1)</f>
        <v>-1</v>
      </c>
    </row>
    <row r="183" spans="1:9" ht="12.75">
      <c r="A183" t="str">
        <f ca="1">IFERROR(__xludf.DUMMYFUNCTION("""COMPUTED_VALUE"""),"T182")</f>
        <v>T182</v>
      </c>
      <c r="B183" t="str">
        <f ca="1">IFERROR(__xludf.DUMMYFUNCTION("""COMPUTED_VALUE"""),"T187")</f>
        <v>T187</v>
      </c>
      <c r="C183" t="str">
        <f ca="1">IFERROR(__xludf.DUMMYFUNCTION("""COMPUTED_VALUE"""),"Cameron Percy")</f>
        <v>Cameron Percy</v>
      </c>
      <c r="D183">
        <f ca="1">IFERROR(__xludf.DUMMYFUNCTION("""COMPUTED_VALUE"""),16)</f>
        <v>16</v>
      </c>
      <c r="E183" t="str">
        <f ca="1">IFERROR(__xludf.DUMMYFUNCTION("""COMPUTED_VALUE"""),"49' 4""")</f>
        <v>49' 4"</v>
      </c>
      <c r="F183" s="1">
        <f ca="1">IFERROR(__xludf.DUMMYFUNCTION("""COMPUTED_VALUE"""),20135)</f>
        <v>20135</v>
      </c>
      <c r="G183">
        <f ca="1">IFERROR(__xludf.DUMMYFUNCTION("""COMPUTED_VALUE"""),34)</f>
        <v>34</v>
      </c>
      <c r="H183" s="2">
        <f ca="1">IFERROR(__xludf.DUMMYFUNCTION("""COMPUTED_VALUE"""),1677.917)</f>
        <v>1677.9169999999999</v>
      </c>
      <c r="I183" t="str">
        <f ca="1">IFERROR(__xludf.DUMMYFUNCTION("""COMPUTED_VALUE"""),"+1.00")</f>
        <v>+1.00</v>
      </c>
    </row>
    <row r="184" spans="1:9" ht="12.75">
      <c r="A184" t="str">
        <f ca="1">IFERROR(__xludf.DUMMYFUNCTION("""COMPUTED_VALUE"""),"T182")</f>
        <v>T182</v>
      </c>
      <c r="B184" t="str">
        <f ca="1">IFERROR(__xludf.DUMMYFUNCTION("""COMPUTED_VALUE"""),"T187")</f>
        <v>T187</v>
      </c>
      <c r="C184" t="str">
        <f ca="1">IFERROR(__xludf.DUMMYFUNCTION("""COMPUTED_VALUE"""),"Alex Cejka")</f>
        <v>Alex Cejka</v>
      </c>
      <c r="D184">
        <f ca="1">IFERROR(__xludf.DUMMYFUNCTION("""COMPUTED_VALUE"""),6)</f>
        <v>6</v>
      </c>
      <c r="E184" t="str">
        <f ca="1">IFERROR(__xludf.DUMMYFUNCTION("""COMPUTED_VALUE"""),"49' 4""")</f>
        <v>49' 4"</v>
      </c>
      <c r="F184" s="1">
        <f ca="1">IFERROR(__xludf.DUMMYFUNCTION("""COMPUTED_VALUE"""),7693)</f>
        <v>7693</v>
      </c>
      <c r="G184">
        <f ca="1">IFERROR(__xludf.DUMMYFUNCTION("""COMPUTED_VALUE"""),13)</f>
        <v>13</v>
      </c>
      <c r="H184">
        <f ca="1">IFERROR(__xludf.DUMMYFUNCTION("""COMPUTED_VALUE"""),641.083)</f>
        <v>641.08299999999997</v>
      </c>
      <c r="I184" t="str">
        <f ca="1">IFERROR(__xludf.DUMMYFUNCTION("""COMPUTED_VALUE"""),"+2.00")</f>
        <v>+2.00</v>
      </c>
    </row>
    <row r="185" spans="1:9" ht="12.75">
      <c r="A185" t="str">
        <f ca="1">IFERROR(__xludf.DUMMYFUNCTION("""COMPUTED_VALUE"""),"T182")</f>
        <v>T182</v>
      </c>
      <c r="B185" t="str">
        <f ca="1">IFERROR(__xludf.DUMMYFUNCTION("""COMPUTED_VALUE"""),"T156")</f>
        <v>T156</v>
      </c>
      <c r="C185" t="str">
        <f ca="1">IFERROR(__xludf.DUMMYFUNCTION("""COMPUTED_VALUE"""),"Jimmy Walker")</f>
        <v>Jimmy Walker</v>
      </c>
      <c r="D185">
        <f ca="1">IFERROR(__xludf.DUMMYFUNCTION("""COMPUTED_VALUE"""),10)</f>
        <v>10</v>
      </c>
      <c r="E185" t="str">
        <f ca="1">IFERROR(__xludf.DUMMYFUNCTION("""COMPUTED_VALUE"""),"49' 4""")</f>
        <v>49' 4"</v>
      </c>
      <c r="F185" s="1">
        <f ca="1">IFERROR(__xludf.DUMMYFUNCTION("""COMPUTED_VALUE"""),37291)</f>
        <v>37291</v>
      </c>
      <c r="G185">
        <f ca="1">IFERROR(__xludf.DUMMYFUNCTION("""COMPUTED_VALUE"""),63)</f>
        <v>63</v>
      </c>
      <c r="H185" s="2">
        <f ca="1">IFERROR(__xludf.DUMMYFUNCTION("""COMPUTED_VALUE"""),3107.583)</f>
        <v>3107.5830000000001</v>
      </c>
      <c r="I185" t="str">
        <f ca="1">IFERROR(__xludf.DUMMYFUNCTION("""COMPUTED_VALUE"""),"+10.00")</f>
        <v>+10.00</v>
      </c>
    </row>
    <row r="186" spans="1:9" ht="12.75">
      <c r="A186">
        <f ca="1">IFERROR(__xludf.DUMMYFUNCTION("""COMPUTED_VALUE"""),185)</f>
        <v>185</v>
      </c>
      <c r="B186">
        <f ca="1">IFERROR(__xludf.DUMMYFUNCTION("""COMPUTED_VALUE"""),190)</f>
        <v>190</v>
      </c>
      <c r="C186" t="str">
        <f ca="1">IFERROR(__xludf.DUMMYFUNCTION("""COMPUTED_VALUE"""),"Cameron Smith")</f>
        <v>Cameron Smith</v>
      </c>
      <c r="D186">
        <f ca="1">IFERROR(__xludf.DUMMYFUNCTION("""COMPUTED_VALUE"""),16)</f>
        <v>16</v>
      </c>
      <c r="E186" t="str">
        <f ca="1">IFERROR(__xludf.DUMMYFUNCTION("""COMPUTED_VALUE"""),"49' 6""")</f>
        <v>49' 6"</v>
      </c>
      <c r="F186" s="1">
        <f ca="1">IFERROR(__xludf.DUMMYFUNCTION("""COMPUTED_VALUE"""),31474)</f>
        <v>31474</v>
      </c>
      <c r="G186">
        <f ca="1">IFERROR(__xludf.DUMMYFUNCTION("""COMPUTED_VALUE"""),53)</f>
        <v>53</v>
      </c>
      <c r="H186" s="2">
        <f ca="1">IFERROR(__xludf.DUMMYFUNCTION("""COMPUTED_VALUE"""),2622.833)</f>
        <v>2622.8330000000001</v>
      </c>
      <c r="I186" t="str">
        <f ca="1">IFERROR(__xludf.DUMMYFUNCTION("""COMPUTED_VALUE"""),"+6.00")</f>
        <v>+6.00</v>
      </c>
    </row>
    <row r="187" spans="1:9" ht="12.75">
      <c r="A187" t="str">
        <f ca="1">IFERROR(__xludf.DUMMYFUNCTION("""COMPUTED_VALUE"""),"T186")</f>
        <v>T186</v>
      </c>
      <c r="B187">
        <f ca="1">IFERROR(__xludf.DUMMYFUNCTION("""COMPUTED_VALUE"""),191)</f>
        <v>191</v>
      </c>
      <c r="C187" t="str">
        <f ca="1">IFERROR(__xludf.DUMMYFUNCTION("""COMPUTED_VALUE"""),"Parker McLachlin")</f>
        <v>Parker McLachlin</v>
      </c>
      <c r="D187">
        <f ca="1">IFERROR(__xludf.DUMMYFUNCTION("""COMPUTED_VALUE"""),4)</f>
        <v>4</v>
      </c>
      <c r="E187" t="str">
        <f ca="1">IFERROR(__xludf.DUMMYFUNCTION("""COMPUTED_VALUE"""),"49' 7""")</f>
        <v>49' 7"</v>
      </c>
      <c r="F187" s="1">
        <f ca="1">IFERROR(__xludf.DUMMYFUNCTION("""COMPUTED_VALUE"""),8926)</f>
        <v>8926</v>
      </c>
      <c r="G187">
        <f ca="1">IFERROR(__xludf.DUMMYFUNCTION("""COMPUTED_VALUE"""),15)</f>
        <v>15</v>
      </c>
      <c r="H187">
        <f ca="1">IFERROR(__xludf.DUMMYFUNCTION("""COMPUTED_VALUE"""),743.833)</f>
        <v>743.83299999999997</v>
      </c>
      <c r="I187" t="str">
        <f ca="1">IFERROR(__xludf.DUMMYFUNCTION("""COMPUTED_VALUE"""),"+5.00")</f>
        <v>+5.00</v>
      </c>
    </row>
    <row r="188" spans="1:9" ht="12.75">
      <c r="A188" t="str">
        <f ca="1">IFERROR(__xludf.DUMMYFUNCTION("""COMPUTED_VALUE"""),"T186")</f>
        <v>T186</v>
      </c>
      <c r="B188" t="str">
        <f ca="1">IFERROR(__xludf.DUMMYFUNCTION("""COMPUTED_VALUE"""),"T152")</f>
        <v>T152</v>
      </c>
      <c r="C188" t="str">
        <f ca="1">IFERROR(__xludf.DUMMYFUNCTION("""COMPUTED_VALUE"""),"Sean O'Hair")</f>
        <v>Sean O'Hair</v>
      </c>
      <c r="D188">
        <f ca="1">IFERROR(__xludf.DUMMYFUNCTION("""COMPUTED_VALUE"""),14)</f>
        <v>14</v>
      </c>
      <c r="E188" t="str">
        <f ca="1">IFERROR(__xludf.DUMMYFUNCTION("""COMPUTED_VALUE"""),"49' 7""")</f>
        <v>49' 7"</v>
      </c>
      <c r="F188" s="1">
        <f ca="1">IFERROR(__xludf.DUMMYFUNCTION("""COMPUTED_VALUE"""),29132)</f>
        <v>29132</v>
      </c>
      <c r="G188">
        <f ca="1">IFERROR(__xludf.DUMMYFUNCTION("""COMPUTED_VALUE"""),49)</f>
        <v>49</v>
      </c>
      <c r="H188" s="2">
        <f ca="1">IFERROR(__xludf.DUMMYFUNCTION("""COMPUTED_VALUE"""),2427.667)</f>
        <v>2427.6669999999999</v>
      </c>
      <c r="I188" t="str">
        <f ca="1">IFERROR(__xludf.DUMMYFUNCTION("""COMPUTED_VALUE"""),"+6.00")</f>
        <v>+6.00</v>
      </c>
    </row>
    <row r="189" spans="1:9" ht="12.75">
      <c r="A189" t="str">
        <f ca="1">IFERROR(__xludf.DUMMYFUNCTION("""COMPUTED_VALUE"""),"T188")</f>
        <v>T188</v>
      </c>
      <c r="B189" t="str">
        <f ca="1">IFERROR(__xludf.DUMMYFUNCTION("""COMPUTED_VALUE"""),"T143")</f>
        <v>T143</v>
      </c>
      <c r="C189" t="str">
        <f ca="1">IFERROR(__xludf.DUMMYFUNCTION("""COMPUTED_VALUE"""),"Tony Finau")</f>
        <v>Tony Finau</v>
      </c>
      <c r="D189">
        <f ca="1">IFERROR(__xludf.DUMMYFUNCTION("""COMPUTED_VALUE"""),12)</f>
        <v>12</v>
      </c>
      <c r="E189" t="str">
        <f ca="1">IFERROR(__xludf.DUMMYFUNCTION("""COMPUTED_VALUE"""),"49' 8""")</f>
        <v>49' 8"</v>
      </c>
      <c r="F189" s="1">
        <f ca="1">IFERROR(__xludf.DUMMYFUNCTION("""COMPUTED_VALUE"""),33989)</f>
        <v>33989</v>
      </c>
      <c r="G189">
        <f ca="1">IFERROR(__xludf.DUMMYFUNCTION("""COMPUTED_VALUE"""),57)</f>
        <v>57</v>
      </c>
      <c r="H189" s="2">
        <f ca="1">IFERROR(__xludf.DUMMYFUNCTION("""COMPUTED_VALUE"""),2832.417)</f>
        <v>2832.4169999999999</v>
      </c>
      <c r="I189" t="str">
        <f ca="1">IFERROR(__xludf.DUMMYFUNCTION("""COMPUTED_VALUE"""),"+7.00")</f>
        <v>+7.00</v>
      </c>
    </row>
    <row r="190" spans="1:9" ht="12.75">
      <c r="A190" t="str">
        <f ca="1">IFERROR(__xludf.DUMMYFUNCTION("""COMPUTED_VALUE"""),"T188")</f>
        <v>T188</v>
      </c>
      <c r="B190" t="str">
        <f ca="1">IFERROR(__xludf.DUMMYFUNCTION("""COMPUTED_VALUE"""),"T46")</f>
        <v>T46</v>
      </c>
      <c r="C190" t="str">
        <f ca="1">IFERROR(__xludf.DUMMYFUNCTION("""COMPUTED_VALUE"""),"Kramer Hickok")</f>
        <v>Kramer Hickok</v>
      </c>
      <c r="D190">
        <f ca="1">IFERROR(__xludf.DUMMYFUNCTION("""COMPUTED_VALUE"""),16)</f>
        <v>16</v>
      </c>
      <c r="E190" t="str">
        <f ca="1">IFERROR(__xludf.DUMMYFUNCTION("""COMPUTED_VALUE"""),"49' 8""")</f>
        <v>49' 8"</v>
      </c>
      <c r="F190" s="1">
        <f ca="1">IFERROR(__xludf.DUMMYFUNCTION("""COMPUTED_VALUE"""),21454)</f>
        <v>21454</v>
      </c>
      <c r="G190">
        <f ca="1">IFERROR(__xludf.DUMMYFUNCTION("""COMPUTED_VALUE"""),36)</f>
        <v>36</v>
      </c>
      <c r="H190" s="2">
        <f ca="1">IFERROR(__xludf.DUMMYFUNCTION("""COMPUTED_VALUE"""),1787.833)</f>
        <v>1787.8330000000001</v>
      </c>
      <c r="I190" t="str">
        <f ca="1">IFERROR(__xludf.DUMMYFUNCTION("""COMPUTED_VALUE"""),"+5.00")</f>
        <v>+5.00</v>
      </c>
    </row>
    <row r="191" spans="1:9" ht="12.75">
      <c r="A191" t="str">
        <f ca="1">IFERROR(__xludf.DUMMYFUNCTION("""COMPUTED_VALUE"""),"T190")</f>
        <v>T190</v>
      </c>
      <c r="B191" t="str">
        <f ca="1">IFERROR(__xludf.DUMMYFUNCTION("""COMPUTED_VALUE"""),"T193")</f>
        <v>T193</v>
      </c>
      <c r="C191" t="str">
        <f ca="1">IFERROR(__xludf.DUMMYFUNCTION("""COMPUTED_VALUE"""),"Matthew Fitzpatrick")</f>
        <v>Matthew Fitzpatrick</v>
      </c>
      <c r="D191">
        <f ca="1">IFERROR(__xludf.DUMMYFUNCTION("""COMPUTED_VALUE"""),10)</f>
        <v>10</v>
      </c>
      <c r="E191" t="str">
        <f ca="1">IFERROR(__xludf.DUMMYFUNCTION("""COMPUTED_VALUE"""),"49' 11""")</f>
        <v>49' 11"</v>
      </c>
      <c r="F191" s="1">
        <f ca="1">IFERROR(__xludf.DUMMYFUNCTION("""COMPUTED_VALUE"""),15585)</f>
        <v>15585</v>
      </c>
      <c r="G191">
        <f ca="1">IFERROR(__xludf.DUMMYFUNCTION("""COMPUTED_VALUE"""),26)</f>
        <v>26</v>
      </c>
      <c r="H191" s="2">
        <f ca="1">IFERROR(__xludf.DUMMYFUNCTION("""COMPUTED_VALUE"""),1298.75)</f>
        <v>1298.75</v>
      </c>
      <c r="I191" t="str">
        <f ca="1">IFERROR(__xludf.DUMMYFUNCTION("""COMPUTED_VALUE"""),"+2.00")</f>
        <v>+2.00</v>
      </c>
    </row>
    <row r="192" spans="1:9" ht="12.75">
      <c r="A192" t="str">
        <f ca="1">IFERROR(__xludf.DUMMYFUNCTION("""COMPUTED_VALUE"""),"T190")</f>
        <v>T190</v>
      </c>
      <c r="B192" t="str">
        <f ca="1">IFERROR(__xludf.DUMMYFUNCTION("""COMPUTED_VALUE"""),"T193")</f>
        <v>T193</v>
      </c>
      <c r="C192" t="str">
        <f ca="1">IFERROR(__xludf.DUMMYFUNCTION("""COMPUTED_VALUE"""),"Billy Horschel")</f>
        <v>Billy Horschel</v>
      </c>
      <c r="D192">
        <f ca="1">IFERROR(__xludf.DUMMYFUNCTION("""COMPUTED_VALUE"""),12)</f>
        <v>12</v>
      </c>
      <c r="E192" t="str">
        <f ca="1">IFERROR(__xludf.DUMMYFUNCTION("""COMPUTED_VALUE"""),"49' 11""")</f>
        <v>49' 11"</v>
      </c>
      <c r="F192" s="1">
        <f ca="1">IFERROR(__xludf.DUMMYFUNCTION("""COMPUTED_VALUE"""),28169)</f>
        <v>28169</v>
      </c>
      <c r="G192">
        <f ca="1">IFERROR(__xludf.DUMMYFUNCTION("""COMPUTED_VALUE"""),47)</f>
        <v>47</v>
      </c>
      <c r="H192" s="2">
        <f ca="1">IFERROR(__xludf.DUMMYFUNCTION("""COMPUTED_VALUE"""),2347.417)</f>
        <v>2347.4169999999999</v>
      </c>
      <c r="I192" t="str">
        <f ca="1">IFERROR(__xludf.DUMMYFUNCTION("""COMPUTED_VALUE"""),"+8.00")</f>
        <v>+8.00</v>
      </c>
    </row>
    <row r="193" spans="1:9" ht="12.75">
      <c r="A193">
        <f ca="1">IFERROR(__xludf.DUMMYFUNCTION("""COMPUTED_VALUE"""),192)</f>
        <v>192</v>
      </c>
      <c r="B193">
        <f ca="1">IFERROR(__xludf.DUMMYFUNCTION("""COMPUTED_VALUE"""),163)</f>
        <v>163</v>
      </c>
      <c r="C193" t="str">
        <f ca="1">IFERROR(__xludf.DUMMYFUNCTION("""COMPUTED_VALUE"""),"Troy Merritt")</f>
        <v>Troy Merritt</v>
      </c>
      <c r="D193">
        <f ca="1">IFERROR(__xludf.DUMMYFUNCTION("""COMPUTED_VALUE"""),20)</f>
        <v>20</v>
      </c>
      <c r="E193" t="str">
        <f ca="1">IFERROR(__xludf.DUMMYFUNCTION("""COMPUTED_VALUE"""),"50' 2""")</f>
        <v>50' 2"</v>
      </c>
      <c r="F193" s="1">
        <f ca="1">IFERROR(__xludf.DUMMYFUNCTION("""COMPUTED_VALUE"""),38539)</f>
        <v>38539</v>
      </c>
      <c r="G193">
        <f ca="1">IFERROR(__xludf.DUMMYFUNCTION("""COMPUTED_VALUE"""),64)</f>
        <v>64</v>
      </c>
      <c r="H193" s="2">
        <f ca="1">IFERROR(__xludf.DUMMYFUNCTION("""COMPUTED_VALUE"""),3211.583)</f>
        <v>3211.5830000000001</v>
      </c>
      <c r="I193" t="str">
        <f ca="1">IFERROR(__xludf.DUMMYFUNCTION("""COMPUTED_VALUE"""),"+11.00")</f>
        <v>+11.00</v>
      </c>
    </row>
    <row r="194" spans="1:9" ht="12.75">
      <c r="A194">
        <f ca="1">IFERROR(__xludf.DUMMYFUNCTION("""COMPUTED_VALUE"""),193)</f>
        <v>193</v>
      </c>
      <c r="B194" t="str">
        <f ca="1">IFERROR(__xludf.DUMMYFUNCTION("""COMPUTED_VALUE"""),"T179")</f>
        <v>T179</v>
      </c>
      <c r="C194" t="str">
        <f ca="1">IFERROR(__xludf.DUMMYFUNCTION("""COMPUTED_VALUE"""),"Lanto Griffin")</f>
        <v>Lanto Griffin</v>
      </c>
      <c r="D194">
        <f ca="1">IFERROR(__xludf.DUMMYFUNCTION("""COMPUTED_VALUE"""),18)</f>
        <v>18</v>
      </c>
      <c r="E194" t="str">
        <f ca="1">IFERROR(__xludf.DUMMYFUNCTION("""COMPUTED_VALUE"""),"50' 4""")</f>
        <v>50' 4"</v>
      </c>
      <c r="F194" s="1">
        <f ca="1">IFERROR(__xludf.DUMMYFUNCTION("""COMPUTED_VALUE"""),42866)</f>
        <v>42866</v>
      </c>
      <c r="G194">
        <f ca="1">IFERROR(__xludf.DUMMYFUNCTION("""COMPUTED_VALUE"""),71)</f>
        <v>71</v>
      </c>
      <c r="H194" s="2">
        <f ca="1">IFERROR(__xludf.DUMMYFUNCTION("""COMPUTED_VALUE"""),3572.167)</f>
        <v>3572.1669999999999</v>
      </c>
      <c r="I194" t="str">
        <f ca="1">IFERROR(__xludf.DUMMYFUNCTION("""COMPUTED_VALUE"""),"+15.00")</f>
        <v>+15.00</v>
      </c>
    </row>
    <row r="195" spans="1:9" ht="12.75">
      <c r="A195">
        <f ca="1">IFERROR(__xludf.DUMMYFUNCTION("""COMPUTED_VALUE"""),194)</f>
        <v>194</v>
      </c>
      <c r="B195" t="str">
        <f ca="1">IFERROR(__xludf.DUMMYFUNCTION("""COMPUTED_VALUE"""),"T199")</f>
        <v>T199</v>
      </c>
      <c r="C195" t="str">
        <f ca="1">IFERROR(__xludf.DUMMYFUNCTION("""COMPUTED_VALUE"""),"Sung Kang")</f>
        <v>Sung Kang</v>
      </c>
      <c r="D195">
        <f ca="1">IFERROR(__xludf.DUMMYFUNCTION("""COMPUTED_VALUE"""),14)</f>
        <v>14</v>
      </c>
      <c r="E195" t="str">
        <f ca="1">IFERROR(__xludf.DUMMYFUNCTION("""COMPUTED_VALUE"""),"50' 5""")</f>
        <v>50' 5"</v>
      </c>
      <c r="F195" s="1">
        <f ca="1">IFERROR(__xludf.DUMMYFUNCTION("""COMPUTED_VALUE"""),36310)</f>
        <v>36310</v>
      </c>
      <c r="G195">
        <f ca="1">IFERROR(__xludf.DUMMYFUNCTION("""COMPUTED_VALUE"""),60)</f>
        <v>60</v>
      </c>
      <c r="H195" s="2">
        <f ca="1">IFERROR(__xludf.DUMMYFUNCTION("""COMPUTED_VALUE"""),3025.833)</f>
        <v>3025.8330000000001</v>
      </c>
      <c r="I195" t="str">
        <f ca="1">IFERROR(__xludf.DUMMYFUNCTION("""COMPUTED_VALUE"""),"+16.00")</f>
        <v>+16.00</v>
      </c>
    </row>
    <row r="196" spans="1:9" ht="12.75">
      <c r="A196" t="str">
        <f ca="1">IFERROR(__xludf.DUMMYFUNCTION("""COMPUTED_VALUE"""),"T195")</f>
        <v>T195</v>
      </c>
      <c r="B196">
        <f ca="1">IFERROR(__xludf.DUMMYFUNCTION("""COMPUTED_VALUE"""),230)</f>
        <v>230</v>
      </c>
      <c r="C196" t="str">
        <f ca="1">IFERROR(__xludf.DUMMYFUNCTION("""COMPUTED_VALUE"""),"Hudson Swafford")</f>
        <v>Hudson Swafford</v>
      </c>
      <c r="D196">
        <f ca="1">IFERROR(__xludf.DUMMYFUNCTION("""COMPUTED_VALUE"""),18)</f>
        <v>18</v>
      </c>
      <c r="E196" t="str">
        <f ca="1">IFERROR(__xludf.DUMMYFUNCTION("""COMPUTED_VALUE"""),"50' 10""")</f>
        <v>50' 10"</v>
      </c>
      <c r="F196" s="1">
        <f ca="1">IFERROR(__xludf.DUMMYFUNCTION("""COMPUTED_VALUE"""),25021)</f>
        <v>25021</v>
      </c>
      <c r="G196">
        <f ca="1">IFERROR(__xludf.DUMMYFUNCTION("""COMPUTED_VALUE"""),41)</f>
        <v>41</v>
      </c>
      <c r="H196" s="2">
        <f ca="1">IFERROR(__xludf.DUMMYFUNCTION("""COMPUTED_VALUE"""),2085.083)</f>
        <v>2085.0830000000001</v>
      </c>
      <c r="I196" t="str">
        <f ca="1">IFERROR(__xludf.DUMMYFUNCTION("""COMPUTED_VALUE"""),"+7.00")</f>
        <v>+7.00</v>
      </c>
    </row>
    <row r="197" spans="1:9" ht="12.75">
      <c r="A197" t="str">
        <f ca="1">IFERROR(__xludf.DUMMYFUNCTION("""COMPUTED_VALUE"""),"T195")</f>
        <v>T195</v>
      </c>
      <c r="B197">
        <f ca="1">IFERROR(__xludf.DUMMYFUNCTION("""COMPUTED_VALUE"""),196)</f>
        <v>196</v>
      </c>
      <c r="C197" t="str">
        <f ca="1">IFERROR(__xludf.DUMMYFUNCTION("""COMPUTED_VALUE"""),"Viktor Hovland")</f>
        <v>Viktor Hovland</v>
      </c>
      <c r="D197">
        <f ca="1">IFERROR(__xludf.DUMMYFUNCTION("""COMPUTED_VALUE"""),16)</f>
        <v>16</v>
      </c>
      <c r="E197" t="str">
        <f ca="1">IFERROR(__xludf.DUMMYFUNCTION("""COMPUTED_VALUE"""),"50' 10""")</f>
        <v>50' 10"</v>
      </c>
      <c r="F197" s="1">
        <f ca="1">IFERROR(__xludf.DUMMYFUNCTION("""COMPUTED_VALUE"""),40875)</f>
        <v>40875</v>
      </c>
      <c r="G197">
        <f ca="1">IFERROR(__xludf.DUMMYFUNCTION("""COMPUTED_VALUE"""),67)</f>
        <v>67</v>
      </c>
      <c r="H197" s="2">
        <f ca="1">IFERROR(__xludf.DUMMYFUNCTION("""COMPUTED_VALUE"""),3406.25)</f>
        <v>3406.25</v>
      </c>
      <c r="I197" t="str">
        <f ca="1">IFERROR(__xludf.DUMMYFUNCTION("""COMPUTED_VALUE"""),"+3.00")</f>
        <v>+3.00</v>
      </c>
    </row>
    <row r="198" spans="1:9" ht="12.75">
      <c r="A198">
        <f ca="1">IFERROR(__xludf.DUMMYFUNCTION("""COMPUTED_VALUE"""),197)</f>
        <v>197</v>
      </c>
      <c r="B198">
        <f ca="1">IFERROR(__xludf.DUMMYFUNCTION("""COMPUTED_VALUE"""),198)</f>
        <v>198</v>
      </c>
      <c r="C198" t="str">
        <f ca="1">IFERROR(__xludf.DUMMYFUNCTION("""COMPUTED_VALUE"""),"Abraham Ancer")</f>
        <v>Abraham Ancer</v>
      </c>
      <c r="D198">
        <f ca="1">IFERROR(__xludf.DUMMYFUNCTION("""COMPUTED_VALUE"""),16)</f>
        <v>16</v>
      </c>
      <c r="E198" t="str">
        <f ca="1">IFERROR(__xludf.DUMMYFUNCTION("""COMPUTED_VALUE"""),"50' 11""")</f>
        <v>50' 11"</v>
      </c>
      <c r="F198" s="1">
        <f ca="1">IFERROR(__xludf.DUMMYFUNCTION("""COMPUTED_VALUE"""),27483)</f>
        <v>27483</v>
      </c>
      <c r="G198">
        <f ca="1">IFERROR(__xludf.DUMMYFUNCTION("""COMPUTED_VALUE"""),45)</f>
        <v>45</v>
      </c>
      <c r="H198" s="2">
        <f ca="1">IFERROR(__xludf.DUMMYFUNCTION("""COMPUTED_VALUE"""),2290.25)</f>
        <v>2290.25</v>
      </c>
      <c r="I198" t="str">
        <f ca="1">IFERROR(__xludf.DUMMYFUNCTION("""COMPUTED_VALUE"""),"+10.00")</f>
        <v>+10.00</v>
      </c>
    </row>
    <row r="199" spans="1:9" ht="12.75">
      <c r="A199" t="str">
        <f ca="1">IFERROR(__xludf.DUMMYFUNCTION("""COMPUTED_VALUE"""),"T198")</f>
        <v>T198</v>
      </c>
      <c r="B199" t="str">
        <f ca="1">IFERROR(__xludf.DUMMYFUNCTION("""COMPUTED_VALUE"""),"T199")</f>
        <v>T199</v>
      </c>
      <c r="C199" t="str">
        <f ca="1">IFERROR(__xludf.DUMMYFUNCTION("""COMPUTED_VALUE"""),"Xander Schauffele")</f>
        <v>Xander Schauffele</v>
      </c>
      <c r="D199">
        <f ca="1">IFERROR(__xludf.DUMMYFUNCTION("""COMPUTED_VALUE"""),12)</f>
        <v>12</v>
      </c>
      <c r="E199" t="str">
        <f ca="1">IFERROR(__xludf.DUMMYFUNCTION("""COMPUTED_VALUE"""),"51' 0""")</f>
        <v>51' 0"</v>
      </c>
      <c r="F199" s="1">
        <f ca="1">IFERROR(__xludf.DUMMYFUNCTION("""COMPUTED_VALUE"""),31227)</f>
        <v>31227</v>
      </c>
      <c r="G199">
        <f ca="1">IFERROR(__xludf.DUMMYFUNCTION("""COMPUTED_VALUE"""),51)</f>
        <v>51</v>
      </c>
      <c r="H199" s="2">
        <f ca="1">IFERROR(__xludf.DUMMYFUNCTION("""COMPUTED_VALUE"""),2602.25)</f>
        <v>2602.25</v>
      </c>
      <c r="I199" t="str">
        <f ca="1">IFERROR(__xludf.DUMMYFUNCTION("""COMPUTED_VALUE"""),"+8.00")</f>
        <v>+8.00</v>
      </c>
    </row>
    <row r="200" spans="1:9" ht="12.75">
      <c r="A200" t="str">
        <f ca="1">IFERROR(__xludf.DUMMYFUNCTION("""COMPUTED_VALUE"""),"T198")</f>
        <v>T198</v>
      </c>
      <c r="B200" t="str">
        <f ca="1">IFERROR(__xludf.DUMMYFUNCTION("""COMPUTED_VALUE"""),"T199")</f>
        <v>T199</v>
      </c>
      <c r="C200" t="str">
        <f ca="1">IFERROR(__xludf.DUMMYFUNCTION("""COMPUTED_VALUE"""),"Luke Schniederjans")</f>
        <v>Luke Schniederjans</v>
      </c>
      <c r="D200">
        <f ca="1">IFERROR(__xludf.DUMMYFUNCTION("""COMPUTED_VALUE"""),4)</f>
        <v>4</v>
      </c>
      <c r="E200" t="str">
        <f ca="1">IFERROR(__xludf.DUMMYFUNCTION("""COMPUTED_VALUE"""),"51' 0""")</f>
        <v>51' 0"</v>
      </c>
      <c r="F200" s="1">
        <f ca="1">IFERROR(__xludf.DUMMYFUNCTION("""COMPUTED_VALUE"""),7953)</f>
        <v>7953</v>
      </c>
      <c r="G200">
        <f ca="1">IFERROR(__xludf.DUMMYFUNCTION("""COMPUTED_VALUE"""),13)</f>
        <v>13</v>
      </c>
      <c r="H200">
        <f ca="1">IFERROR(__xludf.DUMMYFUNCTION("""COMPUTED_VALUE"""),662.75)</f>
        <v>662.75</v>
      </c>
      <c r="I200" t="str">
        <f ca="1">IFERROR(__xludf.DUMMYFUNCTION("""COMPUTED_VALUE"""),"+1.00")</f>
        <v>+1.00</v>
      </c>
    </row>
    <row r="201" spans="1:9" ht="12.75">
      <c r="A201">
        <f ca="1">IFERROR(__xludf.DUMMYFUNCTION("""COMPUTED_VALUE"""),200)</f>
        <v>200</v>
      </c>
      <c r="B201">
        <f ca="1">IFERROR(__xludf.DUMMYFUNCTION("""COMPUTED_VALUE"""),203)</f>
        <v>203</v>
      </c>
      <c r="C201" t="str">
        <f ca="1">IFERROR(__xludf.DUMMYFUNCTION("""COMPUTED_VALUE"""),"Kevin Kisner")</f>
        <v>Kevin Kisner</v>
      </c>
      <c r="D201">
        <f ca="1">IFERROR(__xludf.DUMMYFUNCTION("""COMPUTED_VALUE"""),10)</f>
        <v>10</v>
      </c>
      <c r="E201" t="str">
        <f ca="1">IFERROR(__xludf.DUMMYFUNCTION("""COMPUTED_VALUE"""),"51' 3""")</f>
        <v>51' 3"</v>
      </c>
      <c r="F201" s="1">
        <f ca="1">IFERROR(__xludf.DUMMYFUNCTION("""COMPUTED_VALUE"""),20285)</f>
        <v>20285</v>
      </c>
      <c r="G201">
        <f ca="1">IFERROR(__xludf.DUMMYFUNCTION("""COMPUTED_VALUE"""),33)</f>
        <v>33</v>
      </c>
      <c r="H201" s="2">
        <f ca="1">IFERROR(__xludf.DUMMYFUNCTION("""COMPUTED_VALUE"""),1690.417)</f>
        <v>1690.4169999999999</v>
      </c>
      <c r="I201" t="str">
        <f ca="1">IFERROR(__xludf.DUMMYFUNCTION("""COMPUTED_VALUE"""),"+8.00")</f>
        <v>+8.00</v>
      </c>
    </row>
    <row r="202" spans="1:9" ht="12.75">
      <c r="A202">
        <f ca="1">IFERROR(__xludf.DUMMYFUNCTION("""COMPUTED_VALUE"""),201)</f>
        <v>201</v>
      </c>
      <c r="B202">
        <f ca="1">IFERROR(__xludf.DUMMYFUNCTION("""COMPUTED_VALUE"""),176)</f>
        <v>176</v>
      </c>
      <c r="C202" t="str">
        <f ca="1">IFERROR(__xludf.DUMMYFUNCTION("""COMPUTED_VALUE"""),"Keegan Bradley")</f>
        <v>Keegan Bradley</v>
      </c>
      <c r="D202">
        <f ca="1">IFERROR(__xludf.DUMMYFUNCTION("""COMPUTED_VALUE"""),16)</f>
        <v>16</v>
      </c>
      <c r="E202" t="str">
        <f ca="1">IFERROR(__xludf.DUMMYFUNCTION("""COMPUTED_VALUE"""),"51' 4""")</f>
        <v>51' 4"</v>
      </c>
      <c r="F202" s="1">
        <f ca="1">IFERROR(__xludf.DUMMYFUNCTION("""COMPUTED_VALUE"""),35718)</f>
        <v>35718</v>
      </c>
      <c r="G202">
        <f ca="1">IFERROR(__xludf.DUMMYFUNCTION("""COMPUTED_VALUE"""),58)</f>
        <v>58</v>
      </c>
      <c r="H202" s="2">
        <f ca="1">IFERROR(__xludf.DUMMYFUNCTION("""COMPUTED_VALUE"""),2976.5)</f>
        <v>2976.5</v>
      </c>
      <c r="I202" t="str">
        <f ca="1">IFERROR(__xludf.DUMMYFUNCTION("""COMPUTED_VALUE"""),"+8.00")</f>
        <v>+8.00</v>
      </c>
    </row>
    <row r="203" spans="1:9" ht="12.75">
      <c r="A203" t="str">
        <f ca="1">IFERROR(__xludf.DUMMYFUNCTION("""COMPUTED_VALUE"""),"T202")</f>
        <v>T202</v>
      </c>
      <c r="B203" t="str">
        <f ca="1">IFERROR(__xludf.DUMMYFUNCTION("""COMPUTED_VALUE"""),"T205")</f>
        <v>T205</v>
      </c>
      <c r="C203" t="str">
        <f ca="1">IFERROR(__xludf.DUMMYFUNCTION("""COMPUTED_VALUE"""),"John Pak")</f>
        <v>John Pak</v>
      </c>
      <c r="D203">
        <f ca="1">IFERROR(__xludf.DUMMYFUNCTION("""COMPUTED_VALUE"""),4)</f>
        <v>4</v>
      </c>
      <c r="E203" t="str">
        <f ca="1">IFERROR(__xludf.DUMMYFUNCTION("""COMPUTED_VALUE"""),"51' 5""")</f>
        <v>51' 5"</v>
      </c>
      <c r="F203" s="1">
        <f ca="1">IFERROR(__xludf.DUMMYFUNCTION("""COMPUTED_VALUE"""),11731)</f>
        <v>11731</v>
      </c>
      <c r="G203">
        <f ca="1">IFERROR(__xludf.DUMMYFUNCTION("""COMPUTED_VALUE"""),19)</f>
        <v>19</v>
      </c>
      <c r="H203">
        <f ca="1">IFERROR(__xludf.DUMMYFUNCTION("""COMPUTED_VALUE"""),977.583)</f>
        <v>977.58299999999997</v>
      </c>
      <c r="I203" t="str">
        <f ca="1">IFERROR(__xludf.DUMMYFUNCTION("""COMPUTED_VALUE"""),"+4.00")</f>
        <v>+4.00</v>
      </c>
    </row>
    <row r="204" spans="1:9" ht="12.75">
      <c r="A204" t="str">
        <f ca="1">IFERROR(__xludf.DUMMYFUNCTION("""COMPUTED_VALUE"""),"T202")</f>
        <v>T202</v>
      </c>
      <c r="B204" t="str">
        <f ca="1">IFERROR(__xludf.DUMMYFUNCTION("""COMPUTED_VALUE"""),"T205")</f>
        <v>T205</v>
      </c>
      <c r="C204" t="str">
        <f ca="1">IFERROR(__xludf.DUMMYFUNCTION("""COMPUTED_VALUE"""),"Chan Kim")</f>
        <v>Chan Kim</v>
      </c>
      <c r="D204">
        <f ca="1">IFERROR(__xludf.DUMMYFUNCTION("""COMPUTED_VALUE"""),6)</f>
        <v>6</v>
      </c>
      <c r="E204" t="str">
        <f ca="1">IFERROR(__xludf.DUMMYFUNCTION("""COMPUTED_VALUE"""),"51' 5""")</f>
        <v>51' 5"</v>
      </c>
      <c r="F204" s="1">
        <f ca="1">IFERROR(__xludf.DUMMYFUNCTION("""COMPUTED_VALUE"""),10491)</f>
        <v>10491</v>
      </c>
      <c r="G204">
        <f ca="1">IFERROR(__xludf.DUMMYFUNCTION("""COMPUTED_VALUE"""),17)</f>
        <v>17</v>
      </c>
      <c r="H204">
        <f ca="1">IFERROR(__xludf.DUMMYFUNCTION("""COMPUTED_VALUE"""),874.25)</f>
        <v>874.25</v>
      </c>
      <c r="I204" t="str">
        <f ca="1">IFERROR(__xludf.DUMMYFUNCTION("""COMPUTED_VALUE"""),"+4.00")</f>
        <v>+4.00</v>
      </c>
    </row>
    <row r="205" spans="1:9" ht="12.75">
      <c r="A205">
        <f ca="1">IFERROR(__xludf.DUMMYFUNCTION("""COMPUTED_VALUE"""),204)</f>
        <v>204</v>
      </c>
      <c r="B205">
        <f ca="1">IFERROR(__xludf.DUMMYFUNCTION("""COMPUTED_VALUE"""),208)</f>
        <v>208</v>
      </c>
      <c r="C205" t="str">
        <f ca="1">IFERROR(__xludf.DUMMYFUNCTION("""COMPUTED_VALUE"""),"Jazz Janewattananond")</f>
        <v>Jazz Janewattananond</v>
      </c>
      <c r="D205">
        <f ca="1">IFERROR(__xludf.DUMMYFUNCTION("""COMPUTED_VALUE"""),6)</f>
        <v>6</v>
      </c>
      <c r="E205" t="str">
        <f ca="1">IFERROR(__xludf.DUMMYFUNCTION("""COMPUTED_VALUE"""),"51' 7""")</f>
        <v>51' 7"</v>
      </c>
      <c r="F205" s="1">
        <f ca="1">IFERROR(__xludf.DUMMYFUNCTION("""COMPUTED_VALUE"""),11760)</f>
        <v>11760</v>
      </c>
      <c r="G205">
        <f ca="1">IFERROR(__xludf.DUMMYFUNCTION("""COMPUTED_VALUE"""),19)</f>
        <v>19</v>
      </c>
      <c r="H205">
        <f ca="1">IFERROR(__xludf.DUMMYFUNCTION("""COMPUTED_VALUE"""),980)</f>
        <v>980</v>
      </c>
      <c r="I205" t="str">
        <f ca="1">IFERROR(__xludf.DUMMYFUNCTION("""COMPUTED_VALUE"""),"+8.00")</f>
        <v>+8.00</v>
      </c>
    </row>
    <row r="206" spans="1:9" ht="12.75">
      <c r="A206" t="str">
        <f ca="1">IFERROR(__xludf.DUMMYFUNCTION("""COMPUTED_VALUE"""),"T205")</f>
        <v>T205</v>
      </c>
      <c r="B206">
        <f ca="1">IFERROR(__xludf.DUMMYFUNCTION("""COMPUTED_VALUE"""),195)</f>
        <v>195</v>
      </c>
      <c r="C206" t="str">
        <f ca="1">IFERROR(__xludf.DUMMYFUNCTION("""COMPUTED_VALUE"""),"Denny McCarthy")</f>
        <v>Denny McCarthy</v>
      </c>
      <c r="D206">
        <f ca="1">IFERROR(__xludf.DUMMYFUNCTION("""COMPUTED_VALUE"""),22)</f>
        <v>22</v>
      </c>
      <c r="E206" t="str">
        <f ca="1">IFERROR(__xludf.DUMMYFUNCTION("""COMPUTED_VALUE"""),"51' 11""")</f>
        <v>51' 11"</v>
      </c>
      <c r="F206" s="1">
        <f ca="1">IFERROR(__xludf.DUMMYFUNCTION("""COMPUTED_VALUE"""),32401)</f>
        <v>32401</v>
      </c>
      <c r="G206">
        <f ca="1">IFERROR(__xludf.DUMMYFUNCTION("""COMPUTED_VALUE"""),52)</f>
        <v>52</v>
      </c>
      <c r="H206" s="2">
        <f ca="1">IFERROR(__xludf.DUMMYFUNCTION("""COMPUTED_VALUE"""),2700.083)</f>
        <v>2700.0830000000001</v>
      </c>
      <c r="I206">
        <f ca="1">IFERROR(__xludf.DUMMYFUNCTION("""COMPUTED_VALUE"""),-2)</f>
        <v>-2</v>
      </c>
    </row>
    <row r="207" spans="1:9" ht="12.75">
      <c r="A207" t="str">
        <f ca="1">IFERROR(__xludf.DUMMYFUNCTION("""COMPUTED_VALUE"""),"T205")</f>
        <v>T205</v>
      </c>
      <c r="B207" t="str">
        <f ca="1">IFERROR(__xludf.DUMMYFUNCTION("""COMPUTED_VALUE"""),"T222")</f>
        <v>T222</v>
      </c>
      <c r="C207" t="str">
        <f ca="1">IFERROR(__xludf.DUMMYFUNCTION("""COMPUTED_VALUE"""),"Shane Lowry")</f>
        <v>Shane Lowry</v>
      </c>
      <c r="D207">
        <f ca="1">IFERROR(__xludf.DUMMYFUNCTION("""COMPUTED_VALUE"""),14)</f>
        <v>14</v>
      </c>
      <c r="E207" t="str">
        <f ca="1">IFERROR(__xludf.DUMMYFUNCTION("""COMPUTED_VALUE"""),"51' 11""")</f>
        <v>51' 11"</v>
      </c>
      <c r="F207" s="1">
        <f ca="1">IFERROR(__xludf.DUMMYFUNCTION("""COMPUTED_VALUE"""),29914)</f>
        <v>29914</v>
      </c>
      <c r="G207">
        <f ca="1">IFERROR(__xludf.DUMMYFUNCTION("""COMPUTED_VALUE"""),48)</f>
        <v>48</v>
      </c>
      <c r="H207" s="2">
        <f ca="1">IFERROR(__xludf.DUMMYFUNCTION("""COMPUTED_VALUE"""),2492.833)</f>
        <v>2492.8330000000001</v>
      </c>
      <c r="I207" t="str">
        <f ca="1">IFERROR(__xludf.DUMMYFUNCTION("""COMPUTED_VALUE"""),"+12.00")</f>
        <v>+12.00</v>
      </c>
    </row>
    <row r="208" spans="1:9" ht="12.75">
      <c r="A208" t="str">
        <f ca="1">IFERROR(__xludf.DUMMYFUNCTION("""COMPUTED_VALUE"""),"T207")</f>
        <v>T207</v>
      </c>
      <c r="B208" t="str">
        <f ca="1">IFERROR(__xludf.DUMMYFUNCTION("""COMPUTED_VALUE"""),"T216")</f>
        <v>T216</v>
      </c>
      <c r="C208" t="str">
        <f ca="1">IFERROR(__xludf.DUMMYFUNCTION("""COMPUTED_VALUE"""),"Rory Sabbatini")</f>
        <v>Rory Sabbatini</v>
      </c>
      <c r="D208">
        <f ca="1">IFERROR(__xludf.DUMMYFUNCTION("""COMPUTED_VALUE"""),13)</f>
        <v>13</v>
      </c>
      <c r="E208" t="str">
        <f ca="1">IFERROR(__xludf.DUMMYFUNCTION("""COMPUTED_VALUE"""),"52' 0""")</f>
        <v>52' 0"</v>
      </c>
      <c r="F208" s="1">
        <f ca="1">IFERROR(__xludf.DUMMYFUNCTION("""COMPUTED_VALUE"""),34301)</f>
        <v>34301</v>
      </c>
      <c r="G208">
        <f ca="1">IFERROR(__xludf.DUMMYFUNCTION("""COMPUTED_VALUE"""),55)</f>
        <v>55</v>
      </c>
      <c r="H208" s="2">
        <f ca="1">IFERROR(__xludf.DUMMYFUNCTION("""COMPUTED_VALUE"""),2858.417)</f>
        <v>2858.4169999999999</v>
      </c>
      <c r="I208" t="str">
        <f ca="1">IFERROR(__xludf.DUMMYFUNCTION("""COMPUTED_VALUE"""),"+8.00")</f>
        <v>+8.00</v>
      </c>
    </row>
    <row r="209" spans="1:9" ht="12.75">
      <c r="A209" t="str">
        <f ca="1">IFERROR(__xludf.DUMMYFUNCTION("""COMPUTED_VALUE"""),"T207")</f>
        <v>T207</v>
      </c>
      <c r="B209" t="str">
        <f ca="1">IFERROR(__xludf.DUMMYFUNCTION("""COMPUTED_VALUE"""),"T209")</f>
        <v>T209</v>
      </c>
      <c r="C209" t="str">
        <f ca="1">IFERROR(__xludf.DUMMYFUNCTION("""COMPUTED_VALUE"""),"Matthias Schwab")</f>
        <v>Matthias Schwab</v>
      </c>
      <c r="D209">
        <f ca="1">IFERROR(__xludf.DUMMYFUNCTION("""COMPUTED_VALUE"""),8)</f>
        <v>8</v>
      </c>
      <c r="E209" t="str">
        <f ca="1">IFERROR(__xludf.DUMMYFUNCTION("""COMPUTED_VALUE"""),"52' 0""")</f>
        <v>52' 0"</v>
      </c>
      <c r="F209" s="1">
        <f ca="1">IFERROR(__xludf.DUMMYFUNCTION("""COMPUTED_VALUE"""),14350)</f>
        <v>14350</v>
      </c>
      <c r="G209">
        <f ca="1">IFERROR(__xludf.DUMMYFUNCTION("""COMPUTED_VALUE"""),23)</f>
        <v>23</v>
      </c>
      <c r="H209" s="2">
        <f ca="1">IFERROR(__xludf.DUMMYFUNCTION("""COMPUTED_VALUE"""),1195.833)</f>
        <v>1195.8330000000001</v>
      </c>
      <c r="I209" t="str">
        <f ca="1">IFERROR(__xludf.DUMMYFUNCTION("""COMPUTED_VALUE"""),"+8.00")</f>
        <v>+8.00</v>
      </c>
    </row>
    <row r="210" spans="1:9" ht="12.75">
      <c r="A210">
        <f ca="1">IFERROR(__xludf.DUMMYFUNCTION("""COMPUTED_VALUE"""),209)</f>
        <v>209</v>
      </c>
      <c r="B210">
        <f ca="1">IFERROR(__xludf.DUMMYFUNCTION("""COMPUTED_VALUE"""),189)</f>
        <v>189</v>
      </c>
      <c r="C210" t="str">
        <f ca="1">IFERROR(__xludf.DUMMYFUNCTION("""COMPUTED_VALUE"""),"Kelly Kraft")</f>
        <v>Kelly Kraft</v>
      </c>
      <c r="D210">
        <f ca="1">IFERROR(__xludf.DUMMYFUNCTION("""COMPUTED_VALUE"""),14)</f>
        <v>14</v>
      </c>
      <c r="E210" t="str">
        <f ca="1">IFERROR(__xludf.DUMMYFUNCTION("""COMPUTED_VALUE"""),"52' 1""")</f>
        <v>52' 1"</v>
      </c>
      <c r="F210" s="1">
        <f ca="1">IFERROR(__xludf.DUMMYFUNCTION("""COMPUTED_VALUE"""),26267)</f>
        <v>26267</v>
      </c>
      <c r="G210">
        <f ca="1">IFERROR(__xludf.DUMMYFUNCTION("""COMPUTED_VALUE"""),42)</f>
        <v>42</v>
      </c>
      <c r="H210" s="2">
        <f ca="1">IFERROR(__xludf.DUMMYFUNCTION("""COMPUTED_VALUE"""),2188.917)</f>
        <v>2188.9169999999999</v>
      </c>
      <c r="I210" t="str">
        <f ca="1">IFERROR(__xludf.DUMMYFUNCTION("""COMPUTED_VALUE"""),"+11.00")</f>
        <v>+11.00</v>
      </c>
    </row>
    <row r="211" spans="1:9" ht="12.75">
      <c r="A211" t="str">
        <f ca="1">IFERROR(__xludf.DUMMYFUNCTION("""COMPUTED_VALUE"""),"T210")</f>
        <v>T210</v>
      </c>
      <c r="B211">
        <f ca="1">IFERROR(__xludf.DUMMYFUNCTION("""COMPUTED_VALUE"""),211)</f>
        <v>211</v>
      </c>
      <c r="C211" t="str">
        <f ca="1">IFERROR(__xludf.DUMMYFUNCTION("""COMPUTED_VALUE"""),"Richy Werenski")</f>
        <v>Richy Werenski</v>
      </c>
      <c r="D211">
        <f ca="1">IFERROR(__xludf.DUMMYFUNCTION("""COMPUTED_VALUE"""),16)</f>
        <v>16</v>
      </c>
      <c r="E211" t="str">
        <f ca="1">IFERROR(__xludf.DUMMYFUNCTION("""COMPUTED_VALUE"""),"52' 2""")</f>
        <v>52' 2"</v>
      </c>
      <c r="F211" s="1">
        <f ca="1">IFERROR(__xludf.DUMMYFUNCTION("""COMPUTED_VALUE"""),31931)</f>
        <v>31931</v>
      </c>
      <c r="G211">
        <f ca="1">IFERROR(__xludf.DUMMYFUNCTION("""COMPUTED_VALUE"""),51)</f>
        <v>51</v>
      </c>
      <c r="H211" s="2">
        <f ca="1">IFERROR(__xludf.DUMMYFUNCTION("""COMPUTED_VALUE"""),2660.917)</f>
        <v>2660.9169999999999</v>
      </c>
      <c r="I211" t="str">
        <f ca="1">IFERROR(__xludf.DUMMYFUNCTION("""COMPUTED_VALUE"""),"+10.00")</f>
        <v>+10.00</v>
      </c>
    </row>
    <row r="212" spans="1:9" ht="12.75">
      <c r="A212" t="str">
        <f ca="1">IFERROR(__xludf.DUMMYFUNCTION("""COMPUTED_VALUE"""),"T210")</f>
        <v>T210</v>
      </c>
      <c r="B212" t="str">
        <f ca="1">IFERROR(__xludf.DUMMYFUNCTION("""COMPUTED_VALUE"""),"T82")</f>
        <v>T82</v>
      </c>
      <c r="C212" t="str">
        <f ca="1">IFERROR(__xludf.DUMMYFUNCTION("""COMPUTED_VALUE"""),"Luke Donald")</f>
        <v>Luke Donald</v>
      </c>
      <c r="D212">
        <f ca="1">IFERROR(__xludf.DUMMYFUNCTION("""COMPUTED_VALUE"""),14)</f>
        <v>14</v>
      </c>
      <c r="E212" t="str">
        <f ca="1">IFERROR(__xludf.DUMMYFUNCTION("""COMPUTED_VALUE"""),"52' 2""")</f>
        <v>52' 2"</v>
      </c>
      <c r="F212" s="1">
        <f ca="1">IFERROR(__xludf.DUMMYFUNCTION("""COMPUTED_VALUE"""),23787)</f>
        <v>23787</v>
      </c>
      <c r="G212">
        <f ca="1">IFERROR(__xludf.DUMMYFUNCTION("""COMPUTED_VALUE"""),38)</f>
        <v>38</v>
      </c>
      <c r="H212" s="2">
        <f ca="1">IFERROR(__xludf.DUMMYFUNCTION("""COMPUTED_VALUE"""),1982.25)</f>
        <v>1982.25</v>
      </c>
      <c r="I212" t="str">
        <f ca="1">IFERROR(__xludf.DUMMYFUNCTION("""COMPUTED_VALUE"""),"+16.00")</f>
        <v>+16.00</v>
      </c>
    </row>
    <row r="213" spans="1:9" ht="12.75">
      <c r="A213" t="str">
        <f ca="1">IFERROR(__xludf.DUMMYFUNCTION("""COMPUTED_VALUE"""),"T212")</f>
        <v>T212</v>
      </c>
      <c r="B213" t="str">
        <f ca="1">IFERROR(__xludf.DUMMYFUNCTION("""COMPUTED_VALUE"""),"T212")</f>
        <v>T212</v>
      </c>
      <c r="C213" t="str">
        <f ca="1">IFERROR(__xludf.DUMMYFUNCTION("""COMPUTED_VALUE"""),"Rickie Fowler")</f>
        <v>Rickie Fowler</v>
      </c>
      <c r="D213">
        <f ca="1">IFERROR(__xludf.DUMMYFUNCTION("""COMPUTED_VALUE"""),14)</f>
        <v>14</v>
      </c>
      <c r="E213" t="str">
        <f ca="1">IFERROR(__xludf.DUMMYFUNCTION("""COMPUTED_VALUE"""),"52' 5""")</f>
        <v>52' 5"</v>
      </c>
      <c r="F213" s="1">
        <f ca="1">IFERROR(__xludf.DUMMYFUNCTION("""COMPUTED_VALUE"""),27682)</f>
        <v>27682</v>
      </c>
      <c r="G213">
        <f ca="1">IFERROR(__xludf.DUMMYFUNCTION("""COMPUTED_VALUE"""),44)</f>
        <v>44</v>
      </c>
      <c r="H213" s="2">
        <f ca="1">IFERROR(__xludf.DUMMYFUNCTION("""COMPUTED_VALUE"""),2306.833)</f>
        <v>2306.8330000000001</v>
      </c>
      <c r="I213" t="str">
        <f ca="1">IFERROR(__xludf.DUMMYFUNCTION("""COMPUTED_VALUE"""),"+13.00")</f>
        <v>+13.00</v>
      </c>
    </row>
    <row r="214" spans="1:9" ht="12.75">
      <c r="A214" t="str">
        <f ca="1">IFERROR(__xludf.DUMMYFUNCTION("""COMPUTED_VALUE"""),"T212")</f>
        <v>T212</v>
      </c>
      <c r="B214" t="str">
        <f ca="1">IFERROR(__xludf.DUMMYFUNCTION("""COMPUTED_VALUE"""),"T212")</f>
        <v>T212</v>
      </c>
      <c r="C214" t="str">
        <f ca="1">IFERROR(__xludf.DUMMYFUNCTION("""COMPUTED_VALUE"""),"Jon Rahm")</f>
        <v>Jon Rahm</v>
      </c>
      <c r="D214">
        <f ca="1">IFERROR(__xludf.DUMMYFUNCTION("""COMPUTED_VALUE"""),12)</f>
        <v>12</v>
      </c>
      <c r="E214" t="str">
        <f ca="1">IFERROR(__xludf.DUMMYFUNCTION("""COMPUTED_VALUE"""),"52' 5""")</f>
        <v>52' 5"</v>
      </c>
      <c r="F214" s="1">
        <f ca="1">IFERROR(__xludf.DUMMYFUNCTION("""COMPUTED_VALUE"""),28288)</f>
        <v>28288</v>
      </c>
      <c r="G214">
        <f ca="1">IFERROR(__xludf.DUMMYFUNCTION("""COMPUTED_VALUE"""),45)</f>
        <v>45</v>
      </c>
      <c r="H214" s="2">
        <f ca="1">IFERROR(__xludf.DUMMYFUNCTION("""COMPUTED_VALUE"""),2357.333)</f>
        <v>2357.3330000000001</v>
      </c>
      <c r="I214" t="str">
        <f ca="1">IFERROR(__xludf.DUMMYFUNCTION("""COMPUTED_VALUE"""),"+7.00")</f>
        <v>+7.00</v>
      </c>
    </row>
    <row r="215" spans="1:9" ht="12.75">
      <c r="A215" t="str">
        <f ca="1">IFERROR(__xludf.DUMMYFUNCTION("""COMPUTED_VALUE"""),"T214")</f>
        <v>T214</v>
      </c>
      <c r="B215">
        <f ca="1">IFERROR(__xludf.DUMMYFUNCTION("""COMPUTED_VALUE"""),197)</f>
        <v>197</v>
      </c>
      <c r="C215" t="str">
        <f ca="1">IFERROR(__xludf.DUMMYFUNCTION("""COMPUTED_VALUE"""),"Sungjae Im")</f>
        <v>Sungjae Im</v>
      </c>
      <c r="D215">
        <f ca="1">IFERROR(__xludf.DUMMYFUNCTION("""COMPUTED_VALUE"""),24)</f>
        <v>24</v>
      </c>
      <c r="E215" t="str">
        <f ca="1">IFERROR(__xludf.DUMMYFUNCTION("""COMPUTED_VALUE"""),"52' 6""")</f>
        <v>52' 6"</v>
      </c>
      <c r="F215" s="1">
        <f ca="1">IFERROR(__xludf.DUMMYFUNCTION("""COMPUTED_VALUE"""),57290)</f>
        <v>57290</v>
      </c>
      <c r="G215">
        <f ca="1">IFERROR(__xludf.DUMMYFUNCTION("""COMPUTED_VALUE"""),91)</f>
        <v>91</v>
      </c>
      <c r="H215" s="2">
        <f ca="1">IFERROR(__xludf.DUMMYFUNCTION("""COMPUTED_VALUE"""),4774.167)</f>
        <v>4774.1670000000004</v>
      </c>
      <c r="I215" t="str">
        <f ca="1">IFERROR(__xludf.DUMMYFUNCTION("""COMPUTED_VALUE"""),"+16.00")</f>
        <v>+16.00</v>
      </c>
    </row>
    <row r="216" spans="1:9" ht="12.75">
      <c r="A216" t="str">
        <f ca="1">IFERROR(__xludf.DUMMYFUNCTION("""COMPUTED_VALUE"""),"T214")</f>
        <v>T214</v>
      </c>
      <c r="B216">
        <f ca="1">IFERROR(__xludf.DUMMYFUNCTION("""COMPUTED_VALUE"""),130)</f>
        <v>130</v>
      </c>
      <c r="C216" t="str">
        <f ca="1">IFERROR(__xludf.DUMMYFUNCTION("""COMPUTED_VALUE"""),"Graeme McDowell")</f>
        <v>Graeme McDowell</v>
      </c>
      <c r="D216">
        <f ca="1">IFERROR(__xludf.DUMMYFUNCTION("""COMPUTED_VALUE"""),8)</f>
        <v>8</v>
      </c>
      <c r="E216" t="str">
        <f ca="1">IFERROR(__xludf.DUMMYFUNCTION("""COMPUTED_VALUE"""),"52' 6""")</f>
        <v>52' 6"</v>
      </c>
      <c r="F216" s="1">
        <f ca="1">IFERROR(__xludf.DUMMYFUNCTION("""COMPUTED_VALUE"""),19531)</f>
        <v>19531</v>
      </c>
      <c r="G216">
        <f ca="1">IFERROR(__xludf.DUMMYFUNCTION("""COMPUTED_VALUE"""),31)</f>
        <v>31</v>
      </c>
      <c r="H216" s="2">
        <f ca="1">IFERROR(__xludf.DUMMYFUNCTION("""COMPUTED_VALUE"""),1627.583)</f>
        <v>1627.5830000000001</v>
      </c>
      <c r="I216" t="str">
        <f ca="1">IFERROR(__xludf.DUMMYFUNCTION("""COMPUTED_VALUE"""),"+9.00")</f>
        <v>+9.00</v>
      </c>
    </row>
    <row r="217" spans="1:9" ht="12.75">
      <c r="A217">
        <f ca="1">IFERROR(__xludf.DUMMYFUNCTION("""COMPUTED_VALUE"""),216)</f>
        <v>216</v>
      </c>
      <c r="B217" t="str">
        <f ca="1">IFERROR(__xludf.DUMMYFUNCTION("""COMPUTED_VALUE"""),"T244")</f>
        <v>T244</v>
      </c>
      <c r="C217" t="str">
        <f ca="1">IFERROR(__xludf.DUMMYFUNCTION("""COMPUTED_VALUE"""),"Fabián Gómez")</f>
        <v>Fabián Gómez</v>
      </c>
      <c r="D217">
        <f ca="1">IFERROR(__xludf.DUMMYFUNCTION("""COMPUTED_VALUE"""),16)</f>
        <v>16</v>
      </c>
      <c r="E217" t="str">
        <f ca="1">IFERROR(__xludf.DUMMYFUNCTION("""COMPUTED_VALUE"""),"52' 8""")</f>
        <v>52' 8"</v>
      </c>
      <c r="F217" s="1">
        <f ca="1">IFERROR(__xludf.DUMMYFUNCTION("""COMPUTED_VALUE"""),24020)</f>
        <v>24020</v>
      </c>
      <c r="G217">
        <f ca="1">IFERROR(__xludf.DUMMYFUNCTION("""COMPUTED_VALUE"""),38)</f>
        <v>38</v>
      </c>
      <c r="H217" s="2">
        <f ca="1">IFERROR(__xludf.DUMMYFUNCTION("""COMPUTED_VALUE"""),2001.667)</f>
        <v>2001.6669999999999</v>
      </c>
      <c r="I217" t="str">
        <f ca="1">IFERROR(__xludf.DUMMYFUNCTION("""COMPUTED_VALUE"""),"+6.00")</f>
        <v>+6.00</v>
      </c>
    </row>
    <row r="218" spans="1:9" ht="12.75">
      <c r="A218">
        <f ca="1">IFERROR(__xludf.DUMMYFUNCTION("""COMPUTED_VALUE"""),217)</f>
        <v>217</v>
      </c>
      <c r="B218" t="str">
        <f ca="1">IFERROR(__xludf.DUMMYFUNCTION("""COMPUTED_VALUE"""),"T216")</f>
        <v>T216</v>
      </c>
      <c r="C218" t="str">
        <f ca="1">IFERROR(__xludf.DUMMYFUNCTION("""COMPUTED_VALUE"""),"Romain Langasque")</f>
        <v>Romain Langasque</v>
      </c>
      <c r="D218">
        <f ca="1">IFERROR(__xludf.DUMMYFUNCTION("""COMPUTED_VALUE"""),4)</f>
        <v>4</v>
      </c>
      <c r="E218" t="str">
        <f ca="1">IFERROR(__xludf.DUMMYFUNCTION("""COMPUTED_VALUE"""),"52' 10""")</f>
        <v>52' 10"</v>
      </c>
      <c r="F218" s="1">
        <f ca="1">IFERROR(__xludf.DUMMYFUNCTION("""COMPUTED_VALUE"""),15853)</f>
        <v>15853</v>
      </c>
      <c r="G218">
        <f ca="1">IFERROR(__xludf.DUMMYFUNCTION("""COMPUTED_VALUE"""),25)</f>
        <v>25</v>
      </c>
      <c r="H218" s="2">
        <f ca="1">IFERROR(__xludf.DUMMYFUNCTION("""COMPUTED_VALUE"""),1321.083)</f>
        <v>1321.0830000000001</v>
      </c>
      <c r="I218" t="str">
        <f ca="1">IFERROR(__xludf.DUMMYFUNCTION("""COMPUTED_VALUE"""),"+6.00")</f>
        <v>+6.00</v>
      </c>
    </row>
    <row r="219" spans="1:9" ht="12.75">
      <c r="A219" t="str">
        <f ca="1">IFERROR(__xludf.DUMMYFUNCTION("""COMPUTED_VALUE"""),"T218")</f>
        <v>T218</v>
      </c>
      <c r="B219" t="str">
        <f ca="1">IFERROR(__xludf.DUMMYFUNCTION("""COMPUTED_VALUE"""),"T222")</f>
        <v>T222</v>
      </c>
      <c r="C219" t="str">
        <f ca="1">IFERROR(__xludf.DUMMYFUNCTION("""COMPUTED_VALUE"""),"Adam Long")</f>
        <v>Adam Long</v>
      </c>
      <c r="D219">
        <f ca="1">IFERROR(__xludf.DUMMYFUNCTION("""COMPUTED_VALUE"""),22)</f>
        <v>22</v>
      </c>
      <c r="E219" t="str">
        <f ca="1">IFERROR(__xludf.DUMMYFUNCTION("""COMPUTED_VALUE"""),"52' 11""")</f>
        <v>52' 11"</v>
      </c>
      <c r="F219" s="1">
        <f ca="1">IFERROR(__xludf.DUMMYFUNCTION("""COMPUTED_VALUE"""),33658)</f>
        <v>33658</v>
      </c>
      <c r="G219">
        <f ca="1">IFERROR(__xludf.DUMMYFUNCTION("""COMPUTED_VALUE"""),53)</f>
        <v>53</v>
      </c>
      <c r="H219" s="2">
        <f ca="1">IFERROR(__xludf.DUMMYFUNCTION("""COMPUTED_VALUE"""),2804.833)</f>
        <v>2804.8330000000001</v>
      </c>
      <c r="I219" t="str">
        <f ca="1">IFERROR(__xludf.DUMMYFUNCTION("""COMPUTED_VALUE"""),"+11.00")</f>
        <v>+11.00</v>
      </c>
    </row>
    <row r="220" spans="1:9" ht="12.75">
      <c r="A220" t="str">
        <f ca="1">IFERROR(__xludf.DUMMYFUNCTION("""COMPUTED_VALUE"""),"T218")</f>
        <v>T218</v>
      </c>
      <c r="B220">
        <f ca="1">IFERROR(__xludf.DUMMYFUNCTION("""COMPUTED_VALUE"""),218)</f>
        <v>218</v>
      </c>
      <c r="C220" t="str">
        <f ca="1">IFERROR(__xludf.DUMMYFUNCTION("""COMPUTED_VALUE"""),"Takumi Kanaya")</f>
        <v>Takumi Kanaya</v>
      </c>
      <c r="D220">
        <f ca="1">IFERROR(__xludf.DUMMYFUNCTION("""COMPUTED_VALUE"""),6)</f>
        <v>6</v>
      </c>
      <c r="E220" t="str">
        <f ca="1">IFERROR(__xludf.DUMMYFUNCTION("""COMPUTED_VALUE"""),"52' 11""")</f>
        <v>52' 11"</v>
      </c>
      <c r="F220" s="1">
        <f ca="1">IFERROR(__xludf.DUMMYFUNCTION("""COMPUTED_VALUE"""),14614)</f>
        <v>14614</v>
      </c>
      <c r="G220">
        <f ca="1">IFERROR(__xludf.DUMMYFUNCTION("""COMPUTED_VALUE"""),23)</f>
        <v>23</v>
      </c>
      <c r="H220" s="2">
        <f ca="1">IFERROR(__xludf.DUMMYFUNCTION("""COMPUTED_VALUE"""),1217.833)</f>
        <v>1217.8330000000001</v>
      </c>
      <c r="I220" t="str">
        <f ca="1">IFERROR(__xludf.DUMMYFUNCTION("""COMPUTED_VALUE"""),"+13.00")</f>
        <v>+13.00</v>
      </c>
    </row>
    <row r="221" spans="1:9" ht="12.75">
      <c r="A221" t="str">
        <f ca="1">IFERROR(__xludf.DUMMYFUNCTION("""COMPUTED_VALUE"""),"T218")</f>
        <v>T218</v>
      </c>
      <c r="B221" t="str">
        <f ca="1">IFERROR(__xludf.DUMMYFUNCTION("""COMPUTED_VALUE"""),"T234")</f>
        <v>T234</v>
      </c>
      <c r="C221" t="str">
        <f ca="1">IFERROR(__xludf.DUMMYFUNCTION("""COMPUTED_VALUE"""),"Lucas Glover")</f>
        <v>Lucas Glover</v>
      </c>
      <c r="D221">
        <f ca="1">IFERROR(__xludf.DUMMYFUNCTION("""COMPUTED_VALUE"""),12)</f>
        <v>12</v>
      </c>
      <c r="E221" t="str">
        <f ca="1">IFERROR(__xludf.DUMMYFUNCTION("""COMPUTED_VALUE"""),"52' 11""")</f>
        <v>52' 11"</v>
      </c>
      <c r="F221" s="1">
        <f ca="1">IFERROR(__xludf.DUMMYFUNCTION("""COMPUTED_VALUE"""),35543)</f>
        <v>35543</v>
      </c>
      <c r="G221">
        <f ca="1">IFERROR(__xludf.DUMMYFUNCTION("""COMPUTED_VALUE"""),56)</f>
        <v>56</v>
      </c>
      <c r="H221" s="2">
        <f ca="1">IFERROR(__xludf.DUMMYFUNCTION("""COMPUTED_VALUE"""),2961.917)</f>
        <v>2961.9169999999999</v>
      </c>
      <c r="I221" t="str">
        <f ca="1">IFERROR(__xludf.DUMMYFUNCTION("""COMPUTED_VALUE"""),"+8.00")</f>
        <v>+8.00</v>
      </c>
    </row>
    <row r="222" spans="1:9" ht="12.75">
      <c r="A222" t="str">
        <f ca="1">IFERROR(__xludf.DUMMYFUNCTION("""COMPUTED_VALUE"""),"T218")</f>
        <v>T218</v>
      </c>
      <c r="B222" t="str">
        <f ca="1">IFERROR(__xludf.DUMMYFUNCTION("""COMPUTED_VALUE"""),"T228")</f>
        <v>T228</v>
      </c>
      <c r="C222" t="str">
        <f ca="1">IFERROR(__xludf.DUMMYFUNCTION("""COMPUTED_VALUE"""),"Kevin Stadler")</f>
        <v>Kevin Stadler</v>
      </c>
      <c r="D222">
        <f ca="1">IFERROR(__xludf.DUMMYFUNCTION("""COMPUTED_VALUE"""),8)</f>
        <v>8</v>
      </c>
      <c r="E222" t="str">
        <f ca="1">IFERROR(__xludf.DUMMYFUNCTION("""COMPUTED_VALUE"""),"52' 11""")</f>
        <v>52' 11"</v>
      </c>
      <c r="F222" s="1">
        <f ca="1">IFERROR(__xludf.DUMMYFUNCTION("""COMPUTED_VALUE"""),17137)</f>
        <v>17137</v>
      </c>
      <c r="G222">
        <f ca="1">IFERROR(__xludf.DUMMYFUNCTION("""COMPUTED_VALUE"""),27)</f>
        <v>27</v>
      </c>
      <c r="H222" s="2">
        <f ca="1">IFERROR(__xludf.DUMMYFUNCTION("""COMPUTED_VALUE"""),1428.083)</f>
        <v>1428.0830000000001</v>
      </c>
      <c r="I222" t="str">
        <f ca="1">IFERROR(__xludf.DUMMYFUNCTION("""COMPUTED_VALUE"""),"+13.00")</f>
        <v>+13.00</v>
      </c>
    </row>
    <row r="223" spans="1:9" ht="12.75">
      <c r="A223">
        <f ca="1">IFERROR(__xludf.DUMMYFUNCTION("""COMPUTED_VALUE"""),222)</f>
        <v>222</v>
      </c>
      <c r="B223" t="str">
        <f ca="1">IFERROR(__xludf.DUMMYFUNCTION("""COMPUTED_VALUE"""),"T222")</f>
        <v>T222</v>
      </c>
      <c r="C223" t="str">
        <f ca="1">IFERROR(__xludf.DUMMYFUNCTION("""COMPUTED_VALUE"""),"Danny Lee")</f>
        <v>Danny Lee</v>
      </c>
      <c r="D223">
        <f ca="1">IFERROR(__xludf.DUMMYFUNCTION("""COMPUTED_VALUE"""),15)</f>
        <v>15</v>
      </c>
      <c r="E223" t="str">
        <f ca="1">IFERROR(__xludf.DUMMYFUNCTION("""COMPUTED_VALUE"""),"53' 1""")</f>
        <v>53' 1"</v>
      </c>
      <c r="F223" s="1">
        <f ca="1">IFERROR(__xludf.DUMMYFUNCTION("""COMPUTED_VALUE"""),27387)</f>
        <v>27387</v>
      </c>
      <c r="G223">
        <f ca="1">IFERROR(__xludf.DUMMYFUNCTION("""COMPUTED_VALUE"""),43)</f>
        <v>43</v>
      </c>
      <c r="H223" s="2">
        <f ca="1">IFERROR(__xludf.DUMMYFUNCTION("""COMPUTED_VALUE"""),2282.25)</f>
        <v>2282.25</v>
      </c>
      <c r="I223" t="str">
        <f ca="1">IFERROR(__xludf.DUMMYFUNCTION("""COMPUTED_VALUE"""),"+6.00")</f>
        <v>+6.00</v>
      </c>
    </row>
    <row r="224" spans="1:9" ht="12.75">
      <c r="A224" t="str">
        <f ca="1">IFERROR(__xludf.DUMMYFUNCTION("""COMPUTED_VALUE"""),"T223")</f>
        <v>T223</v>
      </c>
      <c r="B224">
        <f ca="1">IFERROR(__xludf.DUMMYFUNCTION("""COMPUTED_VALUE"""),186)</f>
        <v>186</v>
      </c>
      <c r="C224" t="str">
        <f ca="1">IFERROR(__xludf.DUMMYFUNCTION("""COMPUTED_VALUE"""),"Brice Garnett")</f>
        <v>Brice Garnett</v>
      </c>
      <c r="D224">
        <f ca="1">IFERROR(__xludf.DUMMYFUNCTION("""COMPUTED_VALUE"""),22)</f>
        <v>22</v>
      </c>
      <c r="E224" t="str">
        <f ca="1">IFERROR(__xludf.DUMMYFUNCTION("""COMPUTED_VALUE"""),"53' 2""")</f>
        <v>53' 2"</v>
      </c>
      <c r="F224" s="1">
        <f ca="1">IFERROR(__xludf.DUMMYFUNCTION("""COMPUTED_VALUE"""),24894)</f>
        <v>24894</v>
      </c>
      <c r="G224">
        <f ca="1">IFERROR(__xludf.DUMMYFUNCTION("""COMPUTED_VALUE"""),39)</f>
        <v>39</v>
      </c>
      <c r="H224" s="2">
        <f ca="1">IFERROR(__xludf.DUMMYFUNCTION("""COMPUTED_VALUE"""),2074.5)</f>
        <v>2074.5</v>
      </c>
      <c r="I224" t="str">
        <f ca="1">IFERROR(__xludf.DUMMYFUNCTION("""COMPUTED_VALUE"""),"+9.00")</f>
        <v>+9.00</v>
      </c>
    </row>
    <row r="225" spans="1:9" ht="12.75">
      <c r="A225" t="str">
        <f ca="1">IFERROR(__xludf.DUMMYFUNCTION("""COMPUTED_VALUE"""),"T223")</f>
        <v>T223</v>
      </c>
      <c r="B225" t="str">
        <f ca="1">IFERROR(__xludf.DUMMYFUNCTION("""COMPUTED_VALUE"""),"T209")</f>
        <v>T209</v>
      </c>
      <c r="C225" t="str">
        <f ca="1">IFERROR(__xludf.DUMMYFUNCTION("""COMPUTED_VALUE"""),"Jason Day")</f>
        <v>Jason Day</v>
      </c>
      <c r="D225">
        <f ca="1">IFERROR(__xludf.DUMMYFUNCTION("""COMPUTED_VALUE"""),17)</f>
        <v>17</v>
      </c>
      <c r="E225" t="str">
        <f ca="1">IFERROR(__xludf.DUMMYFUNCTION("""COMPUTED_VALUE"""),"53' 2""")</f>
        <v>53' 2"</v>
      </c>
      <c r="F225" s="1">
        <f ca="1">IFERROR(__xludf.DUMMYFUNCTION("""COMPUTED_VALUE"""),42116)</f>
        <v>42116</v>
      </c>
      <c r="G225">
        <f ca="1">IFERROR(__xludf.DUMMYFUNCTION("""COMPUTED_VALUE"""),66)</f>
        <v>66</v>
      </c>
      <c r="H225" s="2">
        <f ca="1">IFERROR(__xludf.DUMMYFUNCTION("""COMPUTED_VALUE"""),3509.667)</f>
        <v>3509.6669999999999</v>
      </c>
      <c r="I225" t="str">
        <f ca="1">IFERROR(__xludf.DUMMYFUNCTION("""COMPUTED_VALUE"""),"+7.00")</f>
        <v>+7.00</v>
      </c>
    </row>
    <row r="226" spans="1:9" ht="12.75">
      <c r="A226">
        <f ca="1">IFERROR(__xludf.DUMMYFUNCTION("""COMPUTED_VALUE"""),225)</f>
        <v>225</v>
      </c>
      <c r="B226">
        <f ca="1">IFERROR(__xludf.DUMMYFUNCTION("""COMPUTED_VALUE"""),219)</f>
        <v>219</v>
      </c>
      <c r="C226" t="str">
        <f ca="1">IFERROR(__xludf.DUMMYFUNCTION("""COMPUTED_VALUE"""),"Chris Stroud")</f>
        <v>Chris Stroud</v>
      </c>
      <c r="D226">
        <f ca="1">IFERROR(__xludf.DUMMYFUNCTION("""COMPUTED_VALUE"""),6)</f>
        <v>6</v>
      </c>
      <c r="E226" t="str">
        <f ca="1">IFERROR(__xludf.DUMMYFUNCTION("""COMPUTED_VALUE"""),"53' 3""")</f>
        <v>53' 3"</v>
      </c>
      <c r="F226" s="1">
        <f ca="1">IFERROR(__xludf.DUMMYFUNCTION("""COMPUTED_VALUE"""),14052)</f>
        <v>14052</v>
      </c>
      <c r="G226">
        <f ca="1">IFERROR(__xludf.DUMMYFUNCTION("""COMPUTED_VALUE"""),22)</f>
        <v>22</v>
      </c>
      <c r="H226" s="2">
        <f ca="1">IFERROR(__xludf.DUMMYFUNCTION("""COMPUTED_VALUE"""),1171)</f>
        <v>1171</v>
      </c>
      <c r="I226" t="str">
        <f ca="1">IFERROR(__xludf.DUMMYFUNCTION("""COMPUTED_VALUE"""),"+1.00")</f>
        <v>+1.00</v>
      </c>
    </row>
    <row r="227" spans="1:9" ht="12.75">
      <c r="A227" t="str">
        <f ca="1">IFERROR(__xludf.DUMMYFUNCTION("""COMPUTED_VALUE"""),"T226")</f>
        <v>T226</v>
      </c>
      <c r="B227" t="str">
        <f ca="1">IFERROR(__xludf.DUMMYFUNCTION("""COMPUTED_VALUE"""),"T220")</f>
        <v>T220</v>
      </c>
      <c r="C227" t="str">
        <f ca="1">IFERROR(__xludf.DUMMYFUNCTION("""COMPUTED_VALUE"""),"Michael Gligic")</f>
        <v>Michael Gligic</v>
      </c>
      <c r="D227">
        <f ca="1">IFERROR(__xludf.DUMMYFUNCTION("""COMPUTED_VALUE"""),18)</f>
        <v>18</v>
      </c>
      <c r="E227" t="str">
        <f ca="1">IFERROR(__xludf.DUMMYFUNCTION("""COMPUTED_VALUE"""),"53' 4""")</f>
        <v>53' 4"</v>
      </c>
      <c r="F227" s="1">
        <f ca="1">IFERROR(__xludf.DUMMYFUNCTION("""COMPUTED_VALUE"""),31351)</f>
        <v>31351</v>
      </c>
      <c r="G227">
        <f ca="1">IFERROR(__xludf.DUMMYFUNCTION("""COMPUTED_VALUE"""),49)</f>
        <v>49</v>
      </c>
      <c r="H227" s="2">
        <f ca="1">IFERROR(__xludf.DUMMYFUNCTION("""COMPUTED_VALUE"""),2612.583)</f>
        <v>2612.5830000000001</v>
      </c>
      <c r="I227">
        <f ca="1">IFERROR(__xludf.DUMMYFUNCTION("""COMPUTED_VALUE"""),-2)</f>
        <v>-2</v>
      </c>
    </row>
    <row r="228" spans="1:9" ht="12.75">
      <c r="A228" t="str">
        <f ca="1">IFERROR(__xludf.DUMMYFUNCTION("""COMPUTED_VALUE"""),"T226")</f>
        <v>T226</v>
      </c>
      <c r="B228" t="str">
        <f ca="1">IFERROR(__xludf.DUMMYFUNCTION("""COMPUTED_VALUE"""),"T220")</f>
        <v>T220</v>
      </c>
      <c r="C228" t="str">
        <f ca="1">IFERROR(__xludf.DUMMYFUNCTION("""COMPUTED_VALUE"""),"Will Zalatoris")</f>
        <v>Will Zalatoris</v>
      </c>
      <c r="D228">
        <f ca="1">IFERROR(__xludf.DUMMYFUNCTION("""COMPUTED_VALUE"""),18)</f>
        <v>18</v>
      </c>
      <c r="E228" t="str">
        <f ca="1">IFERROR(__xludf.DUMMYFUNCTION("""COMPUTED_VALUE"""),"53' 4""")</f>
        <v>53' 4"</v>
      </c>
      <c r="F228" s="1">
        <f ca="1">IFERROR(__xludf.DUMMYFUNCTION("""COMPUTED_VALUE"""),24977)</f>
        <v>24977</v>
      </c>
      <c r="G228">
        <f ca="1">IFERROR(__xludf.DUMMYFUNCTION("""COMPUTED_VALUE"""),39)</f>
        <v>39</v>
      </c>
      <c r="H228" s="2">
        <f ca="1">IFERROR(__xludf.DUMMYFUNCTION("""COMPUTED_VALUE"""),2081.417)</f>
        <v>2081.4169999999999</v>
      </c>
      <c r="I228" t="str">
        <f ca="1">IFERROR(__xludf.DUMMYFUNCTION("""COMPUTED_VALUE"""),"+6.00")</f>
        <v>+6.00</v>
      </c>
    </row>
    <row r="229" spans="1:9" ht="12.75">
      <c r="A229">
        <f ca="1">IFERROR(__xludf.DUMMYFUNCTION("""COMPUTED_VALUE"""),228)</f>
        <v>228</v>
      </c>
      <c r="B229">
        <f ca="1">IFERROR(__xludf.DUMMYFUNCTION("""COMPUTED_VALUE"""),202)</f>
        <v>202</v>
      </c>
      <c r="C229" t="str">
        <f ca="1">IFERROR(__xludf.DUMMYFUNCTION("""COMPUTED_VALUE"""),"Tyler Duncan")</f>
        <v>Tyler Duncan</v>
      </c>
      <c r="D229">
        <f ca="1">IFERROR(__xludf.DUMMYFUNCTION("""COMPUTED_VALUE"""),18)</f>
        <v>18</v>
      </c>
      <c r="E229" t="str">
        <f ca="1">IFERROR(__xludf.DUMMYFUNCTION("""COMPUTED_VALUE"""),"53' 5""")</f>
        <v>53' 5"</v>
      </c>
      <c r="F229" s="1">
        <f ca="1">IFERROR(__xludf.DUMMYFUNCTION("""COMPUTED_VALUE"""),35890)</f>
        <v>35890</v>
      </c>
      <c r="G229">
        <f ca="1">IFERROR(__xludf.DUMMYFUNCTION("""COMPUTED_VALUE"""),56)</f>
        <v>56</v>
      </c>
      <c r="H229" s="2">
        <f ca="1">IFERROR(__xludf.DUMMYFUNCTION("""COMPUTED_VALUE"""),2990.833)</f>
        <v>2990.8330000000001</v>
      </c>
      <c r="I229" t="str">
        <f ca="1">IFERROR(__xludf.DUMMYFUNCTION("""COMPUTED_VALUE"""),"+16.00")</f>
        <v>+16.00</v>
      </c>
    </row>
    <row r="230" spans="1:9" ht="12.75">
      <c r="A230" t="str">
        <f ca="1">IFERROR(__xludf.DUMMYFUNCTION("""COMPUTED_VALUE"""),"T229")</f>
        <v>T229</v>
      </c>
      <c r="B230" t="str">
        <f ca="1">IFERROR(__xludf.DUMMYFUNCTION("""COMPUTED_VALUE"""),"T222")</f>
        <v>T222</v>
      </c>
      <c r="C230" t="str">
        <f ca="1">IFERROR(__xludf.DUMMYFUNCTION("""COMPUTED_VALUE"""),"Tae Hee Lee")</f>
        <v>Tae Hee Lee</v>
      </c>
      <c r="D230">
        <f ca="1">IFERROR(__xludf.DUMMYFUNCTION("""COMPUTED_VALUE"""),4)</f>
        <v>4</v>
      </c>
      <c r="E230" t="str">
        <f ca="1">IFERROR(__xludf.DUMMYFUNCTION("""COMPUTED_VALUE"""),"53' 6""")</f>
        <v>53' 6"</v>
      </c>
      <c r="F230" s="1">
        <f ca="1">IFERROR(__xludf.DUMMYFUNCTION("""COMPUTED_VALUE"""),12836)</f>
        <v>12836</v>
      </c>
      <c r="G230">
        <f ca="1">IFERROR(__xludf.DUMMYFUNCTION("""COMPUTED_VALUE"""),20)</f>
        <v>20</v>
      </c>
      <c r="H230" s="2">
        <f ca="1">IFERROR(__xludf.DUMMYFUNCTION("""COMPUTED_VALUE"""),1069.667)</f>
        <v>1069.6669999999999</v>
      </c>
      <c r="I230" t="str">
        <f ca="1">IFERROR(__xludf.DUMMYFUNCTION("""COMPUTED_VALUE"""),"+7.00")</f>
        <v>+7.00</v>
      </c>
    </row>
    <row r="231" spans="1:9" ht="12.75">
      <c r="A231" t="str">
        <f ca="1">IFERROR(__xludf.DUMMYFUNCTION("""COMPUTED_VALUE"""),"T229")</f>
        <v>T229</v>
      </c>
      <c r="B231">
        <f ca="1">IFERROR(__xludf.DUMMYFUNCTION("""COMPUTED_VALUE"""),207)</f>
        <v>207</v>
      </c>
      <c r="C231" t="str">
        <f ca="1">IFERROR(__xludf.DUMMYFUNCTION("""COMPUTED_VALUE"""),"Michael Thompson")</f>
        <v>Michael Thompson</v>
      </c>
      <c r="D231">
        <f ca="1">IFERROR(__xludf.DUMMYFUNCTION("""COMPUTED_VALUE"""),16)</f>
        <v>16</v>
      </c>
      <c r="E231" t="str">
        <f ca="1">IFERROR(__xludf.DUMMYFUNCTION("""COMPUTED_VALUE"""),"53' 6""")</f>
        <v>53' 6"</v>
      </c>
      <c r="F231" s="1">
        <f ca="1">IFERROR(__xludf.DUMMYFUNCTION("""COMPUTED_VALUE"""),28870)</f>
        <v>28870</v>
      </c>
      <c r="G231">
        <f ca="1">IFERROR(__xludf.DUMMYFUNCTION("""COMPUTED_VALUE"""),45)</f>
        <v>45</v>
      </c>
      <c r="H231" s="2">
        <f ca="1">IFERROR(__xludf.DUMMYFUNCTION("""COMPUTED_VALUE"""),2405.833)</f>
        <v>2405.8330000000001</v>
      </c>
      <c r="I231" t="str">
        <f ca="1">IFERROR(__xludf.DUMMYFUNCTION("""COMPUTED_VALUE"""),"+14.00")</f>
        <v>+14.00</v>
      </c>
    </row>
    <row r="232" spans="1:9" ht="12.75">
      <c r="A232">
        <f ca="1">IFERROR(__xludf.DUMMYFUNCTION("""COMPUTED_VALUE"""),231)</f>
        <v>231</v>
      </c>
      <c r="B232">
        <f ca="1">IFERROR(__xludf.DUMMYFUNCTION("""COMPUTED_VALUE"""),226)</f>
        <v>226</v>
      </c>
      <c r="C232" t="str">
        <f ca="1">IFERROR(__xludf.DUMMYFUNCTION("""COMPUTED_VALUE"""),"Shugo Imahira")</f>
        <v>Shugo Imahira</v>
      </c>
      <c r="D232">
        <f ca="1">IFERROR(__xludf.DUMMYFUNCTION("""COMPUTED_VALUE"""),8)</f>
        <v>8</v>
      </c>
      <c r="E232" t="str">
        <f ca="1">IFERROR(__xludf.DUMMYFUNCTION("""COMPUTED_VALUE"""),"53' 7""")</f>
        <v>53' 7"</v>
      </c>
      <c r="F232" s="1">
        <f ca="1">IFERROR(__xludf.DUMMYFUNCTION("""COMPUTED_VALUE"""),19947)</f>
        <v>19947</v>
      </c>
      <c r="G232">
        <f ca="1">IFERROR(__xludf.DUMMYFUNCTION("""COMPUTED_VALUE"""),31)</f>
        <v>31</v>
      </c>
      <c r="H232" s="2">
        <f ca="1">IFERROR(__xludf.DUMMYFUNCTION("""COMPUTED_VALUE"""),1662.25)</f>
        <v>1662.25</v>
      </c>
      <c r="I232" t="str">
        <f ca="1">IFERROR(__xludf.DUMMYFUNCTION("""COMPUTED_VALUE"""),"+10.00")</f>
        <v>+10.00</v>
      </c>
    </row>
    <row r="233" spans="1:9" ht="12.75">
      <c r="A233" t="str">
        <f ca="1">IFERROR(__xludf.DUMMYFUNCTION("""COMPUTED_VALUE"""),"T232")</f>
        <v>T232</v>
      </c>
      <c r="B233" t="str">
        <f ca="1">IFERROR(__xludf.DUMMYFUNCTION("""COMPUTED_VALUE"""),"")</f>
        <v/>
      </c>
      <c r="C233" t="str">
        <f ca="1">IFERROR(__xludf.DUMMYFUNCTION("""COMPUTED_VALUE"""),"Justin Harding")</f>
        <v>Justin Harding</v>
      </c>
      <c r="D233">
        <f ca="1">IFERROR(__xludf.DUMMYFUNCTION("""COMPUTED_VALUE"""),6)</f>
        <v>6</v>
      </c>
      <c r="E233" t="str">
        <f ca="1">IFERROR(__xludf.DUMMYFUNCTION("""COMPUTED_VALUE"""),"53' 11""")</f>
        <v>53' 11"</v>
      </c>
      <c r="F233" s="1">
        <f ca="1">IFERROR(__xludf.DUMMYFUNCTION("""COMPUTED_VALUE"""),18768)</f>
        <v>18768</v>
      </c>
      <c r="G233">
        <f ca="1">IFERROR(__xludf.DUMMYFUNCTION("""COMPUTED_VALUE"""),29)</f>
        <v>29</v>
      </c>
      <c r="H233" s="2">
        <f ca="1">IFERROR(__xludf.DUMMYFUNCTION("""COMPUTED_VALUE"""),1564)</f>
        <v>1564</v>
      </c>
      <c r="I233" t="str">
        <f ca="1">IFERROR(__xludf.DUMMYFUNCTION("""COMPUTED_VALUE"""),"+12.00")</f>
        <v>+12.00</v>
      </c>
    </row>
    <row r="234" spans="1:9" ht="12.75">
      <c r="A234" t="str">
        <f ca="1">IFERROR(__xludf.DUMMYFUNCTION("""COMPUTED_VALUE"""),"T232")</f>
        <v>T232</v>
      </c>
      <c r="B234" t="str">
        <f ca="1">IFERROR(__xludf.DUMMYFUNCTION("""COMPUTED_VALUE"""),"")</f>
        <v/>
      </c>
      <c r="C234" t="str">
        <f ca="1">IFERROR(__xludf.DUMMYFUNCTION("""COMPUTED_VALUE"""),"Padraig Harrington")</f>
        <v>Padraig Harrington</v>
      </c>
      <c r="D234">
        <f ca="1">IFERROR(__xludf.DUMMYFUNCTION("""COMPUTED_VALUE"""),8)</f>
        <v>8</v>
      </c>
      <c r="E234" t="str">
        <f ca="1">IFERROR(__xludf.DUMMYFUNCTION("""COMPUTED_VALUE"""),"53' 11""")</f>
        <v>53' 11"</v>
      </c>
      <c r="F234" s="1">
        <f ca="1">IFERROR(__xludf.DUMMYFUNCTION("""COMPUTED_VALUE"""),13596)</f>
        <v>13596</v>
      </c>
      <c r="G234">
        <f ca="1">IFERROR(__xludf.DUMMYFUNCTION("""COMPUTED_VALUE"""),21)</f>
        <v>21</v>
      </c>
      <c r="H234" s="2">
        <f ca="1">IFERROR(__xludf.DUMMYFUNCTION("""COMPUTED_VALUE"""),1133)</f>
        <v>1133</v>
      </c>
      <c r="I234" t="str">
        <f ca="1">IFERROR(__xludf.DUMMYFUNCTION("""COMPUTED_VALUE"""),"+5.00")</f>
        <v>+5.00</v>
      </c>
    </row>
    <row r="235" spans="1:9" ht="12.75">
      <c r="A235">
        <f ca="1">IFERROR(__xludf.DUMMYFUNCTION("""COMPUTED_VALUE"""),234)</f>
        <v>234</v>
      </c>
      <c r="B235" t="str">
        <f ca="1">IFERROR(__xludf.DUMMYFUNCTION("""COMPUTED_VALUE"""),"T212")</f>
        <v>T212</v>
      </c>
      <c r="C235" t="str">
        <f ca="1">IFERROR(__xludf.DUMMYFUNCTION("""COMPUTED_VALUE"""),"Satoshi Kodaira")</f>
        <v>Satoshi Kodaira</v>
      </c>
      <c r="D235">
        <f ca="1">IFERROR(__xludf.DUMMYFUNCTION("""COMPUTED_VALUE"""),12)</f>
        <v>12</v>
      </c>
      <c r="E235" t="str">
        <f ca="1">IFERROR(__xludf.DUMMYFUNCTION("""COMPUTED_VALUE"""),"54' 1""")</f>
        <v>54' 1"</v>
      </c>
      <c r="F235" s="1">
        <f ca="1">IFERROR(__xludf.DUMMYFUNCTION("""COMPUTED_VALUE"""),19478)</f>
        <v>19478</v>
      </c>
      <c r="G235">
        <f ca="1">IFERROR(__xludf.DUMMYFUNCTION("""COMPUTED_VALUE"""),30)</f>
        <v>30</v>
      </c>
      <c r="H235" s="2">
        <f ca="1">IFERROR(__xludf.DUMMYFUNCTION("""COMPUTED_VALUE"""),1623.167)</f>
        <v>1623.1669999999999</v>
      </c>
      <c r="I235" t="str">
        <f ca="1">IFERROR(__xludf.DUMMYFUNCTION("""COMPUTED_VALUE"""),"+10.00")</f>
        <v>+10.00</v>
      </c>
    </row>
    <row r="236" spans="1:9" ht="12.75">
      <c r="A236">
        <f ca="1">IFERROR(__xludf.DUMMYFUNCTION("""COMPUTED_VALUE"""),235)</f>
        <v>235</v>
      </c>
      <c r="B236">
        <f ca="1">IFERROR(__xludf.DUMMYFUNCTION("""COMPUTED_VALUE"""),231)</f>
        <v>231</v>
      </c>
      <c r="C236" t="str">
        <f ca="1">IFERROR(__xludf.DUMMYFUNCTION("""COMPUTED_VALUE"""),"Kevin Na")</f>
        <v>Kevin Na</v>
      </c>
      <c r="D236">
        <f ca="1">IFERROR(__xludf.DUMMYFUNCTION("""COMPUTED_VALUE"""),14)</f>
        <v>14</v>
      </c>
      <c r="E236" t="str">
        <f ca="1">IFERROR(__xludf.DUMMYFUNCTION("""COMPUTED_VALUE"""),"54' 7""")</f>
        <v>54' 7"</v>
      </c>
      <c r="F236" s="1">
        <f ca="1">IFERROR(__xludf.DUMMYFUNCTION("""COMPUTED_VALUE"""),25537)</f>
        <v>25537</v>
      </c>
      <c r="G236">
        <f ca="1">IFERROR(__xludf.DUMMYFUNCTION("""COMPUTED_VALUE"""),39)</f>
        <v>39</v>
      </c>
      <c r="H236" s="2">
        <f ca="1">IFERROR(__xludf.DUMMYFUNCTION("""COMPUTED_VALUE"""),2128.083)</f>
        <v>2128.0830000000001</v>
      </c>
      <c r="I236" t="str">
        <f ca="1">IFERROR(__xludf.DUMMYFUNCTION("""COMPUTED_VALUE"""),"+5.00")</f>
        <v>+5.00</v>
      </c>
    </row>
    <row r="237" spans="1:9" ht="12.75">
      <c r="A237">
        <f ca="1">IFERROR(__xludf.DUMMYFUNCTION("""COMPUTED_VALUE"""),236)</f>
        <v>236</v>
      </c>
      <c r="B237" t="str">
        <f ca="1">IFERROR(__xludf.DUMMYFUNCTION("""COMPUTED_VALUE"""),"T232")</f>
        <v>T232</v>
      </c>
      <c r="C237" t="str">
        <f ca="1">IFERROR(__xludf.DUMMYFUNCTION("""COMPUTED_VALUE"""),"Christiaan Bezuidenhout")</f>
        <v>Christiaan Bezuidenhout</v>
      </c>
      <c r="D237">
        <f ca="1">IFERROR(__xludf.DUMMYFUNCTION("""COMPUTED_VALUE"""),4)</f>
        <v>4</v>
      </c>
      <c r="E237" t="str">
        <f ca="1">IFERROR(__xludf.DUMMYFUNCTION("""COMPUTED_VALUE"""),"54' 9""")</f>
        <v>54' 9"</v>
      </c>
      <c r="F237" s="1">
        <f ca="1">IFERROR(__xludf.DUMMYFUNCTION("""COMPUTED_VALUE"""),13132)</f>
        <v>13132</v>
      </c>
      <c r="G237">
        <f ca="1">IFERROR(__xludf.DUMMYFUNCTION("""COMPUTED_VALUE"""),20)</f>
        <v>20</v>
      </c>
      <c r="H237" s="2">
        <f ca="1">IFERROR(__xludf.DUMMYFUNCTION("""COMPUTED_VALUE"""),1094.333)</f>
        <v>1094.3330000000001</v>
      </c>
      <c r="I237" t="str">
        <f ca="1">IFERROR(__xludf.DUMMYFUNCTION("""COMPUTED_VALUE"""),"+14.00")</f>
        <v>+14.00</v>
      </c>
    </row>
    <row r="238" spans="1:9" ht="12.75">
      <c r="A238">
        <f ca="1">IFERROR(__xludf.DUMMYFUNCTION("""COMPUTED_VALUE"""),237)</f>
        <v>237</v>
      </c>
      <c r="B238" t="str">
        <f ca="1">IFERROR(__xludf.DUMMYFUNCTION("""COMPUTED_VALUE"""),"T234")</f>
        <v>T234</v>
      </c>
      <c r="C238" t="str">
        <f ca="1">IFERROR(__xludf.DUMMYFUNCTION("""COMPUTED_VALUE"""),"Jeongwoo Ham")</f>
        <v>Jeongwoo Ham</v>
      </c>
      <c r="D238">
        <f ca="1">IFERROR(__xludf.DUMMYFUNCTION("""COMPUTED_VALUE"""),4)</f>
        <v>4</v>
      </c>
      <c r="E238" t="str">
        <f ca="1">IFERROR(__xludf.DUMMYFUNCTION("""COMPUTED_VALUE"""),"54' 10""")</f>
        <v>54' 10"</v>
      </c>
      <c r="F238" s="1">
        <f ca="1">IFERROR(__xludf.DUMMYFUNCTION("""COMPUTED_VALUE"""),9215)</f>
        <v>9215</v>
      </c>
      <c r="G238">
        <f ca="1">IFERROR(__xludf.DUMMYFUNCTION("""COMPUTED_VALUE"""),14)</f>
        <v>14</v>
      </c>
      <c r="H238">
        <f ca="1">IFERROR(__xludf.DUMMYFUNCTION("""COMPUTED_VALUE"""),767.917)</f>
        <v>767.91700000000003</v>
      </c>
      <c r="I238" t="str">
        <f ca="1">IFERROR(__xludf.DUMMYFUNCTION("""COMPUTED_VALUE"""),"+10.00")</f>
        <v>+10.00</v>
      </c>
    </row>
    <row r="239" spans="1:9" ht="12.75">
      <c r="A239" t="str">
        <f ca="1">IFERROR(__xludf.DUMMYFUNCTION("""COMPUTED_VALUE"""),"T238")</f>
        <v>T238</v>
      </c>
      <c r="B239" t="str">
        <f ca="1">IFERROR(__xludf.DUMMYFUNCTION("""COMPUTED_VALUE"""),"")</f>
        <v/>
      </c>
      <c r="C239" t="str">
        <f ca="1">IFERROR(__xludf.DUMMYFUNCTION("""COMPUTED_VALUE"""),"Greg Chalmers")</f>
        <v>Greg Chalmers</v>
      </c>
      <c r="D239">
        <f ca="1">IFERROR(__xludf.DUMMYFUNCTION("""COMPUTED_VALUE"""),6)</f>
        <v>6</v>
      </c>
      <c r="E239" t="str">
        <f ca="1">IFERROR(__xludf.DUMMYFUNCTION("""COMPUTED_VALUE"""),"54' 11""")</f>
        <v>54' 11"</v>
      </c>
      <c r="F239" s="1">
        <f ca="1">IFERROR(__xludf.DUMMYFUNCTION("""COMPUTED_VALUE"""),19104)</f>
        <v>19104</v>
      </c>
      <c r="G239">
        <f ca="1">IFERROR(__xludf.DUMMYFUNCTION("""COMPUTED_VALUE"""),29)</f>
        <v>29</v>
      </c>
      <c r="H239" s="2">
        <f ca="1">IFERROR(__xludf.DUMMYFUNCTION("""COMPUTED_VALUE"""),1592)</f>
        <v>1592</v>
      </c>
      <c r="I239" t="str">
        <f ca="1">IFERROR(__xludf.DUMMYFUNCTION("""COMPUTED_VALUE"""),"+7.00")</f>
        <v>+7.00</v>
      </c>
    </row>
    <row r="240" spans="1:9" ht="12.75">
      <c r="A240" t="str">
        <f ca="1">IFERROR(__xludf.DUMMYFUNCTION("""COMPUTED_VALUE"""),"T238")</f>
        <v>T238</v>
      </c>
      <c r="B240">
        <f ca="1">IFERROR(__xludf.DUMMYFUNCTION("""COMPUTED_VALUE"""),236)</f>
        <v>236</v>
      </c>
      <c r="C240" t="str">
        <f ca="1">IFERROR(__xludf.DUMMYFUNCTION("""COMPUTED_VALUE"""),"Gary Woodland")</f>
        <v>Gary Woodland</v>
      </c>
      <c r="D240">
        <f ca="1">IFERROR(__xludf.DUMMYFUNCTION("""COMPUTED_VALUE"""),6)</f>
        <v>6</v>
      </c>
      <c r="E240" t="str">
        <f ca="1">IFERROR(__xludf.DUMMYFUNCTION("""COMPUTED_VALUE"""),"54' 11""")</f>
        <v>54' 11"</v>
      </c>
      <c r="F240" s="1">
        <f ca="1">IFERROR(__xludf.DUMMYFUNCTION("""COMPUTED_VALUE"""),19771)</f>
        <v>19771</v>
      </c>
      <c r="G240">
        <f ca="1">IFERROR(__xludf.DUMMYFUNCTION("""COMPUTED_VALUE"""),30)</f>
        <v>30</v>
      </c>
      <c r="H240" s="2">
        <f ca="1">IFERROR(__xludf.DUMMYFUNCTION("""COMPUTED_VALUE"""),1647.583)</f>
        <v>1647.5830000000001</v>
      </c>
      <c r="I240" t="str">
        <f ca="1">IFERROR(__xludf.DUMMYFUNCTION("""COMPUTED_VALUE"""),"+14.00")</f>
        <v>+14.00</v>
      </c>
    </row>
    <row r="241" spans="1:9" ht="12.75">
      <c r="A241">
        <f ca="1">IFERROR(__xludf.DUMMYFUNCTION("""COMPUTED_VALUE"""),240)</f>
        <v>240</v>
      </c>
      <c r="B241">
        <f ca="1">IFERROR(__xludf.DUMMYFUNCTION("""COMPUTED_VALUE"""),237)</f>
        <v>237</v>
      </c>
      <c r="C241" t="str">
        <f ca="1">IFERROR(__xludf.DUMMYFUNCTION("""COMPUTED_VALUE"""),"Joaquin Niemann")</f>
        <v>Joaquin Niemann</v>
      </c>
      <c r="D241">
        <f ca="1">IFERROR(__xludf.DUMMYFUNCTION("""COMPUTED_VALUE"""),16)</f>
        <v>16</v>
      </c>
      <c r="E241" t="str">
        <f ca="1">IFERROR(__xludf.DUMMYFUNCTION("""COMPUTED_VALUE"""),"55' 3""")</f>
        <v>55' 3"</v>
      </c>
      <c r="F241" s="1">
        <f ca="1">IFERROR(__xludf.DUMMYFUNCTION("""COMPUTED_VALUE"""),37133)</f>
        <v>37133</v>
      </c>
      <c r="G241">
        <f ca="1">IFERROR(__xludf.DUMMYFUNCTION("""COMPUTED_VALUE"""),56)</f>
        <v>56</v>
      </c>
      <c r="H241" s="2">
        <f ca="1">IFERROR(__xludf.DUMMYFUNCTION("""COMPUTED_VALUE"""),3094.417)</f>
        <v>3094.4169999999999</v>
      </c>
      <c r="I241" t="str">
        <f ca="1">IFERROR(__xludf.DUMMYFUNCTION("""COMPUTED_VALUE"""),"+5.00")</f>
        <v>+5.00</v>
      </c>
    </row>
    <row r="242" spans="1:9" ht="12.75">
      <c r="A242">
        <f ca="1">IFERROR(__xludf.DUMMYFUNCTION("""COMPUTED_VALUE"""),241)</f>
        <v>241</v>
      </c>
      <c r="B242" t="str">
        <f ca="1">IFERROR(__xludf.DUMMYFUNCTION("""COMPUTED_VALUE"""),"T228")</f>
        <v>T228</v>
      </c>
      <c r="C242" t="str">
        <f ca="1">IFERROR(__xludf.DUMMYFUNCTION("""COMPUTED_VALUE"""),"Scott Harrington")</f>
        <v>Scott Harrington</v>
      </c>
      <c r="D242">
        <f ca="1">IFERROR(__xludf.DUMMYFUNCTION("""COMPUTED_VALUE"""),18)</f>
        <v>18</v>
      </c>
      <c r="E242" t="str">
        <f ca="1">IFERROR(__xludf.DUMMYFUNCTION("""COMPUTED_VALUE"""),"55' 7""")</f>
        <v>55' 7"</v>
      </c>
      <c r="F242" s="1">
        <f ca="1">IFERROR(__xludf.DUMMYFUNCTION("""COMPUTED_VALUE"""),36658)</f>
        <v>36658</v>
      </c>
      <c r="G242">
        <f ca="1">IFERROR(__xludf.DUMMYFUNCTION("""COMPUTED_VALUE"""),55)</f>
        <v>55</v>
      </c>
      <c r="H242" s="2">
        <f ca="1">IFERROR(__xludf.DUMMYFUNCTION("""COMPUTED_VALUE"""),3054.833)</f>
        <v>3054.8330000000001</v>
      </c>
      <c r="I242" t="str">
        <f ca="1">IFERROR(__xludf.DUMMYFUNCTION("""COMPUTED_VALUE"""),"+11.00")</f>
        <v>+11.00</v>
      </c>
    </row>
    <row r="243" spans="1:9" ht="12.75">
      <c r="A243">
        <f ca="1">IFERROR(__xludf.DUMMYFUNCTION("""COMPUTED_VALUE"""),242)</f>
        <v>242</v>
      </c>
      <c r="B243" t="str">
        <f ca="1">IFERROR(__xludf.DUMMYFUNCTION("""COMPUTED_VALUE"""),"T238")</f>
        <v>T238</v>
      </c>
      <c r="C243" t="str">
        <f ca="1">IFERROR(__xludf.DUMMYFUNCTION("""COMPUTED_VALUE"""),"Sebastián Muñoz")</f>
        <v>Sebastián Muñoz</v>
      </c>
      <c r="D243">
        <f ca="1">IFERROR(__xludf.DUMMYFUNCTION("""COMPUTED_VALUE"""),20)</f>
        <v>20</v>
      </c>
      <c r="E243" t="str">
        <f ca="1">IFERROR(__xludf.DUMMYFUNCTION("""COMPUTED_VALUE"""),"55' 9""")</f>
        <v>55' 9"</v>
      </c>
      <c r="F243" s="1">
        <f ca="1">IFERROR(__xludf.DUMMYFUNCTION("""COMPUTED_VALUE"""),41452)</f>
        <v>41452</v>
      </c>
      <c r="G243">
        <f ca="1">IFERROR(__xludf.DUMMYFUNCTION("""COMPUTED_VALUE"""),62)</f>
        <v>62</v>
      </c>
      <c r="H243" s="2">
        <f ca="1">IFERROR(__xludf.DUMMYFUNCTION("""COMPUTED_VALUE"""),3454.333)</f>
        <v>3454.3330000000001</v>
      </c>
      <c r="I243" t="str">
        <f ca="1">IFERROR(__xludf.DUMMYFUNCTION("""COMPUTED_VALUE"""),"+7.00")</f>
        <v>+7.00</v>
      </c>
    </row>
    <row r="244" spans="1:9" ht="12.75">
      <c r="A244">
        <f ca="1">IFERROR(__xludf.DUMMYFUNCTION("""COMPUTED_VALUE"""),243)</f>
        <v>243</v>
      </c>
      <c r="B244">
        <f ca="1">IFERROR(__xludf.DUMMYFUNCTION("""COMPUTED_VALUE"""),241)</f>
        <v>241</v>
      </c>
      <c r="C244" t="str">
        <f ca="1">IFERROR(__xludf.DUMMYFUNCTION("""COMPUTED_VALUE"""),"Jason Kokrak")</f>
        <v>Jason Kokrak</v>
      </c>
      <c r="D244">
        <f ca="1">IFERROR(__xludf.DUMMYFUNCTION("""COMPUTED_VALUE"""),14)</f>
        <v>14</v>
      </c>
      <c r="E244" t="str">
        <f ca="1">IFERROR(__xludf.DUMMYFUNCTION("""COMPUTED_VALUE"""),"56' 6""")</f>
        <v>56' 6"</v>
      </c>
      <c r="F244" s="1">
        <f ca="1">IFERROR(__xludf.DUMMYFUNCTION("""COMPUTED_VALUE"""),25070)</f>
        <v>25070</v>
      </c>
      <c r="G244">
        <f ca="1">IFERROR(__xludf.DUMMYFUNCTION("""COMPUTED_VALUE"""),37)</f>
        <v>37</v>
      </c>
      <c r="H244" s="2">
        <f ca="1">IFERROR(__xludf.DUMMYFUNCTION("""COMPUTED_VALUE"""),2089.167)</f>
        <v>2089.1669999999999</v>
      </c>
      <c r="I244" t="str">
        <f ca="1">IFERROR(__xludf.DUMMYFUNCTION("""COMPUTED_VALUE"""),"+8.00")</f>
        <v>+8.00</v>
      </c>
    </row>
    <row r="245" spans="1:9" ht="12.75">
      <c r="A245">
        <f ca="1">IFERROR(__xludf.DUMMYFUNCTION("""COMPUTED_VALUE"""),244)</f>
        <v>244</v>
      </c>
      <c r="B245">
        <f ca="1">IFERROR(__xludf.DUMMYFUNCTION("""COMPUTED_VALUE"""),242)</f>
        <v>242</v>
      </c>
      <c r="C245" t="str">
        <f ca="1">IFERROR(__xludf.DUMMYFUNCTION("""COMPUTED_VALUE"""),"Lucas Herbert")</f>
        <v>Lucas Herbert</v>
      </c>
      <c r="D245">
        <f ca="1">IFERROR(__xludf.DUMMYFUNCTION("""COMPUTED_VALUE"""),4)</f>
        <v>4</v>
      </c>
      <c r="E245" t="str">
        <f ca="1">IFERROR(__xludf.DUMMYFUNCTION("""COMPUTED_VALUE"""),"56' 7""")</f>
        <v>56' 7"</v>
      </c>
      <c r="F245" s="1">
        <f ca="1">IFERROR(__xludf.DUMMYFUNCTION("""COMPUTED_VALUE"""),14932)</f>
        <v>14932</v>
      </c>
      <c r="G245">
        <f ca="1">IFERROR(__xludf.DUMMYFUNCTION("""COMPUTED_VALUE"""),22)</f>
        <v>22</v>
      </c>
      <c r="H245" s="2">
        <f ca="1">IFERROR(__xludf.DUMMYFUNCTION("""COMPUTED_VALUE"""),1244.333)</f>
        <v>1244.3330000000001</v>
      </c>
      <c r="I245" t="str">
        <f ca="1">IFERROR(__xludf.DUMMYFUNCTION("""COMPUTED_VALUE"""),"+8.00")</f>
        <v>+8.00</v>
      </c>
    </row>
    <row r="246" spans="1:9" ht="12.75">
      <c r="A246">
        <f ca="1">IFERROR(__xludf.DUMMYFUNCTION("""COMPUTED_VALUE"""),245)</f>
        <v>245</v>
      </c>
      <c r="B246" t="str">
        <f ca="1">IFERROR(__xludf.DUMMYFUNCTION("""COMPUTED_VALUE"""),"T238")</f>
        <v>T238</v>
      </c>
      <c r="C246" t="str">
        <f ca="1">IFERROR(__xludf.DUMMYFUNCTION("""COMPUTED_VALUE"""),"Hideki Matsuyama")</f>
        <v>Hideki Matsuyama</v>
      </c>
      <c r="D246">
        <f ca="1">IFERROR(__xludf.DUMMYFUNCTION("""COMPUTED_VALUE"""),18)</f>
        <v>18</v>
      </c>
      <c r="E246" t="str">
        <f ca="1">IFERROR(__xludf.DUMMYFUNCTION("""COMPUTED_VALUE"""),"56' 10""")</f>
        <v>56' 10"</v>
      </c>
      <c r="F246" s="1">
        <f ca="1">IFERROR(__xludf.DUMMYFUNCTION("""COMPUTED_VALUE"""),47071)</f>
        <v>47071</v>
      </c>
      <c r="G246">
        <f ca="1">IFERROR(__xludf.DUMMYFUNCTION("""COMPUTED_VALUE"""),69)</f>
        <v>69</v>
      </c>
      <c r="H246" s="2">
        <f ca="1">IFERROR(__xludf.DUMMYFUNCTION("""COMPUTED_VALUE"""),3922.583)</f>
        <v>3922.5830000000001</v>
      </c>
      <c r="I246" t="str">
        <f ca="1">IFERROR(__xludf.DUMMYFUNCTION("""COMPUTED_VALUE"""),"+13.00")</f>
        <v>+13.00</v>
      </c>
    </row>
    <row r="247" spans="1:9" ht="12.75">
      <c r="A247">
        <f ca="1">IFERROR(__xludf.DUMMYFUNCTION("""COMPUTED_VALUE"""),246)</f>
        <v>246</v>
      </c>
      <c r="B247">
        <f ca="1">IFERROR(__xludf.DUMMYFUNCTION("""COMPUTED_VALUE"""),264)</f>
        <v>264</v>
      </c>
      <c r="C247" t="str">
        <f ca="1">IFERROR(__xludf.DUMMYFUNCTION("""COMPUTED_VALUE"""),"Max Homa")</f>
        <v>Max Homa</v>
      </c>
      <c r="D247">
        <f ca="1">IFERROR(__xludf.DUMMYFUNCTION("""COMPUTED_VALUE"""),12)</f>
        <v>12</v>
      </c>
      <c r="E247" t="str">
        <f ca="1">IFERROR(__xludf.DUMMYFUNCTION("""COMPUTED_VALUE"""),"57' 1""")</f>
        <v>57' 1"</v>
      </c>
      <c r="F247" s="1">
        <f ca="1">IFERROR(__xludf.DUMMYFUNCTION("""COMPUTED_VALUE"""),19190)</f>
        <v>19190</v>
      </c>
      <c r="G247">
        <f ca="1">IFERROR(__xludf.DUMMYFUNCTION("""COMPUTED_VALUE"""),28)</f>
        <v>28</v>
      </c>
      <c r="H247" s="2">
        <f ca="1">IFERROR(__xludf.DUMMYFUNCTION("""COMPUTED_VALUE"""),1599.167)</f>
        <v>1599.1669999999999</v>
      </c>
      <c r="I247" t="str">
        <f ca="1">IFERROR(__xludf.DUMMYFUNCTION("""COMPUTED_VALUE"""),"+9.00")</f>
        <v>+9.00</v>
      </c>
    </row>
    <row r="248" spans="1:9" ht="12.75">
      <c r="A248">
        <f ca="1">IFERROR(__xludf.DUMMYFUNCTION("""COMPUTED_VALUE"""),247)</f>
        <v>247</v>
      </c>
      <c r="B248">
        <f ca="1">IFERROR(__xludf.DUMMYFUNCTION("""COMPUTED_VALUE"""),246)</f>
        <v>246</v>
      </c>
      <c r="C248" t="str">
        <f ca="1">IFERROR(__xludf.DUMMYFUNCTION("""COMPUTED_VALUE"""),"Matt Kuchar")</f>
        <v>Matt Kuchar</v>
      </c>
      <c r="D248">
        <f ca="1">IFERROR(__xludf.DUMMYFUNCTION("""COMPUTED_VALUE"""),14)</f>
        <v>14</v>
      </c>
      <c r="E248" t="str">
        <f ca="1">IFERROR(__xludf.DUMMYFUNCTION("""COMPUTED_VALUE"""),"57' 7""")</f>
        <v>57' 7"</v>
      </c>
      <c r="F248" s="1">
        <f ca="1">IFERROR(__xludf.DUMMYFUNCTION("""COMPUTED_VALUE"""),22801)</f>
        <v>22801</v>
      </c>
      <c r="G248">
        <f ca="1">IFERROR(__xludf.DUMMYFUNCTION("""COMPUTED_VALUE"""),33)</f>
        <v>33</v>
      </c>
      <c r="H248" s="2">
        <f ca="1">IFERROR(__xludf.DUMMYFUNCTION("""COMPUTED_VALUE"""),1900.083)</f>
        <v>1900.0830000000001</v>
      </c>
      <c r="I248" t="str">
        <f ca="1">IFERROR(__xludf.DUMMYFUNCTION("""COMPUTED_VALUE"""),"+11.00")</f>
        <v>+11.00</v>
      </c>
    </row>
    <row r="249" spans="1:9" ht="12.75">
      <c r="A249">
        <f ca="1">IFERROR(__xludf.DUMMYFUNCTION("""COMPUTED_VALUE"""),248)</f>
        <v>248</v>
      </c>
      <c r="B249">
        <f ca="1">IFERROR(__xludf.DUMMYFUNCTION("""COMPUTED_VALUE"""),247)</f>
        <v>247</v>
      </c>
      <c r="C249" t="str">
        <f ca="1">IFERROR(__xludf.DUMMYFUNCTION("""COMPUTED_VALUE"""),"Brendon Todd")</f>
        <v>Brendon Todd</v>
      </c>
      <c r="D249">
        <f ca="1">IFERROR(__xludf.DUMMYFUNCTION("""COMPUTED_VALUE"""),14)</f>
        <v>14</v>
      </c>
      <c r="E249" t="str">
        <f ca="1">IFERROR(__xludf.DUMMYFUNCTION("""COMPUTED_VALUE"""),"57' 10""")</f>
        <v>57' 10"</v>
      </c>
      <c r="F249" s="1">
        <f ca="1">IFERROR(__xludf.DUMMYFUNCTION("""COMPUTED_VALUE"""),27078)</f>
        <v>27078</v>
      </c>
      <c r="G249">
        <f ca="1">IFERROR(__xludf.DUMMYFUNCTION("""COMPUTED_VALUE"""),39)</f>
        <v>39</v>
      </c>
      <c r="H249" s="2">
        <f ca="1">IFERROR(__xludf.DUMMYFUNCTION("""COMPUTED_VALUE"""),2256.5)</f>
        <v>2256.5</v>
      </c>
      <c r="I249" t="str">
        <f ca="1">IFERROR(__xludf.DUMMYFUNCTION("""COMPUTED_VALUE"""),"+12.00")</f>
        <v>+12.00</v>
      </c>
    </row>
    <row r="250" spans="1:9" ht="12.75">
      <c r="A250">
        <f ca="1">IFERROR(__xludf.DUMMYFUNCTION("""COMPUTED_VALUE"""),249)</f>
        <v>249</v>
      </c>
      <c r="B250">
        <f ca="1">IFERROR(__xludf.DUMMYFUNCTION("""COMPUTED_VALUE"""),248)</f>
        <v>248</v>
      </c>
      <c r="C250" t="str">
        <f ca="1">IFERROR(__xludf.DUMMYFUNCTION("""COMPUTED_VALUE"""),"Harris English")</f>
        <v>Harris English</v>
      </c>
      <c r="D250">
        <f ca="1">IFERROR(__xludf.DUMMYFUNCTION("""COMPUTED_VALUE"""),14)</f>
        <v>14</v>
      </c>
      <c r="E250" t="str">
        <f ca="1">IFERROR(__xludf.DUMMYFUNCTION("""COMPUTED_VALUE"""),"58' 2""")</f>
        <v>58' 2"</v>
      </c>
      <c r="F250" s="1">
        <f ca="1">IFERROR(__xludf.DUMMYFUNCTION("""COMPUTED_VALUE"""),32794)</f>
        <v>32794</v>
      </c>
      <c r="G250">
        <f ca="1">IFERROR(__xludf.DUMMYFUNCTION("""COMPUTED_VALUE"""),47)</f>
        <v>47</v>
      </c>
      <c r="H250" s="2">
        <f ca="1">IFERROR(__xludf.DUMMYFUNCTION("""COMPUTED_VALUE"""),2732.833)</f>
        <v>2732.8330000000001</v>
      </c>
      <c r="I250" t="str">
        <f ca="1">IFERROR(__xludf.DUMMYFUNCTION("""COMPUTED_VALUE"""),"+7.00")</f>
        <v>+7.00</v>
      </c>
    </row>
    <row r="251" spans="1:9" ht="12.75">
      <c r="A251">
        <f ca="1">IFERROR(__xludf.DUMMYFUNCTION("""COMPUTED_VALUE"""),250)</f>
        <v>250</v>
      </c>
      <c r="B251">
        <f ca="1">IFERROR(__xludf.DUMMYFUNCTION("""COMPUTED_VALUE"""),249)</f>
        <v>249</v>
      </c>
      <c r="C251" t="str">
        <f ca="1">IFERROR(__xludf.DUMMYFUNCTION("""COMPUTED_VALUE"""),"Justin Thomas")</f>
        <v>Justin Thomas</v>
      </c>
      <c r="D251">
        <f ca="1">IFERROR(__xludf.DUMMYFUNCTION("""COMPUTED_VALUE"""),12)</f>
        <v>12</v>
      </c>
      <c r="E251" t="str">
        <f ca="1">IFERROR(__xludf.DUMMYFUNCTION("""COMPUTED_VALUE"""),"58' 3""")</f>
        <v>58' 3"</v>
      </c>
      <c r="F251" s="1">
        <f ca="1">IFERROR(__xludf.DUMMYFUNCTION("""COMPUTED_VALUE"""),27267)</f>
        <v>27267</v>
      </c>
      <c r="G251">
        <f ca="1">IFERROR(__xludf.DUMMYFUNCTION("""COMPUTED_VALUE"""),39)</f>
        <v>39</v>
      </c>
      <c r="H251" s="2">
        <f ca="1">IFERROR(__xludf.DUMMYFUNCTION("""COMPUTED_VALUE"""),2272.25)</f>
        <v>2272.25</v>
      </c>
      <c r="I251" t="str">
        <f ca="1">IFERROR(__xludf.DUMMYFUNCTION("""COMPUTED_VALUE"""),"+11.00")</f>
        <v>+11.00</v>
      </c>
    </row>
    <row r="252" spans="1:9" ht="12.75">
      <c r="A252" t="str">
        <f ca="1">IFERROR(__xludf.DUMMYFUNCTION("""COMPUTED_VALUE"""),"T251")</f>
        <v>T251</v>
      </c>
      <c r="B252">
        <f ca="1">IFERROR(__xludf.DUMMYFUNCTION("""COMPUTED_VALUE"""),240)</f>
        <v>240</v>
      </c>
      <c r="C252" t="str">
        <f ca="1">IFERROR(__xludf.DUMMYFUNCTION("""COMPUTED_VALUE"""),"Erik van Rooyen")</f>
        <v>Erik van Rooyen</v>
      </c>
      <c r="D252">
        <f ca="1">IFERROR(__xludf.DUMMYFUNCTION("""COMPUTED_VALUE"""),10)</f>
        <v>10</v>
      </c>
      <c r="E252" t="str">
        <f ca="1">IFERROR(__xludf.DUMMYFUNCTION("""COMPUTED_VALUE"""),"58' 5""")</f>
        <v>58' 5"</v>
      </c>
      <c r="F252" s="1">
        <f ca="1">IFERROR(__xludf.DUMMYFUNCTION("""COMPUTED_VALUE"""),32954)</f>
        <v>32954</v>
      </c>
      <c r="G252">
        <f ca="1">IFERROR(__xludf.DUMMYFUNCTION("""COMPUTED_VALUE"""),47)</f>
        <v>47</v>
      </c>
      <c r="H252" s="2">
        <f ca="1">IFERROR(__xludf.DUMMYFUNCTION("""COMPUTED_VALUE"""),2746.167)</f>
        <v>2746.1669999999999</v>
      </c>
      <c r="I252" t="str">
        <f ca="1">IFERROR(__xludf.DUMMYFUNCTION("""COMPUTED_VALUE"""),"+13.00")</f>
        <v>+13.00</v>
      </c>
    </row>
    <row r="253" spans="1:9" ht="12.75">
      <c r="A253" t="str">
        <f ca="1">IFERROR(__xludf.DUMMYFUNCTION("""COMPUTED_VALUE"""),"T251")</f>
        <v>T251</v>
      </c>
      <c r="B253">
        <f ca="1">IFERROR(__xludf.DUMMYFUNCTION("""COMPUTED_VALUE"""),250)</f>
        <v>250</v>
      </c>
      <c r="C253" t="str">
        <f ca="1">IFERROR(__xludf.DUMMYFUNCTION("""COMPUTED_VALUE"""),"Rafael Campos")</f>
        <v>Rafael Campos</v>
      </c>
      <c r="D253">
        <f ca="1">IFERROR(__xludf.DUMMYFUNCTION("""COMPUTED_VALUE"""),6)</f>
        <v>6</v>
      </c>
      <c r="E253" t="str">
        <f ca="1">IFERROR(__xludf.DUMMYFUNCTION("""COMPUTED_VALUE"""),"58' 5""")</f>
        <v>58' 5"</v>
      </c>
      <c r="F253" s="1">
        <f ca="1">IFERROR(__xludf.DUMMYFUNCTION("""COMPUTED_VALUE"""),7716)</f>
        <v>7716</v>
      </c>
      <c r="G253">
        <f ca="1">IFERROR(__xludf.DUMMYFUNCTION("""COMPUTED_VALUE"""),11)</f>
        <v>11</v>
      </c>
      <c r="H253">
        <f ca="1">IFERROR(__xludf.DUMMYFUNCTION("""COMPUTED_VALUE"""),643)</f>
        <v>643</v>
      </c>
      <c r="I253" t="str">
        <f ca="1">IFERROR(__xludf.DUMMYFUNCTION("""COMPUTED_VALUE"""),"E")</f>
        <v>E</v>
      </c>
    </row>
    <row r="254" spans="1:9" ht="12.75">
      <c r="A254" t="str">
        <f ca="1">IFERROR(__xludf.DUMMYFUNCTION("""COMPUTED_VALUE"""),"T253")</f>
        <v>T253</v>
      </c>
      <c r="B254" t="str">
        <f ca="1">IFERROR(__xludf.DUMMYFUNCTION("""COMPUTED_VALUE"""),"T244")</f>
        <v>T244</v>
      </c>
      <c r="C254" t="str">
        <f ca="1">IFERROR(__xludf.DUMMYFUNCTION("""COMPUTED_VALUE"""),"Alex Noren")</f>
        <v>Alex Noren</v>
      </c>
      <c r="D254">
        <f ca="1">IFERROR(__xludf.DUMMYFUNCTION("""COMPUTED_VALUE"""),14)</f>
        <v>14</v>
      </c>
      <c r="E254" t="str">
        <f ca="1">IFERROR(__xludf.DUMMYFUNCTION("""COMPUTED_VALUE"""),"58' 6""")</f>
        <v>58' 6"</v>
      </c>
      <c r="F254" s="1">
        <f ca="1">IFERROR(__xludf.DUMMYFUNCTION("""COMPUTED_VALUE"""),43503)</f>
        <v>43503</v>
      </c>
      <c r="G254">
        <f ca="1">IFERROR(__xludf.DUMMYFUNCTION("""COMPUTED_VALUE"""),62)</f>
        <v>62</v>
      </c>
      <c r="H254" s="2">
        <f ca="1">IFERROR(__xludf.DUMMYFUNCTION("""COMPUTED_VALUE"""),3625.25)</f>
        <v>3625.25</v>
      </c>
      <c r="I254" t="str">
        <f ca="1">IFERROR(__xludf.DUMMYFUNCTION("""COMPUTED_VALUE"""),"+15.00")</f>
        <v>+15.00</v>
      </c>
    </row>
    <row r="255" spans="1:9" ht="12.75">
      <c r="A255" t="str">
        <f ca="1">IFERROR(__xludf.DUMMYFUNCTION("""COMPUTED_VALUE"""),"T253")</f>
        <v>T253</v>
      </c>
      <c r="B255" t="str">
        <f ca="1">IFERROR(__xludf.DUMMYFUNCTION("""COMPUTED_VALUE"""),"T232")</f>
        <v>T232</v>
      </c>
      <c r="C255" t="str">
        <f ca="1">IFERROR(__xludf.DUMMYFUNCTION("""COMPUTED_VALUE"""),"Aaron Wise")</f>
        <v>Aaron Wise</v>
      </c>
      <c r="D255">
        <f ca="1">IFERROR(__xludf.DUMMYFUNCTION("""COMPUTED_VALUE"""),16)</f>
        <v>16</v>
      </c>
      <c r="E255" t="str">
        <f ca="1">IFERROR(__xludf.DUMMYFUNCTION("""COMPUTED_VALUE"""),"58' 6""")</f>
        <v>58' 6"</v>
      </c>
      <c r="F255" s="1">
        <f ca="1">IFERROR(__xludf.DUMMYFUNCTION("""COMPUTED_VALUE"""),36488)</f>
        <v>36488</v>
      </c>
      <c r="G255">
        <f ca="1">IFERROR(__xludf.DUMMYFUNCTION("""COMPUTED_VALUE"""),52)</f>
        <v>52</v>
      </c>
      <c r="H255" s="2">
        <f ca="1">IFERROR(__xludf.DUMMYFUNCTION("""COMPUTED_VALUE"""),3040.667)</f>
        <v>3040.6669999999999</v>
      </c>
      <c r="I255" t="str">
        <f ca="1">IFERROR(__xludf.DUMMYFUNCTION("""COMPUTED_VALUE"""),"+7.00")</f>
        <v>+7.00</v>
      </c>
    </row>
    <row r="256" spans="1:9" ht="12.75">
      <c r="A256">
        <f ca="1">IFERROR(__xludf.DUMMYFUNCTION("""COMPUTED_VALUE"""),255)</f>
        <v>255</v>
      </c>
      <c r="B256">
        <f ca="1">IFERROR(__xludf.DUMMYFUNCTION("""COMPUTED_VALUE"""),252)</f>
        <v>252</v>
      </c>
      <c r="C256" t="str">
        <f ca="1">IFERROR(__xludf.DUMMYFUNCTION("""COMPUTED_VALUE"""),"Charles Howell III")</f>
        <v>Charles Howell III</v>
      </c>
      <c r="D256">
        <f ca="1">IFERROR(__xludf.DUMMYFUNCTION("""COMPUTED_VALUE"""),10)</f>
        <v>10</v>
      </c>
      <c r="E256" t="str">
        <f ca="1">IFERROR(__xludf.DUMMYFUNCTION("""COMPUTED_VALUE"""),"59' 4""")</f>
        <v>59' 4"</v>
      </c>
      <c r="F256" s="1">
        <f ca="1">IFERROR(__xludf.DUMMYFUNCTION("""COMPUTED_VALUE"""),29885)</f>
        <v>29885</v>
      </c>
      <c r="G256">
        <f ca="1">IFERROR(__xludf.DUMMYFUNCTION("""COMPUTED_VALUE"""),42)</f>
        <v>42</v>
      </c>
      <c r="H256" s="2">
        <f ca="1">IFERROR(__xludf.DUMMYFUNCTION("""COMPUTED_VALUE"""),2490.417)</f>
        <v>2490.4169999999999</v>
      </c>
      <c r="I256" t="str">
        <f ca="1">IFERROR(__xludf.DUMMYFUNCTION("""COMPUTED_VALUE"""),"+6.00")</f>
        <v>+6.00</v>
      </c>
    </row>
    <row r="257" spans="1:9" ht="12.75">
      <c r="A257" t="str">
        <f ca="1">IFERROR(__xludf.DUMMYFUNCTION("""COMPUTED_VALUE"""),"T256")</f>
        <v>T256</v>
      </c>
      <c r="B257">
        <f ca="1">IFERROR(__xludf.DUMMYFUNCTION("""COMPUTED_VALUE"""),227)</f>
        <v>227</v>
      </c>
      <c r="C257" t="str">
        <f ca="1">IFERROR(__xludf.DUMMYFUNCTION("""COMPUTED_VALUE"""),"Lee Westwood")</f>
        <v>Lee Westwood</v>
      </c>
      <c r="D257">
        <f ca="1">IFERROR(__xludf.DUMMYFUNCTION("""COMPUTED_VALUE"""),6)</f>
        <v>6</v>
      </c>
      <c r="E257" t="str">
        <f ca="1">IFERROR(__xludf.DUMMYFUNCTION("""COMPUTED_VALUE"""),"60' 0""")</f>
        <v>60' 0"</v>
      </c>
      <c r="F257" s="1">
        <f ca="1">IFERROR(__xludf.DUMMYFUNCTION("""COMPUTED_VALUE"""),19444)</f>
        <v>19444</v>
      </c>
      <c r="G257">
        <f ca="1">IFERROR(__xludf.DUMMYFUNCTION("""COMPUTED_VALUE"""),27)</f>
        <v>27</v>
      </c>
      <c r="H257" s="2">
        <f ca="1">IFERROR(__xludf.DUMMYFUNCTION("""COMPUTED_VALUE"""),1620.333)</f>
        <v>1620.3330000000001</v>
      </c>
      <c r="I257" t="str">
        <f ca="1">IFERROR(__xludf.DUMMYFUNCTION("""COMPUTED_VALUE"""),"+9.00")</f>
        <v>+9.00</v>
      </c>
    </row>
    <row r="258" spans="1:9" ht="12.75">
      <c r="A258" t="str">
        <f ca="1">IFERROR(__xludf.DUMMYFUNCTION("""COMPUTED_VALUE"""),"T256")</f>
        <v>T256</v>
      </c>
      <c r="B258">
        <f ca="1">IFERROR(__xludf.DUMMYFUNCTION("""COMPUTED_VALUE"""),253)</f>
        <v>253</v>
      </c>
      <c r="C258" t="str">
        <f ca="1">IFERROR(__xludf.DUMMYFUNCTION("""COMPUTED_VALUE"""),"Tommy Fleetwood")</f>
        <v>Tommy Fleetwood</v>
      </c>
      <c r="D258">
        <f ca="1">IFERROR(__xludf.DUMMYFUNCTION("""COMPUTED_VALUE"""),10)</f>
        <v>10</v>
      </c>
      <c r="E258" t="str">
        <f ca="1">IFERROR(__xludf.DUMMYFUNCTION("""COMPUTED_VALUE"""),"60' 0""")</f>
        <v>60' 0"</v>
      </c>
      <c r="F258" s="1">
        <f ca="1">IFERROR(__xludf.DUMMYFUNCTION("""COMPUTED_VALUE"""),25216)</f>
        <v>25216</v>
      </c>
      <c r="G258">
        <f ca="1">IFERROR(__xludf.DUMMYFUNCTION("""COMPUTED_VALUE"""),35)</f>
        <v>35</v>
      </c>
      <c r="H258" s="2">
        <f ca="1">IFERROR(__xludf.DUMMYFUNCTION("""COMPUTED_VALUE"""),2101.333)</f>
        <v>2101.3330000000001</v>
      </c>
      <c r="I258" t="str">
        <f ca="1">IFERROR(__xludf.DUMMYFUNCTION("""COMPUTED_VALUE"""),"+9.00")</f>
        <v>+9.00</v>
      </c>
    </row>
    <row r="259" spans="1:9" ht="12.75">
      <c r="A259">
        <f ca="1">IFERROR(__xludf.DUMMYFUNCTION("""COMPUTED_VALUE"""),258)</f>
        <v>258</v>
      </c>
      <c r="B259">
        <f ca="1">IFERROR(__xludf.DUMMYFUNCTION("""COMPUTED_VALUE"""),254)</f>
        <v>254</v>
      </c>
      <c r="C259" t="str">
        <f ca="1">IFERROR(__xludf.DUMMYFUNCTION("""COMPUTED_VALUE"""),"Stephan Jaeger")</f>
        <v>Stephan Jaeger</v>
      </c>
      <c r="D259">
        <f ca="1">IFERROR(__xludf.DUMMYFUNCTION("""COMPUTED_VALUE"""),4)</f>
        <v>4</v>
      </c>
      <c r="E259" t="str">
        <f ca="1">IFERROR(__xludf.DUMMYFUNCTION("""COMPUTED_VALUE"""),"60' 3""")</f>
        <v>60' 3"</v>
      </c>
      <c r="F259" s="1">
        <f ca="1">IFERROR(__xludf.DUMMYFUNCTION("""COMPUTED_VALUE"""),20231)</f>
        <v>20231</v>
      </c>
      <c r="G259">
        <f ca="1">IFERROR(__xludf.DUMMYFUNCTION("""COMPUTED_VALUE"""),28)</f>
        <v>28</v>
      </c>
      <c r="H259" s="2">
        <f ca="1">IFERROR(__xludf.DUMMYFUNCTION("""COMPUTED_VALUE"""),1685.917)</f>
        <v>1685.9169999999999</v>
      </c>
      <c r="I259" t="str">
        <f ca="1">IFERROR(__xludf.DUMMYFUNCTION("""COMPUTED_VALUE"""),"+13.00")</f>
        <v>+13.00</v>
      </c>
    </row>
    <row r="260" spans="1:9" ht="12.75">
      <c r="A260" t="str">
        <f ca="1">IFERROR(__xludf.DUMMYFUNCTION("""COMPUTED_VALUE"""),"T259")</f>
        <v>T259</v>
      </c>
      <c r="B260">
        <f ca="1">IFERROR(__xludf.DUMMYFUNCTION("""COMPUTED_VALUE"""),243)</f>
        <v>243</v>
      </c>
      <c r="C260" t="str">
        <f ca="1">IFERROR(__xludf.DUMMYFUNCTION("""COMPUTED_VALUE"""),"Tom Lewis")</f>
        <v>Tom Lewis</v>
      </c>
      <c r="D260">
        <f ca="1">IFERROR(__xludf.DUMMYFUNCTION("""COMPUTED_VALUE"""),12)</f>
        <v>12</v>
      </c>
      <c r="E260" t="str">
        <f ca="1">IFERROR(__xludf.DUMMYFUNCTION("""COMPUTED_VALUE"""),"60' 7""")</f>
        <v>60' 7"</v>
      </c>
      <c r="F260" s="1">
        <f ca="1">IFERROR(__xludf.DUMMYFUNCTION("""COMPUTED_VALUE"""),32728)</f>
        <v>32728</v>
      </c>
      <c r="G260">
        <f ca="1">IFERROR(__xludf.DUMMYFUNCTION("""COMPUTED_VALUE"""),45)</f>
        <v>45</v>
      </c>
      <c r="H260" s="2">
        <f ca="1">IFERROR(__xludf.DUMMYFUNCTION("""COMPUTED_VALUE"""),2727.333)</f>
        <v>2727.3330000000001</v>
      </c>
      <c r="I260" t="str">
        <f ca="1">IFERROR(__xludf.DUMMYFUNCTION("""COMPUTED_VALUE"""),"+11.00")</f>
        <v>+11.00</v>
      </c>
    </row>
    <row r="261" spans="1:9" ht="12.75">
      <c r="A261" t="str">
        <f ca="1">IFERROR(__xludf.DUMMYFUNCTION("""COMPUTED_VALUE"""),"T259")</f>
        <v>T259</v>
      </c>
      <c r="B261">
        <f ca="1">IFERROR(__xludf.DUMMYFUNCTION("""COMPUTED_VALUE"""),266)</f>
        <v>266</v>
      </c>
      <c r="C261" t="str">
        <f ca="1">IFERROR(__xludf.DUMMYFUNCTION("""COMPUTED_VALUE"""),"Adam Scott")</f>
        <v>Adam Scott</v>
      </c>
      <c r="D261">
        <f ca="1">IFERROR(__xludf.DUMMYFUNCTION("""COMPUTED_VALUE"""),8)</f>
        <v>8</v>
      </c>
      <c r="E261" t="str">
        <f ca="1">IFERROR(__xludf.DUMMYFUNCTION("""COMPUTED_VALUE"""),"60' 7""")</f>
        <v>60' 7"</v>
      </c>
      <c r="F261" s="1">
        <f ca="1">IFERROR(__xludf.DUMMYFUNCTION("""COMPUTED_VALUE"""),28365)</f>
        <v>28365</v>
      </c>
      <c r="G261">
        <f ca="1">IFERROR(__xludf.DUMMYFUNCTION("""COMPUTED_VALUE"""),39)</f>
        <v>39</v>
      </c>
      <c r="H261" s="2">
        <f ca="1">IFERROR(__xludf.DUMMYFUNCTION("""COMPUTED_VALUE"""),2363.75)</f>
        <v>2363.75</v>
      </c>
      <c r="I261" t="str">
        <f ca="1">IFERROR(__xludf.DUMMYFUNCTION("""COMPUTED_VALUE"""),"+20.00")</f>
        <v>+20.00</v>
      </c>
    </row>
    <row r="262" spans="1:9" ht="12.75">
      <c r="A262">
        <f ca="1">IFERROR(__xludf.DUMMYFUNCTION("""COMPUTED_VALUE"""),261)</f>
        <v>261</v>
      </c>
      <c r="B262">
        <f ca="1">IFERROR(__xludf.DUMMYFUNCTION("""COMPUTED_VALUE"""),255)</f>
        <v>255</v>
      </c>
      <c r="C262" t="str">
        <f ca="1">IFERROR(__xludf.DUMMYFUNCTION("""COMPUTED_VALUE"""),"Thomas Detry")</f>
        <v>Thomas Detry</v>
      </c>
      <c r="D262">
        <f ca="1">IFERROR(__xludf.DUMMYFUNCTION("""COMPUTED_VALUE"""),8)</f>
        <v>8</v>
      </c>
      <c r="E262" t="str">
        <f ca="1">IFERROR(__xludf.DUMMYFUNCTION("""COMPUTED_VALUE"""),"60' 10""")</f>
        <v>60' 10"</v>
      </c>
      <c r="F262" s="1">
        <f ca="1">IFERROR(__xludf.DUMMYFUNCTION("""COMPUTED_VALUE"""),13138)</f>
        <v>13138</v>
      </c>
      <c r="G262">
        <f ca="1">IFERROR(__xludf.DUMMYFUNCTION("""COMPUTED_VALUE"""),18)</f>
        <v>18</v>
      </c>
      <c r="H262" s="2">
        <f ca="1">IFERROR(__xludf.DUMMYFUNCTION("""COMPUTED_VALUE"""),1094.833)</f>
        <v>1094.8330000000001</v>
      </c>
      <c r="I262" t="str">
        <f ca="1">IFERROR(__xludf.DUMMYFUNCTION("""COMPUTED_VALUE"""),"+9.00")</f>
        <v>+9.00</v>
      </c>
    </row>
    <row r="263" spans="1:9" ht="12.75">
      <c r="A263" t="str">
        <f ca="1">IFERROR(__xludf.DUMMYFUNCTION("""COMPUTED_VALUE"""),"T262")</f>
        <v>T262</v>
      </c>
      <c r="B263">
        <f ca="1">IFERROR(__xludf.DUMMYFUNCTION("""COMPUTED_VALUE"""),204)</f>
        <v>204</v>
      </c>
      <c r="C263" t="str">
        <f ca="1">IFERROR(__xludf.DUMMYFUNCTION("""COMPUTED_VALUE"""),"Bo Van Pelt")</f>
        <v>Bo Van Pelt</v>
      </c>
      <c r="D263">
        <f ca="1">IFERROR(__xludf.DUMMYFUNCTION("""COMPUTED_VALUE"""),10)</f>
        <v>10</v>
      </c>
      <c r="E263" t="str">
        <f ca="1">IFERROR(__xludf.DUMMYFUNCTION("""COMPUTED_VALUE"""),"61' 1""")</f>
        <v>61' 1"</v>
      </c>
      <c r="F263" s="1">
        <f ca="1">IFERROR(__xludf.DUMMYFUNCTION("""COMPUTED_VALUE"""),13918)</f>
        <v>13918</v>
      </c>
      <c r="G263">
        <f ca="1">IFERROR(__xludf.DUMMYFUNCTION("""COMPUTED_VALUE"""),19)</f>
        <v>19</v>
      </c>
      <c r="H263" s="2">
        <f ca="1">IFERROR(__xludf.DUMMYFUNCTION("""COMPUTED_VALUE"""),1159.833)</f>
        <v>1159.8330000000001</v>
      </c>
      <c r="I263" t="str">
        <f ca="1">IFERROR(__xludf.DUMMYFUNCTION("""COMPUTED_VALUE"""),"+8.00")</f>
        <v>+8.00</v>
      </c>
    </row>
    <row r="264" spans="1:9" ht="12.75">
      <c r="A264" t="str">
        <f ca="1">IFERROR(__xludf.DUMMYFUNCTION("""COMPUTED_VALUE"""),"T262")</f>
        <v>T262</v>
      </c>
      <c r="B264">
        <f ca="1">IFERROR(__xludf.DUMMYFUNCTION("""COMPUTED_VALUE"""),256)</f>
        <v>256</v>
      </c>
      <c r="C264" t="str">
        <f ca="1">IFERROR(__xludf.DUMMYFUNCTION("""COMPUTED_VALUE"""),"Tim Wilkinson")</f>
        <v>Tim Wilkinson</v>
      </c>
      <c r="D264">
        <f ca="1">IFERROR(__xludf.DUMMYFUNCTION("""COMPUTED_VALUE"""),12)</f>
        <v>12</v>
      </c>
      <c r="E264" t="str">
        <f ca="1">IFERROR(__xludf.DUMMYFUNCTION("""COMPUTED_VALUE"""),"61' 1""")</f>
        <v>61' 1"</v>
      </c>
      <c r="F264" s="1">
        <f ca="1">IFERROR(__xludf.DUMMYFUNCTION("""COMPUTED_VALUE"""),16855)</f>
        <v>16855</v>
      </c>
      <c r="G264">
        <f ca="1">IFERROR(__xludf.DUMMYFUNCTION("""COMPUTED_VALUE"""),23)</f>
        <v>23</v>
      </c>
      <c r="H264" s="2">
        <f ca="1">IFERROR(__xludf.DUMMYFUNCTION("""COMPUTED_VALUE"""),1404.583)</f>
        <v>1404.5830000000001</v>
      </c>
      <c r="I264" t="str">
        <f ca="1">IFERROR(__xludf.DUMMYFUNCTION("""COMPUTED_VALUE"""),"+2.00")</f>
        <v>+2.00</v>
      </c>
    </row>
    <row r="265" spans="1:9" ht="12.75">
      <c r="A265" t="str">
        <f ca="1">IFERROR(__xludf.DUMMYFUNCTION("""COMPUTED_VALUE"""),"T264")</f>
        <v>T264</v>
      </c>
      <c r="B265">
        <f ca="1">IFERROR(__xludf.DUMMYFUNCTION("""COMPUTED_VALUE"""),257)</f>
        <v>257</v>
      </c>
      <c r="C265" t="str">
        <f ca="1">IFERROR(__xludf.DUMMYFUNCTION("""COMPUTED_VALUE"""),"Rory McIlroy")</f>
        <v>Rory McIlroy</v>
      </c>
      <c r="D265">
        <f ca="1">IFERROR(__xludf.DUMMYFUNCTION("""COMPUTED_VALUE"""),12)</f>
        <v>12</v>
      </c>
      <c r="E265" t="str">
        <f ca="1">IFERROR(__xludf.DUMMYFUNCTION("""COMPUTED_VALUE"""),"61' 8""")</f>
        <v>61' 8"</v>
      </c>
      <c r="F265" s="1">
        <f ca="1">IFERROR(__xludf.DUMMYFUNCTION("""COMPUTED_VALUE"""),31801)</f>
        <v>31801</v>
      </c>
      <c r="G265">
        <f ca="1">IFERROR(__xludf.DUMMYFUNCTION("""COMPUTED_VALUE"""),43)</f>
        <v>43</v>
      </c>
      <c r="H265" s="2">
        <f ca="1">IFERROR(__xludf.DUMMYFUNCTION("""COMPUTED_VALUE"""),2650.083)</f>
        <v>2650.0830000000001</v>
      </c>
      <c r="I265" t="str">
        <f ca="1">IFERROR(__xludf.DUMMYFUNCTION("""COMPUTED_VALUE"""),"+11.00")</f>
        <v>+11.00</v>
      </c>
    </row>
    <row r="266" spans="1:9" ht="12.75">
      <c r="A266" t="str">
        <f ca="1">IFERROR(__xludf.DUMMYFUNCTION("""COMPUTED_VALUE"""),"T264")</f>
        <v>T264</v>
      </c>
      <c r="B266">
        <f ca="1">IFERROR(__xludf.DUMMYFUNCTION("""COMPUTED_VALUE"""),263)</f>
        <v>263</v>
      </c>
      <c r="C266" t="str">
        <f ca="1">IFERROR(__xludf.DUMMYFUNCTION("""COMPUTED_VALUE"""),"Mackenzie Hughes")</f>
        <v>Mackenzie Hughes</v>
      </c>
      <c r="D266">
        <f ca="1">IFERROR(__xludf.DUMMYFUNCTION("""COMPUTED_VALUE"""),18)</f>
        <v>18</v>
      </c>
      <c r="E266" t="str">
        <f ca="1">IFERROR(__xludf.DUMMYFUNCTION("""COMPUTED_VALUE"""),"61' 8""")</f>
        <v>61' 8"</v>
      </c>
      <c r="F266" s="1">
        <f ca="1">IFERROR(__xludf.DUMMYFUNCTION("""COMPUTED_VALUE"""),43658)</f>
        <v>43658</v>
      </c>
      <c r="G266">
        <f ca="1">IFERROR(__xludf.DUMMYFUNCTION("""COMPUTED_VALUE"""),59)</f>
        <v>59</v>
      </c>
      <c r="H266" s="2">
        <f ca="1">IFERROR(__xludf.DUMMYFUNCTION("""COMPUTED_VALUE"""),3638.167)</f>
        <v>3638.1669999999999</v>
      </c>
      <c r="I266" t="str">
        <f ca="1">IFERROR(__xludf.DUMMYFUNCTION("""COMPUTED_VALUE"""),"+13.00")</f>
        <v>+13.00</v>
      </c>
    </row>
    <row r="267" spans="1:9" ht="12.75">
      <c r="A267">
        <f ca="1">IFERROR(__xludf.DUMMYFUNCTION("""COMPUTED_VALUE"""),266)</f>
        <v>266</v>
      </c>
      <c r="B267">
        <f ca="1">IFERROR(__xludf.DUMMYFUNCTION("""COMPUTED_VALUE"""),258)</f>
        <v>258</v>
      </c>
      <c r="C267" t="str">
        <f ca="1">IFERROR(__xludf.DUMMYFUNCTION("""COMPUTED_VALUE"""),"Thomas Pieters")</f>
        <v>Thomas Pieters</v>
      </c>
      <c r="D267">
        <f ca="1">IFERROR(__xludf.DUMMYFUNCTION("""COMPUTED_VALUE"""),4)</f>
        <v>4</v>
      </c>
      <c r="E267" t="str">
        <f ca="1">IFERROR(__xludf.DUMMYFUNCTION("""COMPUTED_VALUE"""),"61' 9""")</f>
        <v>61' 9"</v>
      </c>
      <c r="F267" s="1">
        <f ca="1">IFERROR(__xludf.DUMMYFUNCTION("""COMPUTED_VALUE"""),17041)</f>
        <v>17041</v>
      </c>
      <c r="G267">
        <f ca="1">IFERROR(__xludf.DUMMYFUNCTION("""COMPUTED_VALUE"""),23)</f>
        <v>23</v>
      </c>
      <c r="H267" s="2">
        <f ca="1">IFERROR(__xludf.DUMMYFUNCTION("""COMPUTED_VALUE"""),1420.083)</f>
        <v>1420.0830000000001</v>
      </c>
      <c r="I267" t="str">
        <f ca="1">IFERROR(__xludf.DUMMYFUNCTION("""COMPUTED_VALUE"""),"+11.00")</f>
        <v>+11.00</v>
      </c>
    </row>
    <row r="268" spans="1:9" ht="12.75">
      <c r="A268">
        <f ca="1">IFERROR(__xludf.DUMMYFUNCTION("""COMPUTED_VALUE"""),267)</f>
        <v>267</v>
      </c>
      <c r="B268" t="str">
        <f ca="1">IFERROR(__xludf.DUMMYFUNCTION("""COMPUTED_VALUE"""),"")</f>
        <v/>
      </c>
      <c r="C268" t="str">
        <f ca="1">IFERROR(__xludf.DUMMYFUNCTION("""COMPUTED_VALUE"""),"Ollie Schniederjans")</f>
        <v>Ollie Schniederjans</v>
      </c>
      <c r="D268">
        <f ca="1">IFERROR(__xludf.DUMMYFUNCTION("""COMPUTED_VALUE"""),6)</f>
        <v>6</v>
      </c>
      <c r="E268" t="str">
        <f ca="1">IFERROR(__xludf.DUMMYFUNCTION("""COMPUTED_VALUE"""),"61' 10""")</f>
        <v>61' 10"</v>
      </c>
      <c r="F268" s="1">
        <f ca="1">IFERROR(__xludf.DUMMYFUNCTION("""COMPUTED_VALUE"""),8900)</f>
        <v>8900</v>
      </c>
      <c r="G268">
        <f ca="1">IFERROR(__xludf.DUMMYFUNCTION("""COMPUTED_VALUE"""),12)</f>
        <v>12</v>
      </c>
      <c r="H268">
        <f ca="1">IFERROR(__xludf.DUMMYFUNCTION("""COMPUTED_VALUE"""),741.667)</f>
        <v>741.66700000000003</v>
      </c>
      <c r="I268" t="str">
        <f ca="1">IFERROR(__xludf.DUMMYFUNCTION("""COMPUTED_VALUE"""),"+6.00")</f>
        <v>+6.00</v>
      </c>
    </row>
    <row r="269" spans="1:9" ht="12.75">
      <c r="A269">
        <f ca="1">IFERROR(__xludf.DUMMYFUNCTION("""COMPUTED_VALUE"""),268)</f>
        <v>268</v>
      </c>
      <c r="B269">
        <f ca="1">IFERROR(__xludf.DUMMYFUNCTION("""COMPUTED_VALUE"""),259)</f>
        <v>259</v>
      </c>
      <c r="C269" t="str">
        <f ca="1">IFERROR(__xludf.DUMMYFUNCTION("""COMPUTED_VALUE"""),"Taylor Pendrith")</f>
        <v>Taylor Pendrith</v>
      </c>
      <c r="D269">
        <f ca="1">IFERROR(__xludf.DUMMYFUNCTION("""COMPUTED_VALUE"""),4)</f>
        <v>4</v>
      </c>
      <c r="E269" t="str">
        <f ca="1">IFERROR(__xludf.DUMMYFUNCTION("""COMPUTED_VALUE"""),"62' 0""")</f>
        <v>62' 0"</v>
      </c>
      <c r="F269" s="1">
        <f ca="1">IFERROR(__xludf.DUMMYFUNCTION("""COMPUTED_VALUE"""),20844)</f>
        <v>20844</v>
      </c>
      <c r="G269">
        <f ca="1">IFERROR(__xludf.DUMMYFUNCTION("""COMPUTED_VALUE"""),28)</f>
        <v>28</v>
      </c>
      <c r="H269" s="2">
        <f ca="1">IFERROR(__xludf.DUMMYFUNCTION("""COMPUTED_VALUE"""),1737)</f>
        <v>1737</v>
      </c>
      <c r="I269" t="str">
        <f ca="1">IFERROR(__xludf.DUMMYFUNCTION("""COMPUTED_VALUE"""),"+8.00")</f>
        <v>+8.00</v>
      </c>
    </row>
    <row r="270" spans="1:9" ht="12.75">
      <c r="A270">
        <f ca="1">IFERROR(__xludf.DUMMYFUNCTION("""COMPUTED_VALUE"""),269)</f>
        <v>269</v>
      </c>
      <c r="B270">
        <f ca="1">IFERROR(__xludf.DUMMYFUNCTION("""COMPUTED_VALUE"""),260)</f>
        <v>260</v>
      </c>
      <c r="C270" t="str">
        <f ca="1">IFERROR(__xludf.DUMMYFUNCTION("""COMPUTED_VALUE"""),"Ryo Ishikawa")</f>
        <v>Ryo Ishikawa</v>
      </c>
      <c r="D270">
        <f ca="1">IFERROR(__xludf.DUMMYFUNCTION("""COMPUTED_VALUE"""),8)</f>
        <v>8</v>
      </c>
      <c r="E270" t="str">
        <f ca="1">IFERROR(__xludf.DUMMYFUNCTION("""COMPUTED_VALUE"""),"62' 3""")</f>
        <v>62' 3"</v>
      </c>
      <c r="F270" s="1">
        <f ca="1">IFERROR(__xludf.DUMMYFUNCTION("""COMPUTED_VALUE"""),26905)</f>
        <v>26905</v>
      </c>
      <c r="G270">
        <f ca="1">IFERROR(__xludf.DUMMYFUNCTION("""COMPUTED_VALUE"""),36)</f>
        <v>36</v>
      </c>
      <c r="H270" s="2">
        <f ca="1">IFERROR(__xludf.DUMMYFUNCTION("""COMPUTED_VALUE"""),2242.083)</f>
        <v>2242.0830000000001</v>
      </c>
      <c r="I270" t="str">
        <f ca="1">IFERROR(__xludf.DUMMYFUNCTION("""COMPUTED_VALUE"""),"+14.00")</f>
        <v>+14.00</v>
      </c>
    </row>
    <row r="271" spans="1:9" ht="12.75">
      <c r="A271">
        <f ca="1">IFERROR(__xludf.DUMMYFUNCTION("""COMPUTED_VALUE"""),270)</f>
        <v>270</v>
      </c>
      <c r="B271">
        <f ca="1">IFERROR(__xludf.DUMMYFUNCTION("""COMPUTED_VALUE"""),251)</f>
        <v>251</v>
      </c>
      <c r="C271" t="str">
        <f ca="1">IFERROR(__xludf.DUMMYFUNCTION("""COMPUTED_VALUE"""),"Henrik Stenson")</f>
        <v>Henrik Stenson</v>
      </c>
      <c r="D271">
        <f ca="1">IFERROR(__xludf.DUMMYFUNCTION("""COMPUTED_VALUE"""),11)</f>
        <v>11</v>
      </c>
      <c r="E271" t="str">
        <f ca="1">IFERROR(__xludf.DUMMYFUNCTION("""COMPUTED_VALUE"""),"62' 10""")</f>
        <v>62' 10"</v>
      </c>
      <c r="F271" s="1">
        <f ca="1">IFERROR(__xludf.DUMMYFUNCTION("""COMPUTED_VALUE"""),21117)</f>
        <v>21117</v>
      </c>
      <c r="G271">
        <f ca="1">IFERROR(__xludf.DUMMYFUNCTION("""COMPUTED_VALUE"""),28)</f>
        <v>28</v>
      </c>
      <c r="H271" s="2">
        <f ca="1">IFERROR(__xludf.DUMMYFUNCTION("""COMPUTED_VALUE"""),1759.75)</f>
        <v>1759.75</v>
      </c>
      <c r="I271" t="str">
        <f ca="1">IFERROR(__xludf.DUMMYFUNCTION("""COMPUTED_VALUE"""),"+5.00")</f>
        <v>+5.00</v>
      </c>
    </row>
    <row r="272" spans="1:9" ht="12.75">
      <c r="A272">
        <f ca="1">IFERROR(__xludf.DUMMYFUNCTION("""COMPUTED_VALUE"""),271)</f>
        <v>271</v>
      </c>
      <c r="B272">
        <f ca="1">IFERROR(__xludf.DUMMYFUNCTION("""COMPUTED_VALUE"""),261)</f>
        <v>261</v>
      </c>
      <c r="C272" t="str">
        <f ca="1">IFERROR(__xludf.DUMMYFUNCTION("""COMPUTED_VALUE"""),"Tiger Woods")</f>
        <v>Tiger Woods</v>
      </c>
      <c r="D272">
        <f ca="1">IFERROR(__xludf.DUMMYFUNCTION("""COMPUTED_VALUE"""),6)</f>
        <v>6</v>
      </c>
      <c r="E272" t="str">
        <f ca="1">IFERROR(__xludf.DUMMYFUNCTION("""COMPUTED_VALUE"""),"62' 11""")</f>
        <v>62' 11"</v>
      </c>
      <c r="F272" s="1">
        <f ca="1">IFERROR(__xludf.DUMMYFUNCTION("""COMPUTED_VALUE"""),13588)</f>
        <v>13588</v>
      </c>
      <c r="G272">
        <f ca="1">IFERROR(__xludf.DUMMYFUNCTION("""COMPUTED_VALUE"""),18)</f>
        <v>18</v>
      </c>
      <c r="H272" s="2">
        <f ca="1">IFERROR(__xludf.DUMMYFUNCTION("""COMPUTED_VALUE"""),1132.333)</f>
        <v>1132.3330000000001</v>
      </c>
      <c r="I272" t="str">
        <f ca="1">IFERROR(__xludf.DUMMYFUNCTION("""COMPUTED_VALUE"""),"+9.00")</f>
        <v>+9.00</v>
      </c>
    </row>
    <row r="273" spans="1:9" ht="12.75">
      <c r="A273">
        <f ca="1">IFERROR(__xludf.DUMMYFUNCTION("""COMPUTED_VALUE"""),272)</f>
        <v>272</v>
      </c>
      <c r="B273">
        <f ca="1">IFERROR(__xludf.DUMMYFUNCTION("""COMPUTED_VALUE"""),262)</f>
        <v>262</v>
      </c>
      <c r="C273" t="str">
        <f ca="1">IFERROR(__xludf.DUMMYFUNCTION("""COMPUTED_VALUE"""),"Marc Leishman")</f>
        <v>Marc Leishman</v>
      </c>
      <c r="D273">
        <f ca="1">IFERROR(__xludf.DUMMYFUNCTION("""COMPUTED_VALUE"""),10)</f>
        <v>10</v>
      </c>
      <c r="E273" t="str">
        <f ca="1">IFERROR(__xludf.DUMMYFUNCTION("""COMPUTED_VALUE"""),"63' 4""")</f>
        <v>63' 4"</v>
      </c>
      <c r="F273" s="1">
        <f ca="1">IFERROR(__xludf.DUMMYFUNCTION("""COMPUTED_VALUE"""),23550)</f>
        <v>23550</v>
      </c>
      <c r="G273">
        <f ca="1">IFERROR(__xludf.DUMMYFUNCTION("""COMPUTED_VALUE"""),31)</f>
        <v>31</v>
      </c>
      <c r="H273" s="2">
        <f ca="1">IFERROR(__xludf.DUMMYFUNCTION("""COMPUTED_VALUE"""),1962.5)</f>
        <v>1962.5</v>
      </c>
      <c r="I273" t="str">
        <f ca="1">IFERROR(__xludf.DUMMYFUNCTION("""COMPUTED_VALUE"""),"+8.00")</f>
        <v>+8.00</v>
      </c>
    </row>
    <row r="274" spans="1:9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IFERROR(__xludf.DUMMYFUNCTION("""COMPUTED_VALUE"""),"Rasmus Hojgaard")</f>
        <v>Rasmus Hojgaard</v>
      </c>
      <c r="D274">
        <f ca="1">IFERROR(__xludf.DUMMYFUNCTION("""COMPUTED_VALUE"""),6)</f>
        <v>6</v>
      </c>
      <c r="E274" t="str">
        <f ca="1">IFERROR(__xludf.DUMMYFUNCTION("""COMPUTED_VALUE"""),"64' 3""")</f>
        <v>64' 3"</v>
      </c>
      <c r="F274" s="1">
        <f ca="1">IFERROR(__xludf.DUMMYFUNCTION("""COMPUTED_VALUE"""),10028)</f>
        <v>10028</v>
      </c>
      <c r="G274">
        <f ca="1">IFERROR(__xludf.DUMMYFUNCTION("""COMPUTED_VALUE"""),13)</f>
        <v>13</v>
      </c>
      <c r="H274">
        <f ca="1">IFERROR(__xludf.DUMMYFUNCTION("""COMPUTED_VALUE"""),835.667)</f>
        <v>835.66700000000003</v>
      </c>
      <c r="I274" t="str">
        <f ca="1">IFERROR(__xludf.DUMMYFUNCTION("""COMPUTED_VALUE"""),"+7.00")</f>
        <v>+7.00</v>
      </c>
    </row>
    <row r="275" spans="1:9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IFERROR(__xludf.DUMMYFUNCTION("""COMPUTED_VALUE"""),"Adam Hadwin")</f>
        <v>Adam Hadwin</v>
      </c>
      <c r="D275">
        <f ca="1">IFERROR(__xludf.DUMMYFUNCTION("""COMPUTED_VALUE"""),16)</f>
        <v>16</v>
      </c>
      <c r="E275" t="str">
        <f ca="1">IFERROR(__xludf.DUMMYFUNCTION("""COMPUTED_VALUE"""),"67' 1""")</f>
        <v>67' 1"</v>
      </c>
      <c r="F275" s="1">
        <f ca="1">IFERROR(__xludf.DUMMYFUNCTION("""COMPUTED_VALUE"""),40266)</f>
        <v>40266</v>
      </c>
      <c r="G275">
        <f ca="1">IFERROR(__xludf.DUMMYFUNCTION("""COMPUTED_VALUE"""),50)</f>
        <v>50</v>
      </c>
      <c r="H275" s="2">
        <f ca="1">IFERROR(__xludf.DUMMYFUNCTION("""COMPUTED_VALUE"""),3355.5)</f>
        <v>3355.5</v>
      </c>
      <c r="I275" t="str">
        <f ca="1">IFERROR(__xludf.DUMMYFUNCTION("""COMPUTED_VALUE"""),"+22.00")</f>
        <v>+22.00</v>
      </c>
    </row>
    <row r="276" spans="1:9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IFERROR(__xludf.DUMMYFUNCTION("""COMPUTED_VALUE"""),"Matt Wallace")</f>
        <v>Matt Wallace</v>
      </c>
      <c r="D276">
        <f ca="1">IFERROR(__xludf.DUMMYFUNCTION("""COMPUTED_VALUE"""),4)</f>
        <v>4</v>
      </c>
      <c r="E276" t="str">
        <f ca="1">IFERROR(__xludf.DUMMYFUNCTION("""COMPUTED_VALUE"""),"68' 0""")</f>
        <v>68' 0"</v>
      </c>
      <c r="F276" s="1">
        <f ca="1">IFERROR(__xludf.DUMMYFUNCTION("""COMPUTED_VALUE"""),14691)</f>
        <v>14691</v>
      </c>
      <c r="G276">
        <f ca="1">IFERROR(__xludf.DUMMYFUNCTION("""COMPUTED_VALUE"""),18)</f>
        <v>18</v>
      </c>
      <c r="H276" s="2">
        <f ca="1">IFERROR(__xludf.DUMMYFUNCTION("""COMPUTED_VALUE"""),1224.25)</f>
        <v>1224.25</v>
      </c>
      <c r="I276" t="str">
        <f ca="1">IFERROR(__xludf.DUMMYFUNCTION("""COMPUTED_VALUE"""),"+6.00")</f>
        <v>+6.00</v>
      </c>
    </row>
    <row r="277" spans="1:9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IFERROR(__xludf.DUMMYFUNCTION("""COMPUTED_VALUE"""),"Renato Paratore")</f>
        <v>Renato Paratore</v>
      </c>
      <c r="D277">
        <f ca="1">IFERROR(__xludf.DUMMYFUNCTION("""COMPUTED_VALUE"""),4)</f>
        <v>4</v>
      </c>
      <c r="E277" t="str">
        <f ca="1">IFERROR(__xludf.DUMMYFUNCTION("""COMPUTED_VALUE"""),"68' 4""")</f>
        <v>68' 4"</v>
      </c>
      <c r="F277" s="1">
        <f ca="1">IFERROR(__xludf.DUMMYFUNCTION("""COMPUTED_VALUE"""),28701)</f>
        <v>28701</v>
      </c>
      <c r="G277">
        <f ca="1">IFERROR(__xludf.DUMMYFUNCTION("""COMPUTED_VALUE"""),35)</f>
        <v>35</v>
      </c>
      <c r="H277" s="2">
        <f ca="1">IFERROR(__xludf.DUMMYFUNCTION("""COMPUTED_VALUE"""),2391.75)</f>
        <v>2391.75</v>
      </c>
      <c r="I277" t="str">
        <f ca="1">IFERROR(__xludf.DUMMYFUNCTION("""COMPUTED_VALUE"""),"+11.00")</f>
        <v>+11.00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277"/>
  <sheetViews>
    <sheetView workbookViewId="0"/>
  </sheetViews>
  <sheetFormatPr defaultColWidth="14.42578125" defaultRowHeight="15.75" customHeight="1"/>
  <sheetData>
    <row r="1" spans="1:9" ht="15.75" customHeight="1">
      <c r="A1" t="str">
        <f ca="1">IFERROR(__xludf.DUMMYFUNCTION("importhtml(""http://www.pgatour.com/stats/stat.419.html"",""table"",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IFERROR(__xludf.DUMMYFUNCTION("""COMPUTED_VALUE"""),"ATTEMPTS")</f>
        <v>ATTEMPTS</v>
      </c>
      <c r="G1" t="str">
        <f ca="1">IFERROR(__xludf.DUMMYFUNCTION("""COMPUTED_VALUE"""),"NON-ATTEMPTS")</f>
        <v>NON-ATTEMPTS</v>
      </c>
      <c r="H1" t="str">
        <f ca="1">IFERROR(__xludf.DUMMYFUNCTION("""COMPUTED_VALUE"""),"RTP-GOING FOR THE GREEN")</f>
        <v>RTP-GOING FOR THE GREEN</v>
      </c>
      <c r="I1" t="str">
        <f ca="1">IFERROR(__xludf.DUMMYFUNCTION("""COMPUTED_VALUE"""),"RTP-NOT GOING FOR THE GRN")</f>
        <v>RTP-NOT GOING FOR THE GRN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IFERROR(__xludf.DUMMYFUNCTION("""COMPUTED_VALUE"""),"Justin Suh")</f>
        <v>Justin Suh</v>
      </c>
      <c r="D2">
        <f ca="1">IFERROR(__xludf.DUMMYFUNCTION("""COMPUTED_VALUE"""),10)</f>
        <v>10</v>
      </c>
      <c r="E2">
        <f ca="1">IFERROR(__xludf.DUMMYFUNCTION("""COMPUTED_VALUE"""),88.24)</f>
        <v>88.24</v>
      </c>
      <c r="F2">
        <f ca="1">IFERROR(__xludf.DUMMYFUNCTION("""COMPUTED_VALUE"""),15)</f>
        <v>15</v>
      </c>
      <c r="G2">
        <f ca="1">IFERROR(__xludf.DUMMYFUNCTION("""COMPUTED_VALUE"""),2)</f>
        <v>2</v>
      </c>
      <c r="H2">
        <f ca="1">IFERROR(__xludf.DUMMYFUNCTION("""COMPUTED_VALUE"""),-12)</f>
        <v>-12</v>
      </c>
      <c r="I2">
        <f ca="1">IFERROR(__xludf.DUMMYFUNCTION("""COMPUTED_VALUE"""),-2)</f>
        <v>-2</v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IFERROR(__xludf.DUMMYFUNCTION("""COMPUTED_VALUE"""),4)</f>
        <v>4</v>
      </c>
      <c r="C3" t="str">
        <f ca="1">IFERROR(__xludf.DUMMYFUNCTION("""COMPUTED_VALUE"""),"Nelson Ledesma")</f>
        <v>Nelson Ledesma</v>
      </c>
      <c r="D3">
        <f ca="1">IFERROR(__xludf.DUMMYFUNCTION("""COMPUTED_VALUE"""),8)</f>
        <v>8</v>
      </c>
      <c r="E3">
        <f ca="1">IFERROR(__xludf.DUMMYFUNCTION("""COMPUTED_VALUE"""),81.25)</f>
        <v>81.25</v>
      </c>
      <c r="F3">
        <f ca="1">IFERROR(__xludf.DUMMYFUNCTION("""COMPUTED_VALUE"""),13)</f>
        <v>13</v>
      </c>
      <c r="G3">
        <f ca="1">IFERROR(__xludf.DUMMYFUNCTION("""COMPUTED_VALUE"""),3)</f>
        <v>3</v>
      </c>
      <c r="H3">
        <f ca="1">IFERROR(__xludf.DUMMYFUNCTION("""COMPUTED_VALUE"""),-7)</f>
        <v>-7</v>
      </c>
      <c r="I3">
        <f ca="1">IFERROR(__xludf.DUMMYFUNCTION("""COMPUTED_VALUE"""),-1)</f>
        <v>-1</v>
      </c>
    </row>
    <row r="4" spans="1:9" ht="15.75" customHeight="1">
      <c r="A4">
        <f ca="1">IFERROR(__xludf.DUMMYFUNCTION("""COMPUTED_VALUE"""),3)</f>
        <v>3</v>
      </c>
      <c r="B4">
        <f ca="1">IFERROR(__xludf.DUMMYFUNCTION("""COMPUTED_VALUE"""),6)</f>
        <v>6</v>
      </c>
      <c r="C4" t="str">
        <f ca="1">IFERROR(__xludf.DUMMYFUNCTION("""COMPUTED_VALUE"""),"Rory McIlroy")</f>
        <v>Rory McIlroy</v>
      </c>
      <c r="D4">
        <f ca="1">IFERROR(__xludf.DUMMYFUNCTION("""COMPUTED_VALUE"""),12)</f>
        <v>12</v>
      </c>
      <c r="E4">
        <f ca="1">IFERROR(__xludf.DUMMYFUNCTION("""COMPUTED_VALUE"""),80.36)</f>
        <v>80.36</v>
      </c>
      <c r="F4">
        <f ca="1">IFERROR(__xludf.DUMMYFUNCTION("""COMPUTED_VALUE"""),45)</f>
        <v>45</v>
      </c>
      <c r="G4">
        <f ca="1">IFERROR(__xludf.DUMMYFUNCTION("""COMPUTED_VALUE"""),11)</f>
        <v>11</v>
      </c>
      <c r="H4">
        <f ca="1">IFERROR(__xludf.DUMMYFUNCTION("""COMPUTED_VALUE"""),-26)</f>
        <v>-26</v>
      </c>
      <c r="I4">
        <f ca="1">IFERROR(__xludf.DUMMYFUNCTION("""COMPUTED_VALUE"""),-2)</f>
        <v>-2</v>
      </c>
    </row>
    <row r="5" spans="1:9" ht="15.75" customHeight="1">
      <c r="A5">
        <f ca="1">IFERROR(__xludf.DUMMYFUNCTION("""COMPUTED_VALUE"""),4)</f>
        <v>4</v>
      </c>
      <c r="B5">
        <f ca="1">IFERROR(__xludf.DUMMYFUNCTION("""COMPUTED_VALUE"""),7)</f>
        <v>7</v>
      </c>
      <c r="C5" t="str">
        <f ca="1">IFERROR(__xludf.DUMMYFUNCTION("""COMPUTED_VALUE"""),"Bryson DeChambeau")</f>
        <v>Bryson DeChambeau</v>
      </c>
      <c r="D5">
        <f ca="1">IFERROR(__xludf.DUMMYFUNCTION("""COMPUTED_VALUE"""),8)</f>
        <v>8</v>
      </c>
      <c r="E5">
        <f ca="1">IFERROR(__xludf.DUMMYFUNCTION("""COMPUTED_VALUE"""),79.31)</f>
        <v>79.31</v>
      </c>
      <c r="F5">
        <f ca="1">IFERROR(__xludf.DUMMYFUNCTION("""COMPUTED_VALUE"""),23)</f>
        <v>23</v>
      </c>
      <c r="G5">
        <f ca="1">IFERROR(__xludf.DUMMYFUNCTION("""COMPUTED_VALUE"""),6)</f>
        <v>6</v>
      </c>
      <c r="H5">
        <f ca="1">IFERROR(__xludf.DUMMYFUNCTION("""COMPUTED_VALUE"""),-21)</f>
        <v>-21</v>
      </c>
      <c r="I5" t="str">
        <f ca="1">IFERROR(__xludf.DUMMYFUNCTION("""COMPUTED_VALUE"""),"+2")</f>
        <v>+2</v>
      </c>
    </row>
    <row r="6" spans="1:9" ht="15.75" customHeight="1">
      <c r="A6" t="str">
        <f ca="1">IFERROR(__xludf.DUMMYFUNCTION("""COMPUTED_VALUE"""),"T5")</f>
        <v>T5</v>
      </c>
      <c r="B6">
        <f ca="1">IFERROR(__xludf.DUMMYFUNCTION("""COMPUTED_VALUE"""),10)</f>
        <v>10</v>
      </c>
      <c r="C6" t="str">
        <f ca="1">IFERROR(__xludf.DUMMYFUNCTION("""COMPUTED_VALUE"""),"Cameron Champ")</f>
        <v>Cameron Champ</v>
      </c>
      <c r="D6">
        <f ca="1">IFERROR(__xludf.DUMMYFUNCTION("""COMPUTED_VALUE"""),12)</f>
        <v>12</v>
      </c>
      <c r="E6">
        <f ca="1">IFERROR(__xludf.DUMMYFUNCTION("""COMPUTED_VALUE"""),77.97)</f>
        <v>77.97</v>
      </c>
      <c r="F6">
        <f ca="1">IFERROR(__xludf.DUMMYFUNCTION("""COMPUTED_VALUE"""),46)</f>
        <v>46</v>
      </c>
      <c r="G6">
        <f ca="1">IFERROR(__xludf.DUMMYFUNCTION("""COMPUTED_VALUE"""),13)</f>
        <v>13</v>
      </c>
      <c r="H6">
        <f ca="1">IFERROR(__xludf.DUMMYFUNCTION("""COMPUTED_VALUE"""),-32)</f>
        <v>-32</v>
      </c>
      <c r="I6">
        <f ca="1">IFERROR(__xludf.DUMMYFUNCTION("""COMPUTED_VALUE"""),-1)</f>
        <v>-1</v>
      </c>
    </row>
    <row r="7" spans="1:9" ht="15.75" customHeight="1">
      <c r="A7" t="str">
        <f ca="1">IFERROR(__xludf.DUMMYFUNCTION("""COMPUTED_VALUE"""),"T5")</f>
        <v>T5</v>
      </c>
      <c r="B7">
        <f ca="1">IFERROR(__xludf.DUMMYFUNCTION("""COMPUTED_VALUE"""),2)</f>
        <v>2</v>
      </c>
      <c r="C7" t="str">
        <f ca="1">IFERROR(__xludf.DUMMYFUNCTION("""COMPUTED_VALUE"""),"Will Gordon")</f>
        <v>Will Gordon</v>
      </c>
      <c r="D7">
        <f ca="1">IFERROR(__xludf.DUMMYFUNCTION("""COMPUTED_VALUE"""),20)</f>
        <v>20</v>
      </c>
      <c r="E7">
        <f ca="1">IFERROR(__xludf.DUMMYFUNCTION("""COMPUTED_VALUE"""),77.97)</f>
        <v>77.97</v>
      </c>
      <c r="F7">
        <f ca="1">IFERROR(__xludf.DUMMYFUNCTION("""COMPUTED_VALUE"""),46)</f>
        <v>46</v>
      </c>
      <c r="G7">
        <f ca="1">IFERROR(__xludf.DUMMYFUNCTION("""COMPUTED_VALUE"""),13)</f>
        <v>13</v>
      </c>
      <c r="H7">
        <f ca="1">IFERROR(__xludf.DUMMYFUNCTION("""COMPUTED_VALUE"""),-29)</f>
        <v>-29</v>
      </c>
      <c r="I7" t="str">
        <f ca="1">IFERROR(__xludf.DUMMYFUNCTION("""COMPUTED_VALUE"""),"+1")</f>
        <v>+1</v>
      </c>
    </row>
    <row r="8" spans="1:9" ht="15.75" customHeight="1">
      <c r="A8">
        <f ca="1">IFERROR(__xludf.DUMMYFUNCTION("""COMPUTED_VALUE"""),7)</f>
        <v>7</v>
      </c>
      <c r="B8" t="str">
        <f ca="1">IFERROR(__xludf.DUMMYFUNCTION("""COMPUTED_VALUE"""),"T8")</f>
        <v>T8</v>
      </c>
      <c r="C8" t="str">
        <f ca="1">IFERROR(__xludf.DUMMYFUNCTION("""COMPUTED_VALUE"""),"Sam Burns")</f>
        <v>Sam Burns</v>
      </c>
      <c r="D8">
        <f ca="1">IFERROR(__xludf.DUMMYFUNCTION("""COMPUTED_VALUE"""),18)</f>
        <v>18</v>
      </c>
      <c r="E8">
        <f ca="1">IFERROR(__xludf.DUMMYFUNCTION("""COMPUTED_VALUE"""),77.19)</f>
        <v>77.19</v>
      </c>
      <c r="F8">
        <f ca="1">IFERROR(__xludf.DUMMYFUNCTION("""COMPUTED_VALUE"""),44)</f>
        <v>44</v>
      </c>
      <c r="G8">
        <f ca="1">IFERROR(__xludf.DUMMYFUNCTION("""COMPUTED_VALUE"""),13)</f>
        <v>13</v>
      </c>
      <c r="H8">
        <f ca="1">IFERROR(__xludf.DUMMYFUNCTION("""COMPUTED_VALUE"""),-28)</f>
        <v>-28</v>
      </c>
      <c r="I8">
        <f ca="1">IFERROR(__xludf.DUMMYFUNCTION("""COMPUTED_VALUE"""),-4)</f>
        <v>-4</v>
      </c>
    </row>
    <row r="9" spans="1:9" ht="15.75" customHeight="1">
      <c r="A9">
        <f ca="1">IFERROR(__xludf.DUMMYFUNCTION("""COMPUTED_VALUE"""),8)</f>
        <v>8</v>
      </c>
      <c r="B9">
        <f ca="1">IFERROR(__xludf.DUMMYFUNCTION("""COMPUTED_VALUE"""),5)</f>
        <v>5</v>
      </c>
      <c r="C9" t="str">
        <f ca="1">IFERROR(__xludf.DUMMYFUNCTION("""COMPUTED_VALUE"""),"Beau Hossler")</f>
        <v>Beau Hossler</v>
      </c>
      <c r="D9">
        <f ca="1">IFERROR(__xludf.DUMMYFUNCTION("""COMPUTED_VALUE"""),22)</f>
        <v>22</v>
      </c>
      <c r="E9">
        <f ca="1">IFERROR(__xludf.DUMMYFUNCTION("""COMPUTED_VALUE"""),76.27)</f>
        <v>76.27</v>
      </c>
      <c r="F9">
        <f ca="1">IFERROR(__xludf.DUMMYFUNCTION("""COMPUTED_VALUE"""),45)</f>
        <v>45</v>
      </c>
      <c r="G9">
        <f ca="1">IFERROR(__xludf.DUMMYFUNCTION("""COMPUTED_VALUE"""),14)</f>
        <v>14</v>
      </c>
      <c r="H9">
        <f ca="1">IFERROR(__xludf.DUMMYFUNCTION("""COMPUTED_VALUE"""),-29)</f>
        <v>-29</v>
      </c>
      <c r="I9" t="str">
        <f ca="1">IFERROR(__xludf.DUMMYFUNCTION("""COMPUTED_VALUE"""),"+4")</f>
        <v>+4</v>
      </c>
    </row>
    <row r="10" spans="1:9" ht="15.75" customHeight="1">
      <c r="A10">
        <f ca="1">IFERROR(__xludf.DUMMYFUNCTION("""COMPUTED_VALUE"""),9)</f>
        <v>9</v>
      </c>
      <c r="B10" t="str">
        <f ca="1">IFERROR(__xludf.DUMMYFUNCTION("""COMPUTED_VALUE"""),"T14")</f>
        <v>T14</v>
      </c>
      <c r="C10" t="str">
        <f ca="1">IFERROR(__xludf.DUMMYFUNCTION("""COMPUTED_VALUE"""),"MJ Daffue")</f>
        <v>MJ Daffue</v>
      </c>
      <c r="D10">
        <f ca="1">IFERROR(__xludf.DUMMYFUNCTION("""COMPUTED_VALUE"""),10)</f>
        <v>10</v>
      </c>
      <c r="E10">
        <f ca="1">IFERROR(__xludf.DUMMYFUNCTION("""COMPUTED_VALUE"""),75.56)</f>
        <v>75.56</v>
      </c>
      <c r="F10">
        <f ca="1">IFERROR(__xludf.DUMMYFUNCTION("""COMPUTED_VALUE"""),34)</f>
        <v>34</v>
      </c>
      <c r="G10">
        <f ca="1">IFERROR(__xludf.DUMMYFUNCTION("""COMPUTED_VALUE"""),11)</f>
        <v>11</v>
      </c>
      <c r="H10">
        <f ca="1">IFERROR(__xludf.DUMMYFUNCTION("""COMPUTED_VALUE"""),-23)</f>
        <v>-23</v>
      </c>
      <c r="I10" t="str">
        <f ca="1">IFERROR(__xludf.DUMMYFUNCTION("""COMPUTED_VALUE"""),"E")</f>
        <v>E</v>
      </c>
    </row>
    <row r="11" spans="1:9" ht="15.75" customHeight="1">
      <c r="A11">
        <f ca="1">IFERROR(__xludf.DUMMYFUNCTION("""COMPUTED_VALUE"""),10)</f>
        <v>10</v>
      </c>
      <c r="B11" t="str">
        <f ca="1">IFERROR(__xludf.DUMMYFUNCTION("""COMPUTED_VALUE"""),"T17")</f>
        <v>T17</v>
      </c>
      <c r="C11" t="str">
        <f ca="1">IFERROR(__xludf.DUMMYFUNCTION("""COMPUTED_VALUE"""),"Michael Gligic")</f>
        <v>Michael Gligic</v>
      </c>
      <c r="D11">
        <f ca="1">IFERROR(__xludf.DUMMYFUNCTION("""COMPUTED_VALUE"""),18)</f>
        <v>18</v>
      </c>
      <c r="E11">
        <f ca="1">IFERROR(__xludf.DUMMYFUNCTION("""COMPUTED_VALUE"""),75.47)</f>
        <v>75.47</v>
      </c>
      <c r="F11">
        <f ca="1">IFERROR(__xludf.DUMMYFUNCTION("""COMPUTED_VALUE"""),40)</f>
        <v>40</v>
      </c>
      <c r="G11">
        <f ca="1">IFERROR(__xludf.DUMMYFUNCTION("""COMPUTED_VALUE"""),13)</f>
        <v>13</v>
      </c>
      <c r="H11">
        <f ca="1">IFERROR(__xludf.DUMMYFUNCTION("""COMPUTED_VALUE"""),-18)</f>
        <v>-18</v>
      </c>
      <c r="I11">
        <f ca="1">IFERROR(__xludf.DUMMYFUNCTION("""COMPUTED_VALUE"""),-5)</f>
        <v>-5</v>
      </c>
    </row>
    <row r="12" spans="1:9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IFERROR(__xludf.DUMMYFUNCTION("""COMPUTED_VALUE"""),"Sergio Garcia")</f>
        <v>Sergio Garcia</v>
      </c>
      <c r="D12">
        <f ca="1">IFERROR(__xludf.DUMMYFUNCTION("""COMPUTED_VALUE"""),18)</f>
        <v>18</v>
      </c>
      <c r="E12">
        <f ca="1">IFERROR(__xludf.DUMMYFUNCTION("""COMPUTED_VALUE"""),75.32)</f>
        <v>75.319999999999993</v>
      </c>
      <c r="F12">
        <f ca="1">IFERROR(__xludf.DUMMYFUNCTION("""COMPUTED_VALUE"""),58)</f>
        <v>58</v>
      </c>
      <c r="G12">
        <f ca="1">IFERROR(__xludf.DUMMYFUNCTION("""COMPUTED_VALUE"""),19)</f>
        <v>19</v>
      </c>
      <c r="H12">
        <f ca="1">IFERROR(__xludf.DUMMYFUNCTION("""COMPUTED_VALUE"""),-31)</f>
        <v>-31</v>
      </c>
      <c r="I12">
        <f ca="1">IFERROR(__xludf.DUMMYFUNCTION("""COMPUTED_VALUE"""),-6)</f>
        <v>-6</v>
      </c>
    </row>
    <row r="13" spans="1:9" ht="15.75" customHeight="1">
      <c r="A13" t="str">
        <f ca="1">IFERROR(__xludf.DUMMYFUNCTION("""COMPUTED_VALUE"""),"T12")</f>
        <v>T12</v>
      </c>
      <c r="B13" t="str">
        <f ca="1">IFERROR(__xludf.DUMMYFUNCTION("""COMPUTED_VALUE"""),"T19")</f>
        <v>T19</v>
      </c>
      <c r="C13" t="str">
        <f ca="1">IFERROR(__xludf.DUMMYFUNCTION("""COMPUTED_VALUE"""),"Bubba Watson")</f>
        <v>Bubba Watson</v>
      </c>
      <c r="D13">
        <f ca="1">IFERROR(__xludf.DUMMYFUNCTION("""COMPUTED_VALUE"""),12)</f>
        <v>12</v>
      </c>
      <c r="E13">
        <f ca="1">IFERROR(__xludf.DUMMYFUNCTION("""COMPUTED_VALUE"""),75)</f>
        <v>75</v>
      </c>
      <c r="F13">
        <f ca="1">IFERROR(__xludf.DUMMYFUNCTION("""COMPUTED_VALUE"""),42)</f>
        <v>42</v>
      </c>
      <c r="G13">
        <f ca="1">IFERROR(__xludf.DUMMYFUNCTION("""COMPUTED_VALUE"""),14)</f>
        <v>14</v>
      </c>
      <c r="H13">
        <f ca="1">IFERROR(__xludf.DUMMYFUNCTION("""COMPUTED_VALUE"""),-27)</f>
        <v>-27</v>
      </c>
      <c r="I13">
        <f ca="1">IFERROR(__xludf.DUMMYFUNCTION("""COMPUTED_VALUE"""),-2)</f>
        <v>-2</v>
      </c>
    </row>
    <row r="14" spans="1:9" ht="15.75" customHeight="1">
      <c r="A14" t="str">
        <f ca="1">IFERROR(__xludf.DUMMYFUNCTION("""COMPUTED_VALUE"""),"T12")</f>
        <v>T12</v>
      </c>
      <c r="B14" t="str">
        <f ca="1">IFERROR(__xludf.DUMMYFUNCTION("""COMPUTED_VALUE"""),"T19")</f>
        <v>T19</v>
      </c>
      <c r="C14" t="str">
        <f ca="1">IFERROR(__xludf.DUMMYFUNCTION("""COMPUTED_VALUE"""),"Seamus Power")</f>
        <v>Seamus Power</v>
      </c>
      <c r="D14">
        <f ca="1">IFERROR(__xludf.DUMMYFUNCTION("""COMPUTED_VALUE"""),8)</f>
        <v>8</v>
      </c>
      <c r="E14">
        <f ca="1">IFERROR(__xludf.DUMMYFUNCTION("""COMPUTED_VALUE"""),75)</f>
        <v>75</v>
      </c>
      <c r="F14">
        <f ca="1">IFERROR(__xludf.DUMMYFUNCTION("""COMPUTED_VALUE"""),6)</f>
        <v>6</v>
      </c>
      <c r="G14">
        <f ca="1">IFERROR(__xludf.DUMMYFUNCTION("""COMPUTED_VALUE"""),2)</f>
        <v>2</v>
      </c>
      <c r="H14">
        <f ca="1">IFERROR(__xludf.DUMMYFUNCTION("""COMPUTED_VALUE"""),-2)</f>
        <v>-2</v>
      </c>
      <c r="I14" t="str">
        <f ca="1">IFERROR(__xludf.DUMMYFUNCTION("""COMPUTED_VALUE"""),"E")</f>
        <v>E</v>
      </c>
    </row>
    <row r="15" spans="1:9" ht="15.75" customHeight="1">
      <c r="A15" t="str">
        <f ca="1">IFERROR(__xludf.DUMMYFUNCTION("""COMPUTED_VALUE"""),"T12")</f>
        <v>T12</v>
      </c>
      <c r="B15" t="str">
        <f ca="1">IFERROR(__xludf.DUMMYFUNCTION("""COMPUTED_VALUE"""),"T19")</f>
        <v>T19</v>
      </c>
      <c r="C15" t="str">
        <f ca="1">IFERROR(__xludf.DUMMYFUNCTION("""COMPUTED_VALUE"""),"Jaekyeong Lee")</f>
        <v>Jaekyeong Lee</v>
      </c>
      <c r="D15">
        <f ca="1">IFERROR(__xludf.DUMMYFUNCTION("""COMPUTED_VALUE"""),4)</f>
        <v>4</v>
      </c>
      <c r="E15">
        <f ca="1">IFERROR(__xludf.DUMMYFUNCTION("""COMPUTED_VALUE"""),75)</f>
        <v>75</v>
      </c>
      <c r="F15">
        <f ca="1">IFERROR(__xludf.DUMMYFUNCTION("""COMPUTED_VALUE"""),15)</f>
        <v>15</v>
      </c>
      <c r="G15">
        <f ca="1">IFERROR(__xludf.DUMMYFUNCTION("""COMPUTED_VALUE"""),5)</f>
        <v>5</v>
      </c>
      <c r="H15">
        <f ca="1">IFERROR(__xludf.DUMMYFUNCTION("""COMPUTED_VALUE"""),-9)</f>
        <v>-9</v>
      </c>
      <c r="I15" t="str">
        <f ca="1">IFERROR(__xludf.DUMMYFUNCTION("""COMPUTED_VALUE"""),"+2")</f>
        <v>+2</v>
      </c>
    </row>
    <row r="16" spans="1:9" ht="15.75" customHeight="1">
      <c r="A16">
        <f ca="1">IFERROR(__xludf.DUMMYFUNCTION("""COMPUTED_VALUE"""),15)</f>
        <v>15</v>
      </c>
      <c r="B16" t="str">
        <f ca="1">IFERROR(__xludf.DUMMYFUNCTION("""COMPUTED_VALUE"""),"T14")</f>
        <v>T14</v>
      </c>
      <c r="C16" t="str">
        <f ca="1">IFERROR(__xludf.DUMMYFUNCTION("""COMPUTED_VALUE"""),"Matthew NeSmith")</f>
        <v>Matthew NeSmith</v>
      </c>
      <c r="D16">
        <f ca="1">IFERROR(__xludf.DUMMYFUNCTION("""COMPUTED_VALUE"""),16)</f>
        <v>16</v>
      </c>
      <c r="E16">
        <f ca="1">IFERROR(__xludf.DUMMYFUNCTION("""COMPUTED_VALUE"""),74.51)</f>
        <v>74.510000000000005</v>
      </c>
      <c r="F16">
        <f ca="1">IFERROR(__xludf.DUMMYFUNCTION("""COMPUTED_VALUE"""),38)</f>
        <v>38</v>
      </c>
      <c r="G16">
        <f ca="1">IFERROR(__xludf.DUMMYFUNCTION("""COMPUTED_VALUE"""),13)</f>
        <v>13</v>
      </c>
      <c r="H16">
        <f ca="1">IFERROR(__xludf.DUMMYFUNCTION("""COMPUTED_VALUE"""),-20)</f>
        <v>-20</v>
      </c>
      <c r="I16">
        <f ca="1">IFERROR(__xludf.DUMMYFUNCTION("""COMPUTED_VALUE"""),-1)</f>
        <v>-1</v>
      </c>
    </row>
    <row r="17" spans="1:9" ht="15.75" customHeight="1">
      <c r="A17">
        <f ca="1">IFERROR(__xludf.DUMMYFUNCTION("""COMPUTED_VALUE"""),16)</f>
        <v>16</v>
      </c>
      <c r="B17">
        <f ca="1">IFERROR(__xludf.DUMMYFUNCTION("""COMPUTED_VALUE"""),12)</f>
        <v>12</v>
      </c>
      <c r="C17" t="str">
        <f ca="1">IFERROR(__xludf.DUMMYFUNCTION("""COMPUTED_VALUE"""),"Sungjae Im")</f>
        <v>Sungjae Im</v>
      </c>
      <c r="D17">
        <f ca="1">IFERROR(__xludf.DUMMYFUNCTION("""COMPUTED_VALUE"""),24)</f>
        <v>24</v>
      </c>
      <c r="E17">
        <f ca="1">IFERROR(__xludf.DUMMYFUNCTION("""COMPUTED_VALUE"""),73.83)</f>
        <v>73.83</v>
      </c>
      <c r="F17">
        <f ca="1">IFERROR(__xludf.DUMMYFUNCTION("""COMPUTED_VALUE"""),79)</f>
        <v>79</v>
      </c>
      <c r="G17">
        <f ca="1">IFERROR(__xludf.DUMMYFUNCTION("""COMPUTED_VALUE"""),28)</f>
        <v>28</v>
      </c>
      <c r="H17">
        <f ca="1">IFERROR(__xludf.DUMMYFUNCTION("""COMPUTED_VALUE"""),-37)</f>
        <v>-37</v>
      </c>
      <c r="I17" t="str">
        <f ca="1">IFERROR(__xludf.DUMMYFUNCTION("""COMPUTED_VALUE"""),"+1")</f>
        <v>+1</v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IFERROR(__xludf.DUMMYFUNCTION("""COMPUTED_VALUE"""),26)</f>
        <v>26</v>
      </c>
      <c r="C18" t="str">
        <f ca="1">IFERROR(__xludf.DUMMYFUNCTION("""COMPUTED_VALUE"""),"Ian Poulter")</f>
        <v>Ian Poulter</v>
      </c>
      <c r="D18">
        <f ca="1">IFERROR(__xludf.DUMMYFUNCTION("""COMPUTED_VALUE"""),6)</f>
        <v>6</v>
      </c>
      <c r="E18">
        <f ca="1">IFERROR(__xludf.DUMMYFUNCTION("""COMPUTED_VALUE"""),73.08)</f>
        <v>73.08</v>
      </c>
      <c r="F18">
        <f ca="1">IFERROR(__xludf.DUMMYFUNCTION("""COMPUTED_VALUE"""),19)</f>
        <v>19</v>
      </c>
      <c r="G18">
        <f ca="1">IFERROR(__xludf.DUMMYFUNCTION("""COMPUTED_VALUE"""),7)</f>
        <v>7</v>
      </c>
      <c r="H18">
        <f ca="1">IFERROR(__xludf.DUMMYFUNCTION("""COMPUTED_VALUE"""),-9)</f>
        <v>-9</v>
      </c>
      <c r="I18" t="str">
        <f ca="1">IFERROR(__xludf.DUMMYFUNCTION("""COMPUTED_VALUE"""),"+1")</f>
        <v>+1</v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IFERROR(__xludf.DUMMYFUNCTION("""COMPUTED_VALUE"""),"Si Woo Kim")</f>
        <v>Si Woo Kim</v>
      </c>
      <c r="D19">
        <f ca="1">IFERROR(__xludf.DUMMYFUNCTION("""COMPUTED_VALUE"""),20)</f>
        <v>20</v>
      </c>
      <c r="E19">
        <f ca="1">IFERROR(__xludf.DUMMYFUNCTION("""COMPUTED_VALUE"""),72.94)</f>
        <v>72.94</v>
      </c>
      <c r="F19">
        <f ca="1">IFERROR(__xludf.DUMMYFUNCTION("""COMPUTED_VALUE"""),62)</f>
        <v>62</v>
      </c>
      <c r="G19">
        <f ca="1">IFERROR(__xludf.DUMMYFUNCTION("""COMPUTED_VALUE"""),23)</f>
        <v>23</v>
      </c>
      <c r="H19">
        <f ca="1">IFERROR(__xludf.DUMMYFUNCTION("""COMPUTED_VALUE"""),-29)</f>
        <v>-29</v>
      </c>
      <c r="I19" t="str">
        <f ca="1">IFERROR(__xludf.DUMMYFUNCTION("""COMPUTED_VALUE"""),"+1")</f>
        <v>+1</v>
      </c>
    </row>
    <row r="20" spans="1:9" ht="15.75" customHeight="1">
      <c r="A20" t="str">
        <f ca="1">IFERROR(__xludf.DUMMYFUNCTION("""COMPUTED_VALUE"""),"T19")</f>
        <v>T19</v>
      </c>
      <c r="B20" t="str">
        <f ca="1">IFERROR(__xludf.DUMMYFUNCTION("""COMPUTED_VALUE"""),"T14")</f>
        <v>T14</v>
      </c>
      <c r="C20" t="str">
        <f ca="1">IFERROR(__xludf.DUMMYFUNCTION("""COMPUTED_VALUE"""),"Patton Kizzire")</f>
        <v>Patton Kizzire</v>
      </c>
      <c r="D20">
        <f ca="1">IFERROR(__xludf.DUMMYFUNCTION("""COMPUTED_VALUE"""),18)</f>
        <v>18</v>
      </c>
      <c r="E20">
        <f ca="1">IFERROR(__xludf.DUMMYFUNCTION("""COMPUTED_VALUE"""),72.88)</f>
        <v>72.88</v>
      </c>
      <c r="F20">
        <f ca="1">IFERROR(__xludf.DUMMYFUNCTION("""COMPUTED_VALUE"""),43)</f>
        <v>43</v>
      </c>
      <c r="G20">
        <f ca="1">IFERROR(__xludf.DUMMYFUNCTION("""COMPUTED_VALUE"""),16)</f>
        <v>16</v>
      </c>
      <c r="H20">
        <f ca="1">IFERROR(__xludf.DUMMYFUNCTION("""COMPUTED_VALUE"""),-23)</f>
        <v>-23</v>
      </c>
      <c r="I20" t="str">
        <f ca="1">IFERROR(__xludf.DUMMYFUNCTION("""COMPUTED_VALUE"""),"E")</f>
        <v>E</v>
      </c>
    </row>
    <row r="21" spans="1:9" ht="15.75" customHeight="1">
      <c r="A21" t="str">
        <f ca="1">IFERROR(__xludf.DUMMYFUNCTION("""COMPUTED_VALUE"""),"T19")</f>
        <v>T19</v>
      </c>
      <c r="B21">
        <f ca="1">IFERROR(__xludf.DUMMYFUNCTION("""COMPUTED_VALUE"""),11)</f>
        <v>11</v>
      </c>
      <c r="C21" t="str">
        <f ca="1">IFERROR(__xludf.DUMMYFUNCTION("""COMPUTED_VALUE"""),"Kristoffer Ventura")</f>
        <v>Kristoffer Ventura</v>
      </c>
      <c r="D21">
        <f ca="1">IFERROR(__xludf.DUMMYFUNCTION("""COMPUTED_VALUE"""),20)</f>
        <v>20</v>
      </c>
      <c r="E21">
        <f ca="1">IFERROR(__xludf.DUMMYFUNCTION("""COMPUTED_VALUE"""),72.88)</f>
        <v>72.88</v>
      </c>
      <c r="F21">
        <f ca="1">IFERROR(__xludf.DUMMYFUNCTION("""COMPUTED_VALUE"""),43)</f>
        <v>43</v>
      </c>
      <c r="G21">
        <f ca="1">IFERROR(__xludf.DUMMYFUNCTION("""COMPUTED_VALUE"""),16)</f>
        <v>16</v>
      </c>
      <c r="H21">
        <f ca="1">IFERROR(__xludf.DUMMYFUNCTION("""COMPUTED_VALUE"""),-25)</f>
        <v>-25</v>
      </c>
      <c r="I21">
        <f ca="1">IFERROR(__xludf.DUMMYFUNCTION("""COMPUTED_VALUE"""),-3)</f>
        <v>-3</v>
      </c>
    </row>
    <row r="22" spans="1:9" ht="15.75" customHeight="1">
      <c r="A22" t="str">
        <f ca="1">IFERROR(__xludf.DUMMYFUNCTION("""COMPUTED_VALUE"""),"T21")</f>
        <v>T21</v>
      </c>
      <c r="B22" t="str">
        <f ca="1">IFERROR(__xludf.DUMMYFUNCTION("""COMPUTED_VALUE"""),"T28")</f>
        <v>T28</v>
      </c>
      <c r="C22" t="str">
        <f ca="1">IFERROR(__xludf.DUMMYFUNCTION("""COMPUTED_VALUE"""),"Patrick Cantlay")</f>
        <v>Patrick Cantlay</v>
      </c>
      <c r="D22">
        <f ca="1">IFERROR(__xludf.DUMMYFUNCTION("""COMPUTED_VALUE"""),16)</f>
        <v>16</v>
      </c>
      <c r="E22">
        <f ca="1">IFERROR(__xludf.DUMMYFUNCTION("""COMPUTED_VALUE"""),72.6)</f>
        <v>72.599999999999994</v>
      </c>
      <c r="F22">
        <f ca="1">IFERROR(__xludf.DUMMYFUNCTION("""COMPUTED_VALUE"""),53)</f>
        <v>53</v>
      </c>
      <c r="G22">
        <f ca="1">IFERROR(__xludf.DUMMYFUNCTION("""COMPUTED_VALUE"""),20)</f>
        <v>20</v>
      </c>
      <c r="H22">
        <f ca="1">IFERROR(__xludf.DUMMYFUNCTION("""COMPUTED_VALUE"""),-29)</f>
        <v>-29</v>
      </c>
      <c r="I22">
        <f ca="1">IFERROR(__xludf.DUMMYFUNCTION("""COMPUTED_VALUE"""),-1)</f>
        <v>-1</v>
      </c>
    </row>
    <row r="23" spans="1:9" ht="15.75" customHeight="1">
      <c r="A23" t="str">
        <f ca="1">IFERROR(__xludf.DUMMYFUNCTION("""COMPUTED_VALUE"""),"T21")</f>
        <v>T21</v>
      </c>
      <c r="B23" t="str">
        <f ca="1">IFERROR(__xludf.DUMMYFUNCTION("""COMPUTED_VALUE"""),"T28")</f>
        <v>T28</v>
      </c>
      <c r="C23" t="str">
        <f ca="1">IFERROR(__xludf.DUMMYFUNCTION("""COMPUTED_VALUE"""),"Joaquin Niemann")</f>
        <v>Joaquin Niemann</v>
      </c>
      <c r="D23">
        <f ca="1">IFERROR(__xludf.DUMMYFUNCTION("""COMPUTED_VALUE"""),16)</f>
        <v>16</v>
      </c>
      <c r="E23">
        <f ca="1">IFERROR(__xludf.DUMMYFUNCTION("""COMPUTED_VALUE"""),72.6)</f>
        <v>72.599999999999994</v>
      </c>
      <c r="F23">
        <f ca="1">IFERROR(__xludf.DUMMYFUNCTION("""COMPUTED_VALUE"""),53)</f>
        <v>53</v>
      </c>
      <c r="G23">
        <f ca="1">IFERROR(__xludf.DUMMYFUNCTION("""COMPUTED_VALUE"""),20)</f>
        <v>20</v>
      </c>
      <c r="H23">
        <f ca="1">IFERROR(__xludf.DUMMYFUNCTION("""COMPUTED_VALUE"""),-29)</f>
        <v>-29</v>
      </c>
      <c r="I23" t="str">
        <f ca="1">IFERROR(__xludf.DUMMYFUNCTION("""COMPUTED_VALUE"""),"E")</f>
        <v>E</v>
      </c>
    </row>
    <row r="24" spans="1:9" ht="15.75" customHeight="1">
      <c r="A24">
        <f ca="1">IFERROR(__xludf.DUMMYFUNCTION("""COMPUTED_VALUE"""),23)</f>
        <v>23</v>
      </c>
      <c r="B24">
        <f ca="1">IFERROR(__xludf.DUMMYFUNCTION("""COMPUTED_VALUE"""),31)</f>
        <v>31</v>
      </c>
      <c r="C24" t="str">
        <f ca="1">IFERROR(__xludf.DUMMYFUNCTION("""COMPUTED_VALUE"""),"Charles Howell III")</f>
        <v>Charles Howell III</v>
      </c>
      <c r="D24">
        <f ca="1">IFERROR(__xludf.DUMMYFUNCTION("""COMPUTED_VALUE"""),10)</f>
        <v>10</v>
      </c>
      <c r="E24">
        <f ca="1">IFERROR(__xludf.DUMMYFUNCTION("""COMPUTED_VALUE"""),72.41)</f>
        <v>72.41</v>
      </c>
      <c r="F24">
        <f ca="1">IFERROR(__xludf.DUMMYFUNCTION("""COMPUTED_VALUE"""),21)</f>
        <v>21</v>
      </c>
      <c r="G24">
        <f ca="1">IFERROR(__xludf.DUMMYFUNCTION("""COMPUTED_VALUE"""),8)</f>
        <v>8</v>
      </c>
      <c r="H24">
        <f ca="1">IFERROR(__xludf.DUMMYFUNCTION("""COMPUTED_VALUE"""),-11)</f>
        <v>-11</v>
      </c>
      <c r="I24" t="str">
        <f ca="1">IFERROR(__xludf.DUMMYFUNCTION("""COMPUTED_VALUE"""),"+2")</f>
        <v>+2</v>
      </c>
    </row>
    <row r="25" spans="1:9" ht="15.75" customHeight="1">
      <c r="A25">
        <f ca="1">IFERROR(__xludf.DUMMYFUNCTION("""COMPUTED_VALUE"""),24)</f>
        <v>24</v>
      </c>
      <c r="B25">
        <f ca="1">IFERROR(__xludf.DUMMYFUNCTION("""COMPUTED_VALUE"""),32)</f>
        <v>32</v>
      </c>
      <c r="C25" t="str">
        <f ca="1">IFERROR(__xludf.DUMMYFUNCTION("""COMPUTED_VALUE"""),"Vincent Whaley")</f>
        <v>Vincent Whaley</v>
      </c>
      <c r="D25">
        <f ca="1">IFERROR(__xludf.DUMMYFUNCTION("""COMPUTED_VALUE"""),14)</f>
        <v>14</v>
      </c>
      <c r="E25">
        <f ca="1">IFERROR(__xludf.DUMMYFUNCTION("""COMPUTED_VALUE"""),72.22)</f>
        <v>72.22</v>
      </c>
      <c r="F25">
        <f ca="1">IFERROR(__xludf.DUMMYFUNCTION("""COMPUTED_VALUE"""),26)</f>
        <v>26</v>
      </c>
      <c r="G25">
        <f ca="1">IFERROR(__xludf.DUMMYFUNCTION("""COMPUTED_VALUE"""),10)</f>
        <v>10</v>
      </c>
      <c r="H25">
        <f ca="1">IFERROR(__xludf.DUMMYFUNCTION("""COMPUTED_VALUE"""),-12)</f>
        <v>-12</v>
      </c>
      <c r="I25" t="str">
        <f ca="1">IFERROR(__xludf.DUMMYFUNCTION("""COMPUTED_VALUE"""),"+2")</f>
        <v>+2</v>
      </c>
    </row>
    <row r="26" spans="1:9" ht="15.75" customHeight="1">
      <c r="A26">
        <f ca="1">IFERROR(__xludf.DUMMYFUNCTION("""COMPUTED_VALUE"""),25)</f>
        <v>25</v>
      </c>
      <c r="B26" t="str">
        <f ca="1">IFERROR(__xludf.DUMMYFUNCTION("""COMPUTED_VALUE"""),"T17")</f>
        <v>T17</v>
      </c>
      <c r="C26" t="str">
        <f ca="1">IFERROR(__xludf.DUMMYFUNCTION("""COMPUTED_VALUE"""),"Cameron Davis")</f>
        <v>Cameron Davis</v>
      </c>
      <c r="D26">
        <f ca="1">IFERROR(__xludf.DUMMYFUNCTION("""COMPUTED_VALUE"""),16)</f>
        <v>16</v>
      </c>
      <c r="E26">
        <f ca="1">IFERROR(__xludf.DUMMYFUNCTION("""COMPUTED_VALUE"""),71.64)</f>
        <v>71.64</v>
      </c>
      <c r="F26">
        <f ca="1">IFERROR(__xludf.DUMMYFUNCTION("""COMPUTED_VALUE"""),48)</f>
        <v>48</v>
      </c>
      <c r="G26">
        <f ca="1">IFERROR(__xludf.DUMMYFUNCTION("""COMPUTED_VALUE"""),19)</f>
        <v>19</v>
      </c>
      <c r="H26">
        <f ca="1">IFERROR(__xludf.DUMMYFUNCTION("""COMPUTED_VALUE"""),-26)</f>
        <v>-26</v>
      </c>
      <c r="I26">
        <f ca="1">IFERROR(__xludf.DUMMYFUNCTION("""COMPUTED_VALUE"""),-4)</f>
        <v>-4</v>
      </c>
    </row>
    <row r="27" spans="1:9" ht="15.75" customHeight="1">
      <c r="A27" t="str">
        <f ca="1">IFERROR(__xludf.DUMMYFUNCTION("""COMPUTED_VALUE"""),"T26")</f>
        <v>T26</v>
      </c>
      <c r="B27">
        <f ca="1">IFERROR(__xludf.DUMMYFUNCTION("""COMPUTED_VALUE"""),34)</f>
        <v>34</v>
      </c>
      <c r="C27" t="str">
        <f ca="1">IFERROR(__xludf.DUMMYFUNCTION("""COMPUTED_VALUE"""),"Billy Horschel")</f>
        <v>Billy Horschel</v>
      </c>
      <c r="D27">
        <f ca="1">IFERROR(__xludf.DUMMYFUNCTION("""COMPUTED_VALUE"""),12)</f>
        <v>12</v>
      </c>
      <c r="E27">
        <f ca="1">IFERROR(__xludf.DUMMYFUNCTION("""COMPUTED_VALUE"""),71.43)</f>
        <v>71.430000000000007</v>
      </c>
      <c r="F27">
        <f ca="1">IFERROR(__xludf.DUMMYFUNCTION("""COMPUTED_VALUE"""),40)</f>
        <v>40</v>
      </c>
      <c r="G27">
        <f ca="1">IFERROR(__xludf.DUMMYFUNCTION("""COMPUTED_VALUE"""),16)</f>
        <v>16</v>
      </c>
      <c r="H27">
        <f ca="1">IFERROR(__xludf.DUMMYFUNCTION("""COMPUTED_VALUE"""),-15)</f>
        <v>-15</v>
      </c>
      <c r="I27">
        <f ca="1">IFERROR(__xludf.DUMMYFUNCTION("""COMPUTED_VALUE"""),-1)</f>
        <v>-1</v>
      </c>
    </row>
    <row r="28" spans="1:9" ht="15.75" customHeight="1">
      <c r="A28" t="str">
        <f ca="1">IFERROR(__xludf.DUMMYFUNCTION("""COMPUTED_VALUE"""),"T26")</f>
        <v>T26</v>
      </c>
      <c r="B28">
        <f ca="1">IFERROR(__xludf.DUMMYFUNCTION("""COMPUTED_VALUE"""),24)</f>
        <v>24</v>
      </c>
      <c r="C28" t="str">
        <f ca="1">IFERROR(__xludf.DUMMYFUNCTION("""COMPUTED_VALUE"""),"Dylan Frittelli")</f>
        <v>Dylan Frittelli</v>
      </c>
      <c r="D28">
        <f ca="1">IFERROR(__xludf.DUMMYFUNCTION("""COMPUTED_VALUE"""),16)</f>
        <v>16</v>
      </c>
      <c r="E28">
        <f ca="1">IFERROR(__xludf.DUMMYFUNCTION("""COMPUTED_VALUE"""),71.43)</f>
        <v>71.430000000000007</v>
      </c>
      <c r="F28">
        <f ca="1">IFERROR(__xludf.DUMMYFUNCTION("""COMPUTED_VALUE"""),55)</f>
        <v>55</v>
      </c>
      <c r="G28">
        <f ca="1">IFERROR(__xludf.DUMMYFUNCTION("""COMPUTED_VALUE"""),22)</f>
        <v>22</v>
      </c>
      <c r="H28">
        <f ca="1">IFERROR(__xludf.DUMMYFUNCTION("""COMPUTED_VALUE"""),-32)</f>
        <v>-32</v>
      </c>
      <c r="I28" t="str">
        <f ca="1">IFERROR(__xludf.DUMMYFUNCTION("""COMPUTED_VALUE"""),"+7")</f>
        <v>+7</v>
      </c>
    </row>
    <row r="29" spans="1:9" ht="15.75" customHeight="1">
      <c r="A29">
        <f ca="1">IFERROR(__xludf.DUMMYFUNCTION("""COMPUTED_VALUE"""),28)</f>
        <v>28</v>
      </c>
      <c r="B29">
        <f ca="1">IFERROR(__xludf.DUMMYFUNCTION("""COMPUTED_VALUE"""),38)</f>
        <v>38</v>
      </c>
      <c r="C29" t="str">
        <f ca="1">IFERROR(__xludf.DUMMYFUNCTION("""COMPUTED_VALUE"""),"Rikuya Hoshino")</f>
        <v>Rikuya Hoshino</v>
      </c>
      <c r="D29">
        <f ca="1">IFERROR(__xludf.DUMMYFUNCTION("""COMPUTED_VALUE"""),4)</f>
        <v>4</v>
      </c>
      <c r="E29">
        <f ca="1">IFERROR(__xludf.DUMMYFUNCTION("""COMPUTED_VALUE"""),70.83)</f>
        <v>70.83</v>
      </c>
      <c r="F29">
        <f ca="1">IFERROR(__xludf.DUMMYFUNCTION("""COMPUTED_VALUE"""),17)</f>
        <v>17</v>
      </c>
      <c r="G29">
        <f ca="1">IFERROR(__xludf.DUMMYFUNCTION("""COMPUTED_VALUE"""),7)</f>
        <v>7</v>
      </c>
      <c r="H29">
        <f ca="1">IFERROR(__xludf.DUMMYFUNCTION("""COMPUTED_VALUE"""),-6)</f>
        <v>-6</v>
      </c>
      <c r="I29">
        <f ca="1">IFERROR(__xludf.DUMMYFUNCTION("""COMPUTED_VALUE"""),-2)</f>
        <v>-2</v>
      </c>
    </row>
    <row r="30" spans="1:9" ht="15.75" customHeight="1">
      <c r="A30">
        <f ca="1">IFERROR(__xludf.DUMMYFUNCTION("""COMPUTED_VALUE"""),29)</f>
        <v>29</v>
      </c>
      <c r="B30">
        <f ca="1">IFERROR(__xludf.DUMMYFUNCTION("""COMPUTED_VALUE"""),22)</f>
        <v>22</v>
      </c>
      <c r="C30" t="str">
        <f ca="1">IFERROR(__xludf.DUMMYFUNCTION("""COMPUTED_VALUE"""),"Luke List")</f>
        <v>Luke List</v>
      </c>
      <c r="D30">
        <f ca="1">IFERROR(__xludf.DUMMYFUNCTION("""COMPUTED_VALUE"""),18)</f>
        <v>18</v>
      </c>
      <c r="E30">
        <f ca="1">IFERROR(__xludf.DUMMYFUNCTION("""COMPUTED_VALUE"""),70.73)</f>
        <v>70.73</v>
      </c>
      <c r="F30">
        <f ca="1">IFERROR(__xludf.DUMMYFUNCTION("""COMPUTED_VALUE"""),29)</f>
        <v>29</v>
      </c>
      <c r="G30">
        <f ca="1">IFERROR(__xludf.DUMMYFUNCTION("""COMPUTED_VALUE"""),12)</f>
        <v>12</v>
      </c>
      <c r="H30">
        <f ca="1">IFERROR(__xludf.DUMMYFUNCTION("""COMPUTED_VALUE"""),-23)</f>
        <v>-23</v>
      </c>
      <c r="I30" t="str">
        <f ca="1">IFERROR(__xludf.DUMMYFUNCTION("""COMPUTED_VALUE"""),"+5")</f>
        <v>+5</v>
      </c>
    </row>
    <row r="31" spans="1:9" ht="12.75">
      <c r="A31" t="str">
        <f ca="1">IFERROR(__xludf.DUMMYFUNCTION("""COMPUTED_VALUE"""),"T30")</f>
        <v>T30</v>
      </c>
      <c r="B31">
        <f ca="1">IFERROR(__xludf.DUMMYFUNCTION("""COMPUTED_VALUE"""),30)</f>
        <v>30</v>
      </c>
      <c r="C31" t="str">
        <f ca="1">IFERROR(__xludf.DUMMYFUNCTION("""COMPUTED_VALUE"""),"Danny Lee")</f>
        <v>Danny Lee</v>
      </c>
      <c r="D31">
        <f ca="1">IFERROR(__xludf.DUMMYFUNCTION("""COMPUTED_VALUE"""),15)</f>
        <v>15</v>
      </c>
      <c r="E31">
        <f ca="1">IFERROR(__xludf.DUMMYFUNCTION("""COMPUTED_VALUE"""),70.59)</f>
        <v>70.59</v>
      </c>
      <c r="F31">
        <f ca="1">IFERROR(__xludf.DUMMYFUNCTION("""COMPUTED_VALUE"""),48)</f>
        <v>48</v>
      </c>
      <c r="G31">
        <f ca="1">IFERROR(__xludf.DUMMYFUNCTION("""COMPUTED_VALUE"""),20)</f>
        <v>20</v>
      </c>
      <c r="H31">
        <f ca="1">IFERROR(__xludf.DUMMYFUNCTION("""COMPUTED_VALUE"""),-23)</f>
        <v>-23</v>
      </c>
      <c r="I31" t="str">
        <f ca="1">IFERROR(__xludf.DUMMYFUNCTION("""COMPUTED_VALUE"""),"+9")</f>
        <v>+9</v>
      </c>
    </row>
    <row r="32" spans="1:9" ht="12.75">
      <c r="A32" t="str">
        <f ca="1">IFERROR(__xludf.DUMMYFUNCTION("""COMPUTED_VALUE"""),"T30")</f>
        <v>T30</v>
      </c>
      <c r="B32">
        <f ca="1">IFERROR(__xludf.DUMMYFUNCTION("""COMPUTED_VALUE"""),39)</f>
        <v>39</v>
      </c>
      <c r="C32" t="str">
        <f ca="1">IFERROR(__xludf.DUMMYFUNCTION("""COMPUTED_VALUE"""),"George Markham")</f>
        <v>George Markham</v>
      </c>
      <c r="D32">
        <f ca="1">IFERROR(__xludf.DUMMYFUNCTION("""COMPUTED_VALUE"""),4)</f>
        <v>4</v>
      </c>
      <c r="E32">
        <f ca="1">IFERROR(__xludf.DUMMYFUNCTION("""COMPUTED_VALUE"""),70.59)</f>
        <v>70.59</v>
      </c>
      <c r="F32">
        <f ca="1">IFERROR(__xludf.DUMMYFUNCTION("""COMPUTED_VALUE"""),12)</f>
        <v>12</v>
      </c>
      <c r="G32">
        <f ca="1">IFERROR(__xludf.DUMMYFUNCTION("""COMPUTED_VALUE"""),5)</f>
        <v>5</v>
      </c>
      <c r="H32">
        <f ca="1">IFERROR(__xludf.DUMMYFUNCTION("""COMPUTED_VALUE"""),-7)</f>
        <v>-7</v>
      </c>
      <c r="I32">
        <f ca="1">IFERROR(__xludf.DUMMYFUNCTION("""COMPUTED_VALUE"""),-1)</f>
        <v>-1</v>
      </c>
    </row>
    <row r="33" spans="1:9" ht="12.75">
      <c r="A33" t="str">
        <f ca="1">IFERROR(__xludf.DUMMYFUNCTION("""COMPUTED_VALUE"""),"T30")</f>
        <v>T30</v>
      </c>
      <c r="B33">
        <f ca="1">IFERROR(__xludf.DUMMYFUNCTION("""COMPUTED_VALUE"""),36)</f>
        <v>36</v>
      </c>
      <c r="C33" t="str">
        <f ca="1">IFERROR(__xludf.DUMMYFUNCTION("""COMPUTED_VALUE"""),"Wyndham Clark")</f>
        <v>Wyndham Clark</v>
      </c>
      <c r="D33">
        <f ca="1">IFERROR(__xludf.DUMMYFUNCTION("""COMPUTED_VALUE"""),16)</f>
        <v>16</v>
      </c>
      <c r="E33">
        <f ca="1">IFERROR(__xludf.DUMMYFUNCTION("""COMPUTED_VALUE"""),70.59)</f>
        <v>70.59</v>
      </c>
      <c r="F33">
        <f ca="1">IFERROR(__xludf.DUMMYFUNCTION("""COMPUTED_VALUE"""),36)</f>
        <v>36</v>
      </c>
      <c r="G33">
        <f ca="1">IFERROR(__xludf.DUMMYFUNCTION("""COMPUTED_VALUE"""),15)</f>
        <v>15</v>
      </c>
      <c r="H33">
        <f ca="1">IFERROR(__xludf.DUMMYFUNCTION("""COMPUTED_VALUE"""),-23)</f>
        <v>-23</v>
      </c>
      <c r="I33">
        <f ca="1">IFERROR(__xludf.DUMMYFUNCTION("""COMPUTED_VALUE"""),-1)</f>
        <v>-1</v>
      </c>
    </row>
    <row r="34" spans="1:9" ht="12.75">
      <c r="A34">
        <f ca="1">IFERROR(__xludf.DUMMYFUNCTION("""COMPUTED_VALUE"""),33)</f>
        <v>33</v>
      </c>
      <c r="B34" t="str">
        <f ca="1">IFERROR(__xludf.DUMMYFUNCTION("""COMPUTED_VALUE"""),"T41")</f>
        <v>T41</v>
      </c>
      <c r="C34" t="str">
        <f ca="1">IFERROR(__xludf.DUMMYFUNCTION("""COMPUTED_VALUE"""),"Tyler McCumber")</f>
        <v>Tyler McCumber</v>
      </c>
      <c r="D34">
        <f ca="1">IFERROR(__xludf.DUMMYFUNCTION("""COMPUTED_VALUE"""),14)</f>
        <v>14</v>
      </c>
      <c r="E34">
        <f ca="1">IFERROR(__xludf.DUMMYFUNCTION("""COMPUTED_VALUE"""),70.27)</f>
        <v>70.27</v>
      </c>
      <c r="F34">
        <f ca="1">IFERROR(__xludf.DUMMYFUNCTION("""COMPUTED_VALUE"""),26)</f>
        <v>26</v>
      </c>
      <c r="G34">
        <f ca="1">IFERROR(__xludf.DUMMYFUNCTION("""COMPUTED_VALUE"""),11)</f>
        <v>11</v>
      </c>
      <c r="H34">
        <f ca="1">IFERROR(__xludf.DUMMYFUNCTION("""COMPUTED_VALUE"""),-17)</f>
        <v>-17</v>
      </c>
      <c r="I34">
        <f ca="1">IFERROR(__xludf.DUMMYFUNCTION("""COMPUTED_VALUE"""),-3)</f>
        <v>-3</v>
      </c>
    </row>
    <row r="35" spans="1:9" ht="12.75">
      <c r="A35">
        <f ca="1">IFERROR(__xludf.DUMMYFUNCTION("""COMPUTED_VALUE"""),34)</f>
        <v>34</v>
      </c>
      <c r="B35">
        <f ca="1">IFERROR(__xludf.DUMMYFUNCTION("""COMPUTED_VALUE"""),3)</f>
        <v>3</v>
      </c>
      <c r="C35" t="str">
        <f ca="1">IFERROR(__xludf.DUMMYFUNCTION("""COMPUTED_VALUE"""),"Harold Varner III")</f>
        <v>Harold Varner III</v>
      </c>
      <c r="D35">
        <f ca="1">IFERROR(__xludf.DUMMYFUNCTION("""COMPUTED_VALUE"""),14)</f>
        <v>14</v>
      </c>
      <c r="E35">
        <f ca="1">IFERROR(__xludf.DUMMYFUNCTION("""COMPUTED_VALUE"""),70.21)</f>
        <v>70.209999999999994</v>
      </c>
      <c r="F35">
        <f ca="1">IFERROR(__xludf.DUMMYFUNCTION("""COMPUTED_VALUE"""),33)</f>
        <v>33</v>
      </c>
      <c r="G35">
        <f ca="1">IFERROR(__xludf.DUMMYFUNCTION("""COMPUTED_VALUE"""),14)</f>
        <v>14</v>
      </c>
      <c r="H35">
        <f ca="1">IFERROR(__xludf.DUMMYFUNCTION("""COMPUTED_VALUE"""),-21)</f>
        <v>-21</v>
      </c>
      <c r="I35">
        <f ca="1">IFERROR(__xludf.DUMMYFUNCTION("""COMPUTED_VALUE"""),-2)</f>
        <v>-2</v>
      </c>
    </row>
    <row r="36" spans="1:9" ht="12.75">
      <c r="A36">
        <f ca="1">IFERROR(__xludf.DUMMYFUNCTION("""COMPUTED_VALUE"""),35)</f>
        <v>35</v>
      </c>
      <c r="B36" t="str">
        <f ca="1">IFERROR(__xludf.DUMMYFUNCTION("""COMPUTED_VALUE"""),"T8")</f>
        <v>T8</v>
      </c>
      <c r="C36" t="str">
        <f ca="1">IFERROR(__xludf.DUMMYFUNCTION("""COMPUTED_VALUE"""),"Sepp Straka")</f>
        <v>Sepp Straka</v>
      </c>
      <c r="D36">
        <f ca="1">IFERROR(__xludf.DUMMYFUNCTION("""COMPUTED_VALUE"""),22)</f>
        <v>22</v>
      </c>
      <c r="E36">
        <f ca="1">IFERROR(__xludf.DUMMYFUNCTION("""COMPUTED_VALUE"""),70.18)</f>
        <v>70.180000000000007</v>
      </c>
      <c r="F36">
        <f ca="1">IFERROR(__xludf.DUMMYFUNCTION("""COMPUTED_VALUE"""),40)</f>
        <v>40</v>
      </c>
      <c r="G36">
        <f ca="1">IFERROR(__xludf.DUMMYFUNCTION("""COMPUTED_VALUE"""),17)</f>
        <v>17</v>
      </c>
      <c r="H36">
        <f ca="1">IFERROR(__xludf.DUMMYFUNCTION("""COMPUTED_VALUE"""),-22)</f>
        <v>-22</v>
      </c>
      <c r="I36">
        <f ca="1">IFERROR(__xludf.DUMMYFUNCTION("""COMPUTED_VALUE"""),-4)</f>
        <v>-4</v>
      </c>
    </row>
    <row r="37" spans="1:9" ht="12.75">
      <c r="A37">
        <f ca="1">IFERROR(__xludf.DUMMYFUNCTION("""COMPUTED_VALUE"""),36)</f>
        <v>36</v>
      </c>
      <c r="B37">
        <f ca="1">IFERROR(__xludf.DUMMYFUNCTION("""COMPUTED_VALUE"""),35)</f>
        <v>35</v>
      </c>
      <c r="C37" t="str">
        <f ca="1">IFERROR(__xludf.DUMMYFUNCTION("""COMPUTED_VALUE"""),"Scottie Scheffler")</f>
        <v>Scottie Scheffler</v>
      </c>
      <c r="D37">
        <f ca="1">IFERROR(__xludf.DUMMYFUNCTION("""COMPUTED_VALUE"""),18)</f>
        <v>18</v>
      </c>
      <c r="E37">
        <f ca="1">IFERROR(__xludf.DUMMYFUNCTION("""COMPUTED_VALUE"""),70.11)</f>
        <v>70.11</v>
      </c>
      <c r="F37">
        <f ca="1">IFERROR(__xludf.DUMMYFUNCTION("""COMPUTED_VALUE"""),61)</f>
        <v>61</v>
      </c>
      <c r="G37">
        <f ca="1">IFERROR(__xludf.DUMMYFUNCTION("""COMPUTED_VALUE"""),26)</f>
        <v>26</v>
      </c>
      <c r="H37">
        <f ca="1">IFERROR(__xludf.DUMMYFUNCTION("""COMPUTED_VALUE"""),-36)</f>
        <v>-36</v>
      </c>
      <c r="I37">
        <f ca="1">IFERROR(__xludf.DUMMYFUNCTION("""COMPUTED_VALUE"""),-1)</f>
        <v>-1</v>
      </c>
    </row>
    <row r="38" spans="1:9" ht="12.75">
      <c r="A38">
        <f ca="1">IFERROR(__xludf.DUMMYFUNCTION("""COMPUTED_VALUE"""),37)</f>
        <v>37</v>
      </c>
      <c r="B38">
        <f ca="1">IFERROR(__xludf.DUMMYFUNCTION("""COMPUTED_VALUE"""),44)</f>
        <v>44</v>
      </c>
      <c r="C38" t="str">
        <f ca="1">IFERROR(__xludf.DUMMYFUNCTION("""COMPUTED_VALUE"""),"Matthew Wolff")</f>
        <v>Matthew Wolff</v>
      </c>
      <c r="D38">
        <f ca="1">IFERROR(__xludf.DUMMYFUNCTION("""COMPUTED_VALUE"""),16)</f>
        <v>16</v>
      </c>
      <c r="E38">
        <f ca="1">IFERROR(__xludf.DUMMYFUNCTION("""COMPUTED_VALUE"""),69.86)</f>
        <v>69.86</v>
      </c>
      <c r="F38">
        <f ca="1">IFERROR(__xludf.DUMMYFUNCTION("""COMPUTED_VALUE"""),51)</f>
        <v>51</v>
      </c>
      <c r="G38">
        <f ca="1">IFERROR(__xludf.DUMMYFUNCTION("""COMPUTED_VALUE"""),22)</f>
        <v>22</v>
      </c>
      <c r="H38">
        <f ca="1">IFERROR(__xludf.DUMMYFUNCTION("""COMPUTED_VALUE"""),-38)</f>
        <v>-38</v>
      </c>
      <c r="I38" t="str">
        <f ca="1">IFERROR(__xludf.DUMMYFUNCTION("""COMPUTED_VALUE"""),"+2")</f>
        <v>+2</v>
      </c>
    </row>
    <row r="39" spans="1:9" ht="12.75">
      <c r="A39">
        <f ca="1">IFERROR(__xludf.DUMMYFUNCTION("""COMPUTED_VALUE"""),38)</f>
        <v>38</v>
      </c>
      <c r="B39">
        <f ca="1">IFERROR(__xludf.DUMMYFUNCTION("""COMPUTED_VALUE"""),45)</f>
        <v>45</v>
      </c>
      <c r="C39" t="str">
        <f ca="1">IFERROR(__xludf.DUMMYFUNCTION("""COMPUTED_VALUE"""),"Byeong Hun An")</f>
        <v>Byeong Hun An</v>
      </c>
      <c r="D39">
        <f ca="1">IFERROR(__xludf.DUMMYFUNCTION("""COMPUTED_VALUE"""),14)</f>
        <v>14</v>
      </c>
      <c r="E39">
        <f ca="1">IFERROR(__xludf.DUMMYFUNCTION("""COMPUTED_VALUE"""),69.57)</f>
        <v>69.569999999999993</v>
      </c>
      <c r="F39">
        <f ca="1">IFERROR(__xludf.DUMMYFUNCTION("""COMPUTED_VALUE"""),48)</f>
        <v>48</v>
      </c>
      <c r="G39">
        <f ca="1">IFERROR(__xludf.DUMMYFUNCTION("""COMPUTED_VALUE"""),21)</f>
        <v>21</v>
      </c>
      <c r="H39">
        <f ca="1">IFERROR(__xludf.DUMMYFUNCTION("""COMPUTED_VALUE"""),-23)</f>
        <v>-23</v>
      </c>
      <c r="I39" t="str">
        <f ca="1">IFERROR(__xludf.DUMMYFUNCTION("""COMPUTED_VALUE"""),"+3")</f>
        <v>+3</v>
      </c>
    </row>
    <row r="40" spans="1:9" ht="12.75">
      <c r="A40">
        <f ca="1">IFERROR(__xludf.DUMMYFUNCTION("""COMPUTED_VALUE"""),39)</f>
        <v>39</v>
      </c>
      <c r="B40">
        <f ca="1">IFERROR(__xludf.DUMMYFUNCTION("""COMPUTED_VALUE"""),33)</f>
        <v>33</v>
      </c>
      <c r="C40" t="str">
        <f ca="1">IFERROR(__xludf.DUMMYFUNCTION("""COMPUTED_VALUE"""),"Stewart Cink")</f>
        <v>Stewart Cink</v>
      </c>
      <c r="D40">
        <f ca="1">IFERROR(__xludf.DUMMYFUNCTION("""COMPUTED_VALUE"""),18)</f>
        <v>18</v>
      </c>
      <c r="E40">
        <f ca="1">IFERROR(__xludf.DUMMYFUNCTION("""COMPUTED_VALUE"""),69.49)</f>
        <v>69.489999999999995</v>
      </c>
      <c r="F40">
        <f ca="1">IFERROR(__xludf.DUMMYFUNCTION("""COMPUTED_VALUE"""),41)</f>
        <v>41</v>
      </c>
      <c r="G40">
        <f ca="1">IFERROR(__xludf.DUMMYFUNCTION("""COMPUTED_VALUE"""),18)</f>
        <v>18</v>
      </c>
      <c r="H40">
        <f ca="1">IFERROR(__xludf.DUMMYFUNCTION("""COMPUTED_VALUE"""),-23)</f>
        <v>-23</v>
      </c>
      <c r="I40">
        <f ca="1">IFERROR(__xludf.DUMMYFUNCTION("""COMPUTED_VALUE"""),-1)</f>
        <v>-1</v>
      </c>
    </row>
    <row r="41" spans="1:9" ht="12.75">
      <c r="A41">
        <f ca="1">IFERROR(__xludf.DUMMYFUNCTION("""COMPUTED_VALUE"""),40)</f>
        <v>40</v>
      </c>
      <c r="B41">
        <f ca="1">IFERROR(__xludf.DUMMYFUNCTION("""COMPUTED_VALUE"""),46)</f>
        <v>46</v>
      </c>
      <c r="C41" t="str">
        <f ca="1">IFERROR(__xludf.DUMMYFUNCTION("""COMPUTED_VALUE"""),"D.J. Trahan")</f>
        <v>D.J. Trahan</v>
      </c>
      <c r="D41">
        <f ca="1">IFERROR(__xludf.DUMMYFUNCTION("""COMPUTED_VALUE"""),16)</f>
        <v>16</v>
      </c>
      <c r="E41">
        <f ca="1">IFERROR(__xludf.DUMMYFUNCTION("""COMPUTED_VALUE"""),69.44)</f>
        <v>69.44</v>
      </c>
      <c r="F41">
        <f ca="1">IFERROR(__xludf.DUMMYFUNCTION("""COMPUTED_VALUE"""),25)</f>
        <v>25</v>
      </c>
      <c r="G41">
        <f ca="1">IFERROR(__xludf.DUMMYFUNCTION("""COMPUTED_VALUE"""),11)</f>
        <v>11</v>
      </c>
      <c r="H41">
        <f ca="1">IFERROR(__xludf.DUMMYFUNCTION("""COMPUTED_VALUE"""),-15)</f>
        <v>-15</v>
      </c>
      <c r="I41">
        <f ca="1">IFERROR(__xludf.DUMMYFUNCTION("""COMPUTED_VALUE"""),-4)</f>
        <v>-4</v>
      </c>
    </row>
    <row r="42" spans="1:9" ht="12.75">
      <c r="A42">
        <f ca="1">IFERROR(__xludf.DUMMYFUNCTION("""COMPUTED_VALUE"""),41)</f>
        <v>41</v>
      </c>
      <c r="B42">
        <f ca="1">IFERROR(__xludf.DUMMYFUNCTION("""COMPUTED_VALUE"""),47)</f>
        <v>47</v>
      </c>
      <c r="C42" t="str">
        <f ca="1">IFERROR(__xludf.DUMMYFUNCTION("""COMPUTED_VALUE"""),"Louis Oosthuizen")</f>
        <v>Louis Oosthuizen</v>
      </c>
      <c r="D42">
        <f ca="1">IFERROR(__xludf.DUMMYFUNCTION("""COMPUTED_VALUE"""),12)</f>
        <v>12</v>
      </c>
      <c r="E42">
        <f ca="1">IFERROR(__xludf.DUMMYFUNCTION("""COMPUTED_VALUE"""),69.39)</f>
        <v>69.39</v>
      </c>
      <c r="F42">
        <f ca="1">IFERROR(__xludf.DUMMYFUNCTION("""COMPUTED_VALUE"""),34)</f>
        <v>34</v>
      </c>
      <c r="G42">
        <f ca="1">IFERROR(__xludf.DUMMYFUNCTION("""COMPUTED_VALUE"""),15)</f>
        <v>15</v>
      </c>
      <c r="H42">
        <f ca="1">IFERROR(__xludf.DUMMYFUNCTION("""COMPUTED_VALUE"""),-20)</f>
        <v>-20</v>
      </c>
      <c r="I42">
        <f ca="1">IFERROR(__xludf.DUMMYFUNCTION("""COMPUTED_VALUE"""),-2)</f>
        <v>-2</v>
      </c>
    </row>
    <row r="43" spans="1:9" ht="12.75">
      <c r="A43">
        <f ca="1">IFERROR(__xludf.DUMMYFUNCTION("""COMPUTED_VALUE"""),42)</f>
        <v>42</v>
      </c>
      <c r="B43" t="str">
        <f ca="1">IFERROR(__xludf.DUMMYFUNCTION("""COMPUTED_VALUE"""),"T48")</f>
        <v>T48</v>
      </c>
      <c r="C43" t="str">
        <f ca="1">IFERROR(__xludf.DUMMYFUNCTION("""COMPUTED_VALUE"""),"Sahith Theegala")</f>
        <v>Sahith Theegala</v>
      </c>
      <c r="D43">
        <f ca="1">IFERROR(__xludf.DUMMYFUNCTION("""COMPUTED_VALUE"""),6)</f>
        <v>6</v>
      </c>
      <c r="E43">
        <f ca="1">IFERROR(__xludf.DUMMYFUNCTION("""COMPUTED_VALUE"""),69.23)</f>
        <v>69.23</v>
      </c>
      <c r="F43">
        <f ca="1">IFERROR(__xludf.DUMMYFUNCTION("""COMPUTED_VALUE"""),18)</f>
        <v>18</v>
      </c>
      <c r="G43">
        <f ca="1">IFERROR(__xludf.DUMMYFUNCTION("""COMPUTED_VALUE"""),8)</f>
        <v>8</v>
      </c>
      <c r="H43">
        <f ca="1">IFERROR(__xludf.DUMMYFUNCTION("""COMPUTED_VALUE"""),-9)</f>
        <v>-9</v>
      </c>
      <c r="I43">
        <f ca="1">IFERROR(__xludf.DUMMYFUNCTION("""COMPUTED_VALUE"""),-1)</f>
        <v>-1</v>
      </c>
    </row>
    <row r="44" spans="1:9" ht="12.75">
      <c r="A44">
        <f ca="1">IFERROR(__xludf.DUMMYFUNCTION("""COMPUTED_VALUE"""),43)</f>
        <v>43</v>
      </c>
      <c r="B44">
        <f ca="1">IFERROR(__xludf.DUMMYFUNCTION("""COMPUTED_VALUE"""),43)</f>
        <v>43</v>
      </c>
      <c r="C44" t="str">
        <f ca="1">IFERROR(__xludf.DUMMYFUNCTION("""COMPUTED_VALUE"""),"Jason Day")</f>
        <v>Jason Day</v>
      </c>
      <c r="D44">
        <f ca="1">IFERROR(__xludf.DUMMYFUNCTION("""COMPUTED_VALUE"""),17)</f>
        <v>17</v>
      </c>
      <c r="E44">
        <f ca="1">IFERROR(__xludf.DUMMYFUNCTION("""COMPUTED_VALUE"""),68.92)</f>
        <v>68.92</v>
      </c>
      <c r="F44">
        <f ca="1">IFERROR(__xludf.DUMMYFUNCTION("""COMPUTED_VALUE"""),51)</f>
        <v>51</v>
      </c>
      <c r="G44">
        <f ca="1">IFERROR(__xludf.DUMMYFUNCTION("""COMPUTED_VALUE"""),23)</f>
        <v>23</v>
      </c>
      <c r="H44">
        <f ca="1">IFERROR(__xludf.DUMMYFUNCTION("""COMPUTED_VALUE"""),-29)</f>
        <v>-29</v>
      </c>
      <c r="I44">
        <f ca="1">IFERROR(__xludf.DUMMYFUNCTION("""COMPUTED_VALUE"""),-1)</f>
        <v>-1</v>
      </c>
    </row>
    <row r="45" spans="1:9" ht="12.75">
      <c r="A45">
        <f ca="1">IFERROR(__xludf.DUMMYFUNCTION("""COMPUTED_VALUE"""),44)</f>
        <v>44</v>
      </c>
      <c r="B45">
        <f ca="1">IFERROR(__xludf.DUMMYFUNCTION("""COMPUTED_VALUE"""),37)</f>
        <v>37</v>
      </c>
      <c r="C45" t="str">
        <f ca="1">IFERROR(__xludf.DUMMYFUNCTION("""COMPUTED_VALUE"""),"Robby Shelton")</f>
        <v>Robby Shelton</v>
      </c>
      <c r="D45">
        <f ca="1">IFERROR(__xludf.DUMMYFUNCTION("""COMPUTED_VALUE"""),14)</f>
        <v>14</v>
      </c>
      <c r="E45">
        <f ca="1">IFERROR(__xludf.DUMMYFUNCTION("""COMPUTED_VALUE"""),68.85)</f>
        <v>68.849999999999994</v>
      </c>
      <c r="F45">
        <f ca="1">IFERROR(__xludf.DUMMYFUNCTION("""COMPUTED_VALUE"""),42)</f>
        <v>42</v>
      </c>
      <c r="G45">
        <f ca="1">IFERROR(__xludf.DUMMYFUNCTION("""COMPUTED_VALUE"""),19)</f>
        <v>19</v>
      </c>
      <c r="H45">
        <f ca="1">IFERROR(__xludf.DUMMYFUNCTION("""COMPUTED_VALUE"""),-24)</f>
        <v>-24</v>
      </c>
      <c r="I45">
        <f ca="1">IFERROR(__xludf.DUMMYFUNCTION("""COMPUTED_VALUE"""),-1)</f>
        <v>-1</v>
      </c>
    </row>
    <row r="46" spans="1:9" ht="12.75">
      <c r="A46">
        <f ca="1">IFERROR(__xludf.DUMMYFUNCTION("""COMPUTED_VALUE"""),45)</f>
        <v>45</v>
      </c>
      <c r="B46">
        <f ca="1">IFERROR(__xludf.DUMMYFUNCTION("""COMPUTED_VALUE"""),54)</f>
        <v>54</v>
      </c>
      <c r="C46" t="str">
        <f ca="1">IFERROR(__xludf.DUMMYFUNCTION("""COMPUTED_VALUE"""),"Sebastián Muñoz")</f>
        <v>Sebastián Muñoz</v>
      </c>
      <c r="D46">
        <f ca="1">IFERROR(__xludf.DUMMYFUNCTION("""COMPUTED_VALUE"""),20)</f>
        <v>20</v>
      </c>
      <c r="E46">
        <f ca="1">IFERROR(__xludf.DUMMYFUNCTION("""COMPUTED_VALUE"""),68.82)</f>
        <v>68.819999999999993</v>
      </c>
      <c r="F46">
        <f ca="1">IFERROR(__xludf.DUMMYFUNCTION("""COMPUTED_VALUE"""),64)</f>
        <v>64</v>
      </c>
      <c r="G46">
        <f ca="1">IFERROR(__xludf.DUMMYFUNCTION("""COMPUTED_VALUE"""),29)</f>
        <v>29</v>
      </c>
      <c r="H46">
        <f ca="1">IFERROR(__xludf.DUMMYFUNCTION("""COMPUTED_VALUE"""),-36)</f>
        <v>-36</v>
      </c>
      <c r="I46">
        <f ca="1">IFERROR(__xludf.DUMMYFUNCTION("""COMPUTED_VALUE"""),-3)</f>
        <v>-3</v>
      </c>
    </row>
    <row r="47" spans="1:9" ht="12.75">
      <c r="A47">
        <f ca="1">IFERROR(__xludf.DUMMYFUNCTION("""COMPUTED_VALUE"""),46)</f>
        <v>46</v>
      </c>
      <c r="B47">
        <f ca="1">IFERROR(__xludf.DUMMYFUNCTION("""COMPUTED_VALUE"""),55)</f>
        <v>55</v>
      </c>
      <c r="C47" t="str">
        <f ca="1">IFERROR(__xludf.DUMMYFUNCTION("""COMPUTED_VALUE"""),"Bud Cauley")</f>
        <v>Bud Cauley</v>
      </c>
      <c r="D47">
        <f ca="1">IFERROR(__xludf.DUMMYFUNCTION("""COMPUTED_VALUE"""),4)</f>
        <v>4</v>
      </c>
      <c r="E47">
        <f ca="1">IFERROR(__xludf.DUMMYFUNCTION("""COMPUTED_VALUE"""),68.75)</f>
        <v>68.75</v>
      </c>
      <c r="F47">
        <f ca="1">IFERROR(__xludf.DUMMYFUNCTION("""COMPUTED_VALUE"""),11)</f>
        <v>11</v>
      </c>
      <c r="G47">
        <f ca="1">IFERROR(__xludf.DUMMYFUNCTION("""COMPUTED_VALUE"""),5)</f>
        <v>5</v>
      </c>
      <c r="H47">
        <f ca="1">IFERROR(__xludf.DUMMYFUNCTION("""COMPUTED_VALUE"""),-10)</f>
        <v>-10</v>
      </c>
      <c r="I47">
        <f ca="1">IFERROR(__xludf.DUMMYFUNCTION("""COMPUTED_VALUE"""),-2)</f>
        <v>-2</v>
      </c>
    </row>
    <row r="48" spans="1:9" ht="12.75">
      <c r="A48">
        <f ca="1">IFERROR(__xludf.DUMMYFUNCTION("""COMPUTED_VALUE"""),47)</f>
        <v>47</v>
      </c>
      <c r="B48">
        <f ca="1">IFERROR(__xludf.DUMMYFUNCTION("""COMPUTED_VALUE"""),25)</f>
        <v>25</v>
      </c>
      <c r="C48" t="str">
        <f ca="1">IFERROR(__xludf.DUMMYFUNCTION("""COMPUTED_VALUE"""),"Viktor Hovland")</f>
        <v>Viktor Hovland</v>
      </c>
      <c r="D48">
        <f ca="1">IFERROR(__xludf.DUMMYFUNCTION("""COMPUTED_VALUE"""),16)</f>
        <v>16</v>
      </c>
      <c r="E48">
        <f ca="1">IFERROR(__xludf.DUMMYFUNCTION("""COMPUTED_VALUE"""),68.57)</f>
        <v>68.569999999999993</v>
      </c>
      <c r="F48">
        <f ca="1">IFERROR(__xludf.DUMMYFUNCTION("""COMPUTED_VALUE"""),48)</f>
        <v>48</v>
      </c>
      <c r="G48">
        <f ca="1">IFERROR(__xludf.DUMMYFUNCTION("""COMPUTED_VALUE"""),22)</f>
        <v>22</v>
      </c>
      <c r="H48">
        <f ca="1">IFERROR(__xludf.DUMMYFUNCTION("""COMPUTED_VALUE"""),-30)</f>
        <v>-30</v>
      </c>
      <c r="I48" t="str">
        <f ca="1">IFERROR(__xludf.DUMMYFUNCTION("""COMPUTED_VALUE"""),"+2")</f>
        <v>+2</v>
      </c>
    </row>
    <row r="49" spans="1:9" ht="12.75">
      <c r="A49">
        <f ca="1">IFERROR(__xludf.DUMMYFUNCTION("""COMPUTED_VALUE"""),48)</f>
        <v>48</v>
      </c>
      <c r="B49" t="str">
        <f ca="1">IFERROR(__xludf.DUMMYFUNCTION("""COMPUTED_VALUE"""),"T48")</f>
        <v>T48</v>
      </c>
      <c r="C49" t="str">
        <f ca="1">IFERROR(__xludf.DUMMYFUNCTION("""COMPUTED_VALUE"""),"Hideki Matsuyama")</f>
        <v>Hideki Matsuyama</v>
      </c>
      <c r="D49">
        <f ca="1">IFERROR(__xludf.DUMMYFUNCTION("""COMPUTED_VALUE"""),18)</f>
        <v>18</v>
      </c>
      <c r="E49">
        <f ca="1">IFERROR(__xludf.DUMMYFUNCTION("""COMPUTED_VALUE"""),68.35)</f>
        <v>68.349999999999994</v>
      </c>
      <c r="F49">
        <f ca="1">IFERROR(__xludf.DUMMYFUNCTION("""COMPUTED_VALUE"""),54)</f>
        <v>54</v>
      </c>
      <c r="G49">
        <f ca="1">IFERROR(__xludf.DUMMYFUNCTION("""COMPUTED_VALUE"""),25)</f>
        <v>25</v>
      </c>
      <c r="H49">
        <f ca="1">IFERROR(__xludf.DUMMYFUNCTION("""COMPUTED_VALUE"""),-24)</f>
        <v>-24</v>
      </c>
      <c r="I49">
        <f ca="1">IFERROR(__xludf.DUMMYFUNCTION("""COMPUTED_VALUE"""),-6)</f>
        <v>-6</v>
      </c>
    </row>
    <row r="50" spans="1:9" ht="12.75">
      <c r="A50">
        <f ca="1">IFERROR(__xludf.DUMMYFUNCTION("""COMPUTED_VALUE"""),49)</f>
        <v>49</v>
      </c>
      <c r="B50" t="str">
        <f ca="1">IFERROR(__xludf.DUMMYFUNCTION("""COMPUTED_VALUE"""),"T57")</f>
        <v>T57</v>
      </c>
      <c r="C50" t="str">
        <f ca="1">IFERROR(__xludf.DUMMYFUNCTION("""COMPUTED_VALUE"""),"Keegan Bradley")</f>
        <v>Keegan Bradley</v>
      </c>
      <c r="D50">
        <f ca="1">IFERROR(__xludf.DUMMYFUNCTION("""COMPUTED_VALUE"""),16)</f>
        <v>16</v>
      </c>
      <c r="E50">
        <f ca="1">IFERROR(__xludf.DUMMYFUNCTION("""COMPUTED_VALUE"""),68.12)</f>
        <v>68.12</v>
      </c>
      <c r="F50">
        <f ca="1">IFERROR(__xludf.DUMMYFUNCTION("""COMPUTED_VALUE"""),47)</f>
        <v>47</v>
      </c>
      <c r="G50">
        <f ca="1">IFERROR(__xludf.DUMMYFUNCTION("""COMPUTED_VALUE"""),22)</f>
        <v>22</v>
      </c>
      <c r="H50">
        <f ca="1">IFERROR(__xludf.DUMMYFUNCTION("""COMPUTED_VALUE"""),-35)</f>
        <v>-35</v>
      </c>
      <c r="I50" t="str">
        <f ca="1">IFERROR(__xludf.DUMMYFUNCTION("""COMPUTED_VALUE"""),"+1")</f>
        <v>+1</v>
      </c>
    </row>
    <row r="51" spans="1:9" ht="12.75">
      <c r="A51">
        <f ca="1">IFERROR(__xludf.DUMMYFUNCTION("""COMPUTED_VALUE"""),50)</f>
        <v>50</v>
      </c>
      <c r="B51">
        <f ca="1">IFERROR(__xludf.DUMMYFUNCTION("""COMPUTED_VALUE"""),59)</f>
        <v>59</v>
      </c>
      <c r="C51" t="str">
        <f ca="1">IFERROR(__xludf.DUMMYFUNCTION("""COMPUTED_VALUE"""),"Matthew Fitzpatrick")</f>
        <v>Matthew Fitzpatrick</v>
      </c>
      <c r="D51">
        <f ca="1">IFERROR(__xludf.DUMMYFUNCTION("""COMPUTED_VALUE"""),10)</f>
        <v>10</v>
      </c>
      <c r="E51">
        <f ca="1">IFERROR(__xludf.DUMMYFUNCTION("""COMPUTED_VALUE"""),68)</f>
        <v>68</v>
      </c>
      <c r="F51">
        <f ca="1">IFERROR(__xludf.DUMMYFUNCTION("""COMPUTED_VALUE"""),34)</f>
        <v>34</v>
      </c>
      <c r="G51">
        <f ca="1">IFERROR(__xludf.DUMMYFUNCTION("""COMPUTED_VALUE"""),16)</f>
        <v>16</v>
      </c>
      <c r="H51">
        <f ca="1">IFERROR(__xludf.DUMMYFUNCTION("""COMPUTED_VALUE"""),-16)</f>
        <v>-16</v>
      </c>
      <c r="I51">
        <f ca="1">IFERROR(__xludf.DUMMYFUNCTION("""COMPUTED_VALUE"""),-1)</f>
        <v>-1</v>
      </c>
    </row>
    <row r="52" spans="1:9" ht="12.75">
      <c r="A52">
        <f ca="1">IFERROR(__xludf.DUMMYFUNCTION("""COMPUTED_VALUE"""),51)</f>
        <v>51</v>
      </c>
      <c r="B52">
        <f ca="1">IFERROR(__xludf.DUMMYFUNCTION("""COMPUTED_VALUE"""),60)</f>
        <v>60</v>
      </c>
      <c r="C52" t="str">
        <f ca="1">IFERROR(__xludf.DUMMYFUNCTION("""COMPUTED_VALUE"""),"Webb Simpson")</f>
        <v>Webb Simpson</v>
      </c>
      <c r="D52">
        <f ca="1">IFERROR(__xludf.DUMMYFUNCTION("""COMPUTED_VALUE"""),12)</f>
        <v>12</v>
      </c>
      <c r="E52">
        <f ca="1">IFERROR(__xludf.DUMMYFUNCTION("""COMPUTED_VALUE"""),67.92)</f>
        <v>67.92</v>
      </c>
      <c r="F52">
        <f ca="1">IFERROR(__xludf.DUMMYFUNCTION("""COMPUTED_VALUE"""),36)</f>
        <v>36</v>
      </c>
      <c r="G52">
        <f ca="1">IFERROR(__xludf.DUMMYFUNCTION("""COMPUTED_VALUE"""),17)</f>
        <v>17</v>
      </c>
      <c r="H52">
        <f ca="1">IFERROR(__xludf.DUMMYFUNCTION("""COMPUTED_VALUE"""),-18)</f>
        <v>-18</v>
      </c>
      <c r="I52">
        <f ca="1">IFERROR(__xludf.DUMMYFUNCTION("""COMPUTED_VALUE"""),-2)</f>
        <v>-2</v>
      </c>
    </row>
    <row r="53" spans="1:9" ht="12.75">
      <c r="A53">
        <f ca="1">IFERROR(__xludf.DUMMYFUNCTION("""COMPUTED_VALUE"""),52)</f>
        <v>52</v>
      </c>
      <c r="B53">
        <f ca="1">IFERROR(__xludf.DUMMYFUNCTION("""COMPUTED_VALUE"""),61)</f>
        <v>61</v>
      </c>
      <c r="C53" t="str">
        <f ca="1">IFERROR(__xludf.DUMMYFUNCTION("""COMPUTED_VALUE"""),"Paul Casey")</f>
        <v>Paul Casey</v>
      </c>
      <c r="D53">
        <f ca="1">IFERROR(__xludf.DUMMYFUNCTION("""COMPUTED_VALUE"""),14)</f>
        <v>14</v>
      </c>
      <c r="E53">
        <f ca="1">IFERROR(__xludf.DUMMYFUNCTION("""COMPUTED_VALUE"""),67.69)</f>
        <v>67.69</v>
      </c>
      <c r="F53">
        <f ca="1">IFERROR(__xludf.DUMMYFUNCTION("""COMPUTED_VALUE"""),44)</f>
        <v>44</v>
      </c>
      <c r="G53">
        <f ca="1">IFERROR(__xludf.DUMMYFUNCTION("""COMPUTED_VALUE"""),21)</f>
        <v>21</v>
      </c>
      <c r="H53">
        <f ca="1">IFERROR(__xludf.DUMMYFUNCTION("""COMPUTED_VALUE"""),-20)</f>
        <v>-20</v>
      </c>
      <c r="I53" t="str">
        <f ca="1">IFERROR(__xludf.DUMMYFUNCTION("""COMPUTED_VALUE"""),"E")</f>
        <v>E</v>
      </c>
    </row>
    <row r="54" spans="1:9" ht="12.75">
      <c r="A54">
        <f ca="1">IFERROR(__xludf.DUMMYFUNCTION("""COMPUTED_VALUE"""),53)</f>
        <v>53</v>
      </c>
      <c r="B54">
        <f ca="1">IFERROR(__xludf.DUMMYFUNCTION("""COMPUTED_VALUE"""),80)</f>
        <v>80</v>
      </c>
      <c r="C54" t="str">
        <f ca="1">IFERROR(__xludf.DUMMYFUNCTION("""COMPUTED_VALUE"""),"Jhonattan Vegas")</f>
        <v>Jhonattan Vegas</v>
      </c>
      <c r="D54">
        <f ca="1">IFERROR(__xludf.DUMMYFUNCTION("""COMPUTED_VALUE"""),16)</f>
        <v>16</v>
      </c>
      <c r="E54">
        <f ca="1">IFERROR(__xludf.DUMMYFUNCTION("""COMPUTED_VALUE"""),67.5)</f>
        <v>67.5</v>
      </c>
      <c r="F54">
        <f ca="1">IFERROR(__xludf.DUMMYFUNCTION("""COMPUTED_VALUE"""),27)</f>
        <v>27</v>
      </c>
      <c r="G54">
        <f ca="1">IFERROR(__xludf.DUMMYFUNCTION("""COMPUTED_VALUE"""),13)</f>
        <v>13</v>
      </c>
      <c r="H54">
        <f ca="1">IFERROR(__xludf.DUMMYFUNCTION("""COMPUTED_VALUE"""),-10)</f>
        <v>-10</v>
      </c>
      <c r="I54" t="str">
        <f ca="1">IFERROR(__xludf.DUMMYFUNCTION("""COMPUTED_VALUE"""),"+1")</f>
        <v>+1</v>
      </c>
    </row>
    <row r="55" spans="1:9" ht="12.75">
      <c r="A55">
        <f ca="1">IFERROR(__xludf.DUMMYFUNCTION("""COMPUTED_VALUE"""),54)</f>
        <v>54</v>
      </c>
      <c r="B55">
        <f ca="1">IFERROR(__xludf.DUMMYFUNCTION("""COMPUTED_VALUE"""),50)</f>
        <v>50</v>
      </c>
      <c r="C55" t="str">
        <f ca="1">IFERROR(__xludf.DUMMYFUNCTION("""COMPUTED_VALUE"""),"Talor Gooch")</f>
        <v>Talor Gooch</v>
      </c>
      <c r="D55">
        <f ca="1">IFERROR(__xludf.DUMMYFUNCTION("""COMPUTED_VALUE"""),20)</f>
        <v>20</v>
      </c>
      <c r="E55">
        <f ca="1">IFERROR(__xludf.DUMMYFUNCTION("""COMPUTED_VALUE"""),67.37)</f>
        <v>67.37</v>
      </c>
      <c r="F55">
        <f ca="1">IFERROR(__xludf.DUMMYFUNCTION("""COMPUTED_VALUE"""),64)</f>
        <v>64</v>
      </c>
      <c r="G55">
        <f ca="1">IFERROR(__xludf.DUMMYFUNCTION("""COMPUTED_VALUE"""),31)</f>
        <v>31</v>
      </c>
      <c r="H55">
        <f ca="1">IFERROR(__xludf.DUMMYFUNCTION("""COMPUTED_VALUE"""),-34)</f>
        <v>-34</v>
      </c>
      <c r="I55">
        <f ca="1">IFERROR(__xludf.DUMMYFUNCTION("""COMPUTED_VALUE"""),-4)</f>
        <v>-4</v>
      </c>
    </row>
    <row r="56" spans="1:9" ht="12.75">
      <c r="A56">
        <f ca="1">IFERROR(__xludf.DUMMYFUNCTION("""COMPUTED_VALUE"""),55)</f>
        <v>55</v>
      </c>
      <c r="B56">
        <f ca="1">IFERROR(__xludf.DUMMYFUNCTION("""COMPUTED_VALUE"""),63)</f>
        <v>63</v>
      </c>
      <c r="C56" t="str">
        <f ca="1">IFERROR(__xludf.DUMMYFUNCTION("""COMPUTED_VALUE"""),"Kevin Na")</f>
        <v>Kevin Na</v>
      </c>
      <c r="D56">
        <f ca="1">IFERROR(__xludf.DUMMYFUNCTION("""COMPUTED_VALUE"""),14)</f>
        <v>14</v>
      </c>
      <c r="E56">
        <f ca="1">IFERROR(__xludf.DUMMYFUNCTION("""COMPUTED_VALUE"""),67.16)</f>
        <v>67.16</v>
      </c>
      <c r="F56">
        <f ca="1">IFERROR(__xludf.DUMMYFUNCTION("""COMPUTED_VALUE"""),45)</f>
        <v>45</v>
      </c>
      <c r="G56">
        <f ca="1">IFERROR(__xludf.DUMMYFUNCTION("""COMPUTED_VALUE"""),22)</f>
        <v>22</v>
      </c>
      <c r="H56">
        <f ca="1">IFERROR(__xludf.DUMMYFUNCTION("""COMPUTED_VALUE"""),-31)</f>
        <v>-31</v>
      </c>
      <c r="I56">
        <f ca="1">IFERROR(__xludf.DUMMYFUNCTION("""COMPUTED_VALUE"""),-3)</f>
        <v>-3</v>
      </c>
    </row>
    <row r="57" spans="1:9" ht="12.75">
      <c r="A57" t="str">
        <f ca="1">IFERROR(__xludf.DUMMYFUNCTION("""COMPUTED_VALUE"""),"T56")</f>
        <v>T56</v>
      </c>
      <c r="B57" t="str">
        <f ca="1">IFERROR(__xludf.DUMMYFUNCTION("""COMPUTED_VALUE"""),"T64")</f>
        <v>T64</v>
      </c>
      <c r="C57" t="str">
        <f ca="1">IFERROR(__xludf.DUMMYFUNCTION("""COMPUTED_VALUE"""),"Henrik Norlander")</f>
        <v>Henrik Norlander</v>
      </c>
      <c r="D57">
        <f ca="1">IFERROR(__xludf.DUMMYFUNCTION("""COMPUTED_VALUE"""),16)</f>
        <v>16</v>
      </c>
      <c r="E57">
        <f ca="1">IFERROR(__xludf.DUMMYFUNCTION("""COMPUTED_VALUE"""),66.67)</f>
        <v>66.67</v>
      </c>
      <c r="F57">
        <f ca="1">IFERROR(__xludf.DUMMYFUNCTION("""COMPUTED_VALUE"""),34)</f>
        <v>34</v>
      </c>
      <c r="G57">
        <f ca="1">IFERROR(__xludf.DUMMYFUNCTION("""COMPUTED_VALUE"""),17)</f>
        <v>17</v>
      </c>
      <c r="H57">
        <f ca="1">IFERROR(__xludf.DUMMYFUNCTION("""COMPUTED_VALUE"""),-19)</f>
        <v>-19</v>
      </c>
      <c r="I57" t="str">
        <f ca="1">IFERROR(__xludf.DUMMYFUNCTION("""COMPUTED_VALUE"""),"+2")</f>
        <v>+2</v>
      </c>
    </row>
    <row r="58" spans="1:9" ht="12.75">
      <c r="A58" t="str">
        <f ca="1">IFERROR(__xludf.DUMMYFUNCTION("""COMPUTED_VALUE"""),"T56")</f>
        <v>T56</v>
      </c>
      <c r="B58" t="str">
        <f ca="1">IFERROR(__xludf.DUMMYFUNCTION("""COMPUTED_VALUE"""),"T64")</f>
        <v>T64</v>
      </c>
      <c r="C58" t="str">
        <f ca="1">IFERROR(__xludf.DUMMYFUNCTION("""COMPUTED_VALUE"""),"Harry Higgs")</f>
        <v>Harry Higgs</v>
      </c>
      <c r="D58">
        <f ca="1">IFERROR(__xludf.DUMMYFUNCTION("""COMPUTED_VALUE"""),14)</f>
        <v>14</v>
      </c>
      <c r="E58">
        <f ca="1">IFERROR(__xludf.DUMMYFUNCTION("""COMPUTED_VALUE"""),66.67)</f>
        <v>66.67</v>
      </c>
      <c r="F58">
        <f ca="1">IFERROR(__xludf.DUMMYFUNCTION("""COMPUTED_VALUE"""),46)</f>
        <v>46</v>
      </c>
      <c r="G58">
        <f ca="1">IFERROR(__xludf.DUMMYFUNCTION("""COMPUTED_VALUE"""),23)</f>
        <v>23</v>
      </c>
      <c r="H58">
        <f ca="1">IFERROR(__xludf.DUMMYFUNCTION("""COMPUTED_VALUE"""),-27)</f>
        <v>-27</v>
      </c>
      <c r="I58">
        <f ca="1">IFERROR(__xludf.DUMMYFUNCTION("""COMPUTED_VALUE"""),-4)</f>
        <v>-4</v>
      </c>
    </row>
    <row r="59" spans="1:9" ht="12.75">
      <c r="A59" t="str">
        <f ca="1">IFERROR(__xludf.DUMMYFUNCTION("""COMPUTED_VALUE"""),"T56")</f>
        <v>T56</v>
      </c>
      <c r="B59" t="str">
        <f ca="1">IFERROR(__xludf.DUMMYFUNCTION("""COMPUTED_VALUE"""),"T64")</f>
        <v>T64</v>
      </c>
      <c r="C59" t="str">
        <f ca="1">IFERROR(__xludf.DUMMYFUNCTION("""COMPUTED_VALUE"""),"Joseph Bramlett")</f>
        <v>Joseph Bramlett</v>
      </c>
      <c r="D59">
        <f ca="1">IFERROR(__xludf.DUMMYFUNCTION("""COMPUTED_VALUE"""),18)</f>
        <v>18</v>
      </c>
      <c r="E59">
        <f ca="1">IFERROR(__xludf.DUMMYFUNCTION("""COMPUTED_VALUE"""),66.67)</f>
        <v>66.67</v>
      </c>
      <c r="F59">
        <f ca="1">IFERROR(__xludf.DUMMYFUNCTION("""COMPUTED_VALUE"""),30)</f>
        <v>30</v>
      </c>
      <c r="G59">
        <f ca="1">IFERROR(__xludf.DUMMYFUNCTION("""COMPUTED_VALUE"""),15)</f>
        <v>15</v>
      </c>
      <c r="H59">
        <f ca="1">IFERROR(__xludf.DUMMYFUNCTION("""COMPUTED_VALUE"""),-21)</f>
        <v>-21</v>
      </c>
      <c r="I59" t="str">
        <f ca="1">IFERROR(__xludf.DUMMYFUNCTION("""COMPUTED_VALUE"""),"+2")</f>
        <v>+2</v>
      </c>
    </row>
    <row r="60" spans="1:9" ht="12.75">
      <c r="A60" t="str">
        <f ca="1">IFERROR(__xludf.DUMMYFUNCTION("""COMPUTED_VALUE"""),"T56")</f>
        <v>T56</v>
      </c>
      <c r="B60" t="str">
        <f ca="1">IFERROR(__xludf.DUMMYFUNCTION("""COMPUTED_VALUE"""),"T64")</f>
        <v>T64</v>
      </c>
      <c r="C60" t="str">
        <f ca="1">IFERROR(__xludf.DUMMYFUNCTION("""COMPUTED_VALUE"""),"Patrick Reed")</f>
        <v>Patrick Reed</v>
      </c>
      <c r="D60">
        <f ca="1">IFERROR(__xludf.DUMMYFUNCTION("""COMPUTED_VALUE"""),8)</f>
        <v>8</v>
      </c>
      <c r="E60">
        <f ca="1">IFERROR(__xludf.DUMMYFUNCTION("""COMPUTED_VALUE"""),66.67)</f>
        <v>66.67</v>
      </c>
      <c r="F60">
        <f ca="1">IFERROR(__xludf.DUMMYFUNCTION("""COMPUTED_VALUE"""),24)</f>
        <v>24</v>
      </c>
      <c r="G60">
        <f ca="1">IFERROR(__xludf.DUMMYFUNCTION("""COMPUTED_VALUE"""),12)</f>
        <v>12</v>
      </c>
      <c r="H60">
        <f ca="1">IFERROR(__xludf.DUMMYFUNCTION("""COMPUTED_VALUE"""),-21)</f>
        <v>-21</v>
      </c>
      <c r="I60">
        <f ca="1">IFERROR(__xludf.DUMMYFUNCTION("""COMPUTED_VALUE"""),-5)</f>
        <v>-5</v>
      </c>
    </row>
    <row r="61" spans="1:9" ht="12.75">
      <c r="A61" t="str">
        <f ca="1">IFERROR(__xludf.DUMMYFUNCTION("""COMPUTED_VALUE"""),"T56")</f>
        <v>T56</v>
      </c>
      <c r="B61" t="str">
        <f ca="1">IFERROR(__xludf.DUMMYFUNCTION("""COMPUTED_VALUE"""),"T64")</f>
        <v>T64</v>
      </c>
      <c r="C61" t="str">
        <f ca="1">IFERROR(__xludf.DUMMYFUNCTION("""COMPUTED_VALUE"""),"Taylor Pendrith")</f>
        <v>Taylor Pendrith</v>
      </c>
      <c r="D61">
        <f ca="1">IFERROR(__xludf.DUMMYFUNCTION("""COMPUTED_VALUE"""),4)</f>
        <v>4</v>
      </c>
      <c r="E61">
        <f ca="1">IFERROR(__xludf.DUMMYFUNCTION("""COMPUTED_VALUE"""),66.67)</f>
        <v>66.67</v>
      </c>
      <c r="F61">
        <f ca="1">IFERROR(__xludf.DUMMYFUNCTION("""COMPUTED_VALUE"""),8)</f>
        <v>8</v>
      </c>
      <c r="G61">
        <f ca="1">IFERROR(__xludf.DUMMYFUNCTION("""COMPUTED_VALUE"""),4)</f>
        <v>4</v>
      </c>
      <c r="H61">
        <f ca="1">IFERROR(__xludf.DUMMYFUNCTION("""COMPUTED_VALUE"""),-3)</f>
        <v>-3</v>
      </c>
      <c r="I61" t="str">
        <f ca="1">IFERROR(__xludf.DUMMYFUNCTION("""COMPUTED_VALUE"""),"+1")</f>
        <v>+1</v>
      </c>
    </row>
    <row r="62" spans="1:9" ht="12.75">
      <c r="A62" t="str">
        <f ca="1">IFERROR(__xludf.DUMMYFUNCTION("""COMPUTED_VALUE"""),"T56")</f>
        <v>T56</v>
      </c>
      <c r="B62" t="str">
        <f ca="1">IFERROR(__xludf.DUMMYFUNCTION("""COMPUTED_VALUE"""),"T64")</f>
        <v>T64</v>
      </c>
      <c r="C62" t="str">
        <f ca="1">IFERROR(__xludf.DUMMYFUNCTION("""COMPUTED_VALUE"""),"Will Zalatoris")</f>
        <v>Will Zalatoris</v>
      </c>
      <c r="D62">
        <f ca="1">IFERROR(__xludf.DUMMYFUNCTION("""COMPUTED_VALUE"""),18)</f>
        <v>18</v>
      </c>
      <c r="E62">
        <f ca="1">IFERROR(__xludf.DUMMYFUNCTION("""COMPUTED_VALUE"""),66.67)</f>
        <v>66.67</v>
      </c>
      <c r="F62">
        <f ca="1">IFERROR(__xludf.DUMMYFUNCTION("""COMPUTED_VALUE"""),26)</f>
        <v>26</v>
      </c>
      <c r="G62">
        <f ca="1">IFERROR(__xludf.DUMMYFUNCTION("""COMPUTED_VALUE"""),13)</f>
        <v>13</v>
      </c>
      <c r="H62">
        <f ca="1">IFERROR(__xludf.DUMMYFUNCTION("""COMPUTED_VALUE"""),-16)</f>
        <v>-16</v>
      </c>
      <c r="I62">
        <f ca="1">IFERROR(__xludf.DUMMYFUNCTION("""COMPUTED_VALUE"""),-2)</f>
        <v>-2</v>
      </c>
    </row>
    <row r="63" spans="1:9" ht="12.75">
      <c r="A63">
        <f ca="1">IFERROR(__xludf.DUMMYFUNCTION("""COMPUTED_VALUE"""),62)</f>
        <v>62</v>
      </c>
      <c r="B63" t="str">
        <f ca="1">IFERROR(__xludf.DUMMYFUNCTION("""COMPUTED_VALUE"""),"T57")</f>
        <v>T57</v>
      </c>
      <c r="C63" t="str">
        <f ca="1">IFERROR(__xludf.DUMMYFUNCTION("""COMPUTED_VALUE"""),"J.T. Poston")</f>
        <v>J.T. Poston</v>
      </c>
      <c r="D63">
        <f ca="1">IFERROR(__xludf.DUMMYFUNCTION("""COMPUTED_VALUE"""),18)</f>
        <v>18</v>
      </c>
      <c r="E63">
        <f ca="1">IFERROR(__xludf.DUMMYFUNCTION("""COMPUTED_VALUE"""),66.23)</f>
        <v>66.23</v>
      </c>
      <c r="F63">
        <f ca="1">IFERROR(__xludf.DUMMYFUNCTION("""COMPUTED_VALUE"""),51)</f>
        <v>51</v>
      </c>
      <c r="G63">
        <f ca="1">IFERROR(__xludf.DUMMYFUNCTION("""COMPUTED_VALUE"""),26)</f>
        <v>26</v>
      </c>
      <c r="H63">
        <f ca="1">IFERROR(__xludf.DUMMYFUNCTION("""COMPUTED_VALUE"""),-29)</f>
        <v>-29</v>
      </c>
      <c r="I63">
        <f ca="1">IFERROR(__xludf.DUMMYFUNCTION("""COMPUTED_VALUE"""),-7)</f>
        <v>-7</v>
      </c>
    </row>
    <row r="64" spans="1:9" ht="12.75">
      <c r="A64">
        <f ca="1">IFERROR(__xludf.DUMMYFUNCTION("""COMPUTED_VALUE"""),63)</f>
        <v>63</v>
      </c>
      <c r="B64">
        <f ca="1">IFERROR(__xludf.DUMMYFUNCTION("""COMPUTED_VALUE"""),74)</f>
        <v>74</v>
      </c>
      <c r="C64" t="str">
        <f ca="1">IFERROR(__xludf.DUMMYFUNCTION("""COMPUTED_VALUE"""),"Jason Kokrak")</f>
        <v>Jason Kokrak</v>
      </c>
      <c r="D64">
        <f ca="1">IFERROR(__xludf.DUMMYFUNCTION("""COMPUTED_VALUE"""),14)</f>
        <v>14</v>
      </c>
      <c r="E64">
        <f ca="1">IFERROR(__xludf.DUMMYFUNCTION("""COMPUTED_VALUE"""),66.15)</f>
        <v>66.150000000000006</v>
      </c>
      <c r="F64">
        <f ca="1">IFERROR(__xludf.DUMMYFUNCTION("""COMPUTED_VALUE"""),43)</f>
        <v>43</v>
      </c>
      <c r="G64">
        <f ca="1">IFERROR(__xludf.DUMMYFUNCTION("""COMPUTED_VALUE"""),22)</f>
        <v>22</v>
      </c>
      <c r="H64">
        <f ca="1">IFERROR(__xludf.DUMMYFUNCTION("""COMPUTED_VALUE"""),-23)</f>
        <v>-23</v>
      </c>
      <c r="I64">
        <f ca="1">IFERROR(__xludf.DUMMYFUNCTION("""COMPUTED_VALUE"""),-5)</f>
        <v>-5</v>
      </c>
    </row>
    <row r="65" spans="1:9" ht="12.75">
      <c r="A65" t="str">
        <f ca="1">IFERROR(__xludf.DUMMYFUNCTION("""COMPUTED_VALUE"""),"T64")</f>
        <v>T64</v>
      </c>
      <c r="B65" t="str">
        <f ca="1">IFERROR(__xludf.DUMMYFUNCTION("""COMPUTED_VALUE"""),"T51")</f>
        <v>T51</v>
      </c>
      <c r="C65" t="str">
        <f ca="1">IFERROR(__xludf.DUMMYFUNCTION("""COMPUTED_VALUE"""),"Cameron Tringale")</f>
        <v>Cameron Tringale</v>
      </c>
      <c r="D65">
        <f ca="1">IFERROR(__xludf.DUMMYFUNCTION("""COMPUTED_VALUE"""),16)</f>
        <v>16</v>
      </c>
      <c r="E65">
        <f ca="1">IFERROR(__xludf.DUMMYFUNCTION("""COMPUTED_VALUE"""),66.1)</f>
        <v>66.099999999999994</v>
      </c>
      <c r="F65">
        <f ca="1">IFERROR(__xludf.DUMMYFUNCTION("""COMPUTED_VALUE"""),39)</f>
        <v>39</v>
      </c>
      <c r="G65">
        <f ca="1">IFERROR(__xludf.DUMMYFUNCTION("""COMPUTED_VALUE"""),20)</f>
        <v>20</v>
      </c>
      <c r="H65">
        <f ca="1">IFERROR(__xludf.DUMMYFUNCTION("""COMPUTED_VALUE"""),-18)</f>
        <v>-18</v>
      </c>
      <c r="I65">
        <f ca="1">IFERROR(__xludf.DUMMYFUNCTION("""COMPUTED_VALUE"""),-9)</f>
        <v>-9</v>
      </c>
    </row>
    <row r="66" spans="1:9" ht="12.75">
      <c r="A66" t="str">
        <f ca="1">IFERROR(__xludf.DUMMYFUNCTION("""COMPUTED_VALUE"""),"T64")</f>
        <v>T64</v>
      </c>
      <c r="B66" t="str">
        <f ca="1">IFERROR(__xludf.DUMMYFUNCTION("""COMPUTED_VALUE"""),"T51")</f>
        <v>T51</v>
      </c>
      <c r="C66" t="str">
        <f ca="1">IFERROR(__xludf.DUMMYFUNCTION("""COMPUTED_VALUE"""),"Scott Piercy")</f>
        <v>Scott Piercy</v>
      </c>
      <c r="D66">
        <f ca="1">IFERROR(__xludf.DUMMYFUNCTION("""COMPUTED_VALUE"""),18)</f>
        <v>18</v>
      </c>
      <c r="E66">
        <f ca="1">IFERROR(__xludf.DUMMYFUNCTION("""COMPUTED_VALUE"""),66.1)</f>
        <v>66.099999999999994</v>
      </c>
      <c r="F66">
        <f ca="1">IFERROR(__xludf.DUMMYFUNCTION("""COMPUTED_VALUE"""),39)</f>
        <v>39</v>
      </c>
      <c r="G66">
        <f ca="1">IFERROR(__xludf.DUMMYFUNCTION("""COMPUTED_VALUE"""),20)</f>
        <v>20</v>
      </c>
      <c r="H66">
        <f ca="1">IFERROR(__xludf.DUMMYFUNCTION("""COMPUTED_VALUE"""),-23)</f>
        <v>-23</v>
      </c>
      <c r="I66">
        <f ca="1">IFERROR(__xludf.DUMMYFUNCTION("""COMPUTED_VALUE"""),-2)</f>
        <v>-2</v>
      </c>
    </row>
    <row r="67" spans="1:9" ht="12.75">
      <c r="A67" t="str">
        <f ca="1">IFERROR(__xludf.DUMMYFUNCTION("""COMPUTED_VALUE"""),"T64")</f>
        <v>T64</v>
      </c>
      <c r="B67" t="str">
        <f ca="1">IFERROR(__xludf.DUMMYFUNCTION("""COMPUTED_VALUE"""),"T51")</f>
        <v>T51</v>
      </c>
      <c r="C67" t="str">
        <f ca="1">IFERROR(__xludf.DUMMYFUNCTION("""COMPUTED_VALUE"""),"Doc Redman")</f>
        <v>Doc Redman</v>
      </c>
      <c r="D67">
        <f ca="1">IFERROR(__xludf.DUMMYFUNCTION("""COMPUTED_VALUE"""),18)</f>
        <v>18</v>
      </c>
      <c r="E67">
        <f ca="1">IFERROR(__xludf.DUMMYFUNCTION("""COMPUTED_VALUE"""),66.1)</f>
        <v>66.099999999999994</v>
      </c>
      <c r="F67">
        <f ca="1">IFERROR(__xludf.DUMMYFUNCTION("""COMPUTED_VALUE"""),39)</f>
        <v>39</v>
      </c>
      <c r="G67">
        <f ca="1">IFERROR(__xludf.DUMMYFUNCTION("""COMPUTED_VALUE"""),20)</f>
        <v>20</v>
      </c>
      <c r="H67">
        <f ca="1">IFERROR(__xludf.DUMMYFUNCTION("""COMPUTED_VALUE"""),-19)</f>
        <v>-19</v>
      </c>
      <c r="I67">
        <f ca="1">IFERROR(__xludf.DUMMYFUNCTION("""COMPUTED_VALUE"""),-7)</f>
        <v>-7</v>
      </c>
    </row>
    <row r="68" spans="1:9" ht="12.75">
      <c r="A68">
        <f ca="1">IFERROR(__xludf.DUMMYFUNCTION("""COMPUTED_VALUE"""),67)</f>
        <v>67</v>
      </c>
      <c r="B68">
        <f ca="1">IFERROR(__xludf.DUMMYFUNCTION("""COMPUTED_VALUE"""),75)</f>
        <v>75</v>
      </c>
      <c r="C68" t="str">
        <f ca="1">IFERROR(__xludf.DUMMYFUNCTION("""COMPUTED_VALUE"""),"Lucas Glover")</f>
        <v>Lucas Glover</v>
      </c>
      <c r="D68">
        <f ca="1">IFERROR(__xludf.DUMMYFUNCTION("""COMPUTED_VALUE"""),12)</f>
        <v>12</v>
      </c>
      <c r="E68">
        <f ca="1">IFERROR(__xludf.DUMMYFUNCTION("""COMPUTED_VALUE"""),65.91)</f>
        <v>65.91</v>
      </c>
      <c r="F68">
        <f ca="1">IFERROR(__xludf.DUMMYFUNCTION("""COMPUTED_VALUE"""),29)</f>
        <v>29</v>
      </c>
      <c r="G68">
        <f ca="1">IFERROR(__xludf.DUMMYFUNCTION("""COMPUTED_VALUE"""),15)</f>
        <v>15</v>
      </c>
      <c r="H68">
        <f ca="1">IFERROR(__xludf.DUMMYFUNCTION("""COMPUTED_VALUE"""),-18)</f>
        <v>-18</v>
      </c>
      <c r="I68" t="str">
        <f ca="1">IFERROR(__xludf.DUMMYFUNCTION("""COMPUTED_VALUE"""),"+5")</f>
        <v>+5</v>
      </c>
    </row>
    <row r="69" spans="1:9" ht="12.75">
      <c r="A69">
        <f ca="1">IFERROR(__xludf.DUMMYFUNCTION("""COMPUTED_VALUE"""),68)</f>
        <v>68</v>
      </c>
      <c r="B69">
        <f ca="1">IFERROR(__xludf.DUMMYFUNCTION("""COMPUTED_VALUE"""),56)</f>
        <v>56</v>
      </c>
      <c r="C69" t="str">
        <f ca="1">IFERROR(__xludf.DUMMYFUNCTION("""COMPUTED_VALUE"""),"Tyler Duncan")</f>
        <v>Tyler Duncan</v>
      </c>
      <c r="D69">
        <f ca="1">IFERROR(__xludf.DUMMYFUNCTION("""COMPUTED_VALUE"""),18)</f>
        <v>18</v>
      </c>
      <c r="E69">
        <f ca="1">IFERROR(__xludf.DUMMYFUNCTION("""COMPUTED_VALUE"""),65.82)</f>
        <v>65.819999999999993</v>
      </c>
      <c r="F69">
        <f ca="1">IFERROR(__xludf.DUMMYFUNCTION("""COMPUTED_VALUE"""),52)</f>
        <v>52</v>
      </c>
      <c r="G69">
        <f ca="1">IFERROR(__xludf.DUMMYFUNCTION("""COMPUTED_VALUE"""),27)</f>
        <v>27</v>
      </c>
      <c r="H69">
        <f ca="1">IFERROR(__xludf.DUMMYFUNCTION("""COMPUTED_VALUE"""),-23)</f>
        <v>-23</v>
      </c>
      <c r="I69" t="str">
        <f ca="1">IFERROR(__xludf.DUMMYFUNCTION("""COMPUTED_VALUE"""),"+5")</f>
        <v>+5</v>
      </c>
    </row>
    <row r="70" spans="1:9" ht="12.75">
      <c r="A70">
        <f ca="1">IFERROR(__xludf.DUMMYFUNCTION("""COMPUTED_VALUE"""),69)</f>
        <v>69</v>
      </c>
      <c r="B70">
        <f ca="1">IFERROR(__xludf.DUMMYFUNCTION("""COMPUTED_VALUE"""),79)</f>
        <v>79</v>
      </c>
      <c r="C70" t="str">
        <f ca="1">IFERROR(__xludf.DUMMYFUNCTION("""COMPUTED_VALUE"""),"Ryan Palmer")</f>
        <v>Ryan Palmer</v>
      </c>
      <c r="D70">
        <f ca="1">IFERROR(__xludf.DUMMYFUNCTION("""COMPUTED_VALUE"""),14)</f>
        <v>14</v>
      </c>
      <c r="E70">
        <f ca="1">IFERROR(__xludf.DUMMYFUNCTION("""COMPUTED_VALUE"""),65.67)</f>
        <v>65.67</v>
      </c>
      <c r="F70">
        <f ca="1">IFERROR(__xludf.DUMMYFUNCTION("""COMPUTED_VALUE"""),44)</f>
        <v>44</v>
      </c>
      <c r="G70">
        <f ca="1">IFERROR(__xludf.DUMMYFUNCTION("""COMPUTED_VALUE"""),23)</f>
        <v>23</v>
      </c>
      <c r="H70">
        <f ca="1">IFERROR(__xludf.DUMMYFUNCTION("""COMPUTED_VALUE"""),-28)</f>
        <v>-28</v>
      </c>
      <c r="I70">
        <f ca="1">IFERROR(__xludf.DUMMYFUNCTION("""COMPUTED_VALUE"""),-1)</f>
        <v>-1</v>
      </c>
    </row>
    <row r="71" spans="1:9" ht="12.75">
      <c r="A71">
        <f ca="1">IFERROR(__xludf.DUMMYFUNCTION("""COMPUTED_VALUE"""),70)</f>
        <v>70</v>
      </c>
      <c r="B71" t="str">
        <f ca="1">IFERROR(__xludf.DUMMYFUNCTION("""COMPUTED_VALUE"""),"T64")</f>
        <v>T64</v>
      </c>
      <c r="C71" t="str">
        <f ca="1">IFERROR(__xludf.DUMMYFUNCTION("""COMPUTED_VALUE"""),"Max Homa")</f>
        <v>Max Homa</v>
      </c>
      <c r="D71">
        <f ca="1">IFERROR(__xludf.DUMMYFUNCTION("""COMPUTED_VALUE"""),12)</f>
        <v>12</v>
      </c>
      <c r="E71">
        <f ca="1">IFERROR(__xludf.DUMMYFUNCTION("""COMPUTED_VALUE"""),65.52)</f>
        <v>65.52</v>
      </c>
      <c r="F71">
        <f ca="1">IFERROR(__xludf.DUMMYFUNCTION("""COMPUTED_VALUE"""),19)</f>
        <v>19</v>
      </c>
      <c r="G71">
        <f ca="1">IFERROR(__xludf.DUMMYFUNCTION("""COMPUTED_VALUE"""),10)</f>
        <v>10</v>
      </c>
      <c r="H71">
        <f ca="1">IFERROR(__xludf.DUMMYFUNCTION("""COMPUTED_VALUE"""),-7)</f>
        <v>-7</v>
      </c>
      <c r="I71">
        <f ca="1">IFERROR(__xludf.DUMMYFUNCTION("""COMPUTED_VALUE"""),-6)</f>
        <v>-6</v>
      </c>
    </row>
    <row r="72" spans="1:9" ht="12.75">
      <c r="A72">
        <f ca="1">IFERROR(__xludf.DUMMYFUNCTION("""COMPUTED_VALUE"""),71)</f>
        <v>71</v>
      </c>
      <c r="B72" t="str">
        <f ca="1">IFERROR(__xludf.DUMMYFUNCTION("""COMPUTED_VALUE"""),"T64")</f>
        <v>T64</v>
      </c>
      <c r="C72" t="str">
        <f ca="1">IFERROR(__xludf.DUMMYFUNCTION("""COMPUTED_VALUE"""),"Kevin Streelman")</f>
        <v>Kevin Streelman</v>
      </c>
      <c r="D72">
        <f ca="1">IFERROR(__xludf.DUMMYFUNCTION("""COMPUTED_VALUE"""),18)</f>
        <v>18</v>
      </c>
      <c r="E72">
        <f ca="1">IFERROR(__xludf.DUMMYFUNCTION("""COMPUTED_VALUE"""),65.43)</f>
        <v>65.430000000000007</v>
      </c>
      <c r="F72">
        <f ca="1">IFERROR(__xludf.DUMMYFUNCTION("""COMPUTED_VALUE"""),53)</f>
        <v>53</v>
      </c>
      <c r="G72">
        <f ca="1">IFERROR(__xludf.DUMMYFUNCTION("""COMPUTED_VALUE"""),28)</f>
        <v>28</v>
      </c>
      <c r="H72">
        <f ca="1">IFERROR(__xludf.DUMMYFUNCTION("""COMPUTED_VALUE"""),-21)</f>
        <v>-21</v>
      </c>
      <c r="I72">
        <f ca="1">IFERROR(__xludf.DUMMYFUNCTION("""COMPUTED_VALUE"""),-6)</f>
        <v>-6</v>
      </c>
    </row>
    <row r="73" spans="1:9" ht="12.75">
      <c r="A73" t="str">
        <f ca="1">IFERROR(__xludf.DUMMYFUNCTION("""COMPUTED_VALUE"""),"T72")</f>
        <v>T72</v>
      </c>
      <c r="B73" t="str">
        <f ca="1">IFERROR(__xludf.DUMMYFUNCTION("""COMPUTED_VALUE"""),"T131")</f>
        <v>T131</v>
      </c>
      <c r="C73" t="str">
        <f ca="1">IFERROR(__xludf.DUMMYFUNCTION("""COMPUTED_VALUE"""),"Adam Scott")</f>
        <v>Adam Scott</v>
      </c>
      <c r="D73">
        <f ca="1">IFERROR(__xludf.DUMMYFUNCTION("""COMPUTED_VALUE"""),8)</f>
        <v>8</v>
      </c>
      <c r="E73">
        <f ca="1">IFERROR(__xludf.DUMMYFUNCTION("""COMPUTED_VALUE"""),65.38)</f>
        <v>65.38</v>
      </c>
      <c r="F73">
        <f ca="1">IFERROR(__xludf.DUMMYFUNCTION("""COMPUTED_VALUE"""),17)</f>
        <v>17</v>
      </c>
      <c r="G73">
        <f ca="1">IFERROR(__xludf.DUMMYFUNCTION("""COMPUTED_VALUE"""),9)</f>
        <v>9</v>
      </c>
      <c r="H73">
        <f ca="1">IFERROR(__xludf.DUMMYFUNCTION("""COMPUTED_VALUE"""),-7)</f>
        <v>-7</v>
      </c>
      <c r="I73" t="str">
        <f ca="1">IFERROR(__xludf.DUMMYFUNCTION("""COMPUTED_VALUE"""),"+1")</f>
        <v>+1</v>
      </c>
    </row>
    <row r="74" spans="1:9" ht="12.75">
      <c r="A74" t="str">
        <f ca="1">IFERROR(__xludf.DUMMYFUNCTION("""COMPUTED_VALUE"""),"T72")</f>
        <v>T72</v>
      </c>
      <c r="B74" t="str">
        <f ca="1">IFERROR(__xludf.DUMMYFUNCTION("""COMPUTED_VALUE"""),"T181")</f>
        <v>T181</v>
      </c>
      <c r="C74" t="str">
        <f ca="1">IFERROR(__xludf.DUMMYFUNCTION("""COMPUTED_VALUE"""),"Dustin Johnson")</f>
        <v>Dustin Johnson</v>
      </c>
      <c r="D74">
        <f ca="1">IFERROR(__xludf.DUMMYFUNCTION("""COMPUTED_VALUE"""),8)</f>
        <v>8</v>
      </c>
      <c r="E74">
        <f ca="1">IFERROR(__xludf.DUMMYFUNCTION("""COMPUTED_VALUE"""),65.38)</f>
        <v>65.38</v>
      </c>
      <c r="F74">
        <f ca="1">IFERROR(__xludf.DUMMYFUNCTION("""COMPUTED_VALUE"""),17)</f>
        <v>17</v>
      </c>
      <c r="G74">
        <f ca="1">IFERROR(__xludf.DUMMYFUNCTION("""COMPUTED_VALUE"""),9)</f>
        <v>9</v>
      </c>
      <c r="H74">
        <f ca="1">IFERROR(__xludf.DUMMYFUNCTION("""COMPUTED_VALUE"""),-5)</f>
        <v>-5</v>
      </c>
      <c r="I74">
        <f ca="1">IFERROR(__xludf.DUMMYFUNCTION("""COMPUTED_VALUE"""),-1)</f>
        <v>-1</v>
      </c>
    </row>
    <row r="75" spans="1:9" ht="12.75">
      <c r="A75">
        <f ca="1">IFERROR(__xludf.DUMMYFUNCTION("""COMPUTED_VALUE"""),74)</f>
        <v>74</v>
      </c>
      <c r="B75" t="str">
        <f ca="1">IFERROR(__xludf.DUMMYFUNCTION("""COMPUTED_VALUE"""),"T84")</f>
        <v>T84</v>
      </c>
      <c r="C75" t="str">
        <f ca="1">IFERROR(__xludf.DUMMYFUNCTION("""COMPUTED_VALUE"""),"Graham DeLaet")</f>
        <v>Graham DeLaet</v>
      </c>
      <c r="D75">
        <f ca="1">IFERROR(__xludf.DUMMYFUNCTION("""COMPUTED_VALUE"""),9)</f>
        <v>9</v>
      </c>
      <c r="E75">
        <f ca="1">IFERROR(__xludf.DUMMYFUNCTION("""COMPUTED_VALUE"""),65)</f>
        <v>65</v>
      </c>
      <c r="F75">
        <f ca="1">IFERROR(__xludf.DUMMYFUNCTION("""COMPUTED_VALUE"""),13)</f>
        <v>13</v>
      </c>
      <c r="G75">
        <f ca="1">IFERROR(__xludf.DUMMYFUNCTION("""COMPUTED_VALUE"""),7)</f>
        <v>7</v>
      </c>
      <c r="H75">
        <f ca="1">IFERROR(__xludf.DUMMYFUNCTION("""COMPUTED_VALUE"""),-5)</f>
        <v>-5</v>
      </c>
      <c r="I75" t="str">
        <f ca="1">IFERROR(__xludf.DUMMYFUNCTION("""COMPUTED_VALUE"""),"+4")</f>
        <v>+4</v>
      </c>
    </row>
    <row r="76" spans="1:9" ht="12.75">
      <c r="A76">
        <f ca="1">IFERROR(__xludf.DUMMYFUNCTION("""COMPUTED_VALUE"""),75)</f>
        <v>75</v>
      </c>
      <c r="B76">
        <f ca="1">IFERROR(__xludf.DUMMYFUNCTION("""COMPUTED_VALUE"""),120)</f>
        <v>120</v>
      </c>
      <c r="C76" t="str">
        <f ca="1">IFERROR(__xludf.DUMMYFUNCTION("""COMPUTED_VALUE"""),"Grayson Murray")</f>
        <v>Grayson Murray</v>
      </c>
      <c r="D76">
        <f ca="1">IFERROR(__xludf.DUMMYFUNCTION("""COMPUTED_VALUE"""),10)</f>
        <v>10</v>
      </c>
      <c r="E76">
        <f ca="1">IFERROR(__xludf.DUMMYFUNCTION("""COMPUTED_VALUE"""),64.71)</f>
        <v>64.709999999999994</v>
      </c>
      <c r="F76">
        <f ca="1">IFERROR(__xludf.DUMMYFUNCTION("""COMPUTED_VALUE"""),22)</f>
        <v>22</v>
      </c>
      <c r="G76">
        <f ca="1">IFERROR(__xludf.DUMMYFUNCTION("""COMPUTED_VALUE"""),12)</f>
        <v>12</v>
      </c>
      <c r="H76">
        <f ca="1">IFERROR(__xludf.DUMMYFUNCTION("""COMPUTED_VALUE"""),-12)</f>
        <v>-12</v>
      </c>
      <c r="I76">
        <f ca="1">IFERROR(__xludf.DUMMYFUNCTION("""COMPUTED_VALUE"""),-1)</f>
        <v>-1</v>
      </c>
    </row>
    <row r="77" spans="1:9" ht="12.75">
      <c r="A77">
        <f ca="1">IFERROR(__xludf.DUMMYFUNCTION("""COMPUTED_VALUE"""),76)</f>
        <v>76</v>
      </c>
      <c r="B77">
        <f ca="1">IFERROR(__xludf.DUMMYFUNCTION("""COMPUTED_VALUE"""),86)</f>
        <v>86</v>
      </c>
      <c r="C77" t="str">
        <f ca="1">IFERROR(__xludf.DUMMYFUNCTION("""COMPUTED_VALUE"""),"Harris English")</f>
        <v>Harris English</v>
      </c>
      <c r="D77">
        <f ca="1">IFERROR(__xludf.DUMMYFUNCTION("""COMPUTED_VALUE"""),14)</f>
        <v>14</v>
      </c>
      <c r="E77">
        <f ca="1">IFERROR(__xludf.DUMMYFUNCTION("""COMPUTED_VALUE"""),64.62)</f>
        <v>64.62</v>
      </c>
      <c r="F77">
        <f ca="1">IFERROR(__xludf.DUMMYFUNCTION("""COMPUTED_VALUE"""),42)</f>
        <v>42</v>
      </c>
      <c r="G77">
        <f ca="1">IFERROR(__xludf.DUMMYFUNCTION("""COMPUTED_VALUE"""),23)</f>
        <v>23</v>
      </c>
      <c r="H77">
        <f ca="1">IFERROR(__xludf.DUMMYFUNCTION("""COMPUTED_VALUE"""),-26)</f>
        <v>-26</v>
      </c>
      <c r="I77">
        <f ca="1">IFERROR(__xludf.DUMMYFUNCTION("""COMPUTED_VALUE"""),-5)</f>
        <v>-5</v>
      </c>
    </row>
    <row r="78" spans="1:9" ht="12.75">
      <c r="A78" t="str">
        <f ca="1">IFERROR(__xludf.DUMMYFUNCTION("""COMPUTED_VALUE"""),"T77")</f>
        <v>T77</v>
      </c>
      <c r="B78" t="str">
        <f ca="1">IFERROR(__xludf.DUMMYFUNCTION("""COMPUTED_VALUE"""),"T87")</f>
        <v>T87</v>
      </c>
      <c r="C78" t="str">
        <f ca="1">IFERROR(__xludf.DUMMYFUNCTION("""COMPUTED_VALUE"""),"Roger Sloan")</f>
        <v>Roger Sloan</v>
      </c>
      <c r="D78">
        <f ca="1">IFERROR(__xludf.DUMMYFUNCTION("""COMPUTED_VALUE"""),12)</f>
        <v>12</v>
      </c>
      <c r="E78">
        <f ca="1">IFERROR(__xludf.DUMMYFUNCTION("""COMPUTED_VALUE"""),64.29)</f>
        <v>64.290000000000006</v>
      </c>
      <c r="F78">
        <f ca="1">IFERROR(__xludf.DUMMYFUNCTION("""COMPUTED_VALUE"""),18)</f>
        <v>18</v>
      </c>
      <c r="G78">
        <f ca="1">IFERROR(__xludf.DUMMYFUNCTION("""COMPUTED_VALUE"""),10)</f>
        <v>10</v>
      </c>
      <c r="H78">
        <f ca="1">IFERROR(__xludf.DUMMYFUNCTION("""COMPUTED_VALUE"""),-7)</f>
        <v>-7</v>
      </c>
      <c r="I78" t="str">
        <f ca="1">IFERROR(__xludf.DUMMYFUNCTION("""COMPUTED_VALUE"""),"E")</f>
        <v>E</v>
      </c>
    </row>
    <row r="79" spans="1:9" ht="12.75">
      <c r="A79" t="str">
        <f ca="1">IFERROR(__xludf.DUMMYFUNCTION("""COMPUTED_VALUE"""),"T77")</f>
        <v>T77</v>
      </c>
      <c r="B79" t="str">
        <f ca="1">IFERROR(__xludf.DUMMYFUNCTION("""COMPUTED_VALUE"""),"")</f>
        <v/>
      </c>
      <c r="C79" t="str">
        <f ca="1">IFERROR(__xludf.DUMMYFUNCTION("""COMPUTED_VALUE"""),"Padraig Harrington")</f>
        <v>Padraig Harrington</v>
      </c>
      <c r="D79">
        <f ca="1">IFERROR(__xludf.DUMMYFUNCTION("""COMPUTED_VALUE"""),8)</f>
        <v>8</v>
      </c>
      <c r="E79">
        <f ca="1">IFERROR(__xludf.DUMMYFUNCTION("""COMPUTED_VALUE"""),64.29)</f>
        <v>64.290000000000006</v>
      </c>
      <c r="F79">
        <f ca="1">IFERROR(__xludf.DUMMYFUNCTION("""COMPUTED_VALUE"""),9)</f>
        <v>9</v>
      </c>
      <c r="G79">
        <f ca="1">IFERROR(__xludf.DUMMYFUNCTION("""COMPUTED_VALUE"""),5)</f>
        <v>5</v>
      </c>
      <c r="H79">
        <f ca="1">IFERROR(__xludf.DUMMYFUNCTION("""COMPUTED_VALUE"""),-2)</f>
        <v>-2</v>
      </c>
      <c r="I79">
        <f ca="1">IFERROR(__xludf.DUMMYFUNCTION("""COMPUTED_VALUE"""),-1)</f>
        <v>-1</v>
      </c>
    </row>
    <row r="80" spans="1:9" ht="12.75">
      <c r="A80" t="str">
        <f ca="1">IFERROR(__xludf.DUMMYFUNCTION("""COMPUTED_VALUE"""),"T77")</f>
        <v>T77</v>
      </c>
      <c r="B80" t="str">
        <f ca="1">IFERROR(__xludf.DUMMYFUNCTION("""COMPUTED_VALUE"""),"T87")</f>
        <v>T87</v>
      </c>
      <c r="C80" t="str">
        <f ca="1">IFERROR(__xludf.DUMMYFUNCTION("""COMPUTED_VALUE"""),"Xander Schauffele")</f>
        <v>Xander Schauffele</v>
      </c>
      <c r="D80">
        <f ca="1">IFERROR(__xludf.DUMMYFUNCTION("""COMPUTED_VALUE"""),12)</f>
        <v>12</v>
      </c>
      <c r="E80">
        <f ca="1">IFERROR(__xludf.DUMMYFUNCTION("""COMPUTED_VALUE"""),64.29)</f>
        <v>64.290000000000006</v>
      </c>
      <c r="F80">
        <f ca="1">IFERROR(__xludf.DUMMYFUNCTION("""COMPUTED_VALUE"""),36)</f>
        <v>36</v>
      </c>
      <c r="G80">
        <f ca="1">IFERROR(__xludf.DUMMYFUNCTION("""COMPUTED_VALUE"""),20)</f>
        <v>20</v>
      </c>
      <c r="H80">
        <f ca="1">IFERROR(__xludf.DUMMYFUNCTION("""COMPUTED_VALUE"""),-27)</f>
        <v>-27</v>
      </c>
      <c r="I80">
        <f ca="1">IFERROR(__xludf.DUMMYFUNCTION("""COMPUTED_VALUE"""),-1)</f>
        <v>-1</v>
      </c>
    </row>
    <row r="81" spans="1:9" ht="12.75">
      <c r="A81">
        <f ca="1">IFERROR(__xludf.DUMMYFUNCTION("""COMPUTED_VALUE"""),80)</f>
        <v>80</v>
      </c>
      <c r="B81">
        <f ca="1">IFERROR(__xludf.DUMMYFUNCTION("""COMPUTED_VALUE"""),62)</f>
        <v>62</v>
      </c>
      <c r="C81" t="str">
        <f ca="1">IFERROR(__xludf.DUMMYFUNCTION("""COMPUTED_VALUE"""),"Andrew Landry")</f>
        <v>Andrew Landry</v>
      </c>
      <c r="D81">
        <f ca="1">IFERROR(__xludf.DUMMYFUNCTION("""COMPUTED_VALUE"""),14)</f>
        <v>14</v>
      </c>
      <c r="E81">
        <f ca="1">IFERROR(__xludf.DUMMYFUNCTION("""COMPUTED_VALUE"""),64.18)</f>
        <v>64.180000000000007</v>
      </c>
      <c r="F81">
        <f ca="1">IFERROR(__xludf.DUMMYFUNCTION("""COMPUTED_VALUE"""),43)</f>
        <v>43</v>
      </c>
      <c r="G81">
        <f ca="1">IFERROR(__xludf.DUMMYFUNCTION("""COMPUTED_VALUE"""),24)</f>
        <v>24</v>
      </c>
      <c r="H81">
        <f ca="1">IFERROR(__xludf.DUMMYFUNCTION("""COMPUTED_VALUE"""),-21)</f>
        <v>-21</v>
      </c>
      <c r="I81">
        <f ca="1">IFERROR(__xludf.DUMMYFUNCTION("""COMPUTED_VALUE"""),-4)</f>
        <v>-4</v>
      </c>
    </row>
    <row r="82" spans="1:9" ht="12.75">
      <c r="A82">
        <f ca="1">IFERROR(__xludf.DUMMYFUNCTION("""COMPUTED_VALUE"""),81)</f>
        <v>81</v>
      </c>
      <c r="B82">
        <f ca="1">IFERROR(__xludf.DUMMYFUNCTION("""COMPUTED_VALUE"""),91)</f>
        <v>91</v>
      </c>
      <c r="C82" t="str">
        <f ca="1">IFERROR(__xludf.DUMMYFUNCTION("""COMPUTED_VALUE"""),"Tommy Fleetwood")</f>
        <v>Tommy Fleetwood</v>
      </c>
      <c r="D82">
        <f ca="1">IFERROR(__xludf.DUMMYFUNCTION("""COMPUTED_VALUE"""),10)</f>
        <v>10</v>
      </c>
      <c r="E82">
        <f ca="1">IFERROR(__xludf.DUMMYFUNCTION("""COMPUTED_VALUE"""),64)</f>
        <v>64</v>
      </c>
      <c r="F82">
        <f ca="1">IFERROR(__xludf.DUMMYFUNCTION("""COMPUTED_VALUE"""),32)</f>
        <v>32</v>
      </c>
      <c r="G82">
        <f ca="1">IFERROR(__xludf.DUMMYFUNCTION("""COMPUTED_VALUE"""),18)</f>
        <v>18</v>
      </c>
      <c r="H82">
        <f ca="1">IFERROR(__xludf.DUMMYFUNCTION("""COMPUTED_VALUE"""),-23)</f>
        <v>-23</v>
      </c>
      <c r="I82" t="str">
        <f ca="1">IFERROR(__xludf.DUMMYFUNCTION("""COMPUTED_VALUE"""),"+9")</f>
        <v>+9</v>
      </c>
    </row>
    <row r="83" spans="1:9" ht="12.75">
      <c r="A83">
        <f ca="1">IFERROR(__xludf.DUMMYFUNCTION("""COMPUTED_VALUE"""),82)</f>
        <v>82</v>
      </c>
      <c r="B83">
        <f ca="1">IFERROR(__xludf.DUMMYFUNCTION("""COMPUTED_VALUE"""),93)</f>
        <v>93</v>
      </c>
      <c r="C83" t="str">
        <f ca="1">IFERROR(__xludf.DUMMYFUNCTION("""COMPUTED_VALUE"""),"Joel Dahmen")</f>
        <v>Joel Dahmen</v>
      </c>
      <c r="D83">
        <f ca="1">IFERROR(__xludf.DUMMYFUNCTION("""COMPUTED_VALUE"""),18)</f>
        <v>18</v>
      </c>
      <c r="E83">
        <f ca="1">IFERROR(__xludf.DUMMYFUNCTION("""COMPUTED_VALUE"""),63.86)</f>
        <v>63.86</v>
      </c>
      <c r="F83">
        <f ca="1">IFERROR(__xludf.DUMMYFUNCTION("""COMPUTED_VALUE"""),53)</f>
        <v>53</v>
      </c>
      <c r="G83">
        <f ca="1">IFERROR(__xludf.DUMMYFUNCTION("""COMPUTED_VALUE"""),30)</f>
        <v>30</v>
      </c>
      <c r="H83">
        <f ca="1">IFERROR(__xludf.DUMMYFUNCTION("""COMPUTED_VALUE"""),-30)</f>
        <v>-30</v>
      </c>
      <c r="I83">
        <f ca="1">IFERROR(__xludf.DUMMYFUNCTION("""COMPUTED_VALUE"""),-6)</f>
        <v>-6</v>
      </c>
    </row>
    <row r="84" spans="1:9" ht="12.75">
      <c r="A84">
        <f ca="1">IFERROR(__xludf.DUMMYFUNCTION("""COMPUTED_VALUE"""),83)</f>
        <v>83</v>
      </c>
      <c r="B84">
        <f ca="1">IFERROR(__xludf.DUMMYFUNCTION("""COMPUTED_VALUE"""),95)</f>
        <v>95</v>
      </c>
      <c r="C84" t="str">
        <f ca="1">IFERROR(__xludf.DUMMYFUNCTION("""COMPUTED_VALUE"""),"Matt Jones")</f>
        <v>Matt Jones</v>
      </c>
      <c r="D84">
        <f ca="1">IFERROR(__xludf.DUMMYFUNCTION("""COMPUTED_VALUE"""),20)</f>
        <v>20</v>
      </c>
      <c r="E84">
        <f ca="1">IFERROR(__xludf.DUMMYFUNCTION("""COMPUTED_VALUE"""),63.83)</f>
        <v>63.83</v>
      </c>
      <c r="F84">
        <f ca="1">IFERROR(__xludf.DUMMYFUNCTION("""COMPUTED_VALUE"""),30)</f>
        <v>30</v>
      </c>
      <c r="G84">
        <f ca="1">IFERROR(__xludf.DUMMYFUNCTION("""COMPUTED_VALUE"""),17)</f>
        <v>17</v>
      </c>
      <c r="H84">
        <f ca="1">IFERROR(__xludf.DUMMYFUNCTION("""COMPUTED_VALUE"""),-17)</f>
        <v>-17</v>
      </c>
      <c r="I84">
        <f ca="1">IFERROR(__xludf.DUMMYFUNCTION("""COMPUTED_VALUE"""),-1)</f>
        <v>-1</v>
      </c>
    </row>
    <row r="85" spans="1:9" ht="12.75">
      <c r="A85">
        <f ca="1">IFERROR(__xludf.DUMMYFUNCTION("""COMPUTED_VALUE"""),84)</f>
        <v>84</v>
      </c>
      <c r="B85">
        <f ca="1">IFERROR(__xludf.DUMMYFUNCTION("""COMPUTED_VALUE"""),40)</f>
        <v>40</v>
      </c>
      <c r="C85" t="str">
        <f ca="1">IFERROR(__xludf.DUMMYFUNCTION("""COMPUTED_VALUE"""),"Bronson Burgoon")</f>
        <v>Bronson Burgoon</v>
      </c>
      <c r="D85">
        <f ca="1">IFERROR(__xludf.DUMMYFUNCTION("""COMPUTED_VALUE"""),10)</f>
        <v>10</v>
      </c>
      <c r="E85">
        <f ca="1">IFERROR(__xludf.DUMMYFUNCTION("""COMPUTED_VALUE"""),63.64)</f>
        <v>63.64</v>
      </c>
      <c r="F85">
        <f ca="1">IFERROR(__xludf.DUMMYFUNCTION("""COMPUTED_VALUE"""),21)</f>
        <v>21</v>
      </c>
      <c r="G85">
        <f ca="1">IFERROR(__xludf.DUMMYFUNCTION("""COMPUTED_VALUE"""),12)</f>
        <v>12</v>
      </c>
      <c r="H85">
        <f ca="1">IFERROR(__xludf.DUMMYFUNCTION("""COMPUTED_VALUE"""),-4)</f>
        <v>-4</v>
      </c>
      <c r="I85" t="str">
        <f ca="1">IFERROR(__xludf.DUMMYFUNCTION("""COMPUTED_VALUE"""),"+2")</f>
        <v>+2</v>
      </c>
    </row>
    <row r="86" spans="1:9" ht="12.75">
      <c r="A86">
        <f ca="1">IFERROR(__xludf.DUMMYFUNCTION("""COMPUTED_VALUE"""),85)</f>
        <v>85</v>
      </c>
      <c r="B86">
        <f ca="1">IFERROR(__xludf.DUMMYFUNCTION("""COMPUTED_VALUE"""),81)</f>
        <v>81</v>
      </c>
      <c r="C86" t="str">
        <f ca="1">IFERROR(__xludf.DUMMYFUNCTION("""COMPUTED_VALUE"""),"Phil Mickelson")</f>
        <v>Phil Mickelson</v>
      </c>
      <c r="D86">
        <f ca="1">IFERROR(__xludf.DUMMYFUNCTION("""COMPUTED_VALUE"""),12)</f>
        <v>12</v>
      </c>
      <c r="E86">
        <f ca="1">IFERROR(__xludf.DUMMYFUNCTION("""COMPUTED_VALUE"""),63.46)</f>
        <v>63.46</v>
      </c>
      <c r="F86">
        <f ca="1">IFERROR(__xludf.DUMMYFUNCTION("""COMPUTED_VALUE"""),33)</f>
        <v>33</v>
      </c>
      <c r="G86">
        <f ca="1">IFERROR(__xludf.DUMMYFUNCTION("""COMPUTED_VALUE"""),19)</f>
        <v>19</v>
      </c>
      <c r="H86">
        <f ca="1">IFERROR(__xludf.DUMMYFUNCTION("""COMPUTED_VALUE"""),-18)</f>
        <v>-18</v>
      </c>
      <c r="I86" t="str">
        <f ca="1">IFERROR(__xludf.DUMMYFUNCTION("""COMPUTED_VALUE"""),"+11")</f>
        <v>+11</v>
      </c>
    </row>
    <row r="87" spans="1:9" ht="12.75">
      <c r="A87">
        <f ca="1">IFERROR(__xludf.DUMMYFUNCTION("""COMPUTED_VALUE"""),86)</f>
        <v>86</v>
      </c>
      <c r="B87" t="str">
        <f ca="1">IFERROR(__xludf.DUMMYFUNCTION("""COMPUTED_VALUE"""),"T76")</f>
        <v>T76</v>
      </c>
      <c r="C87" t="str">
        <f ca="1">IFERROR(__xludf.DUMMYFUNCTION("""COMPUTED_VALUE"""),"Scott Harrington")</f>
        <v>Scott Harrington</v>
      </c>
      <c r="D87">
        <f ca="1">IFERROR(__xludf.DUMMYFUNCTION("""COMPUTED_VALUE"""),18)</f>
        <v>18</v>
      </c>
      <c r="E87">
        <f ca="1">IFERROR(__xludf.DUMMYFUNCTION("""COMPUTED_VALUE"""),63.27)</f>
        <v>63.27</v>
      </c>
      <c r="F87">
        <f ca="1">IFERROR(__xludf.DUMMYFUNCTION("""COMPUTED_VALUE"""),31)</f>
        <v>31</v>
      </c>
      <c r="G87">
        <f ca="1">IFERROR(__xludf.DUMMYFUNCTION("""COMPUTED_VALUE"""),18)</f>
        <v>18</v>
      </c>
      <c r="H87">
        <f ca="1">IFERROR(__xludf.DUMMYFUNCTION("""COMPUTED_VALUE"""),-22)</f>
        <v>-22</v>
      </c>
      <c r="I87" t="str">
        <f ca="1">IFERROR(__xludf.DUMMYFUNCTION("""COMPUTED_VALUE"""),"+1")</f>
        <v>+1</v>
      </c>
    </row>
    <row r="88" spans="1:9" ht="12.75">
      <c r="A88">
        <f ca="1">IFERROR(__xludf.DUMMYFUNCTION("""COMPUTED_VALUE"""),87)</f>
        <v>87</v>
      </c>
      <c r="B88" t="str">
        <f ca="1">IFERROR(__xludf.DUMMYFUNCTION("""COMPUTED_VALUE"""),"T97")</f>
        <v>T97</v>
      </c>
      <c r="C88" t="str">
        <f ca="1">IFERROR(__xludf.DUMMYFUNCTION("""COMPUTED_VALUE"""),"Nick Watney")</f>
        <v>Nick Watney</v>
      </c>
      <c r="D88">
        <f ca="1">IFERROR(__xludf.DUMMYFUNCTION("""COMPUTED_VALUE"""),10)</f>
        <v>10</v>
      </c>
      <c r="E88">
        <f ca="1">IFERROR(__xludf.DUMMYFUNCTION("""COMPUTED_VALUE"""),62.86)</f>
        <v>62.86</v>
      </c>
      <c r="F88">
        <f ca="1">IFERROR(__xludf.DUMMYFUNCTION("""COMPUTED_VALUE"""),22)</f>
        <v>22</v>
      </c>
      <c r="G88">
        <f ca="1">IFERROR(__xludf.DUMMYFUNCTION("""COMPUTED_VALUE"""),13)</f>
        <v>13</v>
      </c>
      <c r="H88">
        <f ca="1">IFERROR(__xludf.DUMMYFUNCTION("""COMPUTED_VALUE"""),-9)</f>
        <v>-9</v>
      </c>
      <c r="I88">
        <f ca="1">IFERROR(__xludf.DUMMYFUNCTION("""COMPUTED_VALUE"""),-1)</f>
        <v>-1</v>
      </c>
    </row>
    <row r="89" spans="1:9" ht="12.75">
      <c r="A89">
        <f ca="1">IFERROR(__xludf.DUMMYFUNCTION("""COMPUTED_VALUE"""),88)</f>
        <v>88</v>
      </c>
      <c r="B89" t="str">
        <f ca="1">IFERROR(__xludf.DUMMYFUNCTION("""COMPUTED_VALUE"""),"T41")</f>
        <v>T41</v>
      </c>
      <c r="C89" t="str">
        <f ca="1">IFERROR(__xludf.DUMMYFUNCTION("""COMPUTED_VALUE"""),"Camilo Villegas")</f>
        <v>Camilo Villegas</v>
      </c>
      <c r="D89">
        <f ca="1">IFERROR(__xludf.DUMMYFUNCTION("""COMPUTED_VALUE"""),14)</f>
        <v>14</v>
      </c>
      <c r="E89">
        <f ca="1">IFERROR(__xludf.DUMMYFUNCTION("""COMPUTED_VALUE"""),62.79)</f>
        <v>62.79</v>
      </c>
      <c r="F89">
        <f ca="1">IFERROR(__xludf.DUMMYFUNCTION("""COMPUTED_VALUE"""),27)</f>
        <v>27</v>
      </c>
      <c r="G89">
        <f ca="1">IFERROR(__xludf.DUMMYFUNCTION("""COMPUTED_VALUE"""),16)</f>
        <v>16</v>
      </c>
      <c r="H89">
        <f ca="1">IFERROR(__xludf.DUMMYFUNCTION("""COMPUTED_VALUE"""),-19)</f>
        <v>-19</v>
      </c>
      <c r="I89" t="str">
        <f ca="1">IFERROR(__xludf.DUMMYFUNCTION("""COMPUTED_VALUE"""),"E")</f>
        <v>E</v>
      </c>
    </row>
    <row r="90" spans="1:9" ht="12.75">
      <c r="A90" t="str">
        <f ca="1">IFERROR(__xludf.DUMMYFUNCTION("""COMPUTED_VALUE"""),"T89")</f>
        <v>T89</v>
      </c>
      <c r="B90" t="str">
        <f ca="1">IFERROR(__xludf.DUMMYFUNCTION("""COMPUTED_VALUE"""),"T89")</f>
        <v>T89</v>
      </c>
      <c r="C90" t="str">
        <f ca="1">IFERROR(__xludf.DUMMYFUNCTION("""COMPUTED_VALUE"""),"Sung Kang")</f>
        <v>Sung Kang</v>
      </c>
      <c r="D90">
        <f ca="1">IFERROR(__xludf.DUMMYFUNCTION("""COMPUTED_VALUE"""),14)</f>
        <v>14</v>
      </c>
      <c r="E90">
        <f ca="1">IFERROR(__xludf.DUMMYFUNCTION("""COMPUTED_VALUE"""),62.71)</f>
        <v>62.71</v>
      </c>
      <c r="F90">
        <f ca="1">IFERROR(__xludf.DUMMYFUNCTION("""COMPUTED_VALUE"""),37)</f>
        <v>37</v>
      </c>
      <c r="G90">
        <f ca="1">IFERROR(__xludf.DUMMYFUNCTION("""COMPUTED_VALUE"""),22)</f>
        <v>22</v>
      </c>
      <c r="H90">
        <f ca="1">IFERROR(__xludf.DUMMYFUNCTION("""COMPUTED_VALUE"""),-9)</f>
        <v>-9</v>
      </c>
      <c r="I90" t="str">
        <f ca="1">IFERROR(__xludf.DUMMYFUNCTION("""COMPUTED_VALUE"""),"E")</f>
        <v>E</v>
      </c>
    </row>
    <row r="91" spans="1:9" ht="12.75">
      <c r="A91" t="str">
        <f ca="1">IFERROR(__xludf.DUMMYFUNCTION("""COMPUTED_VALUE"""),"T89")</f>
        <v>T89</v>
      </c>
      <c r="B91">
        <f ca="1">IFERROR(__xludf.DUMMYFUNCTION("""COMPUTED_VALUE"""),99)</f>
        <v>99</v>
      </c>
      <c r="C91" t="str">
        <f ca="1">IFERROR(__xludf.DUMMYFUNCTION("""COMPUTED_VALUE"""),"Collin Morikawa")</f>
        <v>Collin Morikawa</v>
      </c>
      <c r="D91">
        <f ca="1">IFERROR(__xludf.DUMMYFUNCTION("""COMPUTED_VALUE"""),12)</f>
        <v>12</v>
      </c>
      <c r="E91">
        <f ca="1">IFERROR(__xludf.DUMMYFUNCTION("""COMPUTED_VALUE"""),62.71)</f>
        <v>62.71</v>
      </c>
      <c r="F91">
        <f ca="1">IFERROR(__xludf.DUMMYFUNCTION("""COMPUTED_VALUE"""),37)</f>
        <v>37</v>
      </c>
      <c r="G91">
        <f ca="1">IFERROR(__xludf.DUMMYFUNCTION("""COMPUTED_VALUE"""),22)</f>
        <v>22</v>
      </c>
      <c r="H91">
        <f ca="1">IFERROR(__xludf.DUMMYFUNCTION("""COMPUTED_VALUE"""),-25)</f>
        <v>-25</v>
      </c>
      <c r="I91">
        <f ca="1">IFERROR(__xludf.DUMMYFUNCTION("""COMPUTED_VALUE"""),-3)</f>
        <v>-3</v>
      </c>
    </row>
    <row r="92" spans="1:9" ht="12.75">
      <c r="A92" t="str">
        <f ca="1">IFERROR(__xludf.DUMMYFUNCTION("""COMPUTED_VALUE"""),"T89")</f>
        <v>T89</v>
      </c>
      <c r="B92" t="str">
        <f ca="1">IFERROR(__xludf.DUMMYFUNCTION("""COMPUTED_VALUE"""),"T89")</f>
        <v>T89</v>
      </c>
      <c r="C92" t="str">
        <f ca="1">IFERROR(__xludf.DUMMYFUNCTION("""COMPUTED_VALUE"""),"Adam Schenk")</f>
        <v>Adam Schenk</v>
      </c>
      <c r="D92">
        <f ca="1">IFERROR(__xludf.DUMMYFUNCTION("""COMPUTED_VALUE"""),22)</f>
        <v>22</v>
      </c>
      <c r="E92">
        <f ca="1">IFERROR(__xludf.DUMMYFUNCTION("""COMPUTED_VALUE"""),62.71)</f>
        <v>62.71</v>
      </c>
      <c r="F92">
        <f ca="1">IFERROR(__xludf.DUMMYFUNCTION("""COMPUTED_VALUE"""),37)</f>
        <v>37</v>
      </c>
      <c r="G92">
        <f ca="1">IFERROR(__xludf.DUMMYFUNCTION("""COMPUTED_VALUE"""),22)</f>
        <v>22</v>
      </c>
      <c r="H92">
        <f ca="1">IFERROR(__xludf.DUMMYFUNCTION("""COMPUTED_VALUE"""),-21)</f>
        <v>-21</v>
      </c>
      <c r="I92">
        <f ca="1">IFERROR(__xludf.DUMMYFUNCTION("""COMPUTED_VALUE"""),-3)</f>
        <v>-3</v>
      </c>
    </row>
    <row r="93" spans="1:9" ht="12.75">
      <c r="A93" t="str">
        <f ca="1">IFERROR(__xludf.DUMMYFUNCTION("""COMPUTED_VALUE"""),"T92")</f>
        <v>T92</v>
      </c>
      <c r="B93" t="str">
        <f ca="1">IFERROR(__xludf.DUMMYFUNCTION("""COMPUTED_VALUE"""),"T100")</f>
        <v>T100</v>
      </c>
      <c r="C93" t="str">
        <f ca="1">IFERROR(__xludf.DUMMYFUNCTION("""COMPUTED_VALUE"""),"Zack Sucher")</f>
        <v>Zack Sucher</v>
      </c>
      <c r="D93">
        <f ca="1">IFERROR(__xludf.DUMMYFUNCTION("""COMPUTED_VALUE"""),6)</f>
        <v>6</v>
      </c>
      <c r="E93">
        <f ca="1">IFERROR(__xludf.DUMMYFUNCTION("""COMPUTED_VALUE"""),62.5)</f>
        <v>62.5</v>
      </c>
      <c r="F93">
        <f ca="1">IFERROR(__xludf.DUMMYFUNCTION("""COMPUTED_VALUE"""),5)</f>
        <v>5</v>
      </c>
      <c r="G93">
        <f ca="1">IFERROR(__xludf.DUMMYFUNCTION("""COMPUTED_VALUE"""),3)</f>
        <v>3</v>
      </c>
      <c r="H93">
        <f ca="1">IFERROR(__xludf.DUMMYFUNCTION("""COMPUTED_VALUE"""),-4)</f>
        <v>-4</v>
      </c>
      <c r="I93" t="str">
        <f ca="1">IFERROR(__xludf.DUMMYFUNCTION("""COMPUTED_VALUE"""),"+2")</f>
        <v>+2</v>
      </c>
    </row>
    <row r="94" spans="1:9" ht="12.75">
      <c r="A94" t="str">
        <f ca="1">IFERROR(__xludf.DUMMYFUNCTION("""COMPUTED_VALUE"""),"T92")</f>
        <v>T92</v>
      </c>
      <c r="B94" t="str">
        <f ca="1">IFERROR(__xludf.DUMMYFUNCTION("""COMPUTED_VALUE"""),"T100")</f>
        <v>T100</v>
      </c>
      <c r="C94" t="str">
        <f ca="1">IFERROR(__xludf.DUMMYFUNCTION("""COMPUTED_VALUE"""),"Rafael Campos")</f>
        <v>Rafael Campos</v>
      </c>
      <c r="D94">
        <f ca="1">IFERROR(__xludf.DUMMYFUNCTION("""COMPUTED_VALUE"""),6)</f>
        <v>6</v>
      </c>
      <c r="E94">
        <f ca="1">IFERROR(__xludf.DUMMYFUNCTION("""COMPUTED_VALUE"""),62.5)</f>
        <v>62.5</v>
      </c>
      <c r="F94">
        <f ca="1">IFERROR(__xludf.DUMMYFUNCTION("""COMPUTED_VALUE"""),5)</f>
        <v>5</v>
      </c>
      <c r="G94">
        <f ca="1">IFERROR(__xludf.DUMMYFUNCTION("""COMPUTED_VALUE"""),3)</f>
        <v>3</v>
      </c>
      <c r="H94">
        <f ca="1">IFERROR(__xludf.DUMMYFUNCTION("""COMPUTED_VALUE"""),-2)</f>
        <v>-2</v>
      </c>
      <c r="I94" t="str">
        <f ca="1">IFERROR(__xludf.DUMMYFUNCTION("""COMPUTED_VALUE"""),"+1")</f>
        <v>+1</v>
      </c>
    </row>
    <row r="95" spans="1:9" ht="12.75">
      <c r="A95" t="str">
        <f ca="1">IFERROR(__xludf.DUMMYFUNCTION("""COMPUTED_VALUE"""),"T92")</f>
        <v>T92</v>
      </c>
      <c r="B95" t="str">
        <f ca="1">IFERROR(__xludf.DUMMYFUNCTION("""COMPUTED_VALUE"""),"T100")</f>
        <v>T100</v>
      </c>
      <c r="C95" t="str">
        <f ca="1">IFERROR(__xludf.DUMMYFUNCTION("""COMPUTED_VALUE"""),"Josh Teater")</f>
        <v>Josh Teater</v>
      </c>
      <c r="D95">
        <f ca="1">IFERROR(__xludf.DUMMYFUNCTION("""COMPUTED_VALUE"""),6)</f>
        <v>6</v>
      </c>
      <c r="E95">
        <f ca="1">IFERROR(__xludf.DUMMYFUNCTION("""COMPUTED_VALUE"""),62.5)</f>
        <v>62.5</v>
      </c>
      <c r="F95">
        <f ca="1">IFERROR(__xludf.DUMMYFUNCTION("""COMPUTED_VALUE"""),5)</f>
        <v>5</v>
      </c>
      <c r="G95">
        <f ca="1">IFERROR(__xludf.DUMMYFUNCTION("""COMPUTED_VALUE"""),3)</f>
        <v>3</v>
      </c>
      <c r="H95">
        <f ca="1">IFERROR(__xludf.DUMMYFUNCTION("""COMPUTED_VALUE"""),-4)</f>
        <v>-4</v>
      </c>
      <c r="I95">
        <f ca="1">IFERROR(__xludf.DUMMYFUNCTION("""COMPUTED_VALUE"""),-2)</f>
        <v>-2</v>
      </c>
    </row>
    <row r="96" spans="1:9" ht="12.75">
      <c r="A96" t="str">
        <f ca="1">IFERROR(__xludf.DUMMYFUNCTION("""COMPUTED_VALUE"""),"T92")</f>
        <v>T92</v>
      </c>
      <c r="B96" t="str">
        <f ca="1">IFERROR(__xludf.DUMMYFUNCTION("""COMPUTED_VALUE"""),"T100")</f>
        <v>T100</v>
      </c>
      <c r="C96" t="str">
        <f ca="1">IFERROR(__xludf.DUMMYFUNCTION("""COMPUTED_VALUE"""),"Alex Cejka")</f>
        <v>Alex Cejka</v>
      </c>
      <c r="D96">
        <f ca="1">IFERROR(__xludf.DUMMYFUNCTION("""COMPUTED_VALUE"""),6)</f>
        <v>6</v>
      </c>
      <c r="E96">
        <f ca="1">IFERROR(__xludf.DUMMYFUNCTION("""COMPUTED_VALUE"""),62.5)</f>
        <v>62.5</v>
      </c>
      <c r="F96">
        <f ca="1">IFERROR(__xludf.DUMMYFUNCTION("""COMPUTED_VALUE"""),5)</f>
        <v>5</v>
      </c>
      <c r="G96">
        <f ca="1">IFERROR(__xludf.DUMMYFUNCTION("""COMPUTED_VALUE"""),3)</f>
        <v>3</v>
      </c>
      <c r="H96" t="str">
        <f ca="1">IFERROR(__xludf.DUMMYFUNCTION("""COMPUTED_VALUE"""),"+1")</f>
        <v>+1</v>
      </c>
      <c r="I96" t="str">
        <f ca="1">IFERROR(__xludf.DUMMYFUNCTION("""COMPUTED_VALUE"""),"+1")</f>
        <v>+1</v>
      </c>
    </row>
    <row r="97" spans="1:9" ht="12.75">
      <c r="A97" t="str">
        <f ca="1">IFERROR(__xludf.DUMMYFUNCTION("""COMPUTED_VALUE"""),"T92")</f>
        <v>T92</v>
      </c>
      <c r="B97" t="str">
        <f ca="1">IFERROR(__xludf.DUMMYFUNCTION("""COMPUTED_VALUE"""),"T100")</f>
        <v>T100</v>
      </c>
      <c r="C97" t="str">
        <f ca="1">IFERROR(__xludf.DUMMYFUNCTION("""COMPUTED_VALUE"""),"Jon Rahm")</f>
        <v>Jon Rahm</v>
      </c>
      <c r="D97">
        <f ca="1">IFERROR(__xludf.DUMMYFUNCTION("""COMPUTED_VALUE"""),12)</f>
        <v>12</v>
      </c>
      <c r="E97">
        <f ca="1">IFERROR(__xludf.DUMMYFUNCTION("""COMPUTED_VALUE"""),62.5)</f>
        <v>62.5</v>
      </c>
      <c r="F97">
        <f ca="1">IFERROR(__xludf.DUMMYFUNCTION("""COMPUTED_VALUE"""),35)</f>
        <v>35</v>
      </c>
      <c r="G97">
        <f ca="1">IFERROR(__xludf.DUMMYFUNCTION("""COMPUTED_VALUE"""),21)</f>
        <v>21</v>
      </c>
      <c r="H97">
        <f ca="1">IFERROR(__xludf.DUMMYFUNCTION("""COMPUTED_VALUE"""),-23)</f>
        <v>-23</v>
      </c>
      <c r="I97">
        <f ca="1">IFERROR(__xludf.DUMMYFUNCTION("""COMPUTED_VALUE"""),-3)</f>
        <v>-3</v>
      </c>
    </row>
    <row r="98" spans="1:9" ht="12.75">
      <c r="A98" t="str">
        <f ca="1">IFERROR(__xludf.DUMMYFUNCTION("""COMPUTED_VALUE"""),"T92")</f>
        <v>T92</v>
      </c>
      <c r="B98" t="str">
        <f ca="1">IFERROR(__xludf.DUMMYFUNCTION("""COMPUTED_VALUE"""),"T100")</f>
        <v>T100</v>
      </c>
      <c r="C98" t="str">
        <f ca="1">IFERROR(__xludf.DUMMYFUNCTION("""COMPUTED_VALUE"""),"Ben Taylor")</f>
        <v>Ben Taylor</v>
      </c>
      <c r="D98">
        <f ca="1">IFERROR(__xludf.DUMMYFUNCTION("""COMPUTED_VALUE"""),10)</f>
        <v>10</v>
      </c>
      <c r="E98">
        <f ca="1">IFERROR(__xludf.DUMMYFUNCTION("""COMPUTED_VALUE"""),62.5)</f>
        <v>62.5</v>
      </c>
      <c r="F98">
        <f ca="1">IFERROR(__xludf.DUMMYFUNCTION("""COMPUTED_VALUE"""),10)</f>
        <v>10</v>
      </c>
      <c r="G98">
        <f ca="1">IFERROR(__xludf.DUMMYFUNCTION("""COMPUTED_VALUE"""),6)</f>
        <v>6</v>
      </c>
      <c r="H98">
        <f ca="1">IFERROR(__xludf.DUMMYFUNCTION("""COMPUTED_VALUE"""),-7)</f>
        <v>-7</v>
      </c>
      <c r="I98" t="str">
        <f ca="1">IFERROR(__xludf.DUMMYFUNCTION("""COMPUTED_VALUE"""),"E")</f>
        <v>E</v>
      </c>
    </row>
    <row r="99" spans="1:9" ht="12.75">
      <c r="A99">
        <f ca="1">IFERROR(__xludf.DUMMYFUNCTION("""COMPUTED_VALUE"""),98)</f>
        <v>98</v>
      </c>
      <c r="B99">
        <f ca="1">IFERROR(__xludf.DUMMYFUNCTION("""COMPUTED_VALUE"""),107)</f>
        <v>107</v>
      </c>
      <c r="C99" t="str">
        <f ca="1">IFERROR(__xludf.DUMMYFUNCTION("""COMPUTED_VALUE"""),"Brendan Steele")</f>
        <v>Brendan Steele</v>
      </c>
      <c r="D99">
        <f ca="1">IFERROR(__xludf.DUMMYFUNCTION("""COMPUTED_VALUE"""),14)</f>
        <v>14</v>
      </c>
      <c r="E99">
        <f ca="1">IFERROR(__xludf.DUMMYFUNCTION("""COMPUTED_VALUE"""),62.32)</f>
        <v>62.32</v>
      </c>
      <c r="F99">
        <f ca="1">IFERROR(__xludf.DUMMYFUNCTION("""COMPUTED_VALUE"""),43)</f>
        <v>43</v>
      </c>
      <c r="G99">
        <f ca="1">IFERROR(__xludf.DUMMYFUNCTION("""COMPUTED_VALUE"""),26)</f>
        <v>26</v>
      </c>
      <c r="H99">
        <f ca="1">IFERROR(__xludf.DUMMYFUNCTION("""COMPUTED_VALUE"""),-19)</f>
        <v>-19</v>
      </c>
      <c r="I99" t="str">
        <f ca="1">IFERROR(__xludf.DUMMYFUNCTION("""COMPUTED_VALUE"""),"+2")</f>
        <v>+2</v>
      </c>
    </row>
    <row r="100" spans="1:9" ht="12.75">
      <c r="A100">
        <f ca="1">IFERROR(__xludf.DUMMYFUNCTION("""COMPUTED_VALUE"""),99)</f>
        <v>99</v>
      </c>
      <c r="B100" t="str">
        <f ca="1">IFERROR(__xludf.DUMMYFUNCTION("""COMPUTED_VALUE"""),"T111")</f>
        <v>T111</v>
      </c>
      <c r="C100" t="str">
        <f ca="1">IFERROR(__xludf.DUMMYFUNCTION("""COMPUTED_VALUE"""),"Richy Werenski")</f>
        <v>Richy Werenski</v>
      </c>
      <c r="D100">
        <f ca="1">IFERROR(__xludf.DUMMYFUNCTION("""COMPUTED_VALUE"""),16)</f>
        <v>16</v>
      </c>
      <c r="E100">
        <f ca="1">IFERROR(__xludf.DUMMYFUNCTION("""COMPUTED_VALUE"""),62.03)</f>
        <v>62.03</v>
      </c>
      <c r="F100">
        <f ca="1">IFERROR(__xludf.DUMMYFUNCTION("""COMPUTED_VALUE"""),49)</f>
        <v>49</v>
      </c>
      <c r="G100">
        <f ca="1">IFERROR(__xludf.DUMMYFUNCTION("""COMPUTED_VALUE"""),30)</f>
        <v>30</v>
      </c>
      <c r="H100">
        <f ca="1">IFERROR(__xludf.DUMMYFUNCTION("""COMPUTED_VALUE"""),-24)</f>
        <v>-24</v>
      </c>
      <c r="I100">
        <f ca="1">IFERROR(__xludf.DUMMYFUNCTION("""COMPUTED_VALUE"""),-4)</f>
        <v>-4</v>
      </c>
    </row>
    <row r="101" spans="1:9" ht="12.75">
      <c r="A101">
        <f ca="1">IFERROR(__xludf.DUMMYFUNCTION("""COMPUTED_VALUE"""),100)</f>
        <v>100</v>
      </c>
      <c r="B101">
        <f ca="1">IFERROR(__xludf.DUMMYFUNCTION("""COMPUTED_VALUE"""),82)</f>
        <v>82</v>
      </c>
      <c r="C101" t="str">
        <f ca="1">IFERROR(__xludf.DUMMYFUNCTION("""COMPUTED_VALUE"""),"Brooks Koepka")</f>
        <v>Brooks Koepka</v>
      </c>
      <c r="D101">
        <f ca="1">IFERROR(__xludf.DUMMYFUNCTION("""COMPUTED_VALUE"""),8)</f>
        <v>8</v>
      </c>
      <c r="E101">
        <f ca="1">IFERROR(__xludf.DUMMYFUNCTION("""COMPUTED_VALUE"""),61.76)</f>
        <v>61.76</v>
      </c>
      <c r="F101">
        <f ca="1">IFERROR(__xludf.DUMMYFUNCTION("""COMPUTED_VALUE"""),21)</f>
        <v>21</v>
      </c>
      <c r="G101">
        <f ca="1">IFERROR(__xludf.DUMMYFUNCTION("""COMPUTED_VALUE"""),13)</f>
        <v>13</v>
      </c>
      <c r="H101">
        <f ca="1">IFERROR(__xludf.DUMMYFUNCTION("""COMPUTED_VALUE"""),-11)</f>
        <v>-11</v>
      </c>
      <c r="I101">
        <f ca="1">IFERROR(__xludf.DUMMYFUNCTION("""COMPUTED_VALUE"""),-2)</f>
        <v>-2</v>
      </c>
    </row>
    <row r="102" spans="1:9" ht="12.75">
      <c r="A102">
        <f ca="1">IFERROR(__xludf.DUMMYFUNCTION("""COMPUTED_VALUE"""),101)</f>
        <v>101</v>
      </c>
      <c r="B102">
        <f ca="1">IFERROR(__xludf.DUMMYFUNCTION("""COMPUTED_VALUE"""),113)</f>
        <v>113</v>
      </c>
      <c r="C102" t="str">
        <f ca="1">IFERROR(__xludf.DUMMYFUNCTION("""COMPUTED_VALUE"""),"Abraham Ancer")</f>
        <v>Abraham Ancer</v>
      </c>
      <c r="D102">
        <f ca="1">IFERROR(__xludf.DUMMYFUNCTION("""COMPUTED_VALUE"""),16)</f>
        <v>16</v>
      </c>
      <c r="E102">
        <f ca="1">IFERROR(__xludf.DUMMYFUNCTION("""COMPUTED_VALUE"""),61.64)</f>
        <v>61.64</v>
      </c>
      <c r="F102">
        <f ca="1">IFERROR(__xludf.DUMMYFUNCTION("""COMPUTED_VALUE"""),45)</f>
        <v>45</v>
      </c>
      <c r="G102">
        <f ca="1">IFERROR(__xludf.DUMMYFUNCTION("""COMPUTED_VALUE"""),28)</f>
        <v>28</v>
      </c>
      <c r="H102">
        <f ca="1">IFERROR(__xludf.DUMMYFUNCTION("""COMPUTED_VALUE"""),-28)</f>
        <v>-28</v>
      </c>
      <c r="I102">
        <f ca="1">IFERROR(__xludf.DUMMYFUNCTION("""COMPUTED_VALUE"""),-3)</f>
        <v>-3</v>
      </c>
    </row>
    <row r="103" spans="1:9" ht="12.75">
      <c r="A103" t="str">
        <f ca="1">IFERROR(__xludf.DUMMYFUNCTION("""COMPUTED_VALUE"""),"T102")</f>
        <v>T102</v>
      </c>
      <c r="B103">
        <f ca="1">IFERROR(__xludf.DUMMYFUNCTION("""COMPUTED_VALUE"""),114)</f>
        <v>114</v>
      </c>
      <c r="C103" t="str">
        <f ca="1">IFERROR(__xludf.DUMMYFUNCTION("""COMPUTED_VALUE"""),"Gary Woodland")</f>
        <v>Gary Woodland</v>
      </c>
      <c r="D103">
        <f ca="1">IFERROR(__xludf.DUMMYFUNCTION("""COMPUTED_VALUE"""),6)</f>
        <v>6</v>
      </c>
      <c r="E103">
        <f ca="1">IFERROR(__xludf.DUMMYFUNCTION("""COMPUTED_VALUE"""),61.54)</f>
        <v>61.54</v>
      </c>
      <c r="F103">
        <f ca="1">IFERROR(__xludf.DUMMYFUNCTION("""COMPUTED_VALUE"""),16)</f>
        <v>16</v>
      </c>
      <c r="G103">
        <f ca="1">IFERROR(__xludf.DUMMYFUNCTION("""COMPUTED_VALUE"""),10)</f>
        <v>10</v>
      </c>
      <c r="H103">
        <f ca="1">IFERROR(__xludf.DUMMYFUNCTION("""COMPUTED_VALUE"""),-10)</f>
        <v>-10</v>
      </c>
      <c r="I103" t="str">
        <f ca="1">IFERROR(__xludf.DUMMYFUNCTION("""COMPUTED_VALUE"""),"+3")</f>
        <v>+3</v>
      </c>
    </row>
    <row r="104" spans="1:9" ht="12.75">
      <c r="A104" t="str">
        <f ca="1">IFERROR(__xludf.DUMMYFUNCTION("""COMPUTED_VALUE"""),"T102")</f>
        <v>T102</v>
      </c>
      <c r="B104">
        <f ca="1">IFERROR(__xludf.DUMMYFUNCTION("""COMPUTED_VALUE"""),96)</f>
        <v>96</v>
      </c>
      <c r="C104" t="str">
        <f ca="1">IFERROR(__xludf.DUMMYFUNCTION("""COMPUTED_VALUE"""),"Rory Sabbatini")</f>
        <v>Rory Sabbatini</v>
      </c>
      <c r="D104">
        <f ca="1">IFERROR(__xludf.DUMMYFUNCTION("""COMPUTED_VALUE"""),13)</f>
        <v>13</v>
      </c>
      <c r="E104">
        <f ca="1">IFERROR(__xludf.DUMMYFUNCTION("""COMPUTED_VALUE"""),61.54)</f>
        <v>61.54</v>
      </c>
      <c r="F104">
        <f ca="1">IFERROR(__xludf.DUMMYFUNCTION("""COMPUTED_VALUE"""),32)</f>
        <v>32</v>
      </c>
      <c r="G104">
        <f ca="1">IFERROR(__xludf.DUMMYFUNCTION("""COMPUTED_VALUE"""),20)</f>
        <v>20</v>
      </c>
      <c r="H104">
        <f ca="1">IFERROR(__xludf.DUMMYFUNCTION("""COMPUTED_VALUE"""),-20)</f>
        <v>-20</v>
      </c>
      <c r="I104">
        <f ca="1">IFERROR(__xludf.DUMMYFUNCTION("""COMPUTED_VALUE"""),-1)</f>
        <v>-1</v>
      </c>
    </row>
    <row r="105" spans="1:9" ht="12.75">
      <c r="A105" t="str">
        <f ca="1">IFERROR(__xludf.DUMMYFUNCTION("""COMPUTED_VALUE"""),"T102")</f>
        <v>T102</v>
      </c>
      <c r="B105">
        <f ca="1">IFERROR(__xludf.DUMMYFUNCTION("""COMPUTED_VALUE"""),27)</f>
        <v>27</v>
      </c>
      <c r="C105" t="str">
        <f ca="1">IFERROR(__xludf.DUMMYFUNCTION("""COMPUTED_VALUE"""),"Tom Lewis")</f>
        <v>Tom Lewis</v>
      </c>
      <c r="D105">
        <f ca="1">IFERROR(__xludf.DUMMYFUNCTION("""COMPUTED_VALUE"""),12)</f>
        <v>12</v>
      </c>
      <c r="E105">
        <f ca="1">IFERROR(__xludf.DUMMYFUNCTION("""COMPUTED_VALUE"""),61.54)</f>
        <v>61.54</v>
      </c>
      <c r="F105">
        <f ca="1">IFERROR(__xludf.DUMMYFUNCTION("""COMPUTED_VALUE"""),24)</f>
        <v>24</v>
      </c>
      <c r="G105">
        <f ca="1">IFERROR(__xludf.DUMMYFUNCTION("""COMPUTED_VALUE"""),15)</f>
        <v>15</v>
      </c>
      <c r="H105">
        <f ca="1">IFERROR(__xludf.DUMMYFUNCTION("""COMPUTED_VALUE"""),-11)</f>
        <v>-11</v>
      </c>
      <c r="I105">
        <f ca="1">IFERROR(__xludf.DUMMYFUNCTION("""COMPUTED_VALUE"""),-1)</f>
        <v>-1</v>
      </c>
    </row>
    <row r="106" spans="1:9" ht="12.75">
      <c r="A106" t="str">
        <f ca="1">IFERROR(__xludf.DUMMYFUNCTION("""COMPUTED_VALUE"""),"T105")</f>
        <v>T105</v>
      </c>
      <c r="B106" t="str">
        <f ca="1">IFERROR(__xludf.DUMMYFUNCTION("""COMPUTED_VALUE"""),"T84")</f>
        <v>T84</v>
      </c>
      <c r="C106" t="str">
        <f ca="1">IFERROR(__xludf.DUMMYFUNCTION("""COMPUTED_VALUE"""),"John Huh")</f>
        <v>John Huh</v>
      </c>
      <c r="D106">
        <f ca="1">IFERROR(__xludf.DUMMYFUNCTION("""COMPUTED_VALUE"""),8)</f>
        <v>8</v>
      </c>
      <c r="E106">
        <f ca="1">IFERROR(__xludf.DUMMYFUNCTION("""COMPUTED_VALUE"""),61.29)</f>
        <v>61.29</v>
      </c>
      <c r="F106">
        <f ca="1">IFERROR(__xludf.DUMMYFUNCTION("""COMPUTED_VALUE"""),19)</f>
        <v>19</v>
      </c>
      <c r="G106">
        <f ca="1">IFERROR(__xludf.DUMMYFUNCTION("""COMPUTED_VALUE"""),12)</f>
        <v>12</v>
      </c>
      <c r="H106">
        <f ca="1">IFERROR(__xludf.DUMMYFUNCTION("""COMPUTED_VALUE"""),-9)</f>
        <v>-9</v>
      </c>
      <c r="I106">
        <f ca="1">IFERROR(__xludf.DUMMYFUNCTION("""COMPUTED_VALUE"""),-4)</f>
        <v>-4</v>
      </c>
    </row>
    <row r="107" spans="1:9" ht="12.75">
      <c r="A107" t="str">
        <f ca="1">IFERROR(__xludf.DUMMYFUNCTION("""COMPUTED_VALUE"""),"T105")</f>
        <v>T105</v>
      </c>
      <c r="B107" t="str">
        <f ca="1">IFERROR(__xludf.DUMMYFUNCTION("""COMPUTED_VALUE"""),"T111")</f>
        <v>T111</v>
      </c>
      <c r="C107" t="str">
        <f ca="1">IFERROR(__xludf.DUMMYFUNCTION("""COMPUTED_VALUE"""),"Carlos Ortiz")</f>
        <v>Carlos Ortiz</v>
      </c>
      <c r="D107">
        <f ca="1">IFERROR(__xludf.DUMMYFUNCTION("""COMPUTED_VALUE"""),20)</f>
        <v>20</v>
      </c>
      <c r="E107">
        <f ca="1">IFERROR(__xludf.DUMMYFUNCTION("""COMPUTED_VALUE"""),61.29)</f>
        <v>61.29</v>
      </c>
      <c r="F107">
        <f ca="1">IFERROR(__xludf.DUMMYFUNCTION("""COMPUTED_VALUE"""),57)</f>
        <v>57</v>
      </c>
      <c r="G107">
        <f ca="1">IFERROR(__xludf.DUMMYFUNCTION("""COMPUTED_VALUE"""),36)</f>
        <v>36</v>
      </c>
      <c r="H107">
        <f ca="1">IFERROR(__xludf.DUMMYFUNCTION("""COMPUTED_VALUE"""),-39)</f>
        <v>-39</v>
      </c>
      <c r="I107" t="str">
        <f ca="1">IFERROR(__xludf.DUMMYFUNCTION("""COMPUTED_VALUE"""),"E")</f>
        <v>E</v>
      </c>
    </row>
    <row r="108" spans="1:9" ht="12.75">
      <c r="A108">
        <f ca="1">IFERROR(__xludf.DUMMYFUNCTION("""COMPUTED_VALUE"""),107)</f>
        <v>107</v>
      </c>
      <c r="B108">
        <f ca="1">IFERROR(__xludf.DUMMYFUNCTION("""COMPUTED_VALUE"""),117)</f>
        <v>117</v>
      </c>
      <c r="C108" t="str">
        <f ca="1">IFERROR(__xludf.DUMMYFUNCTION("""COMPUTED_VALUE"""),"Rafa Cabrera Bello")</f>
        <v>Rafa Cabrera Bello</v>
      </c>
      <c r="D108">
        <f ca="1">IFERROR(__xludf.DUMMYFUNCTION("""COMPUTED_VALUE"""),14)</f>
        <v>14</v>
      </c>
      <c r="E108">
        <f ca="1">IFERROR(__xludf.DUMMYFUNCTION("""COMPUTED_VALUE"""),61.22)</f>
        <v>61.22</v>
      </c>
      <c r="F108">
        <f ca="1">IFERROR(__xludf.DUMMYFUNCTION("""COMPUTED_VALUE"""),30)</f>
        <v>30</v>
      </c>
      <c r="G108">
        <f ca="1">IFERROR(__xludf.DUMMYFUNCTION("""COMPUTED_VALUE"""),19)</f>
        <v>19</v>
      </c>
      <c r="H108">
        <f ca="1">IFERROR(__xludf.DUMMYFUNCTION("""COMPUTED_VALUE"""),-21)</f>
        <v>-21</v>
      </c>
      <c r="I108">
        <f ca="1">IFERROR(__xludf.DUMMYFUNCTION("""COMPUTED_VALUE"""),-3)</f>
        <v>-3</v>
      </c>
    </row>
    <row r="109" spans="1:9" ht="12.75">
      <c r="A109" t="str">
        <f ca="1">IFERROR(__xludf.DUMMYFUNCTION("""COMPUTED_VALUE"""),"T108")</f>
        <v>T108</v>
      </c>
      <c r="B109" t="str">
        <f ca="1">IFERROR(__xludf.DUMMYFUNCTION("""COMPUTED_VALUE"""),"T131")</f>
        <v>T131</v>
      </c>
      <c r="C109" t="str">
        <f ca="1">IFERROR(__xludf.DUMMYFUNCTION("""COMPUTED_VALUE"""),"Lee Westwood")</f>
        <v>Lee Westwood</v>
      </c>
      <c r="D109">
        <f ca="1">IFERROR(__xludf.DUMMYFUNCTION("""COMPUTED_VALUE"""),6)</f>
        <v>6</v>
      </c>
      <c r="E109">
        <f ca="1">IFERROR(__xludf.DUMMYFUNCTION("""COMPUTED_VALUE"""),61.11)</f>
        <v>61.11</v>
      </c>
      <c r="F109">
        <f ca="1">IFERROR(__xludf.DUMMYFUNCTION("""COMPUTED_VALUE"""),11)</f>
        <v>11</v>
      </c>
      <c r="G109">
        <f ca="1">IFERROR(__xludf.DUMMYFUNCTION("""COMPUTED_VALUE"""),7)</f>
        <v>7</v>
      </c>
      <c r="H109">
        <f ca="1">IFERROR(__xludf.DUMMYFUNCTION("""COMPUTED_VALUE"""),-4)</f>
        <v>-4</v>
      </c>
      <c r="I109" t="str">
        <f ca="1">IFERROR(__xludf.DUMMYFUNCTION("""COMPUTED_VALUE"""),"E")</f>
        <v>E</v>
      </c>
    </row>
    <row r="110" spans="1:9" ht="12.75">
      <c r="A110" t="str">
        <f ca="1">IFERROR(__xludf.DUMMYFUNCTION("""COMPUTED_VALUE"""),"T108")</f>
        <v>T108</v>
      </c>
      <c r="B110" t="str">
        <f ca="1">IFERROR(__xludf.DUMMYFUNCTION("""COMPUTED_VALUE"""),"T118")</f>
        <v>T118</v>
      </c>
      <c r="C110" t="str">
        <f ca="1">IFERROR(__xludf.DUMMYFUNCTION("""COMPUTED_VALUE"""),"Shugo Imahira")</f>
        <v>Shugo Imahira</v>
      </c>
      <c r="D110">
        <f ca="1">IFERROR(__xludf.DUMMYFUNCTION("""COMPUTED_VALUE"""),8)</f>
        <v>8</v>
      </c>
      <c r="E110">
        <f ca="1">IFERROR(__xludf.DUMMYFUNCTION("""COMPUTED_VALUE"""),61.11)</f>
        <v>61.11</v>
      </c>
      <c r="F110">
        <f ca="1">IFERROR(__xludf.DUMMYFUNCTION("""COMPUTED_VALUE"""),22)</f>
        <v>22</v>
      </c>
      <c r="G110">
        <f ca="1">IFERROR(__xludf.DUMMYFUNCTION("""COMPUTED_VALUE"""),14)</f>
        <v>14</v>
      </c>
      <c r="H110">
        <f ca="1">IFERROR(__xludf.DUMMYFUNCTION("""COMPUTED_VALUE"""),-16)</f>
        <v>-16</v>
      </c>
      <c r="I110" t="str">
        <f ca="1">IFERROR(__xludf.DUMMYFUNCTION("""COMPUTED_VALUE"""),"+4")</f>
        <v>+4</v>
      </c>
    </row>
    <row r="111" spans="1:9" ht="12.75">
      <c r="A111" t="str">
        <f ca="1">IFERROR(__xludf.DUMMYFUNCTION("""COMPUTED_VALUE"""),"T108")</f>
        <v>T108</v>
      </c>
      <c r="B111" t="str">
        <f ca="1">IFERROR(__xludf.DUMMYFUNCTION("""COMPUTED_VALUE"""),"T118")</f>
        <v>T118</v>
      </c>
      <c r="C111" t="str">
        <f ca="1">IFERROR(__xludf.DUMMYFUNCTION("""COMPUTED_VALUE"""),"Doug Ghim")</f>
        <v>Doug Ghim</v>
      </c>
      <c r="D111">
        <f ca="1">IFERROR(__xludf.DUMMYFUNCTION("""COMPUTED_VALUE"""),14)</f>
        <v>14</v>
      </c>
      <c r="E111">
        <f ca="1">IFERROR(__xludf.DUMMYFUNCTION("""COMPUTED_VALUE"""),61.11)</f>
        <v>61.11</v>
      </c>
      <c r="F111">
        <f ca="1">IFERROR(__xludf.DUMMYFUNCTION("""COMPUTED_VALUE"""),22)</f>
        <v>22</v>
      </c>
      <c r="G111">
        <f ca="1">IFERROR(__xludf.DUMMYFUNCTION("""COMPUTED_VALUE"""),14)</f>
        <v>14</v>
      </c>
      <c r="H111">
        <f ca="1">IFERROR(__xludf.DUMMYFUNCTION("""COMPUTED_VALUE"""),-13)</f>
        <v>-13</v>
      </c>
      <c r="I111">
        <f ca="1">IFERROR(__xludf.DUMMYFUNCTION("""COMPUTED_VALUE"""),-3)</f>
        <v>-3</v>
      </c>
    </row>
    <row r="112" spans="1:9" ht="12.75">
      <c r="A112" t="str">
        <f ca="1">IFERROR(__xludf.DUMMYFUNCTION("""COMPUTED_VALUE"""),"T111")</f>
        <v>T111</v>
      </c>
      <c r="B112">
        <f ca="1">IFERROR(__xludf.DUMMYFUNCTION("""COMPUTED_VALUE"""),109)</f>
        <v>109</v>
      </c>
      <c r="C112" t="str">
        <f ca="1">IFERROR(__xludf.DUMMYFUNCTION("""COMPUTED_VALUE"""),"Charley Hoffman")</f>
        <v>Charley Hoffman</v>
      </c>
      <c r="D112">
        <f ca="1">IFERROR(__xludf.DUMMYFUNCTION("""COMPUTED_VALUE"""),20)</f>
        <v>20</v>
      </c>
      <c r="E112">
        <f ca="1">IFERROR(__xludf.DUMMYFUNCTION("""COMPUTED_VALUE"""),61.02)</f>
        <v>61.02</v>
      </c>
      <c r="F112">
        <f ca="1">IFERROR(__xludf.DUMMYFUNCTION("""COMPUTED_VALUE"""),36)</f>
        <v>36</v>
      </c>
      <c r="G112">
        <f ca="1">IFERROR(__xludf.DUMMYFUNCTION("""COMPUTED_VALUE"""),23)</f>
        <v>23</v>
      </c>
      <c r="H112">
        <f ca="1">IFERROR(__xludf.DUMMYFUNCTION("""COMPUTED_VALUE"""),-19)</f>
        <v>-19</v>
      </c>
      <c r="I112">
        <f ca="1">IFERROR(__xludf.DUMMYFUNCTION("""COMPUTED_VALUE"""),-1)</f>
        <v>-1</v>
      </c>
    </row>
    <row r="113" spans="1:9" ht="12.75">
      <c r="A113" t="str">
        <f ca="1">IFERROR(__xludf.DUMMYFUNCTION("""COMPUTED_VALUE"""),"T111")</f>
        <v>T111</v>
      </c>
      <c r="B113" t="str">
        <f ca="1">IFERROR(__xludf.DUMMYFUNCTION("""COMPUTED_VALUE"""),"T64")</f>
        <v>T64</v>
      </c>
      <c r="C113" t="str">
        <f ca="1">IFERROR(__xludf.DUMMYFUNCTION("""COMPUTED_VALUE"""),"Denny McCarthy")</f>
        <v>Denny McCarthy</v>
      </c>
      <c r="D113">
        <f ca="1">IFERROR(__xludf.DUMMYFUNCTION("""COMPUTED_VALUE"""),22)</f>
        <v>22</v>
      </c>
      <c r="E113">
        <f ca="1">IFERROR(__xludf.DUMMYFUNCTION("""COMPUTED_VALUE"""),61.02)</f>
        <v>61.02</v>
      </c>
      <c r="F113">
        <f ca="1">IFERROR(__xludf.DUMMYFUNCTION("""COMPUTED_VALUE"""),36)</f>
        <v>36</v>
      </c>
      <c r="G113">
        <f ca="1">IFERROR(__xludf.DUMMYFUNCTION("""COMPUTED_VALUE"""),23)</f>
        <v>23</v>
      </c>
      <c r="H113">
        <f ca="1">IFERROR(__xludf.DUMMYFUNCTION("""COMPUTED_VALUE"""),-22)</f>
        <v>-22</v>
      </c>
      <c r="I113">
        <f ca="1">IFERROR(__xludf.DUMMYFUNCTION("""COMPUTED_VALUE"""),-7)</f>
        <v>-7</v>
      </c>
    </row>
    <row r="114" spans="1:9" ht="12.75">
      <c r="A114" t="str">
        <f ca="1">IFERROR(__xludf.DUMMYFUNCTION("""COMPUTED_VALUE"""),"T113")</f>
        <v>T113</v>
      </c>
      <c r="B114" t="str">
        <f ca="1">IFERROR(__xludf.DUMMYFUNCTION("""COMPUTED_VALUE"""),"T127")</f>
        <v>T127</v>
      </c>
      <c r="C114" t="str">
        <f ca="1">IFERROR(__xludf.DUMMYFUNCTION("""COMPUTED_VALUE"""),"Sean O'Hair")</f>
        <v>Sean O'Hair</v>
      </c>
      <c r="D114">
        <f ca="1">IFERROR(__xludf.DUMMYFUNCTION("""COMPUTED_VALUE"""),14)</f>
        <v>14</v>
      </c>
      <c r="E114">
        <f ca="1">IFERROR(__xludf.DUMMYFUNCTION("""COMPUTED_VALUE"""),60.98)</f>
        <v>60.98</v>
      </c>
      <c r="F114">
        <f ca="1">IFERROR(__xludf.DUMMYFUNCTION("""COMPUTED_VALUE"""),25)</f>
        <v>25</v>
      </c>
      <c r="G114">
        <f ca="1">IFERROR(__xludf.DUMMYFUNCTION("""COMPUTED_VALUE"""),16)</f>
        <v>16</v>
      </c>
      <c r="H114">
        <f ca="1">IFERROR(__xludf.DUMMYFUNCTION("""COMPUTED_VALUE"""),-16)</f>
        <v>-16</v>
      </c>
      <c r="I114">
        <f ca="1">IFERROR(__xludf.DUMMYFUNCTION("""COMPUTED_VALUE"""),-2)</f>
        <v>-2</v>
      </c>
    </row>
    <row r="115" spans="1:9" ht="12.75">
      <c r="A115" t="str">
        <f ca="1">IFERROR(__xludf.DUMMYFUNCTION("""COMPUTED_VALUE"""),"T113")</f>
        <v>T113</v>
      </c>
      <c r="B115" t="str">
        <f ca="1">IFERROR(__xludf.DUMMYFUNCTION("""COMPUTED_VALUE"""),"T76")</f>
        <v>T76</v>
      </c>
      <c r="C115" t="str">
        <f ca="1">IFERROR(__xludf.DUMMYFUNCTION("""COMPUTED_VALUE"""),"Jimmy Walker")</f>
        <v>Jimmy Walker</v>
      </c>
      <c r="D115">
        <f ca="1">IFERROR(__xludf.DUMMYFUNCTION("""COMPUTED_VALUE"""),10)</f>
        <v>10</v>
      </c>
      <c r="E115">
        <f ca="1">IFERROR(__xludf.DUMMYFUNCTION("""COMPUTED_VALUE"""),60.98)</f>
        <v>60.98</v>
      </c>
      <c r="F115">
        <f ca="1">IFERROR(__xludf.DUMMYFUNCTION("""COMPUTED_VALUE"""),25)</f>
        <v>25</v>
      </c>
      <c r="G115">
        <f ca="1">IFERROR(__xludf.DUMMYFUNCTION("""COMPUTED_VALUE"""),16)</f>
        <v>16</v>
      </c>
      <c r="H115">
        <f ca="1">IFERROR(__xludf.DUMMYFUNCTION("""COMPUTED_VALUE"""),-11)</f>
        <v>-11</v>
      </c>
      <c r="I115" t="str">
        <f ca="1">IFERROR(__xludf.DUMMYFUNCTION("""COMPUTED_VALUE"""),"+4")</f>
        <v>+4</v>
      </c>
    </row>
    <row r="116" spans="1:9" ht="12.75">
      <c r="A116">
        <f ca="1">IFERROR(__xludf.DUMMYFUNCTION("""COMPUTED_VALUE"""),115)</f>
        <v>115</v>
      </c>
      <c r="B116">
        <f ca="1">IFERROR(__xludf.DUMMYFUNCTION("""COMPUTED_VALUE"""),94)</f>
        <v>94</v>
      </c>
      <c r="C116" t="str">
        <f ca="1">IFERROR(__xludf.DUMMYFUNCTION("""COMPUTED_VALUE"""),"Jordan Spieth")</f>
        <v>Jordan Spieth</v>
      </c>
      <c r="D116">
        <f ca="1">IFERROR(__xludf.DUMMYFUNCTION("""COMPUTED_VALUE"""),14)</f>
        <v>14</v>
      </c>
      <c r="E116">
        <f ca="1">IFERROR(__xludf.DUMMYFUNCTION("""COMPUTED_VALUE"""),60.94)</f>
        <v>60.94</v>
      </c>
      <c r="F116">
        <f ca="1">IFERROR(__xludf.DUMMYFUNCTION("""COMPUTED_VALUE"""),39)</f>
        <v>39</v>
      </c>
      <c r="G116">
        <f ca="1">IFERROR(__xludf.DUMMYFUNCTION("""COMPUTED_VALUE"""),25)</f>
        <v>25</v>
      </c>
      <c r="H116">
        <f ca="1">IFERROR(__xludf.DUMMYFUNCTION("""COMPUTED_VALUE"""),-21)</f>
        <v>-21</v>
      </c>
      <c r="I116" t="str">
        <f ca="1">IFERROR(__xludf.DUMMYFUNCTION("""COMPUTED_VALUE"""),"+6")</f>
        <v>+6</v>
      </c>
    </row>
    <row r="117" spans="1:9" ht="12.75">
      <c r="A117">
        <f ca="1">IFERROR(__xludf.DUMMYFUNCTION("""COMPUTED_VALUE"""),116)</f>
        <v>116</v>
      </c>
      <c r="B117" t="str">
        <f ca="1">IFERROR(__xludf.DUMMYFUNCTION("""COMPUTED_VALUE"""),"")</f>
        <v/>
      </c>
      <c r="C117" t="str">
        <f ca="1">IFERROR(__xludf.DUMMYFUNCTION("""COMPUTED_VALUE"""),"Francesco Molinari")</f>
        <v>Francesco Molinari</v>
      </c>
      <c r="D117">
        <f ca="1">IFERROR(__xludf.DUMMYFUNCTION("""COMPUTED_VALUE"""),6)</f>
        <v>6</v>
      </c>
      <c r="E117">
        <f ca="1">IFERROR(__xludf.DUMMYFUNCTION("""COMPUTED_VALUE"""),60.87)</f>
        <v>60.87</v>
      </c>
      <c r="F117">
        <f ca="1">IFERROR(__xludf.DUMMYFUNCTION("""COMPUTED_VALUE"""),14)</f>
        <v>14</v>
      </c>
      <c r="G117">
        <f ca="1">IFERROR(__xludf.DUMMYFUNCTION("""COMPUTED_VALUE"""),9)</f>
        <v>9</v>
      </c>
      <c r="H117">
        <f ca="1">IFERROR(__xludf.DUMMYFUNCTION("""COMPUTED_VALUE"""),-9)</f>
        <v>-9</v>
      </c>
      <c r="I117" t="str">
        <f ca="1">IFERROR(__xludf.DUMMYFUNCTION("""COMPUTED_VALUE"""),"+1")</f>
        <v>+1</v>
      </c>
    </row>
    <row r="118" spans="1:9" ht="12.75">
      <c r="A118">
        <f ca="1">IFERROR(__xludf.DUMMYFUNCTION("""COMPUTED_VALUE"""),117)</f>
        <v>117</v>
      </c>
      <c r="B118">
        <f ca="1">IFERROR(__xludf.DUMMYFUNCTION("""COMPUTED_VALUE"""),83)</f>
        <v>83</v>
      </c>
      <c r="C118" t="str">
        <f ca="1">IFERROR(__xludf.DUMMYFUNCTION("""COMPUTED_VALUE"""),"Maverick McNealy")</f>
        <v>Maverick McNealy</v>
      </c>
      <c r="D118">
        <f ca="1">IFERROR(__xludf.DUMMYFUNCTION("""COMPUTED_VALUE"""),16)</f>
        <v>16</v>
      </c>
      <c r="E118">
        <f ca="1">IFERROR(__xludf.DUMMYFUNCTION("""COMPUTED_VALUE"""),60.78)</f>
        <v>60.78</v>
      </c>
      <c r="F118">
        <f ca="1">IFERROR(__xludf.DUMMYFUNCTION("""COMPUTED_VALUE"""),31)</f>
        <v>31</v>
      </c>
      <c r="G118">
        <f ca="1">IFERROR(__xludf.DUMMYFUNCTION("""COMPUTED_VALUE"""),20)</f>
        <v>20</v>
      </c>
      <c r="H118">
        <f ca="1">IFERROR(__xludf.DUMMYFUNCTION("""COMPUTED_VALUE"""),-16)</f>
        <v>-16</v>
      </c>
      <c r="I118">
        <f ca="1">IFERROR(__xludf.DUMMYFUNCTION("""COMPUTED_VALUE"""),-4)</f>
        <v>-4</v>
      </c>
    </row>
    <row r="119" spans="1:9" ht="12.75">
      <c r="A119">
        <f ca="1">IFERROR(__xludf.DUMMYFUNCTION("""COMPUTED_VALUE"""),118)</f>
        <v>118</v>
      </c>
      <c r="B119">
        <f ca="1">IFERROR(__xludf.DUMMYFUNCTION("""COMPUTED_VALUE"""),121)</f>
        <v>121</v>
      </c>
      <c r="C119" t="str">
        <f ca="1">IFERROR(__xludf.DUMMYFUNCTION("""COMPUTED_VALUE"""),"Rob Oppenheim")</f>
        <v>Rob Oppenheim</v>
      </c>
      <c r="D119">
        <f ca="1">IFERROR(__xludf.DUMMYFUNCTION("""COMPUTED_VALUE"""),16)</f>
        <v>16</v>
      </c>
      <c r="E119">
        <f ca="1">IFERROR(__xludf.DUMMYFUNCTION("""COMPUTED_VALUE"""),60.47)</f>
        <v>60.47</v>
      </c>
      <c r="F119">
        <f ca="1">IFERROR(__xludf.DUMMYFUNCTION("""COMPUTED_VALUE"""),26)</f>
        <v>26</v>
      </c>
      <c r="G119">
        <f ca="1">IFERROR(__xludf.DUMMYFUNCTION("""COMPUTED_VALUE"""),17)</f>
        <v>17</v>
      </c>
      <c r="H119">
        <f ca="1">IFERROR(__xludf.DUMMYFUNCTION("""COMPUTED_VALUE"""),-20)</f>
        <v>-20</v>
      </c>
      <c r="I119">
        <f ca="1">IFERROR(__xludf.DUMMYFUNCTION("""COMPUTED_VALUE"""),-4)</f>
        <v>-4</v>
      </c>
    </row>
    <row r="120" spans="1:9" ht="12.75">
      <c r="A120" t="str">
        <f ca="1">IFERROR(__xludf.DUMMYFUNCTION("""COMPUTED_VALUE"""),"T119")</f>
        <v>T119</v>
      </c>
      <c r="B120" t="str">
        <f ca="1">IFERROR(__xludf.DUMMYFUNCTION("""COMPUTED_VALUE"""),"T122")</f>
        <v>T122</v>
      </c>
      <c r="C120" t="str">
        <f ca="1">IFERROR(__xludf.DUMMYFUNCTION("""COMPUTED_VALUE"""),"J.B. Holmes")</f>
        <v>J.B. Holmes</v>
      </c>
      <c r="D120">
        <f ca="1">IFERROR(__xludf.DUMMYFUNCTION("""COMPUTED_VALUE"""),10)</f>
        <v>10</v>
      </c>
      <c r="E120">
        <f ca="1">IFERROR(__xludf.DUMMYFUNCTION("""COMPUTED_VALUE"""),60)</f>
        <v>60</v>
      </c>
      <c r="F120">
        <f ca="1">IFERROR(__xludf.DUMMYFUNCTION("""COMPUTED_VALUE"""),27)</f>
        <v>27</v>
      </c>
      <c r="G120">
        <f ca="1">IFERROR(__xludf.DUMMYFUNCTION("""COMPUTED_VALUE"""),18)</f>
        <v>18</v>
      </c>
      <c r="H120">
        <f ca="1">IFERROR(__xludf.DUMMYFUNCTION("""COMPUTED_VALUE"""),-14)</f>
        <v>-14</v>
      </c>
      <c r="I120" t="str">
        <f ca="1">IFERROR(__xludf.DUMMYFUNCTION("""COMPUTED_VALUE"""),"E")</f>
        <v>E</v>
      </c>
    </row>
    <row r="121" spans="1:9" ht="12.75">
      <c r="A121" t="str">
        <f ca="1">IFERROR(__xludf.DUMMYFUNCTION("""COMPUTED_VALUE"""),"T119")</f>
        <v>T119</v>
      </c>
      <c r="B121" t="str">
        <f ca="1">IFERROR(__xludf.DUMMYFUNCTION("""COMPUTED_VALUE"""),"T122")</f>
        <v>T122</v>
      </c>
      <c r="C121" t="str">
        <f ca="1">IFERROR(__xludf.DUMMYFUNCTION("""COMPUTED_VALUE"""),"Rickie Fowler")</f>
        <v>Rickie Fowler</v>
      </c>
      <c r="D121">
        <f ca="1">IFERROR(__xludf.DUMMYFUNCTION("""COMPUTED_VALUE"""),14)</f>
        <v>14</v>
      </c>
      <c r="E121">
        <f ca="1">IFERROR(__xludf.DUMMYFUNCTION("""COMPUTED_VALUE"""),60)</f>
        <v>60</v>
      </c>
      <c r="F121">
        <f ca="1">IFERROR(__xludf.DUMMYFUNCTION("""COMPUTED_VALUE"""),39)</f>
        <v>39</v>
      </c>
      <c r="G121">
        <f ca="1">IFERROR(__xludf.DUMMYFUNCTION("""COMPUTED_VALUE"""),26)</f>
        <v>26</v>
      </c>
      <c r="H121">
        <f ca="1">IFERROR(__xludf.DUMMYFUNCTION("""COMPUTED_VALUE"""),-12)</f>
        <v>-12</v>
      </c>
      <c r="I121">
        <f ca="1">IFERROR(__xludf.DUMMYFUNCTION("""COMPUTED_VALUE"""),-2)</f>
        <v>-2</v>
      </c>
    </row>
    <row r="122" spans="1:9" ht="12.75">
      <c r="A122" t="str">
        <f ca="1">IFERROR(__xludf.DUMMYFUNCTION("""COMPUTED_VALUE"""),"T119")</f>
        <v>T119</v>
      </c>
      <c r="B122" t="str">
        <f ca="1">IFERROR(__xludf.DUMMYFUNCTION("""COMPUTED_VALUE"""),"T131")</f>
        <v>T131</v>
      </c>
      <c r="C122" t="str">
        <f ca="1">IFERROR(__xludf.DUMMYFUNCTION("""COMPUTED_VALUE"""),"Tony Finau")</f>
        <v>Tony Finau</v>
      </c>
      <c r="D122">
        <f ca="1">IFERROR(__xludf.DUMMYFUNCTION("""COMPUTED_VALUE"""),12)</f>
        <v>12</v>
      </c>
      <c r="E122">
        <f ca="1">IFERROR(__xludf.DUMMYFUNCTION("""COMPUTED_VALUE"""),60)</f>
        <v>60</v>
      </c>
      <c r="F122">
        <f ca="1">IFERROR(__xludf.DUMMYFUNCTION("""COMPUTED_VALUE"""),30)</f>
        <v>30</v>
      </c>
      <c r="G122">
        <f ca="1">IFERROR(__xludf.DUMMYFUNCTION("""COMPUTED_VALUE"""),20)</f>
        <v>20</v>
      </c>
      <c r="H122">
        <f ca="1">IFERROR(__xludf.DUMMYFUNCTION("""COMPUTED_VALUE"""),-18)</f>
        <v>-18</v>
      </c>
      <c r="I122">
        <f ca="1">IFERROR(__xludf.DUMMYFUNCTION("""COMPUTED_VALUE"""),-6)</f>
        <v>-6</v>
      </c>
    </row>
    <row r="123" spans="1:9" ht="12.75">
      <c r="A123" t="str">
        <f ca="1">IFERROR(__xludf.DUMMYFUNCTION("""COMPUTED_VALUE"""),"T119")</f>
        <v>T119</v>
      </c>
      <c r="B123" t="str">
        <f ca="1">IFERROR(__xludf.DUMMYFUNCTION("""COMPUTED_VALUE"""),"T122")</f>
        <v>T122</v>
      </c>
      <c r="C123" t="str">
        <f ca="1">IFERROR(__xludf.DUMMYFUNCTION("""COMPUTED_VALUE"""),"Kevin Kisner")</f>
        <v>Kevin Kisner</v>
      </c>
      <c r="D123">
        <f ca="1">IFERROR(__xludf.DUMMYFUNCTION("""COMPUTED_VALUE"""),10)</f>
        <v>10</v>
      </c>
      <c r="E123">
        <f ca="1">IFERROR(__xludf.DUMMYFUNCTION("""COMPUTED_VALUE"""),60)</f>
        <v>60</v>
      </c>
      <c r="F123">
        <f ca="1">IFERROR(__xludf.DUMMYFUNCTION("""COMPUTED_VALUE"""),30)</f>
        <v>30</v>
      </c>
      <c r="G123">
        <f ca="1">IFERROR(__xludf.DUMMYFUNCTION("""COMPUTED_VALUE"""),20)</f>
        <v>20</v>
      </c>
      <c r="H123">
        <f ca="1">IFERROR(__xludf.DUMMYFUNCTION("""COMPUTED_VALUE"""),-14)</f>
        <v>-14</v>
      </c>
      <c r="I123">
        <f ca="1">IFERROR(__xludf.DUMMYFUNCTION("""COMPUTED_VALUE"""),-1)</f>
        <v>-1</v>
      </c>
    </row>
    <row r="124" spans="1:9" ht="12.75">
      <c r="A124">
        <f ca="1">IFERROR(__xludf.DUMMYFUNCTION("""COMPUTED_VALUE"""),123)</f>
        <v>123</v>
      </c>
      <c r="B124">
        <f ca="1">IFERROR(__xludf.DUMMYFUNCTION("""COMPUTED_VALUE"""),126)</f>
        <v>126</v>
      </c>
      <c r="C124" t="str">
        <f ca="1">IFERROR(__xludf.DUMMYFUNCTION("""COMPUTED_VALUE"""),"Chase Seiffert")</f>
        <v>Chase Seiffert</v>
      </c>
      <c r="D124">
        <f ca="1">IFERROR(__xludf.DUMMYFUNCTION("""COMPUTED_VALUE"""),14)</f>
        <v>14</v>
      </c>
      <c r="E124">
        <f ca="1">IFERROR(__xludf.DUMMYFUNCTION("""COMPUTED_VALUE"""),59.46)</f>
        <v>59.46</v>
      </c>
      <c r="F124">
        <f ca="1">IFERROR(__xludf.DUMMYFUNCTION("""COMPUTED_VALUE"""),22)</f>
        <v>22</v>
      </c>
      <c r="G124">
        <f ca="1">IFERROR(__xludf.DUMMYFUNCTION("""COMPUTED_VALUE"""),15)</f>
        <v>15</v>
      </c>
      <c r="H124">
        <f ca="1">IFERROR(__xludf.DUMMYFUNCTION("""COMPUTED_VALUE"""),-11)</f>
        <v>-11</v>
      </c>
      <c r="I124">
        <f ca="1">IFERROR(__xludf.DUMMYFUNCTION("""COMPUTED_VALUE"""),-4)</f>
        <v>-4</v>
      </c>
    </row>
    <row r="125" spans="1:9" ht="12.75">
      <c r="A125">
        <f ca="1">IFERROR(__xludf.DUMMYFUNCTION("""COMPUTED_VALUE"""),124)</f>
        <v>124</v>
      </c>
      <c r="B125">
        <f ca="1">IFERROR(__xludf.DUMMYFUNCTION("""COMPUTED_VALUE"""),130)</f>
        <v>130</v>
      </c>
      <c r="C125" t="str">
        <f ca="1">IFERROR(__xludf.DUMMYFUNCTION("""COMPUTED_VALUE"""),"Cameron Smith")</f>
        <v>Cameron Smith</v>
      </c>
      <c r="D125">
        <f ca="1">IFERROR(__xludf.DUMMYFUNCTION("""COMPUTED_VALUE"""),16)</f>
        <v>16</v>
      </c>
      <c r="E125">
        <f ca="1">IFERROR(__xludf.DUMMYFUNCTION("""COMPUTED_VALUE"""),58.9)</f>
        <v>58.9</v>
      </c>
      <c r="F125">
        <f ca="1">IFERROR(__xludf.DUMMYFUNCTION("""COMPUTED_VALUE"""),43)</f>
        <v>43</v>
      </c>
      <c r="G125">
        <f ca="1">IFERROR(__xludf.DUMMYFUNCTION("""COMPUTED_VALUE"""),30)</f>
        <v>30</v>
      </c>
      <c r="H125">
        <f ca="1">IFERROR(__xludf.DUMMYFUNCTION("""COMPUTED_VALUE"""),-36)</f>
        <v>-36</v>
      </c>
      <c r="I125">
        <f ca="1">IFERROR(__xludf.DUMMYFUNCTION("""COMPUTED_VALUE"""),-8)</f>
        <v>-8</v>
      </c>
    </row>
    <row r="126" spans="1:9" ht="12.75">
      <c r="A126">
        <f ca="1">IFERROR(__xludf.DUMMYFUNCTION("""COMPUTED_VALUE"""),125)</f>
        <v>125</v>
      </c>
      <c r="B126">
        <f ca="1">IFERROR(__xludf.DUMMYFUNCTION("""COMPUTED_VALUE"""),143)</f>
        <v>143</v>
      </c>
      <c r="C126" t="str">
        <f ca="1">IFERROR(__xludf.DUMMYFUNCTION("""COMPUTED_VALUE"""),"Aaron Wise")</f>
        <v>Aaron Wise</v>
      </c>
      <c r="D126">
        <f ca="1">IFERROR(__xludf.DUMMYFUNCTION("""COMPUTED_VALUE"""),16)</f>
        <v>16</v>
      </c>
      <c r="E126">
        <f ca="1">IFERROR(__xludf.DUMMYFUNCTION("""COMPUTED_VALUE"""),58.82)</f>
        <v>58.82</v>
      </c>
      <c r="F126">
        <f ca="1">IFERROR(__xludf.DUMMYFUNCTION("""COMPUTED_VALUE"""),30)</f>
        <v>30</v>
      </c>
      <c r="G126">
        <f ca="1">IFERROR(__xludf.DUMMYFUNCTION("""COMPUTED_VALUE"""),21)</f>
        <v>21</v>
      </c>
      <c r="H126">
        <f ca="1">IFERROR(__xludf.DUMMYFUNCTION("""COMPUTED_VALUE"""),-16)</f>
        <v>-16</v>
      </c>
      <c r="I126">
        <f ca="1">IFERROR(__xludf.DUMMYFUNCTION("""COMPUTED_VALUE"""),-6)</f>
        <v>-6</v>
      </c>
    </row>
    <row r="127" spans="1:9" ht="12.75">
      <c r="A127">
        <f ca="1">IFERROR(__xludf.DUMMYFUNCTION("""COMPUTED_VALUE"""),126)</f>
        <v>126</v>
      </c>
      <c r="B127">
        <f ca="1">IFERROR(__xludf.DUMMYFUNCTION("""COMPUTED_VALUE"""),116)</f>
        <v>116</v>
      </c>
      <c r="C127" t="str">
        <f ca="1">IFERROR(__xludf.DUMMYFUNCTION("""COMPUTED_VALUE"""),"Kyoung-Hoon Lee")</f>
        <v>Kyoung-Hoon Lee</v>
      </c>
      <c r="D127">
        <f ca="1">IFERROR(__xludf.DUMMYFUNCTION("""COMPUTED_VALUE"""),20)</f>
        <v>20</v>
      </c>
      <c r="E127">
        <f ca="1">IFERROR(__xludf.DUMMYFUNCTION("""COMPUTED_VALUE"""),58.73)</f>
        <v>58.73</v>
      </c>
      <c r="F127">
        <f ca="1">IFERROR(__xludf.DUMMYFUNCTION("""COMPUTED_VALUE"""),37)</f>
        <v>37</v>
      </c>
      <c r="G127">
        <f ca="1">IFERROR(__xludf.DUMMYFUNCTION("""COMPUTED_VALUE"""),26)</f>
        <v>26</v>
      </c>
      <c r="H127">
        <f ca="1">IFERROR(__xludf.DUMMYFUNCTION("""COMPUTED_VALUE"""),-17)</f>
        <v>-17</v>
      </c>
      <c r="I127" t="str">
        <f ca="1">IFERROR(__xludf.DUMMYFUNCTION("""COMPUTED_VALUE"""),"+4")</f>
        <v>+4</v>
      </c>
    </row>
    <row r="128" spans="1:9" ht="12.75">
      <c r="A128">
        <f ca="1">IFERROR(__xludf.DUMMYFUNCTION("""COMPUTED_VALUE"""),127)</f>
        <v>127</v>
      </c>
      <c r="B128" t="str">
        <f ca="1">IFERROR(__xludf.DUMMYFUNCTION("""COMPUTED_VALUE"""),"T76")</f>
        <v>T76</v>
      </c>
      <c r="C128" t="str">
        <f ca="1">IFERROR(__xludf.DUMMYFUNCTION("""COMPUTED_VALUE"""),"Hudson Swafford")</f>
        <v>Hudson Swafford</v>
      </c>
      <c r="D128">
        <f ca="1">IFERROR(__xludf.DUMMYFUNCTION("""COMPUTED_VALUE"""),18)</f>
        <v>18</v>
      </c>
      <c r="E128">
        <f ca="1">IFERROR(__xludf.DUMMYFUNCTION("""COMPUTED_VALUE"""),58.54)</f>
        <v>58.54</v>
      </c>
      <c r="F128">
        <f ca="1">IFERROR(__xludf.DUMMYFUNCTION("""COMPUTED_VALUE"""),24)</f>
        <v>24</v>
      </c>
      <c r="G128">
        <f ca="1">IFERROR(__xludf.DUMMYFUNCTION("""COMPUTED_VALUE"""),17)</f>
        <v>17</v>
      </c>
      <c r="H128">
        <f ca="1">IFERROR(__xludf.DUMMYFUNCTION("""COMPUTED_VALUE"""),-10)</f>
        <v>-10</v>
      </c>
      <c r="I128" t="str">
        <f ca="1">IFERROR(__xludf.DUMMYFUNCTION("""COMPUTED_VALUE"""),"+1")</f>
        <v>+1</v>
      </c>
    </row>
    <row r="129" spans="1:9" ht="12.75">
      <c r="A129" t="str">
        <f ca="1">IFERROR(__xludf.DUMMYFUNCTION("""COMPUTED_VALUE"""),"T128")</f>
        <v>T128</v>
      </c>
      <c r="B129" t="str">
        <f ca="1">IFERROR(__xludf.DUMMYFUNCTION("""COMPUTED_VALUE"""),"T131")</f>
        <v>T131</v>
      </c>
      <c r="C129" t="str">
        <f ca="1">IFERROR(__xludf.DUMMYFUNCTION("""COMPUTED_VALUE"""),"Matt Wallace")</f>
        <v>Matt Wallace</v>
      </c>
      <c r="D129">
        <f ca="1">IFERROR(__xludf.DUMMYFUNCTION("""COMPUTED_VALUE"""),4)</f>
        <v>4</v>
      </c>
      <c r="E129">
        <f ca="1">IFERROR(__xludf.DUMMYFUNCTION("""COMPUTED_VALUE"""),58.33)</f>
        <v>58.33</v>
      </c>
      <c r="F129">
        <f ca="1">IFERROR(__xludf.DUMMYFUNCTION("""COMPUTED_VALUE"""),7)</f>
        <v>7</v>
      </c>
      <c r="G129">
        <f ca="1">IFERROR(__xludf.DUMMYFUNCTION("""COMPUTED_VALUE"""),5)</f>
        <v>5</v>
      </c>
      <c r="H129" t="str">
        <f ca="1">IFERROR(__xludf.DUMMYFUNCTION("""COMPUTED_VALUE"""),"E")</f>
        <v>E</v>
      </c>
      <c r="I129">
        <f ca="1">IFERROR(__xludf.DUMMYFUNCTION("""COMPUTED_VALUE"""),-2)</f>
        <v>-2</v>
      </c>
    </row>
    <row r="130" spans="1:9" ht="12.75">
      <c r="A130" t="str">
        <f ca="1">IFERROR(__xludf.DUMMYFUNCTION("""COMPUTED_VALUE"""),"T128")</f>
        <v>T128</v>
      </c>
      <c r="B130" t="str">
        <f ca="1">IFERROR(__xludf.DUMMYFUNCTION("""COMPUTED_VALUE"""),"T131")</f>
        <v>T131</v>
      </c>
      <c r="C130" t="str">
        <f ca="1">IFERROR(__xludf.DUMMYFUNCTION("""COMPUTED_VALUE"""),"Robert MacIntyre")</f>
        <v>Robert MacIntyre</v>
      </c>
      <c r="D130">
        <f ca="1">IFERROR(__xludf.DUMMYFUNCTION("""COMPUTED_VALUE"""),4)</f>
        <v>4</v>
      </c>
      <c r="E130">
        <f ca="1">IFERROR(__xludf.DUMMYFUNCTION("""COMPUTED_VALUE"""),58.33)</f>
        <v>58.33</v>
      </c>
      <c r="F130">
        <f ca="1">IFERROR(__xludf.DUMMYFUNCTION("""COMPUTED_VALUE"""),7)</f>
        <v>7</v>
      </c>
      <c r="G130">
        <f ca="1">IFERROR(__xludf.DUMMYFUNCTION("""COMPUTED_VALUE"""),5)</f>
        <v>5</v>
      </c>
      <c r="H130">
        <f ca="1">IFERROR(__xludf.DUMMYFUNCTION("""COMPUTED_VALUE"""),-2)</f>
        <v>-2</v>
      </c>
      <c r="I130" t="str">
        <f ca="1">IFERROR(__xludf.DUMMYFUNCTION("""COMPUTED_VALUE"""),"E")</f>
        <v>E</v>
      </c>
    </row>
    <row r="131" spans="1:9" ht="12.75">
      <c r="A131" t="str">
        <f ca="1">IFERROR(__xludf.DUMMYFUNCTION("""COMPUTED_VALUE"""),"T128")</f>
        <v>T128</v>
      </c>
      <c r="B131" t="str">
        <f ca="1">IFERROR(__xludf.DUMMYFUNCTION("""COMPUTED_VALUE"""),"T131")</f>
        <v>T131</v>
      </c>
      <c r="C131" t="str">
        <f ca="1">IFERROR(__xludf.DUMMYFUNCTION("""COMPUTED_VALUE"""),"John Pak")</f>
        <v>John Pak</v>
      </c>
      <c r="D131">
        <f ca="1">IFERROR(__xludf.DUMMYFUNCTION("""COMPUTED_VALUE"""),4)</f>
        <v>4</v>
      </c>
      <c r="E131">
        <f ca="1">IFERROR(__xludf.DUMMYFUNCTION("""COMPUTED_VALUE"""),58.33)</f>
        <v>58.33</v>
      </c>
      <c r="F131">
        <f ca="1">IFERROR(__xludf.DUMMYFUNCTION("""COMPUTED_VALUE"""),7)</f>
        <v>7</v>
      </c>
      <c r="G131">
        <f ca="1">IFERROR(__xludf.DUMMYFUNCTION("""COMPUTED_VALUE"""),5)</f>
        <v>5</v>
      </c>
      <c r="H131">
        <f ca="1">IFERROR(__xludf.DUMMYFUNCTION("""COMPUTED_VALUE"""),-5)</f>
        <v>-5</v>
      </c>
      <c r="I131" t="str">
        <f ca="1">IFERROR(__xludf.DUMMYFUNCTION("""COMPUTED_VALUE"""),"E")</f>
        <v>E</v>
      </c>
    </row>
    <row r="132" spans="1:9" ht="12.75">
      <c r="A132" t="str">
        <f ca="1">IFERROR(__xludf.DUMMYFUNCTION("""COMPUTED_VALUE"""),"T128")</f>
        <v>T128</v>
      </c>
      <c r="B132">
        <f ca="1">IFERROR(__xludf.DUMMYFUNCTION("""COMPUTED_VALUE"""),115)</f>
        <v>115</v>
      </c>
      <c r="C132" t="str">
        <f ca="1">IFERROR(__xludf.DUMMYFUNCTION("""COMPUTED_VALUE"""),"Corey Conners")</f>
        <v>Corey Conners</v>
      </c>
      <c r="D132">
        <f ca="1">IFERROR(__xludf.DUMMYFUNCTION("""COMPUTED_VALUE"""),20)</f>
        <v>20</v>
      </c>
      <c r="E132">
        <f ca="1">IFERROR(__xludf.DUMMYFUNCTION("""COMPUTED_VALUE"""),58.33)</f>
        <v>58.33</v>
      </c>
      <c r="F132">
        <f ca="1">IFERROR(__xludf.DUMMYFUNCTION("""COMPUTED_VALUE"""),49)</f>
        <v>49</v>
      </c>
      <c r="G132">
        <f ca="1">IFERROR(__xludf.DUMMYFUNCTION("""COMPUTED_VALUE"""),35)</f>
        <v>35</v>
      </c>
      <c r="H132">
        <f ca="1">IFERROR(__xludf.DUMMYFUNCTION("""COMPUTED_VALUE"""),-24)</f>
        <v>-24</v>
      </c>
      <c r="I132">
        <f ca="1">IFERROR(__xludf.DUMMYFUNCTION("""COMPUTED_VALUE"""),-1)</f>
        <v>-1</v>
      </c>
    </row>
    <row r="133" spans="1:9" ht="12.75">
      <c r="A133">
        <f ca="1">IFERROR(__xludf.DUMMYFUNCTION("""COMPUTED_VALUE"""),132)</f>
        <v>132</v>
      </c>
      <c r="B133">
        <f ca="1">IFERROR(__xludf.DUMMYFUNCTION("""COMPUTED_VALUE"""),110)</f>
        <v>110</v>
      </c>
      <c r="C133" t="str">
        <f ca="1">IFERROR(__xludf.DUMMYFUNCTION("""COMPUTED_VALUE"""),"Scott Stallings")</f>
        <v>Scott Stallings</v>
      </c>
      <c r="D133">
        <f ca="1">IFERROR(__xludf.DUMMYFUNCTION("""COMPUTED_VALUE"""),14)</f>
        <v>14</v>
      </c>
      <c r="E133">
        <f ca="1">IFERROR(__xludf.DUMMYFUNCTION("""COMPUTED_VALUE"""),58.14)</f>
        <v>58.14</v>
      </c>
      <c r="F133">
        <f ca="1">IFERROR(__xludf.DUMMYFUNCTION("""COMPUTED_VALUE"""),25)</f>
        <v>25</v>
      </c>
      <c r="G133">
        <f ca="1">IFERROR(__xludf.DUMMYFUNCTION("""COMPUTED_VALUE"""),18)</f>
        <v>18</v>
      </c>
      <c r="H133">
        <f ca="1">IFERROR(__xludf.DUMMYFUNCTION("""COMPUTED_VALUE"""),-11)</f>
        <v>-11</v>
      </c>
      <c r="I133" t="str">
        <f ca="1">IFERROR(__xludf.DUMMYFUNCTION("""COMPUTED_VALUE"""),"E")</f>
        <v>E</v>
      </c>
    </row>
    <row r="134" spans="1:9" ht="12.75">
      <c r="A134">
        <f ca="1">IFERROR(__xludf.DUMMYFUNCTION("""COMPUTED_VALUE"""),133)</f>
        <v>133</v>
      </c>
      <c r="B134">
        <f ca="1">IFERROR(__xludf.DUMMYFUNCTION("""COMPUTED_VALUE"""),129)</f>
        <v>129</v>
      </c>
      <c r="C134" t="str">
        <f ca="1">IFERROR(__xludf.DUMMYFUNCTION("""COMPUTED_VALUE"""),"Alex Noren")</f>
        <v>Alex Noren</v>
      </c>
      <c r="D134">
        <f ca="1">IFERROR(__xludf.DUMMYFUNCTION("""COMPUTED_VALUE"""),14)</f>
        <v>14</v>
      </c>
      <c r="E134">
        <f ca="1">IFERROR(__xludf.DUMMYFUNCTION("""COMPUTED_VALUE"""),58.06)</f>
        <v>58.06</v>
      </c>
      <c r="F134">
        <f ca="1">IFERROR(__xludf.DUMMYFUNCTION("""COMPUTED_VALUE"""),36)</f>
        <v>36</v>
      </c>
      <c r="G134">
        <f ca="1">IFERROR(__xludf.DUMMYFUNCTION("""COMPUTED_VALUE"""),26)</f>
        <v>26</v>
      </c>
      <c r="H134">
        <f ca="1">IFERROR(__xludf.DUMMYFUNCTION("""COMPUTED_VALUE"""),-12)</f>
        <v>-12</v>
      </c>
      <c r="I134">
        <f ca="1">IFERROR(__xludf.DUMMYFUNCTION("""COMPUTED_VALUE"""),-2)</f>
        <v>-2</v>
      </c>
    </row>
    <row r="135" spans="1:9" ht="12.75">
      <c r="A135">
        <f ca="1">IFERROR(__xludf.DUMMYFUNCTION("""COMPUTED_VALUE"""),134)</f>
        <v>134</v>
      </c>
      <c r="B135">
        <f ca="1">IFERROR(__xludf.DUMMYFUNCTION("""COMPUTED_VALUE"""),137)</f>
        <v>137</v>
      </c>
      <c r="C135" t="str">
        <f ca="1">IFERROR(__xludf.DUMMYFUNCTION("""COMPUTED_VALUE"""),"Mackenzie Hughes")</f>
        <v>Mackenzie Hughes</v>
      </c>
      <c r="D135">
        <f ca="1">IFERROR(__xludf.DUMMYFUNCTION("""COMPUTED_VALUE"""),18)</f>
        <v>18</v>
      </c>
      <c r="E135">
        <f ca="1">IFERROR(__xludf.DUMMYFUNCTION("""COMPUTED_VALUE"""),57.81)</f>
        <v>57.81</v>
      </c>
      <c r="F135">
        <f ca="1">IFERROR(__xludf.DUMMYFUNCTION("""COMPUTED_VALUE"""),37)</f>
        <v>37</v>
      </c>
      <c r="G135">
        <f ca="1">IFERROR(__xludf.DUMMYFUNCTION("""COMPUTED_VALUE"""),27)</f>
        <v>27</v>
      </c>
      <c r="H135">
        <f ca="1">IFERROR(__xludf.DUMMYFUNCTION("""COMPUTED_VALUE"""),-24)</f>
        <v>-24</v>
      </c>
      <c r="I135" t="str">
        <f ca="1">IFERROR(__xludf.DUMMYFUNCTION("""COMPUTED_VALUE"""),"E")</f>
        <v>E</v>
      </c>
    </row>
    <row r="136" spans="1:9" ht="12.75">
      <c r="A136">
        <f ca="1">IFERROR(__xludf.DUMMYFUNCTION("""COMPUTED_VALUE"""),135)</f>
        <v>135</v>
      </c>
      <c r="B136">
        <f ca="1">IFERROR(__xludf.DUMMYFUNCTION("""COMPUTED_VALUE"""),108)</f>
        <v>108</v>
      </c>
      <c r="C136" t="str">
        <f ca="1">IFERROR(__xludf.DUMMYFUNCTION("""COMPUTED_VALUE"""),"Emiliano Grillo")</f>
        <v>Emiliano Grillo</v>
      </c>
      <c r="D136">
        <f ca="1">IFERROR(__xludf.DUMMYFUNCTION("""COMPUTED_VALUE"""),22)</f>
        <v>22</v>
      </c>
      <c r="E136">
        <f ca="1">IFERROR(__xludf.DUMMYFUNCTION("""COMPUTED_VALUE"""),57.63)</f>
        <v>57.63</v>
      </c>
      <c r="F136">
        <f ca="1">IFERROR(__xludf.DUMMYFUNCTION("""COMPUTED_VALUE"""),34)</f>
        <v>34</v>
      </c>
      <c r="G136">
        <f ca="1">IFERROR(__xludf.DUMMYFUNCTION("""COMPUTED_VALUE"""),25)</f>
        <v>25</v>
      </c>
      <c r="H136">
        <f ca="1">IFERROR(__xludf.DUMMYFUNCTION("""COMPUTED_VALUE"""),-18)</f>
        <v>-18</v>
      </c>
      <c r="I136" t="str">
        <f ca="1">IFERROR(__xludf.DUMMYFUNCTION("""COMPUTED_VALUE"""),"+1")</f>
        <v>+1</v>
      </c>
    </row>
    <row r="137" spans="1:9" ht="12.75">
      <c r="A137">
        <f ca="1">IFERROR(__xludf.DUMMYFUNCTION("""COMPUTED_VALUE"""),136)</f>
        <v>136</v>
      </c>
      <c r="B137" t="str">
        <f ca="1">IFERROR(__xludf.DUMMYFUNCTION("""COMPUTED_VALUE"""),"T150")</f>
        <v>T150</v>
      </c>
      <c r="C137" t="str">
        <f ca="1">IFERROR(__xludf.DUMMYFUNCTION("""COMPUTED_VALUE"""),"Ted Potter, Jr.")</f>
        <v>Ted Potter, Jr.</v>
      </c>
      <c r="D137">
        <f ca="1">IFERROR(__xludf.DUMMYFUNCTION("""COMPUTED_VALUE"""),8)</f>
        <v>8</v>
      </c>
      <c r="E137">
        <f ca="1">IFERROR(__xludf.DUMMYFUNCTION("""COMPUTED_VALUE"""),57.58)</f>
        <v>57.58</v>
      </c>
      <c r="F137">
        <f ca="1">IFERROR(__xludf.DUMMYFUNCTION("""COMPUTED_VALUE"""),19)</f>
        <v>19</v>
      </c>
      <c r="G137">
        <f ca="1">IFERROR(__xludf.DUMMYFUNCTION("""COMPUTED_VALUE"""),14)</f>
        <v>14</v>
      </c>
      <c r="H137">
        <f ca="1">IFERROR(__xludf.DUMMYFUNCTION("""COMPUTED_VALUE"""),-3)</f>
        <v>-3</v>
      </c>
      <c r="I137">
        <f ca="1">IFERROR(__xludf.DUMMYFUNCTION("""COMPUTED_VALUE"""),-4)</f>
        <v>-4</v>
      </c>
    </row>
    <row r="138" spans="1:9" ht="12.75">
      <c r="A138">
        <f ca="1">IFERROR(__xludf.DUMMYFUNCTION("""COMPUTED_VALUE"""),137)</f>
        <v>137</v>
      </c>
      <c r="B138" t="str">
        <f ca="1">IFERROR(__xludf.DUMMYFUNCTION("""COMPUTED_VALUE"""),"T64")</f>
        <v>T64</v>
      </c>
      <c r="C138" t="str">
        <f ca="1">IFERROR(__xludf.DUMMYFUNCTION("""COMPUTED_VALUE"""),"James Hahn")</f>
        <v>James Hahn</v>
      </c>
      <c r="D138">
        <f ca="1">IFERROR(__xludf.DUMMYFUNCTION("""COMPUTED_VALUE"""),16)</f>
        <v>16</v>
      </c>
      <c r="E138">
        <f ca="1">IFERROR(__xludf.DUMMYFUNCTION("""COMPUTED_VALUE"""),57.45)</f>
        <v>57.45</v>
      </c>
      <c r="F138">
        <f ca="1">IFERROR(__xludf.DUMMYFUNCTION("""COMPUTED_VALUE"""),27)</f>
        <v>27</v>
      </c>
      <c r="G138">
        <f ca="1">IFERROR(__xludf.DUMMYFUNCTION("""COMPUTED_VALUE"""),20)</f>
        <v>20</v>
      </c>
      <c r="H138">
        <f ca="1">IFERROR(__xludf.DUMMYFUNCTION("""COMPUTED_VALUE"""),-21)</f>
        <v>-21</v>
      </c>
      <c r="I138">
        <f ca="1">IFERROR(__xludf.DUMMYFUNCTION("""COMPUTED_VALUE"""),-1)</f>
        <v>-1</v>
      </c>
    </row>
    <row r="139" spans="1:9" ht="12.75">
      <c r="A139">
        <f ca="1">IFERROR(__xludf.DUMMYFUNCTION("""COMPUTED_VALUE"""),138)</f>
        <v>138</v>
      </c>
      <c r="B139">
        <f ca="1">IFERROR(__xludf.DUMMYFUNCTION("""COMPUTED_VALUE"""),144)</f>
        <v>144</v>
      </c>
      <c r="C139" t="str">
        <f ca="1">IFERROR(__xludf.DUMMYFUNCTION("""COMPUTED_VALUE"""),"Matt Kuchar")</f>
        <v>Matt Kuchar</v>
      </c>
      <c r="D139">
        <f ca="1">IFERROR(__xludf.DUMMYFUNCTION("""COMPUTED_VALUE"""),14)</f>
        <v>14</v>
      </c>
      <c r="E139">
        <f ca="1">IFERROR(__xludf.DUMMYFUNCTION("""COMPUTED_VALUE"""),56.72)</f>
        <v>56.72</v>
      </c>
      <c r="F139">
        <f ca="1">IFERROR(__xludf.DUMMYFUNCTION("""COMPUTED_VALUE"""),38)</f>
        <v>38</v>
      </c>
      <c r="G139">
        <f ca="1">IFERROR(__xludf.DUMMYFUNCTION("""COMPUTED_VALUE"""),29)</f>
        <v>29</v>
      </c>
      <c r="H139">
        <f ca="1">IFERROR(__xludf.DUMMYFUNCTION("""COMPUTED_VALUE"""),-23)</f>
        <v>-23</v>
      </c>
      <c r="I139" t="str">
        <f ca="1">IFERROR(__xludf.DUMMYFUNCTION("""COMPUTED_VALUE"""),"+2")</f>
        <v>+2</v>
      </c>
    </row>
    <row r="140" spans="1:9" ht="12.75">
      <c r="A140">
        <f ca="1">IFERROR(__xludf.DUMMYFUNCTION("""COMPUTED_VALUE"""),139)</f>
        <v>139</v>
      </c>
      <c r="B140" t="str">
        <f ca="1">IFERROR(__xludf.DUMMYFUNCTION("""COMPUTED_VALUE"""),"T100")</f>
        <v>T100</v>
      </c>
      <c r="C140" t="str">
        <f ca="1">IFERROR(__xludf.DUMMYFUNCTION("""COMPUTED_VALUE"""),"Isaiah Salinda")</f>
        <v>Isaiah Salinda</v>
      </c>
      <c r="D140">
        <f ca="1">IFERROR(__xludf.DUMMYFUNCTION("""COMPUTED_VALUE"""),8)</f>
        <v>8</v>
      </c>
      <c r="E140">
        <f ca="1">IFERROR(__xludf.DUMMYFUNCTION("""COMPUTED_VALUE"""),56.67)</f>
        <v>56.67</v>
      </c>
      <c r="F140">
        <f ca="1">IFERROR(__xludf.DUMMYFUNCTION("""COMPUTED_VALUE"""),17)</f>
        <v>17</v>
      </c>
      <c r="G140">
        <f ca="1">IFERROR(__xludf.DUMMYFUNCTION("""COMPUTED_VALUE"""),13)</f>
        <v>13</v>
      </c>
      <c r="H140">
        <f ca="1">IFERROR(__xludf.DUMMYFUNCTION("""COMPUTED_VALUE"""),-8)</f>
        <v>-8</v>
      </c>
      <c r="I140" t="str">
        <f ca="1">IFERROR(__xludf.DUMMYFUNCTION("""COMPUTED_VALUE"""),"+1")</f>
        <v>+1</v>
      </c>
    </row>
    <row r="141" spans="1:9" ht="12.75">
      <c r="A141" t="str">
        <f ca="1">IFERROR(__xludf.DUMMYFUNCTION("""COMPUTED_VALUE"""),"T140")</f>
        <v>T140</v>
      </c>
      <c r="B141" t="str">
        <f ca="1">IFERROR(__xludf.DUMMYFUNCTION("""COMPUTED_VALUE"""),"T145")</f>
        <v>T145</v>
      </c>
      <c r="C141" t="str">
        <f ca="1">IFERROR(__xludf.DUMMYFUNCTION("""COMPUTED_VALUE"""),"Matthias Schwab")</f>
        <v>Matthias Schwab</v>
      </c>
      <c r="D141">
        <f ca="1">IFERROR(__xludf.DUMMYFUNCTION("""COMPUTED_VALUE"""),8)</f>
        <v>8</v>
      </c>
      <c r="E141">
        <f ca="1">IFERROR(__xludf.DUMMYFUNCTION("""COMPUTED_VALUE"""),56.25)</f>
        <v>56.25</v>
      </c>
      <c r="F141">
        <f ca="1">IFERROR(__xludf.DUMMYFUNCTION("""COMPUTED_VALUE"""),9)</f>
        <v>9</v>
      </c>
      <c r="G141">
        <f ca="1">IFERROR(__xludf.DUMMYFUNCTION("""COMPUTED_VALUE"""),7)</f>
        <v>7</v>
      </c>
      <c r="H141" t="str">
        <f ca="1">IFERROR(__xludf.DUMMYFUNCTION("""COMPUTED_VALUE"""),"E")</f>
        <v>E</v>
      </c>
      <c r="I141" t="str">
        <f ca="1">IFERROR(__xludf.DUMMYFUNCTION("""COMPUTED_VALUE"""),"+3")</f>
        <v>+3</v>
      </c>
    </row>
    <row r="142" spans="1:9" ht="12.75">
      <c r="A142" t="str">
        <f ca="1">IFERROR(__xludf.DUMMYFUNCTION("""COMPUTED_VALUE"""),"T140")</f>
        <v>T140</v>
      </c>
      <c r="B142" t="str">
        <f ca="1">IFERROR(__xludf.DUMMYFUNCTION("""COMPUTED_VALUE"""),"T145")</f>
        <v>T145</v>
      </c>
      <c r="C142" t="str">
        <f ca="1">IFERROR(__xludf.DUMMYFUNCTION("""COMPUTED_VALUE"""),"Davis Riley")</f>
        <v>Davis Riley</v>
      </c>
      <c r="D142">
        <f ca="1">IFERROR(__xludf.DUMMYFUNCTION("""COMPUTED_VALUE"""),4)</f>
        <v>4</v>
      </c>
      <c r="E142">
        <f ca="1">IFERROR(__xludf.DUMMYFUNCTION("""COMPUTED_VALUE"""),56.25)</f>
        <v>56.25</v>
      </c>
      <c r="F142">
        <f ca="1">IFERROR(__xludf.DUMMYFUNCTION("""COMPUTED_VALUE"""),9)</f>
        <v>9</v>
      </c>
      <c r="G142">
        <f ca="1">IFERROR(__xludf.DUMMYFUNCTION("""COMPUTED_VALUE"""),7)</f>
        <v>7</v>
      </c>
      <c r="H142">
        <f ca="1">IFERROR(__xludf.DUMMYFUNCTION("""COMPUTED_VALUE"""),-4)</f>
        <v>-4</v>
      </c>
      <c r="I142" t="str">
        <f ca="1">IFERROR(__xludf.DUMMYFUNCTION("""COMPUTED_VALUE"""),"+2")</f>
        <v>+2</v>
      </c>
    </row>
    <row r="143" spans="1:9" ht="12.75">
      <c r="A143">
        <f ca="1">IFERROR(__xludf.DUMMYFUNCTION("""COMPUTED_VALUE"""),142)</f>
        <v>142</v>
      </c>
      <c r="B143">
        <f ca="1">IFERROR(__xludf.DUMMYFUNCTION("""COMPUTED_VALUE"""),147)</f>
        <v>147</v>
      </c>
      <c r="C143" t="str">
        <f ca="1">IFERROR(__xludf.DUMMYFUNCTION("""COMPUTED_VALUE"""),"Adam Hadwin")</f>
        <v>Adam Hadwin</v>
      </c>
      <c r="D143">
        <f ca="1">IFERROR(__xludf.DUMMYFUNCTION("""COMPUTED_VALUE"""),16)</f>
        <v>16</v>
      </c>
      <c r="E143">
        <f ca="1">IFERROR(__xludf.DUMMYFUNCTION("""COMPUTED_VALUE"""),56.16)</f>
        <v>56.16</v>
      </c>
      <c r="F143">
        <f ca="1">IFERROR(__xludf.DUMMYFUNCTION("""COMPUTED_VALUE"""),41)</f>
        <v>41</v>
      </c>
      <c r="G143">
        <f ca="1">IFERROR(__xludf.DUMMYFUNCTION("""COMPUTED_VALUE"""),32)</f>
        <v>32</v>
      </c>
      <c r="H143">
        <f ca="1">IFERROR(__xludf.DUMMYFUNCTION("""COMPUTED_VALUE"""),-27)</f>
        <v>-27</v>
      </c>
      <c r="I143" t="str">
        <f ca="1">IFERROR(__xludf.DUMMYFUNCTION("""COMPUTED_VALUE"""),"+2")</f>
        <v>+2</v>
      </c>
    </row>
    <row r="144" spans="1:9" ht="12.75">
      <c r="A144" t="str">
        <f ca="1">IFERROR(__xludf.DUMMYFUNCTION("""COMPUTED_VALUE"""),"T143")</f>
        <v>T143</v>
      </c>
      <c r="B144" t="str">
        <f ca="1">IFERROR(__xludf.DUMMYFUNCTION("""COMPUTED_VALUE"""),"T122")</f>
        <v>T122</v>
      </c>
      <c r="C144" t="str">
        <f ca="1">IFERROR(__xludf.DUMMYFUNCTION("""COMPUTED_VALUE"""),"Xinjun Zhang")</f>
        <v>Xinjun Zhang</v>
      </c>
      <c r="D144">
        <f ca="1">IFERROR(__xludf.DUMMYFUNCTION("""COMPUTED_VALUE"""),14)</f>
        <v>14</v>
      </c>
      <c r="E144">
        <f ca="1">IFERROR(__xludf.DUMMYFUNCTION("""COMPUTED_VALUE"""),56.1)</f>
        <v>56.1</v>
      </c>
      <c r="F144">
        <f ca="1">IFERROR(__xludf.DUMMYFUNCTION("""COMPUTED_VALUE"""),23)</f>
        <v>23</v>
      </c>
      <c r="G144">
        <f ca="1">IFERROR(__xludf.DUMMYFUNCTION("""COMPUTED_VALUE"""),18)</f>
        <v>18</v>
      </c>
      <c r="H144">
        <f ca="1">IFERROR(__xludf.DUMMYFUNCTION("""COMPUTED_VALUE"""),-13)</f>
        <v>-13</v>
      </c>
      <c r="I144">
        <f ca="1">IFERROR(__xludf.DUMMYFUNCTION("""COMPUTED_VALUE"""),-1)</f>
        <v>-1</v>
      </c>
    </row>
    <row r="145" spans="1:9" ht="12.75">
      <c r="A145" t="str">
        <f ca="1">IFERROR(__xludf.DUMMYFUNCTION("""COMPUTED_VALUE"""),"T143")</f>
        <v>T143</v>
      </c>
      <c r="B145" t="str">
        <f ca="1">IFERROR(__xludf.DUMMYFUNCTION("""COMPUTED_VALUE"""),"T173")</f>
        <v>T173</v>
      </c>
      <c r="C145" t="str">
        <f ca="1">IFERROR(__xludf.DUMMYFUNCTION("""COMPUTED_VALUE"""),"Scott Brown")</f>
        <v>Scott Brown</v>
      </c>
      <c r="D145">
        <f ca="1">IFERROR(__xludf.DUMMYFUNCTION("""COMPUTED_VALUE"""),14)</f>
        <v>14</v>
      </c>
      <c r="E145">
        <f ca="1">IFERROR(__xludf.DUMMYFUNCTION("""COMPUTED_VALUE"""),56.1)</f>
        <v>56.1</v>
      </c>
      <c r="F145">
        <f ca="1">IFERROR(__xludf.DUMMYFUNCTION("""COMPUTED_VALUE"""),23)</f>
        <v>23</v>
      </c>
      <c r="G145">
        <f ca="1">IFERROR(__xludf.DUMMYFUNCTION("""COMPUTED_VALUE"""),18)</f>
        <v>18</v>
      </c>
      <c r="H145">
        <f ca="1">IFERROR(__xludf.DUMMYFUNCTION("""COMPUTED_VALUE"""),-6)</f>
        <v>-6</v>
      </c>
      <c r="I145" t="str">
        <f ca="1">IFERROR(__xludf.DUMMYFUNCTION("""COMPUTED_VALUE"""),"+5")</f>
        <v>+5</v>
      </c>
    </row>
    <row r="146" spans="1:9" ht="12.75">
      <c r="A146" t="str">
        <f ca="1">IFERROR(__xludf.DUMMYFUNCTION("""COMPUTED_VALUE"""),"T143")</f>
        <v>T143</v>
      </c>
      <c r="B146" t="str">
        <f ca="1">IFERROR(__xludf.DUMMYFUNCTION("""COMPUTED_VALUE"""),"T97")</f>
        <v>T97</v>
      </c>
      <c r="C146" t="str">
        <f ca="1">IFERROR(__xludf.DUMMYFUNCTION("""COMPUTED_VALUE"""),"Patrick Rodgers")</f>
        <v>Patrick Rodgers</v>
      </c>
      <c r="D146">
        <f ca="1">IFERROR(__xludf.DUMMYFUNCTION("""COMPUTED_VALUE"""),18)</f>
        <v>18</v>
      </c>
      <c r="E146">
        <f ca="1">IFERROR(__xludf.DUMMYFUNCTION("""COMPUTED_VALUE"""),56.1)</f>
        <v>56.1</v>
      </c>
      <c r="F146">
        <f ca="1">IFERROR(__xludf.DUMMYFUNCTION("""COMPUTED_VALUE"""),23)</f>
        <v>23</v>
      </c>
      <c r="G146">
        <f ca="1">IFERROR(__xludf.DUMMYFUNCTION("""COMPUTED_VALUE"""),18)</f>
        <v>18</v>
      </c>
      <c r="H146">
        <f ca="1">IFERROR(__xludf.DUMMYFUNCTION("""COMPUTED_VALUE"""),-15)</f>
        <v>-15</v>
      </c>
      <c r="I146" t="str">
        <f ca="1">IFERROR(__xludf.DUMMYFUNCTION("""COMPUTED_VALUE"""),"E")</f>
        <v>E</v>
      </c>
    </row>
    <row r="147" spans="1:9" ht="12.75">
      <c r="A147">
        <f ca="1">IFERROR(__xludf.DUMMYFUNCTION("""COMPUTED_VALUE"""),146)</f>
        <v>146</v>
      </c>
      <c r="B147">
        <f ca="1">IFERROR(__xludf.DUMMYFUNCTION("""COMPUTED_VALUE"""),92)</f>
        <v>92</v>
      </c>
      <c r="C147" t="str">
        <f ca="1">IFERROR(__xludf.DUMMYFUNCTION("""COMPUTED_VALUE"""),"Russell Henley")</f>
        <v>Russell Henley</v>
      </c>
      <c r="D147">
        <f ca="1">IFERROR(__xludf.DUMMYFUNCTION("""COMPUTED_VALUE"""),16)</f>
        <v>16</v>
      </c>
      <c r="E147">
        <f ca="1">IFERROR(__xludf.DUMMYFUNCTION("""COMPUTED_VALUE"""),56)</f>
        <v>56</v>
      </c>
      <c r="F147">
        <f ca="1">IFERROR(__xludf.DUMMYFUNCTION("""COMPUTED_VALUE"""),42)</f>
        <v>42</v>
      </c>
      <c r="G147">
        <f ca="1">IFERROR(__xludf.DUMMYFUNCTION("""COMPUTED_VALUE"""),33)</f>
        <v>33</v>
      </c>
      <c r="H147">
        <f ca="1">IFERROR(__xludf.DUMMYFUNCTION("""COMPUTED_VALUE"""),-22)</f>
        <v>-22</v>
      </c>
      <c r="I147">
        <f ca="1">IFERROR(__xludf.DUMMYFUNCTION("""COMPUTED_VALUE"""),-7)</f>
        <v>-7</v>
      </c>
    </row>
    <row r="148" spans="1:9" ht="12.75">
      <c r="A148">
        <f ca="1">IFERROR(__xludf.DUMMYFUNCTION("""COMPUTED_VALUE"""),147)</f>
        <v>147</v>
      </c>
      <c r="B148">
        <f ca="1">IFERROR(__xludf.DUMMYFUNCTION("""COMPUTED_VALUE"""),180)</f>
        <v>180</v>
      </c>
      <c r="C148" t="str">
        <f ca="1">IFERROR(__xludf.DUMMYFUNCTION("""COMPUTED_VALUE"""),"Lanto Griffin")</f>
        <v>Lanto Griffin</v>
      </c>
      <c r="D148">
        <f ca="1">IFERROR(__xludf.DUMMYFUNCTION("""COMPUTED_VALUE"""),18)</f>
        <v>18</v>
      </c>
      <c r="E148">
        <f ca="1">IFERROR(__xludf.DUMMYFUNCTION("""COMPUTED_VALUE"""),55.7)</f>
        <v>55.7</v>
      </c>
      <c r="F148">
        <f ca="1">IFERROR(__xludf.DUMMYFUNCTION("""COMPUTED_VALUE"""),44)</f>
        <v>44</v>
      </c>
      <c r="G148">
        <f ca="1">IFERROR(__xludf.DUMMYFUNCTION("""COMPUTED_VALUE"""),35)</f>
        <v>35</v>
      </c>
      <c r="H148">
        <f ca="1">IFERROR(__xludf.DUMMYFUNCTION("""COMPUTED_VALUE"""),-24)</f>
        <v>-24</v>
      </c>
      <c r="I148">
        <f ca="1">IFERROR(__xludf.DUMMYFUNCTION("""COMPUTED_VALUE"""),-5)</f>
        <v>-5</v>
      </c>
    </row>
    <row r="149" spans="1:9" ht="12.75">
      <c r="A149">
        <f ca="1">IFERROR(__xludf.DUMMYFUNCTION("""COMPUTED_VALUE"""),148)</f>
        <v>148</v>
      </c>
      <c r="B149" t="str">
        <f ca="1">IFERROR(__xludf.DUMMYFUNCTION("""COMPUTED_VALUE"""),"T150")</f>
        <v>T150</v>
      </c>
      <c r="C149" t="str">
        <f ca="1">IFERROR(__xludf.DUMMYFUNCTION("""COMPUTED_VALUE"""),"Peter Malnati")</f>
        <v>Peter Malnati</v>
      </c>
      <c r="D149">
        <f ca="1">IFERROR(__xludf.DUMMYFUNCTION("""COMPUTED_VALUE"""),18)</f>
        <v>18</v>
      </c>
      <c r="E149">
        <f ca="1">IFERROR(__xludf.DUMMYFUNCTION("""COMPUTED_VALUE"""),55.56)</f>
        <v>55.56</v>
      </c>
      <c r="F149">
        <f ca="1">IFERROR(__xludf.DUMMYFUNCTION("""COMPUTED_VALUE"""),25)</f>
        <v>25</v>
      </c>
      <c r="G149">
        <f ca="1">IFERROR(__xludf.DUMMYFUNCTION("""COMPUTED_VALUE"""),20)</f>
        <v>20</v>
      </c>
      <c r="H149">
        <f ca="1">IFERROR(__xludf.DUMMYFUNCTION("""COMPUTED_VALUE"""),-19)</f>
        <v>-19</v>
      </c>
      <c r="I149">
        <f ca="1">IFERROR(__xludf.DUMMYFUNCTION("""COMPUTED_VALUE"""),-6)</f>
        <v>-6</v>
      </c>
    </row>
    <row r="150" spans="1:9" ht="12.75">
      <c r="A150">
        <f ca="1">IFERROR(__xludf.DUMMYFUNCTION("""COMPUTED_VALUE"""),149)</f>
        <v>149</v>
      </c>
      <c r="B150" t="str">
        <f ca="1">IFERROR(__xludf.DUMMYFUNCTION("""COMPUTED_VALUE"""),"T155")</f>
        <v>T155</v>
      </c>
      <c r="C150" t="str">
        <f ca="1">IFERROR(__xludf.DUMMYFUNCTION("""COMPUTED_VALUE"""),"Chesson Hadley")</f>
        <v>Chesson Hadley</v>
      </c>
      <c r="D150">
        <f ca="1">IFERROR(__xludf.DUMMYFUNCTION("""COMPUTED_VALUE"""),16)</f>
        <v>16</v>
      </c>
      <c r="E150">
        <f ca="1">IFERROR(__xludf.DUMMYFUNCTION("""COMPUTED_VALUE"""),55.32)</f>
        <v>55.32</v>
      </c>
      <c r="F150">
        <f ca="1">IFERROR(__xludf.DUMMYFUNCTION("""COMPUTED_VALUE"""),26)</f>
        <v>26</v>
      </c>
      <c r="G150">
        <f ca="1">IFERROR(__xludf.DUMMYFUNCTION("""COMPUTED_VALUE"""),21)</f>
        <v>21</v>
      </c>
      <c r="H150">
        <f ca="1">IFERROR(__xludf.DUMMYFUNCTION("""COMPUTED_VALUE"""),-14)</f>
        <v>-14</v>
      </c>
      <c r="I150" t="str">
        <f ca="1">IFERROR(__xludf.DUMMYFUNCTION("""COMPUTED_VALUE"""),"E")</f>
        <v>E</v>
      </c>
    </row>
    <row r="151" spans="1:9" ht="12.75">
      <c r="A151" t="str">
        <f ca="1">IFERROR(__xludf.DUMMYFUNCTION("""COMPUTED_VALUE"""),"T150")</f>
        <v>T150</v>
      </c>
      <c r="B151" t="str">
        <f ca="1">IFERROR(__xludf.DUMMYFUNCTION("""COMPUTED_VALUE"""),"T157")</f>
        <v>T157</v>
      </c>
      <c r="C151" t="str">
        <f ca="1">IFERROR(__xludf.DUMMYFUNCTION("""COMPUTED_VALUE"""),"Jeongwoo Ham")</f>
        <v>Jeongwoo Ham</v>
      </c>
      <c r="D151">
        <f ca="1">IFERROR(__xludf.DUMMYFUNCTION("""COMPUTED_VALUE"""),4)</f>
        <v>4</v>
      </c>
      <c r="E151">
        <f ca="1">IFERROR(__xludf.DUMMYFUNCTION("""COMPUTED_VALUE"""),55)</f>
        <v>55</v>
      </c>
      <c r="F151">
        <f ca="1">IFERROR(__xludf.DUMMYFUNCTION("""COMPUTED_VALUE"""),11)</f>
        <v>11</v>
      </c>
      <c r="G151">
        <f ca="1">IFERROR(__xludf.DUMMYFUNCTION("""COMPUTED_VALUE"""),9)</f>
        <v>9</v>
      </c>
      <c r="H151">
        <f ca="1">IFERROR(__xludf.DUMMYFUNCTION("""COMPUTED_VALUE"""),-3)</f>
        <v>-3</v>
      </c>
      <c r="I151" t="str">
        <f ca="1">IFERROR(__xludf.DUMMYFUNCTION("""COMPUTED_VALUE"""),"+4")</f>
        <v>+4</v>
      </c>
    </row>
    <row r="152" spans="1:9" ht="12.75">
      <c r="A152" t="str">
        <f ca="1">IFERROR(__xludf.DUMMYFUNCTION("""COMPUTED_VALUE"""),"T150")</f>
        <v>T150</v>
      </c>
      <c r="B152" t="str">
        <f ca="1">IFERROR(__xludf.DUMMYFUNCTION("""COMPUTED_VALUE"""),"T157")</f>
        <v>T157</v>
      </c>
      <c r="C152" t="str">
        <f ca="1">IFERROR(__xludf.DUMMYFUNCTION("""COMPUTED_VALUE"""),"Tae Hee Lee")</f>
        <v>Tae Hee Lee</v>
      </c>
      <c r="D152">
        <f ca="1">IFERROR(__xludf.DUMMYFUNCTION("""COMPUTED_VALUE"""),4)</f>
        <v>4</v>
      </c>
      <c r="E152">
        <f ca="1">IFERROR(__xludf.DUMMYFUNCTION("""COMPUTED_VALUE"""),55)</f>
        <v>55</v>
      </c>
      <c r="F152">
        <f ca="1">IFERROR(__xludf.DUMMYFUNCTION("""COMPUTED_VALUE"""),11)</f>
        <v>11</v>
      </c>
      <c r="G152">
        <f ca="1">IFERROR(__xludf.DUMMYFUNCTION("""COMPUTED_VALUE"""),9)</f>
        <v>9</v>
      </c>
      <c r="H152">
        <f ca="1">IFERROR(__xludf.DUMMYFUNCTION("""COMPUTED_VALUE"""),-1)</f>
        <v>-1</v>
      </c>
      <c r="I152" t="str">
        <f ca="1">IFERROR(__xludf.DUMMYFUNCTION("""COMPUTED_VALUE"""),"+5")</f>
        <v>+5</v>
      </c>
    </row>
    <row r="153" spans="1:9" ht="12.75">
      <c r="A153" t="str">
        <f ca="1">IFERROR(__xludf.DUMMYFUNCTION("""COMPUTED_VALUE"""),"T150")</f>
        <v>T150</v>
      </c>
      <c r="B153" t="str">
        <f ca="1">IFERROR(__xludf.DUMMYFUNCTION("""COMPUTED_VALUE"""),"T157")</f>
        <v>T157</v>
      </c>
      <c r="C153" t="str">
        <f ca="1">IFERROR(__xludf.DUMMYFUNCTION("""COMPUTED_VALUE"""),"Seonghyeon Kim")</f>
        <v>Seonghyeon Kim</v>
      </c>
      <c r="D153">
        <f ca="1">IFERROR(__xludf.DUMMYFUNCTION("""COMPUTED_VALUE"""),4)</f>
        <v>4</v>
      </c>
      <c r="E153">
        <f ca="1">IFERROR(__xludf.DUMMYFUNCTION("""COMPUTED_VALUE"""),55)</f>
        <v>55</v>
      </c>
      <c r="F153">
        <f ca="1">IFERROR(__xludf.DUMMYFUNCTION("""COMPUTED_VALUE"""),11)</f>
        <v>11</v>
      </c>
      <c r="G153">
        <f ca="1">IFERROR(__xludf.DUMMYFUNCTION("""COMPUTED_VALUE"""),9)</f>
        <v>9</v>
      </c>
      <c r="H153">
        <f ca="1">IFERROR(__xludf.DUMMYFUNCTION("""COMPUTED_VALUE"""),-2)</f>
        <v>-2</v>
      </c>
      <c r="I153" t="str">
        <f ca="1">IFERROR(__xludf.DUMMYFUNCTION("""COMPUTED_VALUE"""),"+2")</f>
        <v>+2</v>
      </c>
    </row>
    <row r="154" spans="1:9" ht="12.75">
      <c r="A154" t="str">
        <f ca="1">IFERROR(__xludf.DUMMYFUNCTION("""COMPUTED_VALUE"""),"T153")</f>
        <v>T153</v>
      </c>
      <c r="B154" t="str">
        <f ca="1">IFERROR(__xludf.DUMMYFUNCTION("""COMPUTED_VALUE"""),"T127")</f>
        <v>T127</v>
      </c>
      <c r="C154" t="str">
        <f ca="1">IFERROR(__xludf.DUMMYFUNCTION("""COMPUTED_VALUE"""),"Martin Trainer")</f>
        <v>Martin Trainer</v>
      </c>
      <c r="D154">
        <f ca="1">IFERROR(__xludf.DUMMYFUNCTION("""COMPUTED_VALUE"""),10)</f>
        <v>10</v>
      </c>
      <c r="E154">
        <f ca="1">IFERROR(__xludf.DUMMYFUNCTION("""COMPUTED_VALUE"""),54.55)</f>
        <v>54.55</v>
      </c>
      <c r="F154">
        <f ca="1">IFERROR(__xludf.DUMMYFUNCTION("""COMPUTED_VALUE"""),18)</f>
        <v>18</v>
      </c>
      <c r="G154">
        <f ca="1">IFERROR(__xludf.DUMMYFUNCTION("""COMPUTED_VALUE"""),15)</f>
        <v>15</v>
      </c>
      <c r="H154">
        <f ca="1">IFERROR(__xludf.DUMMYFUNCTION("""COMPUTED_VALUE"""),-10)</f>
        <v>-10</v>
      </c>
      <c r="I154" t="str">
        <f ca="1">IFERROR(__xludf.DUMMYFUNCTION("""COMPUTED_VALUE"""),"+5")</f>
        <v>+5</v>
      </c>
    </row>
    <row r="155" spans="1:9" ht="12.75">
      <c r="A155" t="str">
        <f ca="1">IFERROR(__xludf.DUMMYFUNCTION("""COMPUTED_VALUE"""),"T153")</f>
        <v>T153</v>
      </c>
      <c r="B155" t="str">
        <f ca="1">IFERROR(__xludf.DUMMYFUNCTION("""COMPUTED_VALUE"""),"T150")</f>
        <v>T150</v>
      </c>
      <c r="C155" t="str">
        <f ca="1">IFERROR(__xludf.DUMMYFUNCTION("""COMPUTED_VALUE"""),"Sam Ryder")</f>
        <v>Sam Ryder</v>
      </c>
      <c r="D155">
        <f ca="1">IFERROR(__xludf.DUMMYFUNCTION("""COMPUTED_VALUE"""),12)</f>
        <v>12</v>
      </c>
      <c r="E155">
        <f ca="1">IFERROR(__xludf.DUMMYFUNCTION("""COMPUTED_VALUE"""),54.55)</f>
        <v>54.55</v>
      </c>
      <c r="F155">
        <f ca="1">IFERROR(__xludf.DUMMYFUNCTION("""COMPUTED_VALUE"""),18)</f>
        <v>18</v>
      </c>
      <c r="G155">
        <f ca="1">IFERROR(__xludf.DUMMYFUNCTION("""COMPUTED_VALUE"""),15)</f>
        <v>15</v>
      </c>
      <c r="H155">
        <f ca="1">IFERROR(__xludf.DUMMYFUNCTION("""COMPUTED_VALUE"""),-4)</f>
        <v>-4</v>
      </c>
      <c r="I155" t="str">
        <f ca="1">IFERROR(__xludf.DUMMYFUNCTION("""COMPUTED_VALUE"""),"E")</f>
        <v>E</v>
      </c>
    </row>
    <row r="156" spans="1:9" ht="12.75">
      <c r="A156">
        <f ca="1">IFERROR(__xludf.DUMMYFUNCTION("""COMPUTED_VALUE"""),155)</f>
        <v>155</v>
      </c>
      <c r="B156">
        <f ca="1">IFERROR(__xludf.DUMMYFUNCTION("""COMPUTED_VALUE"""),149)</f>
        <v>149</v>
      </c>
      <c r="C156" t="str">
        <f ca="1">IFERROR(__xludf.DUMMYFUNCTION("""COMPUTED_VALUE"""),"Tom Hoge")</f>
        <v>Tom Hoge</v>
      </c>
      <c r="D156">
        <f ca="1">IFERROR(__xludf.DUMMYFUNCTION("""COMPUTED_VALUE"""),22)</f>
        <v>22</v>
      </c>
      <c r="E156">
        <f ca="1">IFERROR(__xludf.DUMMYFUNCTION("""COMPUTED_VALUE"""),54.37)</f>
        <v>54.37</v>
      </c>
      <c r="F156">
        <f ca="1">IFERROR(__xludf.DUMMYFUNCTION("""COMPUTED_VALUE"""),56)</f>
        <v>56</v>
      </c>
      <c r="G156">
        <f ca="1">IFERROR(__xludf.DUMMYFUNCTION("""COMPUTED_VALUE"""),47)</f>
        <v>47</v>
      </c>
      <c r="H156">
        <f ca="1">IFERROR(__xludf.DUMMYFUNCTION("""COMPUTED_VALUE"""),-30)</f>
        <v>-30</v>
      </c>
      <c r="I156">
        <f ca="1">IFERROR(__xludf.DUMMYFUNCTION("""COMPUTED_VALUE"""),-8)</f>
        <v>-8</v>
      </c>
    </row>
    <row r="157" spans="1:9" ht="12.75">
      <c r="A157">
        <f ca="1">IFERROR(__xludf.DUMMYFUNCTION("""COMPUTED_VALUE"""),156)</f>
        <v>156</v>
      </c>
      <c r="B157" t="str">
        <f ca="1">IFERROR(__xludf.DUMMYFUNCTION("""COMPUTED_VALUE"""),"T155")</f>
        <v>T155</v>
      </c>
      <c r="C157" t="str">
        <f ca="1">IFERROR(__xludf.DUMMYFUNCTION("""COMPUTED_VALUE"""),"Troy Merritt")</f>
        <v>Troy Merritt</v>
      </c>
      <c r="D157">
        <f ca="1">IFERROR(__xludf.DUMMYFUNCTION("""COMPUTED_VALUE"""),20)</f>
        <v>20</v>
      </c>
      <c r="E157">
        <f ca="1">IFERROR(__xludf.DUMMYFUNCTION("""COMPUTED_VALUE"""),54.1)</f>
        <v>54.1</v>
      </c>
      <c r="F157">
        <f ca="1">IFERROR(__xludf.DUMMYFUNCTION("""COMPUTED_VALUE"""),33)</f>
        <v>33</v>
      </c>
      <c r="G157">
        <f ca="1">IFERROR(__xludf.DUMMYFUNCTION("""COMPUTED_VALUE"""),28)</f>
        <v>28</v>
      </c>
      <c r="H157">
        <f ca="1">IFERROR(__xludf.DUMMYFUNCTION("""COMPUTED_VALUE"""),-14)</f>
        <v>-14</v>
      </c>
      <c r="I157">
        <f ca="1">IFERROR(__xludf.DUMMYFUNCTION("""COMPUTED_VALUE"""),-5)</f>
        <v>-5</v>
      </c>
    </row>
    <row r="158" spans="1:9" ht="12.75">
      <c r="A158" t="str">
        <f ca="1">IFERROR(__xludf.DUMMYFUNCTION("""COMPUTED_VALUE"""),"T157")</f>
        <v>T157</v>
      </c>
      <c r="B158" t="str">
        <f ca="1">IFERROR(__xludf.DUMMYFUNCTION("""COMPUTED_VALUE"""),"T163")</f>
        <v>T163</v>
      </c>
      <c r="C158" t="str">
        <f ca="1">IFERROR(__xludf.DUMMYFUNCTION("""COMPUTED_VALUE"""),"Justin Rose")</f>
        <v>Justin Rose</v>
      </c>
      <c r="D158">
        <f ca="1">IFERROR(__xludf.DUMMYFUNCTION("""COMPUTED_VALUE"""),10)</f>
        <v>10</v>
      </c>
      <c r="E158">
        <f ca="1">IFERROR(__xludf.DUMMYFUNCTION("""COMPUTED_VALUE"""),54)</f>
        <v>54</v>
      </c>
      <c r="F158">
        <f ca="1">IFERROR(__xludf.DUMMYFUNCTION("""COMPUTED_VALUE"""),27)</f>
        <v>27</v>
      </c>
      <c r="G158">
        <f ca="1">IFERROR(__xludf.DUMMYFUNCTION("""COMPUTED_VALUE"""),23)</f>
        <v>23</v>
      </c>
      <c r="H158">
        <f ca="1">IFERROR(__xludf.DUMMYFUNCTION("""COMPUTED_VALUE"""),-18)</f>
        <v>-18</v>
      </c>
      <c r="I158">
        <f ca="1">IFERROR(__xludf.DUMMYFUNCTION("""COMPUTED_VALUE"""),-2)</f>
        <v>-2</v>
      </c>
    </row>
    <row r="159" spans="1:9" ht="12.75">
      <c r="A159" t="str">
        <f ca="1">IFERROR(__xludf.DUMMYFUNCTION("""COMPUTED_VALUE"""),"T157")</f>
        <v>T157</v>
      </c>
      <c r="B159" t="str">
        <f ca="1">IFERROR(__xludf.DUMMYFUNCTION("""COMPUTED_VALUE"""),"T163")</f>
        <v>T163</v>
      </c>
      <c r="C159" t="str">
        <f ca="1">IFERROR(__xludf.DUMMYFUNCTION("""COMPUTED_VALUE"""),"Marc Leishman")</f>
        <v>Marc Leishman</v>
      </c>
      <c r="D159">
        <f ca="1">IFERROR(__xludf.DUMMYFUNCTION("""COMPUTED_VALUE"""),10)</f>
        <v>10</v>
      </c>
      <c r="E159">
        <f ca="1">IFERROR(__xludf.DUMMYFUNCTION("""COMPUTED_VALUE"""),54)</f>
        <v>54</v>
      </c>
      <c r="F159">
        <f ca="1">IFERROR(__xludf.DUMMYFUNCTION("""COMPUTED_VALUE"""),27)</f>
        <v>27</v>
      </c>
      <c r="G159">
        <f ca="1">IFERROR(__xludf.DUMMYFUNCTION("""COMPUTED_VALUE"""),23)</f>
        <v>23</v>
      </c>
      <c r="H159">
        <f ca="1">IFERROR(__xludf.DUMMYFUNCTION("""COMPUTED_VALUE"""),-10)</f>
        <v>-10</v>
      </c>
      <c r="I159">
        <f ca="1">IFERROR(__xludf.DUMMYFUNCTION("""COMPUTED_VALUE"""),-1)</f>
        <v>-1</v>
      </c>
    </row>
    <row r="160" spans="1:9" ht="12.75">
      <c r="A160">
        <f ca="1">IFERROR(__xludf.DUMMYFUNCTION("""COMPUTED_VALUE"""),159)</f>
        <v>159</v>
      </c>
      <c r="B160">
        <f ca="1">IFERROR(__xludf.DUMMYFUNCTION("""COMPUTED_VALUE"""),165)</f>
        <v>165</v>
      </c>
      <c r="C160" t="str">
        <f ca="1">IFERROR(__xludf.DUMMYFUNCTION("""COMPUTED_VALUE"""),"Brandon Hagy")</f>
        <v>Brandon Hagy</v>
      </c>
      <c r="D160">
        <f ca="1">IFERROR(__xludf.DUMMYFUNCTION("""COMPUTED_VALUE"""),10)</f>
        <v>10</v>
      </c>
      <c r="E160">
        <f ca="1">IFERROR(__xludf.DUMMYFUNCTION("""COMPUTED_VALUE"""),53.85)</f>
        <v>53.85</v>
      </c>
      <c r="F160">
        <f ca="1">IFERROR(__xludf.DUMMYFUNCTION("""COMPUTED_VALUE"""),14)</f>
        <v>14</v>
      </c>
      <c r="G160">
        <f ca="1">IFERROR(__xludf.DUMMYFUNCTION("""COMPUTED_VALUE"""),12)</f>
        <v>12</v>
      </c>
      <c r="H160">
        <f ca="1">IFERROR(__xludf.DUMMYFUNCTION("""COMPUTED_VALUE"""),-10)</f>
        <v>-10</v>
      </c>
      <c r="I160">
        <f ca="1">IFERROR(__xludf.DUMMYFUNCTION("""COMPUTED_VALUE"""),-1)</f>
        <v>-1</v>
      </c>
    </row>
    <row r="161" spans="1:9" ht="12.75">
      <c r="A161">
        <f ca="1">IFERROR(__xludf.DUMMYFUNCTION("""COMPUTED_VALUE"""),160)</f>
        <v>160</v>
      </c>
      <c r="B161" t="str">
        <f ca="1">IFERROR(__xludf.DUMMYFUNCTION("""COMPUTED_VALUE"""),"T139")</f>
        <v>T139</v>
      </c>
      <c r="C161" t="str">
        <f ca="1">IFERROR(__xludf.DUMMYFUNCTION("""COMPUTED_VALUE"""),"Bo Hoag")</f>
        <v>Bo Hoag</v>
      </c>
      <c r="D161">
        <f ca="1">IFERROR(__xludf.DUMMYFUNCTION("""COMPUTED_VALUE"""),14)</f>
        <v>14</v>
      </c>
      <c r="E161">
        <f ca="1">IFERROR(__xludf.DUMMYFUNCTION("""COMPUTED_VALUE"""),53.66)</f>
        <v>53.66</v>
      </c>
      <c r="F161">
        <f ca="1">IFERROR(__xludf.DUMMYFUNCTION("""COMPUTED_VALUE"""),22)</f>
        <v>22</v>
      </c>
      <c r="G161">
        <f ca="1">IFERROR(__xludf.DUMMYFUNCTION("""COMPUTED_VALUE"""),19)</f>
        <v>19</v>
      </c>
      <c r="H161">
        <f ca="1">IFERROR(__xludf.DUMMYFUNCTION("""COMPUTED_VALUE"""),-16)</f>
        <v>-16</v>
      </c>
      <c r="I161" t="str">
        <f ca="1">IFERROR(__xludf.DUMMYFUNCTION("""COMPUTED_VALUE"""),"+2")</f>
        <v>+2</v>
      </c>
    </row>
    <row r="162" spans="1:9" ht="12.75">
      <c r="A162">
        <f ca="1">IFERROR(__xludf.DUMMYFUNCTION("""COMPUTED_VALUE"""),161)</f>
        <v>161</v>
      </c>
      <c r="B162">
        <f ca="1">IFERROR(__xludf.DUMMYFUNCTION("""COMPUTED_VALUE"""),166)</f>
        <v>166</v>
      </c>
      <c r="C162" t="str">
        <f ca="1">IFERROR(__xludf.DUMMYFUNCTION("""COMPUTED_VALUE"""),"Wesley Bryan")</f>
        <v>Wesley Bryan</v>
      </c>
      <c r="D162">
        <f ca="1">IFERROR(__xludf.DUMMYFUNCTION("""COMPUTED_VALUE"""),8)</f>
        <v>8</v>
      </c>
      <c r="E162">
        <f ca="1">IFERROR(__xludf.DUMMYFUNCTION("""COMPUTED_VALUE"""),53.57)</f>
        <v>53.57</v>
      </c>
      <c r="F162">
        <f ca="1">IFERROR(__xludf.DUMMYFUNCTION("""COMPUTED_VALUE"""),15)</f>
        <v>15</v>
      </c>
      <c r="G162">
        <f ca="1">IFERROR(__xludf.DUMMYFUNCTION("""COMPUTED_VALUE"""),13)</f>
        <v>13</v>
      </c>
      <c r="H162">
        <f ca="1">IFERROR(__xludf.DUMMYFUNCTION("""COMPUTED_VALUE"""),-13)</f>
        <v>-13</v>
      </c>
      <c r="I162" t="str">
        <f ca="1">IFERROR(__xludf.DUMMYFUNCTION("""COMPUTED_VALUE"""),"E")</f>
        <v>E</v>
      </c>
    </row>
    <row r="163" spans="1:9" ht="12.75">
      <c r="A163">
        <f ca="1">IFERROR(__xludf.DUMMYFUNCTION("""COMPUTED_VALUE"""),162)</f>
        <v>162</v>
      </c>
      <c r="B163">
        <f ca="1">IFERROR(__xludf.DUMMYFUNCTION("""COMPUTED_VALUE"""),148)</f>
        <v>148</v>
      </c>
      <c r="C163" t="str">
        <f ca="1">IFERROR(__xludf.DUMMYFUNCTION("""COMPUTED_VALUE"""),"Brian Harman")</f>
        <v>Brian Harman</v>
      </c>
      <c r="D163">
        <f ca="1">IFERROR(__xludf.DUMMYFUNCTION("""COMPUTED_VALUE"""),24)</f>
        <v>24</v>
      </c>
      <c r="E163">
        <f ca="1">IFERROR(__xludf.DUMMYFUNCTION("""COMPUTED_VALUE"""),53.27)</f>
        <v>53.27</v>
      </c>
      <c r="F163">
        <f ca="1">IFERROR(__xludf.DUMMYFUNCTION("""COMPUTED_VALUE"""),57)</f>
        <v>57</v>
      </c>
      <c r="G163">
        <f ca="1">IFERROR(__xludf.DUMMYFUNCTION("""COMPUTED_VALUE"""),50)</f>
        <v>50</v>
      </c>
      <c r="H163">
        <f ca="1">IFERROR(__xludf.DUMMYFUNCTION("""COMPUTED_VALUE"""),-30)</f>
        <v>-30</v>
      </c>
      <c r="I163">
        <f ca="1">IFERROR(__xludf.DUMMYFUNCTION("""COMPUTED_VALUE"""),-10)</f>
        <v>-10</v>
      </c>
    </row>
    <row r="164" spans="1:9" ht="12.75">
      <c r="A164">
        <f ca="1">IFERROR(__xludf.DUMMYFUNCTION("""COMPUTED_VALUE"""),163)</f>
        <v>163</v>
      </c>
      <c r="B164" t="str">
        <f ca="1">IFERROR(__xludf.DUMMYFUNCTION("""COMPUTED_VALUE"""),"T139")</f>
        <v>T139</v>
      </c>
      <c r="C164" t="str">
        <f ca="1">IFERROR(__xludf.DUMMYFUNCTION("""COMPUTED_VALUE"""),"Jamie Lovemark")</f>
        <v>Jamie Lovemark</v>
      </c>
      <c r="D164">
        <f ca="1">IFERROR(__xludf.DUMMYFUNCTION("""COMPUTED_VALUE"""),18)</f>
        <v>18</v>
      </c>
      <c r="E164">
        <f ca="1">IFERROR(__xludf.DUMMYFUNCTION("""COMPUTED_VALUE"""),53.06)</f>
        <v>53.06</v>
      </c>
      <c r="F164">
        <f ca="1">IFERROR(__xludf.DUMMYFUNCTION("""COMPUTED_VALUE"""),26)</f>
        <v>26</v>
      </c>
      <c r="G164">
        <f ca="1">IFERROR(__xludf.DUMMYFUNCTION("""COMPUTED_VALUE"""),23)</f>
        <v>23</v>
      </c>
      <c r="H164">
        <f ca="1">IFERROR(__xludf.DUMMYFUNCTION("""COMPUTED_VALUE"""),-12)</f>
        <v>-12</v>
      </c>
      <c r="I164">
        <f ca="1">IFERROR(__xludf.DUMMYFUNCTION("""COMPUTED_VALUE"""),-1)</f>
        <v>-1</v>
      </c>
    </row>
    <row r="165" spans="1:9" ht="12.75">
      <c r="A165" t="str">
        <f ca="1">IFERROR(__xludf.DUMMYFUNCTION("""COMPUTED_VALUE"""),"T164")</f>
        <v>T164</v>
      </c>
      <c r="B165">
        <f ca="1">IFERROR(__xludf.DUMMYFUNCTION("""COMPUTED_VALUE"""),168)</f>
        <v>168</v>
      </c>
      <c r="C165" t="str">
        <f ca="1">IFERROR(__xludf.DUMMYFUNCTION("""COMPUTED_VALUE"""),"Brian Gay")</f>
        <v>Brian Gay</v>
      </c>
      <c r="D165">
        <f ca="1">IFERROR(__xludf.DUMMYFUNCTION("""COMPUTED_VALUE"""),8)</f>
        <v>8</v>
      </c>
      <c r="E165">
        <f ca="1">IFERROR(__xludf.DUMMYFUNCTION("""COMPUTED_VALUE"""),52.94)</f>
        <v>52.94</v>
      </c>
      <c r="F165">
        <f ca="1">IFERROR(__xludf.DUMMYFUNCTION("""COMPUTED_VALUE"""),9)</f>
        <v>9</v>
      </c>
      <c r="G165">
        <f ca="1">IFERROR(__xludf.DUMMYFUNCTION("""COMPUTED_VALUE"""),8)</f>
        <v>8</v>
      </c>
      <c r="H165">
        <f ca="1">IFERROR(__xludf.DUMMYFUNCTION("""COMPUTED_VALUE"""),-2)</f>
        <v>-2</v>
      </c>
      <c r="I165" t="str">
        <f ca="1">IFERROR(__xludf.DUMMYFUNCTION("""COMPUTED_VALUE"""),"+1")</f>
        <v>+1</v>
      </c>
    </row>
    <row r="166" spans="1:9" ht="12.75">
      <c r="A166" t="str">
        <f ca="1">IFERROR(__xludf.DUMMYFUNCTION("""COMPUTED_VALUE"""),"T164")</f>
        <v>T164</v>
      </c>
      <c r="B166" t="str">
        <f ca="1">IFERROR(__xludf.DUMMYFUNCTION("""COMPUTED_VALUE"""),"T181")</f>
        <v>T181</v>
      </c>
      <c r="C166" t="str">
        <f ca="1">IFERROR(__xludf.DUMMYFUNCTION("""COMPUTED_VALUE"""),"Erik van Rooyen")</f>
        <v>Erik van Rooyen</v>
      </c>
      <c r="D166">
        <f ca="1">IFERROR(__xludf.DUMMYFUNCTION("""COMPUTED_VALUE"""),10)</f>
        <v>10</v>
      </c>
      <c r="E166">
        <f ca="1">IFERROR(__xludf.DUMMYFUNCTION("""COMPUTED_VALUE"""),52.94)</f>
        <v>52.94</v>
      </c>
      <c r="F166">
        <f ca="1">IFERROR(__xludf.DUMMYFUNCTION("""COMPUTED_VALUE"""),18)</f>
        <v>18</v>
      </c>
      <c r="G166">
        <f ca="1">IFERROR(__xludf.DUMMYFUNCTION("""COMPUTED_VALUE"""),16)</f>
        <v>16</v>
      </c>
      <c r="H166">
        <f ca="1">IFERROR(__xludf.DUMMYFUNCTION("""COMPUTED_VALUE"""),-9)</f>
        <v>-9</v>
      </c>
      <c r="I166" t="str">
        <f ca="1">IFERROR(__xludf.DUMMYFUNCTION("""COMPUTED_VALUE"""),"E")</f>
        <v>E</v>
      </c>
    </row>
    <row r="167" spans="1:9" ht="12.75">
      <c r="A167">
        <f ca="1">IFERROR(__xludf.DUMMYFUNCTION("""COMPUTED_VALUE"""),166)</f>
        <v>166</v>
      </c>
      <c r="B167">
        <f ca="1">IFERROR(__xludf.DUMMYFUNCTION("""COMPUTED_VALUE"""),154)</f>
        <v>154</v>
      </c>
      <c r="C167" t="str">
        <f ca="1">IFERROR(__xludf.DUMMYFUNCTION("""COMPUTED_VALUE"""),"Michael Thompson")</f>
        <v>Michael Thompson</v>
      </c>
      <c r="D167">
        <f ca="1">IFERROR(__xludf.DUMMYFUNCTION("""COMPUTED_VALUE"""),16)</f>
        <v>16</v>
      </c>
      <c r="E167">
        <f ca="1">IFERROR(__xludf.DUMMYFUNCTION("""COMPUTED_VALUE"""),52.86)</f>
        <v>52.86</v>
      </c>
      <c r="F167">
        <f ca="1">IFERROR(__xludf.DUMMYFUNCTION("""COMPUTED_VALUE"""),37)</f>
        <v>37</v>
      </c>
      <c r="G167">
        <f ca="1">IFERROR(__xludf.DUMMYFUNCTION("""COMPUTED_VALUE"""),33)</f>
        <v>33</v>
      </c>
      <c r="H167">
        <f ca="1">IFERROR(__xludf.DUMMYFUNCTION("""COMPUTED_VALUE"""),-12)</f>
        <v>-12</v>
      </c>
      <c r="I167">
        <f ca="1">IFERROR(__xludf.DUMMYFUNCTION("""COMPUTED_VALUE"""),-3)</f>
        <v>-3</v>
      </c>
    </row>
    <row r="168" spans="1:9" ht="12.75">
      <c r="A168">
        <f ca="1">IFERROR(__xludf.DUMMYFUNCTION("""COMPUTED_VALUE"""),167)</f>
        <v>167</v>
      </c>
      <c r="B168">
        <f ca="1">IFERROR(__xludf.DUMMYFUNCTION("""COMPUTED_VALUE"""),172)</f>
        <v>172</v>
      </c>
      <c r="C168" t="str">
        <f ca="1">IFERROR(__xludf.DUMMYFUNCTION("""COMPUTED_VALUE"""),"Nick Taylor")</f>
        <v>Nick Taylor</v>
      </c>
      <c r="D168">
        <f ca="1">IFERROR(__xludf.DUMMYFUNCTION("""COMPUTED_VALUE"""),12)</f>
        <v>12</v>
      </c>
      <c r="E168">
        <f ca="1">IFERROR(__xludf.DUMMYFUNCTION("""COMPUTED_VALUE"""),52.38)</f>
        <v>52.38</v>
      </c>
      <c r="F168">
        <f ca="1">IFERROR(__xludf.DUMMYFUNCTION("""COMPUTED_VALUE"""),33)</f>
        <v>33</v>
      </c>
      <c r="G168">
        <f ca="1">IFERROR(__xludf.DUMMYFUNCTION("""COMPUTED_VALUE"""),30)</f>
        <v>30</v>
      </c>
      <c r="H168">
        <f ca="1">IFERROR(__xludf.DUMMYFUNCTION("""COMPUTED_VALUE"""),-12)</f>
        <v>-12</v>
      </c>
      <c r="I168">
        <f ca="1">IFERROR(__xludf.DUMMYFUNCTION("""COMPUTED_VALUE"""),-7)</f>
        <v>-7</v>
      </c>
    </row>
    <row r="169" spans="1:9" ht="12.75">
      <c r="A169">
        <f ca="1">IFERROR(__xludf.DUMMYFUNCTION("""COMPUTED_VALUE"""),168)</f>
        <v>168</v>
      </c>
      <c r="B169">
        <f ca="1">IFERROR(__xludf.DUMMYFUNCTION("""COMPUTED_VALUE"""),160)</f>
        <v>160</v>
      </c>
      <c r="C169" t="str">
        <f ca="1">IFERROR(__xludf.DUMMYFUNCTION("""COMPUTED_VALUE"""),"Brandt Snedeker")</f>
        <v>Brandt Snedeker</v>
      </c>
      <c r="D169">
        <f ca="1">IFERROR(__xludf.DUMMYFUNCTION("""COMPUTED_VALUE"""),16)</f>
        <v>16</v>
      </c>
      <c r="E169">
        <f ca="1">IFERROR(__xludf.DUMMYFUNCTION("""COMPUTED_VALUE"""),52.31)</f>
        <v>52.31</v>
      </c>
      <c r="F169">
        <f ca="1">IFERROR(__xludf.DUMMYFUNCTION("""COMPUTED_VALUE"""),34)</f>
        <v>34</v>
      </c>
      <c r="G169">
        <f ca="1">IFERROR(__xludf.DUMMYFUNCTION("""COMPUTED_VALUE"""),31)</f>
        <v>31</v>
      </c>
      <c r="H169">
        <f ca="1">IFERROR(__xludf.DUMMYFUNCTION("""COMPUTED_VALUE"""),-21)</f>
        <v>-21</v>
      </c>
      <c r="I169">
        <f ca="1">IFERROR(__xludf.DUMMYFUNCTION("""COMPUTED_VALUE"""),-3)</f>
        <v>-3</v>
      </c>
    </row>
    <row r="170" spans="1:9" ht="12.75">
      <c r="A170" t="str">
        <f ca="1">IFERROR(__xludf.DUMMYFUNCTION("""COMPUTED_VALUE"""),"T169")</f>
        <v>T169</v>
      </c>
      <c r="B170" t="str">
        <f ca="1">IFERROR(__xludf.DUMMYFUNCTION("""COMPUTED_VALUE"""),"T175")</f>
        <v>T175</v>
      </c>
      <c r="C170" t="str">
        <f ca="1">IFERROR(__xludf.DUMMYFUNCTION("""COMPUTED_VALUE"""),"Brendon Todd")</f>
        <v>Brendon Todd</v>
      </c>
      <c r="D170">
        <f ca="1">IFERROR(__xludf.DUMMYFUNCTION("""COMPUTED_VALUE"""),14)</f>
        <v>14</v>
      </c>
      <c r="E170">
        <f ca="1">IFERROR(__xludf.DUMMYFUNCTION("""COMPUTED_VALUE"""),51.79)</f>
        <v>51.79</v>
      </c>
      <c r="F170">
        <f ca="1">IFERROR(__xludf.DUMMYFUNCTION("""COMPUTED_VALUE"""),29)</f>
        <v>29</v>
      </c>
      <c r="G170">
        <f ca="1">IFERROR(__xludf.DUMMYFUNCTION("""COMPUTED_VALUE"""),27)</f>
        <v>27</v>
      </c>
      <c r="H170">
        <f ca="1">IFERROR(__xludf.DUMMYFUNCTION("""COMPUTED_VALUE"""),-14)</f>
        <v>-14</v>
      </c>
      <c r="I170">
        <f ca="1">IFERROR(__xludf.DUMMYFUNCTION("""COMPUTED_VALUE"""),-9)</f>
        <v>-9</v>
      </c>
    </row>
    <row r="171" spans="1:9" ht="12.75">
      <c r="A171" t="str">
        <f ca="1">IFERROR(__xludf.DUMMYFUNCTION("""COMPUTED_VALUE"""),"T169")</f>
        <v>T169</v>
      </c>
      <c r="B171" t="str">
        <f ca="1">IFERROR(__xludf.DUMMYFUNCTION("""COMPUTED_VALUE"""),"T175")</f>
        <v>T175</v>
      </c>
      <c r="C171" t="str">
        <f ca="1">IFERROR(__xludf.DUMMYFUNCTION("""COMPUTED_VALUE"""),"Justin Thomas")</f>
        <v>Justin Thomas</v>
      </c>
      <c r="D171">
        <f ca="1">IFERROR(__xludf.DUMMYFUNCTION("""COMPUTED_VALUE"""),12)</f>
        <v>12</v>
      </c>
      <c r="E171">
        <f ca="1">IFERROR(__xludf.DUMMYFUNCTION("""COMPUTED_VALUE"""),51.79)</f>
        <v>51.79</v>
      </c>
      <c r="F171">
        <f ca="1">IFERROR(__xludf.DUMMYFUNCTION("""COMPUTED_VALUE"""),29)</f>
        <v>29</v>
      </c>
      <c r="G171">
        <f ca="1">IFERROR(__xludf.DUMMYFUNCTION("""COMPUTED_VALUE"""),27)</f>
        <v>27</v>
      </c>
      <c r="H171">
        <f ca="1">IFERROR(__xludf.DUMMYFUNCTION("""COMPUTED_VALUE"""),-16)</f>
        <v>-16</v>
      </c>
      <c r="I171">
        <f ca="1">IFERROR(__xludf.DUMMYFUNCTION("""COMPUTED_VALUE"""),-6)</f>
        <v>-6</v>
      </c>
    </row>
    <row r="172" spans="1:9" ht="12.75">
      <c r="A172" t="str">
        <f ca="1">IFERROR(__xludf.DUMMYFUNCTION("""COMPUTED_VALUE"""),"T169")</f>
        <v>T169</v>
      </c>
      <c r="B172" t="str">
        <f ca="1">IFERROR(__xludf.DUMMYFUNCTION("""COMPUTED_VALUE"""),"T175")</f>
        <v>T175</v>
      </c>
      <c r="C172" t="str">
        <f ca="1">IFERROR(__xludf.DUMMYFUNCTION("""COMPUTED_VALUE"""),"Daniel Berger")</f>
        <v>Daniel Berger</v>
      </c>
      <c r="D172">
        <f ca="1">IFERROR(__xludf.DUMMYFUNCTION("""COMPUTED_VALUE"""),12)</f>
        <v>12</v>
      </c>
      <c r="E172">
        <f ca="1">IFERROR(__xludf.DUMMYFUNCTION("""COMPUTED_VALUE"""),51.79)</f>
        <v>51.79</v>
      </c>
      <c r="F172">
        <f ca="1">IFERROR(__xludf.DUMMYFUNCTION("""COMPUTED_VALUE"""),29)</f>
        <v>29</v>
      </c>
      <c r="G172">
        <f ca="1">IFERROR(__xludf.DUMMYFUNCTION("""COMPUTED_VALUE"""),27)</f>
        <v>27</v>
      </c>
      <c r="H172">
        <f ca="1">IFERROR(__xludf.DUMMYFUNCTION("""COMPUTED_VALUE"""),-18)</f>
        <v>-18</v>
      </c>
      <c r="I172">
        <f ca="1">IFERROR(__xludf.DUMMYFUNCTION("""COMPUTED_VALUE"""),-7)</f>
        <v>-7</v>
      </c>
    </row>
    <row r="173" spans="1:9" ht="12.75">
      <c r="A173">
        <f ca="1">IFERROR(__xludf.DUMMYFUNCTION("""COMPUTED_VALUE"""),172)</f>
        <v>172</v>
      </c>
      <c r="B173">
        <f ca="1">IFERROR(__xludf.DUMMYFUNCTION("""COMPUTED_VALUE"""),178)</f>
        <v>178</v>
      </c>
      <c r="C173" t="str">
        <f ca="1">IFERROR(__xludf.DUMMYFUNCTION("""COMPUTED_VALUE"""),"Jim Herman")</f>
        <v>Jim Herman</v>
      </c>
      <c r="D173">
        <f ca="1">IFERROR(__xludf.DUMMYFUNCTION("""COMPUTED_VALUE"""),12)</f>
        <v>12</v>
      </c>
      <c r="E173">
        <f ca="1">IFERROR(__xludf.DUMMYFUNCTION("""COMPUTED_VALUE"""),51.67)</f>
        <v>51.67</v>
      </c>
      <c r="F173">
        <f ca="1">IFERROR(__xludf.DUMMYFUNCTION("""COMPUTED_VALUE"""),31)</f>
        <v>31</v>
      </c>
      <c r="G173">
        <f ca="1">IFERROR(__xludf.DUMMYFUNCTION("""COMPUTED_VALUE"""),29)</f>
        <v>29</v>
      </c>
      <c r="H173">
        <f ca="1">IFERROR(__xludf.DUMMYFUNCTION("""COMPUTED_VALUE"""),-6)</f>
        <v>-6</v>
      </c>
      <c r="I173">
        <f ca="1">IFERROR(__xludf.DUMMYFUNCTION("""COMPUTED_VALUE"""),-2)</f>
        <v>-2</v>
      </c>
    </row>
    <row r="174" spans="1:9" ht="12.75">
      <c r="A174">
        <f ca="1">IFERROR(__xludf.DUMMYFUNCTION("""COMPUTED_VALUE"""),173)</f>
        <v>173</v>
      </c>
      <c r="B174">
        <f ca="1">IFERROR(__xludf.DUMMYFUNCTION("""COMPUTED_VALUE"""),198)</f>
        <v>198</v>
      </c>
      <c r="C174" t="str">
        <f ca="1">IFERROR(__xludf.DUMMYFUNCTION("""COMPUTED_VALUE"""),"Tyrrell Hatton")</f>
        <v>Tyrrell Hatton</v>
      </c>
      <c r="D174">
        <f ca="1">IFERROR(__xludf.DUMMYFUNCTION("""COMPUTED_VALUE"""),14)</f>
        <v>14</v>
      </c>
      <c r="E174">
        <f ca="1">IFERROR(__xludf.DUMMYFUNCTION("""COMPUTED_VALUE"""),51.56)</f>
        <v>51.56</v>
      </c>
      <c r="F174">
        <f ca="1">IFERROR(__xludf.DUMMYFUNCTION("""COMPUTED_VALUE"""),33)</f>
        <v>33</v>
      </c>
      <c r="G174">
        <f ca="1">IFERROR(__xludf.DUMMYFUNCTION("""COMPUTED_VALUE"""),31)</f>
        <v>31</v>
      </c>
      <c r="H174">
        <f ca="1">IFERROR(__xludf.DUMMYFUNCTION("""COMPUTED_VALUE"""),-15)</f>
        <v>-15</v>
      </c>
      <c r="I174">
        <f ca="1">IFERROR(__xludf.DUMMYFUNCTION("""COMPUTED_VALUE"""),-4)</f>
        <v>-4</v>
      </c>
    </row>
    <row r="175" spans="1:9" ht="12.75">
      <c r="A175" t="str">
        <f ca="1">IFERROR(__xludf.DUMMYFUNCTION("""COMPUTED_VALUE"""),"T174")</f>
        <v>T174</v>
      </c>
      <c r="B175" t="str">
        <f ca="1">IFERROR(__xludf.DUMMYFUNCTION("""COMPUTED_VALUE"""),"T139")</f>
        <v>T139</v>
      </c>
      <c r="C175" t="str">
        <f ca="1">IFERROR(__xludf.DUMMYFUNCTION("""COMPUTED_VALUE"""),"Pat Perez")</f>
        <v>Pat Perez</v>
      </c>
      <c r="D175">
        <f ca="1">IFERROR(__xludf.DUMMYFUNCTION("""COMPUTED_VALUE"""),16)</f>
        <v>16</v>
      </c>
      <c r="E175">
        <f ca="1">IFERROR(__xludf.DUMMYFUNCTION("""COMPUTED_VALUE"""),51.22)</f>
        <v>51.22</v>
      </c>
      <c r="F175">
        <f ca="1">IFERROR(__xludf.DUMMYFUNCTION("""COMPUTED_VALUE"""),21)</f>
        <v>21</v>
      </c>
      <c r="G175">
        <f ca="1">IFERROR(__xludf.DUMMYFUNCTION("""COMPUTED_VALUE"""),20)</f>
        <v>20</v>
      </c>
      <c r="H175">
        <f ca="1">IFERROR(__xludf.DUMMYFUNCTION("""COMPUTED_VALUE"""),-13)</f>
        <v>-13</v>
      </c>
      <c r="I175">
        <f ca="1">IFERROR(__xludf.DUMMYFUNCTION("""COMPUTED_VALUE"""),-1)</f>
        <v>-1</v>
      </c>
    </row>
    <row r="176" spans="1:9" ht="12.75">
      <c r="A176" t="str">
        <f ca="1">IFERROR(__xludf.DUMMYFUNCTION("""COMPUTED_VALUE"""),"T174")</f>
        <v>T174</v>
      </c>
      <c r="B176" t="str">
        <f ca="1">IFERROR(__xludf.DUMMYFUNCTION("""COMPUTED_VALUE"""),"T161")</f>
        <v>T161</v>
      </c>
      <c r="C176" t="str">
        <f ca="1">IFERROR(__xludf.DUMMYFUNCTION("""COMPUTED_VALUE"""),"Hunter Mahan")</f>
        <v>Hunter Mahan</v>
      </c>
      <c r="D176">
        <f ca="1">IFERROR(__xludf.DUMMYFUNCTION("""COMPUTED_VALUE"""),14)</f>
        <v>14</v>
      </c>
      <c r="E176">
        <f ca="1">IFERROR(__xludf.DUMMYFUNCTION("""COMPUTED_VALUE"""),51.22)</f>
        <v>51.22</v>
      </c>
      <c r="F176">
        <f ca="1">IFERROR(__xludf.DUMMYFUNCTION("""COMPUTED_VALUE"""),21)</f>
        <v>21</v>
      </c>
      <c r="G176">
        <f ca="1">IFERROR(__xludf.DUMMYFUNCTION("""COMPUTED_VALUE"""),20)</f>
        <v>20</v>
      </c>
      <c r="H176">
        <f ca="1">IFERROR(__xludf.DUMMYFUNCTION("""COMPUTED_VALUE"""),-14)</f>
        <v>-14</v>
      </c>
      <c r="I176" t="str">
        <f ca="1">IFERROR(__xludf.DUMMYFUNCTION("""COMPUTED_VALUE"""),"+2")</f>
        <v>+2</v>
      </c>
    </row>
    <row r="177" spans="1:9" ht="12.75">
      <c r="A177">
        <f ca="1">IFERROR(__xludf.DUMMYFUNCTION("""COMPUTED_VALUE"""),176)</f>
        <v>176</v>
      </c>
      <c r="B177">
        <f ca="1">IFERROR(__xludf.DUMMYFUNCTION("""COMPUTED_VALUE"""),138)</f>
        <v>138</v>
      </c>
      <c r="C177" t="str">
        <f ca="1">IFERROR(__xludf.DUMMYFUNCTION("""COMPUTED_VALUE"""),"Charl Schwartzel")</f>
        <v>Charl Schwartzel</v>
      </c>
      <c r="D177">
        <f ca="1">IFERROR(__xludf.DUMMYFUNCTION("""COMPUTED_VALUE"""),12)</f>
        <v>12</v>
      </c>
      <c r="E177">
        <f ca="1">IFERROR(__xludf.DUMMYFUNCTION("""COMPUTED_VALUE"""),50.98)</f>
        <v>50.98</v>
      </c>
      <c r="F177">
        <f ca="1">IFERROR(__xludf.DUMMYFUNCTION("""COMPUTED_VALUE"""),26)</f>
        <v>26</v>
      </c>
      <c r="G177">
        <f ca="1">IFERROR(__xludf.DUMMYFUNCTION("""COMPUTED_VALUE"""),25)</f>
        <v>25</v>
      </c>
      <c r="H177">
        <f ca="1">IFERROR(__xludf.DUMMYFUNCTION("""COMPUTED_VALUE"""),-14)</f>
        <v>-14</v>
      </c>
      <c r="I177">
        <f ca="1">IFERROR(__xludf.DUMMYFUNCTION("""COMPUTED_VALUE"""),-7)</f>
        <v>-7</v>
      </c>
    </row>
    <row r="178" spans="1:9" ht="12.75">
      <c r="A178" t="str">
        <f ca="1">IFERROR(__xludf.DUMMYFUNCTION("""COMPUTED_VALUE"""),"T177")</f>
        <v>T177</v>
      </c>
      <c r="B178" t="str">
        <f ca="1">IFERROR(__xludf.DUMMYFUNCTION("""COMPUTED_VALUE"""),"T181")</f>
        <v>T181</v>
      </c>
      <c r="C178" t="str">
        <f ca="1">IFERROR(__xludf.DUMMYFUNCTION("""COMPUTED_VALUE"""),"Johnson Wagner")</f>
        <v>Johnson Wagner</v>
      </c>
      <c r="D178">
        <f ca="1">IFERROR(__xludf.DUMMYFUNCTION("""COMPUTED_VALUE"""),8)</f>
        <v>8</v>
      </c>
      <c r="E178">
        <f ca="1">IFERROR(__xludf.DUMMYFUNCTION("""COMPUTED_VALUE"""),50)</f>
        <v>50</v>
      </c>
      <c r="F178">
        <f ca="1">IFERROR(__xludf.DUMMYFUNCTION("""COMPUTED_VALUE"""),4)</f>
        <v>4</v>
      </c>
      <c r="G178">
        <f ca="1">IFERROR(__xludf.DUMMYFUNCTION("""COMPUTED_VALUE"""),4)</f>
        <v>4</v>
      </c>
      <c r="H178">
        <f ca="1">IFERROR(__xludf.DUMMYFUNCTION("""COMPUTED_VALUE"""),-1)</f>
        <v>-1</v>
      </c>
      <c r="I178" t="str">
        <f ca="1">IFERROR(__xludf.DUMMYFUNCTION("""COMPUTED_VALUE"""),"+2")</f>
        <v>+2</v>
      </c>
    </row>
    <row r="179" spans="1:9" ht="12.75">
      <c r="A179" t="str">
        <f ca="1">IFERROR(__xludf.DUMMYFUNCTION("""COMPUTED_VALUE"""),"T177")</f>
        <v>T177</v>
      </c>
      <c r="B179" t="str">
        <f ca="1">IFERROR(__xludf.DUMMYFUNCTION("""COMPUTED_VALUE"""),"T181")</f>
        <v>T181</v>
      </c>
      <c r="C179" t="str">
        <f ca="1">IFERROR(__xludf.DUMMYFUNCTION("""COMPUTED_VALUE"""),"Rhein Gibson")</f>
        <v>Rhein Gibson</v>
      </c>
      <c r="D179">
        <f ca="1">IFERROR(__xludf.DUMMYFUNCTION("""COMPUTED_VALUE"""),10)</f>
        <v>10</v>
      </c>
      <c r="E179">
        <f ca="1">IFERROR(__xludf.DUMMYFUNCTION("""COMPUTED_VALUE"""),50)</f>
        <v>50</v>
      </c>
      <c r="F179">
        <f ca="1">IFERROR(__xludf.DUMMYFUNCTION("""COMPUTED_VALUE"""),8)</f>
        <v>8</v>
      </c>
      <c r="G179">
        <f ca="1">IFERROR(__xludf.DUMMYFUNCTION("""COMPUTED_VALUE"""),8)</f>
        <v>8</v>
      </c>
      <c r="H179">
        <f ca="1">IFERROR(__xludf.DUMMYFUNCTION("""COMPUTED_VALUE"""),-7)</f>
        <v>-7</v>
      </c>
      <c r="I179">
        <f ca="1">IFERROR(__xludf.DUMMYFUNCTION("""COMPUTED_VALUE"""),-1)</f>
        <v>-1</v>
      </c>
    </row>
    <row r="180" spans="1:9" ht="12.75">
      <c r="A180" t="str">
        <f ca="1">IFERROR(__xludf.DUMMYFUNCTION("""COMPUTED_VALUE"""),"T177")</f>
        <v>T177</v>
      </c>
      <c r="B180" t="str">
        <f ca="1">IFERROR(__xludf.DUMMYFUNCTION("""COMPUTED_VALUE"""),"T181")</f>
        <v>T181</v>
      </c>
      <c r="C180" t="str">
        <f ca="1">IFERROR(__xludf.DUMMYFUNCTION("""COMPUTED_VALUE"""),"Chris Baker")</f>
        <v>Chris Baker</v>
      </c>
      <c r="D180">
        <f ca="1">IFERROR(__xludf.DUMMYFUNCTION("""COMPUTED_VALUE"""),8)</f>
        <v>8</v>
      </c>
      <c r="E180">
        <f ca="1">IFERROR(__xludf.DUMMYFUNCTION("""COMPUTED_VALUE"""),50)</f>
        <v>50</v>
      </c>
      <c r="F180">
        <f ca="1">IFERROR(__xludf.DUMMYFUNCTION("""COMPUTED_VALUE"""),9)</f>
        <v>9</v>
      </c>
      <c r="G180">
        <f ca="1">IFERROR(__xludf.DUMMYFUNCTION("""COMPUTED_VALUE"""),9)</f>
        <v>9</v>
      </c>
      <c r="H180">
        <f ca="1">IFERROR(__xludf.DUMMYFUNCTION("""COMPUTED_VALUE"""),-3)</f>
        <v>-3</v>
      </c>
      <c r="I180" t="str">
        <f ca="1">IFERROR(__xludf.DUMMYFUNCTION("""COMPUTED_VALUE"""),"E")</f>
        <v>E</v>
      </c>
    </row>
    <row r="181" spans="1:9" ht="12.75">
      <c r="A181" t="str">
        <f ca="1">IFERROR(__xludf.DUMMYFUNCTION("""COMPUTED_VALUE"""),"T177")</f>
        <v>T177</v>
      </c>
      <c r="B181" t="str">
        <f ca="1">IFERROR(__xludf.DUMMYFUNCTION("""COMPUTED_VALUE"""),"T181")</f>
        <v>T181</v>
      </c>
      <c r="C181" t="str">
        <f ca="1">IFERROR(__xludf.DUMMYFUNCTION("""COMPUTED_VALUE"""),"Bernd Wiesberger")</f>
        <v>Bernd Wiesberger</v>
      </c>
      <c r="D181">
        <f ca="1">IFERROR(__xludf.DUMMYFUNCTION("""COMPUTED_VALUE"""),4)</f>
        <v>4</v>
      </c>
      <c r="E181">
        <f ca="1">IFERROR(__xludf.DUMMYFUNCTION("""COMPUTED_VALUE"""),50)</f>
        <v>50</v>
      </c>
      <c r="F181">
        <f ca="1">IFERROR(__xludf.DUMMYFUNCTION("""COMPUTED_VALUE"""),6)</f>
        <v>6</v>
      </c>
      <c r="G181">
        <f ca="1">IFERROR(__xludf.DUMMYFUNCTION("""COMPUTED_VALUE"""),6)</f>
        <v>6</v>
      </c>
      <c r="H181">
        <f ca="1">IFERROR(__xludf.DUMMYFUNCTION("""COMPUTED_VALUE"""),-4)</f>
        <v>-4</v>
      </c>
      <c r="I181" t="str">
        <f ca="1">IFERROR(__xludf.DUMMYFUNCTION("""COMPUTED_VALUE"""),"E")</f>
        <v>E</v>
      </c>
    </row>
    <row r="182" spans="1:9" ht="12.75">
      <c r="A182" t="str">
        <f ca="1">IFERROR(__xludf.DUMMYFUNCTION("""COMPUTED_VALUE"""),"T177")</f>
        <v>T177</v>
      </c>
      <c r="B182" t="str">
        <f ca="1">IFERROR(__xludf.DUMMYFUNCTION("""COMPUTED_VALUE"""),"")</f>
        <v/>
      </c>
      <c r="C182" t="str">
        <f ca="1">IFERROR(__xludf.DUMMYFUNCTION("""COMPUTED_VALUE"""),"Erik Barnes")</f>
        <v>Erik Barnes</v>
      </c>
      <c r="D182">
        <f ca="1">IFERROR(__xludf.DUMMYFUNCTION("""COMPUTED_VALUE"""),4)</f>
        <v>4</v>
      </c>
      <c r="E182">
        <f ca="1">IFERROR(__xludf.DUMMYFUNCTION("""COMPUTED_VALUE"""),50)</f>
        <v>50</v>
      </c>
      <c r="F182">
        <f ca="1">IFERROR(__xludf.DUMMYFUNCTION("""COMPUTED_VALUE"""),7)</f>
        <v>7</v>
      </c>
      <c r="G182">
        <f ca="1">IFERROR(__xludf.DUMMYFUNCTION("""COMPUTED_VALUE"""),7)</f>
        <v>7</v>
      </c>
      <c r="H182">
        <f ca="1">IFERROR(__xludf.DUMMYFUNCTION("""COMPUTED_VALUE"""),-6)</f>
        <v>-6</v>
      </c>
      <c r="I182">
        <f ca="1">IFERROR(__xludf.DUMMYFUNCTION("""COMPUTED_VALUE"""),-1)</f>
        <v>-1</v>
      </c>
    </row>
    <row r="183" spans="1:9" ht="12.75">
      <c r="A183" t="str">
        <f ca="1">IFERROR(__xludf.DUMMYFUNCTION("""COMPUTED_VALUE"""),"T177")</f>
        <v>T177</v>
      </c>
      <c r="B183" t="str">
        <f ca="1">IFERROR(__xludf.DUMMYFUNCTION("""COMPUTED_VALUE"""),"")</f>
        <v/>
      </c>
      <c r="C183" t="str">
        <f ca="1">IFERROR(__xludf.DUMMYFUNCTION("""COMPUTED_VALUE"""),"Ollie Schniederjans")</f>
        <v>Ollie Schniederjans</v>
      </c>
      <c r="D183">
        <f ca="1">IFERROR(__xludf.DUMMYFUNCTION("""COMPUTED_VALUE"""),6)</f>
        <v>6</v>
      </c>
      <c r="E183">
        <f ca="1">IFERROR(__xludf.DUMMYFUNCTION("""COMPUTED_VALUE"""),50)</f>
        <v>50</v>
      </c>
      <c r="F183">
        <f ca="1">IFERROR(__xludf.DUMMYFUNCTION("""COMPUTED_VALUE"""),3)</f>
        <v>3</v>
      </c>
      <c r="G183">
        <f ca="1">IFERROR(__xludf.DUMMYFUNCTION("""COMPUTED_VALUE"""),3)</f>
        <v>3</v>
      </c>
      <c r="H183">
        <f ca="1">IFERROR(__xludf.DUMMYFUNCTION("""COMPUTED_VALUE"""),-1)</f>
        <v>-1</v>
      </c>
      <c r="I183" t="str">
        <f ca="1">IFERROR(__xludf.DUMMYFUNCTION("""COMPUTED_VALUE"""),"+2")</f>
        <v>+2</v>
      </c>
    </row>
    <row r="184" spans="1:9" ht="12.75">
      <c r="A184" t="str">
        <f ca="1">IFERROR(__xludf.DUMMYFUNCTION("""COMPUTED_VALUE"""),"T177")</f>
        <v>T177</v>
      </c>
      <c r="B184" t="str">
        <f ca="1">IFERROR(__xludf.DUMMYFUNCTION("""COMPUTED_VALUE"""),"T181")</f>
        <v>T181</v>
      </c>
      <c r="C184" t="str">
        <f ca="1">IFERROR(__xludf.DUMMYFUNCTION("""COMPUTED_VALUE"""),"Jazz Janewattananond")</f>
        <v>Jazz Janewattananond</v>
      </c>
      <c r="D184">
        <f ca="1">IFERROR(__xludf.DUMMYFUNCTION("""COMPUTED_VALUE"""),6)</f>
        <v>6</v>
      </c>
      <c r="E184">
        <f ca="1">IFERROR(__xludf.DUMMYFUNCTION("""COMPUTED_VALUE"""),50)</f>
        <v>50</v>
      </c>
      <c r="F184">
        <f ca="1">IFERROR(__xludf.DUMMYFUNCTION("""COMPUTED_VALUE"""),15)</f>
        <v>15</v>
      </c>
      <c r="G184">
        <f ca="1">IFERROR(__xludf.DUMMYFUNCTION("""COMPUTED_VALUE"""),15)</f>
        <v>15</v>
      </c>
      <c r="H184">
        <f ca="1">IFERROR(__xludf.DUMMYFUNCTION("""COMPUTED_VALUE"""),-8)</f>
        <v>-8</v>
      </c>
      <c r="I184" t="str">
        <f ca="1">IFERROR(__xludf.DUMMYFUNCTION("""COMPUTED_VALUE"""),"+2")</f>
        <v>+2</v>
      </c>
    </row>
    <row r="185" spans="1:9" ht="12.75">
      <c r="A185" t="str">
        <f ca="1">IFERROR(__xludf.DUMMYFUNCTION("""COMPUTED_VALUE"""),"T177")</f>
        <v>T177</v>
      </c>
      <c r="B185" t="str">
        <f ca="1">IFERROR(__xludf.DUMMYFUNCTION("""COMPUTED_VALUE"""),"T181")</f>
        <v>T181</v>
      </c>
      <c r="C185" t="str">
        <f ca="1">IFERROR(__xludf.DUMMYFUNCTION("""COMPUTED_VALUE"""),"Stephan Jaeger")</f>
        <v>Stephan Jaeger</v>
      </c>
      <c r="D185">
        <f ca="1">IFERROR(__xludf.DUMMYFUNCTION("""COMPUTED_VALUE"""),4)</f>
        <v>4</v>
      </c>
      <c r="E185">
        <f ca="1">IFERROR(__xludf.DUMMYFUNCTION("""COMPUTED_VALUE"""),50)</f>
        <v>50</v>
      </c>
      <c r="F185">
        <f ca="1">IFERROR(__xludf.DUMMYFUNCTION("""COMPUTED_VALUE"""),6)</f>
        <v>6</v>
      </c>
      <c r="G185">
        <f ca="1">IFERROR(__xludf.DUMMYFUNCTION("""COMPUTED_VALUE"""),6)</f>
        <v>6</v>
      </c>
      <c r="H185">
        <f ca="1">IFERROR(__xludf.DUMMYFUNCTION("""COMPUTED_VALUE"""),-3)</f>
        <v>-3</v>
      </c>
      <c r="I185" t="str">
        <f ca="1">IFERROR(__xludf.DUMMYFUNCTION("""COMPUTED_VALUE"""),"E")</f>
        <v>E</v>
      </c>
    </row>
    <row r="186" spans="1:9" ht="12.75">
      <c r="A186" t="str">
        <f ca="1">IFERROR(__xludf.DUMMYFUNCTION("""COMPUTED_VALUE"""),"T177")</f>
        <v>T177</v>
      </c>
      <c r="B186" t="str">
        <f ca="1">IFERROR(__xludf.DUMMYFUNCTION("""COMPUTED_VALUE"""),"T181")</f>
        <v>T181</v>
      </c>
      <c r="C186" t="str">
        <f ca="1">IFERROR(__xludf.DUMMYFUNCTION("""COMPUTED_VALUE"""),"Renato Paratore")</f>
        <v>Renato Paratore</v>
      </c>
      <c r="D186">
        <f ca="1">IFERROR(__xludf.DUMMYFUNCTION("""COMPUTED_VALUE"""),4)</f>
        <v>4</v>
      </c>
      <c r="E186">
        <f ca="1">IFERROR(__xludf.DUMMYFUNCTION("""COMPUTED_VALUE"""),50)</f>
        <v>50</v>
      </c>
      <c r="F186">
        <f ca="1">IFERROR(__xludf.DUMMYFUNCTION("""COMPUTED_VALUE"""),6)</f>
        <v>6</v>
      </c>
      <c r="G186">
        <f ca="1">IFERROR(__xludf.DUMMYFUNCTION("""COMPUTED_VALUE"""),6)</f>
        <v>6</v>
      </c>
      <c r="H186">
        <f ca="1">IFERROR(__xludf.DUMMYFUNCTION("""COMPUTED_VALUE"""),-2)</f>
        <v>-2</v>
      </c>
      <c r="I186" t="str">
        <f ca="1">IFERROR(__xludf.DUMMYFUNCTION("""COMPUTED_VALUE"""),"+2")</f>
        <v>+2</v>
      </c>
    </row>
    <row r="187" spans="1:9" ht="12.75">
      <c r="A187" t="str">
        <f ca="1">IFERROR(__xludf.DUMMYFUNCTION("""COMPUTED_VALUE"""),"T177")</f>
        <v>T177</v>
      </c>
      <c r="B187" t="str">
        <f ca="1">IFERROR(__xludf.DUMMYFUNCTION("""COMPUTED_VALUE"""),"T181")</f>
        <v>T181</v>
      </c>
      <c r="C187" t="str">
        <f ca="1">IFERROR(__xludf.DUMMYFUNCTION("""COMPUTED_VALUE"""),"Lucas Herbert")</f>
        <v>Lucas Herbert</v>
      </c>
      <c r="D187">
        <f ca="1">IFERROR(__xludf.DUMMYFUNCTION("""COMPUTED_VALUE"""),4)</f>
        <v>4</v>
      </c>
      <c r="E187">
        <f ca="1">IFERROR(__xludf.DUMMYFUNCTION("""COMPUTED_VALUE"""),50)</f>
        <v>50</v>
      </c>
      <c r="F187">
        <f ca="1">IFERROR(__xludf.DUMMYFUNCTION("""COMPUTED_VALUE"""),6)</f>
        <v>6</v>
      </c>
      <c r="G187">
        <f ca="1">IFERROR(__xludf.DUMMYFUNCTION("""COMPUTED_VALUE"""),6)</f>
        <v>6</v>
      </c>
      <c r="H187">
        <f ca="1">IFERROR(__xludf.DUMMYFUNCTION("""COMPUTED_VALUE"""),-1)</f>
        <v>-1</v>
      </c>
      <c r="I187" t="str">
        <f ca="1">IFERROR(__xludf.DUMMYFUNCTION("""COMPUTED_VALUE"""),"E")</f>
        <v>E</v>
      </c>
    </row>
    <row r="188" spans="1:9" ht="12.75">
      <c r="A188" t="str">
        <f ca="1">IFERROR(__xludf.DUMMYFUNCTION("""COMPUTED_VALUE"""),"T177")</f>
        <v>T177</v>
      </c>
      <c r="B188" t="str">
        <f ca="1">IFERROR(__xludf.DUMMYFUNCTION("""COMPUTED_VALUE"""),"T181")</f>
        <v>T181</v>
      </c>
      <c r="C188" t="str">
        <f ca="1">IFERROR(__xludf.DUMMYFUNCTION("""COMPUTED_VALUE"""),"Wes Roach")</f>
        <v>Wes Roach</v>
      </c>
      <c r="D188">
        <f ca="1">IFERROR(__xludf.DUMMYFUNCTION("""COMPUTED_VALUE"""),6)</f>
        <v>6</v>
      </c>
      <c r="E188">
        <f ca="1">IFERROR(__xludf.DUMMYFUNCTION("""COMPUTED_VALUE"""),50)</f>
        <v>50</v>
      </c>
      <c r="F188">
        <f ca="1">IFERROR(__xludf.DUMMYFUNCTION("""COMPUTED_VALUE"""),4)</f>
        <v>4</v>
      </c>
      <c r="G188">
        <f ca="1">IFERROR(__xludf.DUMMYFUNCTION("""COMPUTED_VALUE"""),4)</f>
        <v>4</v>
      </c>
      <c r="H188">
        <f ca="1">IFERROR(__xludf.DUMMYFUNCTION("""COMPUTED_VALUE"""),-4)</f>
        <v>-4</v>
      </c>
      <c r="I188">
        <f ca="1">IFERROR(__xludf.DUMMYFUNCTION("""COMPUTED_VALUE"""),-1)</f>
        <v>-1</v>
      </c>
    </row>
    <row r="189" spans="1:9" ht="12.75">
      <c r="A189" t="str">
        <f ca="1">IFERROR(__xludf.DUMMYFUNCTION("""COMPUTED_VALUE"""),"T177")</f>
        <v>T177</v>
      </c>
      <c r="B189" t="str">
        <f ca="1">IFERROR(__xludf.DUMMYFUNCTION("""COMPUTED_VALUE"""),"T139")</f>
        <v>T139</v>
      </c>
      <c r="C189" t="str">
        <f ca="1">IFERROR(__xludf.DUMMYFUNCTION("""COMPUTED_VALUE"""),"Kelly Kraft")</f>
        <v>Kelly Kraft</v>
      </c>
      <c r="D189">
        <f ca="1">IFERROR(__xludf.DUMMYFUNCTION("""COMPUTED_VALUE"""),14)</f>
        <v>14</v>
      </c>
      <c r="E189">
        <f ca="1">IFERROR(__xludf.DUMMYFUNCTION("""COMPUTED_VALUE"""),50)</f>
        <v>50</v>
      </c>
      <c r="F189">
        <f ca="1">IFERROR(__xludf.DUMMYFUNCTION("""COMPUTED_VALUE"""),17)</f>
        <v>17</v>
      </c>
      <c r="G189">
        <f ca="1">IFERROR(__xludf.DUMMYFUNCTION("""COMPUTED_VALUE"""),17)</f>
        <v>17</v>
      </c>
      <c r="H189">
        <f ca="1">IFERROR(__xludf.DUMMYFUNCTION("""COMPUTED_VALUE"""),-6)</f>
        <v>-6</v>
      </c>
      <c r="I189" t="str">
        <f ca="1">IFERROR(__xludf.DUMMYFUNCTION("""COMPUTED_VALUE"""),"E")</f>
        <v>E</v>
      </c>
    </row>
    <row r="190" spans="1:9" ht="12.75">
      <c r="A190" t="str">
        <f ca="1">IFERROR(__xludf.DUMMYFUNCTION("""COMPUTED_VALUE"""),"T177")</f>
        <v>T177</v>
      </c>
      <c r="B190" t="str">
        <f ca="1">IFERROR(__xludf.DUMMYFUNCTION("""COMPUTED_VALUE"""),"T181")</f>
        <v>T181</v>
      </c>
      <c r="C190" t="str">
        <f ca="1">IFERROR(__xludf.DUMMYFUNCTION("""COMPUTED_VALUE"""),"Andy Zhang")</f>
        <v>Andy Zhang</v>
      </c>
      <c r="D190">
        <f ca="1">IFERROR(__xludf.DUMMYFUNCTION("""COMPUTED_VALUE"""),4)</f>
        <v>4</v>
      </c>
      <c r="E190">
        <f ca="1">IFERROR(__xludf.DUMMYFUNCTION("""COMPUTED_VALUE"""),50)</f>
        <v>50</v>
      </c>
      <c r="F190">
        <f ca="1">IFERROR(__xludf.DUMMYFUNCTION("""COMPUTED_VALUE"""),8)</f>
        <v>8</v>
      </c>
      <c r="G190">
        <f ca="1">IFERROR(__xludf.DUMMYFUNCTION("""COMPUTED_VALUE"""),8)</f>
        <v>8</v>
      </c>
      <c r="H190">
        <f ca="1">IFERROR(__xludf.DUMMYFUNCTION("""COMPUTED_VALUE"""),-6)</f>
        <v>-6</v>
      </c>
      <c r="I190">
        <f ca="1">IFERROR(__xludf.DUMMYFUNCTION("""COMPUTED_VALUE"""),-1)</f>
        <v>-1</v>
      </c>
    </row>
    <row r="191" spans="1:9" ht="12.75">
      <c r="A191" t="str">
        <f ca="1">IFERROR(__xludf.DUMMYFUNCTION("""COMPUTED_VALUE"""),"T177")</f>
        <v>T177</v>
      </c>
      <c r="B191" t="str">
        <f ca="1">IFERROR(__xludf.DUMMYFUNCTION("""COMPUTED_VALUE"""),"T181")</f>
        <v>T181</v>
      </c>
      <c r="C191" t="str">
        <f ca="1">IFERROR(__xludf.DUMMYFUNCTION("""COMPUTED_VALUE"""),"Luke Schniederjans")</f>
        <v>Luke Schniederjans</v>
      </c>
      <c r="D191">
        <f ca="1">IFERROR(__xludf.DUMMYFUNCTION("""COMPUTED_VALUE"""),4)</f>
        <v>4</v>
      </c>
      <c r="E191">
        <f ca="1">IFERROR(__xludf.DUMMYFUNCTION("""COMPUTED_VALUE"""),50)</f>
        <v>50</v>
      </c>
      <c r="F191">
        <f ca="1">IFERROR(__xludf.DUMMYFUNCTION("""COMPUTED_VALUE"""),4)</f>
        <v>4</v>
      </c>
      <c r="G191">
        <f ca="1">IFERROR(__xludf.DUMMYFUNCTION("""COMPUTED_VALUE"""),4)</f>
        <v>4</v>
      </c>
      <c r="H191">
        <f ca="1">IFERROR(__xludf.DUMMYFUNCTION("""COMPUTED_VALUE"""),-1)</f>
        <v>-1</v>
      </c>
      <c r="I191" t="str">
        <f ca="1">IFERROR(__xludf.DUMMYFUNCTION("""COMPUTED_VALUE"""),"+2")</f>
        <v>+2</v>
      </c>
    </row>
    <row r="192" spans="1:9" ht="12.75">
      <c r="A192" t="str">
        <f ca="1">IFERROR(__xludf.DUMMYFUNCTION("""COMPUTED_VALUE"""),"T177")</f>
        <v>T177</v>
      </c>
      <c r="B192" t="str">
        <f ca="1">IFERROR(__xludf.DUMMYFUNCTION("""COMPUTED_VALUE"""),"T181")</f>
        <v>T181</v>
      </c>
      <c r="C192" t="str">
        <f ca="1">IFERROR(__xludf.DUMMYFUNCTION("""COMPUTED_VALUE"""),"Rasmus Hojgaard")</f>
        <v>Rasmus Hojgaard</v>
      </c>
      <c r="D192">
        <f ca="1">IFERROR(__xludf.DUMMYFUNCTION("""COMPUTED_VALUE"""),6)</f>
        <v>6</v>
      </c>
      <c r="E192">
        <f ca="1">IFERROR(__xludf.DUMMYFUNCTION("""COMPUTED_VALUE"""),50)</f>
        <v>50</v>
      </c>
      <c r="F192">
        <f ca="1">IFERROR(__xludf.DUMMYFUNCTION("""COMPUTED_VALUE"""),3)</f>
        <v>3</v>
      </c>
      <c r="G192">
        <f ca="1">IFERROR(__xludf.DUMMYFUNCTION("""COMPUTED_VALUE"""),3)</f>
        <v>3</v>
      </c>
      <c r="H192" t="str">
        <f ca="1">IFERROR(__xludf.DUMMYFUNCTION("""COMPUTED_VALUE"""),"E")</f>
        <v>E</v>
      </c>
      <c r="I192" t="str">
        <f ca="1">IFERROR(__xludf.DUMMYFUNCTION("""COMPUTED_VALUE"""),"+2")</f>
        <v>+2</v>
      </c>
    </row>
    <row r="193" spans="1:9" ht="12.75">
      <c r="A193">
        <f ca="1">IFERROR(__xludf.DUMMYFUNCTION("""COMPUTED_VALUE"""),192)</f>
        <v>192</v>
      </c>
      <c r="B193">
        <f ca="1">IFERROR(__xludf.DUMMYFUNCTION("""COMPUTED_VALUE"""),167)</f>
        <v>167</v>
      </c>
      <c r="C193" t="str">
        <f ca="1">IFERROR(__xludf.DUMMYFUNCTION("""COMPUTED_VALUE"""),"Martin Laird")</f>
        <v>Martin Laird</v>
      </c>
      <c r="D193">
        <f ca="1">IFERROR(__xludf.DUMMYFUNCTION("""COMPUTED_VALUE"""),16)</f>
        <v>16</v>
      </c>
      <c r="E193">
        <f ca="1">IFERROR(__xludf.DUMMYFUNCTION("""COMPUTED_VALUE"""),49.02)</f>
        <v>49.02</v>
      </c>
      <c r="F193">
        <f ca="1">IFERROR(__xludf.DUMMYFUNCTION("""COMPUTED_VALUE"""),25)</f>
        <v>25</v>
      </c>
      <c r="G193">
        <f ca="1">IFERROR(__xludf.DUMMYFUNCTION("""COMPUTED_VALUE"""),26)</f>
        <v>26</v>
      </c>
      <c r="H193">
        <f ca="1">IFERROR(__xludf.DUMMYFUNCTION("""COMPUTED_VALUE"""),-20)</f>
        <v>-20</v>
      </c>
      <c r="I193">
        <f ca="1">IFERROR(__xludf.DUMMYFUNCTION("""COMPUTED_VALUE"""),-2)</f>
        <v>-2</v>
      </c>
    </row>
    <row r="194" spans="1:9" ht="12.75">
      <c r="A194">
        <f ca="1">IFERROR(__xludf.DUMMYFUNCTION("""COMPUTED_VALUE"""),193)</f>
        <v>193</v>
      </c>
      <c r="B194">
        <f ca="1">IFERROR(__xludf.DUMMYFUNCTION("""COMPUTED_VALUE"""),179)</f>
        <v>179</v>
      </c>
      <c r="C194" t="str">
        <f ca="1">IFERROR(__xludf.DUMMYFUNCTION("""COMPUTED_VALUE"""),"Luke Donald")</f>
        <v>Luke Donald</v>
      </c>
      <c r="D194">
        <f ca="1">IFERROR(__xludf.DUMMYFUNCTION("""COMPUTED_VALUE"""),14)</f>
        <v>14</v>
      </c>
      <c r="E194">
        <f ca="1">IFERROR(__xludf.DUMMYFUNCTION("""COMPUTED_VALUE"""),48.78)</f>
        <v>48.78</v>
      </c>
      <c r="F194">
        <f ca="1">IFERROR(__xludf.DUMMYFUNCTION("""COMPUTED_VALUE"""),20)</f>
        <v>20</v>
      </c>
      <c r="G194">
        <f ca="1">IFERROR(__xludf.DUMMYFUNCTION("""COMPUTED_VALUE"""),21)</f>
        <v>21</v>
      </c>
      <c r="H194">
        <f ca="1">IFERROR(__xludf.DUMMYFUNCTION("""COMPUTED_VALUE"""),-6)</f>
        <v>-6</v>
      </c>
      <c r="I194">
        <f ca="1">IFERROR(__xludf.DUMMYFUNCTION("""COMPUTED_VALUE"""),-5)</f>
        <v>-5</v>
      </c>
    </row>
    <row r="195" spans="1:9" ht="12.75">
      <c r="A195">
        <f ca="1">IFERROR(__xludf.DUMMYFUNCTION("""COMPUTED_VALUE"""),194)</f>
        <v>194</v>
      </c>
      <c r="B195" t="str">
        <f ca="1">IFERROR(__xludf.DUMMYFUNCTION("""COMPUTED_VALUE"""),"T173")</f>
        <v>T173</v>
      </c>
      <c r="C195" t="str">
        <f ca="1">IFERROR(__xludf.DUMMYFUNCTION("""COMPUTED_VALUE"""),"Kevin Tway")</f>
        <v>Kevin Tway</v>
      </c>
      <c r="D195">
        <f ca="1">IFERROR(__xludf.DUMMYFUNCTION("""COMPUTED_VALUE"""),16)</f>
        <v>16</v>
      </c>
      <c r="E195">
        <f ca="1">IFERROR(__xludf.DUMMYFUNCTION("""COMPUTED_VALUE"""),48.48)</f>
        <v>48.48</v>
      </c>
      <c r="F195">
        <f ca="1">IFERROR(__xludf.DUMMYFUNCTION("""COMPUTED_VALUE"""),16)</f>
        <v>16</v>
      </c>
      <c r="G195">
        <f ca="1">IFERROR(__xludf.DUMMYFUNCTION("""COMPUTED_VALUE"""),17)</f>
        <v>17</v>
      </c>
      <c r="H195">
        <f ca="1">IFERROR(__xludf.DUMMYFUNCTION("""COMPUTED_VALUE"""),-5)</f>
        <v>-5</v>
      </c>
      <c r="I195">
        <f ca="1">IFERROR(__xludf.DUMMYFUNCTION("""COMPUTED_VALUE"""),-4)</f>
        <v>-4</v>
      </c>
    </row>
    <row r="196" spans="1:9" ht="12.75">
      <c r="A196">
        <f ca="1">IFERROR(__xludf.DUMMYFUNCTION("""COMPUTED_VALUE"""),195)</f>
        <v>195</v>
      </c>
      <c r="B196">
        <f ca="1">IFERROR(__xludf.DUMMYFUNCTION("""COMPUTED_VALUE"""),171)</f>
        <v>171</v>
      </c>
      <c r="C196" t="str">
        <f ca="1">IFERROR(__xludf.DUMMYFUNCTION("""COMPUTED_VALUE"""),"Shane Lowry")</f>
        <v>Shane Lowry</v>
      </c>
      <c r="D196">
        <f ca="1">IFERROR(__xludf.DUMMYFUNCTION("""COMPUTED_VALUE"""),14)</f>
        <v>14</v>
      </c>
      <c r="E196">
        <f ca="1">IFERROR(__xludf.DUMMYFUNCTION("""COMPUTED_VALUE"""),48.15)</f>
        <v>48.15</v>
      </c>
      <c r="F196">
        <f ca="1">IFERROR(__xludf.DUMMYFUNCTION("""COMPUTED_VALUE"""),26)</f>
        <v>26</v>
      </c>
      <c r="G196">
        <f ca="1">IFERROR(__xludf.DUMMYFUNCTION("""COMPUTED_VALUE"""),28)</f>
        <v>28</v>
      </c>
      <c r="H196">
        <f ca="1">IFERROR(__xludf.DUMMYFUNCTION("""COMPUTED_VALUE"""),-17)</f>
        <v>-17</v>
      </c>
      <c r="I196">
        <f ca="1">IFERROR(__xludf.DUMMYFUNCTION("""COMPUTED_VALUE"""),-5)</f>
        <v>-5</v>
      </c>
    </row>
    <row r="197" spans="1:9" ht="12.75">
      <c r="A197">
        <f ca="1">IFERROR(__xludf.DUMMYFUNCTION("""COMPUTED_VALUE"""),196)</f>
        <v>196</v>
      </c>
      <c r="B197" t="str">
        <f ca="1">IFERROR(__xludf.DUMMYFUNCTION("""COMPUTED_VALUE"""),"T169")</f>
        <v>T169</v>
      </c>
      <c r="C197" t="str">
        <f ca="1">IFERROR(__xludf.DUMMYFUNCTION("""COMPUTED_VALUE"""),"Keith Mitchell")</f>
        <v>Keith Mitchell</v>
      </c>
      <c r="D197">
        <f ca="1">IFERROR(__xludf.DUMMYFUNCTION("""COMPUTED_VALUE"""),14)</f>
        <v>14</v>
      </c>
      <c r="E197">
        <f ca="1">IFERROR(__xludf.DUMMYFUNCTION("""COMPUTED_VALUE"""),48)</f>
        <v>48</v>
      </c>
      <c r="F197">
        <f ca="1">IFERROR(__xludf.DUMMYFUNCTION("""COMPUTED_VALUE"""),12)</f>
        <v>12</v>
      </c>
      <c r="G197">
        <f ca="1">IFERROR(__xludf.DUMMYFUNCTION("""COMPUTED_VALUE"""),13)</f>
        <v>13</v>
      </c>
      <c r="H197">
        <f ca="1">IFERROR(__xludf.DUMMYFUNCTION("""COMPUTED_VALUE"""),-3)</f>
        <v>-3</v>
      </c>
      <c r="I197" t="str">
        <f ca="1">IFERROR(__xludf.DUMMYFUNCTION("""COMPUTED_VALUE"""),"+3")</f>
        <v>+3</v>
      </c>
    </row>
    <row r="198" spans="1:9" ht="12.75">
      <c r="A198">
        <f ca="1">IFERROR(__xludf.DUMMYFUNCTION("""COMPUTED_VALUE"""),197)</f>
        <v>197</v>
      </c>
      <c r="B198">
        <f ca="1">IFERROR(__xludf.DUMMYFUNCTION("""COMPUTED_VALUE"""),203)</f>
        <v>203</v>
      </c>
      <c r="C198" t="str">
        <f ca="1">IFERROR(__xludf.DUMMYFUNCTION("""COMPUTED_VALUE"""),"Brice Garnett")</f>
        <v>Brice Garnett</v>
      </c>
      <c r="D198">
        <f ca="1">IFERROR(__xludf.DUMMYFUNCTION("""COMPUTED_VALUE"""),22)</f>
        <v>22</v>
      </c>
      <c r="E198">
        <f ca="1">IFERROR(__xludf.DUMMYFUNCTION("""COMPUTED_VALUE"""),47.37)</f>
        <v>47.37</v>
      </c>
      <c r="F198">
        <f ca="1">IFERROR(__xludf.DUMMYFUNCTION("""COMPUTED_VALUE"""),27)</f>
        <v>27</v>
      </c>
      <c r="G198">
        <f ca="1">IFERROR(__xludf.DUMMYFUNCTION("""COMPUTED_VALUE"""),30)</f>
        <v>30</v>
      </c>
      <c r="H198">
        <f ca="1">IFERROR(__xludf.DUMMYFUNCTION("""COMPUTED_VALUE"""),-21)</f>
        <v>-21</v>
      </c>
      <c r="I198">
        <f ca="1">IFERROR(__xludf.DUMMYFUNCTION("""COMPUTED_VALUE"""),-5)</f>
        <v>-5</v>
      </c>
    </row>
    <row r="199" spans="1:9" ht="12.75">
      <c r="A199" t="str">
        <f ca="1">IFERROR(__xludf.DUMMYFUNCTION("""COMPUTED_VALUE"""),"T198")</f>
        <v>T198</v>
      </c>
      <c r="B199" t="str">
        <f ca="1">IFERROR(__xludf.DUMMYFUNCTION("""COMPUTED_VALUE"""),"T199")</f>
        <v>T199</v>
      </c>
      <c r="C199" t="str">
        <f ca="1">IFERROR(__xludf.DUMMYFUNCTION("""COMPUTED_VALUE"""),"Anirban Lahiri")</f>
        <v>Anirban Lahiri</v>
      </c>
      <c r="D199">
        <f ca="1">IFERROR(__xludf.DUMMYFUNCTION("""COMPUTED_VALUE"""),16)</f>
        <v>16</v>
      </c>
      <c r="E199">
        <f ca="1">IFERROR(__xludf.DUMMYFUNCTION("""COMPUTED_VALUE"""),47.22)</f>
        <v>47.22</v>
      </c>
      <c r="F199">
        <f ca="1">IFERROR(__xludf.DUMMYFUNCTION("""COMPUTED_VALUE"""),17)</f>
        <v>17</v>
      </c>
      <c r="G199">
        <f ca="1">IFERROR(__xludf.DUMMYFUNCTION("""COMPUTED_VALUE"""),19)</f>
        <v>19</v>
      </c>
      <c r="H199">
        <f ca="1">IFERROR(__xludf.DUMMYFUNCTION("""COMPUTED_VALUE"""),-11)</f>
        <v>-11</v>
      </c>
      <c r="I199" t="str">
        <f ca="1">IFERROR(__xludf.DUMMYFUNCTION("""COMPUTED_VALUE"""),"E")</f>
        <v>E</v>
      </c>
    </row>
    <row r="200" spans="1:9" ht="12.75">
      <c r="A200" t="str">
        <f ca="1">IFERROR(__xludf.DUMMYFUNCTION("""COMPUTED_VALUE"""),"T198")</f>
        <v>T198</v>
      </c>
      <c r="B200" t="str">
        <f ca="1">IFERROR(__xludf.DUMMYFUNCTION("""COMPUTED_VALUE"""),"T199")</f>
        <v>T199</v>
      </c>
      <c r="C200" t="str">
        <f ca="1">IFERROR(__xludf.DUMMYFUNCTION("""COMPUTED_VALUE"""),"Joohyung Kim")</f>
        <v>Joohyung Kim</v>
      </c>
      <c r="D200">
        <f ca="1">IFERROR(__xludf.DUMMYFUNCTION("""COMPUTED_VALUE"""),12)</f>
        <v>12</v>
      </c>
      <c r="E200">
        <f ca="1">IFERROR(__xludf.DUMMYFUNCTION("""COMPUTED_VALUE"""),47.22)</f>
        <v>47.22</v>
      </c>
      <c r="F200">
        <f ca="1">IFERROR(__xludf.DUMMYFUNCTION("""COMPUTED_VALUE"""),17)</f>
        <v>17</v>
      </c>
      <c r="G200">
        <f ca="1">IFERROR(__xludf.DUMMYFUNCTION("""COMPUTED_VALUE"""),19)</f>
        <v>19</v>
      </c>
      <c r="H200">
        <f ca="1">IFERROR(__xludf.DUMMYFUNCTION("""COMPUTED_VALUE"""),-4)</f>
        <v>-4</v>
      </c>
      <c r="I200">
        <f ca="1">IFERROR(__xludf.DUMMYFUNCTION("""COMPUTED_VALUE"""),-2)</f>
        <v>-2</v>
      </c>
    </row>
    <row r="201" spans="1:9" ht="12.75">
      <c r="A201">
        <f ca="1">IFERROR(__xludf.DUMMYFUNCTION("""COMPUTED_VALUE"""),200)</f>
        <v>200</v>
      </c>
      <c r="B201">
        <f ca="1">IFERROR(__xludf.DUMMYFUNCTION("""COMPUTED_VALUE"""),202)</f>
        <v>202</v>
      </c>
      <c r="C201" t="str">
        <f ca="1">IFERROR(__xludf.DUMMYFUNCTION("""COMPUTED_VALUE"""),"Takumi Kanaya")</f>
        <v>Takumi Kanaya</v>
      </c>
      <c r="D201">
        <f ca="1">IFERROR(__xludf.DUMMYFUNCTION("""COMPUTED_VALUE"""),6)</f>
        <v>6</v>
      </c>
      <c r="E201">
        <f ca="1">IFERROR(__xludf.DUMMYFUNCTION("""COMPUTED_VALUE"""),46.67)</f>
        <v>46.67</v>
      </c>
      <c r="F201">
        <f ca="1">IFERROR(__xludf.DUMMYFUNCTION("""COMPUTED_VALUE"""),14)</f>
        <v>14</v>
      </c>
      <c r="G201">
        <f ca="1">IFERROR(__xludf.DUMMYFUNCTION("""COMPUTED_VALUE"""),16)</f>
        <v>16</v>
      </c>
      <c r="H201">
        <f ca="1">IFERROR(__xludf.DUMMYFUNCTION("""COMPUTED_VALUE"""),-9)</f>
        <v>-9</v>
      </c>
      <c r="I201" t="str">
        <f ca="1">IFERROR(__xludf.DUMMYFUNCTION("""COMPUTED_VALUE"""),"E")</f>
        <v>E</v>
      </c>
    </row>
    <row r="202" spans="1:9" ht="12.75">
      <c r="A202">
        <f ca="1">IFERROR(__xludf.DUMMYFUNCTION("""COMPUTED_VALUE"""),201)</f>
        <v>201</v>
      </c>
      <c r="B202">
        <f ca="1">IFERROR(__xludf.DUMMYFUNCTION("""COMPUTED_VALUE"""),204)</f>
        <v>204</v>
      </c>
      <c r="C202" t="str">
        <f ca="1">IFERROR(__xludf.DUMMYFUNCTION("""COMPUTED_VALUE"""),"Bill Haas")</f>
        <v>Bill Haas</v>
      </c>
      <c r="D202">
        <f ca="1">IFERROR(__xludf.DUMMYFUNCTION("""COMPUTED_VALUE"""),10)</f>
        <v>10</v>
      </c>
      <c r="E202">
        <f ca="1">IFERROR(__xludf.DUMMYFUNCTION("""COMPUTED_VALUE"""),46.43)</f>
        <v>46.43</v>
      </c>
      <c r="F202">
        <f ca="1">IFERROR(__xludf.DUMMYFUNCTION("""COMPUTED_VALUE"""),13)</f>
        <v>13</v>
      </c>
      <c r="G202">
        <f ca="1">IFERROR(__xludf.DUMMYFUNCTION("""COMPUTED_VALUE"""),15)</f>
        <v>15</v>
      </c>
      <c r="H202">
        <f ca="1">IFERROR(__xludf.DUMMYFUNCTION("""COMPUTED_VALUE"""),-7)</f>
        <v>-7</v>
      </c>
      <c r="I202">
        <f ca="1">IFERROR(__xludf.DUMMYFUNCTION("""COMPUTED_VALUE"""),-3)</f>
        <v>-3</v>
      </c>
    </row>
    <row r="203" spans="1:9" ht="12.75">
      <c r="A203">
        <f ca="1">IFERROR(__xludf.DUMMYFUNCTION("""COMPUTED_VALUE"""),202)</f>
        <v>202</v>
      </c>
      <c r="B203">
        <f ca="1">IFERROR(__xludf.DUMMYFUNCTION("""COMPUTED_VALUE"""),205)</f>
        <v>205</v>
      </c>
      <c r="C203" t="str">
        <f ca="1">IFERROR(__xludf.DUMMYFUNCTION("""COMPUTED_VALUE"""),"Mark Anderson")</f>
        <v>Mark Anderson</v>
      </c>
      <c r="D203">
        <f ca="1">IFERROR(__xludf.DUMMYFUNCTION("""COMPUTED_VALUE"""),14)</f>
        <v>14</v>
      </c>
      <c r="E203">
        <f ca="1">IFERROR(__xludf.DUMMYFUNCTION("""COMPUTED_VALUE"""),46.15)</f>
        <v>46.15</v>
      </c>
      <c r="F203">
        <f ca="1">IFERROR(__xludf.DUMMYFUNCTION("""COMPUTED_VALUE"""),12)</f>
        <v>12</v>
      </c>
      <c r="G203">
        <f ca="1">IFERROR(__xludf.DUMMYFUNCTION("""COMPUTED_VALUE"""),14)</f>
        <v>14</v>
      </c>
      <c r="H203">
        <f ca="1">IFERROR(__xludf.DUMMYFUNCTION("""COMPUTED_VALUE"""),-5)</f>
        <v>-5</v>
      </c>
      <c r="I203">
        <f ca="1">IFERROR(__xludf.DUMMYFUNCTION("""COMPUTED_VALUE"""),-5)</f>
        <v>-5</v>
      </c>
    </row>
    <row r="204" spans="1:9" ht="12.75">
      <c r="A204">
        <f ca="1">IFERROR(__xludf.DUMMYFUNCTION("""COMPUTED_VALUE"""),203)</f>
        <v>203</v>
      </c>
      <c r="B204">
        <f ca="1">IFERROR(__xludf.DUMMYFUNCTION("""COMPUTED_VALUE"""),206)</f>
        <v>206</v>
      </c>
      <c r="C204" t="str">
        <f ca="1">IFERROR(__xludf.DUMMYFUNCTION("""COMPUTED_VALUE"""),"Gunn Charoenkul")</f>
        <v>Gunn Charoenkul</v>
      </c>
      <c r="D204">
        <f ca="1">IFERROR(__xludf.DUMMYFUNCTION("""COMPUTED_VALUE"""),4)</f>
        <v>4</v>
      </c>
      <c r="E204">
        <f ca="1">IFERROR(__xludf.DUMMYFUNCTION("""COMPUTED_VALUE"""),45.83)</f>
        <v>45.83</v>
      </c>
      <c r="F204">
        <f ca="1">IFERROR(__xludf.DUMMYFUNCTION("""COMPUTED_VALUE"""),11)</f>
        <v>11</v>
      </c>
      <c r="G204">
        <f ca="1">IFERROR(__xludf.DUMMYFUNCTION("""COMPUTED_VALUE"""),13)</f>
        <v>13</v>
      </c>
      <c r="H204">
        <f ca="1">IFERROR(__xludf.DUMMYFUNCTION("""COMPUTED_VALUE"""),-5)</f>
        <v>-5</v>
      </c>
      <c r="I204">
        <f ca="1">IFERROR(__xludf.DUMMYFUNCTION("""COMPUTED_VALUE"""),-3)</f>
        <v>-3</v>
      </c>
    </row>
    <row r="205" spans="1:9" ht="12.75">
      <c r="A205">
        <f ca="1">IFERROR(__xludf.DUMMYFUNCTION("""COMPUTED_VALUE"""),204)</f>
        <v>204</v>
      </c>
      <c r="B205" t="str">
        <f ca="1">IFERROR(__xludf.DUMMYFUNCTION("""COMPUTED_VALUE"""),"T181")</f>
        <v>T181</v>
      </c>
      <c r="C205" t="str">
        <f ca="1">IFERROR(__xludf.DUMMYFUNCTION("""COMPUTED_VALUE"""),"Henrik Stenson")</f>
        <v>Henrik Stenson</v>
      </c>
      <c r="D205">
        <f ca="1">IFERROR(__xludf.DUMMYFUNCTION("""COMPUTED_VALUE"""),11)</f>
        <v>11</v>
      </c>
      <c r="E205">
        <f ca="1">IFERROR(__xludf.DUMMYFUNCTION("""COMPUTED_VALUE"""),45.45)</f>
        <v>45.45</v>
      </c>
      <c r="F205">
        <f ca="1">IFERROR(__xludf.DUMMYFUNCTION("""COMPUTED_VALUE"""),10)</f>
        <v>10</v>
      </c>
      <c r="G205">
        <f ca="1">IFERROR(__xludf.DUMMYFUNCTION("""COMPUTED_VALUE"""),12)</f>
        <v>12</v>
      </c>
      <c r="H205">
        <f ca="1">IFERROR(__xludf.DUMMYFUNCTION("""COMPUTED_VALUE"""),-4)</f>
        <v>-4</v>
      </c>
      <c r="I205" t="str">
        <f ca="1">IFERROR(__xludf.DUMMYFUNCTION("""COMPUTED_VALUE"""),"+4")</f>
        <v>+4</v>
      </c>
    </row>
    <row r="206" spans="1:9" ht="12.75">
      <c r="A206" t="str">
        <f ca="1">IFERROR(__xludf.DUMMYFUNCTION("""COMPUTED_VALUE"""),"T205")</f>
        <v>T205</v>
      </c>
      <c r="B206" t="str">
        <f ca="1">IFERROR(__xludf.DUMMYFUNCTION("""COMPUTED_VALUE"""),"T209")</f>
        <v>T209</v>
      </c>
      <c r="C206" t="str">
        <f ca="1">IFERROR(__xludf.DUMMYFUNCTION("""COMPUTED_VALUE"""),"Steve Lewton")</f>
        <v>Steve Lewton</v>
      </c>
      <c r="D206">
        <f ca="1">IFERROR(__xludf.DUMMYFUNCTION("""COMPUTED_VALUE"""),4)</f>
        <v>4</v>
      </c>
      <c r="E206">
        <f ca="1">IFERROR(__xludf.DUMMYFUNCTION("""COMPUTED_VALUE"""),45)</f>
        <v>45</v>
      </c>
      <c r="F206">
        <f ca="1">IFERROR(__xludf.DUMMYFUNCTION("""COMPUTED_VALUE"""),9)</f>
        <v>9</v>
      </c>
      <c r="G206">
        <f ca="1">IFERROR(__xludf.DUMMYFUNCTION("""COMPUTED_VALUE"""),11)</f>
        <v>11</v>
      </c>
      <c r="H206">
        <f ca="1">IFERROR(__xludf.DUMMYFUNCTION("""COMPUTED_VALUE"""),-5)</f>
        <v>-5</v>
      </c>
      <c r="I206" t="str">
        <f ca="1">IFERROR(__xludf.DUMMYFUNCTION("""COMPUTED_VALUE"""),"E")</f>
        <v>E</v>
      </c>
    </row>
    <row r="207" spans="1:9" ht="12.75">
      <c r="A207" t="str">
        <f ca="1">IFERROR(__xludf.DUMMYFUNCTION("""COMPUTED_VALUE"""),"T205")</f>
        <v>T205</v>
      </c>
      <c r="B207" t="str">
        <f ca="1">IFERROR(__xludf.DUMMYFUNCTION("""COMPUTED_VALUE"""),"T209")</f>
        <v>T209</v>
      </c>
      <c r="C207" t="str">
        <f ca="1">IFERROR(__xludf.DUMMYFUNCTION("""COMPUTED_VALUE"""),"Hanbyeol Kim")</f>
        <v>Hanbyeol Kim</v>
      </c>
      <c r="D207">
        <f ca="1">IFERROR(__xludf.DUMMYFUNCTION("""COMPUTED_VALUE"""),4)</f>
        <v>4</v>
      </c>
      <c r="E207">
        <f ca="1">IFERROR(__xludf.DUMMYFUNCTION("""COMPUTED_VALUE"""),45)</f>
        <v>45</v>
      </c>
      <c r="F207">
        <f ca="1">IFERROR(__xludf.DUMMYFUNCTION("""COMPUTED_VALUE"""),9)</f>
        <v>9</v>
      </c>
      <c r="G207">
        <f ca="1">IFERROR(__xludf.DUMMYFUNCTION("""COMPUTED_VALUE"""),11)</f>
        <v>11</v>
      </c>
      <c r="H207">
        <f ca="1">IFERROR(__xludf.DUMMYFUNCTION("""COMPUTED_VALUE"""),-6)</f>
        <v>-6</v>
      </c>
      <c r="I207" t="str">
        <f ca="1">IFERROR(__xludf.DUMMYFUNCTION("""COMPUTED_VALUE"""),"+5")</f>
        <v>+5</v>
      </c>
    </row>
    <row r="208" spans="1:9" ht="12.75">
      <c r="A208">
        <f ca="1">IFERROR(__xludf.DUMMYFUNCTION("""COMPUTED_VALUE"""),207)</f>
        <v>207</v>
      </c>
      <c r="B208" t="str">
        <f ca="1">IFERROR(__xludf.DUMMYFUNCTION("""COMPUTED_VALUE"""),"T161")</f>
        <v>T161</v>
      </c>
      <c r="C208" t="str">
        <f ca="1">IFERROR(__xludf.DUMMYFUNCTION("""COMPUTED_VALUE"""),"Nate Lashley")</f>
        <v>Nate Lashley</v>
      </c>
      <c r="D208">
        <f ca="1">IFERROR(__xludf.DUMMYFUNCTION("""COMPUTED_VALUE"""),16)</f>
        <v>16</v>
      </c>
      <c r="E208">
        <f ca="1">IFERROR(__xludf.DUMMYFUNCTION("""COMPUTED_VALUE"""),44.9)</f>
        <v>44.9</v>
      </c>
      <c r="F208">
        <f ca="1">IFERROR(__xludf.DUMMYFUNCTION("""COMPUTED_VALUE"""),22)</f>
        <v>22</v>
      </c>
      <c r="G208">
        <f ca="1">IFERROR(__xludf.DUMMYFUNCTION("""COMPUTED_VALUE"""),27)</f>
        <v>27</v>
      </c>
      <c r="H208">
        <f ca="1">IFERROR(__xludf.DUMMYFUNCTION("""COMPUTED_VALUE"""),-10)</f>
        <v>-10</v>
      </c>
      <c r="I208">
        <f ca="1">IFERROR(__xludf.DUMMYFUNCTION("""COMPUTED_VALUE"""),-2)</f>
        <v>-2</v>
      </c>
    </row>
    <row r="209" spans="1:9" ht="12.75">
      <c r="A209">
        <f ca="1">IFERROR(__xludf.DUMMYFUNCTION("""COMPUTED_VALUE"""),208)</f>
        <v>208</v>
      </c>
      <c r="B209">
        <f ca="1">IFERROR(__xludf.DUMMYFUNCTION("""COMPUTED_VALUE"""),208)</f>
        <v>208</v>
      </c>
      <c r="C209" t="str">
        <f ca="1">IFERROR(__xludf.DUMMYFUNCTION("""COMPUTED_VALUE"""),"C.T. Pan")</f>
        <v>C.T. Pan</v>
      </c>
      <c r="D209">
        <f ca="1">IFERROR(__xludf.DUMMYFUNCTION("""COMPUTED_VALUE"""),20)</f>
        <v>20</v>
      </c>
      <c r="E209">
        <f ca="1">IFERROR(__xludf.DUMMYFUNCTION("""COMPUTED_VALUE"""),44.78)</f>
        <v>44.78</v>
      </c>
      <c r="F209">
        <f ca="1">IFERROR(__xludf.DUMMYFUNCTION("""COMPUTED_VALUE"""),30)</f>
        <v>30</v>
      </c>
      <c r="G209">
        <f ca="1">IFERROR(__xludf.DUMMYFUNCTION("""COMPUTED_VALUE"""),37)</f>
        <v>37</v>
      </c>
      <c r="H209">
        <f ca="1">IFERROR(__xludf.DUMMYFUNCTION("""COMPUTED_VALUE"""),-13)</f>
        <v>-13</v>
      </c>
      <c r="I209">
        <f ca="1">IFERROR(__xludf.DUMMYFUNCTION("""COMPUTED_VALUE"""),-3)</f>
        <v>-3</v>
      </c>
    </row>
    <row r="210" spans="1:9" ht="12.75">
      <c r="A210" t="str">
        <f ca="1">IFERROR(__xludf.DUMMYFUNCTION("""COMPUTED_VALUE"""),"T209")</f>
        <v>T209</v>
      </c>
      <c r="B210" t="str">
        <f ca="1">IFERROR(__xludf.DUMMYFUNCTION("""COMPUTED_VALUE"""),"T211")</f>
        <v>T211</v>
      </c>
      <c r="C210" t="str">
        <f ca="1">IFERROR(__xludf.DUMMYFUNCTION("""COMPUTED_VALUE"""),"Chris Stroud")</f>
        <v>Chris Stroud</v>
      </c>
      <c r="D210">
        <f ca="1">IFERROR(__xludf.DUMMYFUNCTION("""COMPUTED_VALUE"""),6)</f>
        <v>6</v>
      </c>
      <c r="E210">
        <f ca="1">IFERROR(__xludf.DUMMYFUNCTION("""COMPUTED_VALUE"""),44.44)</f>
        <v>44.44</v>
      </c>
      <c r="F210">
        <f ca="1">IFERROR(__xludf.DUMMYFUNCTION("""COMPUTED_VALUE"""),8)</f>
        <v>8</v>
      </c>
      <c r="G210">
        <f ca="1">IFERROR(__xludf.DUMMYFUNCTION("""COMPUTED_VALUE"""),10)</f>
        <v>10</v>
      </c>
      <c r="H210">
        <f ca="1">IFERROR(__xludf.DUMMYFUNCTION("""COMPUTED_VALUE"""),-3)</f>
        <v>-3</v>
      </c>
      <c r="I210" t="str">
        <f ca="1">IFERROR(__xludf.DUMMYFUNCTION("""COMPUTED_VALUE"""),"+2")</f>
        <v>+2</v>
      </c>
    </row>
    <row r="211" spans="1:9" ht="12.75">
      <c r="A211" t="str">
        <f ca="1">IFERROR(__xludf.DUMMYFUNCTION("""COMPUTED_VALUE"""),"T209")</f>
        <v>T209</v>
      </c>
      <c r="B211" t="str">
        <f ca="1">IFERROR(__xludf.DUMMYFUNCTION("""COMPUTED_VALUE"""),"T211")</f>
        <v>T211</v>
      </c>
      <c r="C211" t="str">
        <f ca="1">IFERROR(__xludf.DUMMYFUNCTION("""COMPUTED_VALUE"""),"Sebastian Cappelen")</f>
        <v>Sebastian Cappelen</v>
      </c>
      <c r="D211">
        <f ca="1">IFERROR(__xludf.DUMMYFUNCTION("""COMPUTED_VALUE"""),8)</f>
        <v>8</v>
      </c>
      <c r="E211">
        <f ca="1">IFERROR(__xludf.DUMMYFUNCTION("""COMPUTED_VALUE"""),44.44)</f>
        <v>44.44</v>
      </c>
      <c r="F211">
        <f ca="1">IFERROR(__xludf.DUMMYFUNCTION("""COMPUTED_VALUE"""),8)</f>
        <v>8</v>
      </c>
      <c r="G211">
        <f ca="1">IFERROR(__xludf.DUMMYFUNCTION("""COMPUTED_VALUE"""),10)</f>
        <v>10</v>
      </c>
      <c r="H211">
        <f ca="1">IFERROR(__xludf.DUMMYFUNCTION("""COMPUTED_VALUE"""),-4)</f>
        <v>-4</v>
      </c>
      <c r="I211" t="str">
        <f ca="1">IFERROR(__xludf.DUMMYFUNCTION("""COMPUTED_VALUE"""),"+2")</f>
        <v>+2</v>
      </c>
    </row>
    <row r="212" spans="1:9" ht="12.75">
      <c r="A212" t="str">
        <f ca="1">IFERROR(__xludf.DUMMYFUNCTION("""COMPUTED_VALUE"""),"T209")</f>
        <v>T209</v>
      </c>
      <c r="B212" t="str">
        <f ca="1">IFERROR(__xludf.DUMMYFUNCTION("""COMPUTED_VALUE"""),"T211")</f>
        <v>T211</v>
      </c>
      <c r="C212" t="str">
        <f ca="1">IFERROR(__xludf.DUMMYFUNCTION("""COMPUTED_VALUE"""),"Robert Streb")</f>
        <v>Robert Streb</v>
      </c>
      <c r="D212">
        <f ca="1">IFERROR(__xludf.DUMMYFUNCTION("""COMPUTED_VALUE"""),12)</f>
        <v>12</v>
      </c>
      <c r="E212">
        <f ca="1">IFERROR(__xludf.DUMMYFUNCTION("""COMPUTED_VALUE"""),44.44)</f>
        <v>44.44</v>
      </c>
      <c r="F212">
        <f ca="1">IFERROR(__xludf.DUMMYFUNCTION("""COMPUTED_VALUE"""),8)</f>
        <v>8</v>
      </c>
      <c r="G212">
        <f ca="1">IFERROR(__xludf.DUMMYFUNCTION("""COMPUTED_VALUE"""),10)</f>
        <v>10</v>
      </c>
      <c r="H212">
        <f ca="1">IFERROR(__xludf.DUMMYFUNCTION("""COMPUTED_VALUE"""),-5)</f>
        <v>-5</v>
      </c>
      <c r="I212" t="str">
        <f ca="1">IFERROR(__xludf.DUMMYFUNCTION("""COMPUTED_VALUE"""),"E")</f>
        <v>E</v>
      </c>
    </row>
    <row r="213" spans="1:9" ht="12.75">
      <c r="A213">
        <f ca="1">IFERROR(__xludf.DUMMYFUNCTION("""COMPUTED_VALUE"""),212)</f>
        <v>212</v>
      </c>
      <c r="B213" t="str">
        <f ca="1">IFERROR(__xludf.DUMMYFUNCTION("""COMPUTED_VALUE"""),"T169")</f>
        <v>T169</v>
      </c>
      <c r="C213" t="str">
        <f ca="1">IFERROR(__xludf.DUMMYFUNCTION("""COMPUTED_VALUE"""),"Kevin Stadler")</f>
        <v>Kevin Stadler</v>
      </c>
      <c r="D213">
        <f ca="1">IFERROR(__xludf.DUMMYFUNCTION("""COMPUTED_VALUE"""),8)</f>
        <v>8</v>
      </c>
      <c r="E213">
        <f ca="1">IFERROR(__xludf.DUMMYFUNCTION("""COMPUTED_VALUE"""),44)</f>
        <v>44</v>
      </c>
      <c r="F213">
        <f ca="1">IFERROR(__xludf.DUMMYFUNCTION("""COMPUTED_VALUE"""),11)</f>
        <v>11</v>
      </c>
      <c r="G213">
        <f ca="1">IFERROR(__xludf.DUMMYFUNCTION("""COMPUTED_VALUE"""),14)</f>
        <v>14</v>
      </c>
      <c r="H213">
        <f ca="1">IFERROR(__xludf.DUMMYFUNCTION("""COMPUTED_VALUE"""),-5)</f>
        <v>-5</v>
      </c>
      <c r="I213" t="str">
        <f ca="1">IFERROR(__xludf.DUMMYFUNCTION("""COMPUTED_VALUE"""),"+6")</f>
        <v>+6</v>
      </c>
    </row>
    <row r="214" spans="1:9" ht="12.75">
      <c r="A214" t="str">
        <f ca="1">IFERROR(__xludf.DUMMYFUNCTION("""COMPUTED_VALUE"""),"T213")</f>
        <v>T213</v>
      </c>
      <c r="B214">
        <f ca="1">IFERROR(__xludf.DUMMYFUNCTION("""COMPUTED_VALUE"""),207)</f>
        <v>207</v>
      </c>
      <c r="C214" t="str">
        <f ca="1">IFERROR(__xludf.DUMMYFUNCTION("""COMPUTED_VALUE"""),"Adam Long")</f>
        <v>Adam Long</v>
      </c>
      <c r="D214">
        <f ca="1">IFERROR(__xludf.DUMMYFUNCTION("""COMPUTED_VALUE"""),22)</f>
        <v>22</v>
      </c>
      <c r="E214">
        <f ca="1">IFERROR(__xludf.DUMMYFUNCTION("""COMPUTED_VALUE"""),43.75)</f>
        <v>43.75</v>
      </c>
      <c r="F214">
        <f ca="1">IFERROR(__xludf.DUMMYFUNCTION("""COMPUTED_VALUE"""),35)</f>
        <v>35</v>
      </c>
      <c r="G214">
        <f ca="1">IFERROR(__xludf.DUMMYFUNCTION("""COMPUTED_VALUE"""),45)</f>
        <v>45</v>
      </c>
      <c r="H214">
        <f ca="1">IFERROR(__xludf.DUMMYFUNCTION("""COMPUTED_VALUE"""),-18)</f>
        <v>-18</v>
      </c>
      <c r="I214" t="str">
        <f ca="1">IFERROR(__xludf.DUMMYFUNCTION("""COMPUTED_VALUE"""),"+3")</f>
        <v>+3</v>
      </c>
    </row>
    <row r="215" spans="1:9" ht="12.75">
      <c r="A215" t="str">
        <f ca="1">IFERROR(__xludf.DUMMYFUNCTION("""COMPUTED_VALUE"""),"T213")</f>
        <v>T213</v>
      </c>
      <c r="B215" t="str">
        <f ca="1">IFERROR(__xludf.DUMMYFUNCTION("""COMPUTED_VALUE"""),"T211")</f>
        <v>T211</v>
      </c>
      <c r="C215" t="str">
        <f ca="1">IFERROR(__xludf.DUMMYFUNCTION("""COMPUTED_VALUE"""),"Kramer Hickok")</f>
        <v>Kramer Hickok</v>
      </c>
      <c r="D215">
        <f ca="1">IFERROR(__xludf.DUMMYFUNCTION("""COMPUTED_VALUE"""),16)</f>
        <v>16</v>
      </c>
      <c r="E215">
        <f ca="1">IFERROR(__xludf.DUMMYFUNCTION("""COMPUTED_VALUE"""),43.75)</f>
        <v>43.75</v>
      </c>
      <c r="F215">
        <f ca="1">IFERROR(__xludf.DUMMYFUNCTION("""COMPUTED_VALUE"""),14)</f>
        <v>14</v>
      </c>
      <c r="G215">
        <f ca="1">IFERROR(__xludf.DUMMYFUNCTION("""COMPUTED_VALUE"""),18)</f>
        <v>18</v>
      </c>
      <c r="H215">
        <f ca="1">IFERROR(__xludf.DUMMYFUNCTION("""COMPUTED_VALUE"""),-7)</f>
        <v>-7</v>
      </c>
      <c r="I215">
        <f ca="1">IFERROR(__xludf.DUMMYFUNCTION("""COMPUTED_VALUE"""),-1)</f>
        <v>-1</v>
      </c>
    </row>
    <row r="216" spans="1:9" ht="12.75">
      <c r="A216" t="str">
        <f ca="1">IFERROR(__xludf.DUMMYFUNCTION("""COMPUTED_VALUE"""),"T213")</f>
        <v>T213</v>
      </c>
      <c r="B216">
        <f ca="1">IFERROR(__xludf.DUMMYFUNCTION("""COMPUTED_VALUE"""),217)</f>
        <v>217</v>
      </c>
      <c r="C216" t="str">
        <f ca="1">IFERROR(__xludf.DUMMYFUNCTION("""COMPUTED_VALUE"""),"Akshay Bhatia")</f>
        <v>Akshay Bhatia</v>
      </c>
      <c r="D216">
        <f ca="1">IFERROR(__xludf.DUMMYFUNCTION("""COMPUTED_VALUE"""),6)</f>
        <v>6</v>
      </c>
      <c r="E216">
        <f ca="1">IFERROR(__xludf.DUMMYFUNCTION("""COMPUTED_VALUE"""),43.75)</f>
        <v>43.75</v>
      </c>
      <c r="F216">
        <f ca="1">IFERROR(__xludf.DUMMYFUNCTION("""COMPUTED_VALUE"""),7)</f>
        <v>7</v>
      </c>
      <c r="G216">
        <f ca="1">IFERROR(__xludf.DUMMYFUNCTION("""COMPUTED_VALUE"""),9)</f>
        <v>9</v>
      </c>
      <c r="H216">
        <f ca="1">IFERROR(__xludf.DUMMYFUNCTION("""COMPUTED_VALUE"""),-7)</f>
        <v>-7</v>
      </c>
      <c r="I216">
        <f ca="1">IFERROR(__xludf.DUMMYFUNCTION("""COMPUTED_VALUE"""),-4)</f>
        <v>-4</v>
      </c>
    </row>
    <row r="217" spans="1:9" ht="12.75">
      <c r="A217">
        <f ca="1">IFERROR(__xludf.DUMMYFUNCTION("""COMPUTED_VALUE"""),216)</f>
        <v>216</v>
      </c>
      <c r="B217">
        <f ca="1">IFERROR(__xludf.DUMMYFUNCTION("""COMPUTED_VALUE"""),197)</f>
        <v>197</v>
      </c>
      <c r="C217" t="str">
        <f ca="1">IFERROR(__xludf.DUMMYFUNCTION("""COMPUTED_VALUE"""),"Michael Kim")</f>
        <v>Michael Kim</v>
      </c>
      <c r="D217">
        <f ca="1">IFERROR(__xludf.DUMMYFUNCTION("""COMPUTED_VALUE"""),12)</f>
        <v>12</v>
      </c>
      <c r="E217">
        <f ca="1">IFERROR(__xludf.DUMMYFUNCTION("""COMPUTED_VALUE"""),42.42)</f>
        <v>42.42</v>
      </c>
      <c r="F217">
        <f ca="1">IFERROR(__xludf.DUMMYFUNCTION("""COMPUTED_VALUE"""),14)</f>
        <v>14</v>
      </c>
      <c r="G217">
        <f ca="1">IFERROR(__xludf.DUMMYFUNCTION("""COMPUTED_VALUE"""),19)</f>
        <v>19</v>
      </c>
      <c r="H217">
        <f ca="1">IFERROR(__xludf.DUMMYFUNCTION("""COMPUTED_VALUE"""),-8)</f>
        <v>-8</v>
      </c>
      <c r="I217" t="str">
        <f ca="1">IFERROR(__xludf.DUMMYFUNCTION("""COMPUTED_VALUE"""),"E")</f>
        <v>E</v>
      </c>
    </row>
    <row r="218" spans="1:9" ht="12.75">
      <c r="A218">
        <f ca="1">IFERROR(__xludf.DUMMYFUNCTION("""COMPUTED_VALUE"""),217)</f>
        <v>217</v>
      </c>
      <c r="B218" t="str">
        <f ca="1">IFERROR(__xludf.DUMMYFUNCTION("""COMPUTED_VALUE"""),"T211")</f>
        <v>T211</v>
      </c>
      <c r="C218" t="str">
        <f ca="1">IFERROR(__xludf.DUMMYFUNCTION("""COMPUTED_VALUE"""),"Kevin Chappell")</f>
        <v>Kevin Chappell</v>
      </c>
      <c r="D218">
        <f ca="1">IFERROR(__xludf.DUMMYFUNCTION("""COMPUTED_VALUE"""),16)</f>
        <v>16</v>
      </c>
      <c r="E218">
        <f ca="1">IFERROR(__xludf.DUMMYFUNCTION("""COMPUTED_VALUE"""),42.37)</f>
        <v>42.37</v>
      </c>
      <c r="F218">
        <f ca="1">IFERROR(__xludf.DUMMYFUNCTION("""COMPUTED_VALUE"""),25)</f>
        <v>25</v>
      </c>
      <c r="G218">
        <f ca="1">IFERROR(__xludf.DUMMYFUNCTION("""COMPUTED_VALUE"""),34)</f>
        <v>34</v>
      </c>
      <c r="H218">
        <f ca="1">IFERROR(__xludf.DUMMYFUNCTION("""COMPUTED_VALUE"""),-14)</f>
        <v>-14</v>
      </c>
      <c r="I218" t="str">
        <f ca="1">IFERROR(__xludf.DUMMYFUNCTION("""COMPUTED_VALUE"""),"+4")</f>
        <v>+4</v>
      </c>
    </row>
    <row r="219" spans="1:9" ht="12.75">
      <c r="A219">
        <f ca="1">IFERROR(__xludf.DUMMYFUNCTION("""COMPUTED_VALUE"""),218)</f>
        <v>218</v>
      </c>
      <c r="B219">
        <f ca="1">IFERROR(__xludf.DUMMYFUNCTION("""COMPUTED_VALUE"""),220)</f>
        <v>220</v>
      </c>
      <c r="C219" t="str">
        <f ca="1">IFERROR(__xludf.DUMMYFUNCTION("""COMPUTED_VALUE"""),"Tim Wilkinson")</f>
        <v>Tim Wilkinson</v>
      </c>
      <c r="D219">
        <f ca="1">IFERROR(__xludf.DUMMYFUNCTION("""COMPUTED_VALUE"""),12)</f>
        <v>12</v>
      </c>
      <c r="E219">
        <f ca="1">IFERROR(__xludf.DUMMYFUNCTION("""COMPUTED_VALUE"""),42.31)</f>
        <v>42.31</v>
      </c>
      <c r="F219">
        <f ca="1">IFERROR(__xludf.DUMMYFUNCTION("""COMPUTED_VALUE"""),11)</f>
        <v>11</v>
      </c>
      <c r="G219">
        <f ca="1">IFERROR(__xludf.DUMMYFUNCTION("""COMPUTED_VALUE"""),15)</f>
        <v>15</v>
      </c>
      <c r="H219">
        <f ca="1">IFERROR(__xludf.DUMMYFUNCTION("""COMPUTED_VALUE"""),-8)</f>
        <v>-8</v>
      </c>
      <c r="I219">
        <f ca="1">IFERROR(__xludf.DUMMYFUNCTION("""COMPUTED_VALUE"""),-3)</f>
        <v>-3</v>
      </c>
    </row>
    <row r="220" spans="1:9" ht="12.75">
      <c r="A220" t="str">
        <f ca="1">IFERROR(__xludf.DUMMYFUNCTION("""COMPUTED_VALUE"""),"T219")</f>
        <v>T219</v>
      </c>
      <c r="B220">
        <f ca="1">IFERROR(__xludf.DUMMYFUNCTION("""COMPUTED_VALUE"""),201)</f>
        <v>201</v>
      </c>
      <c r="C220" t="str">
        <f ca="1">IFERROR(__xludf.DUMMYFUNCTION("""COMPUTED_VALUE"""),"Branden Grace")</f>
        <v>Branden Grace</v>
      </c>
      <c r="D220">
        <f ca="1">IFERROR(__xludf.DUMMYFUNCTION("""COMPUTED_VALUE"""),16)</f>
        <v>16</v>
      </c>
      <c r="E220">
        <f ca="1">IFERROR(__xludf.DUMMYFUNCTION("""COMPUTED_VALUE"""),42.11)</f>
        <v>42.11</v>
      </c>
      <c r="F220">
        <f ca="1">IFERROR(__xludf.DUMMYFUNCTION("""COMPUTED_VALUE"""),16)</f>
        <v>16</v>
      </c>
      <c r="G220">
        <f ca="1">IFERROR(__xludf.DUMMYFUNCTION("""COMPUTED_VALUE"""),22)</f>
        <v>22</v>
      </c>
      <c r="H220">
        <f ca="1">IFERROR(__xludf.DUMMYFUNCTION("""COMPUTED_VALUE"""),-4)</f>
        <v>-4</v>
      </c>
      <c r="I220" t="str">
        <f ca="1">IFERROR(__xludf.DUMMYFUNCTION("""COMPUTED_VALUE"""),"+4")</f>
        <v>+4</v>
      </c>
    </row>
    <row r="221" spans="1:9" ht="12.75">
      <c r="A221" t="str">
        <f ca="1">IFERROR(__xludf.DUMMYFUNCTION("""COMPUTED_VALUE"""),"T219")</f>
        <v>T219</v>
      </c>
      <c r="B221">
        <f ca="1">IFERROR(__xludf.DUMMYFUNCTION("""COMPUTED_VALUE"""),229)</f>
        <v>229</v>
      </c>
      <c r="C221" t="str">
        <f ca="1">IFERROR(__xludf.DUMMYFUNCTION("""COMPUTED_VALUE"""),"Satoshi Kodaira")</f>
        <v>Satoshi Kodaira</v>
      </c>
      <c r="D221">
        <f ca="1">IFERROR(__xludf.DUMMYFUNCTION("""COMPUTED_VALUE"""),12)</f>
        <v>12</v>
      </c>
      <c r="E221">
        <f ca="1">IFERROR(__xludf.DUMMYFUNCTION("""COMPUTED_VALUE"""),42.11)</f>
        <v>42.11</v>
      </c>
      <c r="F221">
        <f ca="1">IFERROR(__xludf.DUMMYFUNCTION("""COMPUTED_VALUE"""),24)</f>
        <v>24</v>
      </c>
      <c r="G221">
        <f ca="1">IFERROR(__xludf.DUMMYFUNCTION("""COMPUTED_VALUE"""),33)</f>
        <v>33</v>
      </c>
      <c r="H221">
        <f ca="1">IFERROR(__xludf.DUMMYFUNCTION("""COMPUTED_VALUE"""),-6)</f>
        <v>-6</v>
      </c>
      <c r="I221" t="str">
        <f ca="1">IFERROR(__xludf.DUMMYFUNCTION("""COMPUTED_VALUE"""),"+1")</f>
        <v>+1</v>
      </c>
    </row>
    <row r="222" spans="1:9" ht="12.75">
      <c r="A222">
        <f ca="1">IFERROR(__xludf.DUMMYFUNCTION("""COMPUTED_VALUE"""),221)</f>
        <v>221</v>
      </c>
      <c r="B222">
        <f ca="1">IFERROR(__xludf.DUMMYFUNCTION("""COMPUTED_VALUE"""),226)</f>
        <v>226</v>
      </c>
      <c r="C222" t="str">
        <f ca="1">IFERROR(__xludf.DUMMYFUNCTION("""COMPUTED_VALUE"""),"Mark Hubbard")</f>
        <v>Mark Hubbard</v>
      </c>
      <c r="D222">
        <f ca="1">IFERROR(__xludf.DUMMYFUNCTION("""COMPUTED_VALUE"""),20)</f>
        <v>20</v>
      </c>
      <c r="E222">
        <f ca="1">IFERROR(__xludf.DUMMYFUNCTION("""COMPUTED_VALUE"""),41.76)</f>
        <v>41.76</v>
      </c>
      <c r="F222">
        <f ca="1">IFERROR(__xludf.DUMMYFUNCTION("""COMPUTED_VALUE"""),38)</f>
        <v>38</v>
      </c>
      <c r="G222">
        <f ca="1">IFERROR(__xludf.DUMMYFUNCTION("""COMPUTED_VALUE"""),53)</f>
        <v>53</v>
      </c>
      <c r="H222">
        <f ca="1">IFERROR(__xludf.DUMMYFUNCTION("""COMPUTED_VALUE"""),-17)</f>
        <v>-17</v>
      </c>
      <c r="I222">
        <f ca="1">IFERROR(__xludf.DUMMYFUNCTION("""COMPUTED_VALUE"""),-12)</f>
        <v>-12</v>
      </c>
    </row>
    <row r="223" spans="1:9" ht="12.75">
      <c r="A223" t="str">
        <f ca="1">IFERROR(__xludf.DUMMYFUNCTION("""COMPUTED_VALUE"""),"T222")</f>
        <v>T222</v>
      </c>
      <c r="B223" t="str">
        <f ca="1">IFERROR(__xludf.DUMMYFUNCTION("""COMPUTED_VALUE"""),"T221")</f>
        <v>T221</v>
      </c>
      <c r="C223" t="str">
        <f ca="1">IFERROR(__xludf.DUMMYFUNCTION("""COMPUTED_VALUE"""),"Thomas Pieters")</f>
        <v>Thomas Pieters</v>
      </c>
      <c r="D223">
        <f ca="1">IFERROR(__xludf.DUMMYFUNCTION("""COMPUTED_VALUE"""),4)</f>
        <v>4</v>
      </c>
      <c r="E223">
        <f ca="1">IFERROR(__xludf.DUMMYFUNCTION("""COMPUTED_VALUE"""),41.67)</f>
        <v>41.67</v>
      </c>
      <c r="F223">
        <f ca="1">IFERROR(__xludf.DUMMYFUNCTION("""COMPUTED_VALUE"""),5)</f>
        <v>5</v>
      </c>
      <c r="G223">
        <f ca="1">IFERROR(__xludf.DUMMYFUNCTION("""COMPUTED_VALUE"""),7)</f>
        <v>7</v>
      </c>
      <c r="H223">
        <f ca="1">IFERROR(__xludf.DUMMYFUNCTION("""COMPUTED_VALUE"""),-2)</f>
        <v>-2</v>
      </c>
      <c r="I223" t="str">
        <f ca="1">IFERROR(__xludf.DUMMYFUNCTION("""COMPUTED_VALUE"""),"+1")</f>
        <v>+1</v>
      </c>
    </row>
    <row r="224" spans="1:9" ht="12.75">
      <c r="A224" t="str">
        <f ca="1">IFERROR(__xludf.DUMMYFUNCTION("""COMPUTED_VALUE"""),"T222")</f>
        <v>T222</v>
      </c>
      <c r="B224" t="str">
        <f ca="1">IFERROR(__xludf.DUMMYFUNCTION("""COMPUTED_VALUE"""),"T221")</f>
        <v>T221</v>
      </c>
      <c r="C224" t="str">
        <f ca="1">IFERROR(__xludf.DUMMYFUNCTION("""COMPUTED_VALUE"""),"Thomas Detry")</f>
        <v>Thomas Detry</v>
      </c>
      <c r="D224">
        <f ca="1">IFERROR(__xludf.DUMMYFUNCTION("""COMPUTED_VALUE"""),8)</f>
        <v>8</v>
      </c>
      <c r="E224">
        <f ca="1">IFERROR(__xludf.DUMMYFUNCTION("""COMPUTED_VALUE"""),41.67)</f>
        <v>41.67</v>
      </c>
      <c r="F224">
        <f ca="1">IFERROR(__xludf.DUMMYFUNCTION("""COMPUTED_VALUE"""),5)</f>
        <v>5</v>
      </c>
      <c r="G224">
        <f ca="1">IFERROR(__xludf.DUMMYFUNCTION("""COMPUTED_VALUE"""),7)</f>
        <v>7</v>
      </c>
      <c r="H224">
        <f ca="1">IFERROR(__xludf.DUMMYFUNCTION("""COMPUTED_VALUE"""),-1)</f>
        <v>-1</v>
      </c>
      <c r="I224">
        <f ca="1">IFERROR(__xludf.DUMMYFUNCTION("""COMPUTED_VALUE"""),-1)</f>
        <v>-1</v>
      </c>
    </row>
    <row r="225" spans="1:9" ht="12.75">
      <c r="A225" t="str">
        <f ca="1">IFERROR(__xludf.DUMMYFUNCTION("""COMPUTED_VALUE"""),"T222")</f>
        <v>T222</v>
      </c>
      <c r="B225" t="str">
        <f ca="1">IFERROR(__xludf.DUMMYFUNCTION("""COMPUTED_VALUE"""),"T221")</f>
        <v>T221</v>
      </c>
      <c r="C225" t="str">
        <f ca="1">IFERROR(__xludf.DUMMYFUNCTION("""COMPUTED_VALUE"""),"Romain Langasque")</f>
        <v>Romain Langasque</v>
      </c>
      <c r="D225">
        <f ca="1">IFERROR(__xludf.DUMMYFUNCTION("""COMPUTED_VALUE"""),4)</f>
        <v>4</v>
      </c>
      <c r="E225">
        <f ca="1">IFERROR(__xludf.DUMMYFUNCTION("""COMPUTED_VALUE"""),41.67)</f>
        <v>41.67</v>
      </c>
      <c r="F225">
        <f ca="1">IFERROR(__xludf.DUMMYFUNCTION("""COMPUTED_VALUE"""),5)</f>
        <v>5</v>
      </c>
      <c r="G225">
        <f ca="1">IFERROR(__xludf.DUMMYFUNCTION("""COMPUTED_VALUE"""),7)</f>
        <v>7</v>
      </c>
      <c r="H225" t="str">
        <f ca="1">IFERROR(__xludf.DUMMYFUNCTION("""COMPUTED_VALUE"""),"E")</f>
        <v>E</v>
      </c>
      <c r="I225">
        <f ca="1">IFERROR(__xludf.DUMMYFUNCTION("""COMPUTED_VALUE"""),-1)</f>
        <v>-1</v>
      </c>
    </row>
    <row r="226" spans="1:9" ht="12.75">
      <c r="A226" t="str">
        <f ca="1">IFERROR(__xludf.DUMMYFUNCTION("""COMPUTED_VALUE"""),"T222")</f>
        <v>T222</v>
      </c>
      <c r="B226" t="str">
        <f ca="1">IFERROR(__xludf.DUMMYFUNCTION("""COMPUTED_VALUE"""),"T221")</f>
        <v>T221</v>
      </c>
      <c r="C226" t="str">
        <f ca="1">IFERROR(__xludf.DUMMYFUNCTION("""COMPUTED_VALUE"""),"Mikumu Horikawa")</f>
        <v>Mikumu Horikawa</v>
      </c>
      <c r="D226">
        <f ca="1">IFERROR(__xludf.DUMMYFUNCTION("""COMPUTED_VALUE"""),4)</f>
        <v>4</v>
      </c>
      <c r="E226">
        <f ca="1">IFERROR(__xludf.DUMMYFUNCTION("""COMPUTED_VALUE"""),41.67)</f>
        <v>41.67</v>
      </c>
      <c r="F226">
        <f ca="1">IFERROR(__xludf.DUMMYFUNCTION("""COMPUTED_VALUE"""),10)</f>
        <v>10</v>
      </c>
      <c r="G226">
        <f ca="1">IFERROR(__xludf.DUMMYFUNCTION("""COMPUTED_VALUE"""),14)</f>
        <v>14</v>
      </c>
      <c r="H226">
        <f ca="1">IFERROR(__xludf.DUMMYFUNCTION("""COMPUTED_VALUE"""),-7)</f>
        <v>-7</v>
      </c>
      <c r="I226">
        <f ca="1">IFERROR(__xludf.DUMMYFUNCTION("""COMPUTED_VALUE"""),-2)</f>
        <v>-2</v>
      </c>
    </row>
    <row r="227" spans="1:9" ht="12.75">
      <c r="A227" t="str">
        <f ca="1">IFERROR(__xludf.DUMMYFUNCTION("""COMPUTED_VALUE"""),"T222")</f>
        <v>T222</v>
      </c>
      <c r="B227" t="str">
        <f ca="1">IFERROR(__xludf.DUMMYFUNCTION("""COMPUTED_VALUE"""),"T221")</f>
        <v>T221</v>
      </c>
      <c r="C227" t="str">
        <f ca="1">IFERROR(__xludf.DUMMYFUNCTION("""COMPUTED_VALUE"""),"Naoki Sekito")</f>
        <v>Naoki Sekito</v>
      </c>
      <c r="D227">
        <f ca="1">IFERROR(__xludf.DUMMYFUNCTION("""COMPUTED_VALUE"""),4)</f>
        <v>4</v>
      </c>
      <c r="E227">
        <f ca="1">IFERROR(__xludf.DUMMYFUNCTION("""COMPUTED_VALUE"""),41.67)</f>
        <v>41.67</v>
      </c>
      <c r="F227">
        <f ca="1">IFERROR(__xludf.DUMMYFUNCTION("""COMPUTED_VALUE"""),10)</f>
        <v>10</v>
      </c>
      <c r="G227">
        <f ca="1">IFERROR(__xludf.DUMMYFUNCTION("""COMPUTED_VALUE"""),14)</f>
        <v>14</v>
      </c>
      <c r="H227">
        <f ca="1">IFERROR(__xludf.DUMMYFUNCTION("""COMPUTED_VALUE"""),-7)</f>
        <v>-7</v>
      </c>
      <c r="I227">
        <f ca="1">IFERROR(__xludf.DUMMYFUNCTION("""COMPUTED_VALUE"""),-2)</f>
        <v>-2</v>
      </c>
    </row>
    <row r="228" spans="1:9" ht="12.75">
      <c r="A228">
        <f ca="1">IFERROR(__xludf.DUMMYFUNCTION("""COMPUTED_VALUE"""),227)</f>
        <v>227</v>
      </c>
      <c r="B228" t="str">
        <f ca="1">IFERROR(__xludf.DUMMYFUNCTION("""COMPUTED_VALUE"""),"T150")</f>
        <v>T150</v>
      </c>
      <c r="C228" t="str">
        <f ca="1">IFERROR(__xludf.DUMMYFUNCTION("""COMPUTED_VALUE"""),"Fabián Gómez")</f>
        <v>Fabián Gómez</v>
      </c>
      <c r="D228">
        <f ca="1">IFERROR(__xludf.DUMMYFUNCTION("""COMPUTED_VALUE"""),16)</f>
        <v>16</v>
      </c>
      <c r="E228">
        <f ca="1">IFERROR(__xludf.DUMMYFUNCTION("""COMPUTED_VALUE"""),41.46)</f>
        <v>41.46</v>
      </c>
      <c r="F228">
        <f ca="1">IFERROR(__xludf.DUMMYFUNCTION("""COMPUTED_VALUE"""),17)</f>
        <v>17</v>
      </c>
      <c r="G228">
        <f ca="1">IFERROR(__xludf.DUMMYFUNCTION("""COMPUTED_VALUE"""),24)</f>
        <v>24</v>
      </c>
      <c r="H228">
        <f ca="1">IFERROR(__xludf.DUMMYFUNCTION("""COMPUTED_VALUE"""),-9)</f>
        <v>-9</v>
      </c>
      <c r="I228" t="str">
        <f ca="1">IFERROR(__xludf.DUMMYFUNCTION("""COMPUTED_VALUE"""),"+2")</f>
        <v>+2</v>
      </c>
    </row>
    <row r="229" spans="1:9" ht="12.75">
      <c r="A229">
        <f ca="1">IFERROR(__xludf.DUMMYFUNCTION("""COMPUTED_VALUE"""),228)</f>
        <v>228</v>
      </c>
      <c r="B229">
        <f ca="1">IFERROR(__xludf.DUMMYFUNCTION("""COMPUTED_VALUE"""),216)</f>
        <v>216</v>
      </c>
      <c r="C229" t="str">
        <f ca="1">IFERROR(__xludf.DUMMYFUNCTION("""COMPUTED_VALUE"""),"Austin Cook")</f>
        <v>Austin Cook</v>
      </c>
      <c r="D229">
        <f ca="1">IFERROR(__xludf.DUMMYFUNCTION("""COMPUTED_VALUE"""),14)</f>
        <v>14</v>
      </c>
      <c r="E229">
        <f ca="1">IFERROR(__xludf.DUMMYFUNCTION("""COMPUTED_VALUE"""),40.35)</f>
        <v>40.35</v>
      </c>
      <c r="F229">
        <f ca="1">IFERROR(__xludf.DUMMYFUNCTION("""COMPUTED_VALUE"""),23)</f>
        <v>23</v>
      </c>
      <c r="G229">
        <f ca="1">IFERROR(__xludf.DUMMYFUNCTION("""COMPUTED_VALUE"""),34)</f>
        <v>34</v>
      </c>
      <c r="H229">
        <f ca="1">IFERROR(__xludf.DUMMYFUNCTION("""COMPUTED_VALUE"""),-15)</f>
        <v>-15</v>
      </c>
      <c r="I229">
        <f ca="1">IFERROR(__xludf.DUMMYFUNCTION("""COMPUTED_VALUE"""),-5)</f>
        <v>-5</v>
      </c>
    </row>
    <row r="230" spans="1:9" ht="12.75">
      <c r="A230" t="str">
        <f ca="1">IFERROR(__xludf.DUMMYFUNCTION("""COMPUTED_VALUE"""),"T229")</f>
        <v>T229</v>
      </c>
      <c r="B230" t="str">
        <f ca="1">IFERROR(__xludf.DUMMYFUNCTION("""COMPUTED_VALUE"""),"T227")</f>
        <v>T227</v>
      </c>
      <c r="C230" t="str">
        <f ca="1">IFERROR(__xludf.DUMMYFUNCTION("""COMPUTED_VALUE"""),"Tiger Woods")</f>
        <v>Tiger Woods</v>
      </c>
      <c r="D230">
        <f ca="1">IFERROR(__xludf.DUMMYFUNCTION("""COMPUTED_VALUE"""),6)</f>
        <v>6</v>
      </c>
      <c r="E230">
        <f ca="1">IFERROR(__xludf.DUMMYFUNCTION("""COMPUTED_VALUE"""),40)</f>
        <v>40</v>
      </c>
      <c r="F230">
        <f ca="1">IFERROR(__xludf.DUMMYFUNCTION("""COMPUTED_VALUE"""),12)</f>
        <v>12</v>
      </c>
      <c r="G230">
        <f ca="1">IFERROR(__xludf.DUMMYFUNCTION("""COMPUTED_VALUE"""),18)</f>
        <v>18</v>
      </c>
      <c r="H230">
        <f ca="1">IFERROR(__xludf.DUMMYFUNCTION("""COMPUTED_VALUE"""),-8)</f>
        <v>-8</v>
      </c>
      <c r="I230" t="str">
        <f ca="1">IFERROR(__xludf.DUMMYFUNCTION("""COMPUTED_VALUE"""),"+1")</f>
        <v>+1</v>
      </c>
    </row>
    <row r="231" spans="1:9" ht="12.75">
      <c r="A231" t="str">
        <f ca="1">IFERROR(__xludf.DUMMYFUNCTION("""COMPUTED_VALUE"""),"T229")</f>
        <v>T229</v>
      </c>
      <c r="B231" t="str">
        <f ca="1">IFERROR(__xludf.DUMMYFUNCTION("""COMPUTED_VALUE"""),"T227")</f>
        <v>T227</v>
      </c>
      <c r="C231" t="str">
        <f ca="1">IFERROR(__xludf.DUMMYFUNCTION("""COMPUTED_VALUE"""),"Chan Kim")</f>
        <v>Chan Kim</v>
      </c>
      <c r="D231">
        <f ca="1">IFERROR(__xludf.DUMMYFUNCTION("""COMPUTED_VALUE"""),6)</f>
        <v>6</v>
      </c>
      <c r="E231">
        <f ca="1">IFERROR(__xludf.DUMMYFUNCTION("""COMPUTED_VALUE"""),40)</f>
        <v>40</v>
      </c>
      <c r="F231">
        <f ca="1">IFERROR(__xludf.DUMMYFUNCTION("""COMPUTED_VALUE"""),12)</f>
        <v>12</v>
      </c>
      <c r="G231">
        <f ca="1">IFERROR(__xludf.DUMMYFUNCTION("""COMPUTED_VALUE"""),18)</f>
        <v>18</v>
      </c>
      <c r="H231">
        <f ca="1">IFERROR(__xludf.DUMMYFUNCTION("""COMPUTED_VALUE"""),-5)</f>
        <v>-5</v>
      </c>
      <c r="I231">
        <f ca="1">IFERROR(__xludf.DUMMYFUNCTION("""COMPUTED_VALUE"""),-5)</f>
        <v>-5</v>
      </c>
    </row>
    <row r="232" spans="1:9" ht="12.75">
      <c r="A232">
        <f ca="1">IFERROR(__xludf.DUMMYFUNCTION("""COMPUTED_VALUE"""),231)</f>
        <v>231</v>
      </c>
      <c r="B232" t="str">
        <f ca="1">IFERROR(__xludf.DUMMYFUNCTION("""COMPUTED_VALUE"""),"T218")</f>
        <v>T218</v>
      </c>
      <c r="C232" t="str">
        <f ca="1">IFERROR(__xludf.DUMMYFUNCTION("""COMPUTED_VALUE"""),"Zach Johnson")</f>
        <v>Zach Johnson</v>
      </c>
      <c r="D232">
        <f ca="1">IFERROR(__xludf.DUMMYFUNCTION("""COMPUTED_VALUE"""),16)</f>
        <v>16</v>
      </c>
      <c r="E232">
        <f ca="1">IFERROR(__xludf.DUMMYFUNCTION("""COMPUTED_VALUE"""),39.68)</f>
        <v>39.68</v>
      </c>
      <c r="F232">
        <f ca="1">IFERROR(__xludf.DUMMYFUNCTION("""COMPUTED_VALUE"""),25)</f>
        <v>25</v>
      </c>
      <c r="G232">
        <f ca="1">IFERROR(__xludf.DUMMYFUNCTION("""COMPUTED_VALUE"""),38)</f>
        <v>38</v>
      </c>
      <c r="H232">
        <f ca="1">IFERROR(__xludf.DUMMYFUNCTION("""COMPUTED_VALUE"""),-15)</f>
        <v>-15</v>
      </c>
      <c r="I232">
        <f ca="1">IFERROR(__xludf.DUMMYFUNCTION("""COMPUTED_VALUE"""),-3)</f>
        <v>-3</v>
      </c>
    </row>
    <row r="233" spans="1:9" ht="12.75">
      <c r="A233">
        <f ca="1">IFERROR(__xludf.DUMMYFUNCTION("""COMPUTED_VALUE"""),232)</f>
        <v>232</v>
      </c>
      <c r="B233">
        <f ca="1">IFERROR(__xludf.DUMMYFUNCTION("""COMPUTED_VALUE"""),231)</f>
        <v>231</v>
      </c>
      <c r="C233" t="str">
        <f ca="1">IFERROR(__xludf.DUMMYFUNCTION("""COMPUTED_VALUE"""),"Cameron Percy")</f>
        <v>Cameron Percy</v>
      </c>
      <c r="D233">
        <f ca="1">IFERROR(__xludf.DUMMYFUNCTION("""COMPUTED_VALUE"""),16)</f>
        <v>16</v>
      </c>
      <c r="E233">
        <f ca="1">IFERROR(__xludf.DUMMYFUNCTION("""COMPUTED_VALUE"""),38.89)</f>
        <v>38.89</v>
      </c>
      <c r="F233">
        <f ca="1">IFERROR(__xludf.DUMMYFUNCTION("""COMPUTED_VALUE"""),14)</f>
        <v>14</v>
      </c>
      <c r="G233">
        <f ca="1">IFERROR(__xludf.DUMMYFUNCTION("""COMPUTED_VALUE"""),22)</f>
        <v>22</v>
      </c>
      <c r="H233">
        <f ca="1">IFERROR(__xludf.DUMMYFUNCTION("""COMPUTED_VALUE"""),-11)</f>
        <v>-11</v>
      </c>
      <c r="I233">
        <f ca="1">IFERROR(__xludf.DUMMYFUNCTION("""COMPUTED_VALUE"""),-3)</f>
        <v>-3</v>
      </c>
    </row>
    <row r="234" spans="1:9" ht="12.75">
      <c r="A234">
        <f ca="1">IFERROR(__xludf.DUMMYFUNCTION("""COMPUTED_VALUE"""),233)</f>
        <v>233</v>
      </c>
      <c r="B234">
        <f ca="1">IFERROR(__xludf.DUMMYFUNCTION("""COMPUTED_VALUE"""),232)</f>
        <v>232</v>
      </c>
      <c r="C234" t="str">
        <f ca="1">IFERROR(__xludf.DUMMYFUNCTION("""COMPUTED_VALUE"""),"J.J. Spaun")</f>
        <v>J.J. Spaun</v>
      </c>
      <c r="D234">
        <f ca="1">IFERROR(__xludf.DUMMYFUNCTION("""COMPUTED_VALUE"""),10)</f>
        <v>10</v>
      </c>
      <c r="E234">
        <f ca="1">IFERROR(__xludf.DUMMYFUNCTION("""COMPUTED_VALUE"""),38.46)</f>
        <v>38.46</v>
      </c>
      <c r="F234">
        <f ca="1">IFERROR(__xludf.DUMMYFUNCTION("""COMPUTED_VALUE"""),10)</f>
        <v>10</v>
      </c>
      <c r="G234">
        <f ca="1">IFERROR(__xludf.DUMMYFUNCTION("""COMPUTED_VALUE"""),16)</f>
        <v>16</v>
      </c>
      <c r="H234">
        <f ca="1">IFERROR(__xludf.DUMMYFUNCTION("""COMPUTED_VALUE"""),-6)</f>
        <v>-6</v>
      </c>
      <c r="I234">
        <f ca="1">IFERROR(__xludf.DUMMYFUNCTION("""COMPUTED_VALUE"""),-3)</f>
        <v>-3</v>
      </c>
    </row>
    <row r="235" spans="1:9" ht="12.75">
      <c r="A235" t="str">
        <f ca="1">IFERROR(__xludf.DUMMYFUNCTION("""COMPUTED_VALUE"""),"T234")</f>
        <v>T234</v>
      </c>
      <c r="B235" t="str">
        <f ca="1">IFERROR(__xludf.DUMMYFUNCTION("""COMPUTED_VALUE"""),"")</f>
        <v/>
      </c>
      <c r="C235" t="str">
        <f ca="1">IFERROR(__xludf.DUMMYFUNCTION("""COMPUTED_VALUE"""),"Greg Chalmers")</f>
        <v>Greg Chalmers</v>
      </c>
      <c r="D235">
        <f ca="1">IFERROR(__xludf.DUMMYFUNCTION("""COMPUTED_VALUE"""),6)</f>
        <v>6</v>
      </c>
      <c r="E235">
        <f ca="1">IFERROR(__xludf.DUMMYFUNCTION("""COMPUTED_VALUE"""),37.5)</f>
        <v>37.5</v>
      </c>
      <c r="F235">
        <f ca="1">IFERROR(__xludf.DUMMYFUNCTION("""COMPUTED_VALUE"""),9)</f>
        <v>9</v>
      </c>
      <c r="G235">
        <f ca="1">IFERROR(__xludf.DUMMYFUNCTION("""COMPUTED_VALUE"""),15)</f>
        <v>15</v>
      </c>
      <c r="H235">
        <f ca="1">IFERROR(__xludf.DUMMYFUNCTION("""COMPUTED_VALUE"""),-3)</f>
        <v>-3</v>
      </c>
      <c r="I235">
        <f ca="1">IFERROR(__xludf.DUMMYFUNCTION("""COMPUTED_VALUE"""),-3)</f>
        <v>-3</v>
      </c>
    </row>
    <row r="236" spans="1:9" ht="12.75">
      <c r="A236" t="str">
        <f ca="1">IFERROR(__xludf.DUMMYFUNCTION("""COMPUTED_VALUE"""),"T234")</f>
        <v>T234</v>
      </c>
      <c r="B236" t="str">
        <f ca="1">IFERROR(__xludf.DUMMYFUNCTION("""COMPUTED_VALUE"""),"T233")</f>
        <v>T233</v>
      </c>
      <c r="C236" t="str">
        <f ca="1">IFERROR(__xludf.DUMMYFUNCTION("""COMPUTED_VALUE"""),"John Senden")</f>
        <v>John Senden</v>
      </c>
      <c r="D236">
        <f ca="1">IFERROR(__xludf.DUMMYFUNCTION("""COMPUTED_VALUE"""),8)</f>
        <v>8</v>
      </c>
      <c r="E236">
        <f ca="1">IFERROR(__xludf.DUMMYFUNCTION("""COMPUTED_VALUE"""),37.5)</f>
        <v>37.5</v>
      </c>
      <c r="F236">
        <f ca="1">IFERROR(__xludf.DUMMYFUNCTION("""COMPUTED_VALUE"""),3)</f>
        <v>3</v>
      </c>
      <c r="G236">
        <f ca="1">IFERROR(__xludf.DUMMYFUNCTION("""COMPUTED_VALUE"""),5)</f>
        <v>5</v>
      </c>
      <c r="H236" t="str">
        <f ca="1">IFERROR(__xludf.DUMMYFUNCTION("""COMPUTED_VALUE"""),"E")</f>
        <v>E</v>
      </c>
      <c r="I236" t="str">
        <f ca="1">IFERROR(__xludf.DUMMYFUNCTION("""COMPUTED_VALUE"""),"+2")</f>
        <v>+2</v>
      </c>
    </row>
    <row r="237" spans="1:9" ht="12.75">
      <c r="A237" t="str">
        <f ca="1">IFERROR(__xludf.DUMMYFUNCTION("""COMPUTED_VALUE"""),"T234")</f>
        <v>T234</v>
      </c>
      <c r="B237" t="str">
        <f ca="1">IFERROR(__xludf.DUMMYFUNCTION("""COMPUTED_VALUE"""),"T233")</f>
        <v>T233</v>
      </c>
      <c r="C237" t="str">
        <f ca="1">IFERROR(__xludf.DUMMYFUNCTION("""COMPUTED_VALUE"""),"Ryan Blaum")</f>
        <v>Ryan Blaum</v>
      </c>
      <c r="D237">
        <f ca="1">IFERROR(__xludf.DUMMYFUNCTION("""COMPUTED_VALUE"""),8)</f>
        <v>8</v>
      </c>
      <c r="E237">
        <f ca="1">IFERROR(__xludf.DUMMYFUNCTION("""COMPUTED_VALUE"""),37.5)</f>
        <v>37.5</v>
      </c>
      <c r="F237">
        <f ca="1">IFERROR(__xludf.DUMMYFUNCTION("""COMPUTED_VALUE"""),6)</f>
        <v>6</v>
      </c>
      <c r="G237">
        <f ca="1">IFERROR(__xludf.DUMMYFUNCTION("""COMPUTED_VALUE"""),10)</f>
        <v>10</v>
      </c>
      <c r="H237">
        <f ca="1">IFERROR(__xludf.DUMMYFUNCTION("""COMPUTED_VALUE"""),-3)</f>
        <v>-3</v>
      </c>
      <c r="I237">
        <f ca="1">IFERROR(__xludf.DUMMYFUNCTION("""COMPUTED_VALUE"""),-1)</f>
        <v>-1</v>
      </c>
    </row>
    <row r="238" spans="1:9" ht="12.75">
      <c r="A238" t="str">
        <f ca="1">IFERROR(__xludf.DUMMYFUNCTION("""COMPUTED_VALUE"""),"T234")</f>
        <v>T234</v>
      </c>
      <c r="B238" t="str">
        <f ca="1">IFERROR(__xludf.DUMMYFUNCTION("""COMPUTED_VALUE"""),"T233")</f>
        <v>T233</v>
      </c>
      <c r="C238" t="str">
        <f ca="1">IFERROR(__xludf.DUMMYFUNCTION("""COMPUTED_VALUE"""),"Peter Uihlein")</f>
        <v>Peter Uihlein</v>
      </c>
      <c r="D238">
        <f ca="1">IFERROR(__xludf.DUMMYFUNCTION("""COMPUTED_VALUE"""),8)</f>
        <v>8</v>
      </c>
      <c r="E238">
        <f ca="1">IFERROR(__xludf.DUMMYFUNCTION("""COMPUTED_VALUE"""),37.5)</f>
        <v>37.5</v>
      </c>
      <c r="F238">
        <f ca="1">IFERROR(__xludf.DUMMYFUNCTION("""COMPUTED_VALUE"""),3)</f>
        <v>3</v>
      </c>
      <c r="G238">
        <f ca="1">IFERROR(__xludf.DUMMYFUNCTION("""COMPUTED_VALUE"""),5)</f>
        <v>5</v>
      </c>
      <c r="H238" t="str">
        <f ca="1">IFERROR(__xludf.DUMMYFUNCTION("""COMPUTED_VALUE"""),"E")</f>
        <v>E</v>
      </c>
      <c r="I238" t="str">
        <f ca="1">IFERROR(__xludf.DUMMYFUNCTION("""COMPUTED_VALUE"""),"E")</f>
        <v>E</v>
      </c>
    </row>
    <row r="239" spans="1:9" ht="12.75">
      <c r="A239" t="str">
        <f ca="1">IFERROR(__xludf.DUMMYFUNCTION("""COMPUTED_VALUE"""),"T234")</f>
        <v>T234</v>
      </c>
      <c r="B239" t="str">
        <f ca="1">IFERROR(__xludf.DUMMYFUNCTION("""COMPUTED_VALUE"""),"T233")</f>
        <v>T233</v>
      </c>
      <c r="C239" t="str">
        <f ca="1">IFERROR(__xludf.DUMMYFUNCTION("""COMPUTED_VALUE"""),"Sangmoon Bae")</f>
        <v>Sangmoon Bae</v>
      </c>
      <c r="D239">
        <f ca="1">IFERROR(__xludf.DUMMYFUNCTION("""COMPUTED_VALUE"""),8)</f>
        <v>8</v>
      </c>
      <c r="E239">
        <f ca="1">IFERROR(__xludf.DUMMYFUNCTION("""COMPUTED_VALUE"""),37.5)</f>
        <v>37.5</v>
      </c>
      <c r="F239">
        <f ca="1">IFERROR(__xludf.DUMMYFUNCTION("""COMPUTED_VALUE"""),3)</f>
        <v>3</v>
      </c>
      <c r="G239">
        <f ca="1">IFERROR(__xludf.DUMMYFUNCTION("""COMPUTED_VALUE"""),5)</f>
        <v>5</v>
      </c>
      <c r="H239">
        <f ca="1">IFERROR(__xludf.DUMMYFUNCTION("""COMPUTED_VALUE"""),-1)</f>
        <v>-1</v>
      </c>
      <c r="I239">
        <f ca="1">IFERROR(__xludf.DUMMYFUNCTION("""COMPUTED_VALUE"""),-1)</f>
        <v>-1</v>
      </c>
    </row>
    <row r="240" spans="1:9" ht="12.75">
      <c r="A240" t="str">
        <f ca="1">IFERROR(__xludf.DUMMYFUNCTION("""COMPUTED_VALUE"""),"T234")</f>
        <v>T234</v>
      </c>
      <c r="B240" t="str">
        <f ca="1">IFERROR(__xludf.DUMMYFUNCTION("""COMPUTED_VALUE"""),"T233")</f>
        <v>T233</v>
      </c>
      <c r="C240" t="str">
        <f ca="1">IFERROR(__xludf.DUMMYFUNCTION("""COMPUTED_VALUE"""),"Ryan Brehm")</f>
        <v>Ryan Brehm</v>
      </c>
      <c r="D240">
        <f ca="1">IFERROR(__xludf.DUMMYFUNCTION("""COMPUTED_VALUE"""),10)</f>
        <v>10</v>
      </c>
      <c r="E240">
        <f ca="1">IFERROR(__xludf.DUMMYFUNCTION("""COMPUTED_VALUE"""),37.5)</f>
        <v>37.5</v>
      </c>
      <c r="F240">
        <f ca="1">IFERROR(__xludf.DUMMYFUNCTION("""COMPUTED_VALUE"""),3)</f>
        <v>3</v>
      </c>
      <c r="G240">
        <f ca="1">IFERROR(__xludf.DUMMYFUNCTION("""COMPUTED_VALUE"""),5)</f>
        <v>5</v>
      </c>
      <c r="H240">
        <f ca="1">IFERROR(__xludf.DUMMYFUNCTION("""COMPUTED_VALUE"""),-1)</f>
        <v>-1</v>
      </c>
      <c r="I240" t="str">
        <f ca="1">IFERROR(__xludf.DUMMYFUNCTION("""COMPUTED_VALUE"""),"+2")</f>
        <v>+2</v>
      </c>
    </row>
    <row r="241" spans="1:9" ht="12.75">
      <c r="A241" t="str">
        <f ca="1">IFERROR(__xludf.DUMMYFUNCTION("""COMPUTED_VALUE"""),"T234")</f>
        <v>T234</v>
      </c>
      <c r="B241" t="str">
        <f ca="1">IFERROR(__xludf.DUMMYFUNCTION("""COMPUTED_VALUE"""),"T233")</f>
        <v>T233</v>
      </c>
      <c r="C241" t="str">
        <f ca="1">IFERROR(__xludf.DUMMYFUNCTION("""COMPUTED_VALUE"""),"Dominic Bozzelli")</f>
        <v>Dominic Bozzelli</v>
      </c>
      <c r="D241">
        <f ca="1">IFERROR(__xludf.DUMMYFUNCTION("""COMPUTED_VALUE"""),8)</f>
        <v>8</v>
      </c>
      <c r="E241">
        <f ca="1">IFERROR(__xludf.DUMMYFUNCTION("""COMPUTED_VALUE"""),37.5)</f>
        <v>37.5</v>
      </c>
      <c r="F241">
        <f ca="1">IFERROR(__xludf.DUMMYFUNCTION("""COMPUTED_VALUE"""),3)</f>
        <v>3</v>
      </c>
      <c r="G241">
        <f ca="1">IFERROR(__xludf.DUMMYFUNCTION("""COMPUTED_VALUE"""),5)</f>
        <v>5</v>
      </c>
      <c r="H241">
        <f ca="1">IFERROR(__xludf.DUMMYFUNCTION("""COMPUTED_VALUE"""),-1)</f>
        <v>-1</v>
      </c>
      <c r="I241">
        <f ca="1">IFERROR(__xludf.DUMMYFUNCTION("""COMPUTED_VALUE"""),-2)</f>
        <v>-2</v>
      </c>
    </row>
    <row r="242" spans="1:9" ht="12.75">
      <c r="A242">
        <f ca="1">IFERROR(__xludf.DUMMYFUNCTION("""COMPUTED_VALUE"""),241)</f>
        <v>241</v>
      </c>
      <c r="B242">
        <f ca="1">IFERROR(__xludf.DUMMYFUNCTION("""COMPUTED_VALUE"""),196)</f>
        <v>196</v>
      </c>
      <c r="C242" t="str">
        <f ca="1">IFERROR(__xludf.DUMMYFUNCTION("""COMPUTED_VALUE"""),"Brian Stuard")</f>
        <v>Brian Stuard</v>
      </c>
      <c r="D242">
        <f ca="1">IFERROR(__xludf.DUMMYFUNCTION("""COMPUTED_VALUE"""),18)</f>
        <v>18</v>
      </c>
      <c r="E242">
        <f ca="1">IFERROR(__xludf.DUMMYFUNCTION("""COMPUTED_VALUE"""),36.73)</f>
        <v>36.729999999999997</v>
      </c>
      <c r="F242">
        <f ca="1">IFERROR(__xludf.DUMMYFUNCTION("""COMPUTED_VALUE"""),18)</f>
        <v>18</v>
      </c>
      <c r="G242">
        <f ca="1">IFERROR(__xludf.DUMMYFUNCTION("""COMPUTED_VALUE"""),31)</f>
        <v>31</v>
      </c>
      <c r="H242">
        <f ca="1">IFERROR(__xludf.DUMMYFUNCTION("""COMPUTED_VALUE"""),-11)</f>
        <v>-11</v>
      </c>
      <c r="I242">
        <f ca="1">IFERROR(__xludf.DUMMYFUNCTION("""COMPUTED_VALUE"""),-8)</f>
        <v>-8</v>
      </c>
    </row>
    <row r="243" spans="1:9" ht="12.75">
      <c r="A243">
        <f ca="1">IFERROR(__xludf.DUMMYFUNCTION("""COMPUTED_VALUE"""),242)</f>
        <v>242</v>
      </c>
      <c r="B243">
        <f ca="1">IFERROR(__xludf.DUMMYFUNCTION("""COMPUTED_VALUE"""),241)</f>
        <v>241</v>
      </c>
      <c r="C243" t="str">
        <f ca="1">IFERROR(__xludf.DUMMYFUNCTION("""COMPUTED_VALUE"""),"Shaun Norris")</f>
        <v>Shaun Norris</v>
      </c>
      <c r="D243">
        <f ca="1">IFERROR(__xludf.DUMMYFUNCTION("""COMPUTED_VALUE"""),6)</f>
        <v>6</v>
      </c>
      <c r="E243">
        <f ca="1">IFERROR(__xludf.DUMMYFUNCTION("""COMPUTED_VALUE"""),36.67)</f>
        <v>36.67</v>
      </c>
      <c r="F243">
        <f ca="1">IFERROR(__xludf.DUMMYFUNCTION("""COMPUTED_VALUE"""),11)</f>
        <v>11</v>
      </c>
      <c r="G243">
        <f ca="1">IFERROR(__xludf.DUMMYFUNCTION("""COMPUTED_VALUE"""),19)</f>
        <v>19</v>
      </c>
      <c r="H243">
        <f ca="1">IFERROR(__xludf.DUMMYFUNCTION("""COMPUTED_VALUE"""),-10)</f>
        <v>-10</v>
      </c>
      <c r="I243">
        <f ca="1">IFERROR(__xludf.DUMMYFUNCTION("""COMPUTED_VALUE"""),-2)</f>
        <v>-2</v>
      </c>
    </row>
    <row r="244" spans="1:9" ht="12.75">
      <c r="A244">
        <f ca="1">IFERROR(__xludf.DUMMYFUNCTION("""COMPUTED_VALUE"""),243)</f>
        <v>243</v>
      </c>
      <c r="B244">
        <f ca="1">IFERROR(__xludf.DUMMYFUNCTION("""COMPUTED_VALUE"""),230)</f>
        <v>230</v>
      </c>
      <c r="C244" t="str">
        <f ca="1">IFERROR(__xludf.DUMMYFUNCTION("""COMPUTED_VALUE"""),"Andrew Putnam")</f>
        <v>Andrew Putnam</v>
      </c>
      <c r="D244">
        <f ca="1">IFERROR(__xludf.DUMMYFUNCTION("""COMPUTED_VALUE"""),19)</f>
        <v>19</v>
      </c>
      <c r="E244">
        <f ca="1">IFERROR(__xludf.DUMMYFUNCTION("""COMPUTED_VALUE"""),35.48)</f>
        <v>35.479999999999997</v>
      </c>
      <c r="F244">
        <f ca="1">IFERROR(__xludf.DUMMYFUNCTION("""COMPUTED_VALUE"""),22)</f>
        <v>22</v>
      </c>
      <c r="G244">
        <f ca="1">IFERROR(__xludf.DUMMYFUNCTION("""COMPUTED_VALUE"""),40)</f>
        <v>40</v>
      </c>
      <c r="H244">
        <f ca="1">IFERROR(__xludf.DUMMYFUNCTION("""COMPUTED_VALUE"""),-9)</f>
        <v>-9</v>
      </c>
      <c r="I244">
        <f ca="1">IFERROR(__xludf.DUMMYFUNCTION("""COMPUTED_VALUE"""),-10)</f>
        <v>-10</v>
      </c>
    </row>
    <row r="245" spans="1:9" ht="12.75">
      <c r="A245">
        <f ca="1">IFERROR(__xludf.DUMMYFUNCTION("""COMPUTED_VALUE"""),244)</f>
        <v>244</v>
      </c>
      <c r="B245" t="str">
        <f ca="1">IFERROR(__xludf.DUMMYFUNCTION("""COMPUTED_VALUE"""),"T253")</f>
        <v>T253</v>
      </c>
      <c r="C245" t="str">
        <f ca="1">IFERROR(__xludf.DUMMYFUNCTION("""COMPUTED_VALUE"""),"Chris Kirk")</f>
        <v>Chris Kirk</v>
      </c>
      <c r="D245">
        <f ca="1">IFERROR(__xludf.DUMMYFUNCTION("""COMPUTED_VALUE"""),10)</f>
        <v>10</v>
      </c>
      <c r="E245">
        <f ca="1">IFERROR(__xludf.DUMMYFUNCTION("""COMPUTED_VALUE"""),35.29)</f>
        <v>35.29</v>
      </c>
      <c r="F245">
        <f ca="1">IFERROR(__xludf.DUMMYFUNCTION("""COMPUTED_VALUE"""),12)</f>
        <v>12</v>
      </c>
      <c r="G245">
        <f ca="1">IFERROR(__xludf.DUMMYFUNCTION("""COMPUTED_VALUE"""),22)</f>
        <v>22</v>
      </c>
      <c r="H245">
        <f ca="1">IFERROR(__xludf.DUMMYFUNCTION("""COMPUTED_VALUE"""),-2)</f>
        <v>-2</v>
      </c>
      <c r="I245">
        <f ca="1">IFERROR(__xludf.DUMMYFUNCTION("""COMPUTED_VALUE"""),-4)</f>
        <v>-4</v>
      </c>
    </row>
    <row r="246" spans="1:9" ht="12.75">
      <c r="A246">
        <f ca="1">IFERROR(__xludf.DUMMYFUNCTION("""COMPUTED_VALUE"""),245)</f>
        <v>245</v>
      </c>
      <c r="B246" t="str">
        <f ca="1">IFERROR(__xludf.DUMMYFUNCTION("""COMPUTED_VALUE"""),"")</f>
        <v/>
      </c>
      <c r="C246" t="str">
        <f ca="1">IFERROR(__xludf.DUMMYFUNCTION("""COMPUTED_VALUE"""),"Justin Harding")</f>
        <v>Justin Harding</v>
      </c>
      <c r="D246">
        <f ca="1">IFERROR(__xludf.DUMMYFUNCTION("""COMPUTED_VALUE"""),6)</f>
        <v>6</v>
      </c>
      <c r="E246">
        <f ca="1">IFERROR(__xludf.DUMMYFUNCTION("""COMPUTED_VALUE"""),35)</f>
        <v>35</v>
      </c>
      <c r="F246">
        <f ca="1">IFERROR(__xludf.DUMMYFUNCTION("""COMPUTED_VALUE"""),7)</f>
        <v>7</v>
      </c>
      <c r="G246">
        <f ca="1">IFERROR(__xludf.DUMMYFUNCTION("""COMPUTED_VALUE"""),13)</f>
        <v>13</v>
      </c>
      <c r="H246">
        <f ca="1">IFERROR(__xludf.DUMMYFUNCTION("""COMPUTED_VALUE"""),-6)</f>
        <v>-6</v>
      </c>
      <c r="I246">
        <f ca="1">IFERROR(__xludf.DUMMYFUNCTION("""COMPUTED_VALUE"""),-2)</f>
        <v>-2</v>
      </c>
    </row>
    <row r="247" spans="1:9" ht="12.75">
      <c r="A247">
        <f ca="1">IFERROR(__xludf.DUMMYFUNCTION("""COMPUTED_VALUE"""),246)</f>
        <v>246</v>
      </c>
      <c r="B247" t="str">
        <f ca="1">IFERROR(__xludf.DUMMYFUNCTION("""COMPUTED_VALUE"""),"T218")</f>
        <v>T218</v>
      </c>
      <c r="C247" t="str">
        <f ca="1">IFERROR(__xludf.DUMMYFUNCTION("""COMPUTED_VALUE"""),"Russell Knox")</f>
        <v>Russell Knox</v>
      </c>
      <c r="D247">
        <f ca="1">IFERROR(__xludf.DUMMYFUNCTION("""COMPUTED_VALUE"""),16)</f>
        <v>16</v>
      </c>
      <c r="E247">
        <f ca="1">IFERROR(__xludf.DUMMYFUNCTION("""COMPUTED_VALUE"""),34.69)</f>
        <v>34.69</v>
      </c>
      <c r="F247">
        <f ca="1">IFERROR(__xludf.DUMMYFUNCTION("""COMPUTED_VALUE"""),17)</f>
        <v>17</v>
      </c>
      <c r="G247">
        <f ca="1">IFERROR(__xludf.DUMMYFUNCTION("""COMPUTED_VALUE"""),32)</f>
        <v>32</v>
      </c>
      <c r="H247">
        <f ca="1">IFERROR(__xludf.DUMMYFUNCTION("""COMPUTED_VALUE"""),-11)</f>
        <v>-11</v>
      </c>
      <c r="I247">
        <f ca="1">IFERROR(__xludf.DUMMYFUNCTION("""COMPUTED_VALUE"""),-3)</f>
        <v>-3</v>
      </c>
    </row>
    <row r="248" spans="1:9" ht="12.75">
      <c r="A248">
        <f ca="1">IFERROR(__xludf.DUMMYFUNCTION("""COMPUTED_VALUE"""),247)</f>
        <v>247</v>
      </c>
      <c r="B248">
        <f ca="1">IFERROR(__xludf.DUMMYFUNCTION("""COMPUTED_VALUE"""),239)</f>
        <v>239</v>
      </c>
      <c r="C248" t="str">
        <f ca="1">IFERROR(__xludf.DUMMYFUNCTION("""COMPUTED_VALUE"""),"Jason Dufner")</f>
        <v>Jason Dufner</v>
      </c>
      <c r="D248">
        <f ca="1">IFERROR(__xludf.DUMMYFUNCTION("""COMPUTED_VALUE"""),14)</f>
        <v>14</v>
      </c>
      <c r="E248">
        <f ca="1">IFERROR(__xludf.DUMMYFUNCTION("""COMPUTED_VALUE"""),34.15)</f>
        <v>34.15</v>
      </c>
      <c r="F248">
        <f ca="1">IFERROR(__xludf.DUMMYFUNCTION("""COMPUTED_VALUE"""),14)</f>
        <v>14</v>
      </c>
      <c r="G248">
        <f ca="1">IFERROR(__xludf.DUMMYFUNCTION("""COMPUTED_VALUE"""),27)</f>
        <v>27</v>
      </c>
      <c r="H248">
        <f ca="1">IFERROR(__xludf.DUMMYFUNCTION("""COMPUTED_VALUE"""),-4)</f>
        <v>-4</v>
      </c>
      <c r="I248">
        <f ca="1">IFERROR(__xludf.DUMMYFUNCTION("""COMPUTED_VALUE"""),-5)</f>
        <v>-5</v>
      </c>
    </row>
    <row r="249" spans="1:9" ht="12.75">
      <c r="A249" t="str">
        <f ca="1">IFERROR(__xludf.DUMMYFUNCTION("""COMPUTED_VALUE"""),"T248")</f>
        <v>T248</v>
      </c>
      <c r="B249" t="str">
        <f ca="1">IFERROR(__xludf.DUMMYFUNCTION("""COMPUTED_VALUE"""),"T242")</f>
        <v>T242</v>
      </c>
      <c r="C249" t="str">
        <f ca="1">IFERROR(__xludf.DUMMYFUNCTION("""COMPUTED_VALUE"""),"Aaron Baddeley")</f>
        <v>Aaron Baddeley</v>
      </c>
      <c r="D249">
        <f ca="1">IFERROR(__xludf.DUMMYFUNCTION("""COMPUTED_VALUE"""),8)</f>
        <v>8</v>
      </c>
      <c r="E249">
        <f ca="1">IFERROR(__xludf.DUMMYFUNCTION("""COMPUTED_VALUE"""),33.33)</f>
        <v>33.33</v>
      </c>
      <c r="F249">
        <f ca="1">IFERROR(__xludf.DUMMYFUNCTION("""COMPUTED_VALUE"""),6)</f>
        <v>6</v>
      </c>
      <c r="G249">
        <f ca="1">IFERROR(__xludf.DUMMYFUNCTION("""COMPUTED_VALUE"""),12)</f>
        <v>12</v>
      </c>
      <c r="H249">
        <f ca="1">IFERROR(__xludf.DUMMYFUNCTION("""COMPUTED_VALUE"""),-4)</f>
        <v>-4</v>
      </c>
      <c r="I249">
        <f ca="1">IFERROR(__xludf.DUMMYFUNCTION("""COMPUTED_VALUE"""),-2)</f>
        <v>-2</v>
      </c>
    </row>
    <row r="250" spans="1:9" ht="12.75">
      <c r="A250" t="str">
        <f ca="1">IFERROR(__xludf.DUMMYFUNCTION("""COMPUTED_VALUE"""),"T248")</f>
        <v>T248</v>
      </c>
      <c r="B250" t="str">
        <f ca="1">IFERROR(__xludf.DUMMYFUNCTION("""COMPUTED_VALUE"""),"T242")</f>
        <v>T242</v>
      </c>
      <c r="C250" t="str">
        <f ca="1">IFERROR(__xludf.DUMMYFUNCTION("""COMPUTED_VALUE"""),"Kiradech Aphibarnrat")</f>
        <v>Kiradech Aphibarnrat</v>
      </c>
      <c r="D250">
        <f ca="1">IFERROR(__xludf.DUMMYFUNCTION("""COMPUTED_VALUE"""),12)</f>
        <v>12</v>
      </c>
      <c r="E250">
        <f ca="1">IFERROR(__xludf.DUMMYFUNCTION("""COMPUTED_VALUE"""),33.33)</f>
        <v>33.33</v>
      </c>
      <c r="F250">
        <f ca="1">IFERROR(__xludf.DUMMYFUNCTION("""COMPUTED_VALUE"""),6)</f>
        <v>6</v>
      </c>
      <c r="G250">
        <f ca="1">IFERROR(__xludf.DUMMYFUNCTION("""COMPUTED_VALUE"""),12)</f>
        <v>12</v>
      </c>
      <c r="H250">
        <f ca="1">IFERROR(__xludf.DUMMYFUNCTION("""COMPUTED_VALUE"""),-2)</f>
        <v>-2</v>
      </c>
      <c r="I250">
        <f ca="1">IFERROR(__xludf.DUMMYFUNCTION("""COMPUTED_VALUE"""),-1)</f>
        <v>-1</v>
      </c>
    </row>
    <row r="251" spans="1:9" ht="12.75">
      <c r="A251" t="str">
        <f ca="1">IFERROR(__xludf.DUMMYFUNCTION("""COMPUTED_VALUE"""),"T248")</f>
        <v>T248</v>
      </c>
      <c r="B251" t="str">
        <f ca="1">IFERROR(__xludf.DUMMYFUNCTION("""COMPUTED_VALUE"""),"T242")</f>
        <v>T242</v>
      </c>
      <c r="C251" t="str">
        <f ca="1">IFERROR(__xludf.DUMMYFUNCTION("""COMPUTED_VALUE"""),"Matt Every")</f>
        <v>Matt Every</v>
      </c>
      <c r="D251">
        <f ca="1">IFERROR(__xludf.DUMMYFUNCTION("""COMPUTED_VALUE"""),8)</f>
        <v>8</v>
      </c>
      <c r="E251">
        <f ca="1">IFERROR(__xludf.DUMMYFUNCTION("""COMPUTED_VALUE"""),33.33)</f>
        <v>33.33</v>
      </c>
      <c r="F251">
        <f ca="1">IFERROR(__xludf.DUMMYFUNCTION("""COMPUTED_VALUE"""),6)</f>
        <v>6</v>
      </c>
      <c r="G251">
        <f ca="1">IFERROR(__xludf.DUMMYFUNCTION("""COMPUTED_VALUE"""),12)</f>
        <v>12</v>
      </c>
      <c r="H251">
        <f ca="1">IFERROR(__xludf.DUMMYFUNCTION("""COMPUTED_VALUE"""),-5)</f>
        <v>-5</v>
      </c>
      <c r="I251">
        <f ca="1">IFERROR(__xludf.DUMMYFUNCTION("""COMPUTED_VALUE"""),-1)</f>
        <v>-1</v>
      </c>
    </row>
    <row r="252" spans="1:9" ht="12.75">
      <c r="A252" t="str">
        <f ca="1">IFERROR(__xludf.DUMMYFUNCTION("""COMPUTED_VALUE"""),"T248")</f>
        <v>T248</v>
      </c>
      <c r="B252" t="str">
        <f ca="1">IFERROR(__xludf.DUMMYFUNCTION("""COMPUTED_VALUE"""),"T242")</f>
        <v>T242</v>
      </c>
      <c r="C252" t="str">
        <f ca="1">IFERROR(__xludf.DUMMYFUNCTION("""COMPUTED_VALUE"""),"Kurt Kitayama")</f>
        <v>Kurt Kitayama</v>
      </c>
      <c r="D252">
        <f ca="1">IFERROR(__xludf.DUMMYFUNCTION("""COMPUTED_VALUE"""),4)</f>
        <v>4</v>
      </c>
      <c r="E252">
        <f ca="1">IFERROR(__xludf.DUMMYFUNCTION("""COMPUTED_VALUE"""),33.33)</f>
        <v>33.33</v>
      </c>
      <c r="F252">
        <f ca="1">IFERROR(__xludf.DUMMYFUNCTION("""COMPUTED_VALUE"""),2)</f>
        <v>2</v>
      </c>
      <c r="G252">
        <f ca="1">IFERROR(__xludf.DUMMYFUNCTION("""COMPUTED_VALUE"""),4)</f>
        <v>4</v>
      </c>
      <c r="H252" t="str">
        <f ca="1">IFERROR(__xludf.DUMMYFUNCTION("""COMPUTED_VALUE"""),"E")</f>
        <v>E</v>
      </c>
      <c r="I252" t="str">
        <f ca="1">IFERROR(__xludf.DUMMYFUNCTION("""COMPUTED_VALUE"""),"+1")</f>
        <v>+1</v>
      </c>
    </row>
    <row r="253" spans="1:9" ht="12.75">
      <c r="A253">
        <f ca="1">IFERROR(__xludf.DUMMYFUNCTION("""COMPUTED_VALUE"""),252)</f>
        <v>252</v>
      </c>
      <c r="B253">
        <f ca="1">IFERROR(__xludf.DUMMYFUNCTION("""COMPUTED_VALUE"""),248)</f>
        <v>248</v>
      </c>
      <c r="C253" t="str">
        <f ca="1">IFERROR(__xludf.DUMMYFUNCTION("""COMPUTED_VALUE"""),"Chez Reavie")</f>
        <v>Chez Reavie</v>
      </c>
      <c r="D253">
        <f ca="1">IFERROR(__xludf.DUMMYFUNCTION("""COMPUTED_VALUE"""),14)</f>
        <v>14</v>
      </c>
      <c r="E253">
        <f ca="1">IFERROR(__xludf.DUMMYFUNCTION("""COMPUTED_VALUE"""),32.2)</f>
        <v>32.200000000000003</v>
      </c>
      <c r="F253">
        <f ca="1">IFERROR(__xludf.DUMMYFUNCTION("""COMPUTED_VALUE"""),19)</f>
        <v>19</v>
      </c>
      <c r="G253">
        <f ca="1">IFERROR(__xludf.DUMMYFUNCTION("""COMPUTED_VALUE"""),40)</f>
        <v>40</v>
      </c>
      <c r="H253">
        <f ca="1">IFERROR(__xludf.DUMMYFUNCTION("""COMPUTED_VALUE"""),-6)</f>
        <v>-6</v>
      </c>
      <c r="I253">
        <f ca="1">IFERROR(__xludf.DUMMYFUNCTION("""COMPUTED_VALUE"""),-1)</f>
        <v>-1</v>
      </c>
    </row>
    <row r="254" spans="1:9" ht="12.75">
      <c r="A254" t="str">
        <f ca="1">IFERROR(__xludf.DUMMYFUNCTION("""COMPUTED_VALUE"""),"T253")</f>
        <v>T253</v>
      </c>
      <c r="B254">
        <f ca="1">IFERROR(__xludf.DUMMYFUNCTION("""COMPUTED_VALUE"""),240)</f>
        <v>240</v>
      </c>
      <c r="C254" t="str">
        <f ca="1">IFERROR(__xludf.DUMMYFUNCTION("""COMPUTED_VALUE"""),"Bo Van Pelt")</f>
        <v>Bo Van Pelt</v>
      </c>
      <c r="D254">
        <f ca="1">IFERROR(__xludf.DUMMYFUNCTION("""COMPUTED_VALUE"""),10)</f>
        <v>10</v>
      </c>
      <c r="E254">
        <f ca="1">IFERROR(__xludf.DUMMYFUNCTION("""COMPUTED_VALUE"""),32)</f>
        <v>32</v>
      </c>
      <c r="F254">
        <f ca="1">IFERROR(__xludf.DUMMYFUNCTION("""COMPUTED_VALUE"""),8)</f>
        <v>8</v>
      </c>
      <c r="G254">
        <f ca="1">IFERROR(__xludf.DUMMYFUNCTION("""COMPUTED_VALUE"""),17)</f>
        <v>17</v>
      </c>
      <c r="H254" t="str">
        <f ca="1">IFERROR(__xludf.DUMMYFUNCTION("""COMPUTED_VALUE"""),"+1")</f>
        <v>+1</v>
      </c>
      <c r="I254">
        <f ca="1">IFERROR(__xludf.DUMMYFUNCTION("""COMPUTED_VALUE"""),-3)</f>
        <v>-3</v>
      </c>
    </row>
    <row r="255" spans="1:9" ht="12.75">
      <c r="A255" t="str">
        <f ca="1">IFERROR(__xludf.DUMMYFUNCTION("""COMPUTED_VALUE"""),"T253")</f>
        <v>T253</v>
      </c>
      <c r="B255">
        <f ca="1">IFERROR(__xludf.DUMMYFUNCTION("""COMPUTED_VALUE"""),249)</f>
        <v>249</v>
      </c>
      <c r="C255" t="str">
        <f ca="1">IFERROR(__xludf.DUMMYFUNCTION("""COMPUTED_VALUE"""),"Vaughn Taylor")</f>
        <v>Vaughn Taylor</v>
      </c>
      <c r="D255">
        <f ca="1">IFERROR(__xludf.DUMMYFUNCTION("""COMPUTED_VALUE"""),12)</f>
        <v>12</v>
      </c>
      <c r="E255">
        <f ca="1">IFERROR(__xludf.DUMMYFUNCTION("""COMPUTED_VALUE"""),32)</f>
        <v>32</v>
      </c>
      <c r="F255">
        <f ca="1">IFERROR(__xludf.DUMMYFUNCTION("""COMPUTED_VALUE"""),8)</f>
        <v>8</v>
      </c>
      <c r="G255">
        <f ca="1">IFERROR(__xludf.DUMMYFUNCTION("""COMPUTED_VALUE"""),17)</f>
        <v>17</v>
      </c>
      <c r="H255">
        <f ca="1">IFERROR(__xludf.DUMMYFUNCTION("""COMPUTED_VALUE"""),-3)</f>
        <v>-3</v>
      </c>
      <c r="I255" t="str">
        <f ca="1">IFERROR(__xludf.DUMMYFUNCTION("""COMPUTED_VALUE"""),"+2")</f>
        <v>+2</v>
      </c>
    </row>
    <row r="256" spans="1:9" ht="12.75">
      <c r="A256">
        <f ca="1">IFERROR(__xludf.DUMMYFUNCTION("""COMPUTED_VALUE"""),255)</f>
        <v>255</v>
      </c>
      <c r="B256">
        <f ca="1">IFERROR(__xludf.DUMMYFUNCTION("""COMPUTED_VALUE"""),250)</f>
        <v>250</v>
      </c>
      <c r="C256" t="str">
        <f ca="1">IFERROR(__xludf.DUMMYFUNCTION("""COMPUTED_VALUE"""),"Kyle Stanley")</f>
        <v>Kyle Stanley</v>
      </c>
      <c r="D256">
        <f ca="1">IFERROR(__xludf.DUMMYFUNCTION("""COMPUTED_VALUE"""),16)</f>
        <v>16</v>
      </c>
      <c r="E256">
        <f ca="1">IFERROR(__xludf.DUMMYFUNCTION("""COMPUTED_VALUE"""),31.43)</f>
        <v>31.43</v>
      </c>
      <c r="F256">
        <f ca="1">IFERROR(__xludf.DUMMYFUNCTION("""COMPUTED_VALUE"""),11)</f>
        <v>11</v>
      </c>
      <c r="G256">
        <f ca="1">IFERROR(__xludf.DUMMYFUNCTION("""COMPUTED_VALUE"""),24)</f>
        <v>24</v>
      </c>
      <c r="H256">
        <f ca="1">IFERROR(__xludf.DUMMYFUNCTION("""COMPUTED_VALUE"""),-3)</f>
        <v>-3</v>
      </c>
      <c r="I256">
        <f ca="1">IFERROR(__xludf.DUMMYFUNCTION("""COMPUTED_VALUE"""),-2)</f>
        <v>-2</v>
      </c>
    </row>
    <row r="257" spans="1:9" ht="12.75">
      <c r="A257">
        <f ca="1">IFERROR(__xludf.DUMMYFUNCTION("""COMPUTED_VALUE"""),256)</f>
        <v>256</v>
      </c>
      <c r="B257">
        <f ca="1">IFERROR(__xludf.DUMMYFUNCTION("""COMPUTED_VALUE"""),251)</f>
        <v>251</v>
      </c>
      <c r="C257" t="str">
        <f ca="1">IFERROR(__xludf.DUMMYFUNCTION("""COMPUTED_VALUE"""),"Ricky Barnes")</f>
        <v>Ricky Barnes</v>
      </c>
      <c r="D257">
        <f ca="1">IFERROR(__xludf.DUMMYFUNCTION("""COMPUTED_VALUE"""),12)</f>
        <v>12</v>
      </c>
      <c r="E257">
        <f ca="1">IFERROR(__xludf.DUMMYFUNCTION("""COMPUTED_VALUE"""),31.25)</f>
        <v>31.25</v>
      </c>
      <c r="F257">
        <f ca="1">IFERROR(__xludf.DUMMYFUNCTION("""COMPUTED_VALUE"""),5)</f>
        <v>5</v>
      </c>
      <c r="G257">
        <f ca="1">IFERROR(__xludf.DUMMYFUNCTION("""COMPUTED_VALUE"""),11)</f>
        <v>11</v>
      </c>
      <c r="H257">
        <f ca="1">IFERROR(__xludf.DUMMYFUNCTION("""COMPUTED_VALUE"""),-3)</f>
        <v>-3</v>
      </c>
      <c r="I257">
        <f ca="1">IFERROR(__xludf.DUMMYFUNCTION("""COMPUTED_VALUE"""),-4)</f>
        <v>-4</v>
      </c>
    </row>
    <row r="258" spans="1:9" ht="12.75">
      <c r="A258">
        <f ca="1">IFERROR(__xludf.DUMMYFUNCTION("""COMPUTED_VALUE"""),257)</f>
        <v>257</v>
      </c>
      <c r="B258" t="str">
        <f ca="1">IFERROR(__xludf.DUMMYFUNCTION("""COMPUTED_VALUE"""),"T242")</f>
        <v>T242</v>
      </c>
      <c r="C258" t="str">
        <f ca="1">IFERROR(__xludf.DUMMYFUNCTION("""COMPUTED_VALUE"""),"D.A. Points")</f>
        <v>D.A. Points</v>
      </c>
      <c r="D258">
        <f ca="1">IFERROR(__xludf.DUMMYFUNCTION("""COMPUTED_VALUE"""),12)</f>
        <v>12</v>
      </c>
      <c r="E258">
        <f ca="1">IFERROR(__xludf.DUMMYFUNCTION("""COMPUTED_VALUE"""),30.3)</f>
        <v>30.3</v>
      </c>
      <c r="F258">
        <f ca="1">IFERROR(__xludf.DUMMYFUNCTION("""COMPUTED_VALUE"""),10)</f>
        <v>10</v>
      </c>
      <c r="G258">
        <f ca="1">IFERROR(__xludf.DUMMYFUNCTION("""COMPUTED_VALUE"""),23)</f>
        <v>23</v>
      </c>
      <c r="H258">
        <f ca="1">IFERROR(__xludf.DUMMYFUNCTION("""COMPUTED_VALUE"""),-5)</f>
        <v>-5</v>
      </c>
      <c r="I258">
        <f ca="1">IFERROR(__xludf.DUMMYFUNCTION("""COMPUTED_VALUE"""),-4)</f>
        <v>-4</v>
      </c>
    </row>
    <row r="259" spans="1:9" ht="12.75">
      <c r="A259">
        <f ca="1">IFERROR(__xludf.DUMMYFUNCTION("""COMPUTED_VALUE"""),258)</f>
        <v>258</v>
      </c>
      <c r="B259" t="str">
        <f ca="1">IFERROR(__xludf.DUMMYFUNCTION("""COMPUTED_VALUE"""),"T253")</f>
        <v>T253</v>
      </c>
      <c r="C259" t="str">
        <f ca="1">IFERROR(__xludf.DUMMYFUNCTION("""COMPUTED_VALUE"""),"Jay McLuen")</f>
        <v>Jay McLuen</v>
      </c>
      <c r="D259">
        <f ca="1">IFERROR(__xludf.DUMMYFUNCTION("""COMPUTED_VALUE"""),4)</f>
        <v>4</v>
      </c>
      <c r="E259">
        <f ca="1">IFERROR(__xludf.DUMMYFUNCTION("""COMPUTED_VALUE"""),30)</f>
        <v>30</v>
      </c>
      <c r="F259">
        <f ca="1">IFERROR(__xludf.DUMMYFUNCTION("""COMPUTED_VALUE"""),6)</f>
        <v>6</v>
      </c>
      <c r="G259">
        <f ca="1">IFERROR(__xludf.DUMMYFUNCTION("""COMPUTED_VALUE"""),14)</f>
        <v>14</v>
      </c>
      <c r="H259" t="str">
        <f ca="1">IFERROR(__xludf.DUMMYFUNCTION("""COMPUTED_VALUE"""),"+2")</f>
        <v>+2</v>
      </c>
      <c r="I259">
        <f ca="1">IFERROR(__xludf.DUMMYFUNCTION("""COMPUTED_VALUE"""),-3)</f>
        <v>-3</v>
      </c>
    </row>
    <row r="260" spans="1:9" ht="12.75">
      <c r="A260">
        <f ca="1">IFERROR(__xludf.DUMMYFUNCTION("""COMPUTED_VALUE"""),259)</f>
        <v>259</v>
      </c>
      <c r="B260">
        <f ca="1">IFERROR(__xludf.DUMMYFUNCTION("""COMPUTED_VALUE"""),255)</f>
        <v>255</v>
      </c>
      <c r="C260" t="str">
        <f ca="1">IFERROR(__xludf.DUMMYFUNCTION("""COMPUTED_VALUE"""),"Zac Blair")</f>
        <v>Zac Blair</v>
      </c>
      <c r="D260">
        <f ca="1">IFERROR(__xludf.DUMMYFUNCTION("""COMPUTED_VALUE"""),10)</f>
        <v>10</v>
      </c>
      <c r="E260">
        <f ca="1">IFERROR(__xludf.DUMMYFUNCTION("""COMPUTED_VALUE"""),29.63)</f>
        <v>29.63</v>
      </c>
      <c r="F260">
        <f ca="1">IFERROR(__xludf.DUMMYFUNCTION("""COMPUTED_VALUE"""),8)</f>
        <v>8</v>
      </c>
      <c r="G260">
        <f ca="1">IFERROR(__xludf.DUMMYFUNCTION("""COMPUTED_VALUE"""),19)</f>
        <v>19</v>
      </c>
      <c r="H260">
        <f ca="1">IFERROR(__xludf.DUMMYFUNCTION("""COMPUTED_VALUE"""),-4)</f>
        <v>-4</v>
      </c>
      <c r="I260">
        <f ca="1">IFERROR(__xludf.DUMMYFUNCTION("""COMPUTED_VALUE"""),-3)</f>
        <v>-3</v>
      </c>
    </row>
    <row r="261" spans="1:9" ht="12.75">
      <c r="A261">
        <f ca="1">IFERROR(__xludf.DUMMYFUNCTION("""COMPUTED_VALUE"""),260)</f>
        <v>260</v>
      </c>
      <c r="B261" t="str">
        <f ca="1">IFERROR(__xludf.DUMMYFUNCTION("""COMPUTED_VALUE"""),"")</f>
        <v/>
      </c>
      <c r="C261" t="str">
        <f ca="1">IFERROR(__xludf.DUMMYFUNCTION("""COMPUTED_VALUE"""),"Dawie van der Walt")</f>
        <v>Dawie van der Walt</v>
      </c>
      <c r="D261">
        <f ca="1">IFERROR(__xludf.DUMMYFUNCTION("""COMPUTED_VALUE"""),4)</f>
        <v>4</v>
      </c>
      <c r="E261">
        <f ca="1">IFERROR(__xludf.DUMMYFUNCTION("""COMPUTED_VALUE"""),28.57)</f>
        <v>28.57</v>
      </c>
      <c r="F261">
        <f ca="1">IFERROR(__xludf.DUMMYFUNCTION("""COMPUTED_VALUE"""),4)</f>
        <v>4</v>
      </c>
      <c r="G261">
        <f ca="1">IFERROR(__xludf.DUMMYFUNCTION("""COMPUTED_VALUE"""),10)</f>
        <v>10</v>
      </c>
      <c r="H261">
        <f ca="1">IFERROR(__xludf.DUMMYFUNCTION("""COMPUTED_VALUE"""),-2)</f>
        <v>-2</v>
      </c>
      <c r="I261">
        <f ca="1">IFERROR(__xludf.DUMMYFUNCTION("""COMPUTED_VALUE"""),-4)</f>
        <v>-4</v>
      </c>
    </row>
    <row r="262" spans="1:9" ht="12.75">
      <c r="A262">
        <f ca="1">IFERROR(__xludf.DUMMYFUNCTION("""COMPUTED_VALUE"""),261)</f>
        <v>261</v>
      </c>
      <c r="B262">
        <f ca="1">IFERROR(__xludf.DUMMYFUNCTION("""COMPUTED_VALUE"""),256)</f>
        <v>256</v>
      </c>
      <c r="C262" t="str">
        <f ca="1">IFERROR(__xludf.DUMMYFUNCTION("""COMPUTED_VALUE"""),"William McGirt")</f>
        <v>William McGirt</v>
      </c>
      <c r="D262">
        <f ca="1">IFERROR(__xludf.DUMMYFUNCTION("""COMPUTED_VALUE"""),6)</f>
        <v>6</v>
      </c>
      <c r="E262">
        <f ca="1">IFERROR(__xludf.DUMMYFUNCTION("""COMPUTED_VALUE"""),26.92)</f>
        <v>26.92</v>
      </c>
      <c r="F262">
        <f ca="1">IFERROR(__xludf.DUMMYFUNCTION("""COMPUTED_VALUE"""),7)</f>
        <v>7</v>
      </c>
      <c r="G262">
        <f ca="1">IFERROR(__xludf.DUMMYFUNCTION("""COMPUTED_VALUE"""),19)</f>
        <v>19</v>
      </c>
      <c r="H262">
        <f ca="1">IFERROR(__xludf.DUMMYFUNCTION("""COMPUTED_VALUE"""),-2)</f>
        <v>-2</v>
      </c>
      <c r="I262" t="str">
        <f ca="1">IFERROR(__xludf.DUMMYFUNCTION("""COMPUTED_VALUE"""),"+1")</f>
        <v>+1</v>
      </c>
    </row>
    <row r="263" spans="1:9" ht="12.75">
      <c r="A263" t="str">
        <f ca="1">IFERROR(__xludf.DUMMYFUNCTION("""COMPUTED_VALUE"""),"T262")</f>
        <v>T262</v>
      </c>
      <c r="B263" t="str">
        <f ca="1">IFERROR(__xludf.DUMMYFUNCTION("""COMPUTED_VALUE"""),"T257")</f>
        <v>T257</v>
      </c>
      <c r="C263" t="str">
        <f ca="1">IFERROR(__xludf.DUMMYFUNCTION("""COMPUTED_VALUE"""),"Shawn Stefani")</f>
        <v>Shawn Stefani</v>
      </c>
      <c r="D263">
        <f ca="1">IFERROR(__xludf.DUMMYFUNCTION("""COMPUTED_VALUE"""),5)</f>
        <v>5</v>
      </c>
      <c r="E263">
        <f ca="1">IFERROR(__xludf.DUMMYFUNCTION("""COMPUTED_VALUE"""),25)</f>
        <v>25</v>
      </c>
      <c r="F263">
        <f ca="1">IFERROR(__xludf.DUMMYFUNCTION("""COMPUTED_VALUE"""),2)</f>
        <v>2</v>
      </c>
      <c r="G263">
        <f ca="1">IFERROR(__xludf.DUMMYFUNCTION("""COMPUTED_VALUE"""),6)</f>
        <v>6</v>
      </c>
      <c r="H263">
        <f ca="1">IFERROR(__xludf.DUMMYFUNCTION("""COMPUTED_VALUE"""),-2)</f>
        <v>-2</v>
      </c>
      <c r="I263" t="str">
        <f ca="1">IFERROR(__xludf.DUMMYFUNCTION("""COMPUTED_VALUE"""),"+2")</f>
        <v>+2</v>
      </c>
    </row>
    <row r="264" spans="1:9" ht="12.75">
      <c r="A264" t="str">
        <f ca="1">IFERROR(__xludf.DUMMYFUNCTION("""COMPUTED_VALUE"""),"T262")</f>
        <v>T262</v>
      </c>
      <c r="B264" t="str">
        <f ca="1">IFERROR(__xludf.DUMMYFUNCTION("""COMPUTED_VALUE"""),"T257")</f>
        <v>T257</v>
      </c>
      <c r="C264" t="str">
        <f ca="1">IFERROR(__xludf.DUMMYFUNCTION("""COMPUTED_VALUE"""),"Ryo Ishikawa")</f>
        <v>Ryo Ishikawa</v>
      </c>
      <c r="D264">
        <f ca="1">IFERROR(__xludf.DUMMYFUNCTION("""COMPUTED_VALUE"""),8)</f>
        <v>8</v>
      </c>
      <c r="E264">
        <f ca="1">IFERROR(__xludf.DUMMYFUNCTION("""COMPUTED_VALUE"""),25)</f>
        <v>25</v>
      </c>
      <c r="F264">
        <f ca="1">IFERROR(__xludf.DUMMYFUNCTION("""COMPUTED_VALUE"""),9)</f>
        <v>9</v>
      </c>
      <c r="G264">
        <f ca="1">IFERROR(__xludf.DUMMYFUNCTION("""COMPUTED_VALUE"""),27)</f>
        <v>27</v>
      </c>
      <c r="H264">
        <f ca="1">IFERROR(__xludf.DUMMYFUNCTION("""COMPUTED_VALUE"""),-4)</f>
        <v>-4</v>
      </c>
      <c r="I264" t="str">
        <f ca="1">IFERROR(__xludf.DUMMYFUNCTION("""COMPUTED_VALUE"""),"+5")</f>
        <v>+5</v>
      </c>
    </row>
    <row r="265" spans="1:9" ht="12.75">
      <c r="A265" t="str">
        <f ca="1">IFERROR(__xludf.DUMMYFUNCTION("""COMPUTED_VALUE"""),"T262")</f>
        <v>T262</v>
      </c>
      <c r="B265">
        <f ca="1">IFERROR(__xludf.DUMMYFUNCTION("""COMPUTED_VALUE"""),252)</f>
        <v>252</v>
      </c>
      <c r="C265" t="str">
        <f ca="1">IFERROR(__xludf.DUMMYFUNCTION("""COMPUTED_VALUE"""),"David Hearn")</f>
        <v>David Hearn</v>
      </c>
      <c r="D265">
        <f ca="1">IFERROR(__xludf.DUMMYFUNCTION("""COMPUTED_VALUE"""),16)</f>
        <v>16</v>
      </c>
      <c r="E265">
        <f ca="1">IFERROR(__xludf.DUMMYFUNCTION("""COMPUTED_VALUE"""),25)</f>
        <v>25</v>
      </c>
      <c r="F265">
        <f ca="1">IFERROR(__xludf.DUMMYFUNCTION("""COMPUTED_VALUE"""),8)</f>
        <v>8</v>
      </c>
      <c r="G265">
        <f ca="1">IFERROR(__xludf.DUMMYFUNCTION("""COMPUTED_VALUE"""),24)</f>
        <v>24</v>
      </c>
      <c r="H265">
        <f ca="1">IFERROR(__xludf.DUMMYFUNCTION("""COMPUTED_VALUE"""),-3)</f>
        <v>-3</v>
      </c>
      <c r="I265">
        <f ca="1">IFERROR(__xludf.DUMMYFUNCTION("""COMPUTED_VALUE"""),-1)</f>
        <v>-1</v>
      </c>
    </row>
    <row r="266" spans="1:9" ht="12.75">
      <c r="A266" t="str">
        <f ca="1">IFERROR(__xludf.DUMMYFUNCTION("""COMPUTED_VALUE"""),"T262")</f>
        <v>T262</v>
      </c>
      <c r="B266" t="str">
        <f ca="1">IFERROR(__xludf.DUMMYFUNCTION("""COMPUTED_VALUE"""),"T257")</f>
        <v>T257</v>
      </c>
      <c r="C266" t="str">
        <f ca="1">IFERROR(__xludf.DUMMYFUNCTION("""COMPUTED_VALUE"""),"Michael Gellerman")</f>
        <v>Michael Gellerman</v>
      </c>
      <c r="D266">
        <f ca="1">IFERROR(__xludf.DUMMYFUNCTION("""COMPUTED_VALUE"""),5)</f>
        <v>5</v>
      </c>
      <c r="E266">
        <f ca="1">IFERROR(__xludf.DUMMYFUNCTION("""COMPUTED_VALUE"""),25)</f>
        <v>25</v>
      </c>
      <c r="F266">
        <f ca="1">IFERROR(__xludf.DUMMYFUNCTION("""COMPUTED_VALUE"""),2)</f>
        <v>2</v>
      </c>
      <c r="G266">
        <f ca="1">IFERROR(__xludf.DUMMYFUNCTION("""COMPUTED_VALUE"""),6)</f>
        <v>6</v>
      </c>
      <c r="H266">
        <f ca="1">IFERROR(__xludf.DUMMYFUNCTION("""COMPUTED_VALUE"""),-1)</f>
        <v>-1</v>
      </c>
      <c r="I266">
        <f ca="1">IFERROR(__xludf.DUMMYFUNCTION("""COMPUTED_VALUE"""),-1)</f>
        <v>-1</v>
      </c>
    </row>
    <row r="267" spans="1:9" ht="12.75">
      <c r="A267" t="str">
        <f ca="1">IFERROR(__xludf.DUMMYFUNCTION("""COMPUTED_VALUE"""),"T262")</f>
        <v>T262</v>
      </c>
      <c r="B267" t="str">
        <f ca="1">IFERROR(__xludf.DUMMYFUNCTION("""COMPUTED_VALUE"""),"T257")</f>
        <v>T257</v>
      </c>
      <c r="C267" t="str">
        <f ca="1">IFERROR(__xludf.DUMMYFUNCTION("""COMPUTED_VALUE"""),"Hank Lebioda")</f>
        <v>Hank Lebioda</v>
      </c>
      <c r="D267">
        <f ca="1">IFERROR(__xludf.DUMMYFUNCTION("""COMPUTED_VALUE"""),14)</f>
        <v>14</v>
      </c>
      <c r="E267">
        <f ca="1">IFERROR(__xludf.DUMMYFUNCTION("""COMPUTED_VALUE"""),25)</f>
        <v>25</v>
      </c>
      <c r="F267">
        <f ca="1">IFERROR(__xludf.DUMMYFUNCTION("""COMPUTED_VALUE"""),7)</f>
        <v>7</v>
      </c>
      <c r="G267">
        <f ca="1">IFERROR(__xludf.DUMMYFUNCTION("""COMPUTED_VALUE"""),21)</f>
        <v>21</v>
      </c>
      <c r="H267">
        <f ca="1">IFERROR(__xludf.DUMMYFUNCTION("""COMPUTED_VALUE"""),-7)</f>
        <v>-7</v>
      </c>
      <c r="I267">
        <f ca="1">IFERROR(__xludf.DUMMYFUNCTION("""COMPUTED_VALUE"""),-5)</f>
        <v>-5</v>
      </c>
    </row>
    <row r="268" spans="1:9" ht="12.75">
      <c r="A268">
        <f ca="1">IFERROR(__xludf.DUMMYFUNCTION("""COMPUTED_VALUE"""),267)</f>
        <v>267</v>
      </c>
      <c r="B268">
        <f ca="1">IFERROR(__xludf.DUMMYFUNCTION("""COMPUTED_VALUE"""),261)</f>
        <v>261</v>
      </c>
      <c r="C268" t="str">
        <f ca="1">IFERROR(__xludf.DUMMYFUNCTION("""COMPUTED_VALUE"""),"Jonathan Byrd")</f>
        <v>Jonathan Byrd</v>
      </c>
      <c r="D268">
        <f ca="1">IFERROR(__xludf.DUMMYFUNCTION("""COMPUTED_VALUE"""),14)</f>
        <v>14</v>
      </c>
      <c r="E268">
        <f ca="1">IFERROR(__xludf.DUMMYFUNCTION("""COMPUTED_VALUE"""),23.08)</f>
        <v>23.08</v>
      </c>
      <c r="F268">
        <f ca="1">IFERROR(__xludf.DUMMYFUNCTION("""COMPUTED_VALUE"""),6)</f>
        <v>6</v>
      </c>
      <c r="G268">
        <f ca="1">IFERROR(__xludf.DUMMYFUNCTION("""COMPUTED_VALUE"""),20)</f>
        <v>20</v>
      </c>
      <c r="H268">
        <f ca="1">IFERROR(__xludf.DUMMYFUNCTION("""COMPUTED_VALUE"""),-2)</f>
        <v>-2</v>
      </c>
      <c r="I268">
        <f ca="1">IFERROR(__xludf.DUMMYFUNCTION("""COMPUTED_VALUE"""),-2)</f>
        <v>-2</v>
      </c>
    </row>
    <row r="269" spans="1:9" ht="12.75">
      <c r="A269">
        <f ca="1">IFERROR(__xludf.DUMMYFUNCTION("""COMPUTED_VALUE"""),268)</f>
        <v>268</v>
      </c>
      <c r="B269">
        <f ca="1">IFERROR(__xludf.DUMMYFUNCTION("""COMPUTED_VALUE"""),262)</f>
        <v>262</v>
      </c>
      <c r="C269" t="str">
        <f ca="1">IFERROR(__xludf.DUMMYFUNCTION("""COMPUTED_VALUE"""),"K.J. Choi")</f>
        <v>K.J. Choi</v>
      </c>
      <c r="D269">
        <f ca="1">IFERROR(__xludf.DUMMYFUNCTION("""COMPUTED_VALUE"""),6)</f>
        <v>6</v>
      </c>
      <c r="E269">
        <f ca="1">IFERROR(__xludf.DUMMYFUNCTION("""COMPUTED_VALUE"""),22.22)</f>
        <v>22.22</v>
      </c>
      <c r="F269">
        <f ca="1">IFERROR(__xludf.DUMMYFUNCTION("""COMPUTED_VALUE"""),6)</f>
        <v>6</v>
      </c>
      <c r="G269">
        <f ca="1">IFERROR(__xludf.DUMMYFUNCTION("""COMPUTED_VALUE"""),21)</f>
        <v>21</v>
      </c>
      <c r="H269">
        <f ca="1">IFERROR(__xludf.DUMMYFUNCTION("""COMPUTED_VALUE"""),-4)</f>
        <v>-4</v>
      </c>
      <c r="I269">
        <f ca="1">IFERROR(__xludf.DUMMYFUNCTION("""COMPUTED_VALUE"""),-7)</f>
        <v>-7</v>
      </c>
    </row>
    <row r="270" spans="1:9" ht="12.75">
      <c r="A270">
        <f ca="1">IFERROR(__xludf.DUMMYFUNCTION("""COMPUTED_VALUE"""),269)</f>
        <v>269</v>
      </c>
      <c r="B270">
        <f ca="1">IFERROR(__xludf.DUMMYFUNCTION("""COMPUTED_VALUE"""),263)</f>
        <v>263</v>
      </c>
      <c r="C270" t="str">
        <f ca="1">IFERROR(__xludf.DUMMYFUNCTION("""COMPUTED_VALUE"""),"Brad Kennedy")</f>
        <v>Brad Kennedy</v>
      </c>
      <c r="D270">
        <f ca="1">IFERROR(__xludf.DUMMYFUNCTION("""COMPUTED_VALUE"""),4)</f>
        <v>4</v>
      </c>
      <c r="E270">
        <f ca="1">IFERROR(__xludf.DUMMYFUNCTION("""COMPUTED_VALUE"""),20.83)</f>
        <v>20.83</v>
      </c>
      <c r="F270">
        <f ca="1">IFERROR(__xludf.DUMMYFUNCTION("""COMPUTED_VALUE"""),5)</f>
        <v>5</v>
      </c>
      <c r="G270">
        <f ca="1">IFERROR(__xludf.DUMMYFUNCTION("""COMPUTED_VALUE"""),19)</f>
        <v>19</v>
      </c>
      <c r="H270">
        <f ca="1">IFERROR(__xludf.DUMMYFUNCTION("""COMPUTED_VALUE"""),-2)</f>
        <v>-2</v>
      </c>
      <c r="I270">
        <f ca="1">IFERROR(__xludf.DUMMYFUNCTION("""COMPUTED_VALUE"""),-7)</f>
        <v>-7</v>
      </c>
    </row>
    <row r="271" spans="1:9" ht="12.75">
      <c r="A271">
        <f ca="1">IFERROR(__xludf.DUMMYFUNCTION("""COMPUTED_VALUE"""),270)</f>
        <v>270</v>
      </c>
      <c r="B271">
        <f ca="1">IFERROR(__xludf.DUMMYFUNCTION("""COMPUTED_VALUE"""),264)</f>
        <v>264</v>
      </c>
      <c r="C271" t="str">
        <f ca="1">IFERROR(__xludf.DUMMYFUNCTION("""COMPUTED_VALUE"""),"Ryan Armour")</f>
        <v>Ryan Armour</v>
      </c>
      <c r="D271">
        <f ca="1">IFERROR(__xludf.DUMMYFUNCTION("""COMPUTED_VALUE"""),16)</f>
        <v>16</v>
      </c>
      <c r="E271">
        <f ca="1">IFERROR(__xludf.DUMMYFUNCTION("""COMPUTED_VALUE"""),16.28)</f>
        <v>16.28</v>
      </c>
      <c r="F271">
        <f ca="1">IFERROR(__xludf.DUMMYFUNCTION("""COMPUTED_VALUE"""),7)</f>
        <v>7</v>
      </c>
      <c r="G271">
        <f ca="1">IFERROR(__xludf.DUMMYFUNCTION("""COMPUTED_VALUE"""),36)</f>
        <v>36</v>
      </c>
      <c r="H271">
        <f ca="1">IFERROR(__xludf.DUMMYFUNCTION("""COMPUTED_VALUE"""),-1)</f>
        <v>-1</v>
      </c>
      <c r="I271">
        <f ca="1">IFERROR(__xludf.DUMMYFUNCTION("""COMPUTED_VALUE"""),-6)</f>
        <v>-6</v>
      </c>
    </row>
    <row r="272" spans="1:9" ht="12.75">
      <c r="A272">
        <f ca="1">IFERROR(__xludf.DUMMYFUNCTION("""COMPUTED_VALUE"""),271)</f>
        <v>271</v>
      </c>
      <c r="B272" t="str">
        <f ca="1">IFERROR(__xludf.DUMMYFUNCTION("""COMPUTED_VALUE"""),"T242")</f>
        <v>T242</v>
      </c>
      <c r="C272" t="str">
        <f ca="1">IFERROR(__xludf.DUMMYFUNCTION("""COMPUTED_VALUE"""),"Graeme McDowell")</f>
        <v>Graeme McDowell</v>
      </c>
      <c r="D272">
        <f ca="1">IFERROR(__xludf.DUMMYFUNCTION("""COMPUTED_VALUE"""),8)</f>
        <v>8</v>
      </c>
      <c r="E272">
        <f ca="1">IFERROR(__xludf.DUMMYFUNCTION("""COMPUTED_VALUE"""),15)</f>
        <v>15</v>
      </c>
      <c r="F272">
        <f ca="1">IFERROR(__xludf.DUMMYFUNCTION("""COMPUTED_VALUE"""),3)</f>
        <v>3</v>
      </c>
      <c r="G272">
        <f ca="1">IFERROR(__xludf.DUMMYFUNCTION("""COMPUTED_VALUE"""),17)</f>
        <v>17</v>
      </c>
      <c r="H272">
        <f ca="1">IFERROR(__xludf.DUMMYFUNCTION("""COMPUTED_VALUE"""),-1)</f>
        <v>-1</v>
      </c>
      <c r="I272">
        <f ca="1">IFERROR(__xludf.DUMMYFUNCTION("""COMPUTED_VALUE"""),-1)</f>
        <v>-1</v>
      </c>
    </row>
    <row r="273" spans="1:9" ht="12.75">
      <c r="A273">
        <f ca="1">IFERROR(__xludf.DUMMYFUNCTION("""COMPUTED_VALUE"""),272)</f>
        <v>272</v>
      </c>
      <c r="B273">
        <f ca="1">IFERROR(__xludf.DUMMYFUNCTION("""COMPUTED_VALUE"""),266)</f>
        <v>266</v>
      </c>
      <c r="C273" t="str">
        <f ca="1">IFERROR(__xludf.DUMMYFUNCTION("""COMPUTED_VALUE"""),"Parker McLachlin")</f>
        <v>Parker McLachlin</v>
      </c>
      <c r="D273">
        <f ca="1">IFERROR(__xludf.DUMMYFUNCTION("""COMPUTED_VALUE"""),4)</f>
        <v>4</v>
      </c>
      <c r="E273">
        <f ca="1">IFERROR(__xludf.DUMMYFUNCTION("""COMPUTED_VALUE"""),12.5)</f>
        <v>12.5</v>
      </c>
      <c r="F273">
        <f ca="1">IFERROR(__xludf.DUMMYFUNCTION("""COMPUTED_VALUE"""),1)</f>
        <v>1</v>
      </c>
      <c r="G273">
        <f ca="1">IFERROR(__xludf.DUMMYFUNCTION("""COMPUTED_VALUE"""),7)</f>
        <v>7</v>
      </c>
      <c r="H273">
        <f ca="1">IFERROR(__xludf.DUMMYFUNCTION("""COMPUTED_VALUE"""),-1)</f>
        <v>-1</v>
      </c>
      <c r="I273" t="str">
        <f ca="1">IFERROR(__xludf.DUMMYFUNCTION("""COMPUTED_VALUE"""),"E")</f>
        <v>E</v>
      </c>
    </row>
    <row r="274" spans="1:9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IFERROR(__xludf.DUMMYFUNCTION("""COMPUTED_VALUE"""),"Danny Willett")</f>
        <v>Danny Willett</v>
      </c>
      <c r="D274">
        <f ca="1">IFERROR(__xludf.DUMMYFUNCTION("""COMPUTED_VALUE"""),7)</f>
        <v>7</v>
      </c>
      <c r="E274">
        <f ca="1">IFERROR(__xludf.DUMMYFUNCTION("""COMPUTED_VALUE"""),11.11)</f>
        <v>11.11</v>
      </c>
      <c r="F274">
        <f ca="1">IFERROR(__xludf.DUMMYFUNCTION("""COMPUTED_VALUE"""),1)</f>
        <v>1</v>
      </c>
      <c r="G274">
        <f ca="1">IFERROR(__xludf.DUMMYFUNCTION("""COMPUTED_VALUE"""),8)</f>
        <v>8</v>
      </c>
      <c r="H274" t="str">
        <f ca="1">IFERROR(__xludf.DUMMYFUNCTION("""COMPUTED_VALUE"""),"+1")</f>
        <v>+1</v>
      </c>
      <c r="I274" t="str">
        <f ca="1">IFERROR(__xludf.DUMMYFUNCTION("""COMPUTED_VALUE"""),"+3")</f>
        <v>+3</v>
      </c>
    </row>
    <row r="275" spans="1:9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IFERROR(__xludf.DUMMYFUNCTION("""COMPUTED_VALUE"""),"Christiaan Bezuidenhout")</f>
        <v>Christiaan Bezuidenhout</v>
      </c>
      <c r="D275">
        <f ca="1">IFERROR(__xludf.DUMMYFUNCTION("""COMPUTED_VALUE"""),4)</f>
        <v>4</v>
      </c>
      <c r="E275">
        <f ca="1">IFERROR(__xludf.DUMMYFUNCTION("""COMPUTED_VALUE"""),8.33)</f>
        <v>8.33</v>
      </c>
      <c r="F275">
        <f ca="1">IFERROR(__xludf.DUMMYFUNCTION("""COMPUTED_VALUE"""),1)</f>
        <v>1</v>
      </c>
      <c r="G275">
        <f ca="1">IFERROR(__xludf.DUMMYFUNCTION("""COMPUTED_VALUE"""),11)</f>
        <v>11</v>
      </c>
      <c r="H275" t="str">
        <f ca="1">IFERROR(__xludf.DUMMYFUNCTION("""COMPUTED_VALUE"""),"E")</f>
        <v>E</v>
      </c>
      <c r="I275" t="str">
        <f ca="1">IFERROR(__xludf.DUMMYFUNCTION("""COMPUTED_VALUE"""),"+3")</f>
        <v>+3</v>
      </c>
    </row>
    <row r="276" spans="1:9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IFERROR(__xludf.DUMMYFUNCTION("""COMPUTED_VALUE"""),"Jim Furyk")</f>
        <v>Jim Furyk</v>
      </c>
      <c r="D276">
        <f ca="1">IFERROR(__xludf.DUMMYFUNCTION("""COMPUTED_VALUE"""),4)</f>
        <v>4</v>
      </c>
      <c r="E276">
        <f ca="1">IFERROR(__xludf.DUMMYFUNCTION("""COMPUTED_VALUE"""),6.25)</f>
        <v>6.25</v>
      </c>
      <c r="F276">
        <f ca="1">IFERROR(__xludf.DUMMYFUNCTION("""COMPUTED_VALUE"""),1)</f>
        <v>1</v>
      </c>
      <c r="G276">
        <f ca="1">IFERROR(__xludf.DUMMYFUNCTION("""COMPUTED_VALUE"""),15)</f>
        <v>15</v>
      </c>
      <c r="H276" t="str">
        <f ca="1">IFERROR(__xludf.DUMMYFUNCTION("""COMPUTED_VALUE"""),"E")</f>
        <v>E</v>
      </c>
      <c r="I276">
        <f ca="1">IFERROR(__xludf.DUMMYFUNCTION("""COMPUTED_VALUE"""),-4)</f>
        <v>-4</v>
      </c>
    </row>
    <row r="277" spans="1:9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IFERROR(__xludf.DUMMYFUNCTION("""COMPUTED_VALUE"""),"George McNeill")</f>
        <v>George McNeill</v>
      </c>
      <c r="D277">
        <f ca="1">IFERROR(__xludf.DUMMYFUNCTION("""COMPUTED_VALUE"""),8)</f>
        <v>8</v>
      </c>
      <c r="E277">
        <f ca="1">IFERROR(__xludf.DUMMYFUNCTION("""COMPUTED_VALUE"""),0)</f>
        <v>0</v>
      </c>
      <c r="F277">
        <f ca="1">IFERROR(__xludf.DUMMYFUNCTION("""COMPUTED_VALUE"""),0)</f>
        <v>0</v>
      </c>
      <c r="G277">
        <f ca="1">IFERROR(__xludf.DUMMYFUNCTION("""COMPUTED_VALUE"""),8)</f>
        <v>8</v>
      </c>
      <c r="H277" t="str">
        <f ca="1">IFERROR(__xludf.DUMMYFUNCTION("""COMPUTED_VALUE"""),"E")</f>
        <v>E</v>
      </c>
      <c r="I277" t="str">
        <f ca="1">IFERROR(__xludf.DUMMYFUNCTION("""COMPUTED_VALUE"""),"E")</f>
        <v>E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276"/>
  <sheetViews>
    <sheetView workbookViewId="0"/>
  </sheetViews>
  <sheetFormatPr defaultColWidth="14.42578125" defaultRowHeight="15.75" customHeight="1"/>
  <sheetData>
    <row r="1" spans="1:9" ht="15.75" customHeight="1">
      <c r="A1" t="str">
        <f ca="1">IFERROR(__xludf.DUMMYFUNCTION("importhtml(""http://www.pgatour.com/stats/stat.486.html"",""table"",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IFERROR(__xludf.DUMMYFUNCTION("""COMPUTED_VALUE"""),"SUCCESSES")</f>
        <v>SUCCESSES</v>
      </c>
      <c r="G1" t="str">
        <f ca="1">IFERROR(__xludf.DUMMYFUNCTION("""COMPUTED_VALUE"""),"ATTEMPTS")</f>
        <v>ATTEMPTS</v>
      </c>
      <c r="H1" t="str">
        <f ca="1">IFERROR(__xludf.DUMMYFUNCTION("""COMPUTED_VALUE"""),"RTP-SUCCESSES")</f>
        <v>RTP-SUCCESSES</v>
      </c>
      <c r="I1" t="str">
        <f ca="1">IFERROR(__xludf.DUMMYFUNCTION("""COMPUTED_VALUE"""),"RTP-NOT GOING FOR THE GRN")</f>
        <v>RTP-NOT GOING FOR THE GRN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IFERROR(__xludf.DUMMYFUNCTION("""COMPUTED_VALUE"""),"Christiaan Bezuidenhout")</f>
        <v>Christiaan Bezuidenhout</v>
      </c>
      <c r="D2">
        <f ca="1">IFERROR(__xludf.DUMMYFUNCTION("""COMPUTED_VALUE"""),4)</f>
        <v>4</v>
      </c>
      <c r="E2">
        <f ca="1">IFERROR(__xludf.DUMMYFUNCTION("""COMPUTED_VALUE"""),100)</f>
        <v>100</v>
      </c>
      <c r="F2">
        <f ca="1">IFERROR(__xludf.DUMMYFUNCTION("""COMPUTED_VALUE"""),1)</f>
        <v>1</v>
      </c>
      <c r="G2">
        <f ca="1">IFERROR(__xludf.DUMMYFUNCTION("""COMPUTED_VALUE"""),1)</f>
        <v>1</v>
      </c>
      <c r="H2" t="str">
        <f ca="1">IFERROR(__xludf.DUMMYFUNCTION("""COMPUTED_VALUE"""),"E")</f>
        <v>E</v>
      </c>
      <c r="I2" t="str">
        <f ca="1">IFERROR(__xludf.DUMMYFUNCTION("""COMPUTED_VALUE"""),"+3.00")</f>
        <v>+3.00</v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IFERROR(__xludf.DUMMYFUNCTION("""COMPUTED_VALUE"""),"Robert MacIntyre")</f>
        <v>Robert MacIntyre</v>
      </c>
      <c r="D3">
        <f ca="1">IFERROR(__xludf.DUMMYFUNCTION("""COMPUTED_VALUE"""),4)</f>
        <v>4</v>
      </c>
      <c r="E3">
        <f ca="1">IFERROR(__xludf.DUMMYFUNCTION("""COMPUTED_VALUE"""),57.14)</f>
        <v>57.14</v>
      </c>
      <c r="F3">
        <f ca="1">IFERROR(__xludf.DUMMYFUNCTION("""COMPUTED_VALUE"""),4)</f>
        <v>4</v>
      </c>
      <c r="G3">
        <f ca="1">IFERROR(__xludf.DUMMYFUNCTION("""COMPUTED_VALUE"""),7)</f>
        <v>7</v>
      </c>
      <c r="H3">
        <f ca="1">IFERROR(__xludf.DUMMYFUNCTION("""COMPUTED_VALUE"""),-2)</f>
        <v>-2</v>
      </c>
      <c r="I3" t="str">
        <f ca="1">IFERROR(__xludf.DUMMYFUNCTION("""COMPUTED_VALUE"""),"E")</f>
        <v>E</v>
      </c>
    </row>
    <row r="4" spans="1:9" ht="15.75" customHeight="1">
      <c r="A4">
        <f ca="1">IFERROR(__xludf.DUMMYFUNCTION("""COMPUTED_VALUE"""),3)</f>
        <v>3</v>
      </c>
      <c r="B4" t="str">
        <f ca="1">IFERROR(__xludf.DUMMYFUNCTION("""COMPUTED_VALUE"""),"T3")</f>
        <v>T3</v>
      </c>
      <c r="C4" t="str">
        <f ca="1">IFERROR(__xludf.DUMMYFUNCTION("""COMPUTED_VALUE"""),"Bernd Wiesberger")</f>
        <v>Bernd Wiesberger</v>
      </c>
      <c r="D4">
        <f ca="1">IFERROR(__xludf.DUMMYFUNCTION("""COMPUTED_VALUE"""),4)</f>
        <v>4</v>
      </c>
      <c r="E4">
        <f ca="1">IFERROR(__xludf.DUMMYFUNCTION("""COMPUTED_VALUE"""),50)</f>
        <v>50</v>
      </c>
      <c r="F4">
        <f ca="1">IFERROR(__xludf.DUMMYFUNCTION("""COMPUTED_VALUE"""),3)</f>
        <v>3</v>
      </c>
      <c r="G4">
        <f ca="1">IFERROR(__xludf.DUMMYFUNCTION("""COMPUTED_VALUE"""),6)</f>
        <v>6</v>
      </c>
      <c r="H4">
        <f ca="1">IFERROR(__xludf.DUMMYFUNCTION("""COMPUTED_VALUE"""),-1)</f>
        <v>-1</v>
      </c>
      <c r="I4" t="str">
        <f ca="1">IFERROR(__xludf.DUMMYFUNCTION("""COMPUTED_VALUE"""),"E")</f>
        <v>E</v>
      </c>
    </row>
    <row r="5" spans="1:9" ht="15.75" customHeight="1">
      <c r="A5">
        <f ca="1">IFERROR(__xludf.DUMMYFUNCTION("""COMPUTED_VALUE"""),4)</f>
        <v>4</v>
      </c>
      <c r="B5" t="str">
        <f ca="1">IFERROR(__xludf.DUMMYFUNCTION("""COMPUTED_VALUE"""),"T6")</f>
        <v>T6</v>
      </c>
      <c r="C5" t="str">
        <f ca="1">IFERROR(__xludf.DUMMYFUNCTION("""COMPUTED_VALUE"""),"Lee Westwood")</f>
        <v>Lee Westwood</v>
      </c>
      <c r="D5">
        <f ca="1">IFERROR(__xludf.DUMMYFUNCTION("""COMPUTED_VALUE"""),6)</f>
        <v>6</v>
      </c>
      <c r="E5">
        <f ca="1">IFERROR(__xludf.DUMMYFUNCTION("""COMPUTED_VALUE"""),45.45)</f>
        <v>45.45</v>
      </c>
      <c r="F5">
        <f ca="1">IFERROR(__xludf.DUMMYFUNCTION("""COMPUTED_VALUE"""),5)</f>
        <v>5</v>
      </c>
      <c r="G5">
        <f ca="1">IFERROR(__xludf.DUMMYFUNCTION("""COMPUTED_VALUE"""),11)</f>
        <v>11</v>
      </c>
      <c r="H5">
        <f ca="1">IFERROR(__xludf.DUMMYFUNCTION("""COMPUTED_VALUE"""),-4)</f>
        <v>-4</v>
      </c>
      <c r="I5" t="str">
        <f ca="1">IFERROR(__xludf.DUMMYFUNCTION("""COMPUTED_VALUE"""),"E")</f>
        <v>E</v>
      </c>
    </row>
    <row r="6" spans="1:9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IFERROR(__xludf.DUMMYFUNCTION("""COMPUTED_VALUE"""),"Bryson DeChambeau")</f>
        <v>Bryson DeChambeau</v>
      </c>
      <c r="D6">
        <f ca="1">IFERROR(__xludf.DUMMYFUNCTION("""COMPUTED_VALUE"""),8)</f>
        <v>8</v>
      </c>
      <c r="E6">
        <f ca="1">IFERROR(__xludf.DUMMYFUNCTION("""COMPUTED_VALUE"""),44.83)</f>
        <v>44.83</v>
      </c>
      <c r="F6">
        <f ca="1">IFERROR(__xludf.DUMMYFUNCTION("""COMPUTED_VALUE"""),13)</f>
        <v>13</v>
      </c>
      <c r="G6">
        <f ca="1">IFERROR(__xludf.DUMMYFUNCTION("""COMPUTED_VALUE"""),29)</f>
        <v>29</v>
      </c>
      <c r="H6">
        <f ca="1">IFERROR(__xludf.DUMMYFUNCTION("""COMPUTED_VALUE"""),-16)</f>
        <v>-16</v>
      </c>
      <c r="I6" t="str">
        <f ca="1">IFERROR(__xludf.DUMMYFUNCTION("""COMPUTED_VALUE"""),"+2.00")</f>
        <v>+2.00</v>
      </c>
    </row>
    <row r="7" spans="1:9" ht="15.75" customHeight="1">
      <c r="A7">
        <f ca="1">IFERROR(__xludf.DUMMYFUNCTION("""COMPUTED_VALUE"""),6)</f>
        <v>6</v>
      </c>
      <c r="B7" t="str">
        <f ca="1">IFERROR(__xludf.DUMMYFUNCTION("""COMPUTED_VALUE"""),"")</f>
        <v/>
      </c>
      <c r="C7" t="str">
        <f ca="1">IFERROR(__xludf.DUMMYFUNCTION("""COMPUTED_VALUE"""),"Erik Barnes")</f>
        <v>Erik Barnes</v>
      </c>
      <c r="D7">
        <f ca="1">IFERROR(__xludf.DUMMYFUNCTION("""COMPUTED_VALUE"""),4)</f>
        <v>4</v>
      </c>
      <c r="E7">
        <f ca="1">IFERROR(__xludf.DUMMYFUNCTION("""COMPUTED_VALUE"""),42.86)</f>
        <v>42.86</v>
      </c>
      <c r="F7">
        <f ca="1">IFERROR(__xludf.DUMMYFUNCTION("""COMPUTED_VALUE"""),3)</f>
        <v>3</v>
      </c>
      <c r="G7">
        <f ca="1">IFERROR(__xludf.DUMMYFUNCTION("""COMPUTED_VALUE"""),7)</f>
        <v>7</v>
      </c>
      <c r="H7">
        <f ca="1">IFERROR(__xludf.DUMMYFUNCTION("""COMPUTED_VALUE"""),-3)</f>
        <v>-3</v>
      </c>
      <c r="I7">
        <f ca="1">IFERROR(__xludf.DUMMYFUNCTION("""COMPUTED_VALUE"""),-1)</f>
        <v>-1</v>
      </c>
    </row>
    <row r="8" spans="1:9" ht="15.75" customHeight="1">
      <c r="A8" t="str">
        <f ca="1">IFERROR(__xludf.DUMMYFUNCTION("""COMPUTED_VALUE"""),"T7")</f>
        <v>T7</v>
      </c>
      <c r="B8" t="str">
        <f ca="1">IFERROR(__xludf.DUMMYFUNCTION("""COMPUTED_VALUE"""),"T9")</f>
        <v>T9</v>
      </c>
      <c r="C8" t="str">
        <f ca="1">IFERROR(__xludf.DUMMYFUNCTION("""COMPUTED_VALUE"""),"Kevin Na")</f>
        <v>Kevin Na</v>
      </c>
      <c r="D8">
        <f ca="1">IFERROR(__xludf.DUMMYFUNCTION("""COMPUTED_VALUE"""),14)</f>
        <v>14</v>
      </c>
      <c r="E8">
        <f ca="1">IFERROR(__xludf.DUMMYFUNCTION("""COMPUTED_VALUE"""),40)</f>
        <v>40</v>
      </c>
      <c r="F8">
        <f ca="1">IFERROR(__xludf.DUMMYFUNCTION("""COMPUTED_VALUE"""),18)</f>
        <v>18</v>
      </c>
      <c r="G8">
        <f ca="1">IFERROR(__xludf.DUMMYFUNCTION("""COMPUTED_VALUE"""),45)</f>
        <v>45</v>
      </c>
      <c r="H8">
        <f ca="1">IFERROR(__xludf.DUMMYFUNCTION("""COMPUTED_VALUE"""),-19)</f>
        <v>-19</v>
      </c>
      <c r="I8">
        <f ca="1">IFERROR(__xludf.DUMMYFUNCTION("""COMPUTED_VALUE"""),-3)</f>
        <v>-3</v>
      </c>
    </row>
    <row r="9" spans="1:9" ht="15.75" customHeight="1">
      <c r="A9" t="str">
        <f ca="1">IFERROR(__xludf.DUMMYFUNCTION("""COMPUTED_VALUE"""),"T7")</f>
        <v>T7</v>
      </c>
      <c r="B9" t="str">
        <f ca="1">IFERROR(__xludf.DUMMYFUNCTION("""COMPUTED_VALUE"""),"T9")</f>
        <v>T9</v>
      </c>
      <c r="C9" t="str">
        <f ca="1">IFERROR(__xludf.DUMMYFUNCTION("""COMPUTED_VALUE"""),"Josh Teater")</f>
        <v>Josh Teater</v>
      </c>
      <c r="D9">
        <f ca="1">IFERROR(__xludf.DUMMYFUNCTION("""COMPUTED_VALUE"""),6)</f>
        <v>6</v>
      </c>
      <c r="E9">
        <f ca="1">IFERROR(__xludf.DUMMYFUNCTION("""COMPUTED_VALUE"""),40)</f>
        <v>40</v>
      </c>
      <c r="F9">
        <f ca="1">IFERROR(__xludf.DUMMYFUNCTION("""COMPUTED_VALUE"""),2)</f>
        <v>2</v>
      </c>
      <c r="G9">
        <f ca="1">IFERROR(__xludf.DUMMYFUNCTION("""COMPUTED_VALUE"""),5)</f>
        <v>5</v>
      </c>
      <c r="H9" t="str">
        <f ca="1">IFERROR(__xludf.DUMMYFUNCTION("""COMPUTED_VALUE"""),"E")</f>
        <v>E</v>
      </c>
      <c r="I9">
        <f ca="1">IFERROR(__xludf.DUMMYFUNCTION("""COMPUTED_VALUE"""),-2)</f>
        <v>-2</v>
      </c>
    </row>
    <row r="10" spans="1:9" ht="15.75" customHeight="1">
      <c r="A10" t="str">
        <f ca="1">IFERROR(__xludf.DUMMYFUNCTION("""COMPUTED_VALUE"""),"T7")</f>
        <v>T7</v>
      </c>
      <c r="B10">
        <f ca="1">IFERROR(__xludf.DUMMYFUNCTION("""COMPUTED_VALUE"""),8)</f>
        <v>8</v>
      </c>
      <c r="C10" t="str">
        <f ca="1">IFERROR(__xludf.DUMMYFUNCTION("""COMPUTED_VALUE"""),"Martin Laird")</f>
        <v>Martin Laird</v>
      </c>
      <c r="D10">
        <f ca="1">IFERROR(__xludf.DUMMYFUNCTION("""COMPUTED_VALUE"""),16)</f>
        <v>16</v>
      </c>
      <c r="E10">
        <f ca="1">IFERROR(__xludf.DUMMYFUNCTION("""COMPUTED_VALUE"""),40)</f>
        <v>40</v>
      </c>
      <c r="F10">
        <f ca="1">IFERROR(__xludf.DUMMYFUNCTION("""COMPUTED_VALUE"""),10)</f>
        <v>10</v>
      </c>
      <c r="G10">
        <f ca="1">IFERROR(__xludf.DUMMYFUNCTION("""COMPUTED_VALUE"""),25)</f>
        <v>25</v>
      </c>
      <c r="H10">
        <f ca="1">IFERROR(__xludf.DUMMYFUNCTION("""COMPUTED_VALUE"""),-10)</f>
        <v>-10</v>
      </c>
      <c r="I10">
        <f ca="1">IFERROR(__xludf.DUMMYFUNCTION("""COMPUTED_VALUE"""),-2)</f>
        <v>-2</v>
      </c>
    </row>
    <row r="11" spans="1:9" ht="15.75" customHeight="1">
      <c r="A11" t="str">
        <f ca="1">IFERROR(__xludf.DUMMYFUNCTION("""COMPUTED_VALUE"""),"T7")</f>
        <v>T7</v>
      </c>
      <c r="B11" t="str">
        <f ca="1">IFERROR(__xludf.DUMMYFUNCTION("""COMPUTED_VALUE"""),"T9")</f>
        <v>T9</v>
      </c>
      <c r="C11" t="str">
        <f ca="1">IFERROR(__xludf.DUMMYFUNCTION("""COMPUTED_VALUE"""),"Zack Sucher")</f>
        <v>Zack Sucher</v>
      </c>
      <c r="D11">
        <f ca="1">IFERROR(__xludf.DUMMYFUNCTION("""COMPUTED_VALUE"""),6)</f>
        <v>6</v>
      </c>
      <c r="E11">
        <f ca="1">IFERROR(__xludf.DUMMYFUNCTION("""COMPUTED_VALUE"""),40)</f>
        <v>40</v>
      </c>
      <c r="F11">
        <f ca="1">IFERROR(__xludf.DUMMYFUNCTION("""COMPUTED_VALUE"""),2)</f>
        <v>2</v>
      </c>
      <c r="G11">
        <f ca="1">IFERROR(__xludf.DUMMYFUNCTION("""COMPUTED_VALUE"""),5)</f>
        <v>5</v>
      </c>
      <c r="H11">
        <f ca="1">IFERROR(__xludf.DUMMYFUNCTION("""COMPUTED_VALUE"""),-2)</f>
        <v>-2</v>
      </c>
      <c r="I11" t="str">
        <f ca="1">IFERROR(__xludf.DUMMYFUNCTION("""COMPUTED_VALUE"""),"+2.00")</f>
        <v>+2.00</v>
      </c>
    </row>
    <row r="12" spans="1:9" ht="15.75" customHeight="1">
      <c r="A12" t="str">
        <f ca="1">IFERROR(__xludf.DUMMYFUNCTION("""COMPUTED_VALUE"""),"T7")</f>
        <v>T7</v>
      </c>
      <c r="B12" t="str">
        <f ca="1">IFERROR(__xludf.DUMMYFUNCTION("""COMPUTED_VALUE"""),"T9")</f>
        <v>T9</v>
      </c>
      <c r="C12" t="str">
        <f ca="1">IFERROR(__xludf.DUMMYFUNCTION("""COMPUTED_VALUE"""),"Justin Suh")</f>
        <v>Justin Suh</v>
      </c>
      <c r="D12">
        <f ca="1">IFERROR(__xludf.DUMMYFUNCTION("""COMPUTED_VALUE"""),10)</f>
        <v>10</v>
      </c>
      <c r="E12">
        <f ca="1">IFERROR(__xludf.DUMMYFUNCTION("""COMPUTED_VALUE"""),40)</f>
        <v>40</v>
      </c>
      <c r="F12">
        <f ca="1">IFERROR(__xludf.DUMMYFUNCTION("""COMPUTED_VALUE"""),6)</f>
        <v>6</v>
      </c>
      <c r="G12">
        <f ca="1">IFERROR(__xludf.DUMMYFUNCTION("""COMPUTED_VALUE"""),15)</f>
        <v>15</v>
      </c>
      <c r="H12">
        <f ca="1">IFERROR(__xludf.DUMMYFUNCTION("""COMPUTED_VALUE"""),-7)</f>
        <v>-7</v>
      </c>
      <c r="I12">
        <f ca="1">IFERROR(__xludf.DUMMYFUNCTION("""COMPUTED_VALUE"""),-2)</f>
        <v>-2</v>
      </c>
    </row>
    <row r="13" spans="1:9" ht="15.75" customHeight="1">
      <c r="A13" t="str">
        <f ca="1">IFERROR(__xludf.DUMMYFUNCTION("""COMPUTED_VALUE"""),"T12")</f>
        <v>T12</v>
      </c>
      <c r="B13" t="str">
        <f ca="1">IFERROR(__xludf.DUMMYFUNCTION("""COMPUTED_VALUE"""),"T6")</f>
        <v>T6</v>
      </c>
      <c r="C13" t="str">
        <f ca="1">IFERROR(__xludf.DUMMYFUNCTION("""COMPUTED_VALUE"""),"Bo Van Pelt")</f>
        <v>Bo Van Pelt</v>
      </c>
      <c r="D13">
        <f ca="1">IFERROR(__xludf.DUMMYFUNCTION("""COMPUTED_VALUE"""),10)</f>
        <v>10</v>
      </c>
      <c r="E13">
        <f ca="1">IFERROR(__xludf.DUMMYFUNCTION("""COMPUTED_VALUE"""),37.5)</f>
        <v>37.5</v>
      </c>
      <c r="F13">
        <f ca="1">IFERROR(__xludf.DUMMYFUNCTION("""COMPUTED_VALUE"""),3)</f>
        <v>3</v>
      </c>
      <c r="G13">
        <f ca="1">IFERROR(__xludf.DUMMYFUNCTION("""COMPUTED_VALUE"""),8)</f>
        <v>8</v>
      </c>
      <c r="H13" t="str">
        <f ca="1">IFERROR(__xludf.DUMMYFUNCTION("""COMPUTED_VALUE"""),"E")</f>
        <v>E</v>
      </c>
      <c r="I13">
        <f ca="1">IFERROR(__xludf.DUMMYFUNCTION("""COMPUTED_VALUE"""),-3)</f>
        <v>-3</v>
      </c>
    </row>
    <row r="14" spans="1:9" ht="15.75" customHeight="1">
      <c r="A14" t="str">
        <f ca="1">IFERROR(__xludf.DUMMYFUNCTION("""COMPUTED_VALUE"""),"T12")</f>
        <v>T12</v>
      </c>
      <c r="B14" t="str">
        <f ca="1">IFERROR(__xludf.DUMMYFUNCTION("""COMPUTED_VALUE"""),"T13")</f>
        <v>T13</v>
      </c>
      <c r="C14" t="str">
        <f ca="1">IFERROR(__xludf.DUMMYFUNCTION("""COMPUTED_VALUE"""),"Tommy Fleetwood")</f>
        <v>Tommy Fleetwood</v>
      </c>
      <c r="D14">
        <f ca="1">IFERROR(__xludf.DUMMYFUNCTION("""COMPUTED_VALUE"""),10)</f>
        <v>10</v>
      </c>
      <c r="E14">
        <f ca="1">IFERROR(__xludf.DUMMYFUNCTION("""COMPUTED_VALUE"""),37.5)</f>
        <v>37.5</v>
      </c>
      <c r="F14">
        <f ca="1">IFERROR(__xludf.DUMMYFUNCTION("""COMPUTED_VALUE"""),12)</f>
        <v>12</v>
      </c>
      <c r="G14">
        <f ca="1">IFERROR(__xludf.DUMMYFUNCTION("""COMPUTED_VALUE"""),32)</f>
        <v>32</v>
      </c>
      <c r="H14">
        <f ca="1">IFERROR(__xludf.DUMMYFUNCTION("""COMPUTED_VALUE"""),-11)</f>
        <v>-11</v>
      </c>
      <c r="I14" t="str">
        <f ca="1">IFERROR(__xludf.DUMMYFUNCTION("""COMPUTED_VALUE"""),"+9.00")</f>
        <v>+9.00</v>
      </c>
    </row>
    <row r="15" spans="1:9" ht="15.75" customHeight="1">
      <c r="A15">
        <f ca="1">IFERROR(__xludf.DUMMYFUNCTION("""COMPUTED_VALUE"""),14)</f>
        <v>14</v>
      </c>
      <c r="B15">
        <f ca="1">IFERROR(__xludf.DUMMYFUNCTION("""COMPUTED_VALUE"""),15)</f>
        <v>15</v>
      </c>
      <c r="C15" t="str">
        <f ca="1">IFERROR(__xludf.DUMMYFUNCTION("""COMPUTED_VALUE"""),"Will Gordon")</f>
        <v>Will Gordon</v>
      </c>
      <c r="D15">
        <f ca="1">IFERROR(__xludf.DUMMYFUNCTION("""COMPUTED_VALUE"""),20)</f>
        <v>20</v>
      </c>
      <c r="E15">
        <f ca="1">IFERROR(__xludf.DUMMYFUNCTION("""COMPUTED_VALUE"""),36.96)</f>
        <v>36.96</v>
      </c>
      <c r="F15">
        <f ca="1">IFERROR(__xludf.DUMMYFUNCTION("""COMPUTED_VALUE"""),17)</f>
        <v>17</v>
      </c>
      <c r="G15">
        <f ca="1">IFERROR(__xludf.DUMMYFUNCTION("""COMPUTED_VALUE"""),46)</f>
        <v>46</v>
      </c>
      <c r="H15">
        <f ca="1">IFERROR(__xludf.DUMMYFUNCTION("""COMPUTED_VALUE"""),-15)</f>
        <v>-15</v>
      </c>
      <c r="I15" t="str">
        <f ca="1">IFERROR(__xludf.DUMMYFUNCTION("""COMPUTED_VALUE"""),"+1.00")</f>
        <v>+1.00</v>
      </c>
    </row>
    <row r="16" spans="1:9" ht="15.75" customHeight="1">
      <c r="A16">
        <f ca="1">IFERROR(__xludf.DUMMYFUNCTION("""COMPUTED_VALUE"""),15)</f>
        <v>15</v>
      </c>
      <c r="B16">
        <f ca="1">IFERROR(__xludf.DUMMYFUNCTION("""COMPUTED_VALUE"""),16)</f>
        <v>16</v>
      </c>
      <c r="C16" t="str">
        <f ca="1">IFERROR(__xludf.DUMMYFUNCTION("""COMPUTED_VALUE"""),"Gunn Charoenkul")</f>
        <v>Gunn Charoenkul</v>
      </c>
      <c r="D16">
        <f ca="1">IFERROR(__xludf.DUMMYFUNCTION("""COMPUTED_VALUE"""),4)</f>
        <v>4</v>
      </c>
      <c r="E16">
        <f ca="1">IFERROR(__xludf.DUMMYFUNCTION("""COMPUTED_VALUE"""),36.36)</f>
        <v>36.36</v>
      </c>
      <c r="F16">
        <f ca="1">IFERROR(__xludf.DUMMYFUNCTION("""COMPUTED_VALUE"""),4)</f>
        <v>4</v>
      </c>
      <c r="G16">
        <f ca="1">IFERROR(__xludf.DUMMYFUNCTION("""COMPUTED_VALUE"""),11)</f>
        <v>11</v>
      </c>
      <c r="H16">
        <f ca="1">IFERROR(__xludf.DUMMYFUNCTION("""COMPUTED_VALUE"""),-3)</f>
        <v>-3</v>
      </c>
      <c r="I16">
        <f ca="1">IFERROR(__xludf.DUMMYFUNCTION("""COMPUTED_VALUE"""),-3)</f>
        <v>-3</v>
      </c>
    </row>
    <row r="17" spans="1:9" ht="15.75" customHeight="1">
      <c r="A17">
        <f ca="1">IFERROR(__xludf.DUMMYFUNCTION("""COMPUTED_VALUE"""),16)</f>
        <v>16</v>
      </c>
      <c r="B17">
        <f ca="1">IFERROR(__xludf.DUMMYFUNCTION("""COMPUTED_VALUE"""),18)</f>
        <v>18</v>
      </c>
      <c r="C17" t="str">
        <f ca="1">IFERROR(__xludf.DUMMYFUNCTION("""COMPUTED_VALUE"""),"Cameron Smith")</f>
        <v>Cameron Smith</v>
      </c>
      <c r="D17">
        <f ca="1">IFERROR(__xludf.DUMMYFUNCTION("""COMPUTED_VALUE"""),16)</f>
        <v>16</v>
      </c>
      <c r="E17">
        <f ca="1">IFERROR(__xludf.DUMMYFUNCTION("""COMPUTED_VALUE"""),34.88)</f>
        <v>34.880000000000003</v>
      </c>
      <c r="F17">
        <f ca="1">IFERROR(__xludf.DUMMYFUNCTION("""COMPUTED_VALUE"""),15)</f>
        <v>15</v>
      </c>
      <c r="G17">
        <f ca="1">IFERROR(__xludf.DUMMYFUNCTION("""COMPUTED_VALUE"""),43)</f>
        <v>43</v>
      </c>
      <c r="H17">
        <f ca="1">IFERROR(__xludf.DUMMYFUNCTION("""COMPUTED_VALUE"""),-18)</f>
        <v>-18</v>
      </c>
      <c r="I17">
        <f ca="1">IFERROR(__xludf.DUMMYFUNCTION("""COMPUTED_VALUE"""),-8)</f>
        <v>-8</v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IFERROR(__xludf.DUMMYFUNCTION("""COMPUTED_VALUE"""),19)</f>
        <v>19</v>
      </c>
      <c r="C18" t="str">
        <f ca="1">IFERROR(__xludf.DUMMYFUNCTION("""COMPUTED_VALUE"""),"Rory McIlroy")</f>
        <v>Rory McIlroy</v>
      </c>
      <c r="D18">
        <f ca="1">IFERROR(__xludf.DUMMYFUNCTION("""COMPUTED_VALUE"""),12)</f>
        <v>12</v>
      </c>
      <c r="E18">
        <f ca="1">IFERROR(__xludf.DUMMYFUNCTION("""COMPUTED_VALUE"""),34.78)</f>
        <v>34.78</v>
      </c>
      <c r="F18">
        <f ca="1">IFERROR(__xludf.DUMMYFUNCTION("""COMPUTED_VALUE"""),16)</f>
        <v>16</v>
      </c>
      <c r="G18">
        <f ca="1">IFERROR(__xludf.DUMMYFUNCTION("""COMPUTED_VALUE"""),46)</f>
        <v>46</v>
      </c>
      <c r="H18">
        <f ca="1">IFERROR(__xludf.DUMMYFUNCTION("""COMPUTED_VALUE"""),-13)</f>
        <v>-13</v>
      </c>
      <c r="I18">
        <f ca="1">IFERROR(__xludf.DUMMYFUNCTION("""COMPUTED_VALUE"""),-2)</f>
        <v>-2</v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IFERROR(__xludf.DUMMYFUNCTION("""COMPUTED_VALUE"""),20)</f>
        <v>20</v>
      </c>
      <c r="C19" t="str">
        <f ca="1">IFERROR(__xludf.DUMMYFUNCTION("""COMPUTED_VALUE"""),"Justin Thomas")</f>
        <v>Justin Thomas</v>
      </c>
      <c r="D19">
        <f ca="1">IFERROR(__xludf.DUMMYFUNCTION("""COMPUTED_VALUE"""),12)</f>
        <v>12</v>
      </c>
      <c r="E19">
        <f ca="1">IFERROR(__xludf.DUMMYFUNCTION("""COMPUTED_VALUE"""),34.48)</f>
        <v>34.479999999999997</v>
      </c>
      <c r="F19">
        <f ca="1">IFERROR(__xludf.DUMMYFUNCTION("""COMPUTED_VALUE"""),10)</f>
        <v>10</v>
      </c>
      <c r="G19">
        <f ca="1">IFERROR(__xludf.DUMMYFUNCTION("""COMPUTED_VALUE"""),29)</f>
        <v>29</v>
      </c>
      <c r="H19">
        <f ca="1">IFERROR(__xludf.DUMMYFUNCTION("""COMPUTED_VALUE"""),-11)</f>
        <v>-11</v>
      </c>
      <c r="I19">
        <f ca="1">IFERROR(__xludf.DUMMYFUNCTION("""COMPUTED_VALUE"""),-6)</f>
        <v>-6</v>
      </c>
    </row>
    <row r="20" spans="1:9" ht="15.75" customHeight="1">
      <c r="A20" t="str">
        <f ca="1">IFERROR(__xludf.DUMMYFUNCTION("""COMPUTED_VALUE"""),"T19")</f>
        <v>T19</v>
      </c>
      <c r="B20">
        <f ca="1">IFERROR(__xludf.DUMMYFUNCTION("""COMPUTED_VALUE"""),30)</f>
        <v>30</v>
      </c>
      <c r="C20" t="str">
        <f ca="1">IFERROR(__xludf.DUMMYFUNCTION("""COMPUTED_VALUE"""),"Keegan Bradley")</f>
        <v>Keegan Bradley</v>
      </c>
      <c r="D20">
        <f ca="1">IFERROR(__xludf.DUMMYFUNCTION("""COMPUTED_VALUE"""),16)</f>
        <v>16</v>
      </c>
      <c r="E20">
        <f ca="1">IFERROR(__xludf.DUMMYFUNCTION("""COMPUTED_VALUE"""),34.04)</f>
        <v>34.04</v>
      </c>
      <c r="F20">
        <f ca="1">IFERROR(__xludf.DUMMYFUNCTION("""COMPUTED_VALUE"""),16)</f>
        <v>16</v>
      </c>
      <c r="G20">
        <f ca="1">IFERROR(__xludf.DUMMYFUNCTION("""COMPUTED_VALUE"""),47)</f>
        <v>47</v>
      </c>
      <c r="H20">
        <f ca="1">IFERROR(__xludf.DUMMYFUNCTION("""COMPUTED_VALUE"""),-18)</f>
        <v>-18</v>
      </c>
      <c r="I20" t="str">
        <f ca="1">IFERROR(__xludf.DUMMYFUNCTION("""COMPUTED_VALUE"""),"+1.00")</f>
        <v>+1.00</v>
      </c>
    </row>
    <row r="21" spans="1:9" ht="15.75" customHeight="1">
      <c r="A21" t="str">
        <f ca="1">IFERROR(__xludf.DUMMYFUNCTION("""COMPUTED_VALUE"""),"T19")</f>
        <v>T19</v>
      </c>
      <c r="B21">
        <f ca="1">IFERROR(__xludf.DUMMYFUNCTION("""COMPUTED_VALUE"""),21)</f>
        <v>21</v>
      </c>
      <c r="C21" t="str">
        <f ca="1">IFERROR(__xludf.DUMMYFUNCTION("""COMPUTED_VALUE"""),"Cameron Champ")</f>
        <v>Cameron Champ</v>
      </c>
      <c r="D21">
        <f ca="1">IFERROR(__xludf.DUMMYFUNCTION("""COMPUTED_VALUE"""),12)</f>
        <v>12</v>
      </c>
      <c r="E21">
        <f ca="1">IFERROR(__xludf.DUMMYFUNCTION("""COMPUTED_VALUE"""),34.04)</f>
        <v>34.04</v>
      </c>
      <c r="F21">
        <f ca="1">IFERROR(__xludf.DUMMYFUNCTION("""COMPUTED_VALUE"""),16)</f>
        <v>16</v>
      </c>
      <c r="G21">
        <f ca="1">IFERROR(__xludf.DUMMYFUNCTION("""COMPUTED_VALUE"""),47)</f>
        <v>47</v>
      </c>
      <c r="H21">
        <f ca="1">IFERROR(__xludf.DUMMYFUNCTION("""COMPUTED_VALUE"""),-16)</f>
        <v>-16</v>
      </c>
      <c r="I21">
        <f ca="1">IFERROR(__xludf.DUMMYFUNCTION("""COMPUTED_VALUE"""),-1)</f>
        <v>-1</v>
      </c>
    </row>
    <row r="22" spans="1:9" ht="15.75" customHeight="1">
      <c r="A22" t="str">
        <f ca="1">IFERROR(__xludf.DUMMYFUNCTION("""COMPUTED_VALUE"""),"T21")</f>
        <v>T21</v>
      </c>
      <c r="B22" t="str">
        <f ca="1">IFERROR(__xludf.DUMMYFUNCTION("""COMPUTED_VALUE"""),"T22")</f>
        <v>T22</v>
      </c>
      <c r="C22" t="str">
        <f ca="1">IFERROR(__xludf.DUMMYFUNCTION("""COMPUTED_VALUE"""),"Brian Gay")</f>
        <v>Brian Gay</v>
      </c>
      <c r="D22">
        <f ca="1">IFERROR(__xludf.DUMMYFUNCTION("""COMPUTED_VALUE"""),8)</f>
        <v>8</v>
      </c>
      <c r="E22">
        <f ca="1">IFERROR(__xludf.DUMMYFUNCTION("""COMPUTED_VALUE"""),33.33)</f>
        <v>33.33</v>
      </c>
      <c r="F22">
        <f ca="1">IFERROR(__xludf.DUMMYFUNCTION("""COMPUTED_VALUE"""),3)</f>
        <v>3</v>
      </c>
      <c r="G22">
        <f ca="1">IFERROR(__xludf.DUMMYFUNCTION("""COMPUTED_VALUE"""),9)</f>
        <v>9</v>
      </c>
      <c r="H22">
        <f ca="1">IFERROR(__xludf.DUMMYFUNCTION("""COMPUTED_VALUE"""),-3)</f>
        <v>-3</v>
      </c>
      <c r="I22" t="str">
        <f ca="1">IFERROR(__xludf.DUMMYFUNCTION("""COMPUTED_VALUE"""),"+1.00")</f>
        <v>+1.00</v>
      </c>
    </row>
    <row r="23" spans="1:9" ht="15.75" customHeight="1">
      <c r="A23" t="str">
        <f ca="1">IFERROR(__xludf.DUMMYFUNCTION("""COMPUTED_VALUE"""),"T21")</f>
        <v>T21</v>
      </c>
      <c r="B23" t="str">
        <f ca="1">IFERROR(__xludf.DUMMYFUNCTION("""COMPUTED_VALUE"""),"T3")</f>
        <v>T3</v>
      </c>
      <c r="C23" t="str">
        <f ca="1">IFERROR(__xludf.DUMMYFUNCTION("""COMPUTED_VALUE"""),"Graeme McDowell")</f>
        <v>Graeme McDowell</v>
      </c>
      <c r="D23">
        <f ca="1">IFERROR(__xludf.DUMMYFUNCTION("""COMPUTED_VALUE"""),8)</f>
        <v>8</v>
      </c>
      <c r="E23">
        <f ca="1">IFERROR(__xludf.DUMMYFUNCTION("""COMPUTED_VALUE"""),33.33)</f>
        <v>33.33</v>
      </c>
      <c r="F23">
        <f ca="1">IFERROR(__xludf.DUMMYFUNCTION("""COMPUTED_VALUE"""),1)</f>
        <v>1</v>
      </c>
      <c r="G23">
        <f ca="1">IFERROR(__xludf.DUMMYFUNCTION("""COMPUTED_VALUE"""),3)</f>
        <v>3</v>
      </c>
      <c r="H23">
        <f ca="1">IFERROR(__xludf.DUMMYFUNCTION("""COMPUTED_VALUE"""),-1)</f>
        <v>-1</v>
      </c>
      <c r="I23">
        <f ca="1">IFERROR(__xludf.DUMMYFUNCTION("""COMPUTED_VALUE"""),-1)</f>
        <v>-1</v>
      </c>
    </row>
    <row r="24" spans="1:9" ht="15.75" customHeight="1">
      <c r="A24" t="str">
        <f ca="1">IFERROR(__xludf.DUMMYFUNCTION("""COMPUTED_VALUE"""),"T21")</f>
        <v>T21</v>
      </c>
      <c r="B24" t="str">
        <f ca="1">IFERROR(__xludf.DUMMYFUNCTION("""COMPUTED_VALUE"""),"T22")</f>
        <v>T22</v>
      </c>
      <c r="C24" t="str">
        <f ca="1">IFERROR(__xludf.DUMMYFUNCTION("""COMPUTED_VALUE"""),"Luke List")</f>
        <v>Luke List</v>
      </c>
      <c r="D24">
        <f ca="1">IFERROR(__xludf.DUMMYFUNCTION("""COMPUTED_VALUE"""),18)</f>
        <v>18</v>
      </c>
      <c r="E24">
        <f ca="1">IFERROR(__xludf.DUMMYFUNCTION("""COMPUTED_VALUE"""),33.33)</f>
        <v>33.33</v>
      </c>
      <c r="F24">
        <f ca="1">IFERROR(__xludf.DUMMYFUNCTION("""COMPUTED_VALUE"""),10)</f>
        <v>10</v>
      </c>
      <c r="G24">
        <f ca="1">IFERROR(__xludf.DUMMYFUNCTION("""COMPUTED_VALUE"""),30)</f>
        <v>30</v>
      </c>
      <c r="H24">
        <f ca="1">IFERROR(__xludf.DUMMYFUNCTION("""COMPUTED_VALUE"""),-12)</f>
        <v>-12</v>
      </c>
      <c r="I24" t="str">
        <f ca="1">IFERROR(__xludf.DUMMYFUNCTION("""COMPUTED_VALUE"""),"+5.00")</f>
        <v>+5.00</v>
      </c>
    </row>
    <row r="25" spans="1:9" ht="15.75" customHeight="1">
      <c r="A25" t="str">
        <f ca="1">IFERROR(__xludf.DUMMYFUNCTION("""COMPUTED_VALUE"""),"T21")</f>
        <v>T21</v>
      </c>
      <c r="B25" t="str">
        <f ca="1">IFERROR(__xludf.DUMMYFUNCTION("""COMPUTED_VALUE"""),"T33")</f>
        <v>T33</v>
      </c>
      <c r="C25" t="str">
        <f ca="1">IFERROR(__xludf.DUMMYFUNCTION("""COMPUTED_VALUE"""),"James Hahn")</f>
        <v>James Hahn</v>
      </c>
      <c r="D25">
        <f ca="1">IFERROR(__xludf.DUMMYFUNCTION("""COMPUTED_VALUE"""),16)</f>
        <v>16</v>
      </c>
      <c r="E25">
        <f ca="1">IFERROR(__xludf.DUMMYFUNCTION("""COMPUTED_VALUE"""),33.33)</f>
        <v>33.33</v>
      </c>
      <c r="F25">
        <f ca="1">IFERROR(__xludf.DUMMYFUNCTION("""COMPUTED_VALUE"""),9)</f>
        <v>9</v>
      </c>
      <c r="G25">
        <f ca="1">IFERROR(__xludf.DUMMYFUNCTION("""COMPUTED_VALUE"""),27)</f>
        <v>27</v>
      </c>
      <c r="H25">
        <f ca="1">IFERROR(__xludf.DUMMYFUNCTION("""COMPUTED_VALUE"""),-11)</f>
        <v>-11</v>
      </c>
      <c r="I25">
        <f ca="1">IFERROR(__xludf.DUMMYFUNCTION("""COMPUTED_VALUE"""),-1)</f>
        <v>-1</v>
      </c>
    </row>
    <row r="26" spans="1:9" ht="15.75" customHeight="1">
      <c r="A26" t="str">
        <f ca="1">IFERROR(__xludf.DUMMYFUNCTION("""COMPUTED_VALUE"""),"T21")</f>
        <v>T21</v>
      </c>
      <c r="B26" t="str">
        <f ca="1">IFERROR(__xludf.DUMMYFUNCTION("""COMPUTED_VALUE"""),"T22")</f>
        <v>T22</v>
      </c>
      <c r="C26" t="str">
        <f ca="1">IFERROR(__xludf.DUMMYFUNCTION("""COMPUTED_VALUE"""),"Harris English")</f>
        <v>Harris English</v>
      </c>
      <c r="D26">
        <f ca="1">IFERROR(__xludf.DUMMYFUNCTION("""COMPUTED_VALUE"""),14)</f>
        <v>14</v>
      </c>
      <c r="E26">
        <f ca="1">IFERROR(__xludf.DUMMYFUNCTION("""COMPUTED_VALUE"""),33.33)</f>
        <v>33.33</v>
      </c>
      <c r="F26">
        <f ca="1">IFERROR(__xludf.DUMMYFUNCTION("""COMPUTED_VALUE"""),14)</f>
        <v>14</v>
      </c>
      <c r="G26">
        <f ca="1">IFERROR(__xludf.DUMMYFUNCTION("""COMPUTED_VALUE"""),42)</f>
        <v>42</v>
      </c>
      <c r="H26">
        <f ca="1">IFERROR(__xludf.DUMMYFUNCTION("""COMPUTED_VALUE"""),-15)</f>
        <v>-15</v>
      </c>
      <c r="I26">
        <f ca="1">IFERROR(__xludf.DUMMYFUNCTION("""COMPUTED_VALUE"""),-5)</f>
        <v>-5</v>
      </c>
    </row>
    <row r="27" spans="1:9" ht="15.75" customHeight="1">
      <c r="A27" t="str">
        <f ca="1">IFERROR(__xludf.DUMMYFUNCTION("""COMPUTED_VALUE"""),"T21")</f>
        <v>T21</v>
      </c>
      <c r="B27" t="str">
        <f ca="1">IFERROR(__xludf.DUMMYFUNCTION("""COMPUTED_VALUE"""),"")</f>
        <v/>
      </c>
      <c r="C27" t="str">
        <f ca="1">IFERROR(__xludf.DUMMYFUNCTION("""COMPUTED_VALUE"""),"Ollie Schniederjans")</f>
        <v>Ollie Schniederjans</v>
      </c>
      <c r="D27">
        <f ca="1">IFERROR(__xludf.DUMMYFUNCTION("""COMPUTED_VALUE"""),6)</f>
        <v>6</v>
      </c>
      <c r="E27">
        <f ca="1">IFERROR(__xludf.DUMMYFUNCTION("""COMPUTED_VALUE"""),33.33)</f>
        <v>33.33</v>
      </c>
      <c r="F27">
        <f ca="1">IFERROR(__xludf.DUMMYFUNCTION("""COMPUTED_VALUE"""),1)</f>
        <v>1</v>
      </c>
      <c r="G27">
        <f ca="1">IFERROR(__xludf.DUMMYFUNCTION("""COMPUTED_VALUE"""),3)</f>
        <v>3</v>
      </c>
      <c r="H27">
        <f ca="1">IFERROR(__xludf.DUMMYFUNCTION("""COMPUTED_VALUE"""),-1)</f>
        <v>-1</v>
      </c>
      <c r="I27" t="str">
        <f ca="1">IFERROR(__xludf.DUMMYFUNCTION("""COMPUTED_VALUE"""),"+2.00")</f>
        <v>+2.00</v>
      </c>
    </row>
    <row r="28" spans="1:9" ht="15.75" customHeight="1">
      <c r="A28" t="str">
        <f ca="1">IFERROR(__xludf.DUMMYFUNCTION("""COMPUTED_VALUE"""),"T21")</f>
        <v>T21</v>
      </c>
      <c r="B28" t="str">
        <f ca="1">IFERROR(__xludf.DUMMYFUNCTION("""COMPUTED_VALUE"""),"T22")</f>
        <v>T22</v>
      </c>
      <c r="C28" t="str">
        <f ca="1">IFERROR(__xludf.DUMMYFUNCTION("""COMPUTED_VALUE"""),"Davis Riley")</f>
        <v>Davis Riley</v>
      </c>
      <c r="D28">
        <f ca="1">IFERROR(__xludf.DUMMYFUNCTION("""COMPUTED_VALUE"""),4)</f>
        <v>4</v>
      </c>
      <c r="E28">
        <f ca="1">IFERROR(__xludf.DUMMYFUNCTION("""COMPUTED_VALUE"""),33.33)</f>
        <v>33.33</v>
      </c>
      <c r="F28">
        <f ca="1">IFERROR(__xludf.DUMMYFUNCTION("""COMPUTED_VALUE"""),3)</f>
        <v>3</v>
      </c>
      <c r="G28">
        <f ca="1">IFERROR(__xludf.DUMMYFUNCTION("""COMPUTED_VALUE"""),9)</f>
        <v>9</v>
      </c>
      <c r="H28" t="str">
        <f ca="1">IFERROR(__xludf.DUMMYFUNCTION("""COMPUTED_VALUE"""),"E")</f>
        <v>E</v>
      </c>
      <c r="I28" t="str">
        <f ca="1">IFERROR(__xludf.DUMMYFUNCTION("""COMPUTED_VALUE"""),"+2.00")</f>
        <v>+2.00</v>
      </c>
    </row>
    <row r="29" spans="1:9" ht="15.75" customHeight="1">
      <c r="A29" t="str">
        <f ca="1">IFERROR(__xludf.DUMMYFUNCTION("""COMPUTED_VALUE"""),"T21")</f>
        <v>T21</v>
      </c>
      <c r="B29" t="str">
        <f ca="1">IFERROR(__xludf.DUMMYFUNCTION("""COMPUTED_VALUE"""),"T22")</f>
        <v>T22</v>
      </c>
      <c r="C29" t="str">
        <f ca="1">IFERROR(__xludf.DUMMYFUNCTION("""COMPUTED_VALUE"""),"Rasmus Hojgaard")</f>
        <v>Rasmus Hojgaard</v>
      </c>
      <c r="D29">
        <f ca="1">IFERROR(__xludf.DUMMYFUNCTION("""COMPUTED_VALUE"""),6)</f>
        <v>6</v>
      </c>
      <c r="E29">
        <f ca="1">IFERROR(__xludf.DUMMYFUNCTION("""COMPUTED_VALUE"""),33.33)</f>
        <v>33.33</v>
      </c>
      <c r="F29">
        <f ca="1">IFERROR(__xludf.DUMMYFUNCTION("""COMPUTED_VALUE"""),1)</f>
        <v>1</v>
      </c>
      <c r="G29">
        <f ca="1">IFERROR(__xludf.DUMMYFUNCTION("""COMPUTED_VALUE"""),3)</f>
        <v>3</v>
      </c>
      <c r="H29">
        <f ca="1">IFERROR(__xludf.DUMMYFUNCTION("""COMPUTED_VALUE"""),-1)</f>
        <v>-1</v>
      </c>
      <c r="I29" t="str">
        <f ca="1">IFERROR(__xludf.DUMMYFUNCTION("""COMPUTED_VALUE"""),"+2.00")</f>
        <v>+2.00</v>
      </c>
    </row>
    <row r="30" spans="1:9" ht="15.75" customHeight="1">
      <c r="A30">
        <f ca="1">IFERROR(__xludf.DUMMYFUNCTION("""COMPUTED_VALUE"""),29)</f>
        <v>29</v>
      </c>
      <c r="B30">
        <f ca="1">IFERROR(__xludf.DUMMYFUNCTION("""COMPUTED_VALUE"""),35)</f>
        <v>35</v>
      </c>
      <c r="C30" t="str">
        <f ca="1">IFERROR(__xludf.DUMMYFUNCTION("""COMPUTED_VALUE"""),"MJ Daffue")</f>
        <v>MJ Daffue</v>
      </c>
      <c r="D30">
        <f ca="1">IFERROR(__xludf.DUMMYFUNCTION("""COMPUTED_VALUE"""),10)</f>
        <v>10</v>
      </c>
      <c r="E30">
        <f ca="1">IFERROR(__xludf.DUMMYFUNCTION("""COMPUTED_VALUE"""),31.43)</f>
        <v>31.43</v>
      </c>
      <c r="F30">
        <f ca="1">IFERROR(__xludf.DUMMYFUNCTION("""COMPUTED_VALUE"""),11)</f>
        <v>11</v>
      </c>
      <c r="G30">
        <f ca="1">IFERROR(__xludf.DUMMYFUNCTION("""COMPUTED_VALUE"""),35)</f>
        <v>35</v>
      </c>
      <c r="H30">
        <f ca="1">IFERROR(__xludf.DUMMYFUNCTION("""COMPUTED_VALUE"""),-13)</f>
        <v>-13</v>
      </c>
      <c r="I30" t="str">
        <f ca="1">IFERROR(__xludf.DUMMYFUNCTION("""COMPUTED_VALUE"""),"E")</f>
        <v>E</v>
      </c>
    </row>
    <row r="31" spans="1:9" ht="12.75">
      <c r="A31" t="str">
        <f ca="1">IFERROR(__xludf.DUMMYFUNCTION("""COMPUTED_VALUE"""),"T30")</f>
        <v>T30</v>
      </c>
      <c r="B31" t="str">
        <f ca="1">IFERROR(__xludf.DUMMYFUNCTION("""COMPUTED_VALUE"""),"T36")</f>
        <v>T36</v>
      </c>
      <c r="C31" t="str">
        <f ca="1">IFERROR(__xludf.DUMMYFUNCTION("""COMPUTED_VALUE"""),"Gary Woodland")</f>
        <v>Gary Woodland</v>
      </c>
      <c r="D31">
        <f ca="1">IFERROR(__xludf.DUMMYFUNCTION("""COMPUTED_VALUE"""),6)</f>
        <v>6</v>
      </c>
      <c r="E31">
        <f ca="1">IFERROR(__xludf.DUMMYFUNCTION("""COMPUTED_VALUE"""),31.25)</f>
        <v>31.25</v>
      </c>
      <c r="F31">
        <f ca="1">IFERROR(__xludf.DUMMYFUNCTION("""COMPUTED_VALUE"""),5)</f>
        <v>5</v>
      </c>
      <c r="G31">
        <f ca="1">IFERROR(__xludf.DUMMYFUNCTION("""COMPUTED_VALUE"""),16)</f>
        <v>16</v>
      </c>
      <c r="H31">
        <f ca="1">IFERROR(__xludf.DUMMYFUNCTION("""COMPUTED_VALUE"""),-7)</f>
        <v>-7</v>
      </c>
      <c r="I31" t="str">
        <f ca="1">IFERROR(__xludf.DUMMYFUNCTION("""COMPUTED_VALUE"""),"+3.00")</f>
        <v>+3.00</v>
      </c>
    </row>
    <row r="32" spans="1:9" ht="12.75">
      <c r="A32" t="str">
        <f ca="1">IFERROR(__xludf.DUMMYFUNCTION("""COMPUTED_VALUE"""),"T30")</f>
        <v>T30</v>
      </c>
      <c r="B32" t="str">
        <f ca="1">IFERROR(__xludf.DUMMYFUNCTION("""COMPUTED_VALUE"""),"T36")</f>
        <v>T36</v>
      </c>
      <c r="C32" t="str">
        <f ca="1">IFERROR(__xludf.DUMMYFUNCTION("""COMPUTED_VALUE"""),"Joseph Bramlett")</f>
        <v>Joseph Bramlett</v>
      </c>
      <c r="D32">
        <f ca="1">IFERROR(__xludf.DUMMYFUNCTION("""COMPUTED_VALUE"""),18)</f>
        <v>18</v>
      </c>
      <c r="E32">
        <f ca="1">IFERROR(__xludf.DUMMYFUNCTION("""COMPUTED_VALUE"""),31.25)</f>
        <v>31.25</v>
      </c>
      <c r="F32">
        <f ca="1">IFERROR(__xludf.DUMMYFUNCTION("""COMPUTED_VALUE"""),10)</f>
        <v>10</v>
      </c>
      <c r="G32">
        <f ca="1">IFERROR(__xludf.DUMMYFUNCTION("""COMPUTED_VALUE"""),32)</f>
        <v>32</v>
      </c>
      <c r="H32">
        <f ca="1">IFERROR(__xludf.DUMMYFUNCTION("""COMPUTED_VALUE"""),-11)</f>
        <v>-11</v>
      </c>
      <c r="I32" t="str">
        <f ca="1">IFERROR(__xludf.DUMMYFUNCTION("""COMPUTED_VALUE"""),"+2.00")</f>
        <v>+2.00</v>
      </c>
    </row>
    <row r="33" spans="1:9" ht="12.75">
      <c r="A33" t="str">
        <f ca="1">IFERROR(__xludf.DUMMYFUNCTION("""COMPUTED_VALUE"""),"T30")</f>
        <v>T30</v>
      </c>
      <c r="B33">
        <f ca="1">IFERROR(__xludf.DUMMYFUNCTION("""COMPUTED_VALUE"""),31)</f>
        <v>31</v>
      </c>
      <c r="C33" t="str">
        <f ca="1">IFERROR(__xludf.DUMMYFUNCTION("""COMPUTED_VALUE"""),"Cameron Davis")</f>
        <v>Cameron Davis</v>
      </c>
      <c r="D33">
        <f ca="1">IFERROR(__xludf.DUMMYFUNCTION("""COMPUTED_VALUE"""),16)</f>
        <v>16</v>
      </c>
      <c r="E33">
        <f ca="1">IFERROR(__xludf.DUMMYFUNCTION("""COMPUTED_VALUE"""),31.25)</f>
        <v>31.25</v>
      </c>
      <c r="F33">
        <f ca="1">IFERROR(__xludf.DUMMYFUNCTION("""COMPUTED_VALUE"""),15)</f>
        <v>15</v>
      </c>
      <c r="G33">
        <f ca="1">IFERROR(__xludf.DUMMYFUNCTION("""COMPUTED_VALUE"""),48)</f>
        <v>48</v>
      </c>
      <c r="H33">
        <f ca="1">IFERROR(__xludf.DUMMYFUNCTION("""COMPUTED_VALUE"""),-16)</f>
        <v>-16</v>
      </c>
      <c r="I33">
        <f ca="1">IFERROR(__xludf.DUMMYFUNCTION("""COMPUTED_VALUE"""),-4)</f>
        <v>-4</v>
      </c>
    </row>
    <row r="34" spans="1:9" ht="12.75">
      <c r="A34">
        <f ca="1">IFERROR(__xludf.DUMMYFUNCTION("""COMPUTED_VALUE"""),33)</f>
        <v>33</v>
      </c>
      <c r="B34" t="str">
        <f ca="1">IFERROR(__xludf.DUMMYFUNCTION("""COMPUTED_VALUE"""),"T39")</f>
        <v>T39</v>
      </c>
      <c r="C34" t="str">
        <f ca="1">IFERROR(__xludf.DUMMYFUNCTION("""COMPUTED_VALUE"""),"Rob Oppenheim")</f>
        <v>Rob Oppenheim</v>
      </c>
      <c r="D34">
        <f ca="1">IFERROR(__xludf.DUMMYFUNCTION("""COMPUTED_VALUE"""),16)</f>
        <v>16</v>
      </c>
      <c r="E34">
        <f ca="1">IFERROR(__xludf.DUMMYFUNCTION("""COMPUTED_VALUE"""),30.77)</f>
        <v>30.77</v>
      </c>
      <c r="F34">
        <f ca="1">IFERROR(__xludf.DUMMYFUNCTION("""COMPUTED_VALUE"""),8)</f>
        <v>8</v>
      </c>
      <c r="G34">
        <f ca="1">IFERROR(__xludf.DUMMYFUNCTION("""COMPUTED_VALUE"""),26)</f>
        <v>26</v>
      </c>
      <c r="H34">
        <f ca="1">IFERROR(__xludf.DUMMYFUNCTION("""COMPUTED_VALUE"""),-9)</f>
        <v>-9</v>
      </c>
      <c r="I34">
        <f ca="1">IFERROR(__xludf.DUMMYFUNCTION("""COMPUTED_VALUE"""),-4)</f>
        <v>-4</v>
      </c>
    </row>
    <row r="35" spans="1:9" ht="12.75">
      <c r="A35" t="str">
        <f ca="1">IFERROR(__xludf.DUMMYFUNCTION("""COMPUTED_VALUE"""),"T34")</f>
        <v>T34</v>
      </c>
      <c r="B35">
        <f ca="1">IFERROR(__xludf.DUMMYFUNCTION("""COMPUTED_VALUE"""),32)</f>
        <v>32</v>
      </c>
      <c r="C35" t="str">
        <f ca="1">IFERROR(__xludf.DUMMYFUNCTION("""COMPUTED_VALUE"""),"Charley Hoffman")</f>
        <v>Charley Hoffman</v>
      </c>
      <c r="D35">
        <f ca="1">IFERROR(__xludf.DUMMYFUNCTION("""COMPUTED_VALUE"""),20)</f>
        <v>20</v>
      </c>
      <c r="E35">
        <f ca="1">IFERROR(__xludf.DUMMYFUNCTION("""COMPUTED_VALUE"""),30.56)</f>
        <v>30.56</v>
      </c>
      <c r="F35">
        <f ca="1">IFERROR(__xludf.DUMMYFUNCTION("""COMPUTED_VALUE"""),11)</f>
        <v>11</v>
      </c>
      <c r="G35">
        <f ca="1">IFERROR(__xludf.DUMMYFUNCTION("""COMPUTED_VALUE"""),36)</f>
        <v>36</v>
      </c>
      <c r="H35">
        <f ca="1">IFERROR(__xludf.DUMMYFUNCTION("""COMPUTED_VALUE"""),-10)</f>
        <v>-10</v>
      </c>
      <c r="I35">
        <f ca="1">IFERROR(__xludf.DUMMYFUNCTION("""COMPUTED_VALUE"""),-1)</f>
        <v>-1</v>
      </c>
    </row>
    <row r="36" spans="1:9" ht="12.75">
      <c r="A36" t="str">
        <f ca="1">IFERROR(__xludf.DUMMYFUNCTION("""COMPUTED_VALUE"""),"T34")</f>
        <v>T34</v>
      </c>
      <c r="B36">
        <f ca="1">IFERROR(__xludf.DUMMYFUNCTION("""COMPUTED_VALUE"""),41)</f>
        <v>41</v>
      </c>
      <c r="C36" t="str">
        <f ca="1">IFERROR(__xludf.DUMMYFUNCTION("""COMPUTED_VALUE"""),"Webb Simpson")</f>
        <v>Webb Simpson</v>
      </c>
      <c r="D36">
        <f ca="1">IFERROR(__xludf.DUMMYFUNCTION("""COMPUTED_VALUE"""),12)</f>
        <v>12</v>
      </c>
      <c r="E36">
        <f ca="1">IFERROR(__xludf.DUMMYFUNCTION("""COMPUTED_VALUE"""),30.56)</f>
        <v>30.56</v>
      </c>
      <c r="F36">
        <f ca="1">IFERROR(__xludf.DUMMYFUNCTION("""COMPUTED_VALUE"""),11)</f>
        <v>11</v>
      </c>
      <c r="G36">
        <f ca="1">IFERROR(__xludf.DUMMYFUNCTION("""COMPUTED_VALUE"""),36)</f>
        <v>36</v>
      </c>
      <c r="H36">
        <f ca="1">IFERROR(__xludf.DUMMYFUNCTION("""COMPUTED_VALUE"""),-12)</f>
        <v>-12</v>
      </c>
      <c r="I36">
        <f ca="1">IFERROR(__xludf.DUMMYFUNCTION("""COMPUTED_VALUE"""),-2)</f>
        <v>-2</v>
      </c>
    </row>
    <row r="37" spans="1:9" ht="12.75">
      <c r="A37" t="str">
        <f ca="1">IFERROR(__xludf.DUMMYFUNCTION("""COMPUTED_VALUE"""),"T36")</f>
        <v>T36</v>
      </c>
      <c r="B37">
        <f ca="1">IFERROR(__xludf.DUMMYFUNCTION("""COMPUTED_VALUE"""),17)</f>
        <v>17</v>
      </c>
      <c r="C37" t="str">
        <f ca="1">IFERROR(__xludf.DUMMYFUNCTION("""COMPUTED_VALUE"""),"Nate Lashley")</f>
        <v>Nate Lashley</v>
      </c>
      <c r="D37">
        <f ca="1">IFERROR(__xludf.DUMMYFUNCTION("""COMPUTED_VALUE"""),16)</f>
        <v>16</v>
      </c>
      <c r="E37">
        <f ca="1">IFERROR(__xludf.DUMMYFUNCTION("""COMPUTED_VALUE"""),30.43)</f>
        <v>30.43</v>
      </c>
      <c r="F37">
        <f ca="1">IFERROR(__xludf.DUMMYFUNCTION("""COMPUTED_VALUE"""),7)</f>
        <v>7</v>
      </c>
      <c r="G37">
        <f ca="1">IFERROR(__xludf.DUMMYFUNCTION("""COMPUTED_VALUE"""),23)</f>
        <v>23</v>
      </c>
      <c r="H37">
        <f ca="1">IFERROR(__xludf.DUMMYFUNCTION("""COMPUTED_VALUE"""),-7)</f>
        <v>-7</v>
      </c>
      <c r="I37">
        <f ca="1">IFERROR(__xludf.DUMMYFUNCTION("""COMPUTED_VALUE"""),-2)</f>
        <v>-2</v>
      </c>
    </row>
    <row r="38" spans="1:9" ht="12.75">
      <c r="A38" t="str">
        <f ca="1">IFERROR(__xludf.DUMMYFUNCTION("""COMPUTED_VALUE"""),"T36")</f>
        <v>T36</v>
      </c>
      <c r="B38" t="str">
        <f ca="1">IFERROR(__xludf.DUMMYFUNCTION("""COMPUTED_VALUE"""),"T46")</f>
        <v>T46</v>
      </c>
      <c r="C38" t="str">
        <f ca="1">IFERROR(__xludf.DUMMYFUNCTION("""COMPUTED_VALUE"""),"Xinjun Zhang")</f>
        <v>Xinjun Zhang</v>
      </c>
      <c r="D38">
        <f ca="1">IFERROR(__xludf.DUMMYFUNCTION("""COMPUTED_VALUE"""),14)</f>
        <v>14</v>
      </c>
      <c r="E38">
        <f ca="1">IFERROR(__xludf.DUMMYFUNCTION("""COMPUTED_VALUE"""),30.43)</f>
        <v>30.43</v>
      </c>
      <c r="F38">
        <f ca="1">IFERROR(__xludf.DUMMYFUNCTION("""COMPUTED_VALUE"""),7)</f>
        <v>7</v>
      </c>
      <c r="G38">
        <f ca="1">IFERROR(__xludf.DUMMYFUNCTION("""COMPUTED_VALUE"""),23)</f>
        <v>23</v>
      </c>
      <c r="H38">
        <f ca="1">IFERROR(__xludf.DUMMYFUNCTION("""COMPUTED_VALUE"""),-7)</f>
        <v>-7</v>
      </c>
      <c r="I38">
        <f ca="1">IFERROR(__xludf.DUMMYFUNCTION("""COMPUTED_VALUE"""),-1)</f>
        <v>-1</v>
      </c>
    </row>
    <row r="39" spans="1:9" ht="12.75">
      <c r="A39">
        <f ca="1">IFERROR(__xludf.DUMMYFUNCTION("""COMPUTED_VALUE"""),38)</f>
        <v>38</v>
      </c>
      <c r="B39" t="str">
        <f ca="1">IFERROR(__xludf.DUMMYFUNCTION("""COMPUTED_VALUE"""),"T13")</f>
        <v>T13</v>
      </c>
      <c r="C39" t="str">
        <f ca="1">IFERROR(__xludf.DUMMYFUNCTION("""COMPUTED_VALUE"""),"Henrik Stenson")</f>
        <v>Henrik Stenson</v>
      </c>
      <c r="D39">
        <f ca="1">IFERROR(__xludf.DUMMYFUNCTION("""COMPUTED_VALUE"""),11)</f>
        <v>11</v>
      </c>
      <c r="E39">
        <f ca="1">IFERROR(__xludf.DUMMYFUNCTION("""COMPUTED_VALUE"""),30)</f>
        <v>30</v>
      </c>
      <c r="F39">
        <f ca="1">IFERROR(__xludf.DUMMYFUNCTION("""COMPUTED_VALUE"""),3)</f>
        <v>3</v>
      </c>
      <c r="G39">
        <f ca="1">IFERROR(__xludf.DUMMYFUNCTION("""COMPUTED_VALUE"""),10)</f>
        <v>10</v>
      </c>
      <c r="H39">
        <f ca="1">IFERROR(__xludf.DUMMYFUNCTION("""COMPUTED_VALUE"""),-3)</f>
        <v>-3</v>
      </c>
      <c r="I39" t="str">
        <f ca="1">IFERROR(__xludf.DUMMYFUNCTION("""COMPUTED_VALUE"""),"+4.00")</f>
        <v>+4.00</v>
      </c>
    </row>
    <row r="40" spans="1:9" ht="12.75">
      <c r="A40">
        <f ca="1">IFERROR(__xludf.DUMMYFUNCTION("""COMPUTED_VALUE"""),39)</f>
        <v>39</v>
      </c>
      <c r="B40" t="str">
        <f ca="1">IFERROR(__xludf.DUMMYFUNCTION("""COMPUTED_VALUE"""),"T64")</f>
        <v>T64</v>
      </c>
      <c r="C40" t="str">
        <f ca="1">IFERROR(__xludf.DUMMYFUNCTION("""COMPUTED_VALUE"""),"Brice Garnett")</f>
        <v>Brice Garnett</v>
      </c>
      <c r="D40">
        <f ca="1">IFERROR(__xludf.DUMMYFUNCTION("""COMPUTED_VALUE"""),22)</f>
        <v>22</v>
      </c>
      <c r="E40">
        <f ca="1">IFERROR(__xludf.DUMMYFUNCTION("""COMPUTED_VALUE"""),29.63)</f>
        <v>29.63</v>
      </c>
      <c r="F40">
        <f ca="1">IFERROR(__xludf.DUMMYFUNCTION("""COMPUTED_VALUE"""),8)</f>
        <v>8</v>
      </c>
      <c r="G40">
        <f ca="1">IFERROR(__xludf.DUMMYFUNCTION("""COMPUTED_VALUE"""),27)</f>
        <v>27</v>
      </c>
      <c r="H40">
        <f ca="1">IFERROR(__xludf.DUMMYFUNCTION("""COMPUTED_VALUE"""),-11)</f>
        <v>-11</v>
      </c>
      <c r="I40">
        <f ca="1">IFERROR(__xludf.DUMMYFUNCTION("""COMPUTED_VALUE"""),-5)</f>
        <v>-5</v>
      </c>
    </row>
    <row r="41" spans="1:9" ht="12.75">
      <c r="A41">
        <f ca="1">IFERROR(__xludf.DUMMYFUNCTION("""COMPUTED_VALUE"""),40)</f>
        <v>40</v>
      </c>
      <c r="B41" t="str">
        <f ca="1">IFERROR(__xludf.DUMMYFUNCTION("""COMPUTED_VALUE"""),"T33")</f>
        <v>T33</v>
      </c>
      <c r="C41" t="str">
        <f ca="1">IFERROR(__xludf.DUMMYFUNCTION("""COMPUTED_VALUE"""),"Tony Finau")</f>
        <v>Tony Finau</v>
      </c>
      <c r="D41">
        <f ca="1">IFERROR(__xludf.DUMMYFUNCTION("""COMPUTED_VALUE"""),12)</f>
        <v>12</v>
      </c>
      <c r="E41">
        <f ca="1">IFERROR(__xludf.DUMMYFUNCTION("""COMPUTED_VALUE"""),29.03)</f>
        <v>29.03</v>
      </c>
      <c r="F41">
        <f ca="1">IFERROR(__xludf.DUMMYFUNCTION("""COMPUTED_VALUE"""),9)</f>
        <v>9</v>
      </c>
      <c r="G41">
        <f ca="1">IFERROR(__xludf.DUMMYFUNCTION("""COMPUTED_VALUE"""),31)</f>
        <v>31</v>
      </c>
      <c r="H41">
        <f ca="1">IFERROR(__xludf.DUMMYFUNCTION("""COMPUTED_VALUE"""),-9)</f>
        <v>-9</v>
      </c>
      <c r="I41">
        <f ca="1">IFERROR(__xludf.DUMMYFUNCTION("""COMPUTED_VALUE"""),-6)</f>
        <v>-6</v>
      </c>
    </row>
    <row r="42" spans="1:9" ht="12.75">
      <c r="A42" t="str">
        <f ca="1">IFERROR(__xludf.DUMMYFUNCTION("""COMPUTED_VALUE"""),"T41")</f>
        <v>T41</v>
      </c>
      <c r="B42" t="str">
        <f ca="1">IFERROR(__xludf.DUMMYFUNCTION("""COMPUTED_VALUE"""),"T46")</f>
        <v>T46</v>
      </c>
      <c r="C42" t="str">
        <f ca="1">IFERROR(__xludf.DUMMYFUNCTION("""COMPUTED_VALUE"""),"Charles Howell III")</f>
        <v>Charles Howell III</v>
      </c>
      <c r="D42">
        <f ca="1">IFERROR(__xludf.DUMMYFUNCTION("""COMPUTED_VALUE"""),10)</f>
        <v>10</v>
      </c>
      <c r="E42">
        <f ca="1">IFERROR(__xludf.DUMMYFUNCTION("""COMPUTED_VALUE"""),28.57)</f>
        <v>28.57</v>
      </c>
      <c r="F42">
        <f ca="1">IFERROR(__xludf.DUMMYFUNCTION("""COMPUTED_VALUE"""),6)</f>
        <v>6</v>
      </c>
      <c r="G42">
        <f ca="1">IFERROR(__xludf.DUMMYFUNCTION("""COMPUTED_VALUE"""),21)</f>
        <v>21</v>
      </c>
      <c r="H42">
        <f ca="1">IFERROR(__xludf.DUMMYFUNCTION("""COMPUTED_VALUE"""),-5)</f>
        <v>-5</v>
      </c>
      <c r="I42" t="str">
        <f ca="1">IFERROR(__xludf.DUMMYFUNCTION("""COMPUTED_VALUE"""),"+2.00")</f>
        <v>+2.00</v>
      </c>
    </row>
    <row r="43" spans="1:9" ht="12.75">
      <c r="A43" t="str">
        <f ca="1">IFERROR(__xludf.DUMMYFUNCTION("""COMPUTED_VALUE"""),"T41")</f>
        <v>T41</v>
      </c>
      <c r="B43" t="str">
        <f ca="1">IFERROR(__xludf.DUMMYFUNCTION("""COMPUTED_VALUE"""),"T46")</f>
        <v>T46</v>
      </c>
      <c r="C43" t="str">
        <f ca="1">IFERROR(__xludf.DUMMYFUNCTION("""COMPUTED_VALUE"""),"Bubba Watson")</f>
        <v>Bubba Watson</v>
      </c>
      <c r="D43">
        <f ca="1">IFERROR(__xludf.DUMMYFUNCTION("""COMPUTED_VALUE"""),12)</f>
        <v>12</v>
      </c>
      <c r="E43">
        <f ca="1">IFERROR(__xludf.DUMMYFUNCTION("""COMPUTED_VALUE"""),28.57)</f>
        <v>28.57</v>
      </c>
      <c r="F43">
        <f ca="1">IFERROR(__xludf.DUMMYFUNCTION("""COMPUTED_VALUE"""),12)</f>
        <v>12</v>
      </c>
      <c r="G43">
        <f ca="1">IFERROR(__xludf.DUMMYFUNCTION("""COMPUTED_VALUE"""),42)</f>
        <v>42</v>
      </c>
      <c r="H43">
        <f ca="1">IFERROR(__xludf.DUMMYFUNCTION("""COMPUTED_VALUE"""),-16)</f>
        <v>-16</v>
      </c>
      <c r="I43">
        <f ca="1">IFERROR(__xludf.DUMMYFUNCTION("""COMPUTED_VALUE"""),-2)</f>
        <v>-2</v>
      </c>
    </row>
    <row r="44" spans="1:9" ht="12.75">
      <c r="A44" t="str">
        <f ca="1">IFERROR(__xludf.DUMMYFUNCTION("""COMPUTED_VALUE"""),"T41")</f>
        <v>T41</v>
      </c>
      <c r="B44" t="str">
        <f ca="1">IFERROR(__xludf.DUMMYFUNCTION("""COMPUTED_VALUE"""),"T39")</f>
        <v>T39</v>
      </c>
      <c r="C44" t="str">
        <f ca="1">IFERROR(__xludf.DUMMYFUNCTION("""COMPUTED_VALUE"""),"Michael Kim")</f>
        <v>Michael Kim</v>
      </c>
      <c r="D44">
        <f ca="1">IFERROR(__xludf.DUMMYFUNCTION("""COMPUTED_VALUE"""),12)</f>
        <v>12</v>
      </c>
      <c r="E44">
        <f ca="1">IFERROR(__xludf.DUMMYFUNCTION("""COMPUTED_VALUE"""),28.57)</f>
        <v>28.57</v>
      </c>
      <c r="F44">
        <f ca="1">IFERROR(__xludf.DUMMYFUNCTION("""COMPUTED_VALUE"""),4)</f>
        <v>4</v>
      </c>
      <c r="G44">
        <f ca="1">IFERROR(__xludf.DUMMYFUNCTION("""COMPUTED_VALUE"""),14)</f>
        <v>14</v>
      </c>
      <c r="H44">
        <f ca="1">IFERROR(__xludf.DUMMYFUNCTION("""COMPUTED_VALUE"""),-5)</f>
        <v>-5</v>
      </c>
      <c r="I44" t="str">
        <f ca="1">IFERROR(__xludf.DUMMYFUNCTION("""COMPUTED_VALUE"""),"E")</f>
        <v>E</v>
      </c>
    </row>
    <row r="45" spans="1:9" ht="12.75">
      <c r="A45" t="str">
        <f ca="1">IFERROR(__xludf.DUMMYFUNCTION("""COMPUTED_VALUE"""),"T41")</f>
        <v>T41</v>
      </c>
      <c r="B45" t="str">
        <f ca="1">IFERROR(__xludf.DUMMYFUNCTION("""COMPUTED_VALUE"""),"T46")</f>
        <v>T46</v>
      </c>
      <c r="C45" t="str">
        <f ca="1">IFERROR(__xludf.DUMMYFUNCTION("""COMPUTED_VALUE"""),"Jon Rahm")</f>
        <v>Jon Rahm</v>
      </c>
      <c r="D45">
        <f ca="1">IFERROR(__xludf.DUMMYFUNCTION("""COMPUTED_VALUE"""),12)</f>
        <v>12</v>
      </c>
      <c r="E45">
        <f ca="1">IFERROR(__xludf.DUMMYFUNCTION("""COMPUTED_VALUE"""),28.57)</f>
        <v>28.57</v>
      </c>
      <c r="F45">
        <f ca="1">IFERROR(__xludf.DUMMYFUNCTION("""COMPUTED_VALUE"""),10)</f>
        <v>10</v>
      </c>
      <c r="G45">
        <f ca="1">IFERROR(__xludf.DUMMYFUNCTION("""COMPUTED_VALUE"""),35)</f>
        <v>35</v>
      </c>
      <c r="H45">
        <f ca="1">IFERROR(__xludf.DUMMYFUNCTION("""COMPUTED_VALUE"""),-14)</f>
        <v>-14</v>
      </c>
      <c r="I45">
        <f ca="1">IFERROR(__xludf.DUMMYFUNCTION("""COMPUTED_VALUE"""),-3)</f>
        <v>-3</v>
      </c>
    </row>
    <row r="46" spans="1:9" ht="12.75">
      <c r="A46">
        <f ca="1">IFERROR(__xludf.DUMMYFUNCTION("""COMPUTED_VALUE"""),45)</f>
        <v>45</v>
      </c>
      <c r="B46">
        <f ca="1">IFERROR(__xludf.DUMMYFUNCTION("""COMPUTED_VALUE"""),52)</f>
        <v>52</v>
      </c>
      <c r="C46" t="str">
        <f ca="1">IFERROR(__xludf.DUMMYFUNCTION("""COMPUTED_VALUE"""),"Matthew Wolff")</f>
        <v>Matthew Wolff</v>
      </c>
      <c r="D46">
        <f ca="1">IFERROR(__xludf.DUMMYFUNCTION("""COMPUTED_VALUE"""),16)</f>
        <v>16</v>
      </c>
      <c r="E46">
        <f ca="1">IFERROR(__xludf.DUMMYFUNCTION("""COMPUTED_VALUE"""),28.3)</f>
        <v>28.3</v>
      </c>
      <c r="F46">
        <f ca="1">IFERROR(__xludf.DUMMYFUNCTION("""COMPUTED_VALUE"""),15)</f>
        <v>15</v>
      </c>
      <c r="G46">
        <f ca="1">IFERROR(__xludf.DUMMYFUNCTION("""COMPUTED_VALUE"""),53)</f>
        <v>53</v>
      </c>
      <c r="H46">
        <f ca="1">IFERROR(__xludf.DUMMYFUNCTION("""COMPUTED_VALUE"""),-21)</f>
        <v>-21</v>
      </c>
      <c r="I46" t="str">
        <f ca="1">IFERROR(__xludf.DUMMYFUNCTION("""COMPUTED_VALUE"""),"+2.00")</f>
        <v>+2.00</v>
      </c>
    </row>
    <row r="47" spans="1:9" ht="12.75">
      <c r="A47">
        <f ca="1">IFERROR(__xludf.DUMMYFUNCTION("""COMPUTED_VALUE"""),46)</f>
        <v>46</v>
      </c>
      <c r="B47">
        <f ca="1">IFERROR(__xludf.DUMMYFUNCTION("""COMPUTED_VALUE"""),45)</f>
        <v>45</v>
      </c>
      <c r="C47" t="str">
        <f ca="1">IFERROR(__xludf.DUMMYFUNCTION("""COMPUTED_VALUE"""),"Rory Sabbatini")</f>
        <v>Rory Sabbatini</v>
      </c>
      <c r="D47">
        <f ca="1">IFERROR(__xludf.DUMMYFUNCTION("""COMPUTED_VALUE"""),13)</f>
        <v>13</v>
      </c>
      <c r="E47">
        <f ca="1">IFERROR(__xludf.DUMMYFUNCTION("""COMPUTED_VALUE"""),28.13)</f>
        <v>28.13</v>
      </c>
      <c r="F47">
        <f ca="1">IFERROR(__xludf.DUMMYFUNCTION("""COMPUTED_VALUE"""),9)</f>
        <v>9</v>
      </c>
      <c r="G47">
        <f ca="1">IFERROR(__xludf.DUMMYFUNCTION("""COMPUTED_VALUE"""),32)</f>
        <v>32</v>
      </c>
      <c r="H47">
        <f ca="1">IFERROR(__xludf.DUMMYFUNCTION("""COMPUTED_VALUE"""),-9)</f>
        <v>-9</v>
      </c>
      <c r="I47">
        <f ca="1">IFERROR(__xludf.DUMMYFUNCTION("""COMPUTED_VALUE"""),-1)</f>
        <v>-1</v>
      </c>
    </row>
    <row r="48" spans="1:9" ht="12.75">
      <c r="A48">
        <f ca="1">IFERROR(__xludf.DUMMYFUNCTION("""COMPUTED_VALUE"""),47)</f>
        <v>47</v>
      </c>
      <c r="B48">
        <f ca="1">IFERROR(__xludf.DUMMYFUNCTION("""COMPUTED_VALUE"""),56)</f>
        <v>56</v>
      </c>
      <c r="C48" t="str">
        <f ca="1">IFERROR(__xludf.DUMMYFUNCTION("""COMPUTED_VALUE"""),"Carlos Ortiz")</f>
        <v>Carlos Ortiz</v>
      </c>
      <c r="D48">
        <f ca="1">IFERROR(__xludf.DUMMYFUNCTION("""COMPUTED_VALUE"""),20)</f>
        <v>20</v>
      </c>
      <c r="E48">
        <f ca="1">IFERROR(__xludf.DUMMYFUNCTION("""COMPUTED_VALUE"""),28.07)</f>
        <v>28.07</v>
      </c>
      <c r="F48">
        <f ca="1">IFERROR(__xludf.DUMMYFUNCTION("""COMPUTED_VALUE"""),16)</f>
        <v>16</v>
      </c>
      <c r="G48">
        <f ca="1">IFERROR(__xludf.DUMMYFUNCTION("""COMPUTED_VALUE"""),57)</f>
        <v>57</v>
      </c>
      <c r="H48">
        <f ca="1">IFERROR(__xludf.DUMMYFUNCTION("""COMPUTED_VALUE"""),-19)</f>
        <v>-19</v>
      </c>
      <c r="I48" t="str">
        <f ca="1">IFERROR(__xludf.DUMMYFUNCTION("""COMPUTED_VALUE"""),"E")</f>
        <v>E</v>
      </c>
    </row>
    <row r="49" spans="1:9" ht="12.75">
      <c r="A49" t="str">
        <f ca="1">IFERROR(__xludf.DUMMYFUNCTION("""COMPUTED_VALUE"""),"T48")</f>
        <v>T48</v>
      </c>
      <c r="B49" t="str">
        <f ca="1">IFERROR(__xludf.DUMMYFUNCTION("""COMPUTED_VALUE"""),"T46")</f>
        <v>T46</v>
      </c>
      <c r="C49" t="str">
        <f ca="1">IFERROR(__xludf.DUMMYFUNCTION("""COMPUTED_VALUE"""),"Zach Johnson")</f>
        <v>Zach Johnson</v>
      </c>
      <c r="D49">
        <f ca="1">IFERROR(__xludf.DUMMYFUNCTION("""COMPUTED_VALUE"""),16)</f>
        <v>16</v>
      </c>
      <c r="E49">
        <f ca="1">IFERROR(__xludf.DUMMYFUNCTION("""COMPUTED_VALUE"""),28)</f>
        <v>28</v>
      </c>
      <c r="F49">
        <f ca="1">IFERROR(__xludf.DUMMYFUNCTION("""COMPUTED_VALUE"""),7)</f>
        <v>7</v>
      </c>
      <c r="G49">
        <f ca="1">IFERROR(__xludf.DUMMYFUNCTION("""COMPUTED_VALUE"""),25)</f>
        <v>25</v>
      </c>
      <c r="H49">
        <f ca="1">IFERROR(__xludf.DUMMYFUNCTION("""COMPUTED_VALUE"""),-7)</f>
        <v>-7</v>
      </c>
      <c r="I49">
        <f ca="1">IFERROR(__xludf.DUMMYFUNCTION("""COMPUTED_VALUE"""),-3)</f>
        <v>-3</v>
      </c>
    </row>
    <row r="50" spans="1:9" ht="12.75">
      <c r="A50" t="str">
        <f ca="1">IFERROR(__xludf.DUMMYFUNCTION("""COMPUTED_VALUE"""),"T48")</f>
        <v>T48</v>
      </c>
      <c r="B50" t="str">
        <f ca="1">IFERROR(__xludf.DUMMYFUNCTION("""COMPUTED_VALUE"""),"T36")</f>
        <v>T36</v>
      </c>
      <c r="C50" t="str">
        <f ca="1">IFERROR(__xludf.DUMMYFUNCTION("""COMPUTED_VALUE"""),"Sean O'Hair")</f>
        <v>Sean O'Hair</v>
      </c>
      <c r="D50">
        <f ca="1">IFERROR(__xludf.DUMMYFUNCTION("""COMPUTED_VALUE"""),14)</f>
        <v>14</v>
      </c>
      <c r="E50">
        <f ca="1">IFERROR(__xludf.DUMMYFUNCTION("""COMPUTED_VALUE"""),28)</f>
        <v>28</v>
      </c>
      <c r="F50">
        <f ca="1">IFERROR(__xludf.DUMMYFUNCTION("""COMPUTED_VALUE"""),7)</f>
        <v>7</v>
      </c>
      <c r="G50">
        <f ca="1">IFERROR(__xludf.DUMMYFUNCTION("""COMPUTED_VALUE"""),25)</f>
        <v>25</v>
      </c>
      <c r="H50">
        <f ca="1">IFERROR(__xludf.DUMMYFUNCTION("""COMPUTED_VALUE"""),-8)</f>
        <v>-8</v>
      </c>
      <c r="I50">
        <f ca="1">IFERROR(__xludf.DUMMYFUNCTION("""COMPUTED_VALUE"""),-2)</f>
        <v>-2</v>
      </c>
    </row>
    <row r="51" spans="1:9" ht="12.75">
      <c r="A51" t="str">
        <f ca="1">IFERROR(__xludf.DUMMYFUNCTION("""COMPUTED_VALUE"""),"T50")</f>
        <v>T50</v>
      </c>
      <c r="B51" t="str">
        <f ca="1">IFERROR(__xludf.DUMMYFUNCTION("""COMPUTED_VALUE"""),"T22")</f>
        <v>T22</v>
      </c>
      <c r="C51" t="str">
        <f ca="1">IFERROR(__xludf.DUMMYFUNCTION("""COMPUTED_VALUE"""),"Sam Ryder")</f>
        <v>Sam Ryder</v>
      </c>
      <c r="D51">
        <f ca="1">IFERROR(__xludf.DUMMYFUNCTION("""COMPUTED_VALUE"""),12)</f>
        <v>12</v>
      </c>
      <c r="E51">
        <f ca="1">IFERROR(__xludf.DUMMYFUNCTION("""COMPUTED_VALUE"""),27.78)</f>
        <v>27.78</v>
      </c>
      <c r="F51">
        <f ca="1">IFERROR(__xludf.DUMMYFUNCTION("""COMPUTED_VALUE"""),5)</f>
        <v>5</v>
      </c>
      <c r="G51">
        <f ca="1">IFERROR(__xludf.DUMMYFUNCTION("""COMPUTED_VALUE"""),18)</f>
        <v>18</v>
      </c>
      <c r="H51">
        <f ca="1">IFERROR(__xludf.DUMMYFUNCTION("""COMPUTED_VALUE"""),-6)</f>
        <v>-6</v>
      </c>
      <c r="I51" t="str">
        <f ca="1">IFERROR(__xludf.DUMMYFUNCTION("""COMPUTED_VALUE"""),"E")</f>
        <v>E</v>
      </c>
    </row>
    <row r="52" spans="1:9" ht="12.75">
      <c r="A52" t="str">
        <f ca="1">IFERROR(__xludf.DUMMYFUNCTION("""COMPUTED_VALUE"""),"T50")</f>
        <v>T50</v>
      </c>
      <c r="B52">
        <f ca="1">IFERROR(__xludf.DUMMYFUNCTION("""COMPUTED_VALUE"""),53)</f>
        <v>53</v>
      </c>
      <c r="C52" t="str">
        <f ca="1">IFERROR(__xludf.DUMMYFUNCTION("""COMPUTED_VALUE"""),"Xander Schauffele")</f>
        <v>Xander Schauffele</v>
      </c>
      <c r="D52">
        <f ca="1">IFERROR(__xludf.DUMMYFUNCTION("""COMPUTED_VALUE"""),12)</f>
        <v>12</v>
      </c>
      <c r="E52">
        <f ca="1">IFERROR(__xludf.DUMMYFUNCTION("""COMPUTED_VALUE"""),27.78)</f>
        <v>27.78</v>
      </c>
      <c r="F52">
        <f ca="1">IFERROR(__xludf.DUMMYFUNCTION("""COMPUTED_VALUE"""),10)</f>
        <v>10</v>
      </c>
      <c r="G52">
        <f ca="1">IFERROR(__xludf.DUMMYFUNCTION("""COMPUTED_VALUE"""),36)</f>
        <v>36</v>
      </c>
      <c r="H52">
        <f ca="1">IFERROR(__xludf.DUMMYFUNCTION("""COMPUTED_VALUE"""),-12)</f>
        <v>-12</v>
      </c>
      <c r="I52">
        <f ca="1">IFERROR(__xludf.DUMMYFUNCTION("""COMPUTED_VALUE"""),-1)</f>
        <v>-1</v>
      </c>
    </row>
    <row r="53" spans="1:9" ht="12.75">
      <c r="A53" t="str">
        <f ca="1">IFERROR(__xludf.DUMMYFUNCTION("""COMPUTED_VALUE"""),"T52")</f>
        <v>T52</v>
      </c>
      <c r="B53" t="str">
        <f ca="1">IFERROR(__xludf.DUMMYFUNCTION("""COMPUTED_VALUE"""),"T54")</f>
        <v>T54</v>
      </c>
      <c r="C53" t="str">
        <f ca="1">IFERROR(__xludf.DUMMYFUNCTION("""COMPUTED_VALUE"""),"Ryan Palmer")</f>
        <v>Ryan Palmer</v>
      </c>
      <c r="D53">
        <f ca="1">IFERROR(__xludf.DUMMYFUNCTION("""COMPUTED_VALUE"""),14)</f>
        <v>14</v>
      </c>
      <c r="E53">
        <f ca="1">IFERROR(__xludf.DUMMYFUNCTION("""COMPUTED_VALUE"""),27.27)</f>
        <v>27.27</v>
      </c>
      <c r="F53">
        <f ca="1">IFERROR(__xludf.DUMMYFUNCTION("""COMPUTED_VALUE"""),12)</f>
        <v>12</v>
      </c>
      <c r="G53">
        <f ca="1">IFERROR(__xludf.DUMMYFUNCTION("""COMPUTED_VALUE"""),44)</f>
        <v>44</v>
      </c>
      <c r="H53">
        <f ca="1">IFERROR(__xludf.DUMMYFUNCTION("""COMPUTED_VALUE"""),-12)</f>
        <v>-12</v>
      </c>
      <c r="I53">
        <f ca="1">IFERROR(__xludf.DUMMYFUNCTION("""COMPUTED_VALUE"""),-1)</f>
        <v>-1</v>
      </c>
    </row>
    <row r="54" spans="1:9" ht="12.75">
      <c r="A54" t="str">
        <f ca="1">IFERROR(__xludf.DUMMYFUNCTION("""COMPUTED_VALUE"""),"T52")</f>
        <v>T52</v>
      </c>
      <c r="B54" t="str">
        <f ca="1">IFERROR(__xludf.DUMMYFUNCTION("""COMPUTED_VALUE"""),"T43")</f>
        <v>T43</v>
      </c>
      <c r="C54" t="str">
        <f ca="1">IFERROR(__xludf.DUMMYFUNCTION("""COMPUTED_VALUE"""),"Grayson Murray")</f>
        <v>Grayson Murray</v>
      </c>
      <c r="D54">
        <f ca="1">IFERROR(__xludf.DUMMYFUNCTION("""COMPUTED_VALUE"""),10)</f>
        <v>10</v>
      </c>
      <c r="E54">
        <f ca="1">IFERROR(__xludf.DUMMYFUNCTION("""COMPUTED_VALUE"""),27.27)</f>
        <v>27.27</v>
      </c>
      <c r="F54">
        <f ca="1">IFERROR(__xludf.DUMMYFUNCTION("""COMPUTED_VALUE"""),6)</f>
        <v>6</v>
      </c>
      <c r="G54">
        <f ca="1">IFERROR(__xludf.DUMMYFUNCTION("""COMPUTED_VALUE"""),22)</f>
        <v>22</v>
      </c>
      <c r="H54">
        <f ca="1">IFERROR(__xludf.DUMMYFUNCTION("""COMPUTED_VALUE"""),-6)</f>
        <v>-6</v>
      </c>
      <c r="I54">
        <f ca="1">IFERROR(__xludf.DUMMYFUNCTION("""COMPUTED_VALUE"""),-1)</f>
        <v>-1</v>
      </c>
    </row>
    <row r="55" spans="1:9" ht="12.75">
      <c r="A55" t="str">
        <f ca="1">IFERROR(__xludf.DUMMYFUNCTION("""COMPUTED_VALUE"""),"T52")</f>
        <v>T52</v>
      </c>
      <c r="B55" t="str">
        <f ca="1">IFERROR(__xludf.DUMMYFUNCTION("""COMPUTED_VALUE"""),"T60")</f>
        <v>T60</v>
      </c>
      <c r="C55" t="str">
        <f ca="1">IFERROR(__xludf.DUMMYFUNCTION("""COMPUTED_VALUE"""),"Harold Varner III")</f>
        <v>Harold Varner III</v>
      </c>
      <c r="D55">
        <f ca="1">IFERROR(__xludf.DUMMYFUNCTION("""COMPUTED_VALUE"""),14)</f>
        <v>14</v>
      </c>
      <c r="E55">
        <f ca="1">IFERROR(__xludf.DUMMYFUNCTION("""COMPUTED_VALUE"""),27.27)</f>
        <v>27.27</v>
      </c>
      <c r="F55">
        <f ca="1">IFERROR(__xludf.DUMMYFUNCTION("""COMPUTED_VALUE"""),9)</f>
        <v>9</v>
      </c>
      <c r="G55">
        <f ca="1">IFERROR(__xludf.DUMMYFUNCTION("""COMPUTED_VALUE"""),33)</f>
        <v>33</v>
      </c>
      <c r="H55">
        <f ca="1">IFERROR(__xludf.DUMMYFUNCTION("""COMPUTED_VALUE"""),-10)</f>
        <v>-10</v>
      </c>
      <c r="I55">
        <f ca="1">IFERROR(__xludf.DUMMYFUNCTION("""COMPUTED_VALUE"""),-2)</f>
        <v>-2</v>
      </c>
    </row>
    <row r="56" spans="1:9" ht="12.75">
      <c r="A56">
        <f ca="1">IFERROR(__xludf.DUMMYFUNCTION("""COMPUTED_VALUE"""),55)</f>
        <v>55</v>
      </c>
      <c r="B56" t="str">
        <f ca="1">IFERROR(__xludf.DUMMYFUNCTION("""COMPUTED_VALUE"""),"T78")</f>
        <v>T78</v>
      </c>
      <c r="C56" t="str">
        <f ca="1">IFERROR(__xludf.DUMMYFUNCTION("""COMPUTED_VALUE"""),"Shane Lowry")</f>
        <v>Shane Lowry</v>
      </c>
      <c r="D56">
        <f ca="1">IFERROR(__xludf.DUMMYFUNCTION("""COMPUTED_VALUE"""),14)</f>
        <v>14</v>
      </c>
      <c r="E56">
        <f ca="1">IFERROR(__xludf.DUMMYFUNCTION("""COMPUTED_VALUE"""),26.92)</f>
        <v>26.92</v>
      </c>
      <c r="F56">
        <f ca="1">IFERROR(__xludf.DUMMYFUNCTION("""COMPUTED_VALUE"""),7)</f>
        <v>7</v>
      </c>
      <c r="G56">
        <f ca="1">IFERROR(__xludf.DUMMYFUNCTION("""COMPUTED_VALUE"""),26)</f>
        <v>26</v>
      </c>
      <c r="H56">
        <f ca="1">IFERROR(__xludf.DUMMYFUNCTION("""COMPUTED_VALUE"""),-7)</f>
        <v>-7</v>
      </c>
      <c r="I56">
        <f ca="1">IFERROR(__xludf.DUMMYFUNCTION("""COMPUTED_VALUE"""),-5)</f>
        <v>-5</v>
      </c>
    </row>
    <row r="57" spans="1:9" ht="12.75">
      <c r="A57">
        <f ca="1">IFERROR(__xludf.DUMMYFUNCTION("""COMPUTED_VALUE"""),56)</f>
        <v>56</v>
      </c>
      <c r="B57">
        <f ca="1">IFERROR(__xludf.DUMMYFUNCTION("""COMPUTED_VALUE"""),63)</f>
        <v>63</v>
      </c>
      <c r="C57" t="str">
        <f ca="1">IFERROR(__xludf.DUMMYFUNCTION("""COMPUTED_VALUE"""),"Corey Conners")</f>
        <v>Corey Conners</v>
      </c>
      <c r="D57">
        <f ca="1">IFERROR(__xludf.DUMMYFUNCTION("""COMPUTED_VALUE"""),20)</f>
        <v>20</v>
      </c>
      <c r="E57">
        <f ca="1">IFERROR(__xludf.DUMMYFUNCTION("""COMPUTED_VALUE"""),26.53)</f>
        <v>26.53</v>
      </c>
      <c r="F57">
        <f ca="1">IFERROR(__xludf.DUMMYFUNCTION("""COMPUTED_VALUE"""),13)</f>
        <v>13</v>
      </c>
      <c r="G57">
        <f ca="1">IFERROR(__xludf.DUMMYFUNCTION("""COMPUTED_VALUE"""),49)</f>
        <v>49</v>
      </c>
      <c r="H57">
        <f ca="1">IFERROR(__xludf.DUMMYFUNCTION("""COMPUTED_VALUE"""),-11)</f>
        <v>-11</v>
      </c>
      <c r="I57">
        <f ca="1">IFERROR(__xludf.DUMMYFUNCTION("""COMPUTED_VALUE"""),-1)</f>
        <v>-1</v>
      </c>
    </row>
    <row r="58" spans="1:9" ht="12.75">
      <c r="A58">
        <f ca="1">IFERROR(__xludf.DUMMYFUNCTION("""COMPUTED_VALUE"""),57)</f>
        <v>57</v>
      </c>
      <c r="B58">
        <f ca="1">IFERROR(__xludf.DUMMYFUNCTION("""COMPUTED_VALUE"""),42)</f>
        <v>42</v>
      </c>
      <c r="C58" t="str">
        <f ca="1">IFERROR(__xludf.DUMMYFUNCTION("""COMPUTED_VALUE"""),"Henrik Norlander")</f>
        <v>Henrik Norlander</v>
      </c>
      <c r="D58">
        <f ca="1">IFERROR(__xludf.DUMMYFUNCTION("""COMPUTED_VALUE"""),16)</f>
        <v>16</v>
      </c>
      <c r="E58">
        <f ca="1">IFERROR(__xludf.DUMMYFUNCTION("""COMPUTED_VALUE"""),26.47)</f>
        <v>26.47</v>
      </c>
      <c r="F58">
        <f ca="1">IFERROR(__xludf.DUMMYFUNCTION("""COMPUTED_VALUE"""),9)</f>
        <v>9</v>
      </c>
      <c r="G58">
        <f ca="1">IFERROR(__xludf.DUMMYFUNCTION("""COMPUTED_VALUE"""),34)</f>
        <v>34</v>
      </c>
      <c r="H58">
        <f ca="1">IFERROR(__xludf.DUMMYFUNCTION("""COMPUTED_VALUE"""),-10)</f>
        <v>-10</v>
      </c>
      <c r="I58" t="str">
        <f ca="1">IFERROR(__xludf.DUMMYFUNCTION("""COMPUTED_VALUE"""),"+2.00")</f>
        <v>+2.00</v>
      </c>
    </row>
    <row r="59" spans="1:9" ht="12.75">
      <c r="A59">
        <f ca="1">IFERROR(__xludf.DUMMYFUNCTION("""COMPUTED_VALUE"""),58)</f>
        <v>58</v>
      </c>
      <c r="B59" t="str">
        <f ca="1">IFERROR(__xludf.DUMMYFUNCTION("""COMPUTED_VALUE"""),"T46")</f>
        <v>T46</v>
      </c>
      <c r="C59" t="str">
        <f ca="1">IFERROR(__xludf.DUMMYFUNCTION("""COMPUTED_VALUE"""),"Scott Brown")</f>
        <v>Scott Brown</v>
      </c>
      <c r="D59">
        <f ca="1">IFERROR(__xludf.DUMMYFUNCTION("""COMPUTED_VALUE"""),14)</f>
        <v>14</v>
      </c>
      <c r="E59">
        <f ca="1">IFERROR(__xludf.DUMMYFUNCTION("""COMPUTED_VALUE"""),26.09)</f>
        <v>26.09</v>
      </c>
      <c r="F59">
        <f ca="1">IFERROR(__xludf.DUMMYFUNCTION("""COMPUTED_VALUE"""),6)</f>
        <v>6</v>
      </c>
      <c r="G59">
        <f ca="1">IFERROR(__xludf.DUMMYFUNCTION("""COMPUTED_VALUE"""),23)</f>
        <v>23</v>
      </c>
      <c r="H59">
        <f ca="1">IFERROR(__xludf.DUMMYFUNCTION("""COMPUTED_VALUE"""),-6)</f>
        <v>-6</v>
      </c>
      <c r="I59" t="str">
        <f ca="1">IFERROR(__xludf.DUMMYFUNCTION("""COMPUTED_VALUE"""),"+5.00")</f>
        <v>+5.00</v>
      </c>
    </row>
    <row r="60" spans="1:9" ht="12.75">
      <c r="A60">
        <f ca="1">IFERROR(__xludf.DUMMYFUNCTION("""COMPUTED_VALUE"""),59)</f>
        <v>59</v>
      </c>
      <c r="B60" t="str">
        <f ca="1">IFERROR(__xludf.DUMMYFUNCTION("""COMPUTED_VALUE"""),"T60")</f>
        <v>T60</v>
      </c>
      <c r="C60" t="str">
        <f ca="1">IFERROR(__xludf.DUMMYFUNCTION("""COMPUTED_VALUE"""),"Will Zalatoris")</f>
        <v>Will Zalatoris</v>
      </c>
      <c r="D60">
        <f ca="1">IFERROR(__xludf.DUMMYFUNCTION("""COMPUTED_VALUE"""),18)</f>
        <v>18</v>
      </c>
      <c r="E60">
        <f ca="1">IFERROR(__xludf.DUMMYFUNCTION("""COMPUTED_VALUE"""),25.93)</f>
        <v>25.93</v>
      </c>
      <c r="F60">
        <f ca="1">IFERROR(__xludf.DUMMYFUNCTION("""COMPUTED_VALUE"""),7)</f>
        <v>7</v>
      </c>
      <c r="G60">
        <f ca="1">IFERROR(__xludf.DUMMYFUNCTION("""COMPUTED_VALUE"""),27)</f>
        <v>27</v>
      </c>
      <c r="H60">
        <f ca="1">IFERROR(__xludf.DUMMYFUNCTION("""COMPUTED_VALUE"""),-7)</f>
        <v>-7</v>
      </c>
      <c r="I60">
        <f ca="1">IFERROR(__xludf.DUMMYFUNCTION("""COMPUTED_VALUE"""),-2)</f>
        <v>-2</v>
      </c>
    </row>
    <row r="61" spans="1:9" ht="12.75">
      <c r="A61" t="str">
        <f ca="1">IFERROR(__xludf.DUMMYFUNCTION("""COMPUTED_VALUE"""),"T60")</f>
        <v>T60</v>
      </c>
      <c r="B61" t="str">
        <f ca="1">IFERROR(__xludf.DUMMYFUNCTION("""COMPUTED_VALUE"""),"T22")</f>
        <v>T22</v>
      </c>
      <c r="C61" t="str">
        <f ca="1">IFERROR(__xludf.DUMMYFUNCTION("""COMPUTED_VALUE"""),"Vaughn Taylor")</f>
        <v>Vaughn Taylor</v>
      </c>
      <c r="D61">
        <f ca="1">IFERROR(__xludf.DUMMYFUNCTION("""COMPUTED_VALUE"""),12)</f>
        <v>12</v>
      </c>
      <c r="E61">
        <f ca="1">IFERROR(__xludf.DUMMYFUNCTION("""COMPUTED_VALUE"""),25)</f>
        <v>25</v>
      </c>
      <c r="F61">
        <f ca="1">IFERROR(__xludf.DUMMYFUNCTION("""COMPUTED_VALUE"""),2)</f>
        <v>2</v>
      </c>
      <c r="G61">
        <f ca="1">IFERROR(__xludf.DUMMYFUNCTION("""COMPUTED_VALUE"""),8)</f>
        <v>8</v>
      </c>
      <c r="H61">
        <f ca="1">IFERROR(__xludf.DUMMYFUNCTION("""COMPUTED_VALUE"""),-2)</f>
        <v>-2</v>
      </c>
      <c r="I61" t="str">
        <f ca="1">IFERROR(__xludf.DUMMYFUNCTION("""COMPUTED_VALUE"""),"+2.00")</f>
        <v>+2.00</v>
      </c>
    </row>
    <row r="62" spans="1:9" ht="12.75">
      <c r="A62" t="str">
        <f ca="1">IFERROR(__xludf.DUMMYFUNCTION("""COMPUTED_VALUE"""),"T60")</f>
        <v>T60</v>
      </c>
      <c r="B62" t="str">
        <f ca="1">IFERROR(__xludf.DUMMYFUNCTION("""COMPUTED_VALUE"""),"T64")</f>
        <v>T64</v>
      </c>
      <c r="C62" t="str">
        <f ca="1">IFERROR(__xludf.DUMMYFUNCTION("""COMPUTED_VALUE"""),"Paul Casey")</f>
        <v>Paul Casey</v>
      </c>
      <c r="D62">
        <f ca="1">IFERROR(__xludf.DUMMYFUNCTION("""COMPUTED_VALUE"""),14)</f>
        <v>14</v>
      </c>
      <c r="E62">
        <f ca="1">IFERROR(__xludf.DUMMYFUNCTION("""COMPUTED_VALUE"""),25)</f>
        <v>25</v>
      </c>
      <c r="F62">
        <f ca="1">IFERROR(__xludf.DUMMYFUNCTION("""COMPUTED_VALUE"""),11)</f>
        <v>11</v>
      </c>
      <c r="G62">
        <f ca="1">IFERROR(__xludf.DUMMYFUNCTION("""COMPUTED_VALUE"""),44)</f>
        <v>44</v>
      </c>
      <c r="H62">
        <f ca="1">IFERROR(__xludf.DUMMYFUNCTION("""COMPUTED_VALUE"""),-9)</f>
        <v>-9</v>
      </c>
      <c r="I62" t="str">
        <f ca="1">IFERROR(__xludf.DUMMYFUNCTION("""COMPUTED_VALUE"""),"E")</f>
        <v>E</v>
      </c>
    </row>
    <row r="63" spans="1:9" ht="12.75">
      <c r="A63" t="str">
        <f ca="1">IFERROR(__xludf.DUMMYFUNCTION("""COMPUTED_VALUE"""),"T60")</f>
        <v>T60</v>
      </c>
      <c r="B63" t="str">
        <f ca="1">IFERROR(__xludf.DUMMYFUNCTION("""COMPUTED_VALUE"""),"T64")</f>
        <v>T64</v>
      </c>
      <c r="C63" t="str">
        <f ca="1">IFERROR(__xludf.DUMMYFUNCTION("""COMPUTED_VALUE"""),"Johnson Wagner")</f>
        <v>Johnson Wagner</v>
      </c>
      <c r="D63">
        <f ca="1">IFERROR(__xludf.DUMMYFUNCTION("""COMPUTED_VALUE"""),8)</f>
        <v>8</v>
      </c>
      <c r="E63">
        <f ca="1">IFERROR(__xludf.DUMMYFUNCTION("""COMPUTED_VALUE"""),25)</f>
        <v>25</v>
      </c>
      <c r="F63">
        <f ca="1">IFERROR(__xludf.DUMMYFUNCTION("""COMPUTED_VALUE"""),1)</f>
        <v>1</v>
      </c>
      <c r="G63">
        <f ca="1">IFERROR(__xludf.DUMMYFUNCTION("""COMPUTED_VALUE"""),4)</f>
        <v>4</v>
      </c>
      <c r="H63">
        <f ca="1">IFERROR(__xludf.DUMMYFUNCTION("""COMPUTED_VALUE"""),-1)</f>
        <v>-1</v>
      </c>
      <c r="I63" t="str">
        <f ca="1">IFERROR(__xludf.DUMMYFUNCTION("""COMPUTED_VALUE"""),"+2.00")</f>
        <v>+2.00</v>
      </c>
    </row>
    <row r="64" spans="1:9" ht="12.75">
      <c r="A64" t="str">
        <f ca="1">IFERROR(__xludf.DUMMYFUNCTION("""COMPUTED_VALUE"""),"T60")</f>
        <v>T60</v>
      </c>
      <c r="B64">
        <f ca="1">IFERROR(__xludf.DUMMYFUNCTION("""COMPUTED_VALUE"""),57)</f>
        <v>57</v>
      </c>
      <c r="C64" t="str">
        <f ca="1">IFERROR(__xludf.DUMMYFUNCTION("""COMPUTED_VALUE"""),"Dylan Frittelli")</f>
        <v>Dylan Frittelli</v>
      </c>
      <c r="D64">
        <f ca="1">IFERROR(__xludf.DUMMYFUNCTION("""COMPUTED_VALUE"""),16)</f>
        <v>16</v>
      </c>
      <c r="E64">
        <f ca="1">IFERROR(__xludf.DUMMYFUNCTION("""COMPUTED_VALUE"""),25)</f>
        <v>25</v>
      </c>
      <c r="F64">
        <f ca="1">IFERROR(__xludf.DUMMYFUNCTION("""COMPUTED_VALUE"""),14)</f>
        <v>14</v>
      </c>
      <c r="G64">
        <f ca="1">IFERROR(__xludf.DUMMYFUNCTION("""COMPUTED_VALUE"""),56)</f>
        <v>56</v>
      </c>
      <c r="H64">
        <f ca="1">IFERROR(__xludf.DUMMYFUNCTION("""COMPUTED_VALUE"""),-15)</f>
        <v>-15</v>
      </c>
      <c r="I64" t="str">
        <f ca="1">IFERROR(__xludf.DUMMYFUNCTION("""COMPUTED_VALUE"""),"+7.00")</f>
        <v>+7.00</v>
      </c>
    </row>
    <row r="65" spans="1:9" ht="12.75">
      <c r="A65" t="str">
        <f ca="1">IFERROR(__xludf.DUMMYFUNCTION("""COMPUTED_VALUE"""),"T60")</f>
        <v>T60</v>
      </c>
      <c r="B65" t="str">
        <f ca="1">IFERROR(__xludf.DUMMYFUNCTION("""COMPUTED_VALUE"""),"T64")</f>
        <v>T64</v>
      </c>
      <c r="C65" t="str">
        <f ca="1">IFERROR(__xludf.DUMMYFUNCTION("""COMPUTED_VALUE"""),"Rhein Gibson")</f>
        <v>Rhein Gibson</v>
      </c>
      <c r="D65">
        <f ca="1">IFERROR(__xludf.DUMMYFUNCTION("""COMPUTED_VALUE"""),10)</f>
        <v>10</v>
      </c>
      <c r="E65">
        <f ca="1">IFERROR(__xludf.DUMMYFUNCTION("""COMPUTED_VALUE"""),25)</f>
        <v>25</v>
      </c>
      <c r="F65">
        <f ca="1">IFERROR(__xludf.DUMMYFUNCTION("""COMPUTED_VALUE"""),2)</f>
        <v>2</v>
      </c>
      <c r="G65">
        <f ca="1">IFERROR(__xludf.DUMMYFUNCTION("""COMPUTED_VALUE"""),8)</f>
        <v>8</v>
      </c>
      <c r="H65">
        <f ca="1">IFERROR(__xludf.DUMMYFUNCTION("""COMPUTED_VALUE"""),-2)</f>
        <v>-2</v>
      </c>
      <c r="I65">
        <f ca="1">IFERROR(__xludf.DUMMYFUNCTION("""COMPUTED_VALUE"""),-1)</f>
        <v>-1</v>
      </c>
    </row>
    <row r="66" spans="1:9" ht="12.75">
      <c r="A66" t="str">
        <f ca="1">IFERROR(__xludf.DUMMYFUNCTION("""COMPUTED_VALUE"""),"T60")</f>
        <v>T60</v>
      </c>
      <c r="B66" t="str">
        <f ca="1">IFERROR(__xludf.DUMMYFUNCTION("""COMPUTED_VALUE"""),"T100")</f>
        <v>T100</v>
      </c>
      <c r="C66" t="str">
        <f ca="1">IFERROR(__xludf.DUMMYFUNCTION("""COMPUTED_VALUE"""),"Lanto Griffin")</f>
        <v>Lanto Griffin</v>
      </c>
      <c r="D66">
        <f ca="1">IFERROR(__xludf.DUMMYFUNCTION("""COMPUTED_VALUE"""),18)</f>
        <v>18</v>
      </c>
      <c r="E66">
        <f ca="1">IFERROR(__xludf.DUMMYFUNCTION("""COMPUTED_VALUE"""),25)</f>
        <v>25</v>
      </c>
      <c r="F66">
        <f ca="1">IFERROR(__xludf.DUMMYFUNCTION("""COMPUTED_VALUE"""),11)</f>
        <v>11</v>
      </c>
      <c r="G66">
        <f ca="1">IFERROR(__xludf.DUMMYFUNCTION("""COMPUTED_VALUE"""),44)</f>
        <v>44</v>
      </c>
      <c r="H66">
        <f ca="1">IFERROR(__xludf.DUMMYFUNCTION("""COMPUTED_VALUE"""),-12)</f>
        <v>-12</v>
      </c>
      <c r="I66">
        <f ca="1">IFERROR(__xludf.DUMMYFUNCTION("""COMPUTED_VALUE"""),-5)</f>
        <v>-5</v>
      </c>
    </row>
    <row r="67" spans="1:9" ht="12.75">
      <c r="A67" t="str">
        <f ca="1">IFERROR(__xludf.DUMMYFUNCTION("""COMPUTED_VALUE"""),"T60")</f>
        <v>T60</v>
      </c>
      <c r="B67" t="str">
        <f ca="1">IFERROR(__xludf.DUMMYFUNCTION("""COMPUTED_VALUE"""),"T64")</f>
        <v>T64</v>
      </c>
      <c r="C67" t="str">
        <f ca="1">IFERROR(__xludf.DUMMYFUNCTION("""COMPUTED_VALUE"""),"Wes Roach")</f>
        <v>Wes Roach</v>
      </c>
      <c r="D67">
        <f ca="1">IFERROR(__xludf.DUMMYFUNCTION("""COMPUTED_VALUE"""),6)</f>
        <v>6</v>
      </c>
      <c r="E67">
        <f ca="1">IFERROR(__xludf.DUMMYFUNCTION("""COMPUTED_VALUE"""),25)</f>
        <v>25</v>
      </c>
      <c r="F67">
        <f ca="1">IFERROR(__xludf.DUMMYFUNCTION("""COMPUTED_VALUE"""),1)</f>
        <v>1</v>
      </c>
      <c r="G67">
        <f ca="1">IFERROR(__xludf.DUMMYFUNCTION("""COMPUTED_VALUE"""),4)</f>
        <v>4</v>
      </c>
      <c r="H67">
        <f ca="1">IFERROR(__xludf.DUMMYFUNCTION("""COMPUTED_VALUE"""),-1)</f>
        <v>-1</v>
      </c>
      <c r="I67">
        <f ca="1">IFERROR(__xludf.DUMMYFUNCTION("""COMPUTED_VALUE"""),-1)</f>
        <v>-1</v>
      </c>
    </row>
    <row r="68" spans="1:9" ht="12.75">
      <c r="A68" t="str">
        <f ca="1">IFERROR(__xludf.DUMMYFUNCTION("""COMPUTED_VALUE"""),"T60")</f>
        <v>T60</v>
      </c>
      <c r="B68" t="str">
        <f ca="1">IFERROR(__xludf.DUMMYFUNCTION("""COMPUTED_VALUE"""),"T64")</f>
        <v>T64</v>
      </c>
      <c r="C68" t="str">
        <f ca="1">IFERROR(__xludf.DUMMYFUNCTION("""COMPUTED_VALUE"""),"Brandon Hagy")</f>
        <v>Brandon Hagy</v>
      </c>
      <c r="D68">
        <f ca="1">IFERROR(__xludf.DUMMYFUNCTION("""COMPUTED_VALUE"""),10)</f>
        <v>10</v>
      </c>
      <c r="E68">
        <f ca="1">IFERROR(__xludf.DUMMYFUNCTION("""COMPUTED_VALUE"""),25)</f>
        <v>25</v>
      </c>
      <c r="F68">
        <f ca="1">IFERROR(__xludf.DUMMYFUNCTION("""COMPUTED_VALUE"""),4)</f>
        <v>4</v>
      </c>
      <c r="G68">
        <f ca="1">IFERROR(__xludf.DUMMYFUNCTION("""COMPUTED_VALUE"""),16)</f>
        <v>16</v>
      </c>
      <c r="H68">
        <f ca="1">IFERROR(__xludf.DUMMYFUNCTION("""COMPUTED_VALUE"""),-4)</f>
        <v>-4</v>
      </c>
      <c r="I68">
        <f ca="1">IFERROR(__xludf.DUMMYFUNCTION("""COMPUTED_VALUE"""),-1)</f>
        <v>-1</v>
      </c>
    </row>
    <row r="69" spans="1:9" ht="12.75">
      <c r="A69" t="str">
        <f ca="1">IFERROR(__xludf.DUMMYFUNCTION("""COMPUTED_VALUE"""),"T60")</f>
        <v>T60</v>
      </c>
      <c r="B69" t="str">
        <f ca="1">IFERROR(__xludf.DUMMYFUNCTION("""COMPUTED_VALUE"""),"T64")</f>
        <v>T64</v>
      </c>
      <c r="C69" t="str">
        <f ca="1">IFERROR(__xludf.DUMMYFUNCTION("""COMPUTED_VALUE"""),"George Markham")</f>
        <v>George Markham</v>
      </c>
      <c r="D69">
        <f ca="1">IFERROR(__xludf.DUMMYFUNCTION("""COMPUTED_VALUE"""),4)</f>
        <v>4</v>
      </c>
      <c r="E69">
        <f ca="1">IFERROR(__xludf.DUMMYFUNCTION("""COMPUTED_VALUE"""),25)</f>
        <v>25</v>
      </c>
      <c r="F69">
        <f ca="1">IFERROR(__xludf.DUMMYFUNCTION("""COMPUTED_VALUE"""),3)</f>
        <v>3</v>
      </c>
      <c r="G69">
        <f ca="1">IFERROR(__xludf.DUMMYFUNCTION("""COMPUTED_VALUE"""),12)</f>
        <v>12</v>
      </c>
      <c r="H69">
        <f ca="1">IFERROR(__xludf.DUMMYFUNCTION("""COMPUTED_VALUE"""),-3)</f>
        <v>-3</v>
      </c>
      <c r="I69">
        <f ca="1">IFERROR(__xludf.DUMMYFUNCTION("""COMPUTED_VALUE"""),-1)</f>
        <v>-1</v>
      </c>
    </row>
    <row r="70" spans="1:9" ht="12.75">
      <c r="A70" t="str">
        <f ca="1">IFERROR(__xludf.DUMMYFUNCTION("""COMPUTED_VALUE"""),"T69")</f>
        <v>T69</v>
      </c>
      <c r="B70">
        <f ca="1">IFERROR(__xludf.DUMMYFUNCTION("""COMPUTED_VALUE"""),71)</f>
        <v>71</v>
      </c>
      <c r="C70" t="str">
        <f ca="1">IFERROR(__xludf.DUMMYFUNCTION("""COMPUTED_VALUE"""),"Abraham Ancer")</f>
        <v>Abraham Ancer</v>
      </c>
      <c r="D70">
        <f ca="1">IFERROR(__xludf.DUMMYFUNCTION("""COMPUTED_VALUE"""),16)</f>
        <v>16</v>
      </c>
      <c r="E70">
        <f ca="1">IFERROR(__xludf.DUMMYFUNCTION("""COMPUTED_VALUE"""),24.44)</f>
        <v>24.44</v>
      </c>
      <c r="F70">
        <f ca="1">IFERROR(__xludf.DUMMYFUNCTION("""COMPUTED_VALUE"""),11)</f>
        <v>11</v>
      </c>
      <c r="G70">
        <f ca="1">IFERROR(__xludf.DUMMYFUNCTION("""COMPUTED_VALUE"""),45)</f>
        <v>45</v>
      </c>
      <c r="H70">
        <f ca="1">IFERROR(__xludf.DUMMYFUNCTION("""COMPUTED_VALUE"""),-12)</f>
        <v>-12</v>
      </c>
      <c r="I70">
        <f ca="1">IFERROR(__xludf.DUMMYFUNCTION("""COMPUTED_VALUE"""),-3)</f>
        <v>-3</v>
      </c>
    </row>
    <row r="71" spans="1:9" ht="12.75">
      <c r="A71" t="str">
        <f ca="1">IFERROR(__xludf.DUMMYFUNCTION("""COMPUTED_VALUE"""),"T69")</f>
        <v>T69</v>
      </c>
      <c r="B71" t="str">
        <f ca="1">IFERROR(__xludf.DUMMYFUNCTION("""COMPUTED_VALUE"""),"T88")</f>
        <v>T88</v>
      </c>
      <c r="C71" t="str">
        <f ca="1">IFERROR(__xludf.DUMMYFUNCTION("""COMPUTED_VALUE"""),"Sam Burns")</f>
        <v>Sam Burns</v>
      </c>
      <c r="D71">
        <f ca="1">IFERROR(__xludf.DUMMYFUNCTION("""COMPUTED_VALUE"""),18)</f>
        <v>18</v>
      </c>
      <c r="E71">
        <f ca="1">IFERROR(__xludf.DUMMYFUNCTION("""COMPUTED_VALUE"""),24.44)</f>
        <v>24.44</v>
      </c>
      <c r="F71">
        <f ca="1">IFERROR(__xludf.DUMMYFUNCTION("""COMPUTED_VALUE"""),11)</f>
        <v>11</v>
      </c>
      <c r="G71">
        <f ca="1">IFERROR(__xludf.DUMMYFUNCTION("""COMPUTED_VALUE"""),45)</f>
        <v>45</v>
      </c>
      <c r="H71">
        <f ca="1">IFERROR(__xludf.DUMMYFUNCTION("""COMPUTED_VALUE"""),-12)</f>
        <v>-12</v>
      </c>
      <c r="I71">
        <f ca="1">IFERROR(__xludf.DUMMYFUNCTION("""COMPUTED_VALUE"""),-4)</f>
        <v>-4</v>
      </c>
    </row>
    <row r="72" spans="1:9" ht="12.75">
      <c r="A72">
        <f ca="1">IFERROR(__xludf.DUMMYFUNCTION("""COMPUTED_VALUE"""),71)</f>
        <v>71</v>
      </c>
      <c r="B72" t="str">
        <f ca="1">IFERROR(__xludf.DUMMYFUNCTION("""COMPUTED_VALUE"""),"T72")</f>
        <v>T72</v>
      </c>
      <c r="C72" t="str">
        <f ca="1">IFERROR(__xludf.DUMMYFUNCTION("""COMPUTED_VALUE"""),"Brendon Todd")</f>
        <v>Brendon Todd</v>
      </c>
      <c r="D72">
        <f ca="1">IFERROR(__xludf.DUMMYFUNCTION("""COMPUTED_VALUE"""),14)</f>
        <v>14</v>
      </c>
      <c r="E72">
        <f ca="1">IFERROR(__xludf.DUMMYFUNCTION("""COMPUTED_VALUE"""),24.14)</f>
        <v>24.14</v>
      </c>
      <c r="F72">
        <f ca="1">IFERROR(__xludf.DUMMYFUNCTION("""COMPUTED_VALUE"""),7)</f>
        <v>7</v>
      </c>
      <c r="G72">
        <f ca="1">IFERROR(__xludf.DUMMYFUNCTION("""COMPUTED_VALUE"""),29)</f>
        <v>29</v>
      </c>
      <c r="H72">
        <f ca="1">IFERROR(__xludf.DUMMYFUNCTION("""COMPUTED_VALUE"""),-9)</f>
        <v>-9</v>
      </c>
      <c r="I72">
        <f ca="1">IFERROR(__xludf.DUMMYFUNCTION("""COMPUTED_VALUE"""),-9)</f>
        <v>-9</v>
      </c>
    </row>
    <row r="73" spans="1:9" ht="12.75">
      <c r="A73">
        <f ca="1">IFERROR(__xludf.DUMMYFUNCTION("""COMPUTED_VALUE"""),72)</f>
        <v>72</v>
      </c>
      <c r="B73">
        <f ca="1">IFERROR(__xludf.DUMMYFUNCTION("""COMPUTED_VALUE"""),74)</f>
        <v>74</v>
      </c>
      <c r="C73" t="str">
        <f ca="1">IFERROR(__xludf.DUMMYFUNCTION("""COMPUTED_VALUE"""),"Joaquin Niemann")</f>
        <v>Joaquin Niemann</v>
      </c>
      <c r="D73">
        <f ca="1">IFERROR(__xludf.DUMMYFUNCTION("""COMPUTED_VALUE"""),16)</f>
        <v>16</v>
      </c>
      <c r="E73">
        <f ca="1">IFERROR(__xludf.DUMMYFUNCTION("""COMPUTED_VALUE"""),24.07)</f>
        <v>24.07</v>
      </c>
      <c r="F73">
        <f ca="1">IFERROR(__xludf.DUMMYFUNCTION("""COMPUTED_VALUE"""),13)</f>
        <v>13</v>
      </c>
      <c r="G73">
        <f ca="1">IFERROR(__xludf.DUMMYFUNCTION("""COMPUTED_VALUE"""),54)</f>
        <v>54</v>
      </c>
      <c r="H73">
        <f ca="1">IFERROR(__xludf.DUMMYFUNCTION("""COMPUTED_VALUE"""),-13)</f>
        <v>-13</v>
      </c>
      <c r="I73" t="str">
        <f ca="1">IFERROR(__xludf.DUMMYFUNCTION("""COMPUTED_VALUE"""),"E")</f>
        <v>E</v>
      </c>
    </row>
    <row r="74" spans="1:9" ht="12.75">
      <c r="A74">
        <f ca="1">IFERROR(__xludf.DUMMYFUNCTION("""COMPUTED_VALUE"""),73)</f>
        <v>73</v>
      </c>
      <c r="B74">
        <f ca="1">IFERROR(__xludf.DUMMYFUNCTION("""COMPUTED_VALUE"""),77)</f>
        <v>77</v>
      </c>
      <c r="C74" t="str">
        <f ca="1">IFERROR(__xludf.DUMMYFUNCTION("""COMPUTED_VALUE"""),"Sungjae Im")</f>
        <v>Sungjae Im</v>
      </c>
      <c r="D74">
        <f ca="1">IFERROR(__xludf.DUMMYFUNCTION("""COMPUTED_VALUE"""),24)</f>
        <v>24</v>
      </c>
      <c r="E74">
        <f ca="1">IFERROR(__xludf.DUMMYFUNCTION("""COMPUTED_VALUE"""),24.05)</f>
        <v>24.05</v>
      </c>
      <c r="F74">
        <f ca="1">IFERROR(__xludf.DUMMYFUNCTION("""COMPUTED_VALUE"""),19)</f>
        <v>19</v>
      </c>
      <c r="G74">
        <f ca="1">IFERROR(__xludf.DUMMYFUNCTION("""COMPUTED_VALUE"""),79)</f>
        <v>79</v>
      </c>
      <c r="H74">
        <f ca="1">IFERROR(__xludf.DUMMYFUNCTION("""COMPUTED_VALUE"""),-18)</f>
        <v>-18</v>
      </c>
      <c r="I74" t="str">
        <f ca="1">IFERROR(__xludf.DUMMYFUNCTION("""COMPUTED_VALUE"""),"+1.00")</f>
        <v>+1.00</v>
      </c>
    </row>
    <row r="75" spans="1:9" ht="12.75">
      <c r="A75">
        <f ca="1">IFERROR(__xludf.DUMMYFUNCTION("""COMPUTED_VALUE"""),74)</f>
        <v>74</v>
      </c>
      <c r="B75" t="str">
        <f ca="1">IFERROR(__xludf.DUMMYFUNCTION("""COMPUTED_VALUE"""),"T75")</f>
        <v>T75</v>
      </c>
      <c r="C75" t="str">
        <f ca="1">IFERROR(__xludf.DUMMYFUNCTION("""COMPUTED_VALUE"""),"Tom Lewis")</f>
        <v>Tom Lewis</v>
      </c>
      <c r="D75">
        <f ca="1">IFERROR(__xludf.DUMMYFUNCTION("""COMPUTED_VALUE"""),12)</f>
        <v>12</v>
      </c>
      <c r="E75">
        <f ca="1">IFERROR(__xludf.DUMMYFUNCTION("""COMPUTED_VALUE"""),24)</f>
        <v>24</v>
      </c>
      <c r="F75">
        <f ca="1">IFERROR(__xludf.DUMMYFUNCTION("""COMPUTED_VALUE"""),6)</f>
        <v>6</v>
      </c>
      <c r="G75">
        <f ca="1">IFERROR(__xludf.DUMMYFUNCTION("""COMPUTED_VALUE"""),25)</f>
        <v>25</v>
      </c>
      <c r="H75">
        <f ca="1">IFERROR(__xludf.DUMMYFUNCTION("""COMPUTED_VALUE"""),-5)</f>
        <v>-5</v>
      </c>
      <c r="I75">
        <f ca="1">IFERROR(__xludf.DUMMYFUNCTION("""COMPUTED_VALUE"""),-1)</f>
        <v>-1</v>
      </c>
    </row>
    <row r="76" spans="1:9" ht="12.75">
      <c r="A76">
        <f ca="1">IFERROR(__xludf.DUMMYFUNCTION("""COMPUTED_VALUE"""),75)</f>
        <v>75</v>
      </c>
      <c r="B76">
        <f ca="1">IFERROR(__xludf.DUMMYFUNCTION("""COMPUTED_VALUE"""),58)</f>
        <v>58</v>
      </c>
      <c r="C76" t="str">
        <f ca="1">IFERROR(__xludf.DUMMYFUNCTION("""COMPUTED_VALUE"""),"Hunter Mahan")</f>
        <v>Hunter Mahan</v>
      </c>
      <c r="D76">
        <f ca="1">IFERROR(__xludf.DUMMYFUNCTION("""COMPUTED_VALUE"""),14)</f>
        <v>14</v>
      </c>
      <c r="E76">
        <f ca="1">IFERROR(__xludf.DUMMYFUNCTION("""COMPUTED_VALUE"""),23.81)</f>
        <v>23.81</v>
      </c>
      <c r="F76">
        <f ca="1">IFERROR(__xludf.DUMMYFUNCTION("""COMPUTED_VALUE"""),5)</f>
        <v>5</v>
      </c>
      <c r="G76">
        <f ca="1">IFERROR(__xludf.DUMMYFUNCTION("""COMPUTED_VALUE"""),21)</f>
        <v>21</v>
      </c>
      <c r="H76">
        <f ca="1">IFERROR(__xludf.DUMMYFUNCTION("""COMPUTED_VALUE"""),-7)</f>
        <v>-7</v>
      </c>
      <c r="I76" t="str">
        <f ca="1">IFERROR(__xludf.DUMMYFUNCTION("""COMPUTED_VALUE"""),"+2.00")</f>
        <v>+2.00</v>
      </c>
    </row>
    <row r="77" spans="1:9" ht="12.75">
      <c r="A77">
        <f ca="1">IFERROR(__xludf.DUMMYFUNCTION("""COMPUTED_VALUE"""),76)</f>
        <v>76</v>
      </c>
      <c r="B77">
        <f ca="1">IFERROR(__xludf.DUMMYFUNCTION("""COMPUTED_VALUE"""),62)</f>
        <v>62</v>
      </c>
      <c r="C77" t="str">
        <f ca="1">IFERROR(__xludf.DUMMYFUNCTION("""COMPUTED_VALUE"""),"Adam Schenk")</f>
        <v>Adam Schenk</v>
      </c>
      <c r="D77">
        <f ca="1">IFERROR(__xludf.DUMMYFUNCTION("""COMPUTED_VALUE"""),22)</f>
        <v>22</v>
      </c>
      <c r="E77">
        <f ca="1">IFERROR(__xludf.DUMMYFUNCTION("""COMPUTED_VALUE"""),23.68)</f>
        <v>23.68</v>
      </c>
      <c r="F77">
        <f ca="1">IFERROR(__xludf.DUMMYFUNCTION("""COMPUTED_VALUE"""),9)</f>
        <v>9</v>
      </c>
      <c r="G77">
        <f ca="1">IFERROR(__xludf.DUMMYFUNCTION("""COMPUTED_VALUE"""),38)</f>
        <v>38</v>
      </c>
      <c r="H77">
        <f ca="1">IFERROR(__xludf.DUMMYFUNCTION("""COMPUTED_VALUE"""),-9)</f>
        <v>-9</v>
      </c>
      <c r="I77">
        <f ca="1">IFERROR(__xludf.DUMMYFUNCTION("""COMPUTED_VALUE"""),-3)</f>
        <v>-3</v>
      </c>
    </row>
    <row r="78" spans="1:9" ht="12.75">
      <c r="A78" t="str">
        <f ca="1">IFERROR(__xludf.DUMMYFUNCTION("""COMPUTED_VALUE"""),"T77")</f>
        <v>T77</v>
      </c>
      <c r="B78" t="str">
        <f ca="1">IFERROR(__xludf.DUMMYFUNCTION("""COMPUTED_VALUE"""),"T78")</f>
        <v>T78</v>
      </c>
      <c r="C78" t="str">
        <f ca="1">IFERROR(__xludf.DUMMYFUNCTION("""COMPUTED_VALUE"""),"Jason Day")</f>
        <v>Jason Day</v>
      </c>
      <c r="D78">
        <f ca="1">IFERROR(__xludf.DUMMYFUNCTION("""COMPUTED_VALUE"""),17)</f>
        <v>17</v>
      </c>
      <c r="E78">
        <f ca="1">IFERROR(__xludf.DUMMYFUNCTION("""COMPUTED_VALUE"""),23.53)</f>
        <v>23.53</v>
      </c>
      <c r="F78">
        <f ca="1">IFERROR(__xludf.DUMMYFUNCTION("""COMPUTED_VALUE"""),12)</f>
        <v>12</v>
      </c>
      <c r="G78">
        <f ca="1">IFERROR(__xludf.DUMMYFUNCTION("""COMPUTED_VALUE"""),51)</f>
        <v>51</v>
      </c>
      <c r="H78">
        <f ca="1">IFERROR(__xludf.DUMMYFUNCTION("""COMPUTED_VALUE"""),-11)</f>
        <v>-11</v>
      </c>
      <c r="I78">
        <f ca="1">IFERROR(__xludf.DUMMYFUNCTION("""COMPUTED_VALUE"""),-1)</f>
        <v>-1</v>
      </c>
    </row>
    <row r="79" spans="1:9" ht="12.75">
      <c r="A79" t="str">
        <f ca="1">IFERROR(__xludf.DUMMYFUNCTION("""COMPUTED_VALUE"""),"T77")</f>
        <v>T77</v>
      </c>
      <c r="B79" t="str">
        <f ca="1">IFERROR(__xludf.DUMMYFUNCTION("""COMPUTED_VALUE"""),"T80")</f>
        <v>T80</v>
      </c>
      <c r="C79" t="str">
        <f ca="1">IFERROR(__xludf.DUMMYFUNCTION("""COMPUTED_VALUE"""),"Anirban Lahiri")</f>
        <v>Anirban Lahiri</v>
      </c>
      <c r="D79">
        <f ca="1">IFERROR(__xludf.DUMMYFUNCTION("""COMPUTED_VALUE"""),16)</f>
        <v>16</v>
      </c>
      <c r="E79">
        <f ca="1">IFERROR(__xludf.DUMMYFUNCTION("""COMPUTED_VALUE"""),23.53)</f>
        <v>23.53</v>
      </c>
      <c r="F79">
        <f ca="1">IFERROR(__xludf.DUMMYFUNCTION("""COMPUTED_VALUE"""),4)</f>
        <v>4</v>
      </c>
      <c r="G79">
        <f ca="1">IFERROR(__xludf.DUMMYFUNCTION("""COMPUTED_VALUE"""),17)</f>
        <v>17</v>
      </c>
      <c r="H79">
        <f ca="1">IFERROR(__xludf.DUMMYFUNCTION("""COMPUTED_VALUE"""),-5)</f>
        <v>-5</v>
      </c>
      <c r="I79" t="str">
        <f ca="1">IFERROR(__xludf.DUMMYFUNCTION("""COMPUTED_VALUE"""),"E")</f>
        <v>E</v>
      </c>
    </row>
    <row r="80" spans="1:9" ht="12.75">
      <c r="A80" t="str">
        <f ca="1">IFERROR(__xludf.DUMMYFUNCTION("""COMPUTED_VALUE"""),"T77")</f>
        <v>T77</v>
      </c>
      <c r="B80" t="str">
        <f ca="1">IFERROR(__xludf.DUMMYFUNCTION("""COMPUTED_VALUE"""),"T103")</f>
        <v>T103</v>
      </c>
      <c r="C80" t="str">
        <f ca="1">IFERROR(__xludf.DUMMYFUNCTION("""COMPUTED_VALUE"""),"J.T. Poston")</f>
        <v>J.T. Poston</v>
      </c>
      <c r="D80">
        <f ca="1">IFERROR(__xludf.DUMMYFUNCTION("""COMPUTED_VALUE"""),18)</f>
        <v>18</v>
      </c>
      <c r="E80">
        <f ca="1">IFERROR(__xludf.DUMMYFUNCTION("""COMPUTED_VALUE"""),23.53)</f>
        <v>23.53</v>
      </c>
      <c r="F80">
        <f ca="1">IFERROR(__xludf.DUMMYFUNCTION("""COMPUTED_VALUE"""),12)</f>
        <v>12</v>
      </c>
      <c r="G80">
        <f ca="1">IFERROR(__xludf.DUMMYFUNCTION("""COMPUTED_VALUE"""),51)</f>
        <v>51</v>
      </c>
      <c r="H80">
        <f ca="1">IFERROR(__xludf.DUMMYFUNCTION("""COMPUTED_VALUE"""),-11)</f>
        <v>-11</v>
      </c>
      <c r="I80">
        <f ca="1">IFERROR(__xludf.DUMMYFUNCTION("""COMPUTED_VALUE"""),-7)</f>
        <v>-7</v>
      </c>
    </row>
    <row r="81" spans="1:9" ht="12.75">
      <c r="A81">
        <f ca="1">IFERROR(__xludf.DUMMYFUNCTION("""COMPUTED_VALUE"""),80)</f>
        <v>80</v>
      </c>
      <c r="B81">
        <f ca="1">IFERROR(__xludf.DUMMYFUNCTION("""COMPUTED_VALUE"""),82)</f>
        <v>82</v>
      </c>
      <c r="C81" t="str">
        <f ca="1">IFERROR(__xludf.DUMMYFUNCTION("""COMPUTED_VALUE"""),"Sebastián Muñoz")</f>
        <v>Sebastián Muñoz</v>
      </c>
      <c r="D81">
        <f ca="1">IFERROR(__xludf.DUMMYFUNCTION("""COMPUTED_VALUE"""),20)</f>
        <v>20</v>
      </c>
      <c r="E81">
        <f ca="1">IFERROR(__xludf.DUMMYFUNCTION("""COMPUTED_VALUE"""),23.44)</f>
        <v>23.44</v>
      </c>
      <c r="F81">
        <f ca="1">IFERROR(__xludf.DUMMYFUNCTION("""COMPUTED_VALUE"""),15)</f>
        <v>15</v>
      </c>
      <c r="G81">
        <f ca="1">IFERROR(__xludf.DUMMYFUNCTION("""COMPUTED_VALUE"""),64)</f>
        <v>64</v>
      </c>
      <c r="H81">
        <f ca="1">IFERROR(__xludf.DUMMYFUNCTION("""COMPUTED_VALUE"""),-15)</f>
        <v>-15</v>
      </c>
      <c r="I81">
        <f ca="1">IFERROR(__xludf.DUMMYFUNCTION("""COMPUTED_VALUE"""),-3)</f>
        <v>-3</v>
      </c>
    </row>
    <row r="82" spans="1:9" ht="12.75">
      <c r="A82">
        <f ca="1">IFERROR(__xludf.DUMMYFUNCTION("""COMPUTED_VALUE"""),81)</f>
        <v>81</v>
      </c>
      <c r="B82">
        <f ca="1">IFERROR(__xludf.DUMMYFUNCTION("""COMPUTED_VALUE"""),83)</f>
        <v>83</v>
      </c>
      <c r="C82" t="str">
        <f ca="1">IFERROR(__xludf.DUMMYFUNCTION("""COMPUTED_VALUE"""),"Rafa Cabrera Bello")</f>
        <v>Rafa Cabrera Bello</v>
      </c>
      <c r="D82">
        <f ca="1">IFERROR(__xludf.DUMMYFUNCTION("""COMPUTED_VALUE"""),14)</f>
        <v>14</v>
      </c>
      <c r="E82">
        <f ca="1">IFERROR(__xludf.DUMMYFUNCTION("""COMPUTED_VALUE"""),23.33)</f>
        <v>23.33</v>
      </c>
      <c r="F82">
        <f ca="1">IFERROR(__xludf.DUMMYFUNCTION("""COMPUTED_VALUE"""),7)</f>
        <v>7</v>
      </c>
      <c r="G82">
        <f ca="1">IFERROR(__xludf.DUMMYFUNCTION("""COMPUTED_VALUE"""),30)</f>
        <v>30</v>
      </c>
      <c r="H82">
        <f ca="1">IFERROR(__xludf.DUMMYFUNCTION("""COMPUTED_VALUE"""),-8)</f>
        <v>-8</v>
      </c>
      <c r="I82">
        <f ca="1">IFERROR(__xludf.DUMMYFUNCTION("""COMPUTED_VALUE"""),-3)</f>
        <v>-3</v>
      </c>
    </row>
    <row r="83" spans="1:9" ht="12.75">
      <c r="A83" t="str">
        <f ca="1">IFERROR(__xludf.DUMMYFUNCTION("""COMPUTED_VALUE"""),"T82")</f>
        <v>T82</v>
      </c>
      <c r="B83" t="str">
        <f ca="1">IFERROR(__xludf.DUMMYFUNCTION("""COMPUTED_VALUE"""),"T84")</f>
        <v>T84</v>
      </c>
      <c r="C83" t="str">
        <f ca="1">IFERROR(__xludf.DUMMYFUNCTION("""COMPUTED_VALUE"""),"Nelson Ledesma")</f>
        <v>Nelson Ledesma</v>
      </c>
      <c r="D83">
        <f ca="1">IFERROR(__xludf.DUMMYFUNCTION("""COMPUTED_VALUE"""),8)</f>
        <v>8</v>
      </c>
      <c r="E83">
        <f ca="1">IFERROR(__xludf.DUMMYFUNCTION("""COMPUTED_VALUE"""),23.08)</f>
        <v>23.08</v>
      </c>
      <c r="F83">
        <f ca="1">IFERROR(__xludf.DUMMYFUNCTION("""COMPUTED_VALUE"""),3)</f>
        <v>3</v>
      </c>
      <c r="G83">
        <f ca="1">IFERROR(__xludf.DUMMYFUNCTION("""COMPUTED_VALUE"""),13)</f>
        <v>13</v>
      </c>
      <c r="H83">
        <f ca="1">IFERROR(__xludf.DUMMYFUNCTION("""COMPUTED_VALUE"""),-4)</f>
        <v>-4</v>
      </c>
      <c r="I83">
        <f ca="1">IFERROR(__xludf.DUMMYFUNCTION("""COMPUTED_VALUE"""),-1)</f>
        <v>-1</v>
      </c>
    </row>
    <row r="84" spans="1:9" ht="12.75">
      <c r="A84" t="str">
        <f ca="1">IFERROR(__xludf.DUMMYFUNCTION("""COMPUTED_VALUE"""),"T82")</f>
        <v>T82</v>
      </c>
      <c r="B84" t="str">
        <f ca="1">IFERROR(__xludf.DUMMYFUNCTION("""COMPUTED_VALUE"""),"T84")</f>
        <v>T84</v>
      </c>
      <c r="C84" t="str">
        <f ca="1">IFERROR(__xludf.DUMMYFUNCTION("""COMPUTED_VALUE"""),"Tyler McCumber")</f>
        <v>Tyler McCumber</v>
      </c>
      <c r="D84">
        <f ca="1">IFERROR(__xludf.DUMMYFUNCTION("""COMPUTED_VALUE"""),14)</f>
        <v>14</v>
      </c>
      <c r="E84">
        <f ca="1">IFERROR(__xludf.DUMMYFUNCTION("""COMPUTED_VALUE"""),23.08)</f>
        <v>23.08</v>
      </c>
      <c r="F84">
        <f ca="1">IFERROR(__xludf.DUMMYFUNCTION("""COMPUTED_VALUE"""),6)</f>
        <v>6</v>
      </c>
      <c r="G84">
        <f ca="1">IFERROR(__xludf.DUMMYFUNCTION("""COMPUTED_VALUE"""),26)</f>
        <v>26</v>
      </c>
      <c r="H84">
        <f ca="1">IFERROR(__xludf.DUMMYFUNCTION("""COMPUTED_VALUE"""),-6)</f>
        <v>-6</v>
      </c>
      <c r="I84">
        <f ca="1">IFERROR(__xludf.DUMMYFUNCTION("""COMPUTED_VALUE"""),-3)</f>
        <v>-3</v>
      </c>
    </row>
    <row r="85" spans="1:9" ht="12.75">
      <c r="A85">
        <f ca="1">IFERROR(__xludf.DUMMYFUNCTION("""COMPUTED_VALUE"""),84)</f>
        <v>84</v>
      </c>
      <c r="B85" t="str">
        <f ca="1">IFERROR(__xludf.DUMMYFUNCTION("""COMPUTED_VALUE"""),"T111")</f>
        <v>T111</v>
      </c>
      <c r="C85" t="str">
        <f ca="1">IFERROR(__xludf.DUMMYFUNCTION("""COMPUTED_VALUE"""),"Adam Long")</f>
        <v>Adam Long</v>
      </c>
      <c r="D85">
        <f ca="1">IFERROR(__xludf.DUMMYFUNCTION("""COMPUTED_VALUE"""),22)</f>
        <v>22</v>
      </c>
      <c r="E85">
        <f ca="1">IFERROR(__xludf.DUMMYFUNCTION("""COMPUTED_VALUE"""),22.86)</f>
        <v>22.86</v>
      </c>
      <c r="F85">
        <f ca="1">IFERROR(__xludf.DUMMYFUNCTION("""COMPUTED_VALUE"""),8)</f>
        <v>8</v>
      </c>
      <c r="G85">
        <f ca="1">IFERROR(__xludf.DUMMYFUNCTION("""COMPUTED_VALUE"""),35)</f>
        <v>35</v>
      </c>
      <c r="H85">
        <f ca="1">IFERROR(__xludf.DUMMYFUNCTION("""COMPUTED_VALUE"""),-9)</f>
        <v>-9</v>
      </c>
      <c r="I85" t="str">
        <f ca="1">IFERROR(__xludf.DUMMYFUNCTION("""COMPUTED_VALUE"""),"+3.00")</f>
        <v>+3.00</v>
      </c>
    </row>
    <row r="86" spans="1:9" ht="12.75">
      <c r="A86" t="str">
        <f ca="1">IFERROR(__xludf.DUMMYFUNCTION("""COMPUTED_VALUE"""),"T85")</f>
        <v>T85</v>
      </c>
      <c r="B86" t="str">
        <f ca="1">IFERROR(__xludf.DUMMYFUNCTION("""COMPUTED_VALUE"""),"T111")</f>
        <v>T111</v>
      </c>
      <c r="C86" t="str">
        <f ca="1">IFERROR(__xludf.DUMMYFUNCTION("""COMPUTED_VALUE"""),"Bo Hoag")</f>
        <v>Bo Hoag</v>
      </c>
      <c r="D86">
        <f ca="1">IFERROR(__xludf.DUMMYFUNCTION("""COMPUTED_VALUE"""),14)</f>
        <v>14</v>
      </c>
      <c r="E86">
        <f ca="1">IFERROR(__xludf.DUMMYFUNCTION("""COMPUTED_VALUE"""),22.73)</f>
        <v>22.73</v>
      </c>
      <c r="F86">
        <f ca="1">IFERROR(__xludf.DUMMYFUNCTION("""COMPUTED_VALUE"""),5)</f>
        <v>5</v>
      </c>
      <c r="G86">
        <f ca="1">IFERROR(__xludf.DUMMYFUNCTION("""COMPUTED_VALUE"""),22)</f>
        <v>22</v>
      </c>
      <c r="H86">
        <f ca="1">IFERROR(__xludf.DUMMYFUNCTION("""COMPUTED_VALUE"""),-4)</f>
        <v>-4</v>
      </c>
      <c r="I86" t="str">
        <f ca="1">IFERROR(__xludf.DUMMYFUNCTION("""COMPUTED_VALUE"""),"+2.00")</f>
        <v>+2.00</v>
      </c>
    </row>
    <row r="87" spans="1:9" ht="12.75">
      <c r="A87" t="str">
        <f ca="1">IFERROR(__xludf.DUMMYFUNCTION("""COMPUTED_VALUE"""),"T85")</f>
        <v>T85</v>
      </c>
      <c r="B87">
        <f ca="1">IFERROR(__xludf.DUMMYFUNCTION("""COMPUTED_VALUE"""),90)</f>
        <v>90</v>
      </c>
      <c r="C87" t="str">
        <f ca="1">IFERROR(__xludf.DUMMYFUNCTION("""COMPUTED_VALUE"""),"Chase Seiffert")</f>
        <v>Chase Seiffert</v>
      </c>
      <c r="D87">
        <f ca="1">IFERROR(__xludf.DUMMYFUNCTION("""COMPUTED_VALUE"""),14)</f>
        <v>14</v>
      </c>
      <c r="E87">
        <f ca="1">IFERROR(__xludf.DUMMYFUNCTION("""COMPUTED_VALUE"""),22.73)</f>
        <v>22.73</v>
      </c>
      <c r="F87">
        <f ca="1">IFERROR(__xludf.DUMMYFUNCTION("""COMPUTED_VALUE"""),5)</f>
        <v>5</v>
      </c>
      <c r="G87">
        <f ca="1">IFERROR(__xludf.DUMMYFUNCTION("""COMPUTED_VALUE"""),22)</f>
        <v>22</v>
      </c>
      <c r="H87">
        <f ca="1">IFERROR(__xludf.DUMMYFUNCTION("""COMPUTED_VALUE"""),-5)</f>
        <v>-5</v>
      </c>
      <c r="I87">
        <f ca="1">IFERROR(__xludf.DUMMYFUNCTION("""COMPUTED_VALUE"""),-4)</f>
        <v>-4</v>
      </c>
    </row>
    <row r="88" spans="1:9" ht="12.75">
      <c r="A88" t="str">
        <f ca="1">IFERROR(__xludf.DUMMYFUNCTION("""COMPUTED_VALUE"""),"T87")</f>
        <v>T87</v>
      </c>
      <c r="B88" t="str">
        <f ca="1">IFERROR(__xludf.DUMMYFUNCTION("""COMPUTED_VALUE"""),"T75")</f>
        <v>T75</v>
      </c>
      <c r="C88" t="str">
        <f ca="1">IFERROR(__xludf.DUMMYFUNCTION("""COMPUTED_VALUE"""),"Kevin Streelman")</f>
        <v>Kevin Streelman</v>
      </c>
      <c r="D88">
        <f ca="1">IFERROR(__xludf.DUMMYFUNCTION("""COMPUTED_VALUE"""),18)</f>
        <v>18</v>
      </c>
      <c r="E88">
        <f ca="1">IFERROR(__xludf.DUMMYFUNCTION("""COMPUTED_VALUE"""),22.64)</f>
        <v>22.64</v>
      </c>
      <c r="F88">
        <f ca="1">IFERROR(__xludf.DUMMYFUNCTION("""COMPUTED_VALUE"""),12)</f>
        <v>12</v>
      </c>
      <c r="G88">
        <f ca="1">IFERROR(__xludf.DUMMYFUNCTION("""COMPUTED_VALUE"""),53)</f>
        <v>53</v>
      </c>
      <c r="H88">
        <f ca="1">IFERROR(__xludf.DUMMYFUNCTION("""COMPUTED_VALUE"""),-12)</f>
        <v>-12</v>
      </c>
      <c r="I88">
        <f ca="1">IFERROR(__xludf.DUMMYFUNCTION("""COMPUTED_VALUE"""),-6)</f>
        <v>-6</v>
      </c>
    </row>
    <row r="89" spans="1:9" ht="12.75">
      <c r="A89" t="str">
        <f ca="1">IFERROR(__xludf.DUMMYFUNCTION("""COMPUTED_VALUE"""),"T87")</f>
        <v>T87</v>
      </c>
      <c r="B89">
        <f ca="1">IFERROR(__xludf.DUMMYFUNCTION("""COMPUTED_VALUE"""),91)</f>
        <v>91</v>
      </c>
      <c r="C89" t="str">
        <f ca="1">IFERROR(__xludf.DUMMYFUNCTION("""COMPUTED_VALUE"""),"Joel Dahmen")</f>
        <v>Joel Dahmen</v>
      </c>
      <c r="D89">
        <f ca="1">IFERROR(__xludf.DUMMYFUNCTION("""COMPUTED_VALUE"""),18)</f>
        <v>18</v>
      </c>
      <c r="E89">
        <f ca="1">IFERROR(__xludf.DUMMYFUNCTION("""COMPUTED_VALUE"""),22.64)</f>
        <v>22.64</v>
      </c>
      <c r="F89">
        <f ca="1">IFERROR(__xludf.DUMMYFUNCTION("""COMPUTED_VALUE"""),12)</f>
        <v>12</v>
      </c>
      <c r="G89">
        <f ca="1">IFERROR(__xludf.DUMMYFUNCTION("""COMPUTED_VALUE"""),53)</f>
        <v>53</v>
      </c>
      <c r="H89">
        <f ca="1">IFERROR(__xludf.DUMMYFUNCTION("""COMPUTED_VALUE"""),-11)</f>
        <v>-11</v>
      </c>
      <c r="I89">
        <f ca="1">IFERROR(__xludf.DUMMYFUNCTION("""COMPUTED_VALUE"""),-6)</f>
        <v>-6</v>
      </c>
    </row>
    <row r="90" spans="1:9" ht="12.75">
      <c r="A90" t="str">
        <f ca="1">IFERROR(__xludf.DUMMYFUNCTION("""COMPUTED_VALUE"""),"T89")</f>
        <v>T89</v>
      </c>
      <c r="B90" t="str">
        <f ca="1">IFERROR(__xludf.DUMMYFUNCTION("""COMPUTED_VALUE"""),"T107")</f>
        <v>T107</v>
      </c>
      <c r="C90" t="str">
        <f ca="1">IFERROR(__xludf.DUMMYFUNCTION("""COMPUTED_VALUE"""),"Sergio Garcia")</f>
        <v>Sergio Garcia</v>
      </c>
      <c r="D90">
        <f ca="1">IFERROR(__xludf.DUMMYFUNCTION("""COMPUTED_VALUE"""),18)</f>
        <v>18</v>
      </c>
      <c r="E90">
        <f ca="1">IFERROR(__xludf.DUMMYFUNCTION("""COMPUTED_VALUE"""),22.58)</f>
        <v>22.58</v>
      </c>
      <c r="F90">
        <f ca="1">IFERROR(__xludf.DUMMYFUNCTION("""COMPUTED_VALUE"""),14)</f>
        <v>14</v>
      </c>
      <c r="G90">
        <f ca="1">IFERROR(__xludf.DUMMYFUNCTION("""COMPUTED_VALUE"""),62)</f>
        <v>62</v>
      </c>
      <c r="H90">
        <f ca="1">IFERROR(__xludf.DUMMYFUNCTION("""COMPUTED_VALUE"""),-16)</f>
        <v>-16</v>
      </c>
      <c r="I90">
        <f ca="1">IFERROR(__xludf.DUMMYFUNCTION("""COMPUTED_VALUE"""),-6)</f>
        <v>-6</v>
      </c>
    </row>
    <row r="91" spans="1:9" ht="12.75">
      <c r="A91" t="str">
        <f ca="1">IFERROR(__xludf.DUMMYFUNCTION("""COMPUTED_VALUE"""),"T89")</f>
        <v>T89</v>
      </c>
      <c r="B91" t="str">
        <f ca="1">IFERROR(__xludf.DUMMYFUNCTION("""COMPUTED_VALUE"""),"T72")</f>
        <v>T72</v>
      </c>
      <c r="C91" t="str">
        <f ca="1">IFERROR(__xludf.DUMMYFUNCTION("""COMPUTED_VALUE"""),"Si Woo Kim")</f>
        <v>Si Woo Kim</v>
      </c>
      <c r="D91">
        <f ca="1">IFERROR(__xludf.DUMMYFUNCTION("""COMPUTED_VALUE"""),20)</f>
        <v>20</v>
      </c>
      <c r="E91">
        <f ca="1">IFERROR(__xludf.DUMMYFUNCTION("""COMPUTED_VALUE"""),22.58)</f>
        <v>22.58</v>
      </c>
      <c r="F91">
        <f ca="1">IFERROR(__xludf.DUMMYFUNCTION("""COMPUTED_VALUE"""),14)</f>
        <v>14</v>
      </c>
      <c r="G91">
        <f ca="1">IFERROR(__xludf.DUMMYFUNCTION("""COMPUTED_VALUE"""),62)</f>
        <v>62</v>
      </c>
      <c r="H91">
        <f ca="1">IFERROR(__xludf.DUMMYFUNCTION("""COMPUTED_VALUE"""),-15)</f>
        <v>-15</v>
      </c>
      <c r="I91" t="str">
        <f ca="1">IFERROR(__xludf.DUMMYFUNCTION("""COMPUTED_VALUE"""),"+1.00")</f>
        <v>+1.00</v>
      </c>
    </row>
    <row r="92" spans="1:9" ht="12.75">
      <c r="A92" t="str">
        <f ca="1">IFERROR(__xludf.DUMMYFUNCTION("""COMPUTED_VALUE"""),"T91")</f>
        <v>T91</v>
      </c>
      <c r="B92" t="str">
        <f ca="1">IFERROR(__xludf.DUMMYFUNCTION("""COMPUTED_VALUE"""),"T92")</f>
        <v>T92</v>
      </c>
      <c r="C92" t="str">
        <f ca="1">IFERROR(__xludf.DUMMYFUNCTION("""COMPUTED_VALUE"""),"Billy Horschel")</f>
        <v>Billy Horschel</v>
      </c>
      <c r="D92">
        <f ca="1">IFERROR(__xludf.DUMMYFUNCTION("""COMPUTED_VALUE"""),12)</f>
        <v>12</v>
      </c>
      <c r="E92">
        <f ca="1">IFERROR(__xludf.DUMMYFUNCTION("""COMPUTED_VALUE"""),22.5)</f>
        <v>22.5</v>
      </c>
      <c r="F92">
        <f ca="1">IFERROR(__xludf.DUMMYFUNCTION("""COMPUTED_VALUE"""),9)</f>
        <v>9</v>
      </c>
      <c r="G92">
        <f ca="1">IFERROR(__xludf.DUMMYFUNCTION("""COMPUTED_VALUE"""),40)</f>
        <v>40</v>
      </c>
      <c r="H92">
        <f ca="1">IFERROR(__xludf.DUMMYFUNCTION("""COMPUTED_VALUE"""),-8)</f>
        <v>-8</v>
      </c>
      <c r="I92">
        <f ca="1">IFERROR(__xludf.DUMMYFUNCTION("""COMPUTED_VALUE"""),-1)</f>
        <v>-1</v>
      </c>
    </row>
    <row r="93" spans="1:9" ht="12.75">
      <c r="A93" t="str">
        <f ca="1">IFERROR(__xludf.DUMMYFUNCTION("""COMPUTED_VALUE"""),"T91")</f>
        <v>T91</v>
      </c>
      <c r="B93" t="str">
        <f ca="1">IFERROR(__xludf.DUMMYFUNCTION("""COMPUTED_VALUE"""),"T92")</f>
        <v>T92</v>
      </c>
      <c r="C93" t="str">
        <f ca="1">IFERROR(__xludf.DUMMYFUNCTION("""COMPUTED_VALUE"""),"Michael Gligic")</f>
        <v>Michael Gligic</v>
      </c>
      <c r="D93">
        <f ca="1">IFERROR(__xludf.DUMMYFUNCTION("""COMPUTED_VALUE"""),18)</f>
        <v>18</v>
      </c>
      <c r="E93">
        <f ca="1">IFERROR(__xludf.DUMMYFUNCTION("""COMPUTED_VALUE"""),22.5)</f>
        <v>22.5</v>
      </c>
      <c r="F93">
        <f ca="1">IFERROR(__xludf.DUMMYFUNCTION("""COMPUTED_VALUE"""),9)</f>
        <v>9</v>
      </c>
      <c r="G93">
        <f ca="1">IFERROR(__xludf.DUMMYFUNCTION("""COMPUTED_VALUE"""),40)</f>
        <v>40</v>
      </c>
      <c r="H93">
        <f ca="1">IFERROR(__xludf.DUMMYFUNCTION("""COMPUTED_VALUE"""),-10)</f>
        <v>-10</v>
      </c>
      <c r="I93">
        <f ca="1">IFERROR(__xludf.DUMMYFUNCTION("""COMPUTED_VALUE"""),-5)</f>
        <v>-5</v>
      </c>
    </row>
    <row r="94" spans="1:9" ht="12.75">
      <c r="A94">
        <f ca="1">IFERROR(__xludf.DUMMYFUNCTION("""COMPUTED_VALUE"""),93)</f>
        <v>93</v>
      </c>
      <c r="B94" t="str">
        <f ca="1">IFERROR(__xludf.DUMMYFUNCTION("""COMPUTED_VALUE"""),"T94")</f>
        <v>T94</v>
      </c>
      <c r="C94" t="str">
        <f ca="1">IFERROR(__xludf.DUMMYFUNCTION("""COMPUTED_VALUE"""),"Andy Zhang")</f>
        <v>Andy Zhang</v>
      </c>
      <c r="D94">
        <f ca="1">IFERROR(__xludf.DUMMYFUNCTION("""COMPUTED_VALUE"""),4)</f>
        <v>4</v>
      </c>
      <c r="E94">
        <f ca="1">IFERROR(__xludf.DUMMYFUNCTION("""COMPUTED_VALUE"""),22.22)</f>
        <v>22.22</v>
      </c>
      <c r="F94">
        <f ca="1">IFERROR(__xludf.DUMMYFUNCTION("""COMPUTED_VALUE"""),2)</f>
        <v>2</v>
      </c>
      <c r="G94">
        <f ca="1">IFERROR(__xludf.DUMMYFUNCTION("""COMPUTED_VALUE"""),9)</f>
        <v>9</v>
      </c>
      <c r="H94">
        <f ca="1">IFERROR(__xludf.DUMMYFUNCTION("""COMPUTED_VALUE"""),-3)</f>
        <v>-3</v>
      </c>
      <c r="I94">
        <f ca="1">IFERROR(__xludf.DUMMYFUNCTION("""COMPUTED_VALUE"""),-1)</f>
        <v>-1</v>
      </c>
    </row>
    <row r="95" spans="1:9" ht="12.75">
      <c r="A95">
        <f ca="1">IFERROR(__xludf.DUMMYFUNCTION("""COMPUTED_VALUE"""),94)</f>
        <v>94</v>
      </c>
      <c r="B95">
        <f ca="1">IFERROR(__xludf.DUMMYFUNCTION("""COMPUTED_VALUE"""),97)</f>
        <v>97</v>
      </c>
      <c r="C95" t="str">
        <f ca="1">IFERROR(__xludf.DUMMYFUNCTION("""COMPUTED_VALUE"""),"Adam Hadwin")</f>
        <v>Adam Hadwin</v>
      </c>
      <c r="D95">
        <f ca="1">IFERROR(__xludf.DUMMYFUNCTION("""COMPUTED_VALUE"""),16)</f>
        <v>16</v>
      </c>
      <c r="E95">
        <f ca="1">IFERROR(__xludf.DUMMYFUNCTION("""COMPUTED_VALUE"""),21.95)</f>
        <v>21.95</v>
      </c>
      <c r="F95">
        <f ca="1">IFERROR(__xludf.DUMMYFUNCTION("""COMPUTED_VALUE"""),9)</f>
        <v>9</v>
      </c>
      <c r="G95">
        <f ca="1">IFERROR(__xludf.DUMMYFUNCTION("""COMPUTED_VALUE"""),41)</f>
        <v>41</v>
      </c>
      <c r="H95">
        <f ca="1">IFERROR(__xludf.DUMMYFUNCTION("""COMPUTED_VALUE"""),-10)</f>
        <v>-10</v>
      </c>
      <c r="I95" t="str">
        <f ca="1">IFERROR(__xludf.DUMMYFUNCTION("""COMPUTED_VALUE"""),"+2.00")</f>
        <v>+2.00</v>
      </c>
    </row>
    <row r="96" spans="1:9" ht="12.75">
      <c r="A96" t="str">
        <f ca="1">IFERROR(__xludf.DUMMYFUNCTION("""COMPUTED_VALUE"""),"T95")</f>
        <v>T95</v>
      </c>
      <c r="B96" t="str">
        <f ca="1">IFERROR(__xludf.DUMMYFUNCTION("""COMPUTED_VALUE"""),"T98")</f>
        <v>T98</v>
      </c>
      <c r="C96" t="str">
        <f ca="1">IFERROR(__xludf.DUMMYFUNCTION("""COMPUTED_VALUE"""),"Harry Higgs")</f>
        <v>Harry Higgs</v>
      </c>
      <c r="D96">
        <f ca="1">IFERROR(__xludf.DUMMYFUNCTION("""COMPUTED_VALUE"""),14)</f>
        <v>14</v>
      </c>
      <c r="E96">
        <f ca="1">IFERROR(__xludf.DUMMYFUNCTION("""COMPUTED_VALUE"""),21.74)</f>
        <v>21.74</v>
      </c>
      <c r="F96">
        <f ca="1">IFERROR(__xludf.DUMMYFUNCTION("""COMPUTED_VALUE"""),10)</f>
        <v>10</v>
      </c>
      <c r="G96">
        <f ca="1">IFERROR(__xludf.DUMMYFUNCTION("""COMPUTED_VALUE"""),46)</f>
        <v>46</v>
      </c>
      <c r="H96">
        <f ca="1">IFERROR(__xludf.DUMMYFUNCTION("""COMPUTED_VALUE"""),-13)</f>
        <v>-13</v>
      </c>
      <c r="I96">
        <f ca="1">IFERROR(__xludf.DUMMYFUNCTION("""COMPUTED_VALUE"""),-4)</f>
        <v>-4</v>
      </c>
    </row>
    <row r="97" spans="1:9" ht="12.75">
      <c r="A97" t="str">
        <f ca="1">IFERROR(__xludf.DUMMYFUNCTION("""COMPUTED_VALUE"""),"T95")</f>
        <v>T95</v>
      </c>
      <c r="B97">
        <f ca="1">IFERROR(__xludf.DUMMYFUNCTION("""COMPUTED_VALUE"""),102)</f>
        <v>102</v>
      </c>
      <c r="C97" t="str">
        <f ca="1">IFERROR(__xludf.DUMMYFUNCTION("""COMPUTED_VALUE"""),"Austin Cook")</f>
        <v>Austin Cook</v>
      </c>
      <c r="D97">
        <f ca="1">IFERROR(__xludf.DUMMYFUNCTION("""COMPUTED_VALUE"""),14)</f>
        <v>14</v>
      </c>
      <c r="E97">
        <f ca="1">IFERROR(__xludf.DUMMYFUNCTION("""COMPUTED_VALUE"""),21.74)</f>
        <v>21.74</v>
      </c>
      <c r="F97">
        <f ca="1">IFERROR(__xludf.DUMMYFUNCTION("""COMPUTED_VALUE"""),5)</f>
        <v>5</v>
      </c>
      <c r="G97">
        <f ca="1">IFERROR(__xludf.DUMMYFUNCTION("""COMPUTED_VALUE"""),23)</f>
        <v>23</v>
      </c>
      <c r="H97">
        <f ca="1">IFERROR(__xludf.DUMMYFUNCTION("""COMPUTED_VALUE"""),-4)</f>
        <v>-4</v>
      </c>
      <c r="I97">
        <f ca="1">IFERROR(__xludf.DUMMYFUNCTION("""COMPUTED_VALUE"""),-5)</f>
        <v>-5</v>
      </c>
    </row>
    <row r="98" spans="1:9" ht="12.75">
      <c r="A98">
        <f ca="1">IFERROR(__xludf.DUMMYFUNCTION("""COMPUTED_VALUE"""),97)</f>
        <v>97</v>
      </c>
      <c r="B98">
        <f ca="1">IFERROR(__xludf.DUMMYFUNCTION("""COMPUTED_VALUE"""),148)</f>
        <v>148</v>
      </c>
      <c r="C98" t="str">
        <f ca="1">IFERROR(__xludf.DUMMYFUNCTION("""COMPUTED_VALUE"""),"Mackenzie Hughes")</f>
        <v>Mackenzie Hughes</v>
      </c>
      <c r="D98">
        <f ca="1">IFERROR(__xludf.DUMMYFUNCTION("""COMPUTED_VALUE"""),18)</f>
        <v>18</v>
      </c>
      <c r="E98">
        <f ca="1">IFERROR(__xludf.DUMMYFUNCTION("""COMPUTED_VALUE"""),21.62)</f>
        <v>21.62</v>
      </c>
      <c r="F98">
        <f ca="1">IFERROR(__xludf.DUMMYFUNCTION("""COMPUTED_VALUE"""),8)</f>
        <v>8</v>
      </c>
      <c r="G98">
        <f ca="1">IFERROR(__xludf.DUMMYFUNCTION("""COMPUTED_VALUE"""),37)</f>
        <v>37</v>
      </c>
      <c r="H98">
        <f ca="1">IFERROR(__xludf.DUMMYFUNCTION("""COMPUTED_VALUE"""),-8)</f>
        <v>-8</v>
      </c>
      <c r="I98" t="str">
        <f ca="1">IFERROR(__xludf.DUMMYFUNCTION("""COMPUTED_VALUE"""),"E")</f>
        <v>E</v>
      </c>
    </row>
    <row r="99" spans="1:9" ht="12.75">
      <c r="A99">
        <f ca="1">IFERROR(__xludf.DUMMYFUNCTION("""COMPUTED_VALUE"""),98)</f>
        <v>98</v>
      </c>
      <c r="B99">
        <f ca="1">IFERROR(__xludf.DUMMYFUNCTION("""COMPUTED_VALUE"""),96)</f>
        <v>96</v>
      </c>
      <c r="C99" t="str">
        <f ca="1">IFERROR(__xludf.DUMMYFUNCTION("""COMPUTED_VALUE"""),"Tyler Duncan")</f>
        <v>Tyler Duncan</v>
      </c>
      <c r="D99">
        <f ca="1">IFERROR(__xludf.DUMMYFUNCTION("""COMPUTED_VALUE"""),18)</f>
        <v>18</v>
      </c>
      <c r="E99">
        <f ca="1">IFERROR(__xludf.DUMMYFUNCTION("""COMPUTED_VALUE"""),21.15)</f>
        <v>21.15</v>
      </c>
      <c r="F99">
        <f ca="1">IFERROR(__xludf.DUMMYFUNCTION("""COMPUTED_VALUE"""),11)</f>
        <v>11</v>
      </c>
      <c r="G99">
        <f ca="1">IFERROR(__xludf.DUMMYFUNCTION("""COMPUTED_VALUE"""),52)</f>
        <v>52</v>
      </c>
      <c r="H99">
        <f ca="1">IFERROR(__xludf.DUMMYFUNCTION("""COMPUTED_VALUE"""),-10)</f>
        <v>-10</v>
      </c>
      <c r="I99" t="str">
        <f ca="1">IFERROR(__xludf.DUMMYFUNCTION("""COMPUTED_VALUE"""),"+5.00")</f>
        <v>+5.00</v>
      </c>
    </row>
    <row r="100" spans="1:9" ht="12.75">
      <c r="A100" t="str">
        <f ca="1">IFERROR(__xludf.DUMMYFUNCTION("""COMPUTED_VALUE"""),"T99")</f>
        <v>T99</v>
      </c>
      <c r="B100" t="str">
        <f ca="1">IFERROR(__xludf.DUMMYFUNCTION("""COMPUTED_VALUE"""),"T84")</f>
        <v>T84</v>
      </c>
      <c r="C100" t="str">
        <f ca="1">IFERROR(__xludf.DUMMYFUNCTION("""COMPUTED_VALUE"""),"Brian Harman")</f>
        <v>Brian Harman</v>
      </c>
      <c r="D100">
        <f ca="1">IFERROR(__xludf.DUMMYFUNCTION("""COMPUTED_VALUE"""),24)</f>
        <v>24</v>
      </c>
      <c r="E100">
        <f ca="1">IFERROR(__xludf.DUMMYFUNCTION("""COMPUTED_VALUE"""),21.05)</f>
        <v>21.05</v>
      </c>
      <c r="F100">
        <f ca="1">IFERROR(__xludf.DUMMYFUNCTION("""COMPUTED_VALUE"""),12)</f>
        <v>12</v>
      </c>
      <c r="G100">
        <f ca="1">IFERROR(__xludf.DUMMYFUNCTION("""COMPUTED_VALUE"""),57)</f>
        <v>57</v>
      </c>
      <c r="H100">
        <f ca="1">IFERROR(__xludf.DUMMYFUNCTION("""COMPUTED_VALUE"""),-12)</f>
        <v>-12</v>
      </c>
      <c r="I100">
        <f ca="1">IFERROR(__xludf.DUMMYFUNCTION("""COMPUTED_VALUE"""),-10)</f>
        <v>-10</v>
      </c>
    </row>
    <row r="101" spans="1:9" ht="12.75">
      <c r="A101" t="str">
        <f ca="1">IFERROR(__xludf.DUMMYFUNCTION("""COMPUTED_VALUE"""),"T99")</f>
        <v>T99</v>
      </c>
      <c r="B101" t="str">
        <f ca="1">IFERROR(__xludf.DUMMYFUNCTION("""COMPUTED_VALUE"""),"T80")</f>
        <v>T80</v>
      </c>
      <c r="C101" t="str">
        <f ca="1">IFERROR(__xludf.DUMMYFUNCTION("""COMPUTED_VALUE"""),"Martin Trainer")</f>
        <v>Martin Trainer</v>
      </c>
      <c r="D101">
        <f ca="1">IFERROR(__xludf.DUMMYFUNCTION("""COMPUTED_VALUE"""),10)</f>
        <v>10</v>
      </c>
      <c r="E101">
        <f ca="1">IFERROR(__xludf.DUMMYFUNCTION("""COMPUTED_VALUE"""),21.05)</f>
        <v>21.05</v>
      </c>
      <c r="F101">
        <f ca="1">IFERROR(__xludf.DUMMYFUNCTION("""COMPUTED_VALUE"""),4)</f>
        <v>4</v>
      </c>
      <c r="G101">
        <f ca="1">IFERROR(__xludf.DUMMYFUNCTION("""COMPUTED_VALUE"""),19)</f>
        <v>19</v>
      </c>
      <c r="H101">
        <f ca="1">IFERROR(__xludf.DUMMYFUNCTION("""COMPUTED_VALUE"""),-4)</f>
        <v>-4</v>
      </c>
      <c r="I101" t="str">
        <f ca="1">IFERROR(__xludf.DUMMYFUNCTION("""COMPUTED_VALUE"""),"+5.00")</f>
        <v>+5.00</v>
      </c>
    </row>
    <row r="102" spans="1:9" ht="12.75">
      <c r="A102">
        <f ca="1">IFERROR(__xludf.DUMMYFUNCTION("""COMPUTED_VALUE"""),101)</f>
        <v>101</v>
      </c>
      <c r="B102" t="str">
        <f ca="1">IFERROR(__xludf.DUMMYFUNCTION("""COMPUTED_VALUE"""),"T105")</f>
        <v>T105</v>
      </c>
      <c r="C102" t="str">
        <f ca="1">IFERROR(__xludf.DUMMYFUNCTION("""COMPUTED_VALUE"""),"Patrick Reed")</f>
        <v>Patrick Reed</v>
      </c>
      <c r="D102">
        <f ca="1">IFERROR(__xludf.DUMMYFUNCTION("""COMPUTED_VALUE"""),8)</f>
        <v>8</v>
      </c>
      <c r="E102">
        <f ca="1">IFERROR(__xludf.DUMMYFUNCTION("""COMPUTED_VALUE"""),20.83)</f>
        <v>20.83</v>
      </c>
      <c r="F102">
        <f ca="1">IFERROR(__xludf.DUMMYFUNCTION("""COMPUTED_VALUE"""),5)</f>
        <v>5</v>
      </c>
      <c r="G102">
        <f ca="1">IFERROR(__xludf.DUMMYFUNCTION("""COMPUTED_VALUE"""),24)</f>
        <v>24</v>
      </c>
      <c r="H102">
        <f ca="1">IFERROR(__xludf.DUMMYFUNCTION("""COMPUTED_VALUE"""),-5)</f>
        <v>-5</v>
      </c>
      <c r="I102">
        <f ca="1">IFERROR(__xludf.DUMMYFUNCTION("""COMPUTED_VALUE"""),-5)</f>
        <v>-5</v>
      </c>
    </row>
    <row r="103" spans="1:9" ht="12.75">
      <c r="A103">
        <f ca="1">IFERROR(__xludf.DUMMYFUNCTION("""COMPUTED_VALUE"""),102)</f>
        <v>102</v>
      </c>
      <c r="B103" t="str">
        <f ca="1">IFERROR(__xludf.DUMMYFUNCTION("""COMPUTED_VALUE"""),"T107")</f>
        <v>T107</v>
      </c>
      <c r="C103" t="str">
        <f ca="1">IFERROR(__xludf.DUMMYFUNCTION("""COMPUTED_VALUE"""),"Daniel Berger")</f>
        <v>Daniel Berger</v>
      </c>
      <c r="D103">
        <f ca="1">IFERROR(__xludf.DUMMYFUNCTION("""COMPUTED_VALUE"""),12)</f>
        <v>12</v>
      </c>
      <c r="E103">
        <f ca="1">IFERROR(__xludf.DUMMYFUNCTION("""COMPUTED_VALUE"""),20.69)</f>
        <v>20.69</v>
      </c>
      <c r="F103">
        <f ca="1">IFERROR(__xludf.DUMMYFUNCTION("""COMPUTED_VALUE"""),6)</f>
        <v>6</v>
      </c>
      <c r="G103">
        <f ca="1">IFERROR(__xludf.DUMMYFUNCTION("""COMPUTED_VALUE"""),29)</f>
        <v>29</v>
      </c>
      <c r="H103">
        <f ca="1">IFERROR(__xludf.DUMMYFUNCTION("""COMPUTED_VALUE"""),-8)</f>
        <v>-8</v>
      </c>
      <c r="I103">
        <f ca="1">IFERROR(__xludf.DUMMYFUNCTION("""COMPUTED_VALUE"""),-7)</f>
        <v>-7</v>
      </c>
    </row>
    <row r="104" spans="1:9" ht="12.75">
      <c r="A104" t="str">
        <f ca="1">IFERROR(__xludf.DUMMYFUNCTION("""COMPUTED_VALUE"""),"T103")</f>
        <v>T103</v>
      </c>
      <c r="B104">
        <f ca="1">IFERROR(__xludf.DUMMYFUNCTION("""COMPUTED_VALUE"""),109)</f>
        <v>109</v>
      </c>
      <c r="C104" t="str">
        <f ca="1">IFERROR(__xludf.DUMMYFUNCTION("""COMPUTED_VALUE"""),"Louis Oosthuizen")</f>
        <v>Louis Oosthuizen</v>
      </c>
      <c r="D104">
        <f ca="1">IFERROR(__xludf.DUMMYFUNCTION("""COMPUTED_VALUE"""),12)</f>
        <v>12</v>
      </c>
      <c r="E104">
        <f ca="1">IFERROR(__xludf.DUMMYFUNCTION("""COMPUTED_VALUE"""),20.59)</f>
        <v>20.59</v>
      </c>
      <c r="F104">
        <f ca="1">IFERROR(__xludf.DUMMYFUNCTION("""COMPUTED_VALUE"""),7)</f>
        <v>7</v>
      </c>
      <c r="G104">
        <f ca="1">IFERROR(__xludf.DUMMYFUNCTION("""COMPUTED_VALUE"""),34)</f>
        <v>34</v>
      </c>
      <c r="H104">
        <f ca="1">IFERROR(__xludf.DUMMYFUNCTION("""COMPUTED_VALUE"""),-10)</f>
        <v>-10</v>
      </c>
      <c r="I104">
        <f ca="1">IFERROR(__xludf.DUMMYFUNCTION("""COMPUTED_VALUE"""),-2)</f>
        <v>-2</v>
      </c>
    </row>
    <row r="105" spans="1:9" ht="12.75">
      <c r="A105" t="str">
        <f ca="1">IFERROR(__xludf.DUMMYFUNCTION("""COMPUTED_VALUE"""),"T103")</f>
        <v>T103</v>
      </c>
      <c r="B105" t="str">
        <f ca="1">IFERROR(__xludf.DUMMYFUNCTION("""COMPUTED_VALUE"""),"T100")</f>
        <v>T100</v>
      </c>
      <c r="C105" t="str">
        <f ca="1">IFERROR(__xludf.DUMMYFUNCTION("""COMPUTED_VALUE"""),"Emiliano Grillo")</f>
        <v>Emiliano Grillo</v>
      </c>
      <c r="D105">
        <f ca="1">IFERROR(__xludf.DUMMYFUNCTION("""COMPUTED_VALUE"""),22)</f>
        <v>22</v>
      </c>
      <c r="E105">
        <f ca="1">IFERROR(__xludf.DUMMYFUNCTION("""COMPUTED_VALUE"""),20.59)</f>
        <v>20.59</v>
      </c>
      <c r="F105">
        <f ca="1">IFERROR(__xludf.DUMMYFUNCTION("""COMPUTED_VALUE"""),7)</f>
        <v>7</v>
      </c>
      <c r="G105">
        <f ca="1">IFERROR(__xludf.DUMMYFUNCTION("""COMPUTED_VALUE"""),34)</f>
        <v>34</v>
      </c>
      <c r="H105">
        <f ca="1">IFERROR(__xludf.DUMMYFUNCTION("""COMPUTED_VALUE"""),-8)</f>
        <v>-8</v>
      </c>
      <c r="I105" t="str">
        <f ca="1">IFERROR(__xludf.DUMMYFUNCTION("""COMPUTED_VALUE"""),"+1.00")</f>
        <v>+1.00</v>
      </c>
    </row>
    <row r="106" spans="1:9" ht="12.75">
      <c r="A106">
        <f ca="1">IFERROR(__xludf.DUMMYFUNCTION("""COMPUTED_VALUE"""),105)</f>
        <v>105</v>
      </c>
      <c r="B106" t="str">
        <f ca="1">IFERROR(__xludf.DUMMYFUNCTION("""COMPUTED_VALUE"""),"T127")</f>
        <v>T127</v>
      </c>
      <c r="C106" t="str">
        <f ca="1">IFERROR(__xludf.DUMMYFUNCTION("""COMPUTED_VALUE"""),"Doc Redman")</f>
        <v>Doc Redman</v>
      </c>
      <c r="D106">
        <f ca="1">IFERROR(__xludf.DUMMYFUNCTION("""COMPUTED_VALUE"""),18)</f>
        <v>18</v>
      </c>
      <c r="E106">
        <f ca="1">IFERROR(__xludf.DUMMYFUNCTION("""COMPUTED_VALUE"""),20.51)</f>
        <v>20.51</v>
      </c>
      <c r="F106">
        <f ca="1">IFERROR(__xludf.DUMMYFUNCTION("""COMPUTED_VALUE"""),8)</f>
        <v>8</v>
      </c>
      <c r="G106">
        <f ca="1">IFERROR(__xludf.DUMMYFUNCTION("""COMPUTED_VALUE"""),39)</f>
        <v>39</v>
      </c>
      <c r="H106">
        <f ca="1">IFERROR(__xludf.DUMMYFUNCTION("""COMPUTED_VALUE"""),-8)</f>
        <v>-8</v>
      </c>
      <c r="I106">
        <f ca="1">IFERROR(__xludf.DUMMYFUNCTION("""COMPUTED_VALUE"""),-7)</f>
        <v>-7</v>
      </c>
    </row>
    <row r="107" spans="1:9" ht="12.75">
      <c r="A107">
        <f ca="1">IFERROR(__xludf.DUMMYFUNCTION("""COMPUTED_VALUE"""),106)</f>
        <v>106</v>
      </c>
      <c r="B107">
        <f ca="1">IFERROR(__xludf.DUMMYFUNCTION("""COMPUTED_VALUE"""),165)</f>
        <v>165</v>
      </c>
      <c r="C107" t="str">
        <f ca="1">IFERROR(__xludf.DUMMYFUNCTION("""COMPUTED_VALUE"""),"Talor Gooch")</f>
        <v>Talor Gooch</v>
      </c>
      <c r="D107">
        <f ca="1">IFERROR(__xludf.DUMMYFUNCTION("""COMPUTED_VALUE"""),20)</f>
        <v>20</v>
      </c>
      <c r="E107">
        <f ca="1">IFERROR(__xludf.DUMMYFUNCTION("""COMPUTED_VALUE"""),20.31)</f>
        <v>20.309999999999999</v>
      </c>
      <c r="F107">
        <f ca="1">IFERROR(__xludf.DUMMYFUNCTION("""COMPUTED_VALUE"""),13)</f>
        <v>13</v>
      </c>
      <c r="G107">
        <f ca="1">IFERROR(__xludf.DUMMYFUNCTION("""COMPUTED_VALUE"""),64)</f>
        <v>64</v>
      </c>
      <c r="H107">
        <f ca="1">IFERROR(__xludf.DUMMYFUNCTION("""COMPUTED_VALUE"""),-13)</f>
        <v>-13</v>
      </c>
      <c r="I107">
        <f ca="1">IFERROR(__xludf.DUMMYFUNCTION("""COMPUTED_VALUE"""),-4)</f>
        <v>-4</v>
      </c>
    </row>
    <row r="108" spans="1:9" ht="12.75">
      <c r="A108" t="str">
        <f ca="1">IFERROR(__xludf.DUMMYFUNCTION("""COMPUTED_VALUE"""),"T107")</f>
        <v>T107</v>
      </c>
      <c r="B108" t="str">
        <f ca="1">IFERROR(__xludf.DUMMYFUNCTION("""COMPUTED_VALUE"""),"T111")</f>
        <v>T111</v>
      </c>
      <c r="C108" t="str">
        <f ca="1">IFERROR(__xludf.DUMMYFUNCTION("""COMPUTED_VALUE"""),"D.J. Trahan")</f>
        <v>D.J. Trahan</v>
      </c>
      <c r="D108">
        <f ca="1">IFERROR(__xludf.DUMMYFUNCTION("""COMPUTED_VALUE"""),16)</f>
        <v>16</v>
      </c>
      <c r="E108">
        <f ca="1">IFERROR(__xludf.DUMMYFUNCTION("""COMPUTED_VALUE"""),20)</f>
        <v>20</v>
      </c>
      <c r="F108">
        <f ca="1">IFERROR(__xludf.DUMMYFUNCTION("""COMPUTED_VALUE"""),5)</f>
        <v>5</v>
      </c>
      <c r="G108">
        <f ca="1">IFERROR(__xludf.DUMMYFUNCTION("""COMPUTED_VALUE"""),25)</f>
        <v>25</v>
      </c>
      <c r="H108">
        <f ca="1">IFERROR(__xludf.DUMMYFUNCTION("""COMPUTED_VALUE"""),-5)</f>
        <v>-5</v>
      </c>
      <c r="I108">
        <f ca="1">IFERROR(__xludf.DUMMYFUNCTION("""COMPUTED_VALUE"""),-4)</f>
        <v>-4</v>
      </c>
    </row>
    <row r="109" spans="1:9" ht="12.75">
      <c r="A109" t="str">
        <f ca="1">IFERROR(__xludf.DUMMYFUNCTION("""COMPUTED_VALUE"""),"T107")</f>
        <v>T107</v>
      </c>
      <c r="B109" t="str">
        <f ca="1">IFERROR(__xludf.DUMMYFUNCTION("""COMPUTED_VALUE"""),"T111")</f>
        <v>T111</v>
      </c>
      <c r="C109" t="str">
        <f ca="1">IFERROR(__xludf.DUMMYFUNCTION("""COMPUTED_VALUE"""),"Ricky Barnes")</f>
        <v>Ricky Barnes</v>
      </c>
      <c r="D109">
        <f ca="1">IFERROR(__xludf.DUMMYFUNCTION("""COMPUTED_VALUE"""),12)</f>
        <v>12</v>
      </c>
      <c r="E109">
        <f ca="1">IFERROR(__xludf.DUMMYFUNCTION("""COMPUTED_VALUE"""),20)</f>
        <v>20</v>
      </c>
      <c r="F109">
        <f ca="1">IFERROR(__xludf.DUMMYFUNCTION("""COMPUTED_VALUE"""),1)</f>
        <v>1</v>
      </c>
      <c r="G109">
        <f ca="1">IFERROR(__xludf.DUMMYFUNCTION("""COMPUTED_VALUE"""),5)</f>
        <v>5</v>
      </c>
      <c r="H109">
        <f ca="1">IFERROR(__xludf.DUMMYFUNCTION("""COMPUTED_VALUE"""),-1)</f>
        <v>-1</v>
      </c>
      <c r="I109">
        <f ca="1">IFERROR(__xludf.DUMMYFUNCTION("""COMPUTED_VALUE"""),-4)</f>
        <v>-4</v>
      </c>
    </row>
    <row r="110" spans="1:9" ht="12.75">
      <c r="A110" t="str">
        <f ca="1">IFERROR(__xludf.DUMMYFUNCTION("""COMPUTED_VALUE"""),"T107")</f>
        <v>T107</v>
      </c>
      <c r="B110" t="str">
        <f ca="1">IFERROR(__xludf.DUMMYFUNCTION("""COMPUTED_VALUE"""),"T94")</f>
        <v>T94</v>
      </c>
      <c r="C110" t="str">
        <f ca="1">IFERROR(__xludf.DUMMYFUNCTION("""COMPUTED_VALUE"""),"D.A. Points")</f>
        <v>D.A. Points</v>
      </c>
      <c r="D110">
        <f ca="1">IFERROR(__xludf.DUMMYFUNCTION("""COMPUTED_VALUE"""),12)</f>
        <v>12</v>
      </c>
      <c r="E110">
        <f ca="1">IFERROR(__xludf.DUMMYFUNCTION("""COMPUTED_VALUE"""),20)</f>
        <v>20</v>
      </c>
      <c r="F110">
        <f ca="1">IFERROR(__xludf.DUMMYFUNCTION("""COMPUTED_VALUE"""),2)</f>
        <v>2</v>
      </c>
      <c r="G110">
        <f ca="1">IFERROR(__xludf.DUMMYFUNCTION("""COMPUTED_VALUE"""),10)</f>
        <v>10</v>
      </c>
      <c r="H110">
        <f ca="1">IFERROR(__xludf.DUMMYFUNCTION("""COMPUTED_VALUE"""),-2)</f>
        <v>-2</v>
      </c>
      <c r="I110">
        <f ca="1">IFERROR(__xludf.DUMMYFUNCTION("""COMPUTED_VALUE"""),-4)</f>
        <v>-4</v>
      </c>
    </row>
    <row r="111" spans="1:9" ht="12.75">
      <c r="A111" t="str">
        <f ca="1">IFERROR(__xludf.DUMMYFUNCTION("""COMPUTED_VALUE"""),"T107")</f>
        <v>T107</v>
      </c>
      <c r="B111" t="str">
        <f ca="1">IFERROR(__xludf.DUMMYFUNCTION("""COMPUTED_VALUE"""),"T105")</f>
        <v>T105</v>
      </c>
      <c r="C111" t="str">
        <f ca="1">IFERROR(__xludf.DUMMYFUNCTION("""COMPUTED_VALUE"""),"C.T. Pan")</f>
        <v>C.T. Pan</v>
      </c>
      <c r="D111">
        <f ca="1">IFERROR(__xludf.DUMMYFUNCTION("""COMPUTED_VALUE"""),20)</f>
        <v>20</v>
      </c>
      <c r="E111">
        <f ca="1">IFERROR(__xludf.DUMMYFUNCTION("""COMPUTED_VALUE"""),20)</f>
        <v>20</v>
      </c>
      <c r="F111">
        <f ca="1">IFERROR(__xludf.DUMMYFUNCTION("""COMPUTED_VALUE"""),6)</f>
        <v>6</v>
      </c>
      <c r="G111">
        <f ca="1">IFERROR(__xludf.DUMMYFUNCTION("""COMPUTED_VALUE"""),30)</f>
        <v>30</v>
      </c>
      <c r="H111">
        <f ca="1">IFERROR(__xludf.DUMMYFUNCTION("""COMPUTED_VALUE"""),-6)</f>
        <v>-6</v>
      </c>
      <c r="I111">
        <f ca="1">IFERROR(__xludf.DUMMYFUNCTION("""COMPUTED_VALUE"""),-3)</f>
        <v>-3</v>
      </c>
    </row>
    <row r="112" spans="1:9" ht="12.75">
      <c r="A112" t="str">
        <f ca="1">IFERROR(__xludf.DUMMYFUNCTION("""COMPUTED_VALUE"""),"T107")</f>
        <v>T107</v>
      </c>
      <c r="B112" t="str">
        <f ca="1">IFERROR(__xludf.DUMMYFUNCTION("""COMPUTED_VALUE"""),"T98")</f>
        <v>T98</v>
      </c>
      <c r="C112" t="str">
        <f ca="1">IFERROR(__xludf.DUMMYFUNCTION("""COMPUTED_VALUE"""),"Scott Stallings")</f>
        <v>Scott Stallings</v>
      </c>
      <c r="D112">
        <f ca="1">IFERROR(__xludf.DUMMYFUNCTION("""COMPUTED_VALUE"""),14)</f>
        <v>14</v>
      </c>
      <c r="E112">
        <f ca="1">IFERROR(__xludf.DUMMYFUNCTION("""COMPUTED_VALUE"""),20)</f>
        <v>20</v>
      </c>
      <c r="F112">
        <f ca="1">IFERROR(__xludf.DUMMYFUNCTION("""COMPUTED_VALUE"""),5)</f>
        <v>5</v>
      </c>
      <c r="G112">
        <f ca="1">IFERROR(__xludf.DUMMYFUNCTION("""COMPUTED_VALUE"""),25)</f>
        <v>25</v>
      </c>
      <c r="H112">
        <f ca="1">IFERROR(__xludf.DUMMYFUNCTION("""COMPUTED_VALUE"""),-5)</f>
        <v>-5</v>
      </c>
      <c r="I112" t="str">
        <f ca="1">IFERROR(__xludf.DUMMYFUNCTION("""COMPUTED_VALUE"""),"E")</f>
        <v>E</v>
      </c>
    </row>
    <row r="113" spans="1:9" ht="12.75">
      <c r="A113" t="str">
        <f ca="1">IFERROR(__xludf.DUMMYFUNCTION("""COMPUTED_VALUE"""),"T107")</f>
        <v>T107</v>
      </c>
      <c r="B113" t="str">
        <f ca="1">IFERROR(__xludf.DUMMYFUNCTION("""COMPUTED_VALUE"""),"T111")</f>
        <v>T111</v>
      </c>
      <c r="C113" t="str">
        <f ca="1">IFERROR(__xludf.DUMMYFUNCTION("""COMPUTED_VALUE"""),"Kevin Chappell")</f>
        <v>Kevin Chappell</v>
      </c>
      <c r="D113">
        <f ca="1">IFERROR(__xludf.DUMMYFUNCTION("""COMPUTED_VALUE"""),16)</f>
        <v>16</v>
      </c>
      <c r="E113">
        <f ca="1">IFERROR(__xludf.DUMMYFUNCTION("""COMPUTED_VALUE"""),20)</f>
        <v>20</v>
      </c>
      <c r="F113">
        <f ca="1">IFERROR(__xludf.DUMMYFUNCTION("""COMPUTED_VALUE"""),5)</f>
        <v>5</v>
      </c>
      <c r="G113">
        <f ca="1">IFERROR(__xludf.DUMMYFUNCTION("""COMPUTED_VALUE"""),25)</f>
        <v>25</v>
      </c>
      <c r="H113">
        <f ca="1">IFERROR(__xludf.DUMMYFUNCTION("""COMPUTED_VALUE"""),-5)</f>
        <v>-5</v>
      </c>
      <c r="I113" t="str">
        <f ca="1">IFERROR(__xludf.DUMMYFUNCTION("""COMPUTED_VALUE"""),"+4.00")</f>
        <v>+4.00</v>
      </c>
    </row>
    <row r="114" spans="1:9" ht="12.75">
      <c r="A114" t="str">
        <f ca="1">IFERROR(__xludf.DUMMYFUNCTION("""COMPUTED_VALUE"""),"T107")</f>
        <v>T107</v>
      </c>
      <c r="B114" t="str">
        <f ca="1">IFERROR(__xludf.DUMMYFUNCTION("""COMPUTED_VALUE"""),"T111")</f>
        <v>T111</v>
      </c>
      <c r="C114" t="str">
        <f ca="1">IFERROR(__xludf.DUMMYFUNCTION("""COMPUTED_VALUE"""),"Thomas Pieters")</f>
        <v>Thomas Pieters</v>
      </c>
      <c r="D114">
        <f ca="1">IFERROR(__xludf.DUMMYFUNCTION("""COMPUTED_VALUE"""),4)</f>
        <v>4</v>
      </c>
      <c r="E114">
        <f ca="1">IFERROR(__xludf.DUMMYFUNCTION("""COMPUTED_VALUE"""),20)</f>
        <v>20</v>
      </c>
      <c r="F114">
        <f ca="1">IFERROR(__xludf.DUMMYFUNCTION("""COMPUTED_VALUE"""),1)</f>
        <v>1</v>
      </c>
      <c r="G114">
        <f ca="1">IFERROR(__xludf.DUMMYFUNCTION("""COMPUTED_VALUE"""),5)</f>
        <v>5</v>
      </c>
      <c r="H114">
        <f ca="1">IFERROR(__xludf.DUMMYFUNCTION("""COMPUTED_VALUE"""),-1)</f>
        <v>-1</v>
      </c>
      <c r="I114" t="str">
        <f ca="1">IFERROR(__xludf.DUMMYFUNCTION("""COMPUTED_VALUE"""),"+1.00")</f>
        <v>+1.00</v>
      </c>
    </row>
    <row r="115" spans="1:9" ht="12.75">
      <c r="A115" t="str">
        <f ca="1">IFERROR(__xludf.DUMMYFUNCTION("""COMPUTED_VALUE"""),"T107")</f>
        <v>T107</v>
      </c>
      <c r="B115" t="str">
        <f ca="1">IFERROR(__xludf.DUMMYFUNCTION("""COMPUTED_VALUE"""),"T111")</f>
        <v>T111</v>
      </c>
      <c r="C115" t="str">
        <f ca="1">IFERROR(__xludf.DUMMYFUNCTION("""COMPUTED_VALUE"""),"Peter Malnati")</f>
        <v>Peter Malnati</v>
      </c>
      <c r="D115">
        <f ca="1">IFERROR(__xludf.DUMMYFUNCTION("""COMPUTED_VALUE"""),18)</f>
        <v>18</v>
      </c>
      <c r="E115">
        <f ca="1">IFERROR(__xludf.DUMMYFUNCTION("""COMPUTED_VALUE"""),20)</f>
        <v>20</v>
      </c>
      <c r="F115">
        <f ca="1">IFERROR(__xludf.DUMMYFUNCTION("""COMPUTED_VALUE"""),5)</f>
        <v>5</v>
      </c>
      <c r="G115">
        <f ca="1">IFERROR(__xludf.DUMMYFUNCTION("""COMPUTED_VALUE"""),25)</f>
        <v>25</v>
      </c>
      <c r="H115">
        <f ca="1">IFERROR(__xludf.DUMMYFUNCTION("""COMPUTED_VALUE"""),-7)</f>
        <v>-7</v>
      </c>
      <c r="I115">
        <f ca="1">IFERROR(__xludf.DUMMYFUNCTION("""COMPUTED_VALUE"""),-6)</f>
        <v>-6</v>
      </c>
    </row>
    <row r="116" spans="1:9" ht="12.75">
      <c r="A116" t="str">
        <f ca="1">IFERROR(__xludf.DUMMYFUNCTION("""COMPUTED_VALUE"""),"T107")</f>
        <v>T107</v>
      </c>
      <c r="B116" t="str">
        <f ca="1">IFERROR(__xludf.DUMMYFUNCTION("""COMPUTED_VALUE"""),"T111")</f>
        <v>T111</v>
      </c>
      <c r="C116" t="str">
        <f ca="1">IFERROR(__xludf.DUMMYFUNCTION("""COMPUTED_VALUE"""),"Mikumu Horikawa")</f>
        <v>Mikumu Horikawa</v>
      </c>
      <c r="D116">
        <f ca="1">IFERROR(__xludf.DUMMYFUNCTION("""COMPUTED_VALUE"""),4)</f>
        <v>4</v>
      </c>
      <c r="E116">
        <f ca="1">IFERROR(__xludf.DUMMYFUNCTION("""COMPUTED_VALUE"""),20)</f>
        <v>20</v>
      </c>
      <c r="F116">
        <f ca="1">IFERROR(__xludf.DUMMYFUNCTION("""COMPUTED_VALUE"""),2)</f>
        <v>2</v>
      </c>
      <c r="G116">
        <f ca="1">IFERROR(__xludf.DUMMYFUNCTION("""COMPUTED_VALUE"""),10)</f>
        <v>10</v>
      </c>
      <c r="H116">
        <f ca="1">IFERROR(__xludf.DUMMYFUNCTION("""COMPUTED_VALUE"""),-2)</f>
        <v>-2</v>
      </c>
      <c r="I116">
        <f ca="1">IFERROR(__xludf.DUMMYFUNCTION("""COMPUTED_VALUE"""),-2)</f>
        <v>-2</v>
      </c>
    </row>
    <row r="117" spans="1:9" ht="12.75">
      <c r="A117" t="str">
        <f ca="1">IFERROR(__xludf.DUMMYFUNCTION("""COMPUTED_VALUE"""),"T107")</f>
        <v>T107</v>
      </c>
      <c r="B117" t="str">
        <f ca="1">IFERROR(__xludf.DUMMYFUNCTION("""COMPUTED_VALUE"""),"T103")</f>
        <v>T103</v>
      </c>
      <c r="C117" t="str">
        <f ca="1">IFERROR(__xludf.DUMMYFUNCTION("""COMPUTED_VALUE"""),"Beau Hossler")</f>
        <v>Beau Hossler</v>
      </c>
      <c r="D117">
        <f ca="1">IFERROR(__xludf.DUMMYFUNCTION("""COMPUTED_VALUE"""),22)</f>
        <v>22</v>
      </c>
      <c r="E117">
        <f ca="1">IFERROR(__xludf.DUMMYFUNCTION("""COMPUTED_VALUE"""),20)</f>
        <v>20</v>
      </c>
      <c r="F117">
        <f ca="1">IFERROR(__xludf.DUMMYFUNCTION("""COMPUTED_VALUE"""),9)</f>
        <v>9</v>
      </c>
      <c r="G117">
        <f ca="1">IFERROR(__xludf.DUMMYFUNCTION("""COMPUTED_VALUE"""),45)</f>
        <v>45</v>
      </c>
      <c r="H117">
        <f ca="1">IFERROR(__xludf.DUMMYFUNCTION("""COMPUTED_VALUE"""),-9)</f>
        <v>-9</v>
      </c>
      <c r="I117" t="str">
        <f ca="1">IFERROR(__xludf.DUMMYFUNCTION("""COMPUTED_VALUE"""),"+4.00")</f>
        <v>+4.00</v>
      </c>
    </row>
    <row r="118" spans="1:9" ht="12.75">
      <c r="A118" t="str">
        <f ca="1">IFERROR(__xludf.DUMMYFUNCTION("""COMPUTED_VALUE"""),"T107")</f>
        <v>T107</v>
      </c>
      <c r="B118" t="str">
        <f ca="1">IFERROR(__xludf.DUMMYFUNCTION("""COMPUTED_VALUE"""),"T111")</f>
        <v>T111</v>
      </c>
      <c r="C118" t="str">
        <f ca="1">IFERROR(__xludf.DUMMYFUNCTION("""COMPUTED_VALUE"""),"Romain Langasque")</f>
        <v>Romain Langasque</v>
      </c>
      <c r="D118">
        <f ca="1">IFERROR(__xludf.DUMMYFUNCTION("""COMPUTED_VALUE"""),4)</f>
        <v>4</v>
      </c>
      <c r="E118">
        <f ca="1">IFERROR(__xludf.DUMMYFUNCTION("""COMPUTED_VALUE"""),20)</f>
        <v>20</v>
      </c>
      <c r="F118">
        <f ca="1">IFERROR(__xludf.DUMMYFUNCTION("""COMPUTED_VALUE"""),1)</f>
        <v>1</v>
      </c>
      <c r="G118">
        <f ca="1">IFERROR(__xludf.DUMMYFUNCTION("""COMPUTED_VALUE"""),5)</f>
        <v>5</v>
      </c>
      <c r="H118">
        <f ca="1">IFERROR(__xludf.DUMMYFUNCTION("""COMPUTED_VALUE"""),-1)</f>
        <v>-1</v>
      </c>
      <c r="I118">
        <f ca="1">IFERROR(__xludf.DUMMYFUNCTION("""COMPUTED_VALUE"""),-1)</f>
        <v>-1</v>
      </c>
    </row>
    <row r="119" spans="1:9" ht="12.75">
      <c r="A119" t="str">
        <f ca="1">IFERROR(__xludf.DUMMYFUNCTION("""COMPUTED_VALUE"""),"T107")</f>
        <v>T107</v>
      </c>
      <c r="B119" t="str">
        <f ca="1">IFERROR(__xludf.DUMMYFUNCTION("""COMPUTED_VALUE"""),"T111")</f>
        <v>T111</v>
      </c>
      <c r="C119" t="str">
        <f ca="1">IFERROR(__xludf.DUMMYFUNCTION("""COMPUTED_VALUE"""),"Jazz Janewattananond")</f>
        <v>Jazz Janewattananond</v>
      </c>
      <c r="D119">
        <f ca="1">IFERROR(__xludf.DUMMYFUNCTION("""COMPUTED_VALUE"""),6)</f>
        <v>6</v>
      </c>
      <c r="E119">
        <f ca="1">IFERROR(__xludf.DUMMYFUNCTION("""COMPUTED_VALUE"""),20)</f>
        <v>20</v>
      </c>
      <c r="F119">
        <f ca="1">IFERROR(__xludf.DUMMYFUNCTION("""COMPUTED_VALUE"""),3)</f>
        <v>3</v>
      </c>
      <c r="G119">
        <f ca="1">IFERROR(__xludf.DUMMYFUNCTION("""COMPUTED_VALUE"""),15)</f>
        <v>15</v>
      </c>
      <c r="H119">
        <f ca="1">IFERROR(__xludf.DUMMYFUNCTION("""COMPUTED_VALUE"""),-3)</f>
        <v>-3</v>
      </c>
      <c r="I119" t="str">
        <f ca="1">IFERROR(__xludf.DUMMYFUNCTION("""COMPUTED_VALUE"""),"+2.00")</f>
        <v>+2.00</v>
      </c>
    </row>
    <row r="120" spans="1:9" ht="12.75">
      <c r="A120" t="str">
        <f ca="1">IFERROR(__xludf.DUMMYFUNCTION("""COMPUTED_VALUE"""),"T107")</f>
        <v>T107</v>
      </c>
      <c r="B120" t="str">
        <f ca="1">IFERROR(__xludf.DUMMYFUNCTION("""COMPUTED_VALUE"""),"T111")</f>
        <v>T111</v>
      </c>
      <c r="C120" t="str">
        <f ca="1">IFERROR(__xludf.DUMMYFUNCTION("""COMPUTED_VALUE"""),"Ben Taylor")</f>
        <v>Ben Taylor</v>
      </c>
      <c r="D120">
        <f ca="1">IFERROR(__xludf.DUMMYFUNCTION("""COMPUTED_VALUE"""),10)</f>
        <v>10</v>
      </c>
      <c r="E120">
        <f ca="1">IFERROR(__xludf.DUMMYFUNCTION("""COMPUTED_VALUE"""),20)</f>
        <v>20</v>
      </c>
      <c r="F120">
        <f ca="1">IFERROR(__xludf.DUMMYFUNCTION("""COMPUTED_VALUE"""),2)</f>
        <v>2</v>
      </c>
      <c r="G120">
        <f ca="1">IFERROR(__xludf.DUMMYFUNCTION("""COMPUTED_VALUE"""),10)</f>
        <v>10</v>
      </c>
      <c r="H120">
        <f ca="1">IFERROR(__xludf.DUMMYFUNCTION("""COMPUTED_VALUE"""),-3)</f>
        <v>-3</v>
      </c>
      <c r="I120" t="str">
        <f ca="1">IFERROR(__xludf.DUMMYFUNCTION("""COMPUTED_VALUE"""),"E")</f>
        <v>E</v>
      </c>
    </row>
    <row r="121" spans="1:9" ht="12.75">
      <c r="A121">
        <f ca="1">IFERROR(__xludf.DUMMYFUNCTION("""COMPUTED_VALUE"""),120)</f>
        <v>120</v>
      </c>
      <c r="B121" t="str">
        <f ca="1">IFERROR(__xludf.DUMMYFUNCTION("""COMPUTED_VALUE"""),"T111")</f>
        <v>T111</v>
      </c>
      <c r="C121" t="str">
        <f ca="1">IFERROR(__xludf.DUMMYFUNCTION("""COMPUTED_VALUE"""),"Sepp Straka")</f>
        <v>Sepp Straka</v>
      </c>
      <c r="D121">
        <f ca="1">IFERROR(__xludf.DUMMYFUNCTION("""COMPUTED_VALUE"""),22)</f>
        <v>22</v>
      </c>
      <c r="E121">
        <f ca="1">IFERROR(__xludf.DUMMYFUNCTION("""COMPUTED_VALUE"""),19.51)</f>
        <v>19.510000000000002</v>
      </c>
      <c r="F121">
        <f ca="1">IFERROR(__xludf.DUMMYFUNCTION("""COMPUTED_VALUE"""),8)</f>
        <v>8</v>
      </c>
      <c r="G121">
        <f ca="1">IFERROR(__xludf.DUMMYFUNCTION("""COMPUTED_VALUE"""),41)</f>
        <v>41</v>
      </c>
      <c r="H121">
        <f ca="1">IFERROR(__xludf.DUMMYFUNCTION("""COMPUTED_VALUE"""),-10)</f>
        <v>-10</v>
      </c>
      <c r="I121">
        <f ca="1">IFERROR(__xludf.DUMMYFUNCTION("""COMPUTED_VALUE"""),-4)</f>
        <v>-4</v>
      </c>
    </row>
    <row r="122" spans="1:9" ht="12.75">
      <c r="A122">
        <f ca="1">IFERROR(__xludf.DUMMYFUNCTION("""COMPUTED_VALUE"""),121)</f>
        <v>121</v>
      </c>
      <c r="B122">
        <f ca="1">IFERROR(__xludf.DUMMYFUNCTION("""COMPUTED_VALUE"""),59)</f>
        <v>59</v>
      </c>
      <c r="C122" t="str">
        <f ca="1">IFERROR(__xludf.DUMMYFUNCTION("""COMPUTED_VALUE"""),"Scott Harrington")</f>
        <v>Scott Harrington</v>
      </c>
      <c r="D122">
        <f ca="1">IFERROR(__xludf.DUMMYFUNCTION("""COMPUTED_VALUE"""),18)</f>
        <v>18</v>
      </c>
      <c r="E122">
        <f ca="1">IFERROR(__xludf.DUMMYFUNCTION("""COMPUTED_VALUE"""),19.35)</f>
        <v>19.350000000000001</v>
      </c>
      <c r="F122">
        <f ca="1">IFERROR(__xludf.DUMMYFUNCTION("""COMPUTED_VALUE"""),6)</f>
        <v>6</v>
      </c>
      <c r="G122">
        <f ca="1">IFERROR(__xludf.DUMMYFUNCTION("""COMPUTED_VALUE"""),31)</f>
        <v>31</v>
      </c>
      <c r="H122">
        <f ca="1">IFERROR(__xludf.DUMMYFUNCTION("""COMPUTED_VALUE"""),-9)</f>
        <v>-9</v>
      </c>
      <c r="I122" t="str">
        <f ca="1">IFERROR(__xludf.DUMMYFUNCTION("""COMPUTED_VALUE"""),"+1.00")</f>
        <v>+1.00</v>
      </c>
    </row>
    <row r="123" spans="1:9" ht="12.75">
      <c r="A123" t="str">
        <f ca="1">IFERROR(__xludf.DUMMYFUNCTION("""COMPUTED_VALUE"""),"T122")</f>
        <v>T122</v>
      </c>
      <c r="B123">
        <f ca="1">IFERROR(__xludf.DUMMYFUNCTION("""COMPUTED_VALUE"""),110)</f>
        <v>110</v>
      </c>
      <c r="C123" t="str">
        <f ca="1">IFERROR(__xludf.DUMMYFUNCTION("""COMPUTED_VALUE"""),"Stewart Cink")</f>
        <v>Stewart Cink</v>
      </c>
      <c r="D123">
        <f ca="1">IFERROR(__xludf.DUMMYFUNCTION("""COMPUTED_VALUE"""),18)</f>
        <v>18</v>
      </c>
      <c r="E123">
        <f ca="1">IFERROR(__xludf.DUMMYFUNCTION("""COMPUTED_VALUE"""),19.05)</f>
        <v>19.05</v>
      </c>
      <c r="F123">
        <f ca="1">IFERROR(__xludf.DUMMYFUNCTION("""COMPUTED_VALUE"""),8)</f>
        <v>8</v>
      </c>
      <c r="G123">
        <f ca="1">IFERROR(__xludf.DUMMYFUNCTION("""COMPUTED_VALUE"""),42)</f>
        <v>42</v>
      </c>
      <c r="H123">
        <f ca="1">IFERROR(__xludf.DUMMYFUNCTION("""COMPUTED_VALUE"""),-10)</f>
        <v>-10</v>
      </c>
      <c r="I123">
        <f ca="1">IFERROR(__xludf.DUMMYFUNCTION("""COMPUTED_VALUE"""),-1)</f>
        <v>-1</v>
      </c>
    </row>
    <row r="124" spans="1:9" ht="12.75">
      <c r="A124" t="str">
        <f ca="1">IFERROR(__xludf.DUMMYFUNCTION("""COMPUTED_VALUE"""),"T122")</f>
        <v>T122</v>
      </c>
      <c r="B124" t="str">
        <f ca="1">IFERROR(__xludf.DUMMYFUNCTION("""COMPUTED_VALUE"""),"T111")</f>
        <v>T111</v>
      </c>
      <c r="C124" t="str">
        <f ca="1">IFERROR(__xludf.DUMMYFUNCTION("""COMPUTED_VALUE"""),"Pat Perez")</f>
        <v>Pat Perez</v>
      </c>
      <c r="D124">
        <f ca="1">IFERROR(__xludf.DUMMYFUNCTION("""COMPUTED_VALUE"""),16)</f>
        <v>16</v>
      </c>
      <c r="E124">
        <f ca="1">IFERROR(__xludf.DUMMYFUNCTION("""COMPUTED_VALUE"""),19.05)</f>
        <v>19.05</v>
      </c>
      <c r="F124">
        <f ca="1">IFERROR(__xludf.DUMMYFUNCTION("""COMPUTED_VALUE"""),4)</f>
        <v>4</v>
      </c>
      <c r="G124">
        <f ca="1">IFERROR(__xludf.DUMMYFUNCTION("""COMPUTED_VALUE"""),21)</f>
        <v>21</v>
      </c>
      <c r="H124">
        <f ca="1">IFERROR(__xludf.DUMMYFUNCTION("""COMPUTED_VALUE"""),-5)</f>
        <v>-5</v>
      </c>
      <c r="I124">
        <f ca="1">IFERROR(__xludf.DUMMYFUNCTION("""COMPUTED_VALUE"""),-1)</f>
        <v>-1</v>
      </c>
    </row>
    <row r="125" spans="1:9" ht="12.75">
      <c r="A125">
        <f ca="1">IFERROR(__xludf.DUMMYFUNCTION("""COMPUTED_VALUE"""),124)</f>
        <v>124</v>
      </c>
      <c r="B125">
        <f ca="1">IFERROR(__xludf.DUMMYFUNCTION("""COMPUTED_VALUE"""),130)</f>
        <v>130</v>
      </c>
      <c r="C125" t="str">
        <f ca="1">IFERROR(__xludf.DUMMYFUNCTION("""COMPUTED_VALUE"""),"Byeong Hun An")</f>
        <v>Byeong Hun An</v>
      </c>
      <c r="D125">
        <f ca="1">IFERROR(__xludf.DUMMYFUNCTION("""COMPUTED_VALUE"""),14)</f>
        <v>14</v>
      </c>
      <c r="E125">
        <f ca="1">IFERROR(__xludf.DUMMYFUNCTION("""COMPUTED_VALUE"""),18.75)</f>
        <v>18.75</v>
      </c>
      <c r="F125">
        <f ca="1">IFERROR(__xludf.DUMMYFUNCTION("""COMPUTED_VALUE"""),9)</f>
        <v>9</v>
      </c>
      <c r="G125">
        <f ca="1">IFERROR(__xludf.DUMMYFUNCTION("""COMPUTED_VALUE"""),48)</f>
        <v>48</v>
      </c>
      <c r="H125">
        <f ca="1">IFERROR(__xludf.DUMMYFUNCTION("""COMPUTED_VALUE"""),-9)</f>
        <v>-9</v>
      </c>
      <c r="I125" t="str">
        <f ca="1">IFERROR(__xludf.DUMMYFUNCTION("""COMPUTED_VALUE"""),"+3.00")</f>
        <v>+3.00</v>
      </c>
    </row>
    <row r="126" spans="1:9" ht="12.75">
      <c r="A126" t="str">
        <f ca="1">IFERROR(__xludf.DUMMYFUNCTION("""COMPUTED_VALUE"""),"T125")</f>
        <v>T125</v>
      </c>
      <c r="B126" t="str">
        <f ca="1">IFERROR(__xludf.DUMMYFUNCTION("""COMPUTED_VALUE"""),"T131")</f>
        <v>T131</v>
      </c>
      <c r="C126" t="str">
        <f ca="1">IFERROR(__xludf.DUMMYFUNCTION("""COMPUTED_VALUE"""),"Brendan Steele")</f>
        <v>Brendan Steele</v>
      </c>
      <c r="D126">
        <f ca="1">IFERROR(__xludf.DUMMYFUNCTION("""COMPUTED_VALUE"""),14)</f>
        <v>14</v>
      </c>
      <c r="E126">
        <f ca="1">IFERROR(__xludf.DUMMYFUNCTION("""COMPUTED_VALUE"""),18.6)</f>
        <v>18.600000000000001</v>
      </c>
      <c r="F126">
        <f ca="1">IFERROR(__xludf.DUMMYFUNCTION("""COMPUTED_VALUE"""),8)</f>
        <v>8</v>
      </c>
      <c r="G126">
        <f ca="1">IFERROR(__xludf.DUMMYFUNCTION("""COMPUTED_VALUE"""),43)</f>
        <v>43</v>
      </c>
      <c r="H126">
        <f ca="1">IFERROR(__xludf.DUMMYFUNCTION("""COMPUTED_VALUE"""),-7)</f>
        <v>-7</v>
      </c>
      <c r="I126" t="str">
        <f ca="1">IFERROR(__xludf.DUMMYFUNCTION("""COMPUTED_VALUE"""),"+2.00")</f>
        <v>+2.00</v>
      </c>
    </row>
    <row r="127" spans="1:9" ht="12.75">
      <c r="A127" t="str">
        <f ca="1">IFERROR(__xludf.DUMMYFUNCTION("""COMPUTED_VALUE"""),"T125")</f>
        <v>T125</v>
      </c>
      <c r="B127" t="str">
        <f ca="1">IFERROR(__xludf.DUMMYFUNCTION("""COMPUTED_VALUE"""),"T131")</f>
        <v>T131</v>
      </c>
      <c r="C127" t="str">
        <f ca="1">IFERROR(__xludf.DUMMYFUNCTION("""COMPUTED_VALUE"""),"Jason Kokrak")</f>
        <v>Jason Kokrak</v>
      </c>
      <c r="D127">
        <f ca="1">IFERROR(__xludf.DUMMYFUNCTION("""COMPUTED_VALUE"""),14)</f>
        <v>14</v>
      </c>
      <c r="E127">
        <f ca="1">IFERROR(__xludf.DUMMYFUNCTION("""COMPUTED_VALUE"""),18.6)</f>
        <v>18.600000000000001</v>
      </c>
      <c r="F127">
        <f ca="1">IFERROR(__xludf.DUMMYFUNCTION("""COMPUTED_VALUE"""),8)</f>
        <v>8</v>
      </c>
      <c r="G127">
        <f ca="1">IFERROR(__xludf.DUMMYFUNCTION("""COMPUTED_VALUE"""),43)</f>
        <v>43</v>
      </c>
      <c r="H127">
        <f ca="1">IFERROR(__xludf.DUMMYFUNCTION("""COMPUTED_VALUE"""),-8)</f>
        <v>-8</v>
      </c>
      <c r="I127">
        <f ca="1">IFERROR(__xludf.DUMMYFUNCTION("""COMPUTED_VALUE"""),-5)</f>
        <v>-5</v>
      </c>
    </row>
    <row r="128" spans="1:9" ht="12.75">
      <c r="A128" t="str">
        <f ca="1">IFERROR(__xludf.DUMMYFUNCTION("""COMPUTED_VALUE"""),"T125")</f>
        <v>T125</v>
      </c>
      <c r="B128" t="str">
        <f ca="1">IFERROR(__xludf.DUMMYFUNCTION("""COMPUTED_VALUE"""),"T88")</f>
        <v>T88</v>
      </c>
      <c r="C128" t="str">
        <f ca="1">IFERROR(__xludf.DUMMYFUNCTION("""COMPUTED_VALUE"""),"Kristoffer Ventura")</f>
        <v>Kristoffer Ventura</v>
      </c>
      <c r="D128">
        <f ca="1">IFERROR(__xludf.DUMMYFUNCTION("""COMPUTED_VALUE"""),20)</f>
        <v>20</v>
      </c>
      <c r="E128">
        <f ca="1">IFERROR(__xludf.DUMMYFUNCTION("""COMPUTED_VALUE"""),18.6)</f>
        <v>18.600000000000001</v>
      </c>
      <c r="F128">
        <f ca="1">IFERROR(__xludf.DUMMYFUNCTION("""COMPUTED_VALUE"""),8)</f>
        <v>8</v>
      </c>
      <c r="G128">
        <f ca="1">IFERROR(__xludf.DUMMYFUNCTION("""COMPUTED_VALUE"""),43)</f>
        <v>43</v>
      </c>
      <c r="H128">
        <f ca="1">IFERROR(__xludf.DUMMYFUNCTION("""COMPUTED_VALUE"""),-11)</f>
        <v>-11</v>
      </c>
      <c r="I128">
        <f ca="1">IFERROR(__xludf.DUMMYFUNCTION("""COMPUTED_VALUE"""),-3)</f>
        <v>-3</v>
      </c>
    </row>
    <row r="129" spans="1:9" ht="12.75">
      <c r="A129">
        <f ca="1">IFERROR(__xludf.DUMMYFUNCTION("""COMPUTED_VALUE"""),128)</f>
        <v>128</v>
      </c>
      <c r="B129" t="str">
        <f ca="1">IFERROR(__xludf.DUMMYFUNCTION("""COMPUTED_VALUE"""),"T43")</f>
        <v>T43</v>
      </c>
      <c r="C129" t="str">
        <f ca="1">IFERROR(__xludf.DUMMYFUNCTION("""COMPUTED_VALUE"""),"Jhonattan Vegas")</f>
        <v>Jhonattan Vegas</v>
      </c>
      <c r="D129">
        <f ca="1">IFERROR(__xludf.DUMMYFUNCTION("""COMPUTED_VALUE"""),16)</f>
        <v>16</v>
      </c>
      <c r="E129">
        <f ca="1">IFERROR(__xludf.DUMMYFUNCTION("""COMPUTED_VALUE"""),18.52)</f>
        <v>18.52</v>
      </c>
      <c r="F129">
        <f ca="1">IFERROR(__xludf.DUMMYFUNCTION("""COMPUTED_VALUE"""),5)</f>
        <v>5</v>
      </c>
      <c r="G129">
        <f ca="1">IFERROR(__xludf.DUMMYFUNCTION("""COMPUTED_VALUE"""),27)</f>
        <v>27</v>
      </c>
      <c r="H129">
        <f ca="1">IFERROR(__xludf.DUMMYFUNCTION("""COMPUTED_VALUE"""),-5)</f>
        <v>-5</v>
      </c>
      <c r="I129" t="str">
        <f ca="1">IFERROR(__xludf.DUMMYFUNCTION("""COMPUTED_VALUE"""),"+1.00")</f>
        <v>+1.00</v>
      </c>
    </row>
    <row r="130" spans="1:9" ht="12.75">
      <c r="A130">
        <f ca="1">IFERROR(__xludf.DUMMYFUNCTION("""COMPUTED_VALUE"""),129)</f>
        <v>129</v>
      </c>
      <c r="B130" t="str">
        <f ca="1">IFERROR(__xludf.DUMMYFUNCTION("""COMPUTED_VALUE"""),"T144")</f>
        <v>T144</v>
      </c>
      <c r="C130" t="str">
        <f ca="1">IFERROR(__xludf.DUMMYFUNCTION("""COMPUTED_VALUE"""),"Wyndham Clark")</f>
        <v>Wyndham Clark</v>
      </c>
      <c r="D130">
        <f ca="1">IFERROR(__xludf.DUMMYFUNCTION("""COMPUTED_VALUE"""),16)</f>
        <v>16</v>
      </c>
      <c r="E130">
        <f ca="1">IFERROR(__xludf.DUMMYFUNCTION("""COMPUTED_VALUE"""),18.42)</f>
        <v>18.420000000000002</v>
      </c>
      <c r="F130">
        <f ca="1">IFERROR(__xludf.DUMMYFUNCTION("""COMPUTED_VALUE"""),7)</f>
        <v>7</v>
      </c>
      <c r="G130">
        <f ca="1">IFERROR(__xludf.DUMMYFUNCTION("""COMPUTED_VALUE"""),38)</f>
        <v>38</v>
      </c>
      <c r="H130">
        <f ca="1">IFERROR(__xludf.DUMMYFUNCTION("""COMPUTED_VALUE"""),-9)</f>
        <v>-9</v>
      </c>
      <c r="I130">
        <f ca="1">IFERROR(__xludf.DUMMYFUNCTION("""COMPUTED_VALUE"""),-1)</f>
        <v>-1</v>
      </c>
    </row>
    <row r="131" spans="1:9" ht="12.75">
      <c r="A131">
        <f ca="1">IFERROR(__xludf.DUMMYFUNCTION("""COMPUTED_VALUE"""),130)</f>
        <v>130</v>
      </c>
      <c r="B131">
        <f ca="1">IFERROR(__xludf.DUMMYFUNCTION("""COMPUTED_VALUE"""),133)</f>
        <v>133</v>
      </c>
      <c r="C131" t="str">
        <f ca="1">IFERROR(__xludf.DUMMYFUNCTION("""COMPUTED_VALUE"""),"Richy Werenski")</f>
        <v>Richy Werenski</v>
      </c>
      <c r="D131">
        <f ca="1">IFERROR(__xludf.DUMMYFUNCTION("""COMPUTED_VALUE"""),16)</f>
        <v>16</v>
      </c>
      <c r="E131">
        <f ca="1">IFERROR(__xludf.DUMMYFUNCTION("""COMPUTED_VALUE"""),18.37)</f>
        <v>18.37</v>
      </c>
      <c r="F131">
        <f ca="1">IFERROR(__xludf.DUMMYFUNCTION("""COMPUTED_VALUE"""),9)</f>
        <v>9</v>
      </c>
      <c r="G131">
        <f ca="1">IFERROR(__xludf.DUMMYFUNCTION("""COMPUTED_VALUE"""),49)</f>
        <v>49</v>
      </c>
      <c r="H131">
        <f ca="1">IFERROR(__xludf.DUMMYFUNCTION("""COMPUTED_VALUE"""),-12)</f>
        <v>-12</v>
      </c>
      <c r="I131">
        <f ca="1">IFERROR(__xludf.DUMMYFUNCTION("""COMPUTED_VALUE"""),-4)</f>
        <v>-4</v>
      </c>
    </row>
    <row r="132" spans="1:9" ht="12.75">
      <c r="A132" t="str">
        <f ca="1">IFERROR(__xludf.DUMMYFUNCTION("""COMPUTED_VALUE"""),"T131")</f>
        <v>T131</v>
      </c>
      <c r="B132" t="str">
        <f ca="1">IFERROR(__xludf.DUMMYFUNCTION("""COMPUTED_VALUE"""),"T134")</f>
        <v>T134</v>
      </c>
      <c r="C132" t="str">
        <f ca="1">IFERROR(__xludf.DUMMYFUNCTION("""COMPUTED_VALUE"""),"Tim Wilkinson")</f>
        <v>Tim Wilkinson</v>
      </c>
      <c r="D132">
        <f ca="1">IFERROR(__xludf.DUMMYFUNCTION("""COMPUTED_VALUE"""),12)</f>
        <v>12</v>
      </c>
      <c r="E132">
        <f ca="1">IFERROR(__xludf.DUMMYFUNCTION("""COMPUTED_VALUE"""),18.18)</f>
        <v>18.18</v>
      </c>
      <c r="F132">
        <f ca="1">IFERROR(__xludf.DUMMYFUNCTION("""COMPUTED_VALUE"""),2)</f>
        <v>2</v>
      </c>
      <c r="G132">
        <f ca="1">IFERROR(__xludf.DUMMYFUNCTION("""COMPUTED_VALUE"""),11)</f>
        <v>11</v>
      </c>
      <c r="H132">
        <f ca="1">IFERROR(__xludf.DUMMYFUNCTION("""COMPUTED_VALUE"""),-3)</f>
        <v>-3</v>
      </c>
      <c r="I132">
        <f ca="1">IFERROR(__xludf.DUMMYFUNCTION("""COMPUTED_VALUE"""),-3)</f>
        <v>-3</v>
      </c>
    </row>
    <row r="133" spans="1:9" ht="12.75">
      <c r="A133" t="str">
        <f ca="1">IFERROR(__xludf.DUMMYFUNCTION("""COMPUTED_VALUE"""),"T131")</f>
        <v>T131</v>
      </c>
      <c r="B133" t="str">
        <f ca="1">IFERROR(__xludf.DUMMYFUNCTION("""COMPUTED_VALUE"""),"T134")</f>
        <v>T134</v>
      </c>
      <c r="C133" t="str">
        <f ca="1">IFERROR(__xludf.DUMMYFUNCTION("""COMPUTED_VALUE"""),"Shaun Norris")</f>
        <v>Shaun Norris</v>
      </c>
      <c r="D133">
        <f ca="1">IFERROR(__xludf.DUMMYFUNCTION("""COMPUTED_VALUE"""),6)</f>
        <v>6</v>
      </c>
      <c r="E133">
        <f ca="1">IFERROR(__xludf.DUMMYFUNCTION("""COMPUTED_VALUE"""),18.18)</f>
        <v>18.18</v>
      </c>
      <c r="F133">
        <f ca="1">IFERROR(__xludf.DUMMYFUNCTION("""COMPUTED_VALUE"""),2)</f>
        <v>2</v>
      </c>
      <c r="G133">
        <f ca="1">IFERROR(__xludf.DUMMYFUNCTION("""COMPUTED_VALUE"""),11)</f>
        <v>11</v>
      </c>
      <c r="H133">
        <f ca="1">IFERROR(__xludf.DUMMYFUNCTION("""COMPUTED_VALUE"""),-2)</f>
        <v>-2</v>
      </c>
      <c r="I133">
        <f ca="1">IFERROR(__xludf.DUMMYFUNCTION("""COMPUTED_VALUE"""),-2)</f>
        <v>-2</v>
      </c>
    </row>
    <row r="134" spans="1:9" ht="12.75">
      <c r="A134" t="str">
        <f ca="1">IFERROR(__xludf.DUMMYFUNCTION("""COMPUTED_VALUE"""),"T131")</f>
        <v>T131</v>
      </c>
      <c r="B134" t="str">
        <f ca="1">IFERROR(__xludf.DUMMYFUNCTION("""COMPUTED_VALUE"""),"T134")</f>
        <v>T134</v>
      </c>
      <c r="C134" t="str">
        <f ca="1">IFERROR(__xludf.DUMMYFUNCTION("""COMPUTED_VALUE"""),"Nick Watney")</f>
        <v>Nick Watney</v>
      </c>
      <c r="D134">
        <f ca="1">IFERROR(__xludf.DUMMYFUNCTION("""COMPUTED_VALUE"""),10)</f>
        <v>10</v>
      </c>
      <c r="E134">
        <f ca="1">IFERROR(__xludf.DUMMYFUNCTION("""COMPUTED_VALUE"""),18.18)</f>
        <v>18.18</v>
      </c>
      <c r="F134">
        <f ca="1">IFERROR(__xludf.DUMMYFUNCTION("""COMPUTED_VALUE"""),4)</f>
        <v>4</v>
      </c>
      <c r="G134">
        <f ca="1">IFERROR(__xludf.DUMMYFUNCTION("""COMPUTED_VALUE"""),22)</f>
        <v>22</v>
      </c>
      <c r="H134">
        <f ca="1">IFERROR(__xludf.DUMMYFUNCTION("""COMPUTED_VALUE"""),-4)</f>
        <v>-4</v>
      </c>
      <c r="I134">
        <f ca="1">IFERROR(__xludf.DUMMYFUNCTION("""COMPUTED_VALUE"""),-1)</f>
        <v>-1</v>
      </c>
    </row>
    <row r="135" spans="1:9" ht="12.75">
      <c r="A135" t="str">
        <f ca="1">IFERROR(__xludf.DUMMYFUNCTION("""COMPUTED_VALUE"""),"T131")</f>
        <v>T131</v>
      </c>
      <c r="B135" t="str">
        <f ca="1">IFERROR(__xludf.DUMMYFUNCTION("""COMPUTED_VALUE"""),"T134")</f>
        <v>T134</v>
      </c>
      <c r="C135" t="str">
        <f ca="1">IFERROR(__xludf.DUMMYFUNCTION("""COMPUTED_VALUE"""),"Kyle Stanley")</f>
        <v>Kyle Stanley</v>
      </c>
      <c r="D135">
        <f ca="1">IFERROR(__xludf.DUMMYFUNCTION("""COMPUTED_VALUE"""),16)</f>
        <v>16</v>
      </c>
      <c r="E135">
        <f ca="1">IFERROR(__xludf.DUMMYFUNCTION("""COMPUTED_VALUE"""),18.18)</f>
        <v>18.18</v>
      </c>
      <c r="F135">
        <f ca="1">IFERROR(__xludf.DUMMYFUNCTION("""COMPUTED_VALUE"""),2)</f>
        <v>2</v>
      </c>
      <c r="G135">
        <f ca="1">IFERROR(__xludf.DUMMYFUNCTION("""COMPUTED_VALUE"""),11)</f>
        <v>11</v>
      </c>
      <c r="H135">
        <f ca="1">IFERROR(__xludf.DUMMYFUNCTION("""COMPUTED_VALUE"""),-3)</f>
        <v>-3</v>
      </c>
      <c r="I135">
        <f ca="1">IFERROR(__xludf.DUMMYFUNCTION("""COMPUTED_VALUE"""),-2)</f>
        <v>-2</v>
      </c>
    </row>
    <row r="136" spans="1:9" ht="12.75">
      <c r="A136" t="str">
        <f ca="1">IFERROR(__xludf.DUMMYFUNCTION("""COMPUTED_VALUE"""),"T131")</f>
        <v>T131</v>
      </c>
      <c r="B136" t="str">
        <f ca="1">IFERROR(__xludf.DUMMYFUNCTION("""COMPUTED_VALUE"""),"T84")</f>
        <v>T84</v>
      </c>
      <c r="C136" t="str">
        <f ca="1">IFERROR(__xludf.DUMMYFUNCTION("""COMPUTED_VALUE"""),"Troy Merritt")</f>
        <v>Troy Merritt</v>
      </c>
      <c r="D136">
        <f ca="1">IFERROR(__xludf.DUMMYFUNCTION("""COMPUTED_VALUE"""),20)</f>
        <v>20</v>
      </c>
      <c r="E136">
        <f ca="1">IFERROR(__xludf.DUMMYFUNCTION("""COMPUTED_VALUE"""),18.18)</f>
        <v>18.18</v>
      </c>
      <c r="F136">
        <f ca="1">IFERROR(__xludf.DUMMYFUNCTION("""COMPUTED_VALUE"""),6)</f>
        <v>6</v>
      </c>
      <c r="G136">
        <f ca="1">IFERROR(__xludf.DUMMYFUNCTION("""COMPUTED_VALUE"""),33)</f>
        <v>33</v>
      </c>
      <c r="H136">
        <f ca="1">IFERROR(__xludf.DUMMYFUNCTION("""COMPUTED_VALUE"""),-7)</f>
        <v>-7</v>
      </c>
      <c r="I136">
        <f ca="1">IFERROR(__xludf.DUMMYFUNCTION("""COMPUTED_VALUE"""),-5)</f>
        <v>-5</v>
      </c>
    </row>
    <row r="137" spans="1:9" ht="12.75">
      <c r="A137" t="str">
        <f ca="1">IFERROR(__xludf.DUMMYFUNCTION("""COMPUTED_VALUE"""),"T131")</f>
        <v>T131</v>
      </c>
      <c r="B137" t="str">
        <f ca="1">IFERROR(__xludf.DUMMYFUNCTION("""COMPUTED_VALUE"""),"T134")</f>
        <v>T134</v>
      </c>
      <c r="C137" t="str">
        <f ca="1">IFERROR(__xludf.DUMMYFUNCTION("""COMPUTED_VALUE"""),"Shugo Imahira")</f>
        <v>Shugo Imahira</v>
      </c>
      <c r="D137">
        <f ca="1">IFERROR(__xludf.DUMMYFUNCTION("""COMPUTED_VALUE"""),8)</f>
        <v>8</v>
      </c>
      <c r="E137">
        <f ca="1">IFERROR(__xludf.DUMMYFUNCTION("""COMPUTED_VALUE"""),18.18)</f>
        <v>18.18</v>
      </c>
      <c r="F137">
        <f ca="1">IFERROR(__xludf.DUMMYFUNCTION("""COMPUTED_VALUE"""),4)</f>
        <v>4</v>
      </c>
      <c r="G137">
        <f ca="1">IFERROR(__xludf.DUMMYFUNCTION("""COMPUTED_VALUE"""),22)</f>
        <v>22</v>
      </c>
      <c r="H137">
        <f ca="1">IFERROR(__xludf.DUMMYFUNCTION("""COMPUTED_VALUE"""),-5)</f>
        <v>-5</v>
      </c>
      <c r="I137" t="str">
        <f ca="1">IFERROR(__xludf.DUMMYFUNCTION("""COMPUTED_VALUE"""),"+4.00")</f>
        <v>+4.00</v>
      </c>
    </row>
    <row r="138" spans="1:9" ht="12.75">
      <c r="A138" t="str">
        <f ca="1">IFERROR(__xludf.DUMMYFUNCTION("""COMPUTED_VALUE"""),"T131")</f>
        <v>T131</v>
      </c>
      <c r="B138" t="str">
        <f ca="1">IFERROR(__xludf.DUMMYFUNCTION("""COMPUTED_VALUE"""),"T134")</f>
        <v>T134</v>
      </c>
      <c r="C138" t="str">
        <f ca="1">IFERROR(__xludf.DUMMYFUNCTION("""COMPUTED_VALUE"""),"Bud Cauley")</f>
        <v>Bud Cauley</v>
      </c>
      <c r="D138">
        <f ca="1">IFERROR(__xludf.DUMMYFUNCTION("""COMPUTED_VALUE"""),4)</f>
        <v>4</v>
      </c>
      <c r="E138">
        <f ca="1">IFERROR(__xludf.DUMMYFUNCTION("""COMPUTED_VALUE"""),18.18)</f>
        <v>18.18</v>
      </c>
      <c r="F138">
        <f ca="1">IFERROR(__xludf.DUMMYFUNCTION("""COMPUTED_VALUE"""),2)</f>
        <v>2</v>
      </c>
      <c r="G138">
        <f ca="1">IFERROR(__xludf.DUMMYFUNCTION("""COMPUTED_VALUE"""),11)</f>
        <v>11</v>
      </c>
      <c r="H138">
        <f ca="1">IFERROR(__xludf.DUMMYFUNCTION("""COMPUTED_VALUE"""),-2)</f>
        <v>-2</v>
      </c>
      <c r="I138">
        <f ca="1">IFERROR(__xludf.DUMMYFUNCTION("""COMPUTED_VALUE"""),-2)</f>
        <v>-2</v>
      </c>
    </row>
    <row r="139" spans="1:9" ht="12.75">
      <c r="A139" t="str">
        <f ca="1">IFERROR(__xludf.DUMMYFUNCTION("""COMPUTED_VALUE"""),"T131")</f>
        <v>T131</v>
      </c>
      <c r="B139" t="str">
        <f ca="1">IFERROR(__xludf.DUMMYFUNCTION("""COMPUTED_VALUE"""),"T134")</f>
        <v>T134</v>
      </c>
      <c r="C139" t="str">
        <f ca="1">IFERROR(__xludf.DUMMYFUNCTION("""COMPUTED_VALUE"""),"Jeongwoo Ham")</f>
        <v>Jeongwoo Ham</v>
      </c>
      <c r="D139">
        <f ca="1">IFERROR(__xludf.DUMMYFUNCTION("""COMPUTED_VALUE"""),4)</f>
        <v>4</v>
      </c>
      <c r="E139">
        <f ca="1">IFERROR(__xludf.DUMMYFUNCTION("""COMPUTED_VALUE"""),18.18)</f>
        <v>18.18</v>
      </c>
      <c r="F139">
        <f ca="1">IFERROR(__xludf.DUMMYFUNCTION("""COMPUTED_VALUE"""),2)</f>
        <v>2</v>
      </c>
      <c r="G139">
        <f ca="1">IFERROR(__xludf.DUMMYFUNCTION("""COMPUTED_VALUE"""),11)</f>
        <v>11</v>
      </c>
      <c r="H139">
        <f ca="1">IFERROR(__xludf.DUMMYFUNCTION("""COMPUTED_VALUE"""),-3)</f>
        <v>-3</v>
      </c>
      <c r="I139" t="str">
        <f ca="1">IFERROR(__xludf.DUMMYFUNCTION("""COMPUTED_VALUE"""),"+4.00")</f>
        <v>+4.00</v>
      </c>
    </row>
    <row r="140" spans="1:9" ht="12.75">
      <c r="A140" t="str">
        <f ca="1">IFERROR(__xludf.DUMMYFUNCTION("""COMPUTED_VALUE"""),"T131")</f>
        <v>T131</v>
      </c>
      <c r="B140" t="str">
        <f ca="1">IFERROR(__xludf.DUMMYFUNCTION("""COMPUTED_VALUE"""),"T134")</f>
        <v>T134</v>
      </c>
      <c r="C140" t="str">
        <f ca="1">IFERROR(__xludf.DUMMYFUNCTION("""COMPUTED_VALUE"""),"Doug Ghim")</f>
        <v>Doug Ghim</v>
      </c>
      <c r="D140">
        <f ca="1">IFERROR(__xludf.DUMMYFUNCTION("""COMPUTED_VALUE"""),14)</f>
        <v>14</v>
      </c>
      <c r="E140">
        <f ca="1">IFERROR(__xludf.DUMMYFUNCTION("""COMPUTED_VALUE"""),18.18)</f>
        <v>18.18</v>
      </c>
      <c r="F140">
        <f ca="1">IFERROR(__xludf.DUMMYFUNCTION("""COMPUTED_VALUE"""),4)</f>
        <v>4</v>
      </c>
      <c r="G140">
        <f ca="1">IFERROR(__xludf.DUMMYFUNCTION("""COMPUTED_VALUE"""),22)</f>
        <v>22</v>
      </c>
      <c r="H140">
        <f ca="1">IFERROR(__xludf.DUMMYFUNCTION("""COMPUTED_VALUE"""),-4)</f>
        <v>-4</v>
      </c>
      <c r="I140">
        <f ca="1">IFERROR(__xludf.DUMMYFUNCTION("""COMPUTED_VALUE"""),-3)</f>
        <v>-3</v>
      </c>
    </row>
    <row r="141" spans="1:9" ht="12.75">
      <c r="A141" t="str">
        <f ca="1">IFERROR(__xludf.DUMMYFUNCTION("""COMPUTED_VALUE"""),"T140")</f>
        <v>T140</v>
      </c>
      <c r="B141">
        <f ca="1">IFERROR(__xludf.DUMMYFUNCTION("""COMPUTED_VALUE"""),164)</f>
        <v>164</v>
      </c>
      <c r="C141" t="str">
        <f ca="1">IFERROR(__xludf.DUMMYFUNCTION("""COMPUTED_VALUE"""),"Scott Piercy")</f>
        <v>Scott Piercy</v>
      </c>
      <c r="D141">
        <f ca="1">IFERROR(__xludf.DUMMYFUNCTION("""COMPUTED_VALUE"""),18)</f>
        <v>18</v>
      </c>
      <c r="E141">
        <f ca="1">IFERROR(__xludf.DUMMYFUNCTION("""COMPUTED_VALUE"""),17.95)</f>
        <v>17.95</v>
      </c>
      <c r="F141">
        <f ca="1">IFERROR(__xludf.DUMMYFUNCTION("""COMPUTED_VALUE"""),7)</f>
        <v>7</v>
      </c>
      <c r="G141">
        <f ca="1">IFERROR(__xludf.DUMMYFUNCTION("""COMPUTED_VALUE"""),39)</f>
        <v>39</v>
      </c>
      <c r="H141">
        <f ca="1">IFERROR(__xludf.DUMMYFUNCTION("""COMPUTED_VALUE"""),-5)</f>
        <v>-5</v>
      </c>
      <c r="I141">
        <f ca="1">IFERROR(__xludf.DUMMYFUNCTION("""COMPUTED_VALUE"""),-2)</f>
        <v>-2</v>
      </c>
    </row>
    <row r="142" spans="1:9" ht="12.75">
      <c r="A142" t="str">
        <f ca="1">IFERROR(__xludf.DUMMYFUNCTION("""COMPUTED_VALUE"""),"T140")</f>
        <v>T140</v>
      </c>
      <c r="B142" t="str">
        <f ca="1">IFERROR(__xludf.DUMMYFUNCTION("""COMPUTED_VALUE"""),"T127")</f>
        <v>T127</v>
      </c>
      <c r="C142" t="str">
        <f ca="1">IFERROR(__xludf.DUMMYFUNCTION("""COMPUTED_VALUE"""),"Cameron Tringale")</f>
        <v>Cameron Tringale</v>
      </c>
      <c r="D142">
        <f ca="1">IFERROR(__xludf.DUMMYFUNCTION("""COMPUTED_VALUE"""),16)</f>
        <v>16</v>
      </c>
      <c r="E142">
        <f ca="1">IFERROR(__xludf.DUMMYFUNCTION("""COMPUTED_VALUE"""),17.95)</f>
        <v>17.95</v>
      </c>
      <c r="F142">
        <f ca="1">IFERROR(__xludf.DUMMYFUNCTION("""COMPUTED_VALUE"""),7)</f>
        <v>7</v>
      </c>
      <c r="G142">
        <f ca="1">IFERROR(__xludf.DUMMYFUNCTION("""COMPUTED_VALUE"""),39)</f>
        <v>39</v>
      </c>
      <c r="H142">
        <f ca="1">IFERROR(__xludf.DUMMYFUNCTION("""COMPUTED_VALUE"""),-7)</f>
        <v>-7</v>
      </c>
      <c r="I142">
        <f ca="1">IFERROR(__xludf.DUMMYFUNCTION("""COMPUTED_VALUE"""),-9)</f>
        <v>-9</v>
      </c>
    </row>
    <row r="143" spans="1:9" ht="12.75">
      <c r="A143">
        <f ca="1">IFERROR(__xludf.DUMMYFUNCTION("""COMPUTED_VALUE"""),142)</f>
        <v>142</v>
      </c>
      <c r="B143" t="str">
        <f ca="1">IFERROR(__xludf.DUMMYFUNCTION("""COMPUTED_VALUE"""),"T151")</f>
        <v>T151</v>
      </c>
      <c r="C143" t="str">
        <f ca="1">IFERROR(__xludf.DUMMYFUNCTION("""COMPUTED_VALUE"""),"Tom Hoge")</f>
        <v>Tom Hoge</v>
      </c>
      <c r="D143">
        <f ca="1">IFERROR(__xludf.DUMMYFUNCTION("""COMPUTED_VALUE"""),22)</f>
        <v>22</v>
      </c>
      <c r="E143">
        <f ca="1">IFERROR(__xludf.DUMMYFUNCTION("""COMPUTED_VALUE"""),17.86)</f>
        <v>17.86</v>
      </c>
      <c r="F143">
        <f ca="1">IFERROR(__xludf.DUMMYFUNCTION("""COMPUTED_VALUE"""),10)</f>
        <v>10</v>
      </c>
      <c r="G143">
        <f ca="1">IFERROR(__xludf.DUMMYFUNCTION("""COMPUTED_VALUE"""),56)</f>
        <v>56</v>
      </c>
      <c r="H143">
        <f ca="1">IFERROR(__xludf.DUMMYFUNCTION("""COMPUTED_VALUE"""),-10)</f>
        <v>-10</v>
      </c>
      <c r="I143">
        <f ca="1">IFERROR(__xludf.DUMMYFUNCTION("""COMPUTED_VALUE"""),-8)</f>
        <v>-8</v>
      </c>
    </row>
    <row r="144" spans="1:9" ht="12.75">
      <c r="A144" t="str">
        <f ca="1">IFERROR(__xludf.DUMMYFUNCTION("""COMPUTED_VALUE"""),"T143")</f>
        <v>T143</v>
      </c>
      <c r="B144" t="str">
        <f ca="1">IFERROR(__xludf.DUMMYFUNCTION("""COMPUTED_VALUE"""),"T22")</f>
        <v>T22</v>
      </c>
      <c r="C144" t="str">
        <f ca="1">IFERROR(__xludf.DUMMYFUNCTION("""COMPUTED_VALUE"""),"Dustin Johnson")</f>
        <v>Dustin Johnson</v>
      </c>
      <c r="D144">
        <f ca="1">IFERROR(__xludf.DUMMYFUNCTION("""COMPUTED_VALUE"""),8)</f>
        <v>8</v>
      </c>
      <c r="E144">
        <f ca="1">IFERROR(__xludf.DUMMYFUNCTION("""COMPUTED_VALUE"""),17.65)</f>
        <v>17.649999999999999</v>
      </c>
      <c r="F144">
        <f ca="1">IFERROR(__xludf.DUMMYFUNCTION("""COMPUTED_VALUE"""),3)</f>
        <v>3</v>
      </c>
      <c r="G144">
        <f ca="1">IFERROR(__xludf.DUMMYFUNCTION("""COMPUTED_VALUE"""),17)</f>
        <v>17</v>
      </c>
      <c r="H144">
        <f ca="1">IFERROR(__xludf.DUMMYFUNCTION("""COMPUTED_VALUE"""),-2)</f>
        <v>-2</v>
      </c>
      <c r="I144">
        <f ca="1">IFERROR(__xludf.DUMMYFUNCTION("""COMPUTED_VALUE"""),-1)</f>
        <v>-1</v>
      </c>
    </row>
    <row r="145" spans="1:9" ht="12.75">
      <c r="A145" t="str">
        <f ca="1">IFERROR(__xludf.DUMMYFUNCTION("""COMPUTED_VALUE"""),"T143")</f>
        <v>T143</v>
      </c>
      <c r="B145" t="str">
        <f ca="1">IFERROR(__xludf.DUMMYFUNCTION("""COMPUTED_VALUE"""),"T111")</f>
        <v>T111</v>
      </c>
      <c r="C145" t="str">
        <f ca="1">IFERROR(__xludf.DUMMYFUNCTION("""COMPUTED_VALUE"""),"Kevin Tway")</f>
        <v>Kevin Tway</v>
      </c>
      <c r="D145">
        <f ca="1">IFERROR(__xludf.DUMMYFUNCTION("""COMPUTED_VALUE"""),16)</f>
        <v>16</v>
      </c>
      <c r="E145">
        <f ca="1">IFERROR(__xludf.DUMMYFUNCTION("""COMPUTED_VALUE"""),17.65)</f>
        <v>17.649999999999999</v>
      </c>
      <c r="F145">
        <f ca="1">IFERROR(__xludf.DUMMYFUNCTION("""COMPUTED_VALUE"""),3)</f>
        <v>3</v>
      </c>
      <c r="G145">
        <f ca="1">IFERROR(__xludf.DUMMYFUNCTION("""COMPUTED_VALUE"""),17)</f>
        <v>17</v>
      </c>
      <c r="H145">
        <f ca="1">IFERROR(__xludf.DUMMYFUNCTION("""COMPUTED_VALUE"""),-2)</f>
        <v>-2</v>
      </c>
      <c r="I145">
        <f ca="1">IFERROR(__xludf.DUMMYFUNCTION("""COMPUTED_VALUE"""),-4)</f>
        <v>-4</v>
      </c>
    </row>
    <row r="146" spans="1:9" ht="12.75">
      <c r="A146">
        <f ca="1">IFERROR(__xludf.DUMMYFUNCTION("""COMPUTED_VALUE"""),145)</f>
        <v>145</v>
      </c>
      <c r="B146" t="str">
        <f ca="1">IFERROR(__xludf.DUMMYFUNCTION("""COMPUTED_VALUE"""),"T149")</f>
        <v>T149</v>
      </c>
      <c r="C146" t="str">
        <f ca="1">IFERROR(__xludf.DUMMYFUNCTION("""COMPUTED_VALUE"""),"Patrick Cantlay")</f>
        <v>Patrick Cantlay</v>
      </c>
      <c r="D146">
        <f ca="1">IFERROR(__xludf.DUMMYFUNCTION("""COMPUTED_VALUE"""),16)</f>
        <v>16</v>
      </c>
      <c r="E146">
        <f ca="1">IFERROR(__xludf.DUMMYFUNCTION("""COMPUTED_VALUE"""),16.98)</f>
        <v>16.98</v>
      </c>
      <c r="F146">
        <f ca="1">IFERROR(__xludf.DUMMYFUNCTION("""COMPUTED_VALUE"""),9)</f>
        <v>9</v>
      </c>
      <c r="G146">
        <f ca="1">IFERROR(__xludf.DUMMYFUNCTION("""COMPUTED_VALUE"""),53)</f>
        <v>53</v>
      </c>
      <c r="H146">
        <f ca="1">IFERROR(__xludf.DUMMYFUNCTION("""COMPUTED_VALUE"""),-9)</f>
        <v>-9</v>
      </c>
      <c r="I146">
        <f ca="1">IFERROR(__xludf.DUMMYFUNCTION("""COMPUTED_VALUE"""),-1)</f>
        <v>-1</v>
      </c>
    </row>
    <row r="147" spans="1:9" ht="12.75">
      <c r="A147" t="str">
        <f ca="1">IFERROR(__xludf.DUMMYFUNCTION("""COMPUTED_VALUE"""),"T146")</f>
        <v>T146</v>
      </c>
      <c r="B147" t="str">
        <f ca="1">IFERROR(__xludf.DUMMYFUNCTION("""COMPUTED_VALUE"""),"T151")</f>
        <v>T151</v>
      </c>
      <c r="C147" t="str">
        <f ca="1">IFERROR(__xludf.DUMMYFUNCTION("""COMPUTED_VALUE"""),"Aaron Baddeley")</f>
        <v>Aaron Baddeley</v>
      </c>
      <c r="D147">
        <f ca="1">IFERROR(__xludf.DUMMYFUNCTION("""COMPUTED_VALUE"""),8)</f>
        <v>8</v>
      </c>
      <c r="E147">
        <f ca="1">IFERROR(__xludf.DUMMYFUNCTION("""COMPUTED_VALUE"""),16.67)</f>
        <v>16.670000000000002</v>
      </c>
      <c r="F147">
        <f ca="1">IFERROR(__xludf.DUMMYFUNCTION("""COMPUTED_VALUE"""),1)</f>
        <v>1</v>
      </c>
      <c r="G147">
        <f ca="1">IFERROR(__xludf.DUMMYFUNCTION("""COMPUTED_VALUE"""),6)</f>
        <v>6</v>
      </c>
      <c r="H147">
        <f ca="1">IFERROR(__xludf.DUMMYFUNCTION("""COMPUTED_VALUE"""),-1)</f>
        <v>-1</v>
      </c>
      <c r="I147">
        <f ca="1">IFERROR(__xludf.DUMMYFUNCTION("""COMPUTED_VALUE"""),-2)</f>
        <v>-2</v>
      </c>
    </row>
    <row r="148" spans="1:9" ht="12.75">
      <c r="A148" t="str">
        <f ca="1">IFERROR(__xludf.DUMMYFUNCTION("""COMPUTED_VALUE"""),"T146")</f>
        <v>T146</v>
      </c>
      <c r="B148" t="str">
        <f ca="1">IFERROR(__xludf.DUMMYFUNCTION("""COMPUTED_VALUE"""),"T151")</f>
        <v>T151</v>
      </c>
      <c r="C148" t="str">
        <f ca="1">IFERROR(__xludf.DUMMYFUNCTION("""COMPUTED_VALUE"""),"Jonathan Byrd")</f>
        <v>Jonathan Byrd</v>
      </c>
      <c r="D148">
        <f ca="1">IFERROR(__xludf.DUMMYFUNCTION("""COMPUTED_VALUE"""),14)</f>
        <v>14</v>
      </c>
      <c r="E148">
        <f ca="1">IFERROR(__xludf.DUMMYFUNCTION("""COMPUTED_VALUE"""),16.67)</f>
        <v>16.670000000000002</v>
      </c>
      <c r="F148">
        <f ca="1">IFERROR(__xludf.DUMMYFUNCTION("""COMPUTED_VALUE"""),1)</f>
        <v>1</v>
      </c>
      <c r="G148">
        <f ca="1">IFERROR(__xludf.DUMMYFUNCTION("""COMPUTED_VALUE"""),6)</f>
        <v>6</v>
      </c>
      <c r="H148" t="str">
        <f ca="1">IFERROR(__xludf.DUMMYFUNCTION("""COMPUTED_VALUE"""),"E")</f>
        <v>E</v>
      </c>
      <c r="I148">
        <f ca="1">IFERROR(__xludf.DUMMYFUNCTION("""COMPUTED_VALUE"""),-2)</f>
        <v>-2</v>
      </c>
    </row>
    <row r="149" spans="1:9" ht="12.75">
      <c r="A149" t="str">
        <f ca="1">IFERROR(__xludf.DUMMYFUNCTION("""COMPUTED_VALUE"""),"T146")</f>
        <v>T146</v>
      </c>
      <c r="B149">
        <f ca="1">IFERROR(__xludf.DUMMYFUNCTION("""COMPUTED_VALUE"""),129)</f>
        <v>129</v>
      </c>
      <c r="C149" t="str">
        <f ca="1">IFERROR(__xludf.DUMMYFUNCTION("""COMPUTED_VALUE"""),"Matt Jones")</f>
        <v>Matt Jones</v>
      </c>
      <c r="D149">
        <f ca="1">IFERROR(__xludf.DUMMYFUNCTION("""COMPUTED_VALUE"""),20)</f>
        <v>20</v>
      </c>
      <c r="E149">
        <f ca="1">IFERROR(__xludf.DUMMYFUNCTION("""COMPUTED_VALUE"""),16.67)</f>
        <v>16.670000000000002</v>
      </c>
      <c r="F149">
        <f ca="1">IFERROR(__xludf.DUMMYFUNCTION("""COMPUTED_VALUE"""),5)</f>
        <v>5</v>
      </c>
      <c r="G149">
        <f ca="1">IFERROR(__xludf.DUMMYFUNCTION("""COMPUTED_VALUE"""),30)</f>
        <v>30</v>
      </c>
      <c r="H149">
        <f ca="1">IFERROR(__xludf.DUMMYFUNCTION("""COMPUTED_VALUE"""),-6)</f>
        <v>-6</v>
      </c>
      <c r="I149">
        <f ca="1">IFERROR(__xludf.DUMMYFUNCTION("""COMPUTED_VALUE"""),-1)</f>
        <v>-1</v>
      </c>
    </row>
    <row r="150" spans="1:9" ht="12.75">
      <c r="A150" t="str">
        <f ca="1">IFERROR(__xludf.DUMMYFUNCTION("""COMPUTED_VALUE"""),"T146")</f>
        <v>T146</v>
      </c>
      <c r="B150" t="str">
        <f ca="1">IFERROR(__xludf.DUMMYFUNCTION("""COMPUTED_VALUE"""),"T134")</f>
        <v>T134</v>
      </c>
      <c r="C150" t="str">
        <f ca="1">IFERROR(__xludf.DUMMYFUNCTION("""COMPUTED_VALUE"""),"Alex Noren")</f>
        <v>Alex Noren</v>
      </c>
      <c r="D150">
        <f ca="1">IFERROR(__xludf.DUMMYFUNCTION("""COMPUTED_VALUE"""),14)</f>
        <v>14</v>
      </c>
      <c r="E150">
        <f ca="1">IFERROR(__xludf.DUMMYFUNCTION("""COMPUTED_VALUE"""),16.67)</f>
        <v>16.670000000000002</v>
      </c>
      <c r="F150">
        <f ca="1">IFERROR(__xludf.DUMMYFUNCTION("""COMPUTED_VALUE"""),6)</f>
        <v>6</v>
      </c>
      <c r="G150">
        <f ca="1">IFERROR(__xludf.DUMMYFUNCTION("""COMPUTED_VALUE"""),36)</f>
        <v>36</v>
      </c>
      <c r="H150">
        <f ca="1">IFERROR(__xludf.DUMMYFUNCTION("""COMPUTED_VALUE"""),-5)</f>
        <v>-5</v>
      </c>
      <c r="I150">
        <f ca="1">IFERROR(__xludf.DUMMYFUNCTION("""COMPUTED_VALUE"""),-2)</f>
        <v>-2</v>
      </c>
    </row>
    <row r="151" spans="1:9" ht="12.75">
      <c r="A151" t="str">
        <f ca="1">IFERROR(__xludf.DUMMYFUNCTION("""COMPUTED_VALUE"""),"T146")</f>
        <v>T146</v>
      </c>
      <c r="B151" t="str">
        <f ca="1">IFERROR(__xludf.DUMMYFUNCTION("""COMPUTED_VALUE"""),"T151")</f>
        <v>T151</v>
      </c>
      <c r="C151" t="str">
        <f ca="1">IFERROR(__xludf.DUMMYFUNCTION("""COMPUTED_VALUE"""),"Ryan Blaum")</f>
        <v>Ryan Blaum</v>
      </c>
      <c r="D151">
        <f ca="1">IFERROR(__xludf.DUMMYFUNCTION("""COMPUTED_VALUE"""),8)</f>
        <v>8</v>
      </c>
      <c r="E151">
        <f ca="1">IFERROR(__xludf.DUMMYFUNCTION("""COMPUTED_VALUE"""),16.67)</f>
        <v>16.670000000000002</v>
      </c>
      <c r="F151">
        <f ca="1">IFERROR(__xludf.DUMMYFUNCTION("""COMPUTED_VALUE"""),1)</f>
        <v>1</v>
      </c>
      <c r="G151">
        <f ca="1">IFERROR(__xludf.DUMMYFUNCTION("""COMPUTED_VALUE"""),6)</f>
        <v>6</v>
      </c>
      <c r="H151" t="str">
        <f ca="1">IFERROR(__xludf.DUMMYFUNCTION("""COMPUTED_VALUE"""),"E")</f>
        <v>E</v>
      </c>
      <c r="I151">
        <f ca="1">IFERROR(__xludf.DUMMYFUNCTION("""COMPUTED_VALUE"""),-1)</f>
        <v>-1</v>
      </c>
    </row>
    <row r="152" spans="1:9" ht="12.75">
      <c r="A152" t="str">
        <f ca="1">IFERROR(__xludf.DUMMYFUNCTION("""COMPUTED_VALUE"""),"T146")</f>
        <v>T146</v>
      </c>
      <c r="B152" t="str">
        <f ca="1">IFERROR(__xludf.DUMMYFUNCTION("""COMPUTED_VALUE"""),"T151")</f>
        <v>T151</v>
      </c>
      <c r="C152" t="str">
        <f ca="1">IFERROR(__xludf.DUMMYFUNCTION("""COMPUTED_VALUE"""),"Seamus Power")</f>
        <v>Seamus Power</v>
      </c>
      <c r="D152">
        <f ca="1">IFERROR(__xludf.DUMMYFUNCTION("""COMPUTED_VALUE"""),8)</f>
        <v>8</v>
      </c>
      <c r="E152">
        <f ca="1">IFERROR(__xludf.DUMMYFUNCTION("""COMPUTED_VALUE"""),16.67)</f>
        <v>16.670000000000002</v>
      </c>
      <c r="F152">
        <f ca="1">IFERROR(__xludf.DUMMYFUNCTION("""COMPUTED_VALUE"""),1)</f>
        <v>1</v>
      </c>
      <c r="G152">
        <f ca="1">IFERROR(__xludf.DUMMYFUNCTION("""COMPUTED_VALUE"""),6)</f>
        <v>6</v>
      </c>
      <c r="H152" t="str">
        <f ca="1">IFERROR(__xludf.DUMMYFUNCTION("""COMPUTED_VALUE"""),"E")</f>
        <v>E</v>
      </c>
      <c r="I152" t="str">
        <f ca="1">IFERROR(__xludf.DUMMYFUNCTION("""COMPUTED_VALUE"""),"E")</f>
        <v>E</v>
      </c>
    </row>
    <row r="153" spans="1:9" ht="12.75">
      <c r="A153" t="str">
        <f ca="1">IFERROR(__xludf.DUMMYFUNCTION("""COMPUTED_VALUE"""),"T146")</f>
        <v>T146</v>
      </c>
      <c r="B153" t="str">
        <f ca="1">IFERROR(__xludf.DUMMYFUNCTION("""COMPUTED_VALUE"""),"T151")</f>
        <v>T151</v>
      </c>
      <c r="C153" t="str">
        <f ca="1">IFERROR(__xludf.DUMMYFUNCTION("""COMPUTED_VALUE"""),"Matt Every")</f>
        <v>Matt Every</v>
      </c>
      <c r="D153">
        <f ca="1">IFERROR(__xludf.DUMMYFUNCTION("""COMPUTED_VALUE"""),8)</f>
        <v>8</v>
      </c>
      <c r="E153">
        <f ca="1">IFERROR(__xludf.DUMMYFUNCTION("""COMPUTED_VALUE"""),16.67)</f>
        <v>16.670000000000002</v>
      </c>
      <c r="F153">
        <f ca="1">IFERROR(__xludf.DUMMYFUNCTION("""COMPUTED_VALUE"""),1)</f>
        <v>1</v>
      </c>
      <c r="G153">
        <f ca="1">IFERROR(__xludf.DUMMYFUNCTION("""COMPUTED_VALUE"""),6)</f>
        <v>6</v>
      </c>
      <c r="H153">
        <f ca="1">IFERROR(__xludf.DUMMYFUNCTION("""COMPUTED_VALUE"""),-1)</f>
        <v>-1</v>
      </c>
      <c r="I153">
        <f ca="1">IFERROR(__xludf.DUMMYFUNCTION("""COMPUTED_VALUE"""),-1)</f>
        <v>-1</v>
      </c>
    </row>
    <row r="154" spans="1:9" ht="12.75">
      <c r="A154" t="str">
        <f ca="1">IFERROR(__xludf.DUMMYFUNCTION("""COMPUTED_VALUE"""),"T146")</f>
        <v>T146</v>
      </c>
      <c r="B154" t="str">
        <f ca="1">IFERROR(__xludf.DUMMYFUNCTION("""COMPUTED_VALUE"""),"T144")</f>
        <v>T144</v>
      </c>
      <c r="C154" t="str">
        <f ca="1">IFERROR(__xludf.DUMMYFUNCTION("""COMPUTED_VALUE"""),"Brian Stuard")</f>
        <v>Brian Stuard</v>
      </c>
      <c r="D154">
        <f ca="1">IFERROR(__xludf.DUMMYFUNCTION("""COMPUTED_VALUE"""),18)</f>
        <v>18</v>
      </c>
      <c r="E154">
        <f ca="1">IFERROR(__xludf.DUMMYFUNCTION("""COMPUTED_VALUE"""),16.67)</f>
        <v>16.670000000000002</v>
      </c>
      <c r="F154">
        <f ca="1">IFERROR(__xludf.DUMMYFUNCTION("""COMPUTED_VALUE"""),3)</f>
        <v>3</v>
      </c>
      <c r="G154">
        <f ca="1">IFERROR(__xludf.DUMMYFUNCTION("""COMPUTED_VALUE"""),18)</f>
        <v>18</v>
      </c>
      <c r="H154">
        <f ca="1">IFERROR(__xludf.DUMMYFUNCTION("""COMPUTED_VALUE"""),-2)</f>
        <v>-2</v>
      </c>
      <c r="I154">
        <f ca="1">IFERROR(__xludf.DUMMYFUNCTION("""COMPUTED_VALUE"""),-8)</f>
        <v>-8</v>
      </c>
    </row>
    <row r="155" spans="1:9" ht="12.75">
      <c r="A155" t="str">
        <f ca="1">IFERROR(__xludf.DUMMYFUNCTION("""COMPUTED_VALUE"""),"T146")</f>
        <v>T146</v>
      </c>
      <c r="B155" t="str">
        <f ca="1">IFERROR(__xludf.DUMMYFUNCTION("""COMPUTED_VALUE"""),"T196")</f>
        <v>T196</v>
      </c>
      <c r="C155" t="str">
        <f ca="1">IFERROR(__xludf.DUMMYFUNCTION("""COMPUTED_VALUE"""),"Satoshi Kodaira")</f>
        <v>Satoshi Kodaira</v>
      </c>
      <c r="D155">
        <f ca="1">IFERROR(__xludf.DUMMYFUNCTION("""COMPUTED_VALUE"""),12)</f>
        <v>12</v>
      </c>
      <c r="E155">
        <f ca="1">IFERROR(__xludf.DUMMYFUNCTION("""COMPUTED_VALUE"""),16.67)</f>
        <v>16.670000000000002</v>
      </c>
      <c r="F155">
        <f ca="1">IFERROR(__xludf.DUMMYFUNCTION("""COMPUTED_VALUE"""),4)</f>
        <v>4</v>
      </c>
      <c r="G155">
        <f ca="1">IFERROR(__xludf.DUMMYFUNCTION("""COMPUTED_VALUE"""),24)</f>
        <v>24</v>
      </c>
      <c r="H155">
        <f ca="1">IFERROR(__xludf.DUMMYFUNCTION("""COMPUTED_VALUE"""),-2)</f>
        <v>-2</v>
      </c>
      <c r="I155" t="str">
        <f ca="1">IFERROR(__xludf.DUMMYFUNCTION("""COMPUTED_VALUE"""),"+1.00")</f>
        <v>+1.00</v>
      </c>
    </row>
    <row r="156" spans="1:9" ht="12.75">
      <c r="A156" t="str">
        <f ca="1">IFERROR(__xludf.DUMMYFUNCTION("""COMPUTED_VALUE"""),"T146")</f>
        <v>T146</v>
      </c>
      <c r="B156" t="str">
        <f ca="1">IFERROR(__xludf.DUMMYFUNCTION("""COMPUTED_VALUE"""),"T184")</f>
        <v>T184</v>
      </c>
      <c r="C156" t="str">
        <f ca="1">IFERROR(__xludf.DUMMYFUNCTION("""COMPUTED_VALUE"""),"Hudson Swafford")</f>
        <v>Hudson Swafford</v>
      </c>
      <c r="D156">
        <f ca="1">IFERROR(__xludf.DUMMYFUNCTION("""COMPUTED_VALUE"""),18)</f>
        <v>18</v>
      </c>
      <c r="E156">
        <f ca="1">IFERROR(__xludf.DUMMYFUNCTION("""COMPUTED_VALUE"""),16.67)</f>
        <v>16.670000000000002</v>
      </c>
      <c r="F156">
        <f ca="1">IFERROR(__xludf.DUMMYFUNCTION("""COMPUTED_VALUE"""),4)</f>
        <v>4</v>
      </c>
      <c r="G156">
        <f ca="1">IFERROR(__xludf.DUMMYFUNCTION("""COMPUTED_VALUE"""),24)</f>
        <v>24</v>
      </c>
      <c r="H156">
        <f ca="1">IFERROR(__xludf.DUMMYFUNCTION("""COMPUTED_VALUE"""),-2)</f>
        <v>-2</v>
      </c>
      <c r="I156" t="str">
        <f ca="1">IFERROR(__xludf.DUMMYFUNCTION("""COMPUTED_VALUE"""),"+1.00")</f>
        <v>+1.00</v>
      </c>
    </row>
    <row r="157" spans="1:9" ht="12.75">
      <c r="A157" t="str">
        <f ca="1">IFERROR(__xludf.DUMMYFUNCTION("""COMPUTED_VALUE"""),"T146")</f>
        <v>T146</v>
      </c>
      <c r="B157" t="str">
        <f ca="1">IFERROR(__xludf.DUMMYFUNCTION("""COMPUTED_VALUE"""),"T151")</f>
        <v>T151</v>
      </c>
      <c r="C157" t="str">
        <f ca="1">IFERROR(__xludf.DUMMYFUNCTION("""COMPUTED_VALUE"""),"Chan Kim")</f>
        <v>Chan Kim</v>
      </c>
      <c r="D157">
        <f ca="1">IFERROR(__xludf.DUMMYFUNCTION("""COMPUTED_VALUE"""),6)</f>
        <v>6</v>
      </c>
      <c r="E157">
        <f ca="1">IFERROR(__xludf.DUMMYFUNCTION("""COMPUTED_VALUE"""),16.67)</f>
        <v>16.670000000000002</v>
      </c>
      <c r="F157">
        <f ca="1">IFERROR(__xludf.DUMMYFUNCTION("""COMPUTED_VALUE"""),2)</f>
        <v>2</v>
      </c>
      <c r="G157">
        <f ca="1">IFERROR(__xludf.DUMMYFUNCTION("""COMPUTED_VALUE"""),12)</f>
        <v>12</v>
      </c>
      <c r="H157">
        <f ca="1">IFERROR(__xludf.DUMMYFUNCTION("""COMPUTED_VALUE"""),-2)</f>
        <v>-2</v>
      </c>
      <c r="I157">
        <f ca="1">IFERROR(__xludf.DUMMYFUNCTION("""COMPUTED_VALUE"""),-5)</f>
        <v>-5</v>
      </c>
    </row>
    <row r="158" spans="1:9" ht="12.75">
      <c r="A158" t="str">
        <f ca="1">IFERROR(__xludf.DUMMYFUNCTION("""COMPUTED_VALUE"""),"T146")</f>
        <v>T146</v>
      </c>
      <c r="B158" t="str">
        <f ca="1">IFERROR(__xludf.DUMMYFUNCTION("""COMPUTED_VALUE"""),"T151")</f>
        <v>T151</v>
      </c>
      <c r="C158" t="str">
        <f ca="1">IFERROR(__xludf.DUMMYFUNCTION("""COMPUTED_VALUE"""),"Stephan Jaeger")</f>
        <v>Stephan Jaeger</v>
      </c>
      <c r="D158">
        <f ca="1">IFERROR(__xludf.DUMMYFUNCTION("""COMPUTED_VALUE"""),4)</f>
        <v>4</v>
      </c>
      <c r="E158">
        <f ca="1">IFERROR(__xludf.DUMMYFUNCTION("""COMPUTED_VALUE"""),16.67)</f>
        <v>16.670000000000002</v>
      </c>
      <c r="F158">
        <f ca="1">IFERROR(__xludf.DUMMYFUNCTION("""COMPUTED_VALUE"""),1)</f>
        <v>1</v>
      </c>
      <c r="G158">
        <f ca="1">IFERROR(__xludf.DUMMYFUNCTION("""COMPUTED_VALUE"""),6)</f>
        <v>6</v>
      </c>
      <c r="H158">
        <f ca="1">IFERROR(__xludf.DUMMYFUNCTION("""COMPUTED_VALUE"""),-1)</f>
        <v>-1</v>
      </c>
      <c r="I158" t="str">
        <f ca="1">IFERROR(__xludf.DUMMYFUNCTION("""COMPUTED_VALUE"""),"E")</f>
        <v>E</v>
      </c>
    </row>
    <row r="159" spans="1:9" ht="12.75">
      <c r="A159" t="str">
        <f ca="1">IFERROR(__xludf.DUMMYFUNCTION("""COMPUTED_VALUE"""),"T146")</f>
        <v>T146</v>
      </c>
      <c r="B159" t="str">
        <f ca="1">IFERROR(__xludf.DUMMYFUNCTION("""COMPUTED_VALUE"""),"T151")</f>
        <v>T151</v>
      </c>
      <c r="C159" t="str">
        <f ca="1">IFERROR(__xludf.DUMMYFUNCTION("""COMPUTED_VALUE"""),"Lucas Herbert")</f>
        <v>Lucas Herbert</v>
      </c>
      <c r="D159">
        <f ca="1">IFERROR(__xludf.DUMMYFUNCTION("""COMPUTED_VALUE"""),4)</f>
        <v>4</v>
      </c>
      <c r="E159">
        <f ca="1">IFERROR(__xludf.DUMMYFUNCTION("""COMPUTED_VALUE"""),16.67)</f>
        <v>16.670000000000002</v>
      </c>
      <c r="F159">
        <f ca="1">IFERROR(__xludf.DUMMYFUNCTION("""COMPUTED_VALUE"""),1)</f>
        <v>1</v>
      </c>
      <c r="G159">
        <f ca="1">IFERROR(__xludf.DUMMYFUNCTION("""COMPUTED_VALUE"""),6)</f>
        <v>6</v>
      </c>
      <c r="H159">
        <f ca="1">IFERROR(__xludf.DUMMYFUNCTION("""COMPUTED_VALUE"""),-1)</f>
        <v>-1</v>
      </c>
      <c r="I159" t="str">
        <f ca="1">IFERROR(__xludf.DUMMYFUNCTION("""COMPUTED_VALUE"""),"E")</f>
        <v>E</v>
      </c>
    </row>
    <row r="160" spans="1:9" ht="12.75">
      <c r="A160">
        <f ca="1">IFERROR(__xludf.DUMMYFUNCTION("""COMPUTED_VALUE"""),159)</f>
        <v>159</v>
      </c>
      <c r="B160">
        <f ca="1">IFERROR(__xludf.DUMMYFUNCTION("""COMPUTED_VALUE"""),163)</f>
        <v>163</v>
      </c>
      <c r="C160" t="str">
        <f ca="1">IFERROR(__xludf.DUMMYFUNCTION("""COMPUTED_VALUE"""),"Collin Morikawa")</f>
        <v>Collin Morikawa</v>
      </c>
      <c r="D160">
        <f ca="1">IFERROR(__xludf.DUMMYFUNCTION("""COMPUTED_VALUE"""),12)</f>
        <v>12</v>
      </c>
      <c r="E160">
        <f ca="1">IFERROR(__xludf.DUMMYFUNCTION("""COMPUTED_VALUE"""),16.22)</f>
        <v>16.22</v>
      </c>
      <c r="F160">
        <f ca="1">IFERROR(__xludf.DUMMYFUNCTION("""COMPUTED_VALUE"""),6)</f>
        <v>6</v>
      </c>
      <c r="G160">
        <f ca="1">IFERROR(__xludf.DUMMYFUNCTION("""COMPUTED_VALUE"""),37)</f>
        <v>37</v>
      </c>
      <c r="H160">
        <f ca="1">IFERROR(__xludf.DUMMYFUNCTION("""COMPUTED_VALUE"""),-6)</f>
        <v>-6</v>
      </c>
      <c r="I160">
        <f ca="1">IFERROR(__xludf.DUMMYFUNCTION("""COMPUTED_VALUE"""),-3)</f>
        <v>-3</v>
      </c>
    </row>
    <row r="161" spans="1:9" ht="12.75">
      <c r="A161">
        <f ca="1">IFERROR(__xludf.DUMMYFUNCTION("""COMPUTED_VALUE"""),160)</f>
        <v>160</v>
      </c>
      <c r="B161" t="str">
        <f ca="1">IFERROR(__xludf.DUMMYFUNCTION("""COMPUTED_VALUE"""),"T149")</f>
        <v>T149</v>
      </c>
      <c r="C161" t="str">
        <f ca="1">IFERROR(__xludf.DUMMYFUNCTION("""COMPUTED_VALUE"""),"Scottie Scheffler")</f>
        <v>Scottie Scheffler</v>
      </c>
      <c r="D161">
        <f ca="1">IFERROR(__xludf.DUMMYFUNCTION("""COMPUTED_VALUE"""),18)</f>
        <v>18</v>
      </c>
      <c r="E161">
        <f ca="1">IFERROR(__xludf.DUMMYFUNCTION("""COMPUTED_VALUE"""),16.13)</f>
        <v>16.13</v>
      </c>
      <c r="F161">
        <f ca="1">IFERROR(__xludf.DUMMYFUNCTION("""COMPUTED_VALUE"""),10)</f>
        <v>10</v>
      </c>
      <c r="G161">
        <f ca="1">IFERROR(__xludf.DUMMYFUNCTION("""COMPUTED_VALUE"""),62)</f>
        <v>62</v>
      </c>
      <c r="H161">
        <f ca="1">IFERROR(__xludf.DUMMYFUNCTION("""COMPUTED_VALUE"""),-10)</f>
        <v>-10</v>
      </c>
      <c r="I161">
        <f ca="1">IFERROR(__xludf.DUMMYFUNCTION("""COMPUTED_VALUE"""),-1)</f>
        <v>-1</v>
      </c>
    </row>
    <row r="162" spans="1:9" ht="12.75">
      <c r="A162" t="str">
        <f ca="1">IFERROR(__xludf.DUMMYFUNCTION("""COMPUTED_VALUE"""),"T161")</f>
        <v>T161</v>
      </c>
      <c r="B162">
        <f ca="1">IFERROR(__xludf.DUMMYFUNCTION("""COMPUTED_VALUE"""),166)</f>
        <v>166</v>
      </c>
      <c r="C162" t="str">
        <f ca="1">IFERROR(__xludf.DUMMYFUNCTION("""COMPUTED_VALUE"""),"Chez Reavie")</f>
        <v>Chez Reavie</v>
      </c>
      <c r="D162">
        <f ca="1">IFERROR(__xludf.DUMMYFUNCTION("""COMPUTED_VALUE"""),14)</f>
        <v>14</v>
      </c>
      <c r="E162">
        <f ca="1">IFERROR(__xludf.DUMMYFUNCTION("""COMPUTED_VALUE"""),15.79)</f>
        <v>15.79</v>
      </c>
      <c r="F162">
        <f ca="1">IFERROR(__xludf.DUMMYFUNCTION("""COMPUTED_VALUE"""),3)</f>
        <v>3</v>
      </c>
      <c r="G162">
        <f ca="1">IFERROR(__xludf.DUMMYFUNCTION("""COMPUTED_VALUE"""),19)</f>
        <v>19</v>
      </c>
      <c r="H162">
        <f ca="1">IFERROR(__xludf.DUMMYFUNCTION("""COMPUTED_VALUE"""),-2)</f>
        <v>-2</v>
      </c>
      <c r="I162">
        <f ca="1">IFERROR(__xludf.DUMMYFUNCTION("""COMPUTED_VALUE"""),-1)</f>
        <v>-1</v>
      </c>
    </row>
    <row r="163" spans="1:9" ht="12.75">
      <c r="A163" t="str">
        <f ca="1">IFERROR(__xludf.DUMMYFUNCTION("""COMPUTED_VALUE"""),"T161")</f>
        <v>T161</v>
      </c>
      <c r="B163" t="str">
        <f ca="1">IFERROR(__xludf.DUMMYFUNCTION("""COMPUTED_VALUE"""),"T54")</f>
        <v>T54</v>
      </c>
      <c r="C163" t="str">
        <f ca="1">IFERROR(__xludf.DUMMYFUNCTION("""COMPUTED_VALUE"""),"John Huh")</f>
        <v>John Huh</v>
      </c>
      <c r="D163">
        <f ca="1">IFERROR(__xludf.DUMMYFUNCTION("""COMPUTED_VALUE"""),8)</f>
        <v>8</v>
      </c>
      <c r="E163">
        <f ca="1">IFERROR(__xludf.DUMMYFUNCTION("""COMPUTED_VALUE"""),15.79)</f>
        <v>15.79</v>
      </c>
      <c r="F163">
        <f ca="1">IFERROR(__xludf.DUMMYFUNCTION("""COMPUTED_VALUE"""),3)</f>
        <v>3</v>
      </c>
      <c r="G163">
        <f ca="1">IFERROR(__xludf.DUMMYFUNCTION("""COMPUTED_VALUE"""),19)</f>
        <v>19</v>
      </c>
      <c r="H163">
        <f ca="1">IFERROR(__xludf.DUMMYFUNCTION("""COMPUTED_VALUE"""),-2)</f>
        <v>-2</v>
      </c>
      <c r="I163">
        <f ca="1">IFERROR(__xludf.DUMMYFUNCTION("""COMPUTED_VALUE"""),-4)</f>
        <v>-4</v>
      </c>
    </row>
    <row r="164" spans="1:9" ht="12.75">
      <c r="A164" t="str">
        <f ca="1">IFERROR(__xludf.DUMMYFUNCTION("""COMPUTED_VALUE"""),"T161")</f>
        <v>T161</v>
      </c>
      <c r="B164" t="str">
        <f ca="1">IFERROR(__xludf.DUMMYFUNCTION("""COMPUTED_VALUE"""),"T144")</f>
        <v>T144</v>
      </c>
      <c r="C164" t="str">
        <f ca="1">IFERROR(__xludf.DUMMYFUNCTION("""COMPUTED_VALUE"""),"Matthew NeSmith")</f>
        <v>Matthew NeSmith</v>
      </c>
      <c r="D164">
        <f ca="1">IFERROR(__xludf.DUMMYFUNCTION("""COMPUTED_VALUE"""),16)</f>
        <v>16</v>
      </c>
      <c r="E164">
        <f ca="1">IFERROR(__xludf.DUMMYFUNCTION("""COMPUTED_VALUE"""),15.79)</f>
        <v>15.79</v>
      </c>
      <c r="F164">
        <f ca="1">IFERROR(__xludf.DUMMYFUNCTION("""COMPUTED_VALUE"""),6)</f>
        <v>6</v>
      </c>
      <c r="G164">
        <f ca="1">IFERROR(__xludf.DUMMYFUNCTION("""COMPUTED_VALUE"""),38)</f>
        <v>38</v>
      </c>
      <c r="H164">
        <f ca="1">IFERROR(__xludf.DUMMYFUNCTION("""COMPUTED_VALUE"""),-6)</f>
        <v>-6</v>
      </c>
      <c r="I164">
        <f ca="1">IFERROR(__xludf.DUMMYFUNCTION("""COMPUTED_VALUE"""),-1)</f>
        <v>-1</v>
      </c>
    </row>
    <row r="165" spans="1:9" ht="12.75">
      <c r="A165" t="str">
        <f ca="1">IFERROR(__xludf.DUMMYFUNCTION("""COMPUTED_VALUE"""),"T161")</f>
        <v>T161</v>
      </c>
      <c r="B165" t="str">
        <f ca="1">IFERROR(__xludf.DUMMYFUNCTION("""COMPUTED_VALUE"""),"T111")</f>
        <v>T111</v>
      </c>
      <c r="C165" t="str">
        <f ca="1">IFERROR(__xludf.DUMMYFUNCTION("""COMPUTED_VALUE"""),"Max Homa")</f>
        <v>Max Homa</v>
      </c>
      <c r="D165">
        <f ca="1">IFERROR(__xludf.DUMMYFUNCTION("""COMPUTED_VALUE"""),12)</f>
        <v>12</v>
      </c>
      <c r="E165">
        <f ca="1">IFERROR(__xludf.DUMMYFUNCTION("""COMPUTED_VALUE"""),15.79)</f>
        <v>15.79</v>
      </c>
      <c r="F165">
        <f ca="1">IFERROR(__xludf.DUMMYFUNCTION("""COMPUTED_VALUE"""),3)</f>
        <v>3</v>
      </c>
      <c r="G165">
        <f ca="1">IFERROR(__xludf.DUMMYFUNCTION("""COMPUTED_VALUE"""),19)</f>
        <v>19</v>
      </c>
      <c r="H165">
        <f ca="1">IFERROR(__xludf.DUMMYFUNCTION("""COMPUTED_VALUE"""),-4)</f>
        <v>-4</v>
      </c>
      <c r="I165">
        <f ca="1">IFERROR(__xludf.DUMMYFUNCTION("""COMPUTED_VALUE"""),-6)</f>
        <v>-6</v>
      </c>
    </row>
    <row r="166" spans="1:9" ht="12.75">
      <c r="A166" t="str">
        <f ca="1">IFERROR(__xludf.DUMMYFUNCTION("""COMPUTED_VALUE"""),"T165")</f>
        <v>T165</v>
      </c>
      <c r="B166" t="str">
        <f ca="1">IFERROR(__xludf.DUMMYFUNCTION("""COMPUTED_VALUE"""),"T167")</f>
        <v>T167</v>
      </c>
      <c r="C166" t="str">
        <f ca="1">IFERROR(__xludf.DUMMYFUNCTION("""COMPUTED_VALUE"""),"Charl Schwartzel")</f>
        <v>Charl Schwartzel</v>
      </c>
      <c r="D166">
        <f ca="1">IFERROR(__xludf.DUMMYFUNCTION("""COMPUTED_VALUE"""),12)</f>
        <v>12</v>
      </c>
      <c r="E166">
        <f ca="1">IFERROR(__xludf.DUMMYFUNCTION("""COMPUTED_VALUE"""),15.38)</f>
        <v>15.38</v>
      </c>
      <c r="F166">
        <f ca="1">IFERROR(__xludf.DUMMYFUNCTION("""COMPUTED_VALUE"""),4)</f>
        <v>4</v>
      </c>
      <c r="G166">
        <f ca="1">IFERROR(__xludf.DUMMYFUNCTION("""COMPUTED_VALUE"""),26)</f>
        <v>26</v>
      </c>
      <c r="H166">
        <f ca="1">IFERROR(__xludf.DUMMYFUNCTION("""COMPUTED_VALUE"""),-4)</f>
        <v>-4</v>
      </c>
      <c r="I166">
        <f ca="1">IFERROR(__xludf.DUMMYFUNCTION("""COMPUTED_VALUE"""),-7)</f>
        <v>-7</v>
      </c>
    </row>
    <row r="167" spans="1:9" ht="12.75">
      <c r="A167" t="str">
        <f ca="1">IFERROR(__xludf.DUMMYFUNCTION("""COMPUTED_VALUE"""),"T165")</f>
        <v>T165</v>
      </c>
      <c r="B167" t="str">
        <f ca="1">IFERROR(__xludf.DUMMYFUNCTION("""COMPUTED_VALUE"""),"T134")</f>
        <v>T134</v>
      </c>
      <c r="C167" t="str">
        <f ca="1">IFERROR(__xludf.DUMMYFUNCTION("""COMPUTED_VALUE"""),"Graham DeLaet")</f>
        <v>Graham DeLaet</v>
      </c>
      <c r="D167">
        <f ca="1">IFERROR(__xludf.DUMMYFUNCTION("""COMPUTED_VALUE"""),9)</f>
        <v>9</v>
      </c>
      <c r="E167">
        <f ca="1">IFERROR(__xludf.DUMMYFUNCTION("""COMPUTED_VALUE"""),15.38)</f>
        <v>15.38</v>
      </c>
      <c r="F167">
        <f ca="1">IFERROR(__xludf.DUMMYFUNCTION("""COMPUTED_VALUE"""),2)</f>
        <v>2</v>
      </c>
      <c r="G167">
        <f ca="1">IFERROR(__xludf.DUMMYFUNCTION("""COMPUTED_VALUE"""),13)</f>
        <v>13</v>
      </c>
      <c r="H167">
        <f ca="1">IFERROR(__xludf.DUMMYFUNCTION("""COMPUTED_VALUE"""),-2)</f>
        <v>-2</v>
      </c>
      <c r="I167" t="str">
        <f ca="1">IFERROR(__xludf.DUMMYFUNCTION("""COMPUTED_VALUE"""),"+4.00")</f>
        <v>+4.00</v>
      </c>
    </row>
    <row r="168" spans="1:9" ht="12.75">
      <c r="A168" t="str">
        <f ca="1">IFERROR(__xludf.DUMMYFUNCTION("""COMPUTED_VALUE"""),"T165")</f>
        <v>T165</v>
      </c>
      <c r="B168" t="str">
        <f ca="1">IFERROR(__xludf.DUMMYFUNCTION("""COMPUTED_VALUE"""),"T111")</f>
        <v>T111</v>
      </c>
      <c r="C168" t="str">
        <f ca="1">IFERROR(__xludf.DUMMYFUNCTION("""COMPUTED_VALUE"""),"Jamie Lovemark")</f>
        <v>Jamie Lovemark</v>
      </c>
      <c r="D168">
        <f ca="1">IFERROR(__xludf.DUMMYFUNCTION("""COMPUTED_VALUE"""),18)</f>
        <v>18</v>
      </c>
      <c r="E168">
        <f ca="1">IFERROR(__xludf.DUMMYFUNCTION("""COMPUTED_VALUE"""),15.38)</f>
        <v>15.38</v>
      </c>
      <c r="F168">
        <f ca="1">IFERROR(__xludf.DUMMYFUNCTION("""COMPUTED_VALUE"""),4)</f>
        <v>4</v>
      </c>
      <c r="G168">
        <f ca="1">IFERROR(__xludf.DUMMYFUNCTION("""COMPUTED_VALUE"""),26)</f>
        <v>26</v>
      </c>
      <c r="H168">
        <f ca="1">IFERROR(__xludf.DUMMYFUNCTION("""COMPUTED_VALUE"""),-3)</f>
        <v>-3</v>
      </c>
      <c r="I168">
        <f ca="1">IFERROR(__xludf.DUMMYFUNCTION("""COMPUTED_VALUE"""),-1)</f>
        <v>-1</v>
      </c>
    </row>
    <row r="169" spans="1:9" ht="12.75">
      <c r="A169" t="str">
        <f ca="1">IFERROR(__xludf.DUMMYFUNCTION("""COMPUTED_VALUE"""),"T165")</f>
        <v>T165</v>
      </c>
      <c r="B169" t="str">
        <f ca="1">IFERROR(__xludf.DUMMYFUNCTION("""COMPUTED_VALUE"""),"T167")</f>
        <v>T167</v>
      </c>
      <c r="C169" t="str">
        <f ca="1">IFERROR(__xludf.DUMMYFUNCTION("""COMPUTED_VALUE"""),"Chesson Hadley")</f>
        <v>Chesson Hadley</v>
      </c>
      <c r="D169">
        <f ca="1">IFERROR(__xludf.DUMMYFUNCTION("""COMPUTED_VALUE"""),16)</f>
        <v>16</v>
      </c>
      <c r="E169">
        <f ca="1">IFERROR(__xludf.DUMMYFUNCTION("""COMPUTED_VALUE"""),15.38)</f>
        <v>15.38</v>
      </c>
      <c r="F169">
        <f ca="1">IFERROR(__xludf.DUMMYFUNCTION("""COMPUTED_VALUE"""),4)</f>
        <v>4</v>
      </c>
      <c r="G169">
        <f ca="1">IFERROR(__xludf.DUMMYFUNCTION("""COMPUTED_VALUE"""),26)</f>
        <v>26</v>
      </c>
      <c r="H169">
        <f ca="1">IFERROR(__xludf.DUMMYFUNCTION("""COMPUTED_VALUE"""),-5)</f>
        <v>-5</v>
      </c>
      <c r="I169" t="str">
        <f ca="1">IFERROR(__xludf.DUMMYFUNCTION("""COMPUTED_VALUE"""),"E")</f>
        <v>E</v>
      </c>
    </row>
    <row r="170" spans="1:9" ht="12.75">
      <c r="A170">
        <f ca="1">IFERROR(__xludf.DUMMYFUNCTION("""COMPUTED_VALUE"""),169)</f>
        <v>169</v>
      </c>
      <c r="B170" t="str">
        <f ca="1">IFERROR(__xludf.DUMMYFUNCTION("""COMPUTED_VALUE"""),"T151")</f>
        <v>T151</v>
      </c>
      <c r="C170" t="str">
        <f ca="1">IFERROR(__xludf.DUMMYFUNCTION("""COMPUTED_VALUE"""),"Luke Donald")</f>
        <v>Luke Donald</v>
      </c>
      <c r="D170">
        <f ca="1">IFERROR(__xludf.DUMMYFUNCTION("""COMPUTED_VALUE"""),14)</f>
        <v>14</v>
      </c>
      <c r="E170">
        <f ca="1">IFERROR(__xludf.DUMMYFUNCTION("""COMPUTED_VALUE"""),15)</f>
        <v>15</v>
      </c>
      <c r="F170">
        <f ca="1">IFERROR(__xludf.DUMMYFUNCTION("""COMPUTED_VALUE"""),3)</f>
        <v>3</v>
      </c>
      <c r="G170">
        <f ca="1">IFERROR(__xludf.DUMMYFUNCTION("""COMPUTED_VALUE"""),20)</f>
        <v>20</v>
      </c>
      <c r="H170">
        <f ca="1">IFERROR(__xludf.DUMMYFUNCTION("""COMPUTED_VALUE"""),-4)</f>
        <v>-4</v>
      </c>
      <c r="I170">
        <f ca="1">IFERROR(__xludf.DUMMYFUNCTION("""COMPUTED_VALUE"""),-5)</f>
        <v>-5</v>
      </c>
    </row>
    <row r="171" spans="1:9" ht="12.75">
      <c r="A171" t="str">
        <f ca="1">IFERROR(__xludf.DUMMYFUNCTION("""COMPUTED_VALUE"""),"T170")</f>
        <v>T170</v>
      </c>
      <c r="B171" t="str">
        <f ca="1">IFERROR(__xludf.DUMMYFUNCTION("""COMPUTED_VALUE"""),"T172")</f>
        <v>T172</v>
      </c>
      <c r="C171" t="str">
        <f ca="1">IFERROR(__xludf.DUMMYFUNCTION("""COMPUTED_VALUE"""),"Justin Rose")</f>
        <v>Justin Rose</v>
      </c>
      <c r="D171">
        <f ca="1">IFERROR(__xludf.DUMMYFUNCTION("""COMPUTED_VALUE"""),10)</f>
        <v>10</v>
      </c>
      <c r="E171">
        <f ca="1">IFERROR(__xludf.DUMMYFUNCTION("""COMPUTED_VALUE"""),14.81)</f>
        <v>14.81</v>
      </c>
      <c r="F171">
        <f ca="1">IFERROR(__xludf.DUMMYFUNCTION("""COMPUTED_VALUE"""),4)</f>
        <v>4</v>
      </c>
      <c r="G171">
        <f ca="1">IFERROR(__xludf.DUMMYFUNCTION("""COMPUTED_VALUE"""),27)</f>
        <v>27</v>
      </c>
      <c r="H171">
        <f ca="1">IFERROR(__xludf.DUMMYFUNCTION("""COMPUTED_VALUE"""),-5)</f>
        <v>-5</v>
      </c>
      <c r="I171">
        <f ca="1">IFERROR(__xludf.DUMMYFUNCTION("""COMPUTED_VALUE"""),-2)</f>
        <v>-2</v>
      </c>
    </row>
    <row r="172" spans="1:9" ht="12.75">
      <c r="A172" t="str">
        <f ca="1">IFERROR(__xludf.DUMMYFUNCTION("""COMPUTED_VALUE"""),"T170")</f>
        <v>T170</v>
      </c>
      <c r="B172" t="str">
        <f ca="1">IFERROR(__xludf.DUMMYFUNCTION("""COMPUTED_VALUE"""),"T172")</f>
        <v>T172</v>
      </c>
      <c r="C172" t="str">
        <f ca="1">IFERROR(__xludf.DUMMYFUNCTION("""COMPUTED_VALUE"""),"Marc Leishman")</f>
        <v>Marc Leishman</v>
      </c>
      <c r="D172">
        <f ca="1">IFERROR(__xludf.DUMMYFUNCTION("""COMPUTED_VALUE"""),10)</f>
        <v>10</v>
      </c>
      <c r="E172">
        <f ca="1">IFERROR(__xludf.DUMMYFUNCTION("""COMPUTED_VALUE"""),14.81)</f>
        <v>14.81</v>
      </c>
      <c r="F172">
        <f ca="1">IFERROR(__xludf.DUMMYFUNCTION("""COMPUTED_VALUE"""),4)</f>
        <v>4</v>
      </c>
      <c r="G172">
        <f ca="1">IFERROR(__xludf.DUMMYFUNCTION("""COMPUTED_VALUE"""),27)</f>
        <v>27</v>
      </c>
      <c r="H172">
        <f ca="1">IFERROR(__xludf.DUMMYFUNCTION("""COMPUTED_VALUE"""),-4)</f>
        <v>-4</v>
      </c>
      <c r="I172">
        <f ca="1">IFERROR(__xludf.DUMMYFUNCTION("""COMPUTED_VALUE"""),-1)</f>
        <v>-1</v>
      </c>
    </row>
    <row r="173" spans="1:9" ht="12.75">
      <c r="A173" t="str">
        <f ca="1">IFERROR(__xludf.DUMMYFUNCTION("""COMPUTED_VALUE"""),"T170")</f>
        <v>T170</v>
      </c>
      <c r="B173" t="str">
        <f ca="1">IFERROR(__xludf.DUMMYFUNCTION("""COMPUTED_VALUE"""),"T167")</f>
        <v>T167</v>
      </c>
      <c r="C173" t="str">
        <f ca="1">IFERROR(__xludf.DUMMYFUNCTION("""COMPUTED_VALUE"""),"Camilo Villegas")</f>
        <v>Camilo Villegas</v>
      </c>
      <c r="D173">
        <f ca="1">IFERROR(__xludf.DUMMYFUNCTION("""COMPUTED_VALUE"""),14)</f>
        <v>14</v>
      </c>
      <c r="E173">
        <f ca="1">IFERROR(__xludf.DUMMYFUNCTION("""COMPUTED_VALUE"""),14.81)</f>
        <v>14.81</v>
      </c>
      <c r="F173">
        <f ca="1">IFERROR(__xludf.DUMMYFUNCTION("""COMPUTED_VALUE"""),4)</f>
        <v>4</v>
      </c>
      <c r="G173">
        <f ca="1">IFERROR(__xludf.DUMMYFUNCTION("""COMPUTED_VALUE"""),27)</f>
        <v>27</v>
      </c>
      <c r="H173">
        <f ca="1">IFERROR(__xludf.DUMMYFUNCTION("""COMPUTED_VALUE"""),-4)</f>
        <v>-4</v>
      </c>
      <c r="I173" t="str">
        <f ca="1">IFERROR(__xludf.DUMMYFUNCTION("""COMPUTED_VALUE"""),"E")</f>
        <v>E</v>
      </c>
    </row>
    <row r="174" spans="1:9" ht="12.75">
      <c r="A174" t="str">
        <f ca="1">IFERROR(__xludf.DUMMYFUNCTION("""COMPUTED_VALUE"""),"T173")</f>
        <v>T173</v>
      </c>
      <c r="B174">
        <f ca="1">IFERROR(__xludf.DUMMYFUNCTION("""COMPUTED_VALUE"""),186)</f>
        <v>186</v>
      </c>
      <c r="C174" t="str">
        <f ca="1">IFERROR(__xludf.DUMMYFUNCTION("""COMPUTED_VALUE"""),"Phil Mickelson")</f>
        <v>Phil Mickelson</v>
      </c>
      <c r="D174">
        <f ca="1">IFERROR(__xludf.DUMMYFUNCTION("""COMPUTED_VALUE"""),12)</f>
        <v>12</v>
      </c>
      <c r="E174">
        <f ca="1">IFERROR(__xludf.DUMMYFUNCTION("""COMPUTED_VALUE"""),14.71)</f>
        <v>14.71</v>
      </c>
      <c r="F174">
        <f ca="1">IFERROR(__xludf.DUMMYFUNCTION("""COMPUTED_VALUE"""),5)</f>
        <v>5</v>
      </c>
      <c r="G174">
        <f ca="1">IFERROR(__xludf.DUMMYFUNCTION("""COMPUTED_VALUE"""),34)</f>
        <v>34</v>
      </c>
      <c r="H174">
        <f ca="1">IFERROR(__xludf.DUMMYFUNCTION("""COMPUTED_VALUE"""),-5)</f>
        <v>-5</v>
      </c>
      <c r="I174" t="str">
        <f ca="1">IFERROR(__xludf.DUMMYFUNCTION("""COMPUTED_VALUE"""),"+11.00")</f>
        <v>+11.00</v>
      </c>
    </row>
    <row r="175" spans="1:9" ht="12.75">
      <c r="A175" t="str">
        <f ca="1">IFERROR(__xludf.DUMMYFUNCTION("""COMPUTED_VALUE"""),"T173")</f>
        <v>T173</v>
      </c>
      <c r="B175" t="str">
        <f ca="1">IFERROR(__xludf.DUMMYFUNCTION("""COMPUTED_VALUE"""),"T176")</f>
        <v>T176</v>
      </c>
      <c r="C175" t="str">
        <f ca="1">IFERROR(__xludf.DUMMYFUNCTION("""COMPUTED_VALUE"""),"Brandt Snedeker")</f>
        <v>Brandt Snedeker</v>
      </c>
      <c r="D175">
        <f ca="1">IFERROR(__xludf.DUMMYFUNCTION("""COMPUTED_VALUE"""),16)</f>
        <v>16</v>
      </c>
      <c r="E175">
        <f ca="1">IFERROR(__xludf.DUMMYFUNCTION("""COMPUTED_VALUE"""),14.71)</f>
        <v>14.71</v>
      </c>
      <c r="F175">
        <f ca="1">IFERROR(__xludf.DUMMYFUNCTION("""COMPUTED_VALUE"""),5)</f>
        <v>5</v>
      </c>
      <c r="G175">
        <f ca="1">IFERROR(__xludf.DUMMYFUNCTION("""COMPUTED_VALUE"""),34)</f>
        <v>34</v>
      </c>
      <c r="H175">
        <f ca="1">IFERROR(__xludf.DUMMYFUNCTION("""COMPUTED_VALUE"""),-5)</f>
        <v>-5</v>
      </c>
      <c r="I175">
        <f ca="1">IFERROR(__xludf.DUMMYFUNCTION("""COMPUTED_VALUE"""),-3)</f>
        <v>-3</v>
      </c>
    </row>
    <row r="176" spans="1:9" ht="12.75">
      <c r="A176">
        <f ca="1">IFERROR(__xludf.DUMMYFUNCTION("""COMPUTED_VALUE"""),175)</f>
        <v>175</v>
      </c>
      <c r="B176" t="str">
        <f ca="1">IFERROR(__xludf.DUMMYFUNCTION("""COMPUTED_VALUE"""),"T174")</f>
        <v>T174</v>
      </c>
      <c r="C176" t="str">
        <f ca="1">IFERROR(__xludf.DUMMYFUNCTION("""COMPUTED_VALUE"""),"Viktor Hovland")</f>
        <v>Viktor Hovland</v>
      </c>
      <c r="D176">
        <f ca="1">IFERROR(__xludf.DUMMYFUNCTION("""COMPUTED_VALUE"""),16)</f>
        <v>16</v>
      </c>
      <c r="E176">
        <f ca="1">IFERROR(__xludf.DUMMYFUNCTION("""COMPUTED_VALUE"""),14.58)</f>
        <v>14.58</v>
      </c>
      <c r="F176">
        <f ca="1">IFERROR(__xludf.DUMMYFUNCTION("""COMPUTED_VALUE"""),7)</f>
        <v>7</v>
      </c>
      <c r="G176">
        <f ca="1">IFERROR(__xludf.DUMMYFUNCTION("""COMPUTED_VALUE"""),48)</f>
        <v>48</v>
      </c>
      <c r="H176">
        <f ca="1">IFERROR(__xludf.DUMMYFUNCTION("""COMPUTED_VALUE"""),-5)</f>
        <v>-5</v>
      </c>
      <c r="I176" t="str">
        <f ca="1">IFERROR(__xludf.DUMMYFUNCTION("""COMPUTED_VALUE"""),"+2.00")</f>
        <v>+2.00</v>
      </c>
    </row>
    <row r="177" spans="1:9" ht="12.75">
      <c r="A177" t="str">
        <f ca="1">IFERROR(__xludf.DUMMYFUNCTION("""COMPUTED_VALUE"""),"T176")</f>
        <v>T176</v>
      </c>
      <c r="B177" t="str">
        <f ca="1">IFERROR(__xludf.DUMMYFUNCTION("""COMPUTED_VALUE"""),"")</f>
        <v/>
      </c>
      <c r="C177" t="str">
        <f ca="1">IFERROR(__xludf.DUMMYFUNCTION("""COMPUTED_VALUE"""),"Francesco Molinari")</f>
        <v>Francesco Molinari</v>
      </c>
      <c r="D177">
        <f ca="1">IFERROR(__xludf.DUMMYFUNCTION("""COMPUTED_VALUE"""),6)</f>
        <v>6</v>
      </c>
      <c r="E177">
        <f ca="1">IFERROR(__xludf.DUMMYFUNCTION("""COMPUTED_VALUE"""),14.29)</f>
        <v>14.29</v>
      </c>
      <c r="F177">
        <f ca="1">IFERROR(__xludf.DUMMYFUNCTION("""COMPUTED_VALUE"""),2)</f>
        <v>2</v>
      </c>
      <c r="G177">
        <f ca="1">IFERROR(__xludf.DUMMYFUNCTION("""COMPUTED_VALUE"""),14)</f>
        <v>14</v>
      </c>
      <c r="H177">
        <f ca="1">IFERROR(__xludf.DUMMYFUNCTION("""COMPUTED_VALUE"""),-2)</f>
        <v>-2</v>
      </c>
      <c r="I177" t="str">
        <f ca="1">IFERROR(__xludf.DUMMYFUNCTION("""COMPUTED_VALUE"""),"+1.00")</f>
        <v>+1.00</v>
      </c>
    </row>
    <row r="178" spans="1:9" ht="12.75">
      <c r="A178" t="str">
        <f ca="1">IFERROR(__xludf.DUMMYFUNCTION("""COMPUTED_VALUE"""),"T176")</f>
        <v>T176</v>
      </c>
      <c r="B178" t="str">
        <f ca="1">IFERROR(__xludf.DUMMYFUNCTION("""COMPUTED_VALUE"""),"T167")</f>
        <v>T167</v>
      </c>
      <c r="C178" t="str">
        <f ca="1">IFERROR(__xludf.DUMMYFUNCTION("""COMPUTED_VALUE"""),"Jason Dufner")</f>
        <v>Jason Dufner</v>
      </c>
      <c r="D178">
        <f ca="1">IFERROR(__xludf.DUMMYFUNCTION("""COMPUTED_VALUE"""),14)</f>
        <v>14</v>
      </c>
      <c r="E178">
        <f ca="1">IFERROR(__xludf.DUMMYFUNCTION("""COMPUTED_VALUE"""),14.29)</f>
        <v>14.29</v>
      </c>
      <c r="F178">
        <f ca="1">IFERROR(__xludf.DUMMYFUNCTION("""COMPUTED_VALUE"""),2)</f>
        <v>2</v>
      </c>
      <c r="G178">
        <f ca="1">IFERROR(__xludf.DUMMYFUNCTION("""COMPUTED_VALUE"""),14)</f>
        <v>14</v>
      </c>
      <c r="H178">
        <f ca="1">IFERROR(__xludf.DUMMYFUNCTION("""COMPUTED_VALUE"""),-2)</f>
        <v>-2</v>
      </c>
      <c r="I178">
        <f ca="1">IFERROR(__xludf.DUMMYFUNCTION("""COMPUTED_VALUE"""),-5)</f>
        <v>-5</v>
      </c>
    </row>
    <row r="179" spans="1:9" ht="12.75">
      <c r="A179" t="str">
        <f ca="1">IFERROR(__xludf.DUMMYFUNCTION("""COMPUTED_VALUE"""),"T176")</f>
        <v>T176</v>
      </c>
      <c r="B179" t="str">
        <f ca="1">IFERROR(__xludf.DUMMYFUNCTION("""COMPUTED_VALUE"""),"")</f>
        <v/>
      </c>
      <c r="C179" t="str">
        <f ca="1">IFERROR(__xludf.DUMMYFUNCTION("""COMPUTED_VALUE"""),"Justin Harding")</f>
        <v>Justin Harding</v>
      </c>
      <c r="D179">
        <f ca="1">IFERROR(__xludf.DUMMYFUNCTION("""COMPUTED_VALUE"""),6)</f>
        <v>6</v>
      </c>
      <c r="E179">
        <f ca="1">IFERROR(__xludf.DUMMYFUNCTION("""COMPUTED_VALUE"""),14.29)</f>
        <v>14.29</v>
      </c>
      <c r="F179">
        <f ca="1">IFERROR(__xludf.DUMMYFUNCTION("""COMPUTED_VALUE"""),1)</f>
        <v>1</v>
      </c>
      <c r="G179">
        <f ca="1">IFERROR(__xludf.DUMMYFUNCTION("""COMPUTED_VALUE"""),7)</f>
        <v>7</v>
      </c>
      <c r="H179">
        <f ca="1">IFERROR(__xludf.DUMMYFUNCTION("""COMPUTED_VALUE"""),-1)</f>
        <v>-1</v>
      </c>
      <c r="I179">
        <f ca="1">IFERROR(__xludf.DUMMYFUNCTION("""COMPUTED_VALUE"""),-2)</f>
        <v>-2</v>
      </c>
    </row>
    <row r="180" spans="1:9" ht="12.75">
      <c r="A180" t="str">
        <f ca="1">IFERROR(__xludf.DUMMYFUNCTION("""COMPUTED_VALUE"""),"T176")</f>
        <v>T176</v>
      </c>
      <c r="B180">
        <f ca="1">IFERROR(__xludf.DUMMYFUNCTION("""COMPUTED_VALUE"""),171)</f>
        <v>171</v>
      </c>
      <c r="C180" t="str">
        <f ca="1">IFERROR(__xludf.DUMMYFUNCTION("""COMPUTED_VALUE"""),"Danny Lee")</f>
        <v>Danny Lee</v>
      </c>
      <c r="D180">
        <f ca="1">IFERROR(__xludf.DUMMYFUNCTION("""COMPUTED_VALUE"""),15)</f>
        <v>15</v>
      </c>
      <c r="E180">
        <f ca="1">IFERROR(__xludf.DUMMYFUNCTION("""COMPUTED_VALUE"""),14.29)</f>
        <v>14.29</v>
      </c>
      <c r="F180">
        <f ca="1">IFERROR(__xludf.DUMMYFUNCTION("""COMPUTED_VALUE"""),7)</f>
        <v>7</v>
      </c>
      <c r="G180">
        <f ca="1">IFERROR(__xludf.DUMMYFUNCTION("""COMPUTED_VALUE"""),49)</f>
        <v>49</v>
      </c>
      <c r="H180">
        <f ca="1">IFERROR(__xludf.DUMMYFUNCTION("""COMPUTED_VALUE"""),-5)</f>
        <v>-5</v>
      </c>
      <c r="I180" t="str">
        <f ca="1">IFERROR(__xludf.DUMMYFUNCTION("""COMPUTED_VALUE"""),"+9.00")</f>
        <v>+9.00</v>
      </c>
    </row>
    <row r="181" spans="1:9" ht="12.75">
      <c r="A181" t="str">
        <f ca="1">IFERROR(__xludf.DUMMYFUNCTION("""COMPUTED_VALUE"""),"T176")</f>
        <v>T176</v>
      </c>
      <c r="B181" t="str">
        <f ca="1">IFERROR(__xludf.DUMMYFUNCTION("""COMPUTED_VALUE"""),"T176")</f>
        <v>T176</v>
      </c>
      <c r="C181" t="str">
        <f ca="1">IFERROR(__xludf.DUMMYFUNCTION("""COMPUTED_VALUE"""),"William McGirt")</f>
        <v>William McGirt</v>
      </c>
      <c r="D181">
        <f ca="1">IFERROR(__xludf.DUMMYFUNCTION("""COMPUTED_VALUE"""),6)</f>
        <v>6</v>
      </c>
      <c r="E181">
        <f ca="1">IFERROR(__xludf.DUMMYFUNCTION("""COMPUTED_VALUE"""),14.29)</f>
        <v>14.29</v>
      </c>
      <c r="F181">
        <f ca="1">IFERROR(__xludf.DUMMYFUNCTION("""COMPUTED_VALUE"""),1)</f>
        <v>1</v>
      </c>
      <c r="G181">
        <f ca="1">IFERROR(__xludf.DUMMYFUNCTION("""COMPUTED_VALUE"""),7)</f>
        <v>7</v>
      </c>
      <c r="H181">
        <f ca="1">IFERROR(__xludf.DUMMYFUNCTION("""COMPUTED_VALUE"""),-1)</f>
        <v>-1</v>
      </c>
      <c r="I181" t="str">
        <f ca="1">IFERROR(__xludf.DUMMYFUNCTION("""COMPUTED_VALUE"""),"+1.00")</f>
        <v>+1.00</v>
      </c>
    </row>
    <row r="182" spans="1:9" ht="12.75">
      <c r="A182" t="str">
        <f ca="1">IFERROR(__xludf.DUMMYFUNCTION("""COMPUTED_VALUE"""),"T176")</f>
        <v>T176</v>
      </c>
      <c r="B182" t="str">
        <f ca="1">IFERROR(__xludf.DUMMYFUNCTION("""COMPUTED_VALUE"""),"T176")</f>
        <v>T176</v>
      </c>
      <c r="C182" t="str">
        <f ca="1">IFERROR(__xludf.DUMMYFUNCTION("""COMPUTED_VALUE"""),"Takumi Kanaya")</f>
        <v>Takumi Kanaya</v>
      </c>
      <c r="D182">
        <f ca="1">IFERROR(__xludf.DUMMYFUNCTION("""COMPUTED_VALUE"""),6)</f>
        <v>6</v>
      </c>
      <c r="E182">
        <f ca="1">IFERROR(__xludf.DUMMYFUNCTION("""COMPUTED_VALUE"""),14.29)</f>
        <v>14.29</v>
      </c>
      <c r="F182">
        <f ca="1">IFERROR(__xludf.DUMMYFUNCTION("""COMPUTED_VALUE"""),2)</f>
        <v>2</v>
      </c>
      <c r="G182">
        <f ca="1">IFERROR(__xludf.DUMMYFUNCTION("""COMPUTED_VALUE"""),14)</f>
        <v>14</v>
      </c>
      <c r="H182">
        <f ca="1">IFERROR(__xludf.DUMMYFUNCTION("""COMPUTED_VALUE"""),-2)</f>
        <v>-2</v>
      </c>
      <c r="I182" t="str">
        <f ca="1">IFERROR(__xludf.DUMMYFUNCTION("""COMPUTED_VALUE"""),"E")</f>
        <v>E</v>
      </c>
    </row>
    <row r="183" spans="1:9" ht="12.75">
      <c r="A183" t="str">
        <f ca="1">IFERROR(__xludf.DUMMYFUNCTION("""COMPUTED_VALUE"""),"T176")</f>
        <v>T176</v>
      </c>
      <c r="B183" t="str">
        <f ca="1">IFERROR(__xludf.DUMMYFUNCTION("""COMPUTED_VALUE"""),"T188")</f>
        <v>T188</v>
      </c>
      <c r="C183" t="str">
        <f ca="1">IFERROR(__xludf.DUMMYFUNCTION("""COMPUTED_VALUE"""),"Kramer Hickok")</f>
        <v>Kramer Hickok</v>
      </c>
      <c r="D183">
        <f ca="1">IFERROR(__xludf.DUMMYFUNCTION("""COMPUTED_VALUE"""),16)</f>
        <v>16</v>
      </c>
      <c r="E183">
        <f ca="1">IFERROR(__xludf.DUMMYFUNCTION("""COMPUTED_VALUE"""),14.29)</f>
        <v>14.29</v>
      </c>
      <c r="F183">
        <f ca="1">IFERROR(__xludf.DUMMYFUNCTION("""COMPUTED_VALUE"""),2)</f>
        <v>2</v>
      </c>
      <c r="G183">
        <f ca="1">IFERROR(__xludf.DUMMYFUNCTION("""COMPUTED_VALUE"""),14)</f>
        <v>14</v>
      </c>
      <c r="H183">
        <f ca="1">IFERROR(__xludf.DUMMYFUNCTION("""COMPUTED_VALUE"""),-2)</f>
        <v>-2</v>
      </c>
      <c r="I183">
        <f ca="1">IFERROR(__xludf.DUMMYFUNCTION("""COMPUTED_VALUE"""),-1)</f>
        <v>-1</v>
      </c>
    </row>
    <row r="184" spans="1:9" ht="12.75">
      <c r="A184" t="str">
        <f ca="1">IFERROR(__xludf.DUMMYFUNCTION("""COMPUTED_VALUE"""),"T176")</f>
        <v>T176</v>
      </c>
      <c r="B184" t="str">
        <f ca="1">IFERROR(__xludf.DUMMYFUNCTION("""COMPUTED_VALUE"""),"T176")</f>
        <v>T176</v>
      </c>
      <c r="C184" t="str">
        <f ca="1">IFERROR(__xludf.DUMMYFUNCTION("""COMPUTED_VALUE"""),"John Pak")</f>
        <v>John Pak</v>
      </c>
      <c r="D184">
        <f ca="1">IFERROR(__xludf.DUMMYFUNCTION("""COMPUTED_VALUE"""),4)</f>
        <v>4</v>
      </c>
      <c r="E184">
        <f ca="1">IFERROR(__xludf.DUMMYFUNCTION("""COMPUTED_VALUE"""),14.29)</f>
        <v>14.29</v>
      </c>
      <c r="F184">
        <f ca="1">IFERROR(__xludf.DUMMYFUNCTION("""COMPUTED_VALUE"""),1)</f>
        <v>1</v>
      </c>
      <c r="G184">
        <f ca="1">IFERROR(__xludf.DUMMYFUNCTION("""COMPUTED_VALUE"""),7)</f>
        <v>7</v>
      </c>
      <c r="H184">
        <f ca="1">IFERROR(__xludf.DUMMYFUNCTION("""COMPUTED_VALUE"""),-1)</f>
        <v>-1</v>
      </c>
      <c r="I184" t="str">
        <f ca="1">IFERROR(__xludf.DUMMYFUNCTION("""COMPUTED_VALUE"""),"E")</f>
        <v>E</v>
      </c>
    </row>
    <row r="185" spans="1:9" ht="12.75">
      <c r="A185" t="str">
        <f ca="1">IFERROR(__xludf.DUMMYFUNCTION("""COMPUTED_VALUE"""),"T184")</f>
        <v>T184</v>
      </c>
      <c r="B185" t="str">
        <f ca="1">IFERROR(__xludf.DUMMYFUNCTION("""COMPUTED_VALUE"""),"T144")</f>
        <v>T144</v>
      </c>
      <c r="C185" t="str">
        <f ca="1">IFERROR(__xludf.DUMMYFUNCTION("""COMPUTED_VALUE"""),"Patton Kizzire")</f>
        <v>Patton Kizzire</v>
      </c>
      <c r="D185">
        <f ca="1">IFERROR(__xludf.DUMMYFUNCTION("""COMPUTED_VALUE"""),18)</f>
        <v>18</v>
      </c>
      <c r="E185">
        <f ca="1">IFERROR(__xludf.DUMMYFUNCTION("""COMPUTED_VALUE"""),13.95)</f>
        <v>13.95</v>
      </c>
      <c r="F185">
        <f ca="1">IFERROR(__xludf.DUMMYFUNCTION("""COMPUTED_VALUE"""),6)</f>
        <v>6</v>
      </c>
      <c r="G185">
        <f ca="1">IFERROR(__xludf.DUMMYFUNCTION("""COMPUTED_VALUE"""),43)</f>
        <v>43</v>
      </c>
      <c r="H185">
        <f ca="1">IFERROR(__xludf.DUMMYFUNCTION("""COMPUTED_VALUE"""),-9)</f>
        <v>-9</v>
      </c>
      <c r="I185" t="str">
        <f ca="1">IFERROR(__xludf.DUMMYFUNCTION("""COMPUTED_VALUE"""),"E")</f>
        <v>E</v>
      </c>
    </row>
    <row r="186" spans="1:9" ht="12.75">
      <c r="A186" t="str">
        <f ca="1">IFERROR(__xludf.DUMMYFUNCTION("""COMPUTED_VALUE"""),"T184")</f>
        <v>T184</v>
      </c>
      <c r="B186" t="str">
        <f ca="1">IFERROR(__xludf.DUMMYFUNCTION("""COMPUTED_VALUE"""),"T174")</f>
        <v>T174</v>
      </c>
      <c r="C186" t="str">
        <f ca="1">IFERROR(__xludf.DUMMYFUNCTION("""COMPUTED_VALUE"""),"Andrew Landry")</f>
        <v>Andrew Landry</v>
      </c>
      <c r="D186">
        <f ca="1">IFERROR(__xludf.DUMMYFUNCTION("""COMPUTED_VALUE"""),14)</f>
        <v>14</v>
      </c>
      <c r="E186">
        <f ca="1">IFERROR(__xludf.DUMMYFUNCTION("""COMPUTED_VALUE"""),13.95)</f>
        <v>13.95</v>
      </c>
      <c r="F186">
        <f ca="1">IFERROR(__xludf.DUMMYFUNCTION("""COMPUTED_VALUE"""),6)</f>
        <v>6</v>
      </c>
      <c r="G186">
        <f ca="1">IFERROR(__xludf.DUMMYFUNCTION("""COMPUTED_VALUE"""),43)</f>
        <v>43</v>
      </c>
      <c r="H186">
        <f ca="1">IFERROR(__xludf.DUMMYFUNCTION("""COMPUTED_VALUE"""),-5)</f>
        <v>-5</v>
      </c>
      <c r="I186">
        <f ca="1">IFERROR(__xludf.DUMMYFUNCTION("""COMPUTED_VALUE"""),-4)</f>
        <v>-4</v>
      </c>
    </row>
    <row r="187" spans="1:9" ht="12.75">
      <c r="A187">
        <f ca="1">IFERROR(__xludf.DUMMYFUNCTION("""COMPUTED_VALUE"""),186)</f>
        <v>186</v>
      </c>
      <c r="B187">
        <f ca="1">IFERROR(__xludf.DUMMYFUNCTION("""COMPUTED_VALUE"""),195)</f>
        <v>195</v>
      </c>
      <c r="C187" t="str">
        <f ca="1">IFERROR(__xludf.DUMMYFUNCTION("""COMPUTED_VALUE"""),"Lucas Glover")</f>
        <v>Lucas Glover</v>
      </c>
      <c r="D187">
        <f ca="1">IFERROR(__xludf.DUMMYFUNCTION("""COMPUTED_VALUE"""),12)</f>
        <v>12</v>
      </c>
      <c r="E187">
        <f ca="1">IFERROR(__xludf.DUMMYFUNCTION("""COMPUTED_VALUE"""),13.79)</f>
        <v>13.79</v>
      </c>
      <c r="F187">
        <f ca="1">IFERROR(__xludf.DUMMYFUNCTION("""COMPUTED_VALUE"""),4)</f>
        <v>4</v>
      </c>
      <c r="G187">
        <f ca="1">IFERROR(__xludf.DUMMYFUNCTION("""COMPUTED_VALUE"""),29)</f>
        <v>29</v>
      </c>
      <c r="H187">
        <f ca="1">IFERROR(__xludf.DUMMYFUNCTION("""COMPUTED_VALUE"""),-4)</f>
        <v>-4</v>
      </c>
      <c r="I187" t="str">
        <f ca="1">IFERROR(__xludf.DUMMYFUNCTION("""COMPUTED_VALUE"""),"+5.00")</f>
        <v>+5.00</v>
      </c>
    </row>
    <row r="188" spans="1:9" ht="12.75">
      <c r="A188">
        <f ca="1">IFERROR(__xludf.DUMMYFUNCTION("""COMPUTED_VALUE"""),187)</f>
        <v>187</v>
      </c>
      <c r="B188" t="str">
        <f ca="1">IFERROR(__xludf.DUMMYFUNCTION("""COMPUTED_VALUE"""),"T180")</f>
        <v>T180</v>
      </c>
      <c r="C188" t="str">
        <f ca="1">IFERROR(__xludf.DUMMYFUNCTION("""COMPUTED_VALUE"""),"Wesley Bryan")</f>
        <v>Wesley Bryan</v>
      </c>
      <c r="D188">
        <f ca="1">IFERROR(__xludf.DUMMYFUNCTION("""COMPUTED_VALUE"""),8)</f>
        <v>8</v>
      </c>
      <c r="E188">
        <f ca="1">IFERROR(__xludf.DUMMYFUNCTION("""COMPUTED_VALUE"""),13.33)</f>
        <v>13.33</v>
      </c>
      <c r="F188">
        <f ca="1">IFERROR(__xludf.DUMMYFUNCTION("""COMPUTED_VALUE"""),2)</f>
        <v>2</v>
      </c>
      <c r="G188">
        <f ca="1">IFERROR(__xludf.DUMMYFUNCTION("""COMPUTED_VALUE"""),15)</f>
        <v>15</v>
      </c>
      <c r="H188">
        <f ca="1">IFERROR(__xludf.DUMMYFUNCTION("""COMPUTED_VALUE"""),-3)</f>
        <v>-3</v>
      </c>
      <c r="I188" t="str">
        <f ca="1">IFERROR(__xludf.DUMMYFUNCTION("""COMPUTED_VALUE"""),"E")</f>
        <v>E</v>
      </c>
    </row>
    <row r="189" spans="1:9" ht="12.75">
      <c r="A189" t="str">
        <f ca="1">IFERROR(__xludf.DUMMYFUNCTION("""COMPUTED_VALUE"""),"T188")</f>
        <v>T188</v>
      </c>
      <c r="B189">
        <f ca="1">IFERROR(__xludf.DUMMYFUNCTION("""COMPUTED_VALUE"""),183)</f>
        <v>183</v>
      </c>
      <c r="C189" t="str">
        <f ca="1">IFERROR(__xludf.DUMMYFUNCTION("""COMPUTED_VALUE"""),"Matt Kuchar")</f>
        <v>Matt Kuchar</v>
      </c>
      <c r="D189">
        <f ca="1">IFERROR(__xludf.DUMMYFUNCTION("""COMPUTED_VALUE"""),14)</f>
        <v>14</v>
      </c>
      <c r="E189">
        <f ca="1">IFERROR(__xludf.DUMMYFUNCTION("""COMPUTED_VALUE"""),13.16)</f>
        <v>13.16</v>
      </c>
      <c r="F189">
        <f ca="1">IFERROR(__xludf.DUMMYFUNCTION("""COMPUTED_VALUE"""),5)</f>
        <v>5</v>
      </c>
      <c r="G189">
        <f ca="1">IFERROR(__xludf.DUMMYFUNCTION("""COMPUTED_VALUE"""),38)</f>
        <v>38</v>
      </c>
      <c r="H189">
        <f ca="1">IFERROR(__xludf.DUMMYFUNCTION("""COMPUTED_VALUE"""),-5)</f>
        <v>-5</v>
      </c>
      <c r="I189" t="str">
        <f ca="1">IFERROR(__xludf.DUMMYFUNCTION("""COMPUTED_VALUE"""),"+2.00")</f>
        <v>+2.00</v>
      </c>
    </row>
    <row r="190" spans="1:9" ht="12.75">
      <c r="A190" t="str">
        <f ca="1">IFERROR(__xludf.DUMMYFUNCTION("""COMPUTED_VALUE"""),"T188")</f>
        <v>T188</v>
      </c>
      <c r="B190" t="str">
        <f ca="1">IFERROR(__xludf.DUMMYFUNCTION("""COMPUTED_VALUE"""),"T188")</f>
        <v>T188</v>
      </c>
      <c r="C190" t="str">
        <f ca="1">IFERROR(__xludf.DUMMYFUNCTION("""COMPUTED_VALUE"""),"Mark Hubbard")</f>
        <v>Mark Hubbard</v>
      </c>
      <c r="D190">
        <f ca="1">IFERROR(__xludf.DUMMYFUNCTION("""COMPUTED_VALUE"""),20)</f>
        <v>20</v>
      </c>
      <c r="E190">
        <f ca="1">IFERROR(__xludf.DUMMYFUNCTION("""COMPUTED_VALUE"""),13.16)</f>
        <v>13.16</v>
      </c>
      <c r="F190">
        <f ca="1">IFERROR(__xludf.DUMMYFUNCTION("""COMPUTED_VALUE"""),5)</f>
        <v>5</v>
      </c>
      <c r="G190">
        <f ca="1">IFERROR(__xludf.DUMMYFUNCTION("""COMPUTED_VALUE"""),38)</f>
        <v>38</v>
      </c>
      <c r="H190">
        <f ca="1">IFERROR(__xludf.DUMMYFUNCTION("""COMPUTED_VALUE"""),-5)</f>
        <v>-5</v>
      </c>
      <c r="I190">
        <f ca="1">IFERROR(__xludf.DUMMYFUNCTION("""COMPUTED_VALUE"""),-12)</f>
        <v>-12</v>
      </c>
    </row>
    <row r="191" spans="1:9" ht="12.75">
      <c r="A191">
        <f ca="1">IFERROR(__xludf.DUMMYFUNCTION("""COMPUTED_VALUE"""),190)</f>
        <v>190</v>
      </c>
      <c r="B191" t="str">
        <f ca="1">IFERROR(__xludf.DUMMYFUNCTION("""COMPUTED_VALUE"""),"T200")</f>
        <v>T200</v>
      </c>
      <c r="C191" t="str">
        <f ca="1">IFERROR(__xludf.DUMMYFUNCTION("""COMPUTED_VALUE"""),"Hideki Matsuyama")</f>
        <v>Hideki Matsuyama</v>
      </c>
      <c r="D191">
        <f ca="1">IFERROR(__xludf.DUMMYFUNCTION("""COMPUTED_VALUE"""),18)</f>
        <v>18</v>
      </c>
      <c r="E191">
        <f ca="1">IFERROR(__xludf.DUMMYFUNCTION("""COMPUTED_VALUE"""),12.96)</f>
        <v>12.96</v>
      </c>
      <c r="F191">
        <f ca="1">IFERROR(__xludf.DUMMYFUNCTION("""COMPUTED_VALUE"""),7)</f>
        <v>7</v>
      </c>
      <c r="G191">
        <f ca="1">IFERROR(__xludf.DUMMYFUNCTION("""COMPUTED_VALUE"""),54)</f>
        <v>54</v>
      </c>
      <c r="H191">
        <f ca="1">IFERROR(__xludf.DUMMYFUNCTION("""COMPUTED_VALUE"""),-5)</f>
        <v>-5</v>
      </c>
      <c r="I191">
        <f ca="1">IFERROR(__xludf.DUMMYFUNCTION("""COMPUTED_VALUE"""),-6)</f>
        <v>-6</v>
      </c>
    </row>
    <row r="192" spans="1:9" ht="12.75">
      <c r="A192">
        <f ca="1">IFERROR(__xludf.DUMMYFUNCTION("""COMPUTED_VALUE"""),191)</f>
        <v>191</v>
      </c>
      <c r="B192" t="str">
        <f ca="1">IFERROR(__xludf.DUMMYFUNCTION("""COMPUTED_VALUE"""),"T151")</f>
        <v>T151</v>
      </c>
      <c r="C192" t="str">
        <f ca="1">IFERROR(__xludf.DUMMYFUNCTION("""COMPUTED_VALUE"""),"Maverick McNealy")</f>
        <v>Maverick McNealy</v>
      </c>
      <c r="D192">
        <f ca="1">IFERROR(__xludf.DUMMYFUNCTION("""COMPUTED_VALUE"""),16)</f>
        <v>16</v>
      </c>
      <c r="E192">
        <f ca="1">IFERROR(__xludf.DUMMYFUNCTION("""COMPUTED_VALUE"""),12.9)</f>
        <v>12.9</v>
      </c>
      <c r="F192">
        <f ca="1">IFERROR(__xludf.DUMMYFUNCTION("""COMPUTED_VALUE"""),4)</f>
        <v>4</v>
      </c>
      <c r="G192">
        <f ca="1">IFERROR(__xludf.DUMMYFUNCTION("""COMPUTED_VALUE"""),31)</f>
        <v>31</v>
      </c>
      <c r="H192">
        <f ca="1">IFERROR(__xludf.DUMMYFUNCTION("""COMPUTED_VALUE"""),-5)</f>
        <v>-5</v>
      </c>
      <c r="I192">
        <f ca="1">IFERROR(__xludf.DUMMYFUNCTION("""COMPUTED_VALUE"""),-4)</f>
        <v>-4</v>
      </c>
    </row>
    <row r="193" spans="1:9" ht="12.75">
      <c r="A193" t="str">
        <f ca="1">IFERROR(__xludf.DUMMYFUNCTION("""COMPUTED_VALUE"""),"T192")</f>
        <v>T192</v>
      </c>
      <c r="B193" t="str">
        <f ca="1">IFERROR(__xludf.DUMMYFUNCTION("""COMPUTED_VALUE"""),"T188")</f>
        <v>T188</v>
      </c>
      <c r="C193" t="str">
        <f ca="1">IFERROR(__xludf.DUMMYFUNCTION("""COMPUTED_VALUE"""),"Robert Streb")</f>
        <v>Robert Streb</v>
      </c>
      <c r="D193">
        <f ca="1">IFERROR(__xludf.DUMMYFUNCTION("""COMPUTED_VALUE"""),12)</f>
        <v>12</v>
      </c>
      <c r="E193">
        <f ca="1">IFERROR(__xludf.DUMMYFUNCTION("""COMPUTED_VALUE"""),12.5)</f>
        <v>12.5</v>
      </c>
      <c r="F193">
        <f ca="1">IFERROR(__xludf.DUMMYFUNCTION("""COMPUTED_VALUE"""),1)</f>
        <v>1</v>
      </c>
      <c r="G193">
        <f ca="1">IFERROR(__xludf.DUMMYFUNCTION("""COMPUTED_VALUE"""),8)</f>
        <v>8</v>
      </c>
      <c r="H193">
        <f ca="1">IFERROR(__xludf.DUMMYFUNCTION("""COMPUTED_VALUE"""),-1)</f>
        <v>-1</v>
      </c>
      <c r="I193" t="str">
        <f ca="1">IFERROR(__xludf.DUMMYFUNCTION("""COMPUTED_VALUE"""),"E")</f>
        <v>E</v>
      </c>
    </row>
    <row r="194" spans="1:9" ht="12.75">
      <c r="A194" t="str">
        <f ca="1">IFERROR(__xludf.DUMMYFUNCTION("""COMPUTED_VALUE"""),"T192")</f>
        <v>T192</v>
      </c>
      <c r="B194" t="str">
        <f ca="1">IFERROR(__xludf.DUMMYFUNCTION("""COMPUTED_VALUE"""),"T184")</f>
        <v>T184</v>
      </c>
      <c r="C194" t="str">
        <f ca="1">IFERROR(__xludf.DUMMYFUNCTION("""COMPUTED_VALUE"""),"Patrick Rodgers")</f>
        <v>Patrick Rodgers</v>
      </c>
      <c r="D194">
        <f ca="1">IFERROR(__xludf.DUMMYFUNCTION("""COMPUTED_VALUE"""),18)</f>
        <v>18</v>
      </c>
      <c r="E194">
        <f ca="1">IFERROR(__xludf.DUMMYFUNCTION("""COMPUTED_VALUE"""),12.5)</f>
        <v>12.5</v>
      </c>
      <c r="F194">
        <f ca="1">IFERROR(__xludf.DUMMYFUNCTION("""COMPUTED_VALUE"""),3)</f>
        <v>3</v>
      </c>
      <c r="G194">
        <f ca="1">IFERROR(__xludf.DUMMYFUNCTION("""COMPUTED_VALUE"""),24)</f>
        <v>24</v>
      </c>
      <c r="H194">
        <f ca="1">IFERROR(__xludf.DUMMYFUNCTION("""COMPUTED_VALUE"""),-3)</f>
        <v>-3</v>
      </c>
      <c r="I194" t="str">
        <f ca="1">IFERROR(__xludf.DUMMYFUNCTION("""COMPUTED_VALUE"""),"E")</f>
        <v>E</v>
      </c>
    </row>
    <row r="195" spans="1:9" ht="12.75">
      <c r="A195" t="str">
        <f ca="1">IFERROR(__xludf.DUMMYFUNCTION("""COMPUTED_VALUE"""),"T192")</f>
        <v>T192</v>
      </c>
      <c r="B195" t="str">
        <f ca="1">IFERROR(__xludf.DUMMYFUNCTION("""COMPUTED_VALUE"""),"T188")</f>
        <v>T188</v>
      </c>
      <c r="C195" t="str">
        <f ca="1">IFERROR(__xludf.DUMMYFUNCTION("""COMPUTED_VALUE"""),"Zac Blair")</f>
        <v>Zac Blair</v>
      </c>
      <c r="D195">
        <f ca="1">IFERROR(__xludf.DUMMYFUNCTION("""COMPUTED_VALUE"""),10)</f>
        <v>10</v>
      </c>
      <c r="E195">
        <f ca="1">IFERROR(__xludf.DUMMYFUNCTION("""COMPUTED_VALUE"""),12.5)</f>
        <v>12.5</v>
      </c>
      <c r="F195">
        <f ca="1">IFERROR(__xludf.DUMMYFUNCTION("""COMPUTED_VALUE"""),1)</f>
        <v>1</v>
      </c>
      <c r="G195">
        <f ca="1">IFERROR(__xludf.DUMMYFUNCTION("""COMPUTED_VALUE"""),8)</f>
        <v>8</v>
      </c>
      <c r="H195">
        <f ca="1">IFERROR(__xludf.DUMMYFUNCTION("""COMPUTED_VALUE"""),-1)</f>
        <v>-1</v>
      </c>
      <c r="I195">
        <f ca="1">IFERROR(__xludf.DUMMYFUNCTION("""COMPUTED_VALUE"""),-3)</f>
        <v>-3</v>
      </c>
    </row>
    <row r="196" spans="1:9" ht="12.75">
      <c r="A196" t="str">
        <f ca="1">IFERROR(__xludf.DUMMYFUNCTION("""COMPUTED_VALUE"""),"T192")</f>
        <v>T192</v>
      </c>
      <c r="B196" t="str">
        <f ca="1">IFERROR(__xludf.DUMMYFUNCTION("""COMPUTED_VALUE"""),"T188")</f>
        <v>T188</v>
      </c>
      <c r="C196" t="str">
        <f ca="1">IFERROR(__xludf.DUMMYFUNCTION("""COMPUTED_VALUE"""),"Taylor Pendrith")</f>
        <v>Taylor Pendrith</v>
      </c>
      <c r="D196">
        <f ca="1">IFERROR(__xludf.DUMMYFUNCTION("""COMPUTED_VALUE"""),4)</f>
        <v>4</v>
      </c>
      <c r="E196">
        <f ca="1">IFERROR(__xludf.DUMMYFUNCTION("""COMPUTED_VALUE"""),12.5)</f>
        <v>12.5</v>
      </c>
      <c r="F196">
        <f ca="1">IFERROR(__xludf.DUMMYFUNCTION("""COMPUTED_VALUE"""),1)</f>
        <v>1</v>
      </c>
      <c r="G196">
        <f ca="1">IFERROR(__xludf.DUMMYFUNCTION("""COMPUTED_VALUE"""),8)</f>
        <v>8</v>
      </c>
      <c r="H196">
        <f ca="1">IFERROR(__xludf.DUMMYFUNCTION("""COMPUTED_VALUE"""),-2)</f>
        <v>-2</v>
      </c>
      <c r="I196" t="str">
        <f ca="1">IFERROR(__xludf.DUMMYFUNCTION("""COMPUTED_VALUE"""),"+1.00")</f>
        <v>+1.00</v>
      </c>
    </row>
    <row r="197" spans="1:9" ht="12.75">
      <c r="A197" t="str">
        <f ca="1">IFERROR(__xludf.DUMMYFUNCTION("""COMPUTED_VALUE"""),"T196")</f>
        <v>T196</v>
      </c>
      <c r="B197">
        <f ca="1">IFERROR(__xludf.DUMMYFUNCTION("""COMPUTED_VALUE"""),194)</f>
        <v>194</v>
      </c>
      <c r="C197" t="str">
        <f ca="1">IFERROR(__xludf.DUMMYFUNCTION("""COMPUTED_VALUE"""),"Nick Taylor")</f>
        <v>Nick Taylor</v>
      </c>
      <c r="D197">
        <f ca="1">IFERROR(__xludf.DUMMYFUNCTION("""COMPUTED_VALUE"""),12)</f>
        <v>12</v>
      </c>
      <c r="E197">
        <f ca="1">IFERROR(__xludf.DUMMYFUNCTION("""COMPUTED_VALUE"""),12.12)</f>
        <v>12.12</v>
      </c>
      <c r="F197">
        <f ca="1">IFERROR(__xludf.DUMMYFUNCTION("""COMPUTED_VALUE"""),4)</f>
        <v>4</v>
      </c>
      <c r="G197">
        <f ca="1">IFERROR(__xludf.DUMMYFUNCTION("""COMPUTED_VALUE"""),33)</f>
        <v>33</v>
      </c>
      <c r="H197">
        <f ca="1">IFERROR(__xludf.DUMMYFUNCTION("""COMPUTED_VALUE"""),-4)</f>
        <v>-4</v>
      </c>
      <c r="I197">
        <f ca="1">IFERROR(__xludf.DUMMYFUNCTION("""COMPUTED_VALUE"""),-7)</f>
        <v>-7</v>
      </c>
    </row>
    <row r="198" spans="1:9" ht="12.75">
      <c r="A198" t="str">
        <f ca="1">IFERROR(__xludf.DUMMYFUNCTION("""COMPUTED_VALUE"""),"T196")</f>
        <v>T196</v>
      </c>
      <c r="B198" t="str">
        <f ca="1">IFERROR(__xludf.DUMMYFUNCTION("""COMPUTED_VALUE"""),"T151")</f>
        <v>T151</v>
      </c>
      <c r="C198" t="str">
        <f ca="1">IFERROR(__xludf.DUMMYFUNCTION("""COMPUTED_VALUE"""),"Tyrrell Hatton")</f>
        <v>Tyrrell Hatton</v>
      </c>
      <c r="D198">
        <f ca="1">IFERROR(__xludf.DUMMYFUNCTION("""COMPUTED_VALUE"""),14)</f>
        <v>14</v>
      </c>
      <c r="E198">
        <f ca="1">IFERROR(__xludf.DUMMYFUNCTION("""COMPUTED_VALUE"""),12.12)</f>
        <v>12.12</v>
      </c>
      <c r="F198">
        <f ca="1">IFERROR(__xludf.DUMMYFUNCTION("""COMPUTED_VALUE"""),4)</f>
        <v>4</v>
      </c>
      <c r="G198">
        <f ca="1">IFERROR(__xludf.DUMMYFUNCTION("""COMPUTED_VALUE"""),33)</f>
        <v>33</v>
      </c>
      <c r="H198">
        <f ca="1">IFERROR(__xludf.DUMMYFUNCTION("""COMPUTED_VALUE"""),-4)</f>
        <v>-4</v>
      </c>
      <c r="I198">
        <f ca="1">IFERROR(__xludf.DUMMYFUNCTION("""COMPUTED_VALUE"""),-4)</f>
        <v>-4</v>
      </c>
    </row>
    <row r="199" spans="1:9" ht="12.75">
      <c r="A199">
        <f ca="1">IFERROR(__xludf.DUMMYFUNCTION("""COMPUTED_VALUE"""),198)</f>
        <v>198</v>
      </c>
      <c r="B199">
        <f ca="1">IFERROR(__xludf.DUMMYFUNCTION("""COMPUTED_VALUE"""),187)</f>
        <v>187</v>
      </c>
      <c r="C199" t="str">
        <f ca="1">IFERROR(__xludf.DUMMYFUNCTION("""COMPUTED_VALUE"""),"Russell Henley")</f>
        <v>Russell Henley</v>
      </c>
      <c r="D199">
        <f ca="1">IFERROR(__xludf.DUMMYFUNCTION("""COMPUTED_VALUE"""),16)</f>
        <v>16</v>
      </c>
      <c r="E199">
        <f ca="1">IFERROR(__xludf.DUMMYFUNCTION("""COMPUTED_VALUE"""),11.9)</f>
        <v>11.9</v>
      </c>
      <c r="F199">
        <f ca="1">IFERROR(__xludf.DUMMYFUNCTION("""COMPUTED_VALUE"""),5)</f>
        <v>5</v>
      </c>
      <c r="G199">
        <f ca="1">IFERROR(__xludf.DUMMYFUNCTION("""COMPUTED_VALUE"""),42)</f>
        <v>42</v>
      </c>
      <c r="H199">
        <f ca="1">IFERROR(__xludf.DUMMYFUNCTION("""COMPUTED_VALUE"""),-6)</f>
        <v>-6</v>
      </c>
      <c r="I199">
        <f ca="1">IFERROR(__xludf.DUMMYFUNCTION("""COMPUTED_VALUE"""),-7)</f>
        <v>-7</v>
      </c>
    </row>
    <row r="200" spans="1:9" ht="12.75">
      <c r="A200" t="str">
        <f ca="1">IFERROR(__xludf.DUMMYFUNCTION("""COMPUTED_VALUE"""),"T199")</f>
        <v>T199</v>
      </c>
      <c r="B200" t="str">
        <f ca="1">IFERROR(__xludf.DUMMYFUNCTION("""COMPUTED_VALUE"""),"T232")</f>
        <v>T232</v>
      </c>
      <c r="C200" t="str">
        <f ca="1">IFERROR(__xludf.DUMMYFUNCTION("""COMPUTED_VALUE"""),"Adam Scott")</f>
        <v>Adam Scott</v>
      </c>
      <c r="D200">
        <f ca="1">IFERROR(__xludf.DUMMYFUNCTION("""COMPUTED_VALUE"""),8)</f>
        <v>8</v>
      </c>
      <c r="E200">
        <f ca="1">IFERROR(__xludf.DUMMYFUNCTION("""COMPUTED_VALUE"""),11.76)</f>
        <v>11.76</v>
      </c>
      <c r="F200">
        <f ca="1">IFERROR(__xludf.DUMMYFUNCTION("""COMPUTED_VALUE"""),2)</f>
        <v>2</v>
      </c>
      <c r="G200">
        <f ca="1">IFERROR(__xludf.DUMMYFUNCTION("""COMPUTED_VALUE"""),17)</f>
        <v>17</v>
      </c>
      <c r="H200">
        <f ca="1">IFERROR(__xludf.DUMMYFUNCTION("""COMPUTED_VALUE"""),-2)</f>
        <v>-2</v>
      </c>
      <c r="I200" t="str">
        <f ca="1">IFERROR(__xludf.DUMMYFUNCTION("""COMPUTED_VALUE"""),"+1.00")</f>
        <v>+1.00</v>
      </c>
    </row>
    <row r="201" spans="1:9" ht="12.75">
      <c r="A201" t="str">
        <f ca="1">IFERROR(__xludf.DUMMYFUNCTION("""COMPUTED_VALUE"""),"T199")</f>
        <v>T199</v>
      </c>
      <c r="B201" t="str">
        <f ca="1">IFERROR(__xludf.DUMMYFUNCTION("""COMPUTED_VALUE"""),"T180")</f>
        <v>T180</v>
      </c>
      <c r="C201" t="str">
        <f ca="1">IFERROR(__xludf.DUMMYFUNCTION("""COMPUTED_VALUE"""),"Russell Knox")</f>
        <v>Russell Knox</v>
      </c>
      <c r="D201">
        <f ca="1">IFERROR(__xludf.DUMMYFUNCTION("""COMPUTED_VALUE"""),16)</f>
        <v>16</v>
      </c>
      <c r="E201">
        <f ca="1">IFERROR(__xludf.DUMMYFUNCTION("""COMPUTED_VALUE"""),11.76)</f>
        <v>11.76</v>
      </c>
      <c r="F201">
        <f ca="1">IFERROR(__xludf.DUMMYFUNCTION("""COMPUTED_VALUE"""),2)</f>
        <v>2</v>
      </c>
      <c r="G201">
        <f ca="1">IFERROR(__xludf.DUMMYFUNCTION("""COMPUTED_VALUE"""),17)</f>
        <v>17</v>
      </c>
      <c r="H201">
        <f ca="1">IFERROR(__xludf.DUMMYFUNCTION("""COMPUTED_VALUE"""),-3)</f>
        <v>-3</v>
      </c>
      <c r="I201">
        <f ca="1">IFERROR(__xludf.DUMMYFUNCTION("""COMPUTED_VALUE"""),-3)</f>
        <v>-3</v>
      </c>
    </row>
    <row r="202" spans="1:9" ht="12.75">
      <c r="A202" t="str">
        <f ca="1">IFERROR(__xludf.DUMMYFUNCTION("""COMPUTED_VALUE"""),"T199")</f>
        <v>T199</v>
      </c>
      <c r="B202" t="str">
        <f ca="1">IFERROR(__xludf.DUMMYFUNCTION("""COMPUTED_VALUE"""),"T196")</f>
        <v>T196</v>
      </c>
      <c r="C202" t="str">
        <f ca="1">IFERROR(__xludf.DUMMYFUNCTION("""COMPUTED_VALUE"""),"Matthew Fitzpatrick")</f>
        <v>Matthew Fitzpatrick</v>
      </c>
      <c r="D202">
        <f ca="1">IFERROR(__xludf.DUMMYFUNCTION("""COMPUTED_VALUE"""),10)</f>
        <v>10</v>
      </c>
      <c r="E202">
        <f ca="1">IFERROR(__xludf.DUMMYFUNCTION("""COMPUTED_VALUE"""),11.76)</f>
        <v>11.76</v>
      </c>
      <c r="F202">
        <f ca="1">IFERROR(__xludf.DUMMYFUNCTION("""COMPUTED_VALUE"""),4)</f>
        <v>4</v>
      </c>
      <c r="G202">
        <f ca="1">IFERROR(__xludf.DUMMYFUNCTION("""COMPUTED_VALUE"""),34)</f>
        <v>34</v>
      </c>
      <c r="H202">
        <f ca="1">IFERROR(__xludf.DUMMYFUNCTION("""COMPUTED_VALUE"""),-5)</f>
        <v>-5</v>
      </c>
      <c r="I202">
        <f ca="1">IFERROR(__xludf.DUMMYFUNCTION("""COMPUTED_VALUE"""),-1)</f>
        <v>-1</v>
      </c>
    </row>
    <row r="203" spans="1:9" ht="12.75">
      <c r="A203" t="str">
        <f ca="1">IFERROR(__xludf.DUMMYFUNCTION("""COMPUTED_VALUE"""),"T199")</f>
        <v>T199</v>
      </c>
      <c r="B203" t="str">
        <f ca="1">IFERROR(__xludf.DUMMYFUNCTION("""COMPUTED_VALUE"""),"T196")</f>
        <v>T196</v>
      </c>
      <c r="C203" t="str">
        <f ca="1">IFERROR(__xludf.DUMMYFUNCTION("""COMPUTED_VALUE"""),"Rikuya Hoshino")</f>
        <v>Rikuya Hoshino</v>
      </c>
      <c r="D203">
        <f ca="1">IFERROR(__xludf.DUMMYFUNCTION("""COMPUTED_VALUE"""),4)</f>
        <v>4</v>
      </c>
      <c r="E203">
        <f ca="1">IFERROR(__xludf.DUMMYFUNCTION("""COMPUTED_VALUE"""),11.76)</f>
        <v>11.76</v>
      </c>
      <c r="F203">
        <f ca="1">IFERROR(__xludf.DUMMYFUNCTION("""COMPUTED_VALUE"""),2)</f>
        <v>2</v>
      </c>
      <c r="G203">
        <f ca="1">IFERROR(__xludf.DUMMYFUNCTION("""COMPUTED_VALUE"""),17)</f>
        <v>17</v>
      </c>
      <c r="H203">
        <f ca="1">IFERROR(__xludf.DUMMYFUNCTION("""COMPUTED_VALUE"""),-3)</f>
        <v>-3</v>
      </c>
      <c r="I203">
        <f ca="1">IFERROR(__xludf.DUMMYFUNCTION("""COMPUTED_VALUE"""),-2)</f>
        <v>-2</v>
      </c>
    </row>
    <row r="204" spans="1:9" ht="12.75">
      <c r="A204" t="str">
        <f ca="1">IFERROR(__xludf.DUMMYFUNCTION("""COMPUTED_VALUE"""),"T203")</f>
        <v>T203</v>
      </c>
      <c r="B204" t="str">
        <f ca="1">IFERROR(__xludf.DUMMYFUNCTION("""COMPUTED_VALUE"""),"T188")</f>
        <v>T188</v>
      </c>
      <c r="C204" t="str">
        <f ca="1">IFERROR(__xludf.DUMMYFUNCTION("""COMPUTED_VALUE"""),"Jimmy Walker")</f>
        <v>Jimmy Walker</v>
      </c>
      <c r="D204">
        <f ca="1">IFERROR(__xludf.DUMMYFUNCTION("""COMPUTED_VALUE"""),10)</f>
        <v>10</v>
      </c>
      <c r="E204">
        <f ca="1">IFERROR(__xludf.DUMMYFUNCTION("""COMPUTED_VALUE"""),11.54)</f>
        <v>11.54</v>
      </c>
      <c r="F204">
        <f ca="1">IFERROR(__xludf.DUMMYFUNCTION("""COMPUTED_VALUE"""),3)</f>
        <v>3</v>
      </c>
      <c r="G204">
        <f ca="1">IFERROR(__xludf.DUMMYFUNCTION("""COMPUTED_VALUE"""),26)</f>
        <v>26</v>
      </c>
      <c r="H204">
        <f ca="1">IFERROR(__xludf.DUMMYFUNCTION("""COMPUTED_VALUE"""),-3)</f>
        <v>-3</v>
      </c>
      <c r="I204" t="str">
        <f ca="1">IFERROR(__xludf.DUMMYFUNCTION("""COMPUTED_VALUE"""),"+4.00")</f>
        <v>+4.00</v>
      </c>
    </row>
    <row r="205" spans="1:9" ht="12.75">
      <c r="A205" t="str">
        <f ca="1">IFERROR(__xludf.DUMMYFUNCTION("""COMPUTED_VALUE"""),"T203")</f>
        <v>T203</v>
      </c>
      <c r="B205">
        <f ca="1">IFERROR(__xludf.DUMMYFUNCTION("""COMPUTED_VALUE"""),199)</f>
        <v>199</v>
      </c>
      <c r="C205" t="str">
        <f ca="1">IFERROR(__xludf.DUMMYFUNCTION("""COMPUTED_VALUE"""),"Vincent Whaley")</f>
        <v>Vincent Whaley</v>
      </c>
      <c r="D205">
        <f ca="1">IFERROR(__xludf.DUMMYFUNCTION("""COMPUTED_VALUE"""),14)</f>
        <v>14</v>
      </c>
      <c r="E205">
        <f ca="1">IFERROR(__xludf.DUMMYFUNCTION("""COMPUTED_VALUE"""),11.54)</f>
        <v>11.54</v>
      </c>
      <c r="F205">
        <f ca="1">IFERROR(__xludf.DUMMYFUNCTION("""COMPUTED_VALUE"""),3)</f>
        <v>3</v>
      </c>
      <c r="G205">
        <f ca="1">IFERROR(__xludf.DUMMYFUNCTION("""COMPUTED_VALUE"""),26)</f>
        <v>26</v>
      </c>
      <c r="H205">
        <f ca="1">IFERROR(__xludf.DUMMYFUNCTION("""COMPUTED_VALUE"""),-4)</f>
        <v>-4</v>
      </c>
      <c r="I205" t="str">
        <f ca="1">IFERROR(__xludf.DUMMYFUNCTION("""COMPUTED_VALUE"""),"+2.00")</f>
        <v>+2.00</v>
      </c>
    </row>
    <row r="206" spans="1:9" ht="12.75">
      <c r="A206" t="str">
        <f ca="1">IFERROR(__xludf.DUMMYFUNCTION("""COMPUTED_VALUE"""),"T205")</f>
        <v>T205</v>
      </c>
      <c r="B206" t="str">
        <f ca="1">IFERROR(__xludf.DUMMYFUNCTION("""COMPUTED_VALUE"""),"")</f>
        <v/>
      </c>
      <c r="C206" t="str">
        <f ca="1">IFERROR(__xludf.DUMMYFUNCTION("""COMPUTED_VALUE"""),"Padraig Harrington")</f>
        <v>Padraig Harrington</v>
      </c>
      <c r="D206">
        <f ca="1">IFERROR(__xludf.DUMMYFUNCTION("""COMPUTED_VALUE"""),8)</f>
        <v>8</v>
      </c>
      <c r="E206">
        <f ca="1">IFERROR(__xludf.DUMMYFUNCTION("""COMPUTED_VALUE"""),11.11)</f>
        <v>11.11</v>
      </c>
      <c r="F206">
        <f ca="1">IFERROR(__xludf.DUMMYFUNCTION("""COMPUTED_VALUE"""),1)</f>
        <v>1</v>
      </c>
      <c r="G206">
        <f ca="1">IFERROR(__xludf.DUMMYFUNCTION("""COMPUTED_VALUE"""),9)</f>
        <v>9</v>
      </c>
      <c r="H206">
        <f ca="1">IFERROR(__xludf.DUMMYFUNCTION("""COMPUTED_VALUE"""),-1)</f>
        <v>-1</v>
      </c>
      <c r="I206">
        <f ca="1">IFERROR(__xludf.DUMMYFUNCTION("""COMPUTED_VALUE"""),-1)</f>
        <v>-1</v>
      </c>
    </row>
    <row r="207" spans="1:9" ht="12.75">
      <c r="A207" t="str">
        <f ca="1">IFERROR(__xludf.DUMMYFUNCTION("""COMPUTED_VALUE"""),"T205")</f>
        <v>T205</v>
      </c>
      <c r="B207" t="str">
        <f ca="1">IFERROR(__xludf.DUMMYFUNCTION("""COMPUTED_VALUE"""),"T200")</f>
        <v>T200</v>
      </c>
      <c r="C207" t="str">
        <f ca="1">IFERROR(__xludf.DUMMYFUNCTION("""COMPUTED_VALUE"""),"J.B. Holmes")</f>
        <v>J.B. Holmes</v>
      </c>
      <c r="D207">
        <f ca="1">IFERROR(__xludf.DUMMYFUNCTION("""COMPUTED_VALUE"""),10)</f>
        <v>10</v>
      </c>
      <c r="E207">
        <f ca="1">IFERROR(__xludf.DUMMYFUNCTION("""COMPUTED_VALUE"""),11.11)</f>
        <v>11.11</v>
      </c>
      <c r="F207">
        <f ca="1">IFERROR(__xludf.DUMMYFUNCTION("""COMPUTED_VALUE"""),3)</f>
        <v>3</v>
      </c>
      <c r="G207">
        <f ca="1">IFERROR(__xludf.DUMMYFUNCTION("""COMPUTED_VALUE"""),27)</f>
        <v>27</v>
      </c>
      <c r="H207">
        <f ca="1">IFERROR(__xludf.DUMMYFUNCTION("""COMPUTED_VALUE"""),-3)</f>
        <v>-3</v>
      </c>
      <c r="I207" t="str">
        <f ca="1">IFERROR(__xludf.DUMMYFUNCTION("""COMPUTED_VALUE"""),"E")</f>
        <v>E</v>
      </c>
    </row>
    <row r="208" spans="1:9" ht="12.75">
      <c r="A208" t="str">
        <f ca="1">IFERROR(__xludf.DUMMYFUNCTION("""COMPUTED_VALUE"""),"T205")</f>
        <v>T205</v>
      </c>
      <c r="B208" t="str">
        <f ca="1">IFERROR(__xludf.DUMMYFUNCTION("""COMPUTED_VALUE"""),"T200")</f>
        <v>T200</v>
      </c>
      <c r="C208" t="str">
        <f ca="1">IFERROR(__xludf.DUMMYFUNCTION("""COMPUTED_VALUE"""),"Ryo Ishikawa")</f>
        <v>Ryo Ishikawa</v>
      </c>
      <c r="D208">
        <f ca="1">IFERROR(__xludf.DUMMYFUNCTION("""COMPUTED_VALUE"""),8)</f>
        <v>8</v>
      </c>
      <c r="E208">
        <f ca="1">IFERROR(__xludf.DUMMYFUNCTION("""COMPUTED_VALUE"""),11.11)</f>
        <v>11.11</v>
      </c>
      <c r="F208">
        <f ca="1">IFERROR(__xludf.DUMMYFUNCTION("""COMPUTED_VALUE"""),1)</f>
        <v>1</v>
      </c>
      <c r="G208">
        <f ca="1">IFERROR(__xludf.DUMMYFUNCTION("""COMPUTED_VALUE"""),9)</f>
        <v>9</v>
      </c>
      <c r="H208">
        <f ca="1">IFERROR(__xludf.DUMMYFUNCTION("""COMPUTED_VALUE"""),-1)</f>
        <v>-1</v>
      </c>
      <c r="I208" t="str">
        <f ca="1">IFERROR(__xludf.DUMMYFUNCTION("""COMPUTED_VALUE"""),"+5.00")</f>
        <v>+5.00</v>
      </c>
    </row>
    <row r="209" spans="1:9" ht="12.75">
      <c r="A209" t="str">
        <f ca="1">IFERROR(__xludf.DUMMYFUNCTION("""COMPUTED_VALUE"""),"T205")</f>
        <v>T205</v>
      </c>
      <c r="B209" t="str">
        <f ca="1">IFERROR(__xludf.DUMMYFUNCTION("""COMPUTED_VALUE"""),"T232")</f>
        <v>T232</v>
      </c>
      <c r="C209" t="str">
        <f ca="1">IFERROR(__xludf.DUMMYFUNCTION("""COMPUTED_VALUE"""),"Erik van Rooyen")</f>
        <v>Erik van Rooyen</v>
      </c>
      <c r="D209">
        <f ca="1">IFERROR(__xludf.DUMMYFUNCTION("""COMPUTED_VALUE"""),10)</f>
        <v>10</v>
      </c>
      <c r="E209">
        <f ca="1">IFERROR(__xludf.DUMMYFUNCTION("""COMPUTED_VALUE"""),11.11)</f>
        <v>11.11</v>
      </c>
      <c r="F209">
        <f ca="1">IFERROR(__xludf.DUMMYFUNCTION("""COMPUTED_VALUE"""),2)</f>
        <v>2</v>
      </c>
      <c r="G209">
        <f ca="1">IFERROR(__xludf.DUMMYFUNCTION("""COMPUTED_VALUE"""),18)</f>
        <v>18</v>
      </c>
      <c r="H209">
        <f ca="1">IFERROR(__xludf.DUMMYFUNCTION("""COMPUTED_VALUE"""),-2)</f>
        <v>-2</v>
      </c>
      <c r="I209" t="str">
        <f ca="1">IFERROR(__xludf.DUMMYFUNCTION("""COMPUTED_VALUE"""),"E")</f>
        <v>E</v>
      </c>
    </row>
    <row r="210" spans="1:9" ht="12.75">
      <c r="A210" t="str">
        <f ca="1">IFERROR(__xludf.DUMMYFUNCTION("""COMPUTED_VALUE"""),"T205")</f>
        <v>T205</v>
      </c>
      <c r="B210" t="str">
        <f ca="1">IFERROR(__xludf.DUMMYFUNCTION("""COMPUTED_VALUE"""),"T200")</f>
        <v>T200</v>
      </c>
      <c r="C210" t="str">
        <f ca="1">IFERROR(__xludf.DUMMYFUNCTION("""COMPUTED_VALUE"""),"Hanbyeol Kim")</f>
        <v>Hanbyeol Kim</v>
      </c>
      <c r="D210">
        <f ca="1">IFERROR(__xludf.DUMMYFUNCTION("""COMPUTED_VALUE"""),4)</f>
        <v>4</v>
      </c>
      <c r="E210">
        <f ca="1">IFERROR(__xludf.DUMMYFUNCTION("""COMPUTED_VALUE"""),11.11)</f>
        <v>11.11</v>
      </c>
      <c r="F210">
        <f ca="1">IFERROR(__xludf.DUMMYFUNCTION("""COMPUTED_VALUE"""),1)</f>
        <v>1</v>
      </c>
      <c r="G210">
        <f ca="1">IFERROR(__xludf.DUMMYFUNCTION("""COMPUTED_VALUE"""),9)</f>
        <v>9</v>
      </c>
      <c r="H210">
        <f ca="1">IFERROR(__xludf.DUMMYFUNCTION("""COMPUTED_VALUE"""),-1)</f>
        <v>-1</v>
      </c>
      <c r="I210" t="str">
        <f ca="1">IFERROR(__xludf.DUMMYFUNCTION("""COMPUTED_VALUE"""),"+5.00")</f>
        <v>+5.00</v>
      </c>
    </row>
    <row r="211" spans="1:9" ht="12.75">
      <c r="A211" t="str">
        <f ca="1">IFERROR(__xludf.DUMMYFUNCTION("""COMPUTED_VALUE"""),"T205")</f>
        <v>T205</v>
      </c>
      <c r="B211" t="str">
        <f ca="1">IFERROR(__xludf.DUMMYFUNCTION("""COMPUTED_VALUE"""),"T208")</f>
        <v>T208</v>
      </c>
      <c r="C211" t="str">
        <f ca="1">IFERROR(__xludf.DUMMYFUNCTION("""COMPUTED_VALUE"""),"Denny McCarthy")</f>
        <v>Denny McCarthy</v>
      </c>
      <c r="D211">
        <f ca="1">IFERROR(__xludf.DUMMYFUNCTION("""COMPUTED_VALUE"""),22)</f>
        <v>22</v>
      </c>
      <c r="E211">
        <f ca="1">IFERROR(__xludf.DUMMYFUNCTION("""COMPUTED_VALUE"""),11.11)</f>
        <v>11.11</v>
      </c>
      <c r="F211">
        <f ca="1">IFERROR(__xludf.DUMMYFUNCTION("""COMPUTED_VALUE"""),4)</f>
        <v>4</v>
      </c>
      <c r="G211">
        <f ca="1">IFERROR(__xludf.DUMMYFUNCTION("""COMPUTED_VALUE"""),36)</f>
        <v>36</v>
      </c>
      <c r="H211">
        <f ca="1">IFERROR(__xludf.DUMMYFUNCTION("""COMPUTED_VALUE"""),-3)</f>
        <v>-3</v>
      </c>
      <c r="I211">
        <f ca="1">IFERROR(__xludf.DUMMYFUNCTION("""COMPUTED_VALUE"""),-7)</f>
        <v>-7</v>
      </c>
    </row>
    <row r="212" spans="1:9" ht="12.75">
      <c r="A212" t="str">
        <f ca="1">IFERROR(__xludf.DUMMYFUNCTION("""COMPUTED_VALUE"""),"T211")</f>
        <v>T211</v>
      </c>
      <c r="B212" t="str">
        <f ca="1">IFERROR(__xludf.DUMMYFUNCTION("""COMPUTED_VALUE"""),"T205")</f>
        <v>T205</v>
      </c>
      <c r="C212" t="str">
        <f ca="1">IFERROR(__xludf.DUMMYFUNCTION("""COMPUTED_VALUE"""),"Ian Poulter")</f>
        <v>Ian Poulter</v>
      </c>
      <c r="D212">
        <f ca="1">IFERROR(__xludf.DUMMYFUNCTION("""COMPUTED_VALUE"""),6)</f>
        <v>6</v>
      </c>
      <c r="E212">
        <f ca="1">IFERROR(__xludf.DUMMYFUNCTION("""COMPUTED_VALUE"""),10.53)</f>
        <v>10.53</v>
      </c>
      <c r="F212">
        <f ca="1">IFERROR(__xludf.DUMMYFUNCTION("""COMPUTED_VALUE"""),2)</f>
        <v>2</v>
      </c>
      <c r="G212">
        <f ca="1">IFERROR(__xludf.DUMMYFUNCTION("""COMPUTED_VALUE"""),19)</f>
        <v>19</v>
      </c>
      <c r="H212">
        <f ca="1">IFERROR(__xludf.DUMMYFUNCTION("""COMPUTED_VALUE"""),-2)</f>
        <v>-2</v>
      </c>
      <c r="I212" t="str">
        <f ca="1">IFERROR(__xludf.DUMMYFUNCTION("""COMPUTED_VALUE"""),"+1.00")</f>
        <v>+1.00</v>
      </c>
    </row>
    <row r="213" spans="1:9" ht="12.75">
      <c r="A213" t="str">
        <f ca="1">IFERROR(__xludf.DUMMYFUNCTION("""COMPUTED_VALUE"""),"T211")</f>
        <v>T211</v>
      </c>
      <c r="B213" t="str">
        <f ca="1">IFERROR(__xludf.DUMMYFUNCTION("""COMPUTED_VALUE"""),"T180")</f>
        <v>T180</v>
      </c>
      <c r="C213" t="str">
        <f ca="1">IFERROR(__xludf.DUMMYFUNCTION("""COMPUTED_VALUE"""),"Ted Potter, Jr.")</f>
        <v>Ted Potter, Jr.</v>
      </c>
      <c r="D213">
        <f ca="1">IFERROR(__xludf.DUMMYFUNCTION("""COMPUTED_VALUE"""),8)</f>
        <v>8</v>
      </c>
      <c r="E213">
        <f ca="1">IFERROR(__xludf.DUMMYFUNCTION("""COMPUTED_VALUE"""),10.53)</f>
        <v>10.53</v>
      </c>
      <c r="F213">
        <f ca="1">IFERROR(__xludf.DUMMYFUNCTION("""COMPUTED_VALUE"""),2)</f>
        <v>2</v>
      </c>
      <c r="G213">
        <f ca="1">IFERROR(__xludf.DUMMYFUNCTION("""COMPUTED_VALUE"""),19)</f>
        <v>19</v>
      </c>
      <c r="H213">
        <f ca="1">IFERROR(__xludf.DUMMYFUNCTION("""COMPUTED_VALUE"""),-2)</f>
        <v>-2</v>
      </c>
      <c r="I213">
        <f ca="1">IFERROR(__xludf.DUMMYFUNCTION("""COMPUTED_VALUE"""),-4)</f>
        <v>-4</v>
      </c>
    </row>
    <row r="214" spans="1:9" ht="12.75">
      <c r="A214" t="str">
        <f ca="1">IFERROR(__xludf.DUMMYFUNCTION("""COMPUTED_VALUE"""),"T213")</f>
        <v>T213</v>
      </c>
      <c r="B214">
        <f ca="1">IFERROR(__xludf.DUMMYFUNCTION("""COMPUTED_VALUE"""),207)</f>
        <v>207</v>
      </c>
      <c r="C214" t="str">
        <f ca="1">IFERROR(__xludf.DUMMYFUNCTION("""COMPUTED_VALUE"""),"Rickie Fowler")</f>
        <v>Rickie Fowler</v>
      </c>
      <c r="D214">
        <f ca="1">IFERROR(__xludf.DUMMYFUNCTION("""COMPUTED_VALUE"""),14)</f>
        <v>14</v>
      </c>
      <c r="E214">
        <f ca="1">IFERROR(__xludf.DUMMYFUNCTION("""COMPUTED_VALUE"""),10.26)</f>
        <v>10.26</v>
      </c>
      <c r="F214">
        <f ca="1">IFERROR(__xludf.DUMMYFUNCTION("""COMPUTED_VALUE"""),4)</f>
        <v>4</v>
      </c>
      <c r="G214">
        <f ca="1">IFERROR(__xludf.DUMMYFUNCTION("""COMPUTED_VALUE"""),39)</f>
        <v>39</v>
      </c>
      <c r="H214">
        <f ca="1">IFERROR(__xludf.DUMMYFUNCTION("""COMPUTED_VALUE"""),-4)</f>
        <v>-4</v>
      </c>
      <c r="I214">
        <f ca="1">IFERROR(__xludf.DUMMYFUNCTION("""COMPUTED_VALUE"""),-2)</f>
        <v>-2</v>
      </c>
    </row>
    <row r="215" spans="1:9" ht="12.75">
      <c r="A215" t="str">
        <f ca="1">IFERROR(__xludf.DUMMYFUNCTION("""COMPUTED_VALUE"""),"T213")</f>
        <v>T213</v>
      </c>
      <c r="B215">
        <f ca="1">IFERROR(__xludf.DUMMYFUNCTION("""COMPUTED_VALUE"""),204)</f>
        <v>204</v>
      </c>
      <c r="C215" t="str">
        <f ca="1">IFERROR(__xludf.DUMMYFUNCTION("""COMPUTED_VALUE"""),"Jordan Spieth")</f>
        <v>Jordan Spieth</v>
      </c>
      <c r="D215">
        <f ca="1">IFERROR(__xludf.DUMMYFUNCTION("""COMPUTED_VALUE"""),14)</f>
        <v>14</v>
      </c>
      <c r="E215">
        <f ca="1">IFERROR(__xludf.DUMMYFUNCTION("""COMPUTED_VALUE"""),10.26)</f>
        <v>10.26</v>
      </c>
      <c r="F215">
        <f ca="1">IFERROR(__xludf.DUMMYFUNCTION("""COMPUTED_VALUE"""),4)</f>
        <v>4</v>
      </c>
      <c r="G215">
        <f ca="1">IFERROR(__xludf.DUMMYFUNCTION("""COMPUTED_VALUE"""),39)</f>
        <v>39</v>
      </c>
      <c r="H215">
        <f ca="1">IFERROR(__xludf.DUMMYFUNCTION("""COMPUTED_VALUE"""),-5)</f>
        <v>-5</v>
      </c>
      <c r="I215" t="str">
        <f ca="1">IFERROR(__xludf.DUMMYFUNCTION("""COMPUTED_VALUE"""),"+6.00")</f>
        <v>+6.00</v>
      </c>
    </row>
    <row r="216" spans="1:9" ht="12.75">
      <c r="A216" t="str">
        <f ca="1">IFERROR(__xludf.DUMMYFUNCTION("""COMPUTED_VALUE"""),"T215")</f>
        <v>T215</v>
      </c>
      <c r="B216" t="str">
        <f ca="1">IFERROR(__xludf.DUMMYFUNCTION("""COMPUTED_VALUE"""),"T208")</f>
        <v>T208</v>
      </c>
      <c r="C216" t="str">
        <f ca="1">IFERROR(__xludf.DUMMYFUNCTION("""COMPUTED_VALUE"""),"Kevin Kisner")</f>
        <v>Kevin Kisner</v>
      </c>
      <c r="D216">
        <f ca="1">IFERROR(__xludf.DUMMYFUNCTION("""COMPUTED_VALUE"""),10)</f>
        <v>10</v>
      </c>
      <c r="E216">
        <f ca="1">IFERROR(__xludf.DUMMYFUNCTION("""COMPUTED_VALUE"""),10)</f>
        <v>10</v>
      </c>
      <c r="F216">
        <f ca="1">IFERROR(__xludf.DUMMYFUNCTION("""COMPUTED_VALUE"""),3)</f>
        <v>3</v>
      </c>
      <c r="G216">
        <f ca="1">IFERROR(__xludf.DUMMYFUNCTION("""COMPUTED_VALUE"""),30)</f>
        <v>30</v>
      </c>
      <c r="H216">
        <f ca="1">IFERROR(__xludf.DUMMYFUNCTION("""COMPUTED_VALUE"""),-3)</f>
        <v>-3</v>
      </c>
      <c r="I216">
        <f ca="1">IFERROR(__xludf.DUMMYFUNCTION("""COMPUTED_VALUE"""),-1)</f>
        <v>-1</v>
      </c>
    </row>
    <row r="217" spans="1:9" ht="12.75">
      <c r="A217" t="str">
        <f ca="1">IFERROR(__xludf.DUMMYFUNCTION("""COMPUTED_VALUE"""),"T215")</f>
        <v>T215</v>
      </c>
      <c r="B217" t="str">
        <f ca="1">IFERROR(__xludf.DUMMYFUNCTION("""COMPUTED_VALUE"""),"T208")</f>
        <v>T208</v>
      </c>
      <c r="C217" t="str">
        <f ca="1">IFERROR(__xludf.DUMMYFUNCTION("""COMPUTED_VALUE"""),"Naoki Sekito")</f>
        <v>Naoki Sekito</v>
      </c>
      <c r="D217">
        <f ca="1">IFERROR(__xludf.DUMMYFUNCTION("""COMPUTED_VALUE"""),4)</f>
        <v>4</v>
      </c>
      <c r="E217">
        <f ca="1">IFERROR(__xludf.DUMMYFUNCTION("""COMPUTED_VALUE"""),10)</f>
        <v>10</v>
      </c>
      <c r="F217">
        <f ca="1">IFERROR(__xludf.DUMMYFUNCTION("""COMPUTED_VALUE"""),1)</f>
        <v>1</v>
      </c>
      <c r="G217">
        <f ca="1">IFERROR(__xludf.DUMMYFUNCTION("""COMPUTED_VALUE"""),10)</f>
        <v>10</v>
      </c>
      <c r="H217">
        <f ca="1">IFERROR(__xludf.DUMMYFUNCTION("""COMPUTED_VALUE"""),-1)</f>
        <v>-1</v>
      </c>
      <c r="I217">
        <f ca="1">IFERROR(__xludf.DUMMYFUNCTION("""COMPUTED_VALUE"""),-2)</f>
        <v>-2</v>
      </c>
    </row>
    <row r="218" spans="1:9" ht="12.75">
      <c r="A218">
        <f ca="1">IFERROR(__xludf.DUMMYFUNCTION("""COMPUTED_VALUE"""),217)</f>
        <v>217</v>
      </c>
      <c r="B218">
        <f ca="1">IFERROR(__xludf.DUMMYFUNCTION("""COMPUTED_VALUE"""),213)</f>
        <v>213</v>
      </c>
      <c r="C218" t="str">
        <f ca="1">IFERROR(__xludf.DUMMYFUNCTION("""COMPUTED_VALUE"""),"Jim Herman")</f>
        <v>Jim Herman</v>
      </c>
      <c r="D218">
        <f ca="1">IFERROR(__xludf.DUMMYFUNCTION("""COMPUTED_VALUE"""),12)</f>
        <v>12</v>
      </c>
      <c r="E218">
        <f ca="1">IFERROR(__xludf.DUMMYFUNCTION("""COMPUTED_VALUE"""),9.68)</f>
        <v>9.68</v>
      </c>
      <c r="F218">
        <f ca="1">IFERROR(__xludf.DUMMYFUNCTION("""COMPUTED_VALUE"""),3)</f>
        <v>3</v>
      </c>
      <c r="G218">
        <f ca="1">IFERROR(__xludf.DUMMYFUNCTION("""COMPUTED_VALUE"""),31)</f>
        <v>31</v>
      </c>
      <c r="H218">
        <f ca="1">IFERROR(__xludf.DUMMYFUNCTION("""COMPUTED_VALUE"""),-1)</f>
        <v>-1</v>
      </c>
      <c r="I218">
        <f ca="1">IFERROR(__xludf.DUMMYFUNCTION("""COMPUTED_VALUE"""),-2)</f>
        <v>-2</v>
      </c>
    </row>
    <row r="219" spans="1:9" ht="12.75">
      <c r="A219" t="str">
        <f ca="1">IFERROR(__xludf.DUMMYFUNCTION("""COMPUTED_VALUE"""),"T218")</f>
        <v>T218</v>
      </c>
      <c r="B219" t="str">
        <f ca="1">IFERROR(__xludf.DUMMYFUNCTION("""COMPUTED_VALUE"""),"T205")</f>
        <v>T205</v>
      </c>
      <c r="C219" t="str">
        <f ca="1">IFERROR(__xludf.DUMMYFUNCTION("""COMPUTED_VALUE"""),"Bronson Burgoon")</f>
        <v>Bronson Burgoon</v>
      </c>
      <c r="D219">
        <f ca="1">IFERROR(__xludf.DUMMYFUNCTION("""COMPUTED_VALUE"""),10)</f>
        <v>10</v>
      </c>
      <c r="E219">
        <f ca="1">IFERROR(__xludf.DUMMYFUNCTION("""COMPUTED_VALUE"""),9.52)</f>
        <v>9.52</v>
      </c>
      <c r="F219">
        <f ca="1">IFERROR(__xludf.DUMMYFUNCTION("""COMPUTED_VALUE"""),2)</f>
        <v>2</v>
      </c>
      <c r="G219">
        <f ca="1">IFERROR(__xludf.DUMMYFUNCTION("""COMPUTED_VALUE"""),21)</f>
        <v>21</v>
      </c>
      <c r="H219">
        <f ca="1">IFERROR(__xludf.DUMMYFUNCTION("""COMPUTED_VALUE"""),-2)</f>
        <v>-2</v>
      </c>
      <c r="I219" t="str">
        <f ca="1">IFERROR(__xludf.DUMMYFUNCTION("""COMPUTED_VALUE"""),"+2.00")</f>
        <v>+2.00</v>
      </c>
    </row>
    <row r="220" spans="1:9" ht="12.75">
      <c r="A220" t="str">
        <f ca="1">IFERROR(__xludf.DUMMYFUNCTION("""COMPUTED_VALUE"""),"T218")</f>
        <v>T218</v>
      </c>
      <c r="B220" t="str">
        <f ca="1">IFERROR(__xludf.DUMMYFUNCTION("""COMPUTED_VALUE"""),"T222")</f>
        <v>T222</v>
      </c>
      <c r="C220" t="str">
        <f ca="1">IFERROR(__xludf.DUMMYFUNCTION("""COMPUTED_VALUE"""),"Brooks Koepka")</f>
        <v>Brooks Koepka</v>
      </c>
      <c r="D220">
        <f ca="1">IFERROR(__xludf.DUMMYFUNCTION("""COMPUTED_VALUE"""),8)</f>
        <v>8</v>
      </c>
      <c r="E220">
        <f ca="1">IFERROR(__xludf.DUMMYFUNCTION("""COMPUTED_VALUE"""),9.52)</f>
        <v>9.52</v>
      </c>
      <c r="F220">
        <f ca="1">IFERROR(__xludf.DUMMYFUNCTION("""COMPUTED_VALUE"""),2)</f>
        <v>2</v>
      </c>
      <c r="G220">
        <f ca="1">IFERROR(__xludf.DUMMYFUNCTION("""COMPUTED_VALUE"""),21)</f>
        <v>21</v>
      </c>
      <c r="H220">
        <f ca="1">IFERROR(__xludf.DUMMYFUNCTION("""COMPUTED_VALUE"""),-3)</f>
        <v>-3</v>
      </c>
      <c r="I220">
        <f ca="1">IFERROR(__xludf.DUMMYFUNCTION("""COMPUTED_VALUE"""),-2)</f>
        <v>-2</v>
      </c>
    </row>
    <row r="221" spans="1:9" ht="12.75">
      <c r="A221" t="str">
        <f ca="1">IFERROR(__xludf.DUMMYFUNCTION("""COMPUTED_VALUE"""),"T220")</f>
        <v>T220</v>
      </c>
      <c r="B221" t="str">
        <f ca="1">IFERROR(__xludf.DUMMYFUNCTION("""COMPUTED_VALUE"""),"T208")</f>
        <v>T208</v>
      </c>
      <c r="C221" t="str">
        <f ca="1">IFERROR(__xludf.DUMMYFUNCTION("""COMPUTED_VALUE"""),"Kevin Stadler")</f>
        <v>Kevin Stadler</v>
      </c>
      <c r="D221">
        <f ca="1">IFERROR(__xludf.DUMMYFUNCTION("""COMPUTED_VALUE"""),8)</f>
        <v>8</v>
      </c>
      <c r="E221">
        <f ca="1">IFERROR(__xludf.DUMMYFUNCTION("""COMPUTED_VALUE"""),9.09)</f>
        <v>9.09</v>
      </c>
      <c r="F221">
        <f ca="1">IFERROR(__xludf.DUMMYFUNCTION("""COMPUTED_VALUE"""),1)</f>
        <v>1</v>
      </c>
      <c r="G221">
        <f ca="1">IFERROR(__xludf.DUMMYFUNCTION("""COMPUTED_VALUE"""),11)</f>
        <v>11</v>
      </c>
      <c r="H221">
        <f ca="1">IFERROR(__xludf.DUMMYFUNCTION("""COMPUTED_VALUE"""),-1)</f>
        <v>-1</v>
      </c>
      <c r="I221" t="str">
        <f ca="1">IFERROR(__xludf.DUMMYFUNCTION("""COMPUTED_VALUE"""),"+6.00")</f>
        <v>+6.00</v>
      </c>
    </row>
    <row r="222" spans="1:9" ht="12.75">
      <c r="A222" t="str">
        <f ca="1">IFERROR(__xludf.DUMMYFUNCTION("""COMPUTED_VALUE"""),"T220")</f>
        <v>T220</v>
      </c>
      <c r="B222" t="str">
        <f ca="1">IFERROR(__xludf.DUMMYFUNCTION("""COMPUTED_VALUE"""),"T214")</f>
        <v>T214</v>
      </c>
      <c r="C222" t="str">
        <f ca="1">IFERROR(__xludf.DUMMYFUNCTION("""COMPUTED_VALUE"""),"Andrew Putnam")</f>
        <v>Andrew Putnam</v>
      </c>
      <c r="D222">
        <f ca="1">IFERROR(__xludf.DUMMYFUNCTION("""COMPUTED_VALUE"""),19)</f>
        <v>19</v>
      </c>
      <c r="E222">
        <f ca="1">IFERROR(__xludf.DUMMYFUNCTION("""COMPUTED_VALUE"""),9.09)</f>
        <v>9.09</v>
      </c>
      <c r="F222">
        <f ca="1">IFERROR(__xludf.DUMMYFUNCTION("""COMPUTED_VALUE"""),2)</f>
        <v>2</v>
      </c>
      <c r="G222">
        <f ca="1">IFERROR(__xludf.DUMMYFUNCTION("""COMPUTED_VALUE"""),22)</f>
        <v>22</v>
      </c>
      <c r="H222">
        <f ca="1">IFERROR(__xludf.DUMMYFUNCTION("""COMPUTED_VALUE"""),-2)</f>
        <v>-2</v>
      </c>
      <c r="I222">
        <f ca="1">IFERROR(__xludf.DUMMYFUNCTION("""COMPUTED_VALUE"""),-10)</f>
        <v>-10</v>
      </c>
    </row>
    <row r="223" spans="1:9" ht="12.75">
      <c r="A223" t="str">
        <f ca="1">IFERROR(__xludf.DUMMYFUNCTION("""COMPUTED_VALUE"""),"T220")</f>
        <v>T220</v>
      </c>
      <c r="B223" t="str">
        <f ca="1">IFERROR(__xludf.DUMMYFUNCTION("""COMPUTED_VALUE"""),"T214")</f>
        <v>T214</v>
      </c>
      <c r="C223" t="str">
        <f ca="1">IFERROR(__xludf.DUMMYFUNCTION("""COMPUTED_VALUE"""),"Seonghyeon Kim")</f>
        <v>Seonghyeon Kim</v>
      </c>
      <c r="D223">
        <f ca="1">IFERROR(__xludf.DUMMYFUNCTION("""COMPUTED_VALUE"""),4)</f>
        <v>4</v>
      </c>
      <c r="E223">
        <f ca="1">IFERROR(__xludf.DUMMYFUNCTION("""COMPUTED_VALUE"""),9.09)</f>
        <v>9.09</v>
      </c>
      <c r="F223">
        <f ca="1">IFERROR(__xludf.DUMMYFUNCTION("""COMPUTED_VALUE"""),1)</f>
        <v>1</v>
      </c>
      <c r="G223">
        <f ca="1">IFERROR(__xludf.DUMMYFUNCTION("""COMPUTED_VALUE"""),11)</f>
        <v>11</v>
      </c>
      <c r="H223">
        <f ca="1">IFERROR(__xludf.DUMMYFUNCTION("""COMPUTED_VALUE"""),-1)</f>
        <v>-1</v>
      </c>
      <c r="I223" t="str">
        <f ca="1">IFERROR(__xludf.DUMMYFUNCTION("""COMPUTED_VALUE"""),"+2.00")</f>
        <v>+2.00</v>
      </c>
    </row>
    <row r="224" spans="1:9" ht="12.75">
      <c r="A224" t="str">
        <f ca="1">IFERROR(__xludf.DUMMYFUNCTION("""COMPUTED_VALUE"""),"T223")</f>
        <v>T223</v>
      </c>
      <c r="B224" t="str">
        <f ca="1">IFERROR(__xludf.DUMMYFUNCTION("""COMPUTED_VALUE"""),"T220")</f>
        <v>T220</v>
      </c>
      <c r="C224" t="str">
        <f ca="1">IFERROR(__xludf.DUMMYFUNCTION("""COMPUTED_VALUE"""),"Tiger Woods")</f>
        <v>Tiger Woods</v>
      </c>
      <c r="D224">
        <f ca="1">IFERROR(__xludf.DUMMYFUNCTION("""COMPUTED_VALUE"""),6)</f>
        <v>6</v>
      </c>
      <c r="E224">
        <f ca="1">IFERROR(__xludf.DUMMYFUNCTION("""COMPUTED_VALUE"""),8.33)</f>
        <v>8.33</v>
      </c>
      <c r="F224">
        <f ca="1">IFERROR(__xludf.DUMMYFUNCTION("""COMPUTED_VALUE"""),1)</f>
        <v>1</v>
      </c>
      <c r="G224">
        <f ca="1">IFERROR(__xludf.DUMMYFUNCTION("""COMPUTED_VALUE"""),12)</f>
        <v>12</v>
      </c>
      <c r="H224">
        <f ca="1">IFERROR(__xludf.DUMMYFUNCTION("""COMPUTED_VALUE"""),-1)</f>
        <v>-1</v>
      </c>
      <c r="I224" t="str">
        <f ca="1">IFERROR(__xludf.DUMMYFUNCTION("""COMPUTED_VALUE"""),"+1.00")</f>
        <v>+1.00</v>
      </c>
    </row>
    <row r="225" spans="1:9" ht="12.75">
      <c r="A225" t="str">
        <f ca="1">IFERROR(__xludf.DUMMYFUNCTION("""COMPUTED_VALUE"""),"T223")</f>
        <v>T223</v>
      </c>
      <c r="B225" t="str">
        <f ca="1">IFERROR(__xludf.DUMMYFUNCTION("""COMPUTED_VALUE"""),"T220")</f>
        <v>T220</v>
      </c>
      <c r="C225" t="str">
        <f ca="1">IFERROR(__xludf.DUMMYFUNCTION("""COMPUTED_VALUE"""),"Mark Anderson")</f>
        <v>Mark Anderson</v>
      </c>
      <c r="D225">
        <f ca="1">IFERROR(__xludf.DUMMYFUNCTION("""COMPUTED_VALUE"""),14)</f>
        <v>14</v>
      </c>
      <c r="E225">
        <f ca="1">IFERROR(__xludf.DUMMYFUNCTION("""COMPUTED_VALUE"""),8.33)</f>
        <v>8.33</v>
      </c>
      <c r="F225">
        <f ca="1">IFERROR(__xludf.DUMMYFUNCTION("""COMPUTED_VALUE"""),1)</f>
        <v>1</v>
      </c>
      <c r="G225">
        <f ca="1">IFERROR(__xludf.DUMMYFUNCTION("""COMPUTED_VALUE"""),12)</f>
        <v>12</v>
      </c>
      <c r="H225" t="str">
        <f ca="1">IFERROR(__xludf.DUMMYFUNCTION("""COMPUTED_VALUE"""),"E")</f>
        <v>E</v>
      </c>
      <c r="I225">
        <f ca="1">IFERROR(__xludf.DUMMYFUNCTION("""COMPUTED_VALUE"""),-5)</f>
        <v>-5</v>
      </c>
    </row>
    <row r="226" spans="1:9" ht="12.75">
      <c r="A226" t="str">
        <f ca="1">IFERROR(__xludf.DUMMYFUNCTION("""COMPUTED_VALUE"""),"T225")</f>
        <v>T225</v>
      </c>
      <c r="B226">
        <f ca="1">IFERROR(__xludf.DUMMYFUNCTION("""COMPUTED_VALUE"""),218)</f>
        <v>218</v>
      </c>
      <c r="C226" t="str">
        <f ca="1">IFERROR(__xludf.DUMMYFUNCTION("""COMPUTED_VALUE"""),"Sung Kang")</f>
        <v>Sung Kang</v>
      </c>
      <c r="D226">
        <f ca="1">IFERROR(__xludf.DUMMYFUNCTION("""COMPUTED_VALUE"""),14)</f>
        <v>14</v>
      </c>
      <c r="E226">
        <f ca="1">IFERROR(__xludf.DUMMYFUNCTION("""COMPUTED_VALUE"""),8.11)</f>
        <v>8.11</v>
      </c>
      <c r="F226">
        <f ca="1">IFERROR(__xludf.DUMMYFUNCTION("""COMPUTED_VALUE"""),3)</f>
        <v>3</v>
      </c>
      <c r="G226">
        <f ca="1">IFERROR(__xludf.DUMMYFUNCTION("""COMPUTED_VALUE"""),37)</f>
        <v>37</v>
      </c>
      <c r="H226">
        <f ca="1">IFERROR(__xludf.DUMMYFUNCTION("""COMPUTED_VALUE"""),-1)</f>
        <v>-1</v>
      </c>
      <c r="I226" t="str">
        <f ca="1">IFERROR(__xludf.DUMMYFUNCTION("""COMPUTED_VALUE"""),"E")</f>
        <v>E</v>
      </c>
    </row>
    <row r="227" spans="1:9" ht="12.75">
      <c r="A227" t="str">
        <f ca="1">IFERROR(__xludf.DUMMYFUNCTION("""COMPUTED_VALUE"""),"T225")</f>
        <v>T225</v>
      </c>
      <c r="B227">
        <f ca="1">IFERROR(__xludf.DUMMYFUNCTION("""COMPUTED_VALUE"""),219)</f>
        <v>219</v>
      </c>
      <c r="C227" t="str">
        <f ca="1">IFERROR(__xludf.DUMMYFUNCTION("""COMPUTED_VALUE"""),"Kyoung-Hoon Lee")</f>
        <v>Kyoung-Hoon Lee</v>
      </c>
      <c r="D227">
        <f ca="1">IFERROR(__xludf.DUMMYFUNCTION("""COMPUTED_VALUE"""),20)</f>
        <v>20</v>
      </c>
      <c r="E227">
        <f ca="1">IFERROR(__xludf.DUMMYFUNCTION("""COMPUTED_VALUE"""),8.11)</f>
        <v>8.11</v>
      </c>
      <c r="F227">
        <f ca="1">IFERROR(__xludf.DUMMYFUNCTION("""COMPUTED_VALUE"""),3)</f>
        <v>3</v>
      </c>
      <c r="G227">
        <f ca="1">IFERROR(__xludf.DUMMYFUNCTION("""COMPUTED_VALUE"""),37)</f>
        <v>37</v>
      </c>
      <c r="H227">
        <f ca="1">IFERROR(__xludf.DUMMYFUNCTION("""COMPUTED_VALUE"""),-5)</f>
        <v>-5</v>
      </c>
      <c r="I227" t="str">
        <f ca="1">IFERROR(__xludf.DUMMYFUNCTION("""COMPUTED_VALUE"""),"+4.00")</f>
        <v>+4.00</v>
      </c>
    </row>
    <row r="228" spans="1:9" ht="12.75">
      <c r="A228" t="str">
        <f ca="1">IFERROR(__xludf.DUMMYFUNCTION("""COMPUTED_VALUE"""),"T227")</f>
        <v>T227</v>
      </c>
      <c r="B228" t="str">
        <f ca="1">IFERROR(__xludf.DUMMYFUNCTION("""COMPUTED_VALUE"""),"T222")</f>
        <v>T222</v>
      </c>
      <c r="C228" t="str">
        <f ca="1">IFERROR(__xludf.DUMMYFUNCTION("""COMPUTED_VALUE"""),"Bill Haas")</f>
        <v>Bill Haas</v>
      </c>
      <c r="D228">
        <f ca="1">IFERROR(__xludf.DUMMYFUNCTION("""COMPUTED_VALUE"""),10)</f>
        <v>10</v>
      </c>
      <c r="E228">
        <f ca="1">IFERROR(__xludf.DUMMYFUNCTION("""COMPUTED_VALUE"""),7.69)</f>
        <v>7.69</v>
      </c>
      <c r="F228">
        <f ca="1">IFERROR(__xludf.DUMMYFUNCTION("""COMPUTED_VALUE"""),1)</f>
        <v>1</v>
      </c>
      <c r="G228">
        <f ca="1">IFERROR(__xludf.DUMMYFUNCTION("""COMPUTED_VALUE"""),13)</f>
        <v>13</v>
      </c>
      <c r="H228">
        <f ca="1">IFERROR(__xludf.DUMMYFUNCTION("""COMPUTED_VALUE"""),-1)</f>
        <v>-1</v>
      </c>
      <c r="I228">
        <f ca="1">IFERROR(__xludf.DUMMYFUNCTION("""COMPUTED_VALUE"""),-3)</f>
        <v>-3</v>
      </c>
    </row>
    <row r="229" spans="1:9" ht="12.75">
      <c r="A229" t="str">
        <f ca="1">IFERROR(__xludf.DUMMYFUNCTION("""COMPUTED_VALUE"""),"T227")</f>
        <v>T227</v>
      </c>
      <c r="B229" t="str">
        <f ca="1">IFERROR(__xludf.DUMMYFUNCTION("""COMPUTED_VALUE"""),"T214")</f>
        <v>T214</v>
      </c>
      <c r="C229" t="str">
        <f ca="1">IFERROR(__xludf.DUMMYFUNCTION("""COMPUTED_VALUE"""),"Keith Mitchell")</f>
        <v>Keith Mitchell</v>
      </c>
      <c r="D229">
        <f ca="1">IFERROR(__xludf.DUMMYFUNCTION("""COMPUTED_VALUE"""),14)</f>
        <v>14</v>
      </c>
      <c r="E229">
        <f ca="1">IFERROR(__xludf.DUMMYFUNCTION("""COMPUTED_VALUE"""),7.69)</f>
        <v>7.69</v>
      </c>
      <c r="F229">
        <f ca="1">IFERROR(__xludf.DUMMYFUNCTION("""COMPUTED_VALUE"""),1)</f>
        <v>1</v>
      </c>
      <c r="G229">
        <f ca="1">IFERROR(__xludf.DUMMYFUNCTION("""COMPUTED_VALUE"""),13)</f>
        <v>13</v>
      </c>
      <c r="H229">
        <f ca="1">IFERROR(__xludf.DUMMYFUNCTION("""COMPUTED_VALUE"""),-1)</f>
        <v>-1</v>
      </c>
      <c r="I229" t="str">
        <f ca="1">IFERROR(__xludf.DUMMYFUNCTION("""COMPUTED_VALUE"""),"+3.00")</f>
        <v>+3.00</v>
      </c>
    </row>
    <row r="230" spans="1:9" ht="12.75">
      <c r="A230" t="str">
        <f ca="1">IFERROR(__xludf.DUMMYFUNCTION("""COMPUTED_VALUE"""),"T229")</f>
        <v>T229</v>
      </c>
      <c r="B230">
        <f ca="1">IFERROR(__xludf.DUMMYFUNCTION("""COMPUTED_VALUE"""),225)</f>
        <v>225</v>
      </c>
      <c r="C230" t="str">
        <f ca="1">IFERROR(__xludf.DUMMYFUNCTION("""COMPUTED_VALUE"""),"Cameron Percy")</f>
        <v>Cameron Percy</v>
      </c>
      <c r="D230">
        <f ca="1">IFERROR(__xludf.DUMMYFUNCTION("""COMPUTED_VALUE"""),16)</f>
        <v>16</v>
      </c>
      <c r="E230">
        <f ca="1">IFERROR(__xludf.DUMMYFUNCTION("""COMPUTED_VALUE"""),7.14)</f>
        <v>7.14</v>
      </c>
      <c r="F230">
        <f ca="1">IFERROR(__xludf.DUMMYFUNCTION("""COMPUTED_VALUE"""),1)</f>
        <v>1</v>
      </c>
      <c r="G230">
        <f ca="1">IFERROR(__xludf.DUMMYFUNCTION("""COMPUTED_VALUE"""),14)</f>
        <v>14</v>
      </c>
      <c r="H230">
        <f ca="1">IFERROR(__xludf.DUMMYFUNCTION("""COMPUTED_VALUE"""),-2)</f>
        <v>-2</v>
      </c>
      <c r="I230">
        <f ca="1">IFERROR(__xludf.DUMMYFUNCTION("""COMPUTED_VALUE"""),-3)</f>
        <v>-3</v>
      </c>
    </row>
    <row r="231" spans="1:9" ht="12.75">
      <c r="A231" t="str">
        <f ca="1">IFERROR(__xludf.DUMMYFUNCTION("""COMPUTED_VALUE"""),"T229")</f>
        <v>T229</v>
      </c>
      <c r="B231" t="str">
        <f ca="1">IFERROR(__xludf.DUMMYFUNCTION("""COMPUTED_VALUE"""),"T222")</f>
        <v>T222</v>
      </c>
      <c r="C231" t="str">
        <f ca="1">IFERROR(__xludf.DUMMYFUNCTION("""COMPUTED_VALUE"""),"Robby Shelton")</f>
        <v>Robby Shelton</v>
      </c>
      <c r="D231">
        <f ca="1">IFERROR(__xludf.DUMMYFUNCTION("""COMPUTED_VALUE"""),14)</f>
        <v>14</v>
      </c>
      <c r="E231">
        <f ca="1">IFERROR(__xludf.DUMMYFUNCTION("""COMPUTED_VALUE"""),7.14)</f>
        <v>7.14</v>
      </c>
      <c r="F231">
        <f ca="1">IFERROR(__xludf.DUMMYFUNCTION("""COMPUTED_VALUE"""),3)</f>
        <v>3</v>
      </c>
      <c r="G231">
        <f ca="1">IFERROR(__xludf.DUMMYFUNCTION("""COMPUTED_VALUE"""),42)</f>
        <v>42</v>
      </c>
      <c r="H231">
        <f ca="1">IFERROR(__xludf.DUMMYFUNCTION("""COMPUTED_VALUE"""),-3)</f>
        <v>-3</v>
      </c>
      <c r="I231">
        <f ca="1">IFERROR(__xludf.DUMMYFUNCTION("""COMPUTED_VALUE"""),-1)</f>
        <v>-1</v>
      </c>
    </row>
    <row r="232" spans="1:9" ht="12.75">
      <c r="A232">
        <f ca="1">IFERROR(__xludf.DUMMYFUNCTION("""COMPUTED_VALUE"""),231)</f>
        <v>231</v>
      </c>
      <c r="B232">
        <f ca="1">IFERROR(__xludf.DUMMYFUNCTION("""COMPUTED_VALUE"""),226)</f>
        <v>226</v>
      </c>
      <c r="C232" t="str">
        <f ca="1">IFERROR(__xludf.DUMMYFUNCTION("""COMPUTED_VALUE"""),"Jaekyeong Lee")</f>
        <v>Jaekyeong Lee</v>
      </c>
      <c r="D232">
        <f ca="1">IFERROR(__xludf.DUMMYFUNCTION("""COMPUTED_VALUE"""),4)</f>
        <v>4</v>
      </c>
      <c r="E232">
        <f ca="1">IFERROR(__xludf.DUMMYFUNCTION("""COMPUTED_VALUE"""),6.67)</f>
        <v>6.67</v>
      </c>
      <c r="F232">
        <f ca="1">IFERROR(__xludf.DUMMYFUNCTION("""COMPUTED_VALUE"""),1)</f>
        <v>1</v>
      </c>
      <c r="G232">
        <f ca="1">IFERROR(__xludf.DUMMYFUNCTION("""COMPUTED_VALUE"""),15)</f>
        <v>15</v>
      </c>
      <c r="H232">
        <f ca="1">IFERROR(__xludf.DUMMYFUNCTION("""COMPUTED_VALUE"""),-2)</f>
        <v>-2</v>
      </c>
      <c r="I232" t="str">
        <f ca="1">IFERROR(__xludf.DUMMYFUNCTION("""COMPUTED_VALUE"""),"+2.00")</f>
        <v>+2.00</v>
      </c>
    </row>
    <row r="233" spans="1:9" ht="12.75">
      <c r="A233">
        <f ca="1">IFERROR(__xludf.DUMMYFUNCTION("""COMPUTED_VALUE"""),232)</f>
        <v>232</v>
      </c>
      <c r="B233" t="str">
        <f ca="1">IFERROR(__xludf.DUMMYFUNCTION("""COMPUTED_VALUE"""),"T214")</f>
        <v>T214</v>
      </c>
      <c r="C233" t="str">
        <f ca="1">IFERROR(__xludf.DUMMYFUNCTION("""COMPUTED_VALUE"""),"Aaron Wise")</f>
        <v>Aaron Wise</v>
      </c>
      <c r="D233">
        <f ca="1">IFERROR(__xludf.DUMMYFUNCTION("""COMPUTED_VALUE"""),16)</f>
        <v>16</v>
      </c>
      <c r="E233">
        <f ca="1">IFERROR(__xludf.DUMMYFUNCTION("""COMPUTED_VALUE"""),6.45)</f>
        <v>6.45</v>
      </c>
      <c r="F233">
        <f ca="1">IFERROR(__xludf.DUMMYFUNCTION("""COMPUTED_VALUE"""),2)</f>
        <v>2</v>
      </c>
      <c r="G233">
        <f ca="1">IFERROR(__xludf.DUMMYFUNCTION("""COMPUTED_VALUE"""),31)</f>
        <v>31</v>
      </c>
      <c r="H233">
        <f ca="1">IFERROR(__xludf.DUMMYFUNCTION("""COMPUTED_VALUE"""),-2)</f>
        <v>-2</v>
      </c>
      <c r="I233">
        <f ca="1">IFERROR(__xludf.DUMMYFUNCTION("""COMPUTED_VALUE"""),-6)</f>
        <v>-6</v>
      </c>
    </row>
    <row r="234" spans="1:9" ht="12.75">
      <c r="A234" t="str">
        <f ca="1">IFERROR(__xludf.DUMMYFUNCTION("""COMPUTED_VALUE"""),"T233")</f>
        <v>T233</v>
      </c>
      <c r="B234">
        <f ca="1">IFERROR(__xludf.DUMMYFUNCTION("""COMPUTED_VALUE"""),228)</f>
        <v>228</v>
      </c>
      <c r="C234" t="str">
        <f ca="1">IFERROR(__xludf.DUMMYFUNCTION("""COMPUTED_VALUE"""),"Branden Grace")</f>
        <v>Branden Grace</v>
      </c>
      <c r="D234">
        <f ca="1">IFERROR(__xludf.DUMMYFUNCTION("""COMPUTED_VALUE"""),16)</f>
        <v>16</v>
      </c>
      <c r="E234">
        <f ca="1">IFERROR(__xludf.DUMMYFUNCTION("""COMPUTED_VALUE"""),5.88)</f>
        <v>5.88</v>
      </c>
      <c r="F234">
        <f ca="1">IFERROR(__xludf.DUMMYFUNCTION("""COMPUTED_VALUE"""),1)</f>
        <v>1</v>
      </c>
      <c r="G234">
        <f ca="1">IFERROR(__xludf.DUMMYFUNCTION("""COMPUTED_VALUE"""),17)</f>
        <v>17</v>
      </c>
      <c r="H234">
        <f ca="1">IFERROR(__xludf.DUMMYFUNCTION("""COMPUTED_VALUE"""),-2)</f>
        <v>-2</v>
      </c>
      <c r="I234" t="str">
        <f ca="1">IFERROR(__xludf.DUMMYFUNCTION("""COMPUTED_VALUE"""),"+4.00")</f>
        <v>+4.00</v>
      </c>
    </row>
    <row r="235" spans="1:9" ht="12.75">
      <c r="A235" t="str">
        <f ca="1">IFERROR(__xludf.DUMMYFUNCTION("""COMPUTED_VALUE"""),"T233")</f>
        <v>T233</v>
      </c>
      <c r="B235">
        <f ca="1">IFERROR(__xludf.DUMMYFUNCTION("""COMPUTED_VALUE"""),229)</f>
        <v>229</v>
      </c>
      <c r="C235" t="str">
        <f ca="1">IFERROR(__xludf.DUMMYFUNCTION("""COMPUTED_VALUE"""),"Joohyung Kim")</f>
        <v>Joohyung Kim</v>
      </c>
      <c r="D235">
        <f ca="1">IFERROR(__xludf.DUMMYFUNCTION("""COMPUTED_VALUE"""),12)</f>
        <v>12</v>
      </c>
      <c r="E235">
        <f ca="1">IFERROR(__xludf.DUMMYFUNCTION("""COMPUTED_VALUE"""),5.88)</f>
        <v>5.88</v>
      </c>
      <c r="F235">
        <f ca="1">IFERROR(__xludf.DUMMYFUNCTION("""COMPUTED_VALUE"""),1)</f>
        <v>1</v>
      </c>
      <c r="G235">
        <f ca="1">IFERROR(__xludf.DUMMYFUNCTION("""COMPUTED_VALUE"""),17)</f>
        <v>17</v>
      </c>
      <c r="H235">
        <f ca="1">IFERROR(__xludf.DUMMYFUNCTION("""COMPUTED_VALUE"""),-1)</f>
        <v>-1</v>
      </c>
      <c r="I235">
        <f ca="1">IFERROR(__xludf.DUMMYFUNCTION("""COMPUTED_VALUE"""),-2)</f>
        <v>-2</v>
      </c>
    </row>
    <row r="236" spans="1:9" ht="12.75">
      <c r="A236" t="str">
        <f ca="1">IFERROR(__xludf.DUMMYFUNCTION("""COMPUTED_VALUE"""),"T233")</f>
        <v>T233</v>
      </c>
      <c r="B236" t="str">
        <f ca="1">IFERROR(__xludf.DUMMYFUNCTION("""COMPUTED_VALUE"""),"T208")</f>
        <v>T208</v>
      </c>
      <c r="C236" t="str">
        <f ca="1">IFERROR(__xludf.DUMMYFUNCTION("""COMPUTED_VALUE"""),"Isaiah Salinda")</f>
        <v>Isaiah Salinda</v>
      </c>
      <c r="D236">
        <f ca="1">IFERROR(__xludf.DUMMYFUNCTION("""COMPUTED_VALUE"""),8)</f>
        <v>8</v>
      </c>
      <c r="E236">
        <f ca="1">IFERROR(__xludf.DUMMYFUNCTION("""COMPUTED_VALUE"""),5.88)</f>
        <v>5.88</v>
      </c>
      <c r="F236">
        <f ca="1">IFERROR(__xludf.DUMMYFUNCTION("""COMPUTED_VALUE"""),1)</f>
        <v>1</v>
      </c>
      <c r="G236">
        <f ca="1">IFERROR(__xludf.DUMMYFUNCTION("""COMPUTED_VALUE"""),17)</f>
        <v>17</v>
      </c>
      <c r="H236">
        <f ca="1">IFERROR(__xludf.DUMMYFUNCTION("""COMPUTED_VALUE"""),-2)</f>
        <v>-2</v>
      </c>
      <c r="I236" t="str">
        <f ca="1">IFERROR(__xludf.DUMMYFUNCTION("""COMPUTED_VALUE"""),"+1.00")</f>
        <v>+1.00</v>
      </c>
    </row>
    <row r="237" spans="1:9" ht="12.75">
      <c r="A237" t="str">
        <f ca="1">IFERROR(__xludf.DUMMYFUNCTION("""COMPUTED_VALUE"""),"T236")</f>
        <v>T236</v>
      </c>
      <c r="B237" t="str">
        <f ca="1">IFERROR(__xludf.DUMMYFUNCTION("""COMPUTED_VALUE"""),"T230")</f>
        <v>T230</v>
      </c>
      <c r="C237" t="str">
        <f ca="1">IFERROR(__xludf.DUMMYFUNCTION("""COMPUTED_VALUE"""),"Roger Sloan")</f>
        <v>Roger Sloan</v>
      </c>
      <c r="D237">
        <f ca="1">IFERROR(__xludf.DUMMYFUNCTION("""COMPUTED_VALUE"""),12)</f>
        <v>12</v>
      </c>
      <c r="E237">
        <f ca="1">IFERROR(__xludf.DUMMYFUNCTION("""COMPUTED_VALUE"""),5.56)</f>
        <v>5.56</v>
      </c>
      <c r="F237">
        <f ca="1">IFERROR(__xludf.DUMMYFUNCTION("""COMPUTED_VALUE"""),1)</f>
        <v>1</v>
      </c>
      <c r="G237">
        <f ca="1">IFERROR(__xludf.DUMMYFUNCTION("""COMPUTED_VALUE"""),18)</f>
        <v>18</v>
      </c>
      <c r="H237">
        <f ca="1">IFERROR(__xludf.DUMMYFUNCTION("""COMPUTED_VALUE"""),-1)</f>
        <v>-1</v>
      </c>
      <c r="I237" t="str">
        <f ca="1">IFERROR(__xludf.DUMMYFUNCTION("""COMPUTED_VALUE"""),"E")</f>
        <v>E</v>
      </c>
    </row>
    <row r="238" spans="1:9" ht="12.75">
      <c r="A238" t="str">
        <f ca="1">IFERROR(__xludf.DUMMYFUNCTION("""COMPUTED_VALUE"""),"T236")</f>
        <v>T236</v>
      </c>
      <c r="B238" t="str">
        <f ca="1">IFERROR(__xludf.DUMMYFUNCTION("""COMPUTED_VALUE"""),"T230")</f>
        <v>T230</v>
      </c>
      <c r="C238" t="str">
        <f ca="1">IFERROR(__xludf.DUMMYFUNCTION("""COMPUTED_VALUE"""),"Sahith Theegala")</f>
        <v>Sahith Theegala</v>
      </c>
      <c r="D238">
        <f ca="1">IFERROR(__xludf.DUMMYFUNCTION("""COMPUTED_VALUE"""),6)</f>
        <v>6</v>
      </c>
      <c r="E238">
        <f ca="1">IFERROR(__xludf.DUMMYFUNCTION("""COMPUTED_VALUE"""),5.56)</f>
        <v>5.56</v>
      </c>
      <c r="F238">
        <f ca="1">IFERROR(__xludf.DUMMYFUNCTION("""COMPUTED_VALUE"""),1)</f>
        <v>1</v>
      </c>
      <c r="G238">
        <f ca="1">IFERROR(__xludf.DUMMYFUNCTION("""COMPUTED_VALUE"""),18)</f>
        <v>18</v>
      </c>
      <c r="H238">
        <f ca="1">IFERROR(__xludf.DUMMYFUNCTION("""COMPUTED_VALUE"""),-1)</f>
        <v>-1</v>
      </c>
      <c r="I238">
        <f ca="1">IFERROR(__xludf.DUMMYFUNCTION("""COMPUTED_VALUE"""),-1)</f>
        <v>-1</v>
      </c>
    </row>
    <row r="239" spans="1:9" ht="12.75">
      <c r="A239">
        <f ca="1">IFERROR(__xludf.DUMMYFUNCTION("""COMPUTED_VALUE"""),238)</f>
        <v>238</v>
      </c>
      <c r="B239">
        <f ca="1">IFERROR(__xludf.DUMMYFUNCTION("""COMPUTED_VALUE"""),227)</f>
        <v>227</v>
      </c>
      <c r="C239" t="str">
        <f ca="1">IFERROR(__xludf.DUMMYFUNCTION("""COMPUTED_VALUE"""),"Michael Thompson")</f>
        <v>Michael Thompson</v>
      </c>
      <c r="D239">
        <f ca="1">IFERROR(__xludf.DUMMYFUNCTION("""COMPUTED_VALUE"""),16)</f>
        <v>16</v>
      </c>
      <c r="E239">
        <f ca="1">IFERROR(__xludf.DUMMYFUNCTION("""COMPUTED_VALUE"""),5.41)</f>
        <v>5.41</v>
      </c>
      <c r="F239">
        <f ca="1">IFERROR(__xludf.DUMMYFUNCTION("""COMPUTED_VALUE"""),2)</f>
        <v>2</v>
      </c>
      <c r="G239">
        <f ca="1">IFERROR(__xludf.DUMMYFUNCTION("""COMPUTED_VALUE"""),37)</f>
        <v>37</v>
      </c>
      <c r="H239">
        <f ca="1">IFERROR(__xludf.DUMMYFUNCTION("""COMPUTED_VALUE"""),-2)</f>
        <v>-2</v>
      </c>
      <c r="I239">
        <f ca="1">IFERROR(__xludf.DUMMYFUNCTION("""COMPUTED_VALUE"""),-3)</f>
        <v>-3</v>
      </c>
    </row>
    <row r="240" spans="1:9" ht="12.75">
      <c r="A240" t="str">
        <f ca="1">IFERROR(__xludf.DUMMYFUNCTION("""COMPUTED_VALUE"""),"T239")</f>
        <v>T239</v>
      </c>
      <c r="B240" t="str">
        <f ca="1">IFERROR(__xludf.DUMMYFUNCTION("""COMPUTED_VALUE"""),"T232")</f>
        <v>T232</v>
      </c>
      <c r="C240" t="str">
        <f ca="1">IFERROR(__xludf.DUMMYFUNCTION("""COMPUTED_VALUE"""),"Jim Furyk")</f>
        <v>Jim Furyk</v>
      </c>
      <c r="D240">
        <f ca="1">IFERROR(__xludf.DUMMYFUNCTION("""COMPUTED_VALUE"""),4)</f>
        <v>4</v>
      </c>
      <c r="E240">
        <f ca="1">IFERROR(__xludf.DUMMYFUNCTION("""COMPUTED_VALUE"""),0)</f>
        <v>0</v>
      </c>
      <c r="F240">
        <f ca="1">IFERROR(__xludf.DUMMYFUNCTION("""COMPUTED_VALUE"""),0)</f>
        <v>0</v>
      </c>
      <c r="G240">
        <f ca="1">IFERROR(__xludf.DUMMYFUNCTION("""COMPUTED_VALUE"""),1)</f>
        <v>1</v>
      </c>
      <c r="H240" t="str">
        <f ca="1">IFERROR(__xludf.DUMMYFUNCTION("""COMPUTED_VALUE"""),"E")</f>
        <v>E</v>
      </c>
      <c r="I240">
        <f ca="1">IFERROR(__xludf.DUMMYFUNCTION("""COMPUTED_VALUE"""),-4)</f>
        <v>-4</v>
      </c>
    </row>
    <row r="241" spans="1:9" ht="12.75">
      <c r="A241" t="str">
        <f ca="1">IFERROR(__xludf.DUMMYFUNCTION("""COMPUTED_VALUE"""),"T239")</f>
        <v>T239</v>
      </c>
      <c r="B241" t="str">
        <f ca="1">IFERROR(__xludf.DUMMYFUNCTION("""COMPUTED_VALUE"""),"T232")</f>
        <v>T232</v>
      </c>
      <c r="C241" t="str">
        <f ca="1">IFERROR(__xludf.DUMMYFUNCTION("""COMPUTED_VALUE"""),"Ryan Armour")</f>
        <v>Ryan Armour</v>
      </c>
      <c r="D241">
        <f ca="1">IFERROR(__xludf.DUMMYFUNCTION("""COMPUTED_VALUE"""),16)</f>
        <v>16</v>
      </c>
      <c r="E241">
        <f ca="1">IFERROR(__xludf.DUMMYFUNCTION("""COMPUTED_VALUE"""),0)</f>
        <v>0</v>
      </c>
      <c r="F241">
        <f ca="1">IFERROR(__xludf.DUMMYFUNCTION("""COMPUTED_VALUE"""),0)</f>
        <v>0</v>
      </c>
      <c r="G241">
        <f ca="1">IFERROR(__xludf.DUMMYFUNCTION("""COMPUTED_VALUE"""),7)</f>
        <v>7</v>
      </c>
      <c r="H241" t="str">
        <f ca="1">IFERROR(__xludf.DUMMYFUNCTION("""COMPUTED_VALUE"""),"E")</f>
        <v>E</v>
      </c>
      <c r="I241">
        <f ca="1">IFERROR(__xludf.DUMMYFUNCTION("""COMPUTED_VALUE"""),-6)</f>
        <v>-6</v>
      </c>
    </row>
    <row r="242" spans="1:9" ht="12.75">
      <c r="A242" t="str">
        <f ca="1">IFERROR(__xludf.DUMMYFUNCTION("""COMPUTED_VALUE"""),"T239")</f>
        <v>T239</v>
      </c>
      <c r="B242" t="str">
        <f ca="1">IFERROR(__xludf.DUMMYFUNCTION("""COMPUTED_VALUE"""),"T232")</f>
        <v>T232</v>
      </c>
      <c r="C242" t="str">
        <f ca="1">IFERROR(__xludf.DUMMYFUNCTION("""COMPUTED_VALUE"""),"Alex Cejka")</f>
        <v>Alex Cejka</v>
      </c>
      <c r="D242">
        <f ca="1">IFERROR(__xludf.DUMMYFUNCTION("""COMPUTED_VALUE"""),6)</f>
        <v>6</v>
      </c>
      <c r="E242">
        <f ca="1">IFERROR(__xludf.DUMMYFUNCTION("""COMPUTED_VALUE"""),0)</f>
        <v>0</v>
      </c>
      <c r="F242">
        <f ca="1">IFERROR(__xludf.DUMMYFUNCTION("""COMPUTED_VALUE"""),0)</f>
        <v>0</v>
      </c>
      <c r="G242">
        <f ca="1">IFERROR(__xludf.DUMMYFUNCTION("""COMPUTED_VALUE"""),5)</f>
        <v>5</v>
      </c>
      <c r="H242" t="str">
        <f ca="1">IFERROR(__xludf.DUMMYFUNCTION("""COMPUTED_VALUE"""),"E")</f>
        <v>E</v>
      </c>
      <c r="I242" t="str">
        <f ca="1">IFERROR(__xludf.DUMMYFUNCTION("""COMPUTED_VALUE"""),"+1.00")</f>
        <v>+1.00</v>
      </c>
    </row>
    <row r="243" spans="1:9" ht="12.75">
      <c r="A243" t="str">
        <f ca="1">IFERROR(__xludf.DUMMYFUNCTION("""COMPUTED_VALUE"""),"T239")</f>
        <v>T239</v>
      </c>
      <c r="B243" t="str">
        <f ca="1">IFERROR(__xludf.DUMMYFUNCTION("""COMPUTED_VALUE"""),"")</f>
        <v/>
      </c>
      <c r="C243" t="str">
        <f ca="1">IFERROR(__xludf.DUMMYFUNCTION("""COMPUTED_VALUE"""),"Greg Chalmers")</f>
        <v>Greg Chalmers</v>
      </c>
      <c r="D243">
        <f ca="1">IFERROR(__xludf.DUMMYFUNCTION("""COMPUTED_VALUE"""),6)</f>
        <v>6</v>
      </c>
      <c r="E243">
        <f ca="1">IFERROR(__xludf.DUMMYFUNCTION("""COMPUTED_VALUE"""),0)</f>
        <v>0</v>
      </c>
      <c r="F243">
        <f ca="1">IFERROR(__xludf.DUMMYFUNCTION("""COMPUTED_VALUE"""),0)</f>
        <v>0</v>
      </c>
      <c r="G243">
        <f ca="1">IFERROR(__xludf.DUMMYFUNCTION("""COMPUTED_VALUE"""),9)</f>
        <v>9</v>
      </c>
      <c r="H243" t="str">
        <f ca="1">IFERROR(__xludf.DUMMYFUNCTION("""COMPUTED_VALUE"""),"E")</f>
        <v>E</v>
      </c>
      <c r="I243">
        <f ca="1">IFERROR(__xludf.DUMMYFUNCTION("""COMPUTED_VALUE"""),-3)</f>
        <v>-3</v>
      </c>
    </row>
    <row r="244" spans="1:9" ht="12.75">
      <c r="A244" t="str">
        <f ca="1">IFERROR(__xludf.DUMMYFUNCTION("""COMPUTED_VALUE"""),"T239")</f>
        <v>T239</v>
      </c>
      <c r="B244" t="str">
        <f ca="1">IFERROR(__xludf.DUMMYFUNCTION("""COMPUTED_VALUE"""),"T232")</f>
        <v>T232</v>
      </c>
      <c r="C244" t="str">
        <f ca="1">IFERROR(__xludf.DUMMYFUNCTION("""COMPUTED_VALUE"""),"John Senden")</f>
        <v>John Senden</v>
      </c>
      <c r="D244">
        <f ca="1">IFERROR(__xludf.DUMMYFUNCTION("""COMPUTED_VALUE"""),8)</f>
        <v>8</v>
      </c>
      <c r="E244">
        <f ca="1">IFERROR(__xludf.DUMMYFUNCTION("""COMPUTED_VALUE"""),0)</f>
        <v>0</v>
      </c>
      <c r="F244">
        <f ca="1">IFERROR(__xludf.DUMMYFUNCTION("""COMPUTED_VALUE"""),0)</f>
        <v>0</v>
      </c>
      <c r="G244">
        <f ca="1">IFERROR(__xludf.DUMMYFUNCTION("""COMPUTED_VALUE"""),3)</f>
        <v>3</v>
      </c>
      <c r="H244" t="str">
        <f ca="1">IFERROR(__xludf.DUMMYFUNCTION("""COMPUTED_VALUE"""),"E")</f>
        <v>E</v>
      </c>
      <c r="I244" t="str">
        <f ca="1">IFERROR(__xludf.DUMMYFUNCTION("""COMPUTED_VALUE"""),"+2.00")</f>
        <v>+2.00</v>
      </c>
    </row>
    <row r="245" spans="1:9" ht="12.75">
      <c r="A245" t="str">
        <f ca="1">IFERROR(__xludf.DUMMYFUNCTION("""COMPUTED_VALUE"""),"T239")</f>
        <v>T239</v>
      </c>
      <c r="B245" t="str">
        <f ca="1">IFERROR(__xludf.DUMMYFUNCTION("""COMPUTED_VALUE"""),"T232")</f>
        <v>T232</v>
      </c>
      <c r="C245" t="str">
        <f ca="1">IFERROR(__xludf.DUMMYFUNCTION("""COMPUTED_VALUE"""),"Brad Kennedy")</f>
        <v>Brad Kennedy</v>
      </c>
      <c r="D245">
        <f ca="1">IFERROR(__xludf.DUMMYFUNCTION("""COMPUTED_VALUE"""),4)</f>
        <v>4</v>
      </c>
      <c r="E245">
        <f ca="1">IFERROR(__xludf.DUMMYFUNCTION("""COMPUTED_VALUE"""),0)</f>
        <v>0</v>
      </c>
      <c r="F245">
        <f ca="1">IFERROR(__xludf.DUMMYFUNCTION("""COMPUTED_VALUE"""),0)</f>
        <v>0</v>
      </c>
      <c r="G245">
        <f ca="1">IFERROR(__xludf.DUMMYFUNCTION("""COMPUTED_VALUE"""),5)</f>
        <v>5</v>
      </c>
      <c r="H245" t="str">
        <f ca="1">IFERROR(__xludf.DUMMYFUNCTION("""COMPUTED_VALUE"""),"E")</f>
        <v>E</v>
      </c>
      <c r="I245">
        <f ca="1">IFERROR(__xludf.DUMMYFUNCTION("""COMPUTED_VALUE"""),-7)</f>
        <v>-7</v>
      </c>
    </row>
    <row r="246" spans="1:9" ht="12.75">
      <c r="A246" t="str">
        <f ca="1">IFERROR(__xludf.DUMMYFUNCTION("""COMPUTED_VALUE"""),"T239")</f>
        <v>T239</v>
      </c>
      <c r="B246" t="str">
        <f ca="1">IFERROR(__xludf.DUMMYFUNCTION("""COMPUTED_VALUE"""),"T232")</f>
        <v>T232</v>
      </c>
      <c r="C246" t="str">
        <f ca="1">IFERROR(__xludf.DUMMYFUNCTION("""COMPUTED_VALUE"""),"K.J. Choi")</f>
        <v>K.J. Choi</v>
      </c>
      <c r="D246">
        <f ca="1">IFERROR(__xludf.DUMMYFUNCTION("""COMPUTED_VALUE"""),6)</f>
        <v>6</v>
      </c>
      <c r="E246">
        <f ca="1">IFERROR(__xludf.DUMMYFUNCTION("""COMPUTED_VALUE"""),0)</f>
        <v>0</v>
      </c>
      <c r="F246">
        <f ca="1">IFERROR(__xludf.DUMMYFUNCTION("""COMPUTED_VALUE"""),0)</f>
        <v>0</v>
      </c>
      <c r="G246">
        <f ca="1">IFERROR(__xludf.DUMMYFUNCTION("""COMPUTED_VALUE"""),6)</f>
        <v>6</v>
      </c>
      <c r="H246" t="str">
        <f ca="1">IFERROR(__xludf.DUMMYFUNCTION("""COMPUTED_VALUE"""),"E")</f>
        <v>E</v>
      </c>
      <c r="I246">
        <f ca="1">IFERROR(__xludf.DUMMYFUNCTION("""COMPUTED_VALUE"""),-7)</f>
        <v>-7</v>
      </c>
    </row>
    <row r="247" spans="1:9" ht="12.75">
      <c r="A247" t="str">
        <f ca="1">IFERROR(__xludf.DUMMYFUNCTION("""COMPUTED_VALUE"""),"T239")</f>
        <v>T239</v>
      </c>
      <c r="B247" t="str">
        <f ca="1">IFERROR(__xludf.DUMMYFUNCTION("""COMPUTED_VALUE"""),"T232")</f>
        <v>T232</v>
      </c>
      <c r="C247" t="str">
        <f ca="1">IFERROR(__xludf.DUMMYFUNCTION("""COMPUTED_VALUE"""),"Parker McLachlin")</f>
        <v>Parker McLachlin</v>
      </c>
      <c r="D247">
        <f ca="1">IFERROR(__xludf.DUMMYFUNCTION("""COMPUTED_VALUE"""),4)</f>
        <v>4</v>
      </c>
      <c r="E247">
        <f ca="1">IFERROR(__xludf.DUMMYFUNCTION("""COMPUTED_VALUE"""),0)</f>
        <v>0</v>
      </c>
      <c r="F247">
        <f ca="1">IFERROR(__xludf.DUMMYFUNCTION("""COMPUTED_VALUE"""),0)</f>
        <v>0</v>
      </c>
      <c r="G247">
        <f ca="1">IFERROR(__xludf.DUMMYFUNCTION("""COMPUTED_VALUE"""),1)</f>
        <v>1</v>
      </c>
      <c r="H247" t="str">
        <f ca="1">IFERROR(__xludf.DUMMYFUNCTION("""COMPUTED_VALUE"""),"E")</f>
        <v>E</v>
      </c>
      <c r="I247" t="str">
        <f ca="1">IFERROR(__xludf.DUMMYFUNCTION("""COMPUTED_VALUE"""),"E")</f>
        <v>E</v>
      </c>
    </row>
    <row r="248" spans="1:9" ht="12.75">
      <c r="A248" t="str">
        <f ca="1">IFERROR(__xludf.DUMMYFUNCTION("""COMPUTED_VALUE"""),"T239")</f>
        <v>T239</v>
      </c>
      <c r="B248" t="str">
        <f ca="1">IFERROR(__xludf.DUMMYFUNCTION("""COMPUTED_VALUE"""),"T232")</f>
        <v>T232</v>
      </c>
      <c r="C248" t="str">
        <f ca="1">IFERROR(__xludf.DUMMYFUNCTION("""COMPUTED_VALUE"""),"David Hearn")</f>
        <v>David Hearn</v>
      </c>
      <c r="D248">
        <f ca="1">IFERROR(__xludf.DUMMYFUNCTION("""COMPUTED_VALUE"""),16)</f>
        <v>16</v>
      </c>
      <c r="E248">
        <f ca="1">IFERROR(__xludf.DUMMYFUNCTION("""COMPUTED_VALUE"""),0)</f>
        <v>0</v>
      </c>
      <c r="F248">
        <f ca="1">IFERROR(__xludf.DUMMYFUNCTION("""COMPUTED_VALUE"""),0)</f>
        <v>0</v>
      </c>
      <c r="G248">
        <f ca="1">IFERROR(__xludf.DUMMYFUNCTION("""COMPUTED_VALUE"""),8)</f>
        <v>8</v>
      </c>
      <c r="H248" t="str">
        <f ca="1">IFERROR(__xludf.DUMMYFUNCTION("""COMPUTED_VALUE"""),"E")</f>
        <v>E</v>
      </c>
      <c r="I248">
        <f ca="1">IFERROR(__xludf.DUMMYFUNCTION("""COMPUTED_VALUE"""),-1)</f>
        <v>-1</v>
      </c>
    </row>
    <row r="249" spans="1:9" ht="12.75">
      <c r="A249" t="str">
        <f ca="1">IFERROR(__xludf.DUMMYFUNCTION("""COMPUTED_VALUE"""),"T239")</f>
        <v>T239</v>
      </c>
      <c r="B249" t="str">
        <f ca="1">IFERROR(__xludf.DUMMYFUNCTION("""COMPUTED_VALUE"""),"T232")</f>
        <v>T232</v>
      </c>
      <c r="C249" t="str">
        <f ca="1">IFERROR(__xludf.DUMMYFUNCTION("""COMPUTED_VALUE"""),"Jay McLuen")</f>
        <v>Jay McLuen</v>
      </c>
      <c r="D249">
        <f ca="1">IFERROR(__xludf.DUMMYFUNCTION("""COMPUTED_VALUE"""),4)</f>
        <v>4</v>
      </c>
      <c r="E249">
        <f ca="1">IFERROR(__xludf.DUMMYFUNCTION("""COMPUTED_VALUE"""),0)</f>
        <v>0</v>
      </c>
      <c r="F249">
        <f ca="1">IFERROR(__xludf.DUMMYFUNCTION("""COMPUTED_VALUE"""),0)</f>
        <v>0</v>
      </c>
      <c r="G249">
        <f ca="1">IFERROR(__xludf.DUMMYFUNCTION("""COMPUTED_VALUE"""),6)</f>
        <v>6</v>
      </c>
      <c r="H249" t="str">
        <f ca="1">IFERROR(__xludf.DUMMYFUNCTION("""COMPUTED_VALUE"""),"E")</f>
        <v>E</v>
      </c>
      <c r="I249">
        <f ca="1">IFERROR(__xludf.DUMMYFUNCTION("""COMPUTED_VALUE"""),-3)</f>
        <v>-3</v>
      </c>
    </row>
    <row r="250" spans="1:9" ht="12.75">
      <c r="A250" t="str">
        <f ca="1">IFERROR(__xludf.DUMMYFUNCTION("""COMPUTED_VALUE"""),"T239")</f>
        <v>T239</v>
      </c>
      <c r="B250" t="str">
        <f ca="1">IFERROR(__xludf.DUMMYFUNCTION("""COMPUTED_VALUE"""),"T232")</f>
        <v>T232</v>
      </c>
      <c r="C250" t="str">
        <f ca="1">IFERROR(__xludf.DUMMYFUNCTION("""COMPUTED_VALUE"""),"Chris Stroud")</f>
        <v>Chris Stroud</v>
      </c>
      <c r="D250">
        <f ca="1">IFERROR(__xludf.DUMMYFUNCTION("""COMPUTED_VALUE"""),6)</f>
        <v>6</v>
      </c>
      <c r="E250">
        <f ca="1">IFERROR(__xludf.DUMMYFUNCTION("""COMPUTED_VALUE"""),0)</f>
        <v>0</v>
      </c>
      <c r="F250">
        <f ca="1">IFERROR(__xludf.DUMMYFUNCTION("""COMPUTED_VALUE"""),0)</f>
        <v>0</v>
      </c>
      <c r="G250">
        <f ca="1">IFERROR(__xludf.DUMMYFUNCTION("""COMPUTED_VALUE"""),8)</f>
        <v>8</v>
      </c>
      <c r="H250" t="str">
        <f ca="1">IFERROR(__xludf.DUMMYFUNCTION("""COMPUTED_VALUE"""),"E")</f>
        <v>E</v>
      </c>
      <c r="I250" t="str">
        <f ca="1">IFERROR(__xludf.DUMMYFUNCTION("""COMPUTED_VALUE"""),"+2.00")</f>
        <v>+2.00</v>
      </c>
    </row>
    <row r="251" spans="1:9" ht="12.75">
      <c r="A251" t="str">
        <f ca="1">IFERROR(__xludf.DUMMYFUNCTION("""COMPUTED_VALUE"""),"T239")</f>
        <v>T239</v>
      </c>
      <c r="B251" t="str">
        <f ca="1">IFERROR(__xludf.DUMMYFUNCTION("""COMPUTED_VALUE"""),"")</f>
        <v/>
      </c>
      <c r="C251" t="str">
        <f ca="1">IFERROR(__xludf.DUMMYFUNCTION("""COMPUTED_VALUE"""),"Dawie van der Walt")</f>
        <v>Dawie van der Walt</v>
      </c>
      <c r="D251">
        <f ca="1">IFERROR(__xludf.DUMMYFUNCTION("""COMPUTED_VALUE"""),4)</f>
        <v>4</v>
      </c>
      <c r="E251">
        <f ca="1">IFERROR(__xludf.DUMMYFUNCTION("""COMPUTED_VALUE"""),0)</f>
        <v>0</v>
      </c>
      <c r="F251">
        <f ca="1">IFERROR(__xludf.DUMMYFUNCTION("""COMPUTED_VALUE"""),0)</f>
        <v>0</v>
      </c>
      <c r="G251">
        <f ca="1">IFERROR(__xludf.DUMMYFUNCTION("""COMPUTED_VALUE"""),4)</f>
        <v>4</v>
      </c>
      <c r="H251" t="str">
        <f ca="1">IFERROR(__xludf.DUMMYFUNCTION("""COMPUTED_VALUE"""),"E")</f>
        <v>E</v>
      </c>
      <c r="I251">
        <f ca="1">IFERROR(__xludf.DUMMYFUNCTION("""COMPUTED_VALUE"""),-4)</f>
        <v>-4</v>
      </c>
    </row>
    <row r="252" spans="1:9" ht="12.75">
      <c r="A252" t="str">
        <f ca="1">IFERROR(__xludf.DUMMYFUNCTION("""COMPUTED_VALUE"""),"T239")</f>
        <v>T239</v>
      </c>
      <c r="B252" t="str">
        <f ca="1">IFERROR(__xludf.DUMMYFUNCTION("""COMPUTED_VALUE"""),"T232")</f>
        <v>T232</v>
      </c>
      <c r="C252" t="str">
        <f ca="1">IFERROR(__xludf.DUMMYFUNCTION("""COMPUTED_VALUE"""),"Sangmoon Bae")</f>
        <v>Sangmoon Bae</v>
      </c>
      <c r="D252">
        <f ca="1">IFERROR(__xludf.DUMMYFUNCTION("""COMPUTED_VALUE"""),8)</f>
        <v>8</v>
      </c>
      <c r="E252">
        <f ca="1">IFERROR(__xludf.DUMMYFUNCTION("""COMPUTED_VALUE"""),0)</f>
        <v>0</v>
      </c>
      <c r="F252">
        <f ca="1">IFERROR(__xludf.DUMMYFUNCTION("""COMPUTED_VALUE"""),0)</f>
        <v>0</v>
      </c>
      <c r="G252">
        <f ca="1">IFERROR(__xludf.DUMMYFUNCTION("""COMPUTED_VALUE"""),3)</f>
        <v>3</v>
      </c>
      <c r="H252" t="str">
        <f ca="1">IFERROR(__xludf.DUMMYFUNCTION("""COMPUTED_VALUE"""),"E")</f>
        <v>E</v>
      </c>
      <c r="I252">
        <f ca="1">IFERROR(__xludf.DUMMYFUNCTION("""COMPUTED_VALUE"""),-1)</f>
        <v>-1</v>
      </c>
    </row>
    <row r="253" spans="1:9" ht="12.75">
      <c r="A253" t="str">
        <f ca="1">IFERROR(__xludf.DUMMYFUNCTION("""COMPUTED_VALUE"""),"T239")</f>
        <v>T239</v>
      </c>
      <c r="B253" t="str">
        <f ca="1">IFERROR(__xludf.DUMMYFUNCTION("""COMPUTED_VALUE"""),"T232")</f>
        <v>T232</v>
      </c>
      <c r="C253" t="str">
        <f ca="1">IFERROR(__xludf.DUMMYFUNCTION("""COMPUTED_VALUE"""),"Ryan Brehm")</f>
        <v>Ryan Brehm</v>
      </c>
      <c r="D253">
        <f ca="1">IFERROR(__xludf.DUMMYFUNCTION("""COMPUTED_VALUE"""),10)</f>
        <v>10</v>
      </c>
      <c r="E253">
        <f ca="1">IFERROR(__xludf.DUMMYFUNCTION("""COMPUTED_VALUE"""),0)</f>
        <v>0</v>
      </c>
      <c r="F253">
        <f ca="1">IFERROR(__xludf.DUMMYFUNCTION("""COMPUTED_VALUE"""),0)</f>
        <v>0</v>
      </c>
      <c r="G253">
        <f ca="1">IFERROR(__xludf.DUMMYFUNCTION("""COMPUTED_VALUE"""),4)</f>
        <v>4</v>
      </c>
      <c r="H253" t="str">
        <f ca="1">IFERROR(__xludf.DUMMYFUNCTION("""COMPUTED_VALUE"""),"E")</f>
        <v>E</v>
      </c>
      <c r="I253" t="str">
        <f ca="1">IFERROR(__xludf.DUMMYFUNCTION("""COMPUTED_VALUE"""),"+2.00")</f>
        <v>+2.00</v>
      </c>
    </row>
    <row r="254" spans="1:9" ht="12.75">
      <c r="A254" t="str">
        <f ca="1">IFERROR(__xludf.DUMMYFUNCTION("""COMPUTED_VALUE"""),"T239")</f>
        <v>T239</v>
      </c>
      <c r="B254" t="str">
        <f ca="1">IFERROR(__xludf.DUMMYFUNCTION("""COMPUTED_VALUE"""),"T232")</f>
        <v>T232</v>
      </c>
      <c r="C254" t="str">
        <f ca="1">IFERROR(__xludf.DUMMYFUNCTION("""COMPUTED_VALUE"""),"Fabián Gómez")</f>
        <v>Fabián Gómez</v>
      </c>
      <c r="D254">
        <f ca="1">IFERROR(__xludf.DUMMYFUNCTION("""COMPUTED_VALUE"""),16)</f>
        <v>16</v>
      </c>
      <c r="E254">
        <f ca="1">IFERROR(__xludf.DUMMYFUNCTION("""COMPUTED_VALUE"""),0)</f>
        <v>0</v>
      </c>
      <c r="F254">
        <f ca="1">IFERROR(__xludf.DUMMYFUNCTION("""COMPUTED_VALUE"""),0)</f>
        <v>0</v>
      </c>
      <c r="G254">
        <f ca="1">IFERROR(__xludf.DUMMYFUNCTION("""COMPUTED_VALUE"""),17)</f>
        <v>17</v>
      </c>
      <c r="H254" t="str">
        <f ca="1">IFERROR(__xludf.DUMMYFUNCTION("""COMPUTED_VALUE"""),"E")</f>
        <v>E</v>
      </c>
      <c r="I254" t="str">
        <f ca="1">IFERROR(__xludf.DUMMYFUNCTION("""COMPUTED_VALUE"""),"+2.00")</f>
        <v>+2.00</v>
      </c>
    </row>
    <row r="255" spans="1:9" ht="12.75">
      <c r="A255" t="str">
        <f ca="1">IFERROR(__xludf.DUMMYFUNCTION("""COMPUTED_VALUE"""),"T239")</f>
        <v>T239</v>
      </c>
      <c r="B255" t="str">
        <f ca="1">IFERROR(__xludf.DUMMYFUNCTION("""COMPUTED_VALUE"""),"T232")</f>
        <v>T232</v>
      </c>
      <c r="C255" t="str">
        <f ca="1">IFERROR(__xludf.DUMMYFUNCTION("""COMPUTED_VALUE"""),"Peter Uihlein")</f>
        <v>Peter Uihlein</v>
      </c>
      <c r="D255">
        <f ca="1">IFERROR(__xludf.DUMMYFUNCTION("""COMPUTED_VALUE"""),8)</f>
        <v>8</v>
      </c>
      <c r="E255">
        <f ca="1">IFERROR(__xludf.DUMMYFUNCTION("""COMPUTED_VALUE"""),0)</f>
        <v>0</v>
      </c>
      <c r="F255">
        <f ca="1">IFERROR(__xludf.DUMMYFUNCTION("""COMPUTED_VALUE"""),0)</f>
        <v>0</v>
      </c>
      <c r="G255">
        <f ca="1">IFERROR(__xludf.DUMMYFUNCTION("""COMPUTED_VALUE"""),3)</f>
        <v>3</v>
      </c>
      <c r="H255" t="str">
        <f ca="1">IFERROR(__xludf.DUMMYFUNCTION("""COMPUTED_VALUE"""),"E")</f>
        <v>E</v>
      </c>
      <c r="I255" t="str">
        <f ca="1">IFERROR(__xludf.DUMMYFUNCTION("""COMPUTED_VALUE"""),"E")</f>
        <v>E</v>
      </c>
    </row>
    <row r="256" spans="1:9" ht="12.75">
      <c r="A256" t="str">
        <f ca="1">IFERROR(__xludf.DUMMYFUNCTION("""COMPUTED_VALUE"""),"T239")</f>
        <v>T239</v>
      </c>
      <c r="B256" t="str">
        <f ca="1">IFERROR(__xludf.DUMMYFUNCTION("""COMPUTED_VALUE"""),"T232")</f>
        <v>T232</v>
      </c>
      <c r="C256" t="str">
        <f ca="1">IFERROR(__xludf.DUMMYFUNCTION("""COMPUTED_VALUE"""),"Chris Kirk")</f>
        <v>Chris Kirk</v>
      </c>
      <c r="D256">
        <f ca="1">IFERROR(__xludf.DUMMYFUNCTION("""COMPUTED_VALUE"""),10)</f>
        <v>10</v>
      </c>
      <c r="E256">
        <f ca="1">IFERROR(__xludf.DUMMYFUNCTION("""COMPUTED_VALUE"""),0)</f>
        <v>0</v>
      </c>
      <c r="F256">
        <f ca="1">IFERROR(__xludf.DUMMYFUNCTION("""COMPUTED_VALUE"""),0)</f>
        <v>0</v>
      </c>
      <c r="G256">
        <f ca="1">IFERROR(__xludf.DUMMYFUNCTION("""COMPUTED_VALUE"""),12)</f>
        <v>12</v>
      </c>
      <c r="H256" t="str">
        <f ca="1">IFERROR(__xludf.DUMMYFUNCTION("""COMPUTED_VALUE"""),"E")</f>
        <v>E</v>
      </c>
      <c r="I256">
        <f ca="1">IFERROR(__xludf.DUMMYFUNCTION("""COMPUTED_VALUE"""),-4)</f>
        <v>-4</v>
      </c>
    </row>
    <row r="257" spans="1:9" ht="12.75">
      <c r="A257" t="str">
        <f ca="1">IFERROR(__xludf.DUMMYFUNCTION("""COMPUTED_VALUE"""),"T239")</f>
        <v>T239</v>
      </c>
      <c r="B257" t="str">
        <f ca="1">IFERROR(__xludf.DUMMYFUNCTION("""COMPUTED_VALUE"""),"T232")</f>
        <v>T232</v>
      </c>
      <c r="C257" t="str">
        <f ca="1">IFERROR(__xludf.DUMMYFUNCTION("""COMPUTED_VALUE"""),"Kiradech Aphibarnrat")</f>
        <v>Kiradech Aphibarnrat</v>
      </c>
      <c r="D257">
        <f ca="1">IFERROR(__xludf.DUMMYFUNCTION("""COMPUTED_VALUE"""),12)</f>
        <v>12</v>
      </c>
      <c r="E257">
        <f ca="1">IFERROR(__xludf.DUMMYFUNCTION("""COMPUTED_VALUE"""),0)</f>
        <v>0</v>
      </c>
      <c r="F257">
        <f ca="1">IFERROR(__xludf.DUMMYFUNCTION("""COMPUTED_VALUE"""),0)</f>
        <v>0</v>
      </c>
      <c r="G257">
        <f ca="1">IFERROR(__xludf.DUMMYFUNCTION("""COMPUTED_VALUE"""),6)</f>
        <v>6</v>
      </c>
      <c r="H257" t="str">
        <f ca="1">IFERROR(__xludf.DUMMYFUNCTION("""COMPUTED_VALUE"""),"E")</f>
        <v>E</v>
      </c>
      <c r="I257">
        <f ca="1">IFERROR(__xludf.DUMMYFUNCTION("""COMPUTED_VALUE"""),-1)</f>
        <v>-1</v>
      </c>
    </row>
    <row r="258" spans="1:9" ht="12.75">
      <c r="A258" t="str">
        <f ca="1">IFERROR(__xludf.DUMMYFUNCTION("""COMPUTED_VALUE"""),"T239")</f>
        <v>T239</v>
      </c>
      <c r="B258" t="str">
        <f ca="1">IFERROR(__xludf.DUMMYFUNCTION("""COMPUTED_VALUE"""),"T232")</f>
        <v>T232</v>
      </c>
      <c r="C258" t="str">
        <f ca="1">IFERROR(__xludf.DUMMYFUNCTION("""COMPUTED_VALUE"""),"Steve Lewton")</f>
        <v>Steve Lewton</v>
      </c>
      <c r="D258">
        <f ca="1">IFERROR(__xludf.DUMMYFUNCTION("""COMPUTED_VALUE"""),4)</f>
        <v>4</v>
      </c>
      <c r="E258">
        <f ca="1">IFERROR(__xludf.DUMMYFUNCTION("""COMPUTED_VALUE"""),0)</f>
        <v>0</v>
      </c>
      <c r="F258">
        <f ca="1">IFERROR(__xludf.DUMMYFUNCTION("""COMPUTED_VALUE"""),0)</f>
        <v>0</v>
      </c>
      <c r="G258">
        <f ca="1">IFERROR(__xludf.DUMMYFUNCTION("""COMPUTED_VALUE"""),9)</f>
        <v>9</v>
      </c>
      <c r="H258" t="str">
        <f ca="1">IFERROR(__xludf.DUMMYFUNCTION("""COMPUTED_VALUE"""),"E")</f>
        <v>E</v>
      </c>
      <c r="I258" t="str">
        <f ca="1">IFERROR(__xludf.DUMMYFUNCTION("""COMPUTED_VALUE"""),"E")</f>
        <v>E</v>
      </c>
    </row>
    <row r="259" spans="1:9" ht="12.75">
      <c r="A259" t="str">
        <f ca="1">IFERROR(__xludf.DUMMYFUNCTION("""COMPUTED_VALUE"""),"T239")</f>
        <v>T239</v>
      </c>
      <c r="B259" t="str">
        <f ca="1">IFERROR(__xludf.DUMMYFUNCTION("""COMPUTED_VALUE"""),"T232")</f>
        <v>T232</v>
      </c>
      <c r="C259" t="str">
        <f ca="1">IFERROR(__xludf.DUMMYFUNCTION("""COMPUTED_VALUE"""),"Rafael Campos")</f>
        <v>Rafael Campos</v>
      </c>
      <c r="D259">
        <f ca="1">IFERROR(__xludf.DUMMYFUNCTION("""COMPUTED_VALUE"""),6)</f>
        <v>6</v>
      </c>
      <c r="E259">
        <f ca="1">IFERROR(__xludf.DUMMYFUNCTION("""COMPUTED_VALUE"""),0)</f>
        <v>0</v>
      </c>
      <c r="F259">
        <f ca="1">IFERROR(__xludf.DUMMYFUNCTION("""COMPUTED_VALUE"""),0)</f>
        <v>0</v>
      </c>
      <c r="G259">
        <f ca="1">IFERROR(__xludf.DUMMYFUNCTION("""COMPUTED_VALUE"""),5)</f>
        <v>5</v>
      </c>
      <c r="H259" t="str">
        <f ca="1">IFERROR(__xludf.DUMMYFUNCTION("""COMPUTED_VALUE"""),"E")</f>
        <v>E</v>
      </c>
      <c r="I259" t="str">
        <f ca="1">IFERROR(__xludf.DUMMYFUNCTION("""COMPUTED_VALUE"""),"+1.00")</f>
        <v>+1.00</v>
      </c>
    </row>
    <row r="260" spans="1:9" ht="12.75">
      <c r="A260" t="str">
        <f ca="1">IFERROR(__xludf.DUMMYFUNCTION("""COMPUTED_VALUE"""),"T239")</f>
        <v>T239</v>
      </c>
      <c r="B260" t="str">
        <f ca="1">IFERROR(__xludf.DUMMYFUNCTION("""COMPUTED_VALUE"""),"T232")</f>
        <v>T232</v>
      </c>
      <c r="C260" t="str">
        <f ca="1">IFERROR(__xludf.DUMMYFUNCTION("""COMPUTED_VALUE"""),"Danny Willett")</f>
        <v>Danny Willett</v>
      </c>
      <c r="D260">
        <f ca="1">IFERROR(__xludf.DUMMYFUNCTION("""COMPUTED_VALUE"""),7)</f>
        <v>7</v>
      </c>
      <c r="E260">
        <f ca="1">IFERROR(__xludf.DUMMYFUNCTION("""COMPUTED_VALUE"""),0)</f>
        <v>0</v>
      </c>
      <c r="F260">
        <f ca="1">IFERROR(__xludf.DUMMYFUNCTION("""COMPUTED_VALUE"""),0)</f>
        <v>0</v>
      </c>
      <c r="G260">
        <f ca="1">IFERROR(__xludf.DUMMYFUNCTION("""COMPUTED_VALUE"""),1)</f>
        <v>1</v>
      </c>
      <c r="H260" t="str">
        <f ca="1">IFERROR(__xludf.DUMMYFUNCTION("""COMPUTED_VALUE"""),"E")</f>
        <v>E</v>
      </c>
      <c r="I260" t="str">
        <f ca="1">IFERROR(__xludf.DUMMYFUNCTION("""COMPUTED_VALUE"""),"+3.00")</f>
        <v>+3.00</v>
      </c>
    </row>
    <row r="261" spans="1:9" ht="12.75">
      <c r="A261" t="str">
        <f ca="1">IFERROR(__xludf.DUMMYFUNCTION("""COMPUTED_VALUE"""),"T239")</f>
        <v>T239</v>
      </c>
      <c r="B261" t="str">
        <f ca="1">IFERROR(__xludf.DUMMYFUNCTION("""COMPUTED_VALUE"""),"T232")</f>
        <v>T232</v>
      </c>
      <c r="C261" t="str">
        <f ca="1">IFERROR(__xludf.DUMMYFUNCTION("""COMPUTED_VALUE"""),"Chris Baker")</f>
        <v>Chris Baker</v>
      </c>
      <c r="D261">
        <f ca="1">IFERROR(__xludf.DUMMYFUNCTION("""COMPUTED_VALUE"""),8)</f>
        <v>8</v>
      </c>
      <c r="E261">
        <f ca="1">IFERROR(__xludf.DUMMYFUNCTION("""COMPUTED_VALUE"""),0)</f>
        <v>0</v>
      </c>
      <c r="F261">
        <f ca="1">IFERROR(__xludf.DUMMYFUNCTION("""COMPUTED_VALUE"""),0)</f>
        <v>0</v>
      </c>
      <c r="G261">
        <f ca="1">IFERROR(__xludf.DUMMYFUNCTION("""COMPUTED_VALUE"""),9)</f>
        <v>9</v>
      </c>
      <c r="H261" t="str">
        <f ca="1">IFERROR(__xludf.DUMMYFUNCTION("""COMPUTED_VALUE"""),"E")</f>
        <v>E</v>
      </c>
      <c r="I261" t="str">
        <f ca="1">IFERROR(__xludf.DUMMYFUNCTION("""COMPUTED_VALUE"""),"E")</f>
        <v>E</v>
      </c>
    </row>
    <row r="262" spans="1:9" ht="12.75">
      <c r="A262" t="str">
        <f ca="1">IFERROR(__xludf.DUMMYFUNCTION("""COMPUTED_VALUE"""),"T239")</f>
        <v>T239</v>
      </c>
      <c r="B262" t="str">
        <f ca="1">IFERROR(__xludf.DUMMYFUNCTION("""COMPUTED_VALUE"""),"T232")</f>
        <v>T232</v>
      </c>
      <c r="C262" t="str">
        <f ca="1">IFERROR(__xludf.DUMMYFUNCTION("""COMPUTED_VALUE"""),"Shawn Stefani")</f>
        <v>Shawn Stefani</v>
      </c>
      <c r="D262">
        <f ca="1">IFERROR(__xludf.DUMMYFUNCTION("""COMPUTED_VALUE"""),5)</f>
        <v>5</v>
      </c>
      <c r="E262">
        <f ca="1">IFERROR(__xludf.DUMMYFUNCTION("""COMPUTED_VALUE"""),0)</f>
        <v>0</v>
      </c>
      <c r="F262">
        <f ca="1">IFERROR(__xludf.DUMMYFUNCTION("""COMPUTED_VALUE"""),0)</f>
        <v>0</v>
      </c>
      <c r="G262">
        <f ca="1">IFERROR(__xludf.DUMMYFUNCTION("""COMPUTED_VALUE"""),2)</f>
        <v>2</v>
      </c>
      <c r="H262" t="str">
        <f ca="1">IFERROR(__xludf.DUMMYFUNCTION("""COMPUTED_VALUE"""),"E")</f>
        <v>E</v>
      </c>
      <c r="I262" t="str">
        <f ca="1">IFERROR(__xludf.DUMMYFUNCTION("""COMPUTED_VALUE"""),"+2.00")</f>
        <v>+2.00</v>
      </c>
    </row>
    <row r="263" spans="1:9" ht="12.75">
      <c r="A263" t="str">
        <f ca="1">IFERROR(__xludf.DUMMYFUNCTION("""COMPUTED_VALUE"""),"T239")</f>
        <v>T239</v>
      </c>
      <c r="B263" t="str">
        <f ca="1">IFERROR(__xludf.DUMMYFUNCTION("""COMPUTED_VALUE"""),"T232")</f>
        <v>T232</v>
      </c>
      <c r="C263" t="str">
        <f ca="1">IFERROR(__xludf.DUMMYFUNCTION("""COMPUTED_VALUE"""),"Thomas Detry")</f>
        <v>Thomas Detry</v>
      </c>
      <c r="D263">
        <f ca="1">IFERROR(__xludf.DUMMYFUNCTION("""COMPUTED_VALUE"""),8)</f>
        <v>8</v>
      </c>
      <c r="E263">
        <f ca="1">IFERROR(__xludf.DUMMYFUNCTION("""COMPUTED_VALUE"""),0)</f>
        <v>0</v>
      </c>
      <c r="F263">
        <f ca="1">IFERROR(__xludf.DUMMYFUNCTION("""COMPUTED_VALUE"""),0)</f>
        <v>0</v>
      </c>
      <c r="G263">
        <f ca="1">IFERROR(__xludf.DUMMYFUNCTION("""COMPUTED_VALUE"""),5)</f>
        <v>5</v>
      </c>
      <c r="H263" t="str">
        <f ca="1">IFERROR(__xludf.DUMMYFUNCTION("""COMPUTED_VALUE"""),"E")</f>
        <v>E</v>
      </c>
      <c r="I263">
        <f ca="1">IFERROR(__xludf.DUMMYFUNCTION("""COMPUTED_VALUE"""),-1)</f>
        <v>-1</v>
      </c>
    </row>
    <row r="264" spans="1:9" ht="12.75">
      <c r="A264" t="str">
        <f ca="1">IFERROR(__xludf.DUMMYFUNCTION("""COMPUTED_VALUE"""),"T239")</f>
        <v>T239</v>
      </c>
      <c r="B264" t="str">
        <f ca="1">IFERROR(__xludf.DUMMYFUNCTION("""COMPUTED_VALUE"""),"T232")</f>
        <v>T232</v>
      </c>
      <c r="C264" t="str">
        <f ca="1">IFERROR(__xludf.DUMMYFUNCTION("""COMPUTED_VALUE"""),"Sebastian Cappelen")</f>
        <v>Sebastian Cappelen</v>
      </c>
      <c r="D264">
        <f ca="1">IFERROR(__xludf.DUMMYFUNCTION("""COMPUTED_VALUE"""),8)</f>
        <v>8</v>
      </c>
      <c r="E264">
        <f ca="1">IFERROR(__xludf.DUMMYFUNCTION("""COMPUTED_VALUE"""),0)</f>
        <v>0</v>
      </c>
      <c r="F264">
        <f ca="1">IFERROR(__xludf.DUMMYFUNCTION("""COMPUTED_VALUE"""),0)</f>
        <v>0</v>
      </c>
      <c r="G264">
        <f ca="1">IFERROR(__xludf.DUMMYFUNCTION("""COMPUTED_VALUE"""),8)</f>
        <v>8</v>
      </c>
      <c r="H264" t="str">
        <f ca="1">IFERROR(__xludf.DUMMYFUNCTION("""COMPUTED_VALUE"""),"E")</f>
        <v>E</v>
      </c>
      <c r="I264" t="str">
        <f ca="1">IFERROR(__xludf.DUMMYFUNCTION("""COMPUTED_VALUE"""),"+2.00")</f>
        <v>+2.00</v>
      </c>
    </row>
    <row r="265" spans="1:9" ht="12.75">
      <c r="A265" t="str">
        <f ca="1">IFERROR(__xludf.DUMMYFUNCTION("""COMPUTED_VALUE"""),"T239")</f>
        <v>T239</v>
      </c>
      <c r="B265" t="str">
        <f ca="1">IFERROR(__xludf.DUMMYFUNCTION("""COMPUTED_VALUE"""),"T232")</f>
        <v>T232</v>
      </c>
      <c r="C265" t="str">
        <f ca="1">IFERROR(__xludf.DUMMYFUNCTION("""COMPUTED_VALUE"""),"Matthias Schwab")</f>
        <v>Matthias Schwab</v>
      </c>
      <c r="D265">
        <f ca="1">IFERROR(__xludf.DUMMYFUNCTION("""COMPUTED_VALUE"""),8)</f>
        <v>8</v>
      </c>
      <c r="E265">
        <f ca="1">IFERROR(__xludf.DUMMYFUNCTION("""COMPUTED_VALUE"""),0)</f>
        <v>0</v>
      </c>
      <c r="F265">
        <f ca="1">IFERROR(__xludf.DUMMYFUNCTION("""COMPUTED_VALUE"""),0)</f>
        <v>0</v>
      </c>
      <c r="G265">
        <f ca="1">IFERROR(__xludf.DUMMYFUNCTION("""COMPUTED_VALUE"""),9)</f>
        <v>9</v>
      </c>
      <c r="H265" t="str">
        <f ca="1">IFERROR(__xludf.DUMMYFUNCTION("""COMPUTED_VALUE"""),"E")</f>
        <v>E</v>
      </c>
      <c r="I265" t="str">
        <f ca="1">IFERROR(__xludf.DUMMYFUNCTION("""COMPUTED_VALUE"""),"+3.00")</f>
        <v>+3.00</v>
      </c>
    </row>
    <row r="266" spans="1:9" ht="12.75">
      <c r="A266" t="str">
        <f ca="1">IFERROR(__xludf.DUMMYFUNCTION("""COMPUTED_VALUE"""),"T239")</f>
        <v>T239</v>
      </c>
      <c r="B266" t="str">
        <f ca="1">IFERROR(__xludf.DUMMYFUNCTION("""COMPUTED_VALUE"""),"T232")</f>
        <v>T232</v>
      </c>
      <c r="C266" t="str">
        <f ca="1">IFERROR(__xludf.DUMMYFUNCTION("""COMPUTED_VALUE"""),"Kelly Kraft")</f>
        <v>Kelly Kraft</v>
      </c>
      <c r="D266">
        <f ca="1">IFERROR(__xludf.DUMMYFUNCTION("""COMPUTED_VALUE"""),14)</f>
        <v>14</v>
      </c>
      <c r="E266">
        <f ca="1">IFERROR(__xludf.DUMMYFUNCTION("""COMPUTED_VALUE"""),0)</f>
        <v>0</v>
      </c>
      <c r="F266">
        <f ca="1">IFERROR(__xludf.DUMMYFUNCTION("""COMPUTED_VALUE"""),0)</f>
        <v>0</v>
      </c>
      <c r="G266">
        <f ca="1">IFERROR(__xludf.DUMMYFUNCTION("""COMPUTED_VALUE"""),17)</f>
        <v>17</v>
      </c>
      <c r="H266" t="str">
        <f ca="1">IFERROR(__xludf.DUMMYFUNCTION("""COMPUTED_VALUE"""),"E")</f>
        <v>E</v>
      </c>
      <c r="I266" t="str">
        <f ca="1">IFERROR(__xludf.DUMMYFUNCTION("""COMPUTED_VALUE"""),"E")</f>
        <v>E</v>
      </c>
    </row>
    <row r="267" spans="1:9" ht="12.75">
      <c r="A267" t="str">
        <f ca="1">IFERROR(__xludf.DUMMYFUNCTION("""COMPUTED_VALUE"""),"T239")</f>
        <v>T239</v>
      </c>
      <c r="B267" t="str">
        <f ca="1">IFERROR(__xludf.DUMMYFUNCTION("""COMPUTED_VALUE"""),"T232")</f>
        <v>T232</v>
      </c>
      <c r="C267" t="str">
        <f ca="1">IFERROR(__xludf.DUMMYFUNCTION("""COMPUTED_VALUE"""),"Renato Paratore")</f>
        <v>Renato Paratore</v>
      </c>
      <c r="D267">
        <f ca="1">IFERROR(__xludf.DUMMYFUNCTION("""COMPUTED_VALUE"""),4)</f>
        <v>4</v>
      </c>
      <c r="E267">
        <f ca="1">IFERROR(__xludf.DUMMYFUNCTION("""COMPUTED_VALUE"""),0)</f>
        <v>0</v>
      </c>
      <c r="F267">
        <f ca="1">IFERROR(__xludf.DUMMYFUNCTION("""COMPUTED_VALUE"""),0)</f>
        <v>0</v>
      </c>
      <c r="G267">
        <f ca="1">IFERROR(__xludf.DUMMYFUNCTION("""COMPUTED_VALUE"""),6)</f>
        <v>6</v>
      </c>
      <c r="H267" t="str">
        <f ca="1">IFERROR(__xludf.DUMMYFUNCTION("""COMPUTED_VALUE"""),"E")</f>
        <v>E</v>
      </c>
      <c r="I267" t="str">
        <f ca="1">IFERROR(__xludf.DUMMYFUNCTION("""COMPUTED_VALUE"""),"+2.00")</f>
        <v>+2.00</v>
      </c>
    </row>
    <row r="268" spans="1:9" ht="12.75">
      <c r="A268" t="str">
        <f ca="1">IFERROR(__xludf.DUMMYFUNCTION("""COMPUTED_VALUE"""),"T239")</f>
        <v>T239</v>
      </c>
      <c r="B268" t="str">
        <f ca="1">IFERROR(__xludf.DUMMYFUNCTION("""COMPUTED_VALUE"""),"T232")</f>
        <v>T232</v>
      </c>
      <c r="C268" t="str">
        <f ca="1">IFERROR(__xludf.DUMMYFUNCTION("""COMPUTED_VALUE"""),"J.J. Spaun")</f>
        <v>J.J. Spaun</v>
      </c>
      <c r="D268">
        <f ca="1">IFERROR(__xludf.DUMMYFUNCTION("""COMPUTED_VALUE"""),10)</f>
        <v>10</v>
      </c>
      <c r="E268">
        <f ca="1">IFERROR(__xludf.DUMMYFUNCTION("""COMPUTED_VALUE"""),0)</f>
        <v>0</v>
      </c>
      <c r="F268">
        <f ca="1">IFERROR(__xludf.DUMMYFUNCTION("""COMPUTED_VALUE"""),0)</f>
        <v>0</v>
      </c>
      <c r="G268">
        <f ca="1">IFERROR(__xludf.DUMMYFUNCTION("""COMPUTED_VALUE"""),10)</f>
        <v>10</v>
      </c>
      <c r="H268" t="str">
        <f ca="1">IFERROR(__xludf.DUMMYFUNCTION("""COMPUTED_VALUE"""),"E")</f>
        <v>E</v>
      </c>
      <c r="I268">
        <f ca="1">IFERROR(__xludf.DUMMYFUNCTION("""COMPUTED_VALUE"""),-3)</f>
        <v>-3</v>
      </c>
    </row>
    <row r="269" spans="1:9" ht="12.75">
      <c r="A269" t="str">
        <f ca="1">IFERROR(__xludf.DUMMYFUNCTION("""COMPUTED_VALUE"""),"T239")</f>
        <v>T239</v>
      </c>
      <c r="B269" t="str">
        <f ca="1">IFERROR(__xludf.DUMMYFUNCTION("""COMPUTED_VALUE"""),"T232")</f>
        <v>T232</v>
      </c>
      <c r="C269" t="str">
        <f ca="1">IFERROR(__xludf.DUMMYFUNCTION("""COMPUTED_VALUE"""),"Dominic Bozzelli")</f>
        <v>Dominic Bozzelli</v>
      </c>
      <c r="D269">
        <f ca="1">IFERROR(__xludf.DUMMYFUNCTION("""COMPUTED_VALUE"""),8)</f>
        <v>8</v>
      </c>
      <c r="E269">
        <f ca="1">IFERROR(__xludf.DUMMYFUNCTION("""COMPUTED_VALUE"""),0)</f>
        <v>0</v>
      </c>
      <c r="F269">
        <f ca="1">IFERROR(__xludf.DUMMYFUNCTION("""COMPUTED_VALUE"""),0)</f>
        <v>0</v>
      </c>
      <c r="G269">
        <f ca="1">IFERROR(__xludf.DUMMYFUNCTION("""COMPUTED_VALUE"""),3)</f>
        <v>3</v>
      </c>
      <c r="H269" t="str">
        <f ca="1">IFERROR(__xludf.DUMMYFUNCTION("""COMPUTED_VALUE"""),"E")</f>
        <v>E</v>
      </c>
      <c r="I269">
        <f ca="1">IFERROR(__xludf.DUMMYFUNCTION("""COMPUTED_VALUE"""),-2)</f>
        <v>-2</v>
      </c>
    </row>
    <row r="270" spans="1:9" ht="12.75">
      <c r="A270" t="str">
        <f ca="1">IFERROR(__xludf.DUMMYFUNCTION("""COMPUTED_VALUE"""),"T239")</f>
        <v>T239</v>
      </c>
      <c r="B270" t="str">
        <f ca="1">IFERROR(__xludf.DUMMYFUNCTION("""COMPUTED_VALUE"""),"T232")</f>
        <v>T232</v>
      </c>
      <c r="C270" t="str">
        <f ca="1">IFERROR(__xludf.DUMMYFUNCTION("""COMPUTED_VALUE"""),"Michael Gellerman")</f>
        <v>Michael Gellerman</v>
      </c>
      <c r="D270">
        <f ca="1">IFERROR(__xludf.DUMMYFUNCTION("""COMPUTED_VALUE"""),5)</f>
        <v>5</v>
      </c>
      <c r="E270">
        <f ca="1">IFERROR(__xludf.DUMMYFUNCTION("""COMPUTED_VALUE"""),0)</f>
        <v>0</v>
      </c>
      <c r="F270">
        <f ca="1">IFERROR(__xludf.DUMMYFUNCTION("""COMPUTED_VALUE"""),0)</f>
        <v>0</v>
      </c>
      <c r="G270">
        <f ca="1">IFERROR(__xludf.DUMMYFUNCTION("""COMPUTED_VALUE"""),2)</f>
        <v>2</v>
      </c>
      <c r="H270" t="str">
        <f ca="1">IFERROR(__xludf.DUMMYFUNCTION("""COMPUTED_VALUE"""),"E")</f>
        <v>E</v>
      </c>
      <c r="I270">
        <f ca="1">IFERROR(__xludf.DUMMYFUNCTION("""COMPUTED_VALUE"""),-1)</f>
        <v>-1</v>
      </c>
    </row>
    <row r="271" spans="1:9" ht="12.75">
      <c r="A271" t="str">
        <f ca="1">IFERROR(__xludf.DUMMYFUNCTION("""COMPUTED_VALUE"""),"T239")</f>
        <v>T239</v>
      </c>
      <c r="B271" t="str">
        <f ca="1">IFERROR(__xludf.DUMMYFUNCTION("""COMPUTED_VALUE"""),"T232")</f>
        <v>T232</v>
      </c>
      <c r="C271" t="str">
        <f ca="1">IFERROR(__xludf.DUMMYFUNCTION("""COMPUTED_VALUE"""),"Kurt Kitayama")</f>
        <v>Kurt Kitayama</v>
      </c>
      <c r="D271">
        <f ca="1">IFERROR(__xludf.DUMMYFUNCTION("""COMPUTED_VALUE"""),4)</f>
        <v>4</v>
      </c>
      <c r="E271">
        <f ca="1">IFERROR(__xludf.DUMMYFUNCTION("""COMPUTED_VALUE"""),0)</f>
        <v>0</v>
      </c>
      <c r="F271">
        <f ca="1">IFERROR(__xludf.DUMMYFUNCTION("""COMPUTED_VALUE"""),0)</f>
        <v>0</v>
      </c>
      <c r="G271">
        <f ca="1">IFERROR(__xludf.DUMMYFUNCTION("""COMPUTED_VALUE"""),2)</f>
        <v>2</v>
      </c>
      <c r="H271" t="str">
        <f ca="1">IFERROR(__xludf.DUMMYFUNCTION("""COMPUTED_VALUE"""),"E")</f>
        <v>E</v>
      </c>
      <c r="I271" t="str">
        <f ca="1">IFERROR(__xludf.DUMMYFUNCTION("""COMPUTED_VALUE"""),"+1.00")</f>
        <v>+1.00</v>
      </c>
    </row>
    <row r="272" spans="1:9" ht="12.75">
      <c r="A272" t="str">
        <f ca="1">IFERROR(__xludf.DUMMYFUNCTION("""COMPUTED_VALUE"""),"T239")</f>
        <v>T239</v>
      </c>
      <c r="B272" t="str">
        <f ca="1">IFERROR(__xludf.DUMMYFUNCTION("""COMPUTED_VALUE"""),"T232")</f>
        <v>T232</v>
      </c>
      <c r="C272" t="str">
        <f ca="1">IFERROR(__xludf.DUMMYFUNCTION("""COMPUTED_VALUE"""),"Matt Wallace")</f>
        <v>Matt Wallace</v>
      </c>
      <c r="D272">
        <f ca="1">IFERROR(__xludf.DUMMYFUNCTION("""COMPUTED_VALUE"""),4)</f>
        <v>4</v>
      </c>
      <c r="E272">
        <f ca="1">IFERROR(__xludf.DUMMYFUNCTION("""COMPUTED_VALUE"""),0)</f>
        <v>0</v>
      </c>
      <c r="F272">
        <f ca="1">IFERROR(__xludf.DUMMYFUNCTION("""COMPUTED_VALUE"""),0)</f>
        <v>0</v>
      </c>
      <c r="G272">
        <f ca="1">IFERROR(__xludf.DUMMYFUNCTION("""COMPUTED_VALUE"""),7)</f>
        <v>7</v>
      </c>
      <c r="H272" t="str">
        <f ca="1">IFERROR(__xludf.DUMMYFUNCTION("""COMPUTED_VALUE"""),"E")</f>
        <v>E</v>
      </c>
      <c r="I272">
        <f ca="1">IFERROR(__xludf.DUMMYFUNCTION("""COMPUTED_VALUE"""),-2)</f>
        <v>-2</v>
      </c>
    </row>
    <row r="273" spans="1:9" ht="12.75">
      <c r="A273" t="str">
        <f ca="1">IFERROR(__xludf.DUMMYFUNCTION("""COMPUTED_VALUE"""),"T239")</f>
        <v>T239</v>
      </c>
      <c r="B273" t="str">
        <f ca="1">IFERROR(__xludf.DUMMYFUNCTION("""COMPUTED_VALUE"""),"T232")</f>
        <v>T232</v>
      </c>
      <c r="C273" t="str">
        <f ca="1">IFERROR(__xludf.DUMMYFUNCTION("""COMPUTED_VALUE"""),"Tae Hee Lee")</f>
        <v>Tae Hee Lee</v>
      </c>
      <c r="D273">
        <f ca="1">IFERROR(__xludf.DUMMYFUNCTION("""COMPUTED_VALUE"""),4)</f>
        <v>4</v>
      </c>
      <c r="E273">
        <f ca="1">IFERROR(__xludf.DUMMYFUNCTION("""COMPUTED_VALUE"""),0)</f>
        <v>0</v>
      </c>
      <c r="F273">
        <f ca="1">IFERROR(__xludf.DUMMYFUNCTION("""COMPUTED_VALUE"""),0)</f>
        <v>0</v>
      </c>
      <c r="G273">
        <f ca="1">IFERROR(__xludf.DUMMYFUNCTION("""COMPUTED_VALUE"""),11)</f>
        <v>11</v>
      </c>
      <c r="H273" t="str">
        <f ca="1">IFERROR(__xludf.DUMMYFUNCTION("""COMPUTED_VALUE"""),"E")</f>
        <v>E</v>
      </c>
      <c r="I273" t="str">
        <f ca="1">IFERROR(__xludf.DUMMYFUNCTION("""COMPUTED_VALUE"""),"+5.00")</f>
        <v>+5.00</v>
      </c>
    </row>
    <row r="274" spans="1:9" ht="12.75">
      <c r="A274" t="str">
        <f ca="1">IFERROR(__xludf.DUMMYFUNCTION("""COMPUTED_VALUE"""),"T239")</f>
        <v>T239</v>
      </c>
      <c r="B274" t="str">
        <f ca="1">IFERROR(__xludf.DUMMYFUNCTION("""COMPUTED_VALUE"""),"T232")</f>
        <v>T232</v>
      </c>
      <c r="C274" t="str">
        <f ca="1">IFERROR(__xludf.DUMMYFUNCTION("""COMPUTED_VALUE"""),"Hank Lebioda")</f>
        <v>Hank Lebioda</v>
      </c>
      <c r="D274">
        <f ca="1">IFERROR(__xludf.DUMMYFUNCTION("""COMPUTED_VALUE"""),14)</f>
        <v>14</v>
      </c>
      <c r="E274">
        <f ca="1">IFERROR(__xludf.DUMMYFUNCTION("""COMPUTED_VALUE"""),0)</f>
        <v>0</v>
      </c>
      <c r="F274">
        <f ca="1">IFERROR(__xludf.DUMMYFUNCTION("""COMPUTED_VALUE"""),0)</f>
        <v>0</v>
      </c>
      <c r="G274">
        <f ca="1">IFERROR(__xludf.DUMMYFUNCTION("""COMPUTED_VALUE"""),7)</f>
        <v>7</v>
      </c>
      <c r="H274" t="str">
        <f ca="1">IFERROR(__xludf.DUMMYFUNCTION("""COMPUTED_VALUE"""),"E")</f>
        <v>E</v>
      </c>
      <c r="I274">
        <f ca="1">IFERROR(__xludf.DUMMYFUNCTION("""COMPUTED_VALUE"""),-5)</f>
        <v>-5</v>
      </c>
    </row>
    <row r="275" spans="1:9" ht="12.75">
      <c r="A275" t="str">
        <f ca="1">IFERROR(__xludf.DUMMYFUNCTION("""COMPUTED_VALUE"""),"T239")</f>
        <v>T239</v>
      </c>
      <c r="B275" t="str">
        <f ca="1">IFERROR(__xludf.DUMMYFUNCTION("""COMPUTED_VALUE"""),"T232")</f>
        <v>T232</v>
      </c>
      <c r="C275" t="str">
        <f ca="1">IFERROR(__xludf.DUMMYFUNCTION("""COMPUTED_VALUE"""),"Akshay Bhatia")</f>
        <v>Akshay Bhatia</v>
      </c>
      <c r="D275">
        <f ca="1">IFERROR(__xludf.DUMMYFUNCTION("""COMPUTED_VALUE"""),6)</f>
        <v>6</v>
      </c>
      <c r="E275">
        <f ca="1">IFERROR(__xludf.DUMMYFUNCTION("""COMPUTED_VALUE"""),0)</f>
        <v>0</v>
      </c>
      <c r="F275">
        <f ca="1">IFERROR(__xludf.DUMMYFUNCTION("""COMPUTED_VALUE"""),0)</f>
        <v>0</v>
      </c>
      <c r="G275">
        <f ca="1">IFERROR(__xludf.DUMMYFUNCTION("""COMPUTED_VALUE"""),7)</f>
        <v>7</v>
      </c>
      <c r="H275" t="str">
        <f ca="1">IFERROR(__xludf.DUMMYFUNCTION("""COMPUTED_VALUE"""),"E")</f>
        <v>E</v>
      </c>
      <c r="I275">
        <f ca="1">IFERROR(__xludf.DUMMYFUNCTION("""COMPUTED_VALUE"""),-4)</f>
        <v>-4</v>
      </c>
    </row>
    <row r="276" spans="1:9" ht="12.75">
      <c r="A276" t="str">
        <f ca="1">IFERROR(__xludf.DUMMYFUNCTION("""COMPUTED_VALUE"""),"T239")</f>
        <v>T239</v>
      </c>
      <c r="B276" t="str">
        <f ca="1">IFERROR(__xludf.DUMMYFUNCTION("""COMPUTED_VALUE"""),"T232")</f>
        <v>T232</v>
      </c>
      <c r="C276" t="str">
        <f ca="1">IFERROR(__xludf.DUMMYFUNCTION("""COMPUTED_VALUE"""),"Luke Schniederjans")</f>
        <v>Luke Schniederjans</v>
      </c>
      <c r="D276">
        <f ca="1">IFERROR(__xludf.DUMMYFUNCTION("""COMPUTED_VALUE"""),4)</f>
        <v>4</v>
      </c>
      <c r="E276">
        <f ca="1">IFERROR(__xludf.DUMMYFUNCTION("""COMPUTED_VALUE"""),0)</f>
        <v>0</v>
      </c>
      <c r="F276">
        <f ca="1">IFERROR(__xludf.DUMMYFUNCTION("""COMPUTED_VALUE"""),0)</f>
        <v>0</v>
      </c>
      <c r="G276">
        <f ca="1">IFERROR(__xludf.DUMMYFUNCTION("""COMPUTED_VALUE"""),4)</f>
        <v>4</v>
      </c>
      <c r="H276" t="str">
        <f ca="1">IFERROR(__xludf.DUMMYFUNCTION("""COMPUTED_VALUE"""),"E")</f>
        <v>E</v>
      </c>
      <c r="I276" t="str">
        <f ca="1">IFERROR(__xludf.DUMMYFUNCTION("""COMPUTED_VALUE"""),"+2.00")</f>
        <v>+2.00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276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IFERROR(__xludf.DUMMYFUNCTION("importhtml(""http://www.pgatour.com/stats/stat.02426.html"",""table"",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IFERROR(__xludf.DUMMYFUNCTION("""COMPUTED_VALUE"""),"EVENTS")</f>
        <v>EVENTS</v>
      </c>
      <c r="E1" t="str">
        <f ca="1">IFERROR(__xludf.DUMMYFUNCTION("""COMPUTED_VALUE"""),"AVG")</f>
        <v>AVG</v>
      </c>
      <c r="F1" t="str">
        <f ca="1">IFERROR(__xludf.DUMMYFUNCTION("""COMPUTED_VALUE"""),"DISTANCE (IN INCHES)")</f>
        <v>DISTANCE (IN INCHES)</v>
      </c>
      <c r="G1" t="str">
        <f ca="1">IFERROR(__xludf.DUMMYFUNCTION("""COMPUTED_VALUE"""),"ATTEMPTS")</f>
        <v>ATTEMPTS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IFERROR(__xludf.DUMMYFUNCTION("""COMPUTED_VALUE"""),"Christiaan Bezuidenhout")</f>
        <v>Christiaan Bezuidenhout</v>
      </c>
      <c r="D2">
        <f ca="1">IFERROR(__xludf.DUMMYFUNCTION("""COMPUTED_VALUE"""),1)</f>
        <v>1</v>
      </c>
      <c r="E2">
        <f ca="1">IFERROR(__xludf.DUMMYFUNCTION("""COMPUTED_VALUE"""),190.3)</f>
        <v>190.3</v>
      </c>
      <c r="F2" s="2">
        <f ca="1">IFERROR(__xludf.DUMMYFUNCTION("""COMPUTED_VALUE"""),6851)</f>
        <v>6851</v>
      </c>
      <c r="G2">
        <f ca="1">IFERROR(__xludf.DUMMYFUNCTION("""COMPUTED_VALUE"""),1)</f>
        <v>1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IFERROR(__xludf.DUMMYFUNCTION("""COMPUTED_VALUE"""),"Peter Uihlein")</f>
        <v>Peter Uihlein</v>
      </c>
      <c r="D3">
        <f ca="1">IFERROR(__xludf.DUMMYFUNCTION("""COMPUTED_VALUE"""),3)</f>
        <v>3</v>
      </c>
      <c r="E3">
        <f ca="1">IFERROR(__xludf.DUMMYFUNCTION("""COMPUTED_VALUE"""),219)</f>
        <v>219</v>
      </c>
      <c r="F3" s="2">
        <f ca="1">IFERROR(__xludf.DUMMYFUNCTION("""COMPUTED_VALUE"""),23647)</f>
        <v>23647</v>
      </c>
      <c r="G3">
        <f ca="1">IFERROR(__xludf.DUMMYFUNCTION("""COMPUTED_VALUE"""),3)</f>
        <v>3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IFERROR(__xludf.DUMMYFUNCTION("""COMPUTED_VALUE"""),"Michael Gellerman")</f>
        <v>Michael Gellerman</v>
      </c>
      <c r="D4">
        <f ca="1">IFERROR(__xludf.DUMMYFUNCTION("""COMPUTED_VALUE"""),3)</f>
        <v>3</v>
      </c>
      <c r="E4">
        <f ca="1">IFERROR(__xludf.DUMMYFUNCTION("""COMPUTED_VALUE"""),229.8)</f>
        <v>229.8</v>
      </c>
      <c r="F4" s="2">
        <f ca="1">IFERROR(__xludf.DUMMYFUNCTION("""COMPUTED_VALUE"""),16547)</f>
        <v>16547</v>
      </c>
      <c r="G4">
        <f ca="1">IFERROR(__xludf.DUMMYFUNCTION("""COMPUTED_VALUE"""),2)</f>
        <v>2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IFERROR(__xludf.DUMMYFUNCTION("""COMPUTED_VALUE"""),"Gunn Charoenkul")</f>
        <v>Gunn Charoenkul</v>
      </c>
      <c r="D5">
        <f ca="1">IFERROR(__xludf.DUMMYFUNCTION("""COMPUTED_VALUE"""),1)</f>
        <v>1</v>
      </c>
      <c r="E5">
        <f ca="1">IFERROR(__xludf.DUMMYFUNCTION("""COMPUTED_VALUE"""),236.3)</f>
        <v>236.3</v>
      </c>
      <c r="F5" s="2">
        <f ca="1">IFERROR(__xludf.DUMMYFUNCTION("""COMPUTED_VALUE"""),93565)</f>
        <v>93565</v>
      </c>
      <c r="G5">
        <f ca="1">IFERROR(__xludf.DUMMYFUNCTION("""COMPUTED_VALUE"""),11)</f>
        <v>11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IFERROR(__xludf.DUMMYFUNCTION("""COMPUTED_VALUE"""),"Naoki Sekito")</f>
        <v>Naoki Sekito</v>
      </c>
      <c r="D6">
        <f ca="1">IFERROR(__xludf.DUMMYFUNCTION("""COMPUTED_VALUE"""),1)</f>
        <v>1</v>
      </c>
      <c r="E6">
        <f ca="1">IFERROR(__xludf.DUMMYFUNCTION("""COMPUTED_VALUE"""),236.4)</f>
        <v>236.4</v>
      </c>
      <c r="F6" s="2">
        <f ca="1">IFERROR(__xludf.DUMMYFUNCTION("""COMPUTED_VALUE"""),85115)</f>
        <v>85115</v>
      </c>
      <c r="G6">
        <f ca="1">IFERROR(__xludf.DUMMYFUNCTION("""COMPUTED_VALUE"""),10)</f>
        <v>10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IFERROR(__xludf.DUMMYFUNCTION("""COMPUTED_VALUE"""),7)</f>
        <v>7</v>
      </c>
      <c r="C7" t="str">
        <f ca="1">IFERROR(__xludf.DUMMYFUNCTION("""COMPUTED_VALUE"""),"Tiger Woods")</f>
        <v>Tiger Woods</v>
      </c>
      <c r="D7">
        <f ca="1">IFERROR(__xludf.DUMMYFUNCTION("""COMPUTED_VALUE"""),2)</f>
        <v>2</v>
      </c>
      <c r="E7">
        <f ca="1">IFERROR(__xludf.DUMMYFUNCTION("""COMPUTED_VALUE"""),237.4)</f>
        <v>237.4</v>
      </c>
      <c r="F7" s="2">
        <f ca="1">IFERROR(__xludf.DUMMYFUNCTION("""COMPUTED_VALUE"""),102542)</f>
        <v>102542</v>
      </c>
      <c r="G7">
        <f ca="1">IFERROR(__xludf.DUMMYFUNCTION("""COMPUTED_VALUE"""),12)</f>
        <v>12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IFERROR(__xludf.DUMMYFUNCTION("""COMPUTED_VALUE"""),9)</f>
        <v>9</v>
      </c>
      <c r="C8" t="str">
        <f ca="1">IFERROR(__xludf.DUMMYFUNCTION("""COMPUTED_VALUE"""),"Ben Taylor")</f>
        <v>Ben Taylor</v>
      </c>
      <c r="D8">
        <f ca="1">IFERROR(__xludf.DUMMYFUNCTION("""COMPUTED_VALUE"""),3)</f>
        <v>3</v>
      </c>
      <c r="E8">
        <f ca="1">IFERROR(__xludf.DUMMYFUNCTION("""COMPUTED_VALUE"""),238.9)</f>
        <v>238.9</v>
      </c>
      <c r="F8" s="2">
        <f ca="1">IFERROR(__xludf.DUMMYFUNCTION("""COMPUTED_VALUE"""),86018)</f>
        <v>86018</v>
      </c>
      <c r="G8">
        <f ca="1">IFERROR(__xludf.DUMMYFUNCTION("""COMPUTED_VALUE"""),10)</f>
        <v>10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IFERROR(__xludf.DUMMYFUNCTION("""COMPUTED_VALUE"""),10)</f>
        <v>10</v>
      </c>
      <c r="C9" t="str">
        <f ca="1">IFERROR(__xludf.DUMMYFUNCTION("""COMPUTED_VALUE"""),"Shaun Norris")</f>
        <v>Shaun Norris</v>
      </c>
      <c r="D9">
        <f ca="1">IFERROR(__xludf.DUMMYFUNCTION("""COMPUTED_VALUE"""),2)</f>
        <v>2</v>
      </c>
      <c r="E9">
        <f ca="1">IFERROR(__xludf.DUMMYFUNCTION("""COMPUTED_VALUE"""),239)</f>
        <v>239</v>
      </c>
      <c r="F9" s="2">
        <f ca="1">IFERROR(__xludf.DUMMYFUNCTION("""COMPUTED_VALUE"""),94656)</f>
        <v>94656</v>
      </c>
      <c r="G9">
        <f ca="1">IFERROR(__xludf.DUMMYFUNCTION("""COMPUTED_VALUE"""),11)</f>
        <v>11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IFERROR(__xludf.DUMMYFUNCTION("""COMPUTED_VALUE"""),11)</f>
        <v>11</v>
      </c>
      <c r="C10" t="str">
        <f ca="1">IFERROR(__xludf.DUMMYFUNCTION("""COMPUTED_VALUE"""),"Graham DeLaet")</f>
        <v>Graham DeLaet</v>
      </c>
      <c r="D10">
        <f ca="1">IFERROR(__xludf.DUMMYFUNCTION("""COMPUTED_VALUE"""),5)</f>
        <v>5</v>
      </c>
      <c r="E10">
        <f ca="1">IFERROR(__xludf.DUMMYFUNCTION("""COMPUTED_VALUE"""),243.3)</f>
        <v>243.3</v>
      </c>
      <c r="F10" s="2">
        <f ca="1">IFERROR(__xludf.DUMMYFUNCTION("""COMPUTED_VALUE"""),113869)</f>
        <v>113869</v>
      </c>
      <c r="G10">
        <f ca="1">IFERROR(__xludf.DUMMYFUNCTION("""COMPUTED_VALUE"""),13)</f>
        <v>13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IFERROR(__xludf.DUMMYFUNCTION("""COMPUTED_VALUE"""),12)</f>
        <v>12</v>
      </c>
      <c r="C11" t="str">
        <f ca="1">IFERROR(__xludf.DUMMYFUNCTION("""COMPUTED_VALUE"""),"Zack Sucher")</f>
        <v>Zack Sucher</v>
      </c>
      <c r="D11">
        <f ca="1">IFERROR(__xludf.DUMMYFUNCTION("""COMPUTED_VALUE"""),3)</f>
        <v>3</v>
      </c>
      <c r="E11">
        <f ca="1">IFERROR(__xludf.DUMMYFUNCTION("""COMPUTED_VALUE"""),243.9)</f>
        <v>243.9</v>
      </c>
      <c r="F11" s="2">
        <f ca="1">IFERROR(__xludf.DUMMYFUNCTION("""COMPUTED_VALUE"""),43900)</f>
        <v>43900</v>
      </c>
      <c r="G11">
        <f ca="1">IFERROR(__xludf.DUMMYFUNCTION("""COMPUTED_VALUE"""),5)</f>
        <v>5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IFERROR(__xludf.DUMMYFUNCTION("""COMPUTED_VALUE"""),"Justin Rose")</f>
        <v>Justin Rose</v>
      </c>
      <c r="D12">
        <f ca="1">IFERROR(__xludf.DUMMYFUNCTION("""COMPUTED_VALUE"""),3)</f>
        <v>3</v>
      </c>
      <c r="E12">
        <f ca="1">IFERROR(__xludf.DUMMYFUNCTION("""COMPUTED_VALUE"""),244.2)</f>
        <v>244.2</v>
      </c>
      <c r="F12" s="2">
        <f ca="1">IFERROR(__xludf.DUMMYFUNCTION("""COMPUTED_VALUE"""),237389)</f>
        <v>237389</v>
      </c>
      <c r="G12">
        <f ca="1">IFERROR(__xludf.DUMMYFUNCTION("""COMPUTED_VALUE"""),27)</f>
        <v>27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IFERROR(__xludf.DUMMYFUNCTION("""COMPUTED_VALUE"""),15)</f>
        <v>15</v>
      </c>
      <c r="C13" t="str">
        <f ca="1">IFERROR(__xludf.DUMMYFUNCTION("""COMPUTED_VALUE"""),"Jon Rahm")</f>
        <v>Jon Rahm</v>
      </c>
      <c r="D13">
        <f ca="1">IFERROR(__xludf.DUMMYFUNCTION("""COMPUTED_VALUE"""),3)</f>
        <v>3</v>
      </c>
      <c r="E13">
        <f ca="1">IFERROR(__xludf.DUMMYFUNCTION("""COMPUTED_VALUE"""),244.9)</f>
        <v>244.9</v>
      </c>
      <c r="F13" s="2">
        <f ca="1">IFERROR(__xludf.DUMMYFUNCTION("""COMPUTED_VALUE"""),308632)</f>
        <v>308632</v>
      </c>
      <c r="G13">
        <f ca="1">IFERROR(__xludf.DUMMYFUNCTION("""COMPUTED_VALUE"""),35)</f>
        <v>35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IFERROR(__xludf.DUMMYFUNCTION("""COMPUTED_VALUE"""),16)</f>
        <v>16</v>
      </c>
      <c r="C14" t="str">
        <f ca="1">IFERROR(__xludf.DUMMYFUNCTION("""COMPUTED_VALUE"""),"Justin Thomas")</f>
        <v>Justin Thomas</v>
      </c>
      <c r="D14">
        <f ca="1">IFERROR(__xludf.DUMMYFUNCTION("""COMPUTED_VALUE"""),3)</f>
        <v>3</v>
      </c>
      <c r="E14">
        <f ca="1">IFERROR(__xludf.DUMMYFUNCTION("""COMPUTED_VALUE"""),245.3)</f>
        <v>245.3</v>
      </c>
      <c r="F14" s="2">
        <f ca="1">IFERROR(__xludf.DUMMYFUNCTION("""COMPUTED_VALUE"""),256091)</f>
        <v>256091</v>
      </c>
      <c r="G14">
        <f ca="1">IFERROR(__xludf.DUMMYFUNCTION("""COMPUTED_VALUE"""),29)</f>
        <v>29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IFERROR(__xludf.DUMMYFUNCTION("""COMPUTED_VALUE"""),17)</f>
        <v>17</v>
      </c>
      <c r="C15" t="str">
        <f ca="1">IFERROR(__xludf.DUMMYFUNCTION("""COMPUTED_VALUE"""),"Seonghyeon Kim")</f>
        <v>Seonghyeon Kim</v>
      </c>
      <c r="D15">
        <f ca="1">IFERROR(__xludf.DUMMYFUNCTION("""COMPUTED_VALUE"""),1)</f>
        <v>1</v>
      </c>
      <c r="E15">
        <f ca="1">IFERROR(__xludf.DUMMYFUNCTION("""COMPUTED_VALUE"""),246.1)</f>
        <v>246.1</v>
      </c>
      <c r="F15" s="2">
        <f ca="1">IFERROR(__xludf.DUMMYFUNCTION("""COMPUTED_VALUE"""),97438)</f>
        <v>97438</v>
      </c>
      <c r="G15">
        <f ca="1">IFERROR(__xludf.DUMMYFUNCTION("""COMPUTED_VALUE"""),11)</f>
        <v>11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IFERROR(__xludf.DUMMYFUNCTION("""COMPUTED_VALUE"""),18)</f>
        <v>18</v>
      </c>
      <c r="C16" t="str">
        <f ca="1">IFERROR(__xludf.DUMMYFUNCTION("""COMPUTED_VALUE"""),"Ryan Palmer")</f>
        <v>Ryan Palmer</v>
      </c>
      <c r="D16">
        <f ca="1">IFERROR(__xludf.DUMMYFUNCTION("""COMPUTED_VALUE"""),4)</f>
        <v>4</v>
      </c>
      <c r="E16">
        <f ca="1">IFERROR(__xludf.DUMMYFUNCTION("""COMPUTED_VALUE"""),246.5)</f>
        <v>246.5</v>
      </c>
      <c r="F16" s="2">
        <f ca="1">IFERROR(__xludf.DUMMYFUNCTION("""COMPUTED_VALUE"""),390380)</f>
        <v>390380</v>
      </c>
      <c r="G16">
        <f ca="1">IFERROR(__xludf.DUMMYFUNCTION("""COMPUTED_VALUE"""),44)</f>
        <v>44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IFERROR(__xludf.DUMMYFUNCTION("""COMPUTED_VALUE"""),"T19")</f>
        <v>T19</v>
      </c>
      <c r="C17" t="str">
        <f ca="1">IFERROR(__xludf.DUMMYFUNCTION("""COMPUTED_VALUE"""),"Seamus Power")</f>
        <v>Seamus Power</v>
      </c>
      <c r="D17">
        <f ca="1">IFERROR(__xludf.DUMMYFUNCTION("""COMPUTED_VALUE"""),3)</f>
        <v>3</v>
      </c>
      <c r="E17">
        <f ca="1">IFERROR(__xludf.DUMMYFUNCTION("""COMPUTED_VALUE"""),247)</f>
        <v>247</v>
      </c>
      <c r="F17" s="2">
        <f ca="1">IFERROR(__xludf.DUMMYFUNCTION("""COMPUTED_VALUE"""),53360)</f>
        <v>53360</v>
      </c>
      <c r="G17">
        <f ca="1">IFERROR(__xludf.DUMMYFUNCTION("""COMPUTED_VALUE"""),6)</f>
        <v>6</v>
      </c>
    </row>
    <row r="18" spans="1:7" ht="15.75" customHeight="1">
      <c r="A18" t="str">
        <f ca="1">IFERROR(__xludf.DUMMYFUNCTION("""COMPUTED_VALUE"""),"T16")</f>
        <v>T16</v>
      </c>
      <c r="B18" t="str">
        <f ca="1">IFERROR(__xludf.DUMMYFUNCTION("""COMPUTED_VALUE"""),"T19")</f>
        <v>T19</v>
      </c>
      <c r="C18" t="str">
        <f ca="1">IFERROR(__xludf.DUMMYFUNCTION("""COMPUTED_VALUE"""),"Bud Cauley")</f>
        <v>Bud Cauley</v>
      </c>
      <c r="D18">
        <f ca="1">IFERROR(__xludf.DUMMYFUNCTION("""COMPUTED_VALUE"""),1)</f>
        <v>1</v>
      </c>
      <c r="E18">
        <f ca="1">IFERROR(__xludf.DUMMYFUNCTION("""COMPUTED_VALUE"""),247)</f>
        <v>247</v>
      </c>
      <c r="F18" s="2">
        <f ca="1">IFERROR(__xludf.DUMMYFUNCTION("""COMPUTED_VALUE"""),97817)</f>
        <v>97817</v>
      </c>
      <c r="G18">
        <f ca="1">IFERROR(__xludf.DUMMYFUNCTION("""COMPUTED_VALUE"""),11)</f>
        <v>11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IFERROR(__xludf.DUMMYFUNCTION("""COMPUTED_VALUE"""),22)</f>
        <v>22</v>
      </c>
      <c r="C19" t="str">
        <f ca="1">IFERROR(__xludf.DUMMYFUNCTION("""COMPUTED_VALUE"""),"Joohyung Kim")</f>
        <v>Joohyung Kim</v>
      </c>
      <c r="D19">
        <f ca="1">IFERROR(__xludf.DUMMYFUNCTION("""COMPUTED_VALUE"""),3)</f>
        <v>3</v>
      </c>
      <c r="E19">
        <f ca="1">IFERROR(__xludf.DUMMYFUNCTION("""COMPUTED_VALUE"""),247.2)</f>
        <v>247.2</v>
      </c>
      <c r="F19" s="2">
        <f ca="1">IFERROR(__xludf.DUMMYFUNCTION("""COMPUTED_VALUE"""),151286)</f>
        <v>151286</v>
      </c>
      <c r="G19">
        <f ca="1">IFERROR(__xludf.DUMMYFUNCTION("""COMPUTED_VALUE"""),17)</f>
        <v>17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IFERROR(__xludf.DUMMYFUNCTION("""COMPUTED_VALUE"""),23)</f>
        <v>23</v>
      </c>
      <c r="C20" t="str">
        <f ca="1">IFERROR(__xludf.DUMMYFUNCTION("""COMPUTED_VALUE"""),"Luke Schniederjans")</f>
        <v>Luke Schniederjans</v>
      </c>
      <c r="D20">
        <f ca="1">IFERROR(__xludf.DUMMYFUNCTION("""COMPUTED_VALUE"""),2)</f>
        <v>2</v>
      </c>
      <c r="E20">
        <f ca="1">IFERROR(__xludf.DUMMYFUNCTION("""COMPUTED_VALUE"""),247.4)</f>
        <v>247.4</v>
      </c>
      <c r="F20" s="2">
        <f ca="1">IFERROR(__xludf.DUMMYFUNCTION("""COMPUTED_VALUE"""),35628)</f>
        <v>35628</v>
      </c>
      <c r="G20">
        <f ca="1">IFERROR(__xludf.DUMMYFUNCTION("""COMPUTED_VALUE"""),4)</f>
        <v>4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IFERROR(__xludf.DUMMYFUNCTION("""COMPUTED_VALUE"""),"T19")</f>
        <v>T19</v>
      </c>
      <c r="C21" t="str">
        <f ca="1">IFERROR(__xludf.DUMMYFUNCTION("""COMPUTED_VALUE"""),"Luke List")</f>
        <v>Luke List</v>
      </c>
      <c r="D21">
        <f ca="1">IFERROR(__xludf.DUMMYFUNCTION("""COMPUTED_VALUE"""),6)</f>
        <v>6</v>
      </c>
      <c r="E21">
        <f ca="1">IFERROR(__xludf.DUMMYFUNCTION("""COMPUTED_VALUE"""),247.7)</f>
        <v>247.7</v>
      </c>
      <c r="F21" s="2">
        <f ca="1">IFERROR(__xludf.DUMMYFUNCTION("""COMPUTED_VALUE"""),267496)</f>
        <v>267496</v>
      </c>
      <c r="G21">
        <f ca="1">IFERROR(__xludf.DUMMYFUNCTION("""COMPUTED_VALUE"""),30)</f>
        <v>30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IFERROR(__xludf.DUMMYFUNCTION("""COMPUTED_VALUE"""),"Rafael Campos")</f>
        <v>Rafael Campos</v>
      </c>
      <c r="D22">
        <f ca="1">IFERROR(__xludf.DUMMYFUNCTION("""COMPUTED_VALUE"""),3)</f>
        <v>3</v>
      </c>
      <c r="E22">
        <f ca="1">IFERROR(__xludf.DUMMYFUNCTION("""COMPUTED_VALUE"""),248.2)</f>
        <v>248.2</v>
      </c>
      <c r="F22" s="2">
        <f ca="1">IFERROR(__xludf.DUMMYFUNCTION("""COMPUTED_VALUE"""),44678)</f>
        <v>44678</v>
      </c>
      <c r="G22">
        <f ca="1">IFERROR(__xludf.DUMMYFUNCTION("""COMPUTED_VALUE"""),5)</f>
        <v>5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IFERROR(__xludf.DUMMYFUNCTION("""COMPUTED_VALUE"""),25)</f>
        <v>25</v>
      </c>
      <c r="C23" t="str">
        <f ca="1">IFERROR(__xludf.DUMMYFUNCTION("""COMPUTED_VALUE"""),"Brendan Steele")</f>
        <v>Brendan Steele</v>
      </c>
      <c r="D23">
        <f ca="1">IFERROR(__xludf.DUMMYFUNCTION("""COMPUTED_VALUE"""),4)</f>
        <v>4</v>
      </c>
      <c r="E23">
        <f ca="1">IFERROR(__xludf.DUMMYFUNCTION("""COMPUTED_VALUE"""),248.3)</f>
        <v>248.3</v>
      </c>
      <c r="F23" s="2">
        <f ca="1">IFERROR(__xludf.DUMMYFUNCTION("""COMPUTED_VALUE"""),384434)</f>
        <v>384434</v>
      </c>
      <c r="G23">
        <f ca="1">IFERROR(__xludf.DUMMYFUNCTION("""COMPUTED_VALUE"""),43)</f>
        <v>43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IFERROR(__xludf.DUMMYFUNCTION("""COMPUTED_VALUE"""),26)</f>
        <v>26</v>
      </c>
      <c r="C24" t="str">
        <f ca="1">IFERROR(__xludf.DUMMYFUNCTION("""COMPUTED_VALUE"""),"Rikuya Hoshino")</f>
        <v>Rikuya Hoshino</v>
      </c>
      <c r="D24">
        <f ca="1">IFERROR(__xludf.DUMMYFUNCTION("""COMPUTED_VALUE"""),1)</f>
        <v>1</v>
      </c>
      <c r="E24">
        <f ca="1">IFERROR(__xludf.DUMMYFUNCTION("""COMPUTED_VALUE"""),248.4)</f>
        <v>248.4</v>
      </c>
      <c r="F24" s="2">
        <f ca="1">IFERROR(__xludf.DUMMYFUNCTION("""COMPUTED_VALUE"""),151995)</f>
        <v>151995</v>
      </c>
      <c r="G24">
        <f ca="1">IFERROR(__xludf.DUMMYFUNCTION("""COMPUTED_VALUE"""),17)</f>
        <v>17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IFERROR(__xludf.DUMMYFUNCTION("""COMPUTED_VALUE"""),27)</f>
        <v>27</v>
      </c>
      <c r="C25" t="str">
        <f ca="1">IFERROR(__xludf.DUMMYFUNCTION("""COMPUTED_VALUE"""),"Harry Higgs")</f>
        <v>Harry Higgs</v>
      </c>
      <c r="D25">
        <f ca="1">IFERROR(__xludf.DUMMYFUNCTION("""COMPUTED_VALUE"""),4)</f>
        <v>4</v>
      </c>
      <c r="E25">
        <f ca="1">IFERROR(__xludf.DUMMYFUNCTION("""COMPUTED_VALUE"""),248.5)</f>
        <v>248.5</v>
      </c>
      <c r="F25" s="2">
        <f ca="1">IFERROR(__xludf.DUMMYFUNCTION("""COMPUTED_VALUE"""),411581)</f>
        <v>411581</v>
      </c>
      <c r="G25">
        <f ca="1">IFERROR(__xludf.DUMMYFUNCTION("""COMPUTED_VALUE"""),46)</f>
        <v>46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IFERROR(__xludf.DUMMYFUNCTION("""COMPUTED_VALUE"""),28)</f>
        <v>28</v>
      </c>
      <c r="C26" t="str">
        <f ca="1">IFERROR(__xludf.DUMMYFUNCTION("""COMPUTED_VALUE"""),"Akshay Bhatia")</f>
        <v>Akshay Bhatia</v>
      </c>
      <c r="D26">
        <f ca="1">IFERROR(__xludf.DUMMYFUNCTION("""COMPUTED_VALUE"""),2)</f>
        <v>2</v>
      </c>
      <c r="E26">
        <f ca="1">IFERROR(__xludf.DUMMYFUNCTION("""COMPUTED_VALUE"""),248.9)</f>
        <v>248.9</v>
      </c>
      <c r="F26" s="2">
        <f ca="1">IFERROR(__xludf.DUMMYFUNCTION("""COMPUTED_VALUE"""),62733)</f>
        <v>62733</v>
      </c>
      <c r="G26">
        <f ca="1">IFERROR(__xludf.DUMMYFUNCTION("""COMPUTED_VALUE"""),7)</f>
        <v>7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IFERROR(__xludf.DUMMYFUNCTION("""COMPUTED_VALUE"""),32)</f>
        <v>32</v>
      </c>
      <c r="C27" t="str">
        <f ca="1">IFERROR(__xludf.DUMMYFUNCTION("""COMPUTED_VALUE"""),"Chan Kim")</f>
        <v>Chan Kim</v>
      </c>
      <c r="D27">
        <f ca="1">IFERROR(__xludf.DUMMYFUNCTION("""COMPUTED_VALUE"""),2)</f>
        <v>2</v>
      </c>
      <c r="E27">
        <f ca="1">IFERROR(__xludf.DUMMYFUNCTION("""COMPUTED_VALUE"""),250.2)</f>
        <v>250.2</v>
      </c>
      <c r="F27" s="2">
        <f ca="1">IFERROR(__xludf.DUMMYFUNCTION("""COMPUTED_VALUE"""),108102)</f>
        <v>108102</v>
      </c>
      <c r="G27">
        <f ca="1">IFERROR(__xludf.DUMMYFUNCTION("""COMPUTED_VALUE"""),12)</f>
        <v>12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IFERROR(__xludf.DUMMYFUNCTION("""COMPUTED_VALUE"""),34)</f>
        <v>34</v>
      </c>
      <c r="C28" t="str">
        <f ca="1">IFERROR(__xludf.DUMMYFUNCTION("""COMPUTED_VALUE"""),"Jaekyeong Lee")</f>
        <v>Jaekyeong Lee</v>
      </c>
      <c r="D28">
        <f ca="1">IFERROR(__xludf.DUMMYFUNCTION("""COMPUTED_VALUE"""),1)</f>
        <v>1</v>
      </c>
      <c r="E28">
        <f ca="1">IFERROR(__xludf.DUMMYFUNCTION("""COMPUTED_VALUE"""),250.4)</f>
        <v>250.4</v>
      </c>
      <c r="F28" s="2">
        <f ca="1">IFERROR(__xludf.DUMMYFUNCTION("""COMPUTED_VALUE"""),135196)</f>
        <v>135196</v>
      </c>
      <c r="G28">
        <f ca="1">IFERROR(__xludf.DUMMYFUNCTION("""COMPUTED_VALUE"""),15)</f>
        <v>15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IFERROR(__xludf.DUMMYFUNCTION("""COMPUTED_VALUE"""),35)</f>
        <v>35</v>
      </c>
      <c r="C29" t="str">
        <f ca="1">IFERROR(__xludf.DUMMYFUNCTION("""COMPUTED_VALUE"""),"Rhein Gibson")</f>
        <v>Rhein Gibson</v>
      </c>
      <c r="D29">
        <f ca="1">IFERROR(__xludf.DUMMYFUNCTION("""COMPUTED_VALUE"""),3)</f>
        <v>3</v>
      </c>
      <c r="E29">
        <f ca="1">IFERROR(__xludf.DUMMYFUNCTION("""COMPUTED_VALUE"""),250.6)</f>
        <v>250.6</v>
      </c>
      <c r="F29" s="2">
        <f ca="1">IFERROR(__xludf.DUMMYFUNCTION("""COMPUTED_VALUE"""),72163)</f>
        <v>72163</v>
      </c>
      <c r="G29">
        <f ca="1">IFERROR(__xludf.DUMMYFUNCTION("""COMPUTED_VALUE"""),8)</f>
        <v>8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IFERROR(__xludf.DUMMYFUNCTION("""COMPUTED_VALUE"""),"T36")</f>
        <v>T36</v>
      </c>
      <c r="C30" t="str">
        <f ca="1">IFERROR(__xludf.DUMMYFUNCTION("""COMPUTED_VALUE"""),"Nick Watney")</f>
        <v>Nick Watney</v>
      </c>
      <c r="D30">
        <f ca="1">IFERROR(__xludf.DUMMYFUNCTION("""COMPUTED_VALUE"""),4)</f>
        <v>4</v>
      </c>
      <c r="E30">
        <f ca="1">IFERROR(__xludf.DUMMYFUNCTION("""COMPUTED_VALUE"""),251.3)</f>
        <v>251.3</v>
      </c>
      <c r="F30" s="2">
        <f ca="1">IFERROR(__xludf.DUMMYFUNCTION("""COMPUTED_VALUE"""),199027)</f>
        <v>199027</v>
      </c>
      <c r="G30">
        <f ca="1">IFERROR(__xludf.DUMMYFUNCTION("""COMPUTED_VALUE"""),22)</f>
        <v>22</v>
      </c>
    </row>
    <row r="31" spans="1:7" ht="12.75">
      <c r="A31">
        <f ca="1">IFERROR(__xludf.DUMMYFUNCTION("""COMPUTED_VALUE"""),30)</f>
        <v>30</v>
      </c>
      <c r="B31" t="str">
        <f ca="1">IFERROR(__xludf.DUMMYFUNCTION("""COMPUTED_VALUE"""),"T38")</f>
        <v>T38</v>
      </c>
      <c r="C31" t="str">
        <f ca="1">IFERROR(__xludf.DUMMYFUNCTION("""COMPUTED_VALUE"""),"Brandon Hagy")</f>
        <v>Brandon Hagy</v>
      </c>
      <c r="D31">
        <f ca="1">IFERROR(__xludf.DUMMYFUNCTION("""COMPUTED_VALUE"""),4)</f>
        <v>4</v>
      </c>
      <c r="E31">
        <f ca="1">IFERROR(__xludf.DUMMYFUNCTION("""COMPUTED_VALUE"""),251.4)</f>
        <v>251.4</v>
      </c>
      <c r="F31" s="2">
        <f ca="1">IFERROR(__xludf.DUMMYFUNCTION("""COMPUTED_VALUE"""),144798)</f>
        <v>144798</v>
      </c>
      <c r="G31">
        <f ca="1">IFERROR(__xludf.DUMMYFUNCTION("""COMPUTED_VALUE"""),16)</f>
        <v>16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IFERROR(__xludf.DUMMYFUNCTION("""COMPUTED_VALUE"""),40)</f>
        <v>40</v>
      </c>
      <c r="C32" t="str">
        <f ca="1">IFERROR(__xludf.DUMMYFUNCTION("""COMPUTED_VALUE"""),"Mikumu Horikawa")</f>
        <v>Mikumu Horikawa</v>
      </c>
      <c r="D32">
        <f ca="1">IFERROR(__xludf.DUMMYFUNCTION("""COMPUTED_VALUE"""),1)</f>
        <v>1</v>
      </c>
      <c r="E32">
        <f ca="1">IFERROR(__xludf.DUMMYFUNCTION("""COMPUTED_VALUE"""),251.7)</f>
        <v>251.7</v>
      </c>
      <c r="F32" s="2">
        <f ca="1">IFERROR(__xludf.DUMMYFUNCTION("""COMPUTED_VALUE"""),90626)</f>
        <v>90626</v>
      </c>
      <c r="G32">
        <f ca="1">IFERROR(__xludf.DUMMYFUNCTION("""COMPUTED_VALUE"""),10)</f>
        <v>10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IFERROR(__xludf.DUMMYFUNCTION("""COMPUTED_VALUE"""),46)</f>
        <v>46</v>
      </c>
      <c r="C33" t="str">
        <f ca="1">IFERROR(__xludf.DUMMYFUNCTION("""COMPUTED_VALUE"""),"Rory McIlroy")</f>
        <v>Rory McIlroy</v>
      </c>
      <c r="D33">
        <f ca="1">IFERROR(__xludf.DUMMYFUNCTION("""COMPUTED_VALUE"""),3)</f>
        <v>3</v>
      </c>
      <c r="E33">
        <f ca="1">IFERROR(__xludf.DUMMYFUNCTION("""COMPUTED_VALUE"""),252.8)</f>
        <v>252.8</v>
      </c>
      <c r="F33" s="2">
        <f ca="1">IFERROR(__xludf.DUMMYFUNCTION("""COMPUTED_VALUE"""),418703)</f>
        <v>418703</v>
      </c>
      <c r="G33">
        <f ca="1">IFERROR(__xludf.DUMMYFUNCTION("""COMPUTED_VALUE"""),46)</f>
        <v>46</v>
      </c>
    </row>
    <row r="34" spans="1:7" ht="12.75">
      <c r="A34" t="str">
        <f ca="1">IFERROR(__xludf.DUMMYFUNCTION("""COMPUTED_VALUE"""),"T33")</f>
        <v>T33</v>
      </c>
      <c r="B34">
        <f ca="1">IFERROR(__xludf.DUMMYFUNCTION("""COMPUTED_VALUE"""),47)</f>
        <v>47</v>
      </c>
      <c r="C34" t="str">
        <f ca="1">IFERROR(__xludf.DUMMYFUNCTION("""COMPUTED_VALUE"""),"Cameron Champ")</f>
        <v>Cameron Champ</v>
      </c>
      <c r="D34">
        <f ca="1">IFERROR(__xludf.DUMMYFUNCTION("""COMPUTED_VALUE"""),4)</f>
        <v>4</v>
      </c>
      <c r="E34">
        <f ca="1">IFERROR(__xludf.DUMMYFUNCTION("""COMPUTED_VALUE"""),253.1)</f>
        <v>253.1</v>
      </c>
      <c r="F34" s="2">
        <f ca="1">IFERROR(__xludf.DUMMYFUNCTION("""COMPUTED_VALUE"""),428183)</f>
        <v>428183</v>
      </c>
      <c r="G34">
        <f ca="1">IFERROR(__xludf.DUMMYFUNCTION("""COMPUTED_VALUE"""),47)</f>
        <v>47</v>
      </c>
    </row>
    <row r="35" spans="1:7" ht="12.75">
      <c r="A35" t="str">
        <f ca="1">IFERROR(__xludf.DUMMYFUNCTION("""COMPUTED_VALUE"""),"T33")</f>
        <v>T33</v>
      </c>
      <c r="B35">
        <f ca="1">IFERROR(__xludf.DUMMYFUNCTION("""COMPUTED_VALUE"""),4)</f>
        <v>4</v>
      </c>
      <c r="C35" t="str">
        <f ca="1">IFERROR(__xludf.DUMMYFUNCTION("""COMPUTED_VALUE"""),"Isaiah Salinda")</f>
        <v>Isaiah Salinda</v>
      </c>
      <c r="D35">
        <f ca="1">IFERROR(__xludf.DUMMYFUNCTION("""COMPUTED_VALUE"""),2)</f>
        <v>2</v>
      </c>
      <c r="E35">
        <f ca="1">IFERROR(__xludf.DUMMYFUNCTION("""COMPUTED_VALUE"""),253.1)</f>
        <v>253.1</v>
      </c>
      <c r="F35" s="2">
        <f ca="1">IFERROR(__xludf.DUMMYFUNCTION("""COMPUTED_VALUE"""),154870)</f>
        <v>154870</v>
      </c>
      <c r="G35">
        <f ca="1">IFERROR(__xludf.DUMMYFUNCTION("""COMPUTED_VALUE"""),17)</f>
        <v>17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IFERROR(__xludf.DUMMYFUNCTION("""COMPUTED_VALUE"""),31)</f>
        <v>31</v>
      </c>
      <c r="C36" t="str">
        <f ca="1">IFERROR(__xludf.DUMMYFUNCTION("""COMPUTED_VALUE"""),"Carlos Ortiz")</f>
        <v>Carlos Ortiz</v>
      </c>
      <c r="D36">
        <f ca="1">IFERROR(__xludf.DUMMYFUNCTION("""COMPUTED_VALUE"""),6)</f>
        <v>6</v>
      </c>
      <c r="E36">
        <f ca="1">IFERROR(__xludf.DUMMYFUNCTION("""COMPUTED_VALUE"""),253.4)</f>
        <v>253.4</v>
      </c>
      <c r="F36" s="2">
        <f ca="1">IFERROR(__xludf.DUMMYFUNCTION("""COMPUTED_VALUE"""),520028)</f>
        <v>520028</v>
      </c>
      <c r="G36">
        <f ca="1">IFERROR(__xludf.DUMMYFUNCTION("""COMPUTED_VALUE"""),57)</f>
        <v>57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IFERROR(__xludf.DUMMYFUNCTION("""COMPUTED_VALUE"""),48)</f>
        <v>48</v>
      </c>
      <c r="C37" t="str">
        <f ca="1">IFERROR(__xludf.DUMMYFUNCTION("""COMPUTED_VALUE"""),"Rickie Fowler")</f>
        <v>Rickie Fowler</v>
      </c>
      <c r="D37">
        <f ca="1">IFERROR(__xludf.DUMMYFUNCTION("""COMPUTED_VALUE"""),4)</f>
        <v>4</v>
      </c>
      <c r="E37">
        <f ca="1">IFERROR(__xludf.DUMMYFUNCTION("""COMPUTED_VALUE"""),253.5)</f>
        <v>253.5</v>
      </c>
      <c r="F37" s="2">
        <f ca="1">IFERROR(__xludf.DUMMYFUNCTION("""COMPUTED_VALUE"""),355889)</f>
        <v>355889</v>
      </c>
      <c r="G37">
        <f ca="1">IFERROR(__xludf.DUMMYFUNCTION("""COMPUTED_VALUE"""),39)</f>
        <v>39</v>
      </c>
    </row>
    <row r="38" spans="1:7" ht="12.75">
      <c r="A38" t="str">
        <f ca="1">IFERROR(__xludf.DUMMYFUNCTION("""COMPUTED_VALUE"""),"T37")</f>
        <v>T37</v>
      </c>
      <c r="B38" t="str">
        <f ca="1">IFERROR(__xludf.DUMMYFUNCTION("""COMPUTED_VALUE"""),"T49")</f>
        <v>T49</v>
      </c>
      <c r="C38" t="str">
        <f ca="1">IFERROR(__xludf.DUMMYFUNCTION("""COMPUTED_VALUE"""),"Jason Kokrak")</f>
        <v>Jason Kokrak</v>
      </c>
      <c r="D38">
        <f ca="1">IFERROR(__xludf.DUMMYFUNCTION("""COMPUTED_VALUE"""),4)</f>
        <v>4</v>
      </c>
      <c r="E38">
        <f ca="1">IFERROR(__xludf.DUMMYFUNCTION("""COMPUTED_VALUE"""),253.7)</f>
        <v>253.7</v>
      </c>
      <c r="F38" s="2">
        <f ca="1">IFERROR(__xludf.DUMMYFUNCTION("""COMPUTED_VALUE"""),392737)</f>
        <v>392737</v>
      </c>
      <c r="G38">
        <f ca="1">IFERROR(__xludf.DUMMYFUNCTION("""COMPUTED_VALUE"""),43)</f>
        <v>43</v>
      </c>
    </row>
    <row r="39" spans="1:7" ht="12.75">
      <c r="A39" t="str">
        <f ca="1">IFERROR(__xludf.DUMMYFUNCTION("""COMPUTED_VALUE"""),"T37")</f>
        <v>T37</v>
      </c>
      <c r="B39">
        <f ca="1">IFERROR(__xludf.DUMMYFUNCTION("""COMPUTED_VALUE"""),14)</f>
        <v>14</v>
      </c>
      <c r="C39" t="str">
        <f ca="1">IFERROR(__xludf.DUMMYFUNCTION("""COMPUTED_VALUE"""),"Tyrrell Hatton")</f>
        <v>Tyrrell Hatton</v>
      </c>
      <c r="D39">
        <f ca="1">IFERROR(__xludf.DUMMYFUNCTION("""COMPUTED_VALUE"""),4)</f>
        <v>4</v>
      </c>
      <c r="E39">
        <f ca="1">IFERROR(__xludf.DUMMYFUNCTION("""COMPUTED_VALUE"""),253.7)</f>
        <v>253.7</v>
      </c>
      <c r="F39" s="2">
        <f ca="1">IFERROR(__xludf.DUMMYFUNCTION("""COMPUTED_VALUE"""),301454)</f>
        <v>301454</v>
      </c>
      <c r="G39">
        <f ca="1">IFERROR(__xludf.DUMMYFUNCTION("""COMPUTED_VALUE"""),33)</f>
        <v>33</v>
      </c>
    </row>
    <row r="40" spans="1:7" ht="12.75">
      <c r="A40" t="str">
        <f ca="1">IFERROR(__xludf.DUMMYFUNCTION("""COMPUTED_VALUE"""),"T37")</f>
        <v>T37</v>
      </c>
      <c r="B40" t="str">
        <f ca="1">IFERROR(__xludf.DUMMYFUNCTION("""COMPUTED_VALUE"""),"T49")</f>
        <v>T49</v>
      </c>
      <c r="C40" t="str">
        <f ca="1">IFERROR(__xludf.DUMMYFUNCTION("""COMPUTED_VALUE"""),"Cameron Smith")</f>
        <v>Cameron Smith</v>
      </c>
      <c r="D40">
        <f ca="1">IFERROR(__xludf.DUMMYFUNCTION("""COMPUTED_VALUE"""),4)</f>
        <v>4</v>
      </c>
      <c r="E40">
        <f ca="1">IFERROR(__xludf.DUMMYFUNCTION("""COMPUTED_VALUE"""),253.7)</f>
        <v>253.7</v>
      </c>
      <c r="F40" s="2">
        <f ca="1">IFERROR(__xludf.DUMMYFUNCTION("""COMPUTED_VALUE"""),392731)</f>
        <v>392731</v>
      </c>
      <c r="G40">
        <f ca="1">IFERROR(__xludf.DUMMYFUNCTION("""COMPUTED_VALUE"""),43)</f>
        <v>43</v>
      </c>
    </row>
    <row r="41" spans="1:7" ht="12.75">
      <c r="A41" t="str">
        <f ca="1">IFERROR(__xludf.DUMMYFUNCTION("""COMPUTED_VALUE"""),"T40")</f>
        <v>T40</v>
      </c>
      <c r="B41">
        <f ca="1">IFERROR(__xludf.DUMMYFUNCTION("""COMPUTED_VALUE"""),29)</f>
        <v>29</v>
      </c>
      <c r="C41" t="str">
        <f ca="1">IFERROR(__xludf.DUMMYFUNCTION("""COMPUTED_VALUE"""),"Sam Burns")</f>
        <v>Sam Burns</v>
      </c>
      <c r="D41">
        <f ca="1">IFERROR(__xludf.DUMMYFUNCTION("""COMPUTED_VALUE"""),5)</f>
        <v>5</v>
      </c>
      <c r="E41">
        <f ca="1">IFERROR(__xludf.DUMMYFUNCTION("""COMPUTED_VALUE"""),254.4)</f>
        <v>254.4</v>
      </c>
      <c r="F41" s="2">
        <f ca="1">IFERROR(__xludf.DUMMYFUNCTION("""COMPUTED_VALUE"""),412201)</f>
        <v>412201</v>
      </c>
      <c r="G41">
        <f ca="1">IFERROR(__xludf.DUMMYFUNCTION("""COMPUTED_VALUE"""),45)</f>
        <v>45</v>
      </c>
    </row>
    <row r="42" spans="1:7" ht="12.75">
      <c r="A42" t="str">
        <f ca="1">IFERROR(__xludf.DUMMYFUNCTION("""COMPUTED_VALUE"""),"T40")</f>
        <v>T40</v>
      </c>
      <c r="B42">
        <f ca="1">IFERROR(__xludf.DUMMYFUNCTION("""COMPUTED_VALUE"""),30)</f>
        <v>30</v>
      </c>
      <c r="C42" t="str">
        <f ca="1">IFERROR(__xludf.DUMMYFUNCTION("""COMPUTED_VALUE"""),"Jason Day")</f>
        <v>Jason Day</v>
      </c>
      <c r="D42">
        <f ca="1">IFERROR(__xludf.DUMMYFUNCTION("""COMPUTED_VALUE"""),5)</f>
        <v>5</v>
      </c>
      <c r="E42">
        <f ca="1">IFERROR(__xludf.DUMMYFUNCTION("""COMPUTED_VALUE"""),254.4)</f>
        <v>254.4</v>
      </c>
      <c r="F42" s="2">
        <f ca="1">IFERROR(__xludf.DUMMYFUNCTION("""COMPUTED_VALUE"""),467159)</f>
        <v>467159</v>
      </c>
      <c r="G42">
        <f ca="1">IFERROR(__xludf.DUMMYFUNCTION("""COMPUTED_VALUE"""),51)</f>
        <v>51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IFERROR(__xludf.DUMMYFUNCTION("""COMPUTED_VALUE"""),53)</f>
        <v>53</v>
      </c>
      <c r="C43" t="str">
        <f ca="1">IFERROR(__xludf.DUMMYFUNCTION("""COMPUTED_VALUE"""),"Tommy Fleetwood")</f>
        <v>Tommy Fleetwood</v>
      </c>
      <c r="D43">
        <f ca="1">IFERROR(__xludf.DUMMYFUNCTION("""COMPUTED_VALUE"""),3)</f>
        <v>3</v>
      </c>
      <c r="E43">
        <f ca="1">IFERROR(__xludf.DUMMYFUNCTION("""COMPUTED_VALUE"""),254.7)</f>
        <v>254.7</v>
      </c>
      <c r="F43" s="2">
        <f ca="1">IFERROR(__xludf.DUMMYFUNCTION("""COMPUTED_VALUE"""),293443)</f>
        <v>293443</v>
      </c>
      <c r="G43">
        <f ca="1">IFERROR(__xludf.DUMMYFUNCTION("""COMPUTED_VALUE"""),32)</f>
        <v>32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IFERROR(__xludf.DUMMYFUNCTION("""COMPUTED_VALUE"""),54)</f>
        <v>54</v>
      </c>
      <c r="C44" t="str">
        <f ca="1">IFERROR(__xludf.DUMMYFUNCTION("""COMPUTED_VALUE"""),"Nelson Ledesma")</f>
        <v>Nelson Ledesma</v>
      </c>
      <c r="D44">
        <f ca="1">IFERROR(__xludf.DUMMYFUNCTION("""COMPUTED_VALUE"""),3)</f>
        <v>3</v>
      </c>
      <c r="E44">
        <f ca="1">IFERROR(__xludf.DUMMYFUNCTION("""COMPUTED_VALUE"""),254.8)</f>
        <v>254.8</v>
      </c>
      <c r="F44" s="2">
        <f ca="1">IFERROR(__xludf.DUMMYFUNCTION("""COMPUTED_VALUE"""),119245)</f>
        <v>119245</v>
      </c>
      <c r="G44">
        <f ca="1">IFERROR(__xludf.DUMMYFUNCTION("""COMPUTED_VALUE"""),13)</f>
        <v>13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IFERROR(__xludf.DUMMYFUNCTION("""COMPUTED_VALUE"""),55)</f>
        <v>55</v>
      </c>
      <c r="C45" t="str">
        <f ca="1">IFERROR(__xludf.DUMMYFUNCTION("""COMPUTED_VALUE"""),"Alex Cejka")</f>
        <v>Alex Cejka</v>
      </c>
      <c r="D45">
        <f ca="1">IFERROR(__xludf.DUMMYFUNCTION("""COMPUTED_VALUE"""),3)</f>
        <v>3</v>
      </c>
      <c r="E45">
        <f ca="1">IFERROR(__xludf.DUMMYFUNCTION("""COMPUTED_VALUE"""),255.1)</f>
        <v>255.1</v>
      </c>
      <c r="F45" s="2">
        <f ca="1">IFERROR(__xludf.DUMMYFUNCTION("""COMPUTED_VALUE"""),45922)</f>
        <v>45922</v>
      </c>
      <c r="G45">
        <f ca="1">IFERROR(__xludf.DUMMYFUNCTION("""COMPUTED_VALUE"""),5)</f>
        <v>5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IFERROR(__xludf.DUMMYFUNCTION("""COMPUTED_VALUE"""),56)</f>
        <v>56</v>
      </c>
      <c r="C46" t="str">
        <f ca="1">IFERROR(__xludf.DUMMYFUNCTION("""COMPUTED_VALUE"""),"Webb Simpson")</f>
        <v>Webb Simpson</v>
      </c>
      <c r="D46">
        <f ca="1">IFERROR(__xludf.DUMMYFUNCTION("""COMPUTED_VALUE"""),3)</f>
        <v>3</v>
      </c>
      <c r="E46">
        <f ca="1">IFERROR(__xludf.DUMMYFUNCTION("""COMPUTED_VALUE"""),255.3)</f>
        <v>255.3</v>
      </c>
      <c r="F46" s="2">
        <f ca="1">IFERROR(__xludf.DUMMYFUNCTION("""COMPUTED_VALUE"""),330828)</f>
        <v>330828</v>
      </c>
      <c r="G46">
        <f ca="1">IFERROR(__xludf.DUMMYFUNCTION("""COMPUTED_VALUE"""),36)</f>
        <v>36</v>
      </c>
    </row>
    <row r="47" spans="1:7" ht="12.75">
      <c r="A47" t="str">
        <f ca="1">IFERROR(__xludf.DUMMYFUNCTION("""COMPUTED_VALUE"""),"T46")</f>
        <v>T46</v>
      </c>
      <c r="B47">
        <f ca="1">IFERROR(__xludf.DUMMYFUNCTION("""COMPUTED_VALUE"""),57)</f>
        <v>57</v>
      </c>
      <c r="C47" t="str">
        <f ca="1">IFERROR(__xludf.DUMMYFUNCTION("""COMPUTED_VALUE"""),"Sebastian Cappelen")</f>
        <v>Sebastian Cappelen</v>
      </c>
      <c r="D47">
        <f ca="1">IFERROR(__xludf.DUMMYFUNCTION("""COMPUTED_VALUE"""),3)</f>
        <v>3</v>
      </c>
      <c r="E47">
        <f ca="1">IFERROR(__xludf.DUMMYFUNCTION("""COMPUTED_VALUE"""),255.5)</f>
        <v>255.5</v>
      </c>
      <c r="F47" s="2">
        <f ca="1">IFERROR(__xludf.DUMMYFUNCTION("""COMPUTED_VALUE"""),73578)</f>
        <v>73578</v>
      </c>
      <c r="G47">
        <f ca="1">IFERROR(__xludf.DUMMYFUNCTION("""COMPUTED_VALUE"""),8)</f>
        <v>8</v>
      </c>
    </row>
    <row r="48" spans="1:7" ht="12.75">
      <c r="A48" t="str">
        <f ca="1">IFERROR(__xludf.DUMMYFUNCTION("""COMPUTED_VALUE"""),"T46")</f>
        <v>T46</v>
      </c>
      <c r="B48">
        <f ca="1">IFERROR(__xludf.DUMMYFUNCTION("""COMPUTED_VALUE"""),52)</f>
        <v>52</v>
      </c>
      <c r="C48" t="str">
        <f ca="1">IFERROR(__xludf.DUMMYFUNCTION("""COMPUTED_VALUE"""),"Tom Hoge")</f>
        <v>Tom Hoge</v>
      </c>
      <c r="D48">
        <f ca="1">IFERROR(__xludf.DUMMYFUNCTION("""COMPUTED_VALUE"""),6)</f>
        <v>6</v>
      </c>
      <c r="E48">
        <f ca="1">IFERROR(__xludf.DUMMYFUNCTION("""COMPUTED_VALUE"""),255.5)</f>
        <v>255.5</v>
      </c>
      <c r="F48" s="2">
        <f ca="1">IFERROR(__xludf.DUMMYFUNCTION("""COMPUTED_VALUE"""),515094)</f>
        <v>515094</v>
      </c>
      <c r="G48">
        <f ca="1">IFERROR(__xludf.DUMMYFUNCTION("""COMPUTED_VALUE"""),56)</f>
        <v>56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IFERROR(__xludf.DUMMYFUNCTION("""COMPUTED_VALUE"""),58)</f>
        <v>58</v>
      </c>
      <c r="C49" t="str">
        <f ca="1">IFERROR(__xludf.DUMMYFUNCTION("""COMPUTED_VALUE"""),"Xander Schauffele")</f>
        <v>Xander Schauffele</v>
      </c>
      <c r="D49">
        <f ca="1">IFERROR(__xludf.DUMMYFUNCTION("""COMPUTED_VALUE"""),3)</f>
        <v>3</v>
      </c>
      <c r="E49">
        <f ca="1">IFERROR(__xludf.DUMMYFUNCTION("""COMPUTED_VALUE"""),255.6)</f>
        <v>255.6</v>
      </c>
      <c r="F49" s="2">
        <f ca="1">IFERROR(__xludf.DUMMYFUNCTION("""COMPUTED_VALUE"""),331308)</f>
        <v>331308</v>
      </c>
      <c r="G49">
        <f ca="1">IFERROR(__xludf.DUMMYFUNCTION("""COMPUTED_VALUE"""),36)</f>
        <v>36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IFERROR(__xludf.DUMMYFUNCTION("""COMPUTED_VALUE"""),"T59")</f>
        <v>T59</v>
      </c>
      <c r="C50" t="str">
        <f ca="1">IFERROR(__xludf.DUMMYFUNCTION("""COMPUTED_VALUE"""),"Harris English")</f>
        <v>Harris English</v>
      </c>
      <c r="D50">
        <f ca="1">IFERROR(__xludf.DUMMYFUNCTION("""COMPUTED_VALUE"""),4)</f>
        <v>4</v>
      </c>
      <c r="E50">
        <f ca="1">IFERROR(__xludf.DUMMYFUNCTION("""COMPUTED_VALUE"""),255.7)</f>
        <v>255.7</v>
      </c>
      <c r="F50" s="2">
        <f ca="1">IFERROR(__xludf.DUMMYFUNCTION("""COMPUTED_VALUE"""),386570)</f>
        <v>386570</v>
      </c>
      <c r="G50">
        <f ca="1">IFERROR(__xludf.DUMMYFUNCTION("""COMPUTED_VALUE"""),42)</f>
        <v>42</v>
      </c>
    </row>
    <row r="51" spans="1:7" ht="12.75">
      <c r="A51" t="str">
        <f ca="1">IFERROR(__xludf.DUMMYFUNCTION("""COMPUTED_VALUE"""),"T50")</f>
        <v>T50</v>
      </c>
      <c r="B51">
        <f ca="1">IFERROR(__xludf.DUMMYFUNCTION("""COMPUTED_VALUE"""),45)</f>
        <v>45</v>
      </c>
      <c r="C51" t="str">
        <f ca="1">IFERROR(__xludf.DUMMYFUNCTION("""COMPUTED_VALUE"""),"Cameron Davis")</f>
        <v>Cameron Davis</v>
      </c>
      <c r="D51">
        <f ca="1">IFERROR(__xludf.DUMMYFUNCTION("""COMPUTED_VALUE"""),4)</f>
        <v>4</v>
      </c>
      <c r="E51">
        <f ca="1">IFERROR(__xludf.DUMMYFUNCTION("""COMPUTED_VALUE"""),255.9)</f>
        <v>255.9</v>
      </c>
      <c r="F51" s="2">
        <f ca="1">IFERROR(__xludf.DUMMYFUNCTION("""COMPUTED_VALUE"""),442196)</f>
        <v>442196</v>
      </c>
      <c r="G51">
        <f ca="1">IFERROR(__xludf.DUMMYFUNCTION("""COMPUTED_VALUE"""),48)</f>
        <v>48</v>
      </c>
    </row>
    <row r="52" spans="1:7" ht="12.75">
      <c r="A52" t="str">
        <f ca="1">IFERROR(__xludf.DUMMYFUNCTION("""COMPUTED_VALUE"""),"T50")</f>
        <v>T50</v>
      </c>
      <c r="B52" t="str">
        <f ca="1">IFERROR(__xludf.DUMMYFUNCTION("""COMPUTED_VALUE"""),"T41")</f>
        <v>T41</v>
      </c>
      <c r="C52" t="str">
        <f ca="1">IFERROR(__xludf.DUMMYFUNCTION("""COMPUTED_VALUE"""),"Charley Hoffman")</f>
        <v>Charley Hoffman</v>
      </c>
      <c r="D52">
        <f ca="1">IFERROR(__xludf.DUMMYFUNCTION("""COMPUTED_VALUE"""),6)</f>
        <v>6</v>
      </c>
      <c r="E52">
        <f ca="1">IFERROR(__xludf.DUMMYFUNCTION("""COMPUTED_VALUE"""),255.9)</f>
        <v>255.9</v>
      </c>
      <c r="F52" s="2">
        <f ca="1">IFERROR(__xludf.DUMMYFUNCTION("""COMPUTED_VALUE"""),331672)</f>
        <v>331672</v>
      </c>
      <c r="G52">
        <f ca="1">IFERROR(__xludf.DUMMYFUNCTION("""COMPUTED_VALUE"""),36)</f>
        <v>36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IFERROR(__xludf.DUMMYFUNCTION("""COMPUTED_VALUE"""),61)</f>
        <v>61</v>
      </c>
      <c r="C53" t="str">
        <f ca="1">IFERROR(__xludf.DUMMYFUNCTION("""COMPUTED_VALUE"""),"Joel Dahmen")</f>
        <v>Joel Dahmen</v>
      </c>
      <c r="D53">
        <f ca="1">IFERROR(__xludf.DUMMYFUNCTION("""COMPUTED_VALUE"""),5)</f>
        <v>5</v>
      </c>
      <c r="E53">
        <f ca="1">IFERROR(__xludf.DUMMYFUNCTION("""COMPUTED_VALUE"""),256.1)</f>
        <v>256.10000000000002</v>
      </c>
      <c r="F53" s="2">
        <f ca="1">IFERROR(__xludf.DUMMYFUNCTION("""COMPUTED_VALUE"""),488577)</f>
        <v>488577</v>
      </c>
      <c r="G53">
        <f ca="1">IFERROR(__xludf.DUMMYFUNCTION("""COMPUTED_VALUE"""),53)</f>
        <v>53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IFERROR(__xludf.DUMMYFUNCTION("""COMPUTED_VALUE"""),44)</f>
        <v>44</v>
      </c>
      <c r="C54" t="str">
        <f ca="1">IFERROR(__xludf.DUMMYFUNCTION("""COMPUTED_VALUE"""),"Harold Varner III")</f>
        <v>Harold Varner III</v>
      </c>
      <c r="D54">
        <f ca="1">IFERROR(__xludf.DUMMYFUNCTION("""COMPUTED_VALUE"""),4)</f>
        <v>4</v>
      </c>
      <c r="E54">
        <f ca="1">IFERROR(__xludf.DUMMYFUNCTION("""COMPUTED_VALUE"""),256.3)</f>
        <v>256.3</v>
      </c>
      <c r="F54" s="2">
        <f ca="1">IFERROR(__xludf.DUMMYFUNCTION("""COMPUTED_VALUE"""),304527)</f>
        <v>304527</v>
      </c>
      <c r="G54">
        <f ca="1">IFERROR(__xludf.DUMMYFUNCTION("""COMPUTED_VALUE"""),33)</f>
        <v>33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IFERROR(__xludf.DUMMYFUNCTION("""COMPUTED_VALUE"""),51)</f>
        <v>51</v>
      </c>
      <c r="C55" t="str">
        <f ca="1">IFERROR(__xludf.DUMMYFUNCTION("""COMPUTED_VALUE"""),"Will Gordon")</f>
        <v>Will Gordon</v>
      </c>
      <c r="D55">
        <f ca="1">IFERROR(__xludf.DUMMYFUNCTION("""COMPUTED_VALUE"""),6)</f>
        <v>6</v>
      </c>
      <c r="E55">
        <f ca="1">IFERROR(__xludf.DUMMYFUNCTION("""COMPUTED_VALUE"""),256.4)</f>
        <v>256.39999999999998</v>
      </c>
      <c r="F55" s="2">
        <f ca="1">IFERROR(__xludf.DUMMYFUNCTION("""COMPUTED_VALUE"""),424613)</f>
        <v>424613</v>
      </c>
      <c r="G55">
        <f ca="1">IFERROR(__xludf.DUMMYFUNCTION("""COMPUTED_VALUE"""),46)</f>
        <v>46</v>
      </c>
    </row>
    <row r="56" spans="1:7" ht="12.75">
      <c r="A56">
        <f ca="1">IFERROR(__xludf.DUMMYFUNCTION("""COMPUTED_VALUE"""),55)</f>
        <v>55</v>
      </c>
      <c r="B56" t="str">
        <f ca="1">IFERROR(__xludf.DUMMYFUNCTION("""COMPUTED_VALUE"""),"T36")</f>
        <v>T36</v>
      </c>
      <c r="C56" t="str">
        <f ca="1">IFERROR(__xludf.DUMMYFUNCTION("""COMPUTED_VALUE"""),"Kristoffer Ventura")</f>
        <v>Kristoffer Ventura</v>
      </c>
      <c r="D56">
        <f ca="1">IFERROR(__xludf.DUMMYFUNCTION("""COMPUTED_VALUE"""),6)</f>
        <v>6</v>
      </c>
      <c r="E56">
        <f ca="1">IFERROR(__xludf.DUMMYFUNCTION("""COMPUTED_VALUE"""),256.6)</f>
        <v>256.60000000000002</v>
      </c>
      <c r="F56" s="2">
        <f ca="1">IFERROR(__xludf.DUMMYFUNCTION("""COMPUTED_VALUE"""),397276)</f>
        <v>397276</v>
      </c>
      <c r="G56">
        <f ca="1">IFERROR(__xludf.DUMMYFUNCTION("""COMPUTED_VALUE"""),43)</f>
        <v>43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IFERROR(__xludf.DUMMYFUNCTION("""COMPUTED_VALUE"""),"T64")</f>
        <v>T64</v>
      </c>
      <c r="C57" t="str">
        <f ca="1">IFERROR(__xludf.DUMMYFUNCTION("""COMPUTED_VALUE"""),"Justin Suh")</f>
        <v>Justin Suh</v>
      </c>
      <c r="D57">
        <f ca="1">IFERROR(__xludf.DUMMYFUNCTION("""COMPUTED_VALUE"""),3)</f>
        <v>3</v>
      </c>
      <c r="E57">
        <f ca="1">IFERROR(__xludf.DUMMYFUNCTION("""COMPUTED_VALUE"""),256.8)</f>
        <v>256.8</v>
      </c>
      <c r="F57" s="2">
        <f ca="1">IFERROR(__xludf.DUMMYFUNCTION("""COMPUTED_VALUE"""),138675)</f>
        <v>138675</v>
      </c>
      <c r="G57">
        <f ca="1">IFERROR(__xludf.DUMMYFUNCTION("""COMPUTED_VALUE"""),15)</f>
        <v>15</v>
      </c>
    </row>
    <row r="58" spans="1:7" ht="12.75">
      <c r="A58" t="str">
        <f ca="1">IFERROR(__xludf.DUMMYFUNCTION("""COMPUTED_VALUE"""),"T56")</f>
        <v>T56</v>
      </c>
      <c r="B58" t="str">
        <f ca="1">IFERROR(__xludf.DUMMYFUNCTION("""COMPUTED_VALUE"""),"T64")</f>
        <v>T64</v>
      </c>
      <c r="C58" t="str">
        <f ca="1">IFERROR(__xludf.DUMMYFUNCTION("""COMPUTED_VALUE"""),"Kevin Na")</f>
        <v>Kevin Na</v>
      </c>
      <c r="D58">
        <f ca="1">IFERROR(__xludf.DUMMYFUNCTION("""COMPUTED_VALUE"""),4)</f>
        <v>4</v>
      </c>
      <c r="E58">
        <f ca="1">IFERROR(__xludf.DUMMYFUNCTION("""COMPUTED_VALUE"""),256.8)</f>
        <v>256.8</v>
      </c>
      <c r="F58" s="2">
        <f ca="1">IFERROR(__xludf.DUMMYFUNCTION("""COMPUTED_VALUE"""),415997)</f>
        <v>415997</v>
      </c>
      <c r="G58">
        <f ca="1">IFERROR(__xludf.DUMMYFUNCTION("""COMPUTED_VALUE"""),45)</f>
        <v>45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IFERROR(__xludf.DUMMYFUNCTION("""COMPUTED_VALUE"""),62)</f>
        <v>62</v>
      </c>
      <c r="C59" t="str">
        <f ca="1">IFERROR(__xludf.DUMMYFUNCTION("""COMPUTED_VALUE"""),"Andrew Landry")</f>
        <v>Andrew Landry</v>
      </c>
      <c r="D59">
        <f ca="1">IFERROR(__xludf.DUMMYFUNCTION("""COMPUTED_VALUE"""),4)</f>
        <v>4</v>
      </c>
      <c r="E59">
        <f ca="1">IFERROR(__xludf.DUMMYFUNCTION("""COMPUTED_VALUE"""),256.9)</f>
        <v>256.89999999999998</v>
      </c>
      <c r="F59" s="2">
        <f ca="1">IFERROR(__xludf.DUMMYFUNCTION("""COMPUTED_VALUE"""),397672)</f>
        <v>397672</v>
      </c>
      <c r="G59">
        <f ca="1">IFERROR(__xludf.DUMMYFUNCTION("""COMPUTED_VALUE"""),43)</f>
        <v>43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IFERROR(__xludf.DUMMYFUNCTION("""COMPUTED_VALUE"""),"T69")</f>
        <v>T69</v>
      </c>
      <c r="C60" t="str">
        <f ca="1">IFERROR(__xludf.DUMMYFUNCTION("""COMPUTED_VALUE"""),"Patrick Rodgers")</f>
        <v>Patrick Rodgers</v>
      </c>
      <c r="D60">
        <f ca="1">IFERROR(__xludf.DUMMYFUNCTION("""COMPUTED_VALUE"""),6)</f>
        <v>6</v>
      </c>
      <c r="E60">
        <f ca="1">IFERROR(__xludf.DUMMYFUNCTION("""COMPUTED_VALUE"""),257.1)</f>
        <v>257.10000000000002</v>
      </c>
      <c r="F60" s="2">
        <f ca="1">IFERROR(__xludf.DUMMYFUNCTION("""COMPUTED_VALUE"""),222137)</f>
        <v>222137</v>
      </c>
      <c r="G60">
        <f ca="1">IFERROR(__xludf.DUMMYFUNCTION("""COMPUTED_VALUE"""),24)</f>
        <v>24</v>
      </c>
    </row>
    <row r="61" spans="1:7" ht="12.75">
      <c r="A61" t="str">
        <f ca="1">IFERROR(__xludf.DUMMYFUNCTION("""COMPUTED_VALUE"""),"T60")</f>
        <v>T60</v>
      </c>
      <c r="B61">
        <f ca="1">IFERROR(__xludf.DUMMYFUNCTION("""COMPUTED_VALUE"""),71)</f>
        <v>71</v>
      </c>
      <c r="C61" t="str">
        <f ca="1">IFERROR(__xludf.DUMMYFUNCTION("""COMPUTED_VALUE"""),"MJ Daffue")</f>
        <v>MJ Daffue</v>
      </c>
      <c r="D61">
        <f ca="1">IFERROR(__xludf.DUMMYFUNCTION("""COMPUTED_VALUE"""),3)</f>
        <v>3</v>
      </c>
      <c r="E61">
        <f ca="1">IFERROR(__xludf.DUMMYFUNCTION("""COMPUTED_VALUE"""),257.4)</f>
        <v>257.39999999999998</v>
      </c>
      <c r="F61" s="2">
        <f ca="1">IFERROR(__xludf.DUMMYFUNCTION("""COMPUTED_VALUE"""),324317)</f>
        <v>324317</v>
      </c>
      <c r="G61">
        <f ca="1">IFERROR(__xludf.DUMMYFUNCTION("""COMPUTED_VALUE"""),35)</f>
        <v>35</v>
      </c>
    </row>
    <row r="62" spans="1:7" ht="12.75">
      <c r="A62" t="str">
        <f ca="1">IFERROR(__xludf.DUMMYFUNCTION("""COMPUTED_VALUE"""),"T60")</f>
        <v>T60</v>
      </c>
      <c r="B62">
        <f ca="1">IFERROR(__xludf.DUMMYFUNCTION("""COMPUTED_VALUE"""),33)</f>
        <v>33</v>
      </c>
      <c r="C62" t="str">
        <f ca="1">IFERROR(__xludf.DUMMYFUNCTION("""COMPUTED_VALUE"""),"James Hahn")</f>
        <v>James Hahn</v>
      </c>
      <c r="D62">
        <f ca="1">IFERROR(__xludf.DUMMYFUNCTION("""COMPUTED_VALUE"""),4)</f>
        <v>4</v>
      </c>
      <c r="E62">
        <f ca="1">IFERROR(__xludf.DUMMYFUNCTION("""COMPUTED_VALUE"""),257.4)</f>
        <v>257.39999999999998</v>
      </c>
      <c r="F62" s="2">
        <f ca="1">IFERROR(__xludf.DUMMYFUNCTION("""COMPUTED_VALUE"""),250145)</f>
        <v>250145</v>
      </c>
      <c r="G62">
        <f ca="1">IFERROR(__xludf.DUMMYFUNCTION("""COMPUTED_VALUE"""),27)</f>
        <v>27</v>
      </c>
    </row>
    <row r="63" spans="1:7" ht="12.75">
      <c r="A63" t="str">
        <f ca="1">IFERROR(__xludf.DUMMYFUNCTION("""COMPUTED_VALUE"""),"T62")</f>
        <v>T62</v>
      </c>
      <c r="B63">
        <f ca="1">IFERROR(__xludf.DUMMYFUNCTION("""COMPUTED_VALUE"""),8)</f>
        <v>8</v>
      </c>
      <c r="C63" t="str">
        <f ca="1">IFERROR(__xludf.DUMMYFUNCTION("""COMPUTED_VALUE"""),"Brooks Koepka")</f>
        <v>Brooks Koepka</v>
      </c>
      <c r="D63">
        <f ca="1">IFERROR(__xludf.DUMMYFUNCTION("""COMPUTED_VALUE"""),2)</f>
        <v>2</v>
      </c>
      <c r="E63">
        <f ca="1">IFERROR(__xludf.DUMMYFUNCTION("""COMPUTED_VALUE"""),257.5)</f>
        <v>257.5</v>
      </c>
      <c r="F63" s="2">
        <f ca="1">IFERROR(__xludf.DUMMYFUNCTION("""COMPUTED_VALUE"""),194705)</f>
        <v>194705</v>
      </c>
      <c r="G63">
        <f ca="1">IFERROR(__xludf.DUMMYFUNCTION("""COMPUTED_VALUE"""),21)</f>
        <v>21</v>
      </c>
    </row>
    <row r="64" spans="1:7" ht="12.75">
      <c r="A64" t="str">
        <f ca="1">IFERROR(__xludf.DUMMYFUNCTION("""COMPUTED_VALUE"""),"T62")</f>
        <v>T62</v>
      </c>
      <c r="B64">
        <f ca="1">IFERROR(__xludf.DUMMYFUNCTION("""COMPUTED_VALUE"""),72)</f>
        <v>72</v>
      </c>
      <c r="C64" t="str">
        <f ca="1">IFERROR(__xludf.DUMMYFUNCTION("""COMPUTED_VALUE"""),"Andy Zhang")</f>
        <v>Andy Zhang</v>
      </c>
      <c r="D64">
        <f ca="1">IFERROR(__xludf.DUMMYFUNCTION("""COMPUTED_VALUE"""),1)</f>
        <v>1</v>
      </c>
      <c r="E64">
        <f ca="1">IFERROR(__xludf.DUMMYFUNCTION("""COMPUTED_VALUE"""),257.5)</f>
        <v>257.5</v>
      </c>
      <c r="F64" s="2">
        <f ca="1">IFERROR(__xludf.DUMMYFUNCTION("""COMPUTED_VALUE"""),83438)</f>
        <v>83438</v>
      </c>
      <c r="G64">
        <f ca="1">IFERROR(__xludf.DUMMYFUNCTION("""COMPUTED_VALUE"""),9)</f>
        <v>9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IFERROR(__xludf.DUMMYFUNCTION("""COMPUTED_VALUE"""),73)</f>
        <v>73</v>
      </c>
      <c r="C65" t="str">
        <f ca="1">IFERROR(__xludf.DUMMYFUNCTION("""COMPUTED_VALUE"""),"Paul Casey")</f>
        <v>Paul Casey</v>
      </c>
      <c r="D65">
        <f ca="1">IFERROR(__xludf.DUMMYFUNCTION("""COMPUTED_VALUE"""),4)</f>
        <v>4</v>
      </c>
      <c r="E65">
        <f ca="1">IFERROR(__xludf.DUMMYFUNCTION("""COMPUTED_VALUE"""),257.9)</f>
        <v>257.89999999999998</v>
      </c>
      <c r="F65" s="2">
        <f ca="1">IFERROR(__xludf.DUMMYFUNCTION("""COMPUTED_VALUE"""),408450)</f>
        <v>408450</v>
      </c>
      <c r="G65">
        <f ca="1">IFERROR(__xludf.DUMMYFUNCTION("""COMPUTED_VALUE"""),44)</f>
        <v>44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IFERROR(__xludf.DUMMYFUNCTION("""COMPUTED_VALUE"""),74)</f>
        <v>74</v>
      </c>
      <c r="C66" t="str">
        <f ca="1">IFERROR(__xludf.DUMMYFUNCTION("""COMPUTED_VALUE"""),"Joaquin Niemann")</f>
        <v>Joaquin Niemann</v>
      </c>
      <c r="D66">
        <f ca="1">IFERROR(__xludf.DUMMYFUNCTION("""COMPUTED_VALUE"""),4)</f>
        <v>4</v>
      </c>
      <c r="E66">
        <f ca="1">IFERROR(__xludf.DUMMYFUNCTION("""COMPUTED_VALUE"""),258)</f>
        <v>258</v>
      </c>
      <c r="F66" s="2">
        <f ca="1">IFERROR(__xludf.DUMMYFUNCTION("""COMPUTED_VALUE"""),501611)</f>
        <v>501611</v>
      </c>
      <c r="G66">
        <f ca="1">IFERROR(__xludf.DUMMYFUNCTION("""COMPUTED_VALUE"""),54)</f>
        <v>54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IFERROR(__xludf.DUMMYFUNCTION("""COMPUTED_VALUE"""),75)</f>
        <v>75</v>
      </c>
      <c r="C67" t="str">
        <f ca="1">IFERROR(__xludf.DUMMYFUNCTION("""COMPUTED_VALUE"""),"Kevin Kisner")</f>
        <v>Kevin Kisner</v>
      </c>
      <c r="D67">
        <f ca="1">IFERROR(__xludf.DUMMYFUNCTION("""COMPUTED_VALUE"""),3)</f>
        <v>3</v>
      </c>
      <c r="E67">
        <f ca="1">IFERROR(__xludf.DUMMYFUNCTION("""COMPUTED_VALUE"""),258.1)</f>
        <v>258.10000000000002</v>
      </c>
      <c r="F67" s="2">
        <f ca="1">IFERROR(__xludf.DUMMYFUNCTION("""COMPUTED_VALUE"""),278706)</f>
        <v>278706</v>
      </c>
      <c r="G67">
        <f ca="1">IFERROR(__xludf.DUMMYFUNCTION("""COMPUTED_VALUE"""),30)</f>
        <v>30</v>
      </c>
    </row>
    <row r="68" spans="1:7" ht="12.75">
      <c r="A68" t="str">
        <f ca="1">IFERROR(__xludf.DUMMYFUNCTION("""COMPUTED_VALUE"""),"T67")</f>
        <v>T67</v>
      </c>
      <c r="B68">
        <f ca="1">IFERROR(__xludf.DUMMYFUNCTION("""COMPUTED_VALUE"""),68)</f>
        <v>68</v>
      </c>
      <c r="C68" t="str">
        <f ca="1">IFERROR(__xludf.DUMMYFUNCTION("""COMPUTED_VALUE"""),"Stewart Cink")</f>
        <v>Stewart Cink</v>
      </c>
      <c r="D68">
        <f ca="1">IFERROR(__xludf.DUMMYFUNCTION("""COMPUTED_VALUE"""),5)</f>
        <v>5</v>
      </c>
      <c r="E68">
        <f ca="1">IFERROR(__xludf.DUMMYFUNCTION("""COMPUTED_VALUE"""),258.2)</f>
        <v>258.2</v>
      </c>
      <c r="F68" s="2">
        <f ca="1">IFERROR(__xludf.DUMMYFUNCTION("""COMPUTED_VALUE"""),390462)</f>
        <v>390462</v>
      </c>
      <c r="G68">
        <f ca="1">IFERROR(__xludf.DUMMYFUNCTION("""COMPUTED_VALUE"""),42)</f>
        <v>42</v>
      </c>
    </row>
    <row r="69" spans="1:7" ht="12.75">
      <c r="A69" t="str">
        <f ca="1">IFERROR(__xludf.DUMMYFUNCTION("""COMPUTED_VALUE"""),"T67")</f>
        <v>T67</v>
      </c>
      <c r="B69" t="str">
        <f ca="1">IFERROR(__xludf.DUMMYFUNCTION("""COMPUTED_VALUE"""),"T76")</f>
        <v>T76</v>
      </c>
      <c r="C69" t="str">
        <f ca="1">IFERROR(__xludf.DUMMYFUNCTION("""COMPUTED_VALUE"""),"Bubba Watson")</f>
        <v>Bubba Watson</v>
      </c>
      <c r="D69">
        <f ca="1">IFERROR(__xludf.DUMMYFUNCTION("""COMPUTED_VALUE"""),3)</f>
        <v>3</v>
      </c>
      <c r="E69">
        <f ca="1">IFERROR(__xludf.DUMMYFUNCTION("""COMPUTED_VALUE"""),258.2)</f>
        <v>258.2</v>
      </c>
      <c r="F69" s="2">
        <f ca="1">IFERROR(__xludf.DUMMYFUNCTION("""COMPUTED_VALUE"""),390344)</f>
        <v>390344</v>
      </c>
      <c r="G69">
        <f ca="1">IFERROR(__xludf.DUMMYFUNCTION("""COMPUTED_VALUE"""),42)</f>
        <v>42</v>
      </c>
    </row>
    <row r="70" spans="1:7" ht="12.75">
      <c r="A70" t="str">
        <f ca="1">IFERROR(__xludf.DUMMYFUNCTION("""COMPUTED_VALUE"""),"T69")</f>
        <v>T69</v>
      </c>
      <c r="B70">
        <f ca="1">IFERROR(__xludf.DUMMYFUNCTION("""COMPUTED_VALUE"""),80)</f>
        <v>80</v>
      </c>
      <c r="C70" t="str">
        <f ca="1">IFERROR(__xludf.DUMMYFUNCTION("""COMPUTED_VALUE"""),"Kevin Streelman")</f>
        <v>Kevin Streelman</v>
      </c>
      <c r="D70">
        <f ca="1">IFERROR(__xludf.DUMMYFUNCTION("""COMPUTED_VALUE"""),6)</f>
        <v>6</v>
      </c>
      <c r="E70">
        <f ca="1">IFERROR(__xludf.DUMMYFUNCTION("""COMPUTED_VALUE"""),258.3)</f>
        <v>258.3</v>
      </c>
      <c r="F70" s="2">
        <f ca="1">IFERROR(__xludf.DUMMYFUNCTION("""COMPUTED_VALUE"""),492827)</f>
        <v>492827</v>
      </c>
      <c r="G70">
        <f ca="1">IFERROR(__xludf.DUMMYFUNCTION("""COMPUTED_VALUE"""),53)</f>
        <v>53</v>
      </c>
    </row>
    <row r="71" spans="1:7" ht="12.75">
      <c r="A71" t="str">
        <f ca="1">IFERROR(__xludf.DUMMYFUNCTION("""COMPUTED_VALUE"""),"T69")</f>
        <v>T69</v>
      </c>
      <c r="B71" t="str">
        <f ca="1">IFERROR(__xludf.DUMMYFUNCTION("""COMPUTED_VALUE"""),"T59")</f>
        <v>T59</v>
      </c>
      <c r="C71" t="str">
        <f ca="1">IFERROR(__xludf.DUMMYFUNCTION("""COMPUTED_VALUE"""),"Jamie Lovemark")</f>
        <v>Jamie Lovemark</v>
      </c>
      <c r="D71">
        <f ca="1">IFERROR(__xludf.DUMMYFUNCTION("""COMPUTED_VALUE"""),6)</f>
        <v>6</v>
      </c>
      <c r="E71">
        <f ca="1">IFERROR(__xludf.DUMMYFUNCTION("""COMPUTED_VALUE"""),258.3)</f>
        <v>258.3</v>
      </c>
      <c r="F71" s="2">
        <f ca="1">IFERROR(__xludf.DUMMYFUNCTION("""COMPUTED_VALUE"""),241812)</f>
        <v>241812</v>
      </c>
      <c r="G71">
        <f ca="1">IFERROR(__xludf.DUMMYFUNCTION("""COMPUTED_VALUE"""),26)</f>
        <v>26</v>
      </c>
    </row>
    <row r="72" spans="1:7" ht="12.75">
      <c r="A72" t="str">
        <f ca="1">IFERROR(__xludf.DUMMYFUNCTION("""COMPUTED_VALUE"""),"T71")</f>
        <v>T71</v>
      </c>
      <c r="B72" t="str">
        <f ca="1">IFERROR(__xludf.DUMMYFUNCTION("""COMPUTED_VALUE"""),"T81")</f>
        <v>T81</v>
      </c>
      <c r="C72" t="str">
        <f ca="1">IFERROR(__xludf.DUMMYFUNCTION("""COMPUTED_VALUE"""),"Abraham Ancer")</f>
        <v>Abraham Ancer</v>
      </c>
      <c r="D72">
        <f ca="1">IFERROR(__xludf.DUMMYFUNCTION("""COMPUTED_VALUE"""),4)</f>
        <v>4</v>
      </c>
      <c r="E72">
        <f ca="1">IFERROR(__xludf.DUMMYFUNCTION("""COMPUTED_VALUE"""),258.6)</f>
        <v>258.60000000000002</v>
      </c>
      <c r="F72" s="2">
        <f ca="1">IFERROR(__xludf.DUMMYFUNCTION("""COMPUTED_VALUE"""),418953)</f>
        <v>418953</v>
      </c>
      <c r="G72">
        <f ca="1">IFERROR(__xludf.DUMMYFUNCTION("""COMPUTED_VALUE"""),45)</f>
        <v>45</v>
      </c>
    </row>
    <row r="73" spans="1:7" ht="12.75">
      <c r="A73" t="str">
        <f ca="1">IFERROR(__xludf.DUMMYFUNCTION("""COMPUTED_VALUE"""),"T71")</f>
        <v>T71</v>
      </c>
      <c r="B73" t="str">
        <f ca="1">IFERROR(__xludf.DUMMYFUNCTION("""COMPUTED_VALUE"""),"T81")</f>
        <v>T81</v>
      </c>
      <c r="C73" t="str">
        <f ca="1">IFERROR(__xludf.DUMMYFUNCTION("""COMPUTED_VALUE"""),"Daniel Berger")</f>
        <v>Daniel Berger</v>
      </c>
      <c r="D73">
        <f ca="1">IFERROR(__xludf.DUMMYFUNCTION("""COMPUTED_VALUE"""),3)</f>
        <v>3</v>
      </c>
      <c r="E73">
        <f ca="1">IFERROR(__xludf.DUMMYFUNCTION("""COMPUTED_VALUE"""),258.6)</f>
        <v>258.60000000000002</v>
      </c>
      <c r="F73" s="2">
        <f ca="1">IFERROR(__xludf.DUMMYFUNCTION("""COMPUTED_VALUE"""),270028)</f>
        <v>270028</v>
      </c>
      <c r="G73">
        <f ca="1">IFERROR(__xludf.DUMMYFUNCTION("""COMPUTED_VALUE"""),29)</f>
        <v>29</v>
      </c>
    </row>
    <row r="74" spans="1:7" ht="12.75">
      <c r="A74" t="str">
        <f ca="1">IFERROR(__xludf.DUMMYFUNCTION("""COMPUTED_VALUE"""),"T71")</f>
        <v>T71</v>
      </c>
      <c r="B74" t="str">
        <f ca="1">IFERROR(__xludf.DUMMYFUNCTION("""COMPUTED_VALUE"""),"T81")</f>
        <v>T81</v>
      </c>
      <c r="C74" t="str">
        <f ca="1">IFERROR(__xludf.DUMMYFUNCTION("""COMPUTED_VALUE"""),"Matthew Fitzpatrick")</f>
        <v>Matthew Fitzpatrick</v>
      </c>
      <c r="D74">
        <f ca="1">IFERROR(__xludf.DUMMYFUNCTION("""COMPUTED_VALUE"""),3)</f>
        <v>3</v>
      </c>
      <c r="E74">
        <f ca="1">IFERROR(__xludf.DUMMYFUNCTION("""COMPUTED_VALUE"""),258.6)</f>
        <v>258.60000000000002</v>
      </c>
      <c r="F74" s="2">
        <f ca="1">IFERROR(__xludf.DUMMYFUNCTION("""COMPUTED_VALUE"""),316562)</f>
        <v>316562</v>
      </c>
      <c r="G74">
        <f ca="1">IFERROR(__xludf.DUMMYFUNCTION("""COMPUTED_VALUE"""),34)</f>
        <v>34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IFERROR(__xludf.DUMMYFUNCTION("""COMPUTED_VALUE"""),"T69")</f>
        <v>T69</v>
      </c>
      <c r="C75" t="str">
        <f ca="1">IFERROR(__xludf.DUMMYFUNCTION("""COMPUTED_VALUE"""),"Pat Perez")</f>
        <v>Pat Perez</v>
      </c>
      <c r="D75">
        <f ca="1">IFERROR(__xludf.DUMMYFUNCTION("""COMPUTED_VALUE"""),6)</f>
        <v>6</v>
      </c>
      <c r="E75">
        <f ca="1">IFERROR(__xludf.DUMMYFUNCTION("""COMPUTED_VALUE"""),258.8)</f>
        <v>258.8</v>
      </c>
      <c r="F75" s="2">
        <f ca="1">IFERROR(__xludf.DUMMYFUNCTION("""COMPUTED_VALUE"""),195650)</f>
        <v>195650</v>
      </c>
      <c r="G75">
        <f ca="1">IFERROR(__xludf.DUMMYFUNCTION("""COMPUTED_VALUE"""),21)</f>
        <v>21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IFERROR(__xludf.DUMMYFUNCTION("""COMPUTED_VALUE"""),"T85")</f>
        <v>T85</v>
      </c>
      <c r="C76" t="str">
        <f ca="1">IFERROR(__xludf.DUMMYFUNCTION("""COMPUTED_VALUE"""),"Byeong Hun An")</f>
        <v>Byeong Hun An</v>
      </c>
      <c r="D76">
        <f ca="1">IFERROR(__xludf.DUMMYFUNCTION("""COMPUTED_VALUE"""),5)</f>
        <v>5</v>
      </c>
      <c r="E76">
        <f ca="1">IFERROR(__xludf.DUMMYFUNCTION("""COMPUTED_VALUE"""),258.9)</f>
        <v>258.89999999999998</v>
      </c>
      <c r="F76" s="2">
        <f ca="1">IFERROR(__xludf.DUMMYFUNCTION("""COMPUTED_VALUE"""),447455)</f>
        <v>447455</v>
      </c>
      <c r="G76">
        <f ca="1">IFERROR(__xludf.DUMMYFUNCTION("""COMPUTED_VALUE"""),48)</f>
        <v>48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IFERROR(__xludf.DUMMYFUNCTION("""COMPUTED_VALUE"""),87)</f>
        <v>87</v>
      </c>
      <c r="C77" t="str">
        <f ca="1">IFERROR(__xludf.DUMMYFUNCTION("""COMPUTED_VALUE"""),"Jeongwoo Ham")</f>
        <v>Jeongwoo Ham</v>
      </c>
      <c r="D77">
        <f ca="1">IFERROR(__xludf.DUMMYFUNCTION("""COMPUTED_VALUE"""),1)</f>
        <v>1</v>
      </c>
      <c r="E77">
        <f ca="1">IFERROR(__xludf.DUMMYFUNCTION("""COMPUTED_VALUE"""),259)</f>
        <v>259</v>
      </c>
      <c r="F77" s="2">
        <f ca="1">IFERROR(__xludf.DUMMYFUNCTION("""COMPUTED_VALUE"""),102560)</f>
        <v>102560</v>
      </c>
      <c r="G77">
        <f ca="1">IFERROR(__xludf.DUMMYFUNCTION("""COMPUTED_VALUE"""),11)</f>
        <v>11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IFERROR(__xludf.DUMMYFUNCTION("""COMPUTED_VALUE"""),"T41")</f>
        <v>T41</v>
      </c>
      <c r="C78" t="str">
        <f ca="1">IFERROR(__xludf.DUMMYFUNCTION("""COMPUTED_VALUE"""),"Scott Harrington")</f>
        <v>Scott Harrington</v>
      </c>
      <c r="D78">
        <f ca="1">IFERROR(__xludf.DUMMYFUNCTION("""COMPUTED_VALUE"""),6)</f>
        <v>6</v>
      </c>
      <c r="E78">
        <f ca="1">IFERROR(__xludf.DUMMYFUNCTION("""COMPUTED_VALUE"""),259.2)</f>
        <v>259.2</v>
      </c>
      <c r="F78" s="2">
        <f ca="1">IFERROR(__xludf.DUMMYFUNCTION("""COMPUTED_VALUE"""),289219)</f>
        <v>289219</v>
      </c>
      <c r="G78">
        <f ca="1">IFERROR(__xludf.DUMMYFUNCTION("""COMPUTED_VALUE"""),31)</f>
        <v>31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IFERROR(__xludf.DUMMYFUNCTION("""COMPUTED_VALUE"""),"T76")</f>
        <v>T76</v>
      </c>
      <c r="C79" t="str">
        <f ca="1">IFERROR(__xludf.DUMMYFUNCTION("""COMPUTED_VALUE"""),"Phil Mickelson")</f>
        <v>Phil Mickelson</v>
      </c>
      <c r="D79">
        <f ca="1">IFERROR(__xludf.DUMMYFUNCTION("""COMPUTED_VALUE"""),4)</f>
        <v>4</v>
      </c>
      <c r="E79">
        <f ca="1">IFERROR(__xludf.DUMMYFUNCTION("""COMPUTED_VALUE"""),259.6)</f>
        <v>259.60000000000002</v>
      </c>
      <c r="F79" s="2">
        <f ca="1">IFERROR(__xludf.DUMMYFUNCTION("""COMPUTED_VALUE"""),317801)</f>
        <v>317801</v>
      </c>
      <c r="G79">
        <f ca="1">IFERROR(__xludf.DUMMYFUNCTION("""COMPUTED_VALUE"""),34)</f>
        <v>34</v>
      </c>
    </row>
    <row r="80" spans="1:7" ht="12.75">
      <c r="A80" t="str">
        <f ca="1">IFERROR(__xludf.DUMMYFUNCTION("""COMPUTED_VALUE"""),"T78")</f>
        <v>T78</v>
      </c>
      <c r="B80" t="str">
        <f ca="1">IFERROR(__xludf.DUMMYFUNCTION("""COMPUTED_VALUE"""),"")</f>
        <v/>
      </c>
      <c r="C80" t="str">
        <f ca="1">IFERROR(__xludf.DUMMYFUNCTION("""COMPUTED_VALUE"""),"Ollie Schniederjans")</f>
        <v>Ollie Schniederjans</v>
      </c>
      <c r="D80">
        <f ca="1">IFERROR(__xludf.DUMMYFUNCTION("""COMPUTED_VALUE"""),2)</f>
        <v>2</v>
      </c>
      <c r="E80">
        <f ca="1">IFERROR(__xludf.DUMMYFUNCTION("""COMPUTED_VALUE"""),259.6)</f>
        <v>259.60000000000002</v>
      </c>
      <c r="F80" s="2">
        <f ca="1">IFERROR(__xludf.DUMMYFUNCTION("""COMPUTED_VALUE"""),28038)</f>
        <v>28038</v>
      </c>
      <c r="G80">
        <f ca="1">IFERROR(__xludf.DUMMYFUNCTION("""COMPUTED_VALUE"""),3)</f>
        <v>3</v>
      </c>
    </row>
    <row r="81" spans="1:7" ht="12.75">
      <c r="A81" t="str">
        <f ca="1">IFERROR(__xludf.DUMMYFUNCTION("""COMPUTED_VALUE"""),"T80")</f>
        <v>T80</v>
      </c>
      <c r="B81">
        <f ca="1">IFERROR(__xludf.DUMMYFUNCTION("""COMPUTED_VALUE"""),103)</f>
        <v>103</v>
      </c>
      <c r="C81" t="str">
        <f ca="1">IFERROR(__xludf.DUMMYFUNCTION("""COMPUTED_VALUE"""),"Wyndham Clark")</f>
        <v>Wyndham Clark</v>
      </c>
      <c r="D81">
        <f ca="1">IFERROR(__xludf.DUMMYFUNCTION("""COMPUTED_VALUE"""),5)</f>
        <v>5</v>
      </c>
      <c r="E81">
        <f ca="1">IFERROR(__xludf.DUMMYFUNCTION("""COMPUTED_VALUE"""),259.8)</f>
        <v>259.8</v>
      </c>
      <c r="F81" s="2">
        <f ca="1">IFERROR(__xludf.DUMMYFUNCTION("""COMPUTED_VALUE"""),355383)</f>
        <v>355383</v>
      </c>
      <c r="G81">
        <f ca="1">IFERROR(__xludf.DUMMYFUNCTION("""COMPUTED_VALUE"""),38)</f>
        <v>38</v>
      </c>
    </row>
    <row r="82" spans="1:7" ht="12.75">
      <c r="A82" t="str">
        <f ca="1">IFERROR(__xludf.DUMMYFUNCTION("""COMPUTED_VALUE"""),"T80")</f>
        <v>T80</v>
      </c>
      <c r="B82" t="str">
        <f ca="1">IFERROR(__xludf.DUMMYFUNCTION("""COMPUTED_VALUE"""),"T93")</f>
        <v>T93</v>
      </c>
      <c r="C82" t="str">
        <f ca="1">IFERROR(__xludf.DUMMYFUNCTION("""COMPUTED_VALUE"""),"Dylan Frittelli")</f>
        <v>Dylan Frittelli</v>
      </c>
      <c r="D82">
        <f ca="1">IFERROR(__xludf.DUMMYFUNCTION("""COMPUTED_VALUE"""),5)</f>
        <v>5</v>
      </c>
      <c r="E82">
        <f ca="1">IFERROR(__xludf.DUMMYFUNCTION("""COMPUTED_VALUE"""),259.8)</f>
        <v>259.8</v>
      </c>
      <c r="F82" s="2">
        <f ca="1">IFERROR(__xludf.DUMMYFUNCTION("""COMPUTED_VALUE"""),523731)</f>
        <v>523731</v>
      </c>
      <c r="G82">
        <f ca="1">IFERROR(__xludf.DUMMYFUNCTION("""COMPUTED_VALUE"""),56)</f>
        <v>56</v>
      </c>
    </row>
    <row r="83" spans="1:7" ht="12.75">
      <c r="A83" t="str">
        <f ca="1">IFERROR(__xludf.DUMMYFUNCTION("""COMPUTED_VALUE"""),"T80")</f>
        <v>T80</v>
      </c>
      <c r="B83">
        <f ca="1">IFERROR(__xludf.DUMMYFUNCTION("""COMPUTED_VALUE"""),88)</f>
        <v>88</v>
      </c>
      <c r="C83" t="str">
        <f ca="1">IFERROR(__xludf.DUMMYFUNCTION("""COMPUTED_VALUE"""),"Anirban Lahiri")</f>
        <v>Anirban Lahiri</v>
      </c>
      <c r="D83">
        <f ca="1">IFERROR(__xludf.DUMMYFUNCTION("""COMPUTED_VALUE"""),4)</f>
        <v>4</v>
      </c>
      <c r="E83">
        <f ca="1">IFERROR(__xludf.DUMMYFUNCTION("""COMPUTED_VALUE"""),259.8)</f>
        <v>259.8</v>
      </c>
      <c r="F83" s="2">
        <f ca="1">IFERROR(__xludf.DUMMYFUNCTION("""COMPUTED_VALUE"""),158990)</f>
        <v>158990</v>
      </c>
      <c r="G83">
        <f ca="1">IFERROR(__xludf.DUMMYFUNCTION("""COMPUTED_VALUE"""),17)</f>
        <v>17</v>
      </c>
    </row>
    <row r="84" spans="1:7" ht="12.75">
      <c r="A84" t="str">
        <f ca="1">IFERROR(__xludf.DUMMYFUNCTION("""COMPUTED_VALUE"""),"T83")</f>
        <v>T83</v>
      </c>
      <c r="B84" t="str">
        <f ca="1">IFERROR(__xludf.DUMMYFUNCTION("""COMPUTED_VALUE"""),"T89")</f>
        <v>T89</v>
      </c>
      <c r="C84" t="str">
        <f ca="1">IFERROR(__xludf.DUMMYFUNCTION("""COMPUTED_VALUE"""),"Jim Herman")</f>
        <v>Jim Herman</v>
      </c>
      <c r="D84">
        <f ca="1">IFERROR(__xludf.DUMMYFUNCTION("""COMPUTED_VALUE"""),4)</f>
        <v>4</v>
      </c>
      <c r="E84">
        <f ca="1">IFERROR(__xludf.DUMMYFUNCTION("""COMPUTED_VALUE"""),260)</f>
        <v>260</v>
      </c>
      <c r="F84" s="2">
        <f ca="1">IFERROR(__xludf.DUMMYFUNCTION("""COMPUTED_VALUE"""),290121)</f>
        <v>290121</v>
      </c>
      <c r="G84">
        <f ca="1">IFERROR(__xludf.DUMMYFUNCTION("""COMPUTED_VALUE"""),31)</f>
        <v>31</v>
      </c>
    </row>
    <row r="85" spans="1:7" ht="12.75">
      <c r="A85" t="str">
        <f ca="1">IFERROR(__xludf.DUMMYFUNCTION("""COMPUTED_VALUE"""),"T83")</f>
        <v>T83</v>
      </c>
      <c r="B85" t="str">
        <f ca="1">IFERROR(__xludf.DUMMYFUNCTION("""COMPUTED_VALUE"""),"T89")</f>
        <v>T89</v>
      </c>
      <c r="C85" t="str">
        <f ca="1">IFERROR(__xludf.DUMMYFUNCTION("""COMPUTED_VALUE"""),"Sangmoon Bae")</f>
        <v>Sangmoon Bae</v>
      </c>
      <c r="D85">
        <f ca="1">IFERROR(__xludf.DUMMYFUNCTION("""COMPUTED_VALUE"""),3)</f>
        <v>3</v>
      </c>
      <c r="E85">
        <f ca="1">IFERROR(__xludf.DUMMYFUNCTION("""COMPUTED_VALUE"""),260)</f>
        <v>260</v>
      </c>
      <c r="F85" s="2">
        <f ca="1">IFERROR(__xludf.DUMMYFUNCTION("""COMPUTED_VALUE"""),28078)</f>
        <v>28078</v>
      </c>
      <c r="G85">
        <f ca="1">IFERROR(__xludf.DUMMYFUNCTION("""COMPUTED_VALUE"""),3)</f>
        <v>3</v>
      </c>
    </row>
    <row r="86" spans="1:7" ht="12.75">
      <c r="A86" t="str">
        <f ca="1">IFERROR(__xludf.DUMMYFUNCTION("""COMPUTED_VALUE"""),"T85")</f>
        <v>T85</v>
      </c>
      <c r="B86" t="str">
        <f ca="1">IFERROR(__xludf.DUMMYFUNCTION("""COMPUTED_VALUE"""),"T93")</f>
        <v>T93</v>
      </c>
      <c r="C86" t="str">
        <f ca="1">IFERROR(__xludf.DUMMYFUNCTION("""COMPUTED_VALUE"""),"Louis Oosthuizen")</f>
        <v>Louis Oosthuizen</v>
      </c>
      <c r="D86">
        <f ca="1">IFERROR(__xludf.DUMMYFUNCTION("""COMPUTED_VALUE"""),3)</f>
        <v>3</v>
      </c>
      <c r="E86">
        <f ca="1">IFERROR(__xludf.DUMMYFUNCTION("""COMPUTED_VALUE"""),260.1)</f>
        <v>260.10000000000002</v>
      </c>
      <c r="F86" s="2">
        <f ca="1">IFERROR(__xludf.DUMMYFUNCTION("""COMPUTED_VALUE"""),318375)</f>
        <v>318375</v>
      </c>
      <c r="G86">
        <f ca="1">IFERROR(__xludf.DUMMYFUNCTION("""COMPUTED_VALUE"""),34)</f>
        <v>34</v>
      </c>
    </row>
    <row r="87" spans="1:7" ht="12.75">
      <c r="A87" t="str">
        <f ca="1">IFERROR(__xludf.DUMMYFUNCTION("""COMPUTED_VALUE"""),"T85")</f>
        <v>T85</v>
      </c>
      <c r="B87" t="str">
        <f ca="1">IFERROR(__xludf.DUMMYFUNCTION("""COMPUTED_VALUE"""),"T66")</f>
        <v>T66</v>
      </c>
      <c r="C87" t="str">
        <f ca="1">IFERROR(__xludf.DUMMYFUNCTION("""COMPUTED_VALUE"""),"Sepp Straka")</f>
        <v>Sepp Straka</v>
      </c>
      <c r="D87">
        <f ca="1">IFERROR(__xludf.DUMMYFUNCTION("""COMPUTED_VALUE"""),6)</f>
        <v>6</v>
      </c>
      <c r="E87">
        <f ca="1">IFERROR(__xludf.DUMMYFUNCTION("""COMPUTED_VALUE"""),260.1)</f>
        <v>260.10000000000002</v>
      </c>
      <c r="F87" s="2">
        <f ca="1">IFERROR(__xludf.DUMMYFUNCTION("""COMPUTED_VALUE"""),383874)</f>
        <v>383874</v>
      </c>
      <c r="G87">
        <f ca="1">IFERROR(__xludf.DUMMYFUNCTION("""COMPUTED_VALUE"""),41)</f>
        <v>41</v>
      </c>
    </row>
    <row r="88" spans="1:7" ht="12.75">
      <c r="A88" t="str">
        <f ca="1">IFERROR(__xludf.DUMMYFUNCTION("""COMPUTED_VALUE"""),"T87")</f>
        <v>T87</v>
      </c>
      <c r="B88">
        <f ca="1">IFERROR(__xludf.DUMMYFUNCTION("""COMPUTED_VALUE"""),78)</f>
        <v>78</v>
      </c>
      <c r="C88" t="str">
        <f ca="1">IFERROR(__xludf.DUMMYFUNCTION("""COMPUTED_VALUE"""),"Talor Gooch")</f>
        <v>Talor Gooch</v>
      </c>
      <c r="D88">
        <f ca="1">IFERROR(__xludf.DUMMYFUNCTION("""COMPUTED_VALUE"""),6)</f>
        <v>6</v>
      </c>
      <c r="E88">
        <f ca="1">IFERROR(__xludf.DUMMYFUNCTION("""COMPUTED_VALUE"""),260.2)</f>
        <v>260.2</v>
      </c>
      <c r="F88" s="2">
        <f ca="1">IFERROR(__xludf.DUMMYFUNCTION("""COMPUTED_VALUE"""),599425)</f>
        <v>599425</v>
      </c>
      <c r="G88">
        <f ca="1">IFERROR(__xludf.DUMMYFUNCTION("""COMPUTED_VALUE"""),64)</f>
        <v>64</v>
      </c>
    </row>
    <row r="89" spans="1:7" ht="12.75">
      <c r="A89" t="str">
        <f ca="1">IFERROR(__xludf.DUMMYFUNCTION("""COMPUTED_VALUE"""),"T87")</f>
        <v>T87</v>
      </c>
      <c r="B89">
        <f ca="1">IFERROR(__xludf.DUMMYFUNCTION("""COMPUTED_VALUE"""),96)</f>
        <v>96</v>
      </c>
      <c r="C89" t="str">
        <f ca="1">IFERROR(__xludf.DUMMYFUNCTION("""COMPUTED_VALUE"""),"Jonathan Byrd")</f>
        <v>Jonathan Byrd</v>
      </c>
      <c r="D89">
        <f ca="1">IFERROR(__xludf.DUMMYFUNCTION("""COMPUTED_VALUE"""),4)</f>
        <v>4</v>
      </c>
      <c r="E89">
        <f ca="1">IFERROR(__xludf.DUMMYFUNCTION("""COMPUTED_VALUE"""),260.2)</f>
        <v>260.2</v>
      </c>
      <c r="F89" s="2">
        <f ca="1">IFERROR(__xludf.DUMMYFUNCTION("""COMPUTED_VALUE"""),56200)</f>
        <v>56200</v>
      </c>
      <c r="G89">
        <f ca="1">IFERROR(__xludf.DUMMYFUNCTION("""COMPUTED_VALUE"""),6)</f>
        <v>6</v>
      </c>
    </row>
    <row r="90" spans="1:7" ht="12.75">
      <c r="A90" t="str">
        <f ca="1">IFERROR(__xludf.DUMMYFUNCTION("""COMPUTED_VALUE"""),"T89")</f>
        <v>T89</v>
      </c>
      <c r="B90">
        <f ca="1">IFERROR(__xludf.DUMMYFUNCTION("""COMPUTED_VALUE"""),97)</f>
        <v>97</v>
      </c>
      <c r="C90" t="str">
        <f ca="1">IFERROR(__xludf.DUMMYFUNCTION("""COMPUTED_VALUE"""),"Brian Gay")</f>
        <v>Brian Gay</v>
      </c>
      <c r="D90">
        <f ca="1">IFERROR(__xludf.DUMMYFUNCTION("""COMPUTED_VALUE"""),3)</f>
        <v>3</v>
      </c>
      <c r="E90">
        <f ca="1">IFERROR(__xludf.DUMMYFUNCTION("""COMPUTED_VALUE"""),260.3)</f>
        <v>260.3</v>
      </c>
      <c r="F90" s="2">
        <f ca="1">IFERROR(__xludf.DUMMYFUNCTION("""COMPUTED_VALUE"""),84324)</f>
        <v>84324</v>
      </c>
      <c r="G90">
        <f ca="1">IFERROR(__xludf.DUMMYFUNCTION("""COMPUTED_VALUE"""),9)</f>
        <v>9</v>
      </c>
    </row>
    <row r="91" spans="1:7" ht="12.75">
      <c r="A91" t="str">
        <f ca="1">IFERROR(__xludf.DUMMYFUNCTION("""COMPUTED_VALUE"""),"T89")</f>
        <v>T89</v>
      </c>
      <c r="B91" t="str">
        <f ca="1">IFERROR(__xludf.DUMMYFUNCTION("""COMPUTED_VALUE"""),"T41")</f>
        <v>T41</v>
      </c>
      <c r="C91" t="str">
        <f ca="1">IFERROR(__xludf.DUMMYFUNCTION("""COMPUTED_VALUE"""),"Scott Brown")</f>
        <v>Scott Brown</v>
      </c>
      <c r="D91">
        <f ca="1">IFERROR(__xludf.DUMMYFUNCTION("""COMPUTED_VALUE"""),5)</f>
        <v>5</v>
      </c>
      <c r="E91">
        <f ca="1">IFERROR(__xludf.DUMMYFUNCTION("""COMPUTED_VALUE"""),260.3)</f>
        <v>260.3</v>
      </c>
      <c r="F91" s="2">
        <f ca="1">IFERROR(__xludf.DUMMYFUNCTION("""COMPUTED_VALUE"""),215568)</f>
        <v>215568</v>
      </c>
      <c r="G91">
        <f ca="1">IFERROR(__xludf.DUMMYFUNCTION("""COMPUTED_VALUE"""),23)</f>
        <v>23</v>
      </c>
    </row>
    <row r="92" spans="1:7" ht="12.75">
      <c r="A92" t="str">
        <f ca="1">IFERROR(__xludf.DUMMYFUNCTION("""COMPUTED_VALUE"""),"T91")</f>
        <v>T91</v>
      </c>
      <c r="B92" t="str">
        <f ca="1">IFERROR(__xludf.DUMMYFUNCTION("""COMPUTED_VALUE"""),"T98")</f>
        <v>T98</v>
      </c>
      <c r="C92" t="str">
        <f ca="1">IFERROR(__xludf.DUMMYFUNCTION("""COMPUTED_VALUE"""),"Ryan Brehm")</f>
        <v>Ryan Brehm</v>
      </c>
      <c r="D92">
        <f ca="1">IFERROR(__xludf.DUMMYFUNCTION("""COMPUTED_VALUE"""),3)</f>
        <v>3</v>
      </c>
      <c r="E92">
        <f ca="1">IFERROR(__xludf.DUMMYFUNCTION("""COMPUTED_VALUE"""),260.5)</f>
        <v>260.5</v>
      </c>
      <c r="F92" s="2">
        <f ca="1">IFERROR(__xludf.DUMMYFUNCTION("""COMPUTED_VALUE"""),37512)</f>
        <v>37512</v>
      </c>
      <c r="G92">
        <f ca="1">IFERROR(__xludf.DUMMYFUNCTION("""COMPUTED_VALUE"""),4)</f>
        <v>4</v>
      </c>
    </row>
    <row r="93" spans="1:7" ht="12.75">
      <c r="A93" t="str">
        <f ca="1">IFERROR(__xludf.DUMMYFUNCTION("""COMPUTED_VALUE"""),"T91")</f>
        <v>T91</v>
      </c>
      <c r="B93" t="str">
        <f ca="1">IFERROR(__xludf.DUMMYFUNCTION("""COMPUTED_VALUE"""),"T98")</f>
        <v>T98</v>
      </c>
      <c r="C93" t="str">
        <f ca="1">IFERROR(__xludf.DUMMYFUNCTION("""COMPUTED_VALUE"""),"Tyler McCumber")</f>
        <v>Tyler McCumber</v>
      </c>
      <c r="D93">
        <f ca="1">IFERROR(__xludf.DUMMYFUNCTION("""COMPUTED_VALUE"""),5)</f>
        <v>5</v>
      </c>
      <c r="E93">
        <f ca="1">IFERROR(__xludf.DUMMYFUNCTION("""COMPUTED_VALUE"""),260.5)</f>
        <v>260.5</v>
      </c>
      <c r="F93" s="2">
        <f ca="1">IFERROR(__xludf.DUMMYFUNCTION("""COMPUTED_VALUE"""),243854)</f>
        <v>243854</v>
      </c>
      <c r="G93">
        <f ca="1">IFERROR(__xludf.DUMMYFUNCTION("""COMPUTED_VALUE"""),26)</f>
        <v>26</v>
      </c>
    </row>
    <row r="94" spans="1:7" ht="12.75">
      <c r="A94">
        <f ca="1">IFERROR(__xludf.DUMMYFUNCTION("""COMPUTED_VALUE"""),93)</f>
        <v>93</v>
      </c>
      <c r="B94" t="str">
        <f ca="1">IFERROR(__xludf.DUMMYFUNCTION("""COMPUTED_VALUE"""),"T106")</f>
        <v>T106</v>
      </c>
      <c r="C94" t="str">
        <f ca="1">IFERROR(__xludf.DUMMYFUNCTION("""COMPUTED_VALUE"""),"Hudson Swafford")</f>
        <v>Hudson Swafford</v>
      </c>
      <c r="D94">
        <f ca="1">IFERROR(__xludf.DUMMYFUNCTION("""COMPUTED_VALUE"""),6)</f>
        <v>6</v>
      </c>
      <c r="E94">
        <f ca="1">IFERROR(__xludf.DUMMYFUNCTION("""COMPUTED_VALUE"""),260.6)</f>
        <v>260.60000000000002</v>
      </c>
      <c r="F94" s="2">
        <f ca="1">IFERROR(__xludf.DUMMYFUNCTION("""COMPUTED_VALUE"""),225141)</f>
        <v>225141</v>
      </c>
      <c r="G94">
        <f ca="1">IFERROR(__xludf.DUMMYFUNCTION("""COMPUTED_VALUE"""),24)</f>
        <v>24</v>
      </c>
    </row>
    <row r="95" spans="1:7" ht="12.75">
      <c r="A95" t="str">
        <f ca="1">IFERROR(__xludf.DUMMYFUNCTION("""COMPUTED_VALUE"""),"T94")</f>
        <v>T94</v>
      </c>
      <c r="B95">
        <f ca="1">IFERROR(__xludf.DUMMYFUNCTION("""COMPUTED_VALUE"""),63)</f>
        <v>63</v>
      </c>
      <c r="C95" t="str">
        <f ca="1">IFERROR(__xludf.DUMMYFUNCTION("""COMPUTED_VALUE"""),"Viktor Hovland")</f>
        <v>Viktor Hovland</v>
      </c>
      <c r="D95">
        <f ca="1">IFERROR(__xludf.DUMMYFUNCTION("""COMPUTED_VALUE"""),4)</f>
        <v>4</v>
      </c>
      <c r="E95">
        <f ca="1">IFERROR(__xludf.DUMMYFUNCTION("""COMPUTED_VALUE"""),261.2)</f>
        <v>261.2</v>
      </c>
      <c r="F95" s="2">
        <f ca="1">IFERROR(__xludf.DUMMYFUNCTION("""COMPUTED_VALUE"""),451404)</f>
        <v>451404</v>
      </c>
      <c r="G95">
        <f ca="1">IFERROR(__xludf.DUMMYFUNCTION("""COMPUTED_VALUE"""),48)</f>
        <v>48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IFERROR(__xludf.DUMMYFUNCTION("""COMPUTED_VALUE"""),"")</f>
        <v/>
      </c>
      <c r="C96" t="str">
        <f ca="1">IFERROR(__xludf.DUMMYFUNCTION("""COMPUTED_VALUE"""),"Francesco Molinari")</f>
        <v>Francesco Molinari</v>
      </c>
      <c r="D96">
        <f ca="1">IFERROR(__xludf.DUMMYFUNCTION("""COMPUTED_VALUE"""),2)</f>
        <v>2</v>
      </c>
      <c r="E96">
        <f ca="1">IFERROR(__xludf.DUMMYFUNCTION("""COMPUTED_VALUE"""),261.2)</f>
        <v>261.2</v>
      </c>
      <c r="F96" s="2">
        <f ca="1">IFERROR(__xludf.DUMMYFUNCTION("""COMPUTED_VALUE"""),131638)</f>
        <v>131638</v>
      </c>
      <c r="G96">
        <f ca="1">IFERROR(__xludf.DUMMYFUNCTION("""COMPUTED_VALUE"""),14)</f>
        <v>14</v>
      </c>
    </row>
    <row r="97" spans="1:7" ht="12.75">
      <c r="A97" t="str">
        <f ca="1">IFERROR(__xludf.DUMMYFUNCTION("""COMPUTED_VALUE"""),"T96")</f>
        <v>T96</v>
      </c>
      <c r="B97" t="str">
        <f ca="1">IFERROR(__xludf.DUMMYFUNCTION("""COMPUTED_VALUE"""),"T104")</f>
        <v>T104</v>
      </c>
      <c r="C97" t="str">
        <f ca="1">IFERROR(__xludf.DUMMYFUNCTION("""COMPUTED_VALUE"""),"Nick Taylor")</f>
        <v>Nick Taylor</v>
      </c>
      <c r="D97">
        <f ca="1">IFERROR(__xludf.DUMMYFUNCTION("""COMPUTED_VALUE"""),4)</f>
        <v>4</v>
      </c>
      <c r="E97">
        <f ca="1">IFERROR(__xludf.DUMMYFUNCTION("""COMPUTED_VALUE"""),261.3)</f>
        <v>261.3</v>
      </c>
      <c r="F97" s="2">
        <f ca="1">IFERROR(__xludf.DUMMYFUNCTION("""COMPUTED_VALUE"""),310397)</f>
        <v>310397</v>
      </c>
      <c r="G97">
        <f ca="1">IFERROR(__xludf.DUMMYFUNCTION("""COMPUTED_VALUE"""),33)</f>
        <v>33</v>
      </c>
    </row>
    <row r="98" spans="1:7" ht="12.75">
      <c r="A98" t="str">
        <f ca="1">IFERROR(__xludf.DUMMYFUNCTION("""COMPUTED_VALUE"""),"T96")</f>
        <v>T96</v>
      </c>
      <c r="B98" t="str">
        <f ca="1">IFERROR(__xludf.DUMMYFUNCTION("""COMPUTED_VALUE"""),"T104")</f>
        <v>T104</v>
      </c>
      <c r="C98" t="str">
        <f ca="1">IFERROR(__xludf.DUMMYFUNCTION("""COMPUTED_VALUE"""),"Richy Werenski")</f>
        <v>Richy Werenski</v>
      </c>
      <c r="D98">
        <f ca="1">IFERROR(__xludf.DUMMYFUNCTION("""COMPUTED_VALUE"""),5)</f>
        <v>5</v>
      </c>
      <c r="E98">
        <f ca="1">IFERROR(__xludf.DUMMYFUNCTION("""COMPUTED_VALUE"""),261.3)</f>
        <v>261.3</v>
      </c>
      <c r="F98" s="2">
        <f ca="1">IFERROR(__xludf.DUMMYFUNCTION("""COMPUTED_VALUE"""),461002)</f>
        <v>461002</v>
      </c>
      <c r="G98">
        <f ca="1">IFERROR(__xludf.DUMMYFUNCTION("""COMPUTED_VALUE"""),49)</f>
        <v>49</v>
      </c>
    </row>
    <row r="99" spans="1:7" ht="12.75">
      <c r="A99" t="str">
        <f ca="1">IFERROR(__xludf.DUMMYFUNCTION("""COMPUTED_VALUE"""),"T96")</f>
        <v>T96</v>
      </c>
      <c r="B99" t="str">
        <f ca="1">IFERROR(__xludf.DUMMYFUNCTION("""COMPUTED_VALUE"""),"T66")</f>
        <v>T66</v>
      </c>
      <c r="C99" t="str">
        <f ca="1">IFERROR(__xludf.DUMMYFUNCTION("""COMPUTED_VALUE"""),"Corey Conners")</f>
        <v>Corey Conners</v>
      </c>
      <c r="D99">
        <f ca="1">IFERROR(__xludf.DUMMYFUNCTION("""COMPUTED_VALUE"""),6)</f>
        <v>6</v>
      </c>
      <c r="E99">
        <f ca="1">IFERROR(__xludf.DUMMYFUNCTION("""COMPUTED_VALUE"""),261.3)</f>
        <v>261.3</v>
      </c>
      <c r="F99" s="2">
        <f ca="1">IFERROR(__xludf.DUMMYFUNCTION("""COMPUTED_VALUE"""),460950)</f>
        <v>460950</v>
      </c>
      <c r="G99">
        <f ca="1">IFERROR(__xludf.DUMMYFUNCTION("""COMPUTED_VALUE"""),49)</f>
        <v>49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IFERROR(__xludf.DUMMYFUNCTION("""COMPUTED_VALUE"""),"T106")</f>
        <v>T106</v>
      </c>
      <c r="C100" t="str">
        <f ca="1">IFERROR(__xludf.DUMMYFUNCTION("""COMPUTED_VALUE"""),"Johnson Wagner")</f>
        <v>Johnson Wagner</v>
      </c>
      <c r="D100">
        <f ca="1">IFERROR(__xludf.DUMMYFUNCTION("""COMPUTED_VALUE"""),3)</f>
        <v>3</v>
      </c>
      <c r="E100">
        <f ca="1">IFERROR(__xludf.DUMMYFUNCTION("""COMPUTED_VALUE"""),261.4)</f>
        <v>261.39999999999998</v>
      </c>
      <c r="F100" s="2">
        <f ca="1">IFERROR(__xludf.DUMMYFUNCTION("""COMPUTED_VALUE"""),37639)</f>
        <v>37639</v>
      </c>
      <c r="G100">
        <f ca="1">IFERROR(__xludf.DUMMYFUNCTION("""COMPUTED_VALUE"""),4)</f>
        <v>4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IFERROR(__xludf.DUMMYFUNCTION("""COMPUTED_VALUE"""),"T93")</f>
        <v>T93</v>
      </c>
      <c r="C101" t="str">
        <f ca="1">IFERROR(__xludf.DUMMYFUNCTION("""COMPUTED_VALUE"""),"Tyler Duncan")</f>
        <v>Tyler Duncan</v>
      </c>
      <c r="D101">
        <f ca="1">IFERROR(__xludf.DUMMYFUNCTION("""COMPUTED_VALUE"""),6)</f>
        <v>6</v>
      </c>
      <c r="E101">
        <f ca="1">IFERROR(__xludf.DUMMYFUNCTION("""COMPUTED_VALUE"""),261.5)</f>
        <v>261.5</v>
      </c>
      <c r="F101" s="2">
        <f ca="1">IFERROR(__xludf.DUMMYFUNCTION("""COMPUTED_VALUE"""),489602)</f>
        <v>489602</v>
      </c>
      <c r="G101">
        <f ca="1">IFERROR(__xludf.DUMMYFUNCTION("""COMPUTED_VALUE"""),52)</f>
        <v>52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IFERROR(__xludf.DUMMYFUNCTION("""COMPUTED_VALUE"""),"T108")</f>
        <v>T108</v>
      </c>
      <c r="C102" t="str">
        <f ca="1">IFERROR(__xludf.DUMMYFUNCTION("""COMPUTED_VALUE"""),"Hanbyeol Kim")</f>
        <v>Hanbyeol Kim</v>
      </c>
      <c r="D102">
        <f ca="1">IFERROR(__xludf.DUMMYFUNCTION("""COMPUTED_VALUE"""),1)</f>
        <v>1</v>
      </c>
      <c r="E102">
        <f ca="1">IFERROR(__xludf.DUMMYFUNCTION("""COMPUTED_VALUE"""),261.6)</f>
        <v>261.60000000000002</v>
      </c>
      <c r="F102" s="2">
        <f ca="1">IFERROR(__xludf.DUMMYFUNCTION("""COMPUTED_VALUE"""),84766)</f>
        <v>84766</v>
      </c>
      <c r="G102">
        <f ca="1">IFERROR(__xludf.DUMMYFUNCTION("""COMPUTED_VALUE"""),9)</f>
        <v>9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IFERROR(__xludf.DUMMYFUNCTION("""COMPUTED_VALUE"""),"T108")</f>
        <v>T108</v>
      </c>
      <c r="C103" t="str">
        <f ca="1">IFERROR(__xludf.DUMMYFUNCTION("""COMPUTED_VALUE"""),"Sahith Theegala")</f>
        <v>Sahith Theegala</v>
      </c>
      <c r="D103">
        <f ca="1">IFERROR(__xludf.DUMMYFUNCTION("""COMPUTED_VALUE"""),2)</f>
        <v>2</v>
      </c>
      <c r="E103">
        <f ca="1">IFERROR(__xludf.DUMMYFUNCTION("""COMPUTED_VALUE"""),261.6)</f>
        <v>261.60000000000002</v>
      </c>
      <c r="F103" s="2">
        <f ca="1">IFERROR(__xludf.DUMMYFUNCTION("""COMPUTED_VALUE"""),169531)</f>
        <v>169531</v>
      </c>
      <c r="G103">
        <f ca="1">IFERROR(__xludf.DUMMYFUNCTION("""COMPUTED_VALUE"""),18)</f>
        <v>18</v>
      </c>
    </row>
    <row r="104" spans="1:7" ht="12.75">
      <c r="A104" t="str">
        <f ca="1">IFERROR(__xludf.DUMMYFUNCTION("""COMPUTED_VALUE"""),"T101")</f>
        <v>T101</v>
      </c>
      <c r="B104" t="str">
        <f ca="1">IFERROR(__xludf.DUMMYFUNCTION("""COMPUTED_VALUE"""),"T108")</f>
        <v>T108</v>
      </c>
      <c r="C104" t="str">
        <f ca="1">IFERROR(__xludf.DUMMYFUNCTION("""COMPUTED_VALUE"""),"Adam Hadwin")</f>
        <v>Adam Hadwin</v>
      </c>
      <c r="D104">
        <f ca="1">IFERROR(__xludf.DUMMYFUNCTION("""COMPUTED_VALUE"""),4)</f>
        <v>4</v>
      </c>
      <c r="E104">
        <f ca="1">IFERROR(__xludf.DUMMYFUNCTION("""COMPUTED_VALUE"""),261.6)</f>
        <v>261.60000000000002</v>
      </c>
      <c r="F104" s="2">
        <f ca="1">IFERROR(__xludf.DUMMYFUNCTION("""COMPUTED_VALUE"""),386114)</f>
        <v>386114</v>
      </c>
      <c r="G104">
        <f ca="1">IFERROR(__xludf.DUMMYFUNCTION("""COMPUTED_VALUE"""),41)</f>
        <v>41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IFERROR(__xludf.DUMMYFUNCTION("""COMPUTED_VALUE"""),102)</f>
        <v>102</v>
      </c>
      <c r="C105" t="str">
        <f ca="1">IFERROR(__xludf.DUMMYFUNCTION("""COMPUTED_VALUE"""),"Mackenzie Hughes")</f>
        <v>Mackenzie Hughes</v>
      </c>
      <c r="D105">
        <f ca="1">IFERROR(__xludf.DUMMYFUNCTION("""COMPUTED_VALUE"""),5)</f>
        <v>5</v>
      </c>
      <c r="E105">
        <f ca="1">IFERROR(__xludf.DUMMYFUNCTION("""COMPUTED_VALUE"""),261.7)</f>
        <v>261.7</v>
      </c>
      <c r="F105" s="2">
        <f ca="1">IFERROR(__xludf.DUMMYFUNCTION("""COMPUTED_VALUE"""),348536)</f>
        <v>348536</v>
      </c>
      <c r="G105">
        <f ca="1">IFERROR(__xludf.DUMMYFUNCTION("""COMPUTED_VALUE"""),37)</f>
        <v>37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IFERROR(__xludf.DUMMYFUNCTION("""COMPUTED_VALUE"""),114)</f>
        <v>114</v>
      </c>
      <c r="C106" t="str">
        <f ca="1">IFERROR(__xludf.DUMMYFUNCTION("""COMPUTED_VALUE"""),"David Hearn")</f>
        <v>David Hearn</v>
      </c>
      <c r="D106">
        <f ca="1">IFERROR(__xludf.DUMMYFUNCTION("""COMPUTED_VALUE"""),5)</f>
        <v>5</v>
      </c>
      <c r="E106">
        <f ca="1">IFERROR(__xludf.DUMMYFUNCTION("""COMPUTED_VALUE"""),261.9)</f>
        <v>261.89999999999998</v>
      </c>
      <c r="F106" s="2">
        <f ca="1">IFERROR(__xludf.DUMMYFUNCTION("""COMPUTED_VALUE"""),75416)</f>
        <v>75416</v>
      </c>
      <c r="G106">
        <f ca="1">IFERROR(__xludf.DUMMYFUNCTION("""COMPUTED_VALUE"""),8)</f>
        <v>8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IFERROR(__xludf.DUMMYFUNCTION("""COMPUTED_VALUE"""),"T85")</f>
        <v>T85</v>
      </c>
      <c r="C107" t="str">
        <f ca="1">IFERROR(__xludf.DUMMYFUNCTION("""COMPUTED_VALUE"""),"Michael Thompson")</f>
        <v>Michael Thompson</v>
      </c>
      <c r="D107">
        <f ca="1">IFERROR(__xludf.DUMMYFUNCTION("""COMPUTED_VALUE"""),4)</f>
        <v>4</v>
      </c>
      <c r="E107">
        <f ca="1">IFERROR(__xludf.DUMMYFUNCTION("""COMPUTED_VALUE"""),262.1)</f>
        <v>262.10000000000002</v>
      </c>
      <c r="F107" s="2">
        <f ca="1">IFERROR(__xludf.DUMMYFUNCTION("""COMPUTED_VALUE"""),349151)</f>
        <v>349151</v>
      </c>
      <c r="G107">
        <f ca="1">IFERROR(__xludf.DUMMYFUNCTION("""COMPUTED_VALUE"""),37)</f>
        <v>37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IFERROR(__xludf.DUMMYFUNCTION("""COMPUTED_VALUE"""),"T89")</f>
        <v>T89</v>
      </c>
      <c r="C108" t="str">
        <f ca="1">IFERROR(__xludf.DUMMYFUNCTION("""COMPUTED_VALUE"""),"Sean O'Hair")</f>
        <v>Sean O'Hair</v>
      </c>
      <c r="D108">
        <f ca="1">IFERROR(__xludf.DUMMYFUNCTION("""COMPUTED_VALUE"""),5)</f>
        <v>5</v>
      </c>
      <c r="E108">
        <f ca="1">IFERROR(__xludf.DUMMYFUNCTION("""COMPUTED_VALUE"""),262.2)</f>
        <v>262.2</v>
      </c>
      <c r="F108" s="2">
        <f ca="1">IFERROR(__xludf.DUMMYFUNCTION("""COMPUTED_VALUE"""),235951)</f>
        <v>235951</v>
      </c>
      <c r="G108">
        <f ca="1">IFERROR(__xludf.DUMMYFUNCTION("""COMPUTED_VALUE"""),25)</f>
        <v>25</v>
      </c>
    </row>
    <row r="109" spans="1:7" ht="12.75">
      <c r="A109" t="str">
        <f ca="1">IFERROR(__xludf.DUMMYFUNCTION("""COMPUTED_VALUE"""),"T107")</f>
        <v>T107</v>
      </c>
      <c r="B109">
        <f ca="1">IFERROR(__xludf.DUMMYFUNCTION("""COMPUTED_VALUE"""),115)</f>
        <v>115</v>
      </c>
      <c r="C109" t="str">
        <f ca="1">IFERROR(__xludf.DUMMYFUNCTION("""COMPUTED_VALUE"""),"K.J. Choi")</f>
        <v>K.J. Choi</v>
      </c>
      <c r="D109">
        <f ca="1">IFERROR(__xludf.DUMMYFUNCTION("""COMPUTED_VALUE"""),3)</f>
        <v>3</v>
      </c>
      <c r="E109">
        <f ca="1">IFERROR(__xludf.DUMMYFUNCTION("""COMPUTED_VALUE"""),262.2)</f>
        <v>262.2</v>
      </c>
      <c r="F109" s="2">
        <f ca="1">IFERROR(__xludf.DUMMYFUNCTION("""COMPUTED_VALUE"""),56644)</f>
        <v>56644</v>
      </c>
      <c r="G109">
        <f ca="1">IFERROR(__xludf.DUMMYFUNCTION("""COMPUTED_VALUE"""),6)</f>
        <v>6</v>
      </c>
    </row>
    <row r="110" spans="1:7" ht="12.75">
      <c r="A110" t="str">
        <f ca="1">IFERROR(__xludf.DUMMYFUNCTION("""COMPUTED_VALUE"""),"T107")</f>
        <v>T107</v>
      </c>
      <c r="B110">
        <f ca="1">IFERROR(__xludf.DUMMYFUNCTION("""COMPUTED_VALUE"""),79)</f>
        <v>79</v>
      </c>
      <c r="C110" t="str">
        <f ca="1">IFERROR(__xludf.DUMMYFUNCTION("""COMPUTED_VALUE"""),"Russell Henley")</f>
        <v>Russell Henley</v>
      </c>
      <c r="D110">
        <f ca="1">IFERROR(__xludf.DUMMYFUNCTION("""COMPUTED_VALUE"""),4)</f>
        <v>4</v>
      </c>
      <c r="E110">
        <f ca="1">IFERROR(__xludf.DUMMYFUNCTION("""COMPUTED_VALUE"""),262.2)</f>
        <v>262.2</v>
      </c>
      <c r="F110" s="2">
        <f ca="1">IFERROR(__xludf.DUMMYFUNCTION("""COMPUTED_VALUE"""),396384)</f>
        <v>396384</v>
      </c>
      <c r="G110">
        <f ca="1">IFERROR(__xludf.DUMMYFUNCTION("""COMPUTED_VALUE"""),42)</f>
        <v>42</v>
      </c>
    </row>
    <row r="111" spans="1:7" ht="12.75">
      <c r="A111" t="str">
        <f ca="1">IFERROR(__xludf.DUMMYFUNCTION("""COMPUTED_VALUE"""),"T110")</f>
        <v>T110</v>
      </c>
      <c r="B111" t="str">
        <f ca="1">IFERROR(__xludf.DUMMYFUNCTION("""COMPUTED_VALUE"""),"T111")</f>
        <v>T111</v>
      </c>
      <c r="C111" t="str">
        <f ca="1">IFERROR(__xludf.DUMMYFUNCTION("""COMPUTED_VALUE"""),"Beau Hossler")</f>
        <v>Beau Hossler</v>
      </c>
      <c r="D111">
        <f ca="1">IFERROR(__xludf.DUMMYFUNCTION("""COMPUTED_VALUE"""),6)</f>
        <v>6</v>
      </c>
      <c r="E111">
        <f ca="1">IFERROR(__xludf.DUMMYFUNCTION("""COMPUTED_VALUE"""),262.3)</f>
        <v>262.3</v>
      </c>
      <c r="F111" s="2">
        <f ca="1">IFERROR(__xludf.DUMMYFUNCTION("""COMPUTED_VALUE"""),424885)</f>
        <v>424885</v>
      </c>
      <c r="G111">
        <f ca="1">IFERROR(__xludf.DUMMYFUNCTION("""COMPUTED_VALUE"""),45)</f>
        <v>45</v>
      </c>
    </row>
    <row r="112" spans="1:7" ht="12.75">
      <c r="A112" t="str">
        <f ca="1">IFERROR(__xludf.DUMMYFUNCTION("""COMPUTED_VALUE"""),"T110")</f>
        <v>T110</v>
      </c>
      <c r="B112" t="str">
        <f ca="1">IFERROR(__xludf.DUMMYFUNCTION("""COMPUTED_VALUE"""),"T116")</f>
        <v>T116</v>
      </c>
      <c r="C112" t="str">
        <f ca="1">IFERROR(__xludf.DUMMYFUNCTION("""COMPUTED_VALUE"""),"Zac Blair")</f>
        <v>Zac Blair</v>
      </c>
      <c r="D112">
        <f ca="1">IFERROR(__xludf.DUMMYFUNCTION("""COMPUTED_VALUE"""),4)</f>
        <v>4</v>
      </c>
      <c r="E112">
        <f ca="1">IFERROR(__xludf.DUMMYFUNCTION("""COMPUTED_VALUE"""),262.3)</f>
        <v>262.3</v>
      </c>
      <c r="F112" s="2">
        <f ca="1">IFERROR(__xludf.DUMMYFUNCTION("""COMPUTED_VALUE"""),75546)</f>
        <v>75546</v>
      </c>
      <c r="G112">
        <f ca="1">IFERROR(__xludf.DUMMYFUNCTION("""COMPUTED_VALUE"""),8)</f>
        <v>8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IFERROR(__xludf.DUMMYFUNCTION("""COMPUTED_VALUE"""),"T118")</f>
        <v>T118</v>
      </c>
      <c r="C113" t="str">
        <f ca="1">IFERROR(__xludf.DUMMYFUNCTION("""COMPUTED_VALUE"""),"Matthew Wolff")</f>
        <v>Matthew Wolff</v>
      </c>
      <c r="D113">
        <f ca="1">IFERROR(__xludf.DUMMYFUNCTION("""COMPUTED_VALUE"""),4)</f>
        <v>4</v>
      </c>
      <c r="E113">
        <f ca="1">IFERROR(__xludf.DUMMYFUNCTION("""COMPUTED_VALUE"""),262.4)</f>
        <v>262.39999999999998</v>
      </c>
      <c r="F113" s="2">
        <f ca="1">IFERROR(__xludf.DUMMYFUNCTION("""COMPUTED_VALUE"""),500633)</f>
        <v>500633</v>
      </c>
      <c r="G113">
        <f ca="1">IFERROR(__xludf.DUMMYFUNCTION("""COMPUTED_VALUE"""),53)</f>
        <v>53</v>
      </c>
    </row>
    <row r="114" spans="1:7" ht="12.75">
      <c r="A114" t="str">
        <f ca="1">IFERROR(__xludf.DUMMYFUNCTION("""COMPUTED_VALUE"""),"T112")</f>
        <v>T112</v>
      </c>
      <c r="B114">
        <f ca="1">IFERROR(__xludf.DUMMYFUNCTION("""COMPUTED_VALUE"""),84)</f>
        <v>84</v>
      </c>
      <c r="C114" t="str">
        <f ca="1">IFERROR(__xludf.DUMMYFUNCTION("""COMPUTED_VALUE"""),"Patton Kizzire")</f>
        <v>Patton Kizzire</v>
      </c>
      <c r="D114">
        <f ca="1">IFERROR(__xludf.DUMMYFUNCTION("""COMPUTED_VALUE"""),5)</f>
        <v>5</v>
      </c>
      <c r="E114">
        <f ca="1">IFERROR(__xludf.DUMMYFUNCTION("""COMPUTED_VALUE"""),262.4)</f>
        <v>262.39999999999998</v>
      </c>
      <c r="F114" s="2">
        <f ca="1">IFERROR(__xludf.DUMMYFUNCTION("""COMPUTED_VALUE"""),406208)</f>
        <v>406208</v>
      </c>
      <c r="G114">
        <f ca="1">IFERROR(__xludf.DUMMYFUNCTION("""COMPUTED_VALUE"""),43)</f>
        <v>43</v>
      </c>
    </row>
    <row r="115" spans="1:7" ht="12.75">
      <c r="A115" t="str">
        <f ca="1">IFERROR(__xludf.DUMMYFUNCTION("""COMPUTED_VALUE"""),"T112")</f>
        <v>T112</v>
      </c>
      <c r="B115" t="str">
        <f ca="1">IFERROR(__xludf.DUMMYFUNCTION("""COMPUTED_VALUE"""),"T118")</f>
        <v>T118</v>
      </c>
      <c r="C115" t="str">
        <f ca="1">IFERROR(__xludf.DUMMYFUNCTION("""COMPUTED_VALUE"""),"Danny Lee")</f>
        <v>Danny Lee</v>
      </c>
      <c r="D115">
        <f ca="1">IFERROR(__xludf.DUMMYFUNCTION("""COMPUTED_VALUE"""),5)</f>
        <v>5</v>
      </c>
      <c r="E115">
        <f ca="1">IFERROR(__xludf.DUMMYFUNCTION("""COMPUTED_VALUE"""),262.4)</f>
        <v>262.39999999999998</v>
      </c>
      <c r="F115" s="2">
        <f ca="1">IFERROR(__xludf.DUMMYFUNCTION("""COMPUTED_VALUE"""),462948)</f>
        <v>462948</v>
      </c>
      <c r="G115">
        <f ca="1">IFERROR(__xludf.DUMMYFUNCTION("""COMPUTED_VALUE"""),49)</f>
        <v>49</v>
      </c>
    </row>
    <row r="116" spans="1:7" ht="12.75">
      <c r="A116" t="str">
        <f ca="1">IFERROR(__xludf.DUMMYFUNCTION("""COMPUTED_VALUE"""),"T115")</f>
        <v>T115</v>
      </c>
      <c r="B116" t="str">
        <f ca="1">IFERROR(__xludf.DUMMYFUNCTION("""COMPUTED_VALUE"""),"T121")</f>
        <v>T121</v>
      </c>
      <c r="C116" t="str">
        <f ca="1">IFERROR(__xludf.DUMMYFUNCTION("""COMPUTED_VALUE"""),"Shawn Stefani")</f>
        <v>Shawn Stefani</v>
      </c>
      <c r="D116">
        <f ca="1">IFERROR(__xludf.DUMMYFUNCTION("""COMPUTED_VALUE"""),3)</f>
        <v>3</v>
      </c>
      <c r="E116">
        <f ca="1">IFERROR(__xludf.DUMMYFUNCTION("""COMPUTED_VALUE"""),262.5)</f>
        <v>262.5</v>
      </c>
      <c r="F116" s="2">
        <f ca="1">IFERROR(__xludf.DUMMYFUNCTION("""COMPUTED_VALUE"""),18900)</f>
        <v>18900</v>
      </c>
      <c r="G116">
        <f ca="1">IFERROR(__xludf.DUMMYFUNCTION("""COMPUTED_VALUE"""),2)</f>
        <v>2</v>
      </c>
    </row>
    <row r="117" spans="1:7" ht="12.75">
      <c r="A117" t="str">
        <f ca="1">IFERROR(__xludf.DUMMYFUNCTION("""COMPUTED_VALUE"""),"T115")</f>
        <v>T115</v>
      </c>
      <c r="B117" t="str">
        <f ca="1">IFERROR(__xludf.DUMMYFUNCTION("""COMPUTED_VALUE"""),"T118")</f>
        <v>T118</v>
      </c>
      <c r="C117" t="str">
        <f ca="1">IFERROR(__xludf.DUMMYFUNCTION("""COMPUTED_VALUE"""),"Hunter Mahan")</f>
        <v>Hunter Mahan</v>
      </c>
      <c r="D117">
        <f ca="1">IFERROR(__xludf.DUMMYFUNCTION("""COMPUTED_VALUE"""),5)</f>
        <v>5</v>
      </c>
      <c r="E117">
        <f ca="1">IFERROR(__xludf.DUMMYFUNCTION("""COMPUTED_VALUE"""),262.5)</f>
        <v>262.5</v>
      </c>
      <c r="F117" s="2">
        <f ca="1">IFERROR(__xludf.DUMMYFUNCTION("""COMPUTED_VALUE"""),198466)</f>
        <v>198466</v>
      </c>
      <c r="G117">
        <f ca="1">IFERROR(__xludf.DUMMYFUNCTION("""COMPUTED_VALUE"""),21)</f>
        <v>21</v>
      </c>
    </row>
    <row r="118" spans="1:7" ht="12.75">
      <c r="A118" t="str">
        <f ca="1">IFERROR(__xludf.DUMMYFUNCTION("""COMPUTED_VALUE"""),"T115")</f>
        <v>T115</v>
      </c>
      <c r="B118" t="str">
        <f ca="1">IFERROR(__xludf.DUMMYFUNCTION("""COMPUTED_VALUE"""),"T121")</f>
        <v>T121</v>
      </c>
      <c r="C118" t="str">
        <f ca="1">IFERROR(__xludf.DUMMYFUNCTION("""COMPUTED_VALUE"""),"Doug Ghim")</f>
        <v>Doug Ghim</v>
      </c>
      <c r="D118">
        <f ca="1">IFERROR(__xludf.DUMMYFUNCTION("""COMPUTED_VALUE"""),4)</f>
        <v>4</v>
      </c>
      <c r="E118">
        <f ca="1">IFERROR(__xludf.DUMMYFUNCTION("""COMPUTED_VALUE"""),262.5)</f>
        <v>262.5</v>
      </c>
      <c r="F118" s="2">
        <f ca="1">IFERROR(__xludf.DUMMYFUNCTION("""COMPUTED_VALUE"""),207884)</f>
        <v>207884</v>
      </c>
      <c r="G118">
        <f ca="1">IFERROR(__xludf.DUMMYFUNCTION("""COMPUTED_VALUE"""),22)</f>
        <v>22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IFERROR(__xludf.DUMMYFUNCTION("""COMPUTED_VALUE"""),123)</f>
        <v>123</v>
      </c>
      <c r="C119" t="str">
        <f ca="1">IFERROR(__xludf.DUMMYFUNCTION("""COMPUTED_VALUE"""),"Kyle Stanley")</f>
        <v>Kyle Stanley</v>
      </c>
      <c r="D119">
        <f ca="1">IFERROR(__xludf.DUMMYFUNCTION("""COMPUTED_VALUE"""),5)</f>
        <v>5</v>
      </c>
      <c r="E119">
        <f ca="1">IFERROR(__xludf.DUMMYFUNCTION("""COMPUTED_VALUE"""),262.6)</f>
        <v>262.60000000000002</v>
      </c>
      <c r="F119" s="2">
        <f ca="1">IFERROR(__xludf.DUMMYFUNCTION("""COMPUTED_VALUE"""),103987)</f>
        <v>103987</v>
      </c>
      <c r="G119">
        <f ca="1">IFERROR(__xludf.DUMMYFUNCTION("""COMPUTED_VALUE"""),11)</f>
        <v>11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IFERROR(__xludf.DUMMYFUNCTION("""COMPUTED_VALUE"""),"T124")</f>
        <v>T124</v>
      </c>
      <c r="C120" t="str">
        <f ca="1">IFERROR(__xludf.DUMMYFUNCTION("""COMPUTED_VALUE"""),"Jim Furyk")</f>
        <v>Jim Furyk</v>
      </c>
      <c r="D120">
        <f ca="1">IFERROR(__xludf.DUMMYFUNCTION("""COMPUTED_VALUE"""),1)</f>
        <v>1</v>
      </c>
      <c r="E120">
        <f ca="1">IFERROR(__xludf.DUMMYFUNCTION("""COMPUTED_VALUE"""),262.9)</f>
        <v>262.89999999999998</v>
      </c>
      <c r="F120" s="2">
        <f ca="1">IFERROR(__xludf.DUMMYFUNCTION("""COMPUTED_VALUE"""),9463)</f>
        <v>9463</v>
      </c>
      <c r="G120">
        <f ca="1">IFERROR(__xludf.DUMMYFUNCTION("""COMPUTED_VALUE"""),1)</f>
        <v>1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IFERROR(__xludf.DUMMYFUNCTION("""COMPUTED_VALUE"""),126)</f>
        <v>126</v>
      </c>
      <c r="C121" t="str">
        <f ca="1">IFERROR(__xludf.DUMMYFUNCTION("""COMPUTED_VALUE"""),"Chris Stroud")</f>
        <v>Chris Stroud</v>
      </c>
      <c r="D121">
        <f ca="1">IFERROR(__xludf.DUMMYFUNCTION("""COMPUTED_VALUE"""),3)</f>
        <v>3</v>
      </c>
      <c r="E121">
        <f ca="1">IFERROR(__xludf.DUMMYFUNCTION("""COMPUTED_VALUE"""),263)</f>
        <v>263</v>
      </c>
      <c r="F121" s="2">
        <f ca="1">IFERROR(__xludf.DUMMYFUNCTION("""COMPUTED_VALUE"""),75746)</f>
        <v>75746</v>
      </c>
      <c r="G121">
        <f ca="1">IFERROR(__xludf.DUMMYFUNCTION("""COMPUTED_VALUE"""),8)</f>
        <v>8</v>
      </c>
    </row>
    <row r="122" spans="1:7" ht="12.75">
      <c r="A122" t="str">
        <f ca="1">IFERROR(__xludf.DUMMYFUNCTION("""COMPUTED_VALUE"""),"T121")</f>
        <v>T121</v>
      </c>
      <c r="B122" t="str">
        <f ca="1">IFERROR(__xludf.DUMMYFUNCTION("""COMPUTED_VALUE"""),"T127")</f>
        <v>T127</v>
      </c>
      <c r="C122" t="str">
        <f ca="1">IFERROR(__xludf.DUMMYFUNCTION("""COMPUTED_VALUE"""),"Michael Gligic")</f>
        <v>Michael Gligic</v>
      </c>
      <c r="D122">
        <f ca="1">IFERROR(__xludf.DUMMYFUNCTION("""COMPUTED_VALUE"""),5)</f>
        <v>5</v>
      </c>
      <c r="E122">
        <f ca="1">IFERROR(__xludf.DUMMYFUNCTION("""COMPUTED_VALUE"""),263.1)</f>
        <v>263.10000000000002</v>
      </c>
      <c r="F122" s="2">
        <f ca="1">IFERROR(__xludf.DUMMYFUNCTION("""COMPUTED_VALUE"""),378885)</f>
        <v>378885</v>
      </c>
      <c r="G122">
        <f ca="1">IFERROR(__xludf.DUMMYFUNCTION("""COMPUTED_VALUE"""),40)</f>
        <v>40</v>
      </c>
    </row>
    <row r="123" spans="1:7" ht="12.75">
      <c r="A123" t="str">
        <f ca="1">IFERROR(__xludf.DUMMYFUNCTION("""COMPUTED_VALUE"""),"T121")</f>
        <v>T121</v>
      </c>
      <c r="B123" t="str">
        <f ca="1">IFERROR(__xludf.DUMMYFUNCTION("""COMPUTED_VALUE"""),"T127")</f>
        <v>T127</v>
      </c>
      <c r="C123" t="str">
        <f ca="1">IFERROR(__xludf.DUMMYFUNCTION("""COMPUTED_VALUE"""),"Marc Leishman")</f>
        <v>Marc Leishman</v>
      </c>
      <c r="D123">
        <f ca="1">IFERROR(__xludf.DUMMYFUNCTION("""COMPUTED_VALUE"""),3)</f>
        <v>3</v>
      </c>
      <c r="E123">
        <f ca="1">IFERROR(__xludf.DUMMYFUNCTION("""COMPUTED_VALUE"""),263.1)</f>
        <v>263.10000000000002</v>
      </c>
      <c r="F123" s="2">
        <f ca="1">IFERROR(__xludf.DUMMYFUNCTION("""COMPUTED_VALUE"""),255717)</f>
        <v>255717</v>
      </c>
      <c r="G123">
        <f ca="1">IFERROR(__xludf.DUMMYFUNCTION("""COMPUTED_VALUE"""),27)</f>
        <v>27</v>
      </c>
    </row>
    <row r="124" spans="1:7" ht="12.75">
      <c r="A124" t="str">
        <f ca="1">IFERROR(__xludf.DUMMYFUNCTION("""COMPUTED_VALUE"""),"T123")</f>
        <v>T123</v>
      </c>
      <c r="B124" t="str">
        <f ca="1">IFERROR(__xludf.DUMMYFUNCTION("""COMPUTED_VALUE"""),"T129")</f>
        <v>T129</v>
      </c>
      <c r="C124" t="str">
        <f ca="1">IFERROR(__xludf.DUMMYFUNCTION("""COMPUTED_VALUE"""),"Brad Kennedy")</f>
        <v>Brad Kennedy</v>
      </c>
      <c r="D124">
        <f ca="1">IFERROR(__xludf.DUMMYFUNCTION("""COMPUTED_VALUE"""),1)</f>
        <v>1</v>
      </c>
      <c r="E124">
        <f ca="1">IFERROR(__xludf.DUMMYFUNCTION("""COMPUTED_VALUE"""),263.2)</f>
        <v>263.2</v>
      </c>
      <c r="F124" s="2">
        <f ca="1">IFERROR(__xludf.DUMMYFUNCTION("""COMPUTED_VALUE"""),47373)</f>
        <v>47373</v>
      </c>
      <c r="G124">
        <f ca="1">IFERROR(__xludf.DUMMYFUNCTION("""COMPUTED_VALUE"""),5)</f>
        <v>5</v>
      </c>
    </row>
    <row r="125" spans="1:7" ht="12.75">
      <c r="A125" t="str">
        <f ca="1">IFERROR(__xludf.DUMMYFUNCTION("""COMPUTED_VALUE"""),"T123")</f>
        <v>T123</v>
      </c>
      <c r="B125" t="str">
        <f ca="1">IFERROR(__xludf.DUMMYFUNCTION("""COMPUTED_VALUE"""),"T129")</f>
        <v>T129</v>
      </c>
      <c r="C125" t="str">
        <f ca="1">IFERROR(__xludf.DUMMYFUNCTION("""COMPUTED_VALUE"""),"Collin Morikawa")</f>
        <v>Collin Morikawa</v>
      </c>
      <c r="D125">
        <f ca="1">IFERROR(__xludf.DUMMYFUNCTION("""COMPUTED_VALUE"""),4)</f>
        <v>4</v>
      </c>
      <c r="E125">
        <f ca="1">IFERROR(__xludf.DUMMYFUNCTION("""COMPUTED_VALUE"""),263.2)</f>
        <v>263.2</v>
      </c>
      <c r="F125" s="2">
        <f ca="1">IFERROR(__xludf.DUMMYFUNCTION("""COMPUTED_VALUE"""),350577)</f>
        <v>350577</v>
      </c>
      <c r="G125">
        <f ca="1">IFERROR(__xludf.DUMMYFUNCTION("""COMPUTED_VALUE"""),37)</f>
        <v>37</v>
      </c>
    </row>
    <row r="126" spans="1:7" ht="12.75">
      <c r="A126" t="str">
        <f ca="1">IFERROR(__xludf.DUMMYFUNCTION("""COMPUTED_VALUE"""),"T125")</f>
        <v>T125</v>
      </c>
      <c r="B126" t="str">
        <f ca="1">IFERROR(__xludf.DUMMYFUNCTION("""COMPUTED_VALUE"""),"T111")</f>
        <v>T111</v>
      </c>
      <c r="C126" t="str">
        <f ca="1">IFERROR(__xludf.DUMMYFUNCTION("""COMPUTED_VALUE"""),"Grayson Murray")</f>
        <v>Grayson Murray</v>
      </c>
      <c r="D126">
        <f ca="1">IFERROR(__xludf.DUMMYFUNCTION("""COMPUTED_VALUE"""),4)</f>
        <v>4</v>
      </c>
      <c r="E126">
        <f ca="1">IFERROR(__xludf.DUMMYFUNCTION("""COMPUTED_VALUE"""),263.3)</f>
        <v>263.3</v>
      </c>
      <c r="F126" s="2">
        <f ca="1">IFERROR(__xludf.DUMMYFUNCTION("""COMPUTED_VALUE"""),208504)</f>
        <v>208504</v>
      </c>
      <c r="G126">
        <f ca="1">IFERROR(__xludf.DUMMYFUNCTION("""COMPUTED_VALUE"""),22)</f>
        <v>22</v>
      </c>
    </row>
    <row r="127" spans="1:7" ht="12.75">
      <c r="A127" t="str">
        <f ca="1">IFERROR(__xludf.DUMMYFUNCTION("""COMPUTED_VALUE"""),"T125")</f>
        <v>T125</v>
      </c>
      <c r="B127">
        <f ca="1">IFERROR(__xludf.DUMMYFUNCTION("""COMPUTED_VALUE"""),131)</f>
        <v>131</v>
      </c>
      <c r="C127" t="str">
        <f ca="1">IFERROR(__xludf.DUMMYFUNCTION("""COMPUTED_VALUE"""),"Brendon Todd")</f>
        <v>Brendon Todd</v>
      </c>
      <c r="D127">
        <f ca="1">IFERROR(__xludf.DUMMYFUNCTION("""COMPUTED_VALUE"""),4)</f>
        <v>4</v>
      </c>
      <c r="E127">
        <f ca="1">IFERROR(__xludf.DUMMYFUNCTION("""COMPUTED_VALUE"""),263.3)</f>
        <v>263.3</v>
      </c>
      <c r="F127" s="2">
        <f ca="1">IFERROR(__xludf.DUMMYFUNCTION("""COMPUTED_VALUE"""),274921)</f>
        <v>274921</v>
      </c>
      <c r="G127">
        <f ca="1">IFERROR(__xludf.DUMMYFUNCTION("""COMPUTED_VALUE"""),29)</f>
        <v>29</v>
      </c>
    </row>
    <row r="128" spans="1:7" ht="12.75">
      <c r="A128" t="str">
        <f ca="1">IFERROR(__xludf.DUMMYFUNCTION("""COMPUTED_VALUE"""),"T127")</f>
        <v>T127</v>
      </c>
      <c r="B128" t="str">
        <f ca="1">IFERROR(__xludf.DUMMYFUNCTION("""COMPUTED_VALUE"""),"T132")</f>
        <v>T132</v>
      </c>
      <c r="C128" t="str">
        <f ca="1">IFERROR(__xludf.DUMMYFUNCTION("""COMPUTED_VALUE"""),"Ricky Barnes")</f>
        <v>Ricky Barnes</v>
      </c>
      <c r="D128">
        <f ca="1">IFERROR(__xludf.DUMMYFUNCTION("""COMPUTED_VALUE"""),3)</f>
        <v>3</v>
      </c>
      <c r="E128">
        <f ca="1">IFERROR(__xludf.DUMMYFUNCTION("""COMPUTED_VALUE"""),263.4)</f>
        <v>263.39999999999998</v>
      </c>
      <c r="F128" s="2">
        <f ca="1">IFERROR(__xludf.DUMMYFUNCTION("""COMPUTED_VALUE"""),47407)</f>
        <v>47407</v>
      </c>
      <c r="G128">
        <f ca="1">IFERROR(__xludf.DUMMYFUNCTION("""COMPUTED_VALUE"""),5)</f>
        <v>5</v>
      </c>
    </row>
    <row r="129" spans="1:7" ht="12.75">
      <c r="A129" t="str">
        <f ca="1">IFERROR(__xludf.DUMMYFUNCTION("""COMPUTED_VALUE"""),"T127")</f>
        <v>T127</v>
      </c>
      <c r="B129" t="str">
        <f ca="1">IFERROR(__xludf.DUMMYFUNCTION("""COMPUTED_VALUE"""),"T124")</f>
        <v>T124</v>
      </c>
      <c r="C129" t="str">
        <f ca="1">IFERROR(__xludf.DUMMYFUNCTION("""COMPUTED_VALUE"""),"Camilo Villegas")</f>
        <v>Camilo Villegas</v>
      </c>
      <c r="D129">
        <f ca="1">IFERROR(__xludf.DUMMYFUNCTION("""COMPUTED_VALUE"""),5)</f>
        <v>5</v>
      </c>
      <c r="E129">
        <f ca="1">IFERROR(__xludf.DUMMYFUNCTION("""COMPUTED_VALUE"""),263.4)</f>
        <v>263.39999999999998</v>
      </c>
      <c r="F129" s="2">
        <f ca="1">IFERROR(__xludf.DUMMYFUNCTION("""COMPUTED_VALUE"""),255992)</f>
        <v>255992</v>
      </c>
      <c r="G129">
        <f ca="1">IFERROR(__xludf.DUMMYFUNCTION("""COMPUTED_VALUE"""),27)</f>
        <v>27</v>
      </c>
    </row>
    <row r="130" spans="1:7" ht="12.75">
      <c r="A130" t="str">
        <f ca="1">IFERROR(__xludf.DUMMYFUNCTION("""COMPUTED_VALUE"""),"T127")</f>
        <v>T127</v>
      </c>
      <c r="B130" t="str">
        <f ca="1">IFERROR(__xludf.DUMMYFUNCTION("""COMPUTED_VALUE"""),"T111")</f>
        <v>T111</v>
      </c>
      <c r="C130" t="str">
        <f ca="1">IFERROR(__xludf.DUMMYFUNCTION("""COMPUTED_VALUE"""),"Bo Hoag")</f>
        <v>Bo Hoag</v>
      </c>
      <c r="D130">
        <f ca="1">IFERROR(__xludf.DUMMYFUNCTION("""COMPUTED_VALUE"""),6)</f>
        <v>6</v>
      </c>
      <c r="E130">
        <f ca="1">IFERROR(__xludf.DUMMYFUNCTION("""COMPUTED_VALUE"""),263.4)</f>
        <v>263.39999999999998</v>
      </c>
      <c r="F130" s="2">
        <f ca="1">IFERROR(__xludf.DUMMYFUNCTION("""COMPUTED_VALUE"""),208590)</f>
        <v>208590</v>
      </c>
      <c r="G130">
        <f ca="1">IFERROR(__xludf.DUMMYFUNCTION("""COMPUTED_VALUE"""),22)</f>
        <v>22</v>
      </c>
    </row>
    <row r="131" spans="1:7" ht="12.75">
      <c r="A131">
        <f ca="1">IFERROR(__xludf.DUMMYFUNCTION("""COMPUTED_VALUE"""),130)</f>
        <v>130</v>
      </c>
      <c r="B131" t="str">
        <f ca="1">IFERROR(__xludf.DUMMYFUNCTION("""COMPUTED_VALUE"""),"T134")</f>
        <v>T134</v>
      </c>
      <c r="C131" t="str">
        <f ca="1">IFERROR(__xludf.DUMMYFUNCTION("""COMPUTED_VALUE"""),"William McGirt")</f>
        <v>William McGirt</v>
      </c>
      <c r="D131">
        <f ca="1">IFERROR(__xludf.DUMMYFUNCTION("""COMPUTED_VALUE"""),2)</f>
        <v>2</v>
      </c>
      <c r="E131">
        <f ca="1">IFERROR(__xludf.DUMMYFUNCTION("""COMPUTED_VALUE"""),263.5)</f>
        <v>263.5</v>
      </c>
      <c r="F131" s="2">
        <f ca="1">IFERROR(__xludf.DUMMYFUNCTION("""COMPUTED_VALUE"""),66402)</f>
        <v>66402</v>
      </c>
      <c r="G131">
        <f ca="1">IFERROR(__xludf.DUMMYFUNCTION("""COMPUTED_VALUE"""),7)</f>
        <v>7</v>
      </c>
    </row>
    <row r="132" spans="1:7" ht="12.75">
      <c r="A132">
        <f ca="1">IFERROR(__xludf.DUMMYFUNCTION("""COMPUTED_VALUE"""),131)</f>
        <v>131</v>
      </c>
      <c r="B132" t="str">
        <f ca="1">IFERROR(__xludf.DUMMYFUNCTION("""COMPUTED_VALUE"""),"T136")</f>
        <v>T136</v>
      </c>
      <c r="C132" t="str">
        <f ca="1">IFERROR(__xludf.DUMMYFUNCTION("""COMPUTED_VALUE"""),"Patrick Cantlay")</f>
        <v>Patrick Cantlay</v>
      </c>
      <c r="D132">
        <f ca="1">IFERROR(__xludf.DUMMYFUNCTION("""COMPUTED_VALUE"""),4)</f>
        <v>4</v>
      </c>
      <c r="E132">
        <f ca="1">IFERROR(__xludf.DUMMYFUNCTION("""COMPUTED_VALUE"""),263.6)</f>
        <v>263.60000000000002</v>
      </c>
      <c r="F132" s="2">
        <f ca="1">IFERROR(__xludf.DUMMYFUNCTION("""COMPUTED_VALUE"""),503043)</f>
        <v>503043</v>
      </c>
      <c r="G132">
        <f ca="1">IFERROR(__xludf.DUMMYFUNCTION("""COMPUTED_VALUE"""),53)</f>
        <v>53</v>
      </c>
    </row>
    <row r="133" spans="1:7" ht="12.75">
      <c r="A133" t="str">
        <f ca="1">IFERROR(__xludf.DUMMYFUNCTION("""COMPUTED_VALUE"""),"T132")</f>
        <v>T132</v>
      </c>
      <c r="B133">
        <f ca="1">IFERROR(__xludf.DUMMYFUNCTION("""COMPUTED_VALUE"""),138)</f>
        <v>138</v>
      </c>
      <c r="C133" t="str">
        <f ca="1">IFERROR(__xludf.DUMMYFUNCTION("""COMPUTED_VALUE"""),"Sebastián Muñoz")</f>
        <v>Sebastián Muñoz</v>
      </c>
      <c r="D133">
        <f ca="1">IFERROR(__xludf.DUMMYFUNCTION("""COMPUTED_VALUE"""),5)</f>
        <v>5</v>
      </c>
      <c r="E133">
        <f ca="1">IFERROR(__xludf.DUMMYFUNCTION("""COMPUTED_VALUE"""),263.7)</f>
        <v>263.7</v>
      </c>
      <c r="F133" s="2">
        <f ca="1">IFERROR(__xludf.DUMMYFUNCTION("""COMPUTED_VALUE"""),607590)</f>
        <v>607590</v>
      </c>
      <c r="G133">
        <f ca="1">IFERROR(__xludf.DUMMYFUNCTION("""COMPUTED_VALUE"""),64)</f>
        <v>64</v>
      </c>
    </row>
    <row r="134" spans="1:7" ht="12.75">
      <c r="A134" t="str">
        <f ca="1">IFERROR(__xludf.DUMMYFUNCTION("""COMPUTED_VALUE"""),"T132")</f>
        <v>T132</v>
      </c>
      <c r="B134" t="str">
        <f ca="1">IFERROR(__xludf.DUMMYFUNCTION("""COMPUTED_VALUE"""),"T89")</f>
        <v>T89</v>
      </c>
      <c r="C134" t="str">
        <f ca="1">IFERROR(__xludf.DUMMYFUNCTION("""COMPUTED_VALUE"""),"Matt Jones")</f>
        <v>Matt Jones</v>
      </c>
      <c r="D134">
        <f ca="1">IFERROR(__xludf.DUMMYFUNCTION("""COMPUTED_VALUE"""),6)</f>
        <v>6</v>
      </c>
      <c r="E134">
        <f ca="1">IFERROR(__xludf.DUMMYFUNCTION("""COMPUTED_VALUE"""),263.7)</f>
        <v>263.7</v>
      </c>
      <c r="F134" s="2">
        <f ca="1">IFERROR(__xludf.DUMMYFUNCTION("""COMPUTED_VALUE"""),284829)</f>
        <v>284829</v>
      </c>
      <c r="G134">
        <f ca="1">IFERROR(__xludf.DUMMYFUNCTION("""COMPUTED_VALUE"""),30)</f>
        <v>30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IFERROR(__xludf.DUMMYFUNCTION("""COMPUTED_VALUE"""),"T141")</f>
        <v>T141</v>
      </c>
      <c r="C135" t="str">
        <f ca="1">IFERROR(__xludf.DUMMYFUNCTION("""COMPUTED_VALUE"""),"Jazz Janewattananond")</f>
        <v>Jazz Janewattananond</v>
      </c>
      <c r="D135">
        <f ca="1">IFERROR(__xludf.DUMMYFUNCTION("""COMPUTED_VALUE"""),2)</f>
        <v>2</v>
      </c>
      <c r="E135">
        <f ca="1">IFERROR(__xludf.DUMMYFUNCTION("""COMPUTED_VALUE"""),264)</f>
        <v>264</v>
      </c>
      <c r="F135" s="2">
        <f ca="1">IFERROR(__xludf.DUMMYFUNCTION("""COMPUTED_VALUE"""),142585)</f>
        <v>142585</v>
      </c>
      <c r="G135">
        <f ca="1">IFERROR(__xludf.DUMMYFUNCTION("""COMPUTED_VALUE"""),15)</f>
        <v>15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IFERROR(__xludf.DUMMYFUNCTION("""COMPUTED_VALUE"""),"T141")</f>
        <v>T141</v>
      </c>
      <c r="C136" t="str">
        <f ca="1">IFERROR(__xludf.DUMMYFUNCTION("""COMPUTED_VALUE"""),"George Markham")</f>
        <v>George Markham</v>
      </c>
      <c r="D136">
        <f ca="1">IFERROR(__xludf.DUMMYFUNCTION("""COMPUTED_VALUE"""),1)</f>
        <v>1</v>
      </c>
      <c r="E136">
        <f ca="1">IFERROR(__xludf.DUMMYFUNCTION("""COMPUTED_VALUE"""),264)</f>
        <v>264</v>
      </c>
      <c r="F136" s="2">
        <f ca="1">IFERROR(__xludf.DUMMYFUNCTION("""COMPUTED_VALUE"""),114038)</f>
        <v>114038</v>
      </c>
      <c r="G136">
        <f ca="1">IFERROR(__xludf.DUMMYFUNCTION("""COMPUTED_VALUE"""),12)</f>
        <v>12</v>
      </c>
    </row>
    <row r="137" spans="1:7" ht="12.75">
      <c r="A137" t="str">
        <f ca="1">IFERROR(__xludf.DUMMYFUNCTION("""COMPUTED_VALUE"""),"T136")</f>
        <v>T136</v>
      </c>
      <c r="B137" t="str">
        <f ca="1">IFERROR(__xludf.DUMMYFUNCTION("""COMPUTED_VALUE"""),"T144")</f>
        <v>T144</v>
      </c>
      <c r="C137" t="str">
        <f ca="1">IFERROR(__xludf.DUMMYFUNCTION("""COMPUTED_VALUE"""),"Joseph Bramlett")</f>
        <v>Joseph Bramlett</v>
      </c>
      <c r="D137">
        <f ca="1">IFERROR(__xludf.DUMMYFUNCTION("""COMPUTED_VALUE"""),5)</f>
        <v>5</v>
      </c>
      <c r="E137">
        <f ca="1">IFERROR(__xludf.DUMMYFUNCTION("""COMPUTED_VALUE"""),264.1)</f>
        <v>264.10000000000002</v>
      </c>
      <c r="F137" s="2">
        <f ca="1">IFERROR(__xludf.DUMMYFUNCTION("""COMPUTED_VALUE"""),304249)</f>
        <v>304249</v>
      </c>
      <c r="G137">
        <f ca="1">IFERROR(__xludf.DUMMYFUNCTION("""COMPUTED_VALUE"""),32)</f>
        <v>32</v>
      </c>
    </row>
    <row r="138" spans="1:7" ht="12.75">
      <c r="A138" t="str">
        <f ca="1">IFERROR(__xludf.DUMMYFUNCTION("""COMPUTED_VALUE"""),"T136")</f>
        <v>T136</v>
      </c>
      <c r="B138" t="str">
        <f ca="1">IFERROR(__xludf.DUMMYFUNCTION("""COMPUTED_VALUE"""),"T38")</f>
        <v>T38</v>
      </c>
      <c r="C138" t="str">
        <f ca="1">IFERROR(__xludf.DUMMYFUNCTION("""COMPUTED_VALUE"""),"Jhonattan Vegas")</f>
        <v>Jhonattan Vegas</v>
      </c>
      <c r="D138">
        <f ca="1">IFERROR(__xludf.DUMMYFUNCTION("""COMPUTED_VALUE"""),5)</f>
        <v>5</v>
      </c>
      <c r="E138">
        <f ca="1">IFERROR(__xludf.DUMMYFUNCTION("""COMPUTED_VALUE"""),264.1)</f>
        <v>264.10000000000002</v>
      </c>
      <c r="F138" s="2">
        <f ca="1">IFERROR(__xludf.DUMMYFUNCTION("""COMPUTED_VALUE"""),256742)</f>
        <v>256742</v>
      </c>
      <c r="G138">
        <f ca="1">IFERROR(__xludf.DUMMYFUNCTION("""COMPUTED_VALUE"""),27)</f>
        <v>27</v>
      </c>
    </row>
    <row r="139" spans="1:7" ht="12.75">
      <c r="A139" t="str">
        <f ca="1">IFERROR(__xludf.DUMMYFUNCTION("""COMPUTED_VALUE"""),"T136")</f>
        <v>T136</v>
      </c>
      <c r="B139" t="str">
        <f ca="1">IFERROR(__xludf.DUMMYFUNCTION("""COMPUTED_VALUE"""),"T144")</f>
        <v>T144</v>
      </c>
      <c r="C139" t="str">
        <f ca="1">IFERROR(__xludf.DUMMYFUNCTION("""COMPUTED_VALUE"""),"J.B. Holmes")</f>
        <v>J.B. Holmes</v>
      </c>
      <c r="D139">
        <f ca="1">IFERROR(__xludf.DUMMYFUNCTION("""COMPUTED_VALUE"""),3)</f>
        <v>3</v>
      </c>
      <c r="E139">
        <f ca="1">IFERROR(__xludf.DUMMYFUNCTION("""COMPUTED_VALUE"""),264.1)</f>
        <v>264.10000000000002</v>
      </c>
      <c r="F139" s="2">
        <f ca="1">IFERROR(__xludf.DUMMYFUNCTION("""COMPUTED_VALUE"""),256734)</f>
        <v>256734</v>
      </c>
      <c r="G139">
        <f ca="1">IFERROR(__xludf.DUMMYFUNCTION("""COMPUTED_VALUE"""),27)</f>
        <v>27</v>
      </c>
    </row>
    <row r="140" spans="1:7" ht="12.75">
      <c r="A140" t="str">
        <f ca="1">IFERROR(__xludf.DUMMYFUNCTION("""COMPUTED_VALUE"""),"T136")</f>
        <v>T136</v>
      </c>
      <c r="B140" t="str">
        <f ca="1">IFERROR(__xludf.DUMMYFUNCTION("""COMPUTED_VALUE"""),"T144")</f>
        <v>T144</v>
      </c>
      <c r="C140" t="str">
        <f ca="1">IFERROR(__xludf.DUMMYFUNCTION("""COMPUTED_VALUE"""),"Ryan Blaum")</f>
        <v>Ryan Blaum</v>
      </c>
      <c r="D140">
        <f ca="1">IFERROR(__xludf.DUMMYFUNCTION("""COMPUTED_VALUE"""),3)</f>
        <v>3</v>
      </c>
      <c r="E140">
        <f ca="1">IFERROR(__xludf.DUMMYFUNCTION("""COMPUTED_VALUE"""),264.1)</f>
        <v>264.10000000000002</v>
      </c>
      <c r="F140" s="2">
        <f ca="1">IFERROR(__xludf.DUMMYFUNCTION("""COMPUTED_VALUE"""),57048)</f>
        <v>57048</v>
      </c>
      <c r="G140">
        <f ca="1">IFERROR(__xludf.DUMMYFUNCTION("""COMPUTED_VALUE"""),6)</f>
        <v>6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IFERROR(__xludf.DUMMYFUNCTION("""COMPUTED_VALUE"""),100)</f>
        <v>100</v>
      </c>
      <c r="C141" t="str">
        <f ca="1">IFERROR(__xludf.DUMMYFUNCTION("""COMPUTED_VALUE"""),"Lanto Griffin")</f>
        <v>Lanto Griffin</v>
      </c>
      <c r="D141">
        <f ca="1">IFERROR(__xludf.DUMMYFUNCTION("""COMPUTED_VALUE"""),5)</f>
        <v>5</v>
      </c>
      <c r="E141">
        <f ca="1">IFERROR(__xludf.DUMMYFUNCTION("""COMPUTED_VALUE"""),264.2)</f>
        <v>264.2</v>
      </c>
      <c r="F141" s="2">
        <f ca="1">IFERROR(__xludf.DUMMYFUNCTION("""COMPUTED_VALUE"""),418448)</f>
        <v>418448</v>
      </c>
      <c r="G141">
        <f ca="1">IFERROR(__xludf.DUMMYFUNCTION("""COMPUTED_VALUE"""),44)</f>
        <v>44</v>
      </c>
    </row>
    <row r="142" spans="1:7" ht="12.75">
      <c r="A142">
        <f ca="1">IFERROR(__xludf.DUMMYFUNCTION("""COMPUTED_VALUE"""),141)</f>
        <v>141</v>
      </c>
      <c r="B142" t="str">
        <f ca="1">IFERROR(__xludf.DUMMYFUNCTION("""COMPUTED_VALUE"""),"T150")</f>
        <v>T150</v>
      </c>
      <c r="C142" t="str">
        <f ca="1">IFERROR(__xludf.DUMMYFUNCTION("""COMPUTED_VALUE"""),"John Senden")</f>
        <v>John Senden</v>
      </c>
      <c r="D142">
        <f ca="1">IFERROR(__xludf.DUMMYFUNCTION("""COMPUTED_VALUE"""),3)</f>
        <v>3</v>
      </c>
      <c r="E142">
        <f ca="1">IFERROR(__xludf.DUMMYFUNCTION("""COMPUTED_VALUE"""),264.3)</f>
        <v>264.3</v>
      </c>
      <c r="F142" s="2">
        <f ca="1">IFERROR(__xludf.DUMMYFUNCTION("""COMPUTED_VALUE"""),28543)</f>
        <v>28543</v>
      </c>
      <c r="G142">
        <f ca="1">IFERROR(__xludf.DUMMYFUNCTION("""COMPUTED_VALUE"""),3)</f>
        <v>3</v>
      </c>
    </row>
    <row r="143" spans="1:7" ht="12.75">
      <c r="A143" t="str">
        <f ca="1">IFERROR(__xludf.DUMMYFUNCTION("""COMPUTED_VALUE"""),"T142")</f>
        <v>T142</v>
      </c>
      <c r="B143">
        <f ca="1">IFERROR(__xludf.DUMMYFUNCTION("""COMPUTED_VALUE"""),152)</f>
        <v>152</v>
      </c>
      <c r="C143" t="str">
        <f ca="1">IFERROR(__xludf.DUMMYFUNCTION("""COMPUTED_VALUE"""),"Chez Reavie")</f>
        <v>Chez Reavie</v>
      </c>
      <c r="D143">
        <f ca="1">IFERROR(__xludf.DUMMYFUNCTION("""COMPUTED_VALUE"""),4)</f>
        <v>4</v>
      </c>
      <c r="E143">
        <f ca="1">IFERROR(__xludf.DUMMYFUNCTION("""COMPUTED_VALUE"""),264.4)</f>
        <v>264.39999999999998</v>
      </c>
      <c r="F143" s="2">
        <f ca="1">IFERROR(__xludf.DUMMYFUNCTION("""COMPUTED_VALUE"""),180826)</f>
        <v>180826</v>
      </c>
      <c r="G143">
        <f ca="1">IFERROR(__xludf.DUMMYFUNCTION("""COMPUTED_VALUE"""),19)</f>
        <v>19</v>
      </c>
    </row>
    <row r="144" spans="1:7" ht="12.75">
      <c r="A144" t="str">
        <f ca="1">IFERROR(__xludf.DUMMYFUNCTION("""COMPUTED_VALUE"""),"T142")</f>
        <v>T142</v>
      </c>
      <c r="B144" t="str">
        <f ca="1">IFERROR(__xludf.DUMMYFUNCTION("""COMPUTED_VALUE"""),"T150")</f>
        <v>T150</v>
      </c>
      <c r="C144" t="str">
        <f ca="1">IFERROR(__xludf.DUMMYFUNCTION("""COMPUTED_VALUE"""),"Emiliano Grillo")</f>
        <v>Emiliano Grillo</v>
      </c>
      <c r="D144">
        <f ca="1">IFERROR(__xludf.DUMMYFUNCTION("""COMPUTED_VALUE"""),6)</f>
        <v>6</v>
      </c>
      <c r="E144">
        <f ca="1">IFERROR(__xludf.DUMMYFUNCTION("""COMPUTED_VALUE"""),264.4)</f>
        <v>264.39999999999998</v>
      </c>
      <c r="F144" s="2">
        <f ca="1">IFERROR(__xludf.DUMMYFUNCTION("""COMPUTED_VALUE"""),323636)</f>
        <v>323636</v>
      </c>
      <c r="G144">
        <f ca="1">IFERROR(__xludf.DUMMYFUNCTION("""COMPUTED_VALUE"""),34)</f>
        <v>34</v>
      </c>
    </row>
    <row r="145" spans="1:7" ht="12.75">
      <c r="A145">
        <f ca="1">IFERROR(__xludf.DUMMYFUNCTION("""COMPUTED_VALUE"""),144)</f>
        <v>144</v>
      </c>
      <c r="B145">
        <f ca="1">IFERROR(__xludf.DUMMYFUNCTION("""COMPUTED_VALUE"""),153)</f>
        <v>153</v>
      </c>
      <c r="C145" t="str">
        <f ca="1">IFERROR(__xludf.DUMMYFUNCTION("""COMPUTED_VALUE"""),"Tom Lewis")</f>
        <v>Tom Lewis</v>
      </c>
      <c r="D145">
        <f ca="1">IFERROR(__xludf.DUMMYFUNCTION("""COMPUTED_VALUE"""),5)</f>
        <v>5</v>
      </c>
      <c r="E145">
        <f ca="1">IFERROR(__xludf.DUMMYFUNCTION("""COMPUTED_VALUE"""),264.6)</f>
        <v>264.60000000000002</v>
      </c>
      <c r="F145" s="2">
        <f ca="1">IFERROR(__xludf.DUMMYFUNCTION("""COMPUTED_VALUE"""),238149)</f>
        <v>238149</v>
      </c>
      <c r="G145">
        <f ca="1">IFERROR(__xludf.DUMMYFUNCTION("""COMPUTED_VALUE"""),25)</f>
        <v>25</v>
      </c>
    </row>
    <row r="146" spans="1:7" ht="12.75">
      <c r="A146">
        <f ca="1">IFERROR(__xludf.DUMMYFUNCTION("""COMPUTED_VALUE"""),145)</f>
        <v>145</v>
      </c>
      <c r="B146" t="str">
        <f ca="1">IFERROR(__xludf.DUMMYFUNCTION("""COMPUTED_VALUE"""),"T136")</f>
        <v>T136</v>
      </c>
      <c r="C146" t="str">
        <f ca="1">IFERROR(__xludf.DUMMYFUNCTION("""COMPUTED_VALUE"""),"Martin Laird")</f>
        <v>Martin Laird</v>
      </c>
      <c r="D146">
        <f ca="1">IFERROR(__xludf.DUMMYFUNCTION("""COMPUTED_VALUE"""),5)</f>
        <v>5</v>
      </c>
      <c r="E146">
        <f ca="1">IFERROR(__xludf.DUMMYFUNCTION("""COMPUTED_VALUE"""),264.7)</f>
        <v>264.7</v>
      </c>
      <c r="F146" s="2">
        <f ca="1">IFERROR(__xludf.DUMMYFUNCTION("""COMPUTED_VALUE"""),238218)</f>
        <v>238218</v>
      </c>
      <c r="G146">
        <f ca="1">IFERROR(__xludf.DUMMYFUNCTION("""COMPUTED_VALUE"""),25)</f>
        <v>25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IFERROR(__xludf.DUMMYFUNCTION("""COMPUTED_VALUE"""),154)</f>
        <v>154</v>
      </c>
      <c r="C147" t="str">
        <f ca="1">IFERROR(__xludf.DUMMYFUNCTION("""COMPUTED_VALUE"""),"Gary Woodland")</f>
        <v>Gary Woodland</v>
      </c>
      <c r="D147">
        <f ca="1">IFERROR(__xludf.DUMMYFUNCTION("""COMPUTED_VALUE"""),3)</f>
        <v>3</v>
      </c>
      <c r="E147">
        <f ca="1">IFERROR(__xludf.DUMMYFUNCTION("""COMPUTED_VALUE"""),264.8)</f>
        <v>264.8</v>
      </c>
      <c r="F147" s="2">
        <f ca="1">IFERROR(__xludf.DUMMYFUNCTION("""COMPUTED_VALUE"""),152512)</f>
        <v>152512</v>
      </c>
      <c r="G147">
        <f ca="1">IFERROR(__xludf.DUMMYFUNCTION("""COMPUTED_VALUE"""),16)</f>
        <v>16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IFERROR(__xludf.DUMMYFUNCTION("""COMPUTED_VALUE"""),"")</f>
        <v/>
      </c>
      <c r="C148" t="str">
        <f ca="1">IFERROR(__xludf.DUMMYFUNCTION("""COMPUTED_VALUE"""),"Erik Barnes")</f>
        <v>Erik Barnes</v>
      </c>
      <c r="D148">
        <f ca="1">IFERROR(__xludf.DUMMYFUNCTION("""COMPUTED_VALUE"""),1)</f>
        <v>1</v>
      </c>
      <c r="E148">
        <f ca="1">IFERROR(__xludf.DUMMYFUNCTION("""COMPUTED_VALUE"""),265)</f>
        <v>265</v>
      </c>
      <c r="F148" s="2">
        <f ca="1">IFERROR(__xludf.DUMMYFUNCTION("""COMPUTED_VALUE"""),66789)</f>
        <v>66789</v>
      </c>
      <c r="G148">
        <f ca="1">IFERROR(__xludf.DUMMYFUNCTION("""COMPUTED_VALUE"""),7)</f>
        <v>7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IFERROR(__xludf.DUMMYFUNCTION("""COMPUTED_VALUE"""),"T132")</f>
        <v>T132</v>
      </c>
      <c r="C149" t="str">
        <f ca="1">IFERROR(__xludf.DUMMYFUNCTION("""COMPUTED_VALUE"""),"Matthew NeSmith")</f>
        <v>Matthew NeSmith</v>
      </c>
      <c r="D149">
        <f ca="1">IFERROR(__xludf.DUMMYFUNCTION("""COMPUTED_VALUE"""),5)</f>
        <v>5</v>
      </c>
      <c r="E149">
        <f ca="1">IFERROR(__xludf.DUMMYFUNCTION("""COMPUTED_VALUE"""),265)</f>
        <v>265</v>
      </c>
      <c r="F149" s="2">
        <f ca="1">IFERROR(__xludf.DUMMYFUNCTION("""COMPUTED_VALUE"""),362550)</f>
        <v>362550</v>
      </c>
      <c r="G149">
        <f ca="1">IFERROR(__xludf.DUMMYFUNCTION("""COMPUTED_VALUE"""),38)</f>
        <v>38</v>
      </c>
    </row>
    <row r="150" spans="1:7" ht="12.75">
      <c r="A150" t="str">
        <f ca="1">IFERROR(__xludf.DUMMYFUNCTION("""COMPUTED_VALUE"""),"T149")</f>
        <v>T149</v>
      </c>
      <c r="B150" t="str">
        <f ca="1">IFERROR(__xludf.DUMMYFUNCTION("""COMPUTED_VALUE"""),"T134")</f>
        <v>T134</v>
      </c>
      <c r="C150" t="str">
        <f ca="1">IFERROR(__xludf.DUMMYFUNCTION("""COMPUTED_VALUE"""),"Adam Schenk")</f>
        <v>Adam Schenk</v>
      </c>
      <c r="D150">
        <f ca="1">IFERROR(__xludf.DUMMYFUNCTION("""COMPUTED_VALUE"""),6)</f>
        <v>6</v>
      </c>
      <c r="E150">
        <f ca="1">IFERROR(__xludf.DUMMYFUNCTION("""COMPUTED_VALUE"""),265.1)</f>
        <v>265.10000000000002</v>
      </c>
      <c r="F150" s="2">
        <f ca="1">IFERROR(__xludf.DUMMYFUNCTION("""COMPUTED_VALUE"""),362634)</f>
        <v>362634</v>
      </c>
      <c r="G150">
        <f ca="1">IFERROR(__xludf.DUMMYFUNCTION("""COMPUTED_VALUE"""),38)</f>
        <v>38</v>
      </c>
    </row>
    <row r="151" spans="1:7" ht="12.75">
      <c r="A151" t="str">
        <f ca="1">IFERROR(__xludf.DUMMYFUNCTION("""COMPUTED_VALUE"""),"T149")</f>
        <v>T149</v>
      </c>
      <c r="B151" t="str">
        <f ca="1">IFERROR(__xludf.DUMMYFUNCTION("""COMPUTED_VALUE"""),"T139")</f>
        <v>T139</v>
      </c>
      <c r="C151" t="str">
        <f ca="1">IFERROR(__xludf.DUMMYFUNCTION("""COMPUTED_VALUE"""),"Alex Noren")</f>
        <v>Alex Noren</v>
      </c>
      <c r="D151">
        <f ca="1">IFERROR(__xludf.DUMMYFUNCTION("""COMPUTED_VALUE"""),4)</f>
        <v>4</v>
      </c>
      <c r="E151">
        <f ca="1">IFERROR(__xludf.DUMMYFUNCTION("""COMPUTED_VALUE"""),265.1)</f>
        <v>265.10000000000002</v>
      </c>
      <c r="F151" s="2">
        <f ca="1">IFERROR(__xludf.DUMMYFUNCTION("""COMPUTED_VALUE"""),343582)</f>
        <v>343582</v>
      </c>
      <c r="G151">
        <f ca="1">IFERROR(__xludf.DUMMYFUNCTION("""COMPUTED_VALUE"""),36)</f>
        <v>36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IFERROR(__xludf.DUMMYFUNCTION("""COMPUTED_VALUE"""),101)</f>
        <v>101</v>
      </c>
      <c r="C152" t="str">
        <f ca="1">IFERROR(__xludf.DUMMYFUNCTION("""COMPUTED_VALUE"""),"Hideki Matsuyama")</f>
        <v>Hideki Matsuyama</v>
      </c>
      <c r="D152">
        <f ca="1">IFERROR(__xludf.DUMMYFUNCTION("""COMPUTED_VALUE"""),5)</f>
        <v>5</v>
      </c>
      <c r="E152">
        <f ca="1">IFERROR(__xludf.DUMMYFUNCTION("""COMPUTED_VALUE"""),265.3)</f>
        <v>265.3</v>
      </c>
      <c r="F152" s="2">
        <f ca="1">IFERROR(__xludf.DUMMYFUNCTION("""COMPUTED_VALUE"""),515723)</f>
        <v>515723</v>
      </c>
      <c r="G152">
        <f ca="1">IFERROR(__xludf.DUMMYFUNCTION("""COMPUTED_VALUE"""),54)</f>
        <v>54</v>
      </c>
    </row>
    <row r="153" spans="1:7" ht="12.75">
      <c r="A153">
        <f ca="1">IFERROR(__xludf.DUMMYFUNCTION("""COMPUTED_VALUE"""),152)</f>
        <v>152</v>
      </c>
      <c r="B153" t="str">
        <f ca="1">IFERROR(__xludf.DUMMYFUNCTION("""COMPUTED_VALUE"""),"T160")</f>
        <v>T160</v>
      </c>
      <c r="C153" t="str">
        <f ca="1">IFERROR(__xludf.DUMMYFUNCTION("""COMPUTED_VALUE"""),"J.J. Spaun")</f>
        <v>J.J. Spaun</v>
      </c>
      <c r="D153">
        <f ca="1">IFERROR(__xludf.DUMMYFUNCTION("""COMPUTED_VALUE"""),3)</f>
        <v>3</v>
      </c>
      <c r="E153">
        <f ca="1">IFERROR(__xludf.DUMMYFUNCTION("""COMPUTED_VALUE"""),265.4)</f>
        <v>265.39999999999998</v>
      </c>
      <c r="F153" s="2">
        <f ca="1">IFERROR(__xludf.DUMMYFUNCTION("""COMPUTED_VALUE"""),95531)</f>
        <v>95531</v>
      </c>
      <c r="G153">
        <f ca="1">IFERROR(__xludf.DUMMYFUNCTION("""COMPUTED_VALUE"""),10)</f>
        <v>10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IFERROR(__xludf.DUMMYFUNCTION("""COMPUTED_VALUE"""),"T164")</f>
        <v>T164</v>
      </c>
      <c r="C154" t="str">
        <f ca="1">IFERROR(__xludf.DUMMYFUNCTION("""COMPUTED_VALUE"""),"Dominic Bozzelli")</f>
        <v>Dominic Bozzelli</v>
      </c>
      <c r="D154">
        <f ca="1">IFERROR(__xludf.DUMMYFUNCTION("""COMPUTED_VALUE"""),3)</f>
        <v>3</v>
      </c>
      <c r="E154">
        <f ca="1">IFERROR(__xludf.DUMMYFUNCTION("""COMPUTED_VALUE"""),265.6)</f>
        <v>265.60000000000002</v>
      </c>
      <c r="F154" s="2">
        <f ca="1">IFERROR(__xludf.DUMMYFUNCTION("""COMPUTED_VALUE"""),28686)</f>
        <v>28686</v>
      </c>
      <c r="G154">
        <f ca="1">IFERROR(__xludf.DUMMYFUNCTION("""COMPUTED_VALUE"""),3)</f>
        <v>3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IFERROR(__xludf.DUMMYFUNCTION("""COMPUTED_VALUE"""),167)</f>
        <v>167</v>
      </c>
      <c r="C155" t="str">
        <f ca="1">IFERROR(__xludf.DUMMYFUNCTION("""COMPUTED_VALUE"""),"Chesson Hadley")</f>
        <v>Chesson Hadley</v>
      </c>
      <c r="D155">
        <f ca="1">IFERROR(__xludf.DUMMYFUNCTION("""COMPUTED_VALUE"""),5)</f>
        <v>5</v>
      </c>
      <c r="E155">
        <f ca="1">IFERROR(__xludf.DUMMYFUNCTION("""COMPUTED_VALUE"""),265.7)</f>
        <v>265.7</v>
      </c>
      <c r="F155" s="2">
        <f ca="1">IFERROR(__xludf.DUMMYFUNCTION("""COMPUTED_VALUE"""),248734)</f>
        <v>248734</v>
      </c>
      <c r="G155">
        <f ca="1">IFERROR(__xludf.DUMMYFUNCTION("""COMPUTED_VALUE"""),26)</f>
        <v>26</v>
      </c>
    </row>
    <row r="156" spans="1:7" ht="12.75">
      <c r="A156" t="str">
        <f ca="1">IFERROR(__xludf.DUMMYFUNCTION("""COMPUTED_VALUE"""),"T155")</f>
        <v>T155</v>
      </c>
      <c r="B156" t="str">
        <f ca="1">IFERROR(__xludf.DUMMYFUNCTION("""COMPUTED_VALUE"""),"T139")</f>
        <v>T139</v>
      </c>
      <c r="C156" t="str">
        <f ca="1">IFERROR(__xludf.DUMMYFUNCTION("""COMPUTED_VALUE"""),"Sungjae Im")</f>
        <v>Sungjae Im</v>
      </c>
      <c r="D156">
        <f ca="1">IFERROR(__xludf.DUMMYFUNCTION("""COMPUTED_VALUE"""),6)</f>
        <v>6</v>
      </c>
      <c r="E156">
        <f ca="1">IFERROR(__xludf.DUMMYFUNCTION("""COMPUTED_VALUE"""),265.8)</f>
        <v>265.8</v>
      </c>
      <c r="F156" s="2">
        <f ca="1">IFERROR(__xludf.DUMMYFUNCTION("""COMPUTED_VALUE"""),755846)</f>
        <v>755846</v>
      </c>
      <c r="G156">
        <f ca="1">IFERROR(__xludf.DUMMYFUNCTION("""COMPUTED_VALUE"""),79)</f>
        <v>79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IFERROR(__xludf.DUMMYFUNCTION("""COMPUTED_VALUE"""),"T160")</f>
        <v>T160</v>
      </c>
      <c r="C157" t="str">
        <f ca="1">IFERROR(__xludf.DUMMYFUNCTION("""COMPUTED_VALUE"""),"Keegan Bradley")</f>
        <v>Keegan Bradley</v>
      </c>
      <c r="D157">
        <f ca="1">IFERROR(__xludf.DUMMYFUNCTION("""COMPUTED_VALUE"""),6)</f>
        <v>6</v>
      </c>
      <c r="E157">
        <f ca="1">IFERROR(__xludf.DUMMYFUNCTION("""COMPUTED_VALUE"""),265.8)</f>
        <v>265.8</v>
      </c>
      <c r="F157" s="2">
        <f ca="1">IFERROR(__xludf.DUMMYFUNCTION("""COMPUTED_VALUE"""),449785)</f>
        <v>449785</v>
      </c>
      <c r="G157">
        <f ca="1">IFERROR(__xludf.DUMMYFUNCTION("""COMPUTED_VALUE"""),47)</f>
        <v>47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IFERROR(__xludf.DUMMYFUNCTION("""COMPUTED_VALUE"""),"T141")</f>
        <v>T141</v>
      </c>
      <c r="C158" t="str">
        <f ca="1">IFERROR(__xludf.DUMMYFUNCTION("""COMPUTED_VALUE"""),"Tony Finau")</f>
        <v>Tony Finau</v>
      </c>
      <c r="D158">
        <f ca="1">IFERROR(__xludf.DUMMYFUNCTION("""COMPUTED_VALUE"""),3)</f>
        <v>3</v>
      </c>
      <c r="E158">
        <f ca="1">IFERROR(__xludf.DUMMYFUNCTION("""COMPUTED_VALUE"""),265.8)</f>
        <v>265.8</v>
      </c>
      <c r="F158" s="2">
        <f ca="1">IFERROR(__xludf.DUMMYFUNCTION("""COMPUTED_VALUE"""),296664)</f>
        <v>296664</v>
      </c>
      <c r="G158">
        <f ca="1">IFERROR(__xludf.DUMMYFUNCTION("""COMPUTED_VALUE"""),31)</f>
        <v>31</v>
      </c>
    </row>
    <row r="159" spans="1:7" ht="12.75">
      <c r="A159" t="str">
        <f ca="1">IFERROR(__xludf.DUMMYFUNCTION("""COMPUTED_VALUE"""),"T155")</f>
        <v>T155</v>
      </c>
      <c r="B159" t="str">
        <f ca="1">IFERROR(__xludf.DUMMYFUNCTION("""COMPUTED_VALUE"""),"T168")</f>
        <v>T168</v>
      </c>
      <c r="C159" t="str">
        <f ca="1">IFERROR(__xludf.DUMMYFUNCTION("""COMPUTED_VALUE"""),"Charl Schwartzel")</f>
        <v>Charl Schwartzel</v>
      </c>
      <c r="D159">
        <f ca="1">IFERROR(__xludf.DUMMYFUNCTION("""COMPUTED_VALUE"""),4)</f>
        <v>4</v>
      </c>
      <c r="E159">
        <f ca="1">IFERROR(__xludf.DUMMYFUNCTION("""COMPUTED_VALUE"""),265.8)</f>
        <v>265.8</v>
      </c>
      <c r="F159" s="2">
        <f ca="1">IFERROR(__xludf.DUMMYFUNCTION("""COMPUTED_VALUE"""),248817)</f>
        <v>248817</v>
      </c>
      <c r="G159">
        <f ca="1">IFERROR(__xludf.DUMMYFUNCTION("""COMPUTED_VALUE"""),26)</f>
        <v>26</v>
      </c>
    </row>
    <row r="160" spans="1:7" ht="12.75">
      <c r="A160" t="str">
        <f ca="1">IFERROR(__xludf.DUMMYFUNCTION("""COMPUTED_VALUE"""),"T159")</f>
        <v>T159</v>
      </c>
      <c r="B160">
        <f ca="1">IFERROR(__xludf.DUMMYFUNCTION("""COMPUTED_VALUE"""),175)</f>
        <v>175</v>
      </c>
      <c r="C160" t="str">
        <f ca="1">IFERROR(__xludf.DUMMYFUNCTION("""COMPUTED_VALUE"""),"Kevin Tway")</f>
        <v>Kevin Tway</v>
      </c>
      <c r="D160">
        <f ca="1">IFERROR(__xludf.DUMMYFUNCTION("""COMPUTED_VALUE"""),6)</f>
        <v>6</v>
      </c>
      <c r="E160">
        <f ca="1">IFERROR(__xludf.DUMMYFUNCTION("""COMPUTED_VALUE"""),265.9)</f>
        <v>265.89999999999998</v>
      </c>
      <c r="F160" s="2">
        <f ca="1">IFERROR(__xludf.DUMMYFUNCTION("""COMPUTED_VALUE"""),162712)</f>
        <v>162712</v>
      </c>
      <c r="G160">
        <f ca="1">IFERROR(__xludf.DUMMYFUNCTION("""COMPUTED_VALUE"""),17)</f>
        <v>17</v>
      </c>
    </row>
    <row r="161" spans="1:7" ht="12.75">
      <c r="A161" t="str">
        <f ca="1">IFERROR(__xludf.DUMMYFUNCTION("""COMPUTED_VALUE"""),"T159")</f>
        <v>T159</v>
      </c>
      <c r="B161" t="str">
        <f ca="1">IFERROR(__xludf.DUMMYFUNCTION("""COMPUTED_VALUE"""),"T147")</f>
        <v>T147</v>
      </c>
      <c r="C161" t="str">
        <f ca="1">IFERROR(__xludf.DUMMYFUNCTION("""COMPUTED_VALUE"""),"Robby Shelton")</f>
        <v>Robby Shelton</v>
      </c>
      <c r="D161">
        <f ca="1">IFERROR(__xludf.DUMMYFUNCTION("""COMPUTED_VALUE"""),5)</f>
        <v>5</v>
      </c>
      <c r="E161">
        <f ca="1">IFERROR(__xludf.DUMMYFUNCTION("""COMPUTED_VALUE"""),265.9)</f>
        <v>265.89999999999998</v>
      </c>
      <c r="F161" s="2">
        <f ca="1">IFERROR(__xludf.DUMMYFUNCTION("""COMPUTED_VALUE"""),402114)</f>
        <v>402114</v>
      </c>
      <c r="G161">
        <f ca="1">IFERROR(__xludf.DUMMYFUNCTION("""COMPUTED_VALUE"""),42)</f>
        <v>42</v>
      </c>
    </row>
    <row r="162" spans="1:7" ht="12.75">
      <c r="A162" t="str">
        <f ca="1">IFERROR(__xludf.DUMMYFUNCTION("""COMPUTED_VALUE"""),"T161")</f>
        <v>T161</v>
      </c>
      <c r="B162" t="str">
        <f ca="1">IFERROR(__xludf.DUMMYFUNCTION("""COMPUTED_VALUE"""),"T179")</f>
        <v>T179</v>
      </c>
      <c r="C162" t="str">
        <f ca="1">IFERROR(__xludf.DUMMYFUNCTION("""COMPUTED_VALUE"""),"Michael Kim")</f>
        <v>Michael Kim</v>
      </c>
      <c r="D162">
        <f ca="1">IFERROR(__xludf.DUMMYFUNCTION("""COMPUTED_VALUE"""),6)</f>
        <v>6</v>
      </c>
      <c r="E162">
        <f ca="1">IFERROR(__xludf.DUMMYFUNCTION("""COMPUTED_VALUE"""),266)</f>
        <v>266</v>
      </c>
      <c r="F162" s="2">
        <f ca="1">IFERROR(__xludf.DUMMYFUNCTION("""COMPUTED_VALUE"""),134046)</f>
        <v>134046</v>
      </c>
      <c r="G162">
        <f ca="1">IFERROR(__xludf.DUMMYFUNCTION("""COMPUTED_VALUE"""),14)</f>
        <v>14</v>
      </c>
    </row>
    <row r="163" spans="1:7" ht="12.75">
      <c r="A163" t="str">
        <f ca="1">IFERROR(__xludf.DUMMYFUNCTION("""COMPUTED_VALUE"""),"T161")</f>
        <v>T161</v>
      </c>
      <c r="B163" t="str">
        <f ca="1">IFERROR(__xludf.DUMMYFUNCTION("""COMPUTED_VALUE"""),"T168")</f>
        <v>T168</v>
      </c>
      <c r="C163" t="str">
        <f ca="1">IFERROR(__xludf.DUMMYFUNCTION("""COMPUTED_VALUE"""),"Si Woo Kim")</f>
        <v>Si Woo Kim</v>
      </c>
      <c r="D163">
        <f ca="1">IFERROR(__xludf.DUMMYFUNCTION("""COMPUTED_VALUE"""),6)</f>
        <v>6</v>
      </c>
      <c r="E163">
        <f ca="1">IFERROR(__xludf.DUMMYFUNCTION("""COMPUTED_VALUE"""),266)</f>
        <v>266</v>
      </c>
      <c r="F163" s="2">
        <f ca="1">IFERROR(__xludf.DUMMYFUNCTION("""COMPUTED_VALUE"""),593656)</f>
        <v>593656</v>
      </c>
      <c r="G163">
        <f ca="1">IFERROR(__xludf.DUMMYFUNCTION("""COMPUTED_VALUE"""),62)</f>
        <v>62</v>
      </c>
    </row>
    <row r="164" spans="1:7" ht="12.75">
      <c r="A164" t="str">
        <f ca="1">IFERROR(__xludf.DUMMYFUNCTION("""COMPUTED_VALUE"""),"T161")</f>
        <v>T161</v>
      </c>
      <c r="B164" t="str">
        <f ca="1">IFERROR(__xludf.DUMMYFUNCTION("""COMPUTED_VALUE"""),"T155")</f>
        <v>T155</v>
      </c>
      <c r="C164" t="str">
        <f ca="1">IFERROR(__xludf.DUMMYFUNCTION("""COMPUTED_VALUE"""),"Luke Donald")</f>
        <v>Luke Donald</v>
      </c>
      <c r="D164">
        <f ca="1">IFERROR(__xludf.DUMMYFUNCTION("""COMPUTED_VALUE"""),5)</f>
        <v>5</v>
      </c>
      <c r="E164">
        <f ca="1">IFERROR(__xludf.DUMMYFUNCTION("""COMPUTED_VALUE"""),266)</f>
        <v>266</v>
      </c>
      <c r="F164" s="2">
        <f ca="1">IFERROR(__xludf.DUMMYFUNCTION("""COMPUTED_VALUE"""),191510)</f>
        <v>191510</v>
      </c>
      <c r="G164">
        <f ca="1">IFERROR(__xludf.DUMMYFUNCTION("""COMPUTED_VALUE"""),20)</f>
        <v>20</v>
      </c>
    </row>
    <row r="165" spans="1:7" ht="12.75">
      <c r="A165">
        <f ca="1">IFERROR(__xludf.DUMMYFUNCTION("""COMPUTED_VALUE"""),164)</f>
        <v>164</v>
      </c>
      <c r="B165" t="str">
        <f ca="1">IFERROR(__xludf.DUMMYFUNCTION("""COMPUTED_VALUE"""),"T171")</f>
        <v>T171</v>
      </c>
      <c r="C165" t="str">
        <f ca="1">IFERROR(__xludf.DUMMYFUNCTION("""COMPUTED_VALUE"""),"Wes Roach")</f>
        <v>Wes Roach</v>
      </c>
      <c r="D165">
        <f ca="1">IFERROR(__xludf.DUMMYFUNCTION("""COMPUTED_VALUE"""),3)</f>
        <v>3</v>
      </c>
      <c r="E165">
        <f ca="1">IFERROR(__xludf.DUMMYFUNCTION("""COMPUTED_VALUE"""),266.1)</f>
        <v>266.10000000000002</v>
      </c>
      <c r="F165" s="2">
        <f ca="1">IFERROR(__xludf.DUMMYFUNCTION("""COMPUTED_VALUE"""),38323)</f>
        <v>38323</v>
      </c>
      <c r="G165">
        <f ca="1">IFERROR(__xludf.DUMMYFUNCTION("""COMPUTED_VALUE"""),4)</f>
        <v>4</v>
      </c>
    </row>
    <row r="166" spans="1:7" ht="12.75">
      <c r="A166" t="str">
        <f ca="1">IFERROR(__xludf.DUMMYFUNCTION("""COMPUTED_VALUE"""),"T165")</f>
        <v>T165</v>
      </c>
      <c r="B166">
        <f ca="1">IFERROR(__xludf.DUMMYFUNCTION("""COMPUTED_VALUE"""),174)</f>
        <v>174</v>
      </c>
      <c r="C166" t="str">
        <f ca="1">IFERROR(__xludf.DUMMYFUNCTION("""COMPUTED_VALUE"""),"Tim Wilkinson")</f>
        <v>Tim Wilkinson</v>
      </c>
      <c r="D166">
        <f ca="1">IFERROR(__xludf.DUMMYFUNCTION("""COMPUTED_VALUE"""),4)</f>
        <v>4</v>
      </c>
      <c r="E166">
        <f ca="1">IFERROR(__xludf.DUMMYFUNCTION("""COMPUTED_VALUE"""),266.2)</f>
        <v>266.2</v>
      </c>
      <c r="F166" s="2">
        <f ca="1">IFERROR(__xludf.DUMMYFUNCTION("""COMPUTED_VALUE"""),105429)</f>
        <v>105429</v>
      </c>
      <c r="G166">
        <f ca="1">IFERROR(__xludf.DUMMYFUNCTION("""COMPUTED_VALUE"""),11)</f>
        <v>11</v>
      </c>
    </row>
    <row r="167" spans="1:7" ht="12.75">
      <c r="A167" t="str">
        <f ca="1">IFERROR(__xludf.DUMMYFUNCTION("""COMPUTED_VALUE"""),"T165")</f>
        <v>T165</v>
      </c>
      <c r="B167">
        <f ca="1">IFERROR(__xludf.DUMMYFUNCTION("""COMPUTED_VALUE"""),176)</f>
        <v>176</v>
      </c>
      <c r="C167" t="str">
        <f ca="1">IFERROR(__xludf.DUMMYFUNCTION("""COMPUTED_VALUE"""),"Sergio Garcia")</f>
        <v>Sergio Garcia</v>
      </c>
      <c r="D167">
        <f ca="1">IFERROR(__xludf.DUMMYFUNCTION("""COMPUTED_VALUE"""),6)</f>
        <v>6</v>
      </c>
      <c r="E167">
        <f ca="1">IFERROR(__xludf.DUMMYFUNCTION("""COMPUTED_VALUE"""),266.2)</f>
        <v>266.2</v>
      </c>
      <c r="F167" s="2">
        <f ca="1">IFERROR(__xludf.DUMMYFUNCTION("""COMPUTED_VALUE"""),594170)</f>
        <v>594170</v>
      </c>
      <c r="G167">
        <f ca="1">IFERROR(__xludf.DUMMYFUNCTION("""COMPUTED_VALUE"""),62)</f>
        <v>62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IFERROR(__xludf.DUMMYFUNCTION("""COMPUTED_VALUE"""),"T147")</f>
        <v>T147</v>
      </c>
      <c r="C168" t="str">
        <f ca="1">IFERROR(__xludf.DUMMYFUNCTION("""COMPUTED_VALUE"""),"Scott Stallings")</f>
        <v>Scott Stallings</v>
      </c>
      <c r="D168">
        <f ca="1">IFERROR(__xludf.DUMMYFUNCTION("""COMPUTED_VALUE"""),5)</f>
        <v>5</v>
      </c>
      <c r="E168">
        <f ca="1">IFERROR(__xludf.DUMMYFUNCTION("""COMPUTED_VALUE"""),266.5)</f>
        <v>266.5</v>
      </c>
      <c r="F168" s="2">
        <f ca="1">IFERROR(__xludf.DUMMYFUNCTION("""COMPUTED_VALUE"""),239879)</f>
        <v>239879</v>
      </c>
      <c r="G168">
        <f ca="1">IFERROR(__xludf.DUMMYFUNCTION("""COMPUTED_VALUE"""),25)</f>
        <v>25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IFERROR(__xludf.DUMMYFUNCTION("""COMPUTED_VALUE"""),170)</f>
        <v>170</v>
      </c>
      <c r="C169" t="str">
        <f ca="1">IFERROR(__xludf.DUMMYFUNCTION("""COMPUTED_VALUE"""),"Jason Dufner")</f>
        <v>Jason Dufner</v>
      </c>
      <c r="D169">
        <f ca="1">IFERROR(__xludf.DUMMYFUNCTION("""COMPUTED_VALUE"""),5)</f>
        <v>5</v>
      </c>
      <c r="E169">
        <f ca="1">IFERROR(__xludf.DUMMYFUNCTION("""COMPUTED_VALUE"""),266.6)</f>
        <v>266.60000000000002</v>
      </c>
      <c r="F169" s="2">
        <f ca="1">IFERROR(__xludf.DUMMYFUNCTION("""COMPUTED_VALUE"""),134368)</f>
        <v>134368</v>
      </c>
      <c r="G169">
        <f ca="1">IFERROR(__xludf.DUMMYFUNCTION("""COMPUTED_VALUE"""),14)</f>
        <v>14</v>
      </c>
    </row>
    <row r="170" spans="1:7" ht="12.75">
      <c r="A170">
        <f ca="1">IFERROR(__xludf.DUMMYFUNCTION("""COMPUTED_VALUE"""),169)</f>
        <v>169</v>
      </c>
      <c r="B170">
        <f ca="1">IFERROR(__xludf.DUMMYFUNCTION("""COMPUTED_VALUE"""),186)</f>
        <v>186</v>
      </c>
      <c r="C170" t="str">
        <f ca="1">IFERROR(__xludf.DUMMYFUNCTION("""COMPUTED_VALUE"""),"Xinjun Zhang")</f>
        <v>Xinjun Zhang</v>
      </c>
      <c r="D170">
        <f ca="1">IFERROR(__xludf.DUMMYFUNCTION("""COMPUTED_VALUE"""),5)</f>
        <v>5</v>
      </c>
      <c r="E170">
        <f ca="1">IFERROR(__xludf.DUMMYFUNCTION("""COMPUTED_VALUE"""),266.9)</f>
        <v>266.89999999999998</v>
      </c>
      <c r="F170" s="2">
        <f ca="1">IFERROR(__xludf.DUMMYFUNCTION("""COMPUTED_VALUE"""),221011)</f>
        <v>221011</v>
      </c>
      <c r="G170">
        <f ca="1">IFERROR(__xludf.DUMMYFUNCTION("""COMPUTED_VALUE"""),23)</f>
        <v>23</v>
      </c>
    </row>
    <row r="171" spans="1:7" ht="12.75">
      <c r="A171" t="str">
        <f ca="1">IFERROR(__xludf.DUMMYFUNCTION("""COMPUTED_VALUE"""),"T170")</f>
        <v>T170</v>
      </c>
      <c r="B171">
        <f ca="1">IFERROR(__xludf.DUMMYFUNCTION("""COMPUTED_VALUE"""),178)</f>
        <v>178</v>
      </c>
      <c r="C171" t="str">
        <f ca="1">IFERROR(__xludf.DUMMYFUNCTION("""COMPUTED_VALUE"""),"Billy Horschel")</f>
        <v>Billy Horschel</v>
      </c>
      <c r="D171">
        <f ca="1">IFERROR(__xludf.DUMMYFUNCTION("""COMPUTED_VALUE"""),3)</f>
        <v>3</v>
      </c>
      <c r="E171">
        <f ca="1">IFERROR(__xludf.DUMMYFUNCTION("""COMPUTED_VALUE"""),267)</f>
        <v>267</v>
      </c>
      <c r="F171" s="2">
        <f ca="1">IFERROR(__xludf.DUMMYFUNCTION("""COMPUTED_VALUE"""),384444)</f>
        <v>384444</v>
      </c>
      <c r="G171">
        <f ca="1">IFERROR(__xludf.DUMMYFUNCTION("""COMPUTED_VALUE"""),40)</f>
        <v>40</v>
      </c>
    </row>
    <row r="172" spans="1:7" ht="12.75">
      <c r="A172" t="str">
        <f ca="1">IFERROR(__xludf.DUMMYFUNCTION("""COMPUTED_VALUE"""),"T170")</f>
        <v>T170</v>
      </c>
      <c r="B172" t="str">
        <f ca="1">IFERROR(__xludf.DUMMYFUNCTION("""COMPUTED_VALUE"""),"T182")</f>
        <v>T182</v>
      </c>
      <c r="C172" t="str">
        <f ca="1">IFERROR(__xludf.DUMMYFUNCTION("""COMPUTED_VALUE"""),"Martin Trainer")</f>
        <v>Martin Trainer</v>
      </c>
      <c r="D172">
        <f ca="1">IFERROR(__xludf.DUMMYFUNCTION("""COMPUTED_VALUE"""),5)</f>
        <v>5</v>
      </c>
      <c r="E172">
        <f ca="1">IFERROR(__xludf.DUMMYFUNCTION("""COMPUTED_VALUE"""),267)</f>
        <v>267</v>
      </c>
      <c r="F172" s="2">
        <f ca="1">IFERROR(__xludf.DUMMYFUNCTION("""COMPUTED_VALUE"""),182609)</f>
        <v>182609</v>
      </c>
      <c r="G172">
        <f ca="1">IFERROR(__xludf.DUMMYFUNCTION("""COMPUTED_VALUE"""),19)</f>
        <v>19</v>
      </c>
    </row>
    <row r="173" spans="1:7" ht="12.75">
      <c r="A173" t="str">
        <f ca="1">IFERROR(__xludf.DUMMYFUNCTION("""COMPUTED_VALUE"""),"T172")</f>
        <v>T172</v>
      </c>
      <c r="B173" t="str">
        <f ca="1">IFERROR(__xludf.DUMMYFUNCTION("""COMPUTED_VALUE"""),"T155")</f>
        <v>T155</v>
      </c>
      <c r="C173" t="str">
        <f ca="1">IFERROR(__xludf.DUMMYFUNCTION("""COMPUTED_VALUE"""),"Brian Harman")</f>
        <v>Brian Harman</v>
      </c>
      <c r="D173">
        <f ca="1">IFERROR(__xludf.DUMMYFUNCTION("""COMPUTED_VALUE"""),6)</f>
        <v>6</v>
      </c>
      <c r="E173">
        <f ca="1">IFERROR(__xludf.DUMMYFUNCTION("""COMPUTED_VALUE"""),267.1)</f>
        <v>267.10000000000002</v>
      </c>
      <c r="F173" s="2">
        <f ca="1">IFERROR(__xludf.DUMMYFUNCTION("""COMPUTED_VALUE"""),548090)</f>
        <v>548090</v>
      </c>
      <c r="G173">
        <f ca="1">IFERROR(__xludf.DUMMYFUNCTION("""COMPUTED_VALUE"""),57)</f>
        <v>57</v>
      </c>
    </row>
    <row r="174" spans="1:7" ht="12.75">
      <c r="A174" t="str">
        <f ca="1">IFERROR(__xludf.DUMMYFUNCTION("""COMPUTED_VALUE"""),"T172")</f>
        <v>T172</v>
      </c>
      <c r="B174" t="str">
        <f ca="1">IFERROR(__xludf.DUMMYFUNCTION("""COMPUTED_VALUE"""),"T179")</f>
        <v>T179</v>
      </c>
      <c r="C174" t="str">
        <f ca="1">IFERROR(__xludf.DUMMYFUNCTION("""COMPUTED_VALUE"""),"Aaron Baddeley")</f>
        <v>Aaron Baddeley</v>
      </c>
      <c r="D174">
        <f ca="1">IFERROR(__xludf.DUMMYFUNCTION("""COMPUTED_VALUE"""),4)</f>
        <v>4</v>
      </c>
      <c r="E174">
        <f ca="1">IFERROR(__xludf.DUMMYFUNCTION("""COMPUTED_VALUE"""),267.1)</f>
        <v>267.10000000000002</v>
      </c>
      <c r="F174" s="2">
        <f ca="1">IFERROR(__xludf.DUMMYFUNCTION("""COMPUTED_VALUE"""),57698)</f>
        <v>57698</v>
      </c>
      <c r="G174">
        <f ca="1">IFERROR(__xludf.DUMMYFUNCTION("""COMPUTED_VALUE"""),6)</f>
        <v>6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IFERROR(__xludf.DUMMYFUNCTION("""COMPUTED_VALUE"""),"T158")</f>
        <v>T158</v>
      </c>
      <c r="C175" t="str">
        <f ca="1">IFERROR(__xludf.DUMMYFUNCTION("""COMPUTED_VALUE"""),"Scottie Scheffler")</f>
        <v>Scottie Scheffler</v>
      </c>
      <c r="D175">
        <f ca="1">IFERROR(__xludf.DUMMYFUNCTION("""COMPUTED_VALUE"""),5)</f>
        <v>5</v>
      </c>
      <c r="E175">
        <f ca="1">IFERROR(__xludf.DUMMYFUNCTION("""COMPUTED_VALUE"""),267.2)</f>
        <v>267.2</v>
      </c>
      <c r="F175" s="2">
        <f ca="1">IFERROR(__xludf.DUMMYFUNCTION("""COMPUTED_VALUE"""),596355)</f>
        <v>596355</v>
      </c>
      <c r="G175">
        <f ca="1">IFERROR(__xludf.DUMMYFUNCTION("""COMPUTED_VALUE"""),62)</f>
        <v>62</v>
      </c>
    </row>
    <row r="176" spans="1:7" ht="12.75">
      <c r="A176" t="str">
        <f ca="1">IFERROR(__xludf.DUMMYFUNCTION("""COMPUTED_VALUE"""),"T175")</f>
        <v>T175</v>
      </c>
      <c r="B176">
        <f ca="1">IFERROR(__xludf.DUMMYFUNCTION("""COMPUTED_VALUE"""),181)</f>
        <v>181</v>
      </c>
      <c r="C176" t="str">
        <f ca="1">IFERROR(__xludf.DUMMYFUNCTION("""COMPUTED_VALUE"""),"Josh Teater")</f>
        <v>Josh Teater</v>
      </c>
      <c r="D176">
        <f ca="1">IFERROR(__xludf.DUMMYFUNCTION("""COMPUTED_VALUE"""),3)</f>
        <v>3</v>
      </c>
      <c r="E176">
        <f ca="1">IFERROR(__xludf.DUMMYFUNCTION("""COMPUTED_VALUE"""),267.3)</f>
        <v>267.3</v>
      </c>
      <c r="F176" s="2">
        <f ca="1">IFERROR(__xludf.DUMMYFUNCTION("""COMPUTED_VALUE"""),48115)</f>
        <v>48115</v>
      </c>
      <c r="G176">
        <f ca="1">IFERROR(__xludf.DUMMYFUNCTION("""COMPUTED_VALUE"""),5)</f>
        <v>5</v>
      </c>
    </row>
    <row r="177" spans="1:7" ht="12.75">
      <c r="A177" t="str">
        <f ca="1">IFERROR(__xludf.DUMMYFUNCTION("""COMPUTED_VALUE"""),"T175")</f>
        <v>T175</v>
      </c>
      <c r="B177">
        <f ca="1">IFERROR(__xludf.DUMMYFUNCTION("""COMPUTED_VALUE"""),177)</f>
        <v>177</v>
      </c>
      <c r="C177" t="str">
        <f ca="1">IFERROR(__xludf.DUMMYFUNCTION("""COMPUTED_VALUE"""),"Cameron Tringale")</f>
        <v>Cameron Tringale</v>
      </c>
      <c r="D177">
        <f ca="1">IFERROR(__xludf.DUMMYFUNCTION("""COMPUTED_VALUE"""),5)</f>
        <v>5</v>
      </c>
      <c r="E177">
        <f ca="1">IFERROR(__xludf.DUMMYFUNCTION("""COMPUTED_VALUE"""),267.3)</f>
        <v>267.3</v>
      </c>
      <c r="F177" s="2">
        <f ca="1">IFERROR(__xludf.DUMMYFUNCTION("""COMPUTED_VALUE"""),375282)</f>
        <v>375282</v>
      </c>
      <c r="G177">
        <f ca="1">IFERROR(__xludf.DUMMYFUNCTION("""COMPUTED_VALUE"""),39)</f>
        <v>39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IFERROR(__xludf.DUMMYFUNCTION("""COMPUTED_VALUE"""),157)</f>
        <v>157</v>
      </c>
      <c r="C178" t="str">
        <f ca="1">IFERROR(__xludf.DUMMYFUNCTION("""COMPUTED_VALUE"""),"J.T. Poston")</f>
        <v>J.T. Poston</v>
      </c>
      <c r="D178">
        <f ca="1">IFERROR(__xludf.DUMMYFUNCTION("""COMPUTED_VALUE"""),5)</f>
        <v>5</v>
      </c>
      <c r="E178">
        <f ca="1">IFERROR(__xludf.DUMMYFUNCTION("""COMPUTED_VALUE"""),267.6)</f>
        <v>267.60000000000002</v>
      </c>
      <c r="F178" s="2">
        <f ca="1">IFERROR(__xludf.DUMMYFUNCTION("""COMPUTED_VALUE"""),491369)</f>
        <v>491369</v>
      </c>
      <c r="G178">
        <f ca="1">IFERROR(__xludf.DUMMYFUNCTION("""COMPUTED_VALUE"""),51)</f>
        <v>51</v>
      </c>
    </row>
    <row r="179" spans="1:7" ht="12.75">
      <c r="A179">
        <f ca="1">IFERROR(__xludf.DUMMYFUNCTION("""COMPUTED_VALUE"""),178)</f>
        <v>178</v>
      </c>
      <c r="B179" t="str">
        <f ca="1">IFERROR(__xludf.DUMMYFUNCTION("""COMPUTED_VALUE"""),"T158")</f>
        <v>T158</v>
      </c>
      <c r="C179" t="str">
        <f ca="1">IFERROR(__xludf.DUMMYFUNCTION("""COMPUTED_VALUE"""),"Mark Hubbard")</f>
        <v>Mark Hubbard</v>
      </c>
      <c r="D179">
        <f ca="1">IFERROR(__xludf.DUMMYFUNCTION("""COMPUTED_VALUE"""),7)</f>
        <v>7</v>
      </c>
      <c r="E179">
        <f ca="1">IFERROR(__xludf.DUMMYFUNCTION("""COMPUTED_VALUE"""),268)</f>
        <v>268</v>
      </c>
      <c r="F179" s="2">
        <f ca="1">IFERROR(__xludf.DUMMYFUNCTION("""COMPUTED_VALUE"""),366674)</f>
        <v>366674</v>
      </c>
      <c r="G179">
        <f ca="1">IFERROR(__xludf.DUMMYFUNCTION("""COMPUTED_VALUE"""),38)</f>
        <v>38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IFERROR(__xludf.DUMMYFUNCTION("""COMPUTED_VALUE"""),188)</f>
        <v>188</v>
      </c>
      <c r="C180" t="str">
        <f ca="1">IFERROR(__xludf.DUMMYFUNCTION("""COMPUTED_VALUE"""),"Takumi Kanaya")</f>
        <v>Takumi Kanaya</v>
      </c>
      <c r="D180">
        <f ca="1">IFERROR(__xludf.DUMMYFUNCTION("""COMPUTED_VALUE"""),2)</f>
        <v>2</v>
      </c>
      <c r="E180">
        <f ca="1">IFERROR(__xludf.DUMMYFUNCTION("""COMPUTED_VALUE"""),268.2)</f>
        <v>268.2</v>
      </c>
      <c r="F180" s="2">
        <f ca="1">IFERROR(__xludf.DUMMYFUNCTION("""COMPUTED_VALUE"""),135170)</f>
        <v>135170</v>
      </c>
      <c r="G180">
        <f ca="1">IFERROR(__xludf.DUMMYFUNCTION("""COMPUTED_VALUE"""),14)</f>
        <v>14</v>
      </c>
    </row>
    <row r="181" spans="1:7" ht="12.75">
      <c r="A181" t="str">
        <f ca="1">IFERROR(__xludf.DUMMYFUNCTION("""COMPUTED_VALUE"""),"T180")</f>
        <v>T180</v>
      </c>
      <c r="B181">
        <f ca="1">IFERROR(__xludf.DUMMYFUNCTION("""COMPUTED_VALUE"""),187)</f>
        <v>187</v>
      </c>
      <c r="C181" t="str">
        <f ca="1">IFERROR(__xludf.DUMMYFUNCTION("""COMPUTED_VALUE"""),"Jordan Spieth")</f>
        <v>Jordan Spieth</v>
      </c>
      <c r="D181">
        <f ca="1">IFERROR(__xludf.DUMMYFUNCTION("""COMPUTED_VALUE"""),5)</f>
        <v>5</v>
      </c>
      <c r="E181">
        <f ca="1">IFERROR(__xludf.DUMMYFUNCTION("""COMPUTED_VALUE"""),268.3)</f>
        <v>268.3</v>
      </c>
      <c r="F181" s="2">
        <f ca="1">IFERROR(__xludf.DUMMYFUNCTION("""COMPUTED_VALUE"""),376725)</f>
        <v>376725</v>
      </c>
      <c r="G181">
        <f ca="1">IFERROR(__xludf.DUMMYFUNCTION("""COMPUTED_VALUE"""),39)</f>
        <v>39</v>
      </c>
    </row>
    <row r="182" spans="1:7" ht="12.75">
      <c r="A182" t="str">
        <f ca="1">IFERROR(__xludf.DUMMYFUNCTION("""COMPUTED_VALUE"""),"T180")</f>
        <v>T180</v>
      </c>
      <c r="B182">
        <f ca="1">IFERROR(__xludf.DUMMYFUNCTION("""COMPUTED_VALUE"""),189)</f>
        <v>189</v>
      </c>
      <c r="C182" t="str">
        <f ca="1">IFERROR(__xludf.DUMMYFUNCTION("""COMPUTED_VALUE"""),"Cameron Percy")</f>
        <v>Cameron Percy</v>
      </c>
      <c r="D182">
        <f ca="1">IFERROR(__xludf.DUMMYFUNCTION("""COMPUTED_VALUE"""),4)</f>
        <v>4</v>
      </c>
      <c r="E182">
        <f ca="1">IFERROR(__xludf.DUMMYFUNCTION("""COMPUTED_VALUE"""),268.3)</f>
        <v>268.3</v>
      </c>
      <c r="F182" s="2">
        <f ca="1">IFERROR(__xludf.DUMMYFUNCTION("""COMPUTED_VALUE"""),135231)</f>
        <v>135231</v>
      </c>
      <c r="G182">
        <f ca="1">IFERROR(__xludf.DUMMYFUNCTION("""COMPUTED_VALUE"""),14)</f>
        <v>14</v>
      </c>
    </row>
    <row r="183" spans="1:7" ht="12.75">
      <c r="A183" t="str">
        <f ca="1">IFERROR(__xludf.DUMMYFUNCTION("""COMPUTED_VALUE"""),"T182")</f>
        <v>T182</v>
      </c>
      <c r="B183">
        <f ca="1">IFERROR(__xludf.DUMMYFUNCTION("""COMPUTED_VALUE"""),190)</f>
        <v>190</v>
      </c>
      <c r="C183" t="str">
        <f ca="1">IFERROR(__xludf.DUMMYFUNCTION("""COMPUTED_VALUE"""),"Charles Howell III")</f>
        <v>Charles Howell III</v>
      </c>
      <c r="D183">
        <f ca="1">IFERROR(__xludf.DUMMYFUNCTION("""COMPUTED_VALUE"""),3)</f>
        <v>3</v>
      </c>
      <c r="E183">
        <f ca="1">IFERROR(__xludf.DUMMYFUNCTION("""COMPUTED_VALUE"""),268.4)</f>
        <v>268.39999999999998</v>
      </c>
      <c r="F183" s="2">
        <f ca="1">IFERROR(__xludf.DUMMYFUNCTION("""COMPUTED_VALUE"""),202921)</f>
        <v>202921</v>
      </c>
      <c r="G183">
        <f ca="1">IFERROR(__xludf.DUMMYFUNCTION("""COMPUTED_VALUE"""),21)</f>
        <v>21</v>
      </c>
    </row>
    <row r="184" spans="1:7" ht="12.75">
      <c r="A184" t="str">
        <f ca="1">IFERROR(__xludf.DUMMYFUNCTION("""COMPUTED_VALUE"""),"T182")</f>
        <v>T182</v>
      </c>
      <c r="B184">
        <f ca="1">IFERROR(__xludf.DUMMYFUNCTION("""COMPUTED_VALUE"""),163)</f>
        <v>163</v>
      </c>
      <c r="C184" t="str">
        <f ca="1">IFERROR(__xludf.DUMMYFUNCTION("""COMPUTED_VALUE"""),"Doc Redman")</f>
        <v>Doc Redman</v>
      </c>
      <c r="D184">
        <f ca="1">IFERROR(__xludf.DUMMYFUNCTION("""COMPUTED_VALUE"""),5)</f>
        <v>5</v>
      </c>
      <c r="E184">
        <f ca="1">IFERROR(__xludf.DUMMYFUNCTION("""COMPUTED_VALUE"""),268.4)</f>
        <v>268.39999999999998</v>
      </c>
      <c r="F184" s="2">
        <f ca="1">IFERROR(__xludf.DUMMYFUNCTION("""COMPUTED_VALUE"""),376844)</f>
        <v>376844</v>
      </c>
      <c r="G184">
        <f ca="1">IFERROR(__xludf.DUMMYFUNCTION("""COMPUTED_VALUE"""),39)</f>
        <v>39</v>
      </c>
    </row>
    <row r="185" spans="1:7" ht="12.75">
      <c r="A185">
        <f ca="1">IFERROR(__xludf.DUMMYFUNCTION("""COMPUTED_VALUE"""),184)</f>
        <v>184</v>
      </c>
      <c r="B185" t="str">
        <f ca="1">IFERROR(__xludf.DUMMYFUNCTION("""COMPUTED_VALUE"""),"T182")</f>
        <v>T182</v>
      </c>
      <c r="C185" t="str">
        <f ca="1">IFERROR(__xludf.DUMMYFUNCTION("""COMPUTED_VALUE"""),"Lucas Glover")</f>
        <v>Lucas Glover</v>
      </c>
      <c r="D185">
        <f ca="1">IFERROR(__xludf.DUMMYFUNCTION("""COMPUTED_VALUE"""),4)</f>
        <v>4</v>
      </c>
      <c r="E185">
        <f ca="1">IFERROR(__xludf.DUMMYFUNCTION("""COMPUTED_VALUE"""),268.6)</f>
        <v>268.60000000000002</v>
      </c>
      <c r="F185" s="2">
        <f ca="1">IFERROR(__xludf.DUMMYFUNCTION("""COMPUTED_VALUE"""),280421)</f>
        <v>280421</v>
      </c>
      <c r="G185">
        <f ca="1">IFERROR(__xludf.DUMMYFUNCTION("""COMPUTED_VALUE"""),29)</f>
        <v>29</v>
      </c>
    </row>
    <row r="186" spans="1:7" ht="12.75">
      <c r="A186">
        <f ca="1">IFERROR(__xludf.DUMMYFUNCTION("""COMPUTED_VALUE"""),185)</f>
        <v>185</v>
      </c>
      <c r="B186">
        <f ca="1">IFERROR(__xludf.DUMMYFUNCTION("""COMPUTED_VALUE"""),193)</f>
        <v>193</v>
      </c>
      <c r="C186" t="str">
        <f ca="1">IFERROR(__xludf.DUMMYFUNCTION("""COMPUTED_VALUE"""),"Bo Van Pelt")</f>
        <v>Bo Van Pelt</v>
      </c>
      <c r="D186">
        <f ca="1">IFERROR(__xludf.DUMMYFUNCTION("""COMPUTED_VALUE"""),5)</f>
        <v>5</v>
      </c>
      <c r="E186">
        <f ca="1">IFERROR(__xludf.DUMMYFUNCTION("""COMPUTED_VALUE"""),268.8)</f>
        <v>268.8</v>
      </c>
      <c r="F186" s="2">
        <f ca="1">IFERROR(__xludf.DUMMYFUNCTION("""COMPUTED_VALUE"""),77415)</f>
        <v>77415</v>
      </c>
      <c r="G186">
        <f ca="1">IFERROR(__xludf.DUMMYFUNCTION("""COMPUTED_VALUE"""),8)</f>
        <v>8</v>
      </c>
    </row>
    <row r="187" spans="1:7" ht="12.75">
      <c r="A187" t="str">
        <f ca="1">IFERROR(__xludf.DUMMYFUNCTION("""COMPUTED_VALUE"""),"T186")</f>
        <v>T186</v>
      </c>
      <c r="B187">
        <f ca="1">IFERROR(__xludf.DUMMYFUNCTION("""COMPUTED_VALUE"""),195)</f>
        <v>195</v>
      </c>
      <c r="C187" t="str">
        <f ca="1">IFERROR(__xludf.DUMMYFUNCTION("""COMPUTED_VALUE"""),"Bronson Burgoon")</f>
        <v>Bronson Burgoon</v>
      </c>
      <c r="D187">
        <f ca="1">IFERROR(__xludf.DUMMYFUNCTION("""COMPUTED_VALUE"""),4)</f>
        <v>4</v>
      </c>
      <c r="E187">
        <f ca="1">IFERROR(__xludf.DUMMYFUNCTION("""COMPUTED_VALUE"""),269)</f>
        <v>269</v>
      </c>
      <c r="F187" s="2">
        <f ca="1">IFERROR(__xludf.DUMMYFUNCTION("""COMPUTED_VALUE"""),203381)</f>
        <v>203381</v>
      </c>
      <c r="G187">
        <f ca="1">IFERROR(__xludf.DUMMYFUNCTION("""COMPUTED_VALUE"""),21)</f>
        <v>21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IFERROR(__xludf.DUMMYFUNCTION("""COMPUTED_VALUE"""),"T147")</f>
        <v>T147</v>
      </c>
      <c r="C188" t="str">
        <f ca="1">IFERROR(__xludf.DUMMYFUNCTION("""COMPUTED_VALUE"""),"Nate Lashley")</f>
        <v>Nate Lashley</v>
      </c>
      <c r="D188">
        <f ca="1">IFERROR(__xludf.DUMMYFUNCTION("""COMPUTED_VALUE"""),5)</f>
        <v>5</v>
      </c>
      <c r="E188">
        <f ca="1">IFERROR(__xludf.DUMMYFUNCTION("""COMPUTED_VALUE"""),269)</f>
        <v>269</v>
      </c>
      <c r="F188" s="2">
        <f ca="1">IFERROR(__xludf.DUMMYFUNCTION("""COMPUTED_VALUE"""),222768)</f>
        <v>222768</v>
      </c>
      <c r="G188">
        <f ca="1">IFERROR(__xludf.DUMMYFUNCTION("""COMPUTED_VALUE"""),23)</f>
        <v>23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IFERROR(__xludf.DUMMYFUNCTION("""COMPUTED_VALUE"""),192)</f>
        <v>192</v>
      </c>
      <c r="C189" t="str">
        <f ca="1">IFERROR(__xludf.DUMMYFUNCTION("""COMPUTED_VALUE"""),"Ted Potter, Jr.")</f>
        <v>Ted Potter, Jr.</v>
      </c>
      <c r="D189">
        <f ca="1">IFERROR(__xludf.DUMMYFUNCTION("""COMPUTED_VALUE"""),4)</f>
        <v>4</v>
      </c>
      <c r="E189">
        <f ca="1">IFERROR(__xludf.DUMMYFUNCTION("""COMPUTED_VALUE"""),269.1)</f>
        <v>269.10000000000002</v>
      </c>
      <c r="F189" s="2">
        <f ca="1">IFERROR(__xludf.DUMMYFUNCTION("""COMPUTED_VALUE"""),184083)</f>
        <v>184083</v>
      </c>
      <c r="G189">
        <f ca="1">IFERROR(__xludf.DUMMYFUNCTION("""COMPUTED_VALUE"""),19)</f>
        <v>19</v>
      </c>
    </row>
    <row r="190" spans="1:7" ht="12.75">
      <c r="A190">
        <f ca="1">IFERROR(__xludf.DUMMYFUNCTION("""COMPUTED_VALUE"""),189)</f>
        <v>189</v>
      </c>
      <c r="B190" t="str">
        <f ca="1">IFERROR(__xludf.DUMMYFUNCTION("""COMPUTED_VALUE"""),"T208")</f>
        <v>T208</v>
      </c>
      <c r="C190" t="str">
        <f ca="1">IFERROR(__xludf.DUMMYFUNCTION("""COMPUTED_VALUE"""),"Dustin Johnson")</f>
        <v>Dustin Johnson</v>
      </c>
      <c r="D190">
        <f ca="1">IFERROR(__xludf.DUMMYFUNCTION("""COMPUTED_VALUE"""),2)</f>
        <v>2</v>
      </c>
      <c r="E190">
        <f ca="1">IFERROR(__xludf.DUMMYFUNCTION("""COMPUTED_VALUE"""),269.2)</f>
        <v>269.2</v>
      </c>
      <c r="F190" s="2">
        <f ca="1">IFERROR(__xludf.DUMMYFUNCTION("""COMPUTED_VALUE"""),164769)</f>
        <v>164769</v>
      </c>
      <c r="G190">
        <f ca="1">IFERROR(__xludf.DUMMYFUNCTION("""COMPUTED_VALUE"""),17)</f>
        <v>17</v>
      </c>
    </row>
    <row r="191" spans="1:7" ht="12.75">
      <c r="A191">
        <f ca="1">IFERROR(__xludf.DUMMYFUNCTION("""COMPUTED_VALUE"""),190)</f>
        <v>190</v>
      </c>
      <c r="B191" t="str">
        <f ca="1">IFERROR(__xludf.DUMMYFUNCTION("""COMPUTED_VALUE"""),"T196")</f>
        <v>T196</v>
      </c>
      <c r="C191" t="str">
        <f ca="1">IFERROR(__xludf.DUMMYFUNCTION("""COMPUTED_VALUE"""),"Kyoung-Hoon Lee")</f>
        <v>Kyoung-Hoon Lee</v>
      </c>
      <c r="D191">
        <f ca="1">IFERROR(__xludf.DUMMYFUNCTION("""COMPUTED_VALUE"""),7)</f>
        <v>7</v>
      </c>
      <c r="E191">
        <f ca="1">IFERROR(__xludf.DUMMYFUNCTION("""COMPUTED_VALUE"""),269.6)</f>
        <v>269.60000000000002</v>
      </c>
      <c r="F191" s="2">
        <f ca="1">IFERROR(__xludf.DUMMYFUNCTION("""COMPUTED_VALUE"""),359142)</f>
        <v>359142</v>
      </c>
      <c r="G191">
        <f ca="1">IFERROR(__xludf.DUMMYFUNCTION("""COMPUTED_VALUE"""),37)</f>
        <v>37</v>
      </c>
    </row>
    <row r="192" spans="1:7" ht="12.75">
      <c r="A192" t="str">
        <f ca="1">IFERROR(__xludf.DUMMYFUNCTION("""COMPUTED_VALUE"""),"T191")</f>
        <v>T191</v>
      </c>
      <c r="B192">
        <f ca="1">IFERROR(__xludf.DUMMYFUNCTION("""COMPUTED_VALUE"""),191)</f>
        <v>191</v>
      </c>
      <c r="C192" t="str">
        <f ca="1">IFERROR(__xludf.DUMMYFUNCTION("""COMPUTED_VALUE"""),"Henrik Norlander")</f>
        <v>Henrik Norlander</v>
      </c>
      <c r="D192">
        <f ca="1">IFERROR(__xludf.DUMMYFUNCTION("""COMPUTED_VALUE"""),6)</f>
        <v>6</v>
      </c>
      <c r="E192">
        <f ca="1">IFERROR(__xludf.DUMMYFUNCTION("""COMPUTED_VALUE"""),269.7)</f>
        <v>269.7</v>
      </c>
      <c r="F192" s="2">
        <f ca="1">IFERROR(__xludf.DUMMYFUNCTION("""COMPUTED_VALUE"""),330166)</f>
        <v>330166</v>
      </c>
      <c r="G192">
        <f ca="1">IFERROR(__xludf.DUMMYFUNCTION("""COMPUTED_VALUE"""),34)</f>
        <v>34</v>
      </c>
    </row>
    <row r="193" spans="1:7" ht="12.75">
      <c r="A193" t="str">
        <f ca="1">IFERROR(__xludf.DUMMYFUNCTION("""COMPUTED_VALUE"""),"T191")</f>
        <v>T191</v>
      </c>
      <c r="B193" t="str">
        <f ca="1">IFERROR(__xludf.DUMMYFUNCTION("""COMPUTED_VALUE"""),"T199")</f>
        <v>T199</v>
      </c>
      <c r="C193" t="str">
        <f ca="1">IFERROR(__xludf.DUMMYFUNCTION("""COMPUTED_VALUE"""),"Matt Kuchar")</f>
        <v>Matt Kuchar</v>
      </c>
      <c r="D193">
        <f ca="1">IFERROR(__xludf.DUMMYFUNCTION("""COMPUTED_VALUE"""),4)</f>
        <v>4</v>
      </c>
      <c r="E193">
        <f ca="1">IFERROR(__xludf.DUMMYFUNCTION("""COMPUTED_VALUE"""),269.7)</f>
        <v>269.7</v>
      </c>
      <c r="F193" s="2">
        <f ca="1">IFERROR(__xludf.DUMMYFUNCTION("""COMPUTED_VALUE"""),368977)</f>
        <v>368977</v>
      </c>
      <c r="G193">
        <f ca="1">IFERROR(__xludf.DUMMYFUNCTION("""COMPUTED_VALUE"""),38)</f>
        <v>38</v>
      </c>
    </row>
    <row r="194" spans="1:7" ht="12.75">
      <c r="A194" t="str">
        <f ca="1">IFERROR(__xludf.DUMMYFUNCTION("""COMPUTED_VALUE"""),"T193")</f>
        <v>T193</v>
      </c>
      <c r="B194">
        <f ca="1">IFERROR(__xludf.DUMMYFUNCTION("""COMPUTED_VALUE"""),202)</f>
        <v>202</v>
      </c>
      <c r="C194" t="str">
        <f ca="1">IFERROR(__xludf.DUMMYFUNCTION("""COMPUTED_VALUE"""),"Ryo Ishikawa")</f>
        <v>Ryo Ishikawa</v>
      </c>
      <c r="D194">
        <f ca="1">IFERROR(__xludf.DUMMYFUNCTION("""COMPUTED_VALUE"""),2)</f>
        <v>2</v>
      </c>
      <c r="E194">
        <f ca="1">IFERROR(__xludf.DUMMYFUNCTION("""COMPUTED_VALUE"""),270)</f>
        <v>270</v>
      </c>
      <c r="F194" s="2">
        <f ca="1">IFERROR(__xludf.DUMMYFUNCTION("""COMPUTED_VALUE"""),87488)</f>
        <v>87488</v>
      </c>
      <c r="G194">
        <f ca="1">IFERROR(__xludf.DUMMYFUNCTION("""COMPUTED_VALUE"""),9)</f>
        <v>9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IFERROR(__xludf.DUMMYFUNCTION("""COMPUTED_VALUE"""),"T160")</f>
        <v>T160</v>
      </c>
      <c r="C195" t="str">
        <f ca="1">IFERROR(__xludf.DUMMYFUNCTION("""COMPUTED_VALUE"""),"Sam Ryder")</f>
        <v>Sam Ryder</v>
      </c>
      <c r="D195">
        <f ca="1">IFERROR(__xludf.DUMMYFUNCTION("""COMPUTED_VALUE"""),5)</f>
        <v>5</v>
      </c>
      <c r="E195">
        <f ca="1">IFERROR(__xludf.DUMMYFUNCTION("""COMPUTED_VALUE"""),270)</f>
        <v>270</v>
      </c>
      <c r="F195" s="2">
        <f ca="1">IFERROR(__xludf.DUMMYFUNCTION("""COMPUTED_VALUE"""),174976)</f>
        <v>174976</v>
      </c>
      <c r="G195">
        <f ca="1">IFERROR(__xludf.DUMMYFUNCTION("""COMPUTED_VALUE"""),18)</f>
        <v>18</v>
      </c>
    </row>
    <row r="196" spans="1:7" ht="12.75">
      <c r="A196" t="str">
        <f ca="1">IFERROR(__xludf.DUMMYFUNCTION("""COMPUTED_VALUE"""),"T195")</f>
        <v>T195</v>
      </c>
      <c r="B196">
        <f ca="1">IFERROR(__xludf.DUMMYFUNCTION("""COMPUTED_VALUE"""),203)</f>
        <v>203</v>
      </c>
      <c r="C196" t="str">
        <f ca="1">IFERROR(__xludf.DUMMYFUNCTION("""COMPUTED_VALUE"""),"Matt Every")</f>
        <v>Matt Every</v>
      </c>
      <c r="D196">
        <f ca="1">IFERROR(__xludf.DUMMYFUNCTION("""COMPUTED_VALUE"""),4)</f>
        <v>4</v>
      </c>
      <c r="E196">
        <f ca="1">IFERROR(__xludf.DUMMYFUNCTION("""COMPUTED_VALUE"""),270.1)</f>
        <v>270.10000000000002</v>
      </c>
      <c r="F196" s="2">
        <f ca="1">IFERROR(__xludf.DUMMYFUNCTION("""COMPUTED_VALUE"""),58332)</f>
        <v>58332</v>
      </c>
      <c r="G196">
        <f ca="1">IFERROR(__xludf.DUMMYFUNCTION("""COMPUTED_VALUE"""),6)</f>
        <v>6</v>
      </c>
    </row>
    <row r="197" spans="1:7" ht="12.75">
      <c r="A197" t="str">
        <f ca="1">IFERROR(__xludf.DUMMYFUNCTION("""COMPUTED_VALUE"""),"T195")</f>
        <v>T195</v>
      </c>
      <c r="B197" t="str">
        <f ca="1">IFERROR(__xludf.DUMMYFUNCTION("""COMPUTED_VALUE"""),"T164")</f>
        <v>T164</v>
      </c>
      <c r="C197" t="str">
        <f ca="1">IFERROR(__xludf.DUMMYFUNCTION("""COMPUTED_VALUE"""),"Satoshi Kodaira")</f>
        <v>Satoshi Kodaira</v>
      </c>
      <c r="D197">
        <f ca="1">IFERROR(__xludf.DUMMYFUNCTION("""COMPUTED_VALUE"""),4)</f>
        <v>4</v>
      </c>
      <c r="E197">
        <f ca="1">IFERROR(__xludf.DUMMYFUNCTION("""COMPUTED_VALUE"""),270.1)</f>
        <v>270.10000000000002</v>
      </c>
      <c r="F197" s="2">
        <f ca="1">IFERROR(__xludf.DUMMYFUNCTION("""COMPUTED_VALUE"""),233370)</f>
        <v>233370</v>
      </c>
      <c r="G197">
        <f ca="1">IFERROR(__xludf.DUMMYFUNCTION("""COMPUTED_VALUE"""),24)</f>
        <v>24</v>
      </c>
    </row>
    <row r="198" spans="1:7" ht="12.75">
      <c r="A198">
        <f ca="1">IFERROR(__xludf.DUMMYFUNCTION("""COMPUTED_VALUE"""),197)</f>
        <v>197</v>
      </c>
      <c r="B198" t="str">
        <f ca="1">IFERROR(__xludf.DUMMYFUNCTION("""COMPUTED_VALUE"""),"T184")</f>
        <v>T184</v>
      </c>
      <c r="C198" t="str">
        <f ca="1">IFERROR(__xludf.DUMMYFUNCTION("""COMPUTED_VALUE"""),"Brian Stuard")</f>
        <v>Brian Stuard</v>
      </c>
      <c r="D198">
        <f ca="1">IFERROR(__xludf.DUMMYFUNCTION("""COMPUTED_VALUE"""),6)</f>
        <v>6</v>
      </c>
      <c r="E198">
        <f ca="1">IFERROR(__xludf.DUMMYFUNCTION("""COMPUTED_VALUE"""),270.3)</f>
        <v>270.3</v>
      </c>
      <c r="F198" s="2">
        <f ca="1">IFERROR(__xludf.DUMMYFUNCTION("""COMPUTED_VALUE"""),175133)</f>
        <v>175133</v>
      </c>
      <c r="G198">
        <f ca="1">IFERROR(__xludf.DUMMYFUNCTION("""COMPUTED_VALUE"""),18)</f>
        <v>18</v>
      </c>
    </row>
    <row r="199" spans="1:7" ht="12.75">
      <c r="A199" t="str">
        <f ca="1">IFERROR(__xludf.DUMMYFUNCTION("""COMPUTED_VALUE"""),"T198")</f>
        <v>T198</v>
      </c>
      <c r="B199" t="str">
        <f ca="1">IFERROR(__xludf.DUMMYFUNCTION("""COMPUTED_VALUE"""),"T204")</f>
        <v>T204</v>
      </c>
      <c r="C199" t="str">
        <f ca="1">IFERROR(__xludf.DUMMYFUNCTION("""COMPUTED_VALUE"""),"Rob Oppenheim")</f>
        <v>Rob Oppenheim</v>
      </c>
      <c r="D199">
        <f ca="1">IFERROR(__xludf.DUMMYFUNCTION("""COMPUTED_VALUE"""),5)</f>
        <v>5</v>
      </c>
      <c r="E199">
        <f ca="1">IFERROR(__xludf.DUMMYFUNCTION("""COMPUTED_VALUE"""),270.4)</f>
        <v>270.39999999999998</v>
      </c>
      <c r="F199" s="2">
        <f ca="1">IFERROR(__xludf.DUMMYFUNCTION("""COMPUTED_VALUE"""),253083)</f>
        <v>253083</v>
      </c>
      <c r="G199">
        <f ca="1">IFERROR(__xludf.DUMMYFUNCTION("""COMPUTED_VALUE"""),26)</f>
        <v>26</v>
      </c>
    </row>
    <row r="200" spans="1:7" ht="12.75">
      <c r="A200" t="str">
        <f ca="1">IFERROR(__xludf.DUMMYFUNCTION("""COMPUTED_VALUE"""),"T198")</f>
        <v>T198</v>
      </c>
      <c r="B200" t="str">
        <f ca="1">IFERROR(__xludf.DUMMYFUNCTION("""COMPUTED_VALUE"""),"T171")</f>
        <v>T171</v>
      </c>
      <c r="C200" t="str">
        <f ca="1">IFERROR(__xludf.DUMMYFUNCTION("""COMPUTED_VALUE"""),"Scott Piercy")</f>
        <v>Scott Piercy</v>
      </c>
      <c r="D200">
        <f ca="1">IFERROR(__xludf.DUMMYFUNCTION("""COMPUTED_VALUE"""),5)</f>
        <v>5</v>
      </c>
      <c r="E200">
        <f ca="1">IFERROR(__xludf.DUMMYFUNCTION("""COMPUTED_VALUE"""),270.4)</f>
        <v>270.39999999999998</v>
      </c>
      <c r="F200" s="2">
        <f ca="1">IFERROR(__xludf.DUMMYFUNCTION("""COMPUTED_VALUE"""),379664)</f>
        <v>379664</v>
      </c>
      <c r="G200">
        <f ca="1">IFERROR(__xludf.DUMMYFUNCTION("""COMPUTED_VALUE"""),39)</f>
        <v>39</v>
      </c>
    </row>
    <row r="201" spans="1:7" ht="12.75">
      <c r="A201" t="str">
        <f ca="1">IFERROR(__xludf.DUMMYFUNCTION("""COMPUTED_VALUE"""),"T198")</f>
        <v>T198</v>
      </c>
      <c r="B201" t="str">
        <f ca="1">IFERROR(__xludf.DUMMYFUNCTION("""COMPUTED_VALUE"""),"T171")</f>
        <v>T171</v>
      </c>
      <c r="C201" t="str">
        <f ca="1">IFERROR(__xludf.DUMMYFUNCTION("""COMPUTED_VALUE"""),"Austin Cook")</f>
        <v>Austin Cook</v>
      </c>
      <c r="D201">
        <f ca="1">IFERROR(__xludf.DUMMYFUNCTION("""COMPUTED_VALUE"""),4)</f>
        <v>4</v>
      </c>
      <c r="E201">
        <f ca="1">IFERROR(__xludf.DUMMYFUNCTION("""COMPUTED_VALUE"""),270.4)</f>
        <v>270.39999999999998</v>
      </c>
      <c r="F201" s="2">
        <f ca="1">IFERROR(__xludf.DUMMYFUNCTION("""COMPUTED_VALUE"""),223921)</f>
        <v>223921</v>
      </c>
      <c r="G201">
        <f ca="1">IFERROR(__xludf.DUMMYFUNCTION("""COMPUTED_VALUE"""),23)</f>
        <v>23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IFERROR(__xludf.DUMMYFUNCTION("""COMPUTED_VALUE"""),206)</f>
        <v>206</v>
      </c>
      <c r="C202" t="str">
        <f ca="1">IFERROR(__xludf.DUMMYFUNCTION("""COMPUTED_VALUE"""),"Ian Poulter")</f>
        <v>Ian Poulter</v>
      </c>
      <c r="D202">
        <f ca="1">IFERROR(__xludf.DUMMYFUNCTION("""COMPUTED_VALUE"""),2)</f>
        <v>2</v>
      </c>
      <c r="E202">
        <f ca="1">IFERROR(__xludf.DUMMYFUNCTION("""COMPUTED_VALUE"""),270.5)</f>
        <v>270.5</v>
      </c>
      <c r="F202" s="2">
        <f ca="1">IFERROR(__xludf.DUMMYFUNCTION("""COMPUTED_VALUE"""),185052)</f>
        <v>185052</v>
      </c>
      <c r="G202">
        <f ca="1">IFERROR(__xludf.DUMMYFUNCTION("""COMPUTED_VALUE"""),19)</f>
        <v>19</v>
      </c>
    </row>
    <row r="203" spans="1:7" ht="12.75">
      <c r="A203">
        <f ca="1">IFERROR(__xludf.DUMMYFUNCTION("""COMPUTED_VALUE"""),202)</f>
        <v>202</v>
      </c>
      <c r="B203" t="str">
        <f ca="1">IFERROR(__xludf.DUMMYFUNCTION("""COMPUTED_VALUE"""),"T184")</f>
        <v>T184</v>
      </c>
      <c r="C203" t="str">
        <f ca="1">IFERROR(__xludf.DUMMYFUNCTION("""COMPUTED_VALUE"""),"Adam Long")</f>
        <v>Adam Long</v>
      </c>
      <c r="D203">
        <f ca="1">IFERROR(__xludf.DUMMYFUNCTION("""COMPUTED_VALUE"""),6)</f>
        <v>6</v>
      </c>
      <c r="E203">
        <f ca="1">IFERROR(__xludf.DUMMYFUNCTION("""COMPUTED_VALUE"""),270.7)</f>
        <v>270.7</v>
      </c>
      <c r="F203" s="2">
        <f ca="1">IFERROR(__xludf.DUMMYFUNCTION("""COMPUTED_VALUE"""),341131)</f>
        <v>341131</v>
      </c>
      <c r="G203">
        <f ca="1">IFERROR(__xludf.DUMMYFUNCTION("""COMPUTED_VALUE"""),35)</f>
        <v>35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IFERROR(__xludf.DUMMYFUNCTION("""COMPUTED_VALUE"""),207)</f>
        <v>207</v>
      </c>
      <c r="C204" t="str">
        <f ca="1">IFERROR(__xludf.DUMMYFUNCTION("""COMPUTED_VALUE"""),"D.J. Trahan")</f>
        <v>D.J. Trahan</v>
      </c>
      <c r="D204">
        <f ca="1">IFERROR(__xludf.DUMMYFUNCTION("""COMPUTED_VALUE"""),4)</f>
        <v>4</v>
      </c>
      <c r="E204">
        <f ca="1">IFERROR(__xludf.DUMMYFUNCTION("""COMPUTED_VALUE"""),271.1)</f>
        <v>271.10000000000002</v>
      </c>
      <c r="F204" s="2">
        <f ca="1">IFERROR(__xludf.DUMMYFUNCTION("""COMPUTED_VALUE"""),243968)</f>
        <v>243968</v>
      </c>
      <c r="G204">
        <f ca="1">IFERROR(__xludf.DUMMYFUNCTION("""COMPUTED_VALUE"""),25)</f>
        <v>25</v>
      </c>
    </row>
    <row r="205" spans="1:7" ht="12.75">
      <c r="A205">
        <f ca="1">IFERROR(__xludf.DUMMYFUNCTION("""COMPUTED_VALUE"""),204)</f>
        <v>204</v>
      </c>
      <c r="B205" t="str">
        <f ca="1">IFERROR(__xludf.DUMMYFUNCTION("""COMPUTED_VALUE"""),"T204")</f>
        <v>T204</v>
      </c>
      <c r="C205" t="str">
        <f ca="1">IFERROR(__xludf.DUMMYFUNCTION("""COMPUTED_VALUE"""),"Sung Kang")</f>
        <v>Sung Kang</v>
      </c>
      <c r="D205">
        <f ca="1">IFERROR(__xludf.DUMMYFUNCTION("""COMPUTED_VALUE"""),5)</f>
        <v>5</v>
      </c>
      <c r="E205">
        <f ca="1">IFERROR(__xludf.DUMMYFUNCTION("""COMPUTED_VALUE"""),271.2)</f>
        <v>271.2</v>
      </c>
      <c r="F205" s="2">
        <f ca="1">IFERROR(__xludf.DUMMYFUNCTION("""COMPUTED_VALUE"""),361211)</f>
        <v>361211</v>
      </c>
      <c r="G205">
        <f ca="1">IFERROR(__xludf.DUMMYFUNCTION("""COMPUTED_VALUE"""),37)</f>
        <v>37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IFERROR(__xludf.DUMMYFUNCTION("""COMPUTED_VALUE"""),"T208")</f>
        <v>T208</v>
      </c>
      <c r="C206" t="str">
        <f ca="1">IFERROR(__xludf.DUMMYFUNCTION("""COMPUTED_VALUE"""),"Shugo Imahira")</f>
        <v>Shugo Imahira</v>
      </c>
      <c r="D206">
        <f ca="1">IFERROR(__xludf.DUMMYFUNCTION("""COMPUTED_VALUE"""),2)</f>
        <v>2</v>
      </c>
      <c r="E206">
        <f ca="1">IFERROR(__xludf.DUMMYFUNCTION("""COMPUTED_VALUE"""),271.3)</f>
        <v>271.3</v>
      </c>
      <c r="F206" s="2">
        <f ca="1">IFERROR(__xludf.DUMMYFUNCTION("""COMPUTED_VALUE"""),214878)</f>
        <v>214878</v>
      </c>
      <c r="G206">
        <f ca="1">IFERROR(__xludf.DUMMYFUNCTION("""COMPUTED_VALUE"""),22)</f>
        <v>22</v>
      </c>
    </row>
    <row r="207" spans="1:7" ht="12.75">
      <c r="A207" t="str">
        <f ca="1">IFERROR(__xludf.DUMMYFUNCTION("""COMPUTED_VALUE"""),"T205")</f>
        <v>T205</v>
      </c>
      <c r="B207" t="str">
        <f ca="1">IFERROR(__xludf.DUMMYFUNCTION("""COMPUTED_VALUE"""),"T116")</f>
        <v>T116</v>
      </c>
      <c r="C207" t="str">
        <f ca="1">IFERROR(__xludf.DUMMYFUNCTION("""COMPUTED_VALUE"""),"John Huh")</f>
        <v>John Huh</v>
      </c>
      <c r="D207">
        <f ca="1">IFERROR(__xludf.DUMMYFUNCTION("""COMPUTED_VALUE"""),2)</f>
        <v>2</v>
      </c>
      <c r="E207">
        <f ca="1">IFERROR(__xludf.DUMMYFUNCTION("""COMPUTED_VALUE"""),271.3)</f>
        <v>271.3</v>
      </c>
      <c r="F207" s="2">
        <f ca="1">IFERROR(__xludf.DUMMYFUNCTION("""COMPUTED_VALUE"""),185582)</f>
        <v>185582</v>
      </c>
      <c r="G207">
        <f ca="1">IFERROR(__xludf.DUMMYFUNCTION("""COMPUTED_VALUE"""),19)</f>
        <v>19</v>
      </c>
    </row>
    <row r="208" spans="1:7" ht="12.75">
      <c r="A208">
        <f ca="1">IFERROR(__xludf.DUMMYFUNCTION("""COMPUTED_VALUE"""),207)</f>
        <v>207</v>
      </c>
      <c r="B208" t="str">
        <f ca="1">IFERROR(__xludf.DUMMYFUNCTION("""COMPUTED_VALUE"""),"T210")</f>
        <v>T210</v>
      </c>
      <c r="C208" t="str">
        <f ca="1">IFERROR(__xludf.DUMMYFUNCTION("""COMPUTED_VALUE"""),"Chase Seiffert")</f>
        <v>Chase Seiffert</v>
      </c>
      <c r="D208">
        <f ca="1">IFERROR(__xludf.DUMMYFUNCTION("""COMPUTED_VALUE"""),5)</f>
        <v>5</v>
      </c>
      <c r="E208">
        <f ca="1">IFERROR(__xludf.DUMMYFUNCTION("""COMPUTED_VALUE"""),271.4)</f>
        <v>271.39999999999998</v>
      </c>
      <c r="F208" s="2">
        <f ca="1">IFERROR(__xludf.DUMMYFUNCTION("""COMPUTED_VALUE"""),214949)</f>
        <v>214949</v>
      </c>
      <c r="G208">
        <f ca="1">IFERROR(__xludf.DUMMYFUNCTION("""COMPUTED_VALUE"""),22)</f>
        <v>22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IFERROR(__xludf.DUMMYFUNCTION("""COMPUTED_VALUE"""),"T199")</f>
        <v>T199</v>
      </c>
      <c r="C209" t="str">
        <f ca="1">IFERROR(__xludf.DUMMYFUNCTION("""COMPUTED_VALUE"""),"Kevin Stadler")</f>
        <v>Kevin Stadler</v>
      </c>
      <c r="D209">
        <f ca="1">IFERROR(__xludf.DUMMYFUNCTION("""COMPUTED_VALUE"""),4)</f>
        <v>4</v>
      </c>
      <c r="E209">
        <f ca="1">IFERROR(__xludf.DUMMYFUNCTION("""COMPUTED_VALUE"""),271.6)</f>
        <v>271.60000000000002</v>
      </c>
      <c r="F209" s="2">
        <f ca="1">IFERROR(__xludf.DUMMYFUNCTION("""COMPUTED_VALUE"""),107546)</f>
        <v>107546</v>
      </c>
      <c r="G209">
        <f ca="1">IFERROR(__xludf.DUMMYFUNCTION("""COMPUTED_VALUE"""),11)</f>
        <v>11</v>
      </c>
    </row>
    <row r="210" spans="1:7" ht="12.75">
      <c r="A210">
        <f ca="1">IFERROR(__xludf.DUMMYFUNCTION("""COMPUTED_VALUE"""),209)</f>
        <v>209</v>
      </c>
      <c r="B210" t="str">
        <f ca="1">IFERROR(__xludf.DUMMYFUNCTION("""COMPUTED_VALUE"""),"T212")</f>
        <v>T212</v>
      </c>
      <c r="C210" t="str">
        <f ca="1">IFERROR(__xludf.DUMMYFUNCTION("""COMPUTED_VALUE"""),"Peter Malnati")</f>
        <v>Peter Malnati</v>
      </c>
      <c r="D210">
        <f ca="1">IFERROR(__xludf.DUMMYFUNCTION("""COMPUTED_VALUE"""),5)</f>
        <v>5</v>
      </c>
      <c r="E210">
        <f ca="1">IFERROR(__xludf.DUMMYFUNCTION("""COMPUTED_VALUE"""),271.9)</f>
        <v>271.89999999999998</v>
      </c>
      <c r="F210" s="2">
        <f ca="1">IFERROR(__xludf.DUMMYFUNCTION("""COMPUTED_VALUE"""),244724)</f>
        <v>244724</v>
      </c>
      <c r="G210">
        <f ca="1">IFERROR(__xludf.DUMMYFUNCTION("""COMPUTED_VALUE"""),25)</f>
        <v>25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IFERROR(__xludf.DUMMYFUNCTION("""COMPUTED_VALUE"""),"T214")</f>
        <v>T214</v>
      </c>
      <c r="C211" t="str">
        <f ca="1">IFERROR(__xludf.DUMMYFUNCTION("""COMPUTED_VALUE"""),"Vincent Whaley")</f>
        <v>Vincent Whaley</v>
      </c>
      <c r="D211">
        <f ca="1">IFERROR(__xludf.DUMMYFUNCTION("""COMPUTED_VALUE"""),4)</f>
        <v>4</v>
      </c>
      <c r="E211">
        <f ca="1">IFERROR(__xludf.DUMMYFUNCTION("""COMPUTED_VALUE"""),272)</f>
        <v>272</v>
      </c>
      <c r="F211" s="2">
        <f ca="1">IFERROR(__xludf.DUMMYFUNCTION("""COMPUTED_VALUE"""),254637)</f>
        <v>254637</v>
      </c>
      <c r="G211">
        <f ca="1">IFERROR(__xludf.DUMMYFUNCTION("""COMPUTED_VALUE"""),26)</f>
        <v>26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IFERROR(__xludf.DUMMYFUNCTION("""COMPUTED_VALUE"""),217)</f>
        <v>217</v>
      </c>
      <c r="C212" t="str">
        <f ca="1">IFERROR(__xludf.DUMMYFUNCTION("""COMPUTED_VALUE"""),"Roger Sloan")</f>
        <v>Roger Sloan</v>
      </c>
      <c r="D212">
        <f ca="1">IFERROR(__xludf.DUMMYFUNCTION("""COMPUTED_VALUE"""),4)</f>
        <v>4</v>
      </c>
      <c r="E212">
        <f ca="1">IFERROR(__xludf.DUMMYFUNCTION("""COMPUTED_VALUE"""),272.2)</f>
        <v>272.2</v>
      </c>
      <c r="F212" s="2">
        <f ca="1">IFERROR(__xludf.DUMMYFUNCTION("""COMPUTED_VALUE"""),176383)</f>
        <v>176383</v>
      </c>
      <c r="G212">
        <f ca="1">IFERROR(__xludf.DUMMYFUNCTION("""COMPUTED_VALUE"""),18)</f>
        <v>18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IFERROR(__xludf.DUMMYFUNCTION("""COMPUTED_VALUE"""),218)</f>
        <v>218</v>
      </c>
      <c r="C213" t="str">
        <f ca="1">IFERROR(__xludf.DUMMYFUNCTION("""COMPUTED_VALUE"""),"Chris Baker")</f>
        <v>Chris Baker</v>
      </c>
      <c r="D213">
        <f ca="1">IFERROR(__xludf.DUMMYFUNCTION("""COMPUTED_VALUE"""),4)</f>
        <v>4</v>
      </c>
      <c r="E213">
        <f ca="1">IFERROR(__xludf.DUMMYFUNCTION("""COMPUTED_VALUE"""),272.4)</f>
        <v>272.39999999999998</v>
      </c>
      <c r="F213" s="2">
        <f ca="1">IFERROR(__xludf.DUMMYFUNCTION("""COMPUTED_VALUE"""),88262)</f>
        <v>88262</v>
      </c>
      <c r="G213">
        <f ca="1">IFERROR(__xludf.DUMMYFUNCTION("""COMPUTED_VALUE"""),9)</f>
        <v>9</v>
      </c>
    </row>
    <row r="214" spans="1:7" ht="12.75">
      <c r="A214" t="str">
        <f ca="1">IFERROR(__xludf.DUMMYFUNCTION("""COMPUTED_VALUE"""),"T213")</f>
        <v>T213</v>
      </c>
      <c r="B214">
        <f ca="1">IFERROR(__xludf.DUMMYFUNCTION("""COMPUTED_VALUE"""),227)</f>
        <v>227</v>
      </c>
      <c r="C214" t="str">
        <f ca="1">IFERROR(__xludf.DUMMYFUNCTION("""COMPUTED_VALUE"""),"Vaughn Taylor")</f>
        <v>Vaughn Taylor</v>
      </c>
      <c r="D214">
        <f ca="1">IFERROR(__xludf.DUMMYFUNCTION("""COMPUTED_VALUE"""),5)</f>
        <v>5</v>
      </c>
      <c r="E214">
        <f ca="1">IFERROR(__xludf.DUMMYFUNCTION("""COMPUTED_VALUE"""),272.5)</f>
        <v>272.5</v>
      </c>
      <c r="F214" s="2">
        <f ca="1">IFERROR(__xludf.DUMMYFUNCTION("""COMPUTED_VALUE"""),78478)</f>
        <v>78478</v>
      </c>
      <c r="G214">
        <f ca="1">IFERROR(__xludf.DUMMYFUNCTION("""COMPUTED_VALUE"""),8)</f>
        <v>8</v>
      </c>
    </row>
    <row r="215" spans="1:7" ht="12.75">
      <c r="A215" t="str">
        <f ca="1">IFERROR(__xludf.DUMMYFUNCTION("""COMPUTED_VALUE"""),"T213")</f>
        <v>T213</v>
      </c>
      <c r="B215">
        <f ca="1">IFERROR(__xludf.DUMMYFUNCTION("""COMPUTED_VALUE"""),219)</f>
        <v>219</v>
      </c>
      <c r="C215" t="str">
        <f ca="1">IFERROR(__xludf.DUMMYFUNCTION("""COMPUTED_VALUE"""),"Wesley Bryan")</f>
        <v>Wesley Bryan</v>
      </c>
      <c r="D215">
        <f ca="1">IFERROR(__xludf.DUMMYFUNCTION("""COMPUTED_VALUE"""),3)</f>
        <v>3</v>
      </c>
      <c r="E215">
        <f ca="1">IFERROR(__xludf.DUMMYFUNCTION("""COMPUTED_VALUE"""),272.5)</f>
        <v>272.5</v>
      </c>
      <c r="F215" s="2">
        <f ca="1">IFERROR(__xludf.DUMMYFUNCTION("""COMPUTED_VALUE"""),147150)</f>
        <v>147150</v>
      </c>
      <c r="G215">
        <f ca="1">IFERROR(__xludf.DUMMYFUNCTION("""COMPUTED_VALUE"""),15)</f>
        <v>15</v>
      </c>
    </row>
    <row r="216" spans="1:7" ht="12.75">
      <c r="A216" t="str">
        <f ca="1">IFERROR(__xludf.DUMMYFUNCTION("""COMPUTED_VALUE"""),"T215")</f>
        <v>T215</v>
      </c>
      <c r="B216">
        <f ca="1">IFERROR(__xludf.DUMMYFUNCTION("""COMPUTED_VALUE"""),221)</f>
        <v>221</v>
      </c>
      <c r="C216" t="str">
        <f ca="1">IFERROR(__xludf.DUMMYFUNCTION("""COMPUTED_VALUE"""),"Robert Streb")</f>
        <v>Robert Streb</v>
      </c>
      <c r="D216">
        <f ca="1">IFERROR(__xludf.DUMMYFUNCTION("""COMPUTED_VALUE"""),4)</f>
        <v>4</v>
      </c>
      <c r="E216">
        <f ca="1">IFERROR(__xludf.DUMMYFUNCTION("""COMPUTED_VALUE"""),272.7)</f>
        <v>272.7</v>
      </c>
      <c r="F216" s="2">
        <f ca="1">IFERROR(__xludf.DUMMYFUNCTION("""COMPUTED_VALUE"""),78533)</f>
        <v>78533</v>
      </c>
      <c r="G216">
        <f ca="1">IFERROR(__xludf.DUMMYFUNCTION("""COMPUTED_VALUE"""),8)</f>
        <v>8</v>
      </c>
    </row>
    <row r="217" spans="1:7" ht="12.75">
      <c r="A217" t="str">
        <f ca="1">IFERROR(__xludf.DUMMYFUNCTION("""COMPUTED_VALUE"""),"T215")</f>
        <v>T215</v>
      </c>
      <c r="B217" t="str">
        <f ca="1">IFERROR(__xludf.DUMMYFUNCTION("""COMPUTED_VALUE"""),"T164")</f>
        <v>T164</v>
      </c>
      <c r="C217" t="str">
        <f ca="1">IFERROR(__xludf.DUMMYFUNCTION("""COMPUTED_VALUE"""),"Erik van Rooyen")</f>
        <v>Erik van Rooyen</v>
      </c>
      <c r="D217">
        <f ca="1">IFERROR(__xludf.DUMMYFUNCTION("""COMPUTED_VALUE"""),3)</f>
        <v>3</v>
      </c>
      <c r="E217">
        <f ca="1">IFERROR(__xludf.DUMMYFUNCTION("""COMPUTED_VALUE"""),272.7)</f>
        <v>272.7</v>
      </c>
      <c r="F217" s="2">
        <f ca="1">IFERROR(__xludf.DUMMYFUNCTION("""COMPUTED_VALUE"""),176731)</f>
        <v>176731</v>
      </c>
      <c r="G217">
        <f ca="1">IFERROR(__xludf.DUMMYFUNCTION("""COMPUTED_VALUE"""),18)</f>
        <v>18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IFERROR(__xludf.DUMMYFUNCTION("""COMPUTED_VALUE"""),234)</f>
        <v>234</v>
      </c>
      <c r="C218" t="str">
        <f ca="1">IFERROR(__xludf.DUMMYFUNCTION("""COMPUTED_VALUE"""),"Max Homa")</f>
        <v>Max Homa</v>
      </c>
      <c r="D218">
        <f ca="1">IFERROR(__xludf.DUMMYFUNCTION("""COMPUTED_VALUE"""),4)</f>
        <v>4</v>
      </c>
      <c r="E218">
        <f ca="1">IFERROR(__xludf.DUMMYFUNCTION("""COMPUTED_VALUE"""),273)</f>
        <v>273</v>
      </c>
      <c r="F218" s="2">
        <f ca="1">IFERROR(__xludf.DUMMYFUNCTION("""COMPUTED_VALUE"""),186722)</f>
        <v>186722</v>
      </c>
      <c r="G218">
        <f ca="1">IFERROR(__xludf.DUMMYFUNCTION("""COMPUTED_VALUE"""),19)</f>
        <v>19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IFERROR(__xludf.DUMMYFUNCTION("""COMPUTED_VALUE"""),222)</f>
        <v>222</v>
      </c>
      <c r="C219" t="str">
        <f ca="1">IFERROR(__xludf.DUMMYFUNCTION("""COMPUTED_VALUE"""),"Ryan Armour")</f>
        <v>Ryan Armour</v>
      </c>
      <c r="D219">
        <f ca="1">IFERROR(__xludf.DUMMYFUNCTION("""COMPUTED_VALUE"""),6)</f>
        <v>6</v>
      </c>
      <c r="E219">
        <f ca="1">IFERROR(__xludf.DUMMYFUNCTION("""COMPUTED_VALUE"""),273.1)</f>
        <v>273.10000000000002</v>
      </c>
      <c r="F219" s="2">
        <f ca="1">IFERROR(__xludf.DUMMYFUNCTION("""COMPUTED_VALUE"""),68811)</f>
        <v>68811</v>
      </c>
      <c r="G219">
        <f ca="1">IFERROR(__xludf.DUMMYFUNCTION("""COMPUTED_VALUE"""),7)</f>
        <v>7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IFERROR(__xludf.DUMMYFUNCTION("""COMPUTED_VALUE"""),"T223")</f>
        <v>T223</v>
      </c>
      <c r="C220" t="str">
        <f ca="1">IFERROR(__xludf.DUMMYFUNCTION("""COMPUTED_VALUE"""),"Patrick Reed")</f>
        <v>Patrick Reed</v>
      </c>
      <c r="D220">
        <f ca="1">IFERROR(__xludf.DUMMYFUNCTION("""COMPUTED_VALUE"""),2)</f>
        <v>2</v>
      </c>
      <c r="E220">
        <f ca="1">IFERROR(__xludf.DUMMYFUNCTION("""COMPUTED_VALUE"""),273.3)</f>
        <v>273.3</v>
      </c>
      <c r="F220" s="2">
        <f ca="1">IFERROR(__xludf.DUMMYFUNCTION("""COMPUTED_VALUE"""),236145)</f>
        <v>236145</v>
      </c>
      <c r="G220">
        <f ca="1">IFERROR(__xludf.DUMMYFUNCTION("""COMPUTED_VALUE"""),24)</f>
        <v>24</v>
      </c>
    </row>
    <row r="221" spans="1:7" ht="12.75">
      <c r="A221">
        <f ca="1">IFERROR(__xludf.DUMMYFUNCTION("""COMPUTED_VALUE"""),220)</f>
        <v>220</v>
      </c>
      <c r="B221" t="str">
        <f ca="1">IFERROR(__xludf.DUMMYFUNCTION("""COMPUTED_VALUE"""),"T230")</f>
        <v>T230</v>
      </c>
      <c r="C221" t="str">
        <f ca="1">IFERROR(__xludf.DUMMYFUNCTION("""COMPUTED_VALUE"""),"Keith Mitchell")</f>
        <v>Keith Mitchell</v>
      </c>
      <c r="D221">
        <f ca="1">IFERROR(__xludf.DUMMYFUNCTION("""COMPUTED_VALUE"""),5)</f>
        <v>5</v>
      </c>
      <c r="E221">
        <f ca="1">IFERROR(__xludf.DUMMYFUNCTION("""COMPUTED_VALUE"""),273.4)</f>
        <v>273.39999999999998</v>
      </c>
      <c r="F221" s="2">
        <f ca="1">IFERROR(__xludf.DUMMYFUNCTION("""COMPUTED_VALUE"""),127928)</f>
        <v>127928</v>
      </c>
      <c r="G221">
        <f ca="1">IFERROR(__xludf.DUMMYFUNCTION("""COMPUTED_VALUE"""),13)</f>
        <v>13</v>
      </c>
    </row>
    <row r="222" spans="1:7" ht="12.75">
      <c r="A222">
        <f ca="1">IFERROR(__xludf.DUMMYFUNCTION("""COMPUTED_VALUE"""),221)</f>
        <v>221</v>
      </c>
      <c r="B222" t="str">
        <f ca="1">IFERROR(__xludf.DUMMYFUNCTION("""COMPUTED_VALUE"""),"T225")</f>
        <v>T225</v>
      </c>
      <c r="C222" t="str">
        <f ca="1">IFERROR(__xludf.DUMMYFUNCTION("""COMPUTED_VALUE"""),"John Pak")</f>
        <v>John Pak</v>
      </c>
      <c r="D222">
        <f ca="1">IFERROR(__xludf.DUMMYFUNCTION("""COMPUTED_VALUE"""),1)</f>
        <v>1</v>
      </c>
      <c r="E222">
        <f ca="1">IFERROR(__xludf.DUMMYFUNCTION("""COMPUTED_VALUE"""),273.5)</f>
        <v>273.5</v>
      </c>
      <c r="F222" s="2">
        <f ca="1">IFERROR(__xludf.DUMMYFUNCTION("""COMPUTED_VALUE"""),68926)</f>
        <v>68926</v>
      </c>
      <c r="G222">
        <f ca="1">IFERROR(__xludf.DUMMYFUNCTION("""COMPUTED_VALUE"""),7)</f>
        <v>7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IFERROR(__xludf.DUMMYFUNCTION("""COMPUTED_VALUE"""),201)</f>
        <v>201</v>
      </c>
      <c r="C223" t="str">
        <f ca="1">IFERROR(__xludf.DUMMYFUNCTION("""COMPUTED_VALUE"""),"Brandt Snedeker")</f>
        <v>Brandt Snedeker</v>
      </c>
      <c r="D223">
        <f ca="1">IFERROR(__xludf.DUMMYFUNCTION("""COMPUTED_VALUE"""),5)</f>
        <v>5</v>
      </c>
      <c r="E223">
        <f ca="1">IFERROR(__xludf.DUMMYFUNCTION("""COMPUTED_VALUE"""),273.8)</f>
        <v>273.8</v>
      </c>
      <c r="F223" s="2">
        <f ca="1">IFERROR(__xludf.DUMMYFUNCTION("""COMPUTED_VALUE"""),335101)</f>
        <v>335101</v>
      </c>
      <c r="G223">
        <f ca="1">IFERROR(__xludf.DUMMYFUNCTION("""COMPUTED_VALUE"""),34)</f>
        <v>34</v>
      </c>
    </row>
    <row r="224" spans="1:7" ht="12.75">
      <c r="A224" t="str">
        <f ca="1">IFERROR(__xludf.DUMMYFUNCTION("""COMPUTED_VALUE"""),"T223")</f>
        <v>T223</v>
      </c>
      <c r="B224">
        <f ca="1">IFERROR(__xludf.DUMMYFUNCTION("""COMPUTED_VALUE"""),194)</f>
        <v>194</v>
      </c>
      <c r="C224" t="str">
        <f ca="1">IFERROR(__xludf.DUMMYFUNCTION("""COMPUTED_VALUE"""),"Kevin Chappell")</f>
        <v>Kevin Chappell</v>
      </c>
      <c r="D224">
        <f ca="1">IFERROR(__xludf.DUMMYFUNCTION("""COMPUTED_VALUE"""),5)</f>
        <v>5</v>
      </c>
      <c r="E224">
        <f ca="1">IFERROR(__xludf.DUMMYFUNCTION("""COMPUTED_VALUE"""),274.2)</f>
        <v>274.2</v>
      </c>
      <c r="F224" s="2">
        <f ca="1">IFERROR(__xludf.DUMMYFUNCTION("""COMPUTED_VALUE"""),246748)</f>
        <v>246748</v>
      </c>
      <c r="G224">
        <f ca="1">IFERROR(__xludf.DUMMYFUNCTION("""COMPUTED_VALUE"""),25)</f>
        <v>25</v>
      </c>
    </row>
    <row r="225" spans="1:7" ht="12.75">
      <c r="A225" t="str">
        <f ca="1">IFERROR(__xludf.DUMMYFUNCTION("""COMPUTED_VALUE"""),"T223")</f>
        <v>T223</v>
      </c>
      <c r="B225" t="str">
        <f ca="1">IFERROR(__xludf.DUMMYFUNCTION("""COMPUTED_VALUE"""),"T210")</f>
        <v>T210</v>
      </c>
      <c r="C225" t="str">
        <f ca="1">IFERROR(__xludf.DUMMYFUNCTION("""COMPUTED_VALUE"""),"Denny McCarthy")</f>
        <v>Denny McCarthy</v>
      </c>
      <c r="D225">
        <f ca="1">IFERROR(__xludf.DUMMYFUNCTION("""COMPUTED_VALUE"""),6)</f>
        <v>6</v>
      </c>
      <c r="E225">
        <f ca="1">IFERROR(__xludf.DUMMYFUNCTION("""COMPUTED_VALUE"""),274.2)</f>
        <v>274.2</v>
      </c>
      <c r="F225" s="2">
        <f ca="1">IFERROR(__xludf.DUMMYFUNCTION("""COMPUTED_VALUE"""),355387)</f>
        <v>355387</v>
      </c>
      <c r="G225">
        <f ca="1">IFERROR(__xludf.DUMMYFUNCTION("""COMPUTED_VALUE"""),36)</f>
        <v>36</v>
      </c>
    </row>
    <row r="226" spans="1:7" ht="12.75">
      <c r="A226" t="str">
        <f ca="1">IFERROR(__xludf.DUMMYFUNCTION("""COMPUTED_VALUE"""),"T225")</f>
        <v>T225</v>
      </c>
      <c r="B226">
        <f ca="1">IFERROR(__xludf.DUMMYFUNCTION("""COMPUTED_VALUE"""),228)</f>
        <v>228</v>
      </c>
      <c r="C226" t="str">
        <f ca="1">IFERROR(__xludf.DUMMYFUNCTION("""COMPUTED_VALUE"""),"Hank Lebioda")</f>
        <v>Hank Lebioda</v>
      </c>
      <c r="D226">
        <f ca="1">IFERROR(__xludf.DUMMYFUNCTION("""COMPUTED_VALUE"""),4)</f>
        <v>4</v>
      </c>
      <c r="E226">
        <f ca="1">IFERROR(__xludf.DUMMYFUNCTION("""COMPUTED_VALUE"""),274.5)</f>
        <v>274.5</v>
      </c>
      <c r="F226" s="2">
        <f ca="1">IFERROR(__xludf.DUMMYFUNCTION("""COMPUTED_VALUE"""),69180)</f>
        <v>69180</v>
      </c>
      <c r="G226">
        <f ca="1">IFERROR(__xludf.DUMMYFUNCTION("""COMPUTED_VALUE"""),7)</f>
        <v>7</v>
      </c>
    </row>
    <row r="227" spans="1:7" ht="12.75">
      <c r="A227" t="str">
        <f ca="1">IFERROR(__xludf.DUMMYFUNCTION("""COMPUTED_VALUE"""),"T225")</f>
        <v>T225</v>
      </c>
      <c r="B227" t="str">
        <f ca="1">IFERROR(__xludf.DUMMYFUNCTION("""COMPUTED_VALUE"""),"T212")</f>
        <v>T212</v>
      </c>
      <c r="C227" t="str">
        <f ca="1">IFERROR(__xludf.DUMMYFUNCTION("""COMPUTED_VALUE"""),"Troy Merritt")</f>
        <v>Troy Merritt</v>
      </c>
      <c r="D227">
        <f ca="1">IFERROR(__xludf.DUMMYFUNCTION("""COMPUTED_VALUE"""),6)</f>
        <v>6</v>
      </c>
      <c r="E227">
        <f ca="1">IFERROR(__xludf.DUMMYFUNCTION("""COMPUTED_VALUE"""),274.5)</f>
        <v>274.5</v>
      </c>
      <c r="F227" s="2">
        <f ca="1">IFERROR(__xludf.DUMMYFUNCTION("""COMPUTED_VALUE"""),326143)</f>
        <v>326143</v>
      </c>
      <c r="G227">
        <f ca="1">IFERROR(__xludf.DUMMYFUNCTION("""COMPUTED_VALUE"""),33)</f>
        <v>33</v>
      </c>
    </row>
    <row r="228" spans="1:7" ht="12.75">
      <c r="A228" t="str">
        <f ca="1">IFERROR(__xludf.DUMMYFUNCTION("""COMPUTED_VALUE"""),"T225")</f>
        <v>T225</v>
      </c>
      <c r="B228">
        <f ca="1">IFERROR(__xludf.DUMMYFUNCTION("""COMPUTED_VALUE"""),220)</f>
        <v>220</v>
      </c>
      <c r="C228" t="str">
        <f ca="1">IFERROR(__xludf.DUMMYFUNCTION("""COMPUTED_VALUE"""),"Brice Garnett")</f>
        <v>Brice Garnett</v>
      </c>
      <c r="D228">
        <f ca="1">IFERROR(__xludf.DUMMYFUNCTION("""COMPUTED_VALUE"""),6)</f>
        <v>6</v>
      </c>
      <c r="E228">
        <f ca="1">IFERROR(__xludf.DUMMYFUNCTION("""COMPUTED_VALUE"""),274.5)</f>
        <v>274.5</v>
      </c>
      <c r="F228" s="2">
        <f ca="1">IFERROR(__xludf.DUMMYFUNCTION("""COMPUTED_VALUE"""),266815)</f>
        <v>266815</v>
      </c>
      <c r="G228">
        <f ca="1">IFERROR(__xludf.DUMMYFUNCTION("""COMPUTED_VALUE"""),27)</f>
        <v>27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IFERROR(__xludf.DUMMYFUNCTION("""COMPUTED_VALUE"""),233)</f>
        <v>233</v>
      </c>
      <c r="C229" t="str">
        <f ca="1">IFERROR(__xludf.DUMMYFUNCTION("""COMPUTED_VALUE"""),"Branden Grace")</f>
        <v>Branden Grace</v>
      </c>
      <c r="D229">
        <f ca="1">IFERROR(__xludf.DUMMYFUNCTION("""COMPUTED_VALUE"""),6)</f>
        <v>6</v>
      </c>
      <c r="E229">
        <f ca="1">IFERROR(__xludf.DUMMYFUNCTION("""COMPUTED_VALUE"""),275.1)</f>
        <v>275.10000000000002</v>
      </c>
      <c r="F229" s="2">
        <f ca="1">IFERROR(__xludf.DUMMYFUNCTION("""COMPUTED_VALUE"""),168335)</f>
        <v>168335</v>
      </c>
      <c r="G229">
        <f ca="1">IFERROR(__xludf.DUMMYFUNCTION("""COMPUTED_VALUE"""),17)</f>
        <v>17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IFERROR(__xludf.DUMMYFUNCTION("""COMPUTED_VALUE"""),"T230")</f>
        <v>T230</v>
      </c>
      <c r="C230" t="str">
        <f ca="1">IFERROR(__xludf.DUMMYFUNCTION("""COMPUTED_VALUE"""),"Tae Hee Lee")</f>
        <v>Tae Hee Lee</v>
      </c>
      <c r="D230">
        <f ca="1">IFERROR(__xludf.DUMMYFUNCTION("""COMPUTED_VALUE"""),1)</f>
        <v>1</v>
      </c>
      <c r="E230">
        <f ca="1">IFERROR(__xludf.DUMMYFUNCTION("""COMPUTED_VALUE"""),275.3)</f>
        <v>275.3</v>
      </c>
      <c r="F230" s="2">
        <f ca="1">IFERROR(__xludf.DUMMYFUNCTION("""COMPUTED_VALUE"""),109035)</f>
        <v>109035</v>
      </c>
      <c r="G230">
        <f ca="1">IFERROR(__xludf.DUMMYFUNCTION("""COMPUTED_VALUE"""),11)</f>
        <v>11</v>
      </c>
    </row>
    <row r="231" spans="1:7" ht="12.75">
      <c r="A231" t="str">
        <f ca="1">IFERROR(__xludf.DUMMYFUNCTION("""COMPUTED_VALUE"""),"T229")</f>
        <v>T229</v>
      </c>
      <c r="B231">
        <f ca="1">IFERROR(__xludf.DUMMYFUNCTION("""COMPUTED_VALUE"""),229)</f>
        <v>229</v>
      </c>
      <c r="C231" t="str">
        <f ca="1">IFERROR(__xludf.DUMMYFUNCTION("""COMPUTED_VALUE"""),"Kelly Kraft")</f>
        <v>Kelly Kraft</v>
      </c>
      <c r="D231">
        <f ca="1">IFERROR(__xludf.DUMMYFUNCTION("""COMPUTED_VALUE"""),5)</f>
        <v>5</v>
      </c>
      <c r="E231">
        <f ca="1">IFERROR(__xludf.DUMMYFUNCTION("""COMPUTED_VALUE"""),275.3)</f>
        <v>275.3</v>
      </c>
      <c r="F231" s="2">
        <f ca="1">IFERROR(__xludf.DUMMYFUNCTION("""COMPUTED_VALUE"""),168492)</f>
        <v>168492</v>
      </c>
      <c r="G231">
        <f ca="1">IFERROR(__xludf.DUMMYFUNCTION("""COMPUTED_VALUE"""),17)</f>
        <v>17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IFERROR(__xludf.DUMMYFUNCTION("""COMPUTED_VALUE"""),232)</f>
        <v>232</v>
      </c>
      <c r="C232" t="str">
        <f ca="1">IFERROR(__xludf.DUMMYFUNCTION("""COMPUTED_VALUE"""),"Bill Haas")</f>
        <v>Bill Haas</v>
      </c>
      <c r="D232">
        <f ca="1">IFERROR(__xludf.DUMMYFUNCTION("""COMPUTED_VALUE"""),4)</f>
        <v>4</v>
      </c>
      <c r="E232">
        <f ca="1">IFERROR(__xludf.DUMMYFUNCTION("""COMPUTED_VALUE"""),275.4)</f>
        <v>275.39999999999998</v>
      </c>
      <c r="F232" s="2">
        <f ca="1">IFERROR(__xludf.DUMMYFUNCTION("""COMPUTED_VALUE"""),128875)</f>
        <v>128875</v>
      </c>
      <c r="G232">
        <f ca="1">IFERROR(__xludf.DUMMYFUNCTION("""COMPUTED_VALUE"""),13)</f>
        <v>13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IFERROR(__xludf.DUMMYFUNCTION("""COMPUTED_VALUE"""),"T223")</f>
        <v>T223</v>
      </c>
      <c r="C233" t="str">
        <f ca="1">IFERROR(__xludf.DUMMYFUNCTION("""COMPUTED_VALUE"""),"Maverick McNealy")</f>
        <v>Maverick McNealy</v>
      </c>
      <c r="D233">
        <f ca="1">IFERROR(__xludf.DUMMYFUNCTION("""COMPUTED_VALUE"""),5)</f>
        <v>5</v>
      </c>
      <c r="E233">
        <f ca="1">IFERROR(__xludf.DUMMYFUNCTION("""COMPUTED_VALUE"""),275.8)</f>
        <v>275.8</v>
      </c>
      <c r="F233" s="2">
        <f ca="1">IFERROR(__xludf.DUMMYFUNCTION("""COMPUTED_VALUE"""),307821)</f>
        <v>307821</v>
      </c>
      <c r="G233">
        <f ca="1">IFERROR(__xludf.DUMMYFUNCTION("""COMPUTED_VALUE"""),31)</f>
        <v>31</v>
      </c>
    </row>
    <row r="234" spans="1:7" ht="12.75">
      <c r="A234">
        <f ca="1">IFERROR(__xludf.DUMMYFUNCTION("""COMPUTED_VALUE"""),233)</f>
        <v>233</v>
      </c>
      <c r="B234" t="str">
        <f ca="1">IFERROR(__xludf.DUMMYFUNCTION("""COMPUTED_VALUE"""),"T214")</f>
        <v>T214</v>
      </c>
      <c r="C234" t="str">
        <f ca="1">IFERROR(__xludf.DUMMYFUNCTION("""COMPUTED_VALUE"""),"Shane Lowry")</f>
        <v>Shane Lowry</v>
      </c>
      <c r="D234">
        <f ca="1">IFERROR(__xludf.DUMMYFUNCTION("""COMPUTED_VALUE"""),4)</f>
        <v>4</v>
      </c>
      <c r="E234">
        <f ca="1">IFERROR(__xludf.DUMMYFUNCTION("""COMPUTED_VALUE"""),275.9)</f>
        <v>275.89999999999998</v>
      </c>
      <c r="F234" s="2">
        <f ca="1">IFERROR(__xludf.DUMMYFUNCTION("""COMPUTED_VALUE"""),258197)</f>
        <v>258197</v>
      </c>
      <c r="G234">
        <f ca="1">IFERROR(__xludf.DUMMYFUNCTION("""COMPUTED_VALUE"""),26)</f>
        <v>26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IFERROR(__xludf.DUMMYFUNCTION("""COMPUTED_VALUE"""),198)</f>
        <v>198</v>
      </c>
      <c r="C235" t="str">
        <f ca="1">IFERROR(__xludf.DUMMYFUNCTION("""COMPUTED_VALUE"""),"Russell Knox")</f>
        <v>Russell Knox</v>
      </c>
      <c r="D235">
        <f ca="1">IFERROR(__xludf.DUMMYFUNCTION("""COMPUTED_VALUE"""),5)</f>
        <v>5</v>
      </c>
      <c r="E235">
        <f ca="1">IFERROR(__xludf.DUMMYFUNCTION("""COMPUTED_VALUE"""),276)</f>
        <v>276</v>
      </c>
      <c r="F235" s="2">
        <f ca="1">IFERROR(__xludf.DUMMYFUNCTION("""COMPUTED_VALUE"""),168914)</f>
        <v>168914</v>
      </c>
      <c r="G235">
        <f ca="1">IFERROR(__xludf.DUMMYFUNCTION("""COMPUTED_VALUE"""),17)</f>
        <v>17</v>
      </c>
    </row>
    <row r="236" spans="1:7" ht="12.75">
      <c r="A236" t="str">
        <f ca="1">IFERROR(__xludf.DUMMYFUNCTION("""COMPUTED_VALUE"""),"T235")</f>
        <v>T235</v>
      </c>
      <c r="B236" t="str">
        <f ca="1">IFERROR(__xludf.DUMMYFUNCTION("""COMPUTED_VALUE"""),"T214")</f>
        <v>T214</v>
      </c>
      <c r="C236" t="str">
        <f ca="1">IFERROR(__xludf.DUMMYFUNCTION("""COMPUTED_VALUE"""),"C.T. Pan")</f>
        <v>C.T. Pan</v>
      </c>
      <c r="D236">
        <f ca="1">IFERROR(__xludf.DUMMYFUNCTION("""COMPUTED_VALUE"""),5)</f>
        <v>5</v>
      </c>
      <c r="E236">
        <f ca="1">IFERROR(__xludf.DUMMYFUNCTION("""COMPUTED_VALUE"""),276.2)</f>
        <v>276.2</v>
      </c>
      <c r="F236" s="2">
        <f ca="1">IFERROR(__xludf.DUMMYFUNCTION("""COMPUTED_VALUE"""),298318)</f>
        <v>298318</v>
      </c>
      <c r="G236">
        <f ca="1">IFERROR(__xludf.DUMMYFUNCTION("""COMPUTED_VALUE"""),30)</f>
        <v>30</v>
      </c>
    </row>
    <row r="237" spans="1:7" ht="12.75">
      <c r="A237" t="str">
        <f ca="1">IFERROR(__xludf.DUMMYFUNCTION("""COMPUTED_VALUE"""),"T235")</f>
        <v>T235</v>
      </c>
      <c r="B237" t="str">
        <f ca="1">IFERROR(__xludf.DUMMYFUNCTION("""COMPUTED_VALUE"""),"")</f>
        <v/>
      </c>
      <c r="C237" t="str">
        <f ca="1">IFERROR(__xludf.DUMMYFUNCTION("""COMPUTED_VALUE"""),"Padraig Harrington")</f>
        <v>Padraig Harrington</v>
      </c>
      <c r="D237">
        <f ca="1">IFERROR(__xludf.DUMMYFUNCTION("""COMPUTED_VALUE"""),2)</f>
        <v>2</v>
      </c>
      <c r="E237">
        <f ca="1">IFERROR(__xludf.DUMMYFUNCTION("""COMPUTED_VALUE"""),276.2)</f>
        <v>276.2</v>
      </c>
      <c r="F237" s="2">
        <f ca="1">IFERROR(__xludf.DUMMYFUNCTION("""COMPUTED_VALUE"""),89476)</f>
        <v>89476</v>
      </c>
      <c r="G237">
        <f ca="1">IFERROR(__xludf.DUMMYFUNCTION("""COMPUTED_VALUE"""),9)</f>
        <v>9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IFERROR(__xludf.DUMMYFUNCTION("""COMPUTED_VALUE"""),235)</f>
        <v>235</v>
      </c>
      <c r="C238" t="str">
        <f ca="1">IFERROR(__xludf.DUMMYFUNCTION("""COMPUTED_VALUE"""),"Andrew Putnam")</f>
        <v>Andrew Putnam</v>
      </c>
      <c r="D238">
        <f ca="1">IFERROR(__xludf.DUMMYFUNCTION("""COMPUTED_VALUE"""),6)</f>
        <v>6</v>
      </c>
      <c r="E238">
        <f ca="1">IFERROR(__xludf.DUMMYFUNCTION("""COMPUTED_VALUE"""),277)</f>
        <v>277</v>
      </c>
      <c r="F238" s="2">
        <f ca="1">IFERROR(__xludf.DUMMYFUNCTION("""COMPUTED_VALUE"""),219386)</f>
        <v>219386</v>
      </c>
      <c r="G238">
        <f ca="1">IFERROR(__xludf.DUMMYFUNCTION("""COMPUTED_VALUE"""),22)</f>
        <v>22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IFERROR(__xludf.DUMMYFUNCTION("""COMPUTED_VALUE"""),236)</f>
        <v>236</v>
      </c>
      <c r="C239" t="str">
        <f ca="1">IFERROR(__xludf.DUMMYFUNCTION("""COMPUTED_VALUE"""),"Rafa Cabrera Bello")</f>
        <v>Rafa Cabrera Bello</v>
      </c>
      <c r="D239">
        <f ca="1">IFERROR(__xludf.DUMMYFUNCTION("""COMPUTED_VALUE"""),5)</f>
        <v>5</v>
      </c>
      <c r="E239">
        <f ca="1">IFERROR(__xludf.DUMMYFUNCTION("""COMPUTED_VALUE"""),277.4)</f>
        <v>277.39999999999998</v>
      </c>
      <c r="F239" s="2">
        <f ca="1">IFERROR(__xludf.DUMMYFUNCTION("""COMPUTED_VALUE"""),299565)</f>
        <v>299565</v>
      </c>
      <c r="G239">
        <f ca="1">IFERROR(__xludf.DUMMYFUNCTION("""COMPUTED_VALUE"""),30)</f>
        <v>30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IFERROR(__xludf.DUMMYFUNCTION("""COMPUTED_VALUE"""),"T237")</f>
        <v>T237</v>
      </c>
      <c r="C240" t="str">
        <f ca="1">IFERROR(__xludf.DUMMYFUNCTION("""COMPUTED_VALUE"""),"Mark Anderson")</f>
        <v>Mark Anderson</v>
      </c>
      <c r="D240">
        <f ca="1">IFERROR(__xludf.DUMMYFUNCTION("""COMPUTED_VALUE"""),4)</f>
        <v>4</v>
      </c>
      <c r="E240">
        <f ca="1">IFERROR(__xludf.DUMMYFUNCTION("""COMPUTED_VALUE"""),277.7)</f>
        <v>277.7</v>
      </c>
      <c r="F240" s="2">
        <f ca="1">IFERROR(__xludf.DUMMYFUNCTION("""COMPUTED_VALUE"""),119961)</f>
        <v>119961</v>
      </c>
      <c r="G240">
        <f ca="1">IFERROR(__xludf.DUMMYFUNCTION("""COMPUTED_VALUE"""),12)</f>
        <v>12</v>
      </c>
    </row>
    <row r="241" spans="1:7" ht="12.75">
      <c r="A241">
        <f ca="1">IFERROR(__xludf.DUMMYFUNCTION("""COMPUTED_VALUE"""),240)</f>
        <v>240</v>
      </c>
      <c r="B241" t="str">
        <f ca="1">IFERROR(__xludf.DUMMYFUNCTION("""COMPUTED_VALUE"""),"T239")</f>
        <v>T239</v>
      </c>
      <c r="C241" t="str">
        <f ca="1">IFERROR(__xludf.DUMMYFUNCTION("""COMPUTED_VALUE"""),"Lucas Herbert")</f>
        <v>Lucas Herbert</v>
      </c>
      <c r="D241">
        <f ca="1">IFERROR(__xludf.DUMMYFUNCTION("""COMPUTED_VALUE"""),1)</f>
        <v>1</v>
      </c>
      <c r="E241">
        <f ca="1">IFERROR(__xludf.DUMMYFUNCTION("""COMPUTED_VALUE"""),277.9)</f>
        <v>277.89999999999998</v>
      </c>
      <c r="F241" s="2">
        <f ca="1">IFERROR(__xludf.DUMMYFUNCTION("""COMPUTED_VALUE"""),60021)</f>
        <v>60021</v>
      </c>
      <c r="G241">
        <f ca="1">IFERROR(__xludf.DUMMYFUNCTION("""COMPUTED_VALUE"""),6)</f>
        <v>6</v>
      </c>
    </row>
    <row r="242" spans="1:7" ht="12.75">
      <c r="A242" t="str">
        <f ca="1">IFERROR(__xludf.DUMMYFUNCTION("""COMPUTED_VALUE"""),"T241")</f>
        <v>T241</v>
      </c>
      <c r="B242">
        <f ca="1">IFERROR(__xludf.DUMMYFUNCTION("""COMPUTED_VALUE"""),241)</f>
        <v>241</v>
      </c>
      <c r="C242" t="str">
        <f ca="1">IFERROR(__xludf.DUMMYFUNCTION("""COMPUTED_VALUE"""),"Davis Riley")</f>
        <v>Davis Riley</v>
      </c>
      <c r="D242">
        <f ca="1">IFERROR(__xludf.DUMMYFUNCTION("""COMPUTED_VALUE"""),2)</f>
        <v>2</v>
      </c>
      <c r="E242">
        <f ca="1">IFERROR(__xludf.DUMMYFUNCTION("""COMPUTED_VALUE"""),278.3)</f>
        <v>278.3</v>
      </c>
      <c r="F242" s="2">
        <f ca="1">IFERROR(__xludf.DUMMYFUNCTION("""COMPUTED_VALUE"""),90166)</f>
        <v>90166</v>
      </c>
      <c r="G242">
        <f ca="1">IFERROR(__xludf.DUMMYFUNCTION("""COMPUTED_VALUE"""),9)</f>
        <v>9</v>
      </c>
    </row>
    <row r="243" spans="1:7" ht="12.75">
      <c r="A243" t="str">
        <f ca="1">IFERROR(__xludf.DUMMYFUNCTION("""COMPUTED_VALUE"""),"T241")</f>
        <v>T241</v>
      </c>
      <c r="B243" t="str">
        <f ca="1">IFERROR(__xludf.DUMMYFUNCTION("""COMPUTED_VALUE"""),"T237")</f>
        <v>T237</v>
      </c>
      <c r="C243" t="str">
        <f ca="1">IFERROR(__xludf.DUMMYFUNCTION("""COMPUTED_VALUE"""),"Zach Johnson")</f>
        <v>Zach Johnson</v>
      </c>
      <c r="D243">
        <f ca="1">IFERROR(__xludf.DUMMYFUNCTION("""COMPUTED_VALUE"""),4)</f>
        <v>4</v>
      </c>
      <c r="E243">
        <f ca="1">IFERROR(__xludf.DUMMYFUNCTION("""COMPUTED_VALUE"""),278.3)</f>
        <v>278.3</v>
      </c>
      <c r="F243" s="2">
        <f ca="1">IFERROR(__xludf.DUMMYFUNCTION("""COMPUTED_VALUE"""),250463)</f>
        <v>250463</v>
      </c>
      <c r="G243">
        <f ca="1">IFERROR(__xludf.DUMMYFUNCTION("""COMPUTED_VALUE"""),25)</f>
        <v>25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IFERROR(__xludf.DUMMYFUNCTION("""COMPUTED_VALUE"""),242)</f>
        <v>242</v>
      </c>
      <c r="C244" t="str">
        <f ca="1">IFERROR(__xludf.DUMMYFUNCTION("""COMPUTED_VALUE"""),"Rory Sabbatini")</f>
        <v>Rory Sabbatini</v>
      </c>
      <c r="D244">
        <f ca="1">IFERROR(__xludf.DUMMYFUNCTION("""COMPUTED_VALUE"""),4)</f>
        <v>4</v>
      </c>
      <c r="E244">
        <f ca="1">IFERROR(__xludf.DUMMYFUNCTION("""COMPUTED_VALUE"""),278.7)</f>
        <v>278.7</v>
      </c>
      <c r="F244" s="2">
        <f ca="1">IFERROR(__xludf.DUMMYFUNCTION("""COMPUTED_VALUE"""),321088)</f>
        <v>321088</v>
      </c>
      <c r="G244">
        <f ca="1">IFERROR(__xludf.DUMMYFUNCTION("""COMPUTED_VALUE"""),32)</f>
        <v>32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IFERROR(__xludf.DUMMYFUNCTION("""COMPUTED_VALUE"""),243)</f>
        <v>243</v>
      </c>
      <c r="C245" t="str">
        <f ca="1">IFERROR(__xludf.DUMMYFUNCTION("""COMPUTED_VALUE"""),"Will Zalatoris")</f>
        <v>Will Zalatoris</v>
      </c>
      <c r="D245">
        <f ca="1">IFERROR(__xludf.DUMMYFUNCTION("""COMPUTED_VALUE"""),5)</f>
        <v>5</v>
      </c>
      <c r="E245">
        <f ca="1">IFERROR(__xludf.DUMMYFUNCTION("""COMPUTED_VALUE"""),279.3)</f>
        <v>279.3</v>
      </c>
      <c r="F245" s="2">
        <f ca="1">IFERROR(__xludf.DUMMYFUNCTION("""COMPUTED_VALUE"""),271488)</f>
        <v>271488</v>
      </c>
      <c r="G245">
        <f ca="1">IFERROR(__xludf.DUMMYFUNCTION("""COMPUTED_VALUE"""),27)</f>
        <v>27</v>
      </c>
    </row>
    <row r="246" spans="1:7" ht="12.75">
      <c r="A246">
        <f ca="1">IFERROR(__xludf.DUMMYFUNCTION("""COMPUTED_VALUE"""),245)</f>
        <v>245</v>
      </c>
      <c r="B246" t="str">
        <f ca="1">IFERROR(__xludf.DUMMYFUNCTION("""COMPUTED_VALUE"""),"T225")</f>
        <v>T225</v>
      </c>
      <c r="C246" t="str">
        <f ca="1">IFERROR(__xludf.DUMMYFUNCTION("""COMPUTED_VALUE"""),"Fabián Gómez")</f>
        <v>Fabián Gómez</v>
      </c>
      <c r="D246">
        <f ca="1">IFERROR(__xludf.DUMMYFUNCTION("""COMPUTED_VALUE"""),6)</f>
        <v>6</v>
      </c>
      <c r="E246">
        <f ca="1">IFERROR(__xludf.DUMMYFUNCTION("""COMPUTED_VALUE"""),279.4)</f>
        <v>279.39999999999998</v>
      </c>
      <c r="F246" s="2">
        <f ca="1">IFERROR(__xludf.DUMMYFUNCTION("""COMPUTED_VALUE"""),170999)</f>
        <v>170999</v>
      </c>
      <c r="G246">
        <f ca="1">IFERROR(__xludf.DUMMYFUNCTION("""COMPUTED_VALUE"""),17)</f>
        <v>17</v>
      </c>
    </row>
    <row r="247" spans="1:7" ht="12.75">
      <c r="A247">
        <f ca="1">IFERROR(__xludf.DUMMYFUNCTION("""COMPUTED_VALUE"""),246)</f>
        <v>246</v>
      </c>
      <c r="B247" t="str">
        <f ca="1">IFERROR(__xludf.DUMMYFUNCTION("""COMPUTED_VALUE"""),"T239")</f>
        <v>T239</v>
      </c>
      <c r="C247" t="str">
        <f ca="1">IFERROR(__xludf.DUMMYFUNCTION("""COMPUTED_VALUE"""),"Aaron Wise")</f>
        <v>Aaron Wise</v>
      </c>
      <c r="D247">
        <f ca="1">IFERROR(__xludf.DUMMYFUNCTION("""COMPUTED_VALUE"""),5)</f>
        <v>5</v>
      </c>
      <c r="E247">
        <f ca="1">IFERROR(__xludf.DUMMYFUNCTION("""COMPUTED_VALUE"""),280.7)</f>
        <v>280.7</v>
      </c>
      <c r="F247" s="2">
        <f ca="1">IFERROR(__xludf.DUMMYFUNCTION("""COMPUTED_VALUE"""),313312)</f>
        <v>313312</v>
      </c>
      <c r="G247">
        <f ca="1">IFERROR(__xludf.DUMMYFUNCTION("""COMPUTED_VALUE"""),31)</f>
        <v>31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IFERROR(__xludf.DUMMYFUNCTION("""COMPUTED_VALUE"""),244)</f>
        <v>244</v>
      </c>
      <c r="C248" t="str">
        <f ca="1">IFERROR(__xludf.DUMMYFUNCTION("""COMPUTED_VALUE"""),"Taylor Pendrith")</f>
        <v>Taylor Pendrith</v>
      </c>
      <c r="D248">
        <f ca="1">IFERROR(__xludf.DUMMYFUNCTION("""COMPUTED_VALUE"""),1)</f>
        <v>1</v>
      </c>
      <c r="E248">
        <f ca="1">IFERROR(__xludf.DUMMYFUNCTION("""COMPUTED_VALUE"""),281.1)</f>
        <v>281.10000000000002</v>
      </c>
      <c r="F248" s="2">
        <f ca="1">IFERROR(__xludf.DUMMYFUNCTION("""COMPUTED_VALUE"""),80971)</f>
        <v>80971</v>
      </c>
      <c r="G248">
        <f ca="1">IFERROR(__xludf.DUMMYFUNCTION("""COMPUTED_VALUE"""),8)</f>
        <v>8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IFERROR(__xludf.DUMMYFUNCTION("""COMPUTED_VALUE"""),245)</f>
        <v>245</v>
      </c>
      <c r="C249" t="str">
        <f ca="1">IFERROR(__xludf.DUMMYFUNCTION("""COMPUTED_VALUE"""),"Kiradech Aphibarnrat")</f>
        <v>Kiradech Aphibarnrat</v>
      </c>
      <c r="D249">
        <f ca="1">IFERROR(__xludf.DUMMYFUNCTION("""COMPUTED_VALUE"""),4)</f>
        <v>4</v>
      </c>
      <c r="E249">
        <f ca="1">IFERROR(__xludf.DUMMYFUNCTION("""COMPUTED_VALUE"""),281.3)</f>
        <v>281.3</v>
      </c>
      <c r="F249" s="2">
        <f ca="1">IFERROR(__xludf.DUMMYFUNCTION("""COMPUTED_VALUE"""),60755)</f>
        <v>60755</v>
      </c>
      <c r="G249">
        <f ca="1">IFERROR(__xludf.DUMMYFUNCTION("""COMPUTED_VALUE"""),6)</f>
        <v>6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IFERROR(__xludf.DUMMYFUNCTION("""COMPUTED_VALUE"""),"T196")</f>
        <v>T196</v>
      </c>
      <c r="C250" t="str">
        <f ca="1">IFERROR(__xludf.DUMMYFUNCTION("""COMPUTED_VALUE"""),"Kramer Hickok")</f>
        <v>Kramer Hickok</v>
      </c>
      <c r="D250">
        <f ca="1">IFERROR(__xludf.DUMMYFUNCTION("""COMPUTED_VALUE"""),5)</f>
        <v>5</v>
      </c>
      <c r="E250">
        <f ca="1">IFERROR(__xludf.DUMMYFUNCTION("""COMPUTED_VALUE"""),282.4)</f>
        <v>282.39999999999998</v>
      </c>
      <c r="F250" s="2">
        <f ca="1">IFERROR(__xludf.DUMMYFUNCTION("""COMPUTED_VALUE"""),142343)</f>
        <v>142343</v>
      </c>
      <c r="G250">
        <f ca="1">IFERROR(__xludf.DUMMYFUNCTION("""COMPUTED_VALUE"""),14)</f>
        <v>14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IFERROR(__xludf.DUMMYFUNCTION("""COMPUTED_VALUE"""),246)</f>
        <v>246</v>
      </c>
      <c r="C251" t="str">
        <f ca="1">IFERROR(__xludf.DUMMYFUNCTION("""COMPUTED_VALUE"""),"Bernd Wiesberger")</f>
        <v>Bernd Wiesberger</v>
      </c>
      <c r="D251">
        <f ca="1">IFERROR(__xludf.DUMMYFUNCTION("""COMPUTED_VALUE"""),1)</f>
        <v>1</v>
      </c>
      <c r="E251">
        <f ca="1">IFERROR(__xludf.DUMMYFUNCTION("""COMPUTED_VALUE"""),282.5)</f>
        <v>282.5</v>
      </c>
      <c r="F251" s="2">
        <f ca="1">IFERROR(__xludf.DUMMYFUNCTION("""COMPUTED_VALUE"""),61020)</f>
        <v>61020</v>
      </c>
      <c r="G251">
        <f ca="1">IFERROR(__xludf.DUMMYFUNCTION("""COMPUTED_VALUE"""),6)</f>
        <v>6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IFERROR(__xludf.DUMMYFUNCTION("""COMPUTED_VALUE"""),250)</f>
        <v>250</v>
      </c>
      <c r="C252" t="str">
        <f ca="1">IFERROR(__xludf.DUMMYFUNCTION("""COMPUTED_VALUE"""),"Jimmy Walker")</f>
        <v>Jimmy Walker</v>
      </c>
      <c r="D252">
        <f ca="1">IFERROR(__xludf.DUMMYFUNCTION("""COMPUTED_VALUE"""),4)</f>
        <v>4</v>
      </c>
      <c r="E252">
        <f ca="1">IFERROR(__xludf.DUMMYFUNCTION("""COMPUTED_VALUE"""),282.7)</f>
        <v>282.7</v>
      </c>
      <c r="F252" s="2">
        <f ca="1">IFERROR(__xludf.DUMMYFUNCTION("""COMPUTED_VALUE"""),264607)</f>
        <v>264607</v>
      </c>
      <c r="G252">
        <f ca="1">IFERROR(__xludf.DUMMYFUNCTION("""COMPUTED_VALUE"""),26)</f>
        <v>26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IFERROR(__xludf.DUMMYFUNCTION("""COMPUTED_VALUE"""),247)</f>
        <v>247</v>
      </c>
      <c r="C253" t="str">
        <f ca="1">IFERROR(__xludf.DUMMYFUNCTION("""COMPUTED_VALUE"""),"D.A. Points")</f>
        <v>D.A. Points</v>
      </c>
      <c r="D253">
        <f ca="1">IFERROR(__xludf.DUMMYFUNCTION("""COMPUTED_VALUE"""),5)</f>
        <v>5</v>
      </c>
      <c r="E253">
        <f ca="1">IFERROR(__xludf.DUMMYFUNCTION("""COMPUTED_VALUE"""),282.9)</f>
        <v>282.89999999999998</v>
      </c>
      <c r="F253" s="2">
        <f ca="1">IFERROR(__xludf.DUMMYFUNCTION("""COMPUTED_VALUE"""),101838)</f>
        <v>101838</v>
      </c>
      <c r="G253">
        <f ca="1">IFERROR(__xludf.DUMMYFUNCTION("""COMPUTED_VALUE"""),10)</f>
        <v>10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IFERROR(__xludf.DUMMYFUNCTION("""COMPUTED_VALUE"""),262)</f>
        <v>262</v>
      </c>
      <c r="C254" t="str">
        <f ca="1">IFERROR(__xludf.DUMMYFUNCTION("""COMPUTED_VALUE"""),"Adam Scott")</f>
        <v>Adam Scott</v>
      </c>
      <c r="D254">
        <f ca="1">IFERROR(__xludf.DUMMYFUNCTION("""COMPUTED_VALUE"""),2)</f>
        <v>2</v>
      </c>
      <c r="E254">
        <f ca="1">IFERROR(__xludf.DUMMYFUNCTION("""COMPUTED_VALUE"""),283.1)</f>
        <v>283.10000000000002</v>
      </c>
      <c r="F254" s="2">
        <f ca="1">IFERROR(__xludf.DUMMYFUNCTION("""COMPUTED_VALUE"""),173235)</f>
        <v>173235</v>
      </c>
      <c r="G254">
        <f ca="1">IFERROR(__xludf.DUMMYFUNCTION("""COMPUTED_VALUE"""),17)</f>
        <v>17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IFERROR(__xludf.DUMMYFUNCTION("""COMPUTED_VALUE"""),248)</f>
        <v>248</v>
      </c>
      <c r="C255" t="str">
        <f ca="1">IFERROR(__xludf.DUMMYFUNCTION("""COMPUTED_VALUE"""),"Renato Paratore")</f>
        <v>Renato Paratore</v>
      </c>
      <c r="D255">
        <f ca="1">IFERROR(__xludf.DUMMYFUNCTION("""COMPUTED_VALUE"""),1)</f>
        <v>1</v>
      </c>
      <c r="E255">
        <f ca="1">IFERROR(__xludf.DUMMYFUNCTION("""COMPUTED_VALUE"""),284.9)</f>
        <v>284.89999999999998</v>
      </c>
      <c r="F255" s="2">
        <f ca="1">IFERROR(__xludf.DUMMYFUNCTION("""COMPUTED_VALUE"""),61546)</f>
        <v>61546</v>
      </c>
      <c r="G255">
        <f ca="1">IFERROR(__xludf.DUMMYFUNCTION("""COMPUTED_VALUE"""),6)</f>
        <v>6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IFERROR(__xludf.DUMMYFUNCTION("""COMPUTED_VALUE"""),249)</f>
        <v>249</v>
      </c>
      <c r="C256" t="str">
        <f ca="1">IFERROR(__xludf.DUMMYFUNCTION("""COMPUTED_VALUE"""),"Bryson DeChambeau")</f>
        <v>Bryson DeChambeau</v>
      </c>
      <c r="D256">
        <f ca="1">IFERROR(__xludf.DUMMYFUNCTION("""COMPUTED_VALUE"""),2)</f>
        <v>2</v>
      </c>
      <c r="E256">
        <f ca="1">IFERROR(__xludf.DUMMYFUNCTION("""COMPUTED_VALUE"""),285.4)</f>
        <v>285.39999999999998</v>
      </c>
      <c r="F256" s="2">
        <f ca="1">IFERROR(__xludf.DUMMYFUNCTION("""COMPUTED_VALUE"""),297992)</f>
        <v>297992</v>
      </c>
      <c r="G256">
        <f ca="1">IFERROR(__xludf.DUMMYFUNCTION("""COMPUTED_VALUE"""),29)</f>
        <v>29</v>
      </c>
    </row>
    <row r="257" spans="1:7" ht="12.75">
      <c r="A257" t="str">
        <f ca="1">IFERROR(__xludf.DUMMYFUNCTION("""COMPUTED_VALUE"""),"T256")</f>
        <v>T256</v>
      </c>
      <c r="B257">
        <f ca="1">IFERROR(__xludf.DUMMYFUNCTION("""COMPUTED_VALUE"""),251)</f>
        <v>251</v>
      </c>
      <c r="C257" t="str">
        <f ca="1">IFERROR(__xludf.DUMMYFUNCTION("""COMPUTED_VALUE"""),"Robert MacIntyre")</f>
        <v>Robert MacIntyre</v>
      </c>
      <c r="D257">
        <f ca="1">IFERROR(__xludf.DUMMYFUNCTION("""COMPUTED_VALUE"""),1)</f>
        <v>1</v>
      </c>
      <c r="E257">
        <f ca="1">IFERROR(__xludf.DUMMYFUNCTION("""COMPUTED_VALUE"""),286)</f>
        <v>286</v>
      </c>
      <c r="F257" s="2">
        <f ca="1">IFERROR(__xludf.DUMMYFUNCTION("""COMPUTED_VALUE"""),72068)</f>
        <v>72068</v>
      </c>
      <c r="G257">
        <f ca="1">IFERROR(__xludf.DUMMYFUNCTION("""COMPUTED_VALUE"""),7)</f>
        <v>7</v>
      </c>
    </row>
    <row r="258" spans="1:7" ht="12.75">
      <c r="A258" t="str">
        <f ca="1">IFERROR(__xludf.DUMMYFUNCTION("""COMPUTED_VALUE"""),"T256")</f>
        <v>T256</v>
      </c>
      <c r="B258">
        <f ca="1">IFERROR(__xludf.DUMMYFUNCTION("""COMPUTED_VALUE"""),253)</f>
        <v>253</v>
      </c>
      <c r="C258" t="str">
        <f ca="1">IFERROR(__xludf.DUMMYFUNCTION("""COMPUTED_VALUE"""),"Henrik Stenson")</f>
        <v>Henrik Stenson</v>
      </c>
      <c r="D258">
        <f ca="1">IFERROR(__xludf.DUMMYFUNCTION("""COMPUTED_VALUE"""),5)</f>
        <v>5</v>
      </c>
      <c r="E258">
        <f ca="1">IFERROR(__xludf.DUMMYFUNCTION("""COMPUTED_VALUE"""),286)</f>
        <v>286</v>
      </c>
      <c r="F258" s="2">
        <f ca="1">IFERROR(__xludf.DUMMYFUNCTION("""COMPUTED_VALUE"""),102949)</f>
        <v>102949</v>
      </c>
      <c r="G258">
        <f ca="1">IFERROR(__xludf.DUMMYFUNCTION("""COMPUTED_VALUE"""),10)</f>
        <v>10</v>
      </c>
    </row>
    <row r="259" spans="1:7" ht="12.75">
      <c r="A259">
        <f ca="1">IFERROR(__xludf.DUMMYFUNCTION("""COMPUTED_VALUE"""),258)</f>
        <v>258</v>
      </c>
      <c r="B259" t="str">
        <f ca="1">IFERROR(__xludf.DUMMYFUNCTION("""COMPUTED_VALUE"""),"")</f>
        <v/>
      </c>
      <c r="C259" t="str">
        <f ca="1">IFERROR(__xludf.DUMMYFUNCTION("""COMPUTED_VALUE"""),"Dawie van der Walt")</f>
        <v>Dawie van der Walt</v>
      </c>
      <c r="D259">
        <f ca="1">IFERROR(__xludf.DUMMYFUNCTION("""COMPUTED_VALUE"""),1)</f>
        <v>1</v>
      </c>
      <c r="E259">
        <f ca="1">IFERROR(__xludf.DUMMYFUNCTION("""COMPUTED_VALUE"""),286.5)</f>
        <v>286.5</v>
      </c>
      <c r="F259" s="2">
        <f ca="1">IFERROR(__xludf.DUMMYFUNCTION("""COMPUTED_VALUE"""),41250)</f>
        <v>41250</v>
      </c>
      <c r="G259">
        <f ca="1">IFERROR(__xludf.DUMMYFUNCTION("""COMPUTED_VALUE"""),4)</f>
        <v>4</v>
      </c>
    </row>
    <row r="260" spans="1:7" ht="12.75">
      <c r="A260">
        <f ca="1">IFERROR(__xludf.DUMMYFUNCTION("""COMPUTED_VALUE"""),259)</f>
        <v>259</v>
      </c>
      <c r="B260" t="str">
        <f ca="1">IFERROR(__xludf.DUMMYFUNCTION("""COMPUTED_VALUE"""),"")</f>
        <v/>
      </c>
      <c r="C260" t="str">
        <f ca="1">IFERROR(__xludf.DUMMYFUNCTION("""COMPUTED_VALUE"""),"Greg Chalmers")</f>
        <v>Greg Chalmers</v>
      </c>
      <c r="D260">
        <f ca="1">IFERROR(__xludf.DUMMYFUNCTION("""COMPUTED_VALUE"""),2)</f>
        <v>2</v>
      </c>
      <c r="E260">
        <f ca="1">IFERROR(__xludf.DUMMYFUNCTION("""COMPUTED_VALUE"""),287.6)</f>
        <v>287.60000000000002</v>
      </c>
      <c r="F260" s="2">
        <f ca="1">IFERROR(__xludf.DUMMYFUNCTION("""COMPUTED_VALUE"""),93195)</f>
        <v>93195</v>
      </c>
      <c r="G260">
        <f ca="1">IFERROR(__xludf.DUMMYFUNCTION("""COMPUTED_VALUE"""),9)</f>
        <v>9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IFERROR(__xludf.DUMMYFUNCTION("""COMPUTED_VALUE"""),252)</f>
        <v>252</v>
      </c>
      <c r="C261" t="str">
        <f ca="1">IFERROR(__xludf.DUMMYFUNCTION("""COMPUTED_VALUE"""),"Steve Lewton")</f>
        <v>Steve Lewton</v>
      </c>
      <c r="D261">
        <f ca="1">IFERROR(__xludf.DUMMYFUNCTION("""COMPUTED_VALUE"""),1)</f>
        <v>1</v>
      </c>
      <c r="E261">
        <f ca="1">IFERROR(__xludf.DUMMYFUNCTION("""COMPUTED_VALUE"""),288)</f>
        <v>288</v>
      </c>
      <c r="F261" s="2">
        <f ca="1">IFERROR(__xludf.DUMMYFUNCTION("""COMPUTED_VALUE"""),93296)</f>
        <v>93296</v>
      </c>
      <c r="G261">
        <f ca="1">IFERROR(__xludf.DUMMYFUNCTION("""COMPUTED_VALUE"""),9)</f>
        <v>9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IFERROR(__xludf.DUMMYFUNCTION("""COMPUTED_VALUE"""),254)</f>
        <v>254</v>
      </c>
      <c r="C262" t="str">
        <f ca="1">IFERROR(__xludf.DUMMYFUNCTION("""COMPUTED_VALUE"""),"Matthias Schwab")</f>
        <v>Matthias Schwab</v>
      </c>
      <c r="D262">
        <f ca="1">IFERROR(__xludf.DUMMYFUNCTION("""COMPUTED_VALUE"""),3)</f>
        <v>3</v>
      </c>
      <c r="E262">
        <f ca="1">IFERROR(__xludf.DUMMYFUNCTION("""COMPUTED_VALUE"""),289.6)</f>
        <v>289.60000000000002</v>
      </c>
      <c r="F262" s="2">
        <f ca="1">IFERROR(__xludf.DUMMYFUNCTION("""COMPUTED_VALUE"""),93825)</f>
        <v>93825</v>
      </c>
      <c r="G262">
        <f ca="1">IFERROR(__xludf.DUMMYFUNCTION("""COMPUTED_VALUE"""),9)</f>
        <v>9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IFERROR(__xludf.DUMMYFUNCTION("""COMPUTED_VALUE"""),255)</f>
        <v>255</v>
      </c>
      <c r="C263" t="str">
        <f ca="1">IFERROR(__xludf.DUMMYFUNCTION("""COMPUTED_VALUE"""),"Jay McLuen")</f>
        <v>Jay McLuen</v>
      </c>
      <c r="D263">
        <f ca="1">IFERROR(__xludf.DUMMYFUNCTION("""COMPUTED_VALUE"""),1)</f>
        <v>1</v>
      </c>
      <c r="E263">
        <f ca="1">IFERROR(__xludf.DUMMYFUNCTION("""COMPUTED_VALUE"""),290)</f>
        <v>290</v>
      </c>
      <c r="F263" s="2">
        <f ca="1">IFERROR(__xludf.DUMMYFUNCTION("""COMPUTED_VALUE"""),62642)</f>
        <v>62642</v>
      </c>
      <c r="G263">
        <f ca="1">IFERROR(__xludf.DUMMYFUNCTION("""COMPUTED_VALUE"""),6)</f>
        <v>6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IFERROR(__xludf.DUMMYFUNCTION("""COMPUTED_VALUE"""),256)</f>
        <v>256</v>
      </c>
      <c r="C264" t="str">
        <f ca="1">IFERROR(__xludf.DUMMYFUNCTION("""COMPUTED_VALUE"""),"Parker McLachlin")</f>
        <v>Parker McLachlin</v>
      </c>
      <c r="D264">
        <f ca="1">IFERROR(__xludf.DUMMYFUNCTION("""COMPUTED_VALUE"""),2)</f>
        <v>2</v>
      </c>
      <c r="E264">
        <f ca="1">IFERROR(__xludf.DUMMYFUNCTION("""COMPUTED_VALUE"""),291)</f>
        <v>291</v>
      </c>
      <c r="F264" s="2">
        <f ca="1">IFERROR(__xludf.DUMMYFUNCTION("""COMPUTED_VALUE"""),10477)</f>
        <v>10477</v>
      </c>
      <c r="G264">
        <f ca="1">IFERROR(__xludf.DUMMYFUNCTION("""COMPUTED_VALUE"""),1)</f>
        <v>1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IFERROR(__xludf.DUMMYFUNCTION("""COMPUTED_VALUE"""),264)</f>
        <v>264</v>
      </c>
      <c r="C265" t="str">
        <f ca="1">IFERROR(__xludf.DUMMYFUNCTION("""COMPUTED_VALUE"""),"Lee Westwood")</f>
        <v>Lee Westwood</v>
      </c>
      <c r="D265">
        <f ca="1">IFERROR(__xludf.DUMMYFUNCTION("""COMPUTED_VALUE"""),2)</f>
        <v>2</v>
      </c>
      <c r="E265">
        <f ca="1">IFERROR(__xludf.DUMMYFUNCTION("""COMPUTED_VALUE"""),291.9)</f>
        <v>291.89999999999998</v>
      </c>
      <c r="F265" s="2">
        <f ca="1">IFERROR(__xludf.DUMMYFUNCTION("""COMPUTED_VALUE"""),115590)</f>
        <v>115590</v>
      </c>
      <c r="G265">
        <f ca="1">IFERROR(__xludf.DUMMYFUNCTION("""COMPUTED_VALUE"""),11)</f>
        <v>11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IFERROR(__xludf.DUMMYFUNCTION("""COMPUTED_VALUE"""),"Stephan Jaeger")</f>
        <v>Stephan Jaeger</v>
      </c>
      <c r="D266">
        <f ca="1">IFERROR(__xludf.DUMMYFUNCTION("""COMPUTED_VALUE"""),1)</f>
        <v>1</v>
      </c>
      <c r="E266">
        <f ca="1">IFERROR(__xludf.DUMMYFUNCTION("""COMPUTED_VALUE"""),293.2)</f>
        <v>293.2</v>
      </c>
      <c r="F266" s="2">
        <f ca="1">IFERROR(__xludf.DUMMYFUNCTION("""COMPUTED_VALUE"""),63322)</f>
        <v>63322</v>
      </c>
      <c r="G266">
        <f ca="1">IFERROR(__xludf.DUMMYFUNCTION("""COMPUTED_VALUE"""),6)</f>
        <v>6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IFERROR(__xludf.DUMMYFUNCTION("""COMPUTED_VALUE"""),260)</f>
        <v>260</v>
      </c>
      <c r="C267" t="str">
        <f ca="1">IFERROR(__xludf.DUMMYFUNCTION("""COMPUTED_VALUE"""),"Graeme McDowell")</f>
        <v>Graeme McDowell</v>
      </c>
      <c r="D267">
        <f ca="1">IFERROR(__xludf.DUMMYFUNCTION("""COMPUTED_VALUE"""),3)</f>
        <v>3</v>
      </c>
      <c r="E267">
        <f ca="1">IFERROR(__xludf.DUMMYFUNCTION("""COMPUTED_VALUE"""),293.3)</f>
        <v>293.3</v>
      </c>
      <c r="F267" s="2">
        <f ca="1">IFERROR(__xludf.DUMMYFUNCTION("""COMPUTED_VALUE"""),31681)</f>
        <v>31681</v>
      </c>
      <c r="G267">
        <f ca="1">IFERROR(__xludf.DUMMYFUNCTION("""COMPUTED_VALUE"""),3)</f>
        <v>3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IFERROR(__xludf.DUMMYFUNCTION("""COMPUTED_VALUE"""),258)</f>
        <v>258</v>
      </c>
      <c r="C268" t="str">
        <f ca="1">IFERROR(__xludf.DUMMYFUNCTION("""COMPUTED_VALUE"""),"Thomas Detry")</f>
        <v>Thomas Detry</v>
      </c>
      <c r="D268">
        <f ca="1">IFERROR(__xludf.DUMMYFUNCTION("""COMPUTED_VALUE"""),2)</f>
        <v>2</v>
      </c>
      <c r="E268">
        <f ca="1">IFERROR(__xludf.DUMMYFUNCTION("""COMPUTED_VALUE"""),294.5)</f>
        <v>294.5</v>
      </c>
      <c r="F268" s="2">
        <f ca="1">IFERROR(__xludf.DUMMYFUNCTION("""COMPUTED_VALUE"""),53011)</f>
        <v>53011</v>
      </c>
      <c r="G268">
        <f ca="1">IFERROR(__xludf.DUMMYFUNCTION("""COMPUTED_VALUE"""),5)</f>
        <v>5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IFERROR(__xludf.DUMMYFUNCTION("""COMPUTED_VALUE"""),259)</f>
        <v>259</v>
      </c>
      <c r="C269" t="str">
        <f ca="1">IFERROR(__xludf.DUMMYFUNCTION("""COMPUTED_VALUE"""),"Matt Wallace")</f>
        <v>Matt Wallace</v>
      </c>
      <c r="D269">
        <f ca="1">IFERROR(__xludf.DUMMYFUNCTION("""COMPUTED_VALUE"""),1)</f>
        <v>1</v>
      </c>
      <c r="E269">
        <f ca="1">IFERROR(__xludf.DUMMYFUNCTION("""COMPUTED_VALUE"""),297.9)</f>
        <v>297.89999999999998</v>
      </c>
      <c r="F269" s="2">
        <f ca="1">IFERROR(__xludf.DUMMYFUNCTION("""COMPUTED_VALUE"""),75074)</f>
        <v>75074</v>
      </c>
      <c r="G269">
        <f ca="1">IFERROR(__xludf.DUMMYFUNCTION("""COMPUTED_VALUE"""),7)</f>
        <v>7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IFERROR(__xludf.DUMMYFUNCTION("""COMPUTED_VALUE"""),263)</f>
        <v>263</v>
      </c>
      <c r="C270" t="str">
        <f ca="1">IFERROR(__xludf.DUMMYFUNCTION("""COMPUTED_VALUE"""),"Chris Kirk")</f>
        <v>Chris Kirk</v>
      </c>
      <c r="D270">
        <f ca="1">IFERROR(__xludf.DUMMYFUNCTION("""COMPUTED_VALUE"""),3)</f>
        <v>3</v>
      </c>
      <c r="E270">
        <f ca="1">IFERROR(__xludf.DUMMYFUNCTION("""COMPUTED_VALUE"""),298.6)</f>
        <v>298.60000000000002</v>
      </c>
      <c r="F270" s="2">
        <f ca="1">IFERROR(__xludf.DUMMYFUNCTION("""COMPUTED_VALUE"""),128981)</f>
        <v>128981</v>
      </c>
      <c r="G270">
        <f ca="1">IFERROR(__xludf.DUMMYFUNCTION("""COMPUTED_VALUE"""),12)</f>
        <v>12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IFERROR(__xludf.DUMMYFUNCTION("""COMPUTED_VALUE"""),261)</f>
        <v>261</v>
      </c>
      <c r="C271" t="str">
        <f ca="1">IFERROR(__xludf.DUMMYFUNCTION("""COMPUTED_VALUE"""),"Kurt Kitayama")</f>
        <v>Kurt Kitayama</v>
      </c>
      <c r="D271">
        <f ca="1">IFERROR(__xludf.DUMMYFUNCTION("""COMPUTED_VALUE"""),2)</f>
        <v>2</v>
      </c>
      <c r="E271">
        <f ca="1">IFERROR(__xludf.DUMMYFUNCTION("""COMPUTED_VALUE"""),301)</f>
        <v>301</v>
      </c>
      <c r="F271" s="2">
        <f ca="1">IFERROR(__xludf.DUMMYFUNCTION("""COMPUTED_VALUE"""),21672)</f>
        <v>21672</v>
      </c>
      <c r="G271">
        <f ca="1">IFERROR(__xludf.DUMMYFUNCTION("""COMPUTED_VALUE"""),2)</f>
        <v>2</v>
      </c>
    </row>
    <row r="272" spans="1:7" ht="12.75">
      <c r="A272">
        <f ca="1">IFERROR(__xludf.DUMMYFUNCTION("""COMPUTED_VALUE"""),271)</f>
        <v>271</v>
      </c>
      <c r="B272" t="str">
        <f ca="1">IFERROR(__xludf.DUMMYFUNCTION("""COMPUTED_VALUE"""),"")</f>
        <v/>
      </c>
      <c r="C272" t="str">
        <f ca="1">IFERROR(__xludf.DUMMYFUNCTION("""COMPUTED_VALUE"""),"Justin Harding")</f>
        <v>Justin Harding</v>
      </c>
      <c r="D272">
        <f ca="1">IFERROR(__xludf.DUMMYFUNCTION("""COMPUTED_VALUE"""),2)</f>
        <v>2</v>
      </c>
      <c r="E272">
        <f ca="1">IFERROR(__xludf.DUMMYFUNCTION("""COMPUTED_VALUE"""),301.4)</f>
        <v>301.39999999999998</v>
      </c>
      <c r="F272" s="2">
        <f ca="1">IFERROR(__xludf.DUMMYFUNCTION("""COMPUTED_VALUE"""),75955)</f>
        <v>75955</v>
      </c>
      <c r="G272">
        <f ca="1">IFERROR(__xludf.DUMMYFUNCTION("""COMPUTED_VALUE"""),7)</f>
        <v>7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IFERROR(__xludf.DUMMYFUNCTION("""COMPUTED_VALUE"""),"Rasmus Hojgaard")</f>
        <v>Rasmus Hojgaard</v>
      </c>
      <c r="D273">
        <f ca="1">IFERROR(__xludf.DUMMYFUNCTION("""COMPUTED_VALUE"""),2)</f>
        <v>2</v>
      </c>
      <c r="E273">
        <f ca="1">IFERROR(__xludf.DUMMYFUNCTION("""COMPUTED_VALUE"""),316.5)</f>
        <v>316.5</v>
      </c>
      <c r="F273" s="2">
        <f ca="1">IFERROR(__xludf.DUMMYFUNCTION("""COMPUTED_VALUE"""),34186)</f>
        <v>34186</v>
      </c>
      <c r="G273">
        <f ca="1">IFERROR(__xludf.DUMMYFUNCTION("""COMPUTED_VALUE"""),3)</f>
        <v>3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IFERROR(__xludf.DUMMYFUNCTION("""COMPUTED_VALUE"""),"Thomas Pieters")</f>
        <v>Thomas Pieters</v>
      </c>
      <c r="D274">
        <f ca="1">IFERROR(__xludf.DUMMYFUNCTION("""COMPUTED_VALUE"""),1)</f>
        <v>1</v>
      </c>
      <c r="E274">
        <f ca="1">IFERROR(__xludf.DUMMYFUNCTION("""COMPUTED_VALUE"""),326.6)</f>
        <v>326.60000000000002</v>
      </c>
      <c r="F274" s="2">
        <f ca="1">IFERROR(__xludf.DUMMYFUNCTION("""COMPUTED_VALUE"""),58785)</f>
        <v>58785</v>
      </c>
      <c r="G274">
        <f ca="1">IFERROR(__xludf.DUMMYFUNCTION("""COMPUTED_VALUE"""),5)</f>
        <v>5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IFERROR(__xludf.DUMMYFUNCTION("""COMPUTED_VALUE"""),"Romain Langasque")</f>
        <v>Romain Langasque</v>
      </c>
      <c r="D275">
        <f ca="1">IFERROR(__xludf.DUMMYFUNCTION("""COMPUTED_VALUE"""),1)</f>
        <v>1</v>
      </c>
      <c r="E275">
        <f ca="1">IFERROR(__xludf.DUMMYFUNCTION("""COMPUTED_VALUE"""),335.6)</f>
        <v>335.6</v>
      </c>
      <c r="F275" s="2">
        <f ca="1">IFERROR(__xludf.DUMMYFUNCTION("""COMPUTED_VALUE"""),60404)</f>
        <v>60404</v>
      </c>
      <c r="G275">
        <f ca="1">IFERROR(__xludf.DUMMYFUNCTION("""COMPUTED_VALUE"""),5)</f>
        <v>5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IFERROR(__xludf.DUMMYFUNCTION("""COMPUTED_VALUE"""),"Danny Willett")</f>
        <v>Danny Willett</v>
      </c>
      <c r="D276">
        <f ca="1">IFERROR(__xludf.DUMMYFUNCTION("""COMPUTED_VALUE"""),3)</f>
        <v>3</v>
      </c>
      <c r="E276">
        <f ca="1">IFERROR(__xludf.DUMMYFUNCTION("""COMPUTED_VALUE"""),362)</f>
        <v>362</v>
      </c>
      <c r="F276" s="2">
        <f ca="1">IFERROR(__xludf.DUMMYFUNCTION("""COMPUTED_VALUE"""),13032)</f>
        <v>13032</v>
      </c>
      <c r="G276">
        <f ca="1">IFERROR(__xludf.DUMMYFUNCTION("""COMPUTED_VALUE"""),1)</f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G276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IFERROR(__xludf.DUMMYFUNCTION("importhtml(""http://www.pgatour.com/stats/stat.02431.html"",""table"",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 AFTER GFG SHOT")</f>
        <v>TOTAL DIST AFTER GFG SHOT</v>
      </c>
      <c r="G1" t="str">
        <f ca="1">IFERROR(__xludf.DUMMYFUNCTION("""COMPUTED_VALUE"""),"TOTAL GFG SHOTS")</f>
        <v>TOTAL GFG SHOTS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>
        <f ca="1">IFERROR(__xludf.DUMMYFUNCTION("""COMPUTED_VALUE"""),10.9)</f>
        <v>10.9</v>
      </c>
      <c r="F2">
        <f ca="1">IFERROR(__xludf.DUMMYFUNCTION("""COMPUTED_VALUE"""),392)</f>
        <v>392</v>
      </c>
      <c r="G2">
        <f ca="1">IFERROR(__xludf.DUMMYFUNCTION("""COMPUTED_VALUE"""),1)</f>
        <v>1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IFERROR(__xludf.DUMMYFUNCTION("""COMPUTED_VALUE"""),"")</f>
        <v/>
      </c>
      <c r="C3" t="str">
        <f ca="1">IFERROR(__xludf.DUMMYFUNCTION("""COMPUTED_VALUE"""),"Erik Barnes")</f>
        <v>Erik Barnes</v>
      </c>
      <c r="D3">
        <f ca="1">IFERROR(__xludf.DUMMYFUNCTION("""COMPUTED_VALUE"""),4)</f>
        <v>4</v>
      </c>
      <c r="E3">
        <f ca="1">IFERROR(__xludf.DUMMYFUNCTION("""COMPUTED_VALUE"""),14)</f>
        <v>14</v>
      </c>
      <c r="F3" s="2">
        <f ca="1">IFERROR(__xludf.DUMMYFUNCTION("""COMPUTED_VALUE"""),3528)</f>
        <v>3528</v>
      </c>
      <c r="G3">
        <f ca="1">IFERROR(__xludf.DUMMYFUNCTION("""COMPUTED_VALUE"""),7)</f>
        <v>7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IFERROR(__xludf.DUMMYFUNCTION("""COMPUTED_VALUE"""),"Seonghyeon Kim")</f>
        <v>Seonghyeon Kim</v>
      </c>
      <c r="D4">
        <f ca="1">IFERROR(__xludf.DUMMYFUNCTION("""COMPUTED_VALUE"""),4)</f>
        <v>4</v>
      </c>
      <c r="E4">
        <f ca="1">IFERROR(__xludf.DUMMYFUNCTION("""COMPUTED_VALUE"""),14.2)</f>
        <v>14.2</v>
      </c>
      <c r="F4" s="2">
        <f ca="1">IFERROR(__xludf.DUMMYFUNCTION("""COMPUTED_VALUE"""),5625)</f>
        <v>5625</v>
      </c>
      <c r="G4">
        <f ca="1">IFERROR(__xludf.DUMMYFUNCTION("""COMPUTED_VALUE"""),11)</f>
        <v>11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IFERROR(__xludf.DUMMYFUNCTION("""COMPUTED_VALUE"""),"Ryan Blaum")</f>
        <v>Ryan Blaum</v>
      </c>
      <c r="D5">
        <f ca="1">IFERROR(__xludf.DUMMYFUNCTION("""COMPUTED_VALUE"""),8)</f>
        <v>8</v>
      </c>
      <c r="E5">
        <f ca="1">IFERROR(__xludf.DUMMYFUNCTION("""COMPUTED_VALUE"""),14.6)</f>
        <v>14.6</v>
      </c>
      <c r="F5" s="2">
        <f ca="1">IFERROR(__xludf.DUMMYFUNCTION("""COMPUTED_VALUE"""),3155)</f>
        <v>3155</v>
      </c>
      <c r="G5">
        <f ca="1">IFERROR(__xludf.DUMMYFUNCTION("""COMPUTED_VALUE"""),6)</f>
        <v>6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IFERROR(__xludf.DUMMYFUNCTION("""COMPUTED_VALUE"""),"Wes Roach")</f>
        <v>Wes Roach</v>
      </c>
      <c r="D6">
        <f ca="1">IFERROR(__xludf.DUMMYFUNCTION("""COMPUTED_VALUE"""),6)</f>
        <v>6</v>
      </c>
      <c r="E6">
        <f ca="1">IFERROR(__xludf.DUMMYFUNCTION("""COMPUTED_VALUE"""),15.6)</f>
        <v>15.6</v>
      </c>
      <c r="F6" s="2">
        <f ca="1">IFERROR(__xludf.DUMMYFUNCTION("""COMPUTED_VALUE"""),2243)</f>
        <v>2243</v>
      </c>
      <c r="G6">
        <f ca="1">IFERROR(__xludf.DUMMYFUNCTION("""COMPUTED_VALUE"""),4)</f>
        <v>4</v>
      </c>
    </row>
    <row r="7" spans="1:7" ht="15.75" customHeight="1">
      <c r="A7">
        <f ca="1">IFERROR(__xludf.DUMMYFUNCTION("""COMPUTED_VALUE"""),6)</f>
        <v>6</v>
      </c>
      <c r="B7" t="str">
        <f ca="1">IFERROR(__xludf.DUMMYFUNCTION("""COMPUTED_VALUE"""),"T5")</f>
        <v>T5</v>
      </c>
      <c r="C7" t="str">
        <f ca="1">IFERROR(__xludf.DUMMYFUNCTION("""COMPUTED_VALUE"""),"Hanbyeol Kim")</f>
        <v>Hanbyeol Kim</v>
      </c>
      <c r="D7">
        <f ca="1">IFERROR(__xludf.DUMMYFUNCTION("""COMPUTED_VALUE"""),4)</f>
        <v>4</v>
      </c>
      <c r="E7">
        <f ca="1">IFERROR(__xludf.DUMMYFUNCTION("""COMPUTED_VALUE"""),15.8)</f>
        <v>15.8</v>
      </c>
      <c r="F7" s="2">
        <f ca="1">IFERROR(__xludf.DUMMYFUNCTION("""COMPUTED_VALUE"""),5123)</f>
        <v>5123</v>
      </c>
      <c r="G7">
        <f ca="1">IFERROR(__xludf.DUMMYFUNCTION("""COMPUTED_VALUE"""),9)</f>
        <v>9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IFERROR(__xludf.DUMMYFUNCTION("""COMPUTED_VALUE"""),"Justin Suh")</f>
        <v>Justin Suh</v>
      </c>
      <c r="D8">
        <f ca="1">IFERROR(__xludf.DUMMYFUNCTION("""COMPUTED_VALUE"""),10)</f>
        <v>10</v>
      </c>
      <c r="E8">
        <f ca="1">IFERROR(__xludf.DUMMYFUNCTION("""COMPUTED_VALUE"""),16.6)</f>
        <v>16.600000000000001</v>
      </c>
      <c r="F8" s="2">
        <f ca="1">IFERROR(__xludf.DUMMYFUNCTION("""COMPUTED_VALUE"""),8979)</f>
        <v>8979</v>
      </c>
      <c r="G8">
        <f ca="1">IFERROR(__xludf.DUMMYFUNCTION("""COMPUTED_VALUE"""),15)</f>
        <v>15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IFERROR(__xludf.DUMMYFUNCTION("""COMPUTED_VALUE"""),"T5")</f>
        <v>T5</v>
      </c>
      <c r="C9" t="str">
        <f ca="1">IFERROR(__xludf.DUMMYFUNCTION("""COMPUTED_VALUE"""),"James Hahn")</f>
        <v>James Hahn</v>
      </c>
      <c r="D9">
        <f ca="1">IFERROR(__xludf.DUMMYFUNCTION("""COMPUTED_VALUE"""),16)</f>
        <v>16</v>
      </c>
      <c r="E9">
        <f ca="1">IFERROR(__xludf.DUMMYFUNCTION("""COMPUTED_VALUE"""),16.9)</f>
        <v>16.899999999999999</v>
      </c>
      <c r="F9" s="2">
        <f ca="1">IFERROR(__xludf.DUMMYFUNCTION("""COMPUTED_VALUE"""),16423)</f>
        <v>16423</v>
      </c>
      <c r="G9">
        <f ca="1">IFERROR(__xludf.DUMMYFUNCTION("""COMPUTED_VALUE"""),27)</f>
        <v>27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IFERROR(__xludf.DUMMYFUNCTION("""COMPUTED_VALUE"""),8)</f>
        <v>8</v>
      </c>
      <c r="C10" t="str">
        <f ca="1">IFERROR(__xludf.DUMMYFUNCTION("""COMPUTED_VALUE"""),"Tommy Fleetwood")</f>
        <v>Tommy Fleetwood</v>
      </c>
      <c r="D10">
        <f ca="1">IFERROR(__xludf.DUMMYFUNCTION("""COMPUTED_VALUE"""),10)</f>
        <v>10</v>
      </c>
      <c r="E10">
        <f ca="1">IFERROR(__xludf.DUMMYFUNCTION("""COMPUTED_VALUE"""),17)</f>
        <v>17</v>
      </c>
      <c r="F10" s="2">
        <f ca="1">IFERROR(__xludf.DUMMYFUNCTION("""COMPUTED_VALUE"""),19637)</f>
        <v>19637</v>
      </c>
      <c r="G10">
        <f ca="1">IFERROR(__xludf.DUMMYFUNCTION("""COMPUTED_VALUE"""),32)</f>
        <v>32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IFERROR(__xludf.DUMMYFUNCTION("""COMPUTED_VALUE"""),10)</f>
        <v>10</v>
      </c>
      <c r="C11" t="str">
        <f ca="1">IFERROR(__xludf.DUMMYFUNCTION("""COMPUTED_VALUE"""),"Martin Laird")</f>
        <v>Martin Laird</v>
      </c>
      <c r="D11">
        <f ca="1">IFERROR(__xludf.DUMMYFUNCTION("""COMPUTED_VALUE"""),16)</f>
        <v>16</v>
      </c>
      <c r="E11">
        <f ca="1">IFERROR(__xludf.DUMMYFUNCTION("""COMPUTED_VALUE"""),17.7)</f>
        <v>17.7</v>
      </c>
      <c r="F11" s="2">
        <f ca="1">IFERROR(__xludf.DUMMYFUNCTION("""COMPUTED_VALUE"""),15954)</f>
        <v>15954</v>
      </c>
      <c r="G11">
        <f ca="1">IFERROR(__xludf.DUMMYFUNCTION("""COMPUTED_VALUE"""),25)</f>
        <v>25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IFERROR(__xludf.DUMMYFUNCTION("""COMPUTED_VALUE"""),11)</f>
        <v>11</v>
      </c>
      <c r="C12" t="str">
        <f ca="1">IFERROR(__xludf.DUMMYFUNCTION("""COMPUTED_VALUE"""),"Shawn Stefani")</f>
        <v>Shawn Stefani</v>
      </c>
      <c r="D12">
        <f ca="1">IFERROR(__xludf.DUMMYFUNCTION("""COMPUTED_VALUE"""),5)</f>
        <v>5</v>
      </c>
      <c r="E12">
        <f ca="1">IFERROR(__xludf.DUMMYFUNCTION("""COMPUTED_VALUE"""),18)</f>
        <v>18</v>
      </c>
      <c r="F12" s="2">
        <f ca="1">IFERROR(__xludf.DUMMYFUNCTION("""COMPUTED_VALUE"""),1297)</f>
        <v>1297</v>
      </c>
      <c r="G12">
        <f ca="1">IFERROR(__xludf.DUMMYFUNCTION("""COMPUTED_VALUE"""),2)</f>
        <v>2</v>
      </c>
    </row>
    <row r="13" spans="1:7" ht="15.75" customHeight="1">
      <c r="A13" t="str">
        <f ca="1">IFERROR(__xludf.DUMMYFUNCTION("""COMPUTED_VALUE"""),"T12")</f>
        <v>T12</v>
      </c>
      <c r="B13" t="str">
        <f ca="1">IFERROR(__xludf.DUMMYFUNCTION("""COMPUTED_VALUE"""),"T13")</f>
        <v>T13</v>
      </c>
      <c r="C13" t="str">
        <f ca="1">IFERROR(__xludf.DUMMYFUNCTION("""COMPUTED_VALUE"""),"Jon Rahm")</f>
        <v>Jon Rahm</v>
      </c>
      <c r="D13">
        <f ca="1">IFERROR(__xludf.DUMMYFUNCTION("""COMPUTED_VALUE"""),12)</f>
        <v>12</v>
      </c>
      <c r="E13">
        <f ca="1">IFERROR(__xludf.DUMMYFUNCTION("""COMPUTED_VALUE"""),18.3)</f>
        <v>18.3</v>
      </c>
      <c r="F13" s="2">
        <f ca="1">IFERROR(__xludf.DUMMYFUNCTION("""COMPUTED_VALUE"""),23032)</f>
        <v>23032</v>
      </c>
      <c r="G13">
        <f ca="1">IFERROR(__xludf.DUMMYFUNCTION("""COMPUTED_VALUE"""),35)</f>
        <v>35</v>
      </c>
    </row>
    <row r="14" spans="1:7" ht="15.75" customHeight="1">
      <c r="A14" t="str">
        <f ca="1">IFERROR(__xludf.DUMMYFUNCTION("""COMPUTED_VALUE"""),"T12")</f>
        <v>T12</v>
      </c>
      <c r="B14" t="str">
        <f ca="1">IFERROR(__xludf.DUMMYFUNCTION("""COMPUTED_VALUE"""),"T13")</f>
        <v>T13</v>
      </c>
      <c r="C14" t="str">
        <f ca="1">IFERROR(__xludf.DUMMYFUNCTION("""COMPUTED_VALUE"""),"Xander Schauffele")</f>
        <v>Xander Schauffele</v>
      </c>
      <c r="D14">
        <f ca="1">IFERROR(__xludf.DUMMYFUNCTION("""COMPUTED_VALUE"""),12)</f>
        <v>12</v>
      </c>
      <c r="E14">
        <f ca="1">IFERROR(__xludf.DUMMYFUNCTION("""COMPUTED_VALUE"""),18.3)</f>
        <v>18.3</v>
      </c>
      <c r="F14" s="2">
        <f ca="1">IFERROR(__xludf.DUMMYFUNCTION("""COMPUTED_VALUE"""),23671)</f>
        <v>23671</v>
      </c>
      <c r="G14">
        <f ca="1">IFERROR(__xludf.DUMMYFUNCTION("""COMPUTED_VALUE"""),36)</f>
        <v>36</v>
      </c>
    </row>
    <row r="15" spans="1:7" ht="15.75" customHeight="1">
      <c r="A15" t="str">
        <f ca="1">IFERROR(__xludf.DUMMYFUNCTION("""COMPUTED_VALUE"""),"T12")</f>
        <v>T12</v>
      </c>
      <c r="B15" t="str">
        <f ca="1">IFERROR(__xludf.DUMMYFUNCTION("""COMPUTED_VALUE"""),"T13")</f>
        <v>T13</v>
      </c>
      <c r="C15" t="str">
        <f ca="1">IFERROR(__xludf.DUMMYFUNCTION("""COMPUTED_VALUE"""),"Ricky Barnes")</f>
        <v>Ricky Barnes</v>
      </c>
      <c r="D15">
        <f ca="1">IFERROR(__xludf.DUMMYFUNCTION("""COMPUTED_VALUE"""),12)</f>
        <v>12</v>
      </c>
      <c r="E15">
        <f ca="1">IFERROR(__xludf.DUMMYFUNCTION("""COMPUTED_VALUE"""),18.3)</f>
        <v>18.3</v>
      </c>
      <c r="F15" s="2">
        <f ca="1">IFERROR(__xludf.DUMMYFUNCTION("""COMPUTED_VALUE"""),3299)</f>
        <v>3299</v>
      </c>
      <c r="G15">
        <f ca="1">IFERROR(__xludf.DUMMYFUNCTION("""COMPUTED_VALUE"""),5)</f>
        <v>5</v>
      </c>
    </row>
    <row r="16" spans="1:7" ht="15.75" customHeight="1">
      <c r="A16" t="str">
        <f ca="1">IFERROR(__xludf.DUMMYFUNCTION("""COMPUTED_VALUE"""),"T15")</f>
        <v>T15</v>
      </c>
      <c r="B16" t="str">
        <f ca="1">IFERROR(__xludf.DUMMYFUNCTION("""COMPUTED_VALUE"""),"T18")</f>
        <v>T18</v>
      </c>
      <c r="C16" t="str">
        <f ca="1">IFERROR(__xludf.DUMMYFUNCTION("""COMPUTED_VALUE"""),"Bubba Watson")</f>
        <v>Bubba Watson</v>
      </c>
      <c r="D16">
        <f ca="1">IFERROR(__xludf.DUMMYFUNCTION("""COMPUTED_VALUE"""),12)</f>
        <v>12</v>
      </c>
      <c r="E16">
        <f ca="1">IFERROR(__xludf.DUMMYFUNCTION("""COMPUTED_VALUE"""),18.6)</f>
        <v>18.600000000000001</v>
      </c>
      <c r="F16" s="2">
        <f ca="1">IFERROR(__xludf.DUMMYFUNCTION("""COMPUTED_VALUE"""),28093)</f>
        <v>28093</v>
      </c>
      <c r="G16">
        <f ca="1">IFERROR(__xludf.DUMMYFUNCTION("""COMPUTED_VALUE"""),42)</f>
        <v>42</v>
      </c>
    </row>
    <row r="17" spans="1:7" ht="15.75" customHeight="1">
      <c r="A17" t="str">
        <f ca="1">IFERROR(__xludf.DUMMYFUNCTION("""COMPUTED_VALUE"""),"T15")</f>
        <v>T15</v>
      </c>
      <c r="B17" t="str">
        <f ca="1">IFERROR(__xludf.DUMMYFUNCTION("""COMPUTED_VALUE"""),"T18")</f>
        <v>T18</v>
      </c>
      <c r="C17" t="str">
        <f ca="1">IFERROR(__xludf.DUMMYFUNCTION("""COMPUTED_VALUE"""),"Christiaan Bezuidenhout")</f>
        <v>Christiaan Bezuidenhout</v>
      </c>
      <c r="D17">
        <f ca="1">IFERROR(__xludf.DUMMYFUNCTION("""COMPUTED_VALUE"""),4)</f>
        <v>4</v>
      </c>
      <c r="E17">
        <f ca="1">IFERROR(__xludf.DUMMYFUNCTION("""COMPUTED_VALUE"""),18.6)</f>
        <v>18.600000000000001</v>
      </c>
      <c r="F17">
        <f ca="1">IFERROR(__xludf.DUMMYFUNCTION("""COMPUTED_VALUE"""),669)</f>
        <v>669</v>
      </c>
      <c r="G17">
        <f ca="1">IFERROR(__xludf.DUMMYFUNCTION("""COMPUTED_VALUE"""),1)</f>
        <v>1</v>
      </c>
    </row>
    <row r="18" spans="1:7" ht="15.75" customHeight="1">
      <c r="A18" t="str">
        <f ca="1">IFERROR(__xludf.DUMMYFUNCTION("""COMPUTED_VALUE"""),"T15")</f>
        <v>T15</v>
      </c>
      <c r="B18" t="str">
        <f ca="1">IFERROR(__xludf.DUMMYFUNCTION("""COMPUTED_VALUE"""),"T18")</f>
        <v>T18</v>
      </c>
      <c r="C18" t="str">
        <f ca="1">IFERROR(__xludf.DUMMYFUNCTION("""COMPUTED_VALUE"""),"Ben Taylor")</f>
        <v>Ben Taylor</v>
      </c>
      <c r="D18">
        <f ca="1">IFERROR(__xludf.DUMMYFUNCTION("""COMPUTED_VALUE"""),10)</f>
        <v>10</v>
      </c>
      <c r="E18">
        <f ca="1">IFERROR(__xludf.DUMMYFUNCTION("""COMPUTED_VALUE"""),18.6)</f>
        <v>18.600000000000001</v>
      </c>
      <c r="F18" s="2">
        <f ca="1">IFERROR(__xludf.DUMMYFUNCTION("""COMPUTED_VALUE"""),6708)</f>
        <v>6708</v>
      </c>
      <c r="G18">
        <f ca="1">IFERROR(__xludf.DUMMYFUNCTION("""COMPUTED_VALUE"""),10)</f>
        <v>10</v>
      </c>
    </row>
    <row r="19" spans="1:7" ht="15.75" customHeight="1">
      <c r="A19" t="str">
        <f ca="1">IFERROR(__xludf.DUMMYFUNCTION("""COMPUTED_VALUE"""),"T18")</f>
        <v>T18</v>
      </c>
      <c r="B19" t="str">
        <f ca="1">IFERROR(__xludf.DUMMYFUNCTION("""COMPUTED_VALUE"""),"T21")</f>
        <v>T21</v>
      </c>
      <c r="C19" t="str">
        <f ca="1">IFERROR(__xludf.DUMMYFUNCTION("""COMPUTED_VALUE"""),"Akshay Bhatia")</f>
        <v>Akshay Bhatia</v>
      </c>
      <c r="D19">
        <f ca="1">IFERROR(__xludf.DUMMYFUNCTION("""COMPUTED_VALUE"""),6)</f>
        <v>6</v>
      </c>
      <c r="E19">
        <f ca="1">IFERROR(__xludf.DUMMYFUNCTION("""COMPUTED_VALUE"""),18.8)</f>
        <v>18.8</v>
      </c>
      <c r="F19" s="2">
        <f ca="1">IFERROR(__xludf.DUMMYFUNCTION("""COMPUTED_VALUE"""),4742)</f>
        <v>4742</v>
      </c>
      <c r="G19">
        <f ca="1">IFERROR(__xludf.DUMMYFUNCTION("""COMPUTED_VALUE"""),7)</f>
        <v>7</v>
      </c>
    </row>
    <row r="20" spans="1:7" ht="15.75" customHeight="1">
      <c r="A20" t="str">
        <f ca="1">IFERROR(__xludf.DUMMYFUNCTION("""COMPUTED_VALUE"""),"T18")</f>
        <v>T18</v>
      </c>
      <c r="B20" t="str">
        <f ca="1">IFERROR(__xludf.DUMMYFUNCTION("""COMPUTED_VALUE"""),"T21")</f>
        <v>T21</v>
      </c>
      <c r="C20" t="str">
        <f ca="1">IFERROR(__xludf.DUMMYFUNCTION("""COMPUTED_VALUE"""),"Harris English")</f>
        <v>Harris English</v>
      </c>
      <c r="D20">
        <f ca="1">IFERROR(__xludf.DUMMYFUNCTION("""COMPUTED_VALUE"""),14)</f>
        <v>14</v>
      </c>
      <c r="E20">
        <f ca="1">IFERROR(__xludf.DUMMYFUNCTION("""COMPUTED_VALUE"""),18.8)</f>
        <v>18.8</v>
      </c>
      <c r="F20" s="2">
        <f ca="1">IFERROR(__xludf.DUMMYFUNCTION("""COMPUTED_VALUE"""),28383)</f>
        <v>28383</v>
      </c>
      <c r="G20">
        <f ca="1">IFERROR(__xludf.DUMMYFUNCTION("""COMPUTED_VALUE"""),42)</f>
        <v>42</v>
      </c>
    </row>
    <row r="21" spans="1:7" ht="15.75" customHeight="1">
      <c r="A21" t="str">
        <f ca="1">IFERROR(__xludf.DUMMYFUNCTION("""COMPUTED_VALUE"""),"T20")</f>
        <v>T20</v>
      </c>
      <c r="B21">
        <f ca="1">IFERROR(__xludf.DUMMYFUNCTION("""COMPUTED_VALUE"""),26)</f>
        <v>26</v>
      </c>
      <c r="C21" t="str">
        <f ca="1">IFERROR(__xludf.DUMMYFUNCTION("""COMPUTED_VALUE"""),"Luke List")</f>
        <v>Luke List</v>
      </c>
      <c r="D21">
        <f ca="1">IFERROR(__xludf.DUMMYFUNCTION("""COMPUTED_VALUE"""),18)</f>
        <v>18</v>
      </c>
      <c r="E21">
        <f ca="1">IFERROR(__xludf.DUMMYFUNCTION("""COMPUTED_VALUE"""),18.9)</f>
        <v>18.899999999999999</v>
      </c>
      <c r="F21" s="2">
        <f ca="1">IFERROR(__xludf.DUMMYFUNCTION("""COMPUTED_VALUE"""),20417)</f>
        <v>20417</v>
      </c>
      <c r="G21">
        <f ca="1">IFERROR(__xludf.DUMMYFUNCTION("""COMPUTED_VALUE"""),30)</f>
        <v>30</v>
      </c>
    </row>
    <row r="22" spans="1:7" ht="15.75" customHeight="1">
      <c r="A22" t="str">
        <f ca="1">IFERROR(__xludf.DUMMYFUNCTION("""COMPUTED_VALUE"""),"T20")</f>
        <v>T20</v>
      </c>
      <c r="B22" t="str">
        <f ca="1">IFERROR(__xludf.DUMMYFUNCTION("""COMPUTED_VALUE"""),"T23")</f>
        <v>T23</v>
      </c>
      <c r="C22" t="str">
        <f ca="1">IFERROR(__xludf.DUMMYFUNCTION("""COMPUTED_VALUE"""),"Sangmoon Bae")</f>
        <v>Sangmoon Bae</v>
      </c>
      <c r="D22">
        <f ca="1">IFERROR(__xludf.DUMMYFUNCTION("""COMPUTED_VALUE"""),8)</f>
        <v>8</v>
      </c>
      <c r="E22">
        <f ca="1">IFERROR(__xludf.DUMMYFUNCTION("""COMPUTED_VALUE"""),18.9)</f>
        <v>18.899999999999999</v>
      </c>
      <c r="F22" s="2">
        <f ca="1">IFERROR(__xludf.DUMMYFUNCTION("""COMPUTED_VALUE"""),2038)</f>
        <v>2038</v>
      </c>
      <c r="G22">
        <f ca="1">IFERROR(__xludf.DUMMYFUNCTION("""COMPUTED_VALUE"""),3)</f>
        <v>3</v>
      </c>
    </row>
    <row r="23" spans="1:7" ht="15.75" customHeight="1">
      <c r="A23" t="str">
        <f ca="1">IFERROR(__xludf.DUMMYFUNCTION("""COMPUTED_VALUE"""),"T22")</f>
        <v>T22</v>
      </c>
      <c r="B23">
        <f ca="1">IFERROR(__xludf.DUMMYFUNCTION("""COMPUTED_VALUE"""),25)</f>
        <v>25</v>
      </c>
      <c r="C23" t="str">
        <f ca="1">IFERROR(__xludf.DUMMYFUNCTION("""COMPUTED_VALUE"""),"Will Gordon")</f>
        <v>Will Gordon</v>
      </c>
      <c r="D23">
        <f ca="1">IFERROR(__xludf.DUMMYFUNCTION("""COMPUTED_VALUE"""),20)</f>
        <v>20</v>
      </c>
      <c r="E23">
        <f ca="1">IFERROR(__xludf.DUMMYFUNCTION("""COMPUTED_VALUE"""),19.2)</f>
        <v>19.2</v>
      </c>
      <c r="F23" s="2">
        <f ca="1">IFERROR(__xludf.DUMMYFUNCTION("""COMPUTED_VALUE"""),31859)</f>
        <v>31859</v>
      </c>
      <c r="G23">
        <f ca="1">IFERROR(__xludf.DUMMYFUNCTION("""COMPUTED_VALUE"""),46)</f>
        <v>46</v>
      </c>
    </row>
    <row r="24" spans="1:7" ht="15.75" customHeight="1">
      <c r="A24" t="str">
        <f ca="1">IFERROR(__xludf.DUMMYFUNCTION("""COMPUTED_VALUE"""),"T22")</f>
        <v>T22</v>
      </c>
      <c r="B24">
        <f ca="1">IFERROR(__xludf.DUMMYFUNCTION("""COMPUTED_VALUE"""),17)</f>
        <v>17</v>
      </c>
      <c r="C24" t="str">
        <f ca="1">IFERROR(__xludf.DUMMYFUNCTION("""COMPUTED_VALUE"""),"Austin Cook")</f>
        <v>Austin Cook</v>
      </c>
      <c r="D24">
        <f ca="1">IFERROR(__xludf.DUMMYFUNCTION("""COMPUTED_VALUE"""),14)</f>
        <v>14</v>
      </c>
      <c r="E24">
        <f ca="1">IFERROR(__xludf.DUMMYFUNCTION("""COMPUTED_VALUE"""),19.2)</f>
        <v>19.2</v>
      </c>
      <c r="F24" s="2">
        <f ca="1">IFERROR(__xludf.DUMMYFUNCTION("""COMPUTED_VALUE"""),15886)</f>
        <v>15886</v>
      </c>
      <c r="G24">
        <f ca="1">IFERROR(__xludf.DUMMYFUNCTION("""COMPUTED_VALUE"""),23)</f>
        <v>23</v>
      </c>
    </row>
    <row r="25" spans="1:7" ht="15.75" customHeight="1">
      <c r="A25" t="str">
        <f ca="1">IFERROR(__xludf.DUMMYFUNCTION("""COMPUTED_VALUE"""),"T24")</f>
        <v>T24</v>
      </c>
      <c r="B25" t="str">
        <f ca="1">IFERROR(__xludf.DUMMYFUNCTION("""COMPUTED_VALUE"""),"T27")</f>
        <v>T27</v>
      </c>
      <c r="C25" t="str">
        <f ca="1">IFERROR(__xludf.DUMMYFUNCTION("""COMPUTED_VALUE"""),"Bryson DeChambeau")</f>
        <v>Bryson DeChambeau</v>
      </c>
      <c r="D25">
        <f ca="1">IFERROR(__xludf.DUMMYFUNCTION("""COMPUTED_VALUE"""),8)</f>
        <v>8</v>
      </c>
      <c r="E25">
        <f ca="1">IFERROR(__xludf.DUMMYFUNCTION("""COMPUTED_VALUE"""),19.3)</f>
        <v>19.3</v>
      </c>
      <c r="F25" s="2">
        <f ca="1">IFERROR(__xludf.DUMMYFUNCTION("""COMPUTED_VALUE"""),20134)</f>
        <v>20134</v>
      </c>
      <c r="G25">
        <f ca="1">IFERROR(__xludf.DUMMYFUNCTION("""COMPUTED_VALUE"""),29)</f>
        <v>29</v>
      </c>
    </row>
    <row r="26" spans="1:7" ht="15.75" customHeight="1">
      <c r="A26" t="str">
        <f ca="1">IFERROR(__xludf.DUMMYFUNCTION("""COMPUTED_VALUE"""),"T24")</f>
        <v>T24</v>
      </c>
      <c r="B26" t="str">
        <f ca="1">IFERROR(__xludf.DUMMYFUNCTION("""COMPUTED_VALUE"""),"T27")</f>
        <v>T27</v>
      </c>
      <c r="C26" t="str">
        <f ca="1">IFERROR(__xludf.DUMMYFUNCTION("""COMPUTED_VALUE"""),"Gunn Charoenkul")</f>
        <v>Gunn Charoenkul</v>
      </c>
      <c r="D26">
        <f ca="1">IFERROR(__xludf.DUMMYFUNCTION("""COMPUTED_VALUE"""),4)</f>
        <v>4</v>
      </c>
      <c r="E26">
        <f ca="1">IFERROR(__xludf.DUMMYFUNCTION("""COMPUTED_VALUE"""),19.3)</f>
        <v>19.3</v>
      </c>
      <c r="F26" s="2">
        <f ca="1">IFERROR(__xludf.DUMMYFUNCTION("""COMPUTED_VALUE"""),7646)</f>
        <v>7646</v>
      </c>
      <c r="G26">
        <f ca="1">IFERROR(__xludf.DUMMYFUNCTION("""COMPUTED_VALUE"""),11)</f>
        <v>11</v>
      </c>
    </row>
    <row r="27" spans="1:7" ht="15.75" customHeight="1">
      <c r="A27" t="str">
        <f ca="1">IFERROR(__xludf.DUMMYFUNCTION("""COMPUTED_VALUE"""),"T26")</f>
        <v>T26</v>
      </c>
      <c r="B27" t="str">
        <f ca="1">IFERROR(__xludf.DUMMYFUNCTION("""COMPUTED_VALUE"""),"T29")</f>
        <v>T29</v>
      </c>
      <c r="C27" t="str">
        <f ca="1">IFERROR(__xludf.DUMMYFUNCTION("""COMPUTED_VALUE"""),"Davis Riley")</f>
        <v>Davis Riley</v>
      </c>
      <c r="D27">
        <f ca="1">IFERROR(__xludf.DUMMYFUNCTION("""COMPUTED_VALUE"""),4)</f>
        <v>4</v>
      </c>
      <c r="E27">
        <f ca="1">IFERROR(__xludf.DUMMYFUNCTION("""COMPUTED_VALUE"""),19.4)</f>
        <v>19.399999999999999</v>
      </c>
      <c r="F27" s="2">
        <f ca="1">IFERROR(__xludf.DUMMYFUNCTION("""COMPUTED_VALUE"""),6284)</f>
        <v>6284</v>
      </c>
      <c r="G27">
        <f ca="1">IFERROR(__xludf.DUMMYFUNCTION("""COMPUTED_VALUE"""),9)</f>
        <v>9</v>
      </c>
    </row>
    <row r="28" spans="1:7" ht="15.75" customHeight="1">
      <c r="A28" t="str">
        <f ca="1">IFERROR(__xludf.DUMMYFUNCTION("""COMPUTED_VALUE"""),"T26")</f>
        <v>T26</v>
      </c>
      <c r="B28" t="str">
        <f ca="1">IFERROR(__xludf.DUMMYFUNCTION("""COMPUTED_VALUE"""),"T29")</f>
        <v>T29</v>
      </c>
      <c r="C28" t="str">
        <f ca="1">IFERROR(__xludf.DUMMYFUNCTION("""COMPUTED_VALUE"""),"Daniel Berger")</f>
        <v>Daniel Berger</v>
      </c>
      <c r="D28">
        <f ca="1">IFERROR(__xludf.DUMMYFUNCTION("""COMPUTED_VALUE"""),12)</f>
        <v>12</v>
      </c>
      <c r="E28">
        <f ca="1">IFERROR(__xludf.DUMMYFUNCTION("""COMPUTED_VALUE"""),19.4)</f>
        <v>19.399999999999999</v>
      </c>
      <c r="F28" s="2">
        <f ca="1">IFERROR(__xludf.DUMMYFUNCTION("""COMPUTED_VALUE"""),20269)</f>
        <v>20269</v>
      </c>
      <c r="G28">
        <f ca="1">IFERROR(__xludf.DUMMYFUNCTION("""COMPUTED_VALUE"""),29)</f>
        <v>29</v>
      </c>
    </row>
    <row r="29" spans="1:7" ht="15.75" customHeight="1">
      <c r="A29" t="str">
        <f ca="1">IFERROR(__xludf.DUMMYFUNCTION("""COMPUTED_VALUE"""),"T26")</f>
        <v>T26</v>
      </c>
      <c r="B29" t="str">
        <f ca="1">IFERROR(__xludf.DUMMYFUNCTION("""COMPUTED_VALUE"""),"T23")</f>
        <v>T23</v>
      </c>
      <c r="C29" t="str">
        <f ca="1">IFERROR(__xludf.DUMMYFUNCTION("""COMPUTED_VALUE"""),"Nate Lashley")</f>
        <v>Nate Lashley</v>
      </c>
      <c r="D29">
        <f ca="1">IFERROR(__xludf.DUMMYFUNCTION("""COMPUTED_VALUE"""),16)</f>
        <v>16</v>
      </c>
      <c r="E29">
        <f ca="1">IFERROR(__xludf.DUMMYFUNCTION("""COMPUTED_VALUE"""),19.4)</f>
        <v>19.399999999999999</v>
      </c>
      <c r="F29" s="2">
        <f ca="1">IFERROR(__xludf.DUMMYFUNCTION("""COMPUTED_VALUE"""),16023)</f>
        <v>16023</v>
      </c>
      <c r="G29">
        <f ca="1">IFERROR(__xludf.DUMMYFUNCTION("""COMPUTED_VALUE"""),23)</f>
        <v>23</v>
      </c>
    </row>
    <row r="30" spans="1:7" ht="15.75" customHeight="1">
      <c r="A30" t="str">
        <f ca="1">IFERROR(__xludf.DUMMYFUNCTION("""COMPUTED_VALUE"""),"T26")</f>
        <v>T26</v>
      </c>
      <c r="B30" t="str">
        <f ca="1">IFERROR(__xludf.DUMMYFUNCTION("""COMPUTED_VALUE"""),"T58")</f>
        <v>T58</v>
      </c>
      <c r="C30" t="str">
        <f ca="1">IFERROR(__xludf.DUMMYFUNCTION("""COMPUTED_VALUE"""),"Graham DeLaet")</f>
        <v>Graham DeLaet</v>
      </c>
      <c r="D30">
        <f ca="1">IFERROR(__xludf.DUMMYFUNCTION("""COMPUTED_VALUE"""),9)</f>
        <v>9</v>
      </c>
      <c r="E30">
        <f ca="1">IFERROR(__xludf.DUMMYFUNCTION("""COMPUTED_VALUE"""),19.4)</f>
        <v>19.399999999999999</v>
      </c>
      <c r="F30" s="2">
        <f ca="1">IFERROR(__xludf.DUMMYFUNCTION("""COMPUTED_VALUE"""),9093)</f>
        <v>9093</v>
      </c>
      <c r="G30">
        <f ca="1">IFERROR(__xludf.DUMMYFUNCTION("""COMPUTED_VALUE"""),13)</f>
        <v>13</v>
      </c>
    </row>
    <row r="31" spans="1:7" ht="12.75">
      <c r="A31" t="str">
        <f ca="1">IFERROR(__xludf.DUMMYFUNCTION("""COMPUTED_VALUE"""),"T26")</f>
        <v>T26</v>
      </c>
      <c r="B31" t="str">
        <f ca="1">IFERROR(__xludf.DUMMYFUNCTION("""COMPUTED_VALUE"""),"T29")</f>
        <v>T29</v>
      </c>
      <c r="C31" t="str">
        <f ca="1">IFERROR(__xludf.DUMMYFUNCTION("""COMPUTED_VALUE"""),"Tiger Woods")</f>
        <v>Tiger Woods</v>
      </c>
      <c r="D31">
        <f ca="1">IFERROR(__xludf.DUMMYFUNCTION("""COMPUTED_VALUE"""),6)</f>
        <v>6</v>
      </c>
      <c r="E31">
        <f ca="1">IFERROR(__xludf.DUMMYFUNCTION("""COMPUTED_VALUE"""),19.4)</f>
        <v>19.399999999999999</v>
      </c>
      <c r="F31" s="2">
        <f ca="1">IFERROR(__xludf.DUMMYFUNCTION("""COMPUTED_VALUE"""),8378)</f>
        <v>8378</v>
      </c>
      <c r="G31">
        <f ca="1">IFERROR(__xludf.DUMMYFUNCTION("""COMPUTED_VALUE"""),12)</f>
        <v>12</v>
      </c>
    </row>
    <row r="32" spans="1:7" ht="12.75">
      <c r="A32" t="str">
        <f ca="1">IFERROR(__xludf.DUMMYFUNCTION("""COMPUTED_VALUE"""),"T26")</f>
        <v>T26</v>
      </c>
      <c r="B32" t="str">
        <f ca="1">IFERROR(__xludf.DUMMYFUNCTION("""COMPUTED_VALUE"""),"T29")</f>
        <v>T29</v>
      </c>
      <c r="C32" t="str">
        <f ca="1">IFERROR(__xludf.DUMMYFUNCTION("""COMPUTED_VALUE"""),"Ryan Palmer")</f>
        <v>Ryan Palmer</v>
      </c>
      <c r="D32">
        <f ca="1">IFERROR(__xludf.DUMMYFUNCTION("""COMPUTED_VALUE"""),14)</f>
        <v>14</v>
      </c>
      <c r="E32">
        <f ca="1">IFERROR(__xludf.DUMMYFUNCTION("""COMPUTED_VALUE"""),19.4)</f>
        <v>19.399999999999999</v>
      </c>
      <c r="F32" s="2">
        <f ca="1">IFERROR(__xludf.DUMMYFUNCTION("""COMPUTED_VALUE"""),30791)</f>
        <v>30791</v>
      </c>
      <c r="G32">
        <f ca="1">IFERROR(__xludf.DUMMYFUNCTION("""COMPUTED_VALUE"""),44)</f>
        <v>44</v>
      </c>
    </row>
    <row r="33" spans="1:7" ht="12.75">
      <c r="A33" t="str">
        <f ca="1">IFERROR(__xludf.DUMMYFUNCTION("""COMPUTED_VALUE"""),"T32")</f>
        <v>T32</v>
      </c>
      <c r="B33" t="str">
        <f ca="1">IFERROR(__xludf.DUMMYFUNCTION("""COMPUTED_VALUE"""),"T34")</f>
        <v>T34</v>
      </c>
      <c r="C33" t="str">
        <f ca="1">IFERROR(__xludf.DUMMYFUNCTION("""COMPUTED_VALUE"""),"Cameron Champ")</f>
        <v>Cameron Champ</v>
      </c>
      <c r="D33">
        <f ca="1">IFERROR(__xludf.DUMMYFUNCTION("""COMPUTED_VALUE"""),12)</f>
        <v>12</v>
      </c>
      <c r="E33">
        <f ca="1">IFERROR(__xludf.DUMMYFUNCTION("""COMPUTED_VALUE"""),19.6)</f>
        <v>19.600000000000001</v>
      </c>
      <c r="F33" s="2">
        <f ca="1">IFERROR(__xludf.DUMMYFUNCTION("""COMPUTED_VALUE"""),33148)</f>
        <v>33148</v>
      </c>
      <c r="G33">
        <f ca="1">IFERROR(__xludf.DUMMYFUNCTION("""COMPUTED_VALUE"""),47)</f>
        <v>47</v>
      </c>
    </row>
    <row r="34" spans="1:7" ht="12.75">
      <c r="A34" t="str">
        <f ca="1">IFERROR(__xludf.DUMMYFUNCTION("""COMPUTED_VALUE"""),"T32")</f>
        <v>T32</v>
      </c>
      <c r="B34" t="str">
        <f ca="1">IFERROR(__xludf.DUMMYFUNCTION("""COMPUTED_VALUE"""),"T34")</f>
        <v>T34</v>
      </c>
      <c r="C34" t="str">
        <f ca="1">IFERROR(__xludf.DUMMYFUNCTION("""COMPUTED_VALUE"""),"Bud Cauley")</f>
        <v>Bud Cauley</v>
      </c>
      <c r="D34">
        <f ca="1">IFERROR(__xludf.DUMMYFUNCTION("""COMPUTED_VALUE"""),4)</f>
        <v>4</v>
      </c>
      <c r="E34">
        <f ca="1">IFERROR(__xludf.DUMMYFUNCTION("""COMPUTED_VALUE"""),19.6)</f>
        <v>19.600000000000001</v>
      </c>
      <c r="F34" s="2">
        <f ca="1">IFERROR(__xludf.DUMMYFUNCTION("""COMPUTED_VALUE"""),7775)</f>
        <v>7775</v>
      </c>
      <c r="G34">
        <f ca="1">IFERROR(__xludf.DUMMYFUNCTION("""COMPUTED_VALUE"""),11)</f>
        <v>11</v>
      </c>
    </row>
    <row r="35" spans="1:7" ht="12.75">
      <c r="A35" t="str">
        <f ca="1">IFERROR(__xludf.DUMMYFUNCTION("""COMPUTED_VALUE"""),"T34")</f>
        <v>T34</v>
      </c>
      <c r="B35">
        <f ca="1">IFERROR(__xludf.DUMMYFUNCTION("""COMPUTED_VALUE"""),38)</f>
        <v>38</v>
      </c>
      <c r="C35" t="str">
        <f ca="1">IFERROR(__xludf.DUMMYFUNCTION("""COMPUTED_VALUE"""),"Nelson Ledesma")</f>
        <v>Nelson Ledesma</v>
      </c>
      <c r="D35">
        <f ca="1">IFERROR(__xludf.DUMMYFUNCTION("""COMPUTED_VALUE"""),8)</f>
        <v>8</v>
      </c>
      <c r="E35">
        <f ca="1">IFERROR(__xludf.DUMMYFUNCTION("""COMPUTED_VALUE"""),19.7)</f>
        <v>19.7</v>
      </c>
      <c r="F35" s="2">
        <f ca="1">IFERROR(__xludf.DUMMYFUNCTION("""COMPUTED_VALUE"""),9201)</f>
        <v>9201</v>
      </c>
      <c r="G35">
        <f ca="1">IFERROR(__xludf.DUMMYFUNCTION("""COMPUTED_VALUE"""),13)</f>
        <v>13</v>
      </c>
    </row>
    <row r="36" spans="1:7" ht="12.75">
      <c r="A36" t="str">
        <f ca="1">IFERROR(__xludf.DUMMYFUNCTION("""COMPUTED_VALUE"""),"T34")</f>
        <v>T34</v>
      </c>
      <c r="B36">
        <f ca="1">IFERROR(__xludf.DUMMYFUNCTION("""COMPUTED_VALUE"""),48)</f>
        <v>48</v>
      </c>
      <c r="C36" t="str">
        <f ca="1">IFERROR(__xludf.DUMMYFUNCTION("""COMPUTED_VALUE"""),"Sean O'Hair")</f>
        <v>Sean O'Hair</v>
      </c>
      <c r="D36">
        <f ca="1">IFERROR(__xludf.DUMMYFUNCTION("""COMPUTED_VALUE"""),14)</f>
        <v>14</v>
      </c>
      <c r="E36">
        <f ca="1">IFERROR(__xludf.DUMMYFUNCTION("""COMPUTED_VALUE"""),19.7)</f>
        <v>19.7</v>
      </c>
      <c r="F36" s="2">
        <f ca="1">IFERROR(__xludf.DUMMYFUNCTION("""COMPUTED_VALUE"""),17696)</f>
        <v>17696</v>
      </c>
      <c r="G36">
        <f ca="1">IFERROR(__xludf.DUMMYFUNCTION("""COMPUTED_VALUE"""),25)</f>
        <v>25</v>
      </c>
    </row>
    <row r="37" spans="1:7" ht="12.75">
      <c r="A37">
        <f ca="1">IFERROR(__xludf.DUMMYFUNCTION("""COMPUTED_VALUE"""),36)</f>
        <v>36</v>
      </c>
      <c r="B37" t="str">
        <f ca="1">IFERROR(__xludf.DUMMYFUNCTION("""COMPUTED_VALUE"""),"T43")</f>
        <v>T43</v>
      </c>
      <c r="C37" t="str">
        <f ca="1">IFERROR(__xludf.DUMMYFUNCTION("""COMPUTED_VALUE"""),"Andrew Landry")</f>
        <v>Andrew Landry</v>
      </c>
      <c r="D37">
        <f ca="1">IFERROR(__xludf.DUMMYFUNCTION("""COMPUTED_VALUE"""),14)</f>
        <v>14</v>
      </c>
      <c r="E37">
        <f ca="1">IFERROR(__xludf.DUMMYFUNCTION("""COMPUTED_VALUE"""),19.8)</f>
        <v>19.8</v>
      </c>
      <c r="F37" s="2">
        <f ca="1">IFERROR(__xludf.DUMMYFUNCTION("""COMPUTED_VALUE"""),30656)</f>
        <v>30656</v>
      </c>
      <c r="G37">
        <f ca="1">IFERROR(__xludf.DUMMYFUNCTION("""COMPUTED_VALUE"""),43)</f>
        <v>43</v>
      </c>
    </row>
    <row r="38" spans="1:7" ht="12.75">
      <c r="A38" t="str">
        <f ca="1">IFERROR(__xludf.DUMMYFUNCTION("""COMPUTED_VALUE"""),"T37")</f>
        <v>T37</v>
      </c>
      <c r="B38" t="str">
        <f ca="1">IFERROR(__xludf.DUMMYFUNCTION("""COMPUTED_VALUE"""),"T39")</f>
        <v>T39</v>
      </c>
      <c r="C38" t="str">
        <f ca="1">IFERROR(__xludf.DUMMYFUNCTION("""COMPUTED_VALUE"""),"Kurt Kitayama")</f>
        <v>Kurt Kitayama</v>
      </c>
      <c r="D38">
        <f ca="1">IFERROR(__xludf.DUMMYFUNCTION("""COMPUTED_VALUE"""),4)</f>
        <v>4</v>
      </c>
      <c r="E38">
        <f ca="1">IFERROR(__xludf.DUMMYFUNCTION("""COMPUTED_VALUE"""),20)</f>
        <v>20</v>
      </c>
      <c r="F38" s="2">
        <f ca="1">IFERROR(__xludf.DUMMYFUNCTION("""COMPUTED_VALUE"""),1439)</f>
        <v>1439</v>
      </c>
      <c r="G38">
        <f ca="1">IFERROR(__xludf.DUMMYFUNCTION("""COMPUTED_VALUE"""),2)</f>
        <v>2</v>
      </c>
    </row>
    <row r="39" spans="1:7" ht="12.75">
      <c r="A39" t="str">
        <f ca="1">IFERROR(__xludf.DUMMYFUNCTION("""COMPUTED_VALUE"""),"T37")</f>
        <v>T37</v>
      </c>
      <c r="B39" t="str">
        <f ca="1">IFERROR(__xludf.DUMMYFUNCTION("""COMPUTED_VALUE"""),"T39")</f>
        <v>T39</v>
      </c>
      <c r="C39" t="str">
        <f ca="1">IFERROR(__xludf.DUMMYFUNCTION("""COMPUTED_VALUE"""),"Kevin Na")</f>
        <v>Kevin Na</v>
      </c>
      <c r="D39">
        <f ca="1">IFERROR(__xludf.DUMMYFUNCTION("""COMPUTED_VALUE"""),14)</f>
        <v>14</v>
      </c>
      <c r="E39">
        <f ca="1">IFERROR(__xludf.DUMMYFUNCTION("""COMPUTED_VALUE"""),20)</f>
        <v>20</v>
      </c>
      <c r="F39" s="2">
        <f ca="1">IFERROR(__xludf.DUMMYFUNCTION("""COMPUTED_VALUE"""),32464)</f>
        <v>32464</v>
      </c>
      <c r="G39">
        <f ca="1">IFERROR(__xludf.DUMMYFUNCTION("""COMPUTED_VALUE"""),45)</f>
        <v>45</v>
      </c>
    </row>
    <row r="40" spans="1:7" ht="12.75">
      <c r="A40" t="str">
        <f ca="1">IFERROR(__xludf.DUMMYFUNCTION("""COMPUTED_VALUE"""),"T37")</f>
        <v>T37</v>
      </c>
      <c r="B40" t="str">
        <f ca="1">IFERROR(__xludf.DUMMYFUNCTION("""COMPUTED_VALUE"""),"T39")</f>
        <v>T39</v>
      </c>
      <c r="C40" t="str">
        <f ca="1">IFERROR(__xludf.DUMMYFUNCTION("""COMPUTED_VALUE"""),"Shaun Norris")</f>
        <v>Shaun Norris</v>
      </c>
      <c r="D40">
        <f ca="1">IFERROR(__xludf.DUMMYFUNCTION("""COMPUTED_VALUE"""),6)</f>
        <v>6</v>
      </c>
      <c r="E40">
        <f ca="1">IFERROR(__xludf.DUMMYFUNCTION("""COMPUTED_VALUE"""),20)</f>
        <v>20</v>
      </c>
      <c r="F40" s="2">
        <f ca="1">IFERROR(__xludf.DUMMYFUNCTION("""COMPUTED_VALUE"""),7924)</f>
        <v>7924</v>
      </c>
      <c r="G40">
        <f ca="1">IFERROR(__xludf.DUMMYFUNCTION("""COMPUTED_VALUE"""),11)</f>
        <v>11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IFERROR(__xludf.DUMMYFUNCTION("""COMPUTED_VALUE"""),"T53")</f>
        <v>T53</v>
      </c>
      <c r="C41" t="str">
        <f ca="1">IFERROR(__xludf.DUMMYFUNCTION("""COMPUTED_VALUE"""),"Shane Lowry")</f>
        <v>Shane Lowry</v>
      </c>
      <c r="D41">
        <f ca="1">IFERROR(__xludf.DUMMYFUNCTION("""COMPUTED_VALUE"""),14)</f>
        <v>14</v>
      </c>
      <c r="E41">
        <f ca="1">IFERROR(__xludf.DUMMYFUNCTION("""COMPUTED_VALUE"""),20.2)</f>
        <v>20.2</v>
      </c>
      <c r="F41" s="2">
        <f ca="1">IFERROR(__xludf.DUMMYFUNCTION("""COMPUTED_VALUE"""),18915)</f>
        <v>18915</v>
      </c>
      <c r="G41">
        <f ca="1">IFERROR(__xludf.DUMMYFUNCTION("""COMPUTED_VALUE"""),26)</f>
        <v>26</v>
      </c>
    </row>
    <row r="42" spans="1:7" ht="12.75">
      <c r="A42" t="str">
        <f ca="1">IFERROR(__xludf.DUMMYFUNCTION("""COMPUTED_VALUE"""),"T41")</f>
        <v>T41</v>
      </c>
      <c r="B42" t="str">
        <f ca="1">IFERROR(__xludf.DUMMYFUNCTION("""COMPUTED_VALUE"""),"T45")</f>
        <v>T45</v>
      </c>
      <c r="C42" t="str">
        <f ca="1">IFERROR(__xludf.DUMMYFUNCTION("""COMPUTED_VALUE"""),"Brian Gay")</f>
        <v>Brian Gay</v>
      </c>
      <c r="D42">
        <f ca="1">IFERROR(__xludf.DUMMYFUNCTION("""COMPUTED_VALUE"""),8)</f>
        <v>8</v>
      </c>
      <c r="E42">
        <f ca="1">IFERROR(__xludf.DUMMYFUNCTION("""COMPUTED_VALUE"""),20.3)</f>
        <v>20.3</v>
      </c>
      <c r="F42" s="2">
        <f ca="1">IFERROR(__xludf.DUMMYFUNCTION("""COMPUTED_VALUE"""),6565)</f>
        <v>6565</v>
      </c>
      <c r="G42">
        <f ca="1">IFERROR(__xludf.DUMMYFUNCTION("""COMPUTED_VALUE"""),9)</f>
        <v>9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IFERROR(__xludf.DUMMYFUNCTION("""COMPUTED_VALUE"""),"T45")</f>
        <v>T45</v>
      </c>
      <c r="C43" t="str">
        <f ca="1">IFERROR(__xludf.DUMMYFUNCTION("""COMPUTED_VALUE"""),"Brandon Hagy")</f>
        <v>Brandon Hagy</v>
      </c>
      <c r="D43">
        <f ca="1">IFERROR(__xludf.DUMMYFUNCTION("""COMPUTED_VALUE"""),10)</f>
        <v>10</v>
      </c>
      <c r="E43">
        <f ca="1">IFERROR(__xludf.DUMMYFUNCTION("""COMPUTED_VALUE"""),20.3)</f>
        <v>20.3</v>
      </c>
      <c r="F43" s="2">
        <f ca="1">IFERROR(__xludf.DUMMYFUNCTION("""COMPUTED_VALUE"""),11701)</f>
        <v>11701</v>
      </c>
      <c r="G43">
        <f ca="1">IFERROR(__xludf.DUMMYFUNCTION("""COMPUTED_VALUE"""),16)</f>
        <v>16</v>
      </c>
    </row>
    <row r="44" spans="1:7" ht="12.75">
      <c r="A44" t="str">
        <f ca="1">IFERROR(__xludf.DUMMYFUNCTION("""COMPUTED_VALUE"""),"T41")</f>
        <v>T41</v>
      </c>
      <c r="B44" t="str">
        <f ca="1">IFERROR(__xludf.DUMMYFUNCTION("""COMPUTED_VALUE"""),"T45")</f>
        <v>T45</v>
      </c>
      <c r="C44" t="str">
        <f ca="1">IFERROR(__xludf.DUMMYFUNCTION("""COMPUTED_VALUE"""),"Cameron Smith")</f>
        <v>Cameron Smith</v>
      </c>
      <c r="D44">
        <f ca="1">IFERROR(__xludf.DUMMYFUNCTION("""COMPUTED_VALUE"""),16)</f>
        <v>16</v>
      </c>
      <c r="E44">
        <f ca="1">IFERROR(__xludf.DUMMYFUNCTION("""COMPUTED_VALUE"""),20.3)</f>
        <v>20.3</v>
      </c>
      <c r="F44" s="2">
        <f ca="1">IFERROR(__xludf.DUMMYFUNCTION("""COMPUTED_VALUE"""),31422)</f>
        <v>31422</v>
      </c>
      <c r="G44">
        <f ca="1">IFERROR(__xludf.DUMMYFUNCTION("""COMPUTED_VALUE"""),43)</f>
        <v>43</v>
      </c>
    </row>
    <row r="45" spans="1:7" ht="12.75">
      <c r="A45" t="str">
        <f ca="1">IFERROR(__xludf.DUMMYFUNCTION("""COMPUTED_VALUE"""),"T44")</f>
        <v>T44</v>
      </c>
      <c r="B45">
        <f ca="1">IFERROR(__xludf.DUMMYFUNCTION("""COMPUTED_VALUE"""),71)</f>
        <v>71</v>
      </c>
      <c r="C45" t="str">
        <f ca="1">IFERROR(__xludf.DUMMYFUNCTION("""COMPUTED_VALUE"""),"Mackenzie Hughes")</f>
        <v>Mackenzie Hughes</v>
      </c>
      <c r="D45">
        <f ca="1">IFERROR(__xludf.DUMMYFUNCTION("""COMPUTED_VALUE"""),18)</f>
        <v>18</v>
      </c>
      <c r="E45">
        <f ca="1">IFERROR(__xludf.DUMMYFUNCTION("""COMPUTED_VALUE"""),20.5)</f>
        <v>20.5</v>
      </c>
      <c r="F45" s="2">
        <f ca="1">IFERROR(__xludf.DUMMYFUNCTION("""COMPUTED_VALUE"""),27288)</f>
        <v>27288</v>
      </c>
      <c r="G45">
        <f ca="1">IFERROR(__xludf.DUMMYFUNCTION("""COMPUTED_VALUE"""),37)</f>
        <v>37</v>
      </c>
    </row>
    <row r="46" spans="1:7" ht="12.75">
      <c r="A46" t="str">
        <f ca="1">IFERROR(__xludf.DUMMYFUNCTION("""COMPUTED_VALUE"""),"T44")</f>
        <v>T44</v>
      </c>
      <c r="B46">
        <f ca="1">IFERROR(__xludf.DUMMYFUNCTION("""COMPUTED_VALUE"""),49)</f>
        <v>49</v>
      </c>
      <c r="C46" t="str">
        <f ca="1">IFERROR(__xludf.DUMMYFUNCTION("""COMPUTED_VALUE"""),"Carlos Ortiz")</f>
        <v>Carlos Ortiz</v>
      </c>
      <c r="D46">
        <f ca="1">IFERROR(__xludf.DUMMYFUNCTION("""COMPUTED_VALUE"""),20)</f>
        <v>20</v>
      </c>
      <c r="E46">
        <f ca="1">IFERROR(__xludf.DUMMYFUNCTION("""COMPUTED_VALUE"""),20.5)</f>
        <v>20.5</v>
      </c>
      <c r="F46" s="2">
        <f ca="1">IFERROR(__xludf.DUMMYFUNCTION("""COMPUTED_VALUE"""),42058)</f>
        <v>42058</v>
      </c>
      <c r="G46">
        <f ca="1">IFERROR(__xludf.DUMMYFUNCTION("""COMPUTED_VALUE"""),57)</f>
        <v>57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IFERROR(__xludf.DUMMYFUNCTION("""COMPUTED_VALUE"""),"T68")</f>
        <v>T68</v>
      </c>
      <c r="C47" t="str">
        <f ca="1">IFERROR(__xludf.DUMMYFUNCTION("""COMPUTED_VALUE"""),"Lee Westwood")</f>
        <v>Lee Westwood</v>
      </c>
      <c r="D47">
        <f ca="1">IFERROR(__xludf.DUMMYFUNCTION("""COMPUTED_VALUE"""),6)</f>
        <v>6</v>
      </c>
      <c r="E47">
        <f ca="1">IFERROR(__xludf.DUMMYFUNCTION("""COMPUTED_VALUE"""),20.7)</f>
        <v>20.7</v>
      </c>
      <c r="F47" s="2">
        <f ca="1">IFERROR(__xludf.DUMMYFUNCTION("""COMPUTED_VALUE"""),8210)</f>
        <v>8210</v>
      </c>
      <c r="G47">
        <f ca="1">IFERROR(__xludf.DUMMYFUNCTION("""COMPUTED_VALUE"""),11)</f>
        <v>11</v>
      </c>
    </row>
    <row r="48" spans="1:7" ht="12.75">
      <c r="A48" t="str">
        <f ca="1">IFERROR(__xludf.DUMMYFUNCTION("""COMPUTED_VALUE"""),"T46")</f>
        <v>T46</v>
      </c>
      <c r="B48">
        <f ca="1">IFERROR(__xludf.DUMMYFUNCTION("""COMPUTED_VALUE"""),51)</f>
        <v>51</v>
      </c>
      <c r="C48" t="str">
        <f ca="1">IFERROR(__xludf.DUMMYFUNCTION("""COMPUTED_VALUE"""),"Gary Woodland")</f>
        <v>Gary Woodland</v>
      </c>
      <c r="D48">
        <f ca="1">IFERROR(__xludf.DUMMYFUNCTION("""COMPUTED_VALUE"""),6)</f>
        <v>6</v>
      </c>
      <c r="E48">
        <f ca="1">IFERROR(__xludf.DUMMYFUNCTION("""COMPUTED_VALUE"""),20.7)</f>
        <v>20.7</v>
      </c>
      <c r="F48" s="2">
        <f ca="1">IFERROR(__xludf.DUMMYFUNCTION("""COMPUTED_VALUE"""),11942)</f>
        <v>11942</v>
      </c>
      <c r="G48">
        <f ca="1">IFERROR(__xludf.DUMMYFUNCTION("""COMPUTED_VALUE"""),16)</f>
        <v>16</v>
      </c>
    </row>
    <row r="49" spans="1:7" ht="12.75">
      <c r="A49">
        <f ca="1">IFERROR(__xludf.DUMMYFUNCTION("""COMPUTED_VALUE"""),48)</f>
        <v>48</v>
      </c>
      <c r="B49" t="str">
        <f ca="1">IFERROR(__xludf.DUMMYFUNCTION("""COMPUTED_VALUE"""),"T117")</f>
        <v>T117</v>
      </c>
      <c r="C49" t="str">
        <f ca="1">IFERROR(__xludf.DUMMYFUNCTION("""COMPUTED_VALUE"""),"Scott Brown")</f>
        <v>Scott Brown</v>
      </c>
      <c r="D49">
        <f ca="1">IFERROR(__xludf.DUMMYFUNCTION("""COMPUTED_VALUE"""),14)</f>
        <v>14</v>
      </c>
      <c r="E49">
        <f ca="1">IFERROR(__xludf.DUMMYFUNCTION("""COMPUTED_VALUE"""),20.9)</f>
        <v>20.9</v>
      </c>
      <c r="F49" s="2">
        <f ca="1">IFERROR(__xludf.DUMMYFUNCTION("""COMPUTED_VALUE"""),17273)</f>
        <v>17273</v>
      </c>
      <c r="G49">
        <f ca="1">IFERROR(__xludf.DUMMYFUNCTION("""COMPUTED_VALUE"""),23)</f>
        <v>23</v>
      </c>
    </row>
    <row r="50" spans="1:7" ht="12.75">
      <c r="A50" t="str">
        <f ca="1">IFERROR(__xludf.DUMMYFUNCTION("""COMPUTED_VALUE"""),"T49")</f>
        <v>T49</v>
      </c>
      <c r="B50" t="str">
        <f ca="1">IFERROR(__xludf.DUMMYFUNCTION("""COMPUTED_VALUE"""),"T55")</f>
        <v>T55</v>
      </c>
      <c r="C50" t="str">
        <f ca="1">IFERROR(__xludf.DUMMYFUNCTION("""COMPUTED_VALUE"""),"Brendan Steele")</f>
        <v>Brendan Steele</v>
      </c>
      <c r="D50">
        <f ca="1">IFERROR(__xludf.DUMMYFUNCTION("""COMPUTED_VALUE"""),14)</f>
        <v>14</v>
      </c>
      <c r="E50">
        <f ca="1">IFERROR(__xludf.DUMMYFUNCTION("""COMPUTED_VALUE"""),21)</f>
        <v>21</v>
      </c>
      <c r="F50" s="2">
        <f ca="1">IFERROR(__xludf.DUMMYFUNCTION("""COMPUTED_VALUE"""),32516)</f>
        <v>32516</v>
      </c>
      <c r="G50">
        <f ca="1">IFERROR(__xludf.DUMMYFUNCTION("""COMPUTED_VALUE"""),43)</f>
        <v>43</v>
      </c>
    </row>
    <row r="51" spans="1:7" ht="12.75">
      <c r="A51" t="str">
        <f ca="1">IFERROR(__xludf.DUMMYFUNCTION("""COMPUTED_VALUE"""),"T49")</f>
        <v>T49</v>
      </c>
      <c r="B51" t="str">
        <f ca="1">IFERROR(__xludf.DUMMYFUNCTION("""COMPUTED_VALUE"""),"T55")</f>
        <v>T55</v>
      </c>
      <c r="C51" t="str">
        <f ca="1">IFERROR(__xludf.DUMMYFUNCTION("""COMPUTED_VALUE"""),"Joel Dahmen")</f>
        <v>Joel Dahmen</v>
      </c>
      <c r="D51">
        <f ca="1">IFERROR(__xludf.DUMMYFUNCTION("""COMPUTED_VALUE"""),18)</f>
        <v>18</v>
      </c>
      <c r="E51">
        <f ca="1">IFERROR(__xludf.DUMMYFUNCTION("""COMPUTED_VALUE"""),21)</f>
        <v>21</v>
      </c>
      <c r="F51" s="2">
        <f ca="1">IFERROR(__xludf.DUMMYFUNCTION("""COMPUTED_VALUE"""),40017)</f>
        <v>40017</v>
      </c>
      <c r="G51">
        <f ca="1">IFERROR(__xludf.DUMMYFUNCTION("""COMPUTED_VALUE"""),53)</f>
        <v>53</v>
      </c>
    </row>
    <row r="52" spans="1:7" ht="12.75">
      <c r="A52" t="str">
        <f ca="1">IFERROR(__xludf.DUMMYFUNCTION("""COMPUTED_VALUE"""),"T49")</f>
        <v>T49</v>
      </c>
      <c r="B52" t="str">
        <f ca="1">IFERROR(__xludf.DUMMYFUNCTION("""COMPUTED_VALUE"""),"T55")</f>
        <v>T55</v>
      </c>
      <c r="C52" t="str">
        <f ca="1">IFERROR(__xludf.DUMMYFUNCTION("""COMPUTED_VALUE"""),"Rikuya Hoshino")</f>
        <v>Rikuya Hoshino</v>
      </c>
      <c r="D52">
        <f ca="1">IFERROR(__xludf.DUMMYFUNCTION("""COMPUTED_VALUE"""),4)</f>
        <v>4</v>
      </c>
      <c r="E52">
        <f ca="1">IFERROR(__xludf.DUMMYFUNCTION("""COMPUTED_VALUE"""),21)</f>
        <v>21</v>
      </c>
      <c r="F52" s="2">
        <f ca="1">IFERROR(__xludf.DUMMYFUNCTION("""COMPUTED_VALUE"""),12855)</f>
        <v>12855</v>
      </c>
      <c r="G52">
        <f ca="1">IFERROR(__xludf.DUMMYFUNCTION("""COMPUTED_VALUE"""),17)</f>
        <v>17</v>
      </c>
    </row>
    <row r="53" spans="1:7" ht="12.75">
      <c r="A53">
        <f ca="1">IFERROR(__xludf.DUMMYFUNCTION("""COMPUTED_VALUE"""),52)</f>
        <v>52</v>
      </c>
      <c r="B53" t="str">
        <f ca="1">IFERROR(__xludf.DUMMYFUNCTION("""COMPUTED_VALUE"""),"T13")</f>
        <v>T13</v>
      </c>
      <c r="C53" t="str">
        <f ca="1">IFERROR(__xludf.DUMMYFUNCTION("""COMPUTED_VALUE"""),"Tyrrell Hatton")</f>
        <v>Tyrrell Hatton</v>
      </c>
      <c r="D53">
        <f ca="1">IFERROR(__xludf.DUMMYFUNCTION("""COMPUTED_VALUE"""),14)</f>
        <v>14</v>
      </c>
      <c r="E53">
        <f ca="1">IFERROR(__xludf.DUMMYFUNCTION("""COMPUTED_VALUE"""),21.1)</f>
        <v>21.1</v>
      </c>
      <c r="F53" s="2">
        <f ca="1">IFERROR(__xludf.DUMMYFUNCTION("""COMPUTED_VALUE"""),25123)</f>
        <v>25123</v>
      </c>
      <c r="G53">
        <f ca="1">IFERROR(__xludf.DUMMYFUNCTION("""COMPUTED_VALUE"""),33)</f>
        <v>33</v>
      </c>
    </row>
    <row r="54" spans="1:7" ht="12.75">
      <c r="A54" t="str">
        <f ca="1">IFERROR(__xludf.DUMMYFUNCTION("""COMPUTED_VALUE"""),"T53")</f>
        <v>T53</v>
      </c>
      <c r="B54" t="str">
        <f ca="1">IFERROR(__xludf.DUMMYFUNCTION("""COMPUTED_VALUE"""),"T63")</f>
        <v>T63</v>
      </c>
      <c r="C54" t="str">
        <f ca="1">IFERROR(__xludf.DUMMYFUNCTION("""COMPUTED_VALUE"""),"Lanto Griffin")</f>
        <v>Lanto Griffin</v>
      </c>
      <c r="D54">
        <f ca="1">IFERROR(__xludf.DUMMYFUNCTION("""COMPUTED_VALUE"""),18)</f>
        <v>18</v>
      </c>
      <c r="E54">
        <f ca="1">IFERROR(__xludf.DUMMYFUNCTION("""COMPUTED_VALUE"""),21.2)</f>
        <v>21.2</v>
      </c>
      <c r="F54" s="2">
        <f ca="1">IFERROR(__xludf.DUMMYFUNCTION("""COMPUTED_VALUE"""),33558)</f>
        <v>33558</v>
      </c>
      <c r="G54">
        <f ca="1">IFERROR(__xludf.DUMMYFUNCTION("""COMPUTED_VALUE"""),44)</f>
        <v>44</v>
      </c>
    </row>
    <row r="55" spans="1:7" ht="12.75">
      <c r="A55" t="str">
        <f ca="1">IFERROR(__xludf.DUMMYFUNCTION("""COMPUTED_VALUE"""),"T53")</f>
        <v>T53</v>
      </c>
      <c r="B55" t="str">
        <f ca="1">IFERROR(__xludf.DUMMYFUNCTION("""COMPUTED_VALUE"""),"T60")</f>
        <v>T60</v>
      </c>
      <c r="C55" t="str">
        <f ca="1">IFERROR(__xludf.DUMMYFUNCTION("""COMPUTED_VALUE"""),"Andy Zhang")</f>
        <v>Andy Zhang</v>
      </c>
      <c r="D55">
        <f ca="1">IFERROR(__xludf.DUMMYFUNCTION("""COMPUTED_VALUE"""),4)</f>
        <v>4</v>
      </c>
      <c r="E55">
        <f ca="1">IFERROR(__xludf.DUMMYFUNCTION("""COMPUTED_VALUE"""),21.2)</f>
        <v>21.2</v>
      </c>
      <c r="F55" s="2">
        <f ca="1">IFERROR(__xludf.DUMMYFUNCTION("""COMPUTED_VALUE"""),6854)</f>
        <v>6854</v>
      </c>
      <c r="G55">
        <f ca="1">IFERROR(__xludf.DUMMYFUNCTION("""COMPUTED_VALUE"""),9)</f>
        <v>9</v>
      </c>
    </row>
    <row r="56" spans="1:7" ht="12.75">
      <c r="A56" t="str">
        <f ca="1">IFERROR(__xludf.DUMMYFUNCTION("""COMPUTED_VALUE"""),"T53")</f>
        <v>T53</v>
      </c>
      <c r="B56" t="str">
        <f ca="1">IFERROR(__xludf.DUMMYFUNCTION("""COMPUTED_VALUE"""),"T60")</f>
        <v>T60</v>
      </c>
      <c r="C56" t="str">
        <f ca="1">IFERROR(__xludf.DUMMYFUNCTION("""COMPUTED_VALUE"""),"Anirban Lahiri")</f>
        <v>Anirban Lahiri</v>
      </c>
      <c r="D56">
        <f ca="1">IFERROR(__xludf.DUMMYFUNCTION("""COMPUTED_VALUE"""),16)</f>
        <v>16</v>
      </c>
      <c r="E56">
        <f ca="1">IFERROR(__xludf.DUMMYFUNCTION("""COMPUTED_VALUE"""),21.2)</f>
        <v>21.2</v>
      </c>
      <c r="F56" s="2">
        <f ca="1">IFERROR(__xludf.DUMMYFUNCTION("""COMPUTED_VALUE"""),13001)</f>
        <v>13001</v>
      </c>
      <c r="G56">
        <f ca="1">IFERROR(__xludf.DUMMYFUNCTION("""COMPUTED_VALUE"""),17)</f>
        <v>17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IFERROR(__xludf.DUMMYFUNCTION("""COMPUTED_VALUE"""),"T63")</f>
        <v>T63</v>
      </c>
      <c r="C57" t="str">
        <f ca="1">IFERROR(__xludf.DUMMYFUNCTION("""COMPUTED_VALUE"""),"Jason Kokrak")</f>
        <v>Jason Kokrak</v>
      </c>
      <c r="D57">
        <f ca="1">IFERROR(__xludf.DUMMYFUNCTION("""COMPUTED_VALUE"""),14)</f>
        <v>14</v>
      </c>
      <c r="E57">
        <f ca="1">IFERROR(__xludf.DUMMYFUNCTION("""COMPUTED_VALUE"""),21.3)</f>
        <v>21.3</v>
      </c>
      <c r="F57" s="2">
        <f ca="1">IFERROR(__xludf.DUMMYFUNCTION("""COMPUTED_VALUE"""),32981)</f>
        <v>32981</v>
      </c>
      <c r="G57">
        <f ca="1">IFERROR(__xludf.DUMMYFUNCTION("""COMPUTED_VALUE"""),43)</f>
        <v>43</v>
      </c>
    </row>
    <row r="58" spans="1:7" ht="12.75">
      <c r="A58" t="str">
        <f ca="1">IFERROR(__xludf.DUMMYFUNCTION("""COMPUTED_VALUE"""),"T56")</f>
        <v>T56</v>
      </c>
      <c r="B58">
        <f ca="1">IFERROR(__xludf.DUMMYFUNCTION("""COMPUTED_VALUE"""),52)</f>
        <v>52</v>
      </c>
      <c r="C58" t="str">
        <f ca="1">IFERROR(__xludf.DUMMYFUNCTION("""COMPUTED_VALUE"""),"Michael Kim")</f>
        <v>Michael Kim</v>
      </c>
      <c r="D58">
        <f ca="1">IFERROR(__xludf.DUMMYFUNCTION("""COMPUTED_VALUE"""),12)</f>
        <v>12</v>
      </c>
      <c r="E58">
        <f ca="1">IFERROR(__xludf.DUMMYFUNCTION("""COMPUTED_VALUE"""),21.3)</f>
        <v>21.3</v>
      </c>
      <c r="F58" s="2">
        <f ca="1">IFERROR(__xludf.DUMMYFUNCTION("""COMPUTED_VALUE"""),10754)</f>
        <v>10754</v>
      </c>
      <c r="G58">
        <f ca="1">IFERROR(__xludf.DUMMYFUNCTION("""COMPUTED_VALUE"""),14)</f>
        <v>14</v>
      </c>
    </row>
    <row r="59" spans="1:7" ht="12.75">
      <c r="A59" t="str">
        <f ca="1">IFERROR(__xludf.DUMMYFUNCTION("""COMPUTED_VALUE"""),"T56")</f>
        <v>T56</v>
      </c>
      <c r="B59" t="str">
        <f ca="1">IFERROR(__xludf.DUMMYFUNCTION("""COMPUTED_VALUE"""),"T65")</f>
        <v>T65</v>
      </c>
      <c r="C59" t="str">
        <f ca="1">IFERROR(__xludf.DUMMYFUNCTION("""COMPUTED_VALUE"""),"Adam Schenk")</f>
        <v>Adam Schenk</v>
      </c>
      <c r="D59">
        <f ca="1">IFERROR(__xludf.DUMMYFUNCTION("""COMPUTED_VALUE"""),22)</f>
        <v>22</v>
      </c>
      <c r="E59">
        <f ca="1">IFERROR(__xludf.DUMMYFUNCTION("""COMPUTED_VALUE"""),21.3)</f>
        <v>21.3</v>
      </c>
      <c r="F59" s="2">
        <f ca="1">IFERROR(__xludf.DUMMYFUNCTION("""COMPUTED_VALUE"""),29143)</f>
        <v>29143</v>
      </c>
      <c r="G59">
        <f ca="1">IFERROR(__xludf.DUMMYFUNCTION("""COMPUTED_VALUE"""),38)</f>
        <v>38</v>
      </c>
    </row>
    <row r="60" spans="1:7" ht="12.75">
      <c r="A60" t="str">
        <f ca="1">IFERROR(__xludf.DUMMYFUNCTION("""COMPUTED_VALUE"""),"T59")</f>
        <v>T59</v>
      </c>
      <c r="B60" t="str">
        <f ca="1">IFERROR(__xludf.DUMMYFUNCTION("""COMPUTED_VALUE"""),"T65")</f>
        <v>T65</v>
      </c>
      <c r="C60" t="str">
        <f ca="1">IFERROR(__xludf.DUMMYFUNCTION("""COMPUTED_VALUE"""),"Jeongwoo Ham")</f>
        <v>Jeongwoo Ham</v>
      </c>
      <c r="D60">
        <f ca="1">IFERROR(__xludf.DUMMYFUNCTION("""COMPUTED_VALUE"""),4)</f>
        <v>4</v>
      </c>
      <c r="E60">
        <f ca="1">IFERROR(__xludf.DUMMYFUNCTION("""COMPUTED_VALUE"""),21.4)</f>
        <v>21.4</v>
      </c>
      <c r="F60" s="2">
        <f ca="1">IFERROR(__xludf.DUMMYFUNCTION("""COMPUTED_VALUE"""),8460)</f>
        <v>8460</v>
      </c>
      <c r="G60">
        <f ca="1">IFERROR(__xludf.DUMMYFUNCTION("""COMPUTED_VALUE"""),11)</f>
        <v>11</v>
      </c>
    </row>
    <row r="61" spans="1:7" ht="12.75">
      <c r="A61" t="str">
        <f ca="1">IFERROR(__xludf.DUMMYFUNCTION("""COMPUTED_VALUE"""),"T59")</f>
        <v>T59</v>
      </c>
      <c r="B61" t="str">
        <f ca="1">IFERROR(__xludf.DUMMYFUNCTION("""COMPUTED_VALUE"""),"T65")</f>
        <v>T65</v>
      </c>
      <c r="C61" t="str">
        <f ca="1">IFERROR(__xludf.DUMMYFUNCTION("""COMPUTED_VALUE"""),"William McGirt")</f>
        <v>William McGirt</v>
      </c>
      <c r="D61">
        <f ca="1">IFERROR(__xludf.DUMMYFUNCTION("""COMPUTED_VALUE"""),6)</f>
        <v>6</v>
      </c>
      <c r="E61">
        <f ca="1">IFERROR(__xludf.DUMMYFUNCTION("""COMPUTED_VALUE"""),21.4)</f>
        <v>21.4</v>
      </c>
      <c r="F61" s="2">
        <f ca="1">IFERROR(__xludf.DUMMYFUNCTION("""COMPUTED_VALUE"""),5389)</f>
        <v>5389</v>
      </c>
      <c r="G61">
        <f ca="1">IFERROR(__xludf.DUMMYFUNCTION("""COMPUTED_VALUE"""),7)</f>
        <v>7</v>
      </c>
    </row>
    <row r="62" spans="1:7" ht="12.75">
      <c r="A62" t="str">
        <f ca="1">IFERROR(__xludf.DUMMYFUNCTION("""COMPUTED_VALUE"""),"T59")</f>
        <v>T59</v>
      </c>
      <c r="B62">
        <f ca="1">IFERROR(__xludf.DUMMYFUNCTION("""COMPUTED_VALUE"""),50)</f>
        <v>50</v>
      </c>
      <c r="C62" t="str">
        <f ca="1">IFERROR(__xludf.DUMMYFUNCTION("""COMPUTED_VALUE"""),"Scott Piercy")</f>
        <v>Scott Piercy</v>
      </c>
      <c r="D62">
        <f ca="1">IFERROR(__xludf.DUMMYFUNCTION("""COMPUTED_VALUE"""),18)</f>
        <v>18</v>
      </c>
      <c r="E62">
        <f ca="1">IFERROR(__xludf.DUMMYFUNCTION("""COMPUTED_VALUE"""),21.4)</f>
        <v>21.4</v>
      </c>
      <c r="F62" s="2">
        <f ca="1">IFERROR(__xludf.DUMMYFUNCTION("""COMPUTED_VALUE"""),30067)</f>
        <v>30067</v>
      </c>
      <c r="G62">
        <f ca="1">IFERROR(__xludf.DUMMYFUNCTION("""COMPUTED_VALUE"""),39)</f>
        <v>39</v>
      </c>
    </row>
    <row r="63" spans="1:7" ht="12.75">
      <c r="A63">
        <f ca="1">IFERROR(__xludf.DUMMYFUNCTION("""COMPUTED_VALUE"""),62)</f>
        <v>62</v>
      </c>
      <c r="B63" t="str">
        <f ca="1">IFERROR(__xludf.DUMMYFUNCTION("""COMPUTED_VALUE"""),"T89")</f>
        <v>T89</v>
      </c>
      <c r="C63" t="str">
        <f ca="1">IFERROR(__xludf.DUMMYFUNCTION("""COMPUTED_VALUE"""),"Bo Van Pelt")</f>
        <v>Bo Van Pelt</v>
      </c>
      <c r="D63">
        <f ca="1">IFERROR(__xludf.DUMMYFUNCTION("""COMPUTED_VALUE"""),10)</f>
        <v>10</v>
      </c>
      <c r="E63">
        <f ca="1">IFERROR(__xludf.DUMMYFUNCTION("""COMPUTED_VALUE"""),21.5)</f>
        <v>21.5</v>
      </c>
      <c r="F63" s="2">
        <f ca="1">IFERROR(__xludf.DUMMYFUNCTION("""COMPUTED_VALUE"""),6205)</f>
        <v>6205</v>
      </c>
      <c r="G63">
        <f ca="1">IFERROR(__xludf.DUMMYFUNCTION("""COMPUTED_VALUE"""),8)</f>
        <v>8</v>
      </c>
    </row>
    <row r="64" spans="1:7" ht="12.75">
      <c r="A64" t="str">
        <f ca="1">IFERROR(__xludf.DUMMYFUNCTION("""COMPUTED_VALUE"""),"T63")</f>
        <v>T63</v>
      </c>
      <c r="B64">
        <f ca="1">IFERROR(__xludf.DUMMYFUNCTION("""COMPUTED_VALUE"""),42)</f>
        <v>42</v>
      </c>
      <c r="C64" t="str">
        <f ca="1">IFERROR(__xludf.DUMMYFUNCTION("""COMPUTED_VALUE"""),"Charley Hoffman")</f>
        <v>Charley Hoffman</v>
      </c>
      <c r="D64">
        <f ca="1">IFERROR(__xludf.DUMMYFUNCTION("""COMPUTED_VALUE"""),20)</f>
        <v>20</v>
      </c>
      <c r="E64">
        <f ca="1">IFERROR(__xludf.DUMMYFUNCTION("""COMPUTED_VALUE"""),21.6)</f>
        <v>21.6</v>
      </c>
      <c r="F64" s="2">
        <f ca="1">IFERROR(__xludf.DUMMYFUNCTION("""COMPUTED_VALUE"""),27953)</f>
        <v>27953</v>
      </c>
      <c r="G64">
        <f ca="1">IFERROR(__xludf.DUMMYFUNCTION("""COMPUTED_VALUE"""),36)</f>
        <v>36</v>
      </c>
    </row>
    <row r="65" spans="1:7" ht="12.75">
      <c r="A65" t="str">
        <f ca="1">IFERROR(__xludf.DUMMYFUNCTION("""COMPUTED_VALUE"""),"T63")</f>
        <v>T63</v>
      </c>
      <c r="B65" t="str">
        <f ca="1">IFERROR(__xludf.DUMMYFUNCTION("""COMPUTED_VALUE"""),"")</f>
        <v/>
      </c>
      <c r="C65" t="str">
        <f ca="1">IFERROR(__xludf.DUMMYFUNCTION("""COMPUTED_VALUE"""),"Ollie Schniederjans")</f>
        <v>Ollie Schniederjans</v>
      </c>
      <c r="D65">
        <f ca="1">IFERROR(__xludf.DUMMYFUNCTION("""COMPUTED_VALUE"""),6)</f>
        <v>6</v>
      </c>
      <c r="E65">
        <f ca="1">IFERROR(__xludf.DUMMYFUNCTION("""COMPUTED_VALUE"""),21.6)</f>
        <v>21.6</v>
      </c>
      <c r="F65" s="2">
        <f ca="1">IFERROR(__xludf.DUMMYFUNCTION("""COMPUTED_VALUE"""),2331)</f>
        <v>2331</v>
      </c>
      <c r="G65">
        <f ca="1">IFERROR(__xludf.DUMMYFUNCTION("""COMPUTED_VALUE"""),3)</f>
        <v>3</v>
      </c>
    </row>
    <row r="66" spans="1:7" ht="12.75">
      <c r="A66" t="str">
        <f ca="1">IFERROR(__xludf.DUMMYFUNCTION("""COMPUTED_VALUE"""),"T63")</f>
        <v>T63</v>
      </c>
      <c r="B66" t="str">
        <f ca="1">IFERROR(__xludf.DUMMYFUNCTION("""COMPUTED_VALUE"""),"T53")</f>
        <v>T53</v>
      </c>
      <c r="C66" t="str">
        <f ca="1">IFERROR(__xludf.DUMMYFUNCTION("""COMPUTED_VALUE"""),"Harold Varner III")</f>
        <v>Harold Varner III</v>
      </c>
      <c r="D66">
        <f ca="1">IFERROR(__xludf.DUMMYFUNCTION("""COMPUTED_VALUE"""),14)</f>
        <v>14</v>
      </c>
      <c r="E66">
        <f ca="1">IFERROR(__xludf.DUMMYFUNCTION("""COMPUTED_VALUE"""),21.6)</f>
        <v>21.6</v>
      </c>
      <c r="F66" s="2">
        <f ca="1">IFERROR(__xludf.DUMMYFUNCTION("""COMPUTED_VALUE"""),25682)</f>
        <v>25682</v>
      </c>
      <c r="G66">
        <f ca="1">IFERROR(__xludf.DUMMYFUNCTION("""COMPUTED_VALUE"""),33)</f>
        <v>33</v>
      </c>
    </row>
    <row r="67" spans="1:7" ht="12.75">
      <c r="A67">
        <f ca="1">IFERROR(__xludf.DUMMYFUNCTION("""COMPUTED_VALUE"""),66)</f>
        <v>66</v>
      </c>
      <c r="B67" t="str">
        <f ca="1">IFERROR(__xludf.DUMMYFUNCTION("""COMPUTED_VALUE"""),"T68")</f>
        <v>T68</v>
      </c>
      <c r="C67" t="str">
        <f ca="1">IFERROR(__xludf.DUMMYFUNCTION("""COMPUTED_VALUE"""),"Viktor Hovland")</f>
        <v>Viktor Hovland</v>
      </c>
      <c r="D67">
        <f ca="1">IFERROR(__xludf.DUMMYFUNCTION("""COMPUTED_VALUE"""),16)</f>
        <v>16</v>
      </c>
      <c r="E67">
        <f ca="1">IFERROR(__xludf.DUMMYFUNCTION("""COMPUTED_VALUE"""),21.8)</f>
        <v>21.8</v>
      </c>
      <c r="F67" s="2">
        <f ca="1">IFERROR(__xludf.DUMMYFUNCTION("""COMPUTED_VALUE"""),37677)</f>
        <v>37677</v>
      </c>
      <c r="G67">
        <f ca="1">IFERROR(__xludf.DUMMYFUNCTION("""COMPUTED_VALUE"""),48)</f>
        <v>48</v>
      </c>
    </row>
    <row r="68" spans="1:7" ht="12.75">
      <c r="A68" t="str">
        <f ca="1">IFERROR(__xludf.DUMMYFUNCTION("""COMPUTED_VALUE"""),"T67")</f>
        <v>T67</v>
      </c>
      <c r="B68" t="str">
        <f ca="1">IFERROR(__xludf.DUMMYFUNCTION("""COMPUTED_VALUE"""),"T73")</f>
        <v>T73</v>
      </c>
      <c r="C68" t="str">
        <f ca="1">IFERROR(__xludf.DUMMYFUNCTION("""COMPUTED_VALUE"""),"Matthew Wolff")</f>
        <v>Matthew Wolff</v>
      </c>
      <c r="D68">
        <f ca="1">IFERROR(__xludf.DUMMYFUNCTION("""COMPUTED_VALUE"""),16)</f>
        <v>16</v>
      </c>
      <c r="E68">
        <f ca="1">IFERROR(__xludf.DUMMYFUNCTION("""COMPUTED_VALUE"""),21.9)</f>
        <v>21.9</v>
      </c>
      <c r="F68" s="2">
        <f ca="1">IFERROR(__xludf.DUMMYFUNCTION("""COMPUTED_VALUE"""),41795)</f>
        <v>41795</v>
      </c>
      <c r="G68">
        <f ca="1">IFERROR(__xludf.DUMMYFUNCTION("""COMPUTED_VALUE"""),53)</f>
        <v>53</v>
      </c>
    </row>
    <row r="69" spans="1:7" ht="12.75">
      <c r="A69" t="str">
        <f ca="1">IFERROR(__xludf.DUMMYFUNCTION("""COMPUTED_VALUE"""),"T67")</f>
        <v>T67</v>
      </c>
      <c r="B69" t="str">
        <f ca="1">IFERROR(__xludf.DUMMYFUNCTION("""COMPUTED_VALUE"""),"T73")</f>
        <v>T73</v>
      </c>
      <c r="C69" t="str">
        <f ca="1">IFERROR(__xludf.DUMMYFUNCTION("""COMPUTED_VALUE"""),"Chris Baker")</f>
        <v>Chris Baker</v>
      </c>
      <c r="D69">
        <f ca="1">IFERROR(__xludf.DUMMYFUNCTION("""COMPUTED_VALUE"""),8)</f>
        <v>8</v>
      </c>
      <c r="E69">
        <f ca="1">IFERROR(__xludf.DUMMYFUNCTION("""COMPUTED_VALUE"""),21.9)</f>
        <v>21.9</v>
      </c>
      <c r="F69" s="2">
        <f ca="1">IFERROR(__xludf.DUMMYFUNCTION("""COMPUTED_VALUE"""),7111)</f>
        <v>7111</v>
      </c>
      <c r="G69">
        <f ca="1">IFERROR(__xludf.DUMMYFUNCTION("""COMPUTED_VALUE"""),9)</f>
        <v>9</v>
      </c>
    </row>
    <row r="70" spans="1:7" ht="12.75">
      <c r="A70" t="str">
        <f ca="1">IFERROR(__xludf.DUMMYFUNCTION("""COMPUTED_VALUE"""),"T67")</f>
        <v>T67</v>
      </c>
      <c r="B70" t="str">
        <f ca="1">IFERROR(__xludf.DUMMYFUNCTION("""COMPUTED_VALUE"""),"T99")</f>
        <v>T99</v>
      </c>
      <c r="C70" t="str">
        <f ca="1">IFERROR(__xludf.DUMMYFUNCTION("""COMPUTED_VALUE"""),"Lucas Glover")</f>
        <v>Lucas Glover</v>
      </c>
      <c r="D70">
        <f ca="1">IFERROR(__xludf.DUMMYFUNCTION("""COMPUTED_VALUE"""),12)</f>
        <v>12</v>
      </c>
      <c r="E70">
        <f ca="1">IFERROR(__xludf.DUMMYFUNCTION("""COMPUTED_VALUE"""),21.9)</f>
        <v>21.9</v>
      </c>
      <c r="F70" s="2">
        <f ca="1">IFERROR(__xludf.DUMMYFUNCTION("""COMPUTED_VALUE"""),22879)</f>
        <v>22879</v>
      </c>
      <c r="G70">
        <f ca="1">IFERROR(__xludf.DUMMYFUNCTION("""COMPUTED_VALUE"""),29)</f>
        <v>29</v>
      </c>
    </row>
    <row r="71" spans="1:7" ht="12.75">
      <c r="A71" t="str">
        <f ca="1">IFERROR(__xludf.DUMMYFUNCTION("""COMPUTED_VALUE"""),"T67")</f>
        <v>T67</v>
      </c>
      <c r="B71">
        <f ca="1">IFERROR(__xludf.DUMMYFUNCTION("""COMPUTED_VALUE"""),72)</f>
        <v>72</v>
      </c>
      <c r="C71" t="str">
        <f ca="1">IFERROR(__xludf.DUMMYFUNCTION("""COMPUTED_VALUE"""),"Xinjun Zhang")</f>
        <v>Xinjun Zhang</v>
      </c>
      <c r="D71">
        <f ca="1">IFERROR(__xludf.DUMMYFUNCTION("""COMPUTED_VALUE"""),14)</f>
        <v>14</v>
      </c>
      <c r="E71">
        <f ca="1">IFERROR(__xludf.DUMMYFUNCTION("""COMPUTED_VALUE"""),21.9)</f>
        <v>21.9</v>
      </c>
      <c r="F71" s="2">
        <f ca="1">IFERROR(__xludf.DUMMYFUNCTION("""COMPUTED_VALUE"""),18105)</f>
        <v>18105</v>
      </c>
      <c r="G71">
        <f ca="1">IFERROR(__xludf.DUMMYFUNCTION("""COMPUTED_VALUE"""),23)</f>
        <v>23</v>
      </c>
    </row>
    <row r="72" spans="1:7" ht="12.75">
      <c r="A72" t="str">
        <f ca="1">IFERROR(__xludf.DUMMYFUNCTION("""COMPUTED_VALUE"""),"T71")</f>
        <v>T71</v>
      </c>
      <c r="B72" t="str">
        <f ca="1">IFERROR(__xludf.DUMMYFUNCTION("""COMPUTED_VALUE"""),"T76")</f>
        <v>T76</v>
      </c>
      <c r="C72" t="str">
        <f ca="1">IFERROR(__xludf.DUMMYFUNCTION("""COMPUTED_VALUE"""),"Byeong Hun An")</f>
        <v>Byeong Hun An</v>
      </c>
      <c r="D72">
        <f ca="1">IFERROR(__xludf.DUMMYFUNCTION("""COMPUTED_VALUE"""),14)</f>
        <v>14</v>
      </c>
      <c r="E72">
        <f ca="1">IFERROR(__xludf.DUMMYFUNCTION("""COMPUTED_VALUE"""),22)</f>
        <v>22</v>
      </c>
      <c r="F72" s="2">
        <f ca="1">IFERROR(__xludf.DUMMYFUNCTION("""COMPUTED_VALUE"""),37999)</f>
        <v>37999</v>
      </c>
      <c r="G72">
        <f ca="1">IFERROR(__xludf.DUMMYFUNCTION("""COMPUTED_VALUE"""),48)</f>
        <v>48</v>
      </c>
    </row>
    <row r="73" spans="1:7" ht="12.75">
      <c r="A73" t="str">
        <f ca="1">IFERROR(__xludf.DUMMYFUNCTION("""COMPUTED_VALUE"""),"T71")</f>
        <v>T71</v>
      </c>
      <c r="B73" t="str">
        <f ca="1">IFERROR(__xludf.DUMMYFUNCTION("""COMPUTED_VALUE"""),"T76")</f>
        <v>T76</v>
      </c>
      <c r="C73" t="str">
        <f ca="1">IFERROR(__xludf.DUMMYFUNCTION("""COMPUTED_VALUE"""),"Mikumu Horikawa")</f>
        <v>Mikumu Horikawa</v>
      </c>
      <c r="D73">
        <f ca="1">IFERROR(__xludf.DUMMYFUNCTION("""COMPUTED_VALUE"""),4)</f>
        <v>4</v>
      </c>
      <c r="E73">
        <f ca="1">IFERROR(__xludf.DUMMYFUNCTION("""COMPUTED_VALUE"""),22)</f>
        <v>22</v>
      </c>
      <c r="F73" s="2">
        <f ca="1">IFERROR(__xludf.DUMMYFUNCTION("""COMPUTED_VALUE"""),7927)</f>
        <v>7927</v>
      </c>
      <c r="G73">
        <f ca="1">IFERROR(__xludf.DUMMYFUNCTION("""COMPUTED_VALUE"""),10)</f>
        <v>10</v>
      </c>
    </row>
    <row r="74" spans="1:7" ht="12.75">
      <c r="A74" t="str">
        <f ca="1">IFERROR(__xludf.DUMMYFUNCTION("""COMPUTED_VALUE"""),"T73")</f>
        <v>T73</v>
      </c>
      <c r="B74" t="str">
        <f ca="1">IFERROR(__xludf.DUMMYFUNCTION("""COMPUTED_VALUE"""),"T60")</f>
        <v>T60</v>
      </c>
      <c r="C74" t="str">
        <f ca="1">IFERROR(__xludf.DUMMYFUNCTION("""COMPUTED_VALUE"""),"Adam Long")</f>
        <v>Adam Long</v>
      </c>
      <c r="D74">
        <f ca="1">IFERROR(__xludf.DUMMYFUNCTION("""COMPUTED_VALUE"""),22)</f>
        <v>22</v>
      </c>
      <c r="E74">
        <f ca="1">IFERROR(__xludf.DUMMYFUNCTION("""COMPUTED_VALUE"""),22.1)</f>
        <v>22.1</v>
      </c>
      <c r="F74" s="2">
        <f ca="1">IFERROR(__xludf.DUMMYFUNCTION("""COMPUTED_VALUE"""),27822)</f>
        <v>27822</v>
      </c>
      <c r="G74">
        <f ca="1">IFERROR(__xludf.DUMMYFUNCTION("""COMPUTED_VALUE"""),35)</f>
        <v>35</v>
      </c>
    </row>
    <row r="75" spans="1:7" ht="12.75">
      <c r="A75" t="str">
        <f ca="1">IFERROR(__xludf.DUMMYFUNCTION("""COMPUTED_VALUE"""),"T73")</f>
        <v>T73</v>
      </c>
      <c r="B75">
        <f ca="1">IFERROR(__xludf.DUMMYFUNCTION("""COMPUTED_VALUE"""),79)</f>
        <v>79</v>
      </c>
      <c r="C75" t="str">
        <f ca="1">IFERROR(__xludf.DUMMYFUNCTION("""COMPUTED_VALUE"""),"Rob Oppenheim")</f>
        <v>Rob Oppenheim</v>
      </c>
      <c r="D75">
        <f ca="1">IFERROR(__xludf.DUMMYFUNCTION("""COMPUTED_VALUE"""),16)</f>
        <v>16</v>
      </c>
      <c r="E75">
        <f ca="1">IFERROR(__xludf.DUMMYFUNCTION("""COMPUTED_VALUE"""),22.1)</f>
        <v>22.1</v>
      </c>
      <c r="F75" s="2">
        <f ca="1">IFERROR(__xludf.DUMMYFUNCTION("""COMPUTED_VALUE"""),20673)</f>
        <v>20673</v>
      </c>
      <c r="G75">
        <f ca="1">IFERROR(__xludf.DUMMYFUNCTION("""COMPUTED_VALUE"""),26)</f>
        <v>26</v>
      </c>
    </row>
    <row r="76" spans="1:7" ht="12.75">
      <c r="A76" t="str">
        <f ca="1">IFERROR(__xludf.DUMMYFUNCTION("""COMPUTED_VALUE"""),"T73")</f>
        <v>T73</v>
      </c>
      <c r="B76" t="str">
        <f ca="1">IFERROR(__xludf.DUMMYFUNCTION("""COMPUTED_VALUE"""),"T43")</f>
        <v>T43</v>
      </c>
      <c r="C76" t="str">
        <f ca="1">IFERROR(__xludf.DUMMYFUNCTION("""COMPUTED_VALUE"""),"Alex Noren")</f>
        <v>Alex Noren</v>
      </c>
      <c r="D76">
        <f ca="1">IFERROR(__xludf.DUMMYFUNCTION("""COMPUTED_VALUE"""),14)</f>
        <v>14</v>
      </c>
      <c r="E76">
        <f ca="1">IFERROR(__xludf.DUMMYFUNCTION("""COMPUTED_VALUE"""),22.1)</f>
        <v>22.1</v>
      </c>
      <c r="F76" s="2">
        <f ca="1">IFERROR(__xludf.DUMMYFUNCTION("""COMPUTED_VALUE"""),28596)</f>
        <v>28596</v>
      </c>
      <c r="G76">
        <f ca="1">IFERROR(__xludf.DUMMYFUNCTION("""COMPUTED_VALUE"""),36)</f>
        <v>36</v>
      </c>
    </row>
    <row r="77" spans="1:7" ht="12.75">
      <c r="A77" t="str">
        <f ca="1">IFERROR(__xludf.DUMMYFUNCTION("""COMPUTED_VALUE"""),"T73")</f>
        <v>T73</v>
      </c>
      <c r="B77" t="str">
        <f ca="1">IFERROR(__xludf.DUMMYFUNCTION("""COMPUTED_VALUE"""),"T106")</f>
        <v>T106</v>
      </c>
      <c r="C77" t="str">
        <f ca="1">IFERROR(__xludf.DUMMYFUNCTION("""COMPUTED_VALUE"""),"Zach Johnson")</f>
        <v>Zach Johnson</v>
      </c>
      <c r="D77">
        <f ca="1">IFERROR(__xludf.DUMMYFUNCTION("""COMPUTED_VALUE"""),16)</f>
        <v>16</v>
      </c>
      <c r="E77">
        <f ca="1">IFERROR(__xludf.DUMMYFUNCTION("""COMPUTED_VALUE"""),22.1)</f>
        <v>22.1</v>
      </c>
      <c r="F77" s="2">
        <f ca="1">IFERROR(__xludf.DUMMYFUNCTION("""COMPUTED_VALUE"""),19917)</f>
        <v>19917</v>
      </c>
      <c r="G77">
        <f ca="1">IFERROR(__xludf.DUMMYFUNCTION("""COMPUTED_VALUE"""),25)</f>
        <v>25</v>
      </c>
    </row>
    <row r="78" spans="1:7" ht="12.75">
      <c r="A78" t="str">
        <f ca="1">IFERROR(__xludf.DUMMYFUNCTION("""COMPUTED_VALUE"""),"T77")</f>
        <v>T77</v>
      </c>
      <c r="B78" t="str">
        <f ca="1">IFERROR(__xludf.DUMMYFUNCTION("""COMPUTED_VALUE"""),"T80")</f>
        <v>T80</v>
      </c>
      <c r="C78" t="str">
        <f ca="1">IFERROR(__xludf.DUMMYFUNCTION("""COMPUTED_VALUE"""),"Rafa Cabrera Bello")</f>
        <v>Rafa Cabrera Bello</v>
      </c>
      <c r="D78">
        <f ca="1">IFERROR(__xludf.DUMMYFUNCTION("""COMPUTED_VALUE"""),14)</f>
        <v>14</v>
      </c>
      <c r="E78">
        <f ca="1">IFERROR(__xludf.DUMMYFUNCTION("""COMPUTED_VALUE"""),22.2)</f>
        <v>22.2</v>
      </c>
      <c r="F78" s="2">
        <f ca="1">IFERROR(__xludf.DUMMYFUNCTION("""COMPUTED_VALUE"""),24002)</f>
        <v>24002</v>
      </c>
      <c r="G78">
        <f ca="1">IFERROR(__xludf.DUMMYFUNCTION("""COMPUTED_VALUE"""),30)</f>
        <v>30</v>
      </c>
    </row>
    <row r="79" spans="1:7" ht="12.75">
      <c r="A79" t="str">
        <f ca="1">IFERROR(__xludf.DUMMYFUNCTION("""COMPUTED_VALUE"""),"T77")</f>
        <v>T77</v>
      </c>
      <c r="B79" t="str">
        <f ca="1">IFERROR(__xludf.DUMMYFUNCTION("""COMPUTED_VALUE"""),"T29")</f>
        <v>T29</v>
      </c>
      <c r="C79" t="str">
        <f ca="1">IFERROR(__xludf.DUMMYFUNCTION("""COMPUTED_VALUE"""),"Jhonattan Vegas")</f>
        <v>Jhonattan Vegas</v>
      </c>
      <c r="D79">
        <f ca="1">IFERROR(__xludf.DUMMYFUNCTION("""COMPUTED_VALUE"""),16)</f>
        <v>16</v>
      </c>
      <c r="E79">
        <f ca="1">IFERROR(__xludf.DUMMYFUNCTION("""COMPUTED_VALUE"""),22.2)</f>
        <v>22.2</v>
      </c>
      <c r="F79" s="2">
        <f ca="1">IFERROR(__xludf.DUMMYFUNCTION("""COMPUTED_VALUE"""),21533)</f>
        <v>21533</v>
      </c>
      <c r="G79">
        <f ca="1">IFERROR(__xludf.DUMMYFUNCTION("""COMPUTED_VALUE"""),27)</f>
        <v>27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IFERROR(__xludf.DUMMYFUNCTION("""COMPUTED_VALUE"""),"T83")</f>
        <v>T83</v>
      </c>
      <c r="C80" t="str">
        <f ca="1">IFERROR(__xludf.DUMMYFUNCTION("""COMPUTED_VALUE"""),"Zack Sucher")</f>
        <v>Zack Sucher</v>
      </c>
      <c r="D80">
        <f ca="1">IFERROR(__xludf.DUMMYFUNCTION("""COMPUTED_VALUE"""),6)</f>
        <v>6</v>
      </c>
      <c r="E80">
        <f ca="1">IFERROR(__xludf.DUMMYFUNCTION("""COMPUTED_VALUE"""),22.3)</f>
        <v>22.3</v>
      </c>
      <c r="F80" s="2">
        <f ca="1">IFERROR(__xludf.DUMMYFUNCTION("""COMPUTED_VALUE"""),4011)</f>
        <v>4011</v>
      </c>
      <c r="G80">
        <f ca="1">IFERROR(__xludf.DUMMYFUNCTION("""COMPUTED_VALUE"""),5)</f>
        <v>5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IFERROR(__xludf.DUMMYFUNCTION("""COMPUTED_VALUE"""),"T83")</f>
        <v>T83</v>
      </c>
      <c r="C81" t="str">
        <f ca="1">IFERROR(__xludf.DUMMYFUNCTION("""COMPUTED_VALUE"""),"Hank Lebioda")</f>
        <v>Hank Lebioda</v>
      </c>
      <c r="D81">
        <f ca="1">IFERROR(__xludf.DUMMYFUNCTION("""COMPUTED_VALUE"""),14)</f>
        <v>14</v>
      </c>
      <c r="E81">
        <f ca="1">IFERROR(__xludf.DUMMYFUNCTION("""COMPUTED_VALUE"""),22.3)</f>
        <v>22.3</v>
      </c>
      <c r="F81" s="2">
        <f ca="1">IFERROR(__xludf.DUMMYFUNCTION("""COMPUTED_VALUE"""),5610)</f>
        <v>5610</v>
      </c>
      <c r="G81">
        <f ca="1">IFERROR(__xludf.DUMMYFUNCTION("""COMPUTED_VALUE"""),7)</f>
        <v>7</v>
      </c>
    </row>
    <row r="82" spans="1:7" ht="12.75">
      <c r="A82" t="str">
        <f ca="1">IFERROR(__xludf.DUMMYFUNCTION("""COMPUTED_VALUE"""),"T79")</f>
        <v>T79</v>
      </c>
      <c r="B82" t="str">
        <f ca="1">IFERROR(__xludf.DUMMYFUNCTION("""COMPUTED_VALUE"""),"T102")</f>
        <v>T102</v>
      </c>
      <c r="C82" t="str">
        <f ca="1">IFERROR(__xludf.DUMMYFUNCTION("""COMPUTED_VALUE"""),"J.T. Poston")</f>
        <v>J.T. Poston</v>
      </c>
      <c r="D82">
        <f ca="1">IFERROR(__xludf.DUMMYFUNCTION("""COMPUTED_VALUE"""),18)</f>
        <v>18</v>
      </c>
      <c r="E82">
        <f ca="1">IFERROR(__xludf.DUMMYFUNCTION("""COMPUTED_VALUE"""),22.3)</f>
        <v>22.3</v>
      </c>
      <c r="F82" s="2">
        <f ca="1">IFERROR(__xludf.DUMMYFUNCTION("""COMPUTED_VALUE"""),40903)</f>
        <v>40903</v>
      </c>
      <c r="G82">
        <f ca="1">IFERROR(__xludf.DUMMYFUNCTION("""COMPUTED_VALUE"""),51)</f>
        <v>51</v>
      </c>
    </row>
    <row r="83" spans="1:7" ht="12.75">
      <c r="A83" t="str">
        <f ca="1">IFERROR(__xludf.DUMMYFUNCTION("""COMPUTED_VALUE"""),"T82")</f>
        <v>T82</v>
      </c>
      <c r="B83" t="str">
        <f ca="1">IFERROR(__xludf.DUMMYFUNCTION("""COMPUTED_VALUE"""),"T83")</f>
        <v>T83</v>
      </c>
      <c r="C83" t="str">
        <f ca="1">IFERROR(__xludf.DUMMYFUNCTION("""COMPUTED_VALUE"""),"Tom Hoge")</f>
        <v>Tom Hoge</v>
      </c>
      <c r="D83">
        <f ca="1">IFERROR(__xludf.DUMMYFUNCTION("""COMPUTED_VALUE"""),22)</f>
        <v>22</v>
      </c>
      <c r="E83">
        <f ca="1">IFERROR(__xludf.DUMMYFUNCTION("""COMPUTED_VALUE"""),22.4)</f>
        <v>22.4</v>
      </c>
      <c r="F83" s="2">
        <f ca="1">IFERROR(__xludf.DUMMYFUNCTION("""COMPUTED_VALUE"""),45063)</f>
        <v>45063</v>
      </c>
      <c r="G83">
        <f ca="1">IFERROR(__xludf.DUMMYFUNCTION("""COMPUTED_VALUE"""),56)</f>
        <v>56</v>
      </c>
    </row>
    <row r="84" spans="1:7" ht="12.75">
      <c r="A84" t="str">
        <f ca="1">IFERROR(__xludf.DUMMYFUNCTION("""COMPUTED_VALUE"""),"T82")</f>
        <v>T82</v>
      </c>
      <c r="B84" t="str">
        <f ca="1">IFERROR(__xludf.DUMMYFUNCTION("""COMPUTED_VALUE"""),"T89")</f>
        <v>T89</v>
      </c>
      <c r="C84" t="str">
        <f ca="1">IFERROR(__xludf.DUMMYFUNCTION("""COMPUTED_VALUE"""),"MJ Daffue")</f>
        <v>MJ Daffue</v>
      </c>
      <c r="D84">
        <f ca="1">IFERROR(__xludf.DUMMYFUNCTION("""COMPUTED_VALUE"""),10)</f>
        <v>10</v>
      </c>
      <c r="E84">
        <f ca="1">IFERROR(__xludf.DUMMYFUNCTION("""COMPUTED_VALUE"""),22.4)</f>
        <v>22.4</v>
      </c>
      <c r="F84" s="2">
        <f ca="1">IFERROR(__xludf.DUMMYFUNCTION("""COMPUTED_VALUE"""),28250)</f>
        <v>28250</v>
      </c>
      <c r="G84">
        <f ca="1">IFERROR(__xludf.DUMMYFUNCTION("""COMPUTED_VALUE"""),35)</f>
        <v>35</v>
      </c>
    </row>
    <row r="85" spans="1:7" ht="12.75">
      <c r="A85" t="str">
        <f ca="1">IFERROR(__xludf.DUMMYFUNCTION("""COMPUTED_VALUE"""),"T82")</f>
        <v>T82</v>
      </c>
      <c r="B85" t="str">
        <f ca="1">IFERROR(__xludf.DUMMYFUNCTION("""COMPUTED_VALUE"""),"T89")</f>
        <v>T89</v>
      </c>
      <c r="C85" t="str">
        <f ca="1">IFERROR(__xludf.DUMMYFUNCTION("""COMPUTED_VALUE"""),"John Senden")</f>
        <v>John Senden</v>
      </c>
      <c r="D85">
        <f ca="1">IFERROR(__xludf.DUMMYFUNCTION("""COMPUTED_VALUE"""),8)</f>
        <v>8</v>
      </c>
      <c r="E85">
        <f ca="1">IFERROR(__xludf.DUMMYFUNCTION("""COMPUTED_VALUE"""),22.4)</f>
        <v>22.4</v>
      </c>
      <c r="F85" s="2">
        <f ca="1">IFERROR(__xludf.DUMMYFUNCTION("""COMPUTED_VALUE"""),2421)</f>
        <v>2421</v>
      </c>
      <c r="G85">
        <f ca="1">IFERROR(__xludf.DUMMYFUNCTION("""COMPUTED_VALUE"""),3)</f>
        <v>3</v>
      </c>
    </row>
    <row r="86" spans="1:7" ht="12.75">
      <c r="A86" t="str">
        <f ca="1">IFERROR(__xludf.DUMMYFUNCTION("""COMPUTED_VALUE"""),"T82")</f>
        <v>T82</v>
      </c>
      <c r="B86" t="str">
        <f ca="1">IFERROR(__xludf.DUMMYFUNCTION("""COMPUTED_VALUE"""),"T102")</f>
        <v>T102</v>
      </c>
      <c r="C86" t="str">
        <f ca="1">IFERROR(__xludf.DUMMYFUNCTION("""COMPUTED_VALUE"""),"Jason Day")</f>
        <v>Jason Day</v>
      </c>
      <c r="D86">
        <f ca="1">IFERROR(__xludf.DUMMYFUNCTION("""COMPUTED_VALUE"""),17)</f>
        <v>17</v>
      </c>
      <c r="E86">
        <f ca="1">IFERROR(__xludf.DUMMYFUNCTION("""COMPUTED_VALUE"""),22.4)</f>
        <v>22.4</v>
      </c>
      <c r="F86" s="2">
        <f ca="1">IFERROR(__xludf.DUMMYFUNCTION("""COMPUTED_VALUE"""),41100)</f>
        <v>41100</v>
      </c>
      <c r="G86">
        <f ca="1">IFERROR(__xludf.DUMMYFUNCTION("""COMPUTED_VALUE"""),51)</f>
        <v>51</v>
      </c>
    </row>
    <row r="87" spans="1:7" ht="12.75">
      <c r="A87" t="str">
        <f ca="1">IFERROR(__xludf.DUMMYFUNCTION("""COMPUTED_VALUE"""),"T86")</f>
        <v>T86</v>
      </c>
      <c r="B87" t="str">
        <f ca="1">IFERROR(__xludf.DUMMYFUNCTION("""COMPUTED_VALUE"""),"T92")</f>
        <v>T92</v>
      </c>
      <c r="C87" t="str">
        <f ca="1">IFERROR(__xludf.DUMMYFUNCTION("""COMPUTED_VALUE"""),"Nick Watney")</f>
        <v>Nick Watney</v>
      </c>
      <c r="D87">
        <f ca="1">IFERROR(__xludf.DUMMYFUNCTION("""COMPUTED_VALUE"""),10)</f>
        <v>10</v>
      </c>
      <c r="E87">
        <f ca="1">IFERROR(__xludf.DUMMYFUNCTION("""COMPUTED_VALUE"""),22.5)</f>
        <v>22.5</v>
      </c>
      <c r="F87" s="2">
        <f ca="1">IFERROR(__xludf.DUMMYFUNCTION("""COMPUTED_VALUE"""),17785)</f>
        <v>17785</v>
      </c>
      <c r="G87">
        <f ca="1">IFERROR(__xludf.DUMMYFUNCTION("""COMPUTED_VALUE"""),22)</f>
        <v>22</v>
      </c>
    </row>
    <row r="88" spans="1:7" ht="12.75">
      <c r="A88" t="str">
        <f ca="1">IFERROR(__xludf.DUMMYFUNCTION("""COMPUTED_VALUE"""),"T86")</f>
        <v>T86</v>
      </c>
      <c r="B88" t="str">
        <f ca="1">IFERROR(__xludf.DUMMYFUNCTION("""COMPUTED_VALUE"""),"T34")</f>
        <v>T34</v>
      </c>
      <c r="C88" t="str">
        <f ca="1">IFERROR(__xludf.DUMMYFUNCTION("""COMPUTED_VALUE"""),"Erik van Rooyen")</f>
        <v>Erik van Rooyen</v>
      </c>
      <c r="D88">
        <f ca="1">IFERROR(__xludf.DUMMYFUNCTION("""COMPUTED_VALUE"""),10)</f>
        <v>10</v>
      </c>
      <c r="E88">
        <f ca="1">IFERROR(__xludf.DUMMYFUNCTION("""COMPUTED_VALUE"""),22.5)</f>
        <v>22.5</v>
      </c>
      <c r="F88" s="2">
        <f ca="1">IFERROR(__xludf.DUMMYFUNCTION("""COMPUTED_VALUE"""),14596)</f>
        <v>14596</v>
      </c>
      <c r="G88">
        <f ca="1">IFERROR(__xludf.DUMMYFUNCTION("""COMPUTED_VALUE"""),18)</f>
        <v>18</v>
      </c>
    </row>
    <row r="89" spans="1:7" ht="12.75">
      <c r="A89" t="str">
        <f ca="1">IFERROR(__xludf.DUMMYFUNCTION("""COMPUTED_VALUE"""),"T86")</f>
        <v>T86</v>
      </c>
      <c r="B89" t="str">
        <f ca="1">IFERROR(__xludf.DUMMYFUNCTION("""COMPUTED_VALUE"""),"T92")</f>
        <v>T92</v>
      </c>
      <c r="C89" t="str">
        <f ca="1">IFERROR(__xludf.DUMMYFUNCTION("""COMPUTED_VALUE"""),"Patrick Reed")</f>
        <v>Patrick Reed</v>
      </c>
      <c r="D89">
        <f ca="1">IFERROR(__xludf.DUMMYFUNCTION("""COMPUTED_VALUE"""),8)</f>
        <v>8</v>
      </c>
      <c r="E89">
        <f ca="1">IFERROR(__xludf.DUMMYFUNCTION("""COMPUTED_VALUE"""),22.5)</f>
        <v>22.5</v>
      </c>
      <c r="F89" s="2">
        <f ca="1">IFERROR(__xludf.DUMMYFUNCTION("""COMPUTED_VALUE"""),19400)</f>
        <v>19400</v>
      </c>
      <c r="G89">
        <f ca="1">IFERROR(__xludf.DUMMYFUNCTION("""COMPUTED_VALUE"""),24)</f>
        <v>24</v>
      </c>
    </row>
    <row r="90" spans="1:7" ht="12.75">
      <c r="A90" t="str">
        <f ca="1">IFERROR(__xludf.DUMMYFUNCTION("""COMPUTED_VALUE"""),"T86")</f>
        <v>T86</v>
      </c>
      <c r="B90" t="str">
        <f ca="1">IFERROR(__xludf.DUMMYFUNCTION("""COMPUTED_VALUE"""),"T92")</f>
        <v>T92</v>
      </c>
      <c r="C90" t="str">
        <f ca="1">IFERROR(__xludf.DUMMYFUNCTION("""COMPUTED_VALUE"""),"Naoki Sekito")</f>
        <v>Naoki Sekito</v>
      </c>
      <c r="D90">
        <f ca="1">IFERROR(__xludf.DUMMYFUNCTION("""COMPUTED_VALUE"""),4)</f>
        <v>4</v>
      </c>
      <c r="E90">
        <f ca="1">IFERROR(__xludf.DUMMYFUNCTION("""COMPUTED_VALUE"""),22.5)</f>
        <v>22.5</v>
      </c>
      <c r="F90" s="2">
        <f ca="1">IFERROR(__xludf.DUMMYFUNCTION("""COMPUTED_VALUE"""),8104)</f>
        <v>8104</v>
      </c>
      <c r="G90">
        <f ca="1">IFERROR(__xludf.DUMMYFUNCTION("""COMPUTED_VALUE"""),10)</f>
        <v>10</v>
      </c>
    </row>
    <row r="91" spans="1:7" ht="12.75">
      <c r="A91" t="str">
        <f ca="1">IFERROR(__xludf.DUMMYFUNCTION("""COMPUTED_VALUE"""),"T90")</f>
        <v>T90</v>
      </c>
      <c r="B91" t="str">
        <f ca="1">IFERROR(__xludf.DUMMYFUNCTION("""COMPUTED_VALUE"""),"T95")</f>
        <v>T95</v>
      </c>
      <c r="C91" t="str">
        <f ca="1">IFERROR(__xludf.DUMMYFUNCTION("""COMPUTED_VALUE"""),"Peter Malnati")</f>
        <v>Peter Malnati</v>
      </c>
      <c r="D91">
        <f ca="1">IFERROR(__xludf.DUMMYFUNCTION("""COMPUTED_VALUE"""),18)</f>
        <v>18</v>
      </c>
      <c r="E91">
        <f ca="1">IFERROR(__xludf.DUMMYFUNCTION("""COMPUTED_VALUE"""),22.6)</f>
        <v>22.6</v>
      </c>
      <c r="F91" s="2">
        <f ca="1">IFERROR(__xludf.DUMMYFUNCTION("""COMPUTED_VALUE"""),20312)</f>
        <v>20312</v>
      </c>
      <c r="G91">
        <f ca="1">IFERROR(__xludf.DUMMYFUNCTION("""COMPUTED_VALUE"""),25)</f>
        <v>25</v>
      </c>
    </row>
    <row r="92" spans="1:7" ht="12.75">
      <c r="A92" t="str">
        <f ca="1">IFERROR(__xludf.DUMMYFUNCTION("""COMPUTED_VALUE"""),"T90")</f>
        <v>T90</v>
      </c>
      <c r="B92" t="str">
        <f ca="1">IFERROR(__xludf.DUMMYFUNCTION("""COMPUTED_VALUE"""),"T95")</f>
        <v>T95</v>
      </c>
      <c r="C92" t="str">
        <f ca="1">IFERROR(__xludf.DUMMYFUNCTION("""COMPUTED_VALUE"""),"Shugo Imahira")</f>
        <v>Shugo Imahira</v>
      </c>
      <c r="D92">
        <f ca="1">IFERROR(__xludf.DUMMYFUNCTION("""COMPUTED_VALUE"""),8)</f>
        <v>8</v>
      </c>
      <c r="E92">
        <f ca="1">IFERROR(__xludf.DUMMYFUNCTION("""COMPUTED_VALUE"""),22.6)</f>
        <v>22.6</v>
      </c>
      <c r="F92" s="2">
        <f ca="1">IFERROR(__xludf.DUMMYFUNCTION("""COMPUTED_VALUE"""),17923)</f>
        <v>17923</v>
      </c>
      <c r="G92">
        <f ca="1">IFERROR(__xludf.DUMMYFUNCTION("""COMPUTED_VALUE"""),22)</f>
        <v>22</v>
      </c>
    </row>
    <row r="93" spans="1:7" ht="12.75">
      <c r="A93" t="str">
        <f ca="1">IFERROR(__xludf.DUMMYFUNCTION("""COMPUTED_VALUE"""),"T90")</f>
        <v>T90</v>
      </c>
      <c r="B93" t="str">
        <f ca="1">IFERROR(__xludf.DUMMYFUNCTION("""COMPUTED_VALUE"""),"T95")</f>
        <v>T95</v>
      </c>
      <c r="C93" t="str">
        <f ca="1">IFERROR(__xludf.DUMMYFUNCTION("""COMPUTED_VALUE"""),"Jim Herman")</f>
        <v>Jim Herman</v>
      </c>
      <c r="D93">
        <f ca="1">IFERROR(__xludf.DUMMYFUNCTION("""COMPUTED_VALUE"""),12)</f>
        <v>12</v>
      </c>
      <c r="E93">
        <f ca="1">IFERROR(__xludf.DUMMYFUNCTION("""COMPUTED_VALUE"""),22.6)</f>
        <v>22.6</v>
      </c>
      <c r="F93" s="2">
        <f ca="1">IFERROR(__xludf.DUMMYFUNCTION("""COMPUTED_VALUE"""),25173)</f>
        <v>25173</v>
      </c>
      <c r="G93">
        <f ca="1">IFERROR(__xludf.DUMMYFUNCTION("""COMPUTED_VALUE"""),31)</f>
        <v>31</v>
      </c>
    </row>
    <row r="94" spans="1:7" ht="12.75">
      <c r="A94" t="str">
        <f ca="1">IFERROR(__xludf.DUMMYFUNCTION("""COMPUTED_VALUE"""),"T93")</f>
        <v>T93</v>
      </c>
      <c r="B94" t="str">
        <f ca="1">IFERROR(__xludf.DUMMYFUNCTION("""COMPUTED_VALUE"""),"T99")</f>
        <v>T99</v>
      </c>
      <c r="C94" t="str">
        <f ca="1">IFERROR(__xludf.DUMMYFUNCTION("""COMPUTED_VALUE"""),"Sebastián Muñoz")</f>
        <v>Sebastián Muñoz</v>
      </c>
      <c r="D94">
        <f ca="1">IFERROR(__xludf.DUMMYFUNCTION("""COMPUTED_VALUE"""),20)</f>
        <v>20</v>
      </c>
      <c r="E94">
        <f ca="1">IFERROR(__xludf.DUMMYFUNCTION("""COMPUTED_VALUE"""),22.7)</f>
        <v>22.7</v>
      </c>
      <c r="F94" s="2">
        <f ca="1">IFERROR(__xludf.DUMMYFUNCTION("""COMPUTED_VALUE"""),52228)</f>
        <v>52228</v>
      </c>
      <c r="G94">
        <f ca="1">IFERROR(__xludf.DUMMYFUNCTION("""COMPUTED_VALUE"""),64)</f>
        <v>64</v>
      </c>
    </row>
    <row r="95" spans="1:7" ht="12.75">
      <c r="A95" t="str">
        <f ca="1">IFERROR(__xludf.DUMMYFUNCTION("""COMPUTED_VALUE"""),"T93")</f>
        <v>T93</v>
      </c>
      <c r="B95" t="str">
        <f ca="1">IFERROR(__xludf.DUMMYFUNCTION("""COMPUTED_VALUE"""),"T99")</f>
        <v>T99</v>
      </c>
      <c r="C95" t="str">
        <f ca="1">IFERROR(__xludf.DUMMYFUNCTION("""COMPUTED_VALUE"""),"Collin Morikawa")</f>
        <v>Collin Morikawa</v>
      </c>
      <c r="D95">
        <f ca="1">IFERROR(__xludf.DUMMYFUNCTION("""COMPUTED_VALUE"""),12)</f>
        <v>12</v>
      </c>
      <c r="E95">
        <f ca="1">IFERROR(__xludf.DUMMYFUNCTION("""COMPUTED_VALUE"""),22.7)</f>
        <v>22.7</v>
      </c>
      <c r="F95" s="2">
        <f ca="1">IFERROR(__xludf.DUMMYFUNCTION("""COMPUTED_VALUE"""),30266)</f>
        <v>30266</v>
      </c>
      <c r="G95">
        <f ca="1">IFERROR(__xludf.DUMMYFUNCTION("""COMPUTED_VALUE"""),37)</f>
        <v>37</v>
      </c>
    </row>
    <row r="96" spans="1:7" ht="12.75">
      <c r="A96" t="str">
        <f ca="1">IFERROR(__xludf.DUMMYFUNCTION("""COMPUTED_VALUE"""),"T95")</f>
        <v>T95</v>
      </c>
      <c r="B96" t="str">
        <f ca="1">IFERROR(__xludf.DUMMYFUNCTION("""COMPUTED_VALUE"""),"T102")</f>
        <v>T102</v>
      </c>
      <c r="C96" t="str">
        <f ca="1">IFERROR(__xludf.DUMMYFUNCTION("""COMPUTED_VALUE"""),"Matthew Fitzpatrick")</f>
        <v>Matthew Fitzpatrick</v>
      </c>
      <c r="D96">
        <f ca="1">IFERROR(__xludf.DUMMYFUNCTION("""COMPUTED_VALUE"""),10)</f>
        <v>10</v>
      </c>
      <c r="E96">
        <f ca="1">IFERROR(__xludf.DUMMYFUNCTION("""COMPUTED_VALUE"""),22.8)</f>
        <v>22.8</v>
      </c>
      <c r="F96" s="2">
        <f ca="1">IFERROR(__xludf.DUMMYFUNCTION("""COMPUTED_VALUE"""),27931)</f>
        <v>27931</v>
      </c>
      <c r="G96">
        <f ca="1">IFERROR(__xludf.DUMMYFUNCTION("""COMPUTED_VALUE"""),34)</f>
        <v>34</v>
      </c>
    </row>
    <row r="97" spans="1:7" ht="12.75">
      <c r="A97" t="str">
        <f ca="1">IFERROR(__xludf.DUMMYFUNCTION("""COMPUTED_VALUE"""),"T95")</f>
        <v>T95</v>
      </c>
      <c r="B97" t="str">
        <f ca="1">IFERROR(__xludf.DUMMYFUNCTION("""COMPUTED_VALUE"""),"T102")</f>
        <v>T102</v>
      </c>
      <c r="C97" t="str">
        <f ca="1">IFERROR(__xludf.DUMMYFUNCTION("""COMPUTED_VALUE"""),"Sergio Garcia")</f>
        <v>Sergio Garcia</v>
      </c>
      <c r="D97">
        <f ca="1">IFERROR(__xludf.DUMMYFUNCTION("""COMPUTED_VALUE"""),18)</f>
        <v>18</v>
      </c>
      <c r="E97">
        <f ca="1">IFERROR(__xludf.DUMMYFUNCTION("""COMPUTED_VALUE"""),22.8)</f>
        <v>22.8</v>
      </c>
      <c r="F97" s="2">
        <f ca="1">IFERROR(__xludf.DUMMYFUNCTION("""COMPUTED_VALUE"""),50869)</f>
        <v>50869</v>
      </c>
      <c r="G97">
        <f ca="1">IFERROR(__xludf.DUMMYFUNCTION("""COMPUTED_VALUE"""),62)</f>
        <v>62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IFERROR(__xludf.DUMMYFUNCTION("""COMPUTED_VALUE"""),"T110")</f>
        <v>T110</v>
      </c>
      <c r="C98" t="str">
        <f ca="1">IFERROR(__xludf.DUMMYFUNCTION("""COMPUTED_VALUE"""),"Brian Harman")</f>
        <v>Brian Harman</v>
      </c>
      <c r="D98">
        <f ca="1">IFERROR(__xludf.DUMMYFUNCTION("""COMPUTED_VALUE"""),24)</f>
        <v>24</v>
      </c>
      <c r="E98">
        <f ca="1">IFERROR(__xludf.DUMMYFUNCTION("""COMPUTED_VALUE"""),23)</f>
        <v>23</v>
      </c>
      <c r="F98" s="2">
        <f ca="1">IFERROR(__xludf.DUMMYFUNCTION("""COMPUTED_VALUE"""),47216)</f>
        <v>47216</v>
      </c>
      <c r="G98">
        <f ca="1">IFERROR(__xludf.DUMMYFUNCTION("""COMPUTED_VALUE"""),57)</f>
        <v>57</v>
      </c>
    </row>
    <row r="99" spans="1:7" ht="12.75">
      <c r="A99" t="str">
        <f ca="1">IFERROR(__xludf.DUMMYFUNCTION("""COMPUTED_VALUE"""),"T97")</f>
        <v>T97</v>
      </c>
      <c r="B99" t="str">
        <f ca="1">IFERROR(__xludf.DUMMYFUNCTION("""COMPUTED_VALUE"""),"T73")</f>
        <v>T73</v>
      </c>
      <c r="C99" t="str">
        <f ca="1">IFERROR(__xludf.DUMMYFUNCTION("""COMPUTED_VALUE"""),"Kristoffer Ventura")</f>
        <v>Kristoffer Ventura</v>
      </c>
      <c r="D99">
        <f ca="1">IFERROR(__xludf.DUMMYFUNCTION("""COMPUTED_VALUE"""),20)</f>
        <v>20</v>
      </c>
      <c r="E99">
        <f ca="1">IFERROR(__xludf.DUMMYFUNCTION("""COMPUTED_VALUE"""),23)</f>
        <v>23</v>
      </c>
      <c r="F99" s="2">
        <f ca="1">IFERROR(__xludf.DUMMYFUNCTION("""COMPUTED_VALUE"""),35540)</f>
        <v>35540</v>
      </c>
      <c r="G99">
        <f ca="1">IFERROR(__xludf.DUMMYFUNCTION("""COMPUTED_VALUE"""),43)</f>
        <v>43</v>
      </c>
    </row>
    <row r="100" spans="1:7" ht="12.75">
      <c r="A100" t="str">
        <f ca="1">IFERROR(__xludf.DUMMYFUNCTION("""COMPUTED_VALUE"""),"T99")</f>
        <v>T99</v>
      </c>
      <c r="B100" t="str">
        <f ca="1">IFERROR(__xludf.DUMMYFUNCTION("""COMPUTED_VALUE"""),"T108")</f>
        <v>T108</v>
      </c>
      <c r="C100" t="str">
        <f ca="1">IFERROR(__xludf.DUMMYFUNCTION("""COMPUTED_VALUE"""),"Taylor Pendrith")</f>
        <v>Taylor Pendrith</v>
      </c>
      <c r="D100">
        <f ca="1">IFERROR(__xludf.DUMMYFUNCTION("""COMPUTED_VALUE"""),4)</f>
        <v>4</v>
      </c>
      <c r="E100">
        <f ca="1">IFERROR(__xludf.DUMMYFUNCTION("""COMPUTED_VALUE"""),23.1)</f>
        <v>23.1</v>
      </c>
      <c r="F100" s="2">
        <f ca="1">IFERROR(__xludf.DUMMYFUNCTION("""COMPUTED_VALUE"""),6664)</f>
        <v>6664</v>
      </c>
      <c r="G100">
        <f ca="1">IFERROR(__xludf.DUMMYFUNCTION("""COMPUTED_VALUE"""),8)</f>
        <v>8</v>
      </c>
    </row>
    <row r="101" spans="1:7" ht="12.75">
      <c r="A101" t="str">
        <f ca="1">IFERROR(__xludf.DUMMYFUNCTION("""COMPUTED_VALUE"""),"T99")</f>
        <v>T99</v>
      </c>
      <c r="B101" t="str">
        <f ca="1">IFERROR(__xludf.DUMMYFUNCTION("""COMPUTED_VALUE"""),"")</f>
        <v/>
      </c>
      <c r="C101" t="str">
        <f ca="1">IFERROR(__xludf.DUMMYFUNCTION("""COMPUTED_VALUE"""),"Justin Harding")</f>
        <v>Justin Harding</v>
      </c>
      <c r="D101">
        <f ca="1">IFERROR(__xludf.DUMMYFUNCTION("""COMPUTED_VALUE"""),6)</f>
        <v>6</v>
      </c>
      <c r="E101">
        <f ca="1">IFERROR(__xludf.DUMMYFUNCTION("""COMPUTED_VALUE"""),23.1)</f>
        <v>23.1</v>
      </c>
      <c r="F101" s="2">
        <f ca="1">IFERROR(__xludf.DUMMYFUNCTION("""COMPUTED_VALUE"""),5823)</f>
        <v>5823</v>
      </c>
      <c r="G101">
        <f ca="1">IFERROR(__xludf.DUMMYFUNCTION("""COMPUTED_VALUE"""),7)</f>
        <v>7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IFERROR(__xludf.DUMMYFUNCTION("""COMPUTED_VALUE"""),"T83")</f>
        <v>T83</v>
      </c>
      <c r="C102" t="str">
        <f ca="1">IFERROR(__xludf.DUMMYFUNCTION("""COMPUTED_VALUE"""),"Patton Kizzire")</f>
        <v>Patton Kizzire</v>
      </c>
      <c r="D102">
        <f ca="1">IFERROR(__xludf.DUMMYFUNCTION("""COMPUTED_VALUE"""),18)</f>
        <v>18</v>
      </c>
      <c r="E102">
        <f ca="1">IFERROR(__xludf.DUMMYFUNCTION("""COMPUTED_VALUE"""),23.2)</f>
        <v>23.2</v>
      </c>
      <c r="F102" s="2">
        <f ca="1">IFERROR(__xludf.DUMMYFUNCTION("""COMPUTED_VALUE"""),35942)</f>
        <v>35942</v>
      </c>
      <c r="G102">
        <f ca="1">IFERROR(__xludf.DUMMYFUNCTION("""COMPUTED_VALUE"""),43)</f>
        <v>43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IFERROR(__xludf.DUMMYFUNCTION("""COMPUTED_VALUE"""),"T80")</f>
        <v>T80</v>
      </c>
      <c r="C103" t="str">
        <f ca="1">IFERROR(__xludf.DUMMYFUNCTION("""COMPUTED_VALUE"""),"Sam Burns")</f>
        <v>Sam Burns</v>
      </c>
      <c r="D103">
        <f ca="1">IFERROR(__xludf.DUMMYFUNCTION("""COMPUTED_VALUE"""),18)</f>
        <v>18</v>
      </c>
      <c r="E103">
        <f ca="1">IFERROR(__xludf.DUMMYFUNCTION("""COMPUTED_VALUE"""),23.2)</f>
        <v>23.2</v>
      </c>
      <c r="F103" s="2">
        <f ca="1">IFERROR(__xludf.DUMMYFUNCTION("""COMPUTED_VALUE"""),37560)</f>
        <v>37560</v>
      </c>
      <c r="G103">
        <f ca="1">IFERROR(__xludf.DUMMYFUNCTION("""COMPUTED_VALUE"""),45)</f>
        <v>45</v>
      </c>
    </row>
    <row r="104" spans="1:7" ht="12.75">
      <c r="A104" t="str">
        <f ca="1">IFERROR(__xludf.DUMMYFUNCTION("""COMPUTED_VALUE"""),"T101")</f>
        <v>T101</v>
      </c>
      <c r="B104" t="str">
        <f ca="1">IFERROR(__xludf.DUMMYFUNCTION("""COMPUTED_VALUE"""),"T95")</f>
        <v>T95</v>
      </c>
      <c r="C104" t="str">
        <f ca="1">IFERROR(__xludf.DUMMYFUNCTION("""COMPUTED_VALUE"""),"Sepp Straka")</f>
        <v>Sepp Straka</v>
      </c>
      <c r="D104">
        <f ca="1">IFERROR(__xludf.DUMMYFUNCTION("""COMPUTED_VALUE"""),22)</f>
        <v>22</v>
      </c>
      <c r="E104">
        <f ca="1">IFERROR(__xludf.DUMMYFUNCTION("""COMPUTED_VALUE"""),23.2)</f>
        <v>23.2</v>
      </c>
      <c r="F104" s="2">
        <f ca="1">IFERROR(__xludf.DUMMYFUNCTION("""COMPUTED_VALUE"""),34274)</f>
        <v>34274</v>
      </c>
      <c r="G104">
        <f ca="1">IFERROR(__xludf.DUMMYFUNCTION("""COMPUTED_VALUE"""),41)</f>
        <v>41</v>
      </c>
    </row>
    <row r="105" spans="1:7" ht="12.75">
      <c r="A105" t="str">
        <f ca="1">IFERROR(__xludf.DUMMYFUNCTION("""COMPUTED_VALUE"""),"T101")</f>
        <v>T101</v>
      </c>
      <c r="B105" t="str">
        <f ca="1">IFERROR(__xludf.DUMMYFUNCTION("""COMPUTED_VALUE"""),"T80")</f>
        <v>T80</v>
      </c>
      <c r="C105" t="str">
        <f ca="1">IFERROR(__xludf.DUMMYFUNCTION("""COMPUTED_VALUE"""),"Keith Mitchell")</f>
        <v>Keith Mitchell</v>
      </c>
      <c r="D105">
        <f ca="1">IFERROR(__xludf.DUMMYFUNCTION("""COMPUTED_VALUE"""),14)</f>
        <v>14</v>
      </c>
      <c r="E105">
        <f ca="1">IFERROR(__xludf.DUMMYFUNCTION("""COMPUTED_VALUE"""),23.2)</f>
        <v>23.2</v>
      </c>
      <c r="F105" s="2">
        <f ca="1">IFERROR(__xludf.DUMMYFUNCTION("""COMPUTED_VALUE"""),10869)</f>
        <v>10869</v>
      </c>
      <c r="G105">
        <f ca="1">IFERROR(__xludf.DUMMYFUNCTION("""COMPUTED_VALUE"""),13)</f>
        <v>13</v>
      </c>
    </row>
    <row r="106" spans="1:7" ht="12.75">
      <c r="A106" t="str">
        <f ca="1">IFERROR(__xludf.DUMMYFUNCTION("""COMPUTED_VALUE"""),"T101")</f>
        <v>T101</v>
      </c>
      <c r="B106" t="str">
        <f ca="1">IFERROR(__xludf.DUMMYFUNCTION("""COMPUTED_VALUE"""),"T110")</f>
        <v>T110</v>
      </c>
      <c r="C106" t="str">
        <f ca="1">IFERROR(__xludf.DUMMYFUNCTION("""COMPUTED_VALUE"""),"Sebastian Cappelen")</f>
        <v>Sebastian Cappelen</v>
      </c>
      <c r="D106">
        <f ca="1">IFERROR(__xludf.DUMMYFUNCTION("""COMPUTED_VALUE"""),8)</f>
        <v>8</v>
      </c>
      <c r="E106">
        <f ca="1">IFERROR(__xludf.DUMMYFUNCTION("""COMPUTED_VALUE"""),23.2)</f>
        <v>23.2</v>
      </c>
      <c r="F106" s="2">
        <f ca="1">IFERROR(__xludf.DUMMYFUNCTION("""COMPUTED_VALUE"""),6674)</f>
        <v>6674</v>
      </c>
      <c r="G106">
        <f ca="1">IFERROR(__xludf.DUMMYFUNCTION("""COMPUTED_VALUE"""),8)</f>
        <v>8</v>
      </c>
    </row>
    <row r="107" spans="1:7" ht="12.75">
      <c r="A107" t="str">
        <f ca="1">IFERROR(__xludf.DUMMYFUNCTION("""COMPUTED_VALUE"""),"T101")</f>
        <v>T101</v>
      </c>
      <c r="B107" t="str">
        <f ca="1">IFERROR(__xludf.DUMMYFUNCTION("""COMPUTED_VALUE"""),"T110")</f>
        <v>T110</v>
      </c>
      <c r="C107" t="str">
        <f ca="1">IFERROR(__xludf.DUMMYFUNCTION("""COMPUTED_VALUE"""),"Bo Hoag")</f>
        <v>Bo Hoag</v>
      </c>
      <c r="D107">
        <f ca="1">IFERROR(__xludf.DUMMYFUNCTION("""COMPUTED_VALUE"""),14)</f>
        <v>14</v>
      </c>
      <c r="E107">
        <f ca="1">IFERROR(__xludf.DUMMYFUNCTION("""COMPUTED_VALUE"""),23.2)</f>
        <v>23.2</v>
      </c>
      <c r="F107" s="2">
        <f ca="1">IFERROR(__xludf.DUMMYFUNCTION("""COMPUTED_VALUE"""),18360)</f>
        <v>18360</v>
      </c>
      <c r="G107">
        <f ca="1">IFERROR(__xludf.DUMMYFUNCTION("""COMPUTED_VALUE"""),22)</f>
        <v>22</v>
      </c>
    </row>
    <row r="108" spans="1:7" ht="12.75">
      <c r="A108" t="str">
        <f ca="1">IFERROR(__xludf.DUMMYFUNCTION("""COMPUTED_VALUE"""),"T107")</f>
        <v>T107</v>
      </c>
      <c r="B108">
        <f ca="1">IFERROR(__xludf.DUMMYFUNCTION("""COMPUTED_VALUE"""),9)</f>
        <v>9</v>
      </c>
      <c r="C108" t="str">
        <f ca="1">IFERROR(__xludf.DUMMYFUNCTION("""COMPUTED_VALUE"""),"Grayson Murray")</f>
        <v>Grayson Murray</v>
      </c>
      <c r="D108">
        <f ca="1">IFERROR(__xludf.DUMMYFUNCTION("""COMPUTED_VALUE"""),10)</f>
        <v>10</v>
      </c>
      <c r="E108">
        <f ca="1">IFERROR(__xludf.DUMMYFUNCTION("""COMPUTED_VALUE"""),23.3)</f>
        <v>23.3</v>
      </c>
      <c r="F108" s="2">
        <f ca="1">IFERROR(__xludf.DUMMYFUNCTION("""COMPUTED_VALUE"""),18471)</f>
        <v>18471</v>
      </c>
      <c r="G108">
        <f ca="1">IFERROR(__xludf.DUMMYFUNCTION("""COMPUTED_VALUE"""),22)</f>
        <v>22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IFERROR(__xludf.DUMMYFUNCTION("""COMPUTED_VALUE"""),"T113")</f>
        <v>T113</v>
      </c>
      <c r="C109" t="str">
        <f ca="1">IFERROR(__xludf.DUMMYFUNCTION("""COMPUTED_VALUE"""),"Kevin Kisner")</f>
        <v>Kevin Kisner</v>
      </c>
      <c r="D109">
        <f ca="1">IFERROR(__xludf.DUMMYFUNCTION("""COMPUTED_VALUE"""),10)</f>
        <v>10</v>
      </c>
      <c r="E109">
        <f ca="1">IFERROR(__xludf.DUMMYFUNCTION("""COMPUTED_VALUE"""),23.3)</f>
        <v>23.3</v>
      </c>
      <c r="F109" s="2">
        <f ca="1">IFERROR(__xludf.DUMMYFUNCTION("""COMPUTED_VALUE"""),25156)</f>
        <v>25156</v>
      </c>
      <c r="G109">
        <f ca="1">IFERROR(__xludf.DUMMYFUNCTION("""COMPUTED_VALUE"""),30)</f>
        <v>30</v>
      </c>
    </row>
    <row r="110" spans="1:7" ht="12.75">
      <c r="A110" t="str">
        <f ca="1">IFERROR(__xludf.DUMMYFUNCTION("""COMPUTED_VALUE"""),"T107")</f>
        <v>T107</v>
      </c>
      <c r="B110" t="str">
        <f ca="1">IFERROR(__xludf.DUMMYFUNCTION("""COMPUTED_VALUE"""),"T113")</f>
        <v>T113</v>
      </c>
      <c r="C110" t="str">
        <f ca="1">IFERROR(__xludf.DUMMYFUNCTION("""COMPUTED_VALUE"""),"Rory McIlroy")</f>
        <v>Rory McIlroy</v>
      </c>
      <c r="D110">
        <f ca="1">IFERROR(__xludf.DUMMYFUNCTION("""COMPUTED_VALUE"""),12)</f>
        <v>12</v>
      </c>
      <c r="E110">
        <f ca="1">IFERROR(__xludf.DUMMYFUNCTION("""COMPUTED_VALUE"""),23.3)</f>
        <v>23.3</v>
      </c>
      <c r="F110" s="2">
        <f ca="1">IFERROR(__xludf.DUMMYFUNCTION("""COMPUTED_VALUE"""),38549)</f>
        <v>38549</v>
      </c>
      <c r="G110">
        <f ca="1">IFERROR(__xludf.DUMMYFUNCTION("""COMPUTED_VALUE"""),46)</f>
        <v>46</v>
      </c>
    </row>
    <row r="111" spans="1:7" ht="12.75">
      <c r="A111" t="str">
        <f ca="1">IFERROR(__xludf.DUMMYFUNCTION("""COMPUTED_VALUE"""),"T107")</f>
        <v>T107</v>
      </c>
      <c r="B111" t="str">
        <f ca="1">IFERROR(__xludf.DUMMYFUNCTION("""COMPUTED_VALUE"""),"T115")</f>
        <v>T115</v>
      </c>
      <c r="C111" t="str">
        <f ca="1">IFERROR(__xludf.DUMMYFUNCTION("""COMPUTED_VALUE"""),"Rory Sabbatini")</f>
        <v>Rory Sabbatini</v>
      </c>
      <c r="D111">
        <f ca="1">IFERROR(__xludf.DUMMYFUNCTION("""COMPUTED_VALUE"""),13)</f>
        <v>13</v>
      </c>
      <c r="E111">
        <f ca="1">IFERROR(__xludf.DUMMYFUNCTION("""COMPUTED_VALUE"""),23.3)</f>
        <v>23.3</v>
      </c>
      <c r="F111" s="2">
        <f ca="1">IFERROR(__xludf.DUMMYFUNCTION("""COMPUTED_VALUE"""),26822)</f>
        <v>26822</v>
      </c>
      <c r="G111">
        <f ca="1">IFERROR(__xludf.DUMMYFUNCTION("""COMPUTED_VALUE"""),32)</f>
        <v>32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IFERROR(__xludf.DUMMYFUNCTION("""COMPUTED_VALUE"""),"")</f>
        <v/>
      </c>
      <c r="C112" t="str">
        <f ca="1">IFERROR(__xludf.DUMMYFUNCTION("""COMPUTED_VALUE"""),"Francesco Molinari")</f>
        <v>Francesco Molinari</v>
      </c>
      <c r="D112">
        <f ca="1">IFERROR(__xludf.DUMMYFUNCTION("""COMPUTED_VALUE"""),6)</f>
        <v>6</v>
      </c>
      <c r="E112">
        <f ca="1">IFERROR(__xludf.DUMMYFUNCTION("""COMPUTED_VALUE"""),23.4)</f>
        <v>23.4</v>
      </c>
      <c r="F112" s="2">
        <f ca="1">IFERROR(__xludf.DUMMYFUNCTION("""COMPUTED_VALUE"""),11793)</f>
        <v>11793</v>
      </c>
      <c r="G112">
        <f ca="1">IFERROR(__xludf.DUMMYFUNCTION("""COMPUTED_VALUE"""),14)</f>
        <v>14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IFERROR(__xludf.DUMMYFUNCTION("""COMPUTED_VALUE"""),"T115")</f>
        <v>T115</v>
      </c>
      <c r="C113" t="str">
        <f ca="1">IFERROR(__xludf.DUMMYFUNCTION("""COMPUTED_VALUE"""),"Seamus Power")</f>
        <v>Seamus Power</v>
      </c>
      <c r="D113">
        <f ca="1">IFERROR(__xludf.DUMMYFUNCTION("""COMPUTED_VALUE"""),8)</f>
        <v>8</v>
      </c>
      <c r="E113">
        <f ca="1">IFERROR(__xludf.DUMMYFUNCTION("""COMPUTED_VALUE"""),23.4)</f>
        <v>23.4</v>
      </c>
      <c r="F113" s="2">
        <f ca="1">IFERROR(__xludf.DUMMYFUNCTION("""COMPUTED_VALUE"""),5052)</f>
        <v>5052</v>
      </c>
      <c r="G113">
        <f ca="1">IFERROR(__xludf.DUMMYFUNCTION("""COMPUTED_VALUE"""),6)</f>
        <v>6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IFERROR(__xludf.DUMMYFUNCTION("""COMPUTED_VALUE"""),"T117")</f>
        <v>T117</v>
      </c>
      <c r="C114" t="str">
        <f ca="1">IFERROR(__xludf.DUMMYFUNCTION("""COMPUTED_VALUE"""),"Danny Lee")</f>
        <v>Danny Lee</v>
      </c>
      <c r="D114">
        <f ca="1">IFERROR(__xludf.DUMMYFUNCTION("""COMPUTED_VALUE"""),15)</f>
        <v>15</v>
      </c>
      <c r="E114">
        <f ca="1">IFERROR(__xludf.DUMMYFUNCTION("""COMPUTED_VALUE"""),23.4)</f>
        <v>23.4</v>
      </c>
      <c r="F114" s="2">
        <f ca="1">IFERROR(__xludf.DUMMYFUNCTION("""COMPUTED_VALUE"""),41250)</f>
        <v>41250</v>
      </c>
      <c r="G114">
        <f ca="1">IFERROR(__xludf.DUMMYFUNCTION("""COMPUTED_VALUE"""),49)</f>
        <v>49</v>
      </c>
    </row>
    <row r="115" spans="1:7" ht="12.75">
      <c r="A115">
        <f ca="1">IFERROR(__xludf.DUMMYFUNCTION("""COMPUTED_VALUE"""),114)</f>
        <v>114</v>
      </c>
      <c r="B115" t="str">
        <f ca="1">IFERROR(__xludf.DUMMYFUNCTION("""COMPUTED_VALUE"""),"T129")</f>
        <v>T129</v>
      </c>
      <c r="C115" t="str">
        <f ca="1">IFERROR(__xludf.DUMMYFUNCTION("""COMPUTED_VALUE"""),"Doc Redman")</f>
        <v>Doc Redman</v>
      </c>
      <c r="D115">
        <f ca="1">IFERROR(__xludf.DUMMYFUNCTION("""COMPUTED_VALUE"""),18)</f>
        <v>18</v>
      </c>
      <c r="E115">
        <f ca="1">IFERROR(__xludf.DUMMYFUNCTION("""COMPUTED_VALUE"""),23.5)</f>
        <v>23.5</v>
      </c>
      <c r="F115" s="2">
        <f ca="1">IFERROR(__xludf.DUMMYFUNCTION("""COMPUTED_VALUE"""),32993)</f>
        <v>32993</v>
      </c>
      <c r="G115">
        <f ca="1">IFERROR(__xludf.DUMMYFUNCTION("""COMPUTED_VALUE"""),39)</f>
        <v>39</v>
      </c>
    </row>
    <row r="116" spans="1:7" ht="12.75">
      <c r="A116" t="str">
        <f ca="1">IFERROR(__xludf.DUMMYFUNCTION("""COMPUTED_VALUE"""),"T115")</f>
        <v>T115</v>
      </c>
      <c r="B116" t="str">
        <f ca="1">IFERROR(__xludf.DUMMYFUNCTION("""COMPUTED_VALUE"""),"T122")</f>
        <v>T122</v>
      </c>
      <c r="C116" t="str">
        <f ca="1">IFERROR(__xludf.DUMMYFUNCTION("""COMPUTED_VALUE"""),"John Pak")</f>
        <v>John Pak</v>
      </c>
      <c r="D116">
        <f ca="1">IFERROR(__xludf.DUMMYFUNCTION("""COMPUTED_VALUE"""),4)</f>
        <v>4</v>
      </c>
      <c r="E116">
        <f ca="1">IFERROR(__xludf.DUMMYFUNCTION("""COMPUTED_VALUE"""),23.6)</f>
        <v>23.6</v>
      </c>
      <c r="F116" s="2">
        <f ca="1">IFERROR(__xludf.DUMMYFUNCTION("""COMPUTED_VALUE"""),5942)</f>
        <v>5942</v>
      </c>
      <c r="G116">
        <f ca="1">IFERROR(__xludf.DUMMYFUNCTION("""COMPUTED_VALUE"""),7)</f>
        <v>7</v>
      </c>
    </row>
    <row r="117" spans="1:7" ht="12.75">
      <c r="A117" t="str">
        <f ca="1">IFERROR(__xludf.DUMMYFUNCTION("""COMPUTED_VALUE"""),"T115")</f>
        <v>T115</v>
      </c>
      <c r="B117" t="str">
        <f ca="1">IFERROR(__xludf.DUMMYFUNCTION("""COMPUTED_VALUE"""),"T122")</f>
        <v>T122</v>
      </c>
      <c r="C117" t="str">
        <f ca="1">IFERROR(__xludf.DUMMYFUNCTION("""COMPUTED_VALUE"""),"Adam Hadwin")</f>
        <v>Adam Hadwin</v>
      </c>
      <c r="D117">
        <f ca="1">IFERROR(__xludf.DUMMYFUNCTION("""COMPUTED_VALUE"""),16)</f>
        <v>16</v>
      </c>
      <c r="E117">
        <f ca="1">IFERROR(__xludf.DUMMYFUNCTION("""COMPUTED_VALUE"""),23.6)</f>
        <v>23.6</v>
      </c>
      <c r="F117" s="2">
        <f ca="1">IFERROR(__xludf.DUMMYFUNCTION("""COMPUTED_VALUE"""),34825)</f>
        <v>34825</v>
      </c>
      <c r="G117">
        <f ca="1">IFERROR(__xludf.DUMMYFUNCTION("""COMPUTED_VALUE"""),41)</f>
        <v>41</v>
      </c>
    </row>
    <row r="118" spans="1:7" ht="12.75">
      <c r="A118" t="str">
        <f ca="1">IFERROR(__xludf.DUMMYFUNCTION("""COMPUTED_VALUE"""),"T115")</f>
        <v>T115</v>
      </c>
      <c r="B118" t="str">
        <f ca="1">IFERROR(__xludf.DUMMYFUNCTION("""COMPUTED_VALUE"""),"T122")</f>
        <v>T122</v>
      </c>
      <c r="C118" t="str">
        <f ca="1">IFERROR(__xludf.DUMMYFUNCTION("""COMPUTED_VALUE"""),"Chris Stroud")</f>
        <v>Chris Stroud</v>
      </c>
      <c r="D118">
        <f ca="1">IFERROR(__xludf.DUMMYFUNCTION("""COMPUTED_VALUE"""),6)</f>
        <v>6</v>
      </c>
      <c r="E118">
        <f ca="1">IFERROR(__xludf.DUMMYFUNCTION("""COMPUTED_VALUE"""),23.6)</f>
        <v>23.6</v>
      </c>
      <c r="F118" s="2">
        <f ca="1">IFERROR(__xludf.DUMMYFUNCTION("""COMPUTED_VALUE"""),6797)</f>
        <v>6797</v>
      </c>
      <c r="G118">
        <f ca="1">IFERROR(__xludf.DUMMYFUNCTION("""COMPUTED_VALUE"""),8)</f>
        <v>8</v>
      </c>
    </row>
    <row r="119" spans="1:7" ht="12.75">
      <c r="A119" t="str">
        <f ca="1">IFERROR(__xludf.DUMMYFUNCTION("""COMPUTED_VALUE"""),"T115")</f>
        <v>T115</v>
      </c>
      <c r="B119" t="str">
        <f ca="1">IFERROR(__xludf.DUMMYFUNCTION("""COMPUTED_VALUE"""),"T122")</f>
        <v>T122</v>
      </c>
      <c r="C119" t="str">
        <f ca="1">IFERROR(__xludf.DUMMYFUNCTION("""COMPUTED_VALUE"""),"Jonathan Byrd")</f>
        <v>Jonathan Byrd</v>
      </c>
      <c r="D119">
        <f ca="1">IFERROR(__xludf.DUMMYFUNCTION("""COMPUTED_VALUE"""),14)</f>
        <v>14</v>
      </c>
      <c r="E119">
        <f ca="1">IFERROR(__xludf.DUMMYFUNCTION("""COMPUTED_VALUE"""),23.6)</f>
        <v>23.6</v>
      </c>
      <c r="F119" s="2">
        <f ca="1">IFERROR(__xludf.DUMMYFUNCTION("""COMPUTED_VALUE"""),5099)</f>
        <v>5099</v>
      </c>
      <c r="G119">
        <f ca="1">IFERROR(__xludf.DUMMYFUNCTION("""COMPUTED_VALUE"""),6)</f>
        <v>6</v>
      </c>
    </row>
    <row r="120" spans="1:7" ht="12.75">
      <c r="A120" t="str">
        <f ca="1">IFERROR(__xludf.DUMMYFUNCTION("""COMPUTED_VALUE"""),"T119")</f>
        <v>T119</v>
      </c>
      <c r="B120">
        <f ca="1">IFERROR(__xludf.DUMMYFUNCTION("""COMPUTED_VALUE"""),128)</f>
        <v>128</v>
      </c>
      <c r="C120" t="str">
        <f ca="1">IFERROR(__xludf.DUMMYFUNCTION("""COMPUTED_VALUE"""),"D.J. Trahan")</f>
        <v>D.J. Trahan</v>
      </c>
      <c r="D120">
        <f ca="1">IFERROR(__xludf.DUMMYFUNCTION("""COMPUTED_VALUE"""),16)</f>
        <v>16</v>
      </c>
      <c r="E120">
        <f ca="1">IFERROR(__xludf.DUMMYFUNCTION("""COMPUTED_VALUE"""),23.7)</f>
        <v>23.7</v>
      </c>
      <c r="F120" s="2">
        <f ca="1">IFERROR(__xludf.DUMMYFUNCTION("""COMPUTED_VALUE"""),21371)</f>
        <v>21371</v>
      </c>
      <c r="G120">
        <f ca="1">IFERROR(__xludf.DUMMYFUNCTION("""COMPUTED_VALUE"""),25)</f>
        <v>25</v>
      </c>
    </row>
    <row r="121" spans="1:7" ht="12.75">
      <c r="A121" t="str">
        <f ca="1">IFERROR(__xludf.DUMMYFUNCTION("""COMPUTED_VALUE"""),"T119")</f>
        <v>T119</v>
      </c>
      <c r="B121" t="str">
        <f ca="1">IFERROR(__xludf.DUMMYFUNCTION("""COMPUTED_VALUE"""),"T152")</f>
        <v>T152</v>
      </c>
      <c r="C121" t="str">
        <f ca="1">IFERROR(__xludf.DUMMYFUNCTION("""COMPUTED_VALUE"""),"Brice Garnett")</f>
        <v>Brice Garnett</v>
      </c>
      <c r="D121">
        <f ca="1">IFERROR(__xludf.DUMMYFUNCTION("""COMPUTED_VALUE"""),22)</f>
        <v>22</v>
      </c>
      <c r="E121">
        <f ca="1">IFERROR(__xludf.DUMMYFUNCTION("""COMPUTED_VALUE"""),23.7)</f>
        <v>23.7</v>
      </c>
      <c r="F121" s="2">
        <f ca="1">IFERROR(__xludf.DUMMYFUNCTION("""COMPUTED_VALUE"""),23078)</f>
        <v>23078</v>
      </c>
      <c r="G121">
        <f ca="1">IFERROR(__xludf.DUMMYFUNCTION("""COMPUTED_VALUE"""),27)</f>
        <v>27</v>
      </c>
    </row>
    <row r="122" spans="1:7" ht="12.75">
      <c r="A122" t="str">
        <f ca="1">IFERROR(__xludf.DUMMYFUNCTION("""COMPUTED_VALUE"""),"T119")</f>
        <v>T119</v>
      </c>
      <c r="B122" t="str">
        <f ca="1">IFERROR(__xludf.DUMMYFUNCTION("""COMPUTED_VALUE"""),"T129")</f>
        <v>T129</v>
      </c>
      <c r="C122" t="str">
        <f ca="1">IFERROR(__xludf.DUMMYFUNCTION("""COMPUTED_VALUE"""),"Keegan Bradley")</f>
        <v>Keegan Bradley</v>
      </c>
      <c r="D122">
        <f ca="1">IFERROR(__xludf.DUMMYFUNCTION("""COMPUTED_VALUE"""),16)</f>
        <v>16</v>
      </c>
      <c r="E122">
        <f ca="1">IFERROR(__xludf.DUMMYFUNCTION("""COMPUTED_VALUE"""),23.7)</f>
        <v>23.7</v>
      </c>
      <c r="F122" s="2">
        <f ca="1">IFERROR(__xludf.DUMMYFUNCTION("""COMPUTED_VALUE"""),40114)</f>
        <v>40114</v>
      </c>
      <c r="G122">
        <f ca="1">IFERROR(__xludf.DUMMYFUNCTION("""COMPUTED_VALUE"""),47)</f>
        <v>47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IFERROR(__xludf.DUMMYFUNCTION("""COMPUTED_VALUE"""),"T129")</f>
        <v>T129</v>
      </c>
      <c r="C123" t="str">
        <f ca="1">IFERROR(__xludf.DUMMYFUNCTION("""COMPUTED_VALUE"""),"Robert Streb")</f>
        <v>Robert Streb</v>
      </c>
      <c r="D123">
        <f ca="1">IFERROR(__xludf.DUMMYFUNCTION("""COMPUTED_VALUE"""),12)</f>
        <v>12</v>
      </c>
      <c r="E123">
        <f ca="1">IFERROR(__xludf.DUMMYFUNCTION("""COMPUTED_VALUE"""),23.8)</f>
        <v>23.8</v>
      </c>
      <c r="F123" s="2">
        <f ca="1">IFERROR(__xludf.DUMMYFUNCTION("""COMPUTED_VALUE"""),6841)</f>
        <v>6841</v>
      </c>
      <c r="G123">
        <f ca="1">IFERROR(__xludf.DUMMYFUNCTION("""COMPUTED_VALUE"""),8)</f>
        <v>8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IFERROR(__xludf.DUMMYFUNCTION("""COMPUTED_VALUE"""),"T129")</f>
        <v>T129</v>
      </c>
      <c r="C124" t="str">
        <f ca="1">IFERROR(__xludf.DUMMYFUNCTION("""COMPUTED_VALUE"""),"Chan Kim")</f>
        <v>Chan Kim</v>
      </c>
      <c r="D124">
        <f ca="1">IFERROR(__xludf.DUMMYFUNCTION("""COMPUTED_VALUE"""),6)</f>
        <v>6</v>
      </c>
      <c r="E124">
        <f ca="1">IFERROR(__xludf.DUMMYFUNCTION("""COMPUTED_VALUE"""),23.8)</f>
        <v>23.8</v>
      </c>
      <c r="F124" s="2">
        <f ca="1">IFERROR(__xludf.DUMMYFUNCTION("""COMPUTED_VALUE"""),10268)</f>
        <v>10268</v>
      </c>
      <c r="G124">
        <f ca="1">IFERROR(__xludf.DUMMYFUNCTION("""COMPUTED_VALUE"""),12)</f>
        <v>12</v>
      </c>
    </row>
    <row r="125" spans="1:7" ht="12.75">
      <c r="A125" t="str">
        <f ca="1">IFERROR(__xludf.DUMMYFUNCTION("""COMPUTED_VALUE"""),"T122")</f>
        <v>T122</v>
      </c>
      <c r="B125" t="str">
        <f ca="1">IFERROR(__xludf.DUMMYFUNCTION("""COMPUTED_VALUE"""),"T129")</f>
        <v>T129</v>
      </c>
      <c r="C125" t="str">
        <f ca="1">IFERROR(__xludf.DUMMYFUNCTION("""COMPUTED_VALUE"""),"Bernd Wiesberger")</f>
        <v>Bernd Wiesberger</v>
      </c>
      <c r="D125">
        <f ca="1">IFERROR(__xludf.DUMMYFUNCTION("""COMPUTED_VALUE"""),4)</f>
        <v>4</v>
      </c>
      <c r="E125">
        <f ca="1">IFERROR(__xludf.DUMMYFUNCTION("""COMPUTED_VALUE"""),23.8)</f>
        <v>23.8</v>
      </c>
      <c r="F125" s="2">
        <f ca="1">IFERROR(__xludf.DUMMYFUNCTION("""COMPUTED_VALUE"""),5140)</f>
        <v>5140</v>
      </c>
      <c r="G125">
        <f ca="1">IFERROR(__xludf.DUMMYFUNCTION("""COMPUTED_VALUE"""),6)</f>
        <v>6</v>
      </c>
    </row>
    <row r="126" spans="1:7" ht="12.75">
      <c r="A126" t="str">
        <f ca="1">IFERROR(__xludf.DUMMYFUNCTION("""COMPUTED_VALUE"""),"T122")</f>
        <v>T122</v>
      </c>
      <c r="B126" t="str">
        <f ca="1">IFERROR(__xludf.DUMMYFUNCTION("""COMPUTED_VALUE"""),"T129")</f>
        <v>T129</v>
      </c>
      <c r="C126" t="str">
        <f ca="1">IFERROR(__xludf.DUMMYFUNCTION("""COMPUTED_VALUE"""),"Ryan Brehm")</f>
        <v>Ryan Brehm</v>
      </c>
      <c r="D126">
        <f ca="1">IFERROR(__xludf.DUMMYFUNCTION("""COMPUTED_VALUE"""),10)</f>
        <v>10</v>
      </c>
      <c r="E126">
        <f ca="1">IFERROR(__xludf.DUMMYFUNCTION("""COMPUTED_VALUE"""),23.8)</f>
        <v>23.8</v>
      </c>
      <c r="F126" s="2">
        <f ca="1">IFERROR(__xludf.DUMMYFUNCTION("""COMPUTED_VALUE"""),3430)</f>
        <v>3430</v>
      </c>
      <c r="G126">
        <f ca="1">IFERROR(__xludf.DUMMYFUNCTION("""COMPUTED_VALUE"""),4)</f>
        <v>4</v>
      </c>
    </row>
    <row r="127" spans="1:7" ht="12.75">
      <c r="A127" t="str">
        <f ca="1">IFERROR(__xludf.DUMMYFUNCTION("""COMPUTED_VALUE"""),"T122")</f>
        <v>T122</v>
      </c>
      <c r="B127" t="str">
        <f ca="1">IFERROR(__xludf.DUMMYFUNCTION("""COMPUTED_VALUE"""),"T141")</f>
        <v>T141</v>
      </c>
      <c r="C127" t="str">
        <f ca="1">IFERROR(__xludf.DUMMYFUNCTION("""COMPUTED_VALUE"""),"Kyoung-Hoon Lee")</f>
        <v>Kyoung-Hoon Lee</v>
      </c>
      <c r="D127">
        <f ca="1">IFERROR(__xludf.DUMMYFUNCTION("""COMPUTED_VALUE"""),20)</f>
        <v>20</v>
      </c>
      <c r="E127">
        <f ca="1">IFERROR(__xludf.DUMMYFUNCTION("""COMPUTED_VALUE"""),23.8)</f>
        <v>23.8</v>
      </c>
      <c r="F127" s="2">
        <f ca="1">IFERROR(__xludf.DUMMYFUNCTION("""COMPUTED_VALUE"""),31677)</f>
        <v>31677</v>
      </c>
      <c r="G127">
        <f ca="1">IFERROR(__xludf.DUMMYFUNCTION("""COMPUTED_VALUE"""),37)</f>
        <v>37</v>
      </c>
    </row>
    <row r="128" spans="1:7" ht="12.75">
      <c r="A128" t="str">
        <f ca="1">IFERROR(__xludf.DUMMYFUNCTION("""COMPUTED_VALUE"""),"T122")</f>
        <v>T122</v>
      </c>
      <c r="B128" t="str">
        <f ca="1">IFERROR(__xludf.DUMMYFUNCTION("""COMPUTED_VALUE"""),"T129")</f>
        <v>T129</v>
      </c>
      <c r="C128" t="str">
        <f ca="1">IFERROR(__xludf.DUMMYFUNCTION("""COMPUTED_VALUE"""),"Tim Wilkinson")</f>
        <v>Tim Wilkinson</v>
      </c>
      <c r="D128">
        <f ca="1">IFERROR(__xludf.DUMMYFUNCTION("""COMPUTED_VALUE"""),12)</f>
        <v>12</v>
      </c>
      <c r="E128">
        <f ca="1">IFERROR(__xludf.DUMMYFUNCTION("""COMPUTED_VALUE"""),23.8)</f>
        <v>23.8</v>
      </c>
      <c r="F128" s="2">
        <f ca="1">IFERROR(__xludf.DUMMYFUNCTION("""COMPUTED_VALUE"""),9412)</f>
        <v>9412</v>
      </c>
      <c r="G128">
        <f ca="1">IFERROR(__xludf.DUMMYFUNCTION("""COMPUTED_VALUE"""),11)</f>
        <v>11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IFERROR(__xludf.DUMMYFUNCTION("""COMPUTED_VALUE"""),"T136")</f>
        <v>T136</v>
      </c>
      <c r="C129" t="str">
        <f ca="1">IFERROR(__xludf.DUMMYFUNCTION("""COMPUTED_VALUE"""),"Matt Kuchar")</f>
        <v>Matt Kuchar</v>
      </c>
      <c r="D129">
        <f ca="1">IFERROR(__xludf.DUMMYFUNCTION("""COMPUTED_VALUE"""),14)</f>
        <v>14</v>
      </c>
      <c r="E129">
        <f ca="1">IFERROR(__xludf.DUMMYFUNCTION("""COMPUTED_VALUE"""),23.9)</f>
        <v>23.9</v>
      </c>
      <c r="F129" s="2">
        <f ca="1">IFERROR(__xludf.DUMMYFUNCTION("""COMPUTED_VALUE"""),32640)</f>
        <v>32640</v>
      </c>
      <c r="G129">
        <f ca="1">IFERROR(__xludf.DUMMYFUNCTION("""COMPUTED_VALUE"""),38)</f>
        <v>38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IFERROR(__xludf.DUMMYFUNCTION("""COMPUTED_VALUE"""),"T136")</f>
        <v>T136</v>
      </c>
      <c r="C130" t="str">
        <f ca="1">IFERROR(__xludf.DUMMYFUNCTION("""COMPUTED_VALUE"""),"Camilo Villegas")</f>
        <v>Camilo Villegas</v>
      </c>
      <c r="D130">
        <f ca="1">IFERROR(__xludf.DUMMYFUNCTION("""COMPUTED_VALUE"""),14)</f>
        <v>14</v>
      </c>
      <c r="E130">
        <f ca="1">IFERROR(__xludf.DUMMYFUNCTION("""COMPUTED_VALUE"""),23.9)</f>
        <v>23.9</v>
      </c>
      <c r="F130" s="2">
        <f ca="1">IFERROR(__xludf.DUMMYFUNCTION("""COMPUTED_VALUE"""),23237)</f>
        <v>23237</v>
      </c>
      <c r="G130">
        <f ca="1">IFERROR(__xludf.DUMMYFUNCTION("""COMPUTED_VALUE"""),27)</f>
        <v>27</v>
      </c>
    </row>
    <row r="131" spans="1:7" ht="12.75">
      <c r="A131" t="str">
        <f ca="1">IFERROR(__xludf.DUMMYFUNCTION("""COMPUTED_VALUE"""),"T130")</f>
        <v>T130</v>
      </c>
      <c r="B131" t="str">
        <f ca="1">IFERROR(__xludf.DUMMYFUNCTION("""COMPUTED_VALUE"""),"T144")</f>
        <v>T144</v>
      </c>
      <c r="C131" t="str">
        <f ca="1">IFERROR(__xludf.DUMMYFUNCTION("""COMPUTED_VALUE"""),"Emiliano Grillo")</f>
        <v>Emiliano Grillo</v>
      </c>
      <c r="D131">
        <f ca="1">IFERROR(__xludf.DUMMYFUNCTION("""COMPUTED_VALUE"""),22)</f>
        <v>22</v>
      </c>
      <c r="E131">
        <f ca="1">IFERROR(__xludf.DUMMYFUNCTION("""COMPUTED_VALUE"""),24)</f>
        <v>24</v>
      </c>
      <c r="F131" s="2">
        <f ca="1">IFERROR(__xludf.DUMMYFUNCTION("""COMPUTED_VALUE"""),29437)</f>
        <v>29437</v>
      </c>
      <c r="G131">
        <f ca="1">IFERROR(__xludf.DUMMYFUNCTION("""COMPUTED_VALUE"""),34)</f>
        <v>34</v>
      </c>
    </row>
    <row r="132" spans="1:7" ht="12.75">
      <c r="A132" t="str">
        <f ca="1">IFERROR(__xludf.DUMMYFUNCTION("""COMPUTED_VALUE"""),"T130")</f>
        <v>T130</v>
      </c>
      <c r="B132" t="str">
        <f ca="1">IFERROR(__xludf.DUMMYFUNCTION("""COMPUTED_VALUE"""),"T139")</f>
        <v>T139</v>
      </c>
      <c r="C132" t="str">
        <f ca="1">IFERROR(__xludf.DUMMYFUNCTION("""COMPUTED_VALUE"""),"Joseph Bramlett")</f>
        <v>Joseph Bramlett</v>
      </c>
      <c r="D132">
        <f ca="1">IFERROR(__xludf.DUMMYFUNCTION("""COMPUTED_VALUE"""),18)</f>
        <v>18</v>
      </c>
      <c r="E132">
        <f ca="1">IFERROR(__xludf.DUMMYFUNCTION("""COMPUTED_VALUE"""),24)</f>
        <v>24</v>
      </c>
      <c r="F132" s="2">
        <f ca="1">IFERROR(__xludf.DUMMYFUNCTION("""COMPUTED_VALUE"""),27640)</f>
        <v>27640</v>
      </c>
      <c r="G132">
        <f ca="1">IFERROR(__xludf.DUMMYFUNCTION("""COMPUTED_VALUE"""),32)</f>
        <v>32</v>
      </c>
    </row>
    <row r="133" spans="1:7" ht="12.75">
      <c r="A133" t="str">
        <f ca="1">IFERROR(__xludf.DUMMYFUNCTION("""COMPUTED_VALUE"""),"T130")</f>
        <v>T130</v>
      </c>
      <c r="B133" t="str">
        <f ca="1">IFERROR(__xludf.DUMMYFUNCTION("""COMPUTED_VALUE"""),"T117")</f>
        <v>T117</v>
      </c>
      <c r="C133" t="str">
        <f ca="1">IFERROR(__xludf.DUMMYFUNCTION("""COMPUTED_VALUE"""),"Beau Hossler")</f>
        <v>Beau Hossler</v>
      </c>
      <c r="D133">
        <f ca="1">IFERROR(__xludf.DUMMYFUNCTION("""COMPUTED_VALUE"""),22)</f>
        <v>22</v>
      </c>
      <c r="E133">
        <f ca="1">IFERROR(__xludf.DUMMYFUNCTION("""COMPUTED_VALUE"""),24)</f>
        <v>24</v>
      </c>
      <c r="F133" s="2">
        <f ca="1">IFERROR(__xludf.DUMMYFUNCTION("""COMPUTED_VALUE"""),38889)</f>
        <v>38889</v>
      </c>
      <c r="G133">
        <f ca="1">IFERROR(__xludf.DUMMYFUNCTION("""COMPUTED_VALUE"""),45)</f>
        <v>45</v>
      </c>
    </row>
    <row r="134" spans="1:7" ht="12.75">
      <c r="A134" t="str">
        <f ca="1">IFERROR(__xludf.DUMMYFUNCTION("""COMPUTED_VALUE"""),"T130")</f>
        <v>T130</v>
      </c>
      <c r="B134" t="str">
        <f ca="1">IFERROR(__xludf.DUMMYFUNCTION("""COMPUTED_VALUE"""),"T139")</f>
        <v>T139</v>
      </c>
      <c r="C134" t="str">
        <f ca="1">IFERROR(__xludf.DUMMYFUNCTION("""COMPUTED_VALUE"""),"Sahith Theegala")</f>
        <v>Sahith Theegala</v>
      </c>
      <c r="D134">
        <f ca="1">IFERROR(__xludf.DUMMYFUNCTION("""COMPUTED_VALUE"""),6)</f>
        <v>6</v>
      </c>
      <c r="E134">
        <f ca="1">IFERROR(__xludf.DUMMYFUNCTION("""COMPUTED_VALUE"""),24)</f>
        <v>24</v>
      </c>
      <c r="F134" s="2">
        <f ca="1">IFERROR(__xludf.DUMMYFUNCTION("""COMPUTED_VALUE"""),15560)</f>
        <v>15560</v>
      </c>
      <c r="G134">
        <f ca="1">IFERROR(__xludf.DUMMYFUNCTION("""COMPUTED_VALUE"""),18)</f>
        <v>18</v>
      </c>
    </row>
    <row r="135" spans="1:7" ht="12.75">
      <c r="A135">
        <f ca="1">IFERROR(__xludf.DUMMYFUNCTION("""COMPUTED_VALUE"""),134)</f>
        <v>134</v>
      </c>
      <c r="B135" t="str">
        <f ca="1">IFERROR(__xludf.DUMMYFUNCTION("""COMPUTED_VALUE"""),"T141")</f>
        <v>T141</v>
      </c>
      <c r="C135" t="str">
        <f ca="1">IFERROR(__xludf.DUMMYFUNCTION("""COMPUTED_VALUE"""),"Nick Taylor")</f>
        <v>Nick Taylor</v>
      </c>
      <c r="D135">
        <f ca="1">IFERROR(__xludf.DUMMYFUNCTION("""COMPUTED_VALUE"""),12)</f>
        <v>12</v>
      </c>
      <c r="E135">
        <f ca="1">IFERROR(__xludf.DUMMYFUNCTION("""COMPUTED_VALUE"""),24.1)</f>
        <v>24.1</v>
      </c>
      <c r="F135" s="2">
        <f ca="1">IFERROR(__xludf.DUMMYFUNCTION("""COMPUTED_VALUE"""),28592)</f>
        <v>28592</v>
      </c>
      <c r="G135">
        <f ca="1">IFERROR(__xludf.DUMMYFUNCTION("""COMPUTED_VALUE"""),33)</f>
        <v>33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IFERROR(__xludf.DUMMYFUNCTION("""COMPUTED_VALUE"""),"T122")</f>
        <v>T122</v>
      </c>
      <c r="C136" t="str">
        <f ca="1">IFERROR(__xludf.DUMMYFUNCTION("""COMPUTED_VALUE"""),"Pat Perez")</f>
        <v>Pat Perez</v>
      </c>
      <c r="D136">
        <f ca="1">IFERROR(__xludf.DUMMYFUNCTION("""COMPUTED_VALUE"""),16)</f>
        <v>16</v>
      </c>
      <c r="E136">
        <f ca="1">IFERROR(__xludf.DUMMYFUNCTION("""COMPUTED_VALUE"""),24.2)</f>
        <v>24.2</v>
      </c>
      <c r="F136" s="2">
        <f ca="1">IFERROR(__xludf.DUMMYFUNCTION("""COMPUTED_VALUE"""),18258)</f>
        <v>18258</v>
      </c>
      <c r="G136">
        <f ca="1">IFERROR(__xludf.DUMMYFUNCTION("""COMPUTED_VALUE"""),21)</f>
        <v>21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IFERROR(__xludf.DUMMYFUNCTION("""COMPUTED_VALUE"""),"T168")</f>
        <v>T168</v>
      </c>
      <c r="C137" t="str">
        <f ca="1">IFERROR(__xludf.DUMMYFUNCTION("""COMPUTED_VALUE"""),"Talor Gooch")</f>
        <v>Talor Gooch</v>
      </c>
      <c r="D137">
        <f ca="1">IFERROR(__xludf.DUMMYFUNCTION("""COMPUTED_VALUE"""),20)</f>
        <v>20</v>
      </c>
      <c r="E137">
        <f ca="1">IFERROR(__xludf.DUMMYFUNCTION("""COMPUTED_VALUE"""),24.2)</f>
        <v>24.2</v>
      </c>
      <c r="F137" s="2">
        <f ca="1">IFERROR(__xludf.DUMMYFUNCTION("""COMPUTED_VALUE"""),55764)</f>
        <v>55764</v>
      </c>
      <c r="G137">
        <f ca="1">IFERROR(__xludf.DUMMYFUNCTION("""COMPUTED_VALUE"""),64)</f>
        <v>64</v>
      </c>
    </row>
    <row r="138" spans="1:7" ht="12.75">
      <c r="A138" t="str">
        <f ca="1">IFERROR(__xludf.DUMMYFUNCTION("""COMPUTED_VALUE"""),"T135")</f>
        <v>T135</v>
      </c>
      <c r="B138" t="str">
        <f ca="1">IFERROR(__xludf.DUMMYFUNCTION("""COMPUTED_VALUE"""),"T144")</f>
        <v>T144</v>
      </c>
      <c r="C138" t="str">
        <f ca="1">IFERROR(__xludf.DUMMYFUNCTION("""COMPUTED_VALUE"""),"Tom Lewis")</f>
        <v>Tom Lewis</v>
      </c>
      <c r="D138">
        <f ca="1">IFERROR(__xludf.DUMMYFUNCTION("""COMPUTED_VALUE"""),12)</f>
        <v>12</v>
      </c>
      <c r="E138">
        <f ca="1">IFERROR(__xludf.DUMMYFUNCTION("""COMPUTED_VALUE"""),24.2)</f>
        <v>24.2</v>
      </c>
      <c r="F138" s="2">
        <f ca="1">IFERROR(__xludf.DUMMYFUNCTION("""COMPUTED_VALUE"""),21789)</f>
        <v>21789</v>
      </c>
      <c r="G138">
        <f ca="1">IFERROR(__xludf.DUMMYFUNCTION("""COMPUTED_VALUE"""),25)</f>
        <v>25</v>
      </c>
    </row>
    <row r="139" spans="1:7" ht="12.75">
      <c r="A139" t="str">
        <f ca="1">IFERROR(__xludf.DUMMYFUNCTION("""COMPUTED_VALUE"""),"T135")</f>
        <v>T135</v>
      </c>
      <c r="B139">
        <f ca="1">IFERROR(__xludf.DUMMYFUNCTION("""COMPUTED_VALUE"""),70)</f>
        <v>70</v>
      </c>
      <c r="C139" t="str">
        <f ca="1">IFERROR(__xludf.DUMMYFUNCTION("""COMPUTED_VALUE"""),"Mark Hubbard")</f>
        <v>Mark Hubbard</v>
      </c>
      <c r="D139">
        <f ca="1">IFERROR(__xludf.DUMMYFUNCTION("""COMPUTED_VALUE"""),20)</f>
        <v>20</v>
      </c>
      <c r="E139">
        <f ca="1">IFERROR(__xludf.DUMMYFUNCTION("""COMPUTED_VALUE"""),24.2)</f>
        <v>24.2</v>
      </c>
      <c r="F139" s="2">
        <f ca="1">IFERROR(__xludf.DUMMYFUNCTION("""COMPUTED_VALUE"""),33162)</f>
        <v>33162</v>
      </c>
      <c r="G139">
        <f ca="1">IFERROR(__xludf.DUMMYFUNCTION("""COMPUTED_VALUE"""),38)</f>
        <v>38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IFERROR(__xludf.DUMMYFUNCTION("""COMPUTED_VALUE"""),"T147")</f>
        <v>T147</v>
      </c>
      <c r="C140" t="str">
        <f ca="1">IFERROR(__xludf.DUMMYFUNCTION("""COMPUTED_VALUE"""),"Russell Henley")</f>
        <v>Russell Henley</v>
      </c>
      <c r="D140">
        <f ca="1">IFERROR(__xludf.DUMMYFUNCTION("""COMPUTED_VALUE"""),16)</f>
        <v>16</v>
      </c>
      <c r="E140">
        <f ca="1">IFERROR(__xludf.DUMMYFUNCTION("""COMPUTED_VALUE"""),24.3)</f>
        <v>24.3</v>
      </c>
      <c r="F140" s="2">
        <f ca="1">IFERROR(__xludf.DUMMYFUNCTION("""COMPUTED_VALUE"""),36765)</f>
        <v>36765</v>
      </c>
      <c r="G140">
        <f ca="1">IFERROR(__xludf.DUMMYFUNCTION("""COMPUTED_VALUE"""),42)</f>
        <v>42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IFERROR(__xludf.DUMMYFUNCTION("""COMPUTED_VALUE"""),"T147")</f>
        <v>T147</v>
      </c>
      <c r="C141" t="str">
        <f ca="1">IFERROR(__xludf.DUMMYFUNCTION("""COMPUTED_VALUE"""),"Robert MacIntyre")</f>
        <v>Robert MacIntyre</v>
      </c>
      <c r="D141">
        <f ca="1">IFERROR(__xludf.DUMMYFUNCTION("""COMPUTED_VALUE"""),4)</f>
        <v>4</v>
      </c>
      <c r="E141">
        <f ca="1">IFERROR(__xludf.DUMMYFUNCTION("""COMPUTED_VALUE"""),24.3)</f>
        <v>24.3</v>
      </c>
      <c r="F141" s="2">
        <f ca="1">IFERROR(__xludf.DUMMYFUNCTION("""COMPUTED_VALUE"""),6120)</f>
        <v>6120</v>
      </c>
      <c r="G141">
        <f ca="1">IFERROR(__xludf.DUMMYFUNCTION("""COMPUTED_VALUE"""),7)</f>
        <v>7</v>
      </c>
    </row>
    <row r="142" spans="1:7" ht="12.75">
      <c r="A142" t="str">
        <f ca="1">IFERROR(__xludf.DUMMYFUNCTION("""COMPUTED_VALUE"""),"T139")</f>
        <v>T139</v>
      </c>
      <c r="B142" t="str">
        <f ca="1">IFERROR(__xludf.DUMMYFUNCTION("""COMPUTED_VALUE"""),"T147")</f>
        <v>T147</v>
      </c>
      <c r="C142" t="str">
        <f ca="1">IFERROR(__xludf.DUMMYFUNCTION("""COMPUTED_VALUE"""),"Charles Howell III")</f>
        <v>Charles Howell III</v>
      </c>
      <c r="D142">
        <f ca="1">IFERROR(__xludf.DUMMYFUNCTION("""COMPUTED_VALUE"""),10)</f>
        <v>10</v>
      </c>
      <c r="E142">
        <f ca="1">IFERROR(__xludf.DUMMYFUNCTION("""COMPUTED_VALUE"""),24.3)</f>
        <v>24.3</v>
      </c>
      <c r="F142" s="2">
        <f ca="1">IFERROR(__xludf.DUMMYFUNCTION("""COMPUTED_VALUE"""),18395)</f>
        <v>18395</v>
      </c>
      <c r="G142">
        <f ca="1">IFERROR(__xludf.DUMMYFUNCTION("""COMPUTED_VALUE"""),21)</f>
        <v>21</v>
      </c>
    </row>
    <row r="143" spans="1:7" ht="12.75">
      <c r="A143" t="str">
        <f ca="1">IFERROR(__xludf.DUMMYFUNCTION("""COMPUTED_VALUE"""),"T139")</f>
        <v>T139</v>
      </c>
      <c r="B143" t="str">
        <f ca="1">IFERROR(__xludf.DUMMYFUNCTION("""COMPUTED_VALUE"""),"T136")</f>
        <v>T136</v>
      </c>
      <c r="C143" t="str">
        <f ca="1">IFERROR(__xludf.DUMMYFUNCTION("""COMPUTED_VALUE"""),"Henrik Norlander")</f>
        <v>Henrik Norlander</v>
      </c>
      <c r="D143">
        <f ca="1">IFERROR(__xludf.DUMMYFUNCTION("""COMPUTED_VALUE"""),16)</f>
        <v>16</v>
      </c>
      <c r="E143">
        <f ca="1">IFERROR(__xludf.DUMMYFUNCTION("""COMPUTED_VALUE"""),24.3)</f>
        <v>24.3</v>
      </c>
      <c r="F143" s="2">
        <f ca="1">IFERROR(__xludf.DUMMYFUNCTION("""COMPUTED_VALUE"""),29803)</f>
        <v>29803</v>
      </c>
      <c r="G143">
        <f ca="1">IFERROR(__xludf.DUMMYFUNCTION("""COMPUTED_VALUE"""),34)</f>
        <v>34</v>
      </c>
    </row>
    <row r="144" spans="1:7" ht="12.75">
      <c r="A144" t="str">
        <f ca="1">IFERROR(__xludf.DUMMYFUNCTION("""COMPUTED_VALUE"""),"T139")</f>
        <v>T139</v>
      </c>
      <c r="B144" t="str">
        <f ca="1">IFERROR(__xludf.DUMMYFUNCTION("""COMPUTED_VALUE"""),"T147")</f>
        <v>T147</v>
      </c>
      <c r="C144" t="str">
        <f ca="1">IFERROR(__xludf.DUMMYFUNCTION("""COMPUTED_VALUE"""),"Thomas Pieters")</f>
        <v>Thomas Pieters</v>
      </c>
      <c r="D144">
        <f ca="1">IFERROR(__xludf.DUMMYFUNCTION("""COMPUTED_VALUE"""),4)</f>
        <v>4</v>
      </c>
      <c r="E144">
        <f ca="1">IFERROR(__xludf.DUMMYFUNCTION("""COMPUTED_VALUE"""),24.3)</f>
        <v>24.3</v>
      </c>
      <c r="F144" s="2">
        <f ca="1">IFERROR(__xludf.DUMMYFUNCTION("""COMPUTED_VALUE"""),4371)</f>
        <v>4371</v>
      </c>
      <c r="G144">
        <f ca="1">IFERROR(__xludf.DUMMYFUNCTION("""COMPUTED_VALUE"""),5)</f>
        <v>5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IFERROR(__xludf.DUMMYFUNCTION("""COMPUTED_VALUE"""),"T152")</f>
        <v>T152</v>
      </c>
      <c r="C145" t="str">
        <f ca="1">IFERROR(__xludf.DUMMYFUNCTION("""COMPUTED_VALUE"""),"Abraham Ancer")</f>
        <v>Abraham Ancer</v>
      </c>
      <c r="D145">
        <f ca="1">IFERROR(__xludf.DUMMYFUNCTION("""COMPUTED_VALUE"""),16)</f>
        <v>16</v>
      </c>
      <c r="E145">
        <f ca="1">IFERROR(__xludf.DUMMYFUNCTION("""COMPUTED_VALUE"""),24.4)</f>
        <v>24.4</v>
      </c>
      <c r="F145" s="2">
        <f ca="1">IFERROR(__xludf.DUMMYFUNCTION("""COMPUTED_VALUE"""),39457)</f>
        <v>39457</v>
      </c>
      <c r="G145">
        <f ca="1">IFERROR(__xludf.DUMMYFUNCTION("""COMPUTED_VALUE"""),45)</f>
        <v>45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IFERROR(__xludf.DUMMYFUNCTION("""COMPUTED_VALUE"""),"T152")</f>
        <v>T152</v>
      </c>
      <c r="C146" t="str">
        <f ca="1">IFERROR(__xludf.DUMMYFUNCTION("""COMPUTED_VALUE"""),"Chase Seiffert")</f>
        <v>Chase Seiffert</v>
      </c>
      <c r="D146">
        <f ca="1">IFERROR(__xludf.DUMMYFUNCTION("""COMPUTED_VALUE"""),14)</f>
        <v>14</v>
      </c>
      <c r="E146">
        <f ca="1">IFERROR(__xludf.DUMMYFUNCTION("""COMPUTED_VALUE"""),24.4)</f>
        <v>24.4</v>
      </c>
      <c r="F146" s="2">
        <f ca="1">IFERROR(__xludf.DUMMYFUNCTION("""COMPUTED_VALUE"""),19345)</f>
        <v>19345</v>
      </c>
      <c r="G146">
        <f ca="1">IFERROR(__xludf.DUMMYFUNCTION("""COMPUTED_VALUE"""),22)</f>
        <v>22</v>
      </c>
    </row>
    <row r="147" spans="1:7" ht="12.75">
      <c r="A147" t="str">
        <f ca="1">IFERROR(__xludf.DUMMYFUNCTION("""COMPUTED_VALUE"""),"T144")</f>
        <v>T144</v>
      </c>
      <c r="B147" t="str">
        <f ca="1">IFERROR(__xludf.DUMMYFUNCTION("""COMPUTED_VALUE"""),"T164")</f>
        <v>T164</v>
      </c>
      <c r="C147" t="str">
        <f ca="1">IFERROR(__xludf.DUMMYFUNCTION("""COMPUTED_VALUE"""),"Patrick Rodgers")</f>
        <v>Patrick Rodgers</v>
      </c>
      <c r="D147">
        <f ca="1">IFERROR(__xludf.DUMMYFUNCTION("""COMPUTED_VALUE"""),18)</f>
        <v>18</v>
      </c>
      <c r="E147">
        <f ca="1">IFERROR(__xludf.DUMMYFUNCTION("""COMPUTED_VALUE"""),24.4)</f>
        <v>24.4</v>
      </c>
      <c r="F147" s="2">
        <f ca="1">IFERROR(__xludf.DUMMYFUNCTION("""COMPUTED_VALUE"""),21085)</f>
        <v>21085</v>
      </c>
      <c r="G147">
        <f ca="1">IFERROR(__xludf.DUMMYFUNCTION("""COMPUTED_VALUE"""),24)</f>
        <v>24</v>
      </c>
    </row>
    <row r="148" spans="1:7" ht="12.75">
      <c r="A148">
        <f ca="1">IFERROR(__xludf.DUMMYFUNCTION("""COMPUTED_VALUE"""),147)</f>
        <v>147</v>
      </c>
      <c r="B148" t="str">
        <f ca="1">IFERROR(__xludf.DUMMYFUNCTION("""COMPUTED_VALUE"""),"T160")</f>
        <v>T160</v>
      </c>
      <c r="C148" t="str">
        <f ca="1">IFERROR(__xludf.DUMMYFUNCTION("""COMPUTED_VALUE"""),"C.T. Pan")</f>
        <v>C.T. Pan</v>
      </c>
      <c r="D148">
        <f ca="1">IFERROR(__xludf.DUMMYFUNCTION("""COMPUTED_VALUE"""),20)</f>
        <v>20</v>
      </c>
      <c r="E148">
        <f ca="1">IFERROR(__xludf.DUMMYFUNCTION("""COMPUTED_VALUE"""),24.5)</f>
        <v>24.5</v>
      </c>
      <c r="F148" s="2">
        <f ca="1">IFERROR(__xludf.DUMMYFUNCTION("""COMPUTED_VALUE"""),26499)</f>
        <v>26499</v>
      </c>
      <c r="G148">
        <f ca="1">IFERROR(__xludf.DUMMYFUNCTION("""COMPUTED_VALUE"""),30)</f>
        <v>30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IFERROR(__xludf.DUMMYFUNCTION("""COMPUTED_VALUE"""),"T83")</f>
        <v>T83</v>
      </c>
      <c r="C149" t="str">
        <f ca="1">IFERROR(__xludf.DUMMYFUNCTION("""COMPUTED_VALUE"""),"Phil Mickelson")</f>
        <v>Phil Mickelson</v>
      </c>
      <c r="D149">
        <f ca="1">IFERROR(__xludf.DUMMYFUNCTION("""COMPUTED_VALUE"""),12)</f>
        <v>12</v>
      </c>
      <c r="E149">
        <f ca="1">IFERROR(__xludf.DUMMYFUNCTION("""COMPUTED_VALUE"""),24.6)</f>
        <v>24.6</v>
      </c>
      <c r="F149" s="2">
        <f ca="1">IFERROR(__xludf.DUMMYFUNCTION("""COMPUTED_VALUE"""),30161)</f>
        <v>30161</v>
      </c>
      <c r="G149">
        <f ca="1">IFERROR(__xludf.DUMMYFUNCTION("""COMPUTED_VALUE"""),34)</f>
        <v>34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IFERROR(__xludf.DUMMYFUNCTION("""COMPUTED_VALUE"""),"T155")</f>
        <v>T155</v>
      </c>
      <c r="C150" t="str">
        <f ca="1">IFERROR(__xludf.DUMMYFUNCTION("""COMPUTED_VALUE"""),"Patrick Cantlay")</f>
        <v>Patrick Cantlay</v>
      </c>
      <c r="D150">
        <f ca="1">IFERROR(__xludf.DUMMYFUNCTION("""COMPUTED_VALUE"""),16)</f>
        <v>16</v>
      </c>
      <c r="E150">
        <f ca="1">IFERROR(__xludf.DUMMYFUNCTION("""COMPUTED_VALUE"""),24.6)</f>
        <v>24.6</v>
      </c>
      <c r="F150" s="2">
        <f ca="1">IFERROR(__xludf.DUMMYFUNCTION("""COMPUTED_VALUE"""),46965)</f>
        <v>46965</v>
      </c>
      <c r="G150">
        <f ca="1">IFERROR(__xludf.DUMMYFUNCTION("""COMPUTED_VALUE"""),53)</f>
        <v>53</v>
      </c>
    </row>
    <row r="151" spans="1:7" ht="12.75">
      <c r="A151" t="str">
        <f ca="1">IFERROR(__xludf.DUMMYFUNCTION("""COMPUTED_VALUE"""),"T148")</f>
        <v>T148</v>
      </c>
      <c r="B151" t="str">
        <f ca="1">IFERROR(__xludf.DUMMYFUNCTION("""COMPUTED_VALUE"""),"T155")</f>
        <v>T155</v>
      </c>
      <c r="C151" t="str">
        <f ca="1">IFERROR(__xludf.DUMMYFUNCTION("""COMPUTED_VALUE"""),"Dominic Bozzelli")</f>
        <v>Dominic Bozzelli</v>
      </c>
      <c r="D151">
        <f ca="1">IFERROR(__xludf.DUMMYFUNCTION("""COMPUTED_VALUE"""),8)</f>
        <v>8</v>
      </c>
      <c r="E151">
        <f ca="1">IFERROR(__xludf.DUMMYFUNCTION("""COMPUTED_VALUE"""),24.6)</f>
        <v>24.6</v>
      </c>
      <c r="F151" s="2">
        <f ca="1">IFERROR(__xludf.DUMMYFUNCTION("""COMPUTED_VALUE"""),2655)</f>
        <v>2655</v>
      </c>
      <c r="G151">
        <f ca="1">IFERROR(__xludf.DUMMYFUNCTION("""COMPUTED_VALUE"""),3)</f>
        <v>3</v>
      </c>
    </row>
    <row r="152" spans="1:7" ht="12.75">
      <c r="A152" t="str">
        <f ca="1">IFERROR(__xludf.DUMMYFUNCTION("""COMPUTED_VALUE"""),"T148")</f>
        <v>T148</v>
      </c>
      <c r="B152" t="str">
        <f ca="1">IFERROR(__xludf.DUMMYFUNCTION("""COMPUTED_VALUE"""),"T155")</f>
        <v>T155</v>
      </c>
      <c r="C152" t="str">
        <f ca="1">IFERROR(__xludf.DUMMYFUNCTION("""COMPUTED_VALUE"""),"Doug Ghim")</f>
        <v>Doug Ghim</v>
      </c>
      <c r="D152">
        <f ca="1">IFERROR(__xludf.DUMMYFUNCTION("""COMPUTED_VALUE"""),14)</f>
        <v>14</v>
      </c>
      <c r="E152">
        <f ca="1">IFERROR(__xludf.DUMMYFUNCTION("""COMPUTED_VALUE"""),24.6)</f>
        <v>24.6</v>
      </c>
      <c r="F152" s="2">
        <f ca="1">IFERROR(__xludf.DUMMYFUNCTION("""COMPUTED_VALUE"""),19490)</f>
        <v>19490</v>
      </c>
      <c r="G152">
        <f ca="1">IFERROR(__xludf.DUMMYFUNCTION("""COMPUTED_VALUE"""),22)</f>
        <v>22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IFERROR(__xludf.DUMMYFUNCTION("""COMPUTED_VALUE"""),159)</f>
        <v>159</v>
      </c>
      <c r="C153" t="str">
        <f ca="1">IFERROR(__xludf.DUMMYFUNCTION("""COMPUTED_VALUE"""),"Scottie Scheffler")</f>
        <v>Scottie Scheffler</v>
      </c>
      <c r="D153">
        <f ca="1">IFERROR(__xludf.DUMMYFUNCTION("""COMPUTED_VALUE"""),18)</f>
        <v>18</v>
      </c>
      <c r="E153">
        <f ca="1">IFERROR(__xludf.DUMMYFUNCTION("""COMPUTED_VALUE"""),24.7)</f>
        <v>24.7</v>
      </c>
      <c r="F153" s="2">
        <f ca="1">IFERROR(__xludf.DUMMYFUNCTION("""COMPUTED_VALUE"""),55116)</f>
        <v>55116</v>
      </c>
      <c r="G153">
        <f ca="1">IFERROR(__xludf.DUMMYFUNCTION("""COMPUTED_VALUE"""),62)</f>
        <v>62</v>
      </c>
    </row>
    <row r="154" spans="1:7" ht="12.75">
      <c r="A154" t="str">
        <f ca="1">IFERROR(__xludf.DUMMYFUNCTION("""COMPUTED_VALUE"""),"T153")</f>
        <v>T153</v>
      </c>
      <c r="B154" t="str">
        <f ca="1">IFERROR(__xludf.DUMMYFUNCTION("""COMPUTED_VALUE"""),"T160")</f>
        <v>T160</v>
      </c>
      <c r="C154" t="str">
        <f ca="1">IFERROR(__xludf.DUMMYFUNCTION("""COMPUTED_VALUE"""),"Jaekyeong Lee")</f>
        <v>Jaekyeong Lee</v>
      </c>
      <c r="D154">
        <f ca="1">IFERROR(__xludf.DUMMYFUNCTION("""COMPUTED_VALUE"""),4)</f>
        <v>4</v>
      </c>
      <c r="E154">
        <f ca="1">IFERROR(__xludf.DUMMYFUNCTION("""COMPUTED_VALUE"""),24.8)</f>
        <v>24.8</v>
      </c>
      <c r="F154" s="2">
        <f ca="1">IFERROR(__xludf.DUMMYFUNCTION("""COMPUTED_VALUE"""),13365)</f>
        <v>13365</v>
      </c>
      <c r="G154">
        <f ca="1">IFERROR(__xludf.DUMMYFUNCTION("""COMPUTED_VALUE"""),15)</f>
        <v>15</v>
      </c>
    </row>
    <row r="155" spans="1:7" ht="12.75">
      <c r="A155" t="str">
        <f ca="1">IFERROR(__xludf.DUMMYFUNCTION("""COMPUTED_VALUE"""),"T153")</f>
        <v>T153</v>
      </c>
      <c r="B155" t="str">
        <f ca="1">IFERROR(__xludf.DUMMYFUNCTION("""COMPUTED_VALUE"""),"T160")</f>
        <v>T160</v>
      </c>
      <c r="C155" t="str">
        <f ca="1">IFERROR(__xludf.DUMMYFUNCTION("""COMPUTED_VALUE"""),"Vincent Whaley")</f>
        <v>Vincent Whaley</v>
      </c>
      <c r="D155">
        <f ca="1">IFERROR(__xludf.DUMMYFUNCTION("""COMPUTED_VALUE"""),14)</f>
        <v>14</v>
      </c>
      <c r="E155">
        <f ca="1">IFERROR(__xludf.DUMMYFUNCTION("""COMPUTED_VALUE"""),24.8)</f>
        <v>24.8</v>
      </c>
      <c r="F155" s="2">
        <f ca="1">IFERROR(__xludf.DUMMYFUNCTION("""COMPUTED_VALUE"""),23189)</f>
        <v>23189</v>
      </c>
      <c r="G155">
        <f ca="1">IFERROR(__xludf.DUMMYFUNCTION("""COMPUTED_VALUE"""),26)</f>
        <v>26</v>
      </c>
    </row>
    <row r="156" spans="1:7" ht="12.75">
      <c r="A156" t="str">
        <f ca="1">IFERROR(__xludf.DUMMYFUNCTION("""COMPUTED_VALUE"""),"T153")</f>
        <v>T153</v>
      </c>
      <c r="B156" t="str">
        <f ca="1">IFERROR(__xludf.DUMMYFUNCTION("""COMPUTED_VALUE"""),"T160")</f>
        <v>T160</v>
      </c>
      <c r="C156" t="str">
        <f ca="1">IFERROR(__xludf.DUMMYFUNCTION("""COMPUTED_VALUE"""),"Matt Every")</f>
        <v>Matt Every</v>
      </c>
      <c r="D156">
        <f ca="1">IFERROR(__xludf.DUMMYFUNCTION("""COMPUTED_VALUE"""),8)</f>
        <v>8</v>
      </c>
      <c r="E156">
        <f ca="1">IFERROR(__xludf.DUMMYFUNCTION("""COMPUTED_VALUE"""),24.8)</f>
        <v>24.8</v>
      </c>
      <c r="F156" s="2">
        <f ca="1">IFERROR(__xludf.DUMMYFUNCTION("""COMPUTED_VALUE"""),5361)</f>
        <v>5361</v>
      </c>
      <c r="G156">
        <f ca="1">IFERROR(__xludf.DUMMYFUNCTION("""COMPUTED_VALUE"""),6)</f>
        <v>6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IFERROR(__xludf.DUMMYFUNCTION("""COMPUTED_VALUE"""),"T164")</f>
        <v>T164</v>
      </c>
      <c r="C157" t="str">
        <f ca="1">IFERROR(__xludf.DUMMYFUNCTION("""COMPUTED_VALUE"""),"Rasmus Hojgaard")</f>
        <v>Rasmus Hojgaard</v>
      </c>
      <c r="D157">
        <f ca="1">IFERROR(__xludf.DUMMYFUNCTION("""COMPUTED_VALUE"""),6)</f>
        <v>6</v>
      </c>
      <c r="E157">
        <f ca="1">IFERROR(__xludf.DUMMYFUNCTION("""COMPUTED_VALUE"""),24.9)</f>
        <v>24.9</v>
      </c>
      <c r="F157" s="2">
        <f ca="1">IFERROR(__xludf.DUMMYFUNCTION("""COMPUTED_VALUE"""),2690)</f>
        <v>2690</v>
      </c>
      <c r="G157">
        <f ca="1">IFERROR(__xludf.DUMMYFUNCTION("""COMPUTED_VALUE"""),3)</f>
        <v>3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IFERROR(__xludf.DUMMYFUNCTION("""COMPUTED_VALUE"""),"T144")</f>
        <v>T144</v>
      </c>
      <c r="C158" t="str">
        <f ca="1">IFERROR(__xludf.DUMMYFUNCTION("""COMPUTED_VALUE"""),"Denny McCarthy")</f>
        <v>Denny McCarthy</v>
      </c>
      <c r="D158">
        <f ca="1">IFERROR(__xludf.DUMMYFUNCTION("""COMPUTED_VALUE"""),22)</f>
        <v>22</v>
      </c>
      <c r="E158">
        <f ca="1">IFERROR(__xludf.DUMMYFUNCTION("""COMPUTED_VALUE"""),24.9)</f>
        <v>24.9</v>
      </c>
      <c r="F158" s="2">
        <f ca="1">IFERROR(__xludf.DUMMYFUNCTION("""COMPUTED_VALUE"""),32325)</f>
        <v>32325</v>
      </c>
      <c r="G158">
        <f ca="1">IFERROR(__xludf.DUMMYFUNCTION("""COMPUTED_VALUE"""),36)</f>
        <v>36</v>
      </c>
    </row>
    <row r="159" spans="1:7" ht="12.75">
      <c r="A159" t="str">
        <f ca="1">IFERROR(__xludf.DUMMYFUNCTION("""COMPUTED_VALUE"""),"T156")</f>
        <v>T156</v>
      </c>
      <c r="B159" t="str">
        <f ca="1">IFERROR(__xludf.DUMMYFUNCTION("""COMPUTED_VALUE"""),"T164")</f>
        <v>T164</v>
      </c>
      <c r="C159" t="str">
        <f ca="1">IFERROR(__xludf.DUMMYFUNCTION("""COMPUTED_VALUE"""),"Will Zalatoris")</f>
        <v>Will Zalatoris</v>
      </c>
      <c r="D159">
        <f ca="1">IFERROR(__xludf.DUMMYFUNCTION("""COMPUTED_VALUE"""),18)</f>
        <v>18</v>
      </c>
      <c r="E159">
        <f ca="1">IFERROR(__xludf.DUMMYFUNCTION("""COMPUTED_VALUE"""),24.9)</f>
        <v>24.9</v>
      </c>
      <c r="F159" s="2">
        <f ca="1">IFERROR(__xludf.DUMMYFUNCTION("""COMPUTED_VALUE"""),24236)</f>
        <v>24236</v>
      </c>
      <c r="G159">
        <f ca="1">IFERROR(__xludf.DUMMYFUNCTION("""COMPUTED_VALUE"""),27)</f>
        <v>27</v>
      </c>
    </row>
    <row r="160" spans="1:7" ht="12.75">
      <c r="A160" t="str">
        <f ca="1">IFERROR(__xludf.DUMMYFUNCTION("""COMPUTED_VALUE"""),"T159")</f>
        <v>T159</v>
      </c>
      <c r="B160" t="str">
        <f ca="1">IFERROR(__xludf.DUMMYFUNCTION("""COMPUTED_VALUE"""),"T175")</f>
        <v>T175</v>
      </c>
      <c r="C160" t="str">
        <f ca="1">IFERROR(__xludf.DUMMYFUNCTION("""COMPUTED_VALUE"""),"Corey Conners")</f>
        <v>Corey Conners</v>
      </c>
      <c r="D160">
        <f ca="1">IFERROR(__xludf.DUMMYFUNCTION("""COMPUTED_VALUE"""),20)</f>
        <v>20</v>
      </c>
      <c r="E160">
        <f ca="1">IFERROR(__xludf.DUMMYFUNCTION("""COMPUTED_VALUE"""),25)</f>
        <v>25</v>
      </c>
      <c r="F160" s="2">
        <f ca="1">IFERROR(__xludf.DUMMYFUNCTION("""COMPUTED_VALUE"""),44160)</f>
        <v>44160</v>
      </c>
      <c r="G160">
        <f ca="1">IFERROR(__xludf.DUMMYFUNCTION("""COMPUTED_VALUE"""),49)</f>
        <v>49</v>
      </c>
    </row>
    <row r="161" spans="1:7" ht="12.75">
      <c r="A161" t="str">
        <f ca="1">IFERROR(__xludf.DUMMYFUNCTION("""COMPUTED_VALUE"""),"T159")</f>
        <v>T159</v>
      </c>
      <c r="B161">
        <f ca="1">IFERROR(__xludf.DUMMYFUNCTION("""COMPUTED_VALUE"""),167)</f>
        <v>167</v>
      </c>
      <c r="C161" t="str">
        <f ca="1">IFERROR(__xludf.DUMMYFUNCTION("""COMPUTED_VALUE"""),"George Markham")</f>
        <v>George Markham</v>
      </c>
      <c r="D161">
        <f ca="1">IFERROR(__xludf.DUMMYFUNCTION("""COMPUTED_VALUE"""),4)</f>
        <v>4</v>
      </c>
      <c r="E161">
        <f ca="1">IFERROR(__xludf.DUMMYFUNCTION("""COMPUTED_VALUE"""),25)</f>
        <v>25</v>
      </c>
      <c r="F161" s="2">
        <f ca="1">IFERROR(__xludf.DUMMYFUNCTION("""COMPUTED_VALUE"""),10816)</f>
        <v>10816</v>
      </c>
      <c r="G161">
        <f ca="1">IFERROR(__xludf.DUMMYFUNCTION("""COMPUTED_VALUE"""),12)</f>
        <v>12</v>
      </c>
    </row>
    <row r="162" spans="1:7" ht="12.75">
      <c r="A162" t="str">
        <f ca="1">IFERROR(__xludf.DUMMYFUNCTION("""COMPUTED_VALUE"""),"T159")</f>
        <v>T159</v>
      </c>
      <c r="B162" t="str">
        <f ca="1">IFERROR(__xludf.DUMMYFUNCTION("""COMPUTED_VALUE"""),"T141")</f>
        <v>T141</v>
      </c>
      <c r="C162" t="str">
        <f ca="1">IFERROR(__xludf.DUMMYFUNCTION("""COMPUTED_VALUE"""),"Kevin Chappell")</f>
        <v>Kevin Chappell</v>
      </c>
      <c r="D162">
        <f ca="1">IFERROR(__xludf.DUMMYFUNCTION("""COMPUTED_VALUE"""),16)</f>
        <v>16</v>
      </c>
      <c r="E162">
        <f ca="1">IFERROR(__xludf.DUMMYFUNCTION("""COMPUTED_VALUE"""),25)</f>
        <v>25</v>
      </c>
      <c r="F162" s="2">
        <f ca="1">IFERROR(__xludf.DUMMYFUNCTION("""COMPUTED_VALUE"""),22501)</f>
        <v>22501</v>
      </c>
      <c r="G162">
        <f ca="1">IFERROR(__xludf.DUMMYFUNCTION("""COMPUTED_VALUE"""),25)</f>
        <v>25</v>
      </c>
    </row>
    <row r="163" spans="1:7" ht="12.75">
      <c r="A163">
        <f ca="1">IFERROR(__xludf.DUMMYFUNCTION("""COMPUTED_VALUE"""),162)</f>
        <v>162</v>
      </c>
      <c r="B163" t="str">
        <f ca="1">IFERROR(__xludf.DUMMYFUNCTION("""COMPUTED_VALUE"""),"T117")</f>
        <v>T117</v>
      </c>
      <c r="C163" t="str">
        <f ca="1">IFERROR(__xludf.DUMMYFUNCTION("""COMPUTED_VALUE"""),"Russell Knox")</f>
        <v>Russell Knox</v>
      </c>
      <c r="D163">
        <f ca="1">IFERROR(__xludf.DUMMYFUNCTION("""COMPUTED_VALUE"""),16)</f>
        <v>16</v>
      </c>
      <c r="E163">
        <f ca="1">IFERROR(__xludf.DUMMYFUNCTION("""COMPUTED_VALUE"""),25.1)</f>
        <v>25.1</v>
      </c>
      <c r="F163" s="2">
        <f ca="1">IFERROR(__xludf.DUMMYFUNCTION("""COMPUTED_VALUE"""),15389)</f>
        <v>15389</v>
      </c>
      <c r="G163">
        <f ca="1">IFERROR(__xludf.DUMMYFUNCTION("""COMPUTED_VALUE"""),17)</f>
        <v>17</v>
      </c>
    </row>
    <row r="164" spans="1:7" ht="12.75">
      <c r="A164" t="str">
        <f ca="1">IFERROR(__xludf.DUMMYFUNCTION("""COMPUTED_VALUE"""),"T163")</f>
        <v>T163</v>
      </c>
      <c r="B164">
        <f ca="1">IFERROR(__xludf.DUMMYFUNCTION("""COMPUTED_VALUE"""),12)</f>
        <v>12</v>
      </c>
      <c r="C164" t="str">
        <f ca="1">IFERROR(__xludf.DUMMYFUNCTION("""COMPUTED_VALUE"""),"Tony Finau")</f>
        <v>Tony Finau</v>
      </c>
      <c r="D164">
        <f ca="1">IFERROR(__xludf.DUMMYFUNCTION("""COMPUTED_VALUE"""),12)</f>
        <v>12</v>
      </c>
      <c r="E164">
        <f ca="1">IFERROR(__xludf.DUMMYFUNCTION("""COMPUTED_VALUE"""),25.2)</f>
        <v>25.2</v>
      </c>
      <c r="F164" s="2">
        <f ca="1">IFERROR(__xludf.DUMMYFUNCTION("""COMPUTED_VALUE"""),28103)</f>
        <v>28103</v>
      </c>
      <c r="G164">
        <f ca="1">IFERROR(__xludf.DUMMYFUNCTION("""COMPUTED_VALUE"""),31)</f>
        <v>31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IFERROR(__xludf.DUMMYFUNCTION("""COMPUTED_VALUE"""),"T168")</f>
        <v>T168</v>
      </c>
      <c r="C165" t="str">
        <f ca="1">IFERROR(__xludf.DUMMYFUNCTION("""COMPUTED_VALUE"""),"Michael Gellerman")</f>
        <v>Michael Gellerman</v>
      </c>
      <c r="D165">
        <f ca="1">IFERROR(__xludf.DUMMYFUNCTION("""COMPUTED_VALUE"""),5)</f>
        <v>5</v>
      </c>
      <c r="E165">
        <f ca="1">IFERROR(__xludf.DUMMYFUNCTION("""COMPUTED_VALUE"""),25.2)</f>
        <v>25.2</v>
      </c>
      <c r="F165" s="2">
        <f ca="1">IFERROR(__xludf.DUMMYFUNCTION("""COMPUTED_VALUE"""),1812)</f>
        <v>1812</v>
      </c>
      <c r="G165">
        <f ca="1">IFERROR(__xludf.DUMMYFUNCTION("""COMPUTED_VALUE"""),2)</f>
        <v>2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IFERROR(__xludf.DUMMYFUNCTION("""COMPUTED_VALUE"""),"T170")</f>
        <v>T170</v>
      </c>
      <c r="C166" t="str">
        <f ca="1">IFERROR(__xludf.DUMMYFUNCTION("""COMPUTED_VALUE"""),"Jazz Janewattananond")</f>
        <v>Jazz Janewattananond</v>
      </c>
      <c r="D166">
        <f ca="1">IFERROR(__xludf.DUMMYFUNCTION("""COMPUTED_VALUE"""),6)</f>
        <v>6</v>
      </c>
      <c r="E166">
        <f ca="1">IFERROR(__xludf.DUMMYFUNCTION("""COMPUTED_VALUE"""),25.3)</f>
        <v>25.3</v>
      </c>
      <c r="F166" s="2">
        <f ca="1">IFERROR(__xludf.DUMMYFUNCTION("""COMPUTED_VALUE"""),13663)</f>
        <v>13663</v>
      </c>
      <c r="G166">
        <f ca="1">IFERROR(__xludf.DUMMYFUNCTION("""COMPUTED_VALUE"""),15)</f>
        <v>15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IFERROR(__xludf.DUMMYFUNCTION("""COMPUTED_VALUE"""),"T202")</f>
        <v>T202</v>
      </c>
      <c r="C167" t="str">
        <f ca="1">IFERROR(__xludf.DUMMYFUNCTION("""COMPUTED_VALUE"""),"Brooks Koepka")</f>
        <v>Brooks Koepka</v>
      </c>
      <c r="D167">
        <f ca="1">IFERROR(__xludf.DUMMYFUNCTION("""COMPUTED_VALUE"""),8)</f>
        <v>8</v>
      </c>
      <c r="E167">
        <f ca="1">IFERROR(__xludf.DUMMYFUNCTION("""COMPUTED_VALUE"""),25.3)</f>
        <v>25.3</v>
      </c>
      <c r="F167" s="2">
        <f ca="1">IFERROR(__xludf.DUMMYFUNCTION("""COMPUTED_VALUE"""),19110)</f>
        <v>19110</v>
      </c>
      <c r="G167">
        <f ca="1">IFERROR(__xludf.DUMMYFUNCTION("""COMPUTED_VALUE"""),21)</f>
        <v>21</v>
      </c>
    </row>
    <row r="168" spans="1:7" ht="12.75">
      <c r="A168" t="str">
        <f ca="1">IFERROR(__xludf.DUMMYFUNCTION("""COMPUTED_VALUE"""),"T165")</f>
        <v>T165</v>
      </c>
      <c r="B168" t="str">
        <f ca="1">IFERROR(__xludf.DUMMYFUNCTION("""COMPUTED_VALUE"""),"T170")</f>
        <v>T170</v>
      </c>
      <c r="C168" t="str">
        <f ca="1">IFERROR(__xludf.DUMMYFUNCTION("""COMPUTED_VALUE"""),"Paul Casey")</f>
        <v>Paul Casey</v>
      </c>
      <c r="D168">
        <f ca="1">IFERROR(__xludf.DUMMYFUNCTION("""COMPUTED_VALUE"""),14)</f>
        <v>14</v>
      </c>
      <c r="E168">
        <f ca="1">IFERROR(__xludf.DUMMYFUNCTION("""COMPUTED_VALUE"""),25.3)</f>
        <v>25.3</v>
      </c>
      <c r="F168" s="2">
        <f ca="1">IFERROR(__xludf.DUMMYFUNCTION("""COMPUTED_VALUE"""),40079)</f>
        <v>40079</v>
      </c>
      <c r="G168">
        <f ca="1">IFERROR(__xludf.DUMMYFUNCTION("""COMPUTED_VALUE"""),44)</f>
        <v>44</v>
      </c>
    </row>
    <row r="169" spans="1:7" ht="12.75">
      <c r="A169" t="str">
        <f ca="1">IFERROR(__xludf.DUMMYFUNCTION("""COMPUTED_VALUE"""),"T168")</f>
        <v>T168</v>
      </c>
      <c r="B169">
        <f ca="1">IFERROR(__xludf.DUMMYFUNCTION("""COMPUTED_VALUE"""),173)</f>
        <v>173</v>
      </c>
      <c r="C169" t="str">
        <f ca="1">IFERROR(__xludf.DUMMYFUNCTION("""COMPUTED_VALUE"""),"J.B. Holmes")</f>
        <v>J.B. Holmes</v>
      </c>
      <c r="D169">
        <f ca="1">IFERROR(__xludf.DUMMYFUNCTION("""COMPUTED_VALUE"""),10)</f>
        <v>10</v>
      </c>
      <c r="E169">
        <f ca="1">IFERROR(__xludf.DUMMYFUNCTION("""COMPUTED_VALUE"""),25.4)</f>
        <v>25.4</v>
      </c>
      <c r="F169" s="2">
        <f ca="1">IFERROR(__xludf.DUMMYFUNCTION("""COMPUTED_VALUE"""),24693)</f>
        <v>24693</v>
      </c>
      <c r="G169">
        <f ca="1">IFERROR(__xludf.DUMMYFUNCTION("""COMPUTED_VALUE"""),27)</f>
        <v>27</v>
      </c>
    </row>
    <row r="170" spans="1:7" ht="12.75">
      <c r="A170" t="str">
        <f ca="1">IFERROR(__xludf.DUMMYFUNCTION("""COMPUTED_VALUE"""),"T168")</f>
        <v>T168</v>
      </c>
      <c r="B170" t="str">
        <f ca="1">IFERROR(__xludf.DUMMYFUNCTION("""COMPUTED_VALUE"""),"")</f>
        <v/>
      </c>
      <c r="C170" t="str">
        <f ca="1">IFERROR(__xludf.DUMMYFUNCTION("""COMPUTED_VALUE"""),"Dawie van der Walt")</f>
        <v>Dawie van der Walt</v>
      </c>
      <c r="D170">
        <f ca="1">IFERROR(__xludf.DUMMYFUNCTION("""COMPUTED_VALUE"""),4)</f>
        <v>4</v>
      </c>
      <c r="E170">
        <f ca="1">IFERROR(__xludf.DUMMYFUNCTION("""COMPUTED_VALUE"""),25.4)</f>
        <v>25.4</v>
      </c>
      <c r="F170" s="2">
        <f ca="1">IFERROR(__xludf.DUMMYFUNCTION("""COMPUTED_VALUE"""),3663)</f>
        <v>3663</v>
      </c>
      <c r="G170">
        <f ca="1">IFERROR(__xludf.DUMMYFUNCTION("""COMPUTED_VALUE"""),4)</f>
        <v>4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IFERROR(__xludf.DUMMYFUNCTION("""COMPUTED_VALUE"""),174)</f>
        <v>174</v>
      </c>
      <c r="C171" t="str">
        <f ca="1">IFERROR(__xludf.DUMMYFUNCTION("""COMPUTED_VALUE"""),"Joaquin Niemann")</f>
        <v>Joaquin Niemann</v>
      </c>
      <c r="D171">
        <f ca="1">IFERROR(__xludf.DUMMYFUNCTION("""COMPUTED_VALUE"""),16)</f>
        <v>16</v>
      </c>
      <c r="E171">
        <f ca="1">IFERROR(__xludf.DUMMYFUNCTION("""COMPUTED_VALUE"""),25.5)</f>
        <v>25.5</v>
      </c>
      <c r="F171" s="2">
        <f ca="1">IFERROR(__xludf.DUMMYFUNCTION("""COMPUTED_VALUE"""),49525)</f>
        <v>49525</v>
      </c>
      <c r="G171">
        <f ca="1">IFERROR(__xludf.DUMMYFUNCTION("""COMPUTED_VALUE"""),54)</f>
        <v>54</v>
      </c>
    </row>
    <row r="172" spans="1:7" ht="12.75">
      <c r="A172">
        <f ca="1">IFERROR(__xludf.DUMMYFUNCTION("""COMPUTED_VALUE"""),171)</f>
        <v>171</v>
      </c>
      <c r="B172" t="str">
        <f ca="1">IFERROR(__xludf.DUMMYFUNCTION("""COMPUTED_VALUE"""),"T175")</f>
        <v>T175</v>
      </c>
      <c r="C172" t="str">
        <f ca="1">IFERROR(__xludf.DUMMYFUNCTION("""COMPUTED_VALUE"""),"Rhein Gibson")</f>
        <v>Rhein Gibson</v>
      </c>
      <c r="D172">
        <f ca="1">IFERROR(__xludf.DUMMYFUNCTION("""COMPUTED_VALUE"""),10)</f>
        <v>10</v>
      </c>
      <c r="E172">
        <f ca="1">IFERROR(__xludf.DUMMYFUNCTION("""COMPUTED_VALUE"""),25.6)</f>
        <v>25.6</v>
      </c>
      <c r="F172" s="2">
        <f ca="1">IFERROR(__xludf.DUMMYFUNCTION("""COMPUTED_VALUE"""),7367)</f>
        <v>7367</v>
      </c>
      <c r="G172">
        <f ca="1">IFERROR(__xludf.DUMMYFUNCTION("""COMPUTED_VALUE"""),8)</f>
        <v>8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IFERROR(__xludf.DUMMYFUNCTION("""COMPUTED_VALUE"""),177)</f>
        <v>177</v>
      </c>
      <c r="C173" t="str">
        <f ca="1">IFERROR(__xludf.DUMMYFUNCTION("""COMPUTED_VALUE"""),"Bill Haas")</f>
        <v>Bill Haas</v>
      </c>
      <c r="D173">
        <f ca="1">IFERROR(__xludf.DUMMYFUNCTION("""COMPUTED_VALUE"""),10)</f>
        <v>10</v>
      </c>
      <c r="E173">
        <f ca="1">IFERROR(__xludf.DUMMYFUNCTION("""COMPUTED_VALUE"""),25.7)</f>
        <v>25.7</v>
      </c>
      <c r="F173" s="2">
        <f ca="1">IFERROR(__xludf.DUMMYFUNCTION("""COMPUTED_VALUE"""),12005)</f>
        <v>12005</v>
      </c>
      <c r="G173">
        <f ca="1">IFERROR(__xludf.DUMMYFUNCTION("""COMPUTED_VALUE"""),13)</f>
        <v>13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IFERROR(__xludf.DUMMYFUNCTION("""COMPUTED_VALUE"""),"T122")</f>
        <v>T122</v>
      </c>
      <c r="C174" t="str">
        <f ca="1">IFERROR(__xludf.DUMMYFUNCTION("""COMPUTED_VALUE"""),"Kevin Streelman")</f>
        <v>Kevin Streelman</v>
      </c>
      <c r="D174">
        <f ca="1">IFERROR(__xludf.DUMMYFUNCTION("""COMPUTED_VALUE"""),18)</f>
        <v>18</v>
      </c>
      <c r="E174">
        <f ca="1">IFERROR(__xludf.DUMMYFUNCTION("""COMPUTED_VALUE"""),25.8)</f>
        <v>25.8</v>
      </c>
      <c r="F174" s="2">
        <f ca="1">IFERROR(__xludf.DUMMYFUNCTION("""COMPUTED_VALUE"""),49206)</f>
        <v>49206</v>
      </c>
      <c r="G174">
        <f ca="1">IFERROR(__xludf.DUMMYFUNCTION("""COMPUTED_VALUE"""),53)</f>
        <v>53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IFERROR(__xludf.DUMMYFUNCTION("""COMPUTED_VALUE"""),"T147")</f>
        <v>T147</v>
      </c>
      <c r="C175" t="str">
        <f ca="1">IFERROR(__xludf.DUMMYFUNCTION("""COMPUTED_VALUE"""),"Si Woo Kim")</f>
        <v>Si Woo Kim</v>
      </c>
      <c r="D175">
        <f ca="1">IFERROR(__xludf.DUMMYFUNCTION("""COMPUTED_VALUE"""),20)</f>
        <v>20</v>
      </c>
      <c r="E175">
        <f ca="1">IFERROR(__xludf.DUMMYFUNCTION("""COMPUTED_VALUE"""),25.8)</f>
        <v>25.8</v>
      </c>
      <c r="F175" s="2">
        <f ca="1">IFERROR(__xludf.DUMMYFUNCTION("""COMPUTED_VALUE"""),57657)</f>
        <v>57657</v>
      </c>
      <c r="G175">
        <f ca="1">IFERROR(__xludf.DUMMYFUNCTION("""COMPUTED_VALUE"""),62)</f>
        <v>62</v>
      </c>
    </row>
    <row r="176" spans="1:7" ht="12.75">
      <c r="A176" t="str">
        <f ca="1">IFERROR(__xludf.DUMMYFUNCTION("""COMPUTED_VALUE"""),"T175")</f>
        <v>T175</v>
      </c>
      <c r="B176">
        <f ca="1">IFERROR(__xludf.DUMMYFUNCTION("""COMPUTED_VALUE"""),180)</f>
        <v>180</v>
      </c>
      <c r="C176" t="str">
        <f ca="1">IFERROR(__xludf.DUMMYFUNCTION("""COMPUTED_VALUE"""),"J.J. Spaun")</f>
        <v>J.J. Spaun</v>
      </c>
      <c r="D176">
        <f ca="1">IFERROR(__xludf.DUMMYFUNCTION("""COMPUTED_VALUE"""),10)</f>
        <v>10</v>
      </c>
      <c r="E176">
        <f ca="1">IFERROR(__xludf.DUMMYFUNCTION("""COMPUTED_VALUE"""),25.9)</f>
        <v>25.9</v>
      </c>
      <c r="F176" s="2">
        <f ca="1">IFERROR(__xludf.DUMMYFUNCTION("""COMPUTED_VALUE"""),9312)</f>
        <v>9312</v>
      </c>
      <c r="G176">
        <f ca="1">IFERROR(__xludf.DUMMYFUNCTION("""COMPUTED_VALUE"""),10)</f>
        <v>10</v>
      </c>
    </row>
    <row r="177" spans="1:7" ht="12.75">
      <c r="A177" t="str">
        <f ca="1">IFERROR(__xludf.DUMMYFUNCTION("""COMPUTED_VALUE"""),"T175")</f>
        <v>T175</v>
      </c>
      <c r="B177" t="str">
        <f ca="1">IFERROR(__xludf.DUMMYFUNCTION("""COMPUTED_VALUE"""),"T208")</f>
        <v>T208</v>
      </c>
      <c r="C177" t="str">
        <f ca="1">IFERROR(__xludf.DUMMYFUNCTION("""COMPUTED_VALUE"""),"Hideki Matsuyama")</f>
        <v>Hideki Matsuyama</v>
      </c>
      <c r="D177">
        <f ca="1">IFERROR(__xludf.DUMMYFUNCTION("""COMPUTED_VALUE"""),18)</f>
        <v>18</v>
      </c>
      <c r="E177">
        <f ca="1">IFERROR(__xludf.DUMMYFUNCTION("""COMPUTED_VALUE"""),25.9)</f>
        <v>25.9</v>
      </c>
      <c r="F177" s="2">
        <f ca="1">IFERROR(__xludf.DUMMYFUNCTION("""COMPUTED_VALUE"""),50365)</f>
        <v>50365</v>
      </c>
      <c r="G177">
        <f ca="1">IFERROR(__xludf.DUMMYFUNCTION("""COMPUTED_VALUE"""),54)</f>
        <v>54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IFERROR(__xludf.DUMMYFUNCTION("""COMPUTED_VALUE"""),181)</f>
        <v>181</v>
      </c>
      <c r="C178" t="str">
        <f ca="1">IFERROR(__xludf.DUMMYFUNCTION("""COMPUTED_VALUE"""),"Mark Anderson")</f>
        <v>Mark Anderson</v>
      </c>
      <c r="D178">
        <f ca="1">IFERROR(__xludf.DUMMYFUNCTION("""COMPUTED_VALUE"""),14)</f>
        <v>14</v>
      </c>
      <c r="E178">
        <f ca="1">IFERROR(__xludf.DUMMYFUNCTION("""COMPUTED_VALUE"""),26)</f>
        <v>26</v>
      </c>
      <c r="F178" s="2">
        <f ca="1">IFERROR(__xludf.DUMMYFUNCTION("""COMPUTED_VALUE"""),11246)</f>
        <v>11246</v>
      </c>
      <c r="G178">
        <f ca="1">IFERROR(__xludf.DUMMYFUNCTION("""COMPUTED_VALUE"""),12)</f>
        <v>12</v>
      </c>
    </row>
    <row r="179" spans="1:7" ht="12.75">
      <c r="A179" t="str">
        <f ca="1">IFERROR(__xludf.DUMMYFUNCTION("""COMPUTED_VALUE"""),"T178")</f>
        <v>T178</v>
      </c>
      <c r="B179" t="str">
        <f ca="1">IFERROR(__xludf.DUMMYFUNCTION("""COMPUTED_VALUE"""),"T155")</f>
        <v>T155</v>
      </c>
      <c r="C179" t="str">
        <f ca="1">IFERROR(__xludf.DUMMYFUNCTION("""COMPUTED_VALUE"""),"Dylan Frittelli")</f>
        <v>Dylan Frittelli</v>
      </c>
      <c r="D179">
        <f ca="1">IFERROR(__xludf.DUMMYFUNCTION("""COMPUTED_VALUE"""),16)</f>
        <v>16</v>
      </c>
      <c r="E179">
        <f ca="1">IFERROR(__xludf.DUMMYFUNCTION("""COMPUTED_VALUE"""),26.1)</f>
        <v>26.1</v>
      </c>
      <c r="F179" s="2">
        <f ca="1">IFERROR(__xludf.DUMMYFUNCTION("""COMPUTED_VALUE"""),52685)</f>
        <v>52685</v>
      </c>
      <c r="G179">
        <f ca="1">IFERROR(__xludf.DUMMYFUNCTION("""COMPUTED_VALUE"""),56)</f>
        <v>56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IFERROR(__xludf.DUMMYFUNCTION("""COMPUTED_VALUE"""),"T178")</f>
        <v>T178</v>
      </c>
      <c r="C180" t="str">
        <f ca="1">IFERROR(__xludf.DUMMYFUNCTION("""COMPUTED_VALUE"""),"Branden Grace")</f>
        <v>Branden Grace</v>
      </c>
      <c r="D180">
        <f ca="1">IFERROR(__xludf.DUMMYFUNCTION("""COMPUTED_VALUE"""),16)</f>
        <v>16</v>
      </c>
      <c r="E180">
        <f ca="1">IFERROR(__xludf.DUMMYFUNCTION("""COMPUTED_VALUE"""),26.1)</f>
        <v>26.1</v>
      </c>
      <c r="F180" s="2">
        <f ca="1">IFERROR(__xludf.DUMMYFUNCTION("""COMPUTED_VALUE"""),15956)</f>
        <v>15956</v>
      </c>
      <c r="G180">
        <f ca="1">IFERROR(__xludf.DUMMYFUNCTION("""COMPUTED_VALUE"""),17)</f>
        <v>17</v>
      </c>
    </row>
    <row r="181" spans="1:7" ht="12.75">
      <c r="A181" t="str">
        <f ca="1">IFERROR(__xludf.DUMMYFUNCTION("""COMPUTED_VALUE"""),"T178")</f>
        <v>T178</v>
      </c>
      <c r="B181" t="str">
        <f ca="1">IFERROR(__xludf.DUMMYFUNCTION("""COMPUTED_VALUE"""),"T186")</f>
        <v>T186</v>
      </c>
      <c r="C181" t="str">
        <f ca="1">IFERROR(__xludf.DUMMYFUNCTION("""COMPUTED_VALUE"""),"Stewart Cink")</f>
        <v>Stewart Cink</v>
      </c>
      <c r="D181">
        <f ca="1">IFERROR(__xludf.DUMMYFUNCTION("""COMPUTED_VALUE"""),18)</f>
        <v>18</v>
      </c>
      <c r="E181">
        <f ca="1">IFERROR(__xludf.DUMMYFUNCTION("""COMPUTED_VALUE"""),26.1)</f>
        <v>26.1</v>
      </c>
      <c r="F181" s="2">
        <f ca="1">IFERROR(__xludf.DUMMYFUNCTION("""COMPUTED_VALUE"""),39536)</f>
        <v>39536</v>
      </c>
      <c r="G181">
        <f ca="1">IFERROR(__xludf.DUMMYFUNCTION("""COMPUTED_VALUE"""),42)</f>
        <v>42</v>
      </c>
    </row>
    <row r="182" spans="1:7" ht="12.75">
      <c r="A182" t="str">
        <f ca="1">IFERROR(__xludf.DUMMYFUNCTION("""COMPUTED_VALUE"""),"T178")</f>
        <v>T178</v>
      </c>
      <c r="B182" t="str">
        <f ca="1">IFERROR(__xludf.DUMMYFUNCTION("""COMPUTED_VALUE"""),"T170")</f>
        <v>T170</v>
      </c>
      <c r="C182" t="str">
        <f ca="1">IFERROR(__xludf.DUMMYFUNCTION("""COMPUTED_VALUE"""),"Hunter Mahan")</f>
        <v>Hunter Mahan</v>
      </c>
      <c r="D182">
        <f ca="1">IFERROR(__xludf.DUMMYFUNCTION("""COMPUTED_VALUE"""),14)</f>
        <v>14</v>
      </c>
      <c r="E182">
        <f ca="1">IFERROR(__xludf.DUMMYFUNCTION("""COMPUTED_VALUE"""),26.1)</f>
        <v>26.1</v>
      </c>
      <c r="F182" s="2">
        <f ca="1">IFERROR(__xludf.DUMMYFUNCTION("""COMPUTED_VALUE"""),19747)</f>
        <v>19747</v>
      </c>
      <c r="G182">
        <f ca="1">IFERROR(__xludf.DUMMYFUNCTION("""COMPUTED_VALUE"""),21)</f>
        <v>21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IFERROR(__xludf.DUMMYFUNCTION("""COMPUTED_VALUE"""),"T183")</f>
        <v>T183</v>
      </c>
      <c r="C183" t="str">
        <f ca="1">IFERROR(__xludf.DUMMYFUNCTION("""COMPUTED_VALUE"""),"Charl Schwartzel")</f>
        <v>Charl Schwartzel</v>
      </c>
      <c r="D183">
        <f ca="1">IFERROR(__xludf.DUMMYFUNCTION("""COMPUTED_VALUE"""),12)</f>
        <v>12</v>
      </c>
      <c r="E183">
        <f ca="1">IFERROR(__xludf.DUMMYFUNCTION("""COMPUTED_VALUE"""),26.2)</f>
        <v>26.2</v>
      </c>
      <c r="F183" s="2">
        <f ca="1">IFERROR(__xludf.DUMMYFUNCTION("""COMPUTED_VALUE"""),24538)</f>
        <v>24538</v>
      </c>
      <c r="G183">
        <f ca="1">IFERROR(__xludf.DUMMYFUNCTION("""COMPUTED_VALUE"""),26)</f>
        <v>26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IFERROR(__xludf.DUMMYFUNCTION("""COMPUTED_VALUE"""),"T188")</f>
        <v>T188</v>
      </c>
      <c r="C184" t="str">
        <f ca="1">IFERROR(__xludf.DUMMYFUNCTION("""COMPUTED_VALUE"""),"Hudson Swafford")</f>
        <v>Hudson Swafford</v>
      </c>
      <c r="D184">
        <f ca="1">IFERROR(__xludf.DUMMYFUNCTION("""COMPUTED_VALUE"""),18)</f>
        <v>18</v>
      </c>
      <c r="E184">
        <f ca="1">IFERROR(__xludf.DUMMYFUNCTION("""COMPUTED_VALUE"""),26.2)</f>
        <v>26.2</v>
      </c>
      <c r="F184" s="2">
        <f ca="1">IFERROR(__xludf.DUMMYFUNCTION("""COMPUTED_VALUE"""),22659)</f>
        <v>22659</v>
      </c>
      <c r="G184">
        <f ca="1">IFERROR(__xludf.DUMMYFUNCTION("""COMPUTED_VALUE"""),24)</f>
        <v>24</v>
      </c>
    </row>
    <row r="185" spans="1:7" ht="12.75">
      <c r="A185" t="str">
        <f ca="1">IFERROR(__xludf.DUMMYFUNCTION("""COMPUTED_VALUE"""),"T182")</f>
        <v>T182</v>
      </c>
      <c r="B185" t="str">
        <f ca="1">IFERROR(__xludf.DUMMYFUNCTION("""COMPUTED_VALUE"""),"T183")</f>
        <v>T183</v>
      </c>
      <c r="C185" t="str">
        <f ca="1">IFERROR(__xludf.DUMMYFUNCTION("""COMPUTED_VALUE"""),"Chesson Hadley")</f>
        <v>Chesson Hadley</v>
      </c>
      <c r="D185">
        <f ca="1">IFERROR(__xludf.DUMMYFUNCTION("""COMPUTED_VALUE"""),16)</f>
        <v>16</v>
      </c>
      <c r="E185">
        <f ca="1">IFERROR(__xludf.DUMMYFUNCTION("""COMPUTED_VALUE"""),26.2)</f>
        <v>26.2</v>
      </c>
      <c r="F185" s="2">
        <f ca="1">IFERROR(__xludf.DUMMYFUNCTION("""COMPUTED_VALUE"""),24559)</f>
        <v>24559</v>
      </c>
      <c r="G185">
        <f ca="1">IFERROR(__xludf.DUMMYFUNCTION("""COMPUTED_VALUE"""),26)</f>
        <v>26</v>
      </c>
    </row>
    <row r="186" spans="1:7" ht="12.75">
      <c r="A186" t="str">
        <f ca="1">IFERROR(__xludf.DUMMYFUNCTION("""COMPUTED_VALUE"""),"T182")</f>
        <v>T182</v>
      </c>
      <c r="B186" t="str">
        <f ca="1">IFERROR(__xludf.DUMMYFUNCTION("""COMPUTED_VALUE"""),"T183")</f>
        <v>T183</v>
      </c>
      <c r="C186" t="str">
        <f ca="1">IFERROR(__xludf.DUMMYFUNCTION("""COMPUTED_VALUE"""),"Wesley Bryan")</f>
        <v>Wesley Bryan</v>
      </c>
      <c r="D186">
        <f ca="1">IFERROR(__xludf.DUMMYFUNCTION("""COMPUTED_VALUE"""),8)</f>
        <v>8</v>
      </c>
      <c r="E186">
        <f ca="1">IFERROR(__xludf.DUMMYFUNCTION("""COMPUTED_VALUE"""),26.2)</f>
        <v>26.2</v>
      </c>
      <c r="F186" s="2">
        <f ca="1">IFERROR(__xludf.DUMMYFUNCTION("""COMPUTED_VALUE"""),14126)</f>
        <v>14126</v>
      </c>
      <c r="G186">
        <f ca="1">IFERROR(__xludf.DUMMYFUNCTION("""COMPUTED_VALUE"""),15)</f>
        <v>15</v>
      </c>
    </row>
    <row r="187" spans="1:7" ht="12.75">
      <c r="A187" t="str">
        <f ca="1">IFERROR(__xludf.DUMMYFUNCTION("""COMPUTED_VALUE"""),"T186")</f>
        <v>T186</v>
      </c>
      <c r="B187" t="str">
        <f ca="1">IFERROR(__xludf.DUMMYFUNCTION("""COMPUTED_VALUE"""),"T34")</f>
        <v>T34</v>
      </c>
      <c r="C187" t="str">
        <f ca="1">IFERROR(__xludf.DUMMYFUNCTION("""COMPUTED_VALUE"""),"John Huh")</f>
        <v>John Huh</v>
      </c>
      <c r="D187">
        <f ca="1">IFERROR(__xludf.DUMMYFUNCTION("""COMPUTED_VALUE"""),8)</f>
        <v>8</v>
      </c>
      <c r="E187">
        <f ca="1">IFERROR(__xludf.DUMMYFUNCTION("""COMPUTED_VALUE"""),26.3)</f>
        <v>26.3</v>
      </c>
      <c r="F187" s="2">
        <f ca="1">IFERROR(__xludf.DUMMYFUNCTION("""COMPUTED_VALUE"""),17987)</f>
        <v>17987</v>
      </c>
      <c r="G187">
        <f ca="1">IFERROR(__xludf.DUMMYFUNCTION("""COMPUTED_VALUE"""),19)</f>
        <v>19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IFERROR(__xludf.DUMMYFUNCTION("""COMPUTED_VALUE"""),"")</f>
        <v/>
      </c>
      <c r="C188" t="str">
        <f ca="1">IFERROR(__xludf.DUMMYFUNCTION("""COMPUTED_VALUE"""),"Padraig Harrington")</f>
        <v>Padraig Harrington</v>
      </c>
      <c r="D188">
        <f ca="1">IFERROR(__xludf.DUMMYFUNCTION("""COMPUTED_VALUE"""),8)</f>
        <v>8</v>
      </c>
      <c r="E188">
        <f ca="1">IFERROR(__xludf.DUMMYFUNCTION("""COMPUTED_VALUE"""),26.3)</f>
        <v>26.3</v>
      </c>
      <c r="F188" s="2">
        <f ca="1">IFERROR(__xludf.DUMMYFUNCTION("""COMPUTED_VALUE"""),8514)</f>
        <v>8514</v>
      </c>
      <c r="G188">
        <f ca="1">IFERROR(__xludf.DUMMYFUNCTION("""COMPUTED_VALUE"""),9)</f>
        <v>9</v>
      </c>
    </row>
    <row r="189" spans="1:7" ht="12.75">
      <c r="A189" t="str">
        <f ca="1">IFERROR(__xludf.DUMMYFUNCTION("""COMPUTED_VALUE"""),"T186")</f>
        <v>T186</v>
      </c>
      <c r="B189" t="str">
        <f ca="1">IFERROR(__xludf.DUMMYFUNCTION("""COMPUTED_VALUE"""),"T106")</f>
        <v>T106</v>
      </c>
      <c r="C189" t="str">
        <f ca="1">IFERROR(__xludf.DUMMYFUNCTION("""COMPUTED_VALUE"""),"Jamie Lovemark")</f>
        <v>Jamie Lovemark</v>
      </c>
      <c r="D189">
        <f ca="1">IFERROR(__xludf.DUMMYFUNCTION("""COMPUTED_VALUE"""),18)</f>
        <v>18</v>
      </c>
      <c r="E189">
        <f ca="1">IFERROR(__xludf.DUMMYFUNCTION("""COMPUTED_VALUE"""),26.3)</f>
        <v>26.3</v>
      </c>
      <c r="F189" s="2">
        <f ca="1">IFERROR(__xludf.DUMMYFUNCTION("""COMPUTED_VALUE"""),24607)</f>
        <v>24607</v>
      </c>
      <c r="G189">
        <f ca="1">IFERROR(__xludf.DUMMYFUNCTION("""COMPUTED_VALUE"""),26)</f>
        <v>26</v>
      </c>
    </row>
    <row r="190" spans="1:7" ht="12.75">
      <c r="A190" t="str">
        <f ca="1">IFERROR(__xludf.DUMMYFUNCTION("""COMPUTED_VALUE"""),"T189")</f>
        <v>T189</v>
      </c>
      <c r="B190" t="str">
        <f ca="1">IFERROR(__xludf.DUMMYFUNCTION("""COMPUTED_VALUE"""),"T188")</f>
        <v>T188</v>
      </c>
      <c r="C190" t="str">
        <f ca="1">IFERROR(__xludf.DUMMYFUNCTION("""COMPUTED_VALUE"""),"Cameron Percy")</f>
        <v>Cameron Percy</v>
      </c>
      <c r="D190">
        <f ca="1">IFERROR(__xludf.DUMMYFUNCTION("""COMPUTED_VALUE"""),16)</f>
        <v>16</v>
      </c>
      <c r="E190">
        <f ca="1">IFERROR(__xludf.DUMMYFUNCTION("""COMPUTED_VALUE"""),26.4)</f>
        <v>26.4</v>
      </c>
      <c r="F190" s="2">
        <f ca="1">IFERROR(__xludf.DUMMYFUNCTION("""COMPUTED_VALUE"""),13321)</f>
        <v>13321</v>
      </c>
      <c r="G190">
        <f ca="1">IFERROR(__xludf.DUMMYFUNCTION("""COMPUTED_VALUE"""),14)</f>
        <v>14</v>
      </c>
    </row>
    <row r="191" spans="1:7" ht="12.75">
      <c r="A191" t="str">
        <f ca="1">IFERROR(__xludf.DUMMYFUNCTION("""COMPUTED_VALUE"""),"T189")</f>
        <v>T189</v>
      </c>
      <c r="B191" t="str">
        <f ca="1">IFERROR(__xludf.DUMMYFUNCTION("""COMPUTED_VALUE"""),"T188")</f>
        <v>T188</v>
      </c>
      <c r="C191" t="str">
        <f ca="1">IFERROR(__xludf.DUMMYFUNCTION("""COMPUTED_VALUE"""),"Roger Sloan")</f>
        <v>Roger Sloan</v>
      </c>
      <c r="D191">
        <f ca="1">IFERROR(__xludf.DUMMYFUNCTION("""COMPUTED_VALUE"""),12)</f>
        <v>12</v>
      </c>
      <c r="E191">
        <f ca="1">IFERROR(__xludf.DUMMYFUNCTION("""COMPUTED_VALUE"""),26.4)</f>
        <v>26.4</v>
      </c>
      <c r="F191" s="2">
        <f ca="1">IFERROR(__xludf.DUMMYFUNCTION("""COMPUTED_VALUE"""),17129)</f>
        <v>17129</v>
      </c>
      <c r="G191">
        <f ca="1">IFERROR(__xludf.DUMMYFUNCTION("""COMPUTED_VALUE"""),18)</f>
        <v>18</v>
      </c>
    </row>
    <row r="192" spans="1:7" ht="12.75">
      <c r="A192" t="str">
        <f ca="1">IFERROR(__xludf.DUMMYFUNCTION("""COMPUTED_VALUE"""),"T189")</f>
        <v>T189</v>
      </c>
      <c r="B192" t="str">
        <f ca="1">IFERROR(__xludf.DUMMYFUNCTION("""COMPUTED_VALUE"""),"T202")</f>
        <v>T202</v>
      </c>
      <c r="C192" t="str">
        <f ca="1">IFERROR(__xludf.DUMMYFUNCTION("""COMPUTED_VALUE"""),"Sungjae Im")</f>
        <v>Sungjae Im</v>
      </c>
      <c r="D192">
        <f ca="1">IFERROR(__xludf.DUMMYFUNCTION("""COMPUTED_VALUE"""),24)</f>
        <v>24</v>
      </c>
      <c r="E192">
        <f ca="1">IFERROR(__xludf.DUMMYFUNCTION("""COMPUTED_VALUE"""),26.4)</f>
        <v>26.4</v>
      </c>
      <c r="F192" s="2">
        <f ca="1">IFERROR(__xludf.DUMMYFUNCTION("""COMPUTED_VALUE"""),74978)</f>
        <v>74978</v>
      </c>
      <c r="G192">
        <f ca="1">IFERROR(__xludf.DUMMYFUNCTION("""COMPUTED_VALUE"""),79)</f>
        <v>79</v>
      </c>
    </row>
    <row r="193" spans="1:7" ht="12.75">
      <c r="A193">
        <f ca="1">IFERROR(__xludf.DUMMYFUNCTION("""COMPUTED_VALUE"""),192)</f>
        <v>192</v>
      </c>
      <c r="B193">
        <f ca="1">IFERROR(__xludf.DUMMYFUNCTION("""COMPUTED_VALUE"""),196)</f>
        <v>196</v>
      </c>
      <c r="C193" t="str">
        <f ca="1">IFERROR(__xludf.DUMMYFUNCTION("""COMPUTED_VALUE"""),"Tyler McCumber")</f>
        <v>Tyler McCumber</v>
      </c>
      <c r="D193">
        <f ca="1">IFERROR(__xludf.DUMMYFUNCTION("""COMPUTED_VALUE"""),14)</f>
        <v>14</v>
      </c>
      <c r="E193">
        <f ca="1">IFERROR(__xludf.DUMMYFUNCTION("""COMPUTED_VALUE"""),26.6)</f>
        <v>26.6</v>
      </c>
      <c r="F193" s="2">
        <f ca="1">IFERROR(__xludf.DUMMYFUNCTION("""COMPUTED_VALUE"""),24899)</f>
        <v>24899</v>
      </c>
      <c r="G193">
        <f ca="1">IFERROR(__xludf.DUMMYFUNCTION("""COMPUTED_VALUE"""),26)</f>
        <v>26</v>
      </c>
    </row>
    <row r="194" spans="1:7" ht="12.75">
      <c r="A194" t="str">
        <f ca="1">IFERROR(__xludf.DUMMYFUNCTION("""COMPUTED_VALUE"""),"T193")</f>
        <v>T193</v>
      </c>
      <c r="B194" t="str">
        <f ca="1">IFERROR(__xludf.DUMMYFUNCTION("""COMPUTED_VALUE"""),"T188")</f>
        <v>T188</v>
      </c>
      <c r="C194" t="str">
        <f ca="1">IFERROR(__xludf.DUMMYFUNCTION("""COMPUTED_VALUE"""),"Henrik Stenson")</f>
        <v>Henrik Stenson</v>
      </c>
      <c r="D194">
        <f ca="1">IFERROR(__xludf.DUMMYFUNCTION("""COMPUTED_VALUE"""),11)</f>
        <v>11</v>
      </c>
      <c r="E194">
        <f ca="1">IFERROR(__xludf.DUMMYFUNCTION("""COMPUTED_VALUE"""),26.7)</f>
        <v>26.7</v>
      </c>
      <c r="F194" s="2">
        <f ca="1">IFERROR(__xludf.DUMMYFUNCTION("""COMPUTED_VALUE"""),9594)</f>
        <v>9594</v>
      </c>
      <c r="G194">
        <f ca="1">IFERROR(__xludf.DUMMYFUNCTION("""COMPUTED_VALUE"""),10)</f>
        <v>10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IFERROR(__xludf.DUMMYFUNCTION("""COMPUTED_VALUE"""),"T197")</f>
        <v>T197</v>
      </c>
      <c r="C195" t="str">
        <f ca="1">IFERROR(__xludf.DUMMYFUNCTION("""COMPUTED_VALUE"""),"Marc Leishman")</f>
        <v>Marc Leishman</v>
      </c>
      <c r="D195">
        <f ca="1">IFERROR(__xludf.DUMMYFUNCTION("""COMPUTED_VALUE"""),10)</f>
        <v>10</v>
      </c>
      <c r="E195">
        <f ca="1">IFERROR(__xludf.DUMMYFUNCTION("""COMPUTED_VALUE"""),26.7)</f>
        <v>26.7</v>
      </c>
      <c r="F195" s="2">
        <f ca="1">IFERROR(__xludf.DUMMYFUNCTION("""COMPUTED_VALUE"""),25913)</f>
        <v>25913</v>
      </c>
      <c r="G195">
        <f ca="1">IFERROR(__xludf.DUMMYFUNCTION("""COMPUTED_VALUE"""),27)</f>
        <v>27</v>
      </c>
    </row>
    <row r="196" spans="1:7" ht="12.75">
      <c r="A196" t="str">
        <f ca="1">IFERROR(__xludf.DUMMYFUNCTION("""COMPUTED_VALUE"""),"T193")</f>
        <v>T193</v>
      </c>
      <c r="B196" t="str">
        <f ca="1">IFERROR(__xludf.DUMMYFUNCTION("""COMPUTED_VALUE"""),"T197")</f>
        <v>T197</v>
      </c>
      <c r="C196" t="str">
        <f ca="1">IFERROR(__xludf.DUMMYFUNCTION("""COMPUTED_VALUE"""),"Peter Uihlein")</f>
        <v>Peter Uihlein</v>
      </c>
      <c r="D196">
        <f ca="1">IFERROR(__xludf.DUMMYFUNCTION("""COMPUTED_VALUE"""),8)</f>
        <v>8</v>
      </c>
      <c r="E196">
        <f ca="1">IFERROR(__xludf.DUMMYFUNCTION("""COMPUTED_VALUE"""),26.7)</f>
        <v>26.7</v>
      </c>
      <c r="F196" s="2">
        <f ca="1">IFERROR(__xludf.DUMMYFUNCTION("""COMPUTED_VALUE"""),2879)</f>
        <v>2879</v>
      </c>
      <c r="G196">
        <f ca="1">IFERROR(__xludf.DUMMYFUNCTION("""COMPUTED_VALUE"""),3)</f>
        <v>3</v>
      </c>
    </row>
    <row r="197" spans="1:7" ht="12.75">
      <c r="A197" t="str">
        <f ca="1">IFERROR(__xludf.DUMMYFUNCTION("""COMPUTED_VALUE"""),"T196")</f>
        <v>T196</v>
      </c>
      <c r="B197" t="str">
        <f ca="1">IFERROR(__xludf.DUMMYFUNCTION("""COMPUTED_VALUE"""),"T199")</f>
        <v>T199</v>
      </c>
      <c r="C197" t="str">
        <f ca="1">IFERROR(__xludf.DUMMYFUNCTION("""COMPUTED_VALUE"""),"Michael Gligic")</f>
        <v>Michael Gligic</v>
      </c>
      <c r="D197">
        <f ca="1">IFERROR(__xludf.DUMMYFUNCTION("""COMPUTED_VALUE"""),18)</f>
        <v>18</v>
      </c>
      <c r="E197">
        <f ca="1">IFERROR(__xludf.DUMMYFUNCTION("""COMPUTED_VALUE"""),26.8)</f>
        <v>26.8</v>
      </c>
      <c r="F197" s="2">
        <f ca="1">IFERROR(__xludf.DUMMYFUNCTION("""COMPUTED_VALUE"""),38603)</f>
        <v>38603</v>
      </c>
      <c r="G197">
        <f ca="1">IFERROR(__xludf.DUMMYFUNCTION("""COMPUTED_VALUE"""),40)</f>
        <v>40</v>
      </c>
    </row>
    <row r="198" spans="1:7" ht="12.75">
      <c r="A198" t="str">
        <f ca="1">IFERROR(__xludf.DUMMYFUNCTION("""COMPUTED_VALUE"""),"T196")</f>
        <v>T196</v>
      </c>
      <c r="B198" t="str">
        <f ca="1">IFERROR(__xludf.DUMMYFUNCTION("""COMPUTED_VALUE"""),"T186")</f>
        <v>T186</v>
      </c>
      <c r="C198" t="str">
        <f ca="1">IFERROR(__xludf.DUMMYFUNCTION("""COMPUTED_VALUE"""),"Robby Shelton")</f>
        <v>Robby Shelton</v>
      </c>
      <c r="D198">
        <f ca="1">IFERROR(__xludf.DUMMYFUNCTION("""COMPUTED_VALUE"""),14)</f>
        <v>14</v>
      </c>
      <c r="E198">
        <f ca="1">IFERROR(__xludf.DUMMYFUNCTION("""COMPUTED_VALUE"""),26.8)</f>
        <v>26.8</v>
      </c>
      <c r="F198" s="2">
        <f ca="1">IFERROR(__xludf.DUMMYFUNCTION("""COMPUTED_VALUE"""),40521)</f>
        <v>40521</v>
      </c>
      <c r="G198">
        <f ca="1">IFERROR(__xludf.DUMMYFUNCTION("""COMPUTED_VALUE"""),42)</f>
        <v>42</v>
      </c>
    </row>
    <row r="199" spans="1:7" ht="12.75">
      <c r="A199" t="str">
        <f ca="1">IFERROR(__xludf.DUMMYFUNCTION("""COMPUTED_VALUE"""),"T196")</f>
        <v>T196</v>
      </c>
      <c r="B199">
        <f ca="1">IFERROR(__xludf.DUMMYFUNCTION("""COMPUTED_VALUE"""),224)</f>
        <v>224</v>
      </c>
      <c r="C199" t="str">
        <f ca="1">IFERROR(__xludf.DUMMYFUNCTION("""COMPUTED_VALUE"""),"Max Homa")</f>
        <v>Max Homa</v>
      </c>
      <c r="D199">
        <f ca="1">IFERROR(__xludf.DUMMYFUNCTION("""COMPUTED_VALUE"""),12)</f>
        <v>12</v>
      </c>
      <c r="E199">
        <f ca="1">IFERROR(__xludf.DUMMYFUNCTION("""COMPUTED_VALUE"""),26.8)</f>
        <v>26.8</v>
      </c>
      <c r="F199" s="2">
        <f ca="1">IFERROR(__xludf.DUMMYFUNCTION("""COMPUTED_VALUE"""),18350)</f>
        <v>18350</v>
      </c>
      <c r="G199">
        <f ca="1">IFERROR(__xludf.DUMMYFUNCTION("""COMPUTED_VALUE"""),19)</f>
        <v>19</v>
      </c>
    </row>
    <row r="200" spans="1:7" ht="12.75">
      <c r="A200" t="str">
        <f ca="1">IFERROR(__xludf.DUMMYFUNCTION("""COMPUTED_VALUE"""),"T199")</f>
        <v>T199</v>
      </c>
      <c r="B200" t="str">
        <f ca="1">IFERROR(__xludf.DUMMYFUNCTION("""COMPUTED_VALUE"""),"T188")</f>
        <v>T188</v>
      </c>
      <c r="C200" t="str">
        <f ca="1">IFERROR(__xludf.DUMMYFUNCTION("""COMPUTED_VALUE"""),"Brandt Snedeker")</f>
        <v>Brandt Snedeker</v>
      </c>
      <c r="D200">
        <f ca="1">IFERROR(__xludf.DUMMYFUNCTION("""COMPUTED_VALUE"""),16)</f>
        <v>16</v>
      </c>
      <c r="E200">
        <f ca="1">IFERROR(__xludf.DUMMYFUNCTION("""COMPUTED_VALUE"""),26.9)</f>
        <v>26.9</v>
      </c>
      <c r="F200" s="2">
        <f ca="1">IFERROR(__xludf.DUMMYFUNCTION("""COMPUTED_VALUE"""),32901)</f>
        <v>32901</v>
      </c>
      <c r="G200">
        <f ca="1">IFERROR(__xludf.DUMMYFUNCTION("""COMPUTED_VALUE"""),34)</f>
        <v>34</v>
      </c>
    </row>
    <row r="201" spans="1:7" ht="12.75">
      <c r="A201" t="str">
        <f ca="1">IFERROR(__xludf.DUMMYFUNCTION("""COMPUTED_VALUE"""),"T199")</f>
        <v>T199</v>
      </c>
      <c r="B201" t="str">
        <f ca="1">IFERROR(__xludf.DUMMYFUNCTION("""COMPUTED_VALUE"""),"T202")</f>
        <v>T202</v>
      </c>
      <c r="C201" t="str">
        <f ca="1">IFERROR(__xludf.DUMMYFUNCTION("""COMPUTED_VALUE"""),"Josh Teater")</f>
        <v>Josh Teater</v>
      </c>
      <c r="D201">
        <f ca="1">IFERROR(__xludf.DUMMYFUNCTION("""COMPUTED_VALUE"""),6)</f>
        <v>6</v>
      </c>
      <c r="E201">
        <f ca="1">IFERROR(__xludf.DUMMYFUNCTION("""COMPUTED_VALUE"""),26.9)</f>
        <v>26.9</v>
      </c>
      <c r="F201" s="2">
        <f ca="1">IFERROR(__xludf.DUMMYFUNCTION("""COMPUTED_VALUE"""),4839)</f>
        <v>4839</v>
      </c>
      <c r="G201">
        <f ca="1">IFERROR(__xludf.DUMMYFUNCTION("""COMPUTED_VALUE"""),5)</f>
        <v>5</v>
      </c>
    </row>
    <row r="202" spans="1:7" ht="12.75">
      <c r="A202" t="str">
        <f ca="1">IFERROR(__xludf.DUMMYFUNCTION("""COMPUTED_VALUE"""),"T199")</f>
        <v>T199</v>
      </c>
      <c r="B202" t="str">
        <f ca="1">IFERROR(__xludf.DUMMYFUNCTION("""COMPUTED_VALUE"""),"T202")</f>
        <v>T202</v>
      </c>
      <c r="C202" t="str">
        <f ca="1">IFERROR(__xludf.DUMMYFUNCTION("""COMPUTED_VALUE"""),"Ian Poulter")</f>
        <v>Ian Poulter</v>
      </c>
      <c r="D202">
        <f ca="1">IFERROR(__xludf.DUMMYFUNCTION("""COMPUTED_VALUE"""),6)</f>
        <v>6</v>
      </c>
      <c r="E202">
        <f ca="1">IFERROR(__xludf.DUMMYFUNCTION("""COMPUTED_VALUE"""),26.9)</f>
        <v>26.9</v>
      </c>
      <c r="F202" s="2">
        <f ca="1">IFERROR(__xludf.DUMMYFUNCTION("""COMPUTED_VALUE"""),18419)</f>
        <v>18419</v>
      </c>
      <c r="G202">
        <f ca="1">IFERROR(__xludf.DUMMYFUNCTION("""COMPUTED_VALUE"""),19)</f>
        <v>19</v>
      </c>
    </row>
    <row r="203" spans="1:7" ht="12.75">
      <c r="A203" t="str">
        <f ca="1">IFERROR(__xludf.DUMMYFUNCTION("""COMPUTED_VALUE"""),"T202")</f>
        <v>T202</v>
      </c>
      <c r="B203" t="str">
        <f ca="1">IFERROR(__xludf.DUMMYFUNCTION("""COMPUTED_VALUE"""),"T206")</f>
        <v>T206</v>
      </c>
      <c r="C203" t="str">
        <f ca="1">IFERROR(__xludf.DUMMYFUNCTION("""COMPUTED_VALUE"""),"Justin Rose")</f>
        <v>Justin Rose</v>
      </c>
      <c r="D203">
        <f ca="1">IFERROR(__xludf.DUMMYFUNCTION("""COMPUTED_VALUE"""),10)</f>
        <v>10</v>
      </c>
      <c r="E203">
        <f ca="1">IFERROR(__xludf.DUMMYFUNCTION("""COMPUTED_VALUE"""),27)</f>
        <v>27</v>
      </c>
      <c r="F203" s="2">
        <f ca="1">IFERROR(__xludf.DUMMYFUNCTION("""COMPUTED_VALUE"""),26197)</f>
        <v>26197</v>
      </c>
      <c r="G203">
        <f ca="1">IFERROR(__xludf.DUMMYFUNCTION("""COMPUTED_VALUE"""),27)</f>
        <v>27</v>
      </c>
    </row>
    <row r="204" spans="1:7" ht="12.75">
      <c r="A204" t="str">
        <f ca="1">IFERROR(__xludf.DUMMYFUNCTION("""COMPUTED_VALUE"""),"T202")</f>
        <v>T202</v>
      </c>
      <c r="B204" t="str">
        <f ca="1">IFERROR(__xludf.DUMMYFUNCTION("""COMPUTED_VALUE"""),"T206")</f>
        <v>T206</v>
      </c>
      <c r="C204" t="str">
        <f ca="1">IFERROR(__xludf.DUMMYFUNCTION("""COMPUTED_VALUE"""),"Alex Cejka")</f>
        <v>Alex Cejka</v>
      </c>
      <c r="D204">
        <f ca="1">IFERROR(__xludf.DUMMYFUNCTION("""COMPUTED_VALUE"""),6)</f>
        <v>6</v>
      </c>
      <c r="E204">
        <f ca="1">IFERROR(__xludf.DUMMYFUNCTION("""COMPUTED_VALUE"""),27)</f>
        <v>27</v>
      </c>
      <c r="F204" s="2">
        <f ca="1">IFERROR(__xludf.DUMMYFUNCTION("""COMPUTED_VALUE"""),4862)</f>
        <v>4862</v>
      </c>
      <c r="G204">
        <f ca="1">IFERROR(__xludf.DUMMYFUNCTION("""COMPUTED_VALUE"""),5)</f>
        <v>5</v>
      </c>
    </row>
    <row r="205" spans="1:7" ht="12.75">
      <c r="A205" t="str">
        <f ca="1">IFERROR(__xludf.DUMMYFUNCTION("""COMPUTED_VALUE"""),"T202")</f>
        <v>T202</v>
      </c>
      <c r="B205" t="str">
        <f ca="1">IFERROR(__xludf.DUMMYFUNCTION("""COMPUTED_VALUE"""),"T117")</f>
        <v>T117</v>
      </c>
      <c r="C205" t="str">
        <f ca="1">IFERROR(__xludf.DUMMYFUNCTION("""COMPUTED_VALUE"""),"Scott Stallings")</f>
        <v>Scott Stallings</v>
      </c>
      <c r="D205">
        <f ca="1">IFERROR(__xludf.DUMMYFUNCTION("""COMPUTED_VALUE"""),14)</f>
        <v>14</v>
      </c>
      <c r="E205">
        <f ca="1">IFERROR(__xludf.DUMMYFUNCTION("""COMPUTED_VALUE"""),27)</f>
        <v>27</v>
      </c>
      <c r="F205" s="2">
        <f ca="1">IFERROR(__xludf.DUMMYFUNCTION("""COMPUTED_VALUE"""),24316)</f>
        <v>24316</v>
      </c>
      <c r="G205">
        <f ca="1">IFERROR(__xludf.DUMMYFUNCTION("""COMPUTED_VALUE"""),25)</f>
        <v>25</v>
      </c>
    </row>
    <row r="206" spans="1:7" ht="12.75">
      <c r="A206">
        <f ca="1">IFERROR(__xludf.DUMMYFUNCTION("""COMPUTED_VALUE"""),205)</f>
        <v>205</v>
      </c>
      <c r="B206" t="str">
        <f ca="1">IFERROR(__xludf.DUMMYFUNCTION("""COMPUTED_VALUE"""),"T208")</f>
        <v>T208</v>
      </c>
      <c r="C206" t="str">
        <f ca="1">IFERROR(__xludf.DUMMYFUNCTION("""COMPUTED_VALUE"""),"Kiradech Aphibarnrat")</f>
        <v>Kiradech Aphibarnrat</v>
      </c>
      <c r="D206">
        <f ca="1">IFERROR(__xludf.DUMMYFUNCTION("""COMPUTED_VALUE"""),12)</f>
        <v>12</v>
      </c>
      <c r="E206">
        <f ca="1">IFERROR(__xludf.DUMMYFUNCTION("""COMPUTED_VALUE"""),27.1)</f>
        <v>27.1</v>
      </c>
      <c r="F206" s="2">
        <f ca="1">IFERROR(__xludf.DUMMYFUNCTION("""COMPUTED_VALUE"""),5850)</f>
        <v>5850</v>
      </c>
      <c r="G206">
        <f ca="1">IFERROR(__xludf.DUMMYFUNCTION("""COMPUTED_VALUE"""),6)</f>
        <v>6</v>
      </c>
    </row>
    <row r="207" spans="1:7" ht="12.75">
      <c r="A207">
        <f ca="1">IFERROR(__xludf.DUMMYFUNCTION("""COMPUTED_VALUE"""),206)</f>
        <v>206</v>
      </c>
      <c r="B207" t="str">
        <f ca="1">IFERROR(__xludf.DUMMYFUNCTION("""COMPUTED_VALUE"""),"T199")</f>
        <v>T199</v>
      </c>
      <c r="C207" t="str">
        <f ca="1">IFERROR(__xludf.DUMMYFUNCTION("""COMPUTED_VALUE"""),"Jason Dufner")</f>
        <v>Jason Dufner</v>
      </c>
      <c r="D207">
        <f ca="1">IFERROR(__xludf.DUMMYFUNCTION("""COMPUTED_VALUE"""),14)</f>
        <v>14</v>
      </c>
      <c r="E207">
        <f ca="1">IFERROR(__xludf.DUMMYFUNCTION("""COMPUTED_VALUE"""),27.2)</f>
        <v>27.2</v>
      </c>
      <c r="F207" s="2">
        <f ca="1">IFERROR(__xludf.DUMMYFUNCTION("""COMPUTED_VALUE"""),13710)</f>
        <v>13710</v>
      </c>
      <c r="G207">
        <f ca="1">IFERROR(__xludf.DUMMYFUNCTION("""COMPUTED_VALUE"""),14)</f>
        <v>14</v>
      </c>
    </row>
    <row r="208" spans="1:7" ht="12.75">
      <c r="A208">
        <f ca="1">IFERROR(__xludf.DUMMYFUNCTION("""COMPUTED_VALUE"""),207)</f>
        <v>207</v>
      </c>
      <c r="B208" t="str">
        <f ca="1">IFERROR(__xludf.DUMMYFUNCTION("""COMPUTED_VALUE"""),"T211")</f>
        <v>T211</v>
      </c>
      <c r="C208" t="str">
        <f ca="1">IFERROR(__xludf.DUMMYFUNCTION("""COMPUTED_VALUE"""),"David Hearn")</f>
        <v>David Hearn</v>
      </c>
      <c r="D208">
        <f ca="1">IFERROR(__xludf.DUMMYFUNCTION("""COMPUTED_VALUE"""),16)</f>
        <v>16</v>
      </c>
      <c r="E208">
        <f ca="1">IFERROR(__xludf.DUMMYFUNCTION("""COMPUTED_VALUE"""),27.3)</f>
        <v>27.3</v>
      </c>
      <c r="F208" s="2">
        <f ca="1">IFERROR(__xludf.DUMMYFUNCTION("""COMPUTED_VALUE"""),7849)</f>
        <v>7849</v>
      </c>
      <c r="G208">
        <f ca="1">IFERROR(__xludf.DUMMYFUNCTION("""COMPUTED_VALUE"""),8)</f>
        <v>8</v>
      </c>
    </row>
    <row r="209" spans="1:7" ht="12.75">
      <c r="A209" t="str">
        <f ca="1">IFERROR(__xludf.DUMMYFUNCTION("""COMPUTED_VALUE"""),"T208")</f>
        <v>T208</v>
      </c>
      <c r="B209" t="str">
        <f ca="1">IFERROR(__xludf.DUMMYFUNCTION("""COMPUTED_VALUE"""),"T213")</f>
        <v>T213</v>
      </c>
      <c r="C209" t="str">
        <f ca="1">IFERROR(__xludf.DUMMYFUNCTION("""COMPUTED_VALUE"""),"Chez Reavie")</f>
        <v>Chez Reavie</v>
      </c>
      <c r="D209">
        <f ca="1">IFERROR(__xludf.DUMMYFUNCTION("""COMPUTED_VALUE"""),14)</f>
        <v>14</v>
      </c>
      <c r="E209">
        <f ca="1">IFERROR(__xludf.DUMMYFUNCTION("""COMPUTED_VALUE"""),27.4)</f>
        <v>27.4</v>
      </c>
      <c r="F209" s="2">
        <f ca="1">IFERROR(__xludf.DUMMYFUNCTION("""COMPUTED_VALUE"""),18743)</f>
        <v>18743</v>
      </c>
      <c r="G209">
        <f ca="1">IFERROR(__xludf.DUMMYFUNCTION("""COMPUTED_VALUE"""),19)</f>
        <v>19</v>
      </c>
    </row>
    <row r="210" spans="1:7" ht="12.75">
      <c r="A210" t="str">
        <f ca="1">IFERROR(__xludf.DUMMYFUNCTION("""COMPUTED_VALUE"""),"T208")</f>
        <v>T208</v>
      </c>
      <c r="B210" t="str">
        <f ca="1">IFERROR(__xludf.DUMMYFUNCTION("""COMPUTED_VALUE"""),"T213")</f>
        <v>T213</v>
      </c>
      <c r="C210" t="str">
        <f ca="1">IFERROR(__xludf.DUMMYFUNCTION("""COMPUTED_VALUE"""),"Stephan Jaeger")</f>
        <v>Stephan Jaeger</v>
      </c>
      <c r="D210">
        <f ca="1">IFERROR(__xludf.DUMMYFUNCTION("""COMPUTED_VALUE"""),4)</f>
        <v>4</v>
      </c>
      <c r="E210">
        <f ca="1">IFERROR(__xludf.DUMMYFUNCTION("""COMPUTED_VALUE"""),27.4)</f>
        <v>27.4</v>
      </c>
      <c r="F210" s="2">
        <f ca="1">IFERROR(__xludf.DUMMYFUNCTION("""COMPUTED_VALUE"""),5919)</f>
        <v>5919</v>
      </c>
      <c r="G210">
        <f ca="1">IFERROR(__xludf.DUMMYFUNCTION("""COMPUTED_VALUE"""),6)</f>
        <v>6</v>
      </c>
    </row>
    <row r="211" spans="1:7" ht="12.75">
      <c r="A211" t="str">
        <f ca="1">IFERROR(__xludf.DUMMYFUNCTION("""COMPUTED_VALUE"""),"T210")</f>
        <v>T210</v>
      </c>
      <c r="B211" t="str">
        <f ca="1">IFERROR(__xludf.DUMMYFUNCTION("""COMPUTED_VALUE"""),"T216")</f>
        <v>T216</v>
      </c>
      <c r="C211" t="str">
        <f ca="1">IFERROR(__xludf.DUMMYFUNCTION("""COMPUTED_VALUE"""),"Justin Thomas")</f>
        <v>Justin Thomas</v>
      </c>
      <c r="D211">
        <f ca="1">IFERROR(__xludf.DUMMYFUNCTION("""COMPUTED_VALUE"""),12)</f>
        <v>12</v>
      </c>
      <c r="E211">
        <f ca="1">IFERROR(__xludf.DUMMYFUNCTION("""COMPUTED_VALUE"""),27.5)</f>
        <v>27.5</v>
      </c>
      <c r="F211" s="2">
        <f ca="1">IFERROR(__xludf.DUMMYFUNCTION("""COMPUTED_VALUE"""),28667)</f>
        <v>28667</v>
      </c>
      <c r="G211">
        <f ca="1">IFERROR(__xludf.DUMMYFUNCTION("""COMPUTED_VALUE"""),29)</f>
        <v>29</v>
      </c>
    </row>
    <row r="212" spans="1:7" ht="12.75">
      <c r="A212" t="str">
        <f ca="1">IFERROR(__xludf.DUMMYFUNCTION("""COMPUTED_VALUE"""),"T210")</f>
        <v>T210</v>
      </c>
      <c r="B212" t="str">
        <f ca="1">IFERROR(__xludf.DUMMYFUNCTION("""COMPUTED_VALUE"""),"T76")</f>
        <v>T76</v>
      </c>
      <c r="C212" t="str">
        <f ca="1">IFERROR(__xludf.DUMMYFUNCTION("""COMPUTED_VALUE"""),"Scott Harrington")</f>
        <v>Scott Harrington</v>
      </c>
      <c r="D212">
        <f ca="1">IFERROR(__xludf.DUMMYFUNCTION("""COMPUTED_VALUE"""),18)</f>
        <v>18</v>
      </c>
      <c r="E212">
        <f ca="1">IFERROR(__xludf.DUMMYFUNCTION("""COMPUTED_VALUE"""),27.5)</f>
        <v>27.5</v>
      </c>
      <c r="F212" s="2">
        <f ca="1">IFERROR(__xludf.DUMMYFUNCTION("""COMPUTED_VALUE"""),29663)</f>
        <v>29663</v>
      </c>
      <c r="G212">
        <f ca="1">IFERROR(__xludf.DUMMYFUNCTION("""COMPUTED_VALUE"""),30)</f>
        <v>30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IFERROR(__xludf.DUMMYFUNCTION("""COMPUTED_VALUE"""),"T230")</f>
        <v>T230</v>
      </c>
      <c r="C213" t="str">
        <f ca="1">IFERROR(__xludf.DUMMYFUNCTION("""COMPUTED_VALUE"""),"Matthew NeSmith")</f>
        <v>Matthew NeSmith</v>
      </c>
      <c r="D213">
        <f ca="1">IFERROR(__xludf.DUMMYFUNCTION("""COMPUTED_VALUE"""),16)</f>
        <v>16</v>
      </c>
      <c r="E213">
        <f ca="1">IFERROR(__xludf.DUMMYFUNCTION("""COMPUTED_VALUE"""),27.6)</f>
        <v>27.6</v>
      </c>
      <c r="F213" s="2">
        <f ca="1">IFERROR(__xludf.DUMMYFUNCTION("""COMPUTED_VALUE"""),37703)</f>
        <v>37703</v>
      </c>
      <c r="G213">
        <f ca="1">IFERROR(__xludf.DUMMYFUNCTION("""COMPUTED_VALUE"""),38)</f>
        <v>38</v>
      </c>
    </row>
    <row r="214" spans="1:7" ht="12.75">
      <c r="A214" t="str">
        <f ca="1">IFERROR(__xludf.DUMMYFUNCTION("""COMPUTED_VALUE"""),"T213")</f>
        <v>T213</v>
      </c>
      <c r="B214" t="str">
        <f ca="1">IFERROR(__xludf.DUMMYFUNCTION("""COMPUTED_VALUE"""),"T218")</f>
        <v>T218</v>
      </c>
      <c r="C214" t="str">
        <f ca="1">IFERROR(__xludf.DUMMYFUNCTION("""COMPUTED_VALUE"""),"Lucas Herbert")</f>
        <v>Lucas Herbert</v>
      </c>
      <c r="D214">
        <f ca="1">IFERROR(__xludf.DUMMYFUNCTION("""COMPUTED_VALUE"""),4)</f>
        <v>4</v>
      </c>
      <c r="E214">
        <f ca="1">IFERROR(__xludf.DUMMYFUNCTION("""COMPUTED_VALUE"""),27.7)</f>
        <v>27.7</v>
      </c>
      <c r="F214" s="2">
        <f ca="1">IFERROR(__xludf.DUMMYFUNCTION("""COMPUTED_VALUE"""),5983)</f>
        <v>5983</v>
      </c>
      <c r="G214">
        <f ca="1">IFERROR(__xludf.DUMMYFUNCTION("""COMPUTED_VALUE"""),6)</f>
        <v>6</v>
      </c>
    </row>
    <row r="215" spans="1:7" ht="12.75">
      <c r="A215" t="str">
        <f ca="1">IFERROR(__xludf.DUMMYFUNCTION("""COMPUTED_VALUE"""),"T213")</f>
        <v>T213</v>
      </c>
      <c r="B215" t="str">
        <f ca="1">IFERROR(__xludf.DUMMYFUNCTION("""COMPUTED_VALUE"""),"T218")</f>
        <v>T218</v>
      </c>
      <c r="C215" t="str">
        <f ca="1">IFERROR(__xludf.DUMMYFUNCTION("""COMPUTED_VALUE"""),"Ryo Ishikawa")</f>
        <v>Ryo Ishikawa</v>
      </c>
      <c r="D215">
        <f ca="1">IFERROR(__xludf.DUMMYFUNCTION("""COMPUTED_VALUE"""),8)</f>
        <v>8</v>
      </c>
      <c r="E215">
        <f ca="1">IFERROR(__xludf.DUMMYFUNCTION("""COMPUTED_VALUE"""),27.7)</f>
        <v>27.7</v>
      </c>
      <c r="F215" s="2">
        <f ca="1">IFERROR(__xludf.DUMMYFUNCTION("""COMPUTED_VALUE"""),8978)</f>
        <v>8978</v>
      </c>
      <c r="G215">
        <f ca="1">IFERROR(__xludf.DUMMYFUNCTION("""COMPUTED_VALUE"""),9)</f>
        <v>9</v>
      </c>
    </row>
    <row r="216" spans="1:7" ht="12.75">
      <c r="A216" t="str">
        <f ca="1">IFERROR(__xludf.DUMMYFUNCTION("""COMPUTED_VALUE"""),"T215")</f>
        <v>T215</v>
      </c>
      <c r="B216" t="str">
        <f ca="1">IFERROR(__xludf.DUMMYFUNCTION("""COMPUTED_VALUE"""),"T178")</f>
        <v>T178</v>
      </c>
      <c r="C216" t="str">
        <f ca="1">IFERROR(__xludf.DUMMYFUNCTION("""COMPUTED_VALUE"""),"Kevin Stadler")</f>
        <v>Kevin Stadler</v>
      </c>
      <c r="D216">
        <f ca="1">IFERROR(__xludf.DUMMYFUNCTION("""COMPUTED_VALUE"""),8)</f>
        <v>8</v>
      </c>
      <c r="E216">
        <f ca="1">IFERROR(__xludf.DUMMYFUNCTION("""COMPUTED_VALUE"""),27.8)</f>
        <v>27.8</v>
      </c>
      <c r="F216" s="2">
        <f ca="1">IFERROR(__xludf.DUMMYFUNCTION("""COMPUTED_VALUE"""),11001)</f>
        <v>11001</v>
      </c>
      <c r="G216">
        <f ca="1">IFERROR(__xludf.DUMMYFUNCTION("""COMPUTED_VALUE"""),11)</f>
        <v>11</v>
      </c>
    </row>
    <row r="217" spans="1:7" ht="12.75">
      <c r="A217" t="str">
        <f ca="1">IFERROR(__xludf.DUMMYFUNCTION("""COMPUTED_VALUE"""),"T215")</f>
        <v>T215</v>
      </c>
      <c r="B217">
        <f ca="1">IFERROR(__xludf.DUMMYFUNCTION("""COMPUTED_VALUE"""),220)</f>
        <v>220</v>
      </c>
      <c r="C217" t="str">
        <f ca="1">IFERROR(__xludf.DUMMYFUNCTION("""COMPUTED_VALUE"""),"Matthias Schwab")</f>
        <v>Matthias Schwab</v>
      </c>
      <c r="D217">
        <f ca="1">IFERROR(__xludf.DUMMYFUNCTION("""COMPUTED_VALUE"""),8)</f>
        <v>8</v>
      </c>
      <c r="E217">
        <f ca="1">IFERROR(__xludf.DUMMYFUNCTION("""COMPUTED_VALUE"""),27.8)</f>
        <v>27.8</v>
      </c>
      <c r="F217" s="2">
        <f ca="1">IFERROR(__xludf.DUMMYFUNCTION("""COMPUTED_VALUE"""),8993)</f>
        <v>8993</v>
      </c>
      <c r="G217">
        <f ca="1">IFERROR(__xludf.DUMMYFUNCTION("""COMPUTED_VALUE"""),9)</f>
        <v>9</v>
      </c>
    </row>
    <row r="218" spans="1:7" ht="12.75">
      <c r="A218">
        <f ca="1">IFERROR(__xludf.DUMMYFUNCTION("""COMPUTED_VALUE"""),217)</f>
        <v>217</v>
      </c>
      <c r="B218" t="str">
        <f ca="1">IFERROR(__xludf.DUMMYFUNCTION("""COMPUTED_VALUE"""),"T211")</f>
        <v>T211</v>
      </c>
      <c r="C218" t="str">
        <f ca="1">IFERROR(__xludf.DUMMYFUNCTION("""COMPUTED_VALUE"""),"Brian Stuard")</f>
        <v>Brian Stuard</v>
      </c>
      <c r="D218">
        <f ca="1">IFERROR(__xludf.DUMMYFUNCTION("""COMPUTED_VALUE"""),18)</f>
        <v>18</v>
      </c>
      <c r="E218">
        <f ca="1">IFERROR(__xludf.DUMMYFUNCTION("""COMPUTED_VALUE"""),27.9)</f>
        <v>27.9</v>
      </c>
      <c r="F218" s="2">
        <f ca="1">IFERROR(__xludf.DUMMYFUNCTION("""COMPUTED_VALUE"""),18082)</f>
        <v>18082</v>
      </c>
      <c r="G218">
        <f ca="1">IFERROR(__xludf.DUMMYFUNCTION("""COMPUTED_VALUE"""),18)</f>
        <v>18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IFERROR(__xludf.DUMMYFUNCTION("""COMPUTED_VALUE"""),"T83")</f>
        <v>T83</v>
      </c>
      <c r="C219" t="str">
        <f ca="1">IFERROR(__xludf.DUMMYFUNCTION("""COMPUTED_VALUE"""),"Kevin Tway")</f>
        <v>Kevin Tway</v>
      </c>
      <c r="D219">
        <f ca="1">IFERROR(__xludf.DUMMYFUNCTION("""COMPUTED_VALUE"""),16)</f>
        <v>16</v>
      </c>
      <c r="E219">
        <f ca="1">IFERROR(__xludf.DUMMYFUNCTION("""COMPUTED_VALUE"""),28)</f>
        <v>28</v>
      </c>
      <c r="F219" s="2">
        <f ca="1">IFERROR(__xludf.DUMMYFUNCTION("""COMPUTED_VALUE"""),17151)</f>
        <v>17151</v>
      </c>
      <c r="G219">
        <f ca="1">IFERROR(__xludf.DUMMYFUNCTION("""COMPUTED_VALUE"""),17)</f>
        <v>17</v>
      </c>
    </row>
    <row r="220" spans="1:7" ht="12.75">
      <c r="A220" t="str">
        <f ca="1">IFERROR(__xludf.DUMMYFUNCTION("""COMPUTED_VALUE"""),"T219")</f>
        <v>T219</v>
      </c>
      <c r="B220">
        <f ca="1">IFERROR(__xludf.DUMMYFUNCTION("""COMPUTED_VALUE"""),222)</f>
        <v>222</v>
      </c>
      <c r="C220" t="str">
        <f ca="1">IFERROR(__xludf.DUMMYFUNCTION("""COMPUTED_VALUE"""),"Louis Oosthuizen")</f>
        <v>Louis Oosthuizen</v>
      </c>
      <c r="D220">
        <f ca="1">IFERROR(__xludf.DUMMYFUNCTION("""COMPUTED_VALUE"""),12)</f>
        <v>12</v>
      </c>
      <c r="E220">
        <f ca="1">IFERROR(__xludf.DUMMYFUNCTION("""COMPUTED_VALUE"""),28.1)</f>
        <v>28.1</v>
      </c>
      <c r="F220" s="2">
        <f ca="1">IFERROR(__xludf.DUMMYFUNCTION("""COMPUTED_VALUE"""),34410)</f>
        <v>34410</v>
      </c>
      <c r="G220">
        <f ca="1">IFERROR(__xludf.DUMMYFUNCTION("""COMPUTED_VALUE"""),34)</f>
        <v>34</v>
      </c>
    </row>
    <row r="221" spans="1:7" ht="12.75">
      <c r="A221" t="str">
        <f ca="1">IFERROR(__xludf.DUMMYFUNCTION("""COMPUTED_VALUE"""),"T219")</f>
        <v>T219</v>
      </c>
      <c r="B221">
        <f ca="1">IFERROR(__xludf.DUMMYFUNCTION("""COMPUTED_VALUE"""),210)</f>
        <v>210</v>
      </c>
      <c r="C221" t="str">
        <f ca="1">IFERROR(__xludf.DUMMYFUNCTION("""COMPUTED_VALUE"""),"Luke Donald")</f>
        <v>Luke Donald</v>
      </c>
      <c r="D221">
        <f ca="1">IFERROR(__xludf.DUMMYFUNCTION("""COMPUTED_VALUE"""),14)</f>
        <v>14</v>
      </c>
      <c r="E221">
        <f ca="1">IFERROR(__xludf.DUMMYFUNCTION("""COMPUTED_VALUE"""),28.1)</f>
        <v>28.1</v>
      </c>
      <c r="F221" s="2">
        <f ca="1">IFERROR(__xludf.DUMMYFUNCTION("""COMPUTED_VALUE"""),20230)</f>
        <v>20230</v>
      </c>
      <c r="G221">
        <f ca="1">IFERROR(__xludf.DUMMYFUNCTION("""COMPUTED_VALUE"""),20)</f>
        <v>20</v>
      </c>
    </row>
    <row r="222" spans="1:7" ht="12.75">
      <c r="A222" t="str">
        <f ca="1">IFERROR(__xludf.DUMMYFUNCTION("""COMPUTED_VALUE"""),"T219")</f>
        <v>T219</v>
      </c>
      <c r="B222" t="str">
        <f ca="1">IFERROR(__xludf.DUMMYFUNCTION("""COMPUTED_VALUE"""),"T233")</f>
        <v>T233</v>
      </c>
      <c r="C222" t="str">
        <f ca="1">IFERROR(__xludf.DUMMYFUNCTION("""COMPUTED_VALUE"""),"Wyndham Clark")</f>
        <v>Wyndham Clark</v>
      </c>
      <c r="D222">
        <f ca="1">IFERROR(__xludf.DUMMYFUNCTION("""COMPUTED_VALUE"""),16)</f>
        <v>16</v>
      </c>
      <c r="E222">
        <f ca="1">IFERROR(__xludf.DUMMYFUNCTION("""COMPUTED_VALUE"""),28.1)</f>
        <v>28.1</v>
      </c>
      <c r="F222" s="2">
        <f ca="1">IFERROR(__xludf.DUMMYFUNCTION("""COMPUTED_VALUE"""),38471)</f>
        <v>38471</v>
      </c>
      <c r="G222">
        <f ca="1">IFERROR(__xludf.DUMMYFUNCTION("""COMPUTED_VALUE"""),38)</f>
        <v>38</v>
      </c>
    </row>
    <row r="223" spans="1:7" ht="12.75">
      <c r="A223">
        <f ca="1">IFERROR(__xludf.DUMMYFUNCTION("""COMPUTED_VALUE"""),222)</f>
        <v>222</v>
      </c>
      <c r="B223" t="str">
        <f ca="1">IFERROR(__xludf.DUMMYFUNCTION("""COMPUTED_VALUE"""),"T227")</f>
        <v>T227</v>
      </c>
      <c r="C223" t="str">
        <f ca="1">IFERROR(__xludf.DUMMYFUNCTION("""COMPUTED_VALUE"""),"Michael Thompson")</f>
        <v>Michael Thompson</v>
      </c>
      <c r="D223">
        <f ca="1">IFERROR(__xludf.DUMMYFUNCTION("""COMPUTED_VALUE"""),16)</f>
        <v>16</v>
      </c>
      <c r="E223">
        <f ca="1">IFERROR(__xludf.DUMMYFUNCTION("""COMPUTED_VALUE"""),28.4)</f>
        <v>28.4</v>
      </c>
      <c r="F223" s="2">
        <f ca="1">IFERROR(__xludf.DUMMYFUNCTION("""COMPUTED_VALUE"""),37862)</f>
        <v>37862</v>
      </c>
      <c r="G223">
        <f ca="1">IFERROR(__xludf.DUMMYFUNCTION("""COMPUTED_VALUE"""),37)</f>
        <v>37</v>
      </c>
    </row>
    <row r="224" spans="1:7" ht="12.75">
      <c r="A224" t="str">
        <f ca="1">IFERROR(__xludf.DUMMYFUNCTION("""COMPUTED_VALUE"""),"T223")</f>
        <v>T223</v>
      </c>
      <c r="B224" t="str">
        <f ca="1">IFERROR(__xludf.DUMMYFUNCTION("""COMPUTED_VALUE"""),"T227")</f>
        <v>T227</v>
      </c>
      <c r="C224" t="str">
        <f ca="1">IFERROR(__xludf.DUMMYFUNCTION("""COMPUTED_VALUE"""),"Graeme McDowell")</f>
        <v>Graeme McDowell</v>
      </c>
      <c r="D224">
        <f ca="1">IFERROR(__xludf.DUMMYFUNCTION("""COMPUTED_VALUE"""),8)</f>
        <v>8</v>
      </c>
      <c r="E224">
        <f ca="1">IFERROR(__xludf.DUMMYFUNCTION("""COMPUTED_VALUE"""),28.5)</f>
        <v>28.5</v>
      </c>
      <c r="F224" s="2">
        <f ca="1">IFERROR(__xludf.DUMMYFUNCTION("""COMPUTED_VALUE"""),3079)</f>
        <v>3079</v>
      </c>
      <c r="G224">
        <f ca="1">IFERROR(__xludf.DUMMYFUNCTION("""COMPUTED_VALUE"""),3)</f>
        <v>3</v>
      </c>
    </row>
    <row r="225" spans="1:7" ht="12.75">
      <c r="A225" t="str">
        <f ca="1">IFERROR(__xludf.DUMMYFUNCTION("""COMPUTED_VALUE"""),"T223")</f>
        <v>T223</v>
      </c>
      <c r="B225" t="str">
        <f ca="1">IFERROR(__xludf.DUMMYFUNCTION("""COMPUTED_VALUE"""),"T225")</f>
        <v>T225</v>
      </c>
      <c r="C225" t="str">
        <f ca="1">IFERROR(__xludf.DUMMYFUNCTION("""COMPUTED_VALUE"""),"Aaron Baddeley")</f>
        <v>Aaron Baddeley</v>
      </c>
      <c r="D225">
        <f ca="1">IFERROR(__xludf.DUMMYFUNCTION("""COMPUTED_VALUE"""),8)</f>
        <v>8</v>
      </c>
      <c r="E225">
        <f ca="1">IFERROR(__xludf.DUMMYFUNCTION("""COMPUTED_VALUE"""),28.5)</f>
        <v>28.5</v>
      </c>
      <c r="F225" s="2">
        <f ca="1">IFERROR(__xludf.DUMMYFUNCTION("""COMPUTED_VALUE"""),6152)</f>
        <v>6152</v>
      </c>
      <c r="G225">
        <f ca="1">IFERROR(__xludf.DUMMYFUNCTION("""COMPUTED_VALUE"""),6)</f>
        <v>6</v>
      </c>
    </row>
    <row r="226" spans="1:7" ht="12.75">
      <c r="A226" t="str">
        <f ca="1">IFERROR(__xludf.DUMMYFUNCTION("""COMPUTED_VALUE"""),"T225")</f>
        <v>T225</v>
      </c>
      <c r="B226">
        <f ca="1">IFERROR(__xludf.DUMMYFUNCTION("""COMPUTED_VALUE"""),245)</f>
        <v>245</v>
      </c>
      <c r="C226" t="str">
        <f ca="1">IFERROR(__xludf.DUMMYFUNCTION("""COMPUTED_VALUE"""),"Ted Potter, Jr.")</f>
        <v>Ted Potter, Jr.</v>
      </c>
      <c r="D226">
        <f ca="1">IFERROR(__xludf.DUMMYFUNCTION("""COMPUTED_VALUE"""),8)</f>
        <v>8</v>
      </c>
      <c r="E226">
        <f ca="1">IFERROR(__xludf.DUMMYFUNCTION("""COMPUTED_VALUE"""),28.6)</f>
        <v>28.6</v>
      </c>
      <c r="F226" s="2">
        <f ca="1">IFERROR(__xludf.DUMMYFUNCTION("""COMPUTED_VALUE"""),19538)</f>
        <v>19538</v>
      </c>
      <c r="G226">
        <f ca="1">IFERROR(__xludf.DUMMYFUNCTION("""COMPUTED_VALUE"""),19)</f>
        <v>19</v>
      </c>
    </row>
    <row r="227" spans="1:7" ht="12.75">
      <c r="A227" t="str">
        <f ca="1">IFERROR(__xludf.DUMMYFUNCTION("""COMPUTED_VALUE"""),"T225")</f>
        <v>T225</v>
      </c>
      <c r="B227" t="str">
        <f ca="1">IFERROR(__xludf.DUMMYFUNCTION("""COMPUTED_VALUE"""),"T194")</f>
        <v>T194</v>
      </c>
      <c r="C227" t="str">
        <f ca="1">IFERROR(__xludf.DUMMYFUNCTION("""COMPUTED_VALUE"""),"Cameron Davis")</f>
        <v>Cameron Davis</v>
      </c>
      <c r="D227">
        <f ca="1">IFERROR(__xludf.DUMMYFUNCTION("""COMPUTED_VALUE"""),16)</f>
        <v>16</v>
      </c>
      <c r="E227">
        <f ca="1">IFERROR(__xludf.DUMMYFUNCTION("""COMPUTED_VALUE"""),28.6)</f>
        <v>28.6</v>
      </c>
      <c r="F227" s="2">
        <f ca="1">IFERROR(__xludf.DUMMYFUNCTION("""COMPUTED_VALUE"""),49339)</f>
        <v>49339</v>
      </c>
      <c r="G227">
        <f ca="1">IFERROR(__xludf.DUMMYFUNCTION("""COMPUTED_VALUE"""),48)</f>
        <v>48</v>
      </c>
    </row>
    <row r="228" spans="1:7" ht="12.75">
      <c r="A228" t="str">
        <f ca="1">IFERROR(__xludf.DUMMYFUNCTION("""COMPUTED_VALUE"""),"T227")</f>
        <v>T227</v>
      </c>
      <c r="B228" t="str">
        <f ca="1">IFERROR(__xludf.DUMMYFUNCTION("""COMPUTED_VALUE"""),"T230")</f>
        <v>T230</v>
      </c>
      <c r="C228" t="str">
        <f ca="1">IFERROR(__xludf.DUMMYFUNCTION("""COMPUTED_VALUE"""),"Harry Higgs")</f>
        <v>Harry Higgs</v>
      </c>
      <c r="D228">
        <f ca="1">IFERROR(__xludf.DUMMYFUNCTION("""COMPUTED_VALUE"""),14)</f>
        <v>14</v>
      </c>
      <c r="E228">
        <f ca="1">IFERROR(__xludf.DUMMYFUNCTION("""COMPUTED_VALUE"""),28.8)</f>
        <v>28.8</v>
      </c>
      <c r="F228" s="2">
        <f ca="1">IFERROR(__xludf.DUMMYFUNCTION("""COMPUTED_VALUE"""),46582)</f>
        <v>46582</v>
      </c>
      <c r="G228">
        <f ca="1">IFERROR(__xludf.DUMMYFUNCTION("""COMPUTED_VALUE"""),45)</f>
        <v>45</v>
      </c>
    </row>
    <row r="229" spans="1:7" ht="12.75">
      <c r="A229" t="str">
        <f ca="1">IFERROR(__xludf.DUMMYFUNCTION("""COMPUTED_VALUE"""),"T227")</f>
        <v>T227</v>
      </c>
      <c r="B229" t="str">
        <f ca="1">IFERROR(__xludf.DUMMYFUNCTION("""COMPUTED_VALUE"""),"T230")</f>
        <v>T230</v>
      </c>
      <c r="C229" t="str">
        <f ca="1">IFERROR(__xludf.DUMMYFUNCTION("""COMPUTED_VALUE"""),"Rafael Campos")</f>
        <v>Rafael Campos</v>
      </c>
      <c r="D229">
        <f ca="1">IFERROR(__xludf.DUMMYFUNCTION("""COMPUTED_VALUE"""),6)</f>
        <v>6</v>
      </c>
      <c r="E229">
        <f ca="1">IFERROR(__xludf.DUMMYFUNCTION("""COMPUTED_VALUE"""),28.8)</f>
        <v>28.8</v>
      </c>
      <c r="F229" s="2">
        <f ca="1">IFERROR(__xludf.DUMMYFUNCTION("""COMPUTED_VALUE"""),5191)</f>
        <v>5191</v>
      </c>
      <c r="G229">
        <f ca="1">IFERROR(__xludf.DUMMYFUNCTION("""COMPUTED_VALUE"""),5)</f>
        <v>5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IFERROR(__xludf.DUMMYFUNCTION("""COMPUTED_VALUE"""),"T235")</f>
        <v>T235</v>
      </c>
      <c r="C230" t="str">
        <f ca="1">IFERROR(__xludf.DUMMYFUNCTION("""COMPUTED_VALUE"""),"Jordan Spieth")</f>
        <v>Jordan Spieth</v>
      </c>
      <c r="D230">
        <f ca="1">IFERROR(__xludf.DUMMYFUNCTION("""COMPUTED_VALUE"""),14)</f>
        <v>14</v>
      </c>
      <c r="E230">
        <f ca="1">IFERROR(__xludf.DUMMYFUNCTION("""COMPUTED_VALUE"""),28.9)</f>
        <v>28.9</v>
      </c>
      <c r="F230" s="2">
        <f ca="1">IFERROR(__xludf.DUMMYFUNCTION("""COMPUTED_VALUE"""),40642)</f>
        <v>40642</v>
      </c>
      <c r="G230">
        <f ca="1">IFERROR(__xludf.DUMMYFUNCTION("""COMPUTED_VALUE"""),39)</f>
        <v>39</v>
      </c>
    </row>
    <row r="231" spans="1:7" ht="12.75">
      <c r="A231" t="str">
        <f ca="1">IFERROR(__xludf.DUMMYFUNCTION("""COMPUTED_VALUE"""),"T229")</f>
        <v>T229</v>
      </c>
      <c r="B231">
        <f ca="1">IFERROR(__xludf.DUMMYFUNCTION("""COMPUTED_VALUE"""),238)</f>
        <v>238</v>
      </c>
      <c r="C231" t="str">
        <f ca="1">IFERROR(__xludf.DUMMYFUNCTION("""COMPUTED_VALUE"""),"Maverick McNealy")</f>
        <v>Maverick McNealy</v>
      </c>
      <c r="D231">
        <f ca="1">IFERROR(__xludf.DUMMYFUNCTION("""COMPUTED_VALUE"""),16)</f>
        <v>16</v>
      </c>
      <c r="E231">
        <f ca="1">IFERROR(__xludf.DUMMYFUNCTION("""COMPUTED_VALUE"""),28.9)</f>
        <v>28.9</v>
      </c>
      <c r="F231" s="2">
        <f ca="1">IFERROR(__xludf.DUMMYFUNCTION("""COMPUTED_VALUE"""),32290)</f>
        <v>32290</v>
      </c>
      <c r="G231">
        <f ca="1">IFERROR(__xludf.DUMMYFUNCTION("""COMPUTED_VALUE"""),31)</f>
        <v>31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IFERROR(__xludf.DUMMYFUNCTION("""COMPUTED_VALUE"""),"T233")</f>
        <v>T233</v>
      </c>
      <c r="C232" t="str">
        <f ca="1">IFERROR(__xludf.DUMMYFUNCTION("""COMPUTED_VALUE"""),"Johnson Wagner")</f>
        <v>Johnson Wagner</v>
      </c>
      <c r="D232">
        <f ca="1">IFERROR(__xludf.DUMMYFUNCTION("""COMPUTED_VALUE"""),8)</f>
        <v>8</v>
      </c>
      <c r="E232">
        <f ca="1">IFERROR(__xludf.DUMMYFUNCTION("""COMPUTED_VALUE"""),29)</f>
        <v>29</v>
      </c>
      <c r="F232" s="2">
        <f ca="1">IFERROR(__xludf.DUMMYFUNCTION("""COMPUTED_VALUE"""),4176)</f>
        <v>4176</v>
      </c>
      <c r="G232">
        <f ca="1">IFERROR(__xludf.DUMMYFUNCTION("""COMPUTED_VALUE"""),4)</f>
        <v>4</v>
      </c>
    </row>
    <row r="233" spans="1:7" ht="12.75">
      <c r="A233" t="str">
        <f ca="1">IFERROR(__xludf.DUMMYFUNCTION("""COMPUTED_VALUE"""),"T231")</f>
        <v>T231</v>
      </c>
      <c r="B233">
        <f ca="1">IFERROR(__xludf.DUMMYFUNCTION("""COMPUTED_VALUE"""),242)</f>
        <v>242</v>
      </c>
      <c r="C233" t="str">
        <f ca="1">IFERROR(__xludf.DUMMYFUNCTION("""COMPUTED_VALUE"""),"Adam Scott")</f>
        <v>Adam Scott</v>
      </c>
      <c r="D233">
        <f ca="1">IFERROR(__xludf.DUMMYFUNCTION("""COMPUTED_VALUE"""),8)</f>
        <v>8</v>
      </c>
      <c r="E233">
        <f ca="1">IFERROR(__xludf.DUMMYFUNCTION("""COMPUTED_VALUE"""),29)</f>
        <v>29</v>
      </c>
      <c r="F233" s="2">
        <f ca="1">IFERROR(__xludf.DUMMYFUNCTION("""COMPUTED_VALUE"""),17742)</f>
        <v>17742</v>
      </c>
      <c r="G233">
        <f ca="1">IFERROR(__xludf.DUMMYFUNCTION("""COMPUTED_VALUE"""),17)</f>
        <v>17</v>
      </c>
    </row>
    <row r="234" spans="1:7" ht="12.75">
      <c r="A234">
        <f ca="1">IFERROR(__xludf.DUMMYFUNCTION("""COMPUTED_VALUE"""),233)</f>
        <v>233</v>
      </c>
      <c r="B234" t="str">
        <f ca="1">IFERROR(__xludf.DUMMYFUNCTION("""COMPUTED_VALUE"""),"T235")</f>
        <v>T235</v>
      </c>
      <c r="C234" t="str">
        <f ca="1">IFERROR(__xludf.DUMMYFUNCTION("""COMPUTED_VALUE"""),"Webb Simpson")</f>
        <v>Webb Simpson</v>
      </c>
      <c r="D234">
        <f ca="1">IFERROR(__xludf.DUMMYFUNCTION("""COMPUTED_VALUE"""),12)</f>
        <v>12</v>
      </c>
      <c r="E234">
        <f ca="1">IFERROR(__xludf.DUMMYFUNCTION("""COMPUTED_VALUE"""),29.1)</f>
        <v>29.1</v>
      </c>
      <c r="F234" s="2">
        <f ca="1">IFERROR(__xludf.DUMMYFUNCTION("""COMPUTED_VALUE"""),37723)</f>
        <v>37723</v>
      </c>
      <c r="G234">
        <f ca="1">IFERROR(__xludf.DUMMYFUNCTION("""COMPUTED_VALUE"""),36)</f>
        <v>36</v>
      </c>
    </row>
    <row r="235" spans="1:7" ht="12.75">
      <c r="A235" t="str">
        <f ca="1">IFERROR(__xludf.DUMMYFUNCTION("""COMPUTED_VALUE"""),"T234")</f>
        <v>T234</v>
      </c>
      <c r="B235" t="str">
        <f ca="1">IFERROR(__xludf.DUMMYFUNCTION("""COMPUTED_VALUE"""),"T58")</f>
        <v>T58</v>
      </c>
      <c r="C235" t="str">
        <f ca="1">IFERROR(__xludf.DUMMYFUNCTION("""COMPUTED_VALUE"""),"Sam Ryder")</f>
        <v>Sam Ryder</v>
      </c>
      <c r="D235">
        <f ca="1">IFERROR(__xludf.DUMMYFUNCTION("""COMPUTED_VALUE"""),12)</f>
        <v>12</v>
      </c>
      <c r="E235">
        <f ca="1">IFERROR(__xludf.DUMMYFUNCTION("""COMPUTED_VALUE"""),29.2)</f>
        <v>29.2</v>
      </c>
      <c r="F235" s="2">
        <f ca="1">IFERROR(__xludf.DUMMYFUNCTION("""COMPUTED_VALUE"""),18893)</f>
        <v>18893</v>
      </c>
      <c r="G235">
        <f ca="1">IFERROR(__xludf.DUMMYFUNCTION("""COMPUTED_VALUE"""),18)</f>
        <v>18</v>
      </c>
    </row>
    <row r="236" spans="1:7" ht="12.75">
      <c r="A236" t="str">
        <f ca="1">IFERROR(__xludf.DUMMYFUNCTION("""COMPUTED_VALUE"""),"T234")</f>
        <v>T234</v>
      </c>
      <c r="B236">
        <f ca="1">IFERROR(__xludf.DUMMYFUNCTION("""COMPUTED_VALUE"""),223)</f>
        <v>223</v>
      </c>
      <c r="C236" t="str">
        <f ca="1">IFERROR(__xludf.DUMMYFUNCTION("""COMPUTED_VALUE"""),"Kelly Kraft")</f>
        <v>Kelly Kraft</v>
      </c>
      <c r="D236">
        <f ca="1">IFERROR(__xludf.DUMMYFUNCTION("""COMPUTED_VALUE"""),14)</f>
        <v>14</v>
      </c>
      <c r="E236">
        <f ca="1">IFERROR(__xludf.DUMMYFUNCTION("""COMPUTED_VALUE"""),29.2)</f>
        <v>29.2</v>
      </c>
      <c r="F236" s="2">
        <f ca="1">IFERROR(__xludf.DUMMYFUNCTION("""COMPUTED_VALUE"""),17885)</f>
        <v>17885</v>
      </c>
      <c r="G236">
        <f ca="1">IFERROR(__xludf.DUMMYFUNCTION("""COMPUTED_VALUE"""),17)</f>
        <v>17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IFERROR(__xludf.DUMMYFUNCTION("""COMPUTED_VALUE"""),237)</f>
        <v>237</v>
      </c>
      <c r="C237" t="str">
        <f ca="1">IFERROR(__xludf.DUMMYFUNCTION("""COMPUTED_VALUE"""),"Tyler Duncan")</f>
        <v>Tyler Duncan</v>
      </c>
      <c r="D237">
        <f ca="1">IFERROR(__xludf.DUMMYFUNCTION("""COMPUTED_VALUE"""),18)</f>
        <v>18</v>
      </c>
      <c r="E237">
        <f ca="1">IFERROR(__xludf.DUMMYFUNCTION("""COMPUTED_VALUE"""),29.3)</f>
        <v>29.3</v>
      </c>
      <c r="F237" s="2">
        <f ca="1">IFERROR(__xludf.DUMMYFUNCTION("""COMPUTED_VALUE"""),54800)</f>
        <v>54800</v>
      </c>
      <c r="G237">
        <f ca="1">IFERROR(__xludf.DUMMYFUNCTION("""COMPUTED_VALUE"""),52)</f>
        <v>52</v>
      </c>
    </row>
    <row r="238" spans="1:7" ht="12.75">
      <c r="A238" t="str">
        <f ca="1">IFERROR(__xludf.DUMMYFUNCTION("""COMPUTED_VALUE"""),"T237")</f>
        <v>T237</v>
      </c>
      <c r="B238">
        <f ca="1">IFERROR(__xludf.DUMMYFUNCTION("""COMPUTED_VALUE"""),221)</f>
        <v>221</v>
      </c>
      <c r="C238" t="str">
        <f ca="1">IFERROR(__xludf.DUMMYFUNCTION("""COMPUTED_VALUE"""),"Kramer Hickok")</f>
        <v>Kramer Hickok</v>
      </c>
      <c r="D238">
        <f ca="1">IFERROR(__xludf.DUMMYFUNCTION("""COMPUTED_VALUE"""),16)</f>
        <v>16</v>
      </c>
      <c r="E238">
        <f ca="1">IFERROR(__xludf.DUMMYFUNCTION("""COMPUTED_VALUE"""),29.4)</f>
        <v>29.4</v>
      </c>
      <c r="F238" s="2">
        <f ca="1">IFERROR(__xludf.DUMMYFUNCTION("""COMPUTED_VALUE"""),14795)</f>
        <v>14795</v>
      </c>
      <c r="G238">
        <f ca="1">IFERROR(__xludf.DUMMYFUNCTION("""COMPUTED_VALUE"""),14)</f>
        <v>14</v>
      </c>
    </row>
    <row r="239" spans="1:7" ht="12.75">
      <c r="A239" t="str">
        <f ca="1">IFERROR(__xludf.DUMMYFUNCTION("""COMPUTED_VALUE"""),"T237")</f>
        <v>T237</v>
      </c>
      <c r="B239" t="str">
        <f ca="1">IFERROR(__xludf.DUMMYFUNCTION("""COMPUTED_VALUE"""),"T213")</f>
        <v>T213</v>
      </c>
      <c r="C239" t="str">
        <f ca="1">IFERROR(__xludf.DUMMYFUNCTION("""COMPUTED_VALUE"""),"Matt Jones")</f>
        <v>Matt Jones</v>
      </c>
      <c r="D239">
        <f ca="1">IFERROR(__xludf.DUMMYFUNCTION("""COMPUTED_VALUE"""),20)</f>
        <v>20</v>
      </c>
      <c r="E239">
        <f ca="1">IFERROR(__xludf.DUMMYFUNCTION("""COMPUTED_VALUE"""),29.4)</f>
        <v>29.4</v>
      </c>
      <c r="F239" s="2">
        <f ca="1">IFERROR(__xludf.DUMMYFUNCTION("""COMPUTED_VALUE"""),31734)</f>
        <v>31734</v>
      </c>
      <c r="G239">
        <f ca="1">IFERROR(__xludf.DUMMYFUNCTION("""COMPUTED_VALUE"""),30)</f>
        <v>30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IFERROR(__xludf.DUMMYFUNCTION("""COMPUTED_VALUE"""),"T216")</f>
        <v>T216</v>
      </c>
      <c r="C240" t="str">
        <f ca="1">IFERROR(__xludf.DUMMYFUNCTION("""COMPUTED_VALUE"""),"Cameron Tringale")</f>
        <v>Cameron Tringale</v>
      </c>
      <c r="D240">
        <f ca="1">IFERROR(__xludf.DUMMYFUNCTION("""COMPUTED_VALUE"""),16)</f>
        <v>16</v>
      </c>
      <c r="E240">
        <f ca="1">IFERROR(__xludf.DUMMYFUNCTION("""COMPUTED_VALUE"""),29.6)</f>
        <v>29.6</v>
      </c>
      <c r="F240" s="2">
        <f ca="1">IFERROR(__xludf.DUMMYFUNCTION("""COMPUTED_VALUE"""),41553)</f>
        <v>41553</v>
      </c>
      <c r="G240">
        <f ca="1">IFERROR(__xludf.DUMMYFUNCTION("""COMPUTED_VALUE"""),39)</f>
        <v>39</v>
      </c>
    </row>
    <row r="241" spans="1:7" ht="12.75">
      <c r="A241">
        <f ca="1">IFERROR(__xludf.DUMMYFUNCTION("""COMPUTED_VALUE"""),240)</f>
        <v>240</v>
      </c>
      <c r="B241" t="str">
        <f ca="1">IFERROR(__xludf.DUMMYFUNCTION("""COMPUTED_VALUE"""),"T225")</f>
        <v>T225</v>
      </c>
      <c r="C241" t="str">
        <f ca="1">IFERROR(__xludf.DUMMYFUNCTION("""COMPUTED_VALUE"""),"Aaron Wise")</f>
        <v>Aaron Wise</v>
      </c>
      <c r="D241">
        <f ca="1">IFERROR(__xludf.DUMMYFUNCTION("""COMPUTED_VALUE"""),16)</f>
        <v>16</v>
      </c>
      <c r="E241">
        <f ca="1">IFERROR(__xludf.DUMMYFUNCTION("""COMPUTED_VALUE"""),29.7)</f>
        <v>29.7</v>
      </c>
      <c r="F241" s="2">
        <f ca="1">IFERROR(__xludf.DUMMYFUNCTION("""COMPUTED_VALUE"""),33178)</f>
        <v>33178</v>
      </c>
      <c r="G241">
        <f ca="1">IFERROR(__xludf.DUMMYFUNCTION("""COMPUTED_VALUE"""),31)</f>
        <v>31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IFERROR(__xludf.DUMMYFUNCTION("""COMPUTED_VALUE"""),239)</f>
        <v>239</v>
      </c>
      <c r="C242" t="str">
        <f ca="1">IFERROR(__xludf.DUMMYFUNCTION("""COMPUTED_VALUE"""),"Takumi Kanaya")</f>
        <v>Takumi Kanaya</v>
      </c>
      <c r="D242">
        <f ca="1">IFERROR(__xludf.DUMMYFUNCTION("""COMPUTED_VALUE"""),6)</f>
        <v>6</v>
      </c>
      <c r="E242">
        <f ca="1">IFERROR(__xludf.DUMMYFUNCTION("""COMPUTED_VALUE"""),29.8)</f>
        <v>29.8</v>
      </c>
      <c r="F242" s="2">
        <f ca="1">IFERROR(__xludf.DUMMYFUNCTION("""COMPUTED_VALUE"""),15034)</f>
        <v>15034</v>
      </c>
      <c r="G242">
        <f ca="1">IFERROR(__xludf.DUMMYFUNCTION("""COMPUTED_VALUE"""),14)</f>
        <v>14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IFERROR(__xludf.DUMMYFUNCTION("""COMPUTED_VALUE"""),240)</f>
        <v>240</v>
      </c>
      <c r="C243" t="str">
        <f ca="1">IFERROR(__xludf.DUMMYFUNCTION("""COMPUTED_VALUE"""),"Billy Horschel")</f>
        <v>Billy Horschel</v>
      </c>
      <c r="D243">
        <f ca="1">IFERROR(__xludf.DUMMYFUNCTION("""COMPUTED_VALUE"""),12)</f>
        <v>12</v>
      </c>
      <c r="E243">
        <f ca="1">IFERROR(__xludf.DUMMYFUNCTION("""COMPUTED_VALUE"""),29.9)</f>
        <v>29.9</v>
      </c>
      <c r="F243" s="2">
        <f ca="1">IFERROR(__xludf.DUMMYFUNCTION("""COMPUTED_VALUE"""),43120)</f>
        <v>43120</v>
      </c>
      <c r="G243">
        <f ca="1">IFERROR(__xludf.DUMMYFUNCTION("""COMPUTED_VALUE"""),40)</f>
        <v>40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IFERROR(__xludf.DUMMYFUNCTION("""COMPUTED_VALUE"""),"T199")</f>
        <v>T199</v>
      </c>
      <c r="C244" t="str">
        <f ca="1">IFERROR(__xludf.DUMMYFUNCTION("""COMPUTED_VALUE"""),"Troy Merritt")</f>
        <v>Troy Merritt</v>
      </c>
      <c r="D244">
        <f ca="1">IFERROR(__xludf.DUMMYFUNCTION("""COMPUTED_VALUE"""),20)</f>
        <v>20</v>
      </c>
      <c r="E244">
        <f ca="1">IFERROR(__xludf.DUMMYFUNCTION("""COMPUTED_VALUE"""),30)</f>
        <v>30</v>
      </c>
      <c r="F244" s="2">
        <f ca="1">IFERROR(__xludf.DUMMYFUNCTION("""COMPUTED_VALUE"""),35627)</f>
        <v>35627</v>
      </c>
      <c r="G244">
        <f ca="1">IFERROR(__xludf.DUMMYFUNCTION("""COMPUTED_VALUE"""),33)</f>
        <v>33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IFERROR(__xludf.DUMMYFUNCTION("""COMPUTED_VALUE"""),241)</f>
        <v>241</v>
      </c>
      <c r="C245" t="str">
        <f ca="1">IFERROR(__xludf.DUMMYFUNCTION("""COMPUTED_VALUE"""),"Andrew Putnam")</f>
        <v>Andrew Putnam</v>
      </c>
      <c r="D245">
        <f ca="1">IFERROR(__xludf.DUMMYFUNCTION("""COMPUTED_VALUE"""),19)</f>
        <v>19</v>
      </c>
      <c r="E245">
        <f ca="1">IFERROR(__xludf.DUMMYFUNCTION("""COMPUTED_VALUE"""),30.1)</f>
        <v>30.1</v>
      </c>
      <c r="F245" s="2">
        <f ca="1">IFERROR(__xludf.DUMMYFUNCTION("""COMPUTED_VALUE"""),23825)</f>
        <v>23825</v>
      </c>
      <c r="G245">
        <f ca="1">IFERROR(__xludf.DUMMYFUNCTION("""COMPUTED_VALUE"""),22)</f>
        <v>22</v>
      </c>
    </row>
    <row r="246" spans="1:7" ht="12.75">
      <c r="A246">
        <f ca="1">IFERROR(__xludf.DUMMYFUNCTION("""COMPUTED_VALUE"""),245)</f>
        <v>245</v>
      </c>
      <c r="B246" t="str">
        <f ca="1">IFERROR(__xludf.DUMMYFUNCTION("""COMPUTED_VALUE"""),"T188")</f>
        <v>T188</v>
      </c>
      <c r="C246" t="str">
        <f ca="1">IFERROR(__xludf.DUMMYFUNCTION("""COMPUTED_VALUE"""),"Jimmy Walker")</f>
        <v>Jimmy Walker</v>
      </c>
      <c r="D246">
        <f ca="1">IFERROR(__xludf.DUMMYFUNCTION("""COMPUTED_VALUE"""),10)</f>
        <v>10</v>
      </c>
      <c r="E246">
        <f ca="1">IFERROR(__xludf.DUMMYFUNCTION("""COMPUTED_VALUE"""),30.2)</f>
        <v>30.2</v>
      </c>
      <c r="F246" s="2">
        <f ca="1">IFERROR(__xludf.DUMMYFUNCTION("""COMPUTED_VALUE"""),28278)</f>
        <v>28278</v>
      </c>
      <c r="G246">
        <f ca="1">IFERROR(__xludf.DUMMYFUNCTION("""COMPUTED_VALUE"""),26)</f>
        <v>26</v>
      </c>
    </row>
    <row r="247" spans="1:7" ht="12.75">
      <c r="A247" t="str">
        <f ca="1">IFERROR(__xludf.DUMMYFUNCTION("""COMPUTED_VALUE"""),"T246")</f>
        <v>T246</v>
      </c>
      <c r="B247">
        <f ca="1">IFERROR(__xludf.DUMMYFUNCTION("""COMPUTED_VALUE"""),243)</f>
        <v>243</v>
      </c>
      <c r="C247" t="str">
        <f ca="1">IFERROR(__xludf.DUMMYFUNCTION("""COMPUTED_VALUE"""),"Kyle Stanley")</f>
        <v>Kyle Stanley</v>
      </c>
      <c r="D247">
        <f ca="1">IFERROR(__xludf.DUMMYFUNCTION("""COMPUTED_VALUE"""),16)</f>
        <v>16</v>
      </c>
      <c r="E247">
        <f ca="1">IFERROR(__xludf.DUMMYFUNCTION("""COMPUTED_VALUE"""),30.4)</f>
        <v>30.4</v>
      </c>
      <c r="F247" s="2">
        <f ca="1">IFERROR(__xludf.DUMMYFUNCTION("""COMPUTED_VALUE"""),12044)</f>
        <v>12044</v>
      </c>
      <c r="G247">
        <f ca="1">IFERROR(__xludf.DUMMYFUNCTION("""COMPUTED_VALUE"""),11)</f>
        <v>11</v>
      </c>
    </row>
    <row r="248" spans="1:7" ht="12.75">
      <c r="A248" t="str">
        <f ca="1">IFERROR(__xludf.DUMMYFUNCTION("""COMPUTED_VALUE"""),"T246")</f>
        <v>T246</v>
      </c>
      <c r="B248" t="str">
        <f ca="1">IFERROR(__xludf.DUMMYFUNCTION("""COMPUTED_VALUE"""),"T108")</f>
        <v>T108</v>
      </c>
      <c r="C248" t="str">
        <f ca="1">IFERROR(__xludf.DUMMYFUNCTION("""COMPUTED_VALUE"""),"Isaiah Salinda")</f>
        <v>Isaiah Salinda</v>
      </c>
      <c r="D248">
        <f ca="1">IFERROR(__xludf.DUMMYFUNCTION("""COMPUTED_VALUE"""),8)</f>
        <v>8</v>
      </c>
      <c r="E248">
        <f ca="1">IFERROR(__xludf.DUMMYFUNCTION("""COMPUTED_VALUE"""),30.4)</f>
        <v>30.4</v>
      </c>
      <c r="F248" s="2">
        <f ca="1">IFERROR(__xludf.DUMMYFUNCTION("""COMPUTED_VALUE"""),18608)</f>
        <v>18608</v>
      </c>
      <c r="G248">
        <f ca="1">IFERROR(__xludf.DUMMYFUNCTION("""COMPUTED_VALUE"""),17)</f>
        <v>17</v>
      </c>
    </row>
    <row r="249" spans="1:7" ht="12.75">
      <c r="A249">
        <f ca="1">IFERROR(__xludf.DUMMYFUNCTION("""COMPUTED_VALUE"""),248)</f>
        <v>248</v>
      </c>
      <c r="B249" t="str">
        <f ca="1">IFERROR(__xludf.DUMMYFUNCTION("""COMPUTED_VALUE"""),"T194")</f>
        <v>T194</v>
      </c>
      <c r="C249" t="str">
        <f ca="1">IFERROR(__xludf.DUMMYFUNCTION("""COMPUTED_VALUE"""),"Bronson Burgoon")</f>
        <v>Bronson Burgoon</v>
      </c>
      <c r="D249">
        <f ca="1">IFERROR(__xludf.DUMMYFUNCTION("""COMPUTED_VALUE"""),10)</f>
        <v>10</v>
      </c>
      <c r="E249">
        <f ca="1">IFERROR(__xludf.DUMMYFUNCTION("""COMPUTED_VALUE"""),30.6)</f>
        <v>30.6</v>
      </c>
      <c r="F249" s="2">
        <f ca="1">IFERROR(__xludf.DUMMYFUNCTION("""COMPUTED_VALUE"""),23150)</f>
        <v>23150</v>
      </c>
      <c r="G249">
        <f ca="1">IFERROR(__xludf.DUMMYFUNCTION("""COMPUTED_VALUE"""),21)</f>
        <v>21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IFERROR(__xludf.DUMMYFUNCTION("""COMPUTED_VALUE"""),"T227")</f>
        <v>T227</v>
      </c>
      <c r="C250" t="str">
        <f ca="1">IFERROR(__xludf.DUMMYFUNCTION("""COMPUTED_VALUE"""),"Sung Kang")</f>
        <v>Sung Kang</v>
      </c>
      <c r="D250">
        <f ca="1">IFERROR(__xludf.DUMMYFUNCTION("""COMPUTED_VALUE"""),14)</f>
        <v>14</v>
      </c>
      <c r="E250">
        <f ca="1">IFERROR(__xludf.DUMMYFUNCTION("""COMPUTED_VALUE"""),30.7)</f>
        <v>30.7</v>
      </c>
      <c r="F250" s="2">
        <f ca="1">IFERROR(__xludf.DUMMYFUNCTION("""COMPUTED_VALUE"""),40917)</f>
        <v>40917</v>
      </c>
      <c r="G250">
        <f ca="1">IFERROR(__xludf.DUMMYFUNCTION("""COMPUTED_VALUE"""),37)</f>
        <v>37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IFERROR(__xludf.DUMMYFUNCTION("""COMPUTED_VALUE"""),246)</f>
        <v>246</v>
      </c>
      <c r="C251" t="str">
        <f ca="1">IFERROR(__xludf.DUMMYFUNCTION("""COMPUTED_VALUE"""),"Matt Wallace")</f>
        <v>Matt Wallace</v>
      </c>
      <c r="D251">
        <f ca="1">IFERROR(__xludf.DUMMYFUNCTION("""COMPUTED_VALUE"""),4)</f>
        <v>4</v>
      </c>
      <c r="E251">
        <f ca="1">IFERROR(__xludf.DUMMYFUNCTION("""COMPUTED_VALUE"""),31.3)</f>
        <v>31.3</v>
      </c>
      <c r="F251" s="2">
        <f ca="1">IFERROR(__xludf.DUMMYFUNCTION("""COMPUTED_VALUE"""),7897)</f>
        <v>7897</v>
      </c>
      <c r="G251">
        <f ca="1">IFERROR(__xludf.DUMMYFUNCTION("""COMPUTED_VALUE"""),7)</f>
        <v>7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IFERROR(__xludf.DUMMYFUNCTION("""COMPUTED_VALUE"""),248)</f>
        <v>248</v>
      </c>
      <c r="C252" t="str">
        <f ca="1">IFERROR(__xludf.DUMMYFUNCTION("""COMPUTED_VALUE"""),"Richy Werenski")</f>
        <v>Richy Werenski</v>
      </c>
      <c r="D252">
        <f ca="1">IFERROR(__xludf.DUMMYFUNCTION("""COMPUTED_VALUE"""),16)</f>
        <v>16</v>
      </c>
      <c r="E252">
        <f ca="1">IFERROR(__xludf.DUMMYFUNCTION("""COMPUTED_VALUE"""),31.6)</f>
        <v>31.6</v>
      </c>
      <c r="F252" s="2">
        <f ca="1">IFERROR(__xludf.DUMMYFUNCTION("""COMPUTED_VALUE"""),55692)</f>
        <v>55692</v>
      </c>
      <c r="G252">
        <f ca="1">IFERROR(__xludf.DUMMYFUNCTION("""COMPUTED_VALUE"""),49)</f>
        <v>49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IFERROR(__xludf.DUMMYFUNCTION("""COMPUTED_VALUE"""),250)</f>
        <v>250</v>
      </c>
      <c r="C253" t="str">
        <f ca="1">IFERROR(__xludf.DUMMYFUNCTION("""COMPUTED_VALUE"""),"Renato Paratore")</f>
        <v>Renato Paratore</v>
      </c>
      <c r="D253">
        <f ca="1">IFERROR(__xludf.DUMMYFUNCTION("""COMPUTED_VALUE"""),4)</f>
        <v>4</v>
      </c>
      <c r="E253">
        <f ca="1">IFERROR(__xludf.DUMMYFUNCTION("""COMPUTED_VALUE"""),31.8)</f>
        <v>31.8</v>
      </c>
      <c r="F253" s="2">
        <f ca="1">IFERROR(__xludf.DUMMYFUNCTION("""COMPUTED_VALUE"""),6873)</f>
        <v>6873</v>
      </c>
      <c r="G253">
        <f ca="1">IFERROR(__xludf.DUMMYFUNCTION("""COMPUTED_VALUE"""),6)</f>
        <v>6</v>
      </c>
    </row>
    <row r="254" spans="1:7" ht="12.75">
      <c r="A254">
        <f ca="1">IFERROR(__xludf.DUMMYFUNCTION("""COMPUTED_VALUE"""),253)</f>
        <v>253</v>
      </c>
      <c r="B254" t="str">
        <f ca="1">IFERROR(__xludf.DUMMYFUNCTION("""COMPUTED_VALUE"""),"T251")</f>
        <v>T251</v>
      </c>
      <c r="C254" t="str">
        <f ca="1">IFERROR(__xludf.DUMMYFUNCTION("""COMPUTED_VALUE"""),"Thomas Detry")</f>
        <v>Thomas Detry</v>
      </c>
      <c r="D254">
        <f ca="1">IFERROR(__xludf.DUMMYFUNCTION("""COMPUTED_VALUE"""),8)</f>
        <v>8</v>
      </c>
      <c r="E254">
        <f ca="1">IFERROR(__xludf.DUMMYFUNCTION("""COMPUTED_VALUE"""),32.2)</f>
        <v>32.200000000000003</v>
      </c>
      <c r="F254" s="2">
        <f ca="1">IFERROR(__xludf.DUMMYFUNCTION("""COMPUTED_VALUE"""),5801)</f>
        <v>5801</v>
      </c>
      <c r="G254">
        <f ca="1">IFERROR(__xludf.DUMMYFUNCTION("""COMPUTED_VALUE"""),5)</f>
        <v>5</v>
      </c>
    </row>
    <row r="255" spans="1:7" ht="12.75">
      <c r="A255">
        <f ca="1">IFERROR(__xludf.DUMMYFUNCTION("""COMPUTED_VALUE"""),254)</f>
        <v>254</v>
      </c>
      <c r="B255" t="str">
        <f ca="1">IFERROR(__xludf.DUMMYFUNCTION("""COMPUTED_VALUE"""),"T258")</f>
        <v>T258</v>
      </c>
      <c r="C255" t="str">
        <f ca="1">IFERROR(__xludf.DUMMYFUNCTION("""COMPUTED_VALUE"""),"Vaughn Taylor")</f>
        <v>Vaughn Taylor</v>
      </c>
      <c r="D255">
        <f ca="1">IFERROR(__xludf.DUMMYFUNCTION("""COMPUTED_VALUE"""),12)</f>
        <v>12</v>
      </c>
      <c r="E255">
        <f ca="1">IFERROR(__xludf.DUMMYFUNCTION("""COMPUTED_VALUE"""),32.3)</f>
        <v>32.299999999999997</v>
      </c>
      <c r="F255" s="2">
        <f ca="1">IFERROR(__xludf.DUMMYFUNCTION("""COMPUTED_VALUE"""),9308)</f>
        <v>9308</v>
      </c>
      <c r="G255">
        <f ca="1">IFERROR(__xludf.DUMMYFUNCTION("""COMPUTED_VALUE"""),8)</f>
        <v>8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IFERROR(__xludf.DUMMYFUNCTION("""COMPUTED_VALUE"""),253)</f>
        <v>253</v>
      </c>
      <c r="C256" t="str">
        <f ca="1">IFERROR(__xludf.DUMMYFUNCTION("""COMPUTED_VALUE"""),"Romain Langasque")</f>
        <v>Romain Langasque</v>
      </c>
      <c r="D256">
        <f ca="1">IFERROR(__xludf.DUMMYFUNCTION("""COMPUTED_VALUE"""),4)</f>
        <v>4</v>
      </c>
      <c r="E256">
        <f ca="1">IFERROR(__xludf.DUMMYFUNCTION("""COMPUTED_VALUE"""),32.4)</f>
        <v>32.4</v>
      </c>
      <c r="F256" s="2">
        <f ca="1">IFERROR(__xludf.DUMMYFUNCTION("""COMPUTED_VALUE"""),5834)</f>
        <v>5834</v>
      </c>
      <c r="G256">
        <f ca="1">IFERROR(__xludf.DUMMYFUNCTION("""COMPUTED_VALUE"""),5)</f>
        <v>5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IFERROR(__xludf.DUMMYFUNCTION("""COMPUTED_VALUE"""),249)</f>
        <v>249</v>
      </c>
      <c r="C257" t="str">
        <f ca="1">IFERROR(__xludf.DUMMYFUNCTION("""COMPUTED_VALUE"""),"Fabián Gómez")</f>
        <v>Fabián Gómez</v>
      </c>
      <c r="D257">
        <f ca="1">IFERROR(__xludf.DUMMYFUNCTION("""COMPUTED_VALUE"""),16)</f>
        <v>16</v>
      </c>
      <c r="E257">
        <f ca="1">IFERROR(__xludf.DUMMYFUNCTION("""COMPUTED_VALUE"""),32.5)</f>
        <v>32.5</v>
      </c>
      <c r="F257" s="2">
        <f ca="1">IFERROR(__xludf.DUMMYFUNCTION("""COMPUTED_VALUE"""),19877)</f>
        <v>19877</v>
      </c>
      <c r="G257">
        <f ca="1">IFERROR(__xludf.DUMMYFUNCTION("""COMPUTED_VALUE"""),17)</f>
        <v>17</v>
      </c>
    </row>
    <row r="258" spans="1:7" ht="12.75">
      <c r="A258" t="str">
        <f ca="1">IFERROR(__xludf.DUMMYFUNCTION("""COMPUTED_VALUE"""),"T257")</f>
        <v>T257</v>
      </c>
      <c r="B258">
        <f ca="1">IFERROR(__xludf.DUMMYFUNCTION("""COMPUTED_VALUE"""),182)</f>
        <v>182</v>
      </c>
      <c r="C258" t="str">
        <f ca="1">IFERROR(__xludf.DUMMYFUNCTION("""COMPUTED_VALUE"""),"Dustin Johnson")</f>
        <v>Dustin Johnson</v>
      </c>
      <c r="D258">
        <f ca="1">IFERROR(__xludf.DUMMYFUNCTION("""COMPUTED_VALUE"""),8)</f>
        <v>8</v>
      </c>
      <c r="E258">
        <f ca="1">IFERROR(__xludf.DUMMYFUNCTION("""COMPUTED_VALUE"""),32.6)</f>
        <v>32.6</v>
      </c>
      <c r="F258" s="2">
        <f ca="1">IFERROR(__xludf.DUMMYFUNCTION("""COMPUTED_VALUE"""),19928)</f>
        <v>19928</v>
      </c>
      <c r="G258">
        <f ca="1">IFERROR(__xludf.DUMMYFUNCTION("""COMPUTED_VALUE"""),17)</f>
        <v>17</v>
      </c>
    </row>
    <row r="259" spans="1:7" ht="12.75">
      <c r="A259" t="str">
        <f ca="1">IFERROR(__xludf.DUMMYFUNCTION("""COMPUTED_VALUE"""),"T257")</f>
        <v>T257</v>
      </c>
      <c r="B259">
        <f ca="1">IFERROR(__xludf.DUMMYFUNCTION("""COMPUTED_VALUE"""),254)</f>
        <v>254</v>
      </c>
      <c r="C259" t="str">
        <f ca="1">IFERROR(__xludf.DUMMYFUNCTION("""COMPUTED_VALUE"""),"Luke Schniederjans")</f>
        <v>Luke Schniederjans</v>
      </c>
      <c r="D259">
        <f ca="1">IFERROR(__xludf.DUMMYFUNCTION("""COMPUTED_VALUE"""),4)</f>
        <v>4</v>
      </c>
      <c r="E259">
        <f ca="1">IFERROR(__xludf.DUMMYFUNCTION("""COMPUTED_VALUE"""),32.6)</f>
        <v>32.6</v>
      </c>
      <c r="F259" s="2">
        <f ca="1">IFERROR(__xludf.DUMMYFUNCTION("""COMPUTED_VALUE"""),4699)</f>
        <v>4699</v>
      </c>
      <c r="G259">
        <f ca="1">IFERROR(__xludf.DUMMYFUNCTION("""COMPUTED_VALUE"""),4)</f>
        <v>4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IFERROR(__xludf.DUMMYFUNCTION("""COMPUTED_VALUE"""),255)</f>
        <v>255</v>
      </c>
      <c r="C260" t="str">
        <f ca="1">IFERROR(__xludf.DUMMYFUNCTION("""COMPUTED_VALUE"""),"Rickie Fowler")</f>
        <v>Rickie Fowler</v>
      </c>
      <c r="D260">
        <f ca="1">IFERROR(__xludf.DUMMYFUNCTION("""COMPUTED_VALUE"""),14)</f>
        <v>14</v>
      </c>
      <c r="E260">
        <f ca="1">IFERROR(__xludf.DUMMYFUNCTION("""COMPUTED_VALUE"""),32.8)</f>
        <v>32.799999999999997</v>
      </c>
      <c r="F260" s="2">
        <f ca="1">IFERROR(__xludf.DUMMYFUNCTION("""COMPUTED_VALUE"""),46076)</f>
        <v>46076</v>
      </c>
      <c r="G260">
        <f ca="1">IFERROR(__xludf.DUMMYFUNCTION("""COMPUTED_VALUE"""),39)</f>
        <v>39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IFERROR(__xludf.DUMMYFUNCTION("""COMPUTED_VALUE"""),256)</f>
        <v>256</v>
      </c>
      <c r="C261" t="str">
        <f ca="1">IFERROR(__xludf.DUMMYFUNCTION("""COMPUTED_VALUE"""),"Joohyung Kim")</f>
        <v>Joohyung Kim</v>
      </c>
      <c r="D261">
        <f ca="1">IFERROR(__xludf.DUMMYFUNCTION("""COMPUTED_VALUE"""),12)</f>
        <v>12</v>
      </c>
      <c r="E261">
        <f ca="1">IFERROR(__xludf.DUMMYFUNCTION("""COMPUTED_VALUE"""),32.9)</f>
        <v>32.9</v>
      </c>
      <c r="F261" s="2">
        <f ca="1">IFERROR(__xludf.DUMMYFUNCTION("""COMPUTED_VALUE"""),20159)</f>
        <v>20159</v>
      </c>
      <c r="G261">
        <f ca="1">IFERROR(__xludf.DUMMYFUNCTION("""COMPUTED_VALUE"""),17)</f>
        <v>17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IFERROR(__xludf.DUMMYFUNCTION("""COMPUTED_VALUE"""),257)</f>
        <v>257</v>
      </c>
      <c r="C262" t="str">
        <f ca="1">IFERROR(__xludf.DUMMYFUNCTION("""COMPUTED_VALUE"""),"Brendon Todd")</f>
        <v>Brendon Todd</v>
      </c>
      <c r="D262">
        <f ca="1">IFERROR(__xludf.DUMMYFUNCTION("""COMPUTED_VALUE"""),14)</f>
        <v>14</v>
      </c>
      <c r="E262">
        <f ca="1">IFERROR(__xludf.DUMMYFUNCTION("""COMPUTED_VALUE"""),33.4)</f>
        <v>33.4</v>
      </c>
      <c r="F262" s="2">
        <f ca="1">IFERROR(__xludf.DUMMYFUNCTION("""COMPUTED_VALUE"""),34921)</f>
        <v>34921</v>
      </c>
      <c r="G262">
        <f ca="1">IFERROR(__xludf.DUMMYFUNCTION("""COMPUTED_VALUE"""),29)</f>
        <v>29</v>
      </c>
    </row>
    <row r="263" spans="1:7" ht="12.75">
      <c r="A263">
        <f ca="1">IFERROR(__xludf.DUMMYFUNCTION("""COMPUTED_VALUE"""),262)</f>
        <v>262</v>
      </c>
      <c r="B263" t="str">
        <f ca="1">IFERROR(__xludf.DUMMYFUNCTION("""COMPUTED_VALUE"""),"T258")</f>
        <v>T258</v>
      </c>
      <c r="C263" t="str">
        <f ca="1">IFERROR(__xludf.DUMMYFUNCTION("""COMPUTED_VALUE"""),"Brad Kennedy")</f>
        <v>Brad Kennedy</v>
      </c>
      <c r="D263">
        <f ca="1">IFERROR(__xludf.DUMMYFUNCTION("""COMPUTED_VALUE"""),4)</f>
        <v>4</v>
      </c>
      <c r="E263">
        <f ca="1">IFERROR(__xludf.DUMMYFUNCTION("""COMPUTED_VALUE"""),34.4)</f>
        <v>34.4</v>
      </c>
      <c r="F263" s="2">
        <f ca="1">IFERROR(__xludf.DUMMYFUNCTION("""COMPUTED_VALUE"""),6185)</f>
        <v>6185</v>
      </c>
      <c r="G263">
        <f ca="1">IFERROR(__xludf.DUMMYFUNCTION("""COMPUTED_VALUE"""),5)</f>
        <v>5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IFERROR(__xludf.DUMMYFUNCTION("""COMPUTED_VALUE"""),260)</f>
        <v>260</v>
      </c>
      <c r="C264" t="str">
        <f ca="1">IFERROR(__xludf.DUMMYFUNCTION("""COMPUTED_VALUE"""),"Zac Blair")</f>
        <v>Zac Blair</v>
      </c>
      <c r="D264">
        <f ca="1">IFERROR(__xludf.DUMMYFUNCTION("""COMPUTED_VALUE"""),10)</f>
        <v>10</v>
      </c>
      <c r="E264">
        <f ca="1">IFERROR(__xludf.DUMMYFUNCTION("""COMPUTED_VALUE"""),34.8)</f>
        <v>34.799999999999997</v>
      </c>
      <c r="F264" s="2">
        <f ca="1">IFERROR(__xludf.DUMMYFUNCTION("""COMPUTED_VALUE"""),10022)</f>
        <v>10022</v>
      </c>
      <c r="G264">
        <f ca="1">IFERROR(__xludf.DUMMYFUNCTION("""COMPUTED_VALUE"""),8)</f>
        <v>8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IFERROR(__xludf.DUMMYFUNCTION("""COMPUTED_VALUE"""),261)</f>
        <v>261</v>
      </c>
      <c r="C265" t="str">
        <f ca="1">IFERROR(__xludf.DUMMYFUNCTION("""COMPUTED_VALUE"""),"K.J. Choi")</f>
        <v>K.J. Choi</v>
      </c>
      <c r="D265">
        <f ca="1">IFERROR(__xludf.DUMMYFUNCTION("""COMPUTED_VALUE"""),6)</f>
        <v>6</v>
      </c>
      <c r="E265">
        <f ca="1">IFERROR(__xludf.DUMMYFUNCTION("""COMPUTED_VALUE"""),35.4)</f>
        <v>35.4</v>
      </c>
      <c r="F265" s="2">
        <f ca="1">IFERROR(__xludf.DUMMYFUNCTION("""COMPUTED_VALUE"""),7648)</f>
        <v>7648</v>
      </c>
      <c r="G265">
        <f ca="1">IFERROR(__xludf.DUMMYFUNCTION("""COMPUTED_VALUE"""),6)</f>
        <v>6</v>
      </c>
    </row>
    <row r="266" spans="1:7" ht="12.75">
      <c r="A266" t="str">
        <f ca="1">IFERROR(__xludf.DUMMYFUNCTION("""COMPUTED_VALUE"""),"T265")</f>
        <v>T265</v>
      </c>
      <c r="B266" t="str">
        <f ca="1">IFERROR(__xludf.DUMMYFUNCTION("""COMPUTED_VALUE"""),"T262")</f>
        <v>T262</v>
      </c>
      <c r="C266" t="str">
        <f ca="1">IFERROR(__xludf.DUMMYFUNCTION("""COMPUTED_VALUE"""),"Jay McLuen")</f>
        <v>Jay McLuen</v>
      </c>
      <c r="D266">
        <f ca="1">IFERROR(__xludf.DUMMYFUNCTION("""COMPUTED_VALUE"""),4)</f>
        <v>4</v>
      </c>
      <c r="E266">
        <f ca="1">IFERROR(__xludf.DUMMYFUNCTION("""COMPUTED_VALUE"""),35.8)</f>
        <v>35.799999999999997</v>
      </c>
      <c r="F266" s="2">
        <f ca="1">IFERROR(__xludf.DUMMYFUNCTION("""COMPUTED_VALUE"""),7734)</f>
        <v>7734</v>
      </c>
      <c r="G266">
        <f ca="1">IFERROR(__xludf.DUMMYFUNCTION("""COMPUTED_VALUE"""),6)</f>
        <v>6</v>
      </c>
    </row>
    <row r="267" spans="1:7" ht="12.75">
      <c r="A267" t="str">
        <f ca="1">IFERROR(__xludf.DUMMYFUNCTION("""COMPUTED_VALUE"""),"T265")</f>
        <v>T265</v>
      </c>
      <c r="B267" t="str">
        <f ca="1">IFERROR(__xludf.DUMMYFUNCTION("""COMPUTED_VALUE"""),"T262")</f>
        <v>T262</v>
      </c>
      <c r="C267" t="str">
        <f ca="1">IFERROR(__xludf.DUMMYFUNCTION("""COMPUTED_VALUE"""),"Tae Hee Lee")</f>
        <v>Tae Hee Lee</v>
      </c>
      <c r="D267">
        <f ca="1">IFERROR(__xludf.DUMMYFUNCTION("""COMPUTED_VALUE"""),4)</f>
        <v>4</v>
      </c>
      <c r="E267">
        <f ca="1">IFERROR(__xludf.DUMMYFUNCTION("""COMPUTED_VALUE"""),35.8)</f>
        <v>35.799999999999997</v>
      </c>
      <c r="F267" s="2">
        <f ca="1">IFERROR(__xludf.DUMMYFUNCTION("""COMPUTED_VALUE"""),14180)</f>
        <v>14180</v>
      </c>
      <c r="G267">
        <f ca="1">IFERROR(__xludf.DUMMYFUNCTION("""COMPUTED_VALUE"""),11)</f>
        <v>11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IFERROR(__xludf.DUMMYFUNCTION("""COMPUTED_VALUE"""),247)</f>
        <v>247</v>
      </c>
      <c r="C268" t="str">
        <f ca="1">IFERROR(__xludf.DUMMYFUNCTION("""COMPUTED_VALUE"""),"Martin Trainer")</f>
        <v>Martin Trainer</v>
      </c>
      <c r="D268">
        <f ca="1">IFERROR(__xludf.DUMMYFUNCTION("""COMPUTED_VALUE"""),10)</f>
        <v>10</v>
      </c>
      <c r="E268">
        <f ca="1">IFERROR(__xludf.DUMMYFUNCTION("""COMPUTED_VALUE"""),36.1)</f>
        <v>36.1</v>
      </c>
      <c r="F268" s="2">
        <f ca="1">IFERROR(__xludf.DUMMYFUNCTION("""COMPUTED_VALUE"""),24675)</f>
        <v>24675</v>
      </c>
      <c r="G268">
        <f ca="1">IFERROR(__xludf.DUMMYFUNCTION("""COMPUTED_VALUE"""),19)</f>
        <v>19</v>
      </c>
    </row>
    <row r="269" spans="1:7" ht="12.75">
      <c r="A269" t="str">
        <f ca="1">IFERROR(__xludf.DUMMYFUNCTION("""COMPUTED_VALUE"""),"T268")</f>
        <v>T268</v>
      </c>
      <c r="B269">
        <f ca="1">IFERROR(__xludf.DUMMYFUNCTION("""COMPUTED_VALUE"""),264)</f>
        <v>264</v>
      </c>
      <c r="C269" t="str">
        <f ca="1">IFERROR(__xludf.DUMMYFUNCTION("""COMPUTED_VALUE"""),"Steve Lewton")</f>
        <v>Steve Lewton</v>
      </c>
      <c r="D269">
        <f ca="1">IFERROR(__xludf.DUMMYFUNCTION("""COMPUTED_VALUE"""),4)</f>
        <v>4</v>
      </c>
      <c r="E269">
        <f ca="1">IFERROR(__xludf.DUMMYFUNCTION("""COMPUTED_VALUE"""),36.5)</f>
        <v>36.5</v>
      </c>
      <c r="F269" s="2">
        <f ca="1">IFERROR(__xludf.DUMMYFUNCTION("""COMPUTED_VALUE"""),11823)</f>
        <v>11823</v>
      </c>
      <c r="G269">
        <f ca="1">IFERROR(__xludf.DUMMYFUNCTION("""COMPUTED_VALUE"""),9)</f>
        <v>9</v>
      </c>
    </row>
    <row r="270" spans="1:7" ht="12.75">
      <c r="A270" t="str">
        <f ca="1">IFERROR(__xludf.DUMMYFUNCTION("""COMPUTED_VALUE"""),"T268")</f>
        <v>T268</v>
      </c>
      <c r="B270">
        <f ca="1">IFERROR(__xludf.DUMMYFUNCTION("""COMPUTED_VALUE"""),244)</f>
        <v>244</v>
      </c>
      <c r="C270" t="str">
        <f ca="1">IFERROR(__xludf.DUMMYFUNCTION("""COMPUTED_VALUE"""),"Satoshi Kodaira")</f>
        <v>Satoshi Kodaira</v>
      </c>
      <c r="D270">
        <f ca="1">IFERROR(__xludf.DUMMYFUNCTION("""COMPUTED_VALUE"""),12)</f>
        <v>12</v>
      </c>
      <c r="E270">
        <f ca="1">IFERROR(__xludf.DUMMYFUNCTION("""COMPUTED_VALUE"""),36.5)</f>
        <v>36.5</v>
      </c>
      <c r="F270" s="2">
        <f ca="1">IFERROR(__xludf.DUMMYFUNCTION("""COMPUTED_VALUE"""),31579)</f>
        <v>31579</v>
      </c>
      <c r="G270">
        <f ca="1">IFERROR(__xludf.DUMMYFUNCTION("""COMPUTED_VALUE"""),24)</f>
        <v>24</v>
      </c>
    </row>
    <row r="271" spans="1:7" ht="12.75">
      <c r="A271">
        <f ca="1">IFERROR(__xludf.DUMMYFUNCTION("""COMPUTED_VALUE"""),270)</f>
        <v>270</v>
      </c>
      <c r="B271" t="str">
        <f ca="1">IFERROR(__xludf.DUMMYFUNCTION("""COMPUTED_VALUE"""),"T251")</f>
        <v>T251</v>
      </c>
      <c r="C271" t="str">
        <f ca="1">IFERROR(__xludf.DUMMYFUNCTION("""COMPUTED_VALUE"""),"Chris Kirk")</f>
        <v>Chris Kirk</v>
      </c>
      <c r="D271">
        <f ca="1">IFERROR(__xludf.DUMMYFUNCTION("""COMPUTED_VALUE"""),10)</f>
        <v>10</v>
      </c>
      <c r="E271">
        <f ca="1">IFERROR(__xludf.DUMMYFUNCTION("""COMPUTED_VALUE"""),37.6)</f>
        <v>37.6</v>
      </c>
      <c r="F271" s="2">
        <f ca="1">IFERROR(__xludf.DUMMYFUNCTION("""COMPUTED_VALUE"""),16259)</f>
        <v>16259</v>
      </c>
      <c r="G271">
        <f ca="1">IFERROR(__xludf.DUMMYFUNCTION("""COMPUTED_VALUE"""),12)</f>
        <v>12</v>
      </c>
    </row>
    <row r="272" spans="1:7" ht="12.75">
      <c r="A272" t="str">
        <f ca="1">IFERROR(__xludf.DUMMYFUNCTION("""COMPUTED_VALUE"""),"T271")</f>
        <v>T271</v>
      </c>
      <c r="B272">
        <f ca="1">IFERROR(__xludf.DUMMYFUNCTION("""COMPUTED_VALUE"""),265)</f>
        <v>265</v>
      </c>
      <c r="C272" t="str">
        <f ca="1">IFERROR(__xludf.DUMMYFUNCTION("""COMPUTED_VALUE"""),"Parker McLachlin")</f>
        <v>Parker McLachlin</v>
      </c>
      <c r="D272">
        <f ca="1">IFERROR(__xludf.DUMMYFUNCTION("""COMPUTED_VALUE"""),4)</f>
        <v>4</v>
      </c>
      <c r="E272">
        <f ca="1">IFERROR(__xludf.DUMMYFUNCTION("""COMPUTED_VALUE"""),38.4)</f>
        <v>38.4</v>
      </c>
      <c r="F272" s="2">
        <f ca="1">IFERROR(__xludf.DUMMYFUNCTION("""COMPUTED_VALUE"""),1384)</f>
        <v>1384</v>
      </c>
      <c r="G272">
        <f ca="1">IFERROR(__xludf.DUMMYFUNCTION("""COMPUTED_VALUE"""),1)</f>
        <v>1</v>
      </c>
    </row>
    <row r="273" spans="1:7" ht="12.75">
      <c r="A273" t="str">
        <f ca="1">IFERROR(__xludf.DUMMYFUNCTION("""COMPUTED_VALUE"""),"T271")</f>
        <v>T271</v>
      </c>
      <c r="B273">
        <f ca="1">IFERROR(__xludf.DUMMYFUNCTION("""COMPUTED_VALUE"""),267)</f>
        <v>267</v>
      </c>
      <c r="C273" t="str">
        <f ca="1">IFERROR(__xludf.DUMMYFUNCTION("""COMPUTED_VALUE"""),"D.A. Points")</f>
        <v>D.A. Points</v>
      </c>
      <c r="D273">
        <f ca="1">IFERROR(__xludf.DUMMYFUNCTION("""COMPUTED_VALUE"""),12)</f>
        <v>12</v>
      </c>
      <c r="E273">
        <f ca="1">IFERROR(__xludf.DUMMYFUNCTION("""COMPUTED_VALUE"""),38.4)</f>
        <v>38.4</v>
      </c>
      <c r="F273" s="2">
        <f ca="1">IFERROR(__xludf.DUMMYFUNCTION("""COMPUTED_VALUE"""),13819)</f>
        <v>13819</v>
      </c>
      <c r="G273">
        <f ca="1">IFERROR(__xludf.DUMMYFUNCTION("""COMPUTED_VALUE"""),10)</f>
        <v>10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IFERROR(__xludf.DUMMYFUNCTION("""COMPUTED_VALUE"""),"Ryan Armour")</f>
        <v>Ryan Armour</v>
      </c>
      <c r="D274">
        <f ca="1">IFERROR(__xludf.DUMMYFUNCTION("""COMPUTED_VALUE"""),16)</f>
        <v>16</v>
      </c>
      <c r="E274">
        <f ca="1">IFERROR(__xludf.DUMMYFUNCTION("""COMPUTED_VALUE"""),38.5)</f>
        <v>38.5</v>
      </c>
      <c r="F274" s="2">
        <f ca="1">IFERROR(__xludf.DUMMYFUNCTION("""COMPUTED_VALUE"""),9692)</f>
        <v>9692</v>
      </c>
      <c r="G274">
        <f ca="1">IFERROR(__xludf.DUMMYFUNCTION("""COMPUTED_VALUE"""),7)</f>
        <v>7</v>
      </c>
    </row>
    <row r="275" spans="1:7" ht="12.75">
      <c r="A275">
        <f ca="1">IFERROR(__xludf.DUMMYFUNCTION("""COMPUTED_VALUE"""),274)</f>
        <v>274</v>
      </c>
      <c r="B275" t="str">
        <f ca="1">IFERROR(__xludf.DUMMYFUNCTION("""COMPUTED_VALUE"""),"")</f>
        <v/>
      </c>
      <c r="C275" t="str">
        <f ca="1">IFERROR(__xludf.DUMMYFUNCTION("""COMPUTED_VALUE"""),"Greg Chalmers")</f>
        <v>Greg Chalmers</v>
      </c>
      <c r="D275">
        <f ca="1">IFERROR(__xludf.DUMMYFUNCTION("""COMPUTED_VALUE"""),6)</f>
        <v>6</v>
      </c>
      <c r="E275">
        <f ca="1">IFERROR(__xludf.DUMMYFUNCTION("""COMPUTED_VALUE"""),43.2)</f>
        <v>43.2</v>
      </c>
      <c r="F275" s="2">
        <f ca="1">IFERROR(__xludf.DUMMYFUNCTION("""COMPUTED_VALUE"""),13993)</f>
        <v>13993</v>
      </c>
      <c r="G275">
        <f ca="1">IFERROR(__xludf.DUMMYFUNCTION("""COMPUTED_VALUE"""),9)</f>
        <v>9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IFERROR(__xludf.DUMMYFUNCTION("""COMPUTED_VALUE"""),"Danny Willett")</f>
        <v>Danny Willett</v>
      </c>
      <c r="D276">
        <f ca="1">IFERROR(__xludf.DUMMYFUNCTION("""COMPUTED_VALUE"""),7)</f>
        <v>7</v>
      </c>
      <c r="E276">
        <f ca="1">IFERROR(__xludf.DUMMYFUNCTION("""COMPUTED_VALUE"""),48.7)</f>
        <v>48.7</v>
      </c>
      <c r="F276" s="2">
        <f ca="1">IFERROR(__xludf.DUMMYFUNCTION("""COMPUTED_VALUE"""),1753)</f>
        <v>1753</v>
      </c>
      <c r="G276">
        <f ca="1">IFERROR(__xludf.DUMMYFUNCTION("""COMPUTED_VALUE"""),1)</f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IFERROR(__xludf.DUMMYFUNCTION("importhtml(""http://www.pgatour.com/stats/stat.02430.html"",""table"",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DIST AFTER TEE SHOT")</f>
        <v>TOTAL DIST AFTER TEE SHOT</v>
      </c>
      <c r="G1" t="str">
        <f ca="1">IFERROR(__xludf.DUMMYFUNCTION("""COMPUTED_VALUE"""),"TOTAL TEE SHOTS")</f>
        <v>TOTAL TEE SHOTS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IFERROR(__xludf.DUMMYFUNCTION("""COMPUTED_VALUE"""),"Ryan Brehm")</f>
        <v>Ryan Brehm</v>
      </c>
      <c r="D2">
        <f ca="1">IFERROR(__xludf.DUMMYFUNCTION("""COMPUTED_VALUE"""),10)</f>
        <v>10</v>
      </c>
      <c r="E2">
        <f ca="1">IFERROR(__xludf.DUMMYFUNCTION("""COMPUTED_VALUE"""),135.9)</f>
        <v>135.9</v>
      </c>
      <c r="F2" s="2">
        <f ca="1">IFERROR(__xludf.DUMMYFUNCTION("""COMPUTED_VALUE"""),132134)</f>
        <v>132134</v>
      </c>
      <c r="G2">
        <f ca="1">IFERROR(__xludf.DUMMYFUNCTION("""COMPUTED_VALUE"""),27)</f>
        <v>27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IFERROR(__xludf.DUMMYFUNCTION("""COMPUTED_VALUE"""),"Bryson DeChambeau")</f>
        <v>Bryson DeChambeau</v>
      </c>
      <c r="D3">
        <f ca="1">IFERROR(__xludf.DUMMYFUNCTION("""COMPUTED_VALUE"""),8)</f>
        <v>8</v>
      </c>
      <c r="E3">
        <f ca="1">IFERROR(__xludf.DUMMYFUNCTION("""COMPUTED_VALUE"""),140.1)</f>
        <v>140.1</v>
      </c>
      <c r="F3" s="2">
        <f ca="1">IFERROR(__xludf.DUMMYFUNCTION("""COMPUTED_VALUE"""),554741)</f>
        <v>554741</v>
      </c>
      <c r="G3">
        <f ca="1">IFERROR(__xludf.DUMMYFUNCTION("""COMPUTED_VALUE"""),110)</f>
        <v>110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IFERROR(__xludf.DUMMYFUNCTION("""COMPUTED_VALUE"""),"Justin Suh")</f>
        <v>Justin Suh</v>
      </c>
      <c r="D4">
        <f ca="1">IFERROR(__xludf.DUMMYFUNCTION("""COMPUTED_VALUE"""),10)</f>
        <v>10</v>
      </c>
      <c r="E4">
        <f ca="1">IFERROR(__xludf.DUMMYFUNCTION("""COMPUTED_VALUE"""),147.5)</f>
        <v>147.5</v>
      </c>
      <c r="F4" s="2">
        <f ca="1">IFERROR(__xludf.DUMMYFUNCTION("""COMPUTED_VALUE"""),292067)</f>
        <v>292067</v>
      </c>
      <c r="G4">
        <f ca="1">IFERROR(__xludf.DUMMYFUNCTION("""COMPUTED_VALUE"""),55)</f>
        <v>55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IFERROR(__xludf.DUMMYFUNCTION("""COMPUTED_VALUE"""),6)</f>
        <v>6</v>
      </c>
      <c r="C5" t="str">
        <f ca="1">IFERROR(__xludf.DUMMYFUNCTION("""COMPUTED_VALUE"""),"George Markham")</f>
        <v>George Markham</v>
      </c>
      <c r="D5">
        <f ca="1">IFERROR(__xludf.DUMMYFUNCTION("""COMPUTED_VALUE"""),4)</f>
        <v>4</v>
      </c>
      <c r="E5">
        <f ca="1">IFERROR(__xludf.DUMMYFUNCTION("""COMPUTED_VALUE"""),152.1)</f>
        <v>152.1</v>
      </c>
      <c r="F5" s="2">
        <f ca="1">IFERROR(__xludf.DUMMYFUNCTION("""COMPUTED_VALUE"""),306710)</f>
        <v>306710</v>
      </c>
      <c r="G5">
        <f ca="1">IFERROR(__xludf.DUMMYFUNCTION("""COMPUTED_VALUE"""),56)</f>
        <v>56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IFERROR(__xludf.DUMMYFUNCTION("""COMPUTED_VALUE"""),7)</f>
        <v>7</v>
      </c>
      <c r="C6" t="str">
        <f ca="1">IFERROR(__xludf.DUMMYFUNCTION("""COMPUTED_VALUE"""),"Joseph Bramlett")</f>
        <v>Joseph Bramlett</v>
      </c>
      <c r="D6">
        <f ca="1">IFERROR(__xludf.DUMMYFUNCTION("""COMPUTED_VALUE"""),18)</f>
        <v>18</v>
      </c>
      <c r="E6">
        <f ca="1">IFERROR(__xludf.DUMMYFUNCTION("""COMPUTED_VALUE"""),152.7)</f>
        <v>152.69999999999999</v>
      </c>
      <c r="F6" s="2">
        <f ca="1">IFERROR(__xludf.DUMMYFUNCTION("""COMPUTED_VALUE"""),758477)</f>
        <v>758477</v>
      </c>
      <c r="G6">
        <f ca="1">IFERROR(__xludf.DUMMYFUNCTION("""COMPUTED_VALUE"""),138)</f>
        <v>138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IFERROR(__xludf.DUMMYFUNCTION("""COMPUTED_VALUE"""),9)</f>
        <v>9</v>
      </c>
      <c r="C7" t="str">
        <f ca="1">IFERROR(__xludf.DUMMYFUNCTION("""COMPUTED_VALUE"""),"Brandon Hagy")</f>
        <v>Brandon Hagy</v>
      </c>
      <c r="D7">
        <f ca="1">IFERROR(__xludf.DUMMYFUNCTION("""COMPUTED_VALUE"""),10)</f>
        <v>10</v>
      </c>
      <c r="E7">
        <f ca="1">IFERROR(__xludf.DUMMYFUNCTION("""COMPUTED_VALUE"""),154.2)</f>
        <v>154.19999999999999</v>
      </c>
      <c r="F7" s="2">
        <f ca="1">IFERROR(__xludf.DUMMYFUNCTION("""COMPUTED_VALUE"""),455278)</f>
        <v>455278</v>
      </c>
      <c r="G7">
        <f ca="1">IFERROR(__xludf.DUMMYFUNCTION("""COMPUTED_VALUE"""),82)</f>
        <v>82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IFERROR(__xludf.DUMMYFUNCTION("""COMPUTED_VALUE"""),4)</f>
        <v>4</v>
      </c>
      <c r="C8" t="str">
        <f ca="1">IFERROR(__xludf.DUMMYFUNCTION("""COMPUTED_VALUE"""),"Sam Burns")</f>
        <v>Sam Burns</v>
      </c>
      <c r="D8">
        <f ca="1">IFERROR(__xludf.DUMMYFUNCTION("""COMPUTED_VALUE"""),18)</f>
        <v>18</v>
      </c>
      <c r="E8">
        <f ca="1">IFERROR(__xludf.DUMMYFUNCTION("""COMPUTED_VALUE"""),155.2)</f>
        <v>155.19999999999999</v>
      </c>
      <c r="F8" s="2">
        <f ca="1">IFERROR(__xludf.DUMMYFUNCTION("""COMPUTED_VALUE"""),1067086)</f>
        <v>1067086</v>
      </c>
      <c r="G8">
        <f ca="1">IFERROR(__xludf.DUMMYFUNCTION("""COMPUTED_VALUE"""),191)</f>
        <v>191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IFERROR(__xludf.DUMMYFUNCTION("""COMPUTED_VALUE"""),5)</f>
        <v>5</v>
      </c>
      <c r="C9" t="str">
        <f ca="1">IFERROR(__xludf.DUMMYFUNCTION("""COMPUTED_VALUE"""),"Wyndham Clark")</f>
        <v>Wyndham Clark</v>
      </c>
      <c r="D9">
        <f ca="1">IFERROR(__xludf.DUMMYFUNCTION("""COMPUTED_VALUE"""),16)</f>
        <v>16</v>
      </c>
      <c r="E9">
        <f ca="1">IFERROR(__xludf.DUMMYFUNCTION("""COMPUTED_VALUE"""),155.3)</f>
        <v>155.30000000000001</v>
      </c>
      <c r="F9" s="2">
        <f ca="1">IFERROR(__xludf.DUMMYFUNCTION("""COMPUTED_VALUE"""),917115)</f>
        <v>917115</v>
      </c>
      <c r="G9">
        <f ca="1">IFERROR(__xludf.DUMMYFUNCTION("""COMPUTED_VALUE"""),164)</f>
        <v>164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IFERROR(__xludf.DUMMYFUNCTION("""COMPUTED_VALUE"""),15)</f>
        <v>15</v>
      </c>
      <c r="C10" t="str">
        <f ca="1">IFERROR(__xludf.DUMMYFUNCTION("""COMPUTED_VALUE"""),"Zack Sucher")</f>
        <v>Zack Sucher</v>
      </c>
      <c r="D10">
        <f ca="1">IFERROR(__xludf.DUMMYFUNCTION("""COMPUTED_VALUE"""),6)</f>
        <v>6</v>
      </c>
      <c r="E10">
        <f ca="1">IFERROR(__xludf.DUMMYFUNCTION("""COMPUTED_VALUE"""),156.1)</f>
        <v>156.1</v>
      </c>
      <c r="F10" s="2">
        <f ca="1">IFERROR(__xludf.DUMMYFUNCTION("""COMPUTED_VALUE"""),151742)</f>
        <v>151742</v>
      </c>
      <c r="G10">
        <f ca="1">IFERROR(__xludf.DUMMYFUNCTION("""COMPUTED_VALUE"""),27)</f>
        <v>27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IFERROR(__xludf.DUMMYFUNCTION("""COMPUTED_VALUE"""),8)</f>
        <v>8</v>
      </c>
      <c r="C11" t="str">
        <f ca="1">IFERROR(__xludf.DUMMYFUNCTION("""COMPUTED_VALUE"""),"Beau Hossler")</f>
        <v>Beau Hossler</v>
      </c>
      <c r="D11">
        <f ca="1">IFERROR(__xludf.DUMMYFUNCTION("""COMPUTED_VALUE"""),22)</f>
        <v>22</v>
      </c>
      <c r="E11">
        <f ca="1">IFERROR(__xludf.DUMMYFUNCTION("""COMPUTED_VALUE"""),156.5)</f>
        <v>156.5</v>
      </c>
      <c r="F11" s="2">
        <f ca="1">IFERROR(__xludf.DUMMYFUNCTION("""COMPUTED_VALUE"""),1064896)</f>
        <v>1064896</v>
      </c>
      <c r="G11">
        <f ca="1">IFERROR(__xludf.DUMMYFUNCTION("""COMPUTED_VALUE"""),189)</f>
        <v>189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IFERROR(__xludf.DUMMYFUNCTION("""COMPUTED_VALUE"""),19)</f>
        <v>19</v>
      </c>
      <c r="C12" t="str">
        <f ca="1">IFERROR(__xludf.DUMMYFUNCTION("""COMPUTED_VALUE"""),"Tyler McCumber")</f>
        <v>Tyler McCumber</v>
      </c>
      <c r="D12">
        <f ca="1">IFERROR(__xludf.DUMMYFUNCTION("""COMPUTED_VALUE"""),14)</f>
        <v>14</v>
      </c>
      <c r="E12">
        <f ca="1">IFERROR(__xludf.DUMMYFUNCTION("""COMPUTED_VALUE"""),157.6)</f>
        <v>157.6</v>
      </c>
      <c r="F12" s="2">
        <f ca="1">IFERROR(__xludf.DUMMYFUNCTION("""COMPUTED_VALUE"""),635506)</f>
        <v>635506</v>
      </c>
      <c r="G12">
        <f ca="1">IFERROR(__xludf.DUMMYFUNCTION("""COMPUTED_VALUE"""),112)</f>
        <v>112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IFERROR(__xludf.DUMMYFUNCTION("""COMPUTED_VALUE"""),21)</f>
        <v>21</v>
      </c>
      <c r="C13" t="str">
        <f ca="1">IFERROR(__xludf.DUMMYFUNCTION("""COMPUTED_VALUE"""),"Will Zalatoris")</f>
        <v>Will Zalatoris</v>
      </c>
      <c r="D13">
        <f ca="1">IFERROR(__xludf.DUMMYFUNCTION("""COMPUTED_VALUE"""),18)</f>
        <v>18</v>
      </c>
      <c r="E13">
        <f ca="1">IFERROR(__xludf.DUMMYFUNCTION("""COMPUTED_VALUE"""),158)</f>
        <v>158</v>
      </c>
      <c r="F13" s="2">
        <f ca="1">IFERROR(__xludf.DUMMYFUNCTION("""COMPUTED_VALUE"""),796571)</f>
        <v>796571</v>
      </c>
      <c r="G13">
        <f ca="1">IFERROR(__xludf.DUMMYFUNCTION("""COMPUTED_VALUE"""),140)</f>
        <v>140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IFERROR(__xludf.DUMMYFUNCTION("""COMPUTED_VALUE"""),27)</f>
        <v>27</v>
      </c>
      <c r="C14" t="str">
        <f ca="1">IFERROR(__xludf.DUMMYFUNCTION("""COMPUTED_VALUE"""),"Brian Gay")</f>
        <v>Brian Gay</v>
      </c>
      <c r="D14">
        <f ca="1">IFERROR(__xludf.DUMMYFUNCTION("""COMPUTED_VALUE"""),8)</f>
        <v>8</v>
      </c>
      <c r="E14">
        <f ca="1">IFERROR(__xludf.DUMMYFUNCTION("""COMPUTED_VALUE"""),159.1)</f>
        <v>159.1</v>
      </c>
      <c r="F14" s="2">
        <f ca="1">IFERROR(__xludf.DUMMYFUNCTION("""COMPUTED_VALUE"""),320819)</f>
        <v>320819</v>
      </c>
      <c r="G14">
        <f ca="1">IFERROR(__xludf.DUMMYFUNCTION("""COMPUTED_VALUE"""),56)</f>
        <v>56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IFERROR(__xludf.DUMMYFUNCTION("""COMPUTED_VALUE"""),13)</f>
        <v>13</v>
      </c>
      <c r="C15" t="str">
        <f ca="1">IFERROR(__xludf.DUMMYFUNCTION("""COMPUTED_VALUE"""),"Luke List")</f>
        <v>Luke List</v>
      </c>
      <c r="D15">
        <f ca="1">IFERROR(__xludf.DUMMYFUNCTION("""COMPUTED_VALUE"""),18)</f>
        <v>18</v>
      </c>
      <c r="E15">
        <f ca="1">IFERROR(__xludf.DUMMYFUNCTION("""COMPUTED_VALUE"""),159.2)</f>
        <v>159.19999999999999</v>
      </c>
      <c r="F15" s="2">
        <f ca="1">IFERROR(__xludf.DUMMYFUNCTION("""COMPUTED_VALUE"""),790856)</f>
        <v>790856</v>
      </c>
      <c r="G15">
        <f ca="1">IFERROR(__xludf.DUMMYFUNCTION("""COMPUTED_VALUE"""),138)</f>
        <v>138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IFERROR(__xludf.DUMMYFUNCTION("""COMPUTED_VALUE"""),11)</f>
        <v>11</v>
      </c>
      <c r="C16" t="str">
        <f ca="1">IFERROR(__xludf.DUMMYFUNCTION("""COMPUTED_VALUE"""),"Cameron Davis")</f>
        <v>Cameron Davis</v>
      </c>
      <c r="D16">
        <f ca="1">IFERROR(__xludf.DUMMYFUNCTION("""COMPUTED_VALUE"""),16)</f>
        <v>16</v>
      </c>
      <c r="E16">
        <f ca="1">IFERROR(__xludf.DUMMYFUNCTION("""COMPUTED_VALUE"""),159.3)</f>
        <v>159.30000000000001</v>
      </c>
      <c r="F16" s="2">
        <f ca="1">IFERROR(__xludf.DUMMYFUNCTION("""COMPUTED_VALUE"""),1261948)</f>
        <v>1261948</v>
      </c>
      <c r="G16">
        <f ca="1">IFERROR(__xludf.DUMMYFUNCTION("""COMPUTED_VALUE"""),220)</f>
        <v>220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IFERROR(__xludf.DUMMYFUNCTION("""COMPUTED_VALUE"""),23)</f>
        <v>23</v>
      </c>
      <c r="C17" t="str">
        <f ca="1">IFERROR(__xludf.DUMMYFUNCTION("""COMPUTED_VALUE"""),"Sergio Garcia")</f>
        <v>Sergio Garcia</v>
      </c>
      <c r="D17">
        <f ca="1">IFERROR(__xludf.DUMMYFUNCTION("""COMPUTED_VALUE"""),18)</f>
        <v>18</v>
      </c>
      <c r="E17">
        <f ca="1">IFERROR(__xludf.DUMMYFUNCTION("""COMPUTED_VALUE"""),159.4)</f>
        <v>159.4</v>
      </c>
      <c r="F17" s="2">
        <f ca="1">IFERROR(__xludf.DUMMYFUNCTION("""COMPUTED_VALUE"""),1417197)</f>
        <v>1417197</v>
      </c>
      <c r="G17">
        <f ca="1">IFERROR(__xludf.DUMMYFUNCTION("""COMPUTED_VALUE"""),247)</f>
        <v>247</v>
      </c>
    </row>
    <row r="18" spans="1:7" ht="15.75" customHeight="1">
      <c r="A18" t="str">
        <f ca="1">IFERROR(__xludf.DUMMYFUNCTION("""COMPUTED_VALUE"""),"T17")</f>
        <v>T17</v>
      </c>
      <c r="B18">
        <f ca="1">IFERROR(__xludf.DUMMYFUNCTION("""COMPUTED_VALUE"""),16)</f>
        <v>16</v>
      </c>
      <c r="C18" t="str">
        <f ca="1">IFERROR(__xludf.DUMMYFUNCTION("""COMPUTED_VALUE"""),"Stewart Cink")</f>
        <v>Stewart Cink</v>
      </c>
      <c r="D18">
        <f ca="1">IFERROR(__xludf.DUMMYFUNCTION("""COMPUTED_VALUE"""),18)</f>
        <v>18</v>
      </c>
      <c r="E18">
        <f ca="1">IFERROR(__xludf.DUMMYFUNCTION("""COMPUTED_VALUE"""),160)</f>
        <v>160</v>
      </c>
      <c r="F18" s="2">
        <f ca="1">IFERROR(__xludf.DUMMYFUNCTION("""COMPUTED_VALUE"""),1099939)</f>
        <v>1099939</v>
      </c>
      <c r="G18">
        <f ca="1">IFERROR(__xludf.DUMMYFUNCTION("""COMPUTED_VALUE"""),191)</f>
        <v>191</v>
      </c>
    </row>
    <row r="19" spans="1:7" ht="15.75" customHeight="1">
      <c r="A19" t="str">
        <f ca="1">IFERROR(__xludf.DUMMYFUNCTION("""COMPUTED_VALUE"""),"T17")</f>
        <v>T17</v>
      </c>
      <c r="B19">
        <f ca="1">IFERROR(__xludf.DUMMYFUNCTION("""COMPUTED_VALUE"""),30)</f>
        <v>30</v>
      </c>
      <c r="C19" t="str">
        <f ca="1">IFERROR(__xludf.DUMMYFUNCTION("""COMPUTED_VALUE"""),"MJ Daffue")</f>
        <v>MJ Daffue</v>
      </c>
      <c r="D19">
        <f ca="1">IFERROR(__xludf.DUMMYFUNCTION("""COMPUTED_VALUE"""),10)</f>
        <v>10</v>
      </c>
      <c r="E19">
        <f ca="1">IFERROR(__xludf.DUMMYFUNCTION("""COMPUTED_VALUE"""),160)</f>
        <v>160</v>
      </c>
      <c r="F19" s="2">
        <f ca="1">IFERROR(__xludf.DUMMYFUNCTION("""COMPUTED_VALUE"""),800588)</f>
        <v>800588</v>
      </c>
      <c r="G19">
        <f ca="1">IFERROR(__xludf.DUMMYFUNCTION("""COMPUTED_VALUE"""),139)</f>
        <v>139</v>
      </c>
    </row>
    <row r="20" spans="1:7" ht="15.75" customHeight="1">
      <c r="A20" t="str">
        <f ca="1">IFERROR(__xludf.DUMMYFUNCTION("""COMPUTED_VALUE"""),"T19")</f>
        <v>T19</v>
      </c>
      <c r="B20">
        <f ca="1">IFERROR(__xludf.DUMMYFUNCTION("""COMPUTED_VALUE"""),14)</f>
        <v>14</v>
      </c>
      <c r="C20" t="str">
        <f ca="1">IFERROR(__xludf.DUMMYFUNCTION("""COMPUTED_VALUE"""),"Graham DeLaet")</f>
        <v>Graham DeLaet</v>
      </c>
      <c r="D20">
        <f ca="1">IFERROR(__xludf.DUMMYFUNCTION("""COMPUTED_VALUE"""),9)</f>
        <v>9</v>
      </c>
      <c r="E20">
        <f ca="1">IFERROR(__xludf.DUMMYFUNCTION("""COMPUTED_VALUE"""),160.1)</f>
        <v>160.1</v>
      </c>
      <c r="F20" s="2">
        <f ca="1">IFERROR(__xludf.DUMMYFUNCTION("""COMPUTED_VALUE"""),397734)</f>
        <v>397734</v>
      </c>
      <c r="G20">
        <f ca="1">IFERROR(__xludf.DUMMYFUNCTION("""COMPUTED_VALUE"""),69)</f>
        <v>69</v>
      </c>
    </row>
    <row r="21" spans="1:7" ht="15.75" customHeight="1">
      <c r="A21" t="str">
        <f ca="1">IFERROR(__xludf.DUMMYFUNCTION("""COMPUTED_VALUE"""),"T19")</f>
        <v>T19</v>
      </c>
      <c r="B21">
        <f ca="1">IFERROR(__xludf.DUMMYFUNCTION("""COMPUTED_VALUE"""),10)</f>
        <v>10</v>
      </c>
      <c r="C21" t="str">
        <f ca="1">IFERROR(__xludf.DUMMYFUNCTION("""COMPUTED_VALUE"""),"Patrick Rodgers")</f>
        <v>Patrick Rodgers</v>
      </c>
      <c r="D21">
        <f ca="1">IFERROR(__xludf.DUMMYFUNCTION("""COMPUTED_VALUE"""),18)</f>
        <v>18</v>
      </c>
      <c r="E21">
        <f ca="1">IFERROR(__xludf.DUMMYFUNCTION("""COMPUTED_VALUE"""),160.1)</f>
        <v>160.1</v>
      </c>
      <c r="F21" s="2">
        <f ca="1">IFERROR(__xludf.DUMMYFUNCTION("""COMPUTED_VALUE"""),795307)</f>
        <v>795307</v>
      </c>
      <c r="G21">
        <f ca="1">IFERROR(__xludf.DUMMYFUNCTION("""COMPUTED_VALUE"""),138)</f>
        <v>138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IFERROR(__xludf.DUMMYFUNCTION("""COMPUTED_VALUE"""),31)</f>
        <v>31</v>
      </c>
      <c r="C22" t="str">
        <f ca="1">IFERROR(__xludf.DUMMYFUNCTION("""COMPUTED_VALUE"""),"Michael Gligic")</f>
        <v>Michael Gligic</v>
      </c>
      <c r="D22">
        <f ca="1">IFERROR(__xludf.DUMMYFUNCTION("""COMPUTED_VALUE"""),18)</f>
        <v>18</v>
      </c>
      <c r="E22">
        <f ca="1">IFERROR(__xludf.DUMMYFUNCTION("""COMPUTED_VALUE"""),160.5)</f>
        <v>160.5</v>
      </c>
      <c r="F22" s="2">
        <f ca="1">IFERROR(__xludf.DUMMYFUNCTION("""COMPUTED_VALUE"""),970719)</f>
        <v>970719</v>
      </c>
      <c r="G22">
        <f ca="1">IFERROR(__xludf.DUMMYFUNCTION("""COMPUTED_VALUE"""),168)</f>
        <v>168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IFERROR(__xludf.DUMMYFUNCTION("""COMPUTED_VALUE"""),18)</f>
        <v>18</v>
      </c>
      <c r="C23" t="str">
        <f ca="1">IFERROR(__xludf.DUMMYFUNCTION("""COMPUTED_VALUE"""),"Will Gordon")</f>
        <v>Will Gordon</v>
      </c>
      <c r="D23">
        <f ca="1">IFERROR(__xludf.DUMMYFUNCTION("""COMPUTED_VALUE"""),20)</f>
        <v>20</v>
      </c>
      <c r="E23">
        <f ca="1">IFERROR(__xludf.DUMMYFUNCTION("""COMPUTED_VALUE"""),160.8)</f>
        <v>160.80000000000001</v>
      </c>
      <c r="F23" s="2">
        <f ca="1">IFERROR(__xludf.DUMMYFUNCTION("""COMPUTED_VALUE"""),1093960)</f>
        <v>1093960</v>
      </c>
      <c r="G23">
        <f ca="1">IFERROR(__xludf.DUMMYFUNCTION("""COMPUTED_VALUE"""),189)</f>
        <v>189</v>
      </c>
    </row>
    <row r="24" spans="1:7" ht="15.75" customHeight="1">
      <c r="A24">
        <f ca="1">IFERROR(__xludf.DUMMYFUNCTION("""COMPUTED_VALUE"""),23)</f>
        <v>23</v>
      </c>
      <c r="B24" t="str">
        <f ca="1">IFERROR(__xludf.DUMMYFUNCTION("""COMPUTED_VALUE"""),"T33")</f>
        <v>T33</v>
      </c>
      <c r="C24" t="str">
        <f ca="1">IFERROR(__xludf.DUMMYFUNCTION("""COMPUTED_VALUE"""),"J.B. Holmes")</f>
        <v>J.B. Holmes</v>
      </c>
      <c r="D24">
        <f ca="1">IFERROR(__xludf.DUMMYFUNCTION("""COMPUTED_VALUE"""),10)</f>
        <v>10</v>
      </c>
      <c r="E24">
        <f ca="1">IFERROR(__xludf.DUMMYFUNCTION("""COMPUTED_VALUE"""),161)</f>
        <v>161</v>
      </c>
      <c r="F24" s="2">
        <f ca="1">IFERROR(__xludf.DUMMYFUNCTION("""COMPUTED_VALUE"""),805409)</f>
        <v>805409</v>
      </c>
      <c r="G24">
        <f ca="1">IFERROR(__xludf.DUMMYFUNCTION("""COMPUTED_VALUE"""),139)</f>
        <v>139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IFERROR(__xludf.DUMMYFUNCTION("""COMPUTED_VALUE"""),32)</f>
        <v>32</v>
      </c>
      <c r="C25" t="str">
        <f ca="1">IFERROR(__xludf.DUMMYFUNCTION("""COMPUTED_VALUE"""),"Dylan Frittelli")</f>
        <v>Dylan Frittelli</v>
      </c>
      <c r="D25">
        <f ca="1">IFERROR(__xludf.DUMMYFUNCTION("""COMPUTED_VALUE"""),16)</f>
        <v>16</v>
      </c>
      <c r="E25">
        <f ca="1">IFERROR(__xludf.DUMMYFUNCTION("""COMPUTED_VALUE"""),161.7)</f>
        <v>161.69999999999999</v>
      </c>
      <c r="F25" s="2">
        <f ca="1">IFERROR(__xludf.DUMMYFUNCTION("""COMPUTED_VALUE"""),1256991)</f>
        <v>1256991</v>
      </c>
      <c r="G25">
        <f ca="1">IFERROR(__xludf.DUMMYFUNCTION("""COMPUTED_VALUE"""),216)</f>
        <v>216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IFERROR(__xludf.DUMMYFUNCTION("""COMPUTED_VALUE"""),"T38")</f>
        <v>T38</v>
      </c>
      <c r="C26" t="str">
        <f ca="1">IFERROR(__xludf.DUMMYFUNCTION("""COMPUTED_VALUE"""),"Joaquin Niemann")</f>
        <v>Joaquin Niemann</v>
      </c>
      <c r="D26">
        <f ca="1">IFERROR(__xludf.DUMMYFUNCTION("""COMPUTED_VALUE"""),16)</f>
        <v>16</v>
      </c>
      <c r="E26">
        <f ca="1">IFERROR(__xludf.DUMMYFUNCTION("""COMPUTED_VALUE"""),161.8)</f>
        <v>161.80000000000001</v>
      </c>
      <c r="F26" s="2">
        <f ca="1">IFERROR(__xludf.DUMMYFUNCTION("""COMPUTED_VALUE"""),1275862)</f>
        <v>1275862</v>
      </c>
      <c r="G26">
        <f ca="1">IFERROR(__xludf.DUMMYFUNCTION("""COMPUTED_VALUE"""),219)</f>
        <v>219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IFERROR(__xludf.DUMMYFUNCTION("""COMPUTED_VALUE"""),17)</f>
        <v>17</v>
      </c>
      <c r="C27" t="str">
        <f ca="1">IFERROR(__xludf.DUMMYFUNCTION("""COMPUTED_VALUE"""),"Sepp Straka")</f>
        <v>Sepp Straka</v>
      </c>
      <c r="D27">
        <f ca="1">IFERROR(__xludf.DUMMYFUNCTION("""COMPUTED_VALUE"""),22)</f>
        <v>22</v>
      </c>
      <c r="E27">
        <f ca="1">IFERROR(__xludf.DUMMYFUNCTION("""COMPUTED_VALUE"""),162.8)</f>
        <v>162.80000000000001</v>
      </c>
      <c r="F27" s="2">
        <f ca="1">IFERROR(__xludf.DUMMYFUNCTION("""COMPUTED_VALUE"""),1113391)</f>
        <v>1113391</v>
      </c>
      <c r="G27">
        <f ca="1">IFERROR(__xludf.DUMMYFUNCTION("""COMPUTED_VALUE"""),190)</f>
        <v>190</v>
      </c>
    </row>
    <row r="28" spans="1:7" ht="15.75" customHeight="1">
      <c r="A28" t="str">
        <f ca="1">IFERROR(__xludf.DUMMYFUNCTION("""COMPUTED_VALUE"""),"T27")</f>
        <v>T27</v>
      </c>
      <c r="B28">
        <f ca="1">IFERROR(__xludf.DUMMYFUNCTION("""COMPUTED_VALUE"""),24)</f>
        <v>24</v>
      </c>
      <c r="C28" t="str">
        <f ca="1">IFERROR(__xludf.DUMMYFUNCTION("""COMPUTED_VALUE"""),"Charley Hoffman")</f>
        <v>Charley Hoffman</v>
      </c>
      <c r="D28">
        <f ca="1">IFERROR(__xludf.DUMMYFUNCTION("""COMPUTED_VALUE"""),20)</f>
        <v>20</v>
      </c>
      <c r="E28">
        <f ca="1">IFERROR(__xludf.DUMMYFUNCTION("""COMPUTED_VALUE"""),163.1)</f>
        <v>163.1</v>
      </c>
      <c r="F28" s="2">
        <f ca="1">IFERROR(__xludf.DUMMYFUNCTION("""COMPUTED_VALUE"""),1115940)</f>
        <v>1115940</v>
      </c>
      <c r="G28">
        <f ca="1">IFERROR(__xludf.DUMMYFUNCTION("""COMPUTED_VALUE"""),190)</f>
        <v>190</v>
      </c>
    </row>
    <row r="29" spans="1:7" ht="15.75" customHeight="1">
      <c r="A29" t="str">
        <f ca="1">IFERROR(__xludf.DUMMYFUNCTION("""COMPUTED_VALUE"""),"T27")</f>
        <v>T27</v>
      </c>
      <c r="B29">
        <f ca="1">IFERROR(__xludf.DUMMYFUNCTION("""COMPUTED_VALUE"""),12)</f>
        <v>12</v>
      </c>
      <c r="C29" t="str">
        <f ca="1">IFERROR(__xludf.DUMMYFUNCTION("""COMPUTED_VALUE"""),"Keith Mitchell")</f>
        <v>Keith Mitchell</v>
      </c>
      <c r="D29">
        <f ca="1">IFERROR(__xludf.DUMMYFUNCTION("""COMPUTED_VALUE"""),14)</f>
        <v>14</v>
      </c>
      <c r="E29">
        <f ca="1">IFERROR(__xludf.DUMMYFUNCTION("""COMPUTED_VALUE"""),163.1)</f>
        <v>163.1</v>
      </c>
      <c r="F29" s="2">
        <f ca="1">IFERROR(__xludf.DUMMYFUNCTION("""COMPUTED_VALUE"""),475606)</f>
        <v>475606</v>
      </c>
      <c r="G29">
        <f ca="1">IFERROR(__xludf.DUMMYFUNCTION("""COMPUTED_VALUE"""),81)</f>
        <v>81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IFERROR(__xludf.DUMMYFUNCTION("""COMPUTED_VALUE"""),"T47")</f>
        <v>T47</v>
      </c>
      <c r="C30" t="str">
        <f ca="1">IFERROR(__xludf.DUMMYFUNCTION("""COMPUTED_VALUE"""),"Peter Malnati")</f>
        <v>Peter Malnati</v>
      </c>
      <c r="D30">
        <f ca="1">IFERROR(__xludf.DUMMYFUNCTION("""COMPUTED_VALUE"""),18)</f>
        <v>18</v>
      </c>
      <c r="E30">
        <f ca="1">IFERROR(__xludf.DUMMYFUNCTION("""COMPUTED_VALUE"""),163.7)</f>
        <v>163.69999999999999</v>
      </c>
      <c r="F30" s="2">
        <f ca="1">IFERROR(__xludf.DUMMYFUNCTION("""COMPUTED_VALUE"""),819329)</f>
        <v>819329</v>
      </c>
      <c r="G30">
        <f ca="1">IFERROR(__xludf.DUMMYFUNCTION("""COMPUTED_VALUE"""),139)</f>
        <v>139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IFERROR(__xludf.DUMMYFUNCTION("""COMPUTED_VALUE"""),49)</f>
        <v>49</v>
      </c>
      <c r="C31" t="str">
        <f ca="1">IFERROR(__xludf.DUMMYFUNCTION("""COMPUTED_VALUE"""),"Taylor Pendrith")</f>
        <v>Taylor Pendrith</v>
      </c>
      <c r="D31">
        <f ca="1">IFERROR(__xludf.DUMMYFUNCTION("""COMPUTED_VALUE"""),4)</f>
        <v>4</v>
      </c>
      <c r="E31">
        <f ca="1">IFERROR(__xludf.DUMMYFUNCTION("""COMPUTED_VALUE"""),163.8)</f>
        <v>163.80000000000001</v>
      </c>
      <c r="F31" s="2">
        <f ca="1">IFERROR(__xludf.DUMMYFUNCTION("""COMPUTED_VALUE"""),330150)</f>
        <v>330150</v>
      </c>
      <c r="G31">
        <f ca="1">IFERROR(__xludf.DUMMYFUNCTION("""COMPUTED_VALUE"""),56)</f>
        <v>56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IFERROR(__xludf.DUMMYFUNCTION("""COMPUTED_VALUE"""),25)</f>
        <v>25</v>
      </c>
      <c r="C32" t="str">
        <f ca="1">IFERROR(__xludf.DUMMYFUNCTION("""COMPUTED_VALUE"""),"Scott Harrington")</f>
        <v>Scott Harrington</v>
      </c>
      <c r="D32">
        <f ca="1">IFERROR(__xludf.DUMMYFUNCTION("""COMPUTED_VALUE"""),18)</f>
        <v>18</v>
      </c>
      <c r="E32">
        <f ca="1">IFERROR(__xludf.DUMMYFUNCTION("""COMPUTED_VALUE"""),164)</f>
        <v>164</v>
      </c>
      <c r="F32" s="2">
        <f ca="1">IFERROR(__xludf.DUMMYFUNCTION("""COMPUTED_VALUE"""),956412)</f>
        <v>956412</v>
      </c>
      <c r="G32">
        <f ca="1">IFERROR(__xludf.DUMMYFUNCTION("""COMPUTED_VALUE"""),162)</f>
        <v>162</v>
      </c>
    </row>
    <row r="33" spans="1:7" ht="12.75">
      <c r="A33">
        <f ca="1">IFERROR(__xludf.DUMMYFUNCTION("""COMPUTED_VALUE"""),32)</f>
        <v>32</v>
      </c>
      <c r="B33" t="str">
        <f ca="1">IFERROR(__xludf.DUMMYFUNCTION("""COMPUTED_VALUE"""),"T53")</f>
        <v>T53</v>
      </c>
      <c r="C33" t="str">
        <f ca="1">IFERROR(__xludf.DUMMYFUNCTION("""COMPUTED_VALUE"""),"Cameron Champ")</f>
        <v>Cameron Champ</v>
      </c>
      <c r="D33">
        <f ca="1">IFERROR(__xludf.DUMMYFUNCTION("""COMPUTED_VALUE"""),12)</f>
        <v>12</v>
      </c>
      <c r="E33">
        <f ca="1">IFERROR(__xludf.DUMMYFUNCTION("""COMPUTED_VALUE"""),164.2)</f>
        <v>164.2</v>
      </c>
      <c r="F33" s="2">
        <f ca="1">IFERROR(__xludf.DUMMYFUNCTION("""COMPUTED_VALUE"""),963682)</f>
        <v>963682</v>
      </c>
      <c r="G33">
        <f ca="1">IFERROR(__xludf.DUMMYFUNCTION("""COMPUTED_VALUE"""),163)</f>
        <v>163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IFERROR(__xludf.DUMMYFUNCTION("""COMPUTED_VALUE"""),55)</f>
        <v>55</v>
      </c>
      <c r="C34" t="str">
        <f ca="1">IFERROR(__xludf.DUMMYFUNCTION("""COMPUTED_VALUE"""),"Nick Watney")</f>
        <v>Nick Watney</v>
      </c>
      <c r="D34">
        <f ca="1">IFERROR(__xludf.DUMMYFUNCTION("""COMPUTED_VALUE"""),10)</f>
        <v>10</v>
      </c>
      <c r="E34">
        <f ca="1">IFERROR(__xludf.DUMMYFUNCTION("""COMPUTED_VALUE"""),164.5)</f>
        <v>164.5</v>
      </c>
      <c r="F34" s="2">
        <f ca="1">IFERROR(__xludf.DUMMYFUNCTION("""COMPUTED_VALUE"""),657312)</f>
        <v>657312</v>
      </c>
      <c r="G34">
        <f ca="1">IFERROR(__xludf.DUMMYFUNCTION("""COMPUTED_VALUE"""),111)</f>
        <v>111</v>
      </c>
    </row>
    <row r="35" spans="1:7" ht="12.75">
      <c r="A35">
        <f ca="1">IFERROR(__xludf.DUMMYFUNCTION("""COMPUTED_VALUE"""),34)</f>
        <v>34</v>
      </c>
      <c r="B35" t="str">
        <f ca="1">IFERROR(__xludf.DUMMYFUNCTION("""COMPUTED_VALUE"""),"T59")</f>
        <v>T59</v>
      </c>
      <c r="C35" t="str">
        <f ca="1">IFERROR(__xludf.DUMMYFUNCTION("""COMPUTED_VALUE"""),"Ryan Palmer")</f>
        <v>Ryan Palmer</v>
      </c>
      <c r="D35">
        <f ca="1">IFERROR(__xludf.DUMMYFUNCTION("""COMPUTED_VALUE"""),14)</f>
        <v>14</v>
      </c>
      <c r="E35">
        <f ca="1">IFERROR(__xludf.DUMMYFUNCTION("""COMPUTED_VALUE"""),165)</f>
        <v>165</v>
      </c>
      <c r="F35" s="2">
        <f ca="1">IFERROR(__xludf.DUMMYFUNCTION("""COMPUTED_VALUE"""),1128874)</f>
        <v>1128874</v>
      </c>
      <c r="G35">
        <f ca="1">IFERROR(__xludf.DUMMYFUNCTION("""COMPUTED_VALUE"""),190)</f>
        <v>190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IFERROR(__xludf.DUMMYFUNCTION("""COMPUTED_VALUE"""),35)</f>
        <v>35</v>
      </c>
      <c r="C36" t="str">
        <f ca="1">IFERROR(__xludf.DUMMYFUNCTION("""COMPUTED_VALUE"""),"Kristoffer Ventura")</f>
        <v>Kristoffer Ventura</v>
      </c>
      <c r="D36">
        <f ca="1">IFERROR(__xludf.DUMMYFUNCTION("""COMPUTED_VALUE"""),20)</f>
        <v>20</v>
      </c>
      <c r="E36">
        <f ca="1">IFERROR(__xludf.DUMMYFUNCTION("""COMPUTED_VALUE"""),165.1)</f>
        <v>165.1</v>
      </c>
      <c r="F36" s="2">
        <f ca="1">IFERROR(__xludf.DUMMYFUNCTION("""COMPUTED_VALUE"""),1123147)</f>
        <v>1123147</v>
      </c>
      <c r="G36">
        <f ca="1">IFERROR(__xludf.DUMMYFUNCTION("""COMPUTED_VALUE"""),189)</f>
        <v>189</v>
      </c>
    </row>
    <row r="37" spans="1:7" ht="12.75">
      <c r="A37" t="str">
        <f ca="1">IFERROR(__xludf.DUMMYFUNCTION("""COMPUTED_VALUE"""),"T36")</f>
        <v>T36</v>
      </c>
      <c r="B37">
        <f ca="1">IFERROR(__xludf.DUMMYFUNCTION("""COMPUTED_VALUE"""),20)</f>
        <v>20</v>
      </c>
      <c r="C37" t="str">
        <f ca="1">IFERROR(__xludf.DUMMYFUNCTION("""COMPUTED_VALUE"""),"Martin Trainer")</f>
        <v>Martin Trainer</v>
      </c>
      <c r="D37">
        <f ca="1">IFERROR(__xludf.DUMMYFUNCTION("""COMPUTED_VALUE"""),10)</f>
        <v>10</v>
      </c>
      <c r="E37">
        <f ca="1">IFERROR(__xludf.DUMMYFUNCTION("""COMPUTED_VALUE"""),165.4)</f>
        <v>165.4</v>
      </c>
      <c r="F37" s="2">
        <f ca="1">IFERROR(__xludf.DUMMYFUNCTION("""COMPUTED_VALUE"""),648877)</f>
        <v>648877</v>
      </c>
      <c r="G37">
        <f ca="1">IFERROR(__xludf.DUMMYFUNCTION("""COMPUTED_VALUE"""),109)</f>
        <v>109</v>
      </c>
    </row>
    <row r="38" spans="1:7" ht="12.75">
      <c r="A38" t="str">
        <f ca="1">IFERROR(__xludf.DUMMYFUNCTION("""COMPUTED_VALUE"""),"T36")</f>
        <v>T36</v>
      </c>
      <c r="B38">
        <f ca="1">IFERROR(__xludf.DUMMYFUNCTION("""COMPUTED_VALUE"""),62)</f>
        <v>62</v>
      </c>
      <c r="C38" t="str">
        <f ca="1">IFERROR(__xludf.DUMMYFUNCTION("""COMPUTED_VALUE"""),"Luke Schniederjans")</f>
        <v>Luke Schniederjans</v>
      </c>
      <c r="D38">
        <f ca="1">IFERROR(__xludf.DUMMYFUNCTION("""COMPUTED_VALUE"""),4)</f>
        <v>4</v>
      </c>
      <c r="E38">
        <f ca="1">IFERROR(__xludf.DUMMYFUNCTION("""COMPUTED_VALUE"""),165.4)</f>
        <v>165.4</v>
      </c>
      <c r="F38" s="2">
        <f ca="1">IFERROR(__xludf.DUMMYFUNCTION("""COMPUTED_VALUE"""),166700)</f>
        <v>166700</v>
      </c>
      <c r="G38">
        <f ca="1">IFERROR(__xludf.DUMMYFUNCTION("""COMPUTED_VALUE"""),28)</f>
        <v>28</v>
      </c>
    </row>
    <row r="39" spans="1:7" ht="12.75">
      <c r="A39" t="str">
        <f ca="1">IFERROR(__xludf.DUMMYFUNCTION("""COMPUTED_VALUE"""),"T38")</f>
        <v>T38</v>
      </c>
      <c r="B39">
        <f ca="1">IFERROR(__xludf.DUMMYFUNCTION("""COMPUTED_VALUE"""),64)</f>
        <v>64</v>
      </c>
      <c r="C39" t="str">
        <f ca="1">IFERROR(__xludf.DUMMYFUNCTION("""COMPUTED_VALUE"""),"Matthew Wolff")</f>
        <v>Matthew Wolff</v>
      </c>
      <c r="D39">
        <f ca="1">IFERROR(__xludf.DUMMYFUNCTION("""COMPUTED_VALUE"""),16)</f>
        <v>16</v>
      </c>
      <c r="E39">
        <f ca="1">IFERROR(__xludf.DUMMYFUNCTION("""COMPUTED_VALUE"""),166)</f>
        <v>166</v>
      </c>
      <c r="F39" s="2">
        <f ca="1">IFERROR(__xludf.DUMMYFUNCTION("""COMPUTED_VALUE"""),1279224)</f>
        <v>1279224</v>
      </c>
      <c r="G39">
        <f ca="1">IFERROR(__xludf.DUMMYFUNCTION("""COMPUTED_VALUE"""),214)</f>
        <v>214</v>
      </c>
    </row>
    <row r="40" spans="1:7" ht="12.75">
      <c r="A40" t="str">
        <f ca="1">IFERROR(__xludf.DUMMYFUNCTION("""COMPUTED_VALUE"""),"T38")</f>
        <v>T38</v>
      </c>
      <c r="B40">
        <f ca="1">IFERROR(__xludf.DUMMYFUNCTION("""COMPUTED_VALUE"""),22)</f>
        <v>22</v>
      </c>
      <c r="C40" t="str">
        <f ca="1">IFERROR(__xludf.DUMMYFUNCTION("""COMPUTED_VALUE"""),"Harold Varner III")</f>
        <v>Harold Varner III</v>
      </c>
      <c r="D40">
        <f ca="1">IFERROR(__xludf.DUMMYFUNCTION("""COMPUTED_VALUE"""),14)</f>
        <v>14</v>
      </c>
      <c r="E40">
        <f ca="1">IFERROR(__xludf.DUMMYFUNCTION("""COMPUTED_VALUE"""),166)</f>
        <v>166</v>
      </c>
      <c r="F40" s="2">
        <f ca="1">IFERROR(__xludf.DUMMYFUNCTION("""COMPUTED_VALUE"""),974039)</f>
        <v>974039</v>
      </c>
      <c r="G40">
        <f ca="1">IFERROR(__xludf.DUMMYFUNCTION("""COMPUTED_VALUE"""),163)</f>
        <v>163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IFERROR(__xludf.DUMMYFUNCTION("""COMPUTED_VALUE"""),36)</f>
        <v>36</v>
      </c>
      <c r="C41" t="str">
        <f ca="1">IFERROR(__xludf.DUMMYFUNCTION("""COMPUTED_VALUE"""),"Hunter Mahan")</f>
        <v>Hunter Mahan</v>
      </c>
      <c r="D41">
        <f ca="1">IFERROR(__xludf.DUMMYFUNCTION("""COMPUTED_VALUE"""),14)</f>
        <v>14</v>
      </c>
      <c r="E41">
        <f ca="1">IFERROR(__xludf.DUMMYFUNCTION("""COMPUTED_VALUE"""),166.3)</f>
        <v>166.3</v>
      </c>
      <c r="F41" s="2">
        <f ca="1">IFERROR(__xludf.DUMMYFUNCTION("""COMPUTED_VALUE"""),814417)</f>
        <v>814417</v>
      </c>
      <c r="G41">
        <f ca="1">IFERROR(__xludf.DUMMYFUNCTION("""COMPUTED_VALUE"""),136)</f>
        <v>136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IFERROR(__xludf.DUMMYFUNCTION("""COMPUTED_VALUE"""),68)</f>
        <v>68</v>
      </c>
      <c r="C42" t="str">
        <f ca="1">IFERROR(__xludf.DUMMYFUNCTION("""COMPUTED_VALUE"""),"Ben Taylor")</f>
        <v>Ben Taylor</v>
      </c>
      <c r="D42">
        <f ca="1">IFERROR(__xludf.DUMMYFUNCTION("""COMPUTED_VALUE"""),10)</f>
        <v>10</v>
      </c>
      <c r="E42">
        <f ca="1">IFERROR(__xludf.DUMMYFUNCTION("""COMPUTED_VALUE"""),166.4)</f>
        <v>166.4</v>
      </c>
      <c r="F42" s="2">
        <f ca="1">IFERROR(__xludf.DUMMYFUNCTION("""COMPUTED_VALUE"""),335429)</f>
        <v>335429</v>
      </c>
      <c r="G42">
        <f ca="1">IFERROR(__xludf.DUMMYFUNCTION("""COMPUTED_VALUE"""),56)</f>
        <v>56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IFERROR(__xludf.DUMMYFUNCTION("""COMPUTED_VALUE"""),69)</f>
        <v>69</v>
      </c>
      <c r="C43" t="str">
        <f ca="1">IFERROR(__xludf.DUMMYFUNCTION("""COMPUTED_VALUE"""),"Seamus Power")</f>
        <v>Seamus Power</v>
      </c>
      <c r="D43">
        <f ca="1">IFERROR(__xludf.DUMMYFUNCTION("""COMPUTED_VALUE"""),8)</f>
        <v>8</v>
      </c>
      <c r="E43">
        <f ca="1">IFERROR(__xludf.DUMMYFUNCTION("""COMPUTED_VALUE"""),166.5)</f>
        <v>166.5</v>
      </c>
      <c r="F43" s="2">
        <f ca="1">IFERROR(__xludf.DUMMYFUNCTION("""COMPUTED_VALUE"""),167783)</f>
        <v>167783</v>
      </c>
      <c r="G43">
        <f ca="1">IFERROR(__xludf.DUMMYFUNCTION("""COMPUTED_VALUE"""),28)</f>
        <v>28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IFERROR(__xludf.DUMMYFUNCTION("""COMPUTED_VALUE"""),"T70")</f>
        <v>T70</v>
      </c>
      <c r="C44" t="str">
        <f ca="1">IFERROR(__xludf.DUMMYFUNCTION("""COMPUTED_VALUE"""),"Rory McIlroy")</f>
        <v>Rory McIlroy</v>
      </c>
      <c r="D44">
        <f ca="1">IFERROR(__xludf.DUMMYFUNCTION("""COMPUTED_VALUE"""),12)</f>
        <v>12</v>
      </c>
      <c r="E44">
        <f ca="1">IFERROR(__xludf.DUMMYFUNCTION("""COMPUTED_VALUE"""),166.6)</f>
        <v>166.6</v>
      </c>
      <c r="F44" s="2">
        <f ca="1">IFERROR(__xludf.DUMMYFUNCTION("""COMPUTED_VALUE"""),983589)</f>
        <v>983589</v>
      </c>
      <c r="G44">
        <f ca="1">IFERROR(__xludf.DUMMYFUNCTION("""COMPUTED_VALUE"""),164)</f>
        <v>164</v>
      </c>
    </row>
    <row r="45" spans="1:7" ht="12.75">
      <c r="A45" t="str">
        <f ca="1">IFERROR(__xludf.DUMMYFUNCTION("""COMPUTED_VALUE"""),"T43")</f>
        <v>T43</v>
      </c>
      <c r="B45" t="str">
        <f ca="1">IFERROR(__xludf.DUMMYFUNCTION("""COMPUTED_VALUE"""),"T70")</f>
        <v>T70</v>
      </c>
      <c r="C45" t="str">
        <f ca="1">IFERROR(__xludf.DUMMYFUNCTION("""COMPUTED_VALUE"""),"Charles Howell III")</f>
        <v>Charles Howell III</v>
      </c>
      <c r="D45">
        <f ca="1">IFERROR(__xludf.DUMMYFUNCTION("""COMPUTED_VALUE"""),10)</f>
        <v>10</v>
      </c>
      <c r="E45">
        <f ca="1">IFERROR(__xludf.DUMMYFUNCTION("""COMPUTED_VALUE"""),166.6)</f>
        <v>166.6</v>
      </c>
      <c r="F45" s="2">
        <f ca="1">IFERROR(__xludf.DUMMYFUNCTION("""COMPUTED_VALUE"""),671657)</f>
        <v>671657</v>
      </c>
      <c r="G45">
        <f ca="1">IFERROR(__xludf.DUMMYFUNCTION("""COMPUTED_VALUE"""),112)</f>
        <v>112</v>
      </c>
    </row>
    <row r="46" spans="1:7" ht="12.75">
      <c r="A46" t="str">
        <f ca="1">IFERROR(__xludf.DUMMYFUNCTION("""COMPUTED_VALUE"""),"T45")</f>
        <v>T45</v>
      </c>
      <c r="B46">
        <f ca="1">IFERROR(__xludf.DUMMYFUNCTION("""COMPUTED_VALUE"""),73)</f>
        <v>73</v>
      </c>
      <c r="C46" t="str">
        <f ca="1">IFERROR(__xludf.DUMMYFUNCTION("""COMPUTED_VALUE"""),"Akshay Bhatia")</f>
        <v>Akshay Bhatia</v>
      </c>
      <c r="D46">
        <f ca="1">IFERROR(__xludf.DUMMYFUNCTION("""COMPUTED_VALUE"""),6)</f>
        <v>6</v>
      </c>
      <c r="E46">
        <f ca="1">IFERROR(__xludf.DUMMYFUNCTION("""COMPUTED_VALUE"""),166.8)</f>
        <v>166.8</v>
      </c>
      <c r="F46" s="2">
        <f ca="1">IFERROR(__xludf.DUMMYFUNCTION("""COMPUTED_VALUE"""),336253)</f>
        <v>336253</v>
      </c>
      <c r="G46">
        <f ca="1">IFERROR(__xludf.DUMMYFUNCTION("""COMPUTED_VALUE"""),56)</f>
        <v>56</v>
      </c>
    </row>
    <row r="47" spans="1:7" ht="12.75">
      <c r="A47" t="str">
        <f ca="1">IFERROR(__xludf.DUMMYFUNCTION("""COMPUTED_VALUE"""),"T45")</f>
        <v>T45</v>
      </c>
      <c r="B47">
        <f ca="1">IFERROR(__xludf.DUMMYFUNCTION("""COMPUTED_VALUE"""),45)</f>
        <v>45</v>
      </c>
      <c r="C47" t="str">
        <f ca="1">IFERROR(__xludf.DUMMYFUNCTION("""COMPUTED_VALUE"""),"Emiliano Grillo")</f>
        <v>Emiliano Grillo</v>
      </c>
      <c r="D47">
        <f ca="1">IFERROR(__xludf.DUMMYFUNCTION("""COMPUTED_VALUE"""),22)</f>
        <v>22</v>
      </c>
      <c r="E47">
        <f ca="1">IFERROR(__xludf.DUMMYFUNCTION("""COMPUTED_VALUE"""),166.8)</f>
        <v>166.8</v>
      </c>
      <c r="F47" s="2">
        <f ca="1">IFERROR(__xludf.DUMMYFUNCTION("""COMPUTED_VALUE"""),1152678)</f>
        <v>1152678</v>
      </c>
      <c r="G47">
        <f ca="1">IFERROR(__xludf.DUMMYFUNCTION("""COMPUTED_VALUE"""),192)</f>
        <v>192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IFERROR(__xludf.DUMMYFUNCTION("""COMPUTED_VALUE"""),26)</f>
        <v>26</v>
      </c>
      <c r="C48" t="str">
        <f ca="1">IFERROR(__xludf.DUMMYFUNCTION("""COMPUTED_VALUE"""),"Jamie Lovemark")</f>
        <v>Jamie Lovemark</v>
      </c>
      <c r="D48">
        <f ca="1">IFERROR(__xludf.DUMMYFUNCTION("""COMPUTED_VALUE"""),18)</f>
        <v>18</v>
      </c>
      <c r="E48">
        <f ca="1">IFERROR(__xludf.DUMMYFUNCTION("""COMPUTED_VALUE"""),167)</f>
        <v>167</v>
      </c>
      <c r="F48" s="2">
        <f ca="1">IFERROR(__xludf.DUMMYFUNCTION("""COMPUTED_VALUE"""),986076)</f>
        <v>986076</v>
      </c>
      <c r="G48">
        <f ca="1">IFERROR(__xludf.DUMMYFUNCTION("""COMPUTED_VALUE"""),164)</f>
        <v>164</v>
      </c>
    </row>
    <row r="49" spans="1:7" ht="12.75">
      <c r="A49" t="str">
        <f ca="1">IFERROR(__xludf.DUMMYFUNCTION("""COMPUTED_VALUE"""),"T48")</f>
        <v>T48</v>
      </c>
      <c r="B49" t="str">
        <f ca="1">IFERROR(__xludf.DUMMYFUNCTION("""COMPUTED_VALUE"""),"T75")</f>
        <v>T75</v>
      </c>
      <c r="C49" t="str">
        <f ca="1">IFERROR(__xludf.DUMMYFUNCTION("""COMPUTED_VALUE"""),"Andy Zhang")</f>
        <v>Andy Zhang</v>
      </c>
      <c r="D49">
        <f ca="1">IFERROR(__xludf.DUMMYFUNCTION("""COMPUTED_VALUE"""),4)</f>
        <v>4</v>
      </c>
      <c r="E49">
        <f ca="1">IFERROR(__xludf.DUMMYFUNCTION("""COMPUTED_VALUE"""),167.1)</f>
        <v>167.1</v>
      </c>
      <c r="F49" s="2">
        <f ca="1">IFERROR(__xludf.DUMMYFUNCTION("""COMPUTED_VALUE"""),330881)</f>
        <v>330881</v>
      </c>
      <c r="G49">
        <f ca="1">IFERROR(__xludf.DUMMYFUNCTION("""COMPUTED_VALUE"""),55)</f>
        <v>55</v>
      </c>
    </row>
    <row r="50" spans="1:7" ht="12.75">
      <c r="A50" t="str">
        <f ca="1">IFERROR(__xludf.DUMMYFUNCTION("""COMPUTED_VALUE"""),"T48")</f>
        <v>T48</v>
      </c>
      <c r="B50">
        <f ca="1">IFERROR(__xludf.DUMMYFUNCTION("""COMPUTED_VALUE"""),46)</f>
        <v>46</v>
      </c>
      <c r="C50" t="str">
        <f ca="1">IFERROR(__xludf.DUMMYFUNCTION("""COMPUTED_VALUE"""),"Jhonattan Vegas")</f>
        <v>Jhonattan Vegas</v>
      </c>
      <c r="D50">
        <f ca="1">IFERROR(__xludf.DUMMYFUNCTION("""COMPUTED_VALUE"""),16)</f>
        <v>16</v>
      </c>
      <c r="E50">
        <f ca="1">IFERROR(__xludf.DUMMYFUNCTION("""COMPUTED_VALUE"""),167.1)</f>
        <v>167.1</v>
      </c>
      <c r="F50" s="2">
        <f ca="1">IFERROR(__xludf.DUMMYFUNCTION("""COMPUTED_VALUE"""),811968)</f>
        <v>811968</v>
      </c>
      <c r="G50">
        <f ca="1">IFERROR(__xludf.DUMMYFUNCTION("""COMPUTED_VALUE"""),135)</f>
        <v>135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IFERROR(__xludf.DUMMYFUNCTION("""COMPUTED_VALUE"""),77)</f>
        <v>77</v>
      </c>
      <c r="C51" t="str">
        <f ca="1">IFERROR(__xludf.DUMMYFUNCTION("""COMPUTED_VALUE"""),"Nelson Ledesma")</f>
        <v>Nelson Ledesma</v>
      </c>
      <c r="D51">
        <f ca="1">IFERROR(__xludf.DUMMYFUNCTION("""COMPUTED_VALUE"""),8)</f>
        <v>8</v>
      </c>
      <c r="E51">
        <f ca="1">IFERROR(__xludf.DUMMYFUNCTION("""COMPUTED_VALUE"""),167.2)</f>
        <v>167.2</v>
      </c>
      <c r="F51" s="2">
        <f ca="1">IFERROR(__xludf.DUMMYFUNCTION("""COMPUTED_VALUE"""),337127)</f>
        <v>337127</v>
      </c>
      <c r="G51">
        <f ca="1">IFERROR(__xludf.DUMMYFUNCTION("""COMPUTED_VALUE"""),56)</f>
        <v>56</v>
      </c>
    </row>
    <row r="52" spans="1:7" ht="12.75">
      <c r="A52" t="str">
        <f ca="1">IFERROR(__xludf.DUMMYFUNCTION("""COMPUTED_VALUE"""),"T51")</f>
        <v>T51</v>
      </c>
      <c r="B52">
        <f ca="1">IFERROR(__xludf.DUMMYFUNCTION("""COMPUTED_VALUE"""),78)</f>
        <v>78</v>
      </c>
      <c r="C52" t="str">
        <f ca="1">IFERROR(__xludf.DUMMYFUNCTION("""COMPUTED_VALUE"""),"Bud Cauley")</f>
        <v>Bud Cauley</v>
      </c>
      <c r="D52">
        <f ca="1">IFERROR(__xludf.DUMMYFUNCTION("""COMPUTED_VALUE"""),4)</f>
        <v>4</v>
      </c>
      <c r="E52">
        <f ca="1">IFERROR(__xludf.DUMMYFUNCTION("""COMPUTED_VALUE"""),167.3)</f>
        <v>167.3</v>
      </c>
      <c r="F52" s="2">
        <f ca="1">IFERROR(__xludf.DUMMYFUNCTION("""COMPUTED_VALUE"""),337282)</f>
        <v>337282</v>
      </c>
      <c r="G52">
        <f ca="1">IFERROR(__xludf.DUMMYFUNCTION("""COMPUTED_VALUE"""),56)</f>
        <v>56</v>
      </c>
    </row>
    <row r="53" spans="1:7" ht="12.75">
      <c r="A53" t="str">
        <f ca="1">IFERROR(__xludf.DUMMYFUNCTION("""COMPUTED_VALUE"""),"T51")</f>
        <v>T51</v>
      </c>
      <c r="B53" t="str">
        <f ca="1">IFERROR(__xludf.DUMMYFUNCTION("""COMPUTED_VALUE"""),"T40")</f>
        <v>T40</v>
      </c>
      <c r="C53" t="str">
        <f ca="1">IFERROR(__xludf.DUMMYFUNCTION("""COMPUTED_VALUE"""),"Patton Kizzire")</f>
        <v>Patton Kizzire</v>
      </c>
      <c r="D53">
        <f ca="1">IFERROR(__xludf.DUMMYFUNCTION("""COMPUTED_VALUE"""),18)</f>
        <v>18</v>
      </c>
      <c r="E53">
        <f ca="1">IFERROR(__xludf.DUMMYFUNCTION("""COMPUTED_VALUE"""),167.3)</f>
        <v>167.3</v>
      </c>
      <c r="F53" s="2">
        <f ca="1">IFERROR(__xludf.DUMMYFUNCTION("""COMPUTED_VALUE"""),1144543)</f>
        <v>1144543</v>
      </c>
      <c r="G53">
        <f ca="1">IFERROR(__xludf.DUMMYFUNCTION("""COMPUTED_VALUE"""),190)</f>
        <v>190</v>
      </c>
    </row>
    <row r="54" spans="1:7" ht="12.75">
      <c r="A54" t="str">
        <f ca="1">IFERROR(__xludf.DUMMYFUNCTION("""COMPUTED_VALUE"""),"T53")</f>
        <v>T53</v>
      </c>
      <c r="B54">
        <f ca="1">IFERROR(__xludf.DUMMYFUNCTION("""COMPUTED_VALUE"""),44)</f>
        <v>44</v>
      </c>
      <c r="C54" t="str">
        <f ca="1">IFERROR(__xludf.DUMMYFUNCTION("""COMPUTED_VALUE"""),"Aaron Wise")</f>
        <v>Aaron Wise</v>
      </c>
      <c r="D54">
        <f ca="1">IFERROR(__xludf.DUMMYFUNCTION("""COMPUTED_VALUE"""),16)</f>
        <v>16</v>
      </c>
      <c r="E54">
        <f ca="1">IFERROR(__xludf.DUMMYFUNCTION("""COMPUTED_VALUE"""),167.6)</f>
        <v>167.6</v>
      </c>
      <c r="F54" s="2">
        <f ca="1">IFERROR(__xludf.DUMMYFUNCTION("""COMPUTED_VALUE"""),983686)</f>
        <v>983686</v>
      </c>
      <c r="G54">
        <f ca="1">IFERROR(__xludf.DUMMYFUNCTION("""COMPUTED_VALUE"""),163)</f>
        <v>163</v>
      </c>
    </row>
    <row r="55" spans="1:7" ht="12.75">
      <c r="A55" t="str">
        <f ca="1">IFERROR(__xludf.DUMMYFUNCTION("""COMPUTED_VALUE"""),"T53")</f>
        <v>T53</v>
      </c>
      <c r="B55" t="str">
        <f ca="1">IFERROR(__xludf.DUMMYFUNCTION("""COMPUTED_VALUE"""),"T47")</f>
        <v>T47</v>
      </c>
      <c r="C55" t="str">
        <f ca="1">IFERROR(__xludf.DUMMYFUNCTION("""COMPUTED_VALUE"""),"Maverick McNealy")</f>
        <v>Maverick McNealy</v>
      </c>
      <c r="D55">
        <f ca="1">IFERROR(__xludf.DUMMYFUNCTION("""COMPUTED_VALUE"""),16)</f>
        <v>16</v>
      </c>
      <c r="E55">
        <f ca="1">IFERROR(__xludf.DUMMYFUNCTION("""COMPUTED_VALUE"""),167.6)</f>
        <v>167.6</v>
      </c>
      <c r="F55" s="2">
        <f ca="1">IFERROR(__xludf.DUMMYFUNCTION("""COMPUTED_VALUE"""),983661)</f>
        <v>983661</v>
      </c>
      <c r="G55">
        <f ca="1">IFERROR(__xludf.DUMMYFUNCTION("""COMPUTED_VALUE"""),163)</f>
        <v>163</v>
      </c>
    </row>
    <row r="56" spans="1:7" ht="12.75">
      <c r="A56" t="str">
        <f ca="1">IFERROR(__xludf.DUMMYFUNCTION("""COMPUTED_VALUE"""),"T55")</f>
        <v>T55</v>
      </c>
      <c r="B56">
        <f ca="1">IFERROR(__xludf.DUMMYFUNCTION("""COMPUTED_VALUE"""),28)</f>
        <v>28</v>
      </c>
      <c r="C56" t="str">
        <f ca="1">IFERROR(__xludf.DUMMYFUNCTION("""COMPUTED_VALUE"""),"Max Homa")</f>
        <v>Max Homa</v>
      </c>
      <c r="D56">
        <f ca="1">IFERROR(__xludf.DUMMYFUNCTION("""COMPUTED_VALUE"""),12)</f>
        <v>12</v>
      </c>
      <c r="E56">
        <f ca="1">IFERROR(__xludf.DUMMYFUNCTION("""COMPUTED_VALUE"""),167.7)</f>
        <v>167.7</v>
      </c>
      <c r="F56" s="2">
        <f ca="1">IFERROR(__xludf.DUMMYFUNCTION("""COMPUTED_VALUE"""),651927)</f>
        <v>651927</v>
      </c>
      <c r="G56">
        <f ca="1">IFERROR(__xludf.DUMMYFUNCTION("""COMPUTED_VALUE"""),108)</f>
        <v>108</v>
      </c>
    </row>
    <row r="57" spans="1:7" ht="12.75">
      <c r="A57" t="str">
        <f ca="1">IFERROR(__xludf.DUMMYFUNCTION("""COMPUTED_VALUE"""),"T55")</f>
        <v>T55</v>
      </c>
      <c r="B57" t="str">
        <f ca="1">IFERROR(__xludf.DUMMYFUNCTION("""COMPUTED_VALUE"""),"T81")</f>
        <v>T81</v>
      </c>
      <c r="C57" t="str">
        <f ca="1">IFERROR(__xludf.DUMMYFUNCTION("""COMPUTED_VALUE"""),"Harry Higgs")</f>
        <v>Harry Higgs</v>
      </c>
      <c r="D57">
        <f ca="1">IFERROR(__xludf.DUMMYFUNCTION("""COMPUTED_VALUE"""),14)</f>
        <v>14</v>
      </c>
      <c r="E57">
        <f ca="1">IFERROR(__xludf.DUMMYFUNCTION("""COMPUTED_VALUE"""),167.7)</f>
        <v>167.7</v>
      </c>
      <c r="F57" s="2">
        <f ca="1">IFERROR(__xludf.DUMMYFUNCTION("""COMPUTED_VALUE"""),1152881)</f>
        <v>1152881</v>
      </c>
      <c r="G57">
        <f ca="1">IFERROR(__xludf.DUMMYFUNCTION("""COMPUTED_VALUE"""),191)</f>
        <v>191</v>
      </c>
    </row>
    <row r="58" spans="1:7" ht="12.75">
      <c r="A58" t="str">
        <f ca="1">IFERROR(__xludf.DUMMYFUNCTION("""COMPUTED_VALUE"""),"T55")</f>
        <v>T55</v>
      </c>
      <c r="B58" t="str">
        <f ca="1">IFERROR(__xludf.DUMMYFUNCTION("""COMPUTED_VALUE"""),"T42")</f>
        <v>T42</v>
      </c>
      <c r="C58" t="str">
        <f ca="1">IFERROR(__xludf.DUMMYFUNCTION("""COMPUTED_VALUE"""),"Cameron Tringale")</f>
        <v>Cameron Tringale</v>
      </c>
      <c r="D58">
        <f ca="1">IFERROR(__xludf.DUMMYFUNCTION("""COMPUTED_VALUE"""),16)</f>
        <v>16</v>
      </c>
      <c r="E58">
        <f ca="1">IFERROR(__xludf.DUMMYFUNCTION("""COMPUTED_VALUE"""),167.7)</f>
        <v>167.7</v>
      </c>
      <c r="F58" s="2">
        <f ca="1">IFERROR(__xludf.DUMMYFUNCTION("""COMPUTED_VALUE"""),1153202)</f>
        <v>1153202</v>
      </c>
      <c r="G58">
        <f ca="1">IFERROR(__xludf.DUMMYFUNCTION("""COMPUTED_VALUE"""),191)</f>
        <v>191</v>
      </c>
    </row>
    <row r="59" spans="1:7" ht="12.75">
      <c r="A59" t="str">
        <f ca="1">IFERROR(__xludf.DUMMYFUNCTION("""COMPUTED_VALUE"""),"T55")</f>
        <v>T55</v>
      </c>
      <c r="B59" t="str">
        <f ca="1">IFERROR(__xludf.DUMMYFUNCTION("""COMPUTED_VALUE"""),"T40")</f>
        <v>T40</v>
      </c>
      <c r="C59" t="str">
        <f ca="1">IFERROR(__xludf.DUMMYFUNCTION("""COMPUTED_VALUE"""),"Kevin Tway")</f>
        <v>Kevin Tway</v>
      </c>
      <c r="D59">
        <f ca="1">IFERROR(__xludf.DUMMYFUNCTION("""COMPUTED_VALUE"""),16)</f>
        <v>16</v>
      </c>
      <c r="E59">
        <f ca="1">IFERROR(__xludf.DUMMYFUNCTION("""COMPUTED_VALUE"""),167.7)</f>
        <v>167.7</v>
      </c>
      <c r="F59" s="2">
        <f ca="1">IFERROR(__xludf.DUMMYFUNCTION("""COMPUTED_VALUE"""),664093)</f>
        <v>664093</v>
      </c>
      <c r="G59">
        <f ca="1">IFERROR(__xludf.DUMMYFUNCTION("""COMPUTED_VALUE"""),110)</f>
        <v>110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IFERROR(__xludf.DUMMYFUNCTION("""COMPUTED_VALUE"""),"T57")</f>
        <v>T57</v>
      </c>
      <c r="C60" t="str">
        <f ca="1">IFERROR(__xludf.DUMMYFUNCTION("""COMPUTED_VALUE"""),"Robby Shelton")</f>
        <v>Robby Shelton</v>
      </c>
      <c r="D60">
        <f ca="1">IFERROR(__xludf.DUMMYFUNCTION("""COMPUTED_VALUE"""),14)</f>
        <v>14</v>
      </c>
      <c r="E60">
        <f ca="1">IFERROR(__xludf.DUMMYFUNCTION("""COMPUTED_VALUE"""),167.8)</f>
        <v>167.8</v>
      </c>
      <c r="F60" s="2">
        <f ca="1">IFERROR(__xludf.DUMMYFUNCTION("""COMPUTED_VALUE"""),1166013)</f>
        <v>1166013</v>
      </c>
      <c r="G60">
        <f ca="1">IFERROR(__xludf.DUMMYFUNCTION("""COMPUTED_VALUE"""),193)</f>
        <v>193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IFERROR(__xludf.DUMMYFUNCTION("""COMPUTED_VALUE"""),61)</f>
        <v>61</v>
      </c>
      <c r="C61" t="str">
        <f ca="1">IFERROR(__xludf.DUMMYFUNCTION("""COMPUTED_VALUE"""),"Adam Schenk")</f>
        <v>Adam Schenk</v>
      </c>
      <c r="D61">
        <f ca="1">IFERROR(__xludf.DUMMYFUNCTION("""COMPUTED_VALUE"""),22)</f>
        <v>22</v>
      </c>
      <c r="E61">
        <f ca="1">IFERROR(__xludf.DUMMYFUNCTION("""COMPUTED_VALUE"""),168.2)</f>
        <v>168.2</v>
      </c>
      <c r="F61" s="2">
        <f ca="1">IFERROR(__xludf.DUMMYFUNCTION("""COMPUTED_VALUE"""),1174405)</f>
        <v>1174405</v>
      </c>
      <c r="G61">
        <f ca="1">IFERROR(__xludf.DUMMYFUNCTION("""COMPUTED_VALUE"""),194)</f>
        <v>194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IFERROR(__xludf.DUMMYFUNCTION("""COMPUTED_VALUE"""),63)</f>
        <v>63</v>
      </c>
      <c r="C62" t="str">
        <f ca="1">IFERROR(__xludf.DUMMYFUNCTION("""COMPUTED_VALUE"""),"Charl Schwartzel")</f>
        <v>Charl Schwartzel</v>
      </c>
      <c r="D62">
        <f ca="1">IFERROR(__xludf.DUMMYFUNCTION("""COMPUTED_VALUE"""),12)</f>
        <v>12</v>
      </c>
      <c r="E62">
        <f ca="1">IFERROR(__xludf.DUMMYFUNCTION("""COMPUTED_VALUE"""),168.3)</f>
        <v>168.3</v>
      </c>
      <c r="F62" s="2">
        <f ca="1">IFERROR(__xludf.DUMMYFUNCTION("""COMPUTED_VALUE"""),999889)</f>
        <v>999889</v>
      </c>
      <c r="G62">
        <f ca="1">IFERROR(__xludf.DUMMYFUNCTION("""COMPUTED_VALUE"""),165)</f>
        <v>165</v>
      </c>
    </row>
    <row r="63" spans="1:7" ht="12.75">
      <c r="A63">
        <f ca="1">IFERROR(__xludf.DUMMYFUNCTION("""COMPUTED_VALUE"""),62)</f>
        <v>62</v>
      </c>
      <c r="B63" t="str">
        <f ca="1">IFERROR(__xludf.DUMMYFUNCTION("""COMPUTED_VALUE"""),"T42")</f>
        <v>T42</v>
      </c>
      <c r="C63" t="str">
        <f ca="1">IFERROR(__xludf.DUMMYFUNCTION("""COMPUTED_VALUE"""),"Brooks Koepka")</f>
        <v>Brooks Koepka</v>
      </c>
      <c r="D63">
        <f ca="1">IFERROR(__xludf.DUMMYFUNCTION("""COMPUTED_VALUE"""),8)</f>
        <v>8</v>
      </c>
      <c r="E63">
        <f ca="1">IFERROR(__xludf.DUMMYFUNCTION("""COMPUTED_VALUE"""),168.5)</f>
        <v>168.5</v>
      </c>
      <c r="F63" s="2">
        <f ca="1">IFERROR(__xludf.DUMMYFUNCTION("""COMPUTED_VALUE"""),637107)</f>
        <v>637107</v>
      </c>
      <c r="G63">
        <f ca="1">IFERROR(__xludf.DUMMYFUNCTION("""COMPUTED_VALUE"""),105)</f>
        <v>105</v>
      </c>
    </row>
    <row r="64" spans="1:7" ht="12.75">
      <c r="A64" t="str">
        <f ca="1">IFERROR(__xludf.DUMMYFUNCTION("""COMPUTED_VALUE"""),"T63")</f>
        <v>T63</v>
      </c>
      <c r="B64" t="str">
        <f ca="1">IFERROR(__xludf.DUMMYFUNCTION("""COMPUTED_VALUE"""),"T50")</f>
        <v>T50</v>
      </c>
      <c r="C64" t="str">
        <f ca="1">IFERROR(__xludf.DUMMYFUNCTION("""COMPUTED_VALUE"""),"Pat Perez")</f>
        <v>Pat Perez</v>
      </c>
      <c r="D64">
        <f ca="1">IFERROR(__xludf.DUMMYFUNCTION("""COMPUTED_VALUE"""),16)</f>
        <v>16</v>
      </c>
      <c r="E64">
        <f ca="1">IFERROR(__xludf.DUMMYFUNCTION("""COMPUTED_VALUE"""),168.8)</f>
        <v>168.8</v>
      </c>
      <c r="F64" s="2">
        <f ca="1">IFERROR(__xludf.DUMMYFUNCTION("""COMPUTED_VALUE"""),832331)</f>
        <v>832331</v>
      </c>
      <c r="G64">
        <f ca="1">IFERROR(__xludf.DUMMYFUNCTION("""COMPUTED_VALUE"""),137)</f>
        <v>137</v>
      </c>
    </row>
    <row r="65" spans="1:7" ht="12.75">
      <c r="A65" t="str">
        <f ca="1">IFERROR(__xludf.DUMMYFUNCTION("""COMPUTED_VALUE"""),"T63")</f>
        <v>T63</v>
      </c>
      <c r="B65" t="str">
        <f ca="1">IFERROR(__xludf.DUMMYFUNCTION("""COMPUTED_VALUE"""),"T91")</f>
        <v>T91</v>
      </c>
      <c r="C65" t="str">
        <f ca="1">IFERROR(__xludf.DUMMYFUNCTION("""COMPUTED_VALUE"""),"Louis Oosthuizen")</f>
        <v>Louis Oosthuizen</v>
      </c>
      <c r="D65">
        <f ca="1">IFERROR(__xludf.DUMMYFUNCTION("""COMPUTED_VALUE"""),12)</f>
        <v>12</v>
      </c>
      <c r="E65">
        <f ca="1">IFERROR(__xludf.DUMMYFUNCTION("""COMPUTED_VALUE"""),168.8)</f>
        <v>168.8</v>
      </c>
      <c r="F65" s="2">
        <f ca="1">IFERROR(__xludf.DUMMYFUNCTION("""COMPUTED_VALUE"""),1020939)</f>
        <v>1020939</v>
      </c>
      <c r="G65">
        <f ca="1">IFERROR(__xludf.DUMMYFUNCTION("""COMPUTED_VALUE"""),168)</f>
        <v>168</v>
      </c>
    </row>
    <row r="66" spans="1:7" ht="12.75">
      <c r="A66" t="str">
        <f ca="1">IFERROR(__xludf.DUMMYFUNCTION("""COMPUTED_VALUE"""),"T63")</f>
        <v>T63</v>
      </c>
      <c r="B66" t="str">
        <f ca="1">IFERROR(__xludf.DUMMYFUNCTION("""COMPUTED_VALUE"""),"T91")</f>
        <v>T91</v>
      </c>
      <c r="C66" t="str">
        <f ca="1">IFERROR(__xludf.DUMMYFUNCTION("""COMPUTED_VALUE"""),"Joel Dahmen")</f>
        <v>Joel Dahmen</v>
      </c>
      <c r="D66">
        <f ca="1">IFERROR(__xludf.DUMMYFUNCTION("""COMPUTED_VALUE"""),18)</f>
        <v>18</v>
      </c>
      <c r="E66">
        <f ca="1">IFERROR(__xludf.DUMMYFUNCTION("""COMPUTED_VALUE"""),168.8)</f>
        <v>168.8</v>
      </c>
      <c r="F66" s="2">
        <f ca="1">IFERROR(__xludf.DUMMYFUNCTION("""COMPUTED_VALUE"""),1495296)</f>
        <v>1495296</v>
      </c>
      <c r="G66">
        <f ca="1">IFERROR(__xludf.DUMMYFUNCTION("""COMPUTED_VALUE"""),246)</f>
        <v>246</v>
      </c>
    </row>
    <row r="67" spans="1:7" ht="12.75">
      <c r="A67" t="str">
        <f ca="1">IFERROR(__xludf.DUMMYFUNCTION("""COMPUTED_VALUE"""),"T63")</f>
        <v>T63</v>
      </c>
      <c r="B67">
        <f ca="1">IFERROR(__xludf.DUMMYFUNCTION("""COMPUTED_VALUE"""),74)</f>
        <v>74</v>
      </c>
      <c r="C67" t="str">
        <f ca="1">IFERROR(__xludf.DUMMYFUNCTION("""COMPUTED_VALUE"""),"Scottie Scheffler")</f>
        <v>Scottie Scheffler</v>
      </c>
      <c r="D67">
        <f ca="1">IFERROR(__xludf.DUMMYFUNCTION("""COMPUTED_VALUE"""),18)</f>
        <v>18</v>
      </c>
      <c r="E67">
        <f ca="1">IFERROR(__xludf.DUMMYFUNCTION("""COMPUTED_VALUE"""),168.8)</f>
        <v>168.8</v>
      </c>
      <c r="F67" s="2">
        <f ca="1">IFERROR(__xludf.DUMMYFUNCTION("""COMPUTED_VALUE"""),1476491)</f>
        <v>1476491</v>
      </c>
      <c r="G67">
        <f ca="1">IFERROR(__xludf.DUMMYFUNCTION("""COMPUTED_VALUE"""),243)</f>
        <v>243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IFERROR(__xludf.DUMMYFUNCTION("""COMPUTED_VALUE"""),93)</f>
        <v>93</v>
      </c>
      <c r="C68" t="str">
        <f ca="1">IFERROR(__xludf.DUMMYFUNCTION("""COMPUTED_VALUE"""),"Davis Riley")</f>
        <v>Davis Riley</v>
      </c>
      <c r="D68">
        <f ca="1">IFERROR(__xludf.DUMMYFUNCTION("""COMPUTED_VALUE"""),4)</f>
        <v>4</v>
      </c>
      <c r="E68">
        <f ca="1">IFERROR(__xludf.DUMMYFUNCTION("""COMPUTED_VALUE"""),168.9)</f>
        <v>168.9</v>
      </c>
      <c r="F68" s="2">
        <f ca="1">IFERROR(__xludf.DUMMYFUNCTION("""COMPUTED_VALUE"""),340533)</f>
        <v>340533</v>
      </c>
      <c r="G68">
        <f ca="1">IFERROR(__xludf.DUMMYFUNCTION("""COMPUTED_VALUE"""),56)</f>
        <v>56</v>
      </c>
    </row>
    <row r="69" spans="1:7" ht="12.75">
      <c r="A69" t="str">
        <f ca="1">IFERROR(__xludf.DUMMYFUNCTION("""COMPUTED_VALUE"""),"T68")</f>
        <v>T68</v>
      </c>
      <c r="B69" t="str">
        <f ca="1">IFERROR(__xludf.DUMMYFUNCTION("""COMPUTED_VALUE"""),"T33")</f>
        <v>T33</v>
      </c>
      <c r="C69" t="str">
        <f ca="1">IFERROR(__xludf.DUMMYFUNCTION("""COMPUTED_VALUE"""),"Bronson Burgoon")</f>
        <v>Bronson Burgoon</v>
      </c>
      <c r="D69">
        <f ca="1">IFERROR(__xludf.DUMMYFUNCTION("""COMPUTED_VALUE"""),10)</f>
        <v>10</v>
      </c>
      <c r="E69">
        <f ca="1">IFERROR(__xludf.DUMMYFUNCTION("""COMPUTED_VALUE"""),169)</f>
        <v>169</v>
      </c>
      <c r="F69" s="2">
        <f ca="1">IFERROR(__xludf.DUMMYFUNCTION("""COMPUTED_VALUE"""),669286)</f>
        <v>669286</v>
      </c>
      <c r="G69">
        <f ca="1">IFERROR(__xludf.DUMMYFUNCTION("""COMPUTED_VALUE"""),110)</f>
        <v>110</v>
      </c>
    </row>
    <row r="70" spans="1:7" ht="12.75">
      <c r="A70" t="str">
        <f ca="1">IFERROR(__xludf.DUMMYFUNCTION("""COMPUTED_VALUE"""),"T68")</f>
        <v>T68</v>
      </c>
      <c r="B70">
        <f ca="1">IFERROR(__xludf.DUMMYFUNCTION("""COMPUTED_VALUE"""),29)</f>
        <v>29</v>
      </c>
      <c r="C70" t="str">
        <f ca="1">IFERROR(__xludf.DUMMYFUNCTION("""COMPUTED_VALUE"""),"James Hahn")</f>
        <v>James Hahn</v>
      </c>
      <c r="D70">
        <f ca="1">IFERROR(__xludf.DUMMYFUNCTION("""COMPUTED_VALUE"""),16)</f>
        <v>16</v>
      </c>
      <c r="E70">
        <f ca="1">IFERROR(__xludf.DUMMYFUNCTION("""COMPUTED_VALUE"""),169)</f>
        <v>169</v>
      </c>
      <c r="F70" s="2">
        <f ca="1">IFERROR(__xludf.DUMMYFUNCTION("""COMPUTED_VALUE"""),997676)</f>
        <v>997676</v>
      </c>
      <c r="G70">
        <f ca="1">IFERROR(__xludf.DUMMYFUNCTION("""COMPUTED_VALUE"""),164)</f>
        <v>164</v>
      </c>
    </row>
    <row r="71" spans="1:7" ht="12.75">
      <c r="A71" t="str">
        <f ca="1">IFERROR(__xludf.DUMMYFUNCTION("""COMPUTED_VALUE"""),"T68")</f>
        <v>T68</v>
      </c>
      <c r="B71" t="str">
        <f ca="1">IFERROR(__xludf.DUMMYFUNCTION("""COMPUTED_VALUE"""),"T38")</f>
        <v>T38</v>
      </c>
      <c r="C71" t="str">
        <f ca="1">IFERROR(__xludf.DUMMYFUNCTION("""COMPUTED_VALUE"""),"Isaiah Salinda")</f>
        <v>Isaiah Salinda</v>
      </c>
      <c r="D71">
        <f ca="1">IFERROR(__xludf.DUMMYFUNCTION("""COMPUTED_VALUE"""),8)</f>
        <v>8</v>
      </c>
      <c r="E71">
        <f ca="1">IFERROR(__xludf.DUMMYFUNCTION("""COMPUTED_VALUE"""),169)</f>
        <v>169</v>
      </c>
      <c r="F71" s="2">
        <f ca="1">IFERROR(__xludf.DUMMYFUNCTION("""COMPUTED_VALUE"""),632849)</f>
        <v>632849</v>
      </c>
      <c r="G71">
        <f ca="1">IFERROR(__xludf.DUMMYFUNCTION("""COMPUTED_VALUE"""),104)</f>
        <v>104</v>
      </c>
    </row>
    <row r="72" spans="1:7" ht="12.75">
      <c r="A72" t="str">
        <f ca="1">IFERROR(__xludf.DUMMYFUNCTION("""COMPUTED_VALUE"""),"T71")</f>
        <v>T71</v>
      </c>
      <c r="B72" t="str">
        <f ca="1">IFERROR(__xludf.DUMMYFUNCTION("""COMPUTED_VALUE"""),"T95")</f>
        <v>T95</v>
      </c>
      <c r="C72" t="str">
        <f ca="1">IFERROR(__xludf.DUMMYFUNCTION("""COMPUTED_VALUE"""),"Anirban Lahiri")</f>
        <v>Anirban Lahiri</v>
      </c>
      <c r="D72">
        <f ca="1">IFERROR(__xludf.DUMMYFUNCTION("""COMPUTED_VALUE"""),16)</f>
        <v>16</v>
      </c>
      <c r="E72">
        <f ca="1">IFERROR(__xludf.DUMMYFUNCTION("""COMPUTED_VALUE"""),169.1)</f>
        <v>169.1</v>
      </c>
      <c r="F72" s="2">
        <f ca="1">IFERROR(__xludf.DUMMYFUNCTION("""COMPUTED_VALUE"""),675739)</f>
        <v>675739</v>
      </c>
      <c r="G72">
        <f ca="1">IFERROR(__xludf.DUMMYFUNCTION("""COMPUTED_VALUE"""),111)</f>
        <v>111</v>
      </c>
    </row>
    <row r="73" spans="1:7" ht="12.75">
      <c r="A73" t="str">
        <f ca="1">IFERROR(__xludf.DUMMYFUNCTION("""COMPUTED_VALUE"""),"T71")</f>
        <v>T71</v>
      </c>
      <c r="B73">
        <f ca="1">IFERROR(__xludf.DUMMYFUNCTION("""COMPUTED_VALUE"""),56)</f>
        <v>56</v>
      </c>
      <c r="C73" t="str">
        <f ca="1">IFERROR(__xludf.DUMMYFUNCTION("""COMPUTED_VALUE"""),"Hudson Swafford")</f>
        <v>Hudson Swafford</v>
      </c>
      <c r="D73">
        <f ca="1">IFERROR(__xludf.DUMMYFUNCTION("""COMPUTED_VALUE"""),18)</f>
        <v>18</v>
      </c>
      <c r="E73">
        <f ca="1">IFERROR(__xludf.DUMMYFUNCTION("""COMPUTED_VALUE"""),169.1)</f>
        <v>169.1</v>
      </c>
      <c r="F73" s="2">
        <f ca="1">IFERROR(__xludf.DUMMYFUNCTION("""COMPUTED_VALUE"""),827955)</f>
        <v>827955</v>
      </c>
      <c r="G73">
        <f ca="1">IFERROR(__xludf.DUMMYFUNCTION("""COMPUTED_VALUE"""),136)</f>
        <v>136</v>
      </c>
    </row>
    <row r="74" spans="1:7" ht="12.75">
      <c r="A74" t="str">
        <f ca="1">IFERROR(__xludf.DUMMYFUNCTION("""COMPUTED_VALUE"""),"T71")</f>
        <v>T71</v>
      </c>
      <c r="B74" t="str">
        <f ca="1">IFERROR(__xludf.DUMMYFUNCTION("""COMPUTED_VALUE"""),"T95")</f>
        <v>T95</v>
      </c>
      <c r="C74" t="str">
        <f ca="1">IFERROR(__xludf.DUMMYFUNCTION("""COMPUTED_VALUE"""),"Chase Seiffert")</f>
        <v>Chase Seiffert</v>
      </c>
      <c r="D74">
        <f ca="1">IFERROR(__xludf.DUMMYFUNCTION("""COMPUTED_VALUE"""),14)</f>
        <v>14</v>
      </c>
      <c r="E74">
        <f ca="1">IFERROR(__xludf.DUMMYFUNCTION("""COMPUTED_VALUE"""),169.1)</f>
        <v>169.1</v>
      </c>
      <c r="F74" s="2">
        <f ca="1">IFERROR(__xludf.DUMMYFUNCTION("""COMPUTED_VALUE"""),681919)</f>
        <v>681919</v>
      </c>
      <c r="G74">
        <f ca="1">IFERROR(__xludf.DUMMYFUNCTION("""COMPUTED_VALUE"""),112)</f>
        <v>112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IFERROR(__xludf.DUMMYFUNCTION("""COMPUTED_VALUE"""),"T89")</f>
        <v>T89</v>
      </c>
      <c r="C75" t="str">
        <f ca="1">IFERROR(__xludf.DUMMYFUNCTION("""COMPUTED_VALUE"""),"Danny Lee")</f>
        <v>Danny Lee</v>
      </c>
      <c r="D75">
        <f ca="1">IFERROR(__xludf.DUMMYFUNCTION("""COMPUTED_VALUE"""),15)</f>
        <v>15</v>
      </c>
      <c r="E75">
        <f ca="1">IFERROR(__xludf.DUMMYFUNCTION("""COMPUTED_VALUE"""),169.2)</f>
        <v>169.2</v>
      </c>
      <c r="F75" s="2">
        <f ca="1">IFERROR(__xludf.DUMMYFUNCTION("""COMPUTED_VALUE"""),1218010)</f>
        <v>1218010</v>
      </c>
      <c r="G75">
        <f ca="1">IFERROR(__xludf.DUMMYFUNCTION("""COMPUTED_VALUE"""),200)</f>
        <v>200</v>
      </c>
    </row>
    <row r="76" spans="1:7" ht="12.75">
      <c r="A76" t="str">
        <f ca="1">IFERROR(__xludf.DUMMYFUNCTION("""COMPUTED_VALUE"""),"T75")</f>
        <v>T75</v>
      </c>
      <c r="B76">
        <f ca="1">IFERROR(__xludf.DUMMYFUNCTION("""COMPUTED_VALUE"""),79)</f>
        <v>79</v>
      </c>
      <c r="C76" t="str">
        <f ca="1">IFERROR(__xludf.DUMMYFUNCTION("""COMPUTED_VALUE"""),"Carlos Ortiz")</f>
        <v>Carlos Ortiz</v>
      </c>
      <c r="D76">
        <f ca="1">IFERROR(__xludf.DUMMYFUNCTION("""COMPUTED_VALUE"""),20)</f>
        <v>20</v>
      </c>
      <c r="E76">
        <f ca="1">IFERROR(__xludf.DUMMYFUNCTION("""COMPUTED_VALUE"""),169.3)</f>
        <v>169.3</v>
      </c>
      <c r="F76" s="2">
        <f ca="1">IFERROR(__xludf.DUMMYFUNCTION("""COMPUTED_VALUE"""),1645503)</f>
        <v>1645503</v>
      </c>
      <c r="G76">
        <f ca="1">IFERROR(__xludf.DUMMYFUNCTION("""COMPUTED_VALUE"""),270)</f>
        <v>270</v>
      </c>
    </row>
    <row r="77" spans="1:7" ht="12.75">
      <c r="A77" t="str">
        <f ca="1">IFERROR(__xludf.DUMMYFUNCTION("""COMPUTED_VALUE"""),"T75")</f>
        <v>T75</v>
      </c>
      <c r="B77" t="str">
        <f ca="1">IFERROR(__xludf.DUMMYFUNCTION("""COMPUTED_VALUE"""),"T57")</f>
        <v>T57</v>
      </c>
      <c r="C77" t="str">
        <f ca="1">IFERROR(__xludf.DUMMYFUNCTION("""COMPUTED_VALUE"""),"Tom Lewis")</f>
        <v>Tom Lewis</v>
      </c>
      <c r="D77">
        <f ca="1">IFERROR(__xludf.DUMMYFUNCTION("""COMPUTED_VALUE"""),12)</f>
        <v>12</v>
      </c>
      <c r="E77">
        <f ca="1">IFERROR(__xludf.DUMMYFUNCTION("""COMPUTED_VALUE"""),169.3)</f>
        <v>169.3</v>
      </c>
      <c r="F77" s="2">
        <f ca="1">IFERROR(__xludf.DUMMYFUNCTION("""COMPUTED_VALUE"""),841172)</f>
        <v>841172</v>
      </c>
      <c r="G77">
        <f ca="1">IFERROR(__xludf.DUMMYFUNCTION("""COMPUTED_VALUE"""),138)</f>
        <v>138</v>
      </c>
    </row>
    <row r="78" spans="1:7" ht="12.75">
      <c r="A78" t="str">
        <f ca="1">IFERROR(__xludf.DUMMYFUNCTION("""COMPUTED_VALUE"""),"T75")</f>
        <v>T75</v>
      </c>
      <c r="B78" t="str">
        <f ca="1">IFERROR(__xludf.DUMMYFUNCTION("""COMPUTED_VALUE"""),"T99")</f>
        <v>T99</v>
      </c>
      <c r="C78" t="str">
        <f ca="1">IFERROR(__xludf.DUMMYFUNCTION("""COMPUTED_VALUE"""),"Patrick Cantlay")</f>
        <v>Patrick Cantlay</v>
      </c>
      <c r="D78">
        <f ca="1">IFERROR(__xludf.DUMMYFUNCTION("""COMPUTED_VALUE"""),16)</f>
        <v>16</v>
      </c>
      <c r="E78">
        <f ca="1">IFERROR(__xludf.DUMMYFUNCTION("""COMPUTED_VALUE"""),169.3)</f>
        <v>169.3</v>
      </c>
      <c r="F78" s="2">
        <f ca="1">IFERROR(__xludf.DUMMYFUNCTION("""COMPUTED_VALUE"""),1334430)</f>
        <v>1334430</v>
      </c>
      <c r="G78">
        <f ca="1">IFERROR(__xludf.DUMMYFUNCTION("""COMPUTED_VALUE"""),219)</f>
        <v>219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IFERROR(__xludf.DUMMYFUNCTION("""COMPUTED_VALUE"""),52)</f>
        <v>52</v>
      </c>
      <c r="C79" t="str">
        <f ca="1">IFERROR(__xludf.DUMMYFUNCTION("""COMPUTED_VALUE"""),"Matt Jones")</f>
        <v>Matt Jones</v>
      </c>
      <c r="D79">
        <f ca="1">IFERROR(__xludf.DUMMYFUNCTION("""COMPUTED_VALUE"""),20)</f>
        <v>20</v>
      </c>
      <c r="E79">
        <f ca="1">IFERROR(__xludf.DUMMYFUNCTION("""COMPUTED_VALUE"""),169.8)</f>
        <v>169.8</v>
      </c>
      <c r="F79" s="2">
        <f ca="1">IFERROR(__xludf.DUMMYFUNCTION("""COMPUTED_VALUE"""),990506)</f>
        <v>990506</v>
      </c>
      <c r="G79">
        <f ca="1">IFERROR(__xludf.DUMMYFUNCTION("""COMPUTED_VALUE"""),162)</f>
        <v>162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IFERROR(__xludf.DUMMYFUNCTION("""COMPUTED_VALUE"""),101)</f>
        <v>101</v>
      </c>
      <c r="C80" t="str">
        <f ca="1">IFERROR(__xludf.DUMMYFUNCTION("""COMPUTED_VALUE"""),"Bubba Watson")</f>
        <v>Bubba Watson</v>
      </c>
      <c r="D80">
        <f ca="1">IFERROR(__xludf.DUMMYFUNCTION("""COMPUTED_VALUE"""),12)</f>
        <v>12</v>
      </c>
      <c r="E80">
        <f ca="1">IFERROR(__xludf.DUMMYFUNCTION("""COMPUTED_VALUE"""),169.9)</f>
        <v>169.9</v>
      </c>
      <c r="F80" s="2">
        <f ca="1">IFERROR(__xludf.DUMMYFUNCTION("""COMPUTED_VALUE"""),990862)</f>
        <v>990862</v>
      </c>
      <c r="G80">
        <f ca="1">IFERROR(__xludf.DUMMYFUNCTION("""COMPUTED_VALUE"""),162)</f>
        <v>162</v>
      </c>
    </row>
    <row r="81" spans="1:7" ht="12.75">
      <c r="A81" t="str">
        <f ca="1">IFERROR(__xludf.DUMMYFUNCTION("""COMPUTED_VALUE"""),"T80")</f>
        <v>T80</v>
      </c>
      <c r="B81" t="str">
        <f ca="1">IFERROR(__xludf.DUMMYFUNCTION("""COMPUTED_VALUE"""),"T83")</f>
        <v>T83</v>
      </c>
      <c r="C81" t="str">
        <f ca="1">IFERROR(__xludf.DUMMYFUNCTION("""COMPUTED_VALUE"""),"Phil Mickelson")</f>
        <v>Phil Mickelson</v>
      </c>
      <c r="D81">
        <f ca="1">IFERROR(__xludf.DUMMYFUNCTION("""COMPUTED_VALUE"""),12)</f>
        <v>12</v>
      </c>
      <c r="E81">
        <f ca="1">IFERROR(__xludf.DUMMYFUNCTION("""COMPUTED_VALUE"""),170.1)</f>
        <v>170.1</v>
      </c>
      <c r="F81" s="2">
        <f ca="1">IFERROR(__xludf.DUMMYFUNCTION("""COMPUTED_VALUE"""),943206)</f>
        <v>943206</v>
      </c>
      <c r="G81">
        <f ca="1">IFERROR(__xludf.DUMMYFUNCTION("""COMPUTED_VALUE"""),154)</f>
        <v>154</v>
      </c>
    </row>
    <row r="82" spans="1:7" ht="12.75">
      <c r="A82" t="str">
        <f ca="1">IFERROR(__xludf.DUMMYFUNCTION("""COMPUTED_VALUE"""),"T80")</f>
        <v>T80</v>
      </c>
      <c r="B82" t="str">
        <f ca="1">IFERROR(__xludf.DUMMYFUNCTION("""COMPUTED_VALUE"""),"T53")</f>
        <v>T53</v>
      </c>
      <c r="C82" t="str">
        <f ca="1">IFERROR(__xludf.DUMMYFUNCTION("""COMPUTED_VALUE"""),"Kevin Chappell")</f>
        <v>Kevin Chappell</v>
      </c>
      <c r="D82">
        <f ca="1">IFERROR(__xludf.DUMMYFUNCTION("""COMPUTED_VALUE"""),16)</f>
        <v>16</v>
      </c>
      <c r="E82">
        <f ca="1">IFERROR(__xludf.DUMMYFUNCTION("""COMPUTED_VALUE"""),170.1)</f>
        <v>170.1</v>
      </c>
      <c r="F82" s="2">
        <f ca="1">IFERROR(__xludf.DUMMYFUNCTION("""COMPUTED_VALUE"""),1157042)</f>
        <v>1157042</v>
      </c>
      <c r="G82">
        <f ca="1">IFERROR(__xludf.DUMMYFUNCTION("""COMPUTED_VALUE"""),189)</f>
        <v>189</v>
      </c>
    </row>
    <row r="83" spans="1:7" ht="12.75">
      <c r="A83" t="str">
        <f ca="1">IFERROR(__xludf.DUMMYFUNCTION("""COMPUTED_VALUE"""),"T82")</f>
        <v>T82</v>
      </c>
      <c r="B83">
        <f ca="1">IFERROR(__xludf.DUMMYFUNCTION("""COMPUTED_VALUE"""),85)</f>
        <v>85</v>
      </c>
      <c r="C83" t="str">
        <f ca="1">IFERROR(__xludf.DUMMYFUNCTION("""COMPUTED_VALUE"""),"Si Woo Kim")</f>
        <v>Si Woo Kim</v>
      </c>
      <c r="D83">
        <f ca="1">IFERROR(__xludf.DUMMYFUNCTION("""COMPUTED_VALUE"""),20)</f>
        <v>20</v>
      </c>
      <c r="E83">
        <f ca="1">IFERROR(__xludf.DUMMYFUNCTION("""COMPUTED_VALUE"""),170.3)</f>
        <v>170.3</v>
      </c>
      <c r="F83" s="2">
        <f ca="1">IFERROR(__xludf.DUMMYFUNCTION("""COMPUTED_VALUE"""),1698470)</f>
        <v>1698470</v>
      </c>
      <c r="G83">
        <f ca="1">IFERROR(__xludf.DUMMYFUNCTION("""COMPUTED_VALUE"""),277)</f>
        <v>277</v>
      </c>
    </row>
    <row r="84" spans="1:7" ht="12.75">
      <c r="A84" t="str">
        <f ca="1">IFERROR(__xludf.DUMMYFUNCTION("""COMPUTED_VALUE"""),"T82")</f>
        <v>T82</v>
      </c>
      <c r="B84">
        <f ca="1">IFERROR(__xludf.DUMMYFUNCTION("""COMPUTED_VALUE"""),103)</f>
        <v>103</v>
      </c>
      <c r="C84" t="str">
        <f ca="1">IFERROR(__xludf.DUMMYFUNCTION("""COMPUTED_VALUE"""),"Jaekyeong Lee")</f>
        <v>Jaekyeong Lee</v>
      </c>
      <c r="D84">
        <f ca="1">IFERROR(__xludf.DUMMYFUNCTION("""COMPUTED_VALUE"""),4)</f>
        <v>4</v>
      </c>
      <c r="E84">
        <f ca="1">IFERROR(__xludf.DUMMYFUNCTION("""COMPUTED_VALUE"""),170.3)</f>
        <v>170.3</v>
      </c>
      <c r="F84" s="2">
        <f ca="1">IFERROR(__xludf.DUMMYFUNCTION("""COMPUTED_VALUE"""),337134)</f>
        <v>337134</v>
      </c>
      <c r="G84">
        <f ca="1">IFERROR(__xludf.DUMMYFUNCTION("""COMPUTED_VALUE"""),55)</f>
        <v>55</v>
      </c>
    </row>
    <row r="85" spans="1:7" ht="12.75">
      <c r="A85" t="str">
        <f ca="1">IFERROR(__xludf.DUMMYFUNCTION("""COMPUTED_VALUE"""),"T84")</f>
        <v>T84</v>
      </c>
      <c r="B85">
        <f ca="1">IFERROR(__xludf.DUMMYFUNCTION("""COMPUTED_VALUE"""),67)</f>
        <v>67</v>
      </c>
      <c r="C85" t="str">
        <f ca="1">IFERROR(__xludf.DUMMYFUNCTION("""COMPUTED_VALUE"""),"Sean O'Hair")</f>
        <v>Sean O'Hair</v>
      </c>
      <c r="D85">
        <f ca="1">IFERROR(__xludf.DUMMYFUNCTION("""COMPUTED_VALUE"""),14)</f>
        <v>14</v>
      </c>
      <c r="E85">
        <f ca="1">IFERROR(__xludf.DUMMYFUNCTION("""COMPUTED_VALUE"""),170.4)</f>
        <v>170.4</v>
      </c>
      <c r="F85" s="2">
        <f ca="1">IFERROR(__xludf.DUMMYFUNCTION("""COMPUTED_VALUE"""),822031)</f>
        <v>822031</v>
      </c>
      <c r="G85">
        <f ca="1">IFERROR(__xludf.DUMMYFUNCTION("""COMPUTED_VALUE"""),134)</f>
        <v>134</v>
      </c>
    </row>
    <row r="86" spans="1:7" ht="12.75">
      <c r="A86" t="str">
        <f ca="1">IFERROR(__xludf.DUMMYFUNCTION("""COMPUTED_VALUE"""),"T84")</f>
        <v>T84</v>
      </c>
      <c r="B86" t="str">
        <f ca="1">IFERROR(__xludf.DUMMYFUNCTION("""COMPUTED_VALUE"""),"T165")</f>
        <v>T165</v>
      </c>
      <c r="C86" t="str">
        <f ca="1">IFERROR(__xludf.DUMMYFUNCTION("""COMPUTED_VALUE"""),"Dustin Johnson")</f>
        <v>Dustin Johnson</v>
      </c>
      <c r="D86">
        <f ca="1">IFERROR(__xludf.DUMMYFUNCTION("""COMPUTED_VALUE"""),8)</f>
        <v>8</v>
      </c>
      <c r="E86">
        <f ca="1">IFERROR(__xludf.DUMMYFUNCTION("""COMPUTED_VALUE"""),170.4)</f>
        <v>170.4</v>
      </c>
      <c r="F86" s="2">
        <f ca="1">IFERROR(__xludf.DUMMYFUNCTION("""COMPUTED_VALUE"""),662321)</f>
        <v>662321</v>
      </c>
      <c r="G86">
        <f ca="1">IFERROR(__xludf.DUMMYFUNCTION("""COMPUTED_VALUE"""),108)</f>
        <v>108</v>
      </c>
    </row>
    <row r="87" spans="1:7" ht="12.75">
      <c r="A87" t="str">
        <f ca="1">IFERROR(__xludf.DUMMYFUNCTION("""COMPUTED_VALUE"""),"T84")</f>
        <v>T84</v>
      </c>
      <c r="B87" t="str">
        <f ca="1">IFERROR(__xludf.DUMMYFUNCTION("""COMPUTED_VALUE"""),"T104")</f>
        <v>T104</v>
      </c>
      <c r="C87" t="str">
        <f ca="1">IFERROR(__xludf.DUMMYFUNCTION("""COMPUTED_VALUE"""),"Byeong Hun An")</f>
        <v>Byeong Hun An</v>
      </c>
      <c r="D87">
        <f ca="1">IFERROR(__xludf.DUMMYFUNCTION("""COMPUTED_VALUE"""),14)</f>
        <v>14</v>
      </c>
      <c r="E87">
        <f ca="1">IFERROR(__xludf.DUMMYFUNCTION("""COMPUTED_VALUE"""),170.4)</f>
        <v>170.4</v>
      </c>
      <c r="F87" s="2">
        <f ca="1">IFERROR(__xludf.DUMMYFUNCTION("""COMPUTED_VALUE"""),1153563)</f>
        <v>1153563</v>
      </c>
      <c r="G87">
        <f ca="1">IFERROR(__xludf.DUMMYFUNCTION("""COMPUTED_VALUE"""),188)</f>
        <v>188</v>
      </c>
    </row>
    <row r="88" spans="1:7" ht="12.75">
      <c r="A88" t="str">
        <f ca="1">IFERROR(__xludf.DUMMYFUNCTION("""COMPUTED_VALUE"""),"T84")</f>
        <v>T84</v>
      </c>
      <c r="B88" t="str">
        <f ca="1">IFERROR(__xludf.DUMMYFUNCTION("""COMPUTED_VALUE"""),"T81")</f>
        <v>T81</v>
      </c>
      <c r="C88" t="str">
        <f ca="1">IFERROR(__xludf.DUMMYFUNCTION("""COMPUTED_VALUE"""),"Matthew NeSmith")</f>
        <v>Matthew NeSmith</v>
      </c>
      <c r="D88">
        <f ca="1">IFERROR(__xludf.DUMMYFUNCTION("""COMPUTED_VALUE"""),16)</f>
        <v>16</v>
      </c>
      <c r="E88">
        <f ca="1">IFERROR(__xludf.DUMMYFUNCTION("""COMPUTED_VALUE"""),170.4)</f>
        <v>170.4</v>
      </c>
      <c r="F88" s="2">
        <f ca="1">IFERROR(__xludf.DUMMYFUNCTION("""COMPUTED_VALUE"""),1018214)</f>
        <v>1018214</v>
      </c>
      <c r="G88">
        <f ca="1">IFERROR(__xludf.DUMMYFUNCTION("""COMPUTED_VALUE"""),166)</f>
        <v>166</v>
      </c>
    </row>
    <row r="89" spans="1:7" ht="12.75">
      <c r="A89">
        <f ca="1">IFERROR(__xludf.DUMMYFUNCTION("""COMPUTED_VALUE"""),88)</f>
        <v>88</v>
      </c>
      <c r="B89" t="str">
        <f ca="1">IFERROR(__xludf.DUMMYFUNCTION("""COMPUTED_VALUE"""),"T70")</f>
        <v>T70</v>
      </c>
      <c r="C89" t="str">
        <f ca="1">IFERROR(__xludf.DUMMYFUNCTION("""COMPUTED_VALUE"""),"Xinjun Zhang")</f>
        <v>Xinjun Zhang</v>
      </c>
      <c r="D89">
        <f ca="1">IFERROR(__xludf.DUMMYFUNCTION("""COMPUTED_VALUE"""),14)</f>
        <v>14</v>
      </c>
      <c r="E89">
        <f ca="1">IFERROR(__xludf.DUMMYFUNCTION("""COMPUTED_VALUE"""),170.5)</f>
        <v>170.5</v>
      </c>
      <c r="F89" s="2">
        <f ca="1">IFERROR(__xludf.DUMMYFUNCTION("""COMPUTED_VALUE"""),847037)</f>
        <v>847037</v>
      </c>
      <c r="G89">
        <f ca="1">IFERROR(__xludf.DUMMYFUNCTION("""COMPUTED_VALUE"""),138)</f>
        <v>138</v>
      </c>
    </row>
    <row r="90" spans="1:7" ht="12.75">
      <c r="A90" t="str">
        <f ca="1">IFERROR(__xludf.DUMMYFUNCTION("""COMPUTED_VALUE"""),"T89")</f>
        <v>T89</v>
      </c>
      <c r="B90" t="str">
        <f ca="1">IFERROR(__xludf.DUMMYFUNCTION("""COMPUTED_VALUE"""),"T50")</f>
        <v>T50</v>
      </c>
      <c r="C90" t="str">
        <f ca="1">IFERROR(__xludf.DUMMYFUNCTION("""COMPUTED_VALUE"""),"Scott Piercy")</f>
        <v>Scott Piercy</v>
      </c>
      <c r="D90">
        <f ca="1">IFERROR(__xludf.DUMMYFUNCTION("""COMPUTED_VALUE"""),18)</f>
        <v>18</v>
      </c>
      <c r="E90">
        <f ca="1">IFERROR(__xludf.DUMMYFUNCTION("""COMPUTED_VALUE"""),170.6)</f>
        <v>170.6</v>
      </c>
      <c r="F90" s="2">
        <f ca="1">IFERROR(__xludf.DUMMYFUNCTION("""COMPUTED_VALUE"""),1172797)</f>
        <v>1172797</v>
      </c>
      <c r="G90">
        <f ca="1">IFERROR(__xludf.DUMMYFUNCTION("""COMPUTED_VALUE"""),191)</f>
        <v>191</v>
      </c>
    </row>
    <row r="91" spans="1:7" ht="12.75">
      <c r="A91" t="str">
        <f ca="1">IFERROR(__xludf.DUMMYFUNCTION("""COMPUTED_VALUE"""),"T89")</f>
        <v>T89</v>
      </c>
      <c r="B91">
        <f ca="1">IFERROR(__xludf.DUMMYFUNCTION("""COMPUTED_VALUE"""),106)</f>
        <v>106</v>
      </c>
      <c r="C91" t="str">
        <f ca="1">IFERROR(__xludf.DUMMYFUNCTION("""COMPUTED_VALUE"""),"Vincent Whaley")</f>
        <v>Vincent Whaley</v>
      </c>
      <c r="D91">
        <f ca="1">IFERROR(__xludf.DUMMYFUNCTION("""COMPUTED_VALUE"""),14)</f>
        <v>14</v>
      </c>
      <c r="E91">
        <f ca="1">IFERROR(__xludf.DUMMYFUNCTION("""COMPUTED_VALUE"""),170.6)</f>
        <v>170.6</v>
      </c>
      <c r="F91" s="2">
        <f ca="1">IFERROR(__xludf.DUMMYFUNCTION("""COMPUTED_VALUE"""),687797)</f>
        <v>687797</v>
      </c>
      <c r="G91">
        <f ca="1">IFERROR(__xludf.DUMMYFUNCTION("""COMPUTED_VALUE"""),112)</f>
        <v>112</v>
      </c>
    </row>
    <row r="92" spans="1:7" ht="12.75">
      <c r="A92" t="str">
        <f ca="1">IFERROR(__xludf.DUMMYFUNCTION("""COMPUTED_VALUE"""),"T91")</f>
        <v>T91</v>
      </c>
      <c r="B92">
        <f ca="1">IFERROR(__xludf.DUMMYFUNCTION("""COMPUTED_VALUE"""),65)</f>
        <v>65</v>
      </c>
      <c r="C92" t="str">
        <f ca="1">IFERROR(__xludf.DUMMYFUNCTION("""COMPUTED_VALUE"""),"Jason Dufner")</f>
        <v>Jason Dufner</v>
      </c>
      <c r="D92">
        <f ca="1">IFERROR(__xludf.DUMMYFUNCTION("""COMPUTED_VALUE"""),14)</f>
        <v>14</v>
      </c>
      <c r="E92">
        <f ca="1">IFERROR(__xludf.DUMMYFUNCTION("""COMPUTED_VALUE"""),171)</f>
        <v>171</v>
      </c>
      <c r="F92" s="2">
        <f ca="1">IFERROR(__xludf.DUMMYFUNCTION("""COMPUTED_VALUE"""),843273)</f>
        <v>843273</v>
      </c>
      <c r="G92">
        <f ca="1">IFERROR(__xludf.DUMMYFUNCTION("""COMPUTED_VALUE"""),137)</f>
        <v>137</v>
      </c>
    </row>
    <row r="93" spans="1:7" ht="12.75">
      <c r="A93" t="str">
        <f ca="1">IFERROR(__xludf.DUMMYFUNCTION("""COMPUTED_VALUE"""),"T91")</f>
        <v>T91</v>
      </c>
      <c r="B93" t="str">
        <f ca="1">IFERROR(__xludf.DUMMYFUNCTION("""COMPUTED_VALUE"""),"T108")</f>
        <v>T108</v>
      </c>
      <c r="C93" t="str">
        <f ca="1">IFERROR(__xludf.DUMMYFUNCTION("""COMPUTED_VALUE"""),"Seonghyeon Kim")</f>
        <v>Seonghyeon Kim</v>
      </c>
      <c r="D93">
        <f ca="1">IFERROR(__xludf.DUMMYFUNCTION("""COMPUTED_VALUE"""),4)</f>
        <v>4</v>
      </c>
      <c r="E93">
        <f ca="1">IFERROR(__xludf.DUMMYFUNCTION("""COMPUTED_VALUE"""),171)</f>
        <v>171</v>
      </c>
      <c r="F93" s="2">
        <f ca="1">IFERROR(__xludf.DUMMYFUNCTION("""COMPUTED_VALUE"""),338594)</f>
        <v>338594</v>
      </c>
      <c r="G93">
        <f ca="1">IFERROR(__xludf.DUMMYFUNCTION("""COMPUTED_VALUE"""),55)</f>
        <v>55</v>
      </c>
    </row>
    <row r="94" spans="1:7" ht="12.75">
      <c r="A94">
        <f ca="1">IFERROR(__xludf.DUMMYFUNCTION("""COMPUTED_VALUE"""),93)</f>
        <v>93</v>
      </c>
      <c r="B94" t="str">
        <f ca="1">IFERROR(__xludf.DUMMYFUNCTION("""COMPUTED_VALUE"""),"T110")</f>
        <v>T110</v>
      </c>
      <c r="C94" t="str">
        <f ca="1">IFERROR(__xludf.DUMMYFUNCTION("""COMPUTED_VALUE"""),"Jon Rahm")</f>
        <v>Jon Rahm</v>
      </c>
      <c r="D94">
        <f ca="1">IFERROR(__xludf.DUMMYFUNCTION("""COMPUTED_VALUE"""),12)</f>
        <v>12</v>
      </c>
      <c r="E94">
        <f ca="1">IFERROR(__xludf.DUMMYFUNCTION("""COMPUTED_VALUE"""),171.2)</f>
        <v>171.2</v>
      </c>
      <c r="F94" s="2">
        <f ca="1">IFERROR(__xludf.DUMMYFUNCTION("""COMPUTED_VALUE"""),1011034)</f>
        <v>1011034</v>
      </c>
      <c r="G94">
        <f ca="1">IFERROR(__xludf.DUMMYFUNCTION("""COMPUTED_VALUE"""),164)</f>
        <v>164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IFERROR(__xludf.DUMMYFUNCTION("""COMPUTED_VALUE"""),"T89")</f>
        <v>T89</v>
      </c>
      <c r="C95" t="str">
        <f ca="1">IFERROR(__xludf.DUMMYFUNCTION("""COMPUTED_VALUE"""),"Jimmy Walker")</f>
        <v>Jimmy Walker</v>
      </c>
      <c r="D95">
        <f ca="1">IFERROR(__xludf.DUMMYFUNCTION("""COMPUTED_VALUE"""),10)</f>
        <v>10</v>
      </c>
      <c r="E95">
        <f ca="1">IFERROR(__xludf.DUMMYFUNCTION("""COMPUTED_VALUE"""),171.3)</f>
        <v>171.3</v>
      </c>
      <c r="F95" s="2">
        <f ca="1">IFERROR(__xludf.DUMMYFUNCTION("""COMPUTED_VALUE"""),838881)</f>
        <v>838881</v>
      </c>
      <c r="G95">
        <f ca="1">IFERROR(__xludf.DUMMYFUNCTION("""COMPUTED_VALUE"""),136)</f>
        <v>136</v>
      </c>
    </row>
    <row r="96" spans="1:7" ht="12.75">
      <c r="A96" t="str">
        <f ca="1">IFERROR(__xludf.DUMMYFUNCTION("""COMPUTED_VALUE"""),"T94")</f>
        <v>T94</v>
      </c>
      <c r="B96">
        <f ca="1">IFERROR(__xludf.DUMMYFUNCTION("""COMPUTED_VALUE"""),112)</f>
        <v>112</v>
      </c>
      <c r="C96" t="str">
        <f ca="1">IFERROR(__xludf.DUMMYFUNCTION("""COMPUTED_VALUE"""),"Thomas Pieters")</f>
        <v>Thomas Pieters</v>
      </c>
      <c r="D96">
        <f ca="1">IFERROR(__xludf.DUMMYFUNCTION("""COMPUTED_VALUE"""),4)</f>
        <v>4</v>
      </c>
      <c r="E96">
        <f ca="1">IFERROR(__xludf.DUMMYFUNCTION("""COMPUTED_VALUE"""),171.3)</f>
        <v>171.3</v>
      </c>
      <c r="F96" s="2">
        <f ca="1">IFERROR(__xludf.DUMMYFUNCTION("""COMPUTED_VALUE"""),345288)</f>
        <v>345288</v>
      </c>
      <c r="G96">
        <f ca="1">IFERROR(__xludf.DUMMYFUNCTION("""COMPUTED_VALUE"""),56)</f>
        <v>56</v>
      </c>
    </row>
    <row r="97" spans="1:7" ht="12.75">
      <c r="A97" t="str">
        <f ca="1">IFERROR(__xludf.DUMMYFUNCTION("""COMPUTED_VALUE"""),"T96")</f>
        <v>T96</v>
      </c>
      <c r="B97" t="str">
        <f ca="1">IFERROR(__xludf.DUMMYFUNCTION("""COMPUTED_VALUE"""),"T110")</f>
        <v>T110</v>
      </c>
      <c r="C97" t="str">
        <f ca="1">IFERROR(__xludf.DUMMYFUNCTION("""COMPUTED_VALUE"""),"Jason Day")</f>
        <v>Jason Day</v>
      </c>
      <c r="D97">
        <f ca="1">IFERROR(__xludf.DUMMYFUNCTION("""COMPUTED_VALUE"""),17)</f>
        <v>17</v>
      </c>
      <c r="E97">
        <f ca="1">IFERROR(__xludf.DUMMYFUNCTION("""COMPUTED_VALUE"""),171.5)</f>
        <v>171.5</v>
      </c>
      <c r="F97" s="2">
        <f ca="1">IFERROR(__xludf.DUMMYFUNCTION("""COMPUTED_VALUE"""),1413471)</f>
        <v>1413471</v>
      </c>
      <c r="G97">
        <f ca="1">IFERROR(__xludf.DUMMYFUNCTION("""COMPUTED_VALUE"""),229)</f>
        <v>229</v>
      </c>
    </row>
    <row r="98" spans="1:7" ht="12.75">
      <c r="A98" t="str">
        <f ca="1">IFERROR(__xludf.DUMMYFUNCTION("""COMPUTED_VALUE"""),"T96")</f>
        <v>T96</v>
      </c>
      <c r="B98" t="str">
        <f ca="1">IFERROR(__xludf.DUMMYFUNCTION("""COMPUTED_VALUE"""),"T115")</f>
        <v>T115</v>
      </c>
      <c r="C98" t="str">
        <f ca="1">IFERROR(__xludf.DUMMYFUNCTION("""COMPUTED_VALUE"""),"Rafael Campos")</f>
        <v>Rafael Campos</v>
      </c>
      <c r="D98">
        <f ca="1">IFERROR(__xludf.DUMMYFUNCTION("""COMPUTED_VALUE"""),6)</f>
        <v>6</v>
      </c>
      <c r="E98">
        <f ca="1">IFERROR(__xludf.DUMMYFUNCTION("""COMPUTED_VALUE"""),171.5)</f>
        <v>171.5</v>
      </c>
      <c r="F98" s="2">
        <f ca="1">IFERROR(__xludf.DUMMYFUNCTION("""COMPUTED_VALUE"""),172842)</f>
        <v>172842</v>
      </c>
      <c r="G98">
        <f ca="1">IFERROR(__xludf.DUMMYFUNCTION("""COMPUTED_VALUE"""),28)</f>
        <v>28</v>
      </c>
    </row>
    <row r="99" spans="1:7" ht="12.75">
      <c r="A99" t="str">
        <f ca="1">IFERROR(__xludf.DUMMYFUNCTION("""COMPUTED_VALUE"""),"T96")</f>
        <v>T96</v>
      </c>
      <c r="B99" t="str">
        <f ca="1">IFERROR(__xludf.DUMMYFUNCTION("""COMPUTED_VALUE"""),"T75")</f>
        <v>T75</v>
      </c>
      <c r="C99" t="str">
        <f ca="1">IFERROR(__xludf.DUMMYFUNCTION("""COMPUTED_VALUE"""),"Bo Hoag")</f>
        <v>Bo Hoag</v>
      </c>
      <c r="D99">
        <f ca="1">IFERROR(__xludf.DUMMYFUNCTION("""COMPUTED_VALUE"""),14)</f>
        <v>14</v>
      </c>
      <c r="E99">
        <f ca="1">IFERROR(__xludf.DUMMYFUNCTION("""COMPUTED_VALUE"""),171.5)</f>
        <v>171.5</v>
      </c>
      <c r="F99" s="2">
        <f ca="1">IFERROR(__xludf.DUMMYFUNCTION("""COMPUTED_VALUE"""),839590)</f>
        <v>839590</v>
      </c>
      <c r="G99">
        <f ca="1">IFERROR(__xludf.DUMMYFUNCTION("""COMPUTED_VALUE"""),136)</f>
        <v>136</v>
      </c>
    </row>
    <row r="100" spans="1:7" ht="12.75">
      <c r="A100" t="str">
        <f ca="1">IFERROR(__xludf.DUMMYFUNCTION("""COMPUTED_VALUE"""),"T96")</f>
        <v>T96</v>
      </c>
      <c r="B100" t="str">
        <f ca="1">IFERROR(__xludf.DUMMYFUNCTION("""COMPUTED_VALUE"""),"T115")</f>
        <v>T115</v>
      </c>
      <c r="C100" t="str">
        <f ca="1">IFERROR(__xludf.DUMMYFUNCTION("""COMPUTED_VALUE"""),"Chesson Hadley")</f>
        <v>Chesson Hadley</v>
      </c>
      <c r="D100">
        <f ca="1">IFERROR(__xludf.DUMMYFUNCTION("""COMPUTED_VALUE"""),16)</f>
        <v>16</v>
      </c>
      <c r="E100">
        <f ca="1">IFERROR(__xludf.DUMMYFUNCTION("""COMPUTED_VALUE"""),171.5)</f>
        <v>171.5</v>
      </c>
      <c r="F100" s="2">
        <f ca="1">IFERROR(__xludf.DUMMYFUNCTION("""COMPUTED_VALUE"""),1025139)</f>
        <v>1025139</v>
      </c>
      <c r="G100">
        <f ca="1">IFERROR(__xludf.DUMMYFUNCTION("""COMPUTED_VALUE"""),166)</f>
        <v>166</v>
      </c>
    </row>
    <row r="101" spans="1:7" ht="12.75">
      <c r="A101" t="str">
        <f ca="1">IFERROR(__xludf.DUMMYFUNCTION("""COMPUTED_VALUE"""),"T100")</f>
        <v>T100</v>
      </c>
      <c r="B101">
        <f ca="1">IFERROR(__xludf.DUMMYFUNCTION("""COMPUTED_VALUE"""),80)</f>
        <v>80</v>
      </c>
      <c r="C101" t="str">
        <f ca="1">IFERROR(__xludf.DUMMYFUNCTION("""COMPUTED_VALUE"""),"Scott Stallings")</f>
        <v>Scott Stallings</v>
      </c>
      <c r="D101">
        <f ca="1">IFERROR(__xludf.DUMMYFUNCTION("""COMPUTED_VALUE"""),14)</f>
        <v>14</v>
      </c>
      <c r="E101">
        <f ca="1">IFERROR(__xludf.DUMMYFUNCTION("""COMPUTED_VALUE"""),172)</f>
        <v>172</v>
      </c>
      <c r="F101" s="2">
        <f ca="1">IFERROR(__xludf.DUMMYFUNCTION("""COMPUTED_VALUE"""),842125)</f>
        <v>842125</v>
      </c>
      <c r="G101">
        <f ca="1">IFERROR(__xludf.DUMMYFUNCTION("""COMPUTED_VALUE"""),136)</f>
        <v>136</v>
      </c>
    </row>
    <row r="102" spans="1:7" ht="12.75">
      <c r="A102" t="str">
        <f ca="1">IFERROR(__xludf.DUMMYFUNCTION("""COMPUTED_VALUE"""),"T100")</f>
        <v>T100</v>
      </c>
      <c r="B102" t="str">
        <f ca="1">IFERROR(__xludf.DUMMYFUNCTION("""COMPUTED_VALUE"""),"T59")</f>
        <v>T59</v>
      </c>
      <c r="C102" t="str">
        <f ca="1">IFERROR(__xludf.DUMMYFUNCTION("""COMPUTED_VALUE"""),"Austin Cook")</f>
        <v>Austin Cook</v>
      </c>
      <c r="D102">
        <f ca="1">IFERROR(__xludf.DUMMYFUNCTION("""COMPUTED_VALUE"""),14)</f>
        <v>14</v>
      </c>
      <c r="E102">
        <f ca="1">IFERROR(__xludf.DUMMYFUNCTION("""COMPUTED_VALUE"""),172)</f>
        <v>172</v>
      </c>
      <c r="F102" s="2">
        <f ca="1">IFERROR(__xludf.DUMMYFUNCTION("""COMPUTED_VALUE"""),1188995)</f>
        <v>1188995</v>
      </c>
      <c r="G102">
        <f ca="1">IFERROR(__xludf.DUMMYFUNCTION("""COMPUTED_VALUE"""),192)</f>
        <v>192</v>
      </c>
    </row>
    <row r="103" spans="1:7" ht="12.75">
      <c r="A103" t="str">
        <f ca="1">IFERROR(__xludf.DUMMYFUNCTION("""COMPUTED_VALUE"""),"T102")</f>
        <v>T102</v>
      </c>
      <c r="B103">
        <f ca="1">IFERROR(__xludf.DUMMYFUNCTION("""COMPUTED_VALUE"""),119)</f>
        <v>119</v>
      </c>
      <c r="C103" t="str">
        <f ca="1">IFERROR(__xludf.DUMMYFUNCTION("""COMPUTED_VALUE"""),"Ryan Blaum")</f>
        <v>Ryan Blaum</v>
      </c>
      <c r="D103">
        <f ca="1">IFERROR(__xludf.DUMMYFUNCTION("""COMPUTED_VALUE"""),8)</f>
        <v>8</v>
      </c>
      <c r="E103">
        <f ca="1">IFERROR(__xludf.DUMMYFUNCTION("""COMPUTED_VALUE"""),172.1)</f>
        <v>172.1</v>
      </c>
      <c r="F103" s="2">
        <f ca="1">IFERROR(__xludf.DUMMYFUNCTION("""COMPUTED_VALUE"""),346883)</f>
        <v>346883</v>
      </c>
      <c r="G103">
        <f ca="1">IFERROR(__xludf.DUMMYFUNCTION("""COMPUTED_VALUE"""),56)</f>
        <v>56</v>
      </c>
    </row>
    <row r="104" spans="1:7" ht="12.75">
      <c r="A104" t="str">
        <f ca="1">IFERROR(__xludf.DUMMYFUNCTION("""COMPUTED_VALUE"""),"T102")</f>
        <v>T102</v>
      </c>
      <c r="B104" t="str">
        <f ca="1">IFERROR(__xludf.DUMMYFUNCTION("""COMPUTED_VALUE"""),"T99")</f>
        <v>T99</v>
      </c>
      <c r="C104" t="str">
        <f ca="1">IFERROR(__xludf.DUMMYFUNCTION("""COMPUTED_VALUE"""),"Henrik Norlander")</f>
        <v>Henrik Norlander</v>
      </c>
      <c r="D104">
        <f ca="1">IFERROR(__xludf.DUMMYFUNCTION("""COMPUTED_VALUE"""),16)</f>
        <v>16</v>
      </c>
      <c r="E104">
        <f ca="1">IFERROR(__xludf.DUMMYFUNCTION("""COMPUTED_VALUE"""),172.1)</f>
        <v>172.1</v>
      </c>
      <c r="F104" s="2">
        <f ca="1">IFERROR(__xludf.DUMMYFUNCTION("""COMPUTED_VALUE"""),1028606)</f>
        <v>1028606</v>
      </c>
      <c r="G104">
        <f ca="1">IFERROR(__xludf.DUMMYFUNCTION("""COMPUTED_VALUE"""),166)</f>
        <v>166</v>
      </c>
    </row>
    <row r="105" spans="1:7" ht="12.75">
      <c r="A105" t="str">
        <f ca="1">IFERROR(__xludf.DUMMYFUNCTION("""COMPUTED_VALUE"""),"T104")</f>
        <v>T104</v>
      </c>
      <c r="B105" t="str">
        <f ca="1">IFERROR(__xludf.DUMMYFUNCTION("""COMPUTED_VALUE"""),"T120")</f>
        <v>T120</v>
      </c>
      <c r="C105" t="str">
        <f ca="1">IFERROR(__xludf.DUMMYFUNCTION("""COMPUTED_VALUE"""),"Josh Teater")</f>
        <v>Josh Teater</v>
      </c>
      <c r="D105">
        <f ca="1">IFERROR(__xludf.DUMMYFUNCTION("""COMPUTED_VALUE"""),6)</f>
        <v>6</v>
      </c>
      <c r="E105">
        <f ca="1">IFERROR(__xludf.DUMMYFUNCTION("""COMPUTED_VALUE"""),172.2)</f>
        <v>172.2</v>
      </c>
      <c r="F105" s="2">
        <f ca="1">IFERROR(__xludf.DUMMYFUNCTION("""COMPUTED_VALUE"""),173534)</f>
        <v>173534</v>
      </c>
      <c r="G105">
        <f ca="1">IFERROR(__xludf.DUMMYFUNCTION("""COMPUTED_VALUE"""),28)</f>
        <v>28</v>
      </c>
    </row>
    <row r="106" spans="1:7" ht="12.75">
      <c r="A106" t="str">
        <f ca="1">IFERROR(__xludf.DUMMYFUNCTION("""COMPUTED_VALUE"""),"T104")</f>
        <v>T104</v>
      </c>
      <c r="B106" t="str">
        <f ca="1">IFERROR(__xludf.DUMMYFUNCTION("""COMPUTED_VALUE"""),"T120")</f>
        <v>T120</v>
      </c>
      <c r="C106" t="str">
        <f ca="1">IFERROR(__xludf.DUMMYFUNCTION("""COMPUTED_VALUE"""),"Rickie Fowler")</f>
        <v>Rickie Fowler</v>
      </c>
      <c r="D106">
        <f ca="1">IFERROR(__xludf.DUMMYFUNCTION("""COMPUTED_VALUE"""),14)</f>
        <v>14</v>
      </c>
      <c r="E106">
        <f ca="1">IFERROR(__xludf.DUMMYFUNCTION("""COMPUTED_VALUE"""),172.2)</f>
        <v>172.2</v>
      </c>
      <c r="F106" s="2">
        <f ca="1">IFERROR(__xludf.DUMMYFUNCTION("""COMPUTED_VALUE"""),1165512)</f>
        <v>1165512</v>
      </c>
      <c r="G106">
        <f ca="1">IFERROR(__xludf.DUMMYFUNCTION("""COMPUTED_VALUE"""),188)</f>
        <v>188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IFERROR(__xludf.DUMMYFUNCTION("""COMPUTED_VALUE"""),"T123")</f>
        <v>T123</v>
      </c>
      <c r="C107" t="str">
        <f ca="1">IFERROR(__xludf.DUMMYFUNCTION("""COMPUTED_VALUE"""),"Rob Oppenheim")</f>
        <v>Rob Oppenheim</v>
      </c>
      <c r="D107">
        <f ca="1">IFERROR(__xludf.DUMMYFUNCTION("""COMPUTED_VALUE"""),16)</f>
        <v>16</v>
      </c>
      <c r="E107">
        <f ca="1">IFERROR(__xludf.DUMMYFUNCTION("""COMPUTED_VALUE"""),172.4)</f>
        <v>172.4</v>
      </c>
      <c r="F107" s="2">
        <f ca="1">IFERROR(__xludf.DUMMYFUNCTION("""COMPUTED_VALUE"""),868712)</f>
        <v>868712</v>
      </c>
      <c r="G107">
        <f ca="1">IFERROR(__xludf.DUMMYFUNCTION("""COMPUTED_VALUE"""),140)</f>
        <v>140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IFERROR(__xludf.DUMMYFUNCTION("""COMPUTED_VALUE"""),"T95")</f>
        <v>T95</v>
      </c>
      <c r="C108" t="str">
        <f ca="1">IFERROR(__xludf.DUMMYFUNCTION("""COMPUTED_VALUE"""),"Grayson Murray")</f>
        <v>Grayson Murray</v>
      </c>
      <c r="D108">
        <f ca="1">IFERROR(__xludf.DUMMYFUNCTION("""COMPUTED_VALUE"""),10)</f>
        <v>10</v>
      </c>
      <c r="E108">
        <f ca="1">IFERROR(__xludf.DUMMYFUNCTION("""COMPUTED_VALUE"""),172.6)</f>
        <v>172.6</v>
      </c>
      <c r="F108" s="2">
        <f ca="1">IFERROR(__xludf.DUMMYFUNCTION("""COMPUTED_VALUE"""),683642)</f>
        <v>683642</v>
      </c>
      <c r="G108">
        <f ca="1">IFERROR(__xludf.DUMMYFUNCTION("""COMPUTED_VALUE"""),110)</f>
        <v>110</v>
      </c>
    </row>
    <row r="109" spans="1:7" ht="12.75">
      <c r="A109" t="str">
        <f ca="1">IFERROR(__xludf.DUMMYFUNCTION("""COMPUTED_VALUE"""),"T107")</f>
        <v>T107</v>
      </c>
      <c r="B109">
        <f ca="1">IFERROR(__xludf.DUMMYFUNCTION("""COMPUTED_VALUE"""),102)</f>
        <v>102</v>
      </c>
      <c r="C109" t="str">
        <f ca="1">IFERROR(__xludf.DUMMYFUNCTION("""COMPUTED_VALUE"""),"Sungjae Im")</f>
        <v>Sungjae Im</v>
      </c>
      <c r="D109">
        <f ca="1">IFERROR(__xludf.DUMMYFUNCTION("""COMPUTED_VALUE"""),24)</f>
        <v>24</v>
      </c>
      <c r="E109">
        <f ca="1">IFERROR(__xludf.DUMMYFUNCTION("""COMPUTED_VALUE"""),172.6)</f>
        <v>172.6</v>
      </c>
      <c r="F109" s="2">
        <f ca="1">IFERROR(__xludf.DUMMYFUNCTION("""COMPUTED_VALUE"""),2031697)</f>
        <v>2031697</v>
      </c>
      <c r="G109">
        <f ca="1">IFERROR(__xludf.DUMMYFUNCTION("""COMPUTED_VALUE"""),327)</f>
        <v>327</v>
      </c>
    </row>
    <row r="110" spans="1:7" ht="12.75">
      <c r="A110" t="str">
        <f ca="1">IFERROR(__xludf.DUMMYFUNCTION("""COMPUTED_VALUE"""),"T109")</f>
        <v>T109</v>
      </c>
      <c r="B110" t="str">
        <f ca="1">IFERROR(__xludf.DUMMYFUNCTION("""COMPUTED_VALUE"""),"T188")</f>
        <v>T188</v>
      </c>
      <c r="C110" t="str">
        <f ca="1">IFERROR(__xludf.DUMMYFUNCTION("""COMPUTED_VALUE"""),"Adam Scott")</f>
        <v>Adam Scott</v>
      </c>
      <c r="D110">
        <f ca="1">IFERROR(__xludf.DUMMYFUNCTION("""COMPUTED_VALUE"""),8)</f>
        <v>8</v>
      </c>
      <c r="E110">
        <f ca="1">IFERROR(__xludf.DUMMYFUNCTION("""COMPUTED_VALUE"""),172.7)</f>
        <v>172.7</v>
      </c>
      <c r="F110" s="2">
        <f ca="1">IFERROR(__xludf.DUMMYFUNCTION("""COMPUTED_VALUE"""),658915)</f>
        <v>658915</v>
      </c>
      <c r="G110">
        <f ca="1">IFERROR(__xludf.DUMMYFUNCTION("""COMPUTED_VALUE"""),106)</f>
        <v>106</v>
      </c>
    </row>
    <row r="111" spans="1:7" ht="12.75">
      <c r="A111" t="str">
        <f ca="1">IFERROR(__xludf.DUMMYFUNCTION("""COMPUTED_VALUE"""),"T109")</f>
        <v>T109</v>
      </c>
      <c r="B111" t="str">
        <f ca="1">IFERROR(__xludf.DUMMYFUNCTION("""COMPUTED_VALUE"""),"T125")</f>
        <v>T125</v>
      </c>
      <c r="C111" t="str">
        <f ca="1">IFERROR(__xludf.DUMMYFUNCTION("""COMPUTED_VALUE"""),"Kurt Kitayama")</f>
        <v>Kurt Kitayama</v>
      </c>
      <c r="D111">
        <f ca="1">IFERROR(__xludf.DUMMYFUNCTION("""COMPUTED_VALUE"""),4)</f>
        <v>4</v>
      </c>
      <c r="E111">
        <f ca="1">IFERROR(__xludf.DUMMYFUNCTION("""COMPUTED_VALUE"""),172.7)</f>
        <v>172.7</v>
      </c>
      <c r="F111" s="2">
        <f ca="1">IFERROR(__xludf.DUMMYFUNCTION("""COMPUTED_VALUE"""),174130)</f>
        <v>174130</v>
      </c>
      <c r="G111">
        <f ca="1">IFERROR(__xludf.DUMMYFUNCTION("""COMPUTED_VALUE"""),28)</f>
        <v>28</v>
      </c>
    </row>
    <row r="112" spans="1:7" ht="12.75">
      <c r="A112">
        <f ca="1">IFERROR(__xludf.DUMMYFUNCTION("""COMPUTED_VALUE"""),111)</f>
        <v>111</v>
      </c>
      <c r="B112" t="str">
        <f ca="1">IFERROR(__xludf.DUMMYFUNCTION("""COMPUTED_VALUE"""),"T83")</f>
        <v>T83</v>
      </c>
      <c r="C112" t="str">
        <f ca="1">IFERROR(__xludf.DUMMYFUNCTION("""COMPUTED_VALUE"""),"Denny McCarthy")</f>
        <v>Denny McCarthy</v>
      </c>
      <c r="D112">
        <f ca="1">IFERROR(__xludf.DUMMYFUNCTION("""COMPUTED_VALUE"""),22)</f>
        <v>22</v>
      </c>
      <c r="E112">
        <f ca="1">IFERROR(__xludf.DUMMYFUNCTION("""COMPUTED_VALUE"""),172.8)</f>
        <v>172.8</v>
      </c>
      <c r="F112" s="2">
        <f ca="1">IFERROR(__xludf.DUMMYFUNCTION("""COMPUTED_VALUE"""),1194734)</f>
        <v>1194734</v>
      </c>
      <c r="G112">
        <f ca="1">IFERROR(__xludf.DUMMYFUNCTION("""COMPUTED_VALUE"""),192)</f>
        <v>192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IFERROR(__xludf.DUMMYFUNCTION("""COMPUTED_VALUE"""),"T128")</f>
        <v>T128</v>
      </c>
      <c r="C113" t="str">
        <f ca="1">IFERROR(__xludf.DUMMYFUNCTION("""COMPUTED_VALUE"""),"Kyle Stanley")</f>
        <v>Kyle Stanley</v>
      </c>
      <c r="D113">
        <f ca="1">IFERROR(__xludf.DUMMYFUNCTION("""COMPUTED_VALUE"""),16)</f>
        <v>16</v>
      </c>
      <c r="E113">
        <f ca="1">IFERROR(__xludf.DUMMYFUNCTION("""COMPUTED_VALUE"""),172.9)</f>
        <v>172.9</v>
      </c>
      <c r="F113" s="2">
        <f ca="1">IFERROR(__xludf.DUMMYFUNCTION("""COMPUTED_VALUE"""),697306)</f>
        <v>697306</v>
      </c>
      <c r="G113">
        <f ca="1">IFERROR(__xludf.DUMMYFUNCTION("""COMPUTED_VALUE"""),112)</f>
        <v>112</v>
      </c>
    </row>
    <row r="114" spans="1:7" ht="12.75">
      <c r="A114" t="str">
        <f ca="1">IFERROR(__xludf.DUMMYFUNCTION("""COMPUTED_VALUE"""),"T112")</f>
        <v>T112</v>
      </c>
      <c r="B114" t="str">
        <f ca="1">IFERROR(__xludf.DUMMYFUNCTION("""COMPUTED_VALUE"""),"T128")</f>
        <v>T128</v>
      </c>
      <c r="C114" t="str">
        <f ca="1">IFERROR(__xludf.DUMMYFUNCTION("""COMPUTED_VALUE"""),"Wes Roach")</f>
        <v>Wes Roach</v>
      </c>
      <c r="D114">
        <f ca="1">IFERROR(__xludf.DUMMYFUNCTION("""COMPUTED_VALUE"""),6)</f>
        <v>6</v>
      </c>
      <c r="E114">
        <f ca="1">IFERROR(__xludf.DUMMYFUNCTION("""COMPUTED_VALUE"""),172.9)</f>
        <v>172.9</v>
      </c>
      <c r="F114" s="2">
        <f ca="1">IFERROR(__xludf.DUMMYFUNCTION("""COMPUTED_VALUE"""),174274)</f>
        <v>174274</v>
      </c>
      <c r="G114">
        <f ca="1">IFERROR(__xludf.DUMMYFUNCTION("""COMPUTED_VALUE"""),28)</f>
        <v>28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IFERROR(__xludf.DUMMYFUNCTION("""COMPUTED_VALUE"""),132)</f>
        <v>132</v>
      </c>
      <c r="C115" t="str">
        <f ca="1">IFERROR(__xludf.DUMMYFUNCTION("""COMPUTED_VALUE"""),"Doug Ghim")</f>
        <v>Doug Ghim</v>
      </c>
      <c r="D115">
        <f ca="1">IFERROR(__xludf.DUMMYFUNCTION("""COMPUTED_VALUE"""),14)</f>
        <v>14</v>
      </c>
      <c r="E115">
        <f ca="1">IFERROR(__xludf.DUMMYFUNCTION("""COMPUTED_VALUE"""),173)</f>
        <v>173</v>
      </c>
      <c r="F115" s="2">
        <f ca="1">IFERROR(__xludf.DUMMYFUNCTION("""COMPUTED_VALUE"""),691227)</f>
        <v>691227</v>
      </c>
      <c r="G115">
        <f ca="1">IFERROR(__xludf.DUMMYFUNCTION("""COMPUTED_VALUE"""),111)</f>
        <v>111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IFERROR(__xludf.DUMMYFUNCTION("""COMPUTED_VALUE"""),"")</f>
        <v/>
      </c>
      <c r="C116" t="str">
        <f ca="1">IFERROR(__xludf.DUMMYFUNCTION("""COMPUTED_VALUE"""),"Erik Barnes")</f>
        <v>Erik Barnes</v>
      </c>
      <c r="D116">
        <f ca="1">IFERROR(__xludf.DUMMYFUNCTION("""COMPUTED_VALUE"""),4)</f>
        <v>4</v>
      </c>
      <c r="E116">
        <f ca="1">IFERROR(__xludf.DUMMYFUNCTION("""COMPUTED_VALUE"""),173.1)</f>
        <v>173.1</v>
      </c>
      <c r="F116" s="2">
        <f ca="1">IFERROR(__xludf.DUMMYFUNCTION("""COMPUTED_VALUE"""),323954)</f>
        <v>323954</v>
      </c>
      <c r="G116">
        <f ca="1">IFERROR(__xludf.DUMMYFUNCTION("""COMPUTED_VALUE"""),52)</f>
        <v>52</v>
      </c>
    </row>
    <row r="117" spans="1:7" ht="12.75">
      <c r="A117" t="str">
        <f ca="1">IFERROR(__xludf.DUMMYFUNCTION("""COMPUTED_VALUE"""),"T116")</f>
        <v>T116</v>
      </c>
      <c r="B117" t="str">
        <f ca="1">IFERROR(__xludf.DUMMYFUNCTION("""COMPUTED_VALUE"""),"T95")</f>
        <v>T95</v>
      </c>
      <c r="C117" t="str">
        <f ca="1">IFERROR(__xludf.DUMMYFUNCTION("""COMPUTED_VALUE"""),"Scott Brown")</f>
        <v>Scott Brown</v>
      </c>
      <c r="D117">
        <f ca="1">IFERROR(__xludf.DUMMYFUNCTION("""COMPUTED_VALUE"""),14)</f>
        <v>14</v>
      </c>
      <c r="E117">
        <f ca="1">IFERROR(__xludf.DUMMYFUNCTION("""COMPUTED_VALUE"""),173.2)</f>
        <v>173.2</v>
      </c>
      <c r="F117" s="2">
        <f ca="1">IFERROR(__xludf.DUMMYFUNCTION("""COMPUTED_VALUE"""),829174)</f>
        <v>829174</v>
      </c>
      <c r="G117">
        <f ca="1">IFERROR(__xludf.DUMMYFUNCTION("""COMPUTED_VALUE"""),133)</f>
        <v>133</v>
      </c>
    </row>
    <row r="118" spans="1:7" ht="12.75">
      <c r="A118" t="str">
        <f ca="1">IFERROR(__xludf.DUMMYFUNCTION("""COMPUTED_VALUE"""),"T116")</f>
        <v>T116</v>
      </c>
      <c r="B118">
        <f ca="1">IFERROR(__xludf.DUMMYFUNCTION("""COMPUTED_VALUE"""),133)</f>
        <v>133</v>
      </c>
      <c r="C118" t="str">
        <f ca="1">IFERROR(__xludf.DUMMYFUNCTION("""COMPUTED_VALUE"""),"Sebastián Muñoz")</f>
        <v>Sebastián Muñoz</v>
      </c>
      <c r="D118">
        <f ca="1">IFERROR(__xludf.DUMMYFUNCTION("""COMPUTED_VALUE"""),20)</f>
        <v>20</v>
      </c>
      <c r="E118">
        <f ca="1">IFERROR(__xludf.DUMMYFUNCTION("""COMPUTED_VALUE"""),173.2)</f>
        <v>173.2</v>
      </c>
      <c r="F118" s="2">
        <f ca="1">IFERROR(__xludf.DUMMYFUNCTION("""COMPUTED_VALUE"""),1702066)</f>
        <v>1702066</v>
      </c>
      <c r="G118">
        <f ca="1">IFERROR(__xludf.DUMMYFUNCTION("""COMPUTED_VALUE"""),273)</f>
        <v>273</v>
      </c>
    </row>
    <row r="119" spans="1:7" ht="12.75">
      <c r="A119" t="str">
        <f ca="1">IFERROR(__xludf.DUMMYFUNCTION("""COMPUTED_VALUE"""),"T118")</f>
        <v>T118</v>
      </c>
      <c r="B119">
        <f ca="1">IFERROR(__xludf.DUMMYFUNCTION("""COMPUTED_VALUE"""),94)</f>
        <v>94</v>
      </c>
      <c r="C119" t="str">
        <f ca="1">IFERROR(__xludf.DUMMYFUNCTION("""COMPUTED_VALUE"""),"Camilo Villegas")</f>
        <v>Camilo Villegas</v>
      </c>
      <c r="D119">
        <f ca="1">IFERROR(__xludf.DUMMYFUNCTION("""COMPUTED_VALUE"""),14)</f>
        <v>14</v>
      </c>
      <c r="E119">
        <f ca="1">IFERROR(__xludf.DUMMYFUNCTION("""COMPUTED_VALUE"""),173.3)</f>
        <v>173.3</v>
      </c>
      <c r="F119" s="2">
        <f ca="1">IFERROR(__xludf.DUMMYFUNCTION("""COMPUTED_VALUE"""),861125)</f>
        <v>861125</v>
      </c>
      <c r="G119">
        <f ca="1">IFERROR(__xludf.DUMMYFUNCTION("""COMPUTED_VALUE"""),138)</f>
        <v>138</v>
      </c>
    </row>
    <row r="120" spans="1:7" ht="12.75">
      <c r="A120" t="str">
        <f ca="1">IFERROR(__xludf.DUMMYFUNCTION("""COMPUTED_VALUE"""),"T118")</f>
        <v>T118</v>
      </c>
      <c r="B120" t="str">
        <f ca="1">IFERROR(__xludf.DUMMYFUNCTION("""COMPUTED_VALUE"""),"T86")</f>
        <v>T86</v>
      </c>
      <c r="C120" t="str">
        <f ca="1">IFERROR(__xludf.DUMMYFUNCTION("""COMPUTED_VALUE"""),"Martin Laird")</f>
        <v>Martin Laird</v>
      </c>
      <c r="D120">
        <f ca="1">IFERROR(__xludf.DUMMYFUNCTION("""COMPUTED_VALUE"""),16)</f>
        <v>16</v>
      </c>
      <c r="E120">
        <f ca="1">IFERROR(__xludf.DUMMYFUNCTION("""COMPUTED_VALUE"""),173.3)</f>
        <v>173.3</v>
      </c>
      <c r="F120" s="2">
        <f ca="1">IFERROR(__xludf.DUMMYFUNCTION("""COMPUTED_VALUE"""),1035673)</f>
        <v>1035673</v>
      </c>
      <c r="G120">
        <f ca="1">IFERROR(__xludf.DUMMYFUNCTION("""COMPUTED_VALUE"""),166)</f>
        <v>166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IFERROR(__xludf.DUMMYFUNCTION("""COMPUTED_VALUE"""),66)</f>
        <v>66</v>
      </c>
      <c r="C121" t="str">
        <f ca="1">IFERROR(__xludf.DUMMYFUNCTION("""COMPUTED_VALUE"""),"Nate Lashley")</f>
        <v>Nate Lashley</v>
      </c>
      <c r="D121">
        <f ca="1">IFERROR(__xludf.DUMMYFUNCTION("""COMPUTED_VALUE"""),16)</f>
        <v>16</v>
      </c>
      <c r="E121">
        <f ca="1">IFERROR(__xludf.DUMMYFUNCTION("""COMPUTED_VALUE"""),173.5)</f>
        <v>173.5</v>
      </c>
      <c r="F121" s="2">
        <f ca="1">IFERROR(__xludf.DUMMYFUNCTION("""COMPUTED_VALUE"""),1012033)</f>
        <v>1012033</v>
      </c>
      <c r="G121">
        <f ca="1">IFERROR(__xludf.DUMMYFUNCTION("""COMPUTED_VALUE"""),162)</f>
        <v>162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IFERROR(__xludf.DUMMYFUNCTION("""COMPUTED_VALUE"""),"T134")</f>
        <v>T134</v>
      </c>
      <c r="C122" t="str">
        <f ca="1">IFERROR(__xludf.DUMMYFUNCTION("""COMPUTED_VALUE"""),"Sahith Theegala")</f>
        <v>Sahith Theegala</v>
      </c>
      <c r="D122">
        <f ca="1">IFERROR(__xludf.DUMMYFUNCTION("""COMPUTED_VALUE"""),6)</f>
        <v>6</v>
      </c>
      <c r="E122">
        <f ca="1">IFERROR(__xludf.DUMMYFUNCTION("""COMPUTED_VALUE"""),173.6)</f>
        <v>173.6</v>
      </c>
      <c r="F122" s="2">
        <f ca="1">IFERROR(__xludf.DUMMYFUNCTION("""COMPUTED_VALUE"""),518833)</f>
        <v>518833</v>
      </c>
      <c r="G122">
        <f ca="1">IFERROR(__xludf.DUMMYFUNCTION("""COMPUTED_VALUE"""),83)</f>
        <v>83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IFERROR(__xludf.DUMMYFUNCTION("""COMPUTED_VALUE"""),136)</f>
        <v>136</v>
      </c>
      <c r="C123" t="str">
        <f ca="1">IFERROR(__xludf.DUMMYFUNCTION("""COMPUTED_VALUE"""),"Webb Simpson")</f>
        <v>Webb Simpson</v>
      </c>
      <c r="D123">
        <f ca="1">IFERROR(__xludf.DUMMYFUNCTION("""COMPUTED_VALUE"""),12)</f>
        <v>12</v>
      </c>
      <c r="E123">
        <f ca="1">IFERROR(__xludf.DUMMYFUNCTION("""COMPUTED_VALUE"""),173.7)</f>
        <v>173.7</v>
      </c>
      <c r="F123" s="2">
        <f ca="1">IFERROR(__xludf.DUMMYFUNCTION("""COMPUTED_VALUE"""),1025319)</f>
        <v>1025319</v>
      </c>
      <c r="G123">
        <f ca="1">IFERROR(__xludf.DUMMYFUNCTION("""COMPUTED_VALUE"""),164)</f>
        <v>164</v>
      </c>
    </row>
    <row r="124" spans="1:7" ht="12.75">
      <c r="A124" t="str">
        <f ca="1">IFERROR(__xludf.DUMMYFUNCTION("""COMPUTED_VALUE"""),"T123")</f>
        <v>T123</v>
      </c>
      <c r="B124" t="str">
        <f ca="1">IFERROR(__xludf.DUMMYFUNCTION("""COMPUTED_VALUE"""),"T137")</f>
        <v>T137</v>
      </c>
      <c r="C124" t="str">
        <f ca="1">IFERROR(__xludf.DUMMYFUNCTION("""COMPUTED_VALUE"""),"Paul Casey")</f>
        <v>Paul Casey</v>
      </c>
      <c r="D124">
        <f ca="1">IFERROR(__xludf.DUMMYFUNCTION("""COMPUTED_VALUE"""),14)</f>
        <v>14</v>
      </c>
      <c r="E124">
        <f ca="1">IFERROR(__xludf.DUMMYFUNCTION("""COMPUTED_VALUE"""),173.9)</f>
        <v>173.9</v>
      </c>
      <c r="F124" s="2">
        <f ca="1">IFERROR(__xludf.DUMMYFUNCTION("""COMPUTED_VALUE"""),1183069)</f>
        <v>1183069</v>
      </c>
      <c r="G124">
        <f ca="1">IFERROR(__xludf.DUMMYFUNCTION("""COMPUTED_VALUE"""),189)</f>
        <v>189</v>
      </c>
    </row>
    <row r="125" spans="1:7" ht="12.75">
      <c r="A125" t="str">
        <f ca="1">IFERROR(__xludf.DUMMYFUNCTION("""COMPUTED_VALUE"""),"T123")</f>
        <v>T123</v>
      </c>
      <c r="B125" t="str">
        <f ca="1">IFERROR(__xludf.DUMMYFUNCTION("""COMPUTED_VALUE"""),"T137")</f>
        <v>T137</v>
      </c>
      <c r="C125" t="str">
        <f ca="1">IFERROR(__xludf.DUMMYFUNCTION("""COMPUTED_VALUE"""),"J.J. Spaun")</f>
        <v>J.J. Spaun</v>
      </c>
      <c r="D125">
        <f ca="1">IFERROR(__xludf.DUMMYFUNCTION("""COMPUTED_VALUE"""),10)</f>
        <v>10</v>
      </c>
      <c r="E125">
        <f ca="1">IFERROR(__xludf.DUMMYFUNCTION("""COMPUTED_VALUE"""),173.9)</f>
        <v>173.9</v>
      </c>
      <c r="F125" s="2">
        <f ca="1">IFERROR(__xludf.DUMMYFUNCTION("""COMPUTED_VALUE"""),525995)</f>
        <v>525995</v>
      </c>
      <c r="G125">
        <f ca="1">IFERROR(__xludf.DUMMYFUNCTION("""COMPUTED_VALUE"""),84)</f>
        <v>84</v>
      </c>
    </row>
    <row r="126" spans="1:7" ht="12.75">
      <c r="A126" t="str">
        <f ca="1">IFERROR(__xludf.DUMMYFUNCTION("""COMPUTED_VALUE"""),"T123")</f>
        <v>T123</v>
      </c>
      <c r="B126" t="str">
        <f ca="1">IFERROR(__xludf.DUMMYFUNCTION("""COMPUTED_VALUE"""),"T128")</f>
        <v>T128</v>
      </c>
      <c r="C126" t="str">
        <f ca="1">IFERROR(__xludf.DUMMYFUNCTION("""COMPUTED_VALUE"""),"Viktor Hovland")</f>
        <v>Viktor Hovland</v>
      </c>
      <c r="D126">
        <f ca="1">IFERROR(__xludf.DUMMYFUNCTION("""COMPUTED_VALUE"""),16)</f>
        <v>16</v>
      </c>
      <c r="E126">
        <f ca="1">IFERROR(__xludf.DUMMYFUNCTION("""COMPUTED_VALUE"""),173.9)</f>
        <v>173.9</v>
      </c>
      <c r="F126" s="2">
        <f ca="1">IFERROR(__xludf.DUMMYFUNCTION("""COMPUTED_VALUE"""),1326922)</f>
        <v>1326922</v>
      </c>
      <c r="G126">
        <f ca="1">IFERROR(__xludf.DUMMYFUNCTION("""COMPUTED_VALUE"""),212)</f>
        <v>212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IFERROR(__xludf.DUMMYFUNCTION("""COMPUTED_VALUE"""),139)</f>
        <v>139</v>
      </c>
      <c r="C127" t="str">
        <f ca="1">IFERROR(__xludf.DUMMYFUNCTION("""COMPUTED_VALUE"""),"Jason Kokrak")</f>
        <v>Jason Kokrak</v>
      </c>
      <c r="D127">
        <f ca="1">IFERROR(__xludf.DUMMYFUNCTION("""COMPUTED_VALUE"""),14)</f>
        <v>14</v>
      </c>
      <c r="E127">
        <f ca="1">IFERROR(__xludf.DUMMYFUNCTION("""COMPUTED_VALUE"""),174)</f>
        <v>174</v>
      </c>
      <c r="F127" s="2">
        <f ca="1">IFERROR(__xludf.DUMMYFUNCTION("""COMPUTED_VALUE"""),1202479)</f>
        <v>1202479</v>
      </c>
      <c r="G127">
        <f ca="1">IFERROR(__xludf.DUMMYFUNCTION("""COMPUTED_VALUE"""),192)</f>
        <v>192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IFERROR(__xludf.DUMMYFUNCTION("""COMPUTED_VALUE"""),"T113")</f>
        <v>T113</v>
      </c>
      <c r="C128" t="str">
        <f ca="1">IFERROR(__xludf.DUMMYFUNCTION("""COMPUTED_VALUE"""),"J.T. Poston")</f>
        <v>J.T. Poston</v>
      </c>
      <c r="D128">
        <f ca="1">IFERROR(__xludf.DUMMYFUNCTION("""COMPUTED_VALUE"""),18)</f>
        <v>18</v>
      </c>
      <c r="E128">
        <f ca="1">IFERROR(__xludf.DUMMYFUNCTION("""COMPUTED_VALUE"""),174.1)</f>
        <v>174.1</v>
      </c>
      <c r="F128" s="2">
        <f ca="1">IFERROR(__xludf.DUMMYFUNCTION("""COMPUTED_VALUE"""),1547817)</f>
        <v>1547817</v>
      </c>
      <c r="G128">
        <f ca="1">IFERROR(__xludf.DUMMYFUNCTION("""COMPUTED_VALUE"""),247)</f>
        <v>247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IFERROR(__xludf.DUMMYFUNCTION("""COMPUTED_VALUE"""),"T140")</f>
        <v>T140</v>
      </c>
      <c r="C129" t="str">
        <f ca="1">IFERROR(__xludf.DUMMYFUNCTION("""COMPUTED_VALUE"""),"Johnson Wagner")</f>
        <v>Johnson Wagner</v>
      </c>
      <c r="D129">
        <f ca="1">IFERROR(__xludf.DUMMYFUNCTION("""COMPUTED_VALUE"""),8)</f>
        <v>8</v>
      </c>
      <c r="E129">
        <f ca="1">IFERROR(__xludf.DUMMYFUNCTION("""COMPUTED_VALUE"""),174.2)</f>
        <v>174.2</v>
      </c>
      <c r="F129" s="2">
        <f ca="1">IFERROR(__xludf.DUMMYFUNCTION("""COMPUTED_VALUE"""),175561)</f>
        <v>175561</v>
      </c>
      <c r="G129">
        <f ca="1">IFERROR(__xludf.DUMMYFUNCTION("""COMPUTED_VALUE"""),28)</f>
        <v>28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IFERROR(__xludf.DUMMYFUNCTION("""COMPUTED_VALUE"""),"T86")</f>
        <v>T86</v>
      </c>
      <c r="C130" t="str">
        <f ca="1">IFERROR(__xludf.DUMMYFUNCTION("""COMPUTED_VALUE"""),"Sam Ryder")</f>
        <v>Sam Ryder</v>
      </c>
      <c r="D130">
        <f ca="1">IFERROR(__xludf.DUMMYFUNCTION("""COMPUTED_VALUE"""),12)</f>
        <v>12</v>
      </c>
      <c r="E130">
        <f ca="1">IFERROR(__xludf.DUMMYFUNCTION("""COMPUTED_VALUE"""),174.2)</f>
        <v>174.2</v>
      </c>
      <c r="F130" s="2">
        <f ca="1">IFERROR(__xludf.DUMMYFUNCTION("""COMPUTED_VALUE"""),689776)</f>
        <v>689776</v>
      </c>
      <c r="G130">
        <f ca="1">IFERROR(__xludf.DUMMYFUNCTION("""COMPUTED_VALUE"""),110)</f>
        <v>110</v>
      </c>
    </row>
    <row r="131" spans="1:7" ht="12.75">
      <c r="A131" t="str">
        <f ca="1">IFERROR(__xludf.DUMMYFUNCTION("""COMPUTED_VALUE"""),"T128")</f>
        <v>T128</v>
      </c>
      <c r="B131" t="str">
        <f ca="1">IFERROR(__xludf.DUMMYFUNCTION("""COMPUTED_VALUE"""),"T140")</f>
        <v>T140</v>
      </c>
      <c r="C131" t="str">
        <f ca="1">IFERROR(__xludf.DUMMYFUNCTION("""COMPUTED_VALUE"""),"Wesley Bryan")</f>
        <v>Wesley Bryan</v>
      </c>
      <c r="D131">
        <f ca="1">IFERROR(__xludf.DUMMYFUNCTION("""COMPUTED_VALUE"""),8)</f>
        <v>8</v>
      </c>
      <c r="E131">
        <f ca="1">IFERROR(__xludf.DUMMYFUNCTION("""COMPUTED_VALUE"""),174.2)</f>
        <v>174.2</v>
      </c>
      <c r="F131" s="2">
        <f ca="1">IFERROR(__xludf.DUMMYFUNCTION("""COMPUTED_VALUE"""),526872)</f>
        <v>526872</v>
      </c>
      <c r="G131">
        <f ca="1">IFERROR(__xludf.DUMMYFUNCTION("""COMPUTED_VALUE"""),84)</f>
        <v>84</v>
      </c>
    </row>
    <row r="132" spans="1:7" ht="12.75">
      <c r="A132">
        <f ca="1">IFERROR(__xludf.DUMMYFUNCTION("""COMPUTED_VALUE"""),131)</f>
        <v>131</v>
      </c>
      <c r="B132" t="str">
        <f ca="1">IFERROR(__xludf.DUMMYFUNCTION("""COMPUTED_VALUE"""),"")</f>
        <v/>
      </c>
      <c r="C132" t="str">
        <f ca="1">IFERROR(__xludf.DUMMYFUNCTION("""COMPUTED_VALUE"""),"Francesco Molinari")</f>
        <v>Francesco Molinari</v>
      </c>
      <c r="D132">
        <f ca="1">IFERROR(__xludf.DUMMYFUNCTION("""COMPUTED_VALUE"""),6)</f>
        <v>6</v>
      </c>
      <c r="E132">
        <f ca="1">IFERROR(__xludf.DUMMYFUNCTION("""COMPUTED_VALUE"""),174.3)</f>
        <v>174.3</v>
      </c>
      <c r="F132" s="2">
        <f ca="1">IFERROR(__xludf.DUMMYFUNCTION("""COMPUTED_VALUE"""),502008)</f>
        <v>502008</v>
      </c>
      <c r="G132">
        <f ca="1">IFERROR(__xludf.DUMMYFUNCTION("""COMPUTED_VALUE"""),80)</f>
        <v>80</v>
      </c>
    </row>
    <row r="133" spans="1:7" ht="12.75">
      <c r="A133" t="str">
        <f ca="1">IFERROR(__xludf.DUMMYFUNCTION("""COMPUTED_VALUE"""),"T132")</f>
        <v>T132</v>
      </c>
      <c r="B133" t="str">
        <f ca="1">IFERROR(__xludf.DUMMYFUNCTION("""COMPUTED_VALUE"""),"T144")</f>
        <v>T144</v>
      </c>
      <c r="C133" t="str">
        <f ca="1">IFERROR(__xludf.DUMMYFUNCTION("""COMPUTED_VALUE"""),"Ricky Barnes")</f>
        <v>Ricky Barnes</v>
      </c>
      <c r="D133">
        <f ca="1">IFERROR(__xludf.DUMMYFUNCTION("""COMPUTED_VALUE"""),12)</f>
        <v>12</v>
      </c>
      <c r="E133">
        <f ca="1">IFERROR(__xludf.DUMMYFUNCTION("""COMPUTED_VALUE"""),174.4)</f>
        <v>174.4</v>
      </c>
      <c r="F133" s="2">
        <f ca="1">IFERROR(__xludf.DUMMYFUNCTION("""COMPUTED_VALUE"""),351495)</f>
        <v>351495</v>
      </c>
      <c r="G133">
        <f ca="1">IFERROR(__xludf.DUMMYFUNCTION("""COMPUTED_VALUE"""),56)</f>
        <v>56</v>
      </c>
    </row>
    <row r="134" spans="1:7" ht="12.75">
      <c r="A134" t="str">
        <f ca="1">IFERROR(__xludf.DUMMYFUNCTION("""COMPUTED_VALUE"""),"T132")</f>
        <v>T132</v>
      </c>
      <c r="B134" t="str">
        <f ca="1">IFERROR(__xludf.DUMMYFUNCTION("""COMPUTED_VALUE"""),"T144")</f>
        <v>T144</v>
      </c>
      <c r="C134" t="str">
        <f ca="1">IFERROR(__xludf.DUMMYFUNCTION("""COMPUTED_VALUE"""),"Hanbyeol Kim")</f>
        <v>Hanbyeol Kim</v>
      </c>
      <c r="D134">
        <f ca="1">IFERROR(__xludf.DUMMYFUNCTION("""COMPUTED_VALUE"""),4)</f>
        <v>4</v>
      </c>
      <c r="E134">
        <f ca="1">IFERROR(__xludf.DUMMYFUNCTION("""COMPUTED_VALUE"""),174.4)</f>
        <v>174.4</v>
      </c>
      <c r="F134" s="2">
        <f ca="1">IFERROR(__xludf.DUMMYFUNCTION("""COMPUTED_VALUE"""),339077)</f>
        <v>339077</v>
      </c>
      <c r="G134">
        <f ca="1">IFERROR(__xludf.DUMMYFUNCTION("""COMPUTED_VALUE"""),54)</f>
        <v>54</v>
      </c>
    </row>
    <row r="135" spans="1:7" ht="12.75">
      <c r="A135">
        <f ca="1">IFERROR(__xludf.DUMMYFUNCTION("""COMPUTED_VALUE"""),134)</f>
        <v>134</v>
      </c>
      <c r="B135" t="str">
        <f ca="1">IFERROR(__xludf.DUMMYFUNCTION("""COMPUTED_VALUE"""),"T125")</f>
        <v>T125</v>
      </c>
      <c r="C135" t="str">
        <f ca="1">IFERROR(__xludf.DUMMYFUNCTION("""COMPUTED_VALUE"""),"Andrew Landry")</f>
        <v>Andrew Landry</v>
      </c>
      <c r="D135">
        <f ca="1">IFERROR(__xludf.DUMMYFUNCTION("""COMPUTED_VALUE"""),14)</f>
        <v>14</v>
      </c>
      <c r="E135">
        <f ca="1">IFERROR(__xludf.DUMMYFUNCTION("""COMPUTED_VALUE"""),174.7)</f>
        <v>174.7</v>
      </c>
      <c r="F135" s="2">
        <f ca="1">IFERROR(__xludf.DUMMYFUNCTION("""COMPUTED_VALUE"""),1188712)</f>
        <v>1188712</v>
      </c>
      <c r="G135">
        <f ca="1">IFERROR(__xludf.DUMMYFUNCTION("""COMPUTED_VALUE"""),189)</f>
        <v>189</v>
      </c>
    </row>
    <row r="136" spans="1:7" ht="12.75">
      <c r="A136" t="str">
        <f ca="1">IFERROR(__xludf.DUMMYFUNCTION("""COMPUTED_VALUE"""),"T135")</f>
        <v>T135</v>
      </c>
      <c r="B136">
        <f ca="1">IFERROR(__xludf.DUMMYFUNCTION("""COMPUTED_VALUE"""),117)</f>
        <v>117</v>
      </c>
      <c r="C136" t="str">
        <f ca="1">IFERROR(__xludf.DUMMYFUNCTION("""COMPUTED_VALUE"""),"C.T. Pan")</f>
        <v>C.T. Pan</v>
      </c>
      <c r="D136">
        <f ca="1">IFERROR(__xludf.DUMMYFUNCTION("""COMPUTED_VALUE"""),20)</f>
        <v>20</v>
      </c>
      <c r="E136">
        <f ca="1">IFERROR(__xludf.DUMMYFUNCTION("""COMPUTED_VALUE"""),174.8)</f>
        <v>174.8</v>
      </c>
      <c r="F136" s="2">
        <f ca="1">IFERROR(__xludf.DUMMYFUNCTION("""COMPUTED_VALUE"""),1371793)</f>
        <v>1371793</v>
      </c>
      <c r="G136">
        <f ca="1">IFERROR(__xludf.DUMMYFUNCTION("""COMPUTED_VALUE"""),218)</f>
        <v>218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IFERROR(__xludf.DUMMYFUNCTION("""COMPUTED_VALUE"""),"T148")</f>
        <v>T148</v>
      </c>
      <c r="C137" t="str">
        <f ca="1">IFERROR(__xludf.DUMMYFUNCTION("""COMPUTED_VALUE"""),"Michael Gellerman")</f>
        <v>Michael Gellerman</v>
      </c>
      <c r="D137">
        <f ca="1">IFERROR(__xludf.DUMMYFUNCTION("""COMPUTED_VALUE"""),5)</f>
        <v>5</v>
      </c>
      <c r="E137">
        <f ca="1">IFERROR(__xludf.DUMMYFUNCTION("""COMPUTED_VALUE"""),174.8)</f>
        <v>174.8</v>
      </c>
      <c r="F137" s="2">
        <f ca="1">IFERROR(__xludf.DUMMYFUNCTION("""COMPUTED_VALUE"""),176168)</f>
        <v>176168</v>
      </c>
      <c r="G137">
        <f ca="1">IFERROR(__xludf.DUMMYFUNCTION("""COMPUTED_VALUE"""),28)</f>
        <v>28</v>
      </c>
    </row>
    <row r="138" spans="1:7" ht="12.75">
      <c r="A138" t="str">
        <f ca="1">IFERROR(__xludf.DUMMYFUNCTION("""COMPUTED_VALUE"""),"T135")</f>
        <v>T135</v>
      </c>
      <c r="B138" t="str">
        <f ca="1">IFERROR(__xludf.DUMMYFUNCTION("""COMPUTED_VALUE"""),"T104")</f>
        <v>T104</v>
      </c>
      <c r="C138" t="str">
        <f ca="1">IFERROR(__xludf.DUMMYFUNCTION("""COMPUTED_VALUE"""),"Doc Redman")</f>
        <v>Doc Redman</v>
      </c>
      <c r="D138">
        <f ca="1">IFERROR(__xludf.DUMMYFUNCTION("""COMPUTED_VALUE"""),18)</f>
        <v>18</v>
      </c>
      <c r="E138">
        <f ca="1">IFERROR(__xludf.DUMMYFUNCTION("""COMPUTED_VALUE"""),174.8)</f>
        <v>174.8</v>
      </c>
      <c r="F138" s="2">
        <f ca="1">IFERROR(__xludf.DUMMYFUNCTION("""COMPUTED_VALUE"""),1208262)</f>
        <v>1208262</v>
      </c>
      <c r="G138">
        <f ca="1">IFERROR(__xludf.DUMMYFUNCTION("""COMPUTED_VALUE"""),192)</f>
        <v>192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IFERROR(__xludf.DUMMYFUNCTION("""COMPUTED_VALUE"""),150)</f>
        <v>150</v>
      </c>
      <c r="C139" t="str">
        <f ca="1">IFERROR(__xludf.DUMMYFUNCTION("""COMPUTED_VALUE"""),"Sebastian Cappelen")</f>
        <v>Sebastian Cappelen</v>
      </c>
      <c r="D139">
        <f ca="1">IFERROR(__xludf.DUMMYFUNCTION("""COMPUTED_VALUE"""),8)</f>
        <v>8</v>
      </c>
      <c r="E139">
        <f ca="1">IFERROR(__xludf.DUMMYFUNCTION("""COMPUTED_VALUE"""),174.9)</f>
        <v>174.9</v>
      </c>
      <c r="F139" s="2">
        <f ca="1">IFERROR(__xludf.DUMMYFUNCTION("""COMPUTED_VALUE"""),352652)</f>
        <v>352652</v>
      </c>
      <c r="G139">
        <f ca="1">IFERROR(__xludf.DUMMYFUNCTION("""COMPUTED_VALUE"""),56)</f>
        <v>56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IFERROR(__xludf.DUMMYFUNCTION("""COMPUTED_VALUE"""),"T151")</f>
        <v>T151</v>
      </c>
      <c r="C140" t="str">
        <f ca="1">IFERROR(__xludf.DUMMYFUNCTION("""COMPUTED_VALUE"""),"Sangmoon Bae")</f>
        <v>Sangmoon Bae</v>
      </c>
      <c r="D140">
        <f ca="1">IFERROR(__xludf.DUMMYFUNCTION("""COMPUTED_VALUE"""),8)</f>
        <v>8</v>
      </c>
      <c r="E140">
        <f ca="1">IFERROR(__xludf.DUMMYFUNCTION("""COMPUTED_VALUE"""),175)</f>
        <v>175</v>
      </c>
      <c r="F140" s="2">
        <f ca="1">IFERROR(__xludf.DUMMYFUNCTION("""COMPUTED_VALUE"""),176403)</f>
        <v>176403</v>
      </c>
      <c r="G140">
        <f ca="1">IFERROR(__xludf.DUMMYFUNCTION("""COMPUTED_VALUE"""),28)</f>
        <v>28</v>
      </c>
    </row>
    <row r="141" spans="1:7" ht="12.75">
      <c r="A141" t="str">
        <f ca="1">IFERROR(__xludf.DUMMYFUNCTION("""COMPUTED_VALUE"""),"T139")</f>
        <v>T139</v>
      </c>
      <c r="B141">
        <f ca="1">IFERROR(__xludf.DUMMYFUNCTION("""COMPUTED_VALUE"""),37)</f>
        <v>37</v>
      </c>
      <c r="C141" t="str">
        <f ca="1">IFERROR(__xludf.DUMMYFUNCTION("""COMPUTED_VALUE"""),"John Huh")</f>
        <v>John Huh</v>
      </c>
      <c r="D141">
        <f ca="1">IFERROR(__xludf.DUMMYFUNCTION("""COMPUTED_VALUE"""),8)</f>
        <v>8</v>
      </c>
      <c r="E141">
        <f ca="1">IFERROR(__xludf.DUMMYFUNCTION("""COMPUTED_VALUE"""),175)</f>
        <v>175</v>
      </c>
      <c r="F141" s="2">
        <f ca="1">IFERROR(__xludf.DUMMYFUNCTION("""COMPUTED_VALUE"""),680574)</f>
        <v>680574</v>
      </c>
      <c r="G141">
        <f ca="1">IFERROR(__xludf.DUMMYFUNCTION("""COMPUTED_VALUE"""),108)</f>
        <v>108</v>
      </c>
    </row>
    <row r="142" spans="1:7" ht="12.75">
      <c r="A142" t="str">
        <f ca="1">IFERROR(__xludf.DUMMYFUNCTION("""COMPUTED_VALUE"""),"T141")</f>
        <v>T141</v>
      </c>
      <c r="B142" t="str">
        <f ca="1">IFERROR(__xludf.DUMMYFUNCTION("""COMPUTED_VALUE"""),"T153")</f>
        <v>T153</v>
      </c>
      <c r="C142" t="str">
        <f ca="1">IFERROR(__xludf.DUMMYFUNCTION("""COMPUTED_VALUE"""),"Brendan Steele")</f>
        <v>Brendan Steele</v>
      </c>
      <c r="D142">
        <f ca="1">IFERROR(__xludf.DUMMYFUNCTION("""COMPUTED_VALUE"""),14)</f>
        <v>14</v>
      </c>
      <c r="E142">
        <f ca="1">IFERROR(__xludf.DUMMYFUNCTION("""COMPUTED_VALUE"""),175.1)</f>
        <v>175.1</v>
      </c>
      <c r="F142" s="2">
        <f ca="1">IFERROR(__xludf.DUMMYFUNCTION("""COMPUTED_VALUE"""),1185240)</f>
        <v>1185240</v>
      </c>
      <c r="G142">
        <f ca="1">IFERROR(__xludf.DUMMYFUNCTION("""COMPUTED_VALUE"""),188)</f>
        <v>188</v>
      </c>
    </row>
    <row r="143" spans="1:7" ht="12.75">
      <c r="A143" t="str">
        <f ca="1">IFERROR(__xludf.DUMMYFUNCTION("""COMPUTED_VALUE"""),"T141")</f>
        <v>T141</v>
      </c>
      <c r="B143">
        <f ca="1">IFERROR(__xludf.DUMMYFUNCTION("""COMPUTED_VALUE"""),122)</f>
        <v>122</v>
      </c>
      <c r="C143" t="str">
        <f ca="1">IFERROR(__xludf.DUMMYFUNCTION("""COMPUTED_VALUE"""),"Kyoung-Hoon Lee")</f>
        <v>Kyoung-Hoon Lee</v>
      </c>
      <c r="D143">
        <f ca="1">IFERROR(__xludf.DUMMYFUNCTION("""COMPUTED_VALUE"""),20)</f>
        <v>20</v>
      </c>
      <c r="E143">
        <f ca="1">IFERROR(__xludf.DUMMYFUNCTION("""COMPUTED_VALUE"""),175.1)</f>
        <v>175.1</v>
      </c>
      <c r="F143" s="2">
        <f ca="1">IFERROR(__xludf.DUMMYFUNCTION("""COMPUTED_VALUE"""),1197657)</f>
        <v>1197657</v>
      </c>
      <c r="G143">
        <f ca="1">IFERROR(__xludf.DUMMYFUNCTION("""COMPUTED_VALUE"""),190)</f>
        <v>190</v>
      </c>
    </row>
    <row r="144" spans="1:7" ht="12.75">
      <c r="A144" t="str">
        <f ca="1">IFERROR(__xludf.DUMMYFUNCTION("""COMPUTED_VALUE"""),"T143")</f>
        <v>T143</v>
      </c>
      <c r="B144" t="str">
        <f ca="1">IFERROR(__xludf.DUMMYFUNCTION("""COMPUTED_VALUE"""),"T134")</f>
        <v>T134</v>
      </c>
      <c r="C144" t="str">
        <f ca="1">IFERROR(__xludf.DUMMYFUNCTION("""COMPUTED_VALUE"""),"Rory Sabbatini")</f>
        <v>Rory Sabbatini</v>
      </c>
      <c r="D144">
        <f ca="1">IFERROR(__xludf.DUMMYFUNCTION("""COMPUTED_VALUE"""),13)</f>
        <v>13</v>
      </c>
      <c r="E144">
        <f ca="1">IFERROR(__xludf.DUMMYFUNCTION("""COMPUTED_VALUE"""),175.2)</f>
        <v>175.2</v>
      </c>
      <c r="F144" s="2">
        <f ca="1">IFERROR(__xludf.DUMMYFUNCTION("""COMPUTED_VALUE"""),1141825)</f>
        <v>1141825</v>
      </c>
      <c r="G144">
        <f ca="1">IFERROR(__xludf.DUMMYFUNCTION("""COMPUTED_VALUE"""),181)</f>
        <v>181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IFERROR(__xludf.DUMMYFUNCTION("""COMPUTED_VALUE"""),"T156")</f>
        <v>T156</v>
      </c>
      <c r="C145" t="str">
        <f ca="1">IFERROR(__xludf.DUMMYFUNCTION("""COMPUTED_VALUE"""),"Nick Taylor")</f>
        <v>Nick Taylor</v>
      </c>
      <c r="D145">
        <f ca="1">IFERROR(__xludf.DUMMYFUNCTION("""COMPUTED_VALUE"""),12)</f>
        <v>12</v>
      </c>
      <c r="E145">
        <f ca="1">IFERROR(__xludf.DUMMYFUNCTION("""COMPUTED_VALUE"""),175.2)</f>
        <v>175.2</v>
      </c>
      <c r="F145" s="2">
        <f ca="1">IFERROR(__xludf.DUMMYFUNCTION("""COMPUTED_VALUE"""),1015229)</f>
        <v>1015229</v>
      </c>
      <c r="G145">
        <f ca="1">IFERROR(__xludf.DUMMYFUNCTION("""COMPUTED_VALUE"""),161)</f>
        <v>161</v>
      </c>
    </row>
    <row r="146" spans="1:7" ht="12.75">
      <c r="A146" t="str">
        <f ca="1">IFERROR(__xludf.DUMMYFUNCTION("""COMPUTED_VALUE"""),"T145")</f>
        <v>T145</v>
      </c>
      <c r="B146" t="str">
        <f ca="1">IFERROR(__xludf.DUMMYFUNCTION("""COMPUTED_VALUE"""),"T158")</f>
        <v>T158</v>
      </c>
      <c r="C146" t="str">
        <f ca="1">IFERROR(__xludf.DUMMYFUNCTION("""COMPUTED_VALUE"""),"Roger Sloan")</f>
        <v>Roger Sloan</v>
      </c>
      <c r="D146">
        <f ca="1">IFERROR(__xludf.DUMMYFUNCTION("""COMPUTED_VALUE"""),12)</f>
        <v>12</v>
      </c>
      <c r="E146">
        <f ca="1">IFERROR(__xludf.DUMMYFUNCTION("""COMPUTED_VALUE"""),175.3)</f>
        <v>175.3</v>
      </c>
      <c r="F146" s="2">
        <f ca="1">IFERROR(__xludf.DUMMYFUNCTION("""COMPUTED_VALUE"""),530046)</f>
        <v>530046</v>
      </c>
      <c r="G146">
        <f ca="1">IFERROR(__xludf.DUMMYFUNCTION("""COMPUTED_VALUE"""),84)</f>
        <v>84</v>
      </c>
    </row>
    <row r="147" spans="1:7" ht="12.75">
      <c r="A147" t="str">
        <f ca="1">IFERROR(__xludf.DUMMYFUNCTION("""COMPUTED_VALUE"""),"T145")</f>
        <v>T145</v>
      </c>
      <c r="B147" t="str">
        <f ca="1">IFERROR(__xludf.DUMMYFUNCTION("""COMPUTED_VALUE"""),"T158")</f>
        <v>T158</v>
      </c>
      <c r="C147" t="str">
        <f ca="1">IFERROR(__xludf.DUMMYFUNCTION("""COMPUTED_VALUE"""),"Robert Streb")</f>
        <v>Robert Streb</v>
      </c>
      <c r="D147">
        <f ca="1">IFERROR(__xludf.DUMMYFUNCTION("""COMPUTED_VALUE"""),12)</f>
        <v>12</v>
      </c>
      <c r="E147">
        <f ca="1">IFERROR(__xludf.DUMMYFUNCTION("""COMPUTED_VALUE"""),175.3)</f>
        <v>175.3</v>
      </c>
      <c r="F147" s="2">
        <f ca="1">IFERROR(__xludf.DUMMYFUNCTION("""COMPUTED_VALUE"""),353363)</f>
        <v>353363</v>
      </c>
      <c r="G147">
        <f ca="1">IFERROR(__xludf.DUMMYFUNCTION("""COMPUTED_VALUE"""),56)</f>
        <v>56</v>
      </c>
    </row>
    <row r="148" spans="1:7" ht="12.75">
      <c r="A148">
        <f ca="1">IFERROR(__xludf.DUMMYFUNCTION("""COMPUTED_VALUE"""),147)</f>
        <v>147</v>
      </c>
      <c r="B148">
        <f ca="1">IFERROR(__xludf.DUMMYFUNCTION("""COMPUTED_VALUE"""),147)</f>
        <v>147</v>
      </c>
      <c r="C148" t="str">
        <f ca="1">IFERROR(__xludf.DUMMYFUNCTION("""COMPUTED_VALUE"""),"Jordan Spieth")</f>
        <v>Jordan Spieth</v>
      </c>
      <c r="D148">
        <f ca="1">IFERROR(__xludf.DUMMYFUNCTION("""COMPUTED_VALUE"""),14)</f>
        <v>14</v>
      </c>
      <c r="E148">
        <f ca="1">IFERROR(__xludf.DUMMYFUNCTION("""COMPUTED_VALUE"""),175.4)</f>
        <v>175.4</v>
      </c>
      <c r="F148" s="2">
        <f ca="1">IFERROR(__xludf.DUMMYFUNCTION("""COMPUTED_VALUE"""),1155406)</f>
        <v>1155406</v>
      </c>
      <c r="G148">
        <f ca="1">IFERROR(__xludf.DUMMYFUNCTION("""COMPUTED_VALUE"""),183)</f>
        <v>183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IFERROR(__xludf.DUMMYFUNCTION("""COMPUTED_VALUE"""),"T161")</f>
        <v>T161</v>
      </c>
      <c r="C149" t="str">
        <f ca="1">IFERROR(__xludf.DUMMYFUNCTION("""COMPUTED_VALUE"""),"Abraham Ancer")</f>
        <v>Abraham Ancer</v>
      </c>
      <c r="D149">
        <f ca="1">IFERROR(__xludf.DUMMYFUNCTION("""COMPUTED_VALUE"""),16)</f>
        <v>16</v>
      </c>
      <c r="E149">
        <f ca="1">IFERROR(__xludf.DUMMYFUNCTION("""COMPUTED_VALUE"""),175.5)</f>
        <v>175.5</v>
      </c>
      <c r="F149" s="2">
        <f ca="1">IFERROR(__xludf.DUMMYFUNCTION("""COMPUTED_VALUE"""),1383849)</f>
        <v>1383849</v>
      </c>
      <c r="G149">
        <f ca="1">IFERROR(__xludf.DUMMYFUNCTION("""COMPUTED_VALUE"""),219)</f>
        <v>219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IFERROR(__xludf.DUMMYFUNCTION("""COMPUTED_VALUE"""),"T161")</f>
        <v>T161</v>
      </c>
      <c r="C150" t="str">
        <f ca="1">IFERROR(__xludf.DUMMYFUNCTION("""COMPUTED_VALUE"""),"Collin Morikawa")</f>
        <v>Collin Morikawa</v>
      </c>
      <c r="D150">
        <f ca="1">IFERROR(__xludf.DUMMYFUNCTION("""COMPUTED_VALUE"""),12)</f>
        <v>12</v>
      </c>
      <c r="E150">
        <f ca="1">IFERROR(__xludf.DUMMYFUNCTION("""COMPUTED_VALUE"""),175.5)</f>
        <v>175.5</v>
      </c>
      <c r="F150" s="2">
        <f ca="1">IFERROR(__xludf.DUMMYFUNCTION("""COMPUTED_VALUE"""),1016921)</f>
        <v>1016921</v>
      </c>
      <c r="G150">
        <f ca="1">IFERROR(__xludf.DUMMYFUNCTION("""COMPUTED_VALUE"""),161)</f>
        <v>161</v>
      </c>
    </row>
    <row r="151" spans="1:7" ht="12.75">
      <c r="A151" t="str">
        <f ca="1">IFERROR(__xludf.DUMMYFUNCTION("""COMPUTED_VALUE"""),"T150")</f>
        <v>T150</v>
      </c>
      <c r="B151" t="str">
        <f ca="1">IFERROR(__xludf.DUMMYFUNCTION("""COMPUTED_VALUE"""),"T163")</f>
        <v>T163</v>
      </c>
      <c r="C151" t="str">
        <f ca="1">IFERROR(__xludf.DUMMYFUNCTION("""COMPUTED_VALUE"""),"Kevin Na")</f>
        <v>Kevin Na</v>
      </c>
      <c r="D151">
        <f ca="1">IFERROR(__xludf.DUMMYFUNCTION("""COMPUTED_VALUE"""),14)</f>
        <v>14</v>
      </c>
      <c r="E151">
        <f ca="1">IFERROR(__xludf.DUMMYFUNCTION("""COMPUTED_VALUE"""),175.6)</f>
        <v>175.6</v>
      </c>
      <c r="F151" s="2">
        <f ca="1">IFERROR(__xludf.DUMMYFUNCTION("""COMPUTED_VALUE"""),1200986)</f>
        <v>1200986</v>
      </c>
      <c r="G151">
        <f ca="1">IFERROR(__xludf.DUMMYFUNCTION("""COMPUTED_VALUE"""),190)</f>
        <v>190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IFERROR(__xludf.DUMMYFUNCTION("""COMPUTED_VALUE"""),"T140")</f>
        <v>T140</v>
      </c>
      <c r="C152" t="str">
        <f ca="1">IFERROR(__xludf.DUMMYFUNCTION("""COMPUTED_VALUE"""),"Kevin Streelman")</f>
        <v>Kevin Streelman</v>
      </c>
      <c r="D152">
        <f ca="1">IFERROR(__xludf.DUMMYFUNCTION("""COMPUTED_VALUE"""),18)</f>
        <v>18</v>
      </c>
      <c r="E152">
        <f ca="1">IFERROR(__xludf.DUMMYFUNCTION("""COMPUTED_VALUE"""),175.6)</f>
        <v>175.6</v>
      </c>
      <c r="F152" s="2">
        <f ca="1">IFERROR(__xludf.DUMMYFUNCTION("""COMPUTED_VALUE"""),1548353)</f>
        <v>1548353</v>
      </c>
      <c r="G152">
        <f ca="1">IFERROR(__xludf.DUMMYFUNCTION("""COMPUTED_VALUE"""),245)</f>
        <v>245</v>
      </c>
    </row>
    <row r="153" spans="1:7" ht="12.75">
      <c r="A153" t="str">
        <f ca="1">IFERROR(__xludf.DUMMYFUNCTION("""COMPUTED_VALUE"""),"T150")</f>
        <v>T150</v>
      </c>
      <c r="B153" t="str">
        <f ca="1">IFERROR(__xludf.DUMMYFUNCTION("""COMPUTED_VALUE"""),"T108")</f>
        <v>T108</v>
      </c>
      <c r="C153" t="str">
        <f ca="1">IFERROR(__xludf.DUMMYFUNCTION("""COMPUTED_VALUE"""),"Michael Kim")</f>
        <v>Michael Kim</v>
      </c>
      <c r="D153">
        <f ca="1">IFERROR(__xludf.DUMMYFUNCTION("""COMPUTED_VALUE"""),12)</f>
        <v>12</v>
      </c>
      <c r="E153">
        <f ca="1">IFERROR(__xludf.DUMMYFUNCTION("""COMPUTED_VALUE"""),175.6)</f>
        <v>175.6</v>
      </c>
      <c r="F153" s="2">
        <f ca="1">IFERROR(__xludf.DUMMYFUNCTION("""COMPUTED_VALUE"""),695328)</f>
        <v>695328</v>
      </c>
      <c r="G153">
        <f ca="1">IFERROR(__xludf.DUMMYFUNCTION("""COMPUTED_VALUE"""),110)</f>
        <v>110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IFERROR(__xludf.DUMMYFUNCTION("""COMPUTED_VALUE"""),"T165")</f>
        <v>T165</v>
      </c>
      <c r="C154" t="str">
        <f ca="1">IFERROR(__xludf.DUMMYFUNCTION("""COMPUTED_VALUE"""),"Cameron Smith")</f>
        <v>Cameron Smith</v>
      </c>
      <c r="D154">
        <f ca="1">IFERROR(__xludf.DUMMYFUNCTION("""COMPUTED_VALUE"""),16)</f>
        <v>16</v>
      </c>
      <c r="E154">
        <f ca="1">IFERROR(__xludf.DUMMYFUNCTION("""COMPUTED_VALUE"""),175.7)</f>
        <v>175.7</v>
      </c>
      <c r="F154" s="2">
        <f ca="1">IFERROR(__xludf.DUMMYFUNCTION("""COMPUTED_VALUE"""),1378674)</f>
        <v>1378674</v>
      </c>
      <c r="G154">
        <f ca="1">IFERROR(__xludf.DUMMYFUNCTION("""COMPUTED_VALUE"""),218)</f>
        <v>218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IFERROR(__xludf.DUMMYFUNCTION("""COMPUTED_VALUE"""),168)</f>
        <v>168</v>
      </c>
      <c r="C155" t="str">
        <f ca="1">IFERROR(__xludf.DUMMYFUNCTION("""COMPUTED_VALUE"""),"Tommy Fleetwood")</f>
        <v>Tommy Fleetwood</v>
      </c>
      <c r="D155">
        <f ca="1">IFERROR(__xludf.DUMMYFUNCTION("""COMPUTED_VALUE"""),10)</f>
        <v>10</v>
      </c>
      <c r="E155">
        <f ca="1">IFERROR(__xludf.DUMMYFUNCTION("""COMPUTED_VALUE"""),175.9)</f>
        <v>175.9</v>
      </c>
      <c r="F155" s="2">
        <f ca="1">IFERROR(__xludf.DUMMYFUNCTION("""COMPUTED_VALUE"""),829630)</f>
        <v>829630</v>
      </c>
      <c r="G155">
        <f ca="1">IFERROR(__xludf.DUMMYFUNCTION("""COMPUTED_VALUE"""),131)</f>
        <v>131</v>
      </c>
    </row>
    <row r="156" spans="1:7" ht="12.75">
      <c r="A156" t="str">
        <f ca="1">IFERROR(__xludf.DUMMYFUNCTION("""COMPUTED_VALUE"""),"T155")</f>
        <v>T155</v>
      </c>
      <c r="B156" t="str">
        <f ca="1">IFERROR(__xludf.DUMMYFUNCTION("""COMPUTED_VALUE"""),"T170")</f>
        <v>T170</v>
      </c>
      <c r="C156" t="str">
        <f ca="1">IFERROR(__xludf.DUMMYFUNCTION("""COMPUTED_VALUE"""),"D.J. Trahan")</f>
        <v>D.J. Trahan</v>
      </c>
      <c r="D156">
        <f ca="1">IFERROR(__xludf.DUMMYFUNCTION("""COMPUTED_VALUE"""),16)</f>
        <v>16</v>
      </c>
      <c r="E156">
        <f ca="1">IFERROR(__xludf.DUMMYFUNCTION("""COMPUTED_VALUE"""),176.1)</f>
        <v>176.1</v>
      </c>
      <c r="F156" s="2">
        <f ca="1">IFERROR(__xludf.DUMMYFUNCTION("""COMPUTED_VALUE"""),709940)</f>
        <v>709940</v>
      </c>
      <c r="G156">
        <f ca="1">IFERROR(__xludf.DUMMYFUNCTION("""COMPUTED_VALUE"""),112)</f>
        <v>112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IFERROR(__xludf.DUMMYFUNCTION("""COMPUTED_VALUE"""),"T170")</f>
        <v>T170</v>
      </c>
      <c r="C157" t="str">
        <f ca="1">IFERROR(__xludf.DUMMYFUNCTION("""COMPUTED_VALUE"""),"Kiradech Aphibarnrat")</f>
        <v>Kiradech Aphibarnrat</v>
      </c>
      <c r="D157">
        <f ca="1">IFERROR(__xludf.DUMMYFUNCTION("""COMPUTED_VALUE"""),12)</f>
        <v>12</v>
      </c>
      <c r="E157">
        <f ca="1">IFERROR(__xludf.DUMMYFUNCTION("""COMPUTED_VALUE"""),176.1)</f>
        <v>176.1</v>
      </c>
      <c r="F157" s="2">
        <f ca="1">IFERROR(__xludf.DUMMYFUNCTION("""COMPUTED_VALUE"""),355102)</f>
        <v>355102</v>
      </c>
      <c r="G157">
        <f ca="1">IFERROR(__xludf.DUMMYFUNCTION("""COMPUTED_VALUE"""),56)</f>
        <v>56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IFERROR(__xludf.DUMMYFUNCTION("""COMPUTED_VALUE"""),"T170")</f>
        <v>T170</v>
      </c>
      <c r="C158" t="str">
        <f ca="1">IFERROR(__xludf.DUMMYFUNCTION("""COMPUTED_VALUE"""),"Harris English")</f>
        <v>Harris English</v>
      </c>
      <c r="D158">
        <f ca="1">IFERROR(__xludf.DUMMYFUNCTION("""COMPUTED_VALUE"""),14)</f>
        <v>14</v>
      </c>
      <c r="E158">
        <f ca="1">IFERROR(__xludf.DUMMYFUNCTION("""COMPUTED_VALUE"""),176.1)</f>
        <v>176.1</v>
      </c>
      <c r="F158" s="2">
        <f ca="1">IFERROR(__xludf.DUMMYFUNCTION("""COMPUTED_VALUE"""),1210795)</f>
        <v>1210795</v>
      </c>
      <c r="G158">
        <f ca="1">IFERROR(__xludf.DUMMYFUNCTION("""COMPUTED_VALUE"""),191)</f>
        <v>191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IFERROR(__xludf.DUMMYFUNCTION("""COMPUTED_VALUE"""),174)</f>
        <v>174</v>
      </c>
      <c r="C159" t="str">
        <f ca="1">IFERROR(__xludf.DUMMYFUNCTION("""COMPUTED_VALUE"""),"Xander Schauffele")</f>
        <v>Xander Schauffele</v>
      </c>
      <c r="D159">
        <f ca="1">IFERROR(__xludf.DUMMYFUNCTION("""COMPUTED_VALUE"""),12)</f>
        <v>12</v>
      </c>
      <c r="E159">
        <f ca="1">IFERROR(__xludf.DUMMYFUNCTION("""COMPUTED_VALUE"""),176.2)</f>
        <v>176.2</v>
      </c>
      <c r="F159" s="2">
        <f ca="1">IFERROR(__xludf.DUMMYFUNCTION("""COMPUTED_VALUE"""),1021087)</f>
        <v>1021087</v>
      </c>
      <c r="G159">
        <f ca="1">IFERROR(__xludf.DUMMYFUNCTION("""COMPUTED_VALUE"""),161)</f>
        <v>161</v>
      </c>
    </row>
    <row r="160" spans="1:7" ht="12.75">
      <c r="A160">
        <f ca="1">IFERROR(__xludf.DUMMYFUNCTION("""COMPUTED_VALUE"""),159)</f>
        <v>159</v>
      </c>
      <c r="B160" t="str">
        <f ca="1">IFERROR(__xludf.DUMMYFUNCTION("""COMPUTED_VALUE"""),"T175")</f>
        <v>T175</v>
      </c>
      <c r="C160" t="str">
        <f ca="1">IFERROR(__xludf.DUMMYFUNCTION("""COMPUTED_VALUE"""),"Romain Langasque")</f>
        <v>Romain Langasque</v>
      </c>
      <c r="D160">
        <f ca="1">IFERROR(__xludf.DUMMYFUNCTION("""COMPUTED_VALUE"""),4)</f>
        <v>4</v>
      </c>
      <c r="E160">
        <f ca="1">IFERROR(__xludf.DUMMYFUNCTION("""COMPUTED_VALUE"""),176.3)</f>
        <v>176.3</v>
      </c>
      <c r="F160" s="2">
        <f ca="1">IFERROR(__xludf.DUMMYFUNCTION("""COMPUTED_VALUE"""),355379)</f>
        <v>355379</v>
      </c>
      <c r="G160">
        <f ca="1">IFERROR(__xludf.DUMMYFUNCTION("""COMPUTED_VALUE"""),56)</f>
        <v>56</v>
      </c>
    </row>
    <row r="161" spans="1:7" ht="12.75">
      <c r="A161">
        <f ca="1">IFERROR(__xludf.DUMMYFUNCTION("""COMPUTED_VALUE"""),160)</f>
        <v>160</v>
      </c>
      <c r="B161" t="str">
        <f ca="1">IFERROR(__xludf.DUMMYFUNCTION("""COMPUTED_VALUE"""),"T178")</f>
        <v>T178</v>
      </c>
      <c r="C161" t="str">
        <f ca="1">IFERROR(__xludf.DUMMYFUNCTION("""COMPUTED_VALUE"""),"Rafa Cabrera Bello")</f>
        <v>Rafa Cabrera Bello</v>
      </c>
      <c r="D161">
        <f ca="1">IFERROR(__xludf.DUMMYFUNCTION("""COMPUTED_VALUE"""),14)</f>
        <v>14</v>
      </c>
      <c r="E161">
        <f ca="1">IFERROR(__xludf.DUMMYFUNCTION("""COMPUTED_VALUE"""),176.5)</f>
        <v>176.5</v>
      </c>
      <c r="F161" s="2">
        <f ca="1">IFERROR(__xludf.DUMMYFUNCTION("""COMPUTED_VALUE"""),1060964)</f>
        <v>1060964</v>
      </c>
      <c r="G161">
        <f ca="1">IFERROR(__xludf.DUMMYFUNCTION("""COMPUTED_VALUE"""),167)</f>
        <v>167</v>
      </c>
    </row>
    <row r="162" spans="1:7" ht="12.75">
      <c r="A162" t="str">
        <f ca="1">IFERROR(__xludf.DUMMYFUNCTION("""COMPUTED_VALUE"""),"T161")</f>
        <v>T161</v>
      </c>
      <c r="B162">
        <f ca="1">IFERROR(__xludf.DUMMYFUNCTION("""COMPUTED_VALUE"""),180)</f>
        <v>180</v>
      </c>
      <c r="C162" t="str">
        <f ca="1">IFERROR(__xludf.DUMMYFUNCTION("""COMPUTED_VALUE"""),"Bill Haas")</f>
        <v>Bill Haas</v>
      </c>
      <c r="D162">
        <f ca="1">IFERROR(__xludf.DUMMYFUNCTION("""COMPUTED_VALUE"""),10)</f>
        <v>10</v>
      </c>
      <c r="E162">
        <f ca="1">IFERROR(__xludf.DUMMYFUNCTION("""COMPUTED_VALUE"""),176.6)</f>
        <v>176.6</v>
      </c>
      <c r="F162" s="2">
        <f ca="1">IFERROR(__xludf.DUMMYFUNCTION("""COMPUTED_VALUE"""),534052)</f>
        <v>534052</v>
      </c>
      <c r="G162">
        <f ca="1">IFERROR(__xludf.DUMMYFUNCTION("""COMPUTED_VALUE"""),84)</f>
        <v>84</v>
      </c>
    </row>
    <row r="163" spans="1:7" ht="12.75">
      <c r="A163" t="str">
        <f ca="1">IFERROR(__xludf.DUMMYFUNCTION("""COMPUTED_VALUE"""),"T161")</f>
        <v>T161</v>
      </c>
      <c r="B163">
        <f ca="1">IFERROR(__xludf.DUMMYFUNCTION("""COMPUTED_VALUE"""),118)</f>
        <v>118</v>
      </c>
      <c r="C163" t="str">
        <f ca="1">IFERROR(__xludf.DUMMYFUNCTION("""COMPUTED_VALUE"""),"Ted Potter, Jr.")</f>
        <v>Ted Potter, Jr.</v>
      </c>
      <c r="D163">
        <f ca="1">IFERROR(__xludf.DUMMYFUNCTION("""COMPUTED_VALUE"""),8)</f>
        <v>8</v>
      </c>
      <c r="E163">
        <f ca="1">IFERROR(__xludf.DUMMYFUNCTION("""COMPUTED_VALUE"""),176.6)</f>
        <v>176.6</v>
      </c>
      <c r="F163" s="2">
        <f ca="1">IFERROR(__xludf.DUMMYFUNCTION("""COMPUTED_VALUE"""),699452)</f>
        <v>699452</v>
      </c>
      <c r="G163">
        <f ca="1">IFERROR(__xludf.DUMMYFUNCTION("""COMPUTED_VALUE"""),110)</f>
        <v>110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IFERROR(__xludf.DUMMYFUNCTION("""COMPUTED_VALUE"""),"T148")</f>
        <v>T148</v>
      </c>
      <c r="C164" t="str">
        <f ca="1">IFERROR(__xludf.DUMMYFUNCTION("""COMPUTED_VALUE"""),"Keegan Bradley")</f>
        <v>Keegan Bradley</v>
      </c>
      <c r="D164">
        <f ca="1">IFERROR(__xludf.DUMMYFUNCTION("""COMPUTED_VALUE"""),16)</f>
        <v>16</v>
      </c>
      <c r="E164">
        <f ca="1">IFERROR(__xludf.DUMMYFUNCTION("""COMPUTED_VALUE"""),176.7)</f>
        <v>176.7</v>
      </c>
      <c r="F164" s="2">
        <f ca="1">IFERROR(__xludf.DUMMYFUNCTION("""COMPUTED_VALUE"""),1412231)</f>
        <v>1412231</v>
      </c>
      <c r="G164">
        <f ca="1">IFERROR(__xludf.DUMMYFUNCTION("""COMPUTED_VALUE"""),222)</f>
        <v>222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IFERROR(__xludf.DUMMYFUNCTION("""COMPUTED_VALUE"""),"T151")</f>
        <v>T151</v>
      </c>
      <c r="C165" t="str">
        <f ca="1">IFERROR(__xludf.DUMMYFUNCTION("""COMPUTED_VALUE"""),"Tom Hoge")</f>
        <v>Tom Hoge</v>
      </c>
      <c r="D165">
        <f ca="1">IFERROR(__xludf.DUMMYFUNCTION("""COMPUTED_VALUE"""),22)</f>
        <v>22</v>
      </c>
      <c r="E165">
        <f ca="1">IFERROR(__xludf.DUMMYFUNCTION("""COMPUTED_VALUE"""),176.7)</f>
        <v>176.7</v>
      </c>
      <c r="F165" s="2">
        <f ca="1">IFERROR(__xludf.DUMMYFUNCTION("""COMPUTED_VALUE"""),1914786)</f>
        <v>1914786</v>
      </c>
      <c r="G165">
        <f ca="1">IFERROR(__xludf.DUMMYFUNCTION("""COMPUTED_VALUE"""),301)</f>
        <v>301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IFERROR(__xludf.DUMMYFUNCTION("""COMPUTED_VALUE"""),182)</f>
        <v>182</v>
      </c>
      <c r="C166" t="str">
        <f ca="1">IFERROR(__xludf.DUMMYFUNCTION("""COMPUTED_VALUE"""),"Rasmus Hojgaard")</f>
        <v>Rasmus Hojgaard</v>
      </c>
      <c r="D166">
        <f ca="1">IFERROR(__xludf.DUMMYFUNCTION("""COMPUTED_VALUE"""),6)</f>
        <v>6</v>
      </c>
      <c r="E166">
        <f ca="1">IFERROR(__xludf.DUMMYFUNCTION("""COMPUTED_VALUE"""),176.8)</f>
        <v>176.8</v>
      </c>
      <c r="F166" s="2">
        <f ca="1">IFERROR(__xludf.DUMMYFUNCTION("""COMPUTED_VALUE"""),178252)</f>
        <v>178252</v>
      </c>
      <c r="G166">
        <f ca="1">IFERROR(__xludf.DUMMYFUNCTION("""COMPUTED_VALUE"""),28)</f>
        <v>28</v>
      </c>
    </row>
    <row r="167" spans="1:7" ht="12.75">
      <c r="A167" t="str">
        <f ca="1">IFERROR(__xludf.DUMMYFUNCTION("""COMPUTED_VALUE"""),"T166")</f>
        <v>T166</v>
      </c>
      <c r="B167">
        <f ca="1">IFERROR(__xludf.DUMMYFUNCTION("""COMPUTED_VALUE"""),207)</f>
        <v>207</v>
      </c>
      <c r="C167" t="str">
        <f ca="1">IFERROR(__xludf.DUMMYFUNCTION("""COMPUTED_VALUE"""),"Tony Finau")</f>
        <v>Tony Finau</v>
      </c>
      <c r="D167">
        <f ca="1">IFERROR(__xludf.DUMMYFUNCTION("""COMPUTED_VALUE"""),12)</f>
        <v>12</v>
      </c>
      <c r="E167">
        <f ca="1">IFERROR(__xludf.DUMMYFUNCTION("""COMPUTED_VALUE"""),176.9)</f>
        <v>176.9</v>
      </c>
      <c r="F167" s="2">
        <f ca="1">IFERROR(__xludf.DUMMYFUNCTION("""COMPUTED_VALUE"""),1012600)</f>
        <v>1012600</v>
      </c>
      <c r="G167">
        <f ca="1">IFERROR(__xludf.DUMMYFUNCTION("""COMPUTED_VALUE"""),159)</f>
        <v>159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IFERROR(__xludf.DUMMYFUNCTION("""COMPUTED_VALUE"""),"T163")</f>
        <v>T163</v>
      </c>
      <c r="C168" t="str">
        <f ca="1">IFERROR(__xludf.DUMMYFUNCTION("""COMPUTED_VALUE"""),"Hideki Matsuyama")</f>
        <v>Hideki Matsuyama</v>
      </c>
      <c r="D168">
        <f ca="1">IFERROR(__xludf.DUMMYFUNCTION("""COMPUTED_VALUE"""),18)</f>
        <v>18</v>
      </c>
      <c r="E168">
        <f ca="1">IFERROR(__xludf.DUMMYFUNCTION("""COMPUTED_VALUE"""),176.9)</f>
        <v>176.9</v>
      </c>
      <c r="F168" s="2">
        <f ca="1">IFERROR(__xludf.DUMMYFUNCTION("""COMPUTED_VALUE"""),1553968)</f>
        <v>1553968</v>
      </c>
      <c r="G168">
        <f ca="1">IFERROR(__xludf.DUMMYFUNCTION("""COMPUTED_VALUE"""),244)</f>
        <v>244</v>
      </c>
    </row>
    <row r="169" spans="1:7" ht="12.75">
      <c r="A169" t="str">
        <f ca="1">IFERROR(__xludf.DUMMYFUNCTION("""COMPUTED_VALUE"""),"T166")</f>
        <v>T166</v>
      </c>
      <c r="B169">
        <f ca="1">IFERROR(__xludf.DUMMYFUNCTION("""COMPUTED_VALUE"""),107)</f>
        <v>107</v>
      </c>
      <c r="C169" t="str">
        <f ca="1">IFERROR(__xludf.DUMMYFUNCTION("""COMPUTED_VALUE"""),"Russell Knox")</f>
        <v>Russell Knox</v>
      </c>
      <c r="D169">
        <f ca="1">IFERROR(__xludf.DUMMYFUNCTION("""COMPUTED_VALUE"""),16)</f>
        <v>16</v>
      </c>
      <c r="E169">
        <f ca="1">IFERROR(__xludf.DUMMYFUNCTION("""COMPUTED_VALUE"""),176.9)</f>
        <v>176.9</v>
      </c>
      <c r="F169" s="2">
        <f ca="1">IFERROR(__xludf.DUMMYFUNCTION("""COMPUTED_VALUE"""),1044672)</f>
        <v>1044672</v>
      </c>
      <c r="G169">
        <f ca="1">IFERROR(__xludf.DUMMYFUNCTION("""COMPUTED_VALUE"""),164)</f>
        <v>164</v>
      </c>
    </row>
    <row r="170" spans="1:7" ht="12.75">
      <c r="A170" t="str">
        <f ca="1">IFERROR(__xludf.DUMMYFUNCTION("""COMPUTED_VALUE"""),"T169")</f>
        <v>T169</v>
      </c>
      <c r="B170" t="str">
        <f ca="1">IFERROR(__xludf.DUMMYFUNCTION("""COMPUTED_VALUE"""),"T123")</f>
        <v>T123</v>
      </c>
      <c r="C170" t="str">
        <f ca="1">IFERROR(__xludf.DUMMYFUNCTION("""COMPUTED_VALUE"""),"Brandt Snedeker")</f>
        <v>Brandt Snedeker</v>
      </c>
      <c r="D170">
        <f ca="1">IFERROR(__xludf.DUMMYFUNCTION("""COMPUTED_VALUE"""),16)</f>
        <v>16</v>
      </c>
      <c r="E170">
        <f ca="1">IFERROR(__xludf.DUMMYFUNCTION("""COMPUTED_VALUE"""),177.1)</f>
        <v>177.1</v>
      </c>
      <c r="F170" s="2">
        <f ca="1">IFERROR(__xludf.DUMMYFUNCTION("""COMPUTED_VALUE"""),1376986)</f>
        <v>1376986</v>
      </c>
      <c r="G170">
        <f ca="1">IFERROR(__xludf.DUMMYFUNCTION("""COMPUTED_VALUE"""),216)</f>
        <v>216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IFERROR(__xludf.DUMMYFUNCTION("""COMPUTED_VALUE"""),"T183")</f>
        <v>T183</v>
      </c>
      <c r="C171" t="str">
        <f ca="1">IFERROR(__xludf.DUMMYFUNCTION("""COMPUTED_VALUE"""),"Matt Every")</f>
        <v>Matt Every</v>
      </c>
      <c r="D171">
        <f ca="1">IFERROR(__xludf.DUMMYFUNCTION("""COMPUTED_VALUE"""),8)</f>
        <v>8</v>
      </c>
      <c r="E171">
        <f ca="1">IFERROR(__xludf.DUMMYFUNCTION("""COMPUTED_VALUE"""),177.1)</f>
        <v>177.1</v>
      </c>
      <c r="F171" s="2">
        <f ca="1">IFERROR(__xludf.DUMMYFUNCTION("""COMPUTED_VALUE"""),357065)</f>
        <v>357065</v>
      </c>
      <c r="G171">
        <f ca="1">IFERROR(__xludf.DUMMYFUNCTION("""COMPUTED_VALUE"""),56)</f>
        <v>56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IFERROR(__xludf.DUMMYFUNCTION("""COMPUTED_VALUE"""),"T113")</f>
        <v>T113</v>
      </c>
      <c r="C172" t="str">
        <f ca="1">IFERROR(__xludf.DUMMYFUNCTION("""COMPUTED_VALUE"""),"Brice Garnett")</f>
        <v>Brice Garnett</v>
      </c>
      <c r="D172">
        <f ca="1">IFERROR(__xludf.DUMMYFUNCTION("""COMPUTED_VALUE"""),22)</f>
        <v>22</v>
      </c>
      <c r="E172">
        <f ca="1">IFERROR(__xludf.DUMMYFUNCTION("""COMPUTED_VALUE"""),177.2)</f>
        <v>177.2</v>
      </c>
      <c r="F172" s="2">
        <f ca="1">IFERROR(__xludf.DUMMYFUNCTION("""COMPUTED_VALUE"""),1224910)</f>
        <v>1224910</v>
      </c>
      <c r="G172">
        <f ca="1">IFERROR(__xludf.DUMMYFUNCTION("""COMPUTED_VALUE"""),192)</f>
        <v>192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IFERROR(__xludf.DUMMYFUNCTION("""COMPUTED_VALUE"""),"T170")</f>
        <v>T170</v>
      </c>
      <c r="C173" t="str">
        <f ca="1">IFERROR(__xludf.DUMMYFUNCTION("""COMPUTED_VALUE"""),"Talor Gooch")</f>
        <v>Talor Gooch</v>
      </c>
      <c r="D173">
        <f ca="1">IFERROR(__xludf.DUMMYFUNCTION("""COMPUTED_VALUE"""),20)</f>
        <v>20</v>
      </c>
      <c r="E173">
        <f ca="1">IFERROR(__xludf.DUMMYFUNCTION("""COMPUTED_VALUE"""),177.2)</f>
        <v>177.2</v>
      </c>
      <c r="F173" s="2">
        <f ca="1">IFERROR(__xludf.DUMMYFUNCTION("""COMPUTED_VALUE"""),1728718)</f>
        <v>1728718</v>
      </c>
      <c r="G173">
        <f ca="1">IFERROR(__xludf.DUMMYFUNCTION("""COMPUTED_VALUE"""),271)</f>
        <v>271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IFERROR(__xludf.DUMMYFUNCTION("""COMPUTED_VALUE"""),"T125")</f>
        <v>T125</v>
      </c>
      <c r="C174" t="str">
        <f ca="1">IFERROR(__xludf.DUMMYFUNCTION("""COMPUTED_VALUE"""),"Luke Donald")</f>
        <v>Luke Donald</v>
      </c>
      <c r="D174">
        <f ca="1">IFERROR(__xludf.DUMMYFUNCTION("""COMPUTED_VALUE"""),14)</f>
        <v>14</v>
      </c>
      <c r="E174">
        <f ca="1">IFERROR(__xludf.DUMMYFUNCTION("""COMPUTED_VALUE"""),177.3)</f>
        <v>177.3</v>
      </c>
      <c r="F174" s="2">
        <f ca="1">IFERROR(__xludf.DUMMYFUNCTION("""COMPUTED_VALUE"""),868076)</f>
        <v>868076</v>
      </c>
      <c r="G174">
        <f ca="1">IFERROR(__xludf.DUMMYFUNCTION("""COMPUTED_VALUE"""),136)</f>
        <v>136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IFERROR(__xludf.DUMMYFUNCTION("""COMPUTED_VALUE"""),"T185")</f>
        <v>T185</v>
      </c>
      <c r="C175" t="str">
        <f ca="1">IFERROR(__xludf.DUMMYFUNCTION("""COMPUTED_VALUE"""),"Zac Blair")</f>
        <v>Zac Blair</v>
      </c>
      <c r="D175">
        <f ca="1">IFERROR(__xludf.DUMMYFUNCTION("""COMPUTED_VALUE"""),10)</f>
        <v>10</v>
      </c>
      <c r="E175">
        <f ca="1">IFERROR(__xludf.DUMMYFUNCTION("""COMPUTED_VALUE"""),177.3)</f>
        <v>177.3</v>
      </c>
      <c r="F175" s="2">
        <f ca="1">IFERROR(__xludf.DUMMYFUNCTION("""COMPUTED_VALUE"""),529824)</f>
        <v>529824</v>
      </c>
      <c r="G175">
        <f ca="1">IFERROR(__xludf.DUMMYFUNCTION("""COMPUTED_VALUE"""),83)</f>
        <v>83</v>
      </c>
    </row>
    <row r="176" spans="1:7" ht="12.75">
      <c r="A176" t="str">
        <f ca="1">IFERROR(__xludf.DUMMYFUNCTION("""COMPUTED_VALUE"""),"T173")</f>
        <v>T173</v>
      </c>
      <c r="B176" t="str">
        <f ca="1">IFERROR(__xludf.DUMMYFUNCTION("""COMPUTED_VALUE"""),"T185")</f>
        <v>T185</v>
      </c>
      <c r="C176" t="str">
        <f ca="1">IFERROR(__xludf.DUMMYFUNCTION("""COMPUTED_VALUE"""),"Robert MacIntyre")</f>
        <v>Robert MacIntyre</v>
      </c>
      <c r="D176">
        <f ca="1">IFERROR(__xludf.DUMMYFUNCTION("""COMPUTED_VALUE"""),4)</f>
        <v>4</v>
      </c>
      <c r="E176">
        <f ca="1">IFERROR(__xludf.DUMMYFUNCTION("""COMPUTED_VALUE"""),177.3)</f>
        <v>177.3</v>
      </c>
      <c r="F176" s="2">
        <f ca="1">IFERROR(__xludf.DUMMYFUNCTION("""COMPUTED_VALUE"""),357531)</f>
        <v>357531</v>
      </c>
      <c r="G176">
        <f ca="1">IFERROR(__xludf.DUMMYFUNCTION("""COMPUTED_VALUE"""),56)</f>
        <v>56</v>
      </c>
    </row>
    <row r="177" spans="1:7" ht="12.75">
      <c r="A177" t="str">
        <f ca="1">IFERROR(__xludf.DUMMYFUNCTION("""COMPUTED_VALUE"""),"T176")</f>
        <v>T176</v>
      </c>
      <c r="B177" t="str">
        <f ca="1">IFERROR(__xludf.DUMMYFUNCTION("""COMPUTED_VALUE"""),"T153")</f>
        <v>T153</v>
      </c>
      <c r="C177" t="str">
        <f ca="1">IFERROR(__xludf.DUMMYFUNCTION("""COMPUTED_VALUE"""),"Branden Grace")</f>
        <v>Branden Grace</v>
      </c>
      <c r="D177">
        <f ca="1">IFERROR(__xludf.DUMMYFUNCTION("""COMPUTED_VALUE"""),16)</f>
        <v>16</v>
      </c>
      <c r="E177">
        <f ca="1">IFERROR(__xludf.DUMMYFUNCTION("""COMPUTED_VALUE"""),177.4)</f>
        <v>177.4</v>
      </c>
      <c r="F177" s="2">
        <f ca="1">IFERROR(__xludf.DUMMYFUNCTION("""COMPUTED_VALUE"""),874782)</f>
        <v>874782</v>
      </c>
      <c r="G177">
        <f ca="1">IFERROR(__xludf.DUMMYFUNCTION("""COMPUTED_VALUE"""),137)</f>
        <v>137</v>
      </c>
    </row>
    <row r="178" spans="1:7" ht="12.75">
      <c r="A178" t="str">
        <f ca="1">IFERROR(__xludf.DUMMYFUNCTION("""COMPUTED_VALUE"""),"T176")</f>
        <v>T176</v>
      </c>
      <c r="B178">
        <f ca="1">IFERROR(__xludf.DUMMYFUNCTION("""COMPUTED_VALUE"""),187)</f>
        <v>187</v>
      </c>
      <c r="C178" t="str">
        <f ca="1">IFERROR(__xludf.DUMMYFUNCTION("""COMPUTED_VALUE"""),"Dominic Bozzelli")</f>
        <v>Dominic Bozzelli</v>
      </c>
      <c r="D178">
        <f ca="1">IFERROR(__xludf.DUMMYFUNCTION("""COMPUTED_VALUE"""),8)</f>
        <v>8</v>
      </c>
      <c r="E178">
        <f ca="1">IFERROR(__xludf.DUMMYFUNCTION("""COMPUTED_VALUE"""),177.4)</f>
        <v>177.4</v>
      </c>
      <c r="F178" s="2">
        <f ca="1">IFERROR(__xludf.DUMMYFUNCTION("""COMPUTED_VALUE"""),178811)</f>
        <v>178811</v>
      </c>
      <c r="G178">
        <f ca="1">IFERROR(__xludf.DUMMYFUNCTION("""COMPUTED_VALUE"""),28)</f>
        <v>28</v>
      </c>
    </row>
    <row r="179" spans="1:7" ht="12.75">
      <c r="A179" t="str">
        <f ca="1">IFERROR(__xludf.DUMMYFUNCTION("""COMPUTED_VALUE"""),"T178")</f>
        <v>T178</v>
      </c>
      <c r="B179" t="str">
        <f ca="1">IFERROR(__xludf.DUMMYFUNCTION("""COMPUTED_VALUE"""),"T144")</f>
        <v>T144</v>
      </c>
      <c r="C179" t="str">
        <f ca="1">IFERROR(__xludf.DUMMYFUNCTION("""COMPUTED_VALUE"""),"Sung Kang")</f>
        <v>Sung Kang</v>
      </c>
      <c r="D179">
        <f ca="1">IFERROR(__xludf.DUMMYFUNCTION("""COMPUTED_VALUE"""),14)</f>
        <v>14</v>
      </c>
      <c r="E179">
        <f ca="1">IFERROR(__xludf.DUMMYFUNCTION("""COMPUTED_VALUE"""),177.5)</f>
        <v>177.5</v>
      </c>
      <c r="F179" s="2">
        <f ca="1">IFERROR(__xludf.DUMMYFUNCTION("""COMPUTED_VALUE"""),1233284)</f>
        <v>1233284</v>
      </c>
      <c r="G179">
        <f ca="1">IFERROR(__xludf.DUMMYFUNCTION("""COMPUTED_VALUE"""),193)</f>
        <v>193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IFERROR(__xludf.DUMMYFUNCTION("""COMPUTED_VALUE"""),"T183")</f>
        <v>T183</v>
      </c>
      <c r="C180" t="str">
        <f ca="1">IFERROR(__xludf.DUMMYFUNCTION("""COMPUTED_VALUE"""),"Shane Lowry")</f>
        <v>Shane Lowry</v>
      </c>
      <c r="D180">
        <f ca="1">IFERROR(__xludf.DUMMYFUNCTION("""COMPUTED_VALUE"""),14)</f>
        <v>14</v>
      </c>
      <c r="E180">
        <f ca="1">IFERROR(__xludf.DUMMYFUNCTION("""COMPUTED_VALUE"""),177.5)</f>
        <v>177.5</v>
      </c>
      <c r="F180" s="2">
        <f ca="1">IFERROR(__xludf.DUMMYFUNCTION("""COMPUTED_VALUE"""),1226969)</f>
        <v>1226969</v>
      </c>
      <c r="G180">
        <f ca="1">IFERROR(__xludf.DUMMYFUNCTION("""COMPUTED_VALUE"""),192)</f>
        <v>192</v>
      </c>
    </row>
    <row r="181" spans="1:7" ht="12.75">
      <c r="A181" t="str">
        <f ca="1">IFERROR(__xludf.DUMMYFUNCTION("""COMPUTED_VALUE"""),"T180")</f>
        <v>T180</v>
      </c>
      <c r="B181" t="str">
        <f ca="1">IFERROR(__xludf.DUMMYFUNCTION("""COMPUTED_VALUE"""),"T128")</f>
        <v>T128</v>
      </c>
      <c r="C181" t="str">
        <f ca="1">IFERROR(__xludf.DUMMYFUNCTION("""COMPUTED_VALUE"""),"Lee Westwood")</f>
        <v>Lee Westwood</v>
      </c>
      <c r="D181">
        <f ca="1">IFERROR(__xludf.DUMMYFUNCTION("""COMPUTED_VALUE"""),6)</f>
        <v>6</v>
      </c>
      <c r="E181">
        <f ca="1">IFERROR(__xludf.DUMMYFUNCTION("""COMPUTED_VALUE"""),177.6)</f>
        <v>177.6</v>
      </c>
      <c r="F181" s="2">
        <f ca="1">IFERROR(__xludf.DUMMYFUNCTION("""COMPUTED_VALUE"""),524141)</f>
        <v>524141</v>
      </c>
      <c r="G181">
        <f ca="1">IFERROR(__xludf.DUMMYFUNCTION("""COMPUTED_VALUE"""),82)</f>
        <v>82</v>
      </c>
    </row>
    <row r="182" spans="1:7" ht="12.75">
      <c r="A182" t="str">
        <f ca="1">IFERROR(__xludf.DUMMYFUNCTION("""COMPUTED_VALUE"""),"T180")</f>
        <v>T180</v>
      </c>
      <c r="B182" t="str">
        <f ca="1">IFERROR(__xludf.DUMMYFUNCTION("""COMPUTED_VALUE"""),"T153")</f>
        <v>T153</v>
      </c>
      <c r="C182" t="str">
        <f ca="1">IFERROR(__xludf.DUMMYFUNCTION("""COMPUTED_VALUE"""),"Brian Harman")</f>
        <v>Brian Harman</v>
      </c>
      <c r="D182">
        <f ca="1">IFERROR(__xludf.DUMMYFUNCTION("""COMPUTED_VALUE"""),24)</f>
        <v>24</v>
      </c>
      <c r="E182">
        <f ca="1">IFERROR(__xludf.DUMMYFUNCTION("""COMPUTED_VALUE"""),177.6)</f>
        <v>177.6</v>
      </c>
      <c r="F182" s="2">
        <f ca="1">IFERROR(__xludf.DUMMYFUNCTION("""COMPUTED_VALUE"""),2096910)</f>
        <v>2096910</v>
      </c>
      <c r="G182">
        <f ca="1">IFERROR(__xludf.DUMMYFUNCTION("""COMPUTED_VALUE"""),328)</f>
        <v>328</v>
      </c>
    </row>
    <row r="183" spans="1:7" ht="12.75">
      <c r="A183" t="str">
        <f ca="1">IFERROR(__xludf.DUMMYFUNCTION("""COMPUTED_VALUE"""),"T180")</f>
        <v>T180</v>
      </c>
      <c r="B183" t="str">
        <f ca="1">IFERROR(__xludf.DUMMYFUNCTION("""COMPUTED_VALUE"""),"T188")</f>
        <v>T188</v>
      </c>
      <c r="C183" t="str">
        <f ca="1">IFERROR(__xludf.DUMMYFUNCTION("""COMPUTED_VALUE"""),"Peter Uihlein")</f>
        <v>Peter Uihlein</v>
      </c>
      <c r="D183">
        <f ca="1">IFERROR(__xludf.DUMMYFUNCTION("""COMPUTED_VALUE"""),8)</f>
        <v>8</v>
      </c>
      <c r="E183">
        <f ca="1">IFERROR(__xludf.DUMMYFUNCTION("""COMPUTED_VALUE"""),177.6)</f>
        <v>177.6</v>
      </c>
      <c r="F183" s="2">
        <f ca="1">IFERROR(__xludf.DUMMYFUNCTION("""COMPUTED_VALUE"""),178997)</f>
        <v>178997</v>
      </c>
      <c r="G183">
        <f ca="1">IFERROR(__xludf.DUMMYFUNCTION("""COMPUTED_VALUE"""),28)</f>
        <v>28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IFERROR(__xludf.DUMMYFUNCTION("""COMPUTED_VALUE"""),191)</f>
        <v>191</v>
      </c>
      <c r="C184" t="str">
        <f ca="1">IFERROR(__xludf.DUMMYFUNCTION("""COMPUTED_VALUE"""),"Chez Reavie")</f>
        <v>Chez Reavie</v>
      </c>
      <c r="D184">
        <f ca="1">IFERROR(__xludf.DUMMYFUNCTION("""COMPUTED_VALUE"""),14)</f>
        <v>14</v>
      </c>
      <c r="E184">
        <f ca="1">IFERROR(__xludf.DUMMYFUNCTION("""COMPUTED_VALUE"""),177.7)</f>
        <v>177.7</v>
      </c>
      <c r="F184" s="2">
        <f ca="1">IFERROR(__xludf.DUMMYFUNCTION("""COMPUTED_VALUE"""),1253732)</f>
        <v>1253732</v>
      </c>
      <c r="G184">
        <f ca="1">IFERROR(__xludf.DUMMYFUNCTION("""COMPUTED_VALUE"""),196)</f>
        <v>196</v>
      </c>
    </row>
    <row r="185" spans="1:7" ht="12.75">
      <c r="A185" t="str">
        <f ca="1">IFERROR(__xludf.DUMMYFUNCTION("""COMPUTED_VALUE"""),"T184")</f>
        <v>T184</v>
      </c>
      <c r="B185" t="str">
        <f ca="1">IFERROR(__xludf.DUMMYFUNCTION("""COMPUTED_VALUE"""),"T192")</f>
        <v>T192</v>
      </c>
      <c r="C185" t="str">
        <f ca="1">IFERROR(__xludf.DUMMYFUNCTION("""COMPUTED_VALUE"""),"Cameron Percy")</f>
        <v>Cameron Percy</v>
      </c>
      <c r="D185">
        <f ca="1">IFERROR(__xludf.DUMMYFUNCTION("""COMPUTED_VALUE"""),16)</f>
        <v>16</v>
      </c>
      <c r="E185">
        <f ca="1">IFERROR(__xludf.DUMMYFUNCTION("""COMPUTED_VALUE"""),177.9)</f>
        <v>177.9</v>
      </c>
      <c r="F185" s="2">
        <f ca="1">IFERROR(__xludf.DUMMYFUNCTION("""COMPUTED_VALUE"""),704443)</f>
        <v>704443</v>
      </c>
      <c r="G185">
        <f ca="1">IFERROR(__xludf.DUMMYFUNCTION("""COMPUTED_VALUE"""),110)</f>
        <v>110</v>
      </c>
    </row>
    <row r="186" spans="1:7" ht="12.75">
      <c r="A186" t="str">
        <f ca="1">IFERROR(__xludf.DUMMYFUNCTION("""COMPUTED_VALUE"""),"T184")</f>
        <v>T184</v>
      </c>
      <c r="B186" t="str">
        <f ca="1">IFERROR(__xludf.DUMMYFUNCTION("""COMPUTED_VALUE"""),"T156")</f>
        <v>T156</v>
      </c>
      <c r="C186" t="str">
        <f ca="1">IFERROR(__xludf.DUMMYFUNCTION("""COMPUTED_VALUE"""),"Lucas Glover")</f>
        <v>Lucas Glover</v>
      </c>
      <c r="D186">
        <f ca="1">IFERROR(__xludf.DUMMYFUNCTION("""COMPUTED_VALUE"""),12)</f>
        <v>12</v>
      </c>
      <c r="E186">
        <f ca="1">IFERROR(__xludf.DUMMYFUNCTION("""COMPUTED_VALUE"""),177.9)</f>
        <v>177.9</v>
      </c>
      <c r="F186" s="2">
        <f ca="1">IFERROR(__xludf.DUMMYFUNCTION("""COMPUTED_VALUE"""),1063191)</f>
        <v>1063191</v>
      </c>
      <c r="G186">
        <f ca="1">IFERROR(__xludf.DUMMYFUNCTION("""COMPUTED_VALUE"""),166)</f>
        <v>166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IFERROR(__xludf.DUMMYFUNCTION("""COMPUTED_VALUE"""),"T192")</f>
        <v>T192</v>
      </c>
      <c r="C187" t="str">
        <f ca="1">IFERROR(__xludf.DUMMYFUNCTION("""COMPUTED_VALUE"""),"Lanto Griffin")</f>
        <v>Lanto Griffin</v>
      </c>
      <c r="D187">
        <f ca="1">IFERROR(__xludf.DUMMYFUNCTION("""COMPUTED_VALUE"""),18)</f>
        <v>18</v>
      </c>
      <c r="E187">
        <f ca="1">IFERROR(__xludf.DUMMYFUNCTION("""COMPUTED_VALUE"""),178)</f>
        <v>178</v>
      </c>
      <c r="F187" s="2">
        <f ca="1">IFERROR(__xludf.DUMMYFUNCTION("""COMPUTED_VALUE"""),1544017)</f>
        <v>1544017</v>
      </c>
      <c r="G187">
        <f ca="1">IFERROR(__xludf.DUMMYFUNCTION("""COMPUTED_VALUE"""),241)</f>
        <v>241</v>
      </c>
    </row>
    <row r="188" spans="1:7" ht="12.75">
      <c r="A188">
        <f ca="1">IFERROR(__xludf.DUMMYFUNCTION("""COMPUTED_VALUE"""),187)</f>
        <v>187</v>
      </c>
      <c r="B188" t="str">
        <f ca="1">IFERROR(__xludf.DUMMYFUNCTION("""COMPUTED_VALUE"""),"T188")</f>
        <v>T188</v>
      </c>
      <c r="C188" t="str">
        <f ca="1">IFERROR(__xludf.DUMMYFUNCTION("""COMPUTED_VALUE"""),"Corey Conners")</f>
        <v>Corey Conners</v>
      </c>
      <c r="D188">
        <f ca="1">IFERROR(__xludf.DUMMYFUNCTION("""COMPUTED_VALUE"""),20)</f>
        <v>20</v>
      </c>
      <c r="E188">
        <f ca="1">IFERROR(__xludf.DUMMYFUNCTION("""COMPUTED_VALUE"""),178.1)</f>
        <v>178.1</v>
      </c>
      <c r="F188" s="2">
        <f ca="1">IFERROR(__xludf.DUMMYFUNCTION("""COMPUTED_VALUE"""),1558066)</f>
        <v>1558066</v>
      </c>
      <c r="G188">
        <f ca="1">IFERROR(__xludf.DUMMYFUNCTION("""COMPUTED_VALUE"""),243)</f>
        <v>243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IFERROR(__xludf.DUMMYFUNCTION("""COMPUTED_VALUE"""),"T86")</f>
        <v>T86</v>
      </c>
      <c r="C189" t="str">
        <f ca="1">IFERROR(__xludf.DUMMYFUNCTION("""COMPUTED_VALUE"""),"Bo Van Pelt")</f>
        <v>Bo Van Pelt</v>
      </c>
      <c r="D189">
        <f ca="1">IFERROR(__xludf.DUMMYFUNCTION("""COMPUTED_VALUE"""),10)</f>
        <v>10</v>
      </c>
      <c r="E189">
        <f ca="1">IFERROR(__xludf.DUMMYFUNCTION("""COMPUTED_VALUE"""),178.4)</f>
        <v>178.4</v>
      </c>
      <c r="F189" s="2">
        <f ca="1">IFERROR(__xludf.DUMMYFUNCTION("""COMPUTED_VALUE"""),520154)</f>
        <v>520154</v>
      </c>
      <c r="G189">
        <f ca="1">IFERROR(__xludf.DUMMYFUNCTION("""COMPUTED_VALUE"""),81)</f>
        <v>81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IFERROR(__xludf.DUMMYFUNCTION("""COMPUTED_VALUE"""),"T194")</f>
        <v>T194</v>
      </c>
      <c r="C190" t="str">
        <f ca="1">IFERROR(__xludf.DUMMYFUNCTION("""COMPUTED_VALUE"""),"Adam Hadwin")</f>
        <v>Adam Hadwin</v>
      </c>
      <c r="D190">
        <f ca="1">IFERROR(__xludf.DUMMYFUNCTION("""COMPUTED_VALUE"""),16)</f>
        <v>16</v>
      </c>
      <c r="E190">
        <f ca="1">IFERROR(__xludf.DUMMYFUNCTION("""COMPUTED_VALUE"""),178.4)</f>
        <v>178.4</v>
      </c>
      <c r="F190" s="2">
        <f ca="1">IFERROR(__xludf.DUMMYFUNCTION("""COMPUTED_VALUE"""),1412552)</f>
        <v>1412552</v>
      </c>
      <c r="G190">
        <f ca="1">IFERROR(__xludf.DUMMYFUNCTION("""COMPUTED_VALUE"""),220)</f>
        <v>220</v>
      </c>
    </row>
    <row r="191" spans="1:7" ht="12.75">
      <c r="A191" t="str">
        <f ca="1">IFERROR(__xludf.DUMMYFUNCTION("""COMPUTED_VALUE"""),"T188")</f>
        <v>T188</v>
      </c>
      <c r="B191" t="str">
        <f ca="1">IFERROR(__xludf.DUMMYFUNCTION("""COMPUTED_VALUE"""),"T194")</f>
        <v>T194</v>
      </c>
      <c r="C191" t="str">
        <f ca="1">IFERROR(__xludf.DUMMYFUNCTION("""COMPUTED_VALUE"""),"Richy Werenski")</f>
        <v>Richy Werenski</v>
      </c>
      <c r="D191">
        <f ca="1">IFERROR(__xludf.DUMMYFUNCTION("""COMPUTED_VALUE"""),16)</f>
        <v>16</v>
      </c>
      <c r="E191">
        <f ca="1">IFERROR(__xludf.DUMMYFUNCTION("""COMPUTED_VALUE"""),178.4)</f>
        <v>178.4</v>
      </c>
      <c r="F191" s="2">
        <f ca="1">IFERROR(__xludf.DUMMYFUNCTION("""COMPUTED_VALUE"""),1387329)</f>
        <v>1387329</v>
      </c>
      <c r="G191">
        <f ca="1">IFERROR(__xludf.DUMMYFUNCTION("""COMPUTED_VALUE"""),216)</f>
        <v>216</v>
      </c>
    </row>
    <row r="192" spans="1:7" ht="12.75">
      <c r="A192" t="str">
        <f ca="1">IFERROR(__xludf.DUMMYFUNCTION("""COMPUTED_VALUE"""),"T191")</f>
        <v>T191</v>
      </c>
      <c r="B192">
        <f ca="1">IFERROR(__xludf.DUMMYFUNCTION("""COMPUTED_VALUE"""),196)</f>
        <v>196</v>
      </c>
      <c r="C192" t="str">
        <f ca="1">IFERROR(__xludf.DUMMYFUNCTION("""COMPUTED_VALUE"""),"George McNeill")</f>
        <v>George McNeill</v>
      </c>
      <c r="D192">
        <f ca="1">IFERROR(__xludf.DUMMYFUNCTION("""COMPUTED_VALUE"""),8)</f>
        <v>8</v>
      </c>
      <c r="E192">
        <f ca="1">IFERROR(__xludf.DUMMYFUNCTION("""COMPUTED_VALUE"""),178.6)</f>
        <v>178.6</v>
      </c>
      <c r="F192" s="2">
        <f ca="1">IFERROR(__xludf.DUMMYFUNCTION("""COMPUTED_VALUE"""),173629)</f>
        <v>173629</v>
      </c>
      <c r="G192">
        <f ca="1">IFERROR(__xludf.DUMMYFUNCTION("""COMPUTED_VALUE"""),27)</f>
        <v>27</v>
      </c>
    </row>
    <row r="193" spans="1:7" ht="12.75">
      <c r="A193" t="str">
        <f ca="1">IFERROR(__xludf.DUMMYFUNCTION("""COMPUTED_VALUE"""),"T191")</f>
        <v>T191</v>
      </c>
      <c r="B193">
        <f ca="1">IFERROR(__xludf.DUMMYFUNCTION("""COMPUTED_VALUE"""),181)</f>
        <v>181</v>
      </c>
      <c r="C193" t="str">
        <f ca="1">IFERROR(__xludf.DUMMYFUNCTION("""COMPUTED_VALUE"""),"Erik van Rooyen")</f>
        <v>Erik van Rooyen</v>
      </c>
      <c r="D193">
        <f ca="1">IFERROR(__xludf.DUMMYFUNCTION("""COMPUTED_VALUE"""),10)</f>
        <v>10</v>
      </c>
      <c r="E193">
        <f ca="1">IFERROR(__xludf.DUMMYFUNCTION("""COMPUTED_VALUE"""),178.6)</f>
        <v>178.6</v>
      </c>
      <c r="F193" s="2">
        <f ca="1">IFERROR(__xludf.DUMMYFUNCTION("""COMPUTED_VALUE"""),874574)</f>
        <v>874574</v>
      </c>
      <c r="G193">
        <f ca="1">IFERROR(__xludf.DUMMYFUNCTION("""COMPUTED_VALUE"""),136)</f>
        <v>136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IFERROR(__xludf.DUMMYFUNCTION("""COMPUTED_VALUE"""),197)</f>
        <v>197</v>
      </c>
      <c r="C194" t="str">
        <f ca="1">IFERROR(__xludf.DUMMYFUNCTION("""COMPUTED_VALUE"""),"Jim Furyk")</f>
        <v>Jim Furyk</v>
      </c>
      <c r="D194">
        <f ca="1">IFERROR(__xludf.DUMMYFUNCTION("""COMPUTED_VALUE"""),4)</f>
        <v>4</v>
      </c>
      <c r="E194">
        <f ca="1">IFERROR(__xludf.DUMMYFUNCTION("""COMPUTED_VALUE"""),178.7)</f>
        <v>178.7</v>
      </c>
      <c r="F194" s="2">
        <f ca="1">IFERROR(__xludf.DUMMYFUNCTION("""COMPUTED_VALUE"""),353922)</f>
        <v>353922</v>
      </c>
      <c r="G194">
        <f ca="1">IFERROR(__xludf.DUMMYFUNCTION("""COMPUTED_VALUE"""),55)</f>
        <v>55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IFERROR(__xludf.DUMMYFUNCTION("""COMPUTED_VALUE"""),"")</f>
        <v/>
      </c>
      <c r="C195" t="str">
        <f ca="1">IFERROR(__xludf.DUMMYFUNCTION("""COMPUTED_VALUE"""),"Padraig Harrington")</f>
        <v>Padraig Harrington</v>
      </c>
      <c r="D195">
        <f ca="1">IFERROR(__xludf.DUMMYFUNCTION("""COMPUTED_VALUE"""),8)</f>
        <v>8</v>
      </c>
      <c r="E195">
        <f ca="1">IFERROR(__xludf.DUMMYFUNCTION("""COMPUTED_VALUE"""),178.9)</f>
        <v>178.9</v>
      </c>
      <c r="F195" s="2">
        <f ca="1">IFERROR(__xludf.DUMMYFUNCTION("""COMPUTED_VALUE"""),334816)</f>
        <v>334816</v>
      </c>
      <c r="G195">
        <f ca="1">IFERROR(__xludf.DUMMYFUNCTION("""COMPUTED_VALUE"""),52)</f>
        <v>52</v>
      </c>
    </row>
    <row r="196" spans="1:7" ht="12.75">
      <c r="A196" t="str">
        <f ca="1">IFERROR(__xludf.DUMMYFUNCTION("""COMPUTED_VALUE"""),"T194")</f>
        <v>T194</v>
      </c>
      <c r="B196">
        <f ca="1">IFERROR(__xludf.DUMMYFUNCTION("""COMPUTED_VALUE"""),198)</f>
        <v>198</v>
      </c>
      <c r="C196" t="str">
        <f ca="1">IFERROR(__xludf.DUMMYFUNCTION("""COMPUTED_VALUE"""),"Matt Kuchar")</f>
        <v>Matt Kuchar</v>
      </c>
      <c r="D196">
        <f ca="1">IFERROR(__xludf.DUMMYFUNCTION("""COMPUTED_VALUE"""),14)</f>
        <v>14</v>
      </c>
      <c r="E196">
        <f ca="1">IFERROR(__xludf.DUMMYFUNCTION("""COMPUTED_VALUE"""),178.9)</f>
        <v>178.9</v>
      </c>
      <c r="F196" s="2">
        <f ca="1">IFERROR(__xludf.DUMMYFUNCTION("""COMPUTED_VALUE"""),1230449)</f>
        <v>1230449</v>
      </c>
      <c r="G196">
        <f ca="1">IFERROR(__xludf.DUMMYFUNCTION("""COMPUTED_VALUE"""),191)</f>
        <v>191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IFERROR(__xludf.DUMMYFUNCTION("""COMPUTED_VALUE"""),199)</f>
        <v>199</v>
      </c>
      <c r="C197" t="str">
        <f ca="1">IFERROR(__xludf.DUMMYFUNCTION("""COMPUTED_VALUE"""),"John Senden")</f>
        <v>John Senden</v>
      </c>
      <c r="D197">
        <f ca="1">IFERROR(__xludf.DUMMYFUNCTION("""COMPUTED_VALUE"""),8)</f>
        <v>8</v>
      </c>
      <c r="E197">
        <f ca="1">IFERROR(__xludf.DUMMYFUNCTION("""COMPUTED_VALUE"""),179)</f>
        <v>179</v>
      </c>
      <c r="F197" s="2">
        <f ca="1">IFERROR(__xludf.DUMMYFUNCTION("""COMPUTED_VALUE"""),180446)</f>
        <v>180446</v>
      </c>
      <c r="G197">
        <f ca="1">IFERROR(__xludf.DUMMYFUNCTION("""COMPUTED_VALUE"""),28)</f>
        <v>28</v>
      </c>
    </row>
    <row r="198" spans="1:7" ht="12.75">
      <c r="A198" t="str">
        <f ca="1">IFERROR(__xludf.DUMMYFUNCTION("""COMPUTED_VALUE"""),"T197")</f>
        <v>T197</v>
      </c>
      <c r="B198" t="str">
        <f ca="1">IFERROR(__xludf.DUMMYFUNCTION("""COMPUTED_VALUE"""),"T200")</f>
        <v>T200</v>
      </c>
      <c r="C198" t="str">
        <f ca="1">IFERROR(__xludf.DUMMYFUNCTION("""COMPUTED_VALUE"""),"Billy Horschel")</f>
        <v>Billy Horschel</v>
      </c>
      <c r="D198">
        <f ca="1">IFERROR(__xludf.DUMMYFUNCTION("""COMPUTED_VALUE"""),12)</f>
        <v>12</v>
      </c>
      <c r="E198">
        <f ca="1">IFERROR(__xludf.DUMMYFUNCTION("""COMPUTED_VALUE"""),179.1)</f>
        <v>179.1</v>
      </c>
      <c r="F198" s="2">
        <f ca="1">IFERROR(__xludf.DUMMYFUNCTION("""COMPUTED_VALUE"""),1050830)</f>
        <v>1050830</v>
      </c>
      <c r="G198">
        <f ca="1">IFERROR(__xludf.DUMMYFUNCTION("""COMPUTED_VALUE"""),163)</f>
        <v>163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IFERROR(__xludf.DUMMYFUNCTION("""COMPUTED_VALUE"""),"T200")</f>
        <v>T200</v>
      </c>
      <c r="C199" t="str">
        <f ca="1">IFERROR(__xludf.DUMMYFUNCTION("""COMPUTED_VALUE"""),"Justin Thomas")</f>
        <v>Justin Thomas</v>
      </c>
      <c r="D199">
        <f ca="1">IFERROR(__xludf.DUMMYFUNCTION("""COMPUTED_VALUE"""),12)</f>
        <v>12</v>
      </c>
      <c r="E199">
        <f ca="1">IFERROR(__xludf.DUMMYFUNCTION("""COMPUTED_VALUE"""),179.1)</f>
        <v>179.1</v>
      </c>
      <c r="F199" s="2">
        <f ca="1">IFERROR(__xludf.DUMMYFUNCTION("""COMPUTED_VALUE"""),1044693)</f>
        <v>1044693</v>
      </c>
      <c r="G199">
        <f ca="1">IFERROR(__xludf.DUMMYFUNCTION("""COMPUTED_VALUE"""),162)</f>
        <v>162</v>
      </c>
    </row>
    <row r="200" spans="1:7" ht="12.75">
      <c r="A200" t="str">
        <f ca="1">IFERROR(__xludf.DUMMYFUNCTION("""COMPUTED_VALUE"""),"T197")</f>
        <v>T197</v>
      </c>
      <c r="B200" t="str">
        <f ca="1">IFERROR(__xludf.DUMMYFUNCTION("""COMPUTED_VALUE"""),"T200")</f>
        <v>T200</v>
      </c>
      <c r="C200" t="str">
        <f ca="1">IFERROR(__xludf.DUMMYFUNCTION("""COMPUTED_VALUE"""),"Hank Lebioda")</f>
        <v>Hank Lebioda</v>
      </c>
      <c r="D200">
        <f ca="1">IFERROR(__xludf.DUMMYFUNCTION("""COMPUTED_VALUE"""),14)</f>
        <v>14</v>
      </c>
      <c r="E200">
        <f ca="1">IFERROR(__xludf.DUMMYFUNCTION("""COMPUTED_VALUE"""),179.1)</f>
        <v>179.1</v>
      </c>
      <c r="F200" s="2">
        <f ca="1">IFERROR(__xludf.DUMMYFUNCTION("""COMPUTED_VALUE"""),541608)</f>
        <v>541608</v>
      </c>
      <c r="G200">
        <f ca="1">IFERROR(__xludf.DUMMYFUNCTION("""COMPUTED_VALUE"""),84)</f>
        <v>84</v>
      </c>
    </row>
    <row r="201" spans="1:7" ht="12.75">
      <c r="A201" t="str">
        <f ca="1">IFERROR(__xludf.DUMMYFUNCTION("""COMPUTED_VALUE"""),"T200")</f>
        <v>T200</v>
      </c>
      <c r="B201">
        <f ca="1">IFERROR(__xludf.DUMMYFUNCTION("""COMPUTED_VALUE"""),204)</f>
        <v>204</v>
      </c>
      <c r="C201" t="str">
        <f ca="1">IFERROR(__xludf.DUMMYFUNCTION("""COMPUTED_VALUE"""),"Mark Anderson")</f>
        <v>Mark Anderson</v>
      </c>
      <c r="D201">
        <f ca="1">IFERROR(__xludf.DUMMYFUNCTION("""COMPUTED_VALUE"""),14)</f>
        <v>14</v>
      </c>
      <c r="E201">
        <f ca="1">IFERROR(__xludf.DUMMYFUNCTION("""COMPUTED_VALUE"""),179.4)</f>
        <v>179.4</v>
      </c>
      <c r="F201" s="2">
        <f ca="1">IFERROR(__xludf.DUMMYFUNCTION("""COMPUTED_VALUE"""),542426)</f>
        <v>542426</v>
      </c>
      <c r="G201">
        <f ca="1">IFERROR(__xludf.DUMMYFUNCTION("""COMPUTED_VALUE"""),84)</f>
        <v>84</v>
      </c>
    </row>
    <row r="202" spans="1:7" ht="12.75">
      <c r="A202" t="str">
        <f ca="1">IFERROR(__xludf.DUMMYFUNCTION("""COMPUTED_VALUE"""),"T200")</f>
        <v>T200</v>
      </c>
      <c r="B202">
        <f ca="1">IFERROR(__xludf.DUMMYFUNCTION("""COMPUTED_VALUE"""),169)</f>
        <v>169</v>
      </c>
      <c r="C202" t="str">
        <f ca="1">IFERROR(__xludf.DUMMYFUNCTION("""COMPUTED_VALUE"""),"Russell Henley")</f>
        <v>Russell Henley</v>
      </c>
      <c r="D202">
        <f ca="1">IFERROR(__xludf.DUMMYFUNCTION("""COMPUTED_VALUE"""),16)</f>
        <v>16</v>
      </c>
      <c r="E202">
        <f ca="1">IFERROR(__xludf.DUMMYFUNCTION("""COMPUTED_VALUE"""),179.4)</f>
        <v>179.4</v>
      </c>
      <c r="F202" s="2">
        <f ca="1">IFERROR(__xludf.DUMMYFUNCTION("""COMPUTED_VALUE"""),1394927)</f>
        <v>1394927</v>
      </c>
      <c r="G202">
        <f ca="1">IFERROR(__xludf.DUMMYFUNCTION("""COMPUTED_VALUE"""),216)</f>
        <v>216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IFERROR(__xludf.DUMMYFUNCTION("""COMPUTED_VALUE"""),205)</f>
        <v>205</v>
      </c>
      <c r="C203" t="str">
        <f ca="1">IFERROR(__xludf.DUMMYFUNCTION("""COMPUTED_VALUE"""),"Matthias Schwab")</f>
        <v>Matthias Schwab</v>
      </c>
      <c r="D203">
        <f ca="1">IFERROR(__xludf.DUMMYFUNCTION("""COMPUTED_VALUE"""),8)</f>
        <v>8</v>
      </c>
      <c r="E203">
        <f ca="1">IFERROR(__xludf.DUMMYFUNCTION("""COMPUTED_VALUE"""),179.6)</f>
        <v>179.6</v>
      </c>
      <c r="F203" s="2">
        <f ca="1">IFERROR(__xludf.DUMMYFUNCTION("""COMPUTED_VALUE"""),362061)</f>
        <v>362061</v>
      </c>
      <c r="G203">
        <f ca="1">IFERROR(__xludf.DUMMYFUNCTION("""COMPUTED_VALUE"""),56)</f>
        <v>56</v>
      </c>
    </row>
    <row r="204" spans="1:7" ht="12.75">
      <c r="A204">
        <f ca="1">IFERROR(__xludf.DUMMYFUNCTION("""COMPUTED_VALUE"""),203)</f>
        <v>203</v>
      </c>
      <c r="B204" t="str">
        <f ca="1">IFERROR(__xludf.DUMMYFUNCTION("""COMPUTED_VALUE"""),"T200")</f>
        <v>T200</v>
      </c>
      <c r="C204" t="str">
        <f ca="1">IFERROR(__xludf.DUMMYFUNCTION("""COMPUTED_VALUE"""),"Tyrrell Hatton")</f>
        <v>Tyrrell Hatton</v>
      </c>
      <c r="D204">
        <f ca="1">IFERROR(__xludf.DUMMYFUNCTION("""COMPUTED_VALUE"""),14)</f>
        <v>14</v>
      </c>
      <c r="E204">
        <f ca="1">IFERROR(__xludf.DUMMYFUNCTION("""COMPUTED_VALUE"""),179.8)</f>
        <v>179.8</v>
      </c>
      <c r="F204" s="2">
        <f ca="1">IFERROR(__xludf.DUMMYFUNCTION("""COMPUTED_VALUE"""),1210300)</f>
        <v>1210300</v>
      </c>
      <c r="G204">
        <f ca="1">IFERROR(__xludf.DUMMYFUNCTION("""COMPUTED_VALUE"""),187)</f>
        <v>187</v>
      </c>
    </row>
    <row r="205" spans="1:7" ht="12.75">
      <c r="A205">
        <f ca="1">IFERROR(__xludf.DUMMYFUNCTION("""COMPUTED_VALUE"""),204)</f>
        <v>204</v>
      </c>
      <c r="B205" t="str">
        <f ca="1">IFERROR(__xludf.DUMMYFUNCTION("""COMPUTED_VALUE"""),"")</f>
        <v/>
      </c>
      <c r="C205" t="str">
        <f ca="1">IFERROR(__xludf.DUMMYFUNCTION("""COMPUTED_VALUE"""),"Ollie Schniederjans")</f>
        <v>Ollie Schniederjans</v>
      </c>
      <c r="D205">
        <f ca="1">IFERROR(__xludf.DUMMYFUNCTION("""COMPUTED_VALUE"""),6)</f>
        <v>6</v>
      </c>
      <c r="E205">
        <f ca="1">IFERROR(__xludf.DUMMYFUNCTION("""COMPUTED_VALUE"""),180.1)</f>
        <v>180.1</v>
      </c>
      <c r="F205" s="2">
        <f ca="1">IFERROR(__xludf.DUMMYFUNCTION("""COMPUTED_VALUE"""),155609)</f>
        <v>155609</v>
      </c>
      <c r="G205">
        <f ca="1">IFERROR(__xludf.DUMMYFUNCTION("""COMPUTED_VALUE"""),24)</f>
        <v>24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IFERROR(__xludf.DUMMYFUNCTION("""COMPUTED_VALUE"""),208)</f>
        <v>208</v>
      </c>
      <c r="C206" t="str">
        <f ca="1">IFERROR(__xludf.DUMMYFUNCTION("""COMPUTED_VALUE"""),"Justin Rose")</f>
        <v>Justin Rose</v>
      </c>
      <c r="D206">
        <f ca="1">IFERROR(__xludf.DUMMYFUNCTION("""COMPUTED_VALUE"""),10)</f>
        <v>10</v>
      </c>
      <c r="E206">
        <f ca="1">IFERROR(__xludf.DUMMYFUNCTION("""COMPUTED_VALUE"""),180.2)</f>
        <v>180.2</v>
      </c>
      <c r="F206" s="2">
        <f ca="1">IFERROR(__xludf.DUMMYFUNCTION("""COMPUTED_VALUE"""),875839)</f>
        <v>875839</v>
      </c>
      <c r="G206">
        <f ca="1">IFERROR(__xludf.DUMMYFUNCTION("""COMPUTED_VALUE"""),135)</f>
        <v>135</v>
      </c>
    </row>
    <row r="207" spans="1:7" ht="12.75">
      <c r="A207" t="str">
        <f ca="1">IFERROR(__xludf.DUMMYFUNCTION("""COMPUTED_VALUE"""),"T206")</f>
        <v>T206</v>
      </c>
      <c r="B207" t="str">
        <f ca="1">IFERROR(__xludf.DUMMYFUNCTION("""COMPUTED_VALUE"""),"T209")</f>
        <v>T209</v>
      </c>
      <c r="C207" t="str">
        <f ca="1">IFERROR(__xludf.DUMMYFUNCTION("""COMPUTED_VALUE"""),"Gary Woodland")</f>
        <v>Gary Woodland</v>
      </c>
      <c r="D207">
        <f ca="1">IFERROR(__xludf.DUMMYFUNCTION("""COMPUTED_VALUE"""),6)</f>
        <v>6</v>
      </c>
      <c r="E207">
        <f ca="1">IFERROR(__xludf.DUMMYFUNCTION("""COMPUTED_VALUE"""),180.5)</f>
        <v>180.5</v>
      </c>
      <c r="F207" s="2">
        <f ca="1">IFERROR(__xludf.DUMMYFUNCTION("""COMPUTED_VALUE"""),513200)</f>
        <v>513200</v>
      </c>
      <c r="G207">
        <f ca="1">IFERROR(__xludf.DUMMYFUNCTION("""COMPUTED_VALUE"""),79)</f>
        <v>79</v>
      </c>
    </row>
    <row r="208" spans="1:7" ht="12.75">
      <c r="A208" t="str">
        <f ca="1">IFERROR(__xludf.DUMMYFUNCTION("""COMPUTED_VALUE"""),"T206")</f>
        <v>T206</v>
      </c>
      <c r="B208" t="str">
        <f ca="1">IFERROR(__xludf.DUMMYFUNCTION("""COMPUTED_VALUE"""),"T209")</f>
        <v>T209</v>
      </c>
      <c r="C208" t="str">
        <f ca="1">IFERROR(__xludf.DUMMYFUNCTION("""COMPUTED_VALUE"""),"Jeongwoo Ham")</f>
        <v>Jeongwoo Ham</v>
      </c>
      <c r="D208">
        <f ca="1">IFERROR(__xludf.DUMMYFUNCTION("""COMPUTED_VALUE"""),4)</f>
        <v>4</v>
      </c>
      <c r="E208">
        <f ca="1">IFERROR(__xludf.DUMMYFUNCTION("""COMPUTED_VALUE"""),180.5)</f>
        <v>180.5</v>
      </c>
      <c r="F208" s="2">
        <f ca="1">IFERROR(__xludf.DUMMYFUNCTION("""COMPUTED_VALUE"""),357313)</f>
        <v>357313</v>
      </c>
      <c r="G208">
        <f ca="1">IFERROR(__xludf.DUMMYFUNCTION("""COMPUTED_VALUE"""),55)</f>
        <v>55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IFERROR(__xludf.DUMMYFUNCTION("""COMPUTED_VALUE"""),211)</f>
        <v>211</v>
      </c>
      <c r="C209" t="str">
        <f ca="1">IFERROR(__xludf.DUMMYFUNCTION("""COMPUTED_VALUE"""),"Matt Wallace")</f>
        <v>Matt Wallace</v>
      </c>
      <c r="D209">
        <f ca="1">IFERROR(__xludf.DUMMYFUNCTION("""COMPUTED_VALUE"""),4)</f>
        <v>4</v>
      </c>
      <c r="E209">
        <f ca="1">IFERROR(__xludf.DUMMYFUNCTION("""COMPUTED_VALUE"""),180.6)</f>
        <v>180.6</v>
      </c>
      <c r="F209" s="2">
        <f ca="1">IFERROR(__xludf.DUMMYFUNCTION("""COMPUTED_VALUE"""),364088)</f>
        <v>364088</v>
      </c>
      <c r="G209">
        <f ca="1">IFERROR(__xludf.DUMMYFUNCTION("""COMPUTED_VALUE"""),56)</f>
        <v>56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IFERROR(__xludf.DUMMYFUNCTION("""COMPUTED_VALUE"""),"T212")</f>
        <v>T212</v>
      </c>
      <c r="C210" t="str">
        <f ca="1">IFERROR(__xludf.DUMMYFUNCTION("""COMPUTED_VALUE"""),"William McGirt")</f>
        <v>William McGirt</v>
      </c>
      <c r="D210">
        <f ca="1">IFERROR(__xludf.DUMMYFUNCTION("""COMPUTED_VALUE"""),6)</f>
        <v>6</v>
      </c>
      <c r="E210">
        <f ca="1">IFERROR(__xludf.DUMMYFUNCTION("""COMPUTED_VALUE"""),180.7)</f>
        <v>180.7</v>
      </c>
      <c r="F210" s="2">
        <f ca="1">IFERROR(__xludf.DUMMYFUNCTION("""COMPUTED_VALUE"""),546296)</f>
        <v>546296</v>
      </c>
      <c r="G210">
        <f ca="1">IFERROR(__xludf.DUMMYFUNCTION("""COMPUTED_VALUE"""),84)</f>
        <v>84</v>
      </c>
    </row>
    <row r="211" spans="1:7" ht="12.75">
      <c r="A211" t="str">
        <f ca="1">IFERROR(__xludf.DUMMYFUNCTION("""COMPUTED_VALUE"""),"T209")</f>
        <v>T209</v>
      </c>
      <c r="B211" t="str">
        <f ca="1">IFERROR(__xludf.DUMMYFUNCTION("""COMPUTED_VALUE"""),"T212")</f>
        <v>T212</v>
      </c>
      <c r="C211" t="str">
        <f ca="1">IFERROR(__xludf.DUMMYFUNCTION("""COMPUTED_VALUE"""),"Joohyung Kim")</f>
        <v>Joohyung Kim</v>
      </c>
      <c r="D211">
        <f ca="1">IFERROR(__xludf.DUMMYFUNCTION("""COMPUTED_VALUE"""),12)</f>
        <v>12</v>
      </c>
      <c r="E211">
        <f ca="1">IFERROR(__xludf.DUMMYFUNCTION("""COMPUTED_VALUE"""),180.7)</f>
        <v>180.7</v>
      </c>
      <c r="F211" s="2">
        <f ca="1">IFERROR(__xludf.DUMMYFUNCTION("""COMPUTED_VALUE"""),722017)</f>
        <v>722017</v>
      </c>
      <c r="G211">
        <f ca="1">IFERROR(__xludf.DUMMYFUNCTION("""COMPUTED_VALUE"""),111)</f>
        <v>111</v>
      </c>
    </row>
    <row r="212" spans="1:7" ht="12.75">
      <c r="A212">
        <f ca="1">IFERROR(__xludf.DUMMYFUNCTION("""COMPUTED_VALUE"""),211)</f>
        <v>211</v>
      </c>
      <c r="B212" t="str">
        <f ca="1">IFERROR(__xludf.DUMMYFUNCTION("""COMPUTED_VALUE"""),"T178")</f>
        <v>T178</v>
      </c>
      <c r="C212" t="str">
        <f ca="1">IFERROR(__xludf.DUMMYFUNCTION("""COMPUTED_VALUE"""),"Zach Johnson")</f>
        <v>Zach Johnson</v>
      </c>
      <c r="D212">
        <f ca="1">IFERROR(__xludf.DUMMYFUNCTION("""COMPUTED_VALUE"""),16)</f>
        <v>16</v>
      </c>
      <c r="E212">
        <f ca="1">IFERROR(__xludf.DUMMYFUNCTION("""COMPUTED_VALUE"""),180.8)</f>
        <v>180.8</v>
      </c>
      <c r="F212" s="2">
        <f ca="1">IFERROR(__xludf.DUMMYFUNCTION("""COMPUTED_VALUE"""),1425317)</f>
        <v>1425317</v>
      </c>
      <c r="G212">
        <f ca="1">IFERROR(__xludf.DUMMYFUNCTION("""COMPUTED_VALUE"""),219)</f>
        <v>219</v>
      </c>
    </row>
    <row r="213" spans="1:7" ht="12.75">
      <c r="A213" t="str">
        <f ca="1">IFERROR(__xludf.DUMMYFUNCTION("""COMPUTED_VALUE"""),"T212")</f>
        <v>T212</v>
      </c>
      <c r="B213">
        <f ca="1">IFERROR(__xludf.DUMMYFUNCTION("""COMPUTED_VALUE"""),215)</f>
        <v>215</v>
      </c>
      <c r="C213" t="str">
        <f ca="1">IFERROR(__xludf.DUMMYFUNCTION("""COMPUTED_VALUE"""),"Rhein Gibson")</f>
        <v>Rhein Gibson</v>
      </c>
      <c r="D213">
        <f ca="1">IFERROR(__xludf.DUMMYFUNCTION("""COMPUTED_VALUE"""),10)</f>
        <v>10</v>
      </c>
      <c r="E213">
        <f ca="1">IFERROR(__xludf.DUMMYFUNCTION("""COMPUTED_VALUE"""),181)</f>
        <v>181</v>
      </c>
      <c r="F213" s="2">
        <f ca="1">IFERROR(__xludf.DUMMYFUNCTION("""COMPUTED_VALUE"""),351866)</f>
        <v>351866</v>
      </c>
      <c r="G213">
        <f ca="1">IFERROR(__xludf.DUMMYFUNCTION("""COMPUTED_VALUE"""),54)</f>
        <v>54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IFERROR(__xludf.DUMMYFUNCTION("""COMPUTED_VALUE"""),"T175")</f>
        <v>T175</v>
      </c>
      <c r="C214" t="str">
        <f ca="1">IFERROR(__xludf.DUMMYFUNCTION("""COMPUTED_VALUE"""),"Troy Merritt")</f>
        <v>Troy Merritt</v>
      </c>
      <c r="D214">
        <f ca="1">IFERROR(__xludf.DUMMYFUNCTION("""COMPUTED_VALUE"""),20)</f>
        <v>20</v>
      </c>
      <c r="E214">
        <f ca="1">IFERROR(__xludf.DUMMYFUNCTION("""COMPUTED_VALUE"""),181)</f>
        <v>181</v>
      </c>
      <c r="F214" s="2">
        <f ca="1">IFERROR(__xludf.DUMMYFUNCTION("""COMPUTED_VALUE"""),1426667)</f>
        <v>1426667</v>
      </c>
      <c r="G214">
        <f ca="1">IFERROR(__xludf.DUMMYFUNCTION("""COMPUTED_VALUE"""),219)</f>
        <v>219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IFERROR(__xludf.DUMMYFUNCTION("""COMPUTED_VALUE"""),216)</f>
        <v>216</v>
      </c>
      <c r="C215" t="str">
        <f ca="1">IFERROR(__xludf.DUMMYFUNCTION("""COMPUTED_VALUE"""),"John Pak")</f>
        <v>John Pak</v>
      </c>
      <c r="D215">
        <f ca="1">IFERROR(__xludf.DUMMYFUNCTION("""COMPUTED_VALUE"""),4)</f>
        <v>4</v>
      </c>
      <c r="E215">
        <f ca="1">IFERROR(__xludf.DUMMYFUNCTION("""COMPUTED_VALUE"""),181.1)</f>
        <v>181.1</v>
      </c>
      <c r="F215" s="2">
        <f ca="1">IFERROR(__xludf.DUMMYFUNCTION("""COMPUTED_VALUE"""),365193)</f>
        <v>365193</v>
      </c>
      <c r="G215">
        <f ca="1">IFERROR(__xludf.DUMMYFUNCTION("""COMPUTED_VALUE"""),56)</f>
        <v>56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IFERROR(__xludf.DUMMYFUNCTION("""COMPUTED_VALUE"""),218)</f>
        <v>218</v>
      </c>
      <c r="C216" t="str">
        <f ca="1">IFERROR(__xludf.DUMMYFUNCTION("""COMPUTED_VALUE"""),"Jonathan Byrd")</f>
        <v>Jonathan Byrd</v>
      </c>
      <c r="D216">
        <f ca="1">IFERROR(__xludf.DUMMYFUNCTION("""COMPUTED_VALUE"""),14)</f>
        <v>14</v>
      </c>
      <c r="E216">
        <f ca="1">IFERROR(__xludf.DUMMYFUNCTION("""COMPUTED_VALUE"""),181.4)</f>
        <v>181.4</v>
      </c>
      <c r="F216" s="2">
        <f ca="1">IFERROR(__xludf.DUMMYFUNCTION("""COMPUTED_VALUE"""),548416)</f>
        <v>548416</v>
      </c>
      <c r="G216">
        <f ca="1">IFERROR(__xludf.DUMMYFUNCTION("""COMPUTED_VALUE"""),84)</f>
        <v>84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IFERROR(__xludf.DUMMYFUNCTION("""COMPUTED_VALUE"""),143)</f>
        <v>143</v>
      </c>
      <c r="C217" t="str">
        <f ca="1">IFERROR(__xludf.DUMMYFUNCTION("""COMPUTED_VALUE"""),"Fabián Gómez")</f>
        <v>Fabián Gómez</v>
      </c>
      <c r="D217">
        <f ca="1">IFERROR(__xludf.DUMMYFUNCTION("""COMPUTED_VALUE"""),16)</f>
        <v>16</v>
      </c>
      <c r="E217">
        <f ca="1">IFERROR(__xludf.DUMMYFUNCTION("""COMPUTED_VALUE"""),181.5)</f>
        <v>181.5</v>
      </c>
      <c r="F217" s="2">
        <f ca="1">IFERROR(__xludf.DUMMYFUNCTION("""COMPUTED_VALUE"""),882139)</f>
        <v>882139</v>
      </c>
      <c r="G217">
        <f ca="1">IFERROR(__xludf.DUMMYFUNCTION("""COMPUTED_VALUE"""),135)</f>
        <v>135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IFERROR(__xludf.DUMMYFUNCTION("""COMPUTED_VALUE"""),219)</f>
        <v>219</v>
      </c>
      <c r="C218" t="str">
        <f ca="1">IFERROR(__xludf.DUMMYFUNCTION("""COMPUTED_VALUE"""),"Tim Wilkinson")</f>
        <v>Tim Wilkinson</v>
      </c>
      <c r="D218">
        <f ca="1">IFERROR(__xludf.DUMMYFUNCTION("""COMPUTED_VALUE"""),12)</f>
        <v>12</v>
      </c>
      <c r="E218">
        <f ca="1">IFERROR(__xludf.DUMMYFUNCTION("""COMPUTED_VALUE"""),181.6)</f>
        <v>181.6</v>
      </c>
      <c r="F218" s="2">
        <f ca="1">IFERROR(__xludf.DUMMYFUNCTION("""COMPUTED_VALUE"""),542761)</f>
        <v>542761</v>
      </c>
      <c r="G218">
        <f ca="1">IFERROR(__xludf.DUMMYFUNCTION("""COMPUTED_VALUE"""),83)</f>
        <v>83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IFERROR(__xludf.DUMMYFUNCTION("""COMPUTED_VALUE"""),"T220")</f>
        <v>T220</v>
      </c>
      <c r="C219" t="str">
        <f ca="1">IFERROR(__xludf.DUMMYFUNCTION("""COMPUTED_VALUE"""),"Chan Kim")</f>
        <v>Chan Kim</v>
      </c>
      <c r="D219">
        <f ca="1">IFERROR(__xludf.DUMMYFUNCTION("""COMPUTED_VALUE"""),6)</f>
        <v>6</v>
      </c>
      <c r="E219">
        <f ca="1">IFERROR(__xludf.DUMMYFUNCTION("""COMPUTED_VALUE"""),181.8)</f>
        <v>181.8</v>
      </c>
      <c r="F219" s="2">
        <f ca="1">IFERROR(__xludf.DUMMYFUNCTION("""COMPUTED_VALUE"""),523582)</f>
        <v>523582</v>
      </c>
      <c r="G219">
        <f ca="1">IFERROR(__xludf.DUMMYFUNCTION("""COMPUTED_VALUE"""),80)</f>
        <v>80</v>
      </c>
    </row>
    <row r="220" spans="1:7" ht="12.75">
      <c r="A220" t="str">
        <f ca="1">IFERROR(__xludf.DUMMYFUNCTION("""COMPUTED_VALUE"""),"T219")</f>
        <v>T219</v>
      </c>
      <c r="B220" t="str">
        <f ca="1">IFERROR(__xludf.DUMMYFUNCTION("""COMPUTED_VALUE"""),"T222")</f>
        <v>T222</v>
      </c>
      <c r="C220" t="str">
        <f ca="1">IFERROR(__xludf.DUMMYFUNCTION("""COMPUTED_VALUE"""),"Aaron Baddeley")</f>
        <v>Aaron Baddeley</v>
      </c>
      <c r="D220">
        <f ca="1">IFERROR(__xludf.DUMMYFUNCTION("""COMPUTED_VALUE"""),8)</f>
        <v>8</v>
      </c>
      <c r="E220">
        <f ca="1">IFERROR(__xludf.DUMMYFUNCTION("""COMPUTED_VALUE"""),181.9)</f>
        <v>181.9</v>
      </c>
      <c r="F220" s="2">
        <f ca="1">IFERROR(__xludf.DUMMYFUNCTION("""COMPUTED_VALUE"""),360247)</f>
        <v>360247</v>
      </c>
      <c r="G220">
        <f ca="1">IFERROR(__xludf.DUMMYFUNCTION("""COMPUTED_VALUE"""),55)</f>
        <v>55</v>
      </c>
    </row>
    <row r="221" spans="1:7" ht="12.75">
      <c r="A221" t="str">
        <f ca="1">IFERROR(__xludf.DUMMYFUNCTION("""COMPUTED_VALUE"""),"T219")</f>
        <v>T219</v>
      </c>
      <c r="B221" t="str">
        <f ca="1">IFERROR(__xludf.DUMMYFUNCTION("""COMPUTED_VALUE"""),"T222")</f>
        <v>T222</v>
      </c>
      <c r="C221" t="str">
        <f ca="1">IFERROR(__xludf.DUMMYFUNCTION("""COMPUTED_VALUE"""),"Chris Baker")</f>
        <v>Chris Baker</v>
      </c>
      <c r="D221">
        <f ca="1">IFERROR(__xludf.DUMMYFUNCTION("""COMPUTED_VALUE"""),8)</f>
        <v>8</v>
      </c>
      <c r="E221">
        <f ca="1">IFERROR(__xludf.DUMMYFUNCTION("""COMPUTED_VALUE"""),181.9)</f>
        <v>181.9</v>
      </c>
      <c r="F221" s="2">
        <f ca="1">IFERROR(__xludf.DUMMYFUNCTION("""COMPUTED_VALUE"""),366687)</f>
        <v>366687</v>
      </c>
      <c r="G221">
        <f ca="1">IFERROR(__xludf.DUMMYFUNCTION("""COMPUTED_VALUE"""),56)</f>
        <v>56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IFERROR(__xludf.DUMMYFUNCTION("""COMPUTED_VALUE"""),"T224")</f>
        <v>T224</v>
      </c>
      <c r="C222" t="str">
        <f ca="1">IFERROR(__xludf.DUMMYFUNCTION("""COMPUTED_VALUE"""),"Renato Paratore")</f>
        <v>Renato Paratore</v>
      </c>
      <c r="D222">
        <f ca="1">IFERROR(__xludf.DUMMYFUNCTION("""COMPUTED_VALUE"""),4)</f>
        <v>4</v>
      </c>
      <c r="E222">
        <f ca="1">IFERROR(__xludf.DUMMYFUNCTION("""COMPUTED_VALUE"""),182)</f>
        <v>182</v>
      </c>
      <c r="F222" s="2">
        <f ca="1">IFERROR(__xludf.DUMMYFUNCTION("""COMPUTED_VALUE"""),360414)</f>
        <v>360414</v>
      </c>
      <c r="G222">
        <f ca="1">IFERROR(__xludf.DUMMYFUNCTION("""COMPUTED_VALUE"""),55)</f>
        <v>55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IFERROR(__xludf.DUMMYFUNCTION("""COMPUTED_VALUE"""),"T224")</f>
        <v>T224</v>
      </c>
      <c r="C223" t="str">
        <f ca="1">IFERROR(__xludf.DUMMYFUNCTION("""COMPUTED_VALUE"""),"Lucas Herbert")</f>
        <v>Lucas Herbert</v>
      </c>
      <c r="D223">
        <f ca="1">IFERROR(__xludf.DUMMYFUNCTION("""COMPUTED_VALUE"""),4)</f>
        <v>4</v>
      </c>
      <c r="E223">
        <f ca="1">IFERROR(__xludf.DUMMYFUNCTION("""COMPUTED_VALUE"""),182)</f>
        <v>182</v>
      </c>
      <c r="F223" s="2">
        <f ca="1">IFERROR(__xludf.DUMMYFUNCTION("""COMPUTED_VALUE"""),367012)</f>
        <v>367012</v>
      </c>
      <c r="G223">
        <f ca="1">IFERROR(__xludf.DUMMYFUNCTION("""COMPUTED_VALUE"""),56)</f>
        <v>56</v>
      </c>
    </row>
    <row r="224" spans="1:7" ht="12.75">
      <c r="A224" t="str">
        <f ca="1">IFERROR(__xludf.DUMMYFUNCTION("""COMPUTED_VALUE"""),"T221")</f>
        <v>T221</v>
      </c>
      <c r="B224" t="str">
        <f ca="1">IFERROR(__xludf.DUMMYFUNCTION("""COMPUTED_VALUE"""),"T224")</f>
        <v>T224</v>
      </c>
      <c r="C224" t="str">
        <f ca="1">IFERROR(__xludf.DUMMYFUNCTION("""COMPUTED_VALUE"""),"Daniel Berger")</f>
        <v>Daniel Berger</v>
      </c>
      <c r="D224">
        <f ca="1">IFERROR(__xludf.DUMMYFUNCTION("""COMPUTED_VALUE"""),12)</f>
        <v>12</v>
      </c>
      <c r="E224">
        <f ca="1">IFERROR(__xludf.DUMMYFUNCTION("""COMPUTED_VALUE"""),182)</f>
        <v>182</v>
      </c>
      <c r="F224" s="2">
        <f ca="1">IFERROR(__xludf.DUMMYFUNCTION("""COMPUTED_VALUE"""),1068129)</f>
        <v>1068129</v>
      </c>
      <c r="G224">
        <f ca="1">IFERROR(__xludf.DUMMYFUNCTION("""COMPUTED_VALUE"""),163)</f>
        <v>163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IFERROR(__xludf.DUMMYFUNCTION("""COMPUTED_VALUE"""),206)</f>
        <v>206</v>
      </c>
      <c r="C225" t="str">
        <f ca="1">IFERROR(__xludf.DUMMYFUNCTION("""COMPUTED_VALUE"""),"Andrew Putnam")</f>
        <v>Andrew Putnam</v>
      </c>
      <c r="D225">
        <f ca="1">IFERROR(__xludf.DUMMYFUNCTION("""COMPUTED_VALUE"""),19)</f>
        <v>19</v>
      </c>
      <c r="E225">
        <f ca="1">IFERROR(__xludf.DUMMYFUNCTION("""COMPUTED_VALUE"""),182.5)</f>
        <v>182.5</v>
      </c>
      <c r="F225" s="2">
        <f ca="1">IFERROR(__xludf.DUMMYFUNCTION("""COMPUTED_VALUE"""),1359673)</f>
        <v>1359673</v>
      </c>
      <c r="G225">
        <f ca="1">IFERROR(__xludf.DUMMYFUNCTION("""COMPUTED_VALUE"""),207)</f>
        <v>207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IFERROR(__xludf.DUMMYFUNCTION("""COMPUTED_VALUE"""),167)</f>
        <v>167</v>
      </c>
      <c r="C226" t="str">
        <f ca="1">IFERROR(__xludf.DUMMYFUNCTION("""COMPUTED_VALUE"""),"Vaughn Taylor")</f>
        <v>Vaughn Taylor</v>
      </c>
      <c r="D226">
        <f ca="1">IFERROR(__xludf.DUMMYFUNCTION("""COMPUTED_VALUE"""),12)</f>
        <v>12</v>
      </c>
      <c r="E226">
        <f ca="1">IFERROR(__xludf.DUMMYFUNCTION("""COMPUTED_VALUE"""),182.8)</f>
        <v>182.8</v>
      </c>
      <c r="F226" s="2">
        <f ca="1">IFERROR(__xludf.DUMMYFUNCTION("""COMPUTED_VALUE"""),532940)</f>
        <v>532940</v>
      </c>
      <c r="G226">
        <f ca="1">IFERROR(__xludf.DUMMYFUNCTION("""COMPUTED_VALUE"""),81)</f>
        <v>81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IFERROR(__xludf.DUMMYFUNCTION("""COMPUTED_VALUE"""),217)</f>
        <v>217</v>
      </c>
      <c r="C227" t="str">
        <f ca="1">IFERROR(__xludf.DUMMYFUNCTION("""COMPUTED_VALUE"""),"Tyler Duncan")</f>
        <v>Tyler Duncan</v>
      </c>
      <c r="D227">
        <f ca="1">IFERROR(__xludf.DUMMYFUNCTION("""COMPUTED_VALUE"""),18)</f>
        <v>18</v>
      </c>
      <c r="E227">
        <f ca="1">IFERROR(__xludf.DUMMYFUNCTION("""COMPUTED_VALUE"""),182.9)</f>
        <v>182.9</v>
      </c>
      <c r="F227" s="2">
        <f ca="1">IFERROR(__xludf.DUMMYFUNCTION("""COMPUTED_VALUE"""),1619798)</f>
        <v>1619798</v>
      </c>
      <c r="G227">
        <f ca="1">IFERROR(__xludf.DUMMYFUNCTION("""COMPUTED_VALUE"""),246)</f>
        <v>246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IFERROR(__xludf.DUMMYFUNCTION("""COMPUTED_VALUE"""),229)</f>
        <v>229</v>
      </c>
      <c r="C228" t="str">
        <f ca="1">IFERROR(__xludf.DUMMYFUNCTION("""COMPUTED_VALUE"""),"Steve Lewton")</f>
        <v>Steve Lewton</v>
      </c>
      <c r="D228">
        <f ca="1">IFERROR(__xludf.DUMMYFUNCTION("""COMPUTED_VALUE"""),4)</f>
        <v>4</v>
      </c>
      <c r="E228">
        <f ca="1">IFERROR(__xludf.DUMMYFUNCTION("""COMPUTED_VALUE"""),183)</f>
        <v>183</v>
      </c>
      <c r="F228" s="2">
        <f ca="1">IFERROR(__xludf.DUMMYFUNCTION("""COMPUTED_VALUE"""),362309)</f>
        <v>362309</v>
      </c>
      <c r="G228">
        <f ca="1">IFERROR(__xludf.DUMMYFUNCTION("""COMPUTED_VALUE"""),55)</f>
        <v>55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IFERROR(__xludf.DUMMYFUNCTION("""COMPUTED_VALUE"""),230)</f>
        <v>230</v>
      </c>
      <c r="C229" t="str">
        <f ca="1">IFERROR(__xludf.DUMMYFUNCTION("""COMPUTED_VALUE"""),"Shawn Stefani")</f>
        <v>Shawn Stefani</v>
      </c>
      <c r="D229">
        <f ca="1">IFERROR(__xludf.DUMMYFUNCTION("""COMPUTED_VALUE"""),5)</f>
        <v>5</v>
      </c>
      <c r="E229">
        <f ca="1">IFERROR(__xludf.DUMMYFUNCTION("""COMPUTED_VALUE"""),183.2)</f>
        <v>183.2</v>
      </c>
      <c r="F229" s="2">
        <f ca="1">IFERROR(__xludf.DUMMYFUNCTION("""COMPUTED_VALUE"""),184647)</f>
        <v>184647</v>
      </c>
      <c r="G229">
        <f ca="1">IFERROR(__xludf.DUMMYFUNCTION("""COMPUTED_VALUE"""),28)</f>
        <v>28</v>
      </c>
    </row>
    <row r="230" spans="1:7" ht="12.75">
      <c r="A230">
        <f ca="1">IFERROR(__xludf.DUMMYFUNCTION("""COMPUTED_VALUE"""),229)</f>
        <v>229</v>
      </c>
      <c r="B230" t="str">
        <f ca="1">IFERROR(__xludf.DUMMYFUNCTION("""COMPUTED_VALUE"""),"T175")</f>
        <v>T175</v>
      </c>
      <c r="C230" t="str">
        <f ca="1">IFERROR(__xludf.DUMMYFUNCTION("""COMPUTED_VALUE"""),"Brian Stuard")</f>
        <v>Brian Stuard</v>
      </c>
      <c r="D230">
        <f ca="1">IFERROR(__xludf.DUMMYFUNCTION("""COMPUTED_VALUE"""),18)</f>
        <v>18</v>
      </c>
      <c r="E230">
        <f ca="1">IFERROR(__xludf.DUMMYFUNCTION("""COMPUTED_VALUE"""),183.5)</f>
        <v>183.5</v>
      </c>
      <c r="F230" s="2">
        <f ca="1">IFERROR(__xludf.DUMMYFUNCTION("""COMPUTED_VALUE"""),1083664)</f>
        <v>1083664</v>
      </c>
      <c r="G230">
        <f ca="1">IFERROR(__xludf.DUMMYFUNCTION("""COMPUTED_VALUE"""),164)</f>
        <v>164</v>
      </c>
    </row>
    <row r="231" spans="1:7" ht="12.75">
      <c r="A231" t="str">
        <f ca="1">IFERROR(__xludf.DUMMYFUNCTION("""COMPUTED_VALUE"""),"T230")</f>
        <v>T230</v>
      </c>
      <c r="B231" t="str">
        <f ca="1">IFERROR(__xludf.DUMMYFUNCTION("""COMPUTED_VALUE"""),"T232")</f>
        <v>T232</v>
      </c>
      <c r="C231" t="str">
        <f ca="1">IFERROR(__xludf.DUMMYFUNCTION("""COMPUTED_VALUE"""),"Chris Stroud")</f>
        <v>Chris Stroud</v>
      </c>
      <c r="D231">
        <f ca="1">IFERROR(__xludf.DUMMYFUNCTION("""COMPUTED_VALUE"""),6)</f>
        <v>6</v>
      </c>
      <c r="E231">
        <f ca="1">IFERROR(__xludf.DUMMYFUNCTION("""COMPUTED_VALUE"""),183.6)</f>
        <v>183.6</v>
      </c>
      <c r="F231" s="2">
        <f ca="1">IFERROR(__xludf.DUMMYFUNCTION("""COMPUTED_VALUE"""),370179)</f>
        <v>370179</v>
      </c>
      <c r="G231">
        <f ca="1">IFERROR(__xludf.DUMMYFUNCTION("""COMPUTED_VALUE"""),56)</f>
        <v>56</v>
      </c>
    </row>
    <row r="232" spans="1:7" ht="12.75">
      <c r="A232" t="str">
        <f ca="1">IFERROR(__xludf.DUMMYFUNCTION("""COMPUTED_VALUE"""),"T230")</f>
        <v>T230</v>
      </c>
      <c r="B232" t="str">
        <f ca="1">IFERROR(__xludf.DUMMYFUNCTION("""COMPUTED_VALUE"""),"T232")</f>
        <v>T232</v>
      </c>
      <c r="C232" t="str">
        <f ca="1">IFERROR(__xludf.DUMMYFUNCTION("""COMPUTED_VALUE"""),"Matthew Fitzpatrick")</f>
        <v>Matthew Fitzpatrick</v>
      </c>
      <c r="D232">
        <f ca="1">IFERROR(__xludf.DUMMYFUNCTION("""COMPUTED_VALUE"""),10)</f>
        <v>10</v>
      </c>
      <c r="E232">
        <f ca="1">IFERROR(__xludf.DUMMYFUNCTION("""COMPUTED_VALUE"""),183.6)</f>
        <v>183.6</v>
      </c>
      <c r="F232" s="2">
        <f ca="1">IFERROR(__xludf.DUMMYFUNCTION("""COMPUTED_VALUE"""),892323)</f>
        <v>892323</v>
      </c>
      <c r="G232">
        <f ca="1">IFERROR(__xludf.DUMMYFUNCTION("""COMPUTED_VALUE"""),135)</f>
        <v>135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IFERROR(__xludf.DUMMYFUNCTION("""COMPUTED_VALUE"""),235)</f>
        <v>235</v>
      </c>
      <c r="C233" t="str">
        <f ca="1">IFERROR(__xludf.DUMMYFUNCTION("""COMPUTED_VALUE"""),"Ian Poulter")</f>
        <v>Ian Poulter</v>
      </c>
      <c r="D233">
        <f ca="1">IFERROR(__xludf.DUMMYFUNCTION("""COMPUTED_VALUE"""),6)</f>
        <v>6</v>
      </c>
      <c r="E233">
        <f ca="1">IFERROR(__xludf.DUMMYFUNCTION("""COMPUTED_VALUE"""),183.8)</f>
        <v>183.8</v>
      </c>
      <c r="F233" s="2">
        <f ca="1">IFERROR(__xludf.DUMMYFUNCTION("""COMPUTED_VALUE"""),555705)</f>
        <v>555705</v>
      </c>
      <c r="G233">
        <f ca="1">IFERROR(__xludf.DUMMYFUNCTION("""COMPUTED_VALUE"""),84)</f>
        <v>84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IFERROR(__xludf.DUMMYFUNCTION("""COMPUTED_VALUE"""),228)</f>
        <v>228</v>
      </c>
      <c r="C234" t="str">
        <f ca="1">IFERROR(__xludf.DUMMYFUNCTION("""COMPUTED_VALUE"""),"Alex Noren")</f>
        <v>Alex Noren</v>
      </c>
      <c r="D234">
        <f ca="1">IFERROR(__xludf.DUMMYFUNCTION("""COMPUTED_VALUE"""),14)</f>
        <v>14</v>
      </c>
      <c r="E234">
        <f ca="1">IFERROR(__xludf.DUMMYFUNCTION("""COMPUTED_VALUE"""),183.9)</f>
        <v>183.9</v>
      </c>
      <c r="F234" s="2">
        <f ca="1">IFERROR(__xludf.DUMMYFUNCTION("""COMPUTED_VALUE"""),1231117)</f>
        <v>1231117</v>
      </c>
      <c r="G234">
        <f ca="1">IFERROR(__xludf.DUMMYFUNCTION("""COMPUTED_VALUE"""),186)</f>
        <v>186</v>
      </c>
    </row>
    <row r="235" spans="1:7" ht="12.75">
      <c r="A235" t="str">
        <f ca="1">IFERROR(__xludf.DUMMYFUNCTION("""COMPUTED_VALUE"""),"T234")</f>
        <v>T234</v>
      </c>
      <c r="B235">
        <f ca="1">IFERROR(__xludf.DUMMYFUNCTION("""COMPUTED_VALUE"""),231)</f>
        <v>231</v>
      </c>
      <c r="C235" t="str">
        <f ca="1">IFERROR(__xludf.DUMMYFUNCTION("""COMPUTED_VALUE"""),"Danny Willett")</f>
        <v>Danny Willett</v>
      </c>
      <c r="D235">
        <f ca="1">IFERROR(__xludf.DUMMYFUNCTION("""COMPUTED_VALUE"""),7)</f>
        <v>7</v>
      </c>
      <c r="E235">
        <f ca="1">IFERROR(__xludf.DUMMYFUNCTION("""COMPUTED_VALUE"""),184.1)</f>
        <v>184.1</v>
      </c>
      <c r="F235" s="2">
        <f ca="1">IFERROR(__xludf.DUMMYFUNCTION("""COMPUTED_VALUE"""),271767)</f>
        <v>271767</v>
      </c>
      <c r="G235">
        <f ca="1">IFERROR(__xludf.DUMMYFUNCTION("""COMPUTED_VALUE"""),41)</f>
        <v>41</v>
      </c>
    </row>
    <row r="236" spans="1:7" ht="12.75">
      <c r="A236" t="str">
        <f ca="1">IFERROR(__xludf.DUMMYFUNCTION("""COMPUTED_VALUE"""),"T234")</f>
        <v>T234</v>
      </c>
      <c r="B236">
        <f ca="1">IFERROR(__xludf.DUMMYFUNCTION("""COMPUTED_VALUE"""),214)</f>
        <v>214</v>
      </c>
      <c r="C236" t="str">
        <f ca="1">IFERROR(__xludf.DUMMYFUNCTION("""COMPUTED_VALUE"""),"Kramer Hickok")</f>
        <v>Kramer Hickok</v>
      </c>
      <c r="D236">
        <f ca="1">IFERROR(__xludf.DUMMYFUNCTION("""COMPUTED_VALUE"""),16)</f>
        <v>16</v>
      </c>
      <c r="E236">
        <f ca="1">IFERROR(__xludf.DUMMYFUNCTION("""COMPUTED_VALUE"""),184.1)</f>
        <v>184.1</v>
      </c>
      <c r="F236" s="2">
        <f ca="1">IFERROR(__xludf.DUMMYFUNCTION("""COMPUTED_VALUE"""),695986)</f>
        <v>695986</v>
      </c>
      <c r="G236">
        <f ca="1">IFERROR(__xludf.DUMMYFUNCTION("""COMPUTED_VALUE"""),105)</f>
        <v>105</v>
      </c>
    </row>
    <row r="237" spans="1:7" ht="12.75">
      <c r="A237" t="str">
        <f ca="1">IFERROR(__xludf.DUMMYFUNCTION("""COMPUTED_VALUE"""),"T236")</f>
        <v>T236</v>
      </c>
      <c r="B237">
        <f ca="1">IFERROR(__xludf.DUMMYFUNCTION("""COMPUTED_VALUE"""),236)</f>
        <v>236</v>
      </c>
      <c r="C237" t="str">
        <f ca="1">IFERROR(__xludf.DUMMYFUNCTION("""COMPUTED_VALUE"""),"Kevin Kisner")</f>
        <v>Kevin Kisner</v>
      </c>
      <c r="D237">
        <f ca="1">IFERROR(__xludf.DUMMYFUNCTION("""COMPUTED_VALUE"""),10)</f>
        <v>10</v>
      </c>
      <c r="E237">
        <f ca="1">IFERROR(__xludf.DUMMYFUNCTION("""COMPUTED_VALUE"""),184.3)</f>
        <v>184.3</v>
      </c>
      <c r="F237" s="2">
        <f ca="1">IFERROR(__xludf.DUMMYFUNCTION("""COMPUTED_VALUE"""),888856)</f>
        <v>888856</v>
      </c>
      <c r="G237">
        <f ca="1">IFERROR(__xludf.DUMMYFUNCTION("""COMPUTED_VALUE"""),134)</f>
        <v>134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IFERROR(__xludf.DUMMYFUNCTION("""COMPUTED_VALUE"""),"T220")</f>
        <v>T220</v>
      </c>
      <c r="C238" t="str">
        <f ca="1">IFERROR(__xludf.DUMMYFUNCTION("""COMPUTED_VALUE"""),"Kelly Kraft")</f>
        <v>Kelly Kraft</v>
      </c>
      <c r="D238">
        <f ca="1">IFERROR(__xludf.DUMMYFUNCTION("""COMPUTED_VALUE"""),14)</f>
        <v>14</v>
      </c>
      <c r="E238">
        <f ca="1">IFERROR(__xludf.DUMMYFUNCTION("""COMPUTED_VALUE"""),184.3)</f>
        <v>184.3</v>
      </c>
      <c r="F238" s="2">
        <f ca="1">IFERROR(__xludf.DUMMYFUNCTION("""COMPUTED_VALUE"""),729979)</f>
        <v>729979</v>
      </c>
      <c r="G238">
        <f ca="1">IFERROR(__xludf.DUMMYFUNCTION("""COMPUTED_VALUE"""),110)</f>
        <v>110</v>
      </c>
    </row>
    <row r="239" spans="1:7" ht="12.75">
      <c r="A239" t="str">
        <f ca="1">IFERROR(__xludf.DUMMYFUNCTION("""COMPUTED_VALUE"""),"T238")</f>
        <v>T238</v>
      </c>
      <c r="B239" t="str">
        <f ca="1">IFERROR(__xludf.DUMMYFUNCTION("""COMPUTED_VALUE"""),"T158")</f>
        <v>T158</v>
      </c>
      <c r="C239" t="str">
        <f ca="1">IFERROR(__xludf.DUMMYFUNCTION("""COMPUTED_VALUE"""),"Kevin Stadler")</f>
        <v>Kevin Stadler</v>
      </c>
      <c r="D239">
        <f ca="1">IFERROR(__xludf.DUMMYFUNCTION("""COMPUTED_VALUE"""),8)</f>
        <v>8</v>
      </c>
      <c r="E239">
        <f ca="1">IFERROR(__xludf.DUMMYFUNCTION("""COMPUTED_VALUE"""),184.4)</f>
        <v>184.4</v>
      </c>
      <c r="F239" s="2">
        <f ca="1">IFERROR(__xludf.DUMMYFUNCTION("""COMPUTED_VALUE"""),531200)</f>
        <v>531200</v>
      </c>
      <c r="G239">
        <f ca="1">IFERROR(__xludf.DUMMYFUNCTION("""COMPUTED_VALUE"""),80)</f>
        <v>80</v>
      </c>
    </row>
    <row r="240" spans="1:7" ht="12.75">
      <c r="A240" t="str">
        <f ca="1">IFERROR(__xludf.DUMMYFUNCTION("""COMPUTED_VALUE"""),"T238")</f>
        <v>T238</v>
      </c>
      <c r="B240">
        <f ca="1">IFERROR(__xludf.DUMMYFUNCTION("""COMPUTED_VALUE"""),227)</f>
        <v>227</v>
      </c>
      <c r="C240" t="str">
        <f ca="1">IFERROR(__xludf.DUMMYFUNCTION("""COMPUTED_VALUE"""),"Adam Long")</f>
        <v>Adam Long</v>
      </c>
      <c r="D240">
        <f ca="1">IFERROR(__xludf.DUMMYFUNCTION("""COMPUTED_VALUE"""),22)</f>
        <v>22</v>
      </c>
      <c r="E240">
        <f ca="1">IFERROR(__xludf.DUMMYFUNCTION("""COMPUTED_VALUE"""),184.4)</f>
        <v>184.4</v>
      </c>
      <c r="F240" s="2">
        <f ca="1">IFERROR(__xludf.DUMMYFUNCTION("""COMPUTED_VALUE"""),1613141)</f>
        <v>1613141</v>
      </c>
      <c r="G240">
        <f ca="1">IFERROR(__xludf.DUMMYFUNCTION("""COMPUTED_VALUE"""),243)</f>
        <v>243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IFERROR(__xludf.DUMMYFUNCTION("""COMPUTED_VALUE"""),238)</f>
        <v>238</v>
      </c>
      <c r="C241" t="str">
        <f ca="1">IFERROR(__xludf.DUMMYFUNCTION("""COMPUTED_VALUE"""),"Alex Cejka")</f>
        <v>Alex Cejka</v>
      </c>
      <c r="D241">
        <f ca="1">IFERROR(__xludf.DUMMYFUNCTION("""COMPUTED_VALUE"""),6)</f>
        <v>6</v>
      </c>
      <c r="E241">
        <f ca="1">IFERROR(__xludf.DUMMYFUNCTION("""COMPUTED_VALUE"""),184.8)</f>
        <v>184.8</v>
      </c>
      <c r="F241" s="2">
        <f ca="1">IFERROR(__xludf.DUMMYFUNCTION("""COMPUTED_VALUE"""),186260)</f>
        <v>186260</v>
      </c>
      <c r="G241">
        <f ca="1">IFERROR(__xludf.DUMMYFUNCTION("""COMPUTED_VALUE"""),28)</f>
        <v>28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IFERROR(__xludf.DUMMYFUNCTION("""COMPUTED_VALUE"""),240)</f>
        <v>240</v>
      </c>
      <c r="C242" t="str">
        <f ca="1">IFERROR(__xludf.DUMMYFUNCTION("""COMPUTED_VALUE"""),"Bernd Wiesberger")</f>
        <v>Bernd Wiesberger</v>
      </c>
      <c r="D242">
        <f ca="1">IFERROR(__xludf.DUMMYFUNCTION("""COMPUTED_VALUE"""),4)</f>
        <v>4</v>
      </c>
      <c r="E242">
        <f ca="1">IFERROR(__xludf.DUMMYFUNCTION("""COMPUTED_VALUE"""),185.1)</f>
        <v>185.1</v>
      </c>
      <c r="F242" s="2">
        <f ca="1">IFERROR(__xludf.DUMMYFUNCTION("""COMPUTED_VALUE"""),373114)</f>
        <v>373114</v>
      </c>
      <c r="G242">
        <f ca="1">IFERROR(__xludf.DUMMYFUNCTION("""COMPUTED_VALUE"""),56)</f>
        <v>56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IFERROR(__xludf.DUMMYFUNCTION("""COMPUTED_VALUE"""),241)</f>
        <v>241</v>
      </c>
      <c r="C243" t="str">
        <f ca="1">IFERROR(__xludf.DUMMYFUNCTION("""COMPUTED_VALUE"""),"Rikuya Hoshino")</f>
        <v>Rikuya Hoshino</v>
      </c>
      <c r="D243">
        <f ca="1">IFERROR(__xludf.DUMMYFUNCTION("""COMPUTED_VALUE"""),4)</f>
        <v>4</v>
      </c>
      <c r="E243">
        <f ca="1">IFERROR(__xludf.DUMMYFUNCTION("""COMPUTED_VALUE"""),185.2)</f>
        <v>185.2</v>
      </c>
      <c r="F243" s="2">
        <f ca="1">IFERROR(__xludf.DUMMYFUNCTION("""COMPUTED_VALUE"""),333304)</f>
        <v>333304</v>
      </c>
      <c r="G243">
        <f ca="1">IFERROR(__xludf.DUMMYFUNCTION("""COMPUTED_VALUE"""),50)</f>
        <v>50</v>
      </c>
    </row>
    <row r="244" spans="1:7" ht="12.75">
      <c r="A244" t="str">
        <f ca="1">IFERROR(__xludf.DUMMYFUNCTION("""COMPUTED_VALUE"""),"T243")</f>
        <v>T243</v>
      </c>
      <c r="B244" t="str">
        <f ca="1">IFERROR(__xludf.DUMMYFUNCTION("""COMPUTED_VALUE"""),"T242")</f>
        <v>T242</v>
      </c>
      <c r="C244" t="str">
        <f ca="1">IFERROR(__xludf.DUMMYFUNCTION("""COMPUTED_VALUE"""),"Jim Herman")</f>
        <v>Jim Herman</v>
      </c>
      <c r="D244">
        <f ca="1">IFERROR(__xludf.DUMMYFUNCTION("""COMPUTED_VALUE"""),12)</f>
        <v>12</v>
      </c>
      <c r="E244">
        <f ca="1">IFERROR(__xludf.DUMMYFUNCTION("""COMPUTED_VALUE"""),185.3)</f>
        <v>185.3</v>
      </c>
      <c r="F244" s="2">
        <f ca="1">IFERROR(__xludf.DUMMYFUNCTION("""COMPUTED_VALUE"""),1087440)</f>
        <v>1087440</v>
      </c>
      <c r="G244">
        <f ca="1">IFERROR(__xludf.DUMMYFUNCTION("""COMPUTED_VALUE"""),163)</f>
        <v>163</v>
      </c>
    </row>
    <row r="245" spans="1:7" ht="12.75">
      <c r="A245" t="str">
        <f ca="1">IFERROR(__xludf.DUMMYFUNCTION("""COMPUTED_VALUE"""),"T243")</f>
        <v>T243</v>
      </c>
      <c r="B245" t="str">
        <f ca="1">IFERROR(__xludf.DUMMYFUNCTION("""COMPUTED_VALUE"""),"T242")</f>
        <v>T242</v>
      </c>
      <c r="C245" t="str">
        <f ca="1">IFERROR(__xludf.DUMMYFUNCTION("""COMPUTED_VALUE"""),"Tae Hee Lee")</f>
        <v>Tae Hee Lee</v>
      </c>
      <c r="D245">
        <f ca="1">IFERROR(__xludf.DUMMYFUNCTION("""COMPUTED_VALUE"""),4)</f>
        <v>4</v>
      </c>
      <c r="E245">
        <f ca="1">IFERROR(__xludf.DUMMYFUNCTION("""COMPUTED_VALUE"""),185.3)</f>
        <v>185.3</v>
      </c>
      <c r="F245" s="2">
        <f ca="1">IFERROR(__xludf.DUMMYFUNCTION("""COMPUTED_VALUE"""),360175)</f>
        <v>360175</v>
      </c>
      <c r="G245">
        <f ca="1">IFERROR(__xludf.DUMMYFUNCTION("""COMPUTED_VALUE"""),54)</f>
        <v>54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IFERROR(__xludf.DUMMYFUNCTION("""COMPUTED_VALUE"""),244)</f>
        <v>244</v>
      </c>
      <c r="C246" t="str">
        <f ca="1">IFERROR(__xludf.DUMMYFUNCTION("""COMPUTED_VALUE"""),"Patrick Reed")</f>
        <v>Patrick Reed</v>
      </c>
      <c r="D246">
        <f ca="1">IFERROR(__xludf.DUMMYFUNCTION("""COMPUTED_VALUE"""),8)</f>
        <v>8</v>
      </c>
      <c r="E246">
        <f ca="1">IFERROR(__xludf.DUMMYFUNCTION("""COMPUTED_VALUE"""),186)</f>
        <v>186</v>
      </c>
      <c r="F246" s="2">
        <f ca="1">IFERROR(__xludf.DUMMYFUNCTION("""COMPUTED_VALUE"""),716374)</f>
        <v>716374</v>
      </c>
      <c r="G246">
        <f ca="1">IFERROR(__xludf.DUMMYFUNCTION("""COMPUTED_VALUE"""),107)</f>
        <v>107</v>
      </c>
    </row>
    <row r="247" spans="1:7" ht="12.75">
      <c r="A247">
        <f ca="1">IFERROR(__xludf.DUMMYFUNCTION("""COMPUTED_VALUE"""),246)</f>
        <v>246</v>
      </c>
      <c r="B247" t="str">
        <f ca="1">IFERROR(__xludf.DUMMYFUNCTION("""COMPUTED_VALUE"""),"")</f>
        <v/>
      </c>
      <c r="C247" t="str">
        <f ca="1">IFERROR(__xludf.DUMMYFUNCTION("""COMPUTED_VALUE"""),"Dawie van der Walt")</f>
        <v>Dawie van der Walt</v>
      </c>
      <c r="D247">
        <f ca="1">IFERROR(__xludf.DUMMYFUNCTION("""COMPUTED_VALUE"""),4)</f>
        <v>4</v>
      </c>
      <c r="E247">
        <f ca="1">IFERROR(__xludf.DUMMYFUNCTION("""COMPUTED_VALUE"""),186.2)</f>
        <v>186.2</v>
      </c>
      <c r="F247" s="2">
        <f ca="1">IFERROR(__xludf.DUMMYFUNCTION("""COMPUTED_VALUE"""),348542)</f>
        <v>348542</v>
      </c>
      <c r="G247">
        <f ca="1">IFERROR(__xludf.DUMMYFUNCTION("""COMPUTED_VALUE"""),52)</f>
        <v>52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IFERROR(__xludf.DUMMYFUNCTION("""COMPUTED_VALUE"""),245)</f>
        <v>245</v>
      </c>
      <c r="C248" t="str">
        <f ca="1">IFERROR(__xludf.DUMMYFUNCTION("""COMPUTED_VALUE"""),"Marc Leishman")</f>
        <v>Marc Leishman</v>
      </c>
      <c r="D248">
        <f ca="1">IFERROR(__xludf.DUMMYFUNCTION("""COMPUTED_VALUE"""),10)</f>
        <v>10</v>
      </c>
      <c r="E248">
        <f ca="1">IFERROR(__xludf.DUMMYFUNCTION("""COMPUTED_VALUE"""),186.3)</f>
        <v>186.3</v>
      </c>
      <c r="F248" s="2">
        <f ca="1">IFERROR(__xludf.DUMMYFUNCTION("""COMPUTED_VALUE"""),911997)</f>
        <v>911997</v>
      </c>
      <c r="G248">
        <f ca="1">IFERROR(__xludf.DUMMYFUNCTION("""COMPUTED_VALUE"""),136)</f>
        <v>136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IFERROR(__xludf.DUMMYFUNCTION("""COMPUTED_VALUE"""),237)</f>
        <v>237</v>
      </c>
      <c r="C249" t="str">
        <f ca="1">IFERROR(__xludf.DUMMYFUNCTION("""COMPUTED_VALUE"""),"Chris Kirk")</f>
        <v>Chris Kirk</v>
      </c>
      <c r="D249">
        <f ca="1">IFERROR(__xludf.DUMMYFUNCTION("""COMPUTED_VALUE"""),10)</f>
        <v>10</v>
      </c>
      <c r="E249">
        <f ca="1">IFERROR(__xludf.DUMMYFUNCTION("""COMPUTED_VALUE"""),186.4)</f>
        <v>186.4</v>
      </c>
      <c r="F249" s="2">
        <f ca="1">IFERROR(__xludf.DUMMYFUNCTION("""COMPUTED_VALUE"""),711143)</f>
        <v>711143</v>
      </c>
      <c r="G249">
        <f ca="1">IFERROR(__xludf.DUMMYFUNCTION("""COMPUTED_VALUE"""),106)</f>
        <v>106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IFERROR(__xludf.DUMMYFUNCTION("""COMPUTED_VALUE"""),247)</f>
        <v>247</v>
      </c>
      <c r="C250" t="str">
        <f ca="1">IFERROR(__xludf.DUMMYFUNCTION("""COMPUTED_VALUE"""),"Mackenzie Hughes")</f>
        <v>Mackenzie Hughes</v>
      </c>
      <c r="D250">
        <f ca="1">IFERROR(__xludf.DUMMYFUNCTION("""COMPUTED_VALUE"""),18)</f>
        <v>18</v>
      </c>
      <c r="E250">
        <f ca="1">IFERROR(__xludf.DUMMYFUNCTION("""COMPUTED_VALUE"""),186.8)</f>
        <v>186.8</v>
      </c>
      <c r="F250" s="2">
        <f ca="1">IFERROR(__xludf.DUMMYFUNCTION("""COMPUTED_VALUE"""),1244278)</f>
        <v>1244278</v>
      </c>
      <c r="G250">
        <f ca="1">IFERROR(__xludf.DUMMYFUNCTION("""COMPUTED_VALUE"""),185)</f>
        <v>185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IFERROR(__xludf.DUMMYFUNCTION("""COMPUTED_VALUE"""),234)</f>
        <v>234</v>
      </c>
      <c r="C251" t="str">
        <f ca="1">IFERROR(__xludf.DUMMYFUNCTION("""COMPUTED_VALUE"""),"Ryan Armour")</f>
        <v>Ryan Armour</v>
      </c>
      <c r="D251">
        <f ca="1">IFERROR(__xludf.DUMMYFUNCTION("""COMPUTED_VALUE"""),16)</f>
        <v>16</v>
      </c>
      <c r="E251">
        <f ca="1">IFERROR(__xludf.DUMMYFUNCTION("""COMPUTED_VALUE"""),186.9)</f>
        <v>186.9</v>
      </c>
      <c r="F251" s="2">
        <f ca="1">IFERROR(__xludf.DUMMYFUNCTION("""COMPUTED_VALUE"""),921912)</f>
        <v>921912</v>
      </c>
      <c r="G251">
        <f ca="1">IFERROR(__xludf.DUMMYFUNCTION("""COMPUTED_VALUE"""),137)</f>
        <v>137</v>
      </c>
    </row>
    <row r="252" spans="1:7" ht="12.75">
      <c r="A252">
        <f ca="1">IFERROR(__xludf.DUMMYFUNCTION("""COMPUTED_VALUE"""),251)</f>
        <v>251</v>
      </c>
      <c r="B252" t="str">
        <f ca="1">IFERROR(__xludf.DUMMYFUNCTION("""COMPUTED_VALUE"""),"T248")</f>
        <v>T248</v>
      </c>
      <c r="C252" t="str">
        <f ca="1">IFERROR(__xludf.DUMMYFUNCTION("""COMPUTED_VALUE"""),"Naoki Sekito")</f>
        <v>Naoki Sekito</v>
      </c>
      <c r="D252">
        <f ca="1">IFERROR(__xludf.DUMMYFUNCTION("""COMPUTED_VALUE"""),4)</f>
        <v>4</v>
      </c>
      <c r="E252">
        <f ca="1">IFERROR(__xludf.DUMMYFUNCTION("""COMPUTED_VALUE"""),187.5)</f>
        <v>187.5</v>
      </c>
      <c r="F252" s="2">
        <f ca="1">IFERROR(__xludf.DUMMYFUNCTION("""COMPUTED_VALUE"""),350910)</f>
        <v>350910</v>
      </c>
      <c r="G252">
        <f ca="1">IFERROR(__xludf.DUMMYFUNCTION("""COMPUTED_VALUE"""),52)</f>
        <v>52</v>
      </c>
    </row>
    <row r="253" spans="1:7" ht="12.75">
      <c r="A253" t="str">
        <f ca="1">IFERROR(__xludf.DUMMYFUNCTION("""COMPUTED_VALUE"""),"T252")</f>
        <v>T252</v>
      </c>
      <c r="B253" t="str">
        <f ca="1">IFERROR(__xludf.DUMMYFUNCTION("""COMPUTED_VALUE"""),"T250")</f>
        <v>T250</v>
      </c>
      <c r="C253" t="str">
        <f ca="1">IFERROR(__xludf.DUMMYFUNCTION("""COMPUTED_VALUE"""),"K.J. Choi")</f>
        <v>K.J. Choi</v>
      </c>
      <c r="D253">
        <f ca="1">IFERROR(__xludf.DUMMYFUNCTION("""COMPUTED_VALUE"""),6)</f>
        <v>6</v>
      </c>
      <c r="E253">
        <f ca="1">IFERROR(__xludf.DUMMYFUNCTION("""COMPUTED_VALUE"""),187.8)</f>
        <v>187.8</v>
      </c>
      <c r="F253" s="2">
        <f ca="1">IFERROR(__xludf.DUMMYFUNCTION("""COMPUTED_VALUE"""),567938)</f>
        <v>567938</v>
      </c>
      <c r="G253">
        <f ca="1">IFERROR(__xludf.DUMMYFUNCTION("""COMPUTED_VALUE"""),84)</f>
        <v>84</v>
      </c>
    </row>
    <row r="254" spans="1:7" ht="12.75">
      <c r="A254" t="str">
        <f ca="1">IFERROR(__xludf.DUMMYFUNCTION("""COMPUTED_VALUE"""),"T252")</f>
        <v>T252</v>
      </c>
      <c r="B254" t="str">
        <f ca="1">IFERROR(__xludf.DUMMYFUNCTION("""COMPUTED_VALUE"""),"T248")</f>
        <v>T248</v>
      </c>
      <c r="C254" t="str">
        <f ca="1">IFERROR(__xludf.DUMMYFUNCTION("""COMPUTED_VALUE"""),"Michael Thompson")</f>
        <v>Michael Thompson</v>
      </c>
      <c r="D254">
        <f ca="1">IFERROR(__xludf.DUMMYFUNCTION("""COMPUTED_VALUE"""),16)</f>
        <v>16</v>
      </c>
      <c r="E254">
        <f ca="1">IFERROR(__xludf.DUMMYFUNCTION("""COMPUTED_VALUE"""),187.8)</f>
        <v>187.8</v>
      </c>
      <c r="F254" s="2">
        <f ca="1">IFERROR(__xludf.DUMMYFUNCTION("""COMPUTED_VALUE"""),1446832)</f>
        <v>1446832</v>
      </c>
      <c r="G254">
        <f ca="1">IFERROR(__xludf.DUMMYFUNCTION("""COMPUTED_VALUE"""),214)</f>
        <v>214</v>
      </c>
    </row>
    <row r="255" spans="1:7" ht="12.75">
      <c r="A255" t="str">
        <f ca="1">IFERROR(__xludf.DUMMYFUNCTION("""COMPUTED_VALUE"""),"T252")</f>
        <v>T252</v>
      </c>
      <c r="B255" t="str">
        <f ca="1">IFERROR(__xludf.DUMMYFUNCTION("""COMPUTED_VALUE"""),"T250")</f>
        <v>T250</v>
      </c>
      <c r="C255" t="str">
        <f ca="1">IFERROR(__xludf.DUMMYFUNCTION("""COMPUTED_VALUE"""),"Stephan Jaeger")</f>
        <v>Stephan Jaeger</v>
      </c>
      <c r="D255">
        <f ca="1">IFERROR(__xludf.DUMMYFUNCTION("""COMPUTED_VALUE"""),4)</f>
        <v>4</v>
      </c>
      <c r="E255">
        <f ca="1">IFERROR(__xludf.DUMMYFUNCTION("""COMPUTED_VALUE"""),187.8)</f>
        <v>187.8</v>
      </c>
      <c r="F255" s="2">
        <f ca="1">IFERROR(__xludf.DUMMYFUNCTION("""COMPUTED_VALUE"""),378699)</f>
        <v>378699</v>
      </c>
      <c r="G255">
        <f ca="1">IFERROR(__xludf.DUMMYFUNCTION("""COMPUTED_VALUE"""),56)</f>
        <v>56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IFERROR(__xludf.DUMMYFUNCTION("""COMPUTED_VALUE"""),252)</f>
        <v>252</v>
      </c>
      <c r="C256" t="str">
        <f ca="1">IFERROR(__xludf.DUMMYFUNCTION("""COMPUTED_VALUE"""),"Thomas Detry")</f>
        <v>Thomas Detry</v>
      </c>
      <c r="D256">
        <f ca="1">IFERROR(__xludf.DUMMYFUNCTION("""COMPUTED_VALUE"""),8)</f>
        <v>8</v>
      </c>
      <c r="E256">
        <f ca="1">IFERROR(__xludf.DUMMYFUNCTION("""COMPUTED_VALUE"""),188.1)</f>
        <v>188.1</v>
      </c>
      <c r="F256" s="2">
        <f ca="1">IFERROR(__xludf.DUMMYFUNCTION("""COMPUTED_VALUE"""),379111)</f>
        <v>379111</v>
      </c>
      <c r="G256">
        <f ca="1">IFERROR(__xludf.DUMMYFUNCTION("""COMPUTED_VALUE"""),56)</f>
        <v>56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IFERROR(__xludf.DUMMYFUNCTION("""COMPUTED_VALUE"""),253)</f>
        <v>253</v>
      </c>
      <c r="C257" t="str">
        <f ca="1">IFERROR(__xludf.DUMMYFUNCTION("""COMPUTED_VALUE"""),"Tiger Woods")</f>
        <v>Tiger Woods</v>
      </c>
      <c r="D257">
        <f ca="1">IFERROR(__xludf.DUMMYFUNCTION("""COMPUTED_VALUE"""),6)</f>
        <v>6</v>
      </c>
      <c r="E257">
        <f ca="1">IFERROR(__xludf.DUMMYFUNCTION("""COMPUTED_VALUE"""),188.2)</f>
        <v>188.2</v>
      </c>
      <c r="F257" s="2">
        <f ca="1">IFERROR(__xludf.DUMMYFUNCTION("""COMPUTED_VALUE"""),535279)</f>
        <v>535279</v>
      </c>
      <c r="G257">
        <f ca="1">IFERROR(__xludf.DUMMYFUNCTION("""COMPUTED_VALUE"""),79)</f>
        <v>79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IFERROR(__xludf.DUMMYFUNCTION("""COMPUTED_VALUE"""),254)</f>
        <v>254</v>
      </c>
      <c r="C258" t="str">
        <f ca="1">IFERROR(__xludf.DUMMYFUNCTION("""COMPUTED_VALUE"""),"Jay McLuen")</f>
        <v>Jay McLuen</v>
      </c>
      <c r="D258">
        <f ca="1">IFERROR(__xludf.DUMMYFUNCTION("""COMPUTED_VALUE"""),4)</f>
        <v>4</v>
      </c>
      <c r="E258">
        <f ca="1">IFERROR(__xludf.DUMMYFUNCTION("""COMPUTED_VALUE"""),188.3)</f>
        <v>188.3</v>
      </c>
      <c r="F258" s="2">
        <f ca="1">IFERROR(__xludf.DUMMYFUNCTION("""COMPUTED_VALUE"""),379633)</f>
        <v>379633</v>
      </c>
      <c r="G258">
        <f ca="1">IFERROR(__xludf.DUMMYFUNCTION("""COMPUTED_VALUE"""),56)</f>
        <v>56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IFERROR(__xludf.DUMMYFUNCTION("""COMPUTED_VALUE"""),255)</f>
        <v>255</v>
      </c>
      <c r="C259" t="str">
        <f ca="1">IFERROR(__xludf.DUMMYFUNCTION("""COMPUTED_VALUE"""),"Jazz Janewattananond")</f>
        <v>Jazz Janewattananond</v>
      </c>
      <c r="D259">
        <f ca="1">IFERROR(__xludf.DUMMYFUNCTION("""COMPUTED_VALUE"""),6)</f>
        <v>6</v>
      </c>
      <c r="E259">
        <f ca="1">IFERROR(__xludf.DUMMYFUNCTION("""COMPUTED_VALUE"""),188.4)</f>
        <v>188.4</v>
      </c>
      <c r="F259" s="2">
        <f ca="1">IFERROR(__xludf.DUMMYFUNCTION("""COMPUTED_VALUE"""),542733)</f>
        <v>542733</v>
      </c>
      <c r="G259">
        <f ca="1">IFERROR(__xludf.DUMMYFUNCTION("""COMPUTED_VALUE"""),80)</f>
        <v>80</v>
      </c>
    </row>
    <row r="260" spans="1:7" ht="12.75">
      <c r="A260">
        <f ca="1">IFERROR(__xludf.DUMMYFUNCTION("""COMPUTED_VALUE"""),259)</f>
        <v>259</v>
      </c>
      <c r="B260" t="str">
        <f ca="1">IFERROR(__xludf.DUMMYFUNCTION("""COMPUTED_VALUE"""),"T256")</f>
        <v>T256</v>
      </c>
      <c r="C260" t="str">
        <f ca="1">IFERROR(__xludf.DUMMYFUNCTION("""COMPUTED_VALUE"""),"Shugo Imahira")</f>
        <v>Shugo Imahira</v>
      </c>
      <c r="D260">
        <f ca="1">IFERROR(__xludf.DUMMYFUNCTION("""COMPUTED_VALUE"""),8)</f>
        <v>8</v>
      </c>
      <c r="E260">
        <f ca="1">IFERROR(__xludf.DUMMYFUNCTION("""COMPUTED_VALUE"""),188.6)</f>
        <v>188.6</v>
      </c>
      <c r="F260" s="2">
        <f ca="1">IFERROR(__xludf.DUMMYFUNCTION("""COMPUTED_VALUE"""),733356)</f>
        <v>733356</v>
      </c>
      <c r="G260">
        <f ca="1">IFERROR(__xludf.DUMMYFUNCTION("""COMPUTED_VALUE"""),108)</f>
        <v>108</v>
      </c>
    </row>
    <row r="261" spans="1:7" ht="12.75">
      <c r="A261">
        <f ca="1">IFERROR(__xludf.DUMMYFUNCTION("""COMPUTED_VALUE"""),260)</f>
        <v>260</v>
      </c>
      <c r="B261" t="str">
        <f ca="1">IFERROR(__xludf.DUMMYFUNCTION("""COMPUTED_VALUE"""),"")</f>
        <v/>
      </c>
      <c r="C261" t="str">
        <f ca="1">IFERROR(__xludf.DUMMYFUNCTION("""COMPUTED_VALUE"""),"Justin Harding")</f>
        <v>Justin Harding</v>
      </c>
      <c r="D261">
        <f ca="1">IFERROR(__xludf.DUMMYFUNCTION("""COMPUTED_VALUE"""),6)</f>
        <v>6</v>
      </c>
      <c r="E261">
        <f ca="1">IFERROR(__xludf.DUMMYFUNCTION("""COMPUTED_VALUE"""),189.2)</f>
        <v>189.2</v>
      </c>
      <c r="F261" s="2">
        <f ca="1">IFERROR(__xludf.DUMMYFUNCTION("""COMPUTED_VALUE"""),544812)</f>
        <v>544812</v>
      </c>
      <c r="G261">
        <f ca="1">IFERROR(__xludf.DUMMYFUNCTION("""COMPUTED_VALUE"""),80)</f>
        <v>80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IFERROR(__xludf.DUMMYFUNCTION("""COMPUTED_VALUE"""),259)</f>
        <v>259</v>
      </c>
      <c r="C262" t="str">
        <f ca="1">IFERROR(__xludf.DUMMYFUNCTION("""COMPUTED_VALUE"""),"Shaun Norris")</f>
        <v>Shaun Norris</v>
      </c>
      <c r="D262">
        <f ca="1">IFERROR(__xludf.DUMMYFUNCTION("""COMPUTED_VALUE"""),6)</f>
        <v>6</v>
      </c>
      <c r="E262">
        <f ca="1">IFERROR(__xludf.DUMMYFUNCTION("""COMPUTED_VALUE"""),190.2)</f>
        <v>190.2</v>
      </c>
      <c r="F262" s="2">
        <f ca="1">IFERROR(__xludf.DUMMYFUNCTION("""COMPUTED_VALUE"""),547773)</f>
        <v>547773</v>
      </c>
      <c r="G262">
        <f ca="1">IFERROR(__xludf.DUMMYFUNCTION("""COMPUTED_VALUE"""),80)</f>
        <v>80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IFERROR(__xludf.DUMMYFUNCTION("""COMPUTED_VALUE"""),258)</f>
        <v>258</v>
      </c>
      <c r="C263" t="str">
        <f ca="1">IFERROR(__xludf.DUMMYFUNCTION("""COMPUTED_VALUE"""),"Satoshi Kodaira")</f>
        <v>Satoshi Kodaira</v>
      </c>
      <c r="D263">
        <f ca="1">IFERROR(__xludf.DUMMYFUNCTION("""COMPUTED_VALUE"""),12)</f>
        <v>12</v>
      </c>
      <c r="E263">
        <f ca="1">IFERROR(__xludf.DUMMYFUNCTION("""COMPUTED_VALUE"""),190.4)</f>
        <v>190.4</v>
      </c>
      <c r="F263" s="2">
        <f ca="1">IFERROR(__xludf.DUMMYFUNCTION("""COMPUTED_VALUE"""),1096884)</f>
        <v>1096884</v>
      </c>
      <c r="G263">
        <f ca="1">IFERROR(__xludf.DUMMYFUNCTION("""COMPUTED_VALUE"""),160)</f>
        <v>160</v>
      </c>
    </row>
    <row r="264" spans="1:7" ht="12.75">
      <c r="A264" t="str">
        <f ca="1">IFERROR(__xludf.DUMMYFUNCTION("""COMPUTED_VALUE"""),"T263")</f>
        <v>T263</v>
      </c>
      <c r="B264" t="str">
        <f ca="1">IFERROR(__xludf.DUMMYFUNCTION("""COMPUTED_VALUE"""),"T256")</f>
        <v>T256</v>
      </c>
      <c r="C264" t="str">
        <f ca="1">IFERROR(__xludf.DUMMYFUNCTION("""COMPUTED_VALUE"""),"Mark Hubbard")</f>
        <v>Mark Hubbard</v>
      </c>
      <c r="D264">
        <f ca="1">IFERROR(__xludf.DUMMYFUNCTION("""COMPUTED_VALUE"""),20)</f>
        <v>20</v>
      </c>
      <c r="E264">
        <f ca="1">IFERROR(__xludf.DUMMYFUNCTION("""COMPUTED_VALUE"""),190.6)</f>
        <v>190.6</v>
      </c>
      <c r="F264" s="2">
        <f ca="1">IFERROR(__xludf.DUMMYFUNCTION("""COMPUTED_VALUE"""),1866502)</f>
        <v>1866502</v>
      </c>
      <c r="G264">
        <f ca="1">IFERROR(__xludf.DUMMYFUNCTION("""COMPUTED_VALUE"""),272)</f>
        <v>272</v>
      </c>
    </row>
    <row r="265" spans="1:7" ht="12.75">
      <c r="A265" t="str">
        <f ca="1">IFERROR(__xludf.DUMMYFUNCTION("""COMPUTED_VALUE"""),"T263")</f>
        <v>T263</v>
      </c>
      <c r="B265">
        <f ca="1">IFERROR(__xludf.DUMMYFUNCTION("""COMPUTED_VALUE"""),260)</f>
        <v>260</v>
      </c>
      <c r="C265" t="str">
        <f ca="1">IFERROR(__xludf.DUMMYFUNCTION("""COMPUTED_VALUE"""),"Christiaan Bezuidenhout")</f>
        <v>Christiaan Bezuidenhout</v>
      </c>
      <c r="D265">
        <f ca="1">IFERROR(__xludf.DUMMYFUNCTION("""COMPUTED_VALUE"""),4)</f>
        <v>4</v>
      </c>
      <c r="E265">
        <f ca="1">IFERROR(__xludf.DUMMYFUNCTION("""COMPUTED_VALUE"""),190.6)</f>
        <v>190.6</v>
      </c>
      <c r="F265" s="2">
        <f ca="1">IFERROR(__xludf.DUMMYFUNCTION("""COMPUTED_VALUE"""),384180)</f>
        <v>384180</v>
      </c>
      <c r="G265">
        <f ca="1">IFERROR(__xludf.DUMMYFUNCTION("""COMPUTED_VALUE"""),56)</f>
        <v>56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IFERROR(__xludf.DUMMYFUNCTION("""COMPUTED_VALUE"""),239)</f>
        <v>239</v>
      </c>
      <c r="C266" t="str">
        <f ca="1">IFERROR(__xludf.DUMMYFUNCTION("""COMPUTED_VALUE"""),"D.A. Points")</f>
        <v>D.A. Points</v>
      </c>
      <c r="D266">
        <f ca="1">IFERROR(__xludf.DUMMYFUNCTION("""COMPUTED_VALUE"""),12)</f>
        <v>12</v>
      </c>
      <c r="E266">
        <f ca="1">IFERROR(__xludf.DUMMYFUNCTION("""COMPUTED_VALUE"""),190.9)</f>
        <v>190.9</v>
      </c>
      <c r="F266" s="2">
        <f ca="1">IFERROR(__xludf.DUMMYFUNCTION("""COMPUTED_VALUE"""),748969)</f>
        <v>748969</v>
      </c>
      <c r="G266">
        <f ca="1">IFERROR(__xludf.DUMMYFUNCTION("""COMPUTED_VALUE"""),109)</f>
        <v>109</v>
      </c>
    </row>
    <row r="267" spans="1:7" ht="12.75">
      <c r="A267">
        <f ca="1">IFERROR(__xludf.DUMMYFUNCTION("""COMPUTED_VALUE"""),266)</f>
        <v>266</v>
      </c>
      <c r="B267" t="str">
        <f ca="1">IFERROR(__xludf.DUMMYFUNCTION("""COMPUTED_VALUE"""),"")</f>
        <v/>
      </c>
      <c r="C267" t="str">
        <f ca="1">IFERROR(__xludf.DUMMYFUNCTION("""COMPUTED_VALUE"""),"Greg Chalmers")</f>
        <v>Greg Chalmers</v>
      </c>
      <c r="D267">
        <f ca="1">IFERROR(__xludf.DUMMYFUNCTION("""COMPUTED_VALUE"""),6)</f>
        <v>6</v>
      </c>
      <c r="E267">
        <f ca="1">IFERROR(__xludf.DUMMYFUNCTION("""COMPUTED_VALUE"""),191.9)</f>
        <v>191.9</v>
      </c>
      <c r="F267" s="2">
        <f ca="1">IFERROR(__xludf.DUMMYFUNCTION("""COMPUTED_VALUE"""),552561)</f>
        <v>552561</v>
      </c>
      <c r="G267">
        <f ca="1">IFERROR(__xludf.DUMMYFUNCTION("""COMPUTED_VALUE"""),80)</f>
        <v>80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IFERROR(__xludf.DUMMYFUNCTION("""COMPUTED_VALUE"""),246)</f>
        <v>246</v>
      </c>
      <c r="C268" t="str">
        <f ca="1">IFERROR(__xludf.DUMMYFUNCTION("""COMPUTED_VALUE"""),"David Hearn")</f>
        <v>David Hearn</v>
      </c>
      <c r="D268">
        <f ca="1">IFERROR(__xludf.DUMMYFUNCTION("""COMPUTED_VALUE"""),16)</f>
        <v>16</v>
      </c>
      <c r="E268">
        <f ca="1">IFERROR(__xludf.DUMMYFUNCTION("""COMPUTED_VALUE"""),192.8)</f>
        <v>192.8</v>
      </c>
      <c r="F268" s="2">
        <f ca="1">IFERROR(__xludf.DUMMYFUNCTION("""COMPUTED_VALUE"""),763674)</f>
        <v>763674</v>
      </c>
      <c r="G268">
        <f ca="1">IFERROR(__xludf.DUMMYFUNCTION("""COMPUTED_VALUE"""),110)</f>
        <v>110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IFERROR(__xludf.DUMMYFUNCTION("""COMPUTED_VALUE"""),263)</f>
        <v>263</v>
      </c>
      <c r="C269" t="str">
        <f ca="1">IFERROR(__xludf.DUMMYFUNCTION("""COMPUTED_VALUE"""),"Brendon Todd")</f>
        <v>Brendon Todd</v>
      </c>
      <c r="D269">
        <f ca="1">IFERROR(__xludf.DUMMYFUNCTION("""COMPUTED_VALUE"""),14)</f>
        <v>14</v>
      </c>
      <c r="E269">
        <f ca="1">IFERROR(__xludf.DUMMYFUNCTION("""COMPUTED_VALUE"""),193.8)</f>
        <v>193.8</v>
      </c>
      <c r="F269" s="2">
        <f ca="1">IFERROR(__xludf.DUMMYFUNCTION("""COMPUTED_VALUE"""),1137039)</f>
        <v>1137039</v>
      </c>
      <c r="G269">
        <f ca="1">IFERROR(__xludf.DUMMYFUNCTION("""COMPUTED_VALUE"""),163)</f>
        <v>163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IFERROR(__xludf.DUMMYFUNCTION("""COMPUTED_VALUE"""),"Graeme McDowell")</f>
        <v>Graeme McDowell</v>
      </c>
      <c r="D270">
        <f ca="1">IFERROR(__xludf.DUMMYFUNCTION("""COMPUTED_VALUE"""),8)</f>
        <v>8</v>
      </c>
      <c r="E270">
        <f ca="1">IFERROR(__xludf.DUMMYFUNCTION("""COMPUTED_VALUE"""),193.9)</f>
        <v>193.9</v>
      </c>
      <c r="F270" s="2">
        <f ca="1">IFERROR(__xludf.DUMMYFUNCTION("""COMPUTED_VALUE"""),558398)</f>
        <v>558398</v>
      </c>
      <c r="G270">
        <f ca="1">IFERROR(__xludf.DUMMYFUNCTION("""COMPUTED_VALUE"""),80)</f>
        <v>80</v>
      </c>
    </row>
    <row r="271" spans="1:7" ht="12.75">
      <c r="A271" t="str">
        <f ca="1">IFERROR(__xludf.DUMMYFUNCTION("""COMPUTED_VALUE"""),"T270")</f>
        <v>T270</v>
      </c>
      <c r="B271" t="str">
        <f ca="1">IFERROR(__xludf.DUMMYFUNCTION("""COMPUTED_VALUE"""),"T264")</f>
        <v>T264</v>
      </c>
      <c r="C271" t="str">
        <f ca="1">IFERROR(__xludf.DUMMYFUNCTION("""COMPUTED_VALUE"""),"Gunn Charoenkul")</f>
        <v>Gunn Charoenkul</v>
      </c>
      <c r="D271">
        <f ca="1">IFERROR(__xludf.DUMMYFUNCTION("""COMPUTED_VALUE"""),4)</f>
        <v>4</v>
      </c>
      <c r="E271">
        <f ca="1">IFERROR(__xludf.DUMMYFUNCTION("""COMPUTED_VALUE"""),194)</f>
        <v>194</v>
      </c>
      <c r="F271" s="2">
        <f ca="1">IFERROR(__xludf.DUMMYFUNCTION("""COMPUTED_VALUE"""),349285)</f>
        <v>349285</v>
      </c>
      <c r="G271">
        <f ca="1">IFERROR(__xludf.DUMMYFUNCTION("""COMPUTED_VALUE"""),50)</f>
        <v>50</v>
      </c>
    </row>
    <row r="272" spans="1:7" ht="12.75">
      <c r="A272" t="str">
        <f ca="1">IFERROR(__xludf.DUMMYFUNCTION("""COMPUTED_VALUE"""),"T270")</f>
        <v>T270</v>
      </c>
      <c r="B272" t="str">
        <f ca="1">IFERROR(__xludf.DUMMYFUNCTION("""COMPUTED_VALUE"""),"T264")</f>
        <v>T264</v>
      </c>
      <c r="C272" t="str">
        <f ca="1">IFERROR(__xludf.DUMMYFUNCTION("""COMPUTED_VALUE"""),"Mikumu Horikawa")</f>
        <v>Mikumu Horikawa</v>
      </c>
      <c r="D272">
        <f ca="1">IFERROR(__xludf.DUMMYFUNCTION("""COMPUTED_VALUE"""),4)</f>
        <v>4</v>
      </c>
      <c r="E272">
        <f ca="1">IFERROR(__xludf.DUMMYFUNCTION("""COMPUTED_VALUE"""),194)</f>
        <v>194</v>
      </c>
      <c r="F272" s="2">
        <f ca="1">IFERROR(__xludf.DUMMYFUNCTION("""COMPUTED_VALUE"""),356154)</f>
        <v>356154</v>
      </c>
      <c r="G272">
        <f ca="1">IFERROR(__xludf.DUMMYFUNCTION("""COMPUTED_VALUE"""),51)</f>
        <v>51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IFERROR(__xludf.DUMMYFUNCTION("""COMPUTED_VALUE"""),261)</f>
        <v>261</v>
      </c>
      <c r="C273" t="str">
        <f ca="1">IFERROR(__xludf.DUMMYFUNCTION("""COMPUTED_VALUE"""),"Henrik Stenson")</f>
        <v>Henrik Stenson</v>
      </c>
      <c r="D273">
        <f ca="1">IFERROR(__xludf.DUMMYFUNCTION("""COMPUTED_VALUE"""),11)</f>
        <v>11</v>
      </c>
      <c r="E273">
        <f ca="1">IFERROR(__xludf.DUMMYFUNCTION("""COMPUTED_VALUE"""),194.8)</f>
        <v>194.8</v>
      </c>
      <c r="F273" s="2">
        <f ca="1">IFERROR(__xludf.DUMMYFUNCTION("""COMPUTED_VALUE"""),574988)</f>
        <v>574988</v>
      </c>
      <c r="G273">
        <f ca="1">IFERROR(__xludf.DUMMYFUNCTION("""COMPUTED_VALUE"""),82)</f>
        <v>82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IFERROR(__xludf.DUMMYFUNCTION("""COMPUTED_VALUE"""),"Parker McLachlin")</f>
        <v>Parker McLachlin</v>
      </c>
      <c r="D274">
        <f ca="1">IFERROR(__xludf.DUMMYFUNCTION("""COMPUTED_VALUE"""),4)</f>
        <v>4</v>
      </c>
      <c r="E274">
        <f ca="1">IFERROR(__xludf.DUMMYFUNCTION("""COMPUTED_VALUE"""),195.1)</f>
        <v>195.1</v>
      </c>
      <c r="F274" s="2">
        <f ca="1">IFERROR(__xludf.DUMMYFUNCTION("""COMPUTED_VALUE"""),189640)</f>
        <v>189640</v>
      </c>
      <c r="G274">
        <f ca="1">IFERROR(__xludf.DUMMYFUNCTION("""COMPUTED_VALUE"""),27)</f>
        <v>27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IFERROR(__xludf.DUMMYFUNCTION("""COMPUTED_VALUE"""),"Takumi Kanaya")</f>
        <v>Takumi Kanaya</v>
      </c>
      <c r="D275">
        <f ca="1">IFERROR(__xludf.DUMMYFUNCTION("""COMPUTED_VALUE"""),6)</f>
        <v>6</v>
      </c>
      <c r="E275">
        <f ca="1">IFERROR(__xludf.DUMMYFUNCTION("""COMPUTED_VALUE"""),196.2)</f>
        <v>196.2</v>
      </c>
      <c r="F275" s="2">
        <f ca="1">IFERROR(__xludf.DUMMYFUNCTION("""COMPUTED_VALUE"""),564946)</f>
        <v>564946</v>
      </c>
      <c r="G275">
        <f ca="1">IFERROR(__xludf.DUMMYFUNCTION("""COMPUTED_VALUE"""),80)</f>
        <v>80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IFERROR(__xludf.DUMMYFUNCTION("""COMPUTED_VALUE"""),"Ryo Ishikawa")</f>
        <v>Ryo Ishikawa</v>
      </c>
      <c r="D276">
        <f ca="1">IFERROR(__xludf.DUMMYFUNCTION("""COMPUTED_VALUE"""),8)</f>
        <v>8</v>
      </c>
      <c r="E276">
        <f ca="1">IFERROR(__xludf.DUMMYFUNCTION("""COMPUTED_VALUE"""),197)</f>
        <v>197</v>
      </c>
      <c r="F276" s="2">
        <f ca="1">IFERROR(__xludf.DUMMYFUNCTION("""COMPUTED_VALUE"""),758924)</f>
        <v>758924</v>
      </c>
      <c r="G276">
        <f ca="1">IFERROR(__xludf.DUMMYFUNCTION("""COMPUTED_VALUE"""),107)</f>
        <v>107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IFERROR(__xludf.DUMMYFUNCTION("""COMPUTED_VALUE"""),"Brad Kennedy")</f>
        <v>Brad Kennedy</v>
      </c>
      <c r="D277">
        <f ca="1">IFERROR(__xludf.DUMMYFUNCTION("""COMPUTED_VALUE"""),4)</f>
        <v>4</v>
      </c>
      <c r="E277">
        <f ca="1">IFERROR(__xludf.DUMMYFUNCTION("""COMPUTED_VALUE"""),199)</f>
        <v>199</v>
      </c>
      <c r="F277" s="2">
        <f ca="1">IFERROR(__xludf.DUMMYFUNCTION("""COMPUTED_VALUE"""),358110)</f>
        <v>358110</v>
      </c>
      <c r="G277">
        <f ca="1">IFERROR(__xludf.DUMMYFUNCTION("""COMPUTED_VALUE"""),50)</f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IFERROR(__xludf.DUMMYFUNCTION("IMPORTHTML(""http://www.pgatour.com/stats/stat.02569.html"", 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SG:ARG")</f>
        <v>TOTAL SG:ARG</v>
      </c>
      <c r="G1" t="str">
        <f ca="1">IFERROR(__xludf.DUMMYFUNCTION("""COMPUTED_VALUE"""),"MEASURED ROUNDS")</f>
        <v>MEASURED ROUNDS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IFERROR(__xludf.DUMMYFUNCTION("""COMPUTED_VALUE"""),"Christiaan Bezuidenhout")</f>
        <v>Christiaan Bezuidenhout</v>
      </c>
      <c r="D2">
        <f ca="1">IFERROR(__xludf.DUMMYFUNCTION("""COMPUTED_VALUE"""),4)</f>
        <v>4</v>
      </c>
      <c r="E2">
        <f ca="1">IFERROR(__xludf.DUMMYFUNCTION("""COMPUTED_VALUE"""),1.183)</f>
        <v>1.1830000000000001</v>
      </c>
      <c r="F2">
        <f ca="1">IFERROR(__xludf.DUMMYFUNCTION("""COMPUTED_VALUE"""),4.73)</f>
        <v>4.7300000000000004</v>
      </c>
      <c r="G2">
        <f ca="1">IFERROR(__xludf.DUMMYFUNCTION("""COMPUTED_VALUE"""),4)</f>
        <v>4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IFERROR(__xludf.DUMMYFUNCTION("""COMPUTED_VALUE"""),"Stephan Jaeger")</f>
        <v>Stephan Jaeger</v>
      </c>
      <c r="D3">
        <f ca="1">IFERROR(__xludf.DUMMYFUNCTION("""COMPUTED_VALUE"""),4)</f>
        <v>4</v>
      </c>
      <c r="E3">
        <f ca="1">IFERROR(__xludf.DUMMYFUNCTION("""COMPUTED_VALUE"""),1.117)</f>
        <v>1.117</v>
      </c>
      <c r="F3">
        <f ca="1">IFERROR(__xludf.DUMMYFUNCTION("""COMPUTED_VALUE"""),4.469)</f>
        <v>4.4690000000000003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IFERROR(__xludf.DUMMYFUNCTION("""COMPUTED_VALUE"""),"Renato Paratore")</f>
        <v>Renato Paratore</v>
      </c>
      <c r="D4">
        <f ca="1">IFERROR(__xludf.DUMMYFUNCTION("""COMPUTED_VALUE"""),4)</f>
        <v>4</v>
      </c>
      <c r="E4">
        <f ca="1">IFERROR(__xludf.DUMMYFUNCTION("""COMPUTED_VALUE"""),1.018)</f>
        <v>1.018</v>
      </c>
      <c r="F4">
        <f ca="1">IFERROR(__xludf.DUMMYFUNCTION("""COMPUTED_VALUE"""),4.073)</f>
        <v>4.0730000000000004</v>
      </c>
      <c r="G4">
        <f ca="1">IFERROR(__xludf.DUMMYFUNCTION("""COMPUTED_VALUE"""),4)</f>
        <v>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IFERROR(__xludf.DUMMYFUNCTION("""COMPUTED_VALUE"""),"Fabián Gómez")</f>
        <v>Fabián Gómez</v>
      </c>
      <c r="D5">
        <f ca="1">IFERROR(__xludf.DUMMYFUNCTION("""COMPUTED_VALUE"""),16)</f>
        <v>16</v>
      </c>
      <c r="E5">
        <f ca="1">IFERROR(__xludf.DUMMYFUNCTION("""COMPUTED_VALUE"""),0.853)</f>
        <v>0.85299999999999998</v>
      </c>
      <c r="F5">
        <f ca="1">IFERROR(__xludf.DUMMYFUNCTION("""COMPUTED_VALUE"""),8.53)</f>
        <v>8.5299999999999994</v>
      </c>
      <c r="G5">
        <f ca="1">IFERROR(__xludf.DUMMYFUNCTION("""COMPUTED_VALUE"""),10)</f>
        <v>10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IFERROR(__xludf.DUMMYFUNCTION("""COMPUTED_VALUE"""),"Bud Cauley")</f>
        <v>Bud Cauley</v>
      </c>
      <c r="D6">
        <f ca="1">IFERROR(__xludf.DUMMYFUNCTION("""COMPUTED_VALUE"""),4)</f>
        <v>4</v>
      </c>
      <c r="E6">
        <f ca="1">IFERROR(__xludf.DUMMYFUNCTION("""COMPUTED_VALUE"""),0.848)</f>
        <v>0.84799999999999998</v>
      </c>
      <c r="F6">
        <f ca="1">IFERROR(__xludf.DUMMYFUNCTION("""COMPUTED_VALUE"""),3.391)</f>
        <v>3.391</v>
      </c>
      <c r="G6">
        <f ca="1">IFERROR(__xludf.DUMMYFUNCTION("""COMPUTED_VALUE"""),4)</f>
        <v>4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IFERROR(__xludf.DUMMYFUNCTION("""COMPUTED_VALUE"""),"Ian Poulter")</f>
        <v>Ian Poulter</v>
      </c>
      <c r="D7">
        <f ca="1">IFERROR(__xludf.DUMMYFUNCTION("""COMPUTED_VALUE"""),6)</f>
        <v>6</v>
      </c>
      <c r="E7">
        <f ca="1">IFERROR(__xludf.DUMMYFUNCTION("""COMPUTED_VALUE"""),0.779)</f>
        <v>0.77900000000000003</v>
      </c>
      <c r="F7">
        <f ca="1">IFERROR(__xludf.DUMMYFUNCTION("""COMPUTED_VALUE"""),4.675)</f>
        <v>4.6749999999999998</v>
      </c>
      <c r="G7">
        <f ca="1">IFERROR(__xludf.DUMMYFUNCTION("""COMPUTED_VALUE"""),6)</f>
        <v>6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IFERROR(__xludf.DUMMYFUNCTION("""COMPUTED_VALUE"""),"Gunn Charoenkul")</f>
        <v>Gunn Charoenkul</v>
      </c>
      <c r="D8">
        <f ca="1">IFERROR(__xludf.DUMMYFUNCTION("""COMPUTED_VALUE"""),4)</f>
        <v>4</v>
      </c>
      <c r="E8">
        <f ca="1">IFERROR(__xludf.DUMMYFUNCTION("""COMPUTED_VALUE"""),0.765)</f>
        <v>0.76500000000000001</v>
      </c>
      <c r="F8">
        <f ca="1">IFERROR(__xludf.DUMMYFUNCTION("""COMPUTED_VALUE"""),3.058)</f>
        <v>3.0579999999999998</v>
      </c>
      <c r="G8">
        <f ca="1">IFERROR(__xludf.DUMMYFUNCTION("""COMPUTED_VALUE"""),4)</f>
        <v>4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IFERROR(__xludf.DUMMYFUNCTION("""COMPUTED_VALUE"""),"Akshay Bhatia")</f>
        <v>Akshay Bhatia</v>
      </c>
      <c r="D9">
        <f ca="1">IFERROR(__xludf.DUMMYFUNCTION("""COMPUTED_VALUE"""),6)</f>
        <v>6</v>
      </c>
      <c r="E9">
        <f ca="1">IFERROR(__xludf.DUMMYFUNCTION("""COMPUTED_VALUE"""),0.722)</f>
        <v>0.72199999999999998</v>
      </c>
      <c r="F9">
        <f ca="1">IFERROR(__xludf.DUMMYFUNCTION("""COMPUTED_VALUE"""),2.889)</f>
        <v>2.8889999999999998</v>
      </c>
      <c r="G9">
        <f ca="1">IFERROR(__xludf.DUMMYFUNCTION("""COMPUTED_VALUE"""),4)</f>
        <v>4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IFERROR(__xludf.DUMMYFUNCTION("""COMPUTED_VALUE"""),"")</f>
        <v/>
      </c>
      <c r="C10" t="str">
        <f ca="1">IFERROR(__xludf.DUMMYFUNCTION("""COMPUTED_VALUE"""),"Ollie Schniederjans")</f>
        <v>Ollie Schniederjans</v>
      </c>
      <c r="D10">
        <f ca="1">IFERROR(__xludf.DUMMYFUNCTION("""COMPUTED_VALUE"""),6)</f>
        <v>6</v>
      </c>
      <c r="E10">
        <f ca="1">IFERROR(__xludf.DUMMYFUNCTION("""COMPUTED_VALUE"""),0.718)</f>
        <v>0.71799999999999997</v>
      </c>
      <c r="F10">
        <f ca="1">IFERROR(__xludf.DUMMYFUNCTION("""COMPUTED_VALUE"""),1.435)</f>
        <v>1.4350000000000001</v>
      </c>
      <c r="G10">
        <f ca="1">IFERROR(__xludf.DUMMYFUNCTION("""COMPUTED_VALUE"""),2)</f>
        <v>2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IFERROR(__xludf.DUMMYFUNCTION("""COMPUTED_VALUE"""),"Xander Schauffele")</f>
        <v>Xander Schauffele</v>
      </c>
      <c r="D11">
        <f ca="1">IFERROR(__xludf.DUMMYFUNCTION("""COMPUTED_VALUE"""),12)</f>
        <v>12</v>
      </c>
      <c r="E11">
        <f ca="1">IFERROR(__xludf.DUMMYFUNCTION("""COMPUTED_VALUE"""),0.694)</f>
        <v>0.69399999999999995</v>
      </c>
      <c r="F11">
        <f ca="1">IFERROR(__xludf.DUMMYFUNCTION("""COMPUTED_VALUE"""),8.322)</f>
        <v>8.3219999999999992</v>
      </c>
      <c r="G11">
        <f ca="1">IFERROR(__xludf.DUMMYFUNCTION("""COMPUTED_VALUE"""),12)</f>
        <v>12</v>
      </c>
    </row>
    <row r="12" spans="1:7" ht="15.75" customHeight="1">
      <c r="A12">
        <f ca="1">IFERROR(__xludf.DUMMYFUNCTION("""COMPUTED_VALUE"""),11)</f>
        <v>11</v>
      </c>
      <c r="B12" t="str">
        <f ca="1">IFERROR(__xludf.DUMMYFUNCTION("""COMPUTED_VALUE"""),"")</f>
        <v/>
      </c>
      <c r="C12" t="str">
        <f ca="1">IFERROR(__xludf.DUMMYFUNCTION("""COMPUTED_VALUE"""),"Francesco Molinari")</f>
        <v>Francesco Molinari</v>
      </c>
      <c r="D12">
        <f ca="1">IFERROR(__xludf.DUMMYFUNCTION("""COMPUTED_VALUE"""),6)</f>
        <v>6</v>
      </c>
      <c r="E12">
        <f ca="1">IFERROR(__xludf.DUMMYFUNCTION("""COMPUTED_VALUE"""),0.643)</f>
        <v>0.64300000000000002</v>
      </c>
      <c r="F12">
        <f ca="1">IFERROR(__xludf.DUMMYFUNCTION("""COMPUTED_VALUE"""),3.857)</f>
        <v>3.8570000000000002</v>
      </c>
      <c r="G12">
        <f ca="1">IFERROR(__xludf.DUMMYFUNCTION("""COMPUTED_VALUE"""),6)</f>
        <v>6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IFERROR(__xludf.DUMMYFUNCTION("""COMPUTED_VALUE"""),12)</f>
        <v>12</v>
      </c>
      <c r="C13" t="str">
        <f ca="1">IFERROR(__xludf.DUMMYFUNCTION("""COMPUTED_VALUE"""),"Chris Stroud")</f>
        <v>Chris Stroud</v>
      </c>
      <c r="D13">
        <f ca="1">IFERROR(__xludf.DUMMYFUNCTION("""COMPUTED_VALUE"""),6)</f>
        <v>6</v>
      </c>
      <c r="E13">
        <f ca="1">IFERROR(__xludf.DUMMYFUNCTION("""COMPUTED_VALUE"""),0.632)</f>
        <v>0.63200000000000001</v>
      </c>
      <c r="F13">
        <f ca="1">IFERROR(__xludf.DUMMYFUNCTION("""COMPUTED_VALUE"""),2.527)</f>
        <v>2.5270000000000001</v>
      </c>
      <c r="G13">
        <f ca="1">IFERROR(__xludf.DUMMYFUNCTION("""COMPUTED_VALUE"""),4)</f>
        <v>4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IFERROR(__xludf.DUMMYFUNCTION("""COMPUTED_VALUE"""),"Doug Ghim")</f>
        <v>Doug Ghim</v>
      </c>
      <c r="D14">
        <f ca="1">IFERROR(__xludf.DUMMYFUNCTION("""COMPUTED_VALUE"""),14)</f>
        <v>14</v>
      </c>
      <c r="E14">
        <f ca="1">IFERROR(__xludf.DUMMYFUNCTION("""COMPUTED_VALUE"""),0.629)</f>
        <v>0.629</v>
      </c>
      <c r="F14">
        <f ca="1">IFERROR(__xludf.DUMMYFUNCTION("""COMPUTED_VALUE"""),5.03)</f>
        <v>5.03</v>
      </c>
      <c r="G14">
        <f ca="1">IFERROR(__xludf.DUMMYFUNCTION("""COMPUTED_VALUE"""),8)</f>
        <v>8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IFERROR(__xludf.DUMMYFUNCTION("""COMPUTED_VALUE"""),14)</f>
        <v>14</v>
      </c>
      <c r="C15" t="str">
        <f ca="1">IFERROR(__xludf.DUMMYFUNCTION("""COMPUTED_VALUE"""),"Webb Simpson")</f>
        <v>Webb Simpson</v>
      </c>
      <c r="D15">
        <f ca="1">IFERROR(__xludf.DUMMYFUNCTION("""COMPUTED_VALUE"""),12)</f>
        <v>12</v>
      </c>
      <c r="E15">
        <f ca="1">IFERROR(__xludf.DUMMYFUNCTION("""COMPUTED_VALUE"""),0.628)</f>
        <v>0.628</v>
      </c>
      <c r="F15">
        <f ca="1">IFERROR(__xludf.DUMMYFUNCTION("""COMPUTED_VALUE"""),7.533)</f>
        <v>7.5330000000000004</v>
      </c>
      <c r="G15">
        <f ca="1">IFERROR(__xludf.DUMMYFUNCTION("""COMPUTED_VALUE"""),12)</f>
        <v>12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IFERROR(__xludf.DUMMYFUNCTION("""COMPUTED_VALUE"""),"Bryson DeChambeau")</f>
        <v>Bryson DeChambeau</v>
      </c>
      <c r="D16">
        <f ca="1">IFERROR(__xludf.DUMMYFUNCTION("""COMPUTED_VALUE"""),8)</f>
        <v>8</v>
      </c>
      <c r="E16">
        <f ca="1">IFERROR(__xludf.DUMMYFUNCTION("""COMPUTED_VALUE"""),0.622)</f>
        <v>0.622</v>
      </c>
      <c r="F16">
        <f ca="1">IFERROR(__xludf.DUMMYFUNCTION("""COMPUTED_VALUE"""),4.974)</f>
        <v>4.9740000000000002</v>
      </c>
      <c r="G16">
        <f ca="1">IFERROR(__xludf.DUMMYFUNCTION("""COMPUTED_VALUE"""),8)</f>
        <v>8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IFERROR(__xludf.DUMMYFUNCTION("""COMPUTED_VALUE"""),16)</f>
        <v>16</v>
      </c>
      <c r="C17" t="str">
        <f ca="1">IFERROR(__xludf.DUMMYFUNCTION("""COMPUTED_VALUE"""),"Patrick Cantlay")</f>
        <v>Patrick Cantlay</v>
      </c>
      <c r="D17">
        <f ca="1">IFERROR(__xludf.DUMMYFUNCTION("""COMPUTED_VALUE"""),16)</f>
        <v>16</v>
      </c>
      <c r="E17">
        <f ca="1">IFERROR(__xludf.DUMMYFUNCTION("""COMPUTED_VALUE"""),0.621)</f>
        <v>0.621</v>
      </c>
      <c r="F17">
        <f ca="1">IFERROR(__xludf.DUMMYFUNCTION("""COMPUTED_VALUE"""),9.933)</f>
        <v>9.9329999999999998</v>
      </c>
      <c r="G17">
        <f ca="1">IFERROR(__xludf.DUMMYFUNCTION("""COMPUTED_VALUE"""),16)</f>
        <v>16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IFERROR(__xludf.DUMMYFUNCTION("""COMPUTED_VALUE"""),18)</f>
        <v>18</v>
      </c>
      <c r="C18" t="str">
        <f ca="1">IFERROR(__xludf.DUMMYFUNCTION("""COMPUTED_VALUE"""),"Taylor Pendrith")</f>
        <v>Taylor Pendrith</v>
      </c>
      <c r="D18">
        <f ca="1">IFERROR(__xludf.DUMMYFUNCTION("""COMPUTED_VALUE"""),4)</f>
        <v>4</v>
      </c>
      <c r="E18">
        <f ca="1">IFERROR(__xludf.DUMMYFUNCTION("""COMPUTED_VALUE"""),0.611)</f>
        <v>0.61099999999999999</v>
      </c>
      <c r="F18">
        <f ca="1">IFERROR(__xludf.DUMMYFUNCTION("""COMPUTED_VALUE"""),2.442)</f>
        <v>2.4420000000000002</v>
      </c>
      <c r="G18">
        <f ca="1">IFERROR(__xludf.DUMMYFUNCTION("""COMPUTED_VALUE"""),4)</f>
        <v>4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IFERROR(__xludf.DUMMYFUNCTION("""COMPUTED_VALUE"""),19)</f>
        <v>19</v>
      </c>
      <c r="C19" t="str">
        <f ca="1">IFERROR(__xludf.DUMMYFUNCTION("""COMPUTED_VALUE"""),"Josh Teater")</f>
        <v>Josh Teater</v>
      </c>
      <c r="D19">
        <f ca="1">IFERROR(__xludf.DUMMYFUNCTION("""COMPUTED_VALUE"""),6)</f>
        <v>6</v>
      </c>
      <c r="E19">
        <f ca="1">IFERROR(__xludf.DUMMYFUNCTION("""COMPUTED_VALUE"""),0.61)</f>
        <v>0.61</v>
      </c>
      <c r="F19">
        <f ca="1">IFERROR(__xludf.DUMMYFUNCTION("""COMPUTED_VALUE"""),1.22)</f>
        <v>1.22</v>
      </c>
      <c r="G19">
        <f ca="1">IFERROR(__xludf.DUMMYFUNCTION("""COMPUTED_VALUE"""),2)</f>
        <v>2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IFERROR(__xludf.DUMMYFUNCTION("""COMPUTED_VALUE"""),21)</f>
        <v>21</v>
      </c>
      <c r="C20" t="str">
        <f ca="1">IFERROR(__xludf.DUMMYFUNCTION("""COMPUTED_VALUE"""),"Collin Morikawa")</f>
        <v>Collin Morikawa</v>
      </c>
      <c r="D20">
        <f ca="1">IFERROR(__xludf.DUMMYFUNCTION("""COMPUTED_VALUE"""),12)</f>
        <v>12</v>
      </c>
      <c r="E20">
        <f ca="1">IFERROR(__xludf.DUMMYFUNCTION("""COMPUTED_VALUE"""),0.604)</f>
        <v>0.60399999999999998</v>
      </c>
      <c r="F20">
        <f ca="1">IFERROR(__xludf.DUMMYFUNCTION("""COMPUTED_VALUE"""),7.251)</f>
        <v>7.2510000000000003</v>
      </c>
      <c r="G20">
        <f ca="1">IFERROR(__xludf.DUMMYFUNCTION("""COMPUTED_VALUE"""),12)</f>
        <v>12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IFERROR(__xludf.DUMMYFUNCTION("""COMPUTED_VALUE"""),23)</f>
        <v>23</v>
      </c>
      <c r="C21" t="str">
        <f ca="1">IFERROR(__xludf.DUMMYFUNCTION("""COMPUTED_VALUE"""),"Justin Thomas")</f>
        <v>Justin Thomas</v>
      </c>
      <c r="D21">
        <f ca="1">IFERROR(__xludf.DUMMYFUNCTION("""COMPUTED_VALUE"""),12)</f>
        <v>12</v>
      </c>
      <c r="E21">
        <f ca="1">IFERROR(__xludf.DUMMYFUNCTION("""COMPUTED_VALUE"""),0.596)</f>
        <v>0.59599999999999997</v>
      </c>
      <c r="F21">
        <f ca="1">IFERROR(__xludf.DUMMYFUNCTION("""COMPUTED_VALUE"""),7.15)</f>
        <v>7.15</v>
      </c>
      <c r="G21">
        <f ca="1">IFERROR(__xludf.DUMMYFUNCTION("""COMPUTED_VALUE"""),12)</f>
        <v>12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IFERROR(__xludf.DUMMYFUNCTION("""COMPUTED_VALUE"""),"Byeong Hun An")</f>
        <v>Byeong Hun An</v>
      </c>
      <c r="D22">
        <f ca="1">IFERROR(__xludf.DUMMYFUNCTION("""COMPUTED_VALUE"""),14)</f>
        <v>14</v>
      </c>
      <c r="E22">
        <f ca="1">IFERROR(__xludf.DUMMYFUNCTION("""COMPUTED_VALUE"""),0.583)</f>
        <v>0.58299999999999996</v>
      </c>
      <c r="F22">
        <f ca="1">IFERROR(__xludf.DUMMYFUNCTION("""COMPUTED_VALUE"""),8.167)</f>
        <v>8.1669999999999998</v>
      </c>
      <c r="G22">
        <f ca="1">IFERROR(__xludf.DUMMYFUNCTION("""COMPUTED_VALUE"""),14)</f>
        <v>14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IFERROR(__xludf.DUMMYFUNCTION("""COMPUTED_VALUE"""),122)</f>
        <v>122</v>
      </c>
      <c r="C23" t="str">
        <f ca="1">IFERROR(__xludf.DUMMYFUNCTION("""COMPUTED_VALUE"""),"Nate Lashley")</f>
        <v>Nate Lashley</v>
      </c>
      <c r="D23">
        <f ca="1">IFERROR(__xludf.DUMMYFUNCTION("""COMPUTED_VALUE"""),16)</f>
        <v>16</v>
      </c>
      <c r="E23">
        <f ca="1">IFERROR(__xludf.DUMMYFUNCTION("""COMPUTED_VALUE"""),0.577)</f>
        <v>0.57699999999999996</v>
      </c>
      <c r="F23">
        <f ca="1">IFERROR(__xludf.DUMMYFUNCTION("""COMPUTED_VALUE"""),6.918)</f>
        <v>6.9180000000000001</v>
      </c>
      <c r="G23">
        <f ca="1">IFERROR(__xludf.DUMMYFUNCTION("""COMPUTED_VALUE"""),12)</f>
        <v>12</v>
      </c>
    </row>
    <row r="24" spans="1:7" ht="15.75" customHeight="1">
      <c r="A24" t="str">
        <f ca="1">IFERROR(__xludf.DUMMYFUNCTION("""COMPUTED_VALUE"""),"T23")</f>
        <v>T23</v>
      </c>
      <c r="B24" t="str">
        <f ca="1">IFERROR(__xludf.DUMMYFUNCTION("""COMPUTED_VALUE"""),"T25")</f>
        <v>T25</v>
      </c>
      <c r="C24" t="str">
        <f ca="1">IFERROR(__xludf.DUMMYFUNCTION("""COMPUTED_VALUE"""),"Peter Uihlein")</f>
        <v>Peter Uihlein</v>
      </c>
      <c r="D24">
        <f ca="1">IFERROR(__xludf.DUMMYFUNCTION("""COMPUTED_VALUE"""),8)</f>
        <v>8</v>
      </c>
      <c r="E24">
        <f ca="1">IFERROR(__xludf.DUMMYFUNCTION("""COMPUTED_VALUE"""),0.572)</f>
        <v>0.57199999999999995</v>
      </c>
      <c r="F24">
        <f ca="1">IFERROR(__xludf.DUMMYFUNCTION("""COMPUTED_VALUE"""),1.144)</f>
        <v>1.1439999999999999</v>
      </c>
      <c r="G24">
        <f ca="1">IFERROR(__xludf.DUMMYFUNCTION("""COMPUTED_VALUE"""),2)</f>
        <v>2</v>
      </c>
    </row>
    <row r="25" spans="1:7" ht="15.75" customHeight="1">
      <c r="A25" t="str">
        <f ca="1">IFERROR(__xludf.DUMMYFUNCTION("""COMPUTED_VALUE"""),"T23")</f>
        <v>T23</v>
      </c>
      <c r="B25" t="str">
        <f ca="1">IFERROR(__xludf.DUMMYFUNCTION("""COMPUTED_VALUE"""),"T25")</f>
        <v>T25</v>
      </c>
      <c r="C25" t="str">
        <f ca="1">IFERROR(__xludf.DUMMYFUNCTION("""COMPUTED_VALUE"""),"George McNeill")</f>
        <v>George McNeill</v>
      </c>
      <c r="D25">
        <f ca="1">IFERROR(__xludf.DUMMYFUNCTION("""COMPUTED_VALUE"""),8)</f>
        <v>8</v>
      </c>
      <c r="E25">
        <f ca="1">IFERROR(__xludf.DUMMYFUNCTION("""COMPUTED_VALUE"""),0.572)</f>
        <v>0.57199999999999995</v>
      </c>
      <c r="F25">
        <f ca="1">IFERROR(__xludf.DUMMYFUNCTION("""COMPUTED_VALUE"""),1.144)</f>
        <v>1.1439999999999999</v>
      </c>
      <c r="G25">
        <f ca="1">IFERROR(__xludf.DUMMYFUNCTION("""COMPUTED_VALUE"""),2)</f>
        <v>2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IFERROR(__xludf.DUMMYFUNCTION("""COMPUTED_VALUE"""),27)</f>
        <v>27</v>
      </c>
      <c r="C26" t="str">
        <f ca="1">IFERROR(__xludf.DUMMYFUNCTION("""COMPUTED_VALUE"""),"Rhein Gibson")</f>
        <v>Rhein Gibson</v>
      </c>
      <c r="D26">
        <f ca="1">IFERROR(__xludf.DUMMYFUNCTION("""COMPUTED_VALUE"""),10)</f>
        <v>10</v>
      </c>
      <c r="E26">
        <f ca="1">IFERROR(__xludf.DUMMYFUNCTION("""COMPUTED_VALUE"""),0.571)</f>
        <v>0.57099999999999995</v>
      </c>
      <c r="F26">
        <f ca="1">IFERROR(__xludf.DUMMYFUNCTION("""COMPUTED_VALUE"""),2.285)</f>
        <v>2.2850000000000001</v>
      </c>
      <c r="G26">
        <f ca="1">IFERROR(__xludf.DUMMYFUNCTION("""COMPUTED_VALUE"""),4)</f>
        <v>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IFERROR(__xludf.DUMMYFUNCTION("""COMPUTED_VALUE"""),28)</f>
        <v>28</v>
      </c>
      <c r="C27" t="str">
        <f ca="1">IFERROR(__xludf.DUMMYFUNCTION("""COMPUTED_VALUE"""),"Thomas Pieters")</f>
        <v>Thomas Pieters</v>
      </c>
      <c r="D27">
        <f ca="1">IFERROR(__xludf.DUMMYFUNCTION("""COMPUTED_VALUE"""),4)</f>
        <v>4</v>
      </c>
      <c r="E27">
        <f ca="1">IFERROR(__xludf.DUMMYFUNCTION("""COMPUTED_VALUE"""),0.562)</f>
        <v>0.56200000000000006</v>
      </c>
      <c r="F27">
        <f ca="1">IFERROR(__xludf.DUMMYFUNCTION("""COMPUTED_VALUE"""),2.246)</f>
        <v>2.246</v>
      </c>
      <c r="G27">
        <f ca="1">IFERROR(__xludf.DUMMYFUNCTION("""COMPUTED_VALUE"""),4)</f>
        <v>4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IFERROR(__xludf.DUMMYFUNCTION("""COMPUTED_VALUE"""),"T58")</f>
        <v>T58</v>
      </c>
      <c r="C28" t="str">
        <f ca="1">IFERROR(__xludf.DUMMYFUNCTION("""COMPUTED_VALUE"""),"Harold Varner III")</f>
        <v>Harold Varner III</v>
      </c>
      <c r="D28">
        <f ca="1">IFERROR(__xludf.DUMMYFUNCTION("""COMPUTED_VALUE"""),14)</f>
        <v>14</v>
      </c>
      <c r="E28">
        <f ca="1">IFERROR(__xludf.DUMMYFUNCTION("""COMPUTED_VALUE"""),0.55)</f>
        <v>0.55000000000000004</v>
      </c>
      <c r="F28">
        <f ca="1">IFERROR(__xludf.DUMMYFUNCTION("""COMPUTED_VALUE"""),6.601)</f>
        <v>6.601</v>
      </c>
      <c r="G28">
        <f ca="1">IFERROR(__xludf.DUMMYFUNCTION("""COMPUTED_VALUE"""),12)</f>
        <v>12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IFERROR(__xludf.DUMMYFUNCTION("""COMPUTED_VALUE"""),30)</f>
        <v>30</v>
      </c>
      <c r="C29" t="str">
        <f ca="1">IFERROR(__xludf.DUMMYFUNCTION("""COMPUTED_VALUE"""),"Harris English")</f>
        <v>Harris English</v>
      </c>
      <c r="D29">
        <f ca="1">IFERROR(__xludf.DUMMYFUNCTION("""COMPUTED_VALUE"""),14)</f>
        <v>14</v>
      </c>
      <c r="E29">
        <f ca="1">IFERROR(__xludf.DUMMYFUNCTION("""COMPUTED_VALUE"""),0.548)</f>
        <v>0.54800000000000004</v>
      </c>
      <c r="F29">
        <f ca="1">IFERROR(__xludf.DUMMYFUNCTION("""COMPUTED_VALUE"""),7.667)</f>
        <v>7.6669999999999998</v>
      </c>
      <c r="G29">
        <f ca="1">IFERROR(__xludf.DUMMYFUNCTION("""COMPUTED_VALUE"""),14)</f>
        <v>14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IFERROR(__xludf.DUMMYFUNCTION("""COMPUTED_VALUE"""),11)</f>
        <v>11</v>
      </c>
      <c r="C30" t="str">
        <f ca="1">IFERROR(__xludf.DUMMYFUNCTION("""COMPUTED_VALUE"""),"Brooks Koepka")</f>
        <v>Brooks Koepka</v>
      </c>
      <c r="D30">
        <f ca="1">IFERROR(__xludf.DUMMYFUNCTION("""COMPUTED_VALUE"""),8)</f>
        <v>8</v>
      </c>
      <c r="E30">
        <f ca="1">IFERROR(__xludf.DUMMYFUNCTION("""COMPUTED_VALUE"""),0.539)</f>
        <v>0.53900000000000003</v>
      </c>
      <c r="F30">
        <f ca="1">IFERROR(__xludf.DUMMYFUNCTION("""COMPUTED_VALUE"""),4.312)</f>
        <v>4.3120000000000003</v>
      </c>
      <c r="G30">
        <f ca="1">IFERROR(__xludf.DUMMYFUNCTION("""COMPUTED_VALUE"""),8)</f>
        <v>8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IFERROR(__xludf.DUMMYFUNCTION("""COMPUTED_VALUE"""),32)</f>
        <v>32</v>
      </c>
      <c r="C31" t="str">
        <f ca="1">IFERROR(__xludf.DUMMYFUNCTION("""COMPUTED_VALUE"""),"Wes Roach")</f>
        <v>Wes Roach</v>
      </c>
      <c r="D31">
        <f ca="1">IFERROR(__xludf.DUMMYFUNCTION("""COMPUTED_VALUE"""),6)</f>
        <v>6</v>
      </c>
      <c r="E31">
        <f ca="1">IFERROR(__xludf.DUMMYFUNCTION("""COMPUTED_VALUE"""),0.534)</f>
        <v>0.53400000000000003</v>
      </c>
      <c r="F31">
        <f ca="1">IFERROR(__xludf.DUMMYFUNCTION("""COMPUTED_VALUE"""),1.068)</f>
        <v>1.0680000000000001</v>
      </c>
      <c r="G31">
        <f ca="1">IFERROR(__xludf.DUMMYFUNCTION("""COMPUTED_VALUE"""),2)</f>
        <v>2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IFERROR(__xludf.DUMMYFUNCTION("""COMPUTED_VALUE"""),17)</f>
        <v>17</v>
      </c>
      <c r="C32" t="str">
        <f ca="1">IFERROR(__xludf.DUMMYFUNCTION("""COMPUTED_VALUE"""),"Si Woo Kim")</f>
        <v>Si Woo Kim</v>
      </c>
      <c r="D32">
        <f ca="1">IFERROR(__xludf.DUMMYFUNCTION("""COMPUTED_VALUE"""),20)</f>
        <v>20</v>
      </c>
      <c r="E32">
        <f ca="1">IFERROR(__xludf.DUMMYFUNCTION("""COMPUTED_VALUE"""),0.529)</f>
        <v>0.52900000000000003</v>
      </c>
      <c r="F32">
        <f ca="1">IFERROR(__xludf.DUMMYFUNCTION("""COMPUTED_VALUE"""),10.571)</f>
        <v>10.571</v>
      </c>
      <c r="G32">
        <f ca="1">IFERROR(__xludf.DUMMYFUNCTION("""COMPUTED_VALUE"""),20)</f>
        <v>20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IFERROR(__xludf.DUMMYFUNCTION("""COMPUTED_VALUE"""),44)</f>
        <v>44</v>
      </c>
      <c r="C33" t="str">
        <f ca="1">IFERROR(__xludf.DUMMYFUNCTION("""COMPUTED_VALUE"""),"Hideki Matsuyama")</f>
        <v>Hideki Matsuyama</v>
      </c>
      <c r="D33">
        <f ca="1">IFERROR(__xludf.DUMMYFUNCTION("""COMPUTED_VALUE"""),18)</f>
        <v>18</v>
      </c>
      <c r="E33">
        <f ca="1">IFERROR(__xludf.DUMMYFUNCTION("""COMPUTED_VALUE"""),0.522)</f>
        <v>0.52200000000000002</v>
      </c>
      <c r="F33">
        <f ca="1">IFERROR(__xludf.DUMMYFUNCTION("""COMPUTED_VALUE"""),9.404)</f>
        <v>9.4039999999999999</v>
      </c>
      <c r="G33">
        <f ca="1">IFERROR(__xludf.DUMMYFUNCTION("""COMPUTED_VALUE"""),18)</f>
        <v>18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IFERROR(__xludf.DUMMYFUNCTION("""COMPUTED_VALUE"""),31)</f>
        <v>31</v>
      </c>
      <c r="C34" t="str">
        <f ca="1">IFERROR(__xludf.DUMMYFUNCTION("""COMPUTED_VALUE"""),"Bo Hoag")</f>
        <v>Bo Hoag</v>
      </c>
      <c r="D34">
        <f ca="1">IFERROR(__xludf.DUMMYFUNCTION("""COMPUTED_VALUE"""),14)</f>
        <v>14</v>
      </c>
      <c r="E34">
        <f ca="1">IFERROR(__xludf.DUMMYFUNCTION("""COMPUTED_VALUE"""),0.521)</f>
        <v>0.52100000000000002</v>
      </c>
      <c r="F34">
        <f ca="1">IFERROR(__xludf.DUMMYFUNCTION("""COMPUTED_VALUE"""),5.206)</f>
        <v>5.2060000000000004</v>
      </c>
      <c r="G34">
        <f ca="1">IFERROR(__xludf.DUMMYFUNCTION("""COMPUTED_VALUE"""),10)</f>
        <v>10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IFERROR(__xludf.DUMMYFUNCTION("""COMPUTED_VALUE"""),34)</f>
        <v>34</v>
      </c>
      <c r="C35" t="str">
        <f ca="1">IFERROR(__xludf.DUMMYFUNCTION("""COMPUTED_VALUE"""),"Tim Wilkinson")</f>
        <v>Tim Wilkinson</v>
      </c>
      <c r="D35">
        <f ca="1">IFERROR(__xludf.DUMMYFUNCTION("""COMPUTED_VALUE"""),12)</f>
        <v>12</v>
      </c>
      <c r="E35">
        <f ca="1">IFERROR(__xludf.DUMMYFUNCTION("""COMPUTED_VALUE"""),0.516)</f>
        <v>0.51600000000000001</v>
      </c>
      <c r="F35">
        <f ca="1">IFERROR(__xludf.DUMMYFUNCTION("""COMPUTED_VALUE"""),3.094)</f>
        <v>3.0939999999999999</v>
      </c>
      <c r="G35">
        <f ca="1">IFERROR(__xludf.DUMMYFUNCTION("""COMPUTED_VALUE"""),6)</f>
        <v>6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IFERROR(__xludf.DUMMYFUNCTION("""COMPUTED_VALUE"""),35)</f>
        <v>35</v>
      </c>
      <c r="C36" t="str">
        <f ca="1">IFERROR(__xludf.DUMMYFUNCTION("""COMPUTED_VALUE"""),"Hank Lebioda")</f>
        <v>Hank Lebioda</v>
      </c>
      <c r="D36">
        <f ca="1">IFERROR(__xludf.DUMMYFUNCTION("""COMPUTED_VALUE"""),14)</f>
        <v>14</v>
      </c>
      <c r="E36">
        <f ca="1">IFERROR(__xludf.DUMMYFUNCTION("""COMPUTED_VALUE"""),0.513)</f>
        <v>0.51300000000000001</v>
      </c>
      <c r="F36">
        <f ca="1">IFERROR(__xludf.DUMMYFUNCTION("""COMPUTED_VALUE"""),3.075)</f>
        <v>3.0750000000000002</v>
      </c>
      <c r="G36">
        <f ca="1">IFERROR(__xludf.DUMMYFUNCTION("""COMPUTED_VALUE"""),6)</f>
        <v>6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IFERROR(__xludf.DUMMYFUNCTION("""COMPUTED_VALUE"""),40)</f>
        <v>40</v>
      </c>
      <c r="C37" t="str">
        <f ca="1">IFERROR(__xludf.DUMMYFUNCTION("""COMPUTED_VALUE"""),"Jordan Spieth")</f>
        <v>Jordan Spieth</v>
      </c>
      <c r="D37">
        <f ca="1">IFERROR(__xludf.DUMMYFUNCTION("""COMPUTED_VALUE"""),14)</f>
        <v>14</v>
      </c>
      <c r="E37">
        <f ca="1">IFERROR(__xludf.DUMMYFUNCTION("""COMPUTED_VALUE"""),0.496)</f>
        <v>0.496</v>
      </c>
      <c r="F37">
        <f ca="1">IFERROR(__xludf.DUMMYFUNCTION("""COMPUTED_VALUE"""),6.951)</f>
        <v>6.9509999999999996</v>
      </c>
      <c r="G37">
        <f ca="1">IFERROR(__xludf.DUMMYFUNCTION("""COMPUTED_VALUE"""),14)</f>
        <v>14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IFERROR(__xludf.DUMMYFUNCTION("""COMPUTED_VALUE"""),52)</f>
        <v>52</v>
      </c>
      <c r="C38" t="str">
        <f ca="1">IFERROR(__xludf.DUMMYFUNCTION("""COMPUTED_VALUE"""),"Talor Gooch")</f>
        <v>Talor Gooch</v>
      </c>
      <c r="D38">
        <f ca="1">IFERROR(__xludf.DUMMYFUNCTION("""COMPUTED_VALUE"""),20)</f>
        <v>20</v>
      </c>
      <c r="E38">
        <f ca="1">IFERROR(__xludf.DUMMYFUNCTION("""COMPUTED_VALUE"""),0.491)</f>
        <v>0.49099999999999999</v>
      </c>
      <c r="F38">
        <f ca="1">IFERROR(__xludf.DUMMYFUNCTION("""COMPUTED_VALUE"""),9.824)</f>
        <v>9.8239999999999998</v>
      </c>
      <c r="G38">
        <f ca="1">IFERROR(__xludf.DUMMYFUNCTION("""COMPUTED_VALUE"""),20)</f>
        <v>20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IFERROR(__xludf.DUMMYFUNCTION("""COMPUTED_VALUE"""),36)</f>
        <v>36</v>
      </c>
      <c r="C39" t="str">
        <f ca="1">IFERROR(__xludf.DUMMYFUNCTION("""COMPUTED_VALUE"""),"Adam Hadwin")</f>
        <v>Adam Hadwin</v>
      </c>
      <c r="D39">
        <f ca="1">IFERROR(__xludf.DUMMYFUNCTION("""COMPUTED_VALUE"""),16)</f>
        <v>16</v>
      </c>
      <c r="E39">
        <f ca="1">IFERROR(__xludf.DUMMYFUNCTION("""COMPUTED_VALUE"""),0.489)</f>
        <v>0.48899999999999999</v>
      </c>
      <c r="F39">
        <f ca="1">IFERROR(__xludf.DUMMYFUNCTION("""COMPUTED_VALUE"""),7.827)</f>
        <v>7.827</v>
      </c>
      <c r="G39">
        <f ca="1">IFERROR(__xludf.DUMMYFUNCTION("""COMPUTED_VALUE"""),16)</f>
        <v>16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IFERROR(__xludf.DUMMYFUNCTION("""COMPUTED_VALUE"""),38)</f>
        <v>38</v>
      </c>
      <c r="C40" t="str">
        <f ca="1">IFERROR(__xludf.DUMMYFUNCTION("""COMPUTED_VALUE"""),"Charles Howell III")</f>
        <v>Charles Howell III</v>
      </c>
      <c r="D40">
        <f ca="1">IFERROR(__xludf.DUMMYFUNCTION("""COMPUTED_VALUE"""),10)</f>
        <v>10</v>
      </c>
      <c r="E40">
        <f ca="1">IFERROR(__xludf.DUMMYFUNCTION("""COMPUTED_VALUE"""),0.466)</f>
        <v>0.46600000000000003</v>
      </c>
      <c r="F40">
        <f ca="1">IFERROR(__xludf.DUMMYFUNCTION("""COMPUTED_VALUE"""),3.726)</f>
        <v>3.726</v>
      </c>
      <c r="G40">
        <f ca="1">IFERROR(__xludf.DUMMYFUNCTION("""COMPUTED_VALUE"""),8)</f>
        <v>8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IFERROR(__xludf.DUMMYFUNCTION("""COMPUTED_VALUE"""),39)</f>
        <v>39</v>
      </c>
      <c r="C41" t="str">
        <f ca="1">IFERROR(__xludf.DUMMYFUNCTION("""COMPUTED_VALUE"""),"Thomas Detry")</f>
        <v>Thomas Detry</v>
      </c>
      <c r="D41">
        <f ca="1">IFERROR(__xludf.DUMMYFUNCTION("""COMPUTED_VALUE"""),8)</f>
        <v>8</v>
      </c>
      <c r="E41">
        <f ca="1">IFERROR(__xludf.DUMMYFUNCTION("""COMPUTED_VALUE"""),0.465)</f>
        <v>0.46500000000000002</v>
      </c>
      <c r="F41">
        <f ca="1">IFERROR(__xludf.DUMMYFUNCTION("""COMPUTED_VALUE"""),1.861)</f>
        <v>1.861</v>
      </c>
      <c r="G41">
        <f ca="1">IFERROR(__xludf.DUMMYFUNCTION("""COMPUTED_VALUE"""),4)</f>
        <v>4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IFERROR(__xludf.DUMMYFUNCTION("""COMPUTED_VALUE"""),41)</f>
        <v>41</v>
      </c>
      <c r="C42" t="str">
        <f ca="1">IFERROR(__xludf.DUMMYFUNCTION("""COMPUTED_VALUE"""),"Brandon Hagy")</f>
        <v>Brandon Hagy</v>
      </c>
      <c r="D42">
        <f ca="1">IFERROR(__xludf.DUMMYFUNCTION("""COMPUTED_VALUE"""),10)</f>
        <v>10</v>
      </c>
      <c r="E42">
        <f ca="1">IFERROR(__xludf.DUMMYFUNCTION("""COMPUTED_VALUE"""),0.457)</f>
        <v>0.45700000000000002</v>
      </c>
      <c r="F42">
        <f ca="1">IFERROR(__xludf.DUMMYFUNCTION("""COMPUTED_VALUE"""),2.742)</f>
        <v>2.742</v>
      </c>
      <c r="G42">
        <f ca="1">IFERROR(__xludf.DUMMYFUNCTION("""COMPUTED_VALUE"""),6)</f>
        <v>6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IFERROR(__xludf.DUMMYFUNCTION("""COMPUTED_VALUE"""),"T42")</f>
        <v>T42</v>
      </c>
      <c r="C43" t="str">
        <f ca="1">IFERROR(__xludf.DUMMYFUNCTION("""COMPUTED_VALUE"""),"Dustin Johnson")</f>
        <v>Dustin Johnson</v>
      </c>
      <c r="D43">
        <f ca="1">IFERROR(__xludf.DUMMYFUNCTION("""COMPUTED_VALUE"""),8)</f>
        <v>8</v>
      </c>
      <c r="E43">
        <f ca="1">IFERROR(__xludf.DUMMYFUNCTION("""COMPUTED_VALUE"""),0.446)</f>
        <v>0.44600000000000001</v>
      </c>
      <c r="F43">
        <f ca="1">IFERROR(__xludf.DUMMYFUNCTION("""COMPUTED_VALUE"""),3.572)</f>
        <v>3.5720000000000001</v>
      </c>
      <c r="G43">
        <f ca="1">IFERROR(__xludf.DUMMYFUNCTION("""COMPUTED_VALUE"""),8)</f>
        <v>8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IFERROR(__xludf.DUMMYFUNCTION("""COMPUTED_VALUE"""),46)</f>
        <v>46</v>
      </c>
      <c r="C44" t="str">
        <f ca="1">IFERROR(__xludf.DUMMYFUNCTION("""COMPUTED_VALUE"""),"Bernd Wiesberger")</f>
        <v>Bernd Wiesberger</v>
      </c>
      <c r="D44">
        <f ca="1">IFERROR(__xludf.DUMMYFUNCTION("""COMPUTED_VALUE"""),4)</f>
        <v>4</v>
      </c>
      <c r="E44">
        <f ca="1">IFERROR(__xludf.DUMMYFUNCTION("""COMPUTED_VALUE"""),0.422)</f>
        <v>0.42199999999999999</v>
      </c>
      <c r="F44">
        <f ca="1">IFERROR(__xludf.DUMMYFUNCTION("""COMPUTED_VALUE"""),1.686)</f>
        <v>1.6859999999999999</v>
      </c>
      <c r="G44">
        <f ca="1">IFERROR(__xludf.DUMMYFUNCTION("""COMPUTED_VALUE"""),4)</f>
        <v>4</v>
      </c>
    </row>
    <row r="45" spans="1:7" ht="12.75">
      <c r="A45">
        <f ca="1">IFERROR(__xludf.DUMMYFUNCTION("""COMPUTED_VALUE"""),44)</f>
        <v>44</v>
      </c>
      <c r="B45" t="str">
        <f ca="1">IFERROR(__xludf.DUMMYFUNCTION("""COMPUTED_VALUE"""),"T42")</f>
        <v>T42</v>
      </c>
      <c r="C45" t="str">
        <f ca="1">IFERROR(__xludf.DUMMYFUNCTION("""COMPUTED_VALUE"""),"Jamie Lovemark")</f>
        <v>Jamie Lovemark</v>
      </c>
      <c r="D45">
        <f ca="1">IFERROR(__xludf.DUMMYFUNCTION("""COMPUTED_VALUE"""),18)</f>
        <v>18</v>
      </c>
      <c r="E45">
        <f ca="1">IFERROR(__xludf.DUMMYFUNCTION("""COMPUTED_VALUE"""),0.421)</f>
        <v>0.42099999999999999</v>
      </c>
      <c r="F45">
        <f ca="1">IFERROR(__xludf.DUMMYFUNCTION("""COMPUTED_VALUE"""),5.057)</f>
        <v>5.0570000000000004</v>
      </c>
      <c r="G45">
        <f ca="1">IFERROR(__xludf.DUMMYFUNCTION("""COMPUTED_VALUE"""),12)</f>
        <v>12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IFERROR(__xludf.DUMMYFUNCTION("""COMPUTED_VALUE"""),47)</f>
        <v>47</v>
      </c>
      <c r="C46" t="str">
        <f ca="1">IFERROR(__xludf.DUMMYFUNCTION("""COMPUTED_VALUE"""),"Joseph Bramlett")</f>
        <v>Joseph Bramlett</v>
      </c>
      <c r="D46">
        <f ca="1">IFERROR(__xludf.DUMMYFUNCTION("""COMPUTED_VALUE"""),18)</f>
        <v>18</v>
      </c>
      <c r="E46">
        <f ca="1">IFERROR(__xludf.DUMMYFUNCTION("""COMPUTED_VALUE"""),0.419)</f>
        <v>0.41899999999999998</v>
      </c>
      <c r="F46">
        <f ca="1">IFERROR(__xludf.DUMMYFUNCTION("""COMPUTED_VALUE"""),4.193)</f>
        <v>4.1929999999999996</v>
      </c>
      <c r="G46">
        <f ca="1">IFERROR(__xludf.DUMMYFUNCTION("""COMPUTED_VALUE"""),10)</f>
        <v>10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IFERROR(__xludf.DUMMYFUNCTION("""COMPUTED_VALUE"""),246)</f>
        <v>246</v>
      </c>
      <c r="C47" t="str">
        <f ca="1">IFERROR(__xludf.DUMMYFUNCTION("""COMPUTED_VALUE"""),"Graeme McDowell")</f>
        <v>Graeme McDowell</v>
      </c>
      <c r="D47">
        <f ca="1">IFERROR(__xludf.DUMMYFUNCTION("""COMPUTED_VALUE"""),8)</f>
        <v>8</v>
      </c>
      <c r="E47">
        <f ca="1">IFERROR(__xludf.DUMMYFUNCTION("""COMPUTED_VALUE"""),0.418)</f>
        <v>0.41799999999999998</v>
      </c>
      <c r="F47">
        <f ca="1">IFERROR(__xludf.DUMMYFUNCTION("""COMPUTED_VALUE"""),2.51)</f>
        <v>2.5099999999999998</v>
      </c>
      <c r="G47">
        <f ca="1">IFERROR(__xludf.DUMMYFUNCTION("""COMPUTED_VALUE"""),6)</f>
        <v>6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IFERROR(__xludf.DUMMYFUNCTION("""COMPUTED_VALUE"""),48)</f>
        <v>48</v>
      </c>
      <c r="C48" t="str">
        <f ca="1">IFERROR(__xludf.DUMMYFUNCTION("""COMPUTED_VALUE"""),"Anirban Lahiri")</f>
        <v>Anirban Lahiri</v>
      </c>
      <c r="D48">
        <f ca="1">IFERROR(__xludf.DUMMYFUNCTION("""COMPUTED_VALUE"""),16)</f>
        <v>16</v>
      </c>
      <c r="E48">
        <f ca="1">IFERROR(__xludf.DUMMYFUNCTION("""COMPUTED_VALUE"""),0.41)</f>
        <v>0.41</v>
      </c>
      <c r="F48">
        <f ca="1">IFERROR(__xludf.DUMMYFUNCTION("""COMPUTED_VALUE"""),3.282)</f>
        <v>3.282</v>
      </c>
      <c r="G48">
        <f ca="1">IFERROR(__xludf.DUMMYFUNCTION("""COMPUTED_VALUE"""),8)</f>
        <v>8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IFERROR(__xludf.DUMMYFUNCTION("""COMPUTED_VALUE"""),65)</f>
        <v>65</v>
      </c>
      <c r="C49" t="str">
        <f ca="1">IFERROR(__xludf.DUMMYFUNCTION("""COMPUTED_VALUE"""),"Robby Shelton")</f>
        <v>Robby Shelton</v>
      </c>
      <c r="D49">
        <f ca="1">IFERROR(__xludf.DUMMYFUNCTION("""COMPUTED_VALUE"""),14)</f>
        <v>14</v>
      </c>
      <c r="E49">
        <f ca="1">IFERROR(__xludf.DUMMYFUNCTION("""COMPUTED_VALUE"""),0.398)</f>
        <v>0.39800000000000002</v>
      </c>
      <c r="F49">
        <f ca="1">IFERROR(__xludf.DUMMYFUNCTION("""COMPUTED_VALUE"""),5.567)</f>
        <v>5.5670000000000002</v>
      </c>
      <c r="G49">
        <f ca="1">IFERROR(__xludf.DUMMYFUNCTION("""COMPUTED_VALUE"""),14)</f>
        <v>14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IFERROR(__xludf.DUMMYFUNCTION("""COMPUTED_VALUE"""),"T50")</f>
        <v>T50</v>
      </c>
      <c r="C50" t="str">
        <f ca="1">IFERROR(__xludf.DUMMYFUNCTION("""COMPUTED_VALUE"""),"Brad Kennedy")</f>
        <v>Brad Kennedy</v>
      </c>
      <c r="D50">
        <f ca="1">IFERROR(__xludf.DUMMYFUNCTION("""COMPUTED_VALUE"""),4)</f>
        <v>4</v>
      </c>
      <c r="E50">
        <f ca="1">IFERROR(__xludf.DUMMYFUNCTION("""COMPUTED_VALUE"""),0.397)</f>
        <v>0.39700000000000002</v>
      </c>
      <c r="F50">
        <f ca="1">IFERROR(__xludf.DUMMYFUNCTION("""COMPUTED_VALUE"""),1.586)</f>
        <v>1.5860000000000001</v>
      </c>
      <c r="G50">
        <f ca="1">IFERROR(__xludf.DUMMYFUNCTION("""COMPUTED_VALUE"""),4)</f>
        <v>4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IFERROR(__xludf.DUMMYFUNCTION("""COMPUTED_VALUE"""),53)</f>
        <v>53</v>
      </c>
      <c r="C51" t="str">
        <f ca="1">IFERROR(__xludf.DUMMYFUNCTION("""COMPUTED_VALUE"""),"Aaron Baddeley")</f>
        <v>Aaron Baddeley</v>
      </c>
      <c r="D51">
        <f ca="1">IFERROR(__xludf.DUMMYFUNCTION("""COMPUTED_VALUE"""),8)</f>
        <v>8</v>
      </c>
      <c r="E51">
        <f ca="1">IFERROR(__xludf.DUMMYFUNCTION("""COMPUTED_VALUE"""),0.387)</f>
        <v>0.38700000000000001</v>
      </c>
      <c r="F51">
        <f ca="1">IFERROR(__xludf.DUMMYFUNCTION("""COMPUTED_VALUE"""),1.547)</f>
        <v>1.5469999999999999</v>
      </c>
      <c r="G51">
        <f ca="1">IFERROR(__xludf.DUMMYFUNCTION("""COMPUTED_VALUE"""),4)</f>
        <v>4</v>
      </c>
    </row>
    <row r="52" spans="1:7" ht="12.75">
      <c r="A52" t="str">
        <f ca="1">IFERROR(__xludf.DUMMYFUNCTION("""COMPUTED_VALUE"""),"T51")</f>
        <v>T51</v>
      </c>
      <c r="B52">
        <f ca="1">IFERROR(__xludf.DUMMYFUNCTION("""COMPUTED_VALUE"""),54)</f>
        <v>54</v>
      </c>
      <c r="C52" t="str">
        <f ca="1">IFERROR(__xludf.DUMMYFUNCTION("""COMPUTED_VALUE"""),"Louis Oosthuizen")</f>
        <v>Louis Oosthuizen</v>
      </c>
      <c r="D52">
        <f ca="1">IFERROR(__xludf.DUMMYFUNCTION("""COMPUTED_VALUE"""),12)</f>
        <v>12</v>
      </c>
      <c r="E52">
        <f ca="1">IFERROR(__xludf.DUMMYFUNCTION("""COMPUTED_VALUE"""),0.378)</f>
        <v>0.378</v>
      </c>
      <c r="F52">
        <f ca="1">IFERROR(__xludf.DUMMYFUNCTION("""COMPUTED_VALUE"""),4.541)</f>
        <v>4.5410000000000004</v>
      </c>
      <c r="G52">
        <f ca="1">IFERROR(__xludf.DUMMYFUNCTION("""COMPUTED_VALUE"""),12)</f>
        <v>12</v>
      </c>
    </row>
    <row r="53" spans="1:7" ht="12.75">
      <c r="A53" t="str">
        <f ca="1">IFERROR(__xludf.DUMMYFUNCTION("""COMPUTED_VALUE"""),"T51")</f>
        <v>T51</v>
      </c>
      <c r="B53">
        <f ca="1">IFERROR(__xludf.DUMMYFUNCTION("""COMPUTED_VALUE"""),20)</f>
        <v>20</v>
      </c>
      <c r="C53" t="str">
        <f ca="1">IFERROR(__xludf.DUMMYFUNCTION("""COMPUTED_VALUE"""),"Camilo Villegas")</f>
        <v>Camilo Villegas</v>
      </c>
      <c r="D53">
        <f ca="1">IFERROR(__xludf.DUMMYFUNCTION("""COMPUTED_VALUE"""),14)</f>
        <v>14</v>
      </c>
      <c r="E53">
        <f ca="1">IFERROR(__xludf.DUMMYFUNCTION("""COMPUTED_VALUE"""),0.378)</f>
        <v>0.378</v>
      </c>
      <c r="F53">
        <f ca="1">IFERROR(__xludf.DUMMYFUNCTION("""COMPUTED_VALUE"""),3.777)</f>
        <v>3.7770000000000001</v>
      </c>
      <c r="G53">
        <f ca="1">IFERROR(__xludf.DUMMYFUNCTION("""COMPUTED_VALUE"""),10)</f>
        <v>10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IFERROR(__xludf.DUMMYFUNCTION("""COMPUTED_VALUE"""),76)</f>
        <v>76</v>
      </c>
      <c r="C54" t="str">
        <f ca="1">IFERROR(__xludf.DUMMYFUNCTION("""COMPUTED_VALUE"""),"Viktor Hovland")</f>
        <v>Viktor Hovland</v>
      </c>
      <c r="D54">
        <f ca="1">IFERROR(__xludf.DUMMYFUNCTION("""COMPUTED_VALUE"""),16)</f>
        <v>16</v>
      </c>
      <c r="E54">
        <f ca="1">IFERROR(__xludf.DUMMYFUNCTION("""COMPUTED_VALUE"""),0.376)</f>
        <v>0.376</v>
      </c>
      <c r="F54">
        <f ca="1">IFERROR(__xludf.DUMMYFUNCTION("""COMPUTED_VALUE"""),6.018)</f>
        <v>6.0179999999999998</v>
      </c>
      <c r="G54">
        <f ca="1">IFERROR(__xludf.DUMMYFUNCTION("""COMPUTED_VALUE"""),16)</f>
        <v>16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IFERROR(__xludf.DUMMYFUNCTION("""COMPUTED_VALUE"""),104)</f>
        <v>104</v>
      </c>
      <c r="C55" t="str">
        <f ca="1">IFERROR(__xludf.DUMMYFUNCTION("""COMPUTED_VALUE"""),"Carlos Ortiz")</f>
        <v>Carlos Ortiz</v>
      </c>
      <c r="D55">
        <f ca="1">IFERROR(__xludf.DUMMYFUNCTION("""COMPUTED_VALUE"""),20)</f>
        <v>20</v>
      </c>
      <c r="E55">
        <f ca="1">IFERROR(__xludf.DUMMYFUNCTION("""COMPUTED_VALUE"""),0.367)</f>
        <v>0.36699999999999999</v>
      </c>
      <c r="F55">
        <f ca="1">IFERROR(__xludf.DUMMYFUNCTION("""COMPUTED_VALUE"""),7.349)</f>
        <v>7.3490000000000002</v>
      </c>
      <c r="G55">
        <f ca="1">IFERROR(__xludf.DUMMYFUNCTION("""COMPUTED_VALUE"""),20)</f>
        <v>20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IFERROR(__xludf.DUMMYFUNCTION("""COMPUTED_VALUE"""),55)</f>
        <v>55</v>
      </c>
      <c r="C56" t="str">
        <f ca="1">IFERROR(__xludf.DUMMYFUNCTION("""COMPUTED_VALUE"""),"Kevin Na")</f>
        <v>Kevin Na</v>
      </c>
      <c r="D56">
        <f ca="1">IFERROR(__xludf.DUMMYFUNCTION("""COMPUTED_VALUE"""),14)</f>
        <v>14</v>
      </c>
      <c r="E56">
        <f ca="1">IFERROR(__xludf.DUMMYFUNCTION("""COMPUTED_VALUE"""),0.363)</f>
        <v>0.36299999999999999</v>
      </c>
      <c r="F56">
        <f ca="1">IFERROR(__xludf.DUMMYFUNCTION("""COMPUTED_VALUE"""),5.087)</f>
        <v>5.0869999999999997</v>
      </c>
      <c r="G56">
        <f ca="1">IFERROR(__xludf.DUMMYFUNCTION("""COMPUTED_VALUE"""),14)</f>
        <v>14</v>
      </c>
    </row>
    <row r="57" spans="1:7" ht="12.75">
      <c r="A57">
        <f ca="1">IFERROR(__xludf.DUMMYFUNCTION("""COMPUTED_VALUE"""),56)</f>
        <v>56</v>
      </c>
      <c r="B57" t="str">
        <f ca="1">IFERROR(__xludf.DUMMYFUNCTION("""COMPUTED_VALUE"""),"T50")</f>
        <v>T50</v>
      </c>
      <c r="C57" t="str">
        <f ca="1">IFERROR(__xludf.DUMMYFUNCTION("""COMPUTED_VALUE"""),"Stewart Cink")</f>
        <v>Stewart Cink</v>
      </c>
      <c r="D57">
        <f ca="1">IFERROR(__xludf.DUMMYFUNCTION("""COMPUTED_VALUE"""),18)</f>
        <v>18</v>
      </c>
      <c r="E57">
        <f ca="1">IFERROR(__xludf.DUMMYFUNCTION("""COMPUTED_VALUE"""),0.349)</f>
        <v>0.34899999999999998</v>
      </c>
      <c r="F57">
        <f ca="1">IFERROR(__xludf.DUMMYFUNCTION("""COMPUTED_VALUE"""),4.889)</f>
        <v>4.8890000000000002</v>
      </c>
      <c r="G57">
        <f ca="1">IFERROR(__xludf.DUMMYFUNCTION("""COMPUTED_VALUE"""),14)</f>
        <v>14</v>
      </c>
    </row>
    <row r="58" spans="1:7" ht="12.75">
      <c r="A58" t="str">
        <f ca="1">IFERROR(__xludf.DUMMYFUNCTION("""COMPUTED_VALUE"""),"T57")</f>
        <v>T57</v>
      </c>
      <c r="B58">
        <f ca="1">IFERROR(__xludf.DUMMYFUNCTION("""COMPUTED_VALUE"""),57)</f>
        <v>57</v>
      </c>
      <c r="C58" t="str">
        <f ca="1">IFERROR(__xludf.DUMMYFUNCTION("""COMPUTED_VALUE"""),"Ryo Ishikawa")</f>
        <v>Ryo Ishikawa</v>
      </c>
      <c r="D58">
        <f ca="1">IFERROR(__xludf.DUMMYFUNCTION("""COMPUTED_VALUE"""),8)</f>
        <v>8</v>
      </c>
      <c r="E58">
        <f ca="1">IFERROR(__xludf.DUMMYFUNCTION("""COMPUTED_VALUE"""),0.347)</f>
        <v>0.34699999999999998</v>
      </c>
      <c r="F58">
        <f ca="1">IFERROR(__xludf.DUMMYFUNCTION("""COMPUTED_VALUE"""),2.779)</f>
        <v>2.7789999999999999</v>
      </c>
      <c r="G58">
        <f ca="1">IFERROR(__xludf.DUMMYFUNCTION("""COMPUTED_VALUE"""),8)</f>
        <v>8</v>
      </c>
    </row>
    <row r="59" spans="1:7" ht="12.75">
      <c r="A59" t="str">
        <f ca="1">IFERROR(__xludf.DUMMYFUNCTION("""COMPUTED_VALUE"""),"T57")</f>
        <v>T57</v>
      </c>
      <c r="B59" t="str">
        <f ca="1">IFERROR(__xludf.DUMMYFUNCTION("""COMPUTED_VALUE"""),"T73")</f>
        <v>T73</v>
      </c>
      <c r="C59" t="str">
        <f ca="1">IFERROR(__xludf.DUMMYFUNCTION("""COMPUTED_VALUE"""),"Aaron Wise")</f>
        <v>Aaron Wise</v>
      </c>
      <c r="D59">
        <f ca="1">IFERROR(__xludf.DUMMYFUNCTION("""COMPUTED_VALUE"""),16)</f>
        <v>16</v>
      </c>
      <c r="E59">
        <f ca="1">IFERROR(__xludf.DUMMYFUNCTION("""COMPUTED_VALUE"""),0.347)</f>
        <v>0.34699999999999998</v>
      </c>
      <c r="F59">
        <f ca="1">IFERROR(__xludf.DUMMYFUNCTION("""COMPUTED_VALUE"""),4.163)</f>
        <v>4.1630000000000003</v>
      </c>
      <c r="G59">
        <f ca="1">IFERROR(__xludf.DUMMYFUNCTION("""COMPUTED_VALUE"""),12)</f>
        <v>12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IFERROR(__xludf.DUMMYFUNCTION("""COMPUTED_VALUE"""),"T58")</f>
        <v>T58</v>
      </c>
      <c r="C60" t="str">
        <f ca="1">IFERROR(__xludf.DUMMYFUNCTION("""COMPUTED_VALUE"""),"Bubba Watson")</f>
        <v>Bubba Watson</v>
      </c>
      <c r="D60">
        <f ca="1">IFERROR(__xludf.DUMMYFUNCTION("""COMPUTED_VALUE"""),12)</f>
        <v>12</v>
      </c>
      <c r="E60">
        <f ca="1">IFERROR(__xludf.DUMMYFUNCTION("""COMPUTED_VALUE"""),0.345)</f>
        <v>0.34499999999999997</v>
      </c>
      <c r="F60">
        <f ca="1">IFERROR(__xludf.DUMMYFUNCTION("""COMPUTED_VALUE"""),4.145)</f>
        <v>4.1449999999999996</v>
      </c>
      <c r="G60">
        <f ca="1">IFERROR(__xludf.DUMMYFUNCTION("""COMPUTED_VALUE"""),12)</f>
        <v>12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IFERROR(__xludf.DUMMYFUNCTION("""COMPUTED_VALUE"""),56)</f>
        <v>56</v>
      </c>
      <c r="C61" t="str">
        <f ca="1">IFERROR(__xludf.DUMMYFUNCTION("""COMPUTED_VALUE"""),"Tony Finau")</f>
        <v>Tony Finau</v>
      </c>
      <c r="D61">
        <f ca="1">IFERROR(__xludf.DUMMYFUNCTION("""COMPUTED_VALUE"""),12)</f>
        <v>12</v>
      </c>
      <c r="E61">
        <f ca="1">IFERROR(__xludf.DUMMYFUNCTION("""COMPUTED_VALUE"""),0.338)</f>
        <v>0.33800000000000002</v>
      </c>
      <c r="F61">
        <f ca="1">IFERROR(__xludf.DUMMYFUNCTION("""COMPUTED_VALUE"""),4.06)</f>
        <v>4.0599999999999996</v>
      </c>
      <c r="G61">
        <f ca="1">IFERROR(__xludf.DUMMYFUNCTION("""COMPUTED_VALUE"""),12)</f>
        <v>12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IFERROR(__xludf.DUMMYFUNCTION("""COMPUTED_VALUE"""),61)</f>
        <v>61</v>
      </c>
      <c r="C62" t="str">
        <f ca="1">IFERROR(__xludf.DUMMYFUNCTION("""COMPUTED_VALUE"""),"Bill Haas")</f>
        <v>Bill Haas</v>
      </c>
      <c r="D62">
        <f ca="1">IFERROR(__xludf.DUMMYFUNCTION("""COMPUTED_VALUE"""),10)</f>
        <v>10</v>
      </c>
      <c r="E62">
        <f ca="1">IFERROR(__xludf.DUMMYFUNCTION("""COMPUTED_VALUE"""),0.33)</f>
        <v>0.33</v>
      </c>
      <c r="F62">
        <f ca="1">IFERROR(__xludf.DUMMYFUNCTION("""COMPUTED_VALUE"""),1.977)</f>
        <v>1.9770000000000001</v>
      </c>
      <c r="G62">
        <f ca="1">IFERROR(__xludf.DUMMYFUNCTION("""COMPUTED_VALUE"""),6)</f>
        <v>6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IFERROR(__xludf.DUMMYFUNCTION("""COMPUTED_VALUE"""),62)</f>
        <v>62</v>
      </c>
      <c r="C63" t="str">
        <f ca="1">IFERROR(__xludf.DUMMYFUNCTION("""COMPUTED_VALUE"""),"D.J. Trahan")</f>
        <v>D.J. Trahan</v>
      </c>
      <c r="D63">
        <f ca="1">IFERROR(__xludf.DUMMYFUNCTION("""COMPUTED_VALUE"""),16)</f>
        <v>16</v>
      </c>
      <c r="E63">
        <f ca="1">IFERROR(__xludf.DUMMYFUNCTION("""COMPUTED_VALUE"""),0.328)</f>
        <v>0.32800000000000001</v>
      </c>
      <c r="F63">
        <f ca="1">IFERROR(__xludf.DUMMYFUNCTION("""COMPUTED_VALUE"""),2.624)</f>
        <v>2.6240000000000001</v>
      </c>
      <c r="G63">
        <f ca="1">IFERROR(__xludf.DUMMYFUNCTION("""COMPUTED_VALUE"""),8)</f>
        <v>8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IFERROR(__xludf.DUMMYFUNCTION("""COMPUTED_VALUE"""),80)</f>
        <v>80</v>
      </c>
      <c r="C64" t="str">
        <f ca="1">IFERROR(__xludf.DUMMYFUNCTION("""COMPUTED_VALUE"""),"Dylan Frittelli")</f>
        <v>Dylan Frittelli</v>
      </c>
      <c r="D64">
        <f ca="1">IFERROR(__xludf.DUMMYFUNCTION("""COMPUTED_VALUE"""),16)</f>
        <v>16</v>
      </c>
      <c r="E64">
        <f ca="1">IFERROR(__xludf.DUMMYFUNCTION("""COMPUTED_VALUE"""),0.326)</f>
        <v>0.32600000000000001</v>
      </c>
      <c r="F64">
        <f ca="1">IFERROR(__xludf.DUMMYFUNCTION("""COMPUTED_VALUE"""),5.212)</f>
        <v>5.2119999999999997</v>
      </c>
      <c r="G64">
        <f ca="1">IFERROR(__xludf.DUMMYFUNCTION("""COMPUTED_VALUE"""),16)</f>
        <v>16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IFERROR(__xludf.DUMMYFUNCTION("""COMPUTED_VALUE"""),63)</f>
        <v>63</v>
      </c>
      <c r="C65" t="str">
        <f ca="1">IFERROR(__xludf.DUMMYFUNCTION("""COMPUTED_VALUE"""),"Roger Sloan")</f>
        <v>Roger Sloan</v>
      </c>
      <c r="D65">
        <f ca="1">IFERROR(__xludf.DUMMYFUNCTION("""COMPUTED_VALUE"""),12)</f>
        <v>12</v>
      </c>
      <c r="E65">
        <f ca="1">IFERROR(__xludf.DUMMYFUNCTION("""COMPUTED_VALUE"""),0.32)</f>
        <v>0.32</v>
      </c>
      <c r="F65">
        <f ca="1">IFERROR(__xludf.DUMMYFUNCTION("""COMPUTED_VALUE"""),1.917)</f>
        <v>1.917</v>
      </c>
      <c r="G65">
        <f ca="1">IFERROR(__xludf.DUMMYFUNCTION("""COMPUTED_VALUE"""),6)</f>
        <v>6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IFERROR(__xludf.DUMMYFUNCTION("""COMPUTED_VALUE"""),119)</f>
        <v>119</v>
      </c>
      <c r="C66" t="str">
        <f ca="1">IFERROR(__xludf.DUMMYFUNCTION("""COMPUTED_VALUE"""),"D.A. Points")</f>
        <v>D.A. Points</v>
      </c>
      <c r="D66">
        <f ca="1">IFERROR(__xludf.DUMMYFUNCTION("""COMPUTED_VALUE"""),12)</f>
        <v>12</v>
      </c>
      <c r="E66">
        <f ca="1">IFERROR(__xludf.DUMMYFUNCTION("""COMPUTED_VALUE"""),0.311)</f>
        <v>0.311</v>
      </c>
      <c r="F66">
        <f ca="1">IFERROR(__xludf.DUMMYFUNCTION("""COMPUTED_VALUE"""),2.49)</f>
        <v>2.4900000000000002</v>
      </c>
      <c r="G66">
        <f ca="1">IFERROR(__xludf.DUMMYFUNCTION("""COMPUTED_VALUE"""),8)</f>
        <v>8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IFERROR(__xludf.DUMMYFUNCTION("""COMPUTED_VALUE"""),49)</f>
        <v>49</v>
      </c>
      <c r="C67" t="str">
        <f ca="1">IFERROR(__xludf.DUMMYFUNCTION("""COMPUTED_VALUE"""),"Kevin Tway")</f>
        <v>Kevin Tway</v>
      </c>
      <c r="D67">
        <f ca="1">IFERROR(__xludf.DUMMYFUNCTION("""COMPUTED_VALUE"""),16)</f>
        <v>16</v>
      </c>
      <c r="E67">
        <f ca="1">IFERROR(__xludf.DUMMYFUNCTION("""COMPUTED_VALUE"""),0.304)</f>
        <v>0.30399999999999999</v>
      </c>
      <c r="F67">
        <f ca="1">IFERROR(__xludf.DUMMYFUNCTION("""COMPUTED_VALUE"""),2.434)</f>
        <v>2.4340000000000002</v>
      </c>
      <c r="G67">
        <f ca="1">IFERROR(__xludf.DUMMYFUNCTION("""COMPUTED_VALUE"""),8)</f>
        <v>8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IFERROR(__xludf.DUMMYFUNCTION("""COMPUTED_VALUE"""),64)</f>
        <v>64</v>
      </c>
      <c r="C68" t="str">
        <f ca="1">IFERROR(__xludf.DUMMYFUNCTION("""COMPUTED_VALUE"""),"Mackenzie Hughes")</f>
        <v>Mackenzie Hughes</v>
      </c>
      <c r="D68">
        <f ca="1">IFERROR(__xludf.DUMMYFUNCTION("""COMPUTED_VALUE"""),18)</f>
        <v>18</v>
      </c>
      <c r="E68">
        <f ca="1">IFERROR(__xludf.DUMMYFUNCTION("""COMPUTED_VALUE"""),0.296)</f>
        <v>0.29599999999999999</v>
      </c>
      <c r="F68">
        <f ca="1">IFERROR(__xludf.DUMMYFUNCTION("""COMPUTED_VALUE"""),4.151)</f>
        <v>4.1509999999999998</v>
      </c>
      <c r="G68">
        <f ca="1">IFERROR(__xludf.DUMMYFUNCTION("""COMPUTED_VALUE"""),14)</f>
        <v>14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IFERROR(__xludf.DUMMYFUNCTION("""COMPUTED_VALUE"""),67)</f>
        <v>67</v>
      </c>
      <c r="C69" t="str">
        <f ca="1">IFERROR(__xludf.DUMMYFUNCTION("""COMPUTED_VALUE"""),"Mark Anderson")</f>
        <v>Mark Anderson</v>
      </c>
      <c r="D69">
        <f ca="1">IFERROR(__xludf.DUMMYFUNCTION("""COMPUTED_VALUE"""),14)</f>
        <v>14</v>
      </c>
      <c r="E69">
        <f ca="1">IFERROR(__xludf.DUMMYFUNCTION("""COMPUTED_VALUE"""),0.292)</f>
        <v>0.29199999999999998</v>
      </c>
      <c r="F69">
        <f ca="1">IFERROR(__xludf.DUMMYFUNCTION("""COMPUTED_VALUE"""),1.751)</f>
        <v>1.7509999999999999</v>
      </c>
      <c r="G69">
        <f ca="1">IFERROR(__xludf.DUMMYFUNCTION("""COMPUTED_VALUE"""),6)</f>
        <v>6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IFERROR(__xludf.DUMMYFUNCTION("""COMPUTED_VALUE"""),68)</f>
        <v>68</v>
      </c>
      <c r="C70" t="str">
        <f ca="1">IFERROR(__xludf.DUMMYFUNCTION("""COMPUTED_VALUE"""),"Tommy Fleetwood")</f>
        <v>Tommy Fleetwood</v>
      </c>
      <c r="D70">
        <f ca="1">IFERROR(__xludf.DUMMYFUNCTION("""COMPUTED_VALUE"""),10)</f>
        <v>10</v>
      </c>
      <c r="E70">
        <f ca="1">IFERROR(__xludf.DUMMYFUNCTION("""COMPUTED_VALUE"""),0.287)</f>
        <v>0.28699999999999998</v>
      </c>
      <c r="F70">
        <f ca="1">IFERROR(__xludf.DUMMYFUNCTION("""COMPUTED_VALUE"""),2.872)</f>
        <v>2.8719999999999999</v>
      </c>
      <c r="G70">
        <f ca="1">IFERROR(__xludf.DUMMYFUNCTION("""COMPUTED_VALUE"""),10)</f>
        <v>10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IFERROR(__xludf.DUMMYFUNCTION("""COMPUTED_VALUE"""),70)</f>
        <v>70</v>
      </c>
      <c r="C71" t="str">
        <f ca="1">IFERROR(__xludf.DUMMYFUNCTION("""COMPUTED_VALUE"""),"Sebastián Muñoz")</f>
        <v>Sebastián Muñoz</v>
      </c>
      <c r="D71">
        <f ca="1">IFERROR(__xludf.DUMMYFUNCTION("""COMPUTED_VALUE"""),20)</f>
        <v>20</v>
      </c>
      <c r="E71">
        <f ca="1">IFERROR(__xludf.DUMMYFUNCTION("""COMPUTED_VALUE"""),0.278)</f>
        <v>0.27800000000000002</v>
      </c>
      <c r="F71">
        <f ca="1">IFERROR(__xludf.DUMMYFUNCTION("""COMPUTED_VALUE"""),5.55)</f>
        <v>5.55</v>
      </c>
      <c r="G71">
        <f ca="1">IFERROR(__xludf.DUMMYFUNCTION("""COMPUTED_VALUE"""),20)</f>
        <v>20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IFERROR(__xludf.DUMMYFUNCTION("""COMPUTED_VALUE"""),84)</f>
        <v>84</v>
      </c>
      <c r="C72" t="str">
        <f ca="1">IFERROR(__xludf.DUMMYFUNCTION("""COMPUTED_VALUE"""),"Denny McCarthy")</f>
        <v>Denny McCarthy</v>
      </c>
      <c r="D72">
        <f ca="1">IFERROR(__xludf.DUMMYFUNCTION("""COMPUTED_VALUE"""),22)</f>
        <v>22</v>
      </c>
      <c r="E72">
        <f ca="1">IFERROR(__xludf.DUMMYFUNCTION("""COMPUTED_VALUE"""),0.273)</f>
        <v>0.27300000000000002</v>
      </c>
      <c r="F72">
        <f ca="1">IFERROR(__xludf.DUMMYFUNCTION("""COMPUTED_VALUE"""),3.821)</f>
        <v>3.8210000000000002</v>
      </c>
      <c r="G72">
        <f ca="1">IFERROR(__xludf.DUMMYFUNCTION("""COMPUTED_VALUE"""),14)</f>
        <v>14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IFERROR(__xludf.DUMMYFUNCTION("""COMPUTED_VALUE"""),164)</f>
        <v>164</v>
      </c>
      <c r="C73" t="str">
        <f ca="1">IFERROR(__xludf.DUMMYFUNCTION("""COMPUTED_VALUE"""),"Lucas Glover")</f>
        <v>Lucas Glover</v>
      </c>
      <c r="D73">
        <f ca="1">IFERROR(__xludf.DUMMYFUNCTION("""COMPUTED_VALUE"""),12)</f>
        <v>12</v>
      </c>
      <c r="E73">
        <f ca="1">IFERROR(__xludf.DUMMYFUNCTION("""COMPUTED_VALUE"""),0.27)</f>
        <v>0.27</v>
      </c>
      <c r="F73">
        <f ca="1">IFERROR(__xludf.DUMMYFUNCTION("""COMPUTED_VALUE"""),3.235)</f>
        <v>3.2349999999999999</v>
      </c>
      <c r="G73">
        <f ca="1">IFERROR(__xludf.DUMMYFUNCTION("""COMPUTED_VALUE"""),12)</f>
        <v>12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IFERROR(__xludf.DUMMYFUNCTION("""COMPUTED_VALUE"""),72)</f>
        <v>72</v>
      </c>
      <c r="C74" t="str">
        <f ca="1">IFERROR(__xludf.DUMMYFUNCTION("""COMPUTED_VALUE"""),"Lucas Herbert")</f>
        <v>Lucas Herbert</v>
      </c>
      <c r="D74">
        <f ca="1">IFERROR(__xludf.DUMMYFUNCTION("""COMPUTED_VALUE"""),4)</f>
        <v>4</v>
      </c>
      <c r="E74">
        <f ca="1">IFERROR(__xludf.DUMMYFUNCTION("""COMPUTED_VALUE"""),0.267)</f>
        <v>0.26700000000000002</v>
      </c>
      <c r="F74">
        <f ca="1">IFERROR(__xludf.DUMMYFUNCTION("""COMPUTED_VALUE"""),1.066)</f>
        <v>1.0660000000000001</v>
      </c>
      <c r="G74">
        <f ca="1">IFERROR(__xludf.DUMMYFUNCTION("""COMPUTED_VALUE"""),4)</f>
        <v>4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IFERROR(__xludf.DUMMYFUNCTION("""COMPUTED_VALUE"""),"T73")</f>
        <v>T73</v>
      </c>
      <c r="C75" t="str">
        <f ca="1">IFERROR(__xludf.DUMMYFUNCTION("""COMPUTED_VALUE"""),"Ricky Barnes")</f>
        <v>Ricky Barnes</v>
      </c>
      <c r="D75">
        <f ca="1">IFERROR(__xludf.DUMMYFUNCTION("""COMPUTED_VALUE"""),12)</f>
        <v>12</v>
      </c>
      <c r="E75">
        <f ca="1">IFERROR(__xludf.DUMMYFUNCTION("""COMPUTED_VALUE"""),0.259)</f>
        <v>0.25900000000000001</v>
      </c>
      <c r="F75">
        <f ca="1">IFERROR(__xludf.DUMMYFUNCTION("""COMPUTED_VALUE"""),1.035)</f>
        <v>1.0349999999999999</v>
      </c>
      <c r="G75">
        <f ca="1">IFERROR(__xludf.DUMMYFUNCTION("""COMPUTED_VALUE"""),4)</f>
        <v>4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IFERROR(__xludf.DUMMYFUNCTION("""COMPUTED_VALUE"""),75)</f>
        <v>75</v>
      </c>
      <c r="C76" t="str">
        <f ca="1">IFERROR(__xludf.DUMMYFUNCTION("""COMPUTED_VALUE"""),"Abraham Ancer")</f>
        <v>Abraham Ancer</v>
      </c>
      <c r="D76">
        <f ca="1">IFERROR(__xludf.DUMMYFUNCTION("""COMPUTED_VALUE"""),16)</f>
        <v>16</v>
      </c>
      <c r="E76">
        <f ca="1">IFERROR(__xludf.DUMMYFUNCTION("""COMPUTED_VALUE"""),0.256)</f>
        <v>0.25600000000000001</v>
      </c>
      <c r="F76">
        <f ca="1">IFERROR(__xludf.DUMMYFUNCTION("""COMPUTED_VALUE"""),4.097)</f>
        <v>4.0970000000000004</v>
      </c>
      <c r="G76">
        <f ca="1">IFERROR(__xludf.DUMMYFUNCTION("""COMPUTED_VALUE"""),16)</f>
        <v>16</v>
      </c>
    </row>
    <row r="77" spans="1:7" ht="12.75">
      <c r="A77">
        <f ca="1">IFERROR(__xludf.DUMMYFUNCTION("""COMPUTED_VALUE"""),76)</f>
        <v>76</v>
      </c>
      <c r="B77" t="str">
        <f ca="1">IFERROR(__xludf.DUMMYFUNCTION("""COMPUTED_VALUE"""),"T128")</f>
        <v>T128</v>
      </c>
      <c r="C77" t="str">
        <f ca="1">IFERROR(__xludf.DUMMYFUNCTION("""COMPUTED_VALUE"""),"Brian Stuard")</f>
        <v>Brian Stuard</v>
      </c>
      <c r="D77">
        <f ca="1">IFERROR(__xludf.DUMMYFUNCTION("""COMPUTED_VALUE"""),18)</f>
        <v>18</v>
      </c>
      <c r="E77">
        <f ca="1">IFERROR(__xludf.DUMMYFUNCTION("""COMPUTED_VALUE"""),0.253)</f>
        <v>0.253</v>
      </c>
      <c r="F77">
        <f ca="1">IFERROR(__xludf.DUMMYFUNCTION("""COMPUTED_VALUE"""),3.032)</f>
        <v>3.032</v>
      </c>
      <c r="G77">
        <f ca="1">IFERROR(__xludf.DUMMYFUNCTION("""COMPUTED_VALUE"""),12)</f>
        <v>12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IFERROR(__xludf.DUMMYFUNCTION("""COMPUTED_VALUE"""),10)</f>
        <v>10</v>
      </c>
      <c r="C78" t="str">
        <f ca="1">IFERROR(__xludf.DUMMYFUNCTION("""COMPUTED_VALUE"""),"Lee Westwood")</f>
        <v>Lee Westwood</v>
      </c>
      <c r="D78">
        <f ca="1">IFERROR(__xludf.DUMMYFUNCTION("""COMPUTED_VALUE"""),6)</f>
        <v>6</v>
      </c>
      <c r="E78">
        <f ca="1">IFERROR(__xludf.DUMMYFUNCTION("""COMPUTED_VALUE"""),0.244)</f>
        <v>0.24399999999999999</v>
      </c>
      <c r="F78">
        <f ca="1">IFERROR(__xludf.DUMMYFUNCTION("""COMPUTED_VALUE"""),1.464)</f>
        <v>1.464</v>
      </c>
      <c r="G78">
        <f ca="1">IFERROR(__xludf.DUMMYFUNCTION("""COMPUTED_VALUE"""),6)</f>
        <v>6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IFERROR(__xludf.DUMMYFUNCTION("""COMPUTED_VALUE"""),77)</f>
        <v>77</v>
      </c>
      <c r="C79" t="str">
        <f ca="1">IFERROR(__xludf.DUMMYFUNCTION("""COMPUTED_VALUE"""),"Gary Woodland")</f>
        <v>Gary Woodland</v>
      </c>
      <c r="D79">
        <f ca="1">IFERROR(__xludf.DUMMYFUNCTION("""COMPUTED_VALUE"""),6)</f>
        <v>6</v>
      </c>
      <c r="E79">
        <f ca="1">IFERROR(__xludf.DUMMYFUNCTION("""COMPUTED_VALUE"""),0.241)</f>
        <v>0.24099999999999999</v>
      </c>
      <c r="F79">
        <f ca="1">IFERROR(__xludf.DUMMYFUNCTION("""COMPUTED_VALUE"""),1.445)</f>
        <v>1.4450000000000001</v>
      </c>
      <c r="G79">
        <f ca="1">IFERROR(__xludf.DUMMYFUNCTION("""COMPUTED_VALUE"""),6)</f>
        <v>6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IFERROR(__xludf.DUMMYFUNCTION("""COMPUTED_VALUE"""),78)</f>
        <v>78</v>
      </c>
      <c r="C80" t="str">
        <f ca="1">IFERROR(__xludf.DUMMYFUNCTION("""COMPUTED_VALUE"""),"Vincent Whaley")</f>
        <v>Vincent Whaley</v>
      </c>
      <c r="D80">
        <f ca="1">IFERROR(__xludf.DUMMYFUNCTION("""COMPUTED_VALUE"""),14)</f>
        <v>14</v>
      </c>
      <c r="E80">
        <f ca="1">IFERROR(__xludf.DUMMYFUNCTION("""COMPUTED_VALUE"""),0.239)</f>
        <v>0.23899999999999999</v>
      </c>
      <c r="F80">
        <f ca="1">IFERROR(__xludf.DUMMYFUNCTION("""COMPUTED_VALUE"""),1.91)</f>
        <v>1.91</v>
      </c>
      <c r="G80">
        <f ca="1">IFERROR(__xludf.DUMMYFUNCTION("""COMPUTED_VALUE"""),8)</f>
        <v>8</v>
      </c>
    </row>
    <row r="81" spans="1:7" ht="12.75">
      <c r="A81">
        <f ca="1">IFERROR(__xludf.DUMMYFUNCTION("""COMPUTED_VALUE"""),80)</f>
        <v>80</v>
      </c>
      <c r="B81">
        <f ca="1">IFERROR(__xludf.DUMMYFUNCTION("""COMPUTED_VALUE"""),79)</f>
        <v>79</v>
      </c>
      <c r="C81" t="str">
        <f ca="1">IFERROR(__xludf.DUMMYFUNCTION("""COMPUTED_VALUE"""),"Russell Henley")</f>
        <v>Russell Henley</v>
      </c>
      <c r="D81">
        <f ca="1">IFERROR(__xludf.DUMMYFUNCTION("""COMPUTED_VALUE"""),16)</f>
        <v>16</v>
      </c>
      <c r="E81">
        <f ca="1">IFERROR(__xludf.DUMMYFUNCTION("""COMPUTED_VALUE"""),0.235)</f>
        <v>0.23499999999999999</v>
      </c>
      <c r="F81">
        <f ca="1">IFERROR(__xludf.DUMMYFUNCTION("""COMPUTED_VALUE"""),3.766)</f>
        <v>3.766</v>
      </c>
      <c r="G81">
        <f ca="1">IFERROR(__xludf.DUMMYFUNCTION("""COMPUTED_VALUE"""),16)</f>
        <v>16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IFERROR(__xludf.DUMMYFUNCTION("""COMPUTED_VALUE"""),37)</f>
        <v>37</v>
      </c>
      <c r="C82" t="str">
        <f ca="1">IFERROR(__xludf.DUMMYFUNCTION("""COMPUTED_VALUE"""),"Wyndham Clark")</f>
        <v>Wyndham Clark</v>
      </c>
      <c r="D82">
        <f ca="1">IFERROR(__xludf.DUMMYFUNCTION("""COMPUTED_VALUE"""),16)</f>
        <v>16</v>
      </c>
      <c r="E82">
        <f ca="1">IFERROR(__xludf.DUMMYFUNCTION("""COMPUTED_VALUE"""),0.231)</f>
        <v>0.23100000000000001</v>
      </c>
      <c r="F82">
        <f ca="1">IFERROR(__xludf.DUMMYFUNCTION("""COMPUTED_VALUE"""),2.77)</f>
        <v>2.77</v>
      </c>
      <c r="G82">
        <f ca="1">IFERROR(__xludf.DUMMYFUNCTION("""COMPUTED_VALUE"""),12)</f>
        <v>12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IFERROR(__xludf.DUMMYFUNCTION("""COMPUTED_VALUE"""),133)</f>
        <v>133</v>
      </c>
      <c r="C83" t="str">
        <f ca="1">IFERROR(__xludf.DUMMYFUNCTION("""COMPUTED_VALUE"""),"Russell Knox")</f>
        <v>Russell Knox</v>
      </c>
      <c r="D83">
        <f ca="1">IFERROR(__xludf.DUMMYFUNCTION("""COMPUTED_VALUE"""),16)</f>
        <v>16</v>
      </c>
      <c r="E83">
        <f ca="1">IFERROR(__xludf.DUMMYFUNCTION("""COMPUTED_VALUE"""),0.214)</f>
        <v>0.214</v>
      </c>
      <c r="F83">
        <f ca="1">IFERROR(__xludf.DUMMYFUNCTION("""COMPUTED_VALUE"""),2.57)</f>
        <v>2.57</v>
      </c>
      <c r="G83">
        <f ca="1">IFERROR(__xludf.DUMMYFUNCTION("""COMPUTED_VALUE"""),12)</f>
        <v>12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IFERROR(__xludf.DUMMYFUNCTION("""COMPUTED_VALUE"""),102)</f>
        <v>102</v>
      </c>
      <c r="C84" t="str">
        <f ca="1">IFERROR(__xludf.DUMMYFUNCTION("""COMPUTED_VALUE"""),"Matt Jones")</f>
        <v>Matt Jones</v>
      </c>
      <c r="D84">
        <f ca="1">IFERROR(__xludf.DUMMYFUNCTION("""COMPUTED_VALUE"""),20)</f>
        <v>20</v>
      </c>
      <c r="E84">
        <f ca="1">IFERROR(__xludf.DUMMYFUNCTION("""COMPUTED_VALUE"""),0.203)</f>
        <v>0.20300000000000001</v>
      </c>
      <c r="F84">
        <f ca="1">IFERROR(__xludf.DUMMYFUNCTION("""COMPUTED_VALUE"""),2.442)</f>
        <v>2.4420000000000002</v>
      </c>
      <c r="G84">
        <f ca="1">IFERROR(__xludf.DUMMYFUNCTION("""COMPUTED_VALUE"""),12)</f>
        <v>12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IFERROR(__xludf.DUMMYFUNCTION("""COMPUTED_VALUE"""),82)</f>
        <v>82</v>
      </c>
      <c r="C85" t="str">
        <f ca="1">IFERROR(__xludf.DUMMYFUNCTION("""COMPUTED_VALUE"""),"Matt Every")</f>
        <v>Matt Every</v>
      </c>
      <c r="D85">
        <f ca="1">IFERROR(__xludf.DUMMYFUNCTION("""COMPUTED_VALUE"""),8)</f>
        <v>8</v>
      </c>
      <c r="E85">
        <f ca="1">IFERROR(__xludf.DUMMYFUNCTION("""COMPUTED_VALUE"""),0.202)</f>
        <v>0.20200000000000001</v>
      </c>
      <c r="F85">
        <f ca="1">IFERROR(__xludf.DUMMYFUNCTION("""COMPUTED_VALUE"""),0.808)</f>
        <v>0.80800000000000005</v>
      </c>
      <c r="G85">
        <f ca="1">IFERROR(__xludf.DUMMYFUNCTION("""COMPUTED_VALUE"""),4)</f>
        <v>4</v>
      </c>
    </row>
    <row r="86" spans="1:7" ht="12.75">
      <c r="A86" t="str">
        <f ca="1">IFERROR(__xludf.DUMMYFUNCTION("""COMPUTED_VALUE"""),"T85")</f>
        <v>T85</v>
      </c>
      <c r="B86">
        <f ca="1">IFERROR(__xludf.DUMMYFUNCTION("""COMPUTED_VALUE"""),90)</f>
        <v>90</v>
      </c>
      <c r="C86" t="str">
        <f ca="1">IFERROR(__xludf.DUMMYFUNCTION("""COMPUTED_VALUE"""),"C.T. Pan")</f>
        <v>C.T. Pan</v>
      </c>
      <c r="D86">
        <f ca="1">IFERROR(__xludf.DUMMYFUNCTION("""COMPUTED_VALUE"""),20)</f>
        <v>20</v>
      </c>
      <c r="E86">
        <f ca="1">IFERROR(__xludf.DUMMYFUNCTION("""COMPUTED_VALUE"""),0.184)</f>
        <v>0.184</v>
      </c>
      <c r="F86">
        <f ca="1">IFERROR(__xludf.DUMMYFUNCTION("""COMPUTED_VALUE"""),2.94)</f>
        <v>2.94</v>
      </c>
      <c r="G86">
        <f ca="1">IFERROR(__xludf.DUMMYFUNCTION("""COMPUTED_VALUE"""),16)</f>
        <v>16</v>
      </c>
    </row>
    <row r="87" spans="1:7" ht="12.75">
      <c r="A87" t="str">
        <f ca="1">IFERROR(__xludf.DUMMYFUNCTION("""COMPUTED_VALUE"""),"T85")</f>
        <v>T85</v>
      </c>
      <c r="B87">
        <f ca="1">IFERROR(__xludf.DUMMYFUNCTION("""COMPUTED_VALUE"""),81)</f>
        <v>81</v>
      </c>
      <c r="C87" t="str">
        <f ca="1">IFERROR(__xludf.DUMMYFUNCTION("""COMPUTED_VALUE"""),"Maverick McNealy")</f>
        <v>Maverick McNealy</v>
      </c>
      <c r="D87">
        <f ca="1">IFERROR(__xludf.DUMMYFUNCTION("""COMPUTED_VALUE"""),16)</f>
        <v>16</v>
      </c>
      <c r="E87">
        <f ca="1">IFERROR(__xludf.DUMMYFUNCTION("""COMPUTED_VALUE"""),0.184)</f>
        <v>0.184</v>
      </c>
      <c r="F87">
        <f ca="1">IFERROR(__xludf.DUMMYFUNCTION("""COMPUTED_VALUE"""),2.208)</f>
        <v>2.2080000000000002</v>
      </c>
      <c r="G87">
        <f ca="1">IFERROR(__xludf.DUMMYFUNCTION("""COMPUTED_VALUE"""),12)</f>
        <v>12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IFERROR(__xludf.DUMMYFUNCTION("""COMPUTED_VALUE"""),33)</f>
        <v>33</v>
      </c>
      <c r="C88" t="str">
        <f ca="1">IFERROR(__xludf.DUMMYFUNCTION("""COMPUTED_VALUE"""),"Adam Schenk")</f>
        <v>Adam Schenk</v>
      </c>
      <c r="D88">
        <f ca="1">IFERROR(__xludf.DUMMYFUNCTION("""COMPUTED_VALUE"""),22)</f>
        <v>22</v>
      </c>
      <c r="E88">
        <f ca="1">IFERROR(__xludf.DUMMYFUNCTION("""COMPUTED_VALUE"""),0.183)</f>
        <v>0.183</v>
      </c>
      <c r="F88">
        <f ca="1">IFERROR(__xludf.DUMMYFUNCTION("""COMPUTED_VALUE"""),2.565)</f>
        <v>2.5649999999999999</v>
      </c>
      <c r="G88">
        <f ca="1">IFERROR(__xludf.DUMMYFUNCTION("""COMPUTED_VALUE"""),14)</f>
        <v>14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IFERROR(__xludf.DUMMYFUNCTION("""COMPUTED_VALUE"""),131)</f>
        <v>131</v>
      </c>
      <c r="C89" t="str">
        <f ca="1">IFERROR(__xludf.DUMMYFUNCTION("""COMPUTED_VALUE"""),"Scottie Scheffler")</f>
        <v>Scottie Scheffler</v>
      </c>
      <c r="D89">
        <f ca="1">IFERROR(__xludf.DUMMYFUNCTION("""COMPUTED_VALUE"""),18)</f>
        <v>18</v>
      </c>
      <c r="E89">
        <f ca="1">IFERROR(__xludf.DUMMYFUNCTION("""COMPUTED_VALUE"""),0.167)</f>
        <v>0.16700000000000001</v>
      </c>
      <c r="F89">
        <f ca="1">IFERROR(__xludf.DUMMYFUNCTION("""COMPUTED_VALUE"""),3.001)</f>
        <v>3.0009999999999999</v>
      </c>
      <c r="G89">
        <f ca="1">IFERROR(__xludf.DUMMYFUNCTION("""COMPUTED_VALUE"""),18)</f>
        <v>18</v>
      </c>
    </row>
    <row r="90" spans="1:7" ht="12.75">
      <c r="A90">
        <f ca="1">IFERROR(__xludf.DUMMYFUNCTION("""COMPUTED_VALUE"""),89)</f>
        <v>89</v>
      </c>
      <c r="B90" t="str">
        <f ca="1">IFERROR(__xludf.DUMMYFUNCTION("""COMPUTED_VALUE"""),"")</f>
        <v/>
      </c>
      <c r="C90" t="str">
        <f ca="1">IFERROR(__xludf.DUMMYFUNCTION("""COMPUTED_VALUE"""),"Greg Chalmers")</f>
        <v>Greg Chalmers</v>
      </c>
      <c r="D90">
        <f ca="1">IFERROR(__xludf.DUMMYFUNCTION("""COMPUTED_VALUE"""),6)</f>
        <v>6</v>
      </c>
      <c r="E90">
        <f ca="1">IFERROR(__xludf.DUMMYFUNCTION("""COMPUTED_VALUE"""),0.164)</f>
        <v>0.16400000000000001</v>
      </c>
      <c r="F90">
        <f ca="1">IFERROR(__xludf.DUMMYFUNCTION("""COMPUTED_VALUE"""),0.982)</f>
        <v>0.98199999999999998</v>
      </c>
      <c r="G90">
        <f ca="1">IFERROR(__xludf.DUMMYFUNCTION("""COMPUTED_VALUE"""),6)</f>
        <v>6</v>
      </c>
    </row>
    <row r="91" spans="1:7" ht="12.75">
      <c r="A91" t="str">
        <f ca="1">IFERROR(__xludf.DUMMYFUNCTION("""COMPUTED_VALUE"""),"T90")</f>
        <v>T90</v>
      </c>
      <c r="B91">
        <f ca="1">IFERROR(__xludf.DUMMYFUNCTION("""COMPUTED_VALUE"""),87)</f>
        <v>87</v>
      </c>
      <c r="C91" t="str">
        <f ca="1">IFERROR(__xludf.DUMMYFUNCTION("""COMPUTED_VALUE"""),"Seamus Power")</f>
        <v>Seamus Power</v>
      </c>
      <c r="D91">
        <f ca="1">IFERROR(__xludf.DUMMYFUNCTION("""COMPUTED_VALUE"""),8)</f>
        <v>8</v>
      </c>
      <c r="E91">
        <f ca="1">IFERROR(__xludf.DUMMYFUNCTION("""COMPUTED_VALUE"""),0.16)</f>
        <v>0.16</v>
      </c>
      <c r="F91">
        <f ca="1">IFERROR(__xludf.DUMMYFUNCTION("""COMPUTED_VALUE"""),0.32)</f>
        <v>0.32</v>
      </c>
      <c r="G91">
        <f ca="1">IFERROR(__xludf.DUMMYFUNCTION("""COMPUTED_VALUE"""),2)</f>
        <v>2</v>
      </c>
    </row>
    <row r="92" spans="1:7" ht="12.75">
      <c r="A92" t="str">
        <f ca="1">IFERROR(__xludf.DUMMYFUNCTION("""COMPUTED_VALUE"""),"T90")</f>
        <v>T90</v>
      </c>
      <c r="B92" t="str">
        <f ca="1">IFERROR(__xludf.DUMMYFUNCTION("""COMPUTED_VALUE"""),"T175")</f>
        <v>T175</v>
      </c>
      <c r="C92" t="str">
        <f ca="1">IFERROR(__xludf.DUMMYFUNCTION("""COMPUTED_VALUE"""),"Tom Lewis")</f>
        <v>Tom Lewis</v>
      </c>
      <c r="D92">
        <f ca="1">IFERROR(__xludf.DUMMYFUNCTION("""COMPUTED_VALUE"""),12)</f>
        <v>12</v>
      </c>
      <c r="E92">
        <f ca="1">IFERROR(__xludf.DUMMYFUNCTION("""COMPUTED_VALUE"""),0.16)</f>
        <v>0.16</v>
      </c>
      <c r="F92">
        <f ca="1">IFERROR(__xludf.DUMMYFUNCTION("""COMPUTED_VALUE"""),1.601)</f>
        <v>1.601</v>
      </c>
      <c r="G92">
        <f ca="1">IFERROR(__xludf.DUMMYFUNCTION("""COMPUTED_VALUE"""),10)</f>
        <v>10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IFERROR(__xludf.DUMMYFUNCTION("""COMPUTED_VALUE"""),123)</f>
        <v>123</v>
      </c>
      <c r="C93" t="str">
        <f ca="1">IFERROR(__xludf.DUMMYFUNCTION("""COMPUTED_VALUE"""),"Charl Schwartzel")</f>
        <v>Charl Schwartzel</v>
      </c>
      <c r="D93">
        <f ca="1">IFERROR(__xludf.DUMMYFUNCTION("""COMPUTED_VALUE"""),12)</f>
        <v>12</v>
      </c>
      <c r="E93">
        <f ca="1">IFERROR(__xludf.DUMMYFUNCTION("""COMPUTED_VALUE"""),0.159)</f>
        <v>0.159</v>
      </c>
      <c r="F93">
        <f ca="1">IFERROR(__xludf.DUMMYFUNCTION("""COMPUTED_VALUE"""),1.912)</f>
        <v>1.9119999999999999</v>
      </c>
      <c r="G93">
        <f ca="1">IFERROR(__xludf.DUMMYFUNCTION("""COMPUTED_VALUE"""),12)</f>
        <v>12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IFERROR(__xludf.DUMMYFUNCTION("""COMPUTED_VALUE"""),83)</f>
        <v>83</v>
      </c>
      <c r="C94" t="str">
        <f ca="1">IFERROR(__xludf.DUMMYFUNCTION("""COMPUTED_VALUE"""),"Alex Noren")</f>
        <v>Alex Noren</v>
      </c>
      <c r="D94">
        <f ca="1">IFERROR(__xludf.DUMMYFUNCTION("""COMPUTED_VALUE"""),14)</f>
        <v>14</v>
      </c>
      <c r="E94">
        <f ca="1">IFERROR(__xludf.DUMMYFUNCTION("""COMPUTED_VALUE"""),0.153)</f>
        <v>0.153</v>
      </c>
      <c r="F94">
        <f ca="1">IFERROR(__xludf.DUMMYFUNCTION("""COMPUTED_VALUE"""),2.145)</f>
        <v>2.145</v>
      </c>
      <c r="G94">
        <f ca="1">IFERROR(__xludf.DUMMYFUNCTION("""COMPUTED_VALUE"""),14)</f>
        <v>14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IFERROR(__xludf.DUMMYFUNCTION("""COMPUTED_VALUE"""),"T88")</f>
        <v>T88</v>
      </c>
      <c r="C95" t="str">
        <f ca="1">IFERROR(__xludf.DUMMYFUNCTION("""COMPUTED_VALUE"""),"Brendan Steele")</f>
        <v>Brendan Steele</v>
      </c>
      <c r="D95">
        <f ca="1">IFERROR(__xludf.DUMMYFUNCTION("""COMPUTED_VALUE"""),14)</f>
        <v>14</v>
      </c>
      <c r="E95">
        <f ca="1">IFERROR(__xludf.DUMMYFUNCTION("""COMPUTED_VALUE"""),0.152)</f>
        <v>0.152</v>
      </c>
      <c r="F95">
        <f ca="1">IFERROR(__xludf.DUMMYFUNCTION("""COMPUTED_VALUE"""),2.134)</f>
        <v>2.1339999999999999</v>
      </c>
      <c r="G95">
        <f ca="1">IFERROR(__xludf.DUMMYFUNCTION("""COMPUTED_VALUE"""),14)</f>
        <v>14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IFERROR(__xludf.DUMMYFUNCTION("""COMPUTED_VALUE"""),"T88")</f>
        <v>T88</v>
      </c>
      <c r="C96" t="str">
        <f ca="1">IFERROR(__xludf.DUMMYFUNCTION("""COMPUTED_VALUE"""),"Cameron Smith")</f>
        <v>Cameron Smith</v>
      </c>
      <c r="D96">
        <f ca="1">IFERROR(__xludf.DUMMYFUNCTION("""COMPUTED_VALUE"""),16)</f>
        <v>16</v>
      </c>
      <c r="E96">
        <f ca="1">IFERROR(__xludf.DUMMYFUNCTION("""COMPUTED_VALUE"""),0.152)</f>
        <v>0.152</v>
      </c>
      <c r="F96">
        <f ca="1">IFERROR(__xludf.DUMMYFUNCTION("""COMPUTED_VALUE"""),2.433)</f>
        <v>2.4329999999999998</v>
      </c>
      <c r="G96">
        <f ca="1">IFERROR(__xludf.DUMMYFUNCTION("""COMPUTED_VALUE"""),16)</f>
        <v>16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IFERROR(__xludf.DUMMYFUNCTION("""COMPUTED_VALUE"""),105)</f>
        <v>105</v>
      </c>
      <c r="C97" t="str">
        <f ca="1">IFERROR(__xludf.DUMMYFUNCTION("""COMPUTED_VALUE"""),"Mark Hubbard")</f>
        <v>Mark Hubbard</v>
      </c>
      <c r="D97">
        <f ca="1">IFERROR(__xludf.DUMMYFUNCTION("""COMPUTED_VALUE"""),20)</f>
        <v>20</v>
      </c>
      <c r="E97">
        <f ca="1">IFERROR(__xludf.DUMMYFUNCTION("""COMPUTED_VALUE"""),0.151)</f>
        <v>0.151</v>
      </c>
      <c r="F97">
        <f ca="1">IFERROR(__xludf.DUMMYFUNCTION("""COMPUTED_VALUE"""),3.012)</f>
        <v>3.012</v>
      </c>
      <c r="G97">
        <f ca="1">IFERROR(__xludf.DUMMYFUNCTION("""COMPUTED_VALUE"""),20)</f>
        <v>20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IFERROR(__xludf.DUMMYFUNCTION("""COMPUTED_VALUE"""),"T135")</f>
        <v>T135</v>
      </c>
      <c r="C98" t="str">
        <f ca="1">IFERROR(__xludf.DUMMYFUNCTION("""COMPUTED_VALUE"""),"Danny Willett")</f>
        <v>Danny Willett</v>
      </c>
      <c r="D98">
        <f ca="1">IFERROR(__xludf.DUMMYFUNCTION("""COMPUTED_VALUE"""),7)</f>
        <v>7</v>
      </c>
      <c r="E98">
        <f ca="1">IFERROR(__xludf.DUMMYFUNCTION("""COMPUTED_VALUE"""),0.147)</f>
        <v>0.14699999999999999</v>
      </c>
      <c r="F98">
        <f ca="1">IFERROR(__xludf.DUMMYFUNCTION("""COMPUTED_VALUE"""),0.442)</f>
        <v>0.442</v>
      </c>
      <c r="G98">
        <f ca="1">IFERROR(__xludf.DUMMYFUNCTION("""COMPUTED_VALUE"""),3)</f>
        <v>3</v>
      </c>
    </row>
    <row r="99" spans="1:7" ht="12.75">
      <c r="A99" t="str">
        <f ca="1">IFERROR(__xludf.DUMMYFUNCTION("""COMPUTED_VALUE"""),"T97")</f>
        <v>T97</v>
      </c>
      <c r="B99">
        <f ca="1">IFERROR(__xludf.DUMMYFUNCTION("""COMPUTED_VALUE"""),91)</f>
        <v>91</v>
      </c>
      <c r="C99" t="str">
        <f ca="1">IFERROR(__xludf.DUMMYFUNCTION("""COMPUTED_VALUE"""),"J.B. Holmes")</f>
        <v>J.B. Holmes</v>
      </c>
      <c r="D99">
        <f ca="1">IFERROR(__xludf.DUMMYFUNCTION("""COMPUTED_VALUE"""),10)</f>
        <v>10</v>
      </c>
      <c r="E99">
        <f ca="1">IFERROR(__xludf.DUMMYFUNCTION("""COMPUTED_VALUE"""),0.147)</f>
        <v>0.14699999999999999</v>
      </c>
      <c r="F99">
        <f ca="1">IFERROR(__xludf.DUMMYFUNCTION("""COMPUTED_VALUE"""),1.473)</f>
        <v>1.4730000000000001</v>
      </c>
      <c r="G99">
        <f ca="1">IFERROR(__xludf.DUMMYFUNCTION("""COMPUTED_VALUE"""),10)</f>
        <v>10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IFERROR(__xludf.DUMMYFUNCTION("""COMPUTED_VALUE"""),92)</f>
        <v>92</v>
      </c>
      <c r="C100" t="str">
        <f ca="1">IFERROR(__xludf.DUMMYFUNCTION("""COMPUTED_VALUE"""),"Michael Gellerman")</f>
        <v>Michael Gellerman</v>
      </c>
      <c r="D100">
        <f ca="1">IFERROR(__xludf.DUMMYFUNCTION("""COMPUTED_VALUE"""),5)</f>
        <v>5</v>
      </c>
      <c r="E100">
        <f ca="1">IFERROR(__xludf.DUMMYFUNCTION("""COMPUTED_VALUE"""),0.146)</f>
        <v>0.14599999999999999</v>
      </c>
      <c r="F100">
        <f ca="1">IFERROR(__xludf.DUMMYFUNCTION("""COMPUTED_VALUE"""),0.292)</f>
        <v>0.29199999999999998</v>
      </c>
      <c r="G100">
        <f ca="1">IFERROR(__xludf.DUMMYFUNCTION("""COMPUTED_VALUE"""),2)</f>
        <v>2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IFERROR(__xludf.DUMMYFUNCTION("""COMPUTED_VALUE"""),45)</f>
        <v>45</v>
      </c>
      <c r="C101" t="str">
        <f ca="1">IFERROR(__xludf.DUMMYFUNCTION("""COMPUTED_VALUE"""),"John Huh")</f>
        <v>John Huh</v>
      </c>
      <c r="D101">
        <f ca="1">IFERROR(__xludf.DUMMYFUNCTION("""COMPUTED_VALUE"""),8)</f>
        <v>8</v>
      </c>
      <c r="E101">
        <f ca="1">IFERROR(__xludf.DUMMYFUNCTION("""COMPUTED_VALUE"""),0.138)</f>
        <v>0.13800000000000001</v>
      </c>
      <c r="F101">
        <f ca="1">IFERROR(__xludf.DUMMYFUNCTION("""COMPUTED_VALUE"""),1.105)</f>
        <v>1.105</v>
      </c>
      <c r="G101">
        <f ca="1">IFERROR(__xludf.DUMMYFUNCTION("""COMPUTED_VALUE"""),8)</f>
        <v>8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IFERROR(__xludf.DUMMYFUNCTION("""COMPUTED_VALUE"""),66)</f>
        <v>66</v>
      </c>
      <c r="C102" t="str">
        <f ca="1">IFERROR(__xludf.DUMMYFUNCTION("""COMPUTED_VALUE"""),"Keegan Bradley")</f>
        <v>Keegan Bradley</v>
      </c>
      <c r="D102">
        <f ca="1">IFERROR(__xludf.DUMMYFUNCTION("""COMPUTED_VALUE"""),16)</f>
        <v>16</v>
      </c>
      <c r="E102">
        <f ca="1">IFERROR(__xludf.DUMMYFUNCTION("""COMPUTED_VALUE"""),0.137)</f>
        <v>0.13700000000000001</v>
      </c>
      <c r="F102">
        <f ca="1">IFERROR(__xludf.DUMMYFUNCTION("""COMPUTED_VALUE"""),2.198)</f>
        <v>2.198</v>
      </c>
      <c r="G102">
        <f ca="1">IFERROR(__xludf.DUMMYFUNCTION("""COMPUTED_VALUE"""),16)</f>
        <v>16</v>
      </c>
    </row>
    <row r="103" spans="1:7" ht="12.75">
      <c r="A103">
        <f ca="1">IFERROR(__xludf.DUMMYFUNCTION("""COMPUTED_VALUE"""),102)</f>
        <v>102</v>
      </c>
      <c r="B103">
        <f ca="1">IFERROR(__xludf.DUMMYFUNCTION("""COMPUTED_VALUE"""),93)</f>
        <v>93</v>
      </c>
      <c r="C103" t="str">
        <f ca="1">IFERROR(__xludf.DUMMYFUNCTION("""COMPUTED_VALUE"""),"Cameron Champ")</f>
        <v>Cameron Champ</v>
      </c>
      <c r="D103">
        <f ca="1">IFERROR(__xludf.DUMMYFUNCTION("""COMPUTED_VALUE"""),12)</f>
        <v>12</v>
      </c>
      <c r="E103">
        <f ca="1">IFERROR(__xludf.DUMMYFUNCTION("""COMPUTED_VALUE"""),0.134)</f>
        <v>0.13400000000000001</v>
      </c>
      <c r="F103">
        <f ca="1">IFERROR(__xludf.DUMMYFUNCTION("""COMPUTED_VALUE"""),1.612)</f>
        <v>1.6120000000000001</v>
      </c>
      <c r="G103">
        <f ca="1">IFERROR(__xludf.DUMMYFUNCTION("""COMPUTED_VALUE"""),12)</f>
        <v>12</v>
      </c>
    </row>
    <row r="104" spans="1:7" ht="12.75">
      <c r="A104">
        <f ca="1">IFERROR(__xludf.DUMMYFUNCTION("""COMPUTED_VALUE"""),103)</f>
        <v>103</v>
      </c>
      <c r="B104">
        <f ca="1">IFERROR(__xludf.DUMMYFUNCTION("""COMPUTED_VALUE"""),94)</f>
        <v>94</v>
      </c>
      <c r="C104" t="str">
        <f ca="1">IFERROR(__xludf.DUMMYFUNCTION("""COMPUTED_VALUE"""),"Peter Malnati")</f>
        <v>Peter Malnati</v>
      </c>
      <c r="D104">
        <f ca="1">IFERROR(__xludf.DUMMYFUNCTION("""COMPUTED_VALUE"""),18)</f>
        <v>18</v>
      </c>
      <c r="E104">
        <f ca="1">IFERROR(__xludf.DUMMYFUNCTION("""COMPUTED_VALUE"""),0.133)</f>
        <v>0.13300000000000001</v>
      </c>
      <c r="F104">
        <f ca="1">IFERROR(__xludf.DUMMYFUNCTION("""COMPUTED_VALUE"""),1.328)</f>
        <v>1.3280000000000001</v>
      </c>
      <c r="G104">
        <f ca="1">IFERROR(__xludf.DUMMYFUNCTION("""COMPUTED_VALUE"""),10)</f>
        <v>10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IFERROR(__xludf.DUMMYFUNCTION("""COMPUTED_VALUE"""),22)</f>
        <v>22</v>
      </c>
      <c r="C105" t="str">
        <f ca="1">IFERROR(__xludf.DUMMYFUNCTION("""COMPUTED_VALUE"""),"Michael Kim")</f>
        <v>Michael Kim</v>
      </c>
      <c r="D105">
        <f ca="1">IFERROR(__xludf.DUMMYFUNCTION("""COMPUTED_VALUE"""),12)</f>
        <v>12</v>
      </c>
      <c r="E105">
        <f ca="1">IFERROR(__xludf.DUMMYFUNCTION("""COMPUTED_VALUE"""),0.131)</f>
        <v>0.13100000000000001</v>
      </c>
      <c r="F105">
        <f ca="1">IFERROR(__xludf.DUMMYFUNCTION("""COMPUTED_VALUE"""),1.045)</f>
        <v>1.0449999999999999</v>
      </c>
      <c r="G105">
        <f ca="1">IFERROR(__xludf.DUMMYFUNCTION("""COMPUTED_VALUE"""),8)</f>
        <v>8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IFERROR(__xludf.DUMMYFUNCTION("""COMPUTED_VALUE"""),96)</f>
        <v>96</v>
      </c>
      <c r="C106" t="str">
        <f ca="1">IFERROR(__xludf.DUMMYFUNCTION("""COMPUTED_VALUE"""),"Jim Furyk")</f>
        <v>Jim Furyk</v>
      </c>
      <c r="D106">
        <f ca="1">IFERROR(__xludf.DUMMYFUNCTION("""COMPUTED_VALUE"""),4)</f>
        <v>4</v>
      </c>
      <c r="E106">
        <f ca="1">IFERROR(__xludf.DUMMYFUNCTION("""COMPUTED_VALUE"""),0.123)</f>
        <v>0.123</v>
      </c>
      <c r="F106">
        <f ca="1">IFERROR(__xludf.DUMMYFUNCTION("""COMPUTED_VALUE"""),0.49)</f>
        <v>0.49</v>
      </c>
      <c r="G106">
        <f ca="1">IFERROR(__xludf.DUMMYFUNCTION("""COMPUTED_VALUE"""),4)</f>
        <v>4</v>
      </c>
    </row>
    <row r="107" spans="1:7" ht="12.75">
      <c r="A107" t="str">
        <f ca="1">IFERROR(__xludf.DUMMYFUNCTION("""COMPUTED_VALUE"""),"T106")</f>
        <v>T106</v>
      </c>
      <c r="B107">
        <f ca="1">IFERROR(__xludf.DUMMYFUNCTION("""COMPUTED_VALUE"""),97)</f>
        <v>97</v>
      </c>
      <c r="C107" t="str">
        <f ca="1">IFERROR(__xludf.DUMMYFUNCTION("""COMPUTED_VALUE"""),"Nick Watney")</f>
        <v>Nick Watney</v>
      </c>
      <c r="D107">
        <f ca="1">IFERROR(__xludf.DUMMYFUNCTION("""COMPUTED_VALUE"""),10)</f>
        <v>10</v>
      </c>
      <c r="E107">
        <f ca="1">IFERROR(__xludf.DUMMYFUNCTION("""COMPUTED_VALUE"""),0.121)</f>
        <v>0.121</v>
      </c>
      <c r="F107">
        <f ca="1">IFERROR(__xludf.DUMMYFUNCTION("""COMPUTED_VALUE"""),0.965)</f>
        <v>0.96499999999999997</v>
      </c>
      <c r="G107">
        <f ca="1">IFERROR(__xludf.DUMMYFUNCTION("""COMPUTED_VALUE"""),8)</f>
        <v>8</v>
      </c>
    </row>
    <row r="108" spans="1:7" ht="12.75">
      <c r="A108" t="str">
        <f ca="1">IFERROR(__xludf.DUMMYFUNCTION("""COMPUTED_VALUE"""),"T106")</f>
        <v>T106</v>
      </c>
      <c r="B108">
        <f ca="1">IFERROR(__xludf.DUMMYFUNCTION("""COMPUTED_VALUE"""),106)</f>
        <v>106</v>
      </c>
      <c r="C108" t="str">
        <f ca="1">IFERROR(__xludf.DUMMYFUNCTION("""COMPUTED_VALUE"""),"Brandt Snedeker")</f>
        <v>Brandt Snedeker</v>
      </c>
      <c r="D108">
        <f ca="1">IFERROR(__xludf.DUMMYFUNCTION("""COMPUTED_VALUE"""),16)</f>
        <v>16</v>
      </c>
      <c r="E108">
        <f ca="1">IFERROR(__xludf.DUMMYFUNCTION("""COMPUTED_VALUE"""),0.121)</f>
        <v>0.121</v>
      </c>
      <c r="F108">
        <f ca="1">IFERROR(__xludf.DUMMYFUNCTION("""COMPUTED_VALUE"""),1.938)</f>
        <v>1.9379999999999999</v>
      </c>
      <c r="G108">
        <f ca="1">IFERROR(__xludf.DUMMYFUNCTION("""COMPUTED_VALUE"""),16)</f>
        <v>16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IFERROR(__xludf.DUMMYFUNCTION("""COMPUTED_VALUE"""),98)</f>
        <v>98</v>
      </c>
      <c r="C109" t="str">
        <f ca="1">IFERROR(__xludf.DUMMYFUNCTION("""COMPUTED_VALUE"""),"Ryan Palmer")</f>
        <v>Ryan Palmer</v>
      </c>
      <c r="D109">
        <f ca="1">IFERROR(__xludf.DUMMYFUNCTION("""COMPUTED_VALUE"""),14)</f>
        <v>14</v>
      </c>
      <c r="E109">
        <f ca="1">IFERROR(__xludf.DUMMYFUNCTION("""COMPUTED_VALUE"""),0.117)</f>
        <v>0.11700000000000001</v>
      </c>
      <c r="F109">
        <f ca="1">IFERROR(__xludf.DUMMYFUNCTION("""COMPUTED_VALUE"""),1.637)</f>
        <v>1.637</v>
      </c>
      <c r="G109">
        <f ca="1">IFERROR(__xludf.DUMMYFUNCTION("""COMPUTED_VALUE"""),14)</f>
        <v>14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IFERROR(__xludf.DUMMYFUNCTION("""COMPUTED_VALUE"""),99)</f>
        <v>99</v>
      </c>
      <c r="C110" t="str">
        <f ca="1">IFERROR(__xludf.DUMMYFUNCTION("""COMPUTED_VALUE"""),"Kyle Stanley")</f>
        <v>Kyle Stanley</v>
      </c>
      <c r="D110">
        <f ca="1">IFERROR(__xludf.DUMMYFUNCTION("""COMPUTED_VALUE"""),16)</f>
        <v>16</v>
      </c>
      <c r="E110">
        <f ca="1">IFERROR(__xludf.DUMMYFUNCTION("""COMPUTED_VALUE"""),0.116)</f>
        <v>0.11600000000000001</v>
      </c>
      <c r="F110">
        <f ca="1">IFERROR(__xludf.DUMMYFUNCTION("""COMPUTED_VALUE"""),0.928)</f>
        <v>0.92800000000000005</v>
      </c>
      <c r="G110">
        <f ca="1">IFERROR(__xludf.DUMMYFUNCTION("""COMPUTED_VALUE"""),8)</f>
        <v>8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IFERROR(__xludf.DUMMYFUNCTION("""COMPUTED_VALUE"""),"T100")</f>
        <v>T100</v>
      </c>
      <c r="C111" t="str">
        <f ca="1">IFERROR(__xludf.DUMMYFUNCTION("""COMPUTED_VALUE"""),"Rob Oppenheim")</f>
        <v>Rob Oppenheim</v>
      </c>
      <c r="D111">
        <f ca="1">IFERROR(__xludf.DUMMYFUNCTION("""COMPUTED_VALUE"""),16)</f>
        <v>16</v>
      </c>
      <c r="E111">
        <f ca="1">IFERROR(__xludf.DUMMYFUNCTION("""COMPUTED_VALUE"""),0.115)</f>
        <v>0.115</v>
      </c>
      <c r="F111">
        <f ca="1">IFERROR(__xludf.DUMMYFUNCTION("""COMPUTED_VALUE"""),1.149)</f>
        <v>1.149</v>
      </c>
      <c r="G111">
        <f ca="1">IFERROR(__xludf.DUMMYFUNCTION("""COMPUTED_VALUE"""),10)</f>
        <v>10</v>
      </c>
    </row>
    <row r="112" spans="1:7" ht="12.75">
      <c r="A112">
        <f ca="1">IFERROR(__xludf.DUMMYFUNCTION("""COMPUTED_VALUE"""),111)</f>
        <v>111</v>
      </c>
      <c r="B112" t="str">
        <f ca="1">IFERROR(__xludf.DUMMYFUNCTION("""COMPUTED_VALUE"""),"T144")</f>
        <v>T144</v>
      </c>
      <c r="C112" t="str">
        <f ca="1">IFERROR(__xludf.DUMMYFUNCTION("""COMPUTED_VALUE"""),"Henrik Stenson")</f>
        <v>Henrik Stenson</v>
      </c>
      <c r="D112">
        <f ca="1">IFERROR(__xludf.DUMMYFUNCTION("""COMPUTED_VALUE"""),11)</f>
        <v>11</v>
      </c>
      <c r="E112">
        <f ca="1">IFERROR(__xludf.DUMMYFUNCTION("""COMPUTED_VALUE"""),0.111)</f>
        <v>0.111</v>
      </c>
      <c r="F112">
        <f ca="1">IFERROR(__xludf.DUMMYFUNCTION("""COMPUTED_VALUE"""),0.665)</f>
        <v>0.66500000000000004</v>
      </c>
      <c r="G112">
        <f ca="1">IFERROR(__xludf.DUMMYFUNCTION("""COMPUTED_VALUE"""),6)</f>
        <v>6</v>
      </c>
    </row>
    <row r="113" spans="1:7" ht="12.75">
      <c r="A113">
        <f ca="1">IFERROR(__xludf.DUMMYFUNCTION("""COMPUTED_VALUE"""),112)</f>
        <v>112</v>
      </c>
      <c r="B113">
        <f ca="1">IFERROR(__xludf.DUMMYFUNCTION("""COMPUTED_VALUE"""),194)</f>
        <v>194</v>
      </c>
      <c r="C113" t="str">
        <f ca="1">IFERROR(__xludf.DUMMYFUNCTION("""COMPUTED_VALUE"""),"Jason Day")</f>
        <v>Jason Day</v>
      </c>
      <c r="D113">
        <f ca="1">IFERROR(__xludf.DUMMYFUNCTION("""COMPUTED_VALUE"""),17)</f>
        <v>17</v>
      </c>
      <c r="E113">
        <f ca="1">IFERROR(__xludf.DUMMYFUNCTION("""COMPUTED_VALUE"""),0.095)</f>
        <v>9.5000000000000001E-2</v>
      </c>
      <c r="F113">
        <f ca="1">IFERROR(__xludf.DUMMYFUNCTION("""COMPUTED_VALUE"""),1.62)</f>
        <v>1.62</v>
      </c>
      <c r="G113">
        <f ca="1">IFERROR(__xludf.DUMMYFUNCTION("""COMPUTED_VALUE"""),17)</f>
        <v>17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IFERROR(__xludf.DUMMYFUNCTION("""COMPUTED_VALUE"""),71)</f>
        <v>71</v>
      </c>
      <c r="C114" t="str">
        <f ca="1">IFERROR(__xludf.DUMMYFUNCTION("""COMPUTED_VALUE"""),"Phil Mickelson")</f>
        <v>Phil Mickelson</v>
      </c>
      <c r="D114">
        <f ca="1">IFERROR(__xludf.DUMMYFUNCTION("""COMPUTED_VALUE"""),12)</f>
        <v>12</v>
      </c>
      <c r="E114">
        <f ca="1">IFERROR(__xludf.DUMMYFUNCTION("""COMPUTED_VALUE"""),0.089)</f>
        <v>8.8999999999999996E-2</v>
      </c>
      <c r="F114">
        <f ca="1">IFERROR(__xludf.DUMMYFUNCTION("""COMPUTED_VALUE"""),1.066)</f>
        <v>1.0660000000000001</v>
      </c>
      <c r="G114">
        <f ca="1">IFERROR(__xludf.DUMMYFUNCTION("""COMPUTED_VALUE"""),12)</f>
        <v>12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IFERROR(__xludf.DUMMYFUNCTION("""COMPUTED_VALUE"""),103)</f>
        <v>103</v>
      </c>
      <c r="C115" t="str">
        <f ca="1">IFERROR(__xludf.DUMMYFUNCTION("""COMPUTED_VALUE"""),"Andrew Putnam")</f>
        <v>Andrew Putnam</v>
      </c>
      <c r="D115">
        <f ca="1">IFERROR(__xludf.DUMMYFUNCTION("""COMPUTED_VALUE"""),19)</f>
        <v>19</v>
      </c>
      <c r="E115">
        <f ca="1">IFERROR(__xludf.DUMMYFUNCTION("""COMPUTED_VALUE"""),0.086)</f>
        <v>8.5999999999999993E-2</v>
      </c>
      <c r="F115">
        <f ca="1">IFERROR(__xludf.DUMMYFUNCTION("""COMPUTED_VALUE"""),1.285)</f>
        <v>1.2849999999999999</v>
      </c>
      <c r="G115">
        <f ca="1">IFERROR(__xludf.DUMMYFUNCTION("""COMPUTED_VALUE"""),15)</f>
        <v>15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IFERROR(__xludf.DUMMYFUNCTION("""COMPUTED_VALUE"""),141)</f>
        <v>141</v>
      </c>
      <c r="C116" t="str">
        <f ca="1">IFERROR(__xludf.DUMMYFUNCTION("""COMPUTED_VALUE"""),"Kevin Streelman")</f>
        <v>Kevin Streelman</v>
      </c>
      <c r="D116">
        <f ca="1">IFERROR(__xludf.DUMMYFUNCTION("""COMPUTED_VALUE"""),18)</f>
        <v>18</v>
      </c>
      <c r="E116">
        <f ca="1">IFERROR(__xludf.DUMMYFUNCTION("""COMPUTED_VALUE"""),0.085)</f>
        <v>8.5000000000000006E-2</v>
      </c>
      <c r="F116">
        <f ca="1">IFERROR(__xludf.DUMMYFUNCTION("""COMPUTED_VALUE"""),1.526)</f>
        <v>1.526</v>
      </c>
      <c r="G116">
        <f ca="1">IFERROR(__xludf.DUMMYFUNCTION("""COMPUTED_VALUE"""),18)</f>
        <v>18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IFERROR(__xludf.DUMMYFUNCTION("""COMPUTED_VALUE"""),108)</f>
        <v>108</v>
      </c>
      <c r="C117" t="str">
        <f ca="1">IFERROR(__xludf.DUMMYFUNCTION("""COMPUTED_VALUE"""),"Rafa Cabrera Bello")</f>
        <v>Rafa Cabrera Bello</v>
      </c>
      <c r="D117">
        <f ca="1">IFERROR(__xludf.DUMMYFUNCTION("""COMPUTED_VALUE"""),14)</f>
        <v>14</v>
      </c>
      <c r="E117">
        <f ca="1">IFERROR(__xludf.DUMMYFUNCTION("""COMPUTED_VALUE"""),0.083)</f>
        <v>8.3000000000000004E-2</v>
      </c>
      <c r="F117">
        <f ca="1">IFERROR(__xludf.DUMMYFUNCTION("""COMPUTED_VALUE"""),0.997)</f>
        <v>0.997</v>
      </c>
      <c r="G117">
        <f ca="1">IFERROR(__xludf.DUMMYFUNCTION("""COMPUTED_VALUE"""),12)</f>
        <v>12</v>
      </c>
    </row>
    <row r="118" spans="1:7" ht="12.75">
      <c r="A118">
        <f ca="1">IFERROR(__xludf.DUMMYFUNCTION("""COMPUTED_VALUE"""),117)</f>
        <v>117</v>
      </c>
      <c r="B118" t="str">
        <f ca="1">IFERROR(__xludf.DUMMYFUNCTION("""COMPUTED_VALUE"""),"T109")</f>
        <v>T109</v>
      </c>
      <c r="C118" t="str">
        <f ca="1">IFERROR(__xludf.DUMMYFUNCTION("""COMPUTED_VALUE"""),"K.J. Choi")</f>
        <v>K.J. Choi</v>
      </c>
      <c r="D118">
        <f ca="1">IFERROR(__xludf.DUMMYFUNCTION("""COMPUTED_VALUE"""),6)</f>
        <v>6</v>
      </c>
      <c r="E118">
        <f ca="1">IFERROR(__xludf.DUMMYFUNCTION("""COMPUTED_VALUE"""),0.077)</f>
        <v>7.6999999999999999E-2</v>
      </c>
      <c r="F118">
        <f ca="1">IFERROR(__xludf.DUMMYFUNCTION("""COMPUTED_VALUE"""),0.46)</f>
        <v>0.46</v>
      </c>
      <c r="G118">
        <f ca="1">IFERROR(__xludf.DUMMYFUNCTION("""COMPUTED_VALUE"""),6)</f>
        <v>6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IFERROR(__xludf.DUMMYFUNCTION("""COMPUTED_VALUE"""),124)</f>
        <v>124</v>
      </c>
      <c r="C119" t="str">
        <f ca="1">IFERROR(__xludf.DUMMYFUNCTION("""COMPUTED_VALUE"""),"Chris Kirk")</f>
        <v>Chris Kirk</v>
      </c>
      <c r="D119">
        <f ca="1">IFERROR(__xludf.DUMMYFUNCTION("""COMPUTED_VALUE"""),10)</f>
        <v>10</v>
      </c>
      <c r="E119">
        <f ca="1">IFERROR(__xludf.DUMMYFUNCTION("""COMPUTED_VALUE"""),0.074)</f>
        <v>7.3999999999999996E-2</v>
      </c>
      <c r="F119">
        <f ca="1">IFERROR(__xludf.DUMMYFUNCTION("""COMPUTED_VALUE"""),0.589)</f>
        <v>0.58899999999999997</v>
      </c>
      <c r="G119">
        <f ca="1">IFERROR(__xludf.DUMMYFUNCTION("""COMPUTED_VALUE"""),8)</f>
        <v>8</v>
      </c>
    </row>
    <row r="120" spans="1:7" ht="12.75">
      <c r="A120" t="str">
        <f ca="1">IFERROR(__xludf.DUMMYFUNCTION("""COMPUTED_VALUE"""),"T119")</f>
        <v>T119</v>
      </c>
      <c r="B120">
        <f ca="1">IFERROR(__xludf.DUMMYFUNCTION("""COMPUTED_VALUE"""),86)</f>
        <v>86</v>
      </c>
      <c r="C120" t="str">
        <f ca="1">IFERROR(__xludf.DUMMYFUNCTION("""COMPUTED_VALUE"""),"James Hahn")</f>
        <v>James Hahn</v>
      </c>
      <c r="D120">
        <f ca="1">IFERROR(__xludf.DUMMYFUNCTION("""COMPUTED_VALUE"""),16)</f>
        <v>16</v>
      </c>
      <c r="E120">
        <f ca="1">IFERROR(__xludf.DUMMYFUNCTION("""COMPUTED_VALUE"""),0.071)</f>
        <v>7.0999999999999994E-2</v>
      </c>
      <c r="F120">
        <f ca="1">IFERROR(__xludf.DUMMYFUNCTION("""COMPUTED_VALUE"""),0.857)</f>
        <v>0.85699999999999998</v>
      </c>
      <c r="G120">
        <f ca="1">IFERROR(__xludf.DUMMYFUNCTION("""COMPUTED_VALUE"""),12)</f>
        <v>12</v>
      </c>
    </row>
    <row r="121" spans="1:7" ht="12.75">
      <c r="A121" t="str">
        <f ca="1">IFERROR(__xludf.DUMMYFUNCTION("""COMPUTED_VALUE"""),"T119")</f>
        <v>T119</v>
      </c>
      <c r="B121">
        <f ca="1">IFERROR(__xludf.DUMMYFUNCTION("""COMPUTED_VALUE"""),113)</f>
        <v>113</v>
      </c>
      <c r="C121" t="str">
        <f ca="1">IFERROR(__xludf.DUMMYFUNCTION("""COMPUTED_VALUE"""),"Jon Rahm")</f>
        <v>Jon Rahm</v>
      </c>
      <c r="D121">
        <f ca="1">IFERROR(__xludf.DUMMYFUNCTION("""COMPUTED_VALUE"""),12)</f>
        <v>12</v>
      </c>
      <c r="E121">
        <f ca="1">IFERROR(__xludf.DUMMYFUNCTION("""COMPUTED_VALUE"""),0.071)</f>
        <v>7.0999999999999994E-2</v>
      </c>
      <c r="F121">
        <f ca="1">IFERROR(__xludf.DUMMYFUNCTION("""COMPUTED_VALUE"""),0.857)</f>
        <v>0.85699999999999998</v>
      </c>
      <c r="G121">
        <f ca="1">IFERROR(__xludf.DUMMYFUNCTION("""COMPUTED_VALUE"""),12)</f>
        <v>12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IFERROR(__xludf.DUMMYFUNCTION("""COMPUTED_VALUE"""),"T114")</f>
        <v>T114</v>
      </c>
      <c r="C122" t="str">
        <f ca="1">IFERROR(__xludf.DUMMYFUNCTION("""COMPUTED_VALUE"""),"Chez Reavie")</f>
        <v>Chez Reavie</v>
      </c>
      <c r="D122">
        <f ca="1">IFERROR(__xludf.DUMMYFUNCTION("""COMPUTED_VALUE"""),14)</f>
        <v>14</v>
      </c>
      <c r="E122">
        <f ca="1">IFERROR(__xludf.DUMMYFUNCTION("""COMPUTED_VALUE"""),0.07)</f>
        <v>7.0000000000000007E-2</v>
      </c>
      <c r="F122">
        <f ca="1">IFERROR(__xludf.DUMMYFUNCTION("""COMPUTED_VALUE"""),0.978)</f>
        <v>0.97799999999999998</v>
      </c>
      <c r="G122">
        <f ca="1">IFERROR(__xludf.DUMMYFUNCTION("""COMPUTED_VALUE"""),14)</f>
        <v>14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IFERROR(__xludf.DUMMYFUNCTION("""COMPUTED_VALUE"""),29)</f>
        <v>29</v>
      </c>
      <c r="C123" t="str">
        <f ca="1">IFERROR(__xludf.DUMMYFUNCTION("""COMPUTED_VALUE"""),"Kristoffer Ventura")</f>
        <v>Kristoffer Ventura</v>
      </c>
      <c r="D123">
        <f ca="1">IFERROR(__xludf.DUMMYFUNCTION("""COMPUTED_VALUE"""),20)</f>
        <v>20</v>
      </c>
      <c r="E123">
        <f ca="1">IFERROR(__xludf.DUMMYFUNCTION("""COMPUTED_VALUE"""),0.069)</f>
        <v>6.9000000000000006E-2</v>
      </c>
      <c r="F123">
        <f ca="1">IFERROR(__xludf.DUMMYFUNCTION("""COMPUTED_VALUE"""),0.963)</f>
        <v>0.96299999999999997</v>
      </c>
      <c r="G123">
        <f ca="1">IFERROR(__xludf.DUMMYFUNCTION("""COMPUTED_VALUE"""),14)</f>
        <v>14</v>
      </c>
    </row>
    <row r="124" spans="1:7" ht="12.75">
      <c r="A124" t="str">
        <f ca="1">IFERROR(__xludf.DUMMYFUNCTION("""COMPUTED_VALUE"""),"T123")</f>
        <v>T123</v>
      </c>
      <c r="B124">
        <f ca="1">IFERROR(__xludf.DUMMYFUNCTION("""COMPUTED_VALUE"""),116)</f>
        <v>116</v>
      </c>
      <c r="C124" t="str">
        <f ca="1">IFERROR(__xludf.DUMMYFUNCTION("""COMPUTED_VALUE"""),"Joel Dahmen")</f>
        <v>Joel Dahmen</v>
      </c>
      <c r="D124">
        <f ca="1">IFERROR(__xludf.DUMMYFUNCTION("""COMPUTED_VALUE"""),18)</f>
        <v>18</v>
      </c>
      <c r="E124">
        <f ca="1">IFERROR(__xludf.DUMMYFUNCTION("""COMPUTED_VALUE"""),0.067)</f>
        <v>6.7000000000000004E-2</v>
      </c>
      <c r="F124">
        <f ca="1">IFERROR(__xludf.DUMMYFUNCTION("""COMPUTED_VALUE"""),1.211)</f>
        <v>1.2110000000000001</v>
      </c>
      <c r="G124">
        <f ca="1">IFERROR(__xludf.DUMMYFUNCTION("""COMPUTED_VALUE"""),18)</f>
        <v>18</v>
      </c>
    </row>
    <row r="125" spans="1:7" ht="12.75">
      <c r="A125" t="str">
        <f ca="1">IFERROR(__xludf.DUMMYFUNCTION("""COMPUTED_VALUE"""),"T123")</f>
        <v>T123</v>
      </c>
      <c r="B125">
        <f ca="1">IFERROR(__xludf.DUMMYFUNCTION("""COMPUTED_VALUE"""),205)</f>
        <v>205</v>
      </c>
      <c r="C125" t="str">
        <f ca="1">IFERROR(__xludf.DUMMYFUNCTION("""COMPUTED_VALUE"""),"Cameron Tringale")</f>
        <v>Cameron Tringale</v>
      </c>
      <c r="D125">
        <f ca="1">IFERROR(__xludf.DUMMYFUNCTION("""COMPUTED_VALUE"""),16)</f>
        <v>16</v>
      </c>
      <c r="E125">
        <f ca="1">IFERROR(__xludf.DUMMYFUNCTION("""COMPUTED_VALUE"""),0.067)</f>
        <v>6.7000000000000004E-2</v>
      </c>
      <c r="F125">
        <f ca="1">IFERROR(__xludf.DUMMYFUNCTION("""COMPUTED_VALUE"""),0.933)</f>
        <v>0.93300000000000005</v>
      </c>
      <c r="G125">
        <f ca="1">IFERROR(__xludf.DUMMYFUNCTION("""COMPUTED_VALUE"""),14)</f>
        <v>14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IFERROR(__xludf.DUMMYFUNCTION("""COMPUTED_VALUE"""),117)</f>
        <v>117</v>
      </c>
      <c r="C126" t="str">
        <f ca="1">IFERROR(__xludf.DUMMYFUNCTION("""COMPUTED_VALUE"""),"Billy Horschel")</f>
        <v>Billy Horschel</v>
      </c>
      <c r="D126">
        <f ca="1">IFERROR(__xludf.DUMMYFUNCTION("""COMPUTED_VALUE"""),12)</f>
        <v>12</v>
      </c>
      <c r="E126">
        <f ca="1">IFERROR(__xludf.DUMMYFUNCTION("""COMPUTED_VALUE"""),0.064)</f>
        <v>6.4000000000000001E-2</v>
      </c>
      <c r="F126">
        <f ca="1">IFERROR(__xludf.DUMMYFUNCTION("""COMPUTED_VALUE"""),0.769)</f>
        <v>0.76900000000000002</v>
      </c>
      <c r="G126">
        <f ca="1">IFERROR(__xludf.DUMMYFUNCTION("""COMPUTED_VALUE"""),12)</f>
        <v>12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IFERROR(__xludf.DUMMYFUNCTION("""COMPUTED_VALUE"""),137)</f>
        <v>137</v>
      </c>
      <c r="C127" t="str">
        <f ca="1">IFERROR(__xludf.DUMMYFUNCTION("""COMPUTED_VALUE"""),"Ted Potter, Jr.")</f>
        <v>Ted Potter, Jr.</v>
      </c>
      <c r="D127">
        <f ca="1">IFERROR(__xludf.DUMMYFUNCTION("""COMPUTED_VALUE"""),8)</f>
        <v>8</v>
      </c>
      <c r="E127">
        <f ca="1">IFERROR(__xludf.DUMMYFUNCTION("""COMPUTED_VALUE"""),0.058)</f>
        <v>5.8000000000000003E-2</v>
      </c>
      <c r="F127">
        <f ca="1">IFERROR(__xludf.DUMMYFUNCTION("""COMPUTED_VALUE"""),0.461)</f>
        <v>0.46100000000000002</v>
      </c>
      <c r="G127">
        <f ca="1">IFERROR(__xludf.DUMMYFUNCTION("""COMPUTED_VALUE"""),8)</f>
        <v>8</v>
      </c>
    </row>
    <row r="128" spans="1:7" ht="12.75">
      <c r="A128">
        <f ca="1">IFERROR(__xludf.DUMMYFUNCTION("""COMPUTED_VALUE"""),127)</f>
        <v>127</v>
      </c>
      <c r="B128">
        <f ca="1">IFERROR(__xludf.DUMMYFUNCTION("""COMPUTED_VALUE"""),121)</f>
        <v>121</v>
      </c>
      <c r="C128" t="str">
        <f ca="1">IFERROR(__xludf.DUMMYFUNCTION("""COMPUTED_VALUE"""),"Harry Higgs")</f>
        <v>Harry Higgs</v>
      </c>
      <c r="D128">
        <f ca="1">IFERROR(__xludf.DUMMYFUNCTION("""COMPUTED_VALUE"""),14)</f>
        <v>14</v>
      </c>
      <c r="E128">
        <f ca="1">IFERROR(__xludf.DUMMYFUNCTION("""COMPUTED_VALUE"""),0.048)</f>
        <v>4.8000000000000001E-2</v>
      </c>
      <c r="F128">
        <f ca="1">IFERROR(__xludf.DUMMYFUNCTION("""COMPUTED_VALUE"""),0.678)</f>
        <v>0.67800000000000005</v>
      </c>
      <c r="G128">
        <f ca="1">IFERROR(__xludf.DUMMYFUNCTION("""COMPUTED_VALUE"""),14)</f>
        <v>14</v>
      </c>
    </row>
    <row r="129" spans="1:7" ht="12.75">
      <c r="A129">
        <f ca="1">IFERROR(__xludf.DUMMYFUNCTION("""COMPUTED_VALUE"""),128)</f>
        <v>128</v>
      </c>
      <c r="B129" t="str">
        <f ca="1">IFERROR(__xludf.DUMMYFUNCTION("""COMPUTED_VALUE"""),"T175")</f>
        <v>T175</v>
      </c>
      <c r="C129" t="str">
        <f ca="1">IFERROR(__xludf.DUMMYFUNCTION("""COMPUTED_VALUE"""),"Scott Harrington")</f>
        <v>Scott Harrington</v>
      </c>
      <c r="D129">
        <f ca="1">IFERROR(__xludf.DUMMYFUNCTION("""COMPUTED_VALUE"""),18)</f>
        <v>18</v>
      </c>
      <c r="E129">
        <f ca="1">IFERROR(__xludf.DUMMYFUNCTION("""COMPUTED_VALUE"""),0.043)</f>
        <v>4.2999999999999997E-2</v>
      </c>
      <c r="F129">
        <f ca="1">IFERROR(__xludf.DUMMYFUNCTION("""COMPUTED_VALUE"""),0.521)</f>
        <v>0.52100000000000002</v>
      </c>
      <c r="G129">
        <f ca="1">IFERROR(__xludf.DUMMYFUNCTION("""COMPUTED_VALUE"""),12)</f>
        <v>12</v>
      </c>
    </row>
    <row r="130" spans="1:7" ht="12.75">
      <c r="A130">
        <f ca="1">IFERROR(__xludf.DUMMYFUNCTION("""COMPUTED_VALUE"""),129)</f>
        <v>129</v>
      </c>
      <c r="B130" t="str">
        <f ca="1">IFERROR(__xludf.DUMMYFUNCTION("""COMPUTED_VALUE"""),"T166")</f>
        <v>T166</v>
      </c>
      <c r="C130" t="str">
        <f ca="1">IFERROR(__xludf.DUMMYFUNCTION("""COMPUTED_VALUE"""),"Brian Harman")</f>
        <v>Brian Harman</v>
      </c>
      <c r="D130">
        <f ca="1">IFERROR(__xludf.DUMMYFUNCTION("""COMPUTED_VALUE"""),24)</f>
        <v>24</v>
      </c>
      <c r="E130">
        <f ca="1">IFERROR(__xludf.DUMMYFUNCTION("""COMPUTED_VALUE"""),0.029)</f>
        <v>2.9000000000000001E-2</v>
      </c>
      <c r="F130">
        <f ca="1">IFERROR(__xludf.DUMMYFUNCTION("""COMPUTED_VALUE"""),0.69)</f>
        <v>0.69</v>
      </c>
      <c r="G130">
        <f ca="1">IFERROR(__xludf.DUMMYFUNCTION("""COMPUTED_VALUE"""),24)</f>
        <v>24</v>
      </c>
    </row>
    <row r="131" spans="1:7" ht="12.75">
      <c r="A131" t="str">
        <f ca="1">IFERROR(__xludf.DUMMYFUNCTION("""COMPUTED_VALUE"""),"T130")</f>
        <v>T130</v>
      </c>
      <c r="B131">
        <f ca="1">IFERROR(__xludf.DUMMYFUNCTION("""COMPUTED_VALUE"""),118)</f>
        <v>118</v>
      </c>
      <c r="C131" t="str">
        <f ca="1">IFERROR(__xludf.DUMMYFUNCTION("""COMPUTED_VALUE"""),"Michael Thompson")</f>
        <v>Michael Thompson</v>
      </c>
      <c r="D131">
        <f ca="1">IFERROR(__xludf.DUMMYFUNCTION("""COMPUTED_VALUE"""),16)</f>
        <v>16</v>
      </c>
      <c r="E131">
        <f ca="1">IFERROR(__xludf.DUMMYFUNCTION("""COMPUTED_VALUE"""),0.025)</f>
        <v>2.5000000000000001E-2</v>
      </c>
      <c r="F131">
        <f ca="1">IFERROR(__xludf.DUMMYFUNCTION("""COMPUTED_VALUE"""),0.394)</f>
        <v>0.39400000000000002</v>
      </c>
      <c r="G131">
        <f ca="1">IFERROR(__xludf.DUMMYFUNCTION("""COMPUTED_VALUE"""),16)</f>
        <v>16</v>
      </c>
    </row>
    <row r="132" spans="1:7" ht="12.75">
      <c r="A132" t="str">
        <f ca="1">IFERROR(__xludf.DUMMYFUNCTION("""COMPUTED_VALUE"""),"T130")</f>
        <v>T130</v>
      </c>
      <c r="B132">
        <f ca="1">IFERROR(__xludf.DUMMYFUNCTION("""COMPUTED_VALUE"""),172)</f>
        <v>172</v>
      </c>
      <c r="C132" t="str">
        <f ca="1">IFERROR(__xludf.DUMMYFUNCTION("""COMPUTED_VALUE"""),"Andrew Landry")</f>
        <v>Andrew Landry</v>
      </c>
      <c r="D132">
        <f ca="1">IFERROR(__xludf.DUMMYFUNCTION("""COMPUTED_VALUE"""),14)</f>
        <v>14</v>
      </c>
      <c r="E132">
        <f ca="1">IFERROR(__xludf.DUMMYFUNCTION("""COMPUTED_VALUE"""),0.025)</f>
        <v>2.5000000000000001E-2</v>
      </c>
      <c r="F132">
        <f ca="1">IFERROR(__xludf.DUMMYFUNCTION("""COMPUTED_VALUE"""),0.356)</f>
        <v>0.35599999999999998</v>
      </c>
      <c r="G132">
        <f ca="1">IFERROR(__xludf.DUMMYFUNCTION("""COMPUTED_VALUE"""),14)</f>
        <v>14</v>
      </c>
    </row>
    <row r="133" spans="1:7" ht="12.75">
      <c r="A133">
        <f ca="1">IFERROR(__xludf.DUMMYFUNCTION("""COMPUTED_VALUE"""),132)</f>
        <v>132</v>
      </c>
      <c r="B133" t="str">
        <f ca="1">IFERROR(__xludf.DUMMYFUNCTION("""COMPUTED_VALUE"""),"T109")</f>
        <v>T109</v>
      </c>
      <c r="C133" t="str">
        <f ca="1">IFERROR(__xludf.DUMMYFUNCTION("""COMPUTED_VALUE"""),"Sepp Straka")</f>
        <v>Sepp Straka</v>
      </c>
      <c r="D133">
        <f ca="1">IFERROR(__xludf.DUMMYFUNCTION("""COMPUTED_VALUE"""),22)</f>
        <v>22</v>
      </c>
      <c r="E133">
        <f ca="1">IFERROR(__xludf.DUMMYFUNCTION("""COMPUTED_VALUE"""),0.02)</f>
        <v>0.02</v>
      </c>
      <c r="F133">
        <f ca="1">IFERROR(__xludf.DUMMYFUNCTION("""COMPUTED_VALUE"""),0.285)</f>
        <v>0.28499999999999998</v>
      </c>
      <c r="G133">
        <f ca="1">IFERROR(__xludf.DUMMYFUNCTION("""COMPUTED_VALUE"""),14)</f>
        <v>14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IFERROR(__xludf.DUMMYFUNCTION("""COMPUTED_VALUE"""),"T114")</f>
        <v>T114</v>
      </c>
      <c r="C134" t="str">
        <f ca="1">IFERROR(__xludf.DUMMYFUNCTION("""COMPUTED_VALUE"""),"Erik van Rooyen")</f>
        <v>Erik van Rooyen</v>
      </c>
      <c r="D134">
        <f ca="1">IFERROR(__xludf.DUMMYFUNCTION("""COMPUTED_VALUE"""),10)</f>
        <v>10</v>
      </c>
      <c r="E134">
        <f ca="1">IFERROR(__xludf.DUMMYFUNCTION("""COMPUTED_VALUE"""),0.019)</f>
        <v>1.9E-2</v>
      </c>
      <c r="F134">
        <f ca="1">IFERROR(__xludf.DUMMYFUNCTION("""COMPUTED_VALUE"""),0.193)</f>
        <v>0.193</v>
      </c>
      <c r="G134">
        <f ca="1">IFERROR(__xludf.DUMMYFUNCTION("""COMPUTED_VALUE"""),10)</f>
        <v>10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IFERROR(__xludf.DUMMYFUNCTION("""COMPUTED_VALUE"""),125)</f>
        <v>125</v>
      </c>
      <c r="C135" t="str">
        <f ca="1">IFERROR(__xludf.DUMMYFUNCTION("""COMPUTED_VALUE"""),"Will Zalatoris")</f>
        <v>Will Zalatoris</v>
      </c>
      <c r="D135">
        <f ca="1">IFERROR(__xludf.DUMMYFUNCTION("""COMPUTED_VALUE"""),18)</f>
        <v>18</v>
      </c>
      <c r="E135">
        <f ca="1">IFERROR(__xludf.DUMMYFUNCTION("""COMPUTED_VALUE"""),0.017)</f>
        <v>1.7000000000000001E-2</v>
      </c>
      <c r="F135">
        <f ca="1">IFERROR(__xludf.DUMMYFUNCTION("""COMPUTED_VALUE"""),0.169)</f>
        <v>0.16900000000000001</v>
      </c>
      <c r="G135">
        <f ca="1">IFERROR(__xludf.DUMMYFUNCTION("""COMPUTED_VALUE"""),10)</f>
        <v>10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IFERROR(__xludf.DUMMYFUNCTION("""COMPUTED_VALUE"""),"T126")</f>
        <v>T126</v>
      </c>
      <c r="C136" t="str">
        <f ca="1">IFERROR(__xludf.DUMMYFUNCTION("""COMPUTED_VALUE"""),"Patrick Reed")</f>
        <v>Patrick Reed</v>
      </c>
      <c r="D136">
        <f ca="1">IFERROR(__xludf.DUMMYFUNCTION("""COMPUTED_VALUE"""),8)</f>
        <v>8</v>
      </c>
      <c r="E136">
        <f ca="1">IFERROR(__xludf.DUMMYFUNCTION("""COMPUTED_VALUE"""),0.016)</f>
        <v>1.6E-2</v>
      </c>
      <c r="F136">
        <f ca="1">IFERROR(__xludf.DUMMYFUNCTION("""COMPUTED_VALUE"""),0.129)</f>
        <v>0.129</v>
      </c>
      <c r="G136">
        <f ca="1">IFERROR(__xludf.DUMMYFUNCTION("""COMPUTED_VALUE"""),8)</f>
        <v>8</v>
      </c>
    </row>
    <row r="137" spans="1:7" ht="12.75">
      <c r="A137" t="str">
        <f ca="1">IFERROR(__xludf.DUMMYFUNCTION("""COMPUTED_VALUE"""),"T135")</f>
        <v>T135</v>
      </c>
      <c r="B137">
        <f ca="1">IFERROR(__xludf.DUMMYFUNCTION("""COMPUTED_VALUE"""),85)</f>
        <v>85</v>
      </c>
      <c r="C137" t="str">
        <f ca="1">IFERROR(__xludf.DUMMYFUNCTION("""COMPUTED_VALUE"""),"Zach Johnson")</f>
        <v>Zach Johnson</v>
      </c>
      <c r="D137">
        <f ca="1">IFERROR(__xludf.DUMMYFUNCTION("""COMPUTED_VALUE"""),16)</f>
        <v>16</v>
      </c>
      <c r="E137">
        <f ca="1">IFERROR(__xludf.DUMMYFUNCTION("""COMPUTED_VALUE"""),0.016)</f>
        <v>1.6E-2</v>
      </c>
      <c r="F137">
        <f ca="1">IFERROR(__xludf.DUMMYFUNCTION("""COMPUTED_VALUE"""),0.257)</f>
        <v>0.25700000000000001</v>
      </c>
      <c r="G137">
        <f ca="1">IFERROR(__xludf.DUMMYFUNCTION("""COMPUTED_VALUE"""),16)</f>
        <v>16</v>
      </c>
    </row>
    <row r="138" spans="1:7" ht="12.75">
      <c r="A138">
        <f ca="1">IFERROR(__xludf.DUMMYFUNCTION("""COMPUTED_VALUE"""),137)</f>
        <v>137</v>
      </c>
      <c r="B138" t="str">
        <f ca="1">IFERROR(__xludf.DUMMYFUNCTION("""COMPUTED_VALUE"""),"T128")</f>
        <v>T128</v>
      </c>
      <c r="C138" t="str">
        <f ca="1">IFERROR(__xludf.DUMMYFUNCTION("""COMPUTED_VALUE"""),"Kiradech Aphibarnrat")</f>
        <v>Kiradech Aphibarnrat</v>
      </c>
      <c r="D138">
        <f ca="1">IFERROR(__xludf.DUMMYFUNCTION("""COMPUTED_VALUE"""),12)</f>
        <v>12</v>
      </c>
      <c r="E138">
        <f ca="1">IFERROR(__xludf.DUMMYFUNCTION("""COMPUTED_VALUE"""),0.012)</f>
        <v>1.2E-2</v>
      </c>
      <c r="F138">
        <f ca="1">IFERROR(__xludf.DUMMYFUNCTION("""COMPUTED_VALUE"""),0.046)</f>
        <v>4.5999999999999999E-2</v>
      </c>
      <c r="G138">
        <f ca="1">IFERROR(__xludf.DUMMYFUNCTION("""COMPUTED_VALUE"""),4)</f>
        <v>4</v>
      </c>
    </row>
    <row r="139" spans="1:7" ht="12.75">
      <c r="A139">
        <f ca="1">IFERROR(__xludf.DUMMYFUNCTION("""COMPUTED_VALUE"""),138)</f>
        <v>138</v>
      </c>
      <c r="B139" t="str">
        <f ca="1">IFERROR(__xludf.DUMMYFUNCTION("""COMPUTED_VALUE"""),"")</f>
        <v/>
      </c>
      <c r="C139" t="str">
        <f ca="1">IFERROR(__xludf.DUMMYFUNCTION("""COMPUTED_VALUE"""),"Justin Harding")</f>
        <v>Justin Harding</v>
      </c>
      <c r="D139">
        <f ca="1">IFERROR(__xludf.DUMMYFUNCTION("""COMPUTED_VALUE"""),6)</f>
        <v>6</v>
      </c>
      <c r="E139">
        <f ca="1">IFERROR(__xludf.DUMMYFUNCTION("""COMPUTED_VALUE"""),0.011)</f>
        <v>1.0999999999999999E-2</v>
      </c>
      <c r="F139">
        <f ca="1">IFERROR(__xludf.DUMMYFUNCTION("""COMPUTED_VALUE"""),0.068)</f>
        <v>6.8000000000000005E-2</v>
      </c>
      <c r="G139">
        <f ca="1">IFERROR(__xludf.DUMMYFUNCTION("""COMPUTED_VALUE"""),6)</f>
        <v>6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IFERROR(__xludf.DUMMYFUNCTION("""COMPUTED_VALUE"""),130)</f>
        <v>130</v>
      </c>
      <c r="C140" t="str">
        <f ca="1">IFERROR(__xludf.DUMMYFUNCTION("""COMPUTED_VALUE"""),"Chris Baker")</f>
        <v>Chris Baker</v>
      </c>
      <c r="D140">
        <f ca="1">IFERROR(__xludf.DUMMYFUNCTION("""COMPUTED_VALUE"""),8)</f>
        <v>8</v>
      </c>
      <c r="E140">
        <f ca="1">IFERROR(__xludf.DUMMYFUNCTION("""COMPUTED_VALUE"""),0.009)</f>
        <v>8.9999999999999993E-3</v>
      </c>
      <c r="F140">
        <f ca="1">IFERROR(__xludf.DUMMYFUNCTION("""COMPUTED_VALUE"""),0.037)</f>
        <v>3.6999999999999998E-2</v>
      </c>
      <c r="G140">
        <f ca="1">IFERROR(__xludf.DUMMYFUNCTION("""COMPUTED_VALUE"""),4)</f>
        <v>4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IFERROR(__xludf.DUMMYFUNCTION("""COMPUTED_VALUE"""),112)</f>
        <v>112</v>
      </c>
      <c r="C141" t="str">
        <f ca="1">IFERROR(__xludf.DUMMYFUNCTION("""COMPUTED_VALUE"""),"Austin Cook")</f>
        <v>Austin Cook</v>
      </c>
      <c r="D141">
        <f ca="1">IFERROR(__xludf.DUMMYFUNCTION("""COMPUTED_VALUE"""),14)</f>
        <v>14</v>
      </c>
      <c r="E141">
        <f ca="1">IFERROR(__xludf.DUMMYFUNCTION("""COMPUTED_VALUE"""),-0.003)</f>
        <v>-3.0000000000000001E-3</v>
      </c>
      <c r="F141">
        <f ca="1">IFERROR(__xludf.DUMMYFUNCTION("""COMPUTED_VALUE"""),-0.04)</f>
        <v>-0.04</v>
      </c>
      <c r="G141">
        <f ca="1">IFERROR(__xludf.DUMMYFUNCTION("""COMPUTED_VALUE"""),14)</f>
        <v>14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IFERROR(__xludf.DUMMYFUNCTION("""COMPUTED_VALUE"""),134)</f>
        <v>134</v>
      </c>
      <c r="C142" t="str">
        <f ca="1">IFERROR(__xludf.DUMMYFUNCTION("""COMPUTED_VALUE"""),"Michael Gligic")</f>
        <v>Michael Gligic</v>
      </c>
      <c r="D142">
        <f ca="1">IFERROR(__xludf.DUMMYFUNCTION("""COMPUTED_VALUE"""),18)</f>
        <v>18</v>
      </c>
      <c r="E142">
        <f ca="1">IFERROR(__xludf.DUMMYFUNCTION("""COMPUTED_VALUE"""),-0.005)</f>
        <v>-5.0000000000000001E-3</v>
      </c>
      <c r="F142">
        <f ca="1">IFERROR(__xludf.DUMMYFUNCTION("""COMPUTED_VALUE"""),-0.063)</f>
        <v>-6.3E-2</v>
      </c>
      <c r="G142">
        <f ca="1">IFERROR(__xludf.DUMMYFUNCTION("""COMPUTED_VALUE"""),12)</f>
        <v>12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IFERROR(__xludf.DUMMYFUNCTION("""COMPUTED_VALUE"""),209)</f>
        <v>209</v>
      </c>
      <c r="C143" t="str">
        <f ca="1">IFERROR(__xludf.DUMMYFUNCTION("""COMPUTED_VALUE"""),"Shane Lowry")</f>
        <v>Shane Lowry</v>
      </c>
      <c r="D143">
        <f ca="1">IFERROR(__xludf.DUMMYFUNCTION("""COMPUTED_VALUE"""),14)</f>
        <v>14</v>
      </c>
      <c r="E143">
        <f ca="1">IFERROR(__xludf.DUMMYFUNCTION("""COMPUTED_VALUE"""),-0.012)</f>
        <v>-1.2E-2</v>
      </c>
      <c r="F143">
        <f ca="1">IFERROR(__xludf.DUMMYFUNCTION("""COMPUTED_VALUE"""),-0.165)</f>
        <v>-0.16500000000000001</v>
      </c>
      <c r="G143">
        <f ca="1">IFERROR(__xludf.DUMMYFUNCTION("""COMPUTED_VALUE"""),14)</f>
        <v>14</v>
      </c>
    </row>
    <row r="144" spans="1:7" ht="12.75">
      <c r="A144">
        <f ca="1">IFERROR(__xludf.DUMMYFUNCTION("""COMPUTED_VALUE"""),143)</f>
        <v>143</v>
      </c>
      <c r="B144">
        <f ca="1">IFERROR(__xludf.DUMMYFUNCTION("""COMPUTED_VALUE"""),138)</f>
        <v>138</v>
      </c>
      <c r="C144" t="str">
        <f ca="1">IFERROR(__xludf.DUMMYFUNCTION("""COMPUTED_VALUE"""),"Jonathan Byrd")</f>
        <v>Jonathan Byrd</v>
      </c>
      <c r="D144">
        <f ca="1">IFERROR(__xludf.DUMMYFUNCTION("""COMPUTED_VALUE"""),14)</f>
        <v>14</v>
      </c>
      <c r="E144">
        <f ca="1">IFERROR(__xludf.DUMMYFUNCTION("""COMPUTED_VALUE"""),-0.013)</f>
        <v>-1.2999999999999999E-2</v>
      </c>
      <c r="F144">
        <f ca="1">IFERROR(__xludf.DUMMYFUNCTION("""COMPUTED_VALUE"""),-0.081)</f>
        <v>-8.1000000000000003E-2</v>
      </c>
      <c r="G144">
        <f ca="1">IFERROR(__xludf.DUMMYFUNCTION("""COMPUTED_VALUE"""),6)</f>
        <v>6</v>
      </c>
    </row>
    <row r="145" spans="1:7" ht="12.75">
      <c r="A145">
        <f ca="1">IFERROR(__xludf.DUMMYFUNCTION("""COMPUTED_VALUE"""),144)</f>
        <v>144</v>
      </c>
      <c r="B145">
        <f ca="1">IFERROR(__xludf.DUMMYFUNCTION("""COMPUTED_VALUE"""),120)</f>
        <v>120</v>
      </c>
      <c r="C145" t="str">
        <f ca="1">IFERROR(__xludf.DUMMYFUNCTION("""COMPUTED_VALUE"""),"Martin Laird")</f>
        <v>Martin Laird</v>
      </c>
      <c r="D145">
        <f ca="1">IFERROR(__xludf.DUMMYFUNCTION("""COMPUTED_VALUE"""),16)</f>
        <v>16</v>
      </c>
      <c r="E145">
        <f ca="1">IFERROR(__xludf.DUMMYFUNCTION("""COMPUTED_VALUE"""),-0.022)</f>
        <v>-2.1999999999999999E-2</v>
      </c>
      <c r="F145">
        <f ca="1">IFERROR(__xludf.DUMMYFUNCTION("""COMPUTED_VALUE"""),-0.264)</f>
        <v>-0.26400000000000001</v>
      </c>
      <c r="G145">
        <f ca="1">IFERROR(__xludf.DUMMYFUNCTION("""COMPUTED_VALUE"""),12)</f>
        <v>12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IFERROR(__xludf.DUMMYFUNCTION("""COMPUTED_VALUE"""),140)</f>
        <v>140</v>
      </c>
      <c r="C146" t="str">
        <f ca="1">IFERROR(__xludf.DUMMYFUNCTION("""COMPUTED_VALUE"""),"Joaquin Niemann")</f>
        <v>Joaquin Niemann</v>
      </c>
      <c r="D146">
        <f ca="1">IFERROR(__xludf.DUMMYFUNCTION("""COMPUTED_VALUE"""),16)</f>
        <v>16</v>
      </c>
      <c r="E146">
        <f ca="1">IFERROR(__xludf.DUMMYFUNCTION("""COMPUTED_VALUE"""),-0.025)</f>
        <v>-2.5000000000000001E-2</v>
      </c>
      <c r="F146">
        <f ca="1">IFERROR(__xludf.DUMMYFUNCTION("""COMPUTED_VALUE"""),-0.394)</f>
        <v>-0.39400000000000002</v>
      </c>
      <c r="G146">
        <f ca="1">IFERROR(__xludf.DUMMYFUNCTION("""COMPUTED_VALUE"""),16)</f>
        <v>16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IFERROR(__xludf.DUMMYFUNCTION("""COMPUTED_VALUE"""),142)</f>
        <v>142</v>
      </c>
      <c r="C147" t="str">
        <f ca="1">IFERROR(__xludf.DUMMYFUNCTION("""COMPUTED_VALUE"""),"Jason Kokrak")</f>
        <v>Jason Kokrak</v>
      </c>
      <c r="D147">
        <f ca="1">IFERROR(__xludf.DUMMYFUNCTION("""COMPUTED_VALUE"""),14)</f>
        <v>14</v>
      </c>
      <c r="E147">
        <f ca="1">IFERROR(__xludf.DUMMYFUNCTION("""COMPUTED_VALUE"""),-0.028)</f>
        <v>-2.8000000000000001E-2</v>
      </c>
      <c r="F147">
        <f ca="1">IFERROR(__xludf.DUMMYFUNCTION("""COMPUTED_VALUE"""),-0.396)</f>
        <v>-0.39600000000000002</v>
      </c>
      <c r="G147">
        <f ca="1">IFERROR(__xludf.DUMMYFUNCTION("""COMPUTED_VALUE"""),14)</f>
        <v>14</v>
      </c>
    </row>
    <row r="148" spans="1:7" ht="12.75">
      <c r="A148" t="str">
        <f ca="1">IFERROR(__xludf.DUMMYFUNCTION("""COMPUTED_VALUE"""),"T147")</f>
        <v>T147</v>
      </c>
      <c r="B148">
        <f ca="1">IFERROR(__xludf.DUMMYFUNCTION("""COMPUTED_VALUE"""),228)</f>
        <v>228</v>
      </c>
      <c r="C148" t="str">
        <f ca="1">IFERROR(__xludf.DUMMYFUNCTION("""COMPUTED_VALUE"""),"Patton Kizzire")</f>
        <v>Patton Kizzire</v>
      </c>
      <c r="D148">
        <f ca="1">IFERROR(__xludf.DUMMYFUNCTION("""COMPUTED_VALUE"""),18)</f>
        <v>18</v>
      </c>
      <c r="E148">
        <f ca="1">IFERROR(__xludf.DUMMYFUNCTION("""COMPUTED_VALUE"""),-0.029)</f>
        <v>-2.9000000000000001E-2</v>
      </c>
      <c r="F148">
        <f ca="1">IFERROR(__xludf.DUMMYFUNCTION("""COMPUTED_VALUE"""),-0.402)</f>
        <v>-0.40200000000000002</v>
      </c>
      <c r="G148">
        <f ca="1">IFERROR(__xludf.DUMMYFUNCTION("""COMPUTED_VALUE"""),14)</f>
        <v>14</v>
      </c>
    </row>
    <row r="149" spans="1:7" ht="12.75">
      <c r="A149" t="str">
        <f ca="1">IFERROR(__xludf.DUMMYFUNCTION("""COMPUTED_VALUE"""),"T147")</f>
        <v>T147</v>
      </c>
      <c r="B149">
        <f ca="1">IFERROR(__xludf.DUMMYFUNCTION("""COMPUTED_VALUE"""),143)</f>
        <v>143</v>
      </c>
      <c r="C149" t="str">
        <f ca="1">IFERROR(__xludf.DUMMYFUNCTION("""COMPUTED_VALUE"""),"Alex Cejka")</f>
        <v>Alex Cejka</v>
      </c>
      <c r="D149">
        <f ca="1">IFERROR(__xludf.DUMMYFUNCTION("""COMPUTED_VALUE"""),6)</f>
        <v>6</v>
      </c>
      <c r="E149">
        <f ca="1">IFERROR(__xludf.DUMMYFUNCTION("""COMPUTED_VALUE"""),-0.029)</f>
        <v>-2.9000000000000001E-2</v>
      </c>
      <c r="F149">
        <f ca="1">IFERROR(__xludf.DUMMYFUNCTION("""COMPUTED_VALUE"""),-0.059)</f>
        <v>-5.8999999999999997E-2</v>
      </c>
      <c r="G149">
        <f ca="1">IFERROR(__xludf.DUMMYFUNCTION("""COMPUTED_VALUE"""),2)</f>
        <v>2</v>
      </c>
    </row>
    <row r="150" spans="1:7" ht="12.75">
      <c r="A150">
        <f ca="1">IFERROR(__xludf.DUMMYFUNCTION("""COMPUTED_VALUE"""),149)</f>
        <v>149</v>
      </c>
      <c r="B150" t="str">
        <f ca="1">IFERROR(__xludf.DUMMYFUNCTION("""COMPUTED_VALUE"""),"T144")</f>
        <v>T144</v>
      </c>
      <c r="C150" t="str">
        <f ca="1">IFERROR(__xludf.DUMMYFUNCTION("""COMPUTED_VALUE"""),"J.J. Spaun")</f>
        <v>J.J. Spaun</v>
      </c>
      <c r="D150">
        <f ca="1">IFERROR(__xludf.DUMMYFUNCTION("""COMPUTED_VALUE"""),10)</f>
        <v>10</v>
      </c>
      <c r="E150">
        <f ca="1">IFERROR(__xludf.DUMMYFUNCTION("""COMPUTED_VALUE"""),-0.033)</f>
        <v>-3.3000000000000002E-2</v>
      </c>
      <c r="F150">
        <f ca="1">IFERROR(__xludf.DUMMYFUNCTION("""COMPUTED_VALUE"""),-0.196)</f>
        <v>-0.19600000000000001</v>
      </c>
      <c r="G150">
        <f ca="1">IFERROR(__xludf.DUMMYFUNCTION("""COMPUTED_VALUE"""),6)</f>
        <v>6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IFERROR(__xludf.DUMMYFUNCTION("""COMPUTED_VALUE"""),95)</f>
        <v>95</v>
      </c>
      <c r="C151" t="str">
        <f ca="1">IFERROR(__xludf.DUMMYFUNCTION("""COMPUTED_VALUE"""),"Tom Hoge")</f>
        <v>Tom Hoge</v>
      </c>
      <c r="D151">
        <f ca="1">IFERROR(__xludf.DUMMYFUNCTION("""COMPUTED_VALUE"""),22)</f>
        <v>22</v>
      </c>
      <c r="E151">
        <f ca="1">IFERROR(__xludf.DUMMYFUNCTION("""COMPUTED_VALUE"""),-0.035)</f>
        <v>-3.5000000000000003E-2</v>
      </c>
      <c r="F151">
        <f ca="1">IFERROR(__xludf.DUMMYFUNCTION("""COMPUTED_VALUE"""),-0.776)</f>
        <v>-0.77600000000000002</v>
      </c>
      <c r="G151">
        <f ca="1">IFERROR(__xludf.DUMMYFUNCTION("""COMPUTED_VALUE"""),22)</f>
        <v>22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IFERROR(__xludf.DUMMYFUNCTION("""COMPUTED_VALUE"""),132)</f>
        <v>132</v>
      </c>
      <c r="C152" t="str">
        <f ca="1">IFERROR(__xludf.DUMMYFUNCTION("""COMPUTED_VALUE"""),"Luke List")</f>
        <v>Luke List</v>
      </c>
      <c r="D152">
        <f ca="1">IFERROR(__xludf.DUMMYFUNCTION("""COMPUTED_VALUE"""),18)</f>
        <v>18</v>
      </c>
      <c r="E152">
        <f ca="1">IFERROR(__xludf.DUMMYFUNCTION("""COMPUTED_VALUE"""),-0.036)</f>
        <v>-3.5999999999999997E-2</v>
      </c>
      <c r="F152">
        <f ca="1">IFERROR(__xludf.DUMMYFUNCTION("""COMPUTED_VALUE"""),-0.357)</f>
        <v>-0.35699999999999998</v>
      </c>
      <c r="G152">
        <f ca="1">IFERROR(__xludf.DUMMYFUNCTION("""COMPUTED_VALUE"""),10)</f>
        <v>10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IFERROR(__xludf.DUMMYFUNCTION("""COMPUTED_VALUE"""),"T147")</f>
        <v>T147</v>
      </c>
      <c r="C153" t="str">
        <f ca="1">IFERROR(__xludf.DUMMYFUNCTION("""COMPUTED_VALUE"""),"Matthew Fitzpatrick")</f>
        <v>Matthew Fitzpatrick</v>
      </c>
      <c r="D153">
        <f ca="1">IFERROR(__xludf.DUMMYFUNCTION("""COMPUTED_VALUE"""),10)</f>
        <v>10</v>
      </c>
      <c r="E153">
        <f ca="1">IFERROR(__xludf.DUMMYFUNCTION("""COMPUTED_VALUE"""),-0.043)</f>
        <v>-4.2999999999999997E-2</v>
      </c>
      <c r="F153">
        <f ca="1">IFERROR(__xludf.DUMMYFUNCTION("""COMPUTED_VALUE"""),-0.428)</f>
        <v>-0.42799999999999999</v>
      </c>
      <c r="G153">
        <f ca="1">IFERROR(__xludf.DUMMYFUNCTION("""COMPUTED_VALUE"""),10)</f>
        <v>10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IFERROR(__xludf.DUMMYFUNCTION("""COMPUTED_VALUE"""),"T147")</f>
        <v>T147</v>
      </c>
      <c r="C154" t="str">
        <f ca="1">IFERROR(__xludf.DUMMYFUNCTION("""COMPUTED_VALUE"""),"Richy Werenski")</f>
        <v>Richy Werenski</v>
      </c>
      <c r="D154">
        <f ca="1">IFERROR(__xludf.DUMMYFUNCTION("""COMPUTED_VALUE"""),16)</f>
        <v>16</v>
      </c>
      <c r="E154">
        <f ca="1">IFERROR(__xludf.DUMMYFUNCTION("""COMPUTED_VALUE"""),-0.043)</f>
        <v>-4.2999999999999997E-2</v>
      </c>
      <c r="F154">
        <f ca="1">IFERROR(__xludf.DUMMYFUNCTION("""COMPUTED_VALUE"""),-0.691)</f>
        <v>-0.69099999999999995</v>
      </c>
      <c r="G154">
        <f ca="1">IFERROR(__xludf.DUMMYFUNCTION("""COMPUTED_VALUE"""),16)</f>
        <v>16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IFERROR(__xludf.DUMMYFUNCTION("""COMPUTED_VALUE"""),"T149")</f>
        <v>T149</v>
      </c>
      <c r="C155" t="str">
        <f ca="1">IFERROR(__xludf.DUMMYFUNCTION("""COMPUTED_VALUE"""),"Takumi Kanaya")</f>
        <v>Takumi Kanaya</v>
      </c>
      <c r="D155">
        <f ca="1">IFERROR(__xludf.DUMMYFUNCTION("""COMPUTED_VALUE"""),6)</f>
        <v>6</v>
      </c>
      <c r="E155">
        <f ca="1">IFERROR(__xludf.DUMMYFUNCTION("""COMPUTED_VALUE"""),-0.044)</f>
        <v>-4.3999999999999997E-2</v>
      </c>
      <c r="F155">
        <f ca="1">IFERROR(__xludf.DUMMYFUNCTION("""COMPUTED_VALUE"""),-0.267)</f>
        <v>-0.26700000000000002</v>
      </c>
      <c r="G155">
        <f ca="1">IFERROR(__xludf.DUMMYFUNCTION("""COMPUTED_VALUE"""),6)</f>
        <v>6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IFERROR(__xludf.DUMMYFUNCTION("""COMPUTED_VALUE"""),"T149")</f>
        <v>T149</v>
      </c>
      <c r="C156" t="str">
        <f ca="1">IFERROR(__xludf.DUMMYFUNCTION("""COMPUTED_VALUE"""),"Matt Kuchar")</f>
        <v>Matt Kuchar</v>
      </c>
      <c r="D156">
        <f ca="1">IFERROR(__xludf.DUMMYFUNCTION("""COMPUTED_VALUE"""),14)</f>
        <v>14</v>
      </c>
      <c r="E156">
        <f ca="1">IFERROR(__xludf.DUMMYFUNCTION("""COMPUTED_VALUE"""),-0.044)</f>
        <v>-4.3999999999999997E-2</v>
      </c>
      <c r="F156">
        <f ca="1">IFERROR(__xludf.DUMMYFUNCTION("""COMPUTED_VALUE"""),-0.622)</f>
        <v>-0.622</v>
      </c>
      <c r="G156">
        <f ca="1">IFERROR(__xludf.DUMMYFUNCTION("""COMPUTED_VALUE"""),14)</f>
        <v>14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IFERROR(__xludf.DUMMYFUNCTION("""COMPUTED_VALUE"""),"T151")</f>
        <v>T151</v>
      </c>
      <c r="C157" t="str">
        <f ca="1">IFERROR(__xludf.DUMMYFUNCTION("""COMPUTED_VALUE"""),"Justin Rose")</f>
        <v>Justin Rose</v>
      </c>
      <c r="D157">
        <f ca="1">IFERROR(__xludf.DUMMYFUNCTION("""COMPUTED_VALUE"""),10)</f>
        <v>10</v>
      </c>
      <c r="E157">
        <f ca="1">IFERROR(__xludf.DUMMYFUNCTION("""COMPUTED_VALUE"""),-0.048)</f>
        <v>-4.8000000000000001E-2</v>
      </c>
      <c r="F157">
        <f ca="1">IFERROR(__xludf.DUMMYFUNCTION("""COMPUTED_VALUE"""),-0.481)</f>
        <v>-0.48099999999999998</v>
      </c>
      <c r="G157">
        <f ca="1">IFERROR(__xludf.DUMMYFUNCTION("""COMPUTED_VALUE"""),10)</f>
        <v>10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IFERROR(__xludf.DUMMYFUNCTION("""COMPUTED_VALUE"""),"T151")</f>
        <v>T151</v>
      </c>
      <c r="C158" t="str">
        <f ca="1">IFERROR(__xludf.DUMMYFUNCTION("""COMPUTED_VALUE"""),"George Markham")</f>
        <v>George Markham</v>
      </c>
      <c r="D158">
        <f ca="1">IFERROR(__xludf.DUMMYFUNCTION("""COMPUTED_VALUE"""),4)</f>
        <v>4</v>
      </c>
      <c r="E158">
        <f ca="1">IFERROR(__xludf.DUMMYFUNCTION("""COMPUTED_VALUE"""),-0.048)</f>
        <v>-4.8000000000000001E-2</v>
      </c>
      <c r="F158">
        <f ca="1">IFERROR(__xludf.DUMMYFUNCTION("""COMPUTED_VALUE"""),-0.193)</f>
        <v>-0.193</v>
      </c>
      <c r="G158">
        <f ca="1">IFERROR(__xludf.DUMMYFUNCTION("""COMPUTED_VALUE"""),4)</f>
        <v>4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IFERROR(__xludf.DUMMYFUNCTION("""COMPUTED_VALUE"""),154)</f>
        <v>154</v>
      </c>
      <c r="C159" t="str">
        <f ca="1">IFERROR(__xludf.DUMMYFUNCTION("""COMPUTED_VALUE"""),"Tyler McCumber")</f>
        <v>Tyler McCumber</v>
      </c>
      <c r="D159">
        <f ca="1">IFERROR(__xludf.DUMMYFUNCTION("""COMPUTED_VALUE"""),14)</f>
        <v>14</v>
      </c>
      <c r="E159">
        <f ca="1">IFERROR(__xludf.DUMMYFUNCTION("""COMPUTED_VALUE"""),-0.054)</f>
        <v>-5.3999999999999999E-2</v>
      </c>
      <c r="F159">
        <f ca="1">IFERROR(__xludf.DUMMYFUNCTION("""COMPUTED_VALUE"""),-0.431)</f>
        <v>-0.43099999999999999</v>
      </c>
      <c r="G159">
        <f ca="1">IFERROR(__xludf.DUMMYFUNCTION("""COMPUTED_VALUE"""),8)</f>
        <v>8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IFERROR(__xludf.DUMMYFUNCTION("""COMPUTED_VALUE"""),162)</f>
        <v>162</v>
      </c>
      <c r="C160" t="str">
        <f ca="1">IFERROR(__xludf.DUMMYFUNCTION("""COMPUTED_VALUE"""),"Kevin Chappell")</f>
        <v>Kevin Chappell</v>
      </c>
      <c r="D160">
        <f ca="1">IFERROR(__xludf.DUMMYFUNCTION("""COMPUTED_VALUE"""),16)</f>
        <v>16</v>
      </c>
      <c r="E160">
        <f ca="1">IFERROR(__xludf.DUMMYFUNCTION("""COMPUTED_VALUE"""),-0.055)</f>
        <v>-5.5E-2</v>
      </c>
      <c r="F160">
        <f ca="1">IFERROR(__xludf.DUMMYFUNCTION("""COMPUTED_VALUE"""),-0.773)</f>
        <v>-0.77300000000000002</v>
      </c>
      <c r="G160">
        <f ca="1">IFERROR(__xludf.DUMMYFUNCTION("""COMPUTED_VALUE"""),14)</f>
        <v>14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IFERROR(__xludf.DUMMYFUNCTION("""COMPUTED_VALUE"""),69)</f>
        <v>69</v>
      </c>
      <c r="C161" t="str">
        <f ca="1">IFERROR(__xludf.DUMMYFUNCTION("""COMPUTED_VALUE"""),"Pat Perez")</f>
        <v>Pat Perez</v>
      </c>
      <c r="D161">
        <f ca="1">IFERROR(__xludf.DUMMYFUNCTION("""COMPUTED_VALUE"""),16)</f>
        <v>16</v>
      </c>
      <c r="E161">
        <f ca="1">IFERROR(__xludf.DUMMYFUNCTION("""COMPUTED_VALUE"""),-0.056)</f>
        <v>-5.6000000000000001E-2</v>
      </c>
      <c r="F161">
        <f ca="1">IFERROR(__xludf.DUMMYFUNCTION("""COMPUTED_VALUE"""),-0.565)</f>
        <v>-0.56499999999999995</v>
      </c>
      <c r="G161">
        <f ca="1">IFERROR(__xludf.DUMMYFUNCTION("""COMPUTED_VALUE"""),10)</f>
        <v>10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IFERROR(__xludf.DUMMYFUNCTION("""COMPUTED_VALUE"""),155)</f>
        <v>155</v>
      </c>
      <c r="C162" t="str">
        <f ca="1">IFERROR(__xludf.DUMMYFUNCTION("""COMPUTED_VALUE"""),"Rory McIlroy")</f>
        <v>Rory McIlroy</v>
      </c>
      <c r="D162">
        <f ca="1">IFERROR(__xludf.DUMMYFUNCTION("""COMPUTED_VALUE"""),12)</f>
        <v>12</v>
      </c>
      <c r="E162">
        <f ca="1">IFERROR(__xludf.DUMMYFUNCTION("""COMPUTED_VALUE"""),-0.057)</f>
        <v>-5.7000000000000002E-2</v>
      </c>
      <c r="F162">
        <f ca="1">IFERROR(__xludf.DUMMYFUNCTION("""COMPUTED_VALUE"""),-0.686)</f>
        <v>-0.68600000000000005</v>
      </c>
      <c r="G162">
        <f ca="1">IFERROR(__xludf.DUMMYFUNCTION("""COMPUTED_VALUE"""),12)</f>
        <v>12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IFERROR(__xludf.DUMMYFUNCTION("""COMPUTED_VALUE"""),156)</f>
        <v>156</v>
      </c>
      <c r="C163" t="str">
        <f ca="1">IFERROR(__xludf.DUMMYFUNCTION("""COMPUTED_VALUE"""),"Wesley Bryan")</f>
        <v>Wesley Bryan</v>
      </c>
      <c r="D163">
        <f ca="1">IFERROR(__xludf.DUMMYFUNCTION("""COMPUTED_VALUE"""),8)</f>
        <v>8</v>
      </c>
      <c r="E163">
        <f ca="1">IFERROR(__xludf.DUMMYFUNCTION("""COMPUTED_VALUE"""),-0.059)</f>
        <v>-5.8999999999999997E-2</v>
      </c>
      <c r="F163">
        <f ca="1">IFERROR(__xludf.DUMMYFUNCTION("""COMPUTED_VALUE"""),-0.357)</f>
        <v>-0.35699999999999998</v>
      </c>
      <c r="G163">
        <f ca="1">IFERROR(__xludf.DUMMYFUNCTION("""COMPUTED_VALUE"""),6)</f>
        <v>6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IFERROR(__xludf.DUMMYFUNCTION("""COMPUTED_VALUE"""),174)</f>
        <v>174</v>
      </c>
      <c r="C164" t="str">
        <f ca="1">IFERROR(__xludf.DUMMYFUNCTION("""COMPUTED_VALUE"""),"Branden Grace")</f>
        <v>Branden Grace</v>
      </c>
      <c r="D164">
        <f ca="1">IFERROR(__xludf.DUMMYFUNCTION("""COMPUTED_VALUE"""),16)</f>
        <v>16</v>
      </c>
      <c r="E164">
        <f ca="1">IFERROR(__xludf.DUMMYFUNCTION("""COMPUTED_VALUE"""),-0.065)</f>
        <v>-6.5000000000000002E-2</v>
      </c>
      <c r="F164">
        <f ca="1">IFERROR(__xludf.DUMMYFUNCTION("""COMPUTED_VALUE"""),-0.647)</f>
        <v>-0.64700000000000002</v>
      </c>
      <c r="G164">
        <f ca="1">IFERROR(__xludf.DUMMYFUNCTION("""COMPUTED_VALUE"""),10)</f>
        <v>10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IFERROR(__xludf.DUMMYFUNCTION("""COMPUTED_VALUE"""),158)</f>
        <v>158</v>
      </c>
      <c r="C165" t="str">
        <f ca="1">IFERROR(__xludf.DUMMYFUNCTION("""COMPUTED_VALUE"""),"Rickie Fowler")</f>
        <v>Rickie Fowler</v>
      </c>
      <c r="D165">
        <f ca="1">IFERROR(__xludf.DUMMYFUNCTION("""COMPUTED_VALUE"""),14)</f>
        <v>14</v>
      </c>
      <c r="E165">
        <f ca="1">IFERROR(__xludf.DUMMYFUNCTION("""COMPUTED_VALUE"""),-0.067)</f>
        <v>-6.7000000000000004E-2</v>
      </c>
      <c r="F165">
        <f ca="1">IFERROR(__xludf.DUMMYFUNCTION("""COMPUTED_VALUE"""),-0.941)</f>
        <v>-0.94099999999999995</v>
      </c>
      <c r="G165">
        <f ca="1">IFERROR(__xludf.DUMMYFUNCTION("""COMPUTED_VALUE"""),14)</f>
        <v>14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IFERROR(__xludf.DUMMYFUNCTION("""COMPUTED_VALUE"""),159)</f>
        <v>159</v>
      </c>
      <c r="C166" t="str">
        <f ca="1">IFERROR(__xludf.DUMMYFUNCTION("""COMPUTED_VALUE"""),"John Pak")</f>
        <v>John Pak</v>
      </c>
      <c r="D166">
        <f ca="1">IFERROR(__xludf.DUMMYFUNCTION("""COMPUTED_VALUE"""),4)</f>
        <v>4</v>
      </c>
      <c r="E166">
        <f ca="1">IFERROR(__xludf.DUMMYFUNCTION("""COMPUTED_VALUE"""),-0.068)</f>
        <v>-6.8000000000000005E-2</v>
      </c>
      <c r="F166">
        <f ca="1">IFERROR(__xludf.DUMMYFUNCTION("""COMPUTED_VALUE"""),-0.274)</f>
        <v>-0.27400000000000002</v>
      </c>
      <c r="G166">
        <f ca="1">IFERROR(__xludf.DUMMYFUNCTION("""COMPUTED_VALUE"""),4)</f>
        <v>4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IFERROR(__xludf.DUMMYFUNCTION("""COMPUTED_VALUE"""),160)</f>
        <v>160</v>
      </c>
      <c r="C167" t="str">
        <f ca="1">IFERROR(__xludf.DUMMYFUNCTION("""COMPUTED_VALUE"""),"Matthias Schwab")</f>
        <v>Matthias Schwab</v>
      </c>
      <c r="D167">
        <f ca="1">IFERROR(__xludf.DUMMYFUNCTION("""COMPUTED_VALUE"""),8)</f>
        <v>8</v>
      </c>
      <c r="E167">
        <f ca="1">IFERROR(__xludf.DUMMYFUNCTION("""COMPUTED_VALUE"""),-0.072)</f>
        <v>-7.1999999999999995E-2</v>
      </c>
      <c r="F167">
        <f ca="1">IFERROR(__xludf.DUMMYFUNCTION("""COMPUTED_VALUE"""),-0.287)</f>
        <v>-0.28699999999999998</v>
      </c>
      <c r="G167">
        <f ca="1">IFERROR(__xludf.DUMMYFUNCTION("""COMPUTED_VALUE"""),4)</f>
        <v>4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IFERROR(__xludf.DUMMYFUNCTION("""COMPUTED_VALUE"""),157)</f>
        <v>157</v>
      </c>
      <c r="C168" t="str">
        <f ca="1">IFERROR(__xludf.DUMMYFUNCTION("""COMPUTED_VALUE"""),"Sergio Garcia")</f>
        <v>Sergio Garcia</v>
      </c>
      <c r="D168">
        <f ca="1">IFERROR(__xludf.DUMMYFUNCTION("""COMPUTED_VALUE"""),18)</f>
        <v>18</v>
      </c>
      <c r="E168">
        <f ca="1">IFERROR(__xludf.DUMMYFUNCTION("""COMPUTED_VALUE"""),-0.073)</f>
        <v>-7.2999999999999995E-2</v>
      </c>
      <c r="F168">
        <f ca="1">IFERROR(__xludf.DUMMYFUNCTION("""COMPUTED_VALUE"""),-1.316)</f>
        <v>-1.3160000000000001</v>
      </c>
      <c r="G168">
        <f ca="1">IFERROR(__xludf.DUMMYFUNCTION("""COMPUTED_VALUE"""),18)</f>
        <v>18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IFERROR(__xludf.DUMMYFUNCTION("""COMPUTED_VALUE"""),161)</f>
        <v>161</v>
      </c>
      <c r="C169" t="str">
        <f ca="1">IFERROR(__xludf.DUMMYFUNCTION("""COMPUTED_VALUE"""),"Andy Zhang")</f>
        <v>Andy Zhang</v>
      </c>
      <c r="D169">
        <f ca="1">IFERROR(__xludf.DUMMYFUNCTION("""COMPUTED_VALUE"""),4)</f>
        <v>4</v>
      </c>
      <c r="E169">
        <f ca="1">IFERROR(__xludf.DUMMYFUNCTION("""COMPUTED_VALUE"""),-0.077)</f>
        <v>-7.6999999999999999E-2</v>
      </c>
      <c r="F169">
        <f ca="1">IFERROR(__xludf.DUMMYFUNCTION("""COMPUTED_VALUE"""),-0.308)</f>
        <v>-0.308</v>
      </c>
      <c r="G169">
        <f ca="1">IFERROR(__xludf.DUMMYFUNCTION("""COMPUTED_VALUE"""),4)</f>
        <v>4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IFERROR(__xludf.DUMMYFUNCTION("""COMPUTED_VALUE"""),"T126")</f>
        <v>T126</v>
      </c>
      <c r="C170" t="str">
        <f ca="1">IFERROR(__xludf.DUMMYFUNCTION("""COMPUTED_VALUE"""),"Patrick Rodgers")</f>
        <v>Patrick Rodgers</v>
      </c>
      <c r="D170">
        <f ca="1">IFERROR(__xludf.DUMMYFUNCTION("""COMPUTED_VALUE"""),18)</f>
        <v>18</v>
      </c>
      <c r="E170">
        <f ca="1">IFERROR(__xludf.DUMMYFUNCTION("""COMPUTED_VALUE"""),-0.089)</f>
        <v>-8.8999999999999996E-2</v>
      </c>
      <c r="F170">
        <f ca="1">IFERROR(__xludf.DUMMYFUNCTION("""COMPUTED_VALUE"""),-0.893)</f>
        <v>-0.89300000000000002</v>
      </c>
      <c r="G170">
        <f ca="1">IFERROR(__xludf.DUMMYFUNCTION("""COMPUTED_VALUE"""),10)</f>
        <v>10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IFERROR(__xludf.DUMMYFUNCTION("""COMPUTED_VALUE"""),201)</f>
        <v>201</v>
      </c>
      <c r="C171" t="str">
        <f ca="1">IFERROR(__xludf.DUMMYFUNCTION("""COMPUTED_VALUE"""),"Corey Conners")</f>
        <v>Corey Conners</v>
      </c>
      <c r="D171">
        <f ca="1">IFERROR(__xludf.DUMMYFUNCTION("""COMPUTED_VALUE"""),20)</f>
        <v>20</v>
      </c>
      <c r="E171">
        <f ca="1">IFERROR(__xludf.DUMMYFUNCTION("""COMPUTED_VALUE"""),-0.095)</f>
        <v>-9.5000000000000001E-2</v>
      </c>
      <c r="F171">
        <f ca="1">IFERROR(__xludf.DUMMYFUNCTION("""COMPUTED_VALUE"""),-1.715)</f>
        <v>-1.7150000000000001</v>
      </c>
      <c r="G171">
        <f ca="1">IFERROR(__xludf.DUMMYFUNCTION("""COMPUTED_VALUE"""),18)</f>
        <v>18</v>
      </c>
    </row>
    <row r="172" spans="1:7" ht="12.75">
      <c r="A172">
        <f ca="1">IFERROR(__xludf.DUMMYFUNCTION("""COMPUTED_VALUE"""),171)</f>
        <v>171</v>
      </c>
      <c r="B172">
        <f ca="1">IFERROR(__xludf.DUMMYFUNCTION("""COMPUTED_VALUE"""),178)</f>
        <v>178</v>
      </c>
      <c r="C172" t="str">
        <f ca="1">IFERROR(__xludf.DUMMYFUNCTION("""COMPUTED_VALUE"""),"J.T. Poston")</f>
        <v>J.T. Poston</v>
      </c>
      <c r="D172">
        <f ca="1">IFERROR(__xludf.DUMMYFUNCTION("""COMPUTED_VALUE"""),18)</f>
        <v>18</v>
      </c>
      <c r="E172">
        <f ca="1">IFERROR(__xludf.DUMMYFUNCTION("""COMPUTED_VALUE"""),-0.098)</f>
        <v>-9.8000000000000004E-2</v>
      </c>
      <c r="F172">
        <f ca="1">IFERROR(__xludf.DUMMYFUNCTION("""COMPUTED_VALUE"""),-1.772)</f>
        <v>-1.772</v>
      </c>
      <c r="G172">
        <f ca="1">IFERROR(__xludf.DUMMYFUNCTION("""COMPUTED_VALUE"""),18)</f>
        <v>18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IFERROR(__xludf.DUMMYFUNCTION("""COMPUTED_VALUE"""),169)</f>
        <v>169</v>
      </c>
      <c r="C173" t="str">
        <f ca="1">IFERROR(__xludf.DUMMYFUNCTION("""COMPUTED_VALUE"""),"Jason Dufner")</f>
        <v>Jason Dufner</v>
      </c>
      <c r="D173">
        <f ca="1">IFERROR(__xludf.DUMMYFUNCTION("""COMPUTED_VALUE"""),14)</f>
        <v>14</v>
      </c>
      <c r="E173">
        <f ca="1">IFERROR(__xludf.DUMMYFUNCTION("""COMPUTED_VALUE"""),-0.099)</f>
        <v>-9.9000000000000005E-2</v>
      </c>
      <c r="F173">
        <f ca="1">IFERROR(__xludf.DUMMYFUNCTION("""COMPUTED_VALUE"""),-0.992)</f>
        <v>-0.99199999999999999</v>
      </c>
      <c r="G173">
        <f ca="1">IFERROR(__xludf.DUMMYFUNCTION("""COMPUTED_VALUE"""),10)</f>
        <v>10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IFERROR(__xludf.DUMMYFUNCTION("""COMPUTED_VALUE"""),139)</f>
        <v>139</v>
      </c>
      <c r="C174" t="str">
        <f ca="1">IFERROR(__xludf.DUMMYFUNCTION("""COMPUTED_VALUE"""),"Xinjun Zhang")</f>
        <v>Xinjun Zhang</v>
      </c>
      <c r="D174">
        <f ca="1">IFERROR(__xludf.DUMMYFUNCTION("""COMPUTED_VALUE"""),14)</f>
        <v>14</v>
      </c>
      <c r="E174">
        <f ca="1">IFERROR(__xludf.DUMMYFUNCTION("""COMPUTED_VALUE"""),-0.101)</f>
        <v>-0.10100000000000001</v>
      </c>
      <c r="F174">
        <f ca="1">IFERROR(__xludf.DUMMYFUNCTION("""COMPUTED_VALUE"""),-1.008)</f>
        <v>-1.008</v>
      </c>
      <c r="G174">
        <f ca="1">IFERROR(__xludf.DUMMYFUNCTION("""COMPUTED_VALUE"""),10)</f>
        <v>10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IFERROR(__xludf.DUMMYFUNCTION("""COMPUTED_VALUE"""),"T166")</f>
        <v>T166</v>
      </c>
      <c r="C175" t="str">
        <f ca="1">IFERROR(__xludf.DUMMYFUNCTION("""COMPUTED_VALUE"""),"Kurt Kitayama")</f>
        <v>Kurt Kitayama</v>
      </c>
      <c r="D175">
        <f ca="1">IFERROR(__xludf.DUMMYFUNCTION("""COMPUTED_VALUE"""),4)</f>
        <v>4</v>
      </c>
      <c r="E175">
        <f ca="1">IFERROR(__xludf.DUMMYFUNCTION("""COMPUTED_VALUE"""),-0.103)</f>
        <v>-0.10299999999999999</v>
      </c>
      <c r="F175">
        <f ca="1">IFERROR(__xludf.DUMMYFUNCTION("""COMPUTED_VALUE"""),-0.207)</f>
        <v>-0.20699999999999999</v>
      </c>
      <c r="G175">
        <f ca="1">IFERROR(__xludf.DUMMYFUNCTION("""COMPUTED_VALUE"""),2)</f>
        <v>2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IFERROR(__xludf.DUMMYFUNCTION("""COMPUTED_VALUE"""),168)</f>
        <v>168</v>
      </c>
      <c r="C176" t="str">
        <f ca="1">IFERROR(__xludf.DUMMYFUNCTION("""COMPUTED_VALUE"""),"Rasmus Hojgaard")</f>
        <v>Rasmus Hojgaard</v>
      </c>
      <c r="D176">
        <f ca="1">IFERROR(__xludf.DUMMYFUNCTION("""COMPUTED_VALUE"""),6)</f>
        <v>6</v>
      </c>
      <c r="E176">
        <f ca="1">IFERROR(__xludf.DUMMYFUNCTION("""COMPUTED_VALUE"""),-0.108)</f>
        <v>-0.108</v>
      </c>
      <c r="F176">
        <f ca="1">IFERROR(__xludf.DUMMYFUNCTION("""COMPUTED_VALUE"""),-0.216)</f>
        <v>-0.216</v>
      </c>
      <c r="G176">
        <f ca="1">IFERROR(__xludf.DUMMYFUNCTION("""COMPUTED_VALUE"""),2)</f>
        <v>2</v>
      </c>
    </row>
    <row r="177" spans="1:7" ht="12.75">
      <c r="A177">
        <f ca="1">IFERROR(__xludf.DUMMYFUNCTION("""COMPUTED_VALUE"""),176)</f>
        <v>176</v>
      </c>
      <c r="B177" t="str">
        <f ca="1">IFERROR(__xludf.DUMMYFUNCTION("""COMPUTED_VALUE"""),"")</f>
        <v/>
      </c>
      <c r="C177" t="str">
        <f ca="1">IFERROR(__xludf.DUMMYFUNCTION("""COMPUTED_VALUE"""),"Padraig Harrington")</f>
        <v>Padraig Harrington</v>
      </c>
      <c r="D177">
        <f ca="1">IFERROR(__xludf.DUMMYFUNCTION("""COMPUTED_VALUE"""),8)</f>
        <v>8</v>
      </c>
      <c r="E177">
        <f ca="1">IFERROR(__xludf.DUMMYFUNCTION("""COMPUTED_VALUE"""),-0.112)</f>
        <v>-0.112</v>
      </c>
      <c r="F177">
        <f ca="1">IFERROR(__xludf.DUMMYFUNCTION("""COMPUTED_VALUE"""),-0.447)</f>
        <v>-0.44700000000000001</v>
      </c>
      <c r="G177">
        <f ca="1">IFERROR(__xludf.DUMMYFUNCTION("""COMPUTED_VALUE"""),4)</f>
        <v>4</v>
      </c>
    </row>
    <row r="178" spans="1:7" ht="12.75">
      <c r="A178" t="str">
        <f ca="1">IFERROR(__xludf.DUMMYFUNCTION("""COMPUTED_VALUE"""),"T177")</f>
        <v>T177</v>
      </c>
      <c r="B178">
        <f ca="1">IFERROR(__xludf.DUMMYFUNCTION("""COMPUTED_VALUE"""),193)</f>
        <v>193</v>
      </c>
      <c r="C178" t="str">
        <f ca="1">IFERROR(__xludf.DUMMYFUNCTION("""COMPUTED_VALUE"""),"Kyoung-Hoon Lee")</f>
        <v>Kyoung-Hoon Lee</v>
      </c>
      <c r="D178">
        <f ca="1">IFERROR(__xludf.DUMMYFUNCTION("""COMPUTED_VALUE"""),20)</f>
        <v>20</v>
      </c>
      <c r="E178">
        <f ca="1">IFERROR(__xludf.DUMMYFUNCTION("""COMPUTED_VALUE"""),-0.125)</f>
        <v>-0.125</v>
      </c>
      <c r="F178">
        <f ca="1">IFERROR(__xludf.DUMMYFUNCTION("""COMPUTED_VALUE"""),-1.755)</f>
        <v>-1.7549999999999999</v>
      </c>
      <c r="G178">
        <f ca="1">IFERROR(__xludf.DUMMYFUNCTION("""COMPUTED_VALUE"""),14)</f>
        <v>14</v>
      </c>
    </row>
    <row r="179" spans="1:7" ht="12.75">
      <c r="A179" t="str">
        <f ca="1">IFERROR(__xludf.DUMMYFUNCTION("""COMPUTED_VALUE"""),"T177")</f>
        <v>T177</v>
      </c>
      <c r="B179">
        <f ca="1">IFERROR(__xludf.DUMMYFUNCTION("""COMPUTED_VALUE"""),263)</f>
        <v>263</v>
      </c>
      <c r="C179" t="str">
        <f ca="1">IFERROR(__xludf.DUMMYFUNCTION("""COMPUTED_VALUE"""),"Max Homa")</f>
        <v>Max Homa</v>
      </c>
      <c r="D179">
        <f ca="1">IFERROR(__xludf.DUMMYFUNCTION("""COMPUTED_VALUE"""),12)</f>
        <v>12</v>
      </c>
      <c r="E179">
        <f ca="1">IFERROR(__xludf.DUMMYFUNCTION("""COMPUTED_VALUE"""),-0.125)</f>
        <v>-0.125</v>
      </c>
      <c r="F179">
        <f ca="1">IFERROR(__xludf.DUMMYFUNCTION("""COMPUTED_VALUE"""),-1)</f>
        <v>-1</v>
      </c>
      <c r="G179">
        <f ca="1">IFERROR(__xludf.DUMMYFUNCTION("""COMPUTED_VALUE"""),8)</f>
        <v>8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IFERROR(__xludf.DUMMYFUNCTION("""COMPUTED_VALUE"""),210)</f>
        <v>210</v>
      </c>
      <c r="C180" t="str">
        <f ca="1">IFERROR(__xludf.DUMMYFUNCTION("""COMPUTED_VALUE"""),"Troy Merritt")</f>
        <v>Troy Merritt</v>
      </c>
      <c r="D180">
        <f ca="1">IFERROR(__xludf.DUMMYFUNCTION("""COMPUTED_VALUE"""),20)</f>
        <v>20</v>
      </c>
      <c r="E180">
        <f ca="1">IFERROR(__xludf.DUMMYFUNCTION("""COMPUTED_VALUE"""),-0.135)</f>
        <v>-0.13500000000000001</v>
      </c>
      <c r="F180">
        <f ca="1">IFERROR(__xludf.DUMMYFUNCTION("""COMPUTED_VALUE"""),-2.158)</f>
        <v>-2.1579999999999999</v>
      </c>
      <c r="G180">
        <f ca="1">IFERROR(__xludf.DUMMYFUNCTION("""COMPUTED_VALUE"""),16)</f>
        <v>16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IFERROR(__xludf.DUMMYFUNCTION("""COMPUTED_VALUE"""),"")</f>
        <v/>
      </c>
      <c r="C181" t="str">
        <f ca="1">IFERROR(__xludf.DUMMYFUNCTION("""COMPUTED_VALUE"""),"Dawie van der Walt")</f>
        <v>Dawie van der Walt</v>
      </c>
      <c r="D181">
        <f ca="1">IFERROR(__xludf.DUMMYFUNCTION("""COMPUTED_VALUE"""),4)</f>
        <v>4</v>
      </c>
      <c r="E181">
        <f ca="1">IFERROR(__xludf.DUMMYFUNCTION("""COMPUTED_VALUE"""),-0.147)</f>
        <v>-0.14699999999999999</v>
      </c>
      <c r="F181">
        <f ca="1">IFERROR(__xludf.DUMMYFUNCTION("""COMPUTED_VALUE"""),-0.586)</f>
        <v>-0.58599999999999997</v>
      </c>
      <c r="G181">
        <f ca="1">IFERROR(__xludf.DUMMYFUNCTION("""COMPUTED_VALUE"""),4)</f>
        <v>4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IFERROR(__xludf.DUMMYFUNCTION("""COMPUTED_VALUE"""),177)</f>
        <v>177</v>
      </c>
      <c r="C182" t="str">
        <f ca="1">IFERROR(__xludf.DUMMYFUNCTION("""COMPUTED_VALUE"""),"Brendon Todd")</f>
        <v>Brendon Todd</v>
      </c>
      <c r="D182">
        <f ca="1">IFERROR(__xludf.DUMMYFUNCTION("""COMPUTED_VALUE"""),14)</f>
        <v>14</v>
      </c>
      <c r="E182">
        <f ca="1">IFERROR(__xludf.DUMMYFUNCTION("""COMPUTED_VALUE"""),-0.148)</f>
        <v>-0.14799999999999999</v>
      </c>
      <c r="F182">
        <f ca="1">IFERROR(__xludf.DUMMYFUNCTION("""COMPUTED_VALUE"""),-1.774)</f>
        <v>-1.774</v>
      </c>
      <c r="G182">
        <f ca="1">IFERROR(__xludf.DUMMYFUNCTION("""COMPUTED_VALUE"""),12)</f>
        <v>12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IFERROR(__xludf.DUMMYFUNCTION("""COMPUTED_VALUE"""),179)</f>
        <v>179</v>
      </c>
      <c r="C183" t="str">
        <f ca="1">IFERROR(__xludf.DUMMYFUNCTION("""COMPUTED_VALUE"""),"Paul Casey")</f>
        <v>Paul Casey</v>
      </c>
      <c r="D183">
        <f ca="1">IFERROR(__xludf.DUMMYFUNCTION("""COMPUTED_VALUE"""),14)</f>
        <v>14</v>
      </c>
      <c r="E183">
        <f ca="1">IFERROR(__xludf.DUMMYFUNCTION("""COMPUTED_VALUE"""),-0.156)</f>
        <v>-0.156</v>
      </c>
      <c r="F183">
        <f ca="1">IFERROR(__xludf.DUMMYFUNCTION("""COMPUTED_VALUE"""),-2.177)</f>
        <v>-2.177</v>
      </c>
      <c r="G183">
        <f ca="1">IFERROR(__xludf.DUMMYFUNCTION("""COMPUTED_VALUE"""),14)</f>
        <v>14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IFERROR(__xludf.DUMMYFUNCTION("""COMPUTED_VALUE"""),202)</f>
        <v>202</v>
      </c>
      <c r="C184" t="str">
        <f ca="1">IFERROR(__xludf.DUMMYFUNCTION("""COMPUTED_VALUE"""),"Adam Scott")</f>
        <v>Adam Scott</v>
      </c>
      <c r="D184">
        <f ca="1">IFERROR(__xludf.DUMMYFUNCTION("""COMPUTED_VALUE"""),8)</f>
        <v>8</v>
      </c>
      <c r="E184">
        <f ca="1">IFERROR(__xludf.DUMMYFUNCTION("""COMPUTED_VALUE"""),-0.162)</f>
        <v>-0.16200000000000001</v>
      </c>
      <c r="F184">
        <f ca="1">IFERROR(__xludf.DUMMYFUNCTION("""COMPUTED_VALUE"""),-1.298)</f>
        <v>-1.298</v>
      </c>
      <c r="G184">
        <f ca="1">IFERROR(__xludf.DUMMYFUNCTION("""COMPUTED_VALUE"""),8)</f>
        <v>8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IFERROR(__xludf.DUMMYFUNCTION("""COMPUTED_VALUE"""),180)</f>
        <v>180</v>
      </c>
      <c r="C185" t="str">
        <f ca="1">IFERROR(__xludf.DUMMYFUNCTION("""COMPUTED_VALUE"""),"Shugo Imahira")</f>
        <v>Shugo Imahira</v>
      </c>
      <c r="D185">
        <f ca="1">IFERROR(__xludf.DUMMYFUNCTION("""COMPUTED_VALUE"""),8)</f>
        <v>8</v>
      </c>
      <c r="E185">
        <f ca="1">IFERROR(__xludf.DUMMYFUNCTION("""COMPUTED_VALUE"""),-0.164)</f>
        <v>-0.16400000000000001</v>
      </c>
      <c r="F185">
        <f ca="1">IFERROR(__xludf.DUMMYFUNCTION("""COMPUTED_VALUE"""),-1.309)</f>
        <v>-1.3089999999999999</v>
      </c>
      <c r="G185">
        <f ca="1">IFERROR(__xludf.DUMMYFUNCTION("""COMPUTED_VALUE"""),8)</f>
        <v>8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IFERROR(__xludf.DUMMYFUNCTION("""COMPUTED_VALUE"""),"T181")</f>
        <v>T181</v>
      </c>
      <c r="C186" t="str">
        <f ca="1">IFERROR(__xludf.DUMMYFUNCTION("""COMPUTED_VALUE"""),"Tiger Woods")</f>
        <v>Tiger Woods</v>
      </c>
      <c r="D186">
        <f ca="1">IFERROR(__xludf.DUMMYFUNCTION("""COMPUTED_VALUE"""),6)</f>
        <v>6</v>
      </c>
      <c r="E186">
        <f ca="1">IFERROR(__xludf.DUMMYFUNCTION("""COMPUTED_VALUE"""),-0.167)</f>
        <v>-0.16700000000000001</v>
      </c>
      <c r="F186">
        <f ca="1">IFERROR(__xludf.DUMMYFUNCTION("""COMPUTED_VALUE"""),-1)</f>
        <v>-1</v>
      </c>
      <c r="G186">
        <f ca="1">IFERROR(__xludf.DUMMYFUNCTION("""COMPUTED_VALUE"""),6)</f>
        <v>6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IFERROR(__xludf.DUMMYFUNCTION("""COMPUTED_VALUE"""),198)</f>
        <v>198</v>
      </c>
      <c r="C187" t="str">
        <f ca="1">IFERROR(__xludf.DUMMYFUNCTION("""COMPUTED_VALUE"""),"Charley Hoffman")</f>
        <v>Charley Hoffman</v>
      </c>
      <c r="D187">
        <f ca="1">IFERROR(__xludf.DUMMYFUNCTION("""COMPUTED_VALUE"""),20)</f>
        <v>20</v>
      </c>
      <c r="E187">
        <f ca="1">IFERROR(__xludf.DUMMYFUNCTION("""COMPUTED_VALUE"""),-0.171)</f>
        <v>-0.17100000000000001</v>
      </c>
      <c r="F187">
        <f ca="1">IFERROR(__xludf.DUMMYFUNCTION("""COMPUTED_VALUE"""),-2.395)</f>
        <v>-2.395</v>
      </c>
      <c r="G187">
        <f ca="1">IFERROR(__xludf.DUMMYFUNCTION("""COMPUTED_VALUE"""),14)</f>
        <v>14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IFERROR(__xludf.DUMMYFUNCTION("""COMPUTED_VALUE"""),183)</f>
        <v>183</v>
      </c>
      <c r="C188" t="str">
        <f ca="1">IFERROR(__xludf.DUMMYFUNCTION("""COMPUTED_VALUE"""),"Rafael Campos")</f>
        <v>Rafael Campos</v>
      </c>
      <c r="D188">
        <f ca="1">IFERROR(__xludf.DUMMYFUNCTION("""COMPUTED_VALUE"""),6)</f>
        <v>6</v>
      </c>
      <c r="E188">
        <f ca="1">IFERROR(__xludf.DUMMYFUNCTION("""COMPUTED_VALUE"""),-0.172)</f>
        <v>-0.17199999999999999</v>
      </c>
      <c r="F188">
        <f ca="1">IFERROR(__xludf.DUMMYFUNCTION("""COMPUTED_VALUE"""),-0.345)</f>
        <v>-0.34499999999999997</v>
      </c>
      <c r="G188">
        <f ca="1">IFERROR(__xludf.DUMMYFUNCTION("""COMPUTED_VALUE"""),2)</f>
        <v>2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IFERROR(__xludf.DUMMYFUNCTION("""COMPUTED_VALUE"""),224)</f>
        <v>224</v>
      </c>
      <c r="C189" t="str">
        <f ca="1">IFERROR(__xludf.DUMMYFUNCTION("""COMPUTED_VALUE"""),"Scott Piercy")</f>
        <v>Scott Piercy</v>
      </c>
      <c r="D189">
        <f ca="1">IFERROR(__xludf.DUMMYFUNCTION("""COMPUTED_VALUE"""),18)</f>
        <v>18</v>
      </c>
      <c r="E189">
        <f ca="1">IFERROR(__xludf.DUMMYFUNCTION("""COMPUTED_VALUE"""),-0.175)</f>
        <v>-0.17499999999999999</v>
      </c>
      <c r="F189">
        <f ca="1">IFERROR(__xludf.DUMMYFUNCTION("""COMPUTED_VALUE"""),-2.455)</f>
        <v>-2.4550000000000001</v>
      </c>
      <c r="G189">
        <f ca="1">IFERROR(__xludf.DUMMYFUNCTION("""COMPUTED_VALUE"""),14)</f>
        <v>14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IFERROR(__xludf.DUMMYFUNCTION("""COMPUTED_VALUE"""),184)</f>
        <v>184</v>
      </c>
      <c r="C190" t="str">
        <f ca="1">IFERROR(__xludf.DUMMYFUNCTION("""COMPUTED_VALUE"""),"Sahith Theegala")</f>
        <v>Sahith Theegala</v>
      </c>
      <c r="D190">
        <f ca="1">IFERROR(__xludf.DUMMYFUNCTION("""COMPUTED_VALUE"""),6)</f>
        <v>6</v>
      </c>
      <c r="E190">
        <f ca="1">IFERROR(__xludf.DUMMYFUNCTION("""COMPUTED_VALUE"""),-0.176)</f>
        <v>-0.17599999999999999</v>
      </c>
      <c r="F190">
        <f ca="1">IFERROR(__xludf.DUMMYFUNCTION("""COMPUTED_VALUE"""),-1.054)</f>
        <v>-1.054</v>
      </c>
      <c r="G190">
        <f ca="1">IFERROR(__xludf.DUMMYFUNCTION("""COMPUTED_VALUE"""),6)</f>
        <v>6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IFERROR(__xludf.DUMMYFUNCTION("""COMPUTED_VALUE"""),146)</f>
        <v>146</v>
      </c>
      <c r="C191" t="str">
        <f ca="1">IFERROR(__xludf.DUMMYFUNCTION("""COMPUTED_VALUE"""),"Isaiah Salinda")</f>
        <v>Isaiah Salinda</v>
      </c>
      <c r="D191">
        <f ca="1">IFERROR(__xludf.DUMMYFUNCTION("""COMPUTED_VALUE"""),8)</f>
        <v>8</v>
      </c>
      <c r="E191">
        <f ca="1">IFERROR(__xludf.DUMMYFUNCTION("""COMPUTED_VALUE"""),-0.177)</f>
        <v>-0.17699999999999999</v>
      </c>
      <c r="F191">
        <f ca="1">IFERROR(__xludf.DUMMYFUNCTION("""COMPUTED_VALUE"""),-1.419)</f>
        <v>-1.419</v>
      </c>
      <c r="G191">
        <f ca="1">IFERROR(__xludf.DUMMYFUNCTION("""COMPUTED_VALUE"""),8)</f>
        <v>8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IFERROR(__xludf.DUMMYFUNCTION("""COMPUTED_VALUE"""),171)</f>
        <v>171</v>
      </c>
      <c r="C192" t="str">
        <f ca="1">IFERROR(__xludf.DUMMYFUNCTION("""COMPUTED_VALUE"""),"Danny Lee")</f>
        <v>Danny Lee</v>
      </c>
      <c r="D192">
        <f ca="1">IFERROR(__xludf.DUMMYFUNCTION("""COMPUTED_VALUE"""),15)</f>
        <v>15</v>
      </c>
      <c r="E192">
        <f ca="1">IFERROR(__xludf.DUMMYFUNCTION("""COMPUTED_VALUE"""),-0.182)</f>
        <v>-0.182</v>
      </c>
      <c r="F192">
        <f ca="1">IFERROR(__xludf.DUMMYFUNCTION("""COMPUTED_VALUE"""),-2.735)</f>
        <v>-2.7349999999999999</v>
      </c>
      <c r="G192">
        <f ca="1">IFERROR(__xludf.DUMMYFUNCTION("""COMPUTED_VALUE"""),15)</f>
        <v>15</v>
      </c>
    </row>
    <row r="193" spans="1:7" ht="12.75">
      <c r="A193">
        <f ca="1">IFERROR(__xludf.DUMMYFUNCTION("""COMPUTED_VALUE"""),192)</f>
        <v>192</v>
      </c>
      <c r="B193">
        <f ca="1">IFERROR(__xludf.DUMMYFUNCTION("""COMPUTED_VALUE"""),111)</f>
        <v>111</v>
      </c>
      <c r="C193" t="str">
        <f ca="1">IFERROR(__xludf.DUMMYFUNCTION("""COMPUTED_VALUE"""),"Bronson Burgoon")</f>
        <v>Bronson Burgoon</v>
      </c>
      <c r="D193">
        <f ca="1">IFERROR(__xludf.DUMMYFUNCTION("""COMPUTED_VALUE"""),10)</f>
        <v>10</v>
      </c>
      <c r="E193">
        <f ca="1">IFERROR(__xludf.DUMMYFUNCTION("""COMPUTED_VALUE"""),-0.184)</f>
        <v>-0.184</v>
      </c>
      <c r="F193">
        <f ca="1">IFERROR(__xludf.DUMMYFUNCTION("""COMPUTED_VALUE"""),-1.471)</f>
        <v>-1.4710000000000001</v>
      </c>
      <c r="G193">
        <f ca="1">IFERROR(__xludf.DUMMYFUNCTION("""COMPUTED_VALUE"""),8)</f>
        <v>8</v>
      </c>
    </row>
    <row r="194" spans="1:7" ht="12.75">
      <c r="A194" t="str">
        <f ca="1">IFERROR(__xludf.DUMMYFUNCTION("""COMPUTED_VALUE"""),"T193")</f>
        <v>T193</v>
      </c>
      <c r="B194" t="str">
        <f ca="1">IFERROR(__xludf.DUMMYFUNCTION("""COMPUTED_VALUE"""),"T185")</f>
        <v>T185</v>
      </c>
      <c r="C194" t="str">
        <f ca="1">IFERROR(__xludf.DUMMYFUNCTION("""COMPUTED_VALUE"""),"Ben Taylor")</f>
        <v>Ben Taylor</v>
      </c>
      <c r="D194">
        <f ca="1">IFERROR(__xludf.DUMMYFUNCTION("""COMPUTED_VALUE"""),10)</f>
        <v>10</v>
      </c>
      <c r="E194">
        <f ca="1">IFERROR(__xludf.DUMMYFUNCTION("""COMPUTED_VALUE"""),-0.188)</f>
        <v>-0.188</v>
      </c>
      <c r="F194">
        <f ca="1">IFERROR(__xludf.DUMMYFUNCTION("""COMPUTED_VALUE"""),-0.751)</f>
        <v>-0.751</v>
      </c>
      <c r="G194">
        <f ca="1">IFERROR(__xludf.DUMMYFUNCTION("""COMPUTED_VALUE"""),4)</f>
        <v>4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IFERROR(__xludf.DUMMYFUNCTION("""COMPUTED_VALUE"""),"T185")</f>
        <v>T185</v>
      </c>
      <c r="C195" t="str">
        <f ca="1">IFERROR(__xludf.DUMMYFUNCTION("""COMPUTED_VALUE"""),"Hanbyeol Kim")</f>
        <v>Hanbyeol Kim</v>
      </c>
      <c r="D195">
        <f ca="1">IFERROR(__xludf.DUMMYFUNCTION("""COMPUTED_VALUE"""),4)</f>
        <v>4</v>
      </c>
      <c r="E195">
        <f ca="1">IFERROR(__xludf.DUMMYFUNCTION("""COMPUTED_VALUE"""),-0.188)</f>
        <v>-0.188</v>
      </c>
      <c r="F195">
        <f ca="1">IFERROR(__xludf.DUMMYFUNCTION("""COMPUTED_VALUE"""),-0.752)</f>
        <v>-0.752</v>
      </c>
      <c r="G195">
        <f ca="1">IFERROR(__xludf.DUMMYFUNCTION("""COMPUTED_VALUE"""),4)</f>
        <v>4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IFERROR(__xludf.DUMMYFUNCTION("""COMPUTED_VALUE"""),187)</f>
        <v>187</v>
      </c>
      <c r="C196" t="str">
        <f ca="1">IFERROR(__xludf.DUMMYFUNCTION("""COMPUTED_VALUE"""),"Nelson Ledesma")</f>
        <v>Nelson Ledesma</v>
      </c>
      <c r="D196">
        <f ca="1">IFERROR(__xludf.DUMMYFUNCTION("""COMPUTED_VALUE"""),8)</f>
        <v>8</v>
      </c>
      <c r="E196">
        <f ca="1">IFERROR(__xludf.DUMMYFUNCTION("""COMPUTED_VALUE"""),-0.189)</f>
        <v>-0.189</v>
      </c>
      <c r="F196">
        <f ca="1">IFERROR(__xludf.DUMMYFUNCTION("""COMPUTED_VALUE"""),-0.756)</f>
        <v>-0.75600000000000001</v>
      </c>
      <c r="G196">
        <f ca="1">IFERROR(__xludf.DUMMYFUNCTION("""COMPUTED_VALUE"""),4)</f>
        <v>4</v>
      </c>
    </row>
    <row r="197" spans="1:7" ht="12.75">
      <c r="A197">
        <f ca="1">IFERROR(__xludf.DUMMYFUNCTION("""COMPUTED_VALUE"""),196)</f>
        <v>196</v>
      </c>
      <c r="B197" t="str">
        <f ca="1">IFERROR(__xludf.DUMMYFUNCTION("""COMPUTED_VALUE"""),"")</f>
        <v/>
      </c>
      <c r="C197" t="str">
        <f ca="1">IFERROR(__xludf.DUMMYFUNCTION("""COMPUTED_VALUE"""),"Erik Barnes")</f>
        <v>Erik Barnes</v>
      </c>
      <c r="D197">
        <f ca="1">IFERROR(__xludf.DUMMYFUNCTION("""COMPUTED_VALUE"""),4)</f>
        <v>4</v>
      </c>
      <c r="E197">
        <f ca="1">IFERROR(__xludf.DUMMYFUNCTION("""COMPUTED_VALUE"""),-0.193)</f>
        <v>-0.193</v>
      </c>
      <c r="F197">
        <f ca="1">IFERROR(__xludf.DUMMYFUNCTION("""COMPUTED_VALUE"""),-0.771)</f>
        <v>-0.77100000000000002</v>
      </c>
      <c r="G197">
        <f ca="1">IFERROR(__xludf.DUMMYFUNCTION("""COMPUTED_VALUE"""),4)</f>
        <v>4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IFERROR(__xludf.DUMMYFUNCTION("""COMPUTED_VALUE"""),189)</f>
        <v>189</v>
      </c>
      <c r="C198" t="str">
        <f ca="1">IFERROR(__xludf.DUMMYFUNCTION("""COMPUTED_VALUE"""),"Chan Kim")</f>
        <v>Chan Kim</v>
      </c>
      <c r="D198">
        <f ca="1">IFERROR(__xludf.DUMMYFUNCTION("""COMPUTED_VALUE"""),6)</f>
        <v>6</v>
      </c>
      <c r="E198">
        <f ca="1">IFERROR(__xludf.DUMMYFUNCTION("""COMPUTED_VALUE"""),-0.197)</f>
        <v>-0.19700000000000001</v>
      </c>
      <c r="F198">
        <f ca="1">IFERROR(__xludf.DUMMYFUNCTION("""COMPUTED_VALUE"""),-1.181)</f>
        <v>-1.181</v>
      </c>
      <c r="G198">
        <f ca="1">IFERROR(__xludf.DUMMYFUNCTION("""COMPUTED_VALUE"""),6)</f>
        <v>6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IFERROR(__xludf.DUMMYFUNCTION("""COMPUTED_VALUE"""),60)</f>
        <v>60</v>
      </c>
      <c r="C199" t="str">
        <f ca="1">IFERROR(__xludf.DUMMYFUNCTION("""COMPUTED_VALUE"""),"Beau Hossler")</f>
        <v>Beau Hossler</v>
      </c>
      <c r="D199">
        <f ca="1">IFERROR(__xludf.DUMMYFUNCTION("""COMPUTED_VALUE"""),22)</f>
        <v>22</v>
      </c>
      <c r="E199">
        <f ca="1">IFERROR(__xludf.DUMMYFUNCTION("""COMPUTED_VALUE"""),-0.205)</f>
        <v>-0.20499999999999999</v>
      </c>
      <c r="F199">
        <f ca="1">IFERROR(__xludf.DUMMYFUNCTION("""COMPUTED_VALUE"""),-2.864)</f>
        <v>-2.8639999999999999</v>
      </c>
      <c r="G199">
        <f ca="1">IFERROR(__xludf.DUMMYFUNCTION("""COMPUTED_VALUE"""),14)</f>
        <v>14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IFERROR(__xludf.DUMMYFUNCTION("""COMPUTED_VALUE"""),192)</f>
        <v>192</v>
      </c>
      <c r="C200" t="str">
        <f ca="1">IFERROR(__xludf.DUMMYFUNCTION("""COMPUTED_VALUE"""),"Zac Blair")</f>
        <v>Zac Blair</v>
      </c>
      <c r="D200">
        <f ca="1">IFERROR(__xludf.DUMMYFUNCTION("""COMPUTED_VALUE"""),10)</f>
        <v>10</v>
      </c>
      <c r="E200">
        <f ca="1">IFERROR(__xludf.DUMMYFUNCTION("""COMPUTED_VALUE"""),-0.216)</f>
        <v>-0.216</v>
      </c>
      <c r="F200">
        <f ca="1">IFERROR(__xludf.DUMMYFUNCTION("""COMPUTED_VALUE"""),-1.296)</f>
        <v>-1.296</v>
      </c>
      <c r="G200">
        <f ca="1">IFERROR(__xludf.DUMMYFUNCTION("""COMPUTED_VALUE"""),6)</f>
        <v>6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IFERROR(__xludf.DUMMYFUNCTION("""COMPUTED_VALUE"""),203)</f>
        <v>203</v>
      </c>
      <c r="C201" t="str">
        <f ca="1">IFERROR(__xludf.DUMMYFUNCTION("""COMPUTED_VALUE"""),"Sung Kang")</f>
        <v>Sung Kang</v>
      </c>
      <c r="D201">
        <f ca="1">IFERROR(__xludf.DUMMYFUNCTION("""COMPUTED_VALUE"""),14)</f>
        <v>14</v>
      </c>
      <c r="E201">
        <f ca="1">IFERROR(__xludf.DUMMYFUNCTION("""COMPUTED_VALUE"""),-0.22)</f>
        <v>-0.22</v>
      </c>
      <c r="F201">
        <f ca="1">IFERROR(__xludf.DUMMYFUNCTION("""COMPUTED_VALUE"""),-3.083)</f>
        <v>-3.0830000000000002</v>
      </c>
      <c r="G201">
        <f ca="1">IFERROR(__xludf.DUMMYFUNCTION("""COMPUTED_VALUE"""),14)</f>
        <v>14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IFERROR(__xludf.DUMMYFUNCTION("""COMPUTED_VALUE"""),163)</f>
        <v>163</v>
      </c>
      <c r="C202" t="str">
        <f ca="1">IFERROR(__xludf.DUMMYFUNCTION("""COMPUTED_VALUE"""),"Emiliano Grillo")</f>
        <v>Emiliano Grillo</v>
      </c>
      <c r="D202">
        <f ca="1">IFERROR(__xludf.DUMMYFUNCTION("""COMPUTED_VALUE"""),22)</f>
        <v>22</v>
      </c>
      <c r="E202">
        <f ca="1">IFERROR(__xludf.DUMMYFUNCTION("""COMPUTED_VALUE"""),-0.221)</f>
        <v>-0.221</v>
      </c>
      <c r="F202">
        <f ca="1">IFERROR(__xludf.DUMMYFUNCTION("""COMPUTED_VALUE"""),-3.095)</f>
        <v>-3.0950000000000002</v>
      </c>
      <c r="G202">
        <f ca="1">IFERROR(__xludf.DUMMYFUNCTION("""COMPUTED_VALUE"""),14)</f>
        <v>14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IFERROR(__xludf.DUMMYFUNCTION("""COMPUTED_VALUE"""),195)</f>
        <v>195</v>
      </c>
      <c r="C203" t="str">
        <f ca="1">IFERROR(__xludf.DUMMYFUNCTION("""COMPUTED_VALUE"""),"Robert Streb")</f>
        <v>Robert Streb</v>
      </c>
      <c r="D203">
        <f ca="1">IFERROR(__xludf.DUMMYFUNCTION("""COMPUTED_VALUE"""),12)</f>
        <v>12</v>
      </c>
      <c r="E203">
        <f ca="1">IFERROR(__xludf.DUMMYFUNCTION("""COMPUTED_VALUE"""),-0.228)</f>
        <v>-0.22800000000000001</v>
      </c>
      <c r="F203">
        <f ca="1">IFERROR(__xludf.DUMMYFUNCTION("""COMPUTED_VALUE"""),-0.914)</f>
        <v>-0.91400000000000003</v>
      </c>
      <c r="G203">
        <f ca="1">IFERROR(__xludf.DUMMYFUNCTION("""COMPUTED_VALUE"""),4)</f>
        <v>4</v>
      </c>
    </row>
    <row r="204" spans="1:7" ht="12.75">
      <c r="A204">
        <f ca="1">IFERROR(__xludf.DUMMYFUNCTION("""COMPUTED_VALUE"""),203)</f>
        <v>203</v>
      </c>
      <c r="B204" t="str">
        <f ca="1">IFERROR(__xludf.DUMMYFUNCTION("""COMPUTED_VALUE"""),"T100")</f>
        <v>T100</v>
      </c>
      <c r="C204" t="str">
        <f ca="1">IFERROR(__xludf.DUMMYFUNCTION("""COMPUTED_VALUE"""),"Jhonattan Vegas")</f>
        <v>Jhonattan Vegas</v>
      </c>
      <c r="D204">
        <f ca="1">IFERROR(__xludf.DUMMYFUNCTION("""COMPUTED_VALUE"""),16)</f>
        <v>16</v>
      </c>
      <c r="E204">
        <f ca="1">IFERROR(__xludf.DUMMYFUNCTION("""COMPUTED_VALUE"""),-0.231)</f>
        <v>-0.23100000000000001</v>
      </c>
      <c r="F204">
        <f ca="1">IFERROR(__xludf.DUMMYFUNCTION("""COMPUTED_VALUE"""),-2.307)</f>
        <v>-2.3069999999999999</v>
      </c>
      <c r="G204">
        <f ca="1">IFERROR(__xludf.DUMMYFUNCTION("""COMPUTED_VALUE"""),10)</f>
        <v>10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IFERROR(__xludf.DUMMYFUNCTION("""COMPUTED_VALUE"""),196)</f>
        <v>196</v>
      </c>
      <c r="C205" t="str">
        <f ca="1">IFERROR(__xludf.DUMMYFUNCTION("""COMPUTED_VALUE"""),"Kevin Kisner")</f>
        <v>Kevin Kisner</v>
      </c>
      <c r="D205">
        <f ca="1">IFERROR(__xludf.DUMMYFUNCTION("""COMPUTED_VALUE"""),10)</f>
        <v>10</v>
      </c>
      <c r="E205">
        <f ca="1">IFERROR(__xludf.DUMMYFUNCTION("""COMPUTED_VALUE"""),-0.232)</f>
        <v>-0.23200000000000001</v>
      </c>
      <c r="F205">
        <f ca="1">IFERROR(__xludf.DUMMYFUNCTION("""COMPUTED_VALUE"""),-2.324)</f>
        <v>-2.3239999999999998</v>
      </c>
      <c r="G205">
        <f ca="1">IFERROR(__xludf.DUMMYFUNCTION("""COMPUTED_VALUE"""),10)</f>
        <v>10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IFERROR(__xludf.DUMMYFUNCTION("""COMPUTED_VALUE"""),197)</f>
        <v>197</v>
      </c>
      <c r="C206" t="str">
        <f ca="1">IFERROR(__xludf.DUMMYFUNCTION("""COMPUTED_VALUE"""),"Naoki Sekito")</f>
        <v>Naoki Sekito</v>
      </c>
      <c r="D206">
        <f ca="1">IFERROR(__xludf.DUMMYFUNCTION("""COMPUTED_VALUE"""),4)</f>
        <v>4</v>
      </c>
      <c r="E206">
        <f ca="1">IFERROR(__xludf.DUMMYFUNCTION("""COMPUTED_VALUE"""),-0.234)</f>
        <v>-0.23400000000000001</v>
      </c>
      <c r="F206">
        <f ca="1">IFERROR(__xludf.DUMMYFUNCTION("""COMPUTED_VALUE"""),-0.936)</f>
        <v>-0.93600000000000005</v>
      </c>
      <c r="G206">
        <f ca="1">IFERROR(__xludf.DUMMYFUNCTION("""COMPUTED_VALUE"""),4)</f>
        <v>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IFERROR(__xludf.DUMMYFUNCTION("""COMPUTED_VALUE"""),199)</f>
        <v>199</v>
      </c>
      <c r="C207" t="str">
        <f ca="1">IFERROR(__xludf.DUMMYFUNCTION("""COMPUTED_VALUE"""),"Steve Lewton")</f>
        <v>Steve Lewton</v>
      </c>
      <c r="D207">
        <f ca="1">IFERROR(__xludf.DUMMYFUNCTION("""COMPUTED_VALUE"""),4)</f>
        <v>4</v>
      </c>
      <c r="E207">
        <f ca="1">IFERROR(__xludf.DUMMYFUNCTION("""COMPUTED_VALUE"""),-0.246)</f>
        <v>-0.246</v>
      </c>
      <c r="F207">
        <f ca="1">IFERROR(__xludf.DUMMYFUNCTION("""COMPUTED_VALUE"""),-0.983)</f>
        <v>-0.98299999999999998</v>
      </c>
      <c r="G207">
        <f ca="1">IFERROR(__xludf.DUMMYFUNCTION("""COMPUTED_VALUE"""),4)</f>
        <v>4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IFERROR(__xludf.DUMMYFUNCTION("""COMPUTED_VALUE"""),190)</f>
        <v>190</v>
      </c>
      <c r="C208" t="str">
        <f ca="1">IFERROR(__xludf.DUMMYFUNCTION("""COMPUTED_VALUE"""),"Sean O'Hair")</f>
        <v>Sean O'Hair</v>
      </c>
      <c r="D208">
        <f ca="1">IFERROR(__xludf.DUMMYFUNCTION("""COMPUTED_VALUE"""),14)</f>
        <v>14</v>
      </c>
      <c r="E208">
        <f ca="1">IFERROR(__xludf.DUMMYFUNCTION("""COMPUTED_VALUE"""),-0.25)</f>
        <v>-0.25</v>
      </c>
      <c r="F208">
        <f ca="1">IFERROR(__xludf.DUMMYFUNCTION("""COMPUTED_VALUE"""),-2.503)</f>
        <v>-2.5030000000000001</v>
      </c>
      <c r="G208">
        <f ca="1">IFERROR(__xludf.DUMMYFUNCTION("""COMPUTED_VALUE"""),10)</f>
        <v>10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IFERROR(__xludf.DUMMYFUNCTION("""COMPUTED_VALUE"""),200)</f>
        <v>200</v>
      </c>
      <c r="C209" t="str">
        <f ca="1">IFERROR(__xludf.DUMMYFUNCTION("""COMPUTED_VALUE"""),"Marc Leishman")</f>
        <v>Marc Leishman</v>
      </c>
      <c r="D209">
        <f ca="1">IFERROR(__xludf.DUMMYFUNCTION("""COMPUTED_VALUE"""),10)</f>
        <v>10</v>
      </c>
      <c r="E209">
        <f ca="1">IFERROR(__xludf.DUMMYFUNCTION("""COMPUTED_VALUE"""),-0.26)</f>
        <v>-0.26</v>
      </c>
      <c r="F209">
        <f ca="1">IFERROR(__xludf.DUMMYFUNCTION("""COMPUTED_VALUE"""),-2.604)</f>
        <v>-2.6040000000000001</v>
      </c>
      <c r="G209">
        <f ca="1">IFERROR(__xludf.DUMMYFUNCTION("""COMPUTED_VALUE"""),10)</f>
        <v>10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IFERROR(__xludf.DUMMYFUNCTION("""COMPUTED_VALUE"""),153)</f>
        <v>153</v>
      </c>
      <c r="C210" t="str">
        <f ca="1">IFERROR(__xludf.DUMMYFUNCTION("""COMPUTED_VALUE"""),"Luke Donald")</f>
        <v>Luke Donald</v>
      </c>
      <c r="D210">
        <f ca="1">IFERROR(__xludf.DUMMYFUNCTION("""COMPUTED_VALUE"""),14)</f>
        <v>14</v>
      </c>
      <c r="E210">
        <f ca="1">IFERROR(__xludf.DUMMYFUNCTION("""COMPUTED_VALUE"""),-0.263)</f>
        <v>-0.26300000000000001</v>
      </c>
      <c r="F210">
        <f ca="1">IFERROR(__xludf.DUMMYFUNCTION("""COMPUTED_VALUE"""),-2.627)</f>
        <v>-2.6269999999999998</v>
      </c>
      <c r="G210">
        <f ca="1">IFERROR(__xludf.DUMMYFUNCTION("""COMPUTED_VALUE"""),10)</f>
        <v>10</v>
      </c>
    </row>
    <row r="211" spans="1:7" ht="12.75">
      <c r="A211">
        <f ca="1">IFERROR(__xludf.DUMMYFUNCTION("""COMPUTED_VALUE"""),210)</f>
        <v>210</v>
      </c>
      <c r="B211">
        <f ca="1">IFERROR(__xludf.DUMMYFUNCTION("""COMPUTED_VALUE"""),254)</f>
        <v>254</v>
      </c>
      <c r="C211" t="str">
        <f ca="1">IFERROR(__xludf.DUMMYFUNCTION("""COMPUTED_VALUE"""),"Kramer Hickok")</f>
        <v>Kramer Hickok</v>
      </c>
      <c r="D211">
        <f ca="1">IFERROR(__xludf.DUMMYFUNCTION("""COMPUTED_VALUE"""),16)</f>
        <v>16</v>
      </c>
      <c r="E211">
        <f ca="1">IFERROR(__xludf.DUMMYFUNCTION("""COMPUTED_VALUE"""),-0.281)</f>
        <v>-0.28100000000000003</v>
      </c>
      <c r="F211">
        <f ca="1">IFERROR(__xludf.DUMMYFUNCTION("""COMPUTED_VALUE"""),-2.248)</f>
        <v>-2.2480000000000002</v>
      </c>
      <c r="G211">
        <f ca="1">IFERROR(__xludf.DUMMYFUNCTION("""COMPUTED_VALUE"""),8)</f>
        <v>8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IFERROR(__xludf.DUMMYFUNCTION("""COMPUTED_VALUE"""),191)</f>
        <v>191</v>
      </c>
      <c r="C212" t="str">
        <f ca="1">IFERROR(__xludf.DUMMYFUNCTION("""COMPUTED_VALUE"""),"Lanto Griffin")</f>
        <v>Lanto Griffin</v>
      </c>
      <c r="D212">
        <f ca="1">IFERROR(__xludf.DUMMYFUNCTION("""COMPUTED_VALUE"""),18)</f>
        <v>18</v>
      </c>
      <c r="E212">
        <f ca="1">IFERROR(__xludf.DUMMYFUNCTION("""COMPUTED_VALUE"""),-0.289)</f>
        <v>-0.28899999999999998</v>
      </c>
      <c r="F212">
        <f ca="1">IFERROR(__xludf.DUMMYFUNCTION("""COMPUTED_VALUE"""),-5.195)</f>
        <v>-5.1950000000000003</v>
      </c>
      <c r="G212">
        <f ca="1">IFERROR(__xludf.DUMMYFUNCTION("""COMPUTED_VALUE"""),18)</f>
        <v>18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IFERROR(__xludf.DUMMYFUNCTION("""COMPUTED_VALUE"""),223)</f>
        <v>223</v>
      </c>
      <c r="C213" t="str">
        <f ca="1">IFERROR(__xludf.DUMMYFUNCTION("""COMPUTED_VALUE"""),"Sam Burns")</f>
        <v>Sam Burns</v>
      </c>
      <c r="D213">
        <f ca="1">IFERROR(__xludf.DUMMYFUNCTION("""COMPUTED_VALUE"""),18)</f>
        <v>18</v>
      </c>
      <c r="E213">
        <f ca="1">IFERROR(__xludf.DUMMYFUNCTION("""COMPUTED_VALUE"""),-0.298)</f>
        <v>-0.29799999999999999</v>
      </c>
      <c r="F213">
        <f ca="1">IFERROR(__xludf.DUMMYFUNCTION("""COMPUTED_VALUE"""),-4.175)</f>
        <v>-4.1749999999999998</v>
      </c>
      <c r="G213">
        <f ca="1">IFERROR(__xludf.DUMMYFUNCTION("""COMPUTED_VALUE"""),14)</f>
        <v>14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IFERROR(__xludf.DUMMYFUNCTION("""COMPUTED_VALUE"""),188)</f>
        <v>188</v>
      </c>
      <c r="C214" t="str">
        <f ca="1">IFERROR(__xludf.DUMMYFUNCTION("""COMPUTED_VALUE"""),"Rory Sabbatini")</f>
        <v>Rory Sabbatini</v>
      </c>
      <c r="D214">
        <f ca="1">IFERROR(__xludf.DUMMYFUNCTION("""COMPUTED_VALUE"""),13)</f>
        <v>13</v>
      </c>
      <c r="E214">
        <f ca="1">IFERROR(__xludf.DUMMYFUNCTION("""COMPUTED_VALUE"""),-0.3)</f>
        <v>-0.3</v>
      </c>
      <c r="F214">
        <f ca="1">IFERROR(__xludf.DUMMYFUNCTION("""COMPUTED_VALUE"""),-3.895)</f>
        <v>-3.895</v>
      </c>
      <c r="G214">
        <f ca="1">IFERROR(__xludf.DUMMYFUNCTION("""COMPUTED_VALUE"""),13)</f>
        <v>13</v>
      </c>
    </row>
    <row r="215" spans="1:7" ht="12.75">
      <c r="A215">
        <f ca="1">IFERROR(__xludf.DUMMYFUNCTION("""COMPUTED_VALUE"""),214)</f>
        <v>214</v>
      </c>
      <c r="B215" t="str">
        <f ca="1">IFERROR(__xludf.DUMMYFUNCTION("""COMPUTED_VALUE"""),"T135")</f>
        <v>T135</v>
      </c>
      <c r="C215" t="str">
        <f ca="1">IFERROR(__xludf.DUMMYFUNCTION("""COMPUTED_VALUE"""),"Cameron Davis")</f>
        <v>Cameron Davis</v>
      </c>
      <c r="D215">
        <f ca="1">IFERROR(__xludf.DUMMYFUNCTION("""COMPUTED_VALUE"""),16)</f>
        <v>16</v>
      </c>
      <c r="E215">
        <f ca="1">IFERROR(__xludf.DUMMYFUNCTION("""COMPUTED_VALUE"""),-0.33)</f>
        <v>-0.33</v>
      </c>
      <c r="F215">
        <f ca="1">IFERROR(__xludf.DUMMYFUNCTION("""COMPUTED_VALUE"""),-5.277)</f>
        <v>-5.2770000000000001</v>
      </c>
      <c r="G215">
        <f ca="1">IFERROR(__xludf.DUMMYFUNCTION("""COMPUTED_VALUE"""),16)</f>
        <v>16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IFERROR(__xludf.DUMMYFUNCTION("""COMPUTED_VALUE"""),260)</f>
        <v>260</v>
      </c>
      <c r="C216" t="str">
        <f ca="1">IFERROR(__xludf.DUMMYFUNCTION("""COMPUTED_VALUE"""),"Satoshi Kodaira")</f>
        <v>Satoshi Kodaira</v>
      </c>
      <c r="D216">
        <f ca="1">IFERROR(__xludf.DUMMYFUNCTION("""COMPUTED_VALUE"""),12)</f>
        <v>12</v>
      </c>
      <c r="E216">
        <f ca="1">IFERROR(__xludf.DUMMYFUNCTION("""COMPUTED_VALUE"""),-0.331)</f>
        <v>-0.33100000000000002</v>
      </c>
      <c r="F216">
        <f ca="1">IFERROR(__xludf.DUMMYFUNCTION("""COMPUTED_VALUE"""),-3.968)</f>
        <v>-3.968</v>
      </c>
      <c r="G216">
        <f ca="1">IFERROR(__xludf.DUMMYFUNCTION("""COMPUTED_VALUE"""),12)</f>
        <v>12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IFERROR(__xludf.DUMMYFUNCTION("""COMPUTED_VALUE"""),208)</f>
        <v>208</v>
      </c>
      <c r="C217" t="str">
        <f ca="1">IFERROR(__xludf.DUMMYFUNCTION("""COMPUTED_VALUE"""),"Ryan Brehm")</f>
        <v>Ryan Brehm</v>
      </c>
      <c r="D217">
        <f ca="1">IFERROR(__xludf.DUMMYFUNCTION("""COMPUTED_VALUE"""),10)</f>
        <v>10</v>
      </c>
      <c r="E217">
        <f ca="1">IFERROR(__xludf.DUMMYFUNCTION("""COMPUTED_VALUE"""),-0.333)</f>
        <v>-0.33300000000000002</v>
      </c>
      <c r="F217">
        <f ca="1">IFERROR(__xludf.DUMMYFUNCTION("""COMPUTED_VALUE"""),-0.667)</f>
        <v>-0.66700000000000004</v>
      </c>
      <c r="G217">
        <f ca="1">IFERROR(__xludf.DUMMYFUNCTION("""COMPUTED_VALUE"""),2)</f>
        <v>2</v>
      </c>
    </row>
    <row r="218" spans="1:7" ht="12.75">
      <c r="A218" t="str">
        <f ca="1">IFERROR(__xludf.DUMMYFUNCTION("""COMPUTED_VALUE"""),"T217")</f>
        <v>T217</v>
      </c>
      <c r="B218">
        <f ca="1">IFERROR(__xludf.DUMMYFUNCTION("""COMPUTED_VALUE"""),239)</f>
        <v>239</v>
      </c>
      <c r="C218" t="str">
        <f ca="1">IFERROR(__xludf.DUMMYFUNCTION("""COMPUTED_VALUE"""),"Scott Brown")</f>
        <v>Scott Brown</v>
      </c>
      <c r="D218">
        <f ca="1">IFERROR(__xludf.DUMMYFUNCTION("""COMPUTED_VALUE"""),14)</f>
        <v>14</v>
      </c>
      <c r="E218">
        <f ca="1">IFERROR(__xludf.DUMMYFUNCTION("""COMPUTED_VALUE"""),-0.344)</f>
        <v>-0.34399999999999997</v>
      </c>
      <c r="F218">
        <f ca="1">IFERROR(__xludf.DUMMYFUNCTION("""COMPUTED_VALUE"""),-3.442)</f>
        <v>-3.4420000000000002</v>
      </c>
      <c r="G218">
        <f ca="1">IFERROR(__xludf.DUMMYFUNCTION("""COMPUTED_VALUE"""),10)</f>
        <v>10</v>
      </c>
    </row>
    <row r="219" spans="1:7" ht="12.75">
      <c r="A219" t="str">
        <f ca="1">IFERROR(__xludf.DUMMYFUNCTION("""COMPUTED_VALUE"""),"T217")</f>
        <v>T217</v>
      </c>
      <c r="B219">
        <f ca="1">IFERROR(__xludf.DUMMYFUNCTION("""COMPUTED_VALUE"""),165)</f>
        <v>165</v>
      </c>
      <c r="C219" t="str">
        <f ca="1">IFERROR(__xludf.DUMMYFUNCTION("""COMPUTED_VALUE"""),"Vaughn Taylor")</f>
        <v>Vaughn Taylor</v>
      </c>
      <c r="D219">
        <f ca="1">IFERROR(__xludf.DUMMYFUNCTION("""COMPUTED_VALUE"""),12)</f>
        <v>12</v>
      </c>
      <c r="E219">
        <f ca="1">IFERROR(__xludf.DUMMYFUNCTION("""COMPUTED_VALUE"""),-0.344)</f>
        <v>-0.34399999999999997</v>
      </c>
      <c r="F219">
        <f ca="1">IFERROR(__xludf.DUMMYFUNCTION("""COMPUTED_VALUE"""),-2.064)</f>
        <v>-2.0640000000000001</v>
      </c>
      <c r="G219">
        <f ca="1">IFERROR(__xludf.DUMMYFUNCTION("""COMPUTED_VALUE"""),6)</f>
        <v>6</v>
      </c>
    </row>
    <row r="220" spans="1:7" ht="12.75">
      <c r="A220" t="str">
        <f ca="1">IFERROR(__xludf.DUMMYFUNCTION("""COMPUTED_VALUE"""),"T217")</f>
        <v>T217</v>
      </c>
      <c r="B220">
        <f ca="1">IFERROR(__xludf.DUMMYFUNCTION("""COMPUTED_VALUE"""),170)</f>
        <v>170</v>
      </c>
      <c r="C220" t="str">
        <f ca="1">IFERROR(__xludf.DUMMYFUNCTION("""COMPUTED_VALUE"""),"David Hearn")</f>
        <v>David Hearn</v>
      </c>
      <c r="D220">
        <f ca="1">IFERROR(__xludf.DUMMYFUNCTION("""COMPUTED_VALUE"""),16)</f>
        <v>16</v>
      </c>
      <c r="E220">
        <f ca="1">IFERROR(__xludf.DUMMYFUNCTION("""COMPUTED_VALUE"""),-0.344)</f>
        <v>-0.34399999999999997</v>
      </c>
      <c r="F220">
        <f ca="1">IFERROR(__xludf.DUMMYFUNCTION("""COMPUTED_VALUE"""),-2.755)</f>
        <v>-2.7549999999999999</v>
      </c>
      <c r="G220">
        <f ca="1">IFERROR(__xludf.DUMMYFUNCTION("""COMPUTED_VALUE"""),8)</f>
        <v>8</v>
      </c>
    </row>
    <row r="221" spans="1:7" ht="12.75">
      <c r="A221" t="str">
        <f ca="1">IFERROR(__xludf.DUMMYFUNCTION("""COMPUTED_VALUE"""),"T217")</f>
        <v>T217</v>
      </c>
      <c r="B221">
        <f ca="1">IFERROR(__xludf.DUMMYFUNCTION("""COMPUTED_VALUE"""),242)</f>
        <v>242</v>
      </c>
      <c r="C221" t="str">
        <f ca="1">IFERROR(__xludf.DUMMYFUNCTION("""COMPUTED_VALUE"""),"Adam Long")</f>
        <v>Adam Long</v>
      </c>
      <c r="D221">
        <f ca="1">IFERROR(__xludf.DUMMYFUNCTION("""COMPUTED_VALUE"""),22)</f>
        <v>22</v>
      </c>
      <c r="E221">
        <f ca="1">IFERROR(__xludf.DUMMYFUNCTION("""COMPUTED_VALUE"""),-0.344)</f>
        <v>-0.34399999999999997</v>
      </c>
      <c r="F221">
        <f ca="1">IFERROR(__xludf.DUMMYFUNCTION("""COMPUTED_VALUE"""),-6.189)</f>
        <v>-6.1890000000000001</v>
      </c>
      <c r="G221">
        <f ca="1">IFERROR(__xludf.DUMMYFUNCTION("""COMPUTED_VALUE"""),18)</f>
        <v>18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IFERROR(__xludf.DUMMYFUNCTION("""COMPUTED_VALUE"""),215)</f>
        <v>215</v>
      </c>
      <c r="C222" t="str">
        <f ca="1">IFERROR(__xludf.DUMMYFUNCTION("""COMPUTED_VALUE"""),"Scott Stallings")</f>
        <v>Scott Stallings</v>
      </c>
      <c r="D222">
        <f ca="1">IFERROR(__xludf.DUMMYFUNCTION("""COMPUTED_VALUE"""),14)</f>
        <v>14</v>
      </c>
      <c r="E222">
        <f ca="1">IFERROR(__xludf.DUMMYFUNCTION("""COMPUTED_VALUE"""),-0.359)</f>
        <v>-0.35899999999999999</v>
      </c>
      <c r="F222">
        <f ca="1">IFERROR(__xludf.DUMMYFUNCTION("""COMPUTED_VALUE"""),-3.591)</f>
        <v>-3.5910000000000002</v>
      </c>
      <c r="G222">
        <f ca="1">IFERROR(__xludf.DUMMYFUNCTION("""COMPUTED_VALUE"""),10)</f>
        <v>10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IFERROR(__xludf.DUMMYFUNCTION("""COMPUTED_VALUE"""),213)</f>
        <v>213</v>
      </c>
      <c r="C223" t="str">
        <f ca="1">IFERROR(__xludf.DUMMYFUNCTION("""COMPUTED_VALUE"""),"Jim Herman")</f>
        <v>Jim Herman</v>
      </c>
      <c r="D223">
        <f ca="1">IFERROR(__xludf.DUMMYFUNCTION("""COMPUTED_VALUE"""),12)</f>
        <v>12</v>
      </c>
      <c r="E223">
        <f ca="1">IFERROR(__xludf.DUMMYFUNCTION("""COMPUTED_VALUE"""),-0.367)</f>
        <v>-0.36699999999999999</v>
      </c>
      <c r="F223">
        <f ca="1">IFERROR(__xludf.DUMMYFUNCTION("""COMPUTED_VALUE"""),-4.401)</f>
        <v>-4.4009999999999998</v>
      </c>
      <c r="G223">
        <f ca="1">IFERROR(__xludf.DUMMYFUNCTION("""COMPUTED_VALUE"""),12)</f>
        <v>12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IFERROR(__xludf.DUMMYFUNCTION("""COMPUTED_VALUE"""),211)</f>
        <v>211</v>
      </c>
      <c r="C224" t="str">
        <f ca="1">IFERROR(__xludf.DUMMYFUNCTION("""COMPUTED_VALUE"""),"Sungjae Im")</f>
        <v>Sungjae Im</v>
      </c>
      <c r="D224">
        <f ca="1">IFERROR(__xludf.DUMMYFUNCTION("""COMPUTED_VALUE"""),24)</f>
        <v>24</v>
      </c>
      <c r="E224">
        <f ca="1">IFERROR(__xludf.DUMMYFUNCTION("""COMPUTED_VALUE"""),-0.368)</f>
        <v>-0.36799999999999999</v>
      </c>
      <c r="F224">
        <f ca="1">IFERROR(__xludf.DUMMYFUNCTION("""COMPUTED_VALUE"""),-8.823)</f>
        <v>-8.8230000000000004</v>
      </c>
      <c r="G224">
        <f ca="1">IFERROR(__xludf.DUMMYFUNCTION("""COMPUTED_VALUE"""),24)</f>
        <v>24</v>
      </c>
    </row>
    <row r="225" spans="1:7" ht="12.75">
      <c r="A225" t="str">
        <f ca="1">IFERROR(__xludf.DUMMYFUNCTION("""COMPUTED_VALUE"""),"T224")</f>
        <v>T224</v>
      </c>
      <c r="B225">
        <f ca="1">IFERROR(__xludf.DUMMYFUNCTION("""COMPUTED_VALUE"""),214)</f>
        <v>214</v>
      </c>
      <c r="C225" t="str">
        <f ca="1">IFERROR(__xludf.DUMMYFUNCTION("""COMPUTED_VALUE"""),"Sebastian Cappelen")</f>
        <v>Sebastian Cappelen</v>
      </c>
      <c r="D225">
        <f ca="1">IFERROR(__xludf.DUMMYFUNCTION("""COMPUTED_VALUE"""),8)</f>
        <v>8</v>
      </c>
      <c r="E225">
        <f ca="1">IFERROR(__xludf.DUMMYFUNCTION("""COMPUTED_VALUE"""),-0.376)</f>
        <v>-0.376</v>
      </c>
      <c r="F225">
        <f ca="1">IFERROR(__xludf.DUMMYFUNCTION("""COMPUTED_VALUE"""),-1.506)</f>
        <v>-1.506</v>
      </c>
      <c r="G225">
        <f ca="1">IFERROR(__xludf.DUMMYFUNCTION("""COMPUTED_VALUE"""),4)</f>
        <v>4</v>
      </c>
    </row>
    <row r="226" spans="1:7" ht="12.75">
      <c r="A226" t="str">
        <f ca="1">IFERROR(__xludf.DUMMYFUNCTION("""COMPUTED_VALUE"""),"T224")</f>
        <v>T224</v>
      </c>
      <c r="B226">
        <f ca="1">IFERROR(__xludf.DUMMYFUNCTION("""COMPUTED_VALUE"""),227)</f>
        <v>227</v>
      </c>
      <c r="C226" t="str">
        <f ca="1">IFERROR(__xludf.DUMMYFUNCTION("""COMPUTED_VALUE"""),"Graham DeLaet")</f>
        <v>Graham DeLaet</v>
      </c>
      <c r="D226">
        <f ca="1">IFERROR(__xludf.DUMMYFUNCTION("""COMPUTED_VALUE"""),9)</f>
        <v>9</v>
      </c>
      <c r="E226">
        <f ca="1">IFERROR(__xludf.DUMMYFUNCTION("""COMPUTED_VALUE"""),-0.376)</f>
        <v>-0.376</v>
      </c>
      <c r="F226">
        <f ca="1">IFERROR(__xludf.DUMMYFUNCTION("""COMPUTED_VALUE"""),-1.881)</f>
        <v>-1.881</v>
      </c>
      <c r="G226">
        <f ca="1">IFERROR(__xludf.DUMMYFUNCTION("""COMPUTED_VALUE"""),5)</f>
        <v>5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IFERROR(__xludf.DUMMYFUNCTION("""COMPUTED_VALUE"""),212)</f>
        <v>212</v>
      </c>
      <c r="C227" t="str">
        <f ca="1">IFERROR(__xludf.DUMMYFUNCTION("""COMPUTED_VALUE"""),"Henrik Norlander")</f>
        <v>Henrik Norlander</v>
      </c>
      <c r="D227">
        <f ca="1">IFERROR(__xludf.DUMMYFUNCTION("""COMPUTED_VALUE"""),16)</f>
        <v>16</v>
      </c>
      <c r="E227">
        <f ca="1">IFERROR(__xludf.DUMMYFUNCTION("""COMPUTED_VALUE"""),-0.377)</f>
        <v>-0.377</v>
      </c>
      <c r="F227">
        <f ca="1">IFERROR(__xludf.DUMMYFUNCTION("""COMPUTED_VALUE"""),-4.523)</f>
        <v>-4.5229999999999997</v>
      </c>
      <c r="G227">
        <f ca="1">IFERROR(__xludf.DUMMYFUNCTION("""COMPUTED_VALUE"""),12)</f>
        <v>12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IFERROR(__xludf.DUMMYFUNCTION("""COMPUTED_VALUE"""),216)</f>
        <v>216</v>
      </c>
      <c r="C228" t="str">
        <f ca="1">IFERROR(__xludf.DUMMYFUNCTION("""COMPUTED_VALUE"""),"Dominic Bozzelli")</f>
        <v>Dominic Bozzelli</v>
      </c>
      <c r="D228">
        <f ca="1">IFERROR(__xludf.DUMMYFUNCTION("""COMPUTED_VALUE"""),8)</f>
        <v>8</v>
      </c>
      <c r="E228">
        <f ca="1">IFERROR(__xludf.DUMMYFUNCTION("""COMPUTED_VALUE"""),-0.385)</f>
        <v>-0.38500000000000001</v>
      </c>
      <c r="F228">
        <f ca="1">IFERROR(__xludf.DUMMYFUNCTION("""COMPUTED_VALUE"""),-0.771)</f>
        <v>-0.77100000000000002</v>
      </c>
      <c r="G228">
        <f ca="1">IFERROR(__xludf.DUMMYFUNCTION("""COMPUTED_VALUE"""),2)</f>
        <v>2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IFERROR(__xludf.DUMMYFUNCTION("""COMPUTED_VALUE"""),217)</f>
        <v>217</v>
      </c>
      <c r="C229" t="str">
        <f ca="1">IFERROR(__xludf.DUMMYFUNCTION("""COMPUTED_VALUE"""),"Daniel Berger")</f>
        <v>Daniel Berger</v>
      </c>
      <c r="D229">
        <f ca="1">IFERROR(__xludf.DUMMYFUNCTION("""COMPUTED_VALUE"""),12)</f>
        <v>12</v>
      </c>
      <c r="E229">
        <f ca="1">IFERROR(__xludf.DUMMYFUNCTION("""COMPUTED_VALUE"""),-0.386)</f>
        <v>-0.38600000000000001</v>
      </c>
      <c r="F229">
        <f ca="1">IFERROR(__xludf.DUMMYFUNCTION("""COMPUTED_VALUE"""),-4.628)</f>
        <v>-4.6280000000000001</v>
      </c>
      <c r="G229">
        <f ca="1">IFERROR(__xludf.DUMMYFUNCTION("""COMPUTED_VALUE"""),12)</f>
        <v>12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IFERROR(__xludf.DUMMYFUNCTION("""COMPUTED_VALUE"""),207)</f>
        <v>207</v>
      </c>
      <c r="C230" t="str">
        <f ca="1">IFERROR(__xludf.DUMMYFUNCTION("""COMPUTED_VALUE"""),"Tyler Duncan")</f>
        <v>Tyler Duncan</v>
      </c>
      <c r="D230">
        <f ca="1">IFERROR(__xludf.DUMMYFUNCTION("""COMPUTED_VALUE"""),18)</f>
        <v>18</v>
      </c>
      <c r="E230">
        <f ca="1">IFERROR(__xludf.DUMMYFUNCTION("""COMPUTED_VALUE"""),-0.403)</f>
        <v>-0.40300000000000002</v>
      </c>
      <c r="F230">
        <f ca="1">IFERROR(__xludf.DUMMYFUNCTION("""COMPUTED_VALUE"""),-7.254)</f>
        <v>-7.2539999999999996</v>
      </c>
      <c r="G230">
        <f ca="1">IFERROR(__xludf.DUMMYFUNCTION("""COMPUTED_VALUE"""),18)</f>
        <v>18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IFERROR(__xludf.DUMMYFUNCTION("""COMPUTED_VALUE"""),225)</f>
        <v>225</v>
      </c>
      <c r="C231" t="str">
        <f ca="1">IFERROR(__xludf.DUMMYFUNCTION("""COMPUTED_VALUE"""),"Tyrrell Hatton")</f>
        <v>Tyrrell Hatton</v>
      </c>
      <c r="D231">
        <f ca="1">IFERROR(__xludf.DUMMYFUNCTION("""COMPUTED_VALUE"""),14)</f>
        <v>14</v>
      </c>
      <c r="E231">
        <f ca="1">IFERROR(__xludf.DUMMYFUNCTION("""COMPUTED_VALUE"""),-0.412)</f>
        <v>-0.41199999999999998</v>
      </c>
      <c r="F231">
        <f ca="1">IFERROR(__xludf.DUMMYFUNCTION("""COMPUTED_VALUE"""),-5.768)</f>
        <v>-5.7679999999999998</v>
      </c>
      <c r="G231">
        <f ca="1">IFERROR(__xludf.DUMMYFUNCTION("""COMPUTED_VALUE"""),14)</f>
        <v>14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IFERROR(__xludf.DUMMYFUNCTION("""COMPUTED_VALUE"""),218)</f>
        <v>218</v>
      </c>
      <c r="C232" t="str">
        <f ca="1">IFERROR(__xludf.DUMMYFUNCTION("""COMPUTED_VALUE"""),"Chase Seiffert")</f>
        <v>Chase Seiffert</v>
      </c>
      <c r="D232">
        <f ca="1">IFERROR(__xludf.DUMMYFUNCTION("""COMPUTED_VALUE"""),14)</f>
        <v>14</v>
      </c>
      <c r="E232">
        <f ca="1">IFERROR(__xludf.DUMMYFUNCTION("""COMPUTED_VALUE"""),-0.413)</f>
        <v>-0.41299999999999998</v>
      </c>
      <c r="F232">
        <f ca="1">IFERROR(__xludf.DUMMYFUNCTION("""COMPUTED_VALUE"""),-3.303)</f>
        <v>-3.3029999999999999</v>
      </c>
      <c r="G232">
        <f ca="1">IFERROR(__xludf.DUMMYFUNCTION("""COMPUTED_VALUE"""),8)</f>
        <v>8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IFERROR(__xludf.DUMMYFUNCTION("""COMPUTED_VALUE"""),219)</f>
        <v>219</v>
      </c>
      <c r="C233" t="str">
        <f ca="1">IFERROR(__xludf.DUMMYFUNCTION("""COMPUTED_VALUE"""),"Matthew Wolff")</f>
        <v>Matthew Wolff</v>
      </c>
      <c r="D233">
        <f ca="1">IFERROR(__xludf.DUMMYFUNCTION("""COMPUTED_VALUE"""),16)</f>
        <v>16</v>
      </c>
      <c r="E233">
        <f ca="1">IFERROR(__xludf.DUMMYFUNCTION("""COMPUTED_VALUE"""),-0.423)</f>
        <v>-0.42299999999999999</v>
      </c>
      <c r="F233">
        <f ca="1">IFERROR(__xludf.DUMMYFUNCTION("""COMPUTED_VALUE"""),-6.775)</f>
        <v>-6.7750000000000004</v>
      </c>
      <c r="G233">
        <f ca="1">IFERROR(__xludf.DUMMYFUNCTION("""COMPUTED_VALUE"""),16)</f>
        <v>16</v>
      </c>
    </row>
    <row r="234" spans="1:7" ht="12.75">
      <c r="A234" t="str">
        <f ca="1">IFERROR(__xludf.DUMMYFUNCTION("""COMPUTED_VALUE"""),"T233")</f>
        <v>T233</v>
      </c>
      <c r="B234" t="str">
        <f ca="1">IFERROR(__xludf.DUMMYFUNCTION("""COMPUTED_VALUE"""),"T220")</f>
        <v>T220</v>
      </c>
      <c r="C234" t="str">
        <f ca="1">IFERROR(__xludf.DUMMYFUNCTION("""COMPUTED_VALUE"""),"MJ Daffue")</f>
        <v>MJ Daffue</v>
      </c>
      <c r="D234">
        <f ca="1">IFERROR(__xludf.DUMMYFUNCTION("""COMPUTED_VALUE"""),10)</f>
        <v>10</v>
      </c>
      <c r="E234">
        <f ca="1">IFERROR(__xludf.DUMMYFUNCTION("""COMPUTED_VALUE"""),-0.426)</f>
        <v>-0.42599999999999999</v>
      </c>
      <c r="F234">
        <f ca="1">IFERROR(__xludf.DUMMYFUNCTION("""COMPUTED_VALUE"""),-4.263)</f>
        <v>-4.2629999999999999</v>
      </c>
      <c r="G234">
        <f ca="1">IFERROR(__xludf.DUMMYFUNCTION("""COMPUTED_VALUE"""),10)</f>
        <v>10</v>
      </c>
    </row>
    <row r="235" spans="1:7" ht="12.75">
      <c r="A235" t="str">
        <f ca="1">IFERROR(__xludf.DUMMYFUNCTION("""COMPUTED_VALUE"""),"T233")</f>
        <v>T233</v>
      </c>
      <c r="B235" t="str">
        <f ca="1">IFERROR(__xludf.DUMMYFUNCTION("""COMPUTED_VALUE"""),"T220")</f>
        <v>T220</v>
      </c>
      <c r="C235" t="str">
        <f ca="1">IFERROR(__xludf.DUMMYFUNCTION("""COMPUTED_VALUE"""),"Nick Taylor")</f>
        <v>Nick Taylor</v>
      </c>
      <c r="D235">
        <f ca="1">IFERROR(__xludf.DUMMYFUNCTION("""COMPUTED_VALUE"""),12)</f>
        <v>12</v>
      </c>
      <c r="E235">
        <f ca="1">IFERROR(__xludf.DUMMYFUNCTION("""COMPUTED_VALUE"""),-0.426)</f>
        <v>-0.42599999999999999</v>
      </c>
      <c r="F235">
        <f ca="1">IFERROR(__xludf.DUMMYFUNCTION("""COMPUTED_VALUE"""),-5.106)</f>
        <v>-5.1059999999999999</v>
      </c>
      <c r="G235">
        <f ca="1">IFERROR(__xludf.DUMMYFUNCTION("""COMPUTED_VALUE"""),12)</f>
        <v>12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IFERROR(__xludf.DUMMYFUNCTION("""COMPUTED_VALUE"""),222)</f>
        <v>222</v>
      </c>
      <c r="C236" t="str">
        <f ca="1">IFERROR(__xludf.DUMMYFUNCTION("""COMPUTED_VALUE"""),"Cameron Percy")</f>
        <v>Cameron Percy</v>
      </c>
      <c r="D236">
        <f ca="1">IFERROR(__xludf.DUMMYFUNCTION("""COMPUTED_VALUE"""),16)</f>
        <v>16</v>
      </c>
      <c r="E236">
        <f ca="1">IFERROR(__xludf.DUMMYFUNCTION("""COMPUTED_VALUE"""),-0.431)</f>
        <v>-0.43099999999999999</v>
      </c>
      <c r="F236">
        <f ca="1">IFERROR(__xludf.DUMMYFUNCTION("""COMPUTED_VALUE"""),-3.445)</f>
        <v>-3.4449999999999998</v>
      </c>
      <c r="G236">
        <f ca="1">IFERROR(__xludf.DUMMYFUNCTION("""COMPUTED_VALUE"""),8)</f>
        <v>8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IFERROR(__xludf.DUMMYFUNCTION("""COMPUTED_VALUE"""),226)</f>
        <v>226</v>
      </c>
      <c r="C237" t="str">
        <f ca="1">IFERROR(__xludf.DUMMYFUNCTION("""COMPUTED_VALUE"""),"Brian Gay")</f>
        <v>Brian Gay</v>
      </c>
      <c r="D237">
        <f ca="1">IFERROR(__xludf.DUMMYFUNCTION("""COMPUTED_VALUE"""),8)</f>
        <v>8</v>
      </c>
      <c r="E237">
        <f ca="1">IFERROR(__xludf.DUMMYFUNCTION("""COMPUTED_VALUE"""),-0.452)</f>
        <v>-0.45200000000000001</v>
      </c>
      <c r="F237">
        <f ca="1">IFERROR(__xludf.DUMMYFUNCTION("""COMPUTED_VALUE"""),-1.806)</f>
        <v>-1.806</v>
      </c>
      <c r="G237">
        <f ca="1">IFERROR(__xludf.DUMMYFUNCTION("""COMPUTED_VALUE"""),4)</f>
        <v>4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IFERROR(__xludf.DUMMYFUNCTION("""COMPUTED_VALUE"""),229)</f>
        <v>229</v>
      </c>
      <c r="C238" t="str">
        <f ca="1">IFERROR(__xludf.DUMMYFUNCTION("""COMPUTED_VALUE"""),"Zack Sucher")</f>
        <v>Zack Sucher</v>
      </c>
      <c r="D238">
        <f ca="1">IFERROR(__xludf.DUMMYFUNCTION("""COMPUTED_VALUE"""),6)</f>
        <v>6</v>
      </c>
      <c r="E238">
        <f ca="1">IFERROR(__xludf.DUMMYFUNCTION("""COMPUTED_VALUE"""),-0.481)</f>
        <v>-0.48099999999999998</v>
      </c>
      <c r="F238">
        <f ca="1">IFERROR(__xludf.DUMMYFUNCTION("""COMPUTED_VALUE"""),-0.962)</f>
        <v>-0.96199999999999997</v>
      </c>
      <c r="G238">
        <f ca="1">IFERROR(__xludf.DUMMYFUNCTION("""COMPUTED_VALUE"""),2)</f>
        <v>2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IFERROR(__xludf.DUMMYFUNCTION("""COMPUTED_VALUE"""),230)</f>
        <v>230</v>
      </c>
      <c r="C239" t="str">
        <f ca="1">IFERROR(__xludf.DUMMYFUNCTION("""COMPUTED_VALUE"""),"Chesson Hadley")</f>
        <v>Chesson Hadley</v>
      </c>
      <c r="D239">
        <f ca="1">IFERROR(__xludf.DUMMYFUNCTION("""COMPUTED_VALUE"""),16)</f>
        <v>16</v>
      </c>
      <c r="E239">
        <f ca="1">IFERROR(__xludf.DUMMYFUNCTION("""COMPUTED_VALUE"""),-0.484)</f>
        <v>-0.48399999999999999</v>
      </c>
      <c r="F239">
        <f ca="1">IFERROR(__xludf.DUMMYFUNCTION("""COMPUTED_VALUE"""),-5.814)</f>
        <v>-5.8140000000000001</v>
      </c>
      <c r="G239">
        <f ca="1">IFERROR(__xludf.DUMMYFUNCTION("""COMPUTED_VALUE"""),12)</f>
        <v>12</v>
      </c>
    </row>
    <row r="240" spans="1:7" ht="12.75">
      <c r="A240" t="str">
        <f ca="1">IFERROR(__xludf.DUMMYFUNCTION("""COMPUTED_VALUE"""),"T239")</f>
        <v>T239</v>
      </c>
      <c r="B240" t="str">
        <f ca="1">IFERROR(__xludf.DUMMYFUNCTION("""COMPUTED_VALUE"""),"T231")</f>
        <v>T231</v>
      </c>
      <c r="C240" t="str">
        <f ca="1">IFERROR(__xludf.DUMMYFUNCTION("""COMPUTED_VALUE"""),"Robert MacIntyre")</f>
        <v>Robert MacIntyre</v>
      </c>
      <c r="D240">
        <f ca="1">IFERROR(__xludf.DUMMYFUNCTION("""COMPUTED_VALUE"""),4)</f>
        <v>4</v>
      </c>
      <c r="E240">
        <f ca="1">IFERROR(__xludf.DUMMYFUNCTION("""COMPUTED_VALUE"""),-0.502)</f>
        <v>-0.502</v>
      </c>
      <c r="F240">
        <f ca="1">IFERROR(__xludf.DUMMYFUNCTION("""COMPUTED_VALUE"""),-2.01)</f>
        <v>-2.0099999999999998</v>
      </c>
      <c r="G240">
        <f ca="1">IFERROR(__xludf.DUMMYFUNCTION("""COMPUTED_VALUE"""),4)</f>
        <v>4</v>
      </c>
    </row>
    <row r="241" spans="1:7" ht="12.75">
      <c r="A241" t="str">
        <f ca="1">IFERROR(__xludf.DUMMYFUNCTION("""COMPUTED_VALUE"""),"T239")</f>
        <v>T239</v>
      </c>
      <c r="B241" t="str">
        <f ca="1">IFERROR(__xludf.DUMMYFUNCTION("""COMPUTED_VALUE"""),"T231")</f>
        <v>T231</v>
      </c>
      <c r="C241" t="str">
        <f ca="1">IFERROR(__xludf.DUMMYFUNCTION("""COMPUTED_VALUE"""),"Justin Suh")</f>
        <v>Justin Suh</v>
      </c>
      <c r="D241">
        <f ca="1">IFERROR(__xludf.DUMMYFUNCTION("""COMPUTED_VALUE"""),10)</f>
        <v>10</v>
      </c>
      <c r="E241">
        <f ca="1">IFERROR(__xludf.DUMMYFUNCTION("""COMPUTED_VALUE"""),-0.502)</f>
        <v>-0.502</v>
      </c>
      <c r="F241">
        <f ca="1">IFERROR(__xludf.DUMMYFUNCTION("""COMPUTED_VALUE"""),-2.009)</f>
        <v>-2.0089999999999999</v>
      </c>
      <c r="G241">
        <f ca="1">IFERROR(__xludf.DUMMYFUNCTION("""COMPUTED_VALUE"""),4)</f>
        <v>4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IFERROR(__xludf.DUMMYFUNCTION("""COMPUTED_VALUE"""),234)</f>
        <v>234</v>
      </c>
      <c r="C242" t="str">
        <f ca="1">IFERROR(__xludf.DUMMYFUNCTION("""COMPUTED_VALUE"""),"Seonghyeon Kim")</f>
        <v>Seonghyeon Kim</v>
      </c>
      <c r="D242">
        <f ca="1">IFERROR(__xludf.DUMMYFUNCTION("""COMPUTED_VALUE"""),4)</f>
        <v>4</v>
      </c>
      <c r="E242">
        <f ca="1">IFERROR(__xludf.DUMMYFUNCTION("""COMPUTED_VALUE"""),-0.514)</f>
        <v>-0.51400000000000001</v>
      </c>
      <c r="F242">
        <f ca="1">IFERROR(__xludf.DUMMYFUNCTION("""COMPUTED_VALUE"""),-2.057)</f>
        <v>-2.0569999999999999</v>
      </c>
      <c r="G242">
        <f ca="1">IFERROR(__xludf.DUMMYFUNCTION("""COMPUTED_VALUE"""),4)</f>
        <v>4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IFERROR(__xludf.DUMMYFUNCTION("""COMPUTED_VALUE"""),235)</f>
        <v>235</v>
      </c>
      <c r="C243" t="str">
        <f ca="1">IFERROR(__xludf.DUMMYFUNCTION("""COMPUTED_VALUE"""),"Jeongwoo Ham")</f>
        <v>Jeongwoo Ham</v>
      </c>
      <c r="D243">
        <f ca="1">IFERROR(__xludf.DUMMYFUNCTION("""COMPUTED_VALUE"""),4)</f>
        <v>4</v>
      </c>
      <c r="E243">
        <f ca="1">IFERROR(__xludf.DUMMYFUNCTION("""COMPUTED_VALUE"""),-0.526)</f>
        <v>-0.52600000000000002</v>
      </c>
      <c r="F243">
        <f ca="1">IFERROR(__xludf.DUMMYFUNCTION("""COMPUTED_VALUE"""),-2.104)</f>
        <v>-2.1040000000000001</v>
      </c>
      <c r="G243">
        <f ca="1">IFERROR(__xludf.DUMMYFUNCTION("""COMPUTED_VALUE"""),4)</f>
        <v>4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IFERROR(__xludf.DUMMYFUNCTION("""COMPUTED_VALUE"""),243)</f>
        <v>243</v>
      </c>
      <c r="C244" t="str">
        <f ca="1">IFERROR(__xludf.DUMMYFUNCTION("""COMPUTED_VALUE"""),"Brice Garnett")</f>
        <v>Brice Garnett</v>
      </c>
      <c r="D244">
        <f ca="1">IFERROR(__xludf.DUMMYFUNCTION("""COMPUTED_VALUE"""),22)</f>
        <v>22</v>
      </c>
      <c r="E244">
        <f ca="1">IFERROR(__xludf.DUMMYFUNCTION("""COMPUTED_VALUE"""),-0.527)</f>
        <v>-0.52700000000000002</v>
      </c>
      <c r="F244">
        <f ca="1">IFERROR(__xludf.DUMMYFUNCTION("""COMPUTED_VALUE"""),-7.375)</f>
        <v>-7.375</v>
      </c>
      <c r="G244">
        <f ca="1">IFERROR(__xludf.DUMMYFUNCTION("""COMPUTED_VALUE"""),14)</f>
        <v>14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IFERROR(__xludf.DUMMYFUNCTION("""COMPUTED_VALUE"""),233)</f>
        <v>233</v>
      </c>
      <c r="C245" t="str">
        <f ca="1">IFERROR(__xludf.DUMMYFUNCTION("""COMPUTED_VALUE"""),"Jimmy Walker")</f>
        <v>Jimmy Walker</v>
      </c>
      <c r="D245">
        <f ca="1">IFERROR(__xludf.DUMMYFUNCTION("""COMPUTED_VALUE"""),10)</f>
        <v>10</v>
      </c>
      <c r="E245">
        <f ca="1">IFERROR(__xludf.DUMMYFUNCTION("""COMPUTED_VALUE"""),-0.55)</f>
        <v>-0.55000000000000004</v>
      </c>
      <c r="F245">
        <f ca="1">IFERROR(__xludf.DUMMYFUNCTION("""COMPUTED_VALUE"""),-5.501)</f>
        <v>-5.5010000000000003</v>
      </c>
      <c r="G245">
        <f ca="1">IFERROR(__xludf.DUMMYFUNCTION("""COMPUTED_VALUE"""),10)</f>
        <v>10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IFERROR(__xludf.DUMMYFUNCTION("""COMPUTED_VALUE"""),107)</f>
        <v>107</v>
      </c>
      <c r="C246" t="str">
        <f ca="1">IFERROR(__xludf.DUMMYFUNCTION("""COMPUTED_VALUE"""),"Matthew NeSmith")</f>
        <v>Matthew NeSmith</v>
      </c>
      <c r="D246">
        <f ca="1">IFERROR(__xludf.DUMMYFUNCTION("""COMPUTED_VALUE"""),16)</f>
        <v>16</v>
      </c>
      <c r="E246">
        <f ca="1">IFERROR(__xludf.DUMMYFUNCTION("""COMPUTED_VALUE"""),-0.555)</f>
        <v>-0.55500000000000005</v>
      </c>
      <c r="F246">
        <f ca="1">IFERROR(__xludf.DUMMYFUNCTION("""COMPUTED_VALUE"""),-6.665)</f>
        <v>-6.665</v>
      </c>
      <c r="G246">
        <f ca="1">IFERROR(__xludf.DUMMYFUNCTION("""COMPUTED_VALUE"""),12)</f>
        <v>12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IFERROR(__xludf.DUMMYFUNCTION("""COMPUTED_VALUE"""),236)</f>
        <v>236</v>
      </c>
      <c r="C247" t="str">
        <f ca="1">IFERROR(__xludf.DUMMYFUNCTION("""COMPUTED_VALUE"""),"Rikuya Hoshino")</f>
        <v>Rikuya Hoshino</v>
      </c>
      <c r="D247">
        <f ca="1">IFERROR(__xludf.DUMMYFUNCTION("""COMPUTED_VALUE"""),4)</f>
        <v>4</v>
      </c>
      <c r="E247">
        <f ca="1">IFERROR(__xludf.DUMMYFUNCTION("""COMPUTED_VALUE"""),-0.582)</f>
        <v>-0.58199999999999996</v>
      </c>
      <c r="F247">
        <f ca="1">IFERROR(__xludf.DUMMYFUNCTION("""COMPUTED_VALUE"""),-2.33)</f>
        <v>-2.33</v>
      </c>
      <c r="G247">
        <f ca="1">IFERROR(__xludf.DUMMYFUNCTION("""COMPUTED_VALUE"""),4)</f>
        <v>4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IFERROR(__xludf.DUMMYFUNCTION("""COMPUTED_VALUE"""),237)</f>
        <v>237</v>
      </c>
      <c r="C248" t="str">
        <f ca="1">IFERROR(__xludf.DUMMYFUNCTION("""COMPUTED_VALUE"""),"Matt Wallace")</f>
        <v>Matt Wallace</v>
      </c>
      <c r="D248">
        <f ca="1">IFERROR(__xludf.DUMMYFUNCTION("""COMPUTED_VALUE"""),4)</f>
        <v>4</v>
      </c>
      <c r="E248">
        <f ca="1">IFERROR(__xludf.DUMMYFUNCTION("""COMPUTED_VALUE"""),-0.595)</f>
        <v>-0.59499999999999997</v>
      </c>
      <c r="F248">
        <f ca="1">IFERROR(__xludf.DUMMYFUNCTION("""COMPUTED_VALUE"""),-2.382)</f>
        <v>-2.3820000000000001</v>
      </c>
      <c r="G248">
        <f ca="1">IFERROR(__xludf.DUMMYFUNCTION("""COMPUTED_VALUE"""),4)</f>
        <v>4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IFERROR(__xludf.DUMMYFUNCTION("""COMPUTED_VALUE"""),238)</f>
        <v>238</v>
      </c>
      <c r="C249" t="str">
        <f ca="1">IFERROR(__xludf.DUMMYFUNCTION("""COMPUTED_VALUE"""),"Joohyung Kim")</f>
        <v>Joohyung Kim</v>
      </c>
      <c r="D249">
        <f ca="1">IFERROR(__xludf.DUMMYFUNCTION("""COMPUTED_VALUE"""),12)</f>
        <v>12</v>
      </c>
      <c r="E249">
        <f ca="1">IFERROR(__xludf.DUMMYFUNCTION("""COMPUTED_VALUE"""),-0.597)</f>
        <v>-0.59699999999999998</v>
      </c>
      <c r="F249">
        <f ca="1">IFERROR(__xludf.DUMMYFUNCTION("""COMPUTED_VALUE"""),-4.775)</f>
        <v>-4.7750000000000004</v>
      </c>
      <c r="G249">
        <f ca="1">IFERROR(__xludf.DUMMYFUNCTION("""COMPUTED_VALUE"""),8)</f>
        <v>8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IFERROR(__xludf.DUMMYFUNCTION("""COMPUTED_VALUE"""),"T181")</f>
        <v>T181</v>
      </c>
      <c r="C250" t="str">
        <f ca="1">IFERROR(__xludf.DUMMYFUNCTION("""COMPUTED_VALUE"""),"Doc Redman")</f>
        <v>Doc Redman</v>
      </c>
      <c r="D250">
        <f ca="1">IFERROR(__xludf.DUMMYFUNCTION("""COMPUTED_VALUE"""),18)</f>
        <v>18</v>
      </c>
      <c r="E250">
        <f ca="1">IFERROR(__xludf.DUMMYFUNCTION("""COMPUTED_VALUE"""),-0.599)</f>
        <v>-0.59899999999999998</v>
      </c>
      <c r="F250">
        <f ca="1">IFERROR(__xludf.DUMMYFUNCTION("""COMPUTED_VALUE"""),-8.391)</f>
        <v>-8.391</v>
      </c>
      <c r="G250">
        <f ca="1">IFERROR(__xludf.DUMMYFUNCTION("""COMPUTED_VALUE"""),14)</f>
        <v>14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IFERROR(__xludf.DUMMYFUNCTION("""COMPUTED_VALUE"""),241)</f>
        <v>241</v>
      </c>
      <c r="C251" t="str">
        <f ca="1">IFERROR(__xludf.DUMMYFUNCTION("""COMPUTED_VALUE"""),"Ryan Armour")</f>
        <v>Ryan Armour</v>
      </c>
      <c r="D251">
        <f ca="1">IFERROR(__xludf.DUMMYFUNCTION("""COMPUTED_VALUE"""),16)</f>
        <v>16</v>
      </c>
      <c r="E251">
        <f ca="1">IFERROR(__xludf.DUMMYFUNCTION("""COMPUTED_VALUE"""),-0.612)</f>
        <v>-0.61199999999999999</v>
      </c>
      <c r="F251">
        <f ca="1">IFERROR(__xludf.DUMMYFUNCTION("""COMPUTED_VALUE"""),-6.121)</f>
        <v>-6.1210000000000004</v>
      </c>
      <c r="G251">
        <f ca="1">IFERROR(__xludf.DUMMYFUNCTION("""COMPUTED_VALUE"""),10)</f>
        <v>10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IFERROR(__xludf.DUMMYFUNCTION("""COMPUTED_VALUE"""),240)</f>
        <v>240</v>
      </c>
      <c r="C252" t="str">
        <f ca="1">IFERROR(__xludf.DUMMYFUNCTION("""COMPUTED_VALUE"""),"Will Gordon")</f>
        <v>Will Gordon</v>
      </c>
      <c r="D252">
        <f ca="1">IFERROR(__xludf.DUMMYFUNCTION("""COMPUTED_VALUE"""),20)</f>
        <v>20</v>
      </c>
      <c r="E252">
        <f ca="1">IFERROR(__xludf.DUMMYFUNCTION("""COMPUTED_VALUE"""),-0.639)</f>
        <v>-0.63900000000000001</v>
      </c>
      <c r="F252">
        <f ca="1">IFERROR(__xludf.DUMMYFUNCTION("""COMPUTED_VALUE"""),-8.943)</f>
        <v>-8.9429999999999996</v>
      </c>
      <c r="G252">
        <f ca="1">IFERROR(__xludf.DUMMYFUNCTION("""COMPUTED_VALUE"""),14)</f>
        <v>14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IFERROR(__xludf.DUMMYFUNCTION("""COMPUTED_VALUE"""),244)</f>
        <v>244</v>
      </c>
      <c r="C253" t="str">
        <f ca="1">IFERROR(__xludf.DUMMYFUNCTION("""COMPUTED_VALUE"""),"Mikumu Horikawa")</f>
        <v>Mikumu Horikawa</v>
      </c>
      <c r="D253">
        <f ca="1">IFERROR(__xludf.DUMMYFUNCTION("""COMPUTED_VALUE"""),4)</f>
        <v>4</v>
      </c>
      <c r="E253">
        <f ca="1">IFERROR(__xludf.DUMMYFUNCTION("""COMPUTED_VALUE"""),-0.662)</f>
        <v>-0.66200000000000003</v>
      </c>
      <c r="F253">
        <f ca="1">IFERROR(__xludf.DUMMYFUNCTION("""COMPUTED_VALUE"""),-2.648)</f>
        <v>-2.6480000000000001</v>
      </c>
      <c r="G253">
        <f ca="1">IFERROR(__xludf.DUMMYFUNCTION("""COMPUTED_VALUE"""),4)</f>
        <v>4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IFERROR(__xludf.DUMMYFUNCTION("""COMPUTED_VALUE"""),"Ryan Blaum")</f>
        <v>Ryan Blaum</v>
      </c>
      <c r="D254">
        <f ca="1">IFERROR(__xludf.DUMMYFUNCTION("""COMPUTED_VALUE"""),8)</f>
        <v>8</v>
      </c>
      <c r="E254">
        <f ca="1">IFERROR(__xludf.DUMMYFUNCTION("""COMPUTED_VALUE"""),-0.689)</f>
        <v>-0.68899999999999995</v>
      </c>
      <c r="F254">
        <f ca="1">IFERROR(__xludf.DUMMYFUNCTION("""COMPUTED_VALUE"""),-2.757)</f>
        <v>-2.7570000000000001</v>
      </c>
      <c r="G254">
        <f ca="1">IFERROR(__xludf.DUMMYFUNCTION("""COMPUTED_VALUE"""),4)</f>
        <v>4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IFERROR(__xludf.DUMMYFUNCTION("""COMPUTED_VALUE"""),248)</f>
        <v>248</v>
      </c>
      <c r="C255" t="str">
        <f ca="1">IFERROR(__xludf.DUMMYFUNCTION("""COMPUTED_VALUE"""),"Romain Langasque")</f>
        <v>Romain Langasque</v>
      </c>
      <c r="D255">
        <f ca="1">IFERROR(__xludf.DUMMYFUNCTION("""COMPUTED_VALUE"""),4)</f>
        <v>4</v>
      </c>
      <c r="E255">
        <f ca="1">IFERROR(__xludf.DUMMYFUNCTION("""COMPUTED_VALUE"""),-0.69)</f>
        <v>-0.69</v>
      </c>
      <c r="F255">
        <f ca="1">IFERROR(__xludf.DUMMYFUNCTION("""COMPUTED_VALUE"""),-2.761)</f>
        <v>-2.7610000000000001</v>
      </c>
      <c r="G255">
        <f ca="1">IFERROR(__xludf.DUMMYFUNCTION("""COMPUTED_VALUE"""),4)</f>
        <v>4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IFERROR(__xludf.DUMMYFUNCTION("""COMPUTED_VALUE"""),249)</f>
        <v>249</v>
      </c>
      <c r="C256" t="str">
        <f ca="1">IFERROR(__xludf.DUMMYFUNCTION("""COMPUTED_VALUE"""),"Shawn Stefani")</f>
        <v>Shawn Stefani</v>
      </c>
      <c r="D256">
        <f ca="1">IFERROR(__xludf.DUMMYFUNCTION("""COMPUTED_VALUE"""),5)</f>
        <v>5</v>
      </c>
      <c r="E256">
        <f ca="1">IFERROR(__xludf.DUMMYFUNCTION("""COMPUTED_VALUE"""),-0.693)</f>
        <v>-0.69299999999999995</v>
      </c>
      <c r="F256">
        <f ca="1">IFERROR(__xludf.DUMMYFUNCTION("""COMPUTED_VALUE"""),-1.386)</f>
        <v>-1.3859999999999999</v>
      </c>
      <c r="G256">
        <f ca="1">IFERROR(__xludf.DUMMYFUNCTION("""COMPUTED_VALUE"""),2)</f>
        <v>2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IFERROR(__xludf.DUMMYFUNCTION("""COMPUTED_VALUE"""),250)</f>
        <v>250</v>
      </c>
      <c r="C257" t="str">
        <f ca="1">IFERROR(__xludf.DUMMYFUNCTION("""COMPUTED_VALUE"""),"William McGirt")</f>
        <v>William McGirt</v>
      </c>
      <c r="D257">
        <f ca="1">IFERROR(__xludf.DUMMYFUNCTION("""COMPUTED_VALUE"""),6)</f>
        <v>6</v>
      </c>
      <c r="E257">
        <f ca="1">IFERROR(__xludf.DUMMYFUNCTION("""COMPUTED_VALUE"""),-0.703)</f>
        <v>-0.70299999999999996</v>
      </c>
      <c r="F257">
        <f ca="1">IFERROR(__xludf.DUMMYFUNCTION("""COMPUTED_VALUE"""),-4.219)</f>
        <v>-4.2190000000000003</v>
      </c>
      <c r="G257">
        <f ca="1">IFERROR(__xludf.DUMMYFUNCTION("""COMPUTED_VALUE"""),6)</f>
        <v>6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IFERROR(__xludf.DUMMYFUNCTION("""COMPUTED_VALUE"""),206)</f>
        <v>206</v>
      </c>
      <c r="C258" t="str">
        <f ca="1">IFERROR(__xludf.DUMMYFUNCTION("""COMPUTED_VALUE"""),"Hudson Swafford")</f>
        <v>Hudson Swafford</v>
      </c>
      <c r="D258">
        <f ca="1">IFERROR(__xludf.DUMMYFUNCTION("""COMPUTED_VALUE"""),18)</f>
        <v>18</v>
      </c>
      <c r="E258">
        <f ca="1">IFERROR(__xludf.DUMMYFUNCTION("""COMPUTED_VALUE"""),-0.71)</f>
        <v>-0.71</v>
      </c>
      <c r="F258">
        <f ca="1">IFERROR(__xludf.DUMMYFUNCTION("""COMPUTED_VALUE"""),-7.097)</f>
        <v>-7.0970000000000004</v>
      </c>
      <c r="G258">
        <f ca="1">IFERROR(__xludf.DUMMYFUNCTION("""COMPUTED_VALUE"""),10)</f>
        <v>10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IFERROR(__xludf.DUMMYFUNCTION("""COMPUTED_VALUE"""),256)</f>
        <v>256</v>
      </c>
      <c r="C259" t="str">
        <f ca="1">IFERROR(__xludf.DUMMYFUNCTION("""COMPUTED_VALUE"""),"Martin Trainer")</f>
        <v>Martin Trainer</v>
      </c>
      <c r="D259">
        <f ca="1">IFERROR(__xludf.DUMMYFUNCTION("""COMPUTED_VALUE"""),10)</f>
        <v>10</v>
      </c>
      <c r="E259">
        <f ca="1">IFERROR(__xludf.DUMMYFUNCTION("""COMPUTED_VALUE"""),-0.723)</f>
        <v>-0.72299999999999998</v>
      </c>
      <c r="F259">
        <f ca="1">IFERROR(__xludf.DUMMYFUNCTION("""COMPUTED_VALUE"""),-5.782)</f>
        <v>-5.782</v>
      </c>
      <c r="G259">
        <f ca="1">IFERROR(__xludf.DUMMYFUNCTION("""COMPUTED_VALUE"""),8)</f>
        <v>8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IFERROR(__xludf.DUMMYFUNCTION("""COMPUTED_VALUE"""),251)</f>
        <v>251</v>
      </c>
      <c r="C260" t="str">
        <f ca="1">IFERROR(__xludf.DUMMYFUNCTION("""COMPUTED_VALUE"""),"Bo Van Pelt")</f>
        <v>Bo Van Pelt</v>
      </c>
      <c r="D260">
        <f ca="1">IFERROR(__xludf.DUMMYFUNCTION("""COMPUTED_VALUE"""),10)</f>
        <v>10</v>
      </c>
      <c r="E260">
        <f ca="1">IFERROR(__xludf.DUMMYFUNCTION("""COMPUTED_VALUE"""),-0.742)</f>
        <v>-0.74199999999999999</v>
      </c>
      <c r="F260">
        <f ca="1">IFERROR(__xludf.DUMMYFUNCTION("""COMPUTED_VALUE"""),-4.452)</f>
        <v>-4.452</v>
      </c>
      <c r="G260">
        <f ca="1">IFERROR(__xludf.DUMMYFUNCTION("""COMPUTED_VALUE"""),6)</f>
        <v>6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IFERROR(__xludf.DUMMYFUNCTION("""COMPUTED_VALUE"""),252)</f>
        <v>252</v>
      </c>
      <c r="C261" t="str">
        <f ca="1">IFERROR(__xludf.DUMMYFUNCTION("""COMPUTED_VALUE"""),"Jazz Janewattananond")</f>
        <v>Jazz Janewattananond</v>
      </c>
      <c r="D261">
        <f ca="1">IFERROR(__xludf.DUMMYFUNCTION("""COMPUTED_VALUE"""),6)</f>
        <v>6</v>
      </c>
      <c r="E261">
        <f ca="1">IFERROR(__xludf.DUMMYFUNCTION("""COMPUTED_VALUE"""),-0.765)</f>
        <v>-0.76500000000000001</v>
      </c>
      <c r="F261">
        <f ca="1">IFERROR(__xludf.DUMMYFUNCTION("""COMPUTED_VALUE"""),-4.589)</f>
        <v>-4.5890000000000004</v>
      </c>
      <c r="G261">
        <f ca="1">IFERROR(__xludf.DUMMYFUNCTION("""COMPUTED_VALUE"""),6)</f>
        <v>6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IFERROR(__xludf.DUMMYFUNCTION("""COMPUTED_VALUE"""),"Shaun Norris")</f>
        <v>Shaun Norris</v>
      </c>
      <c r="D262">
        <f ca="1">IFERROR(__xludf.DUMMYFUNCTION("""COMPUTED_VALUE"""),6)</f>
        <v>6</v>
      </c>
      <c r="E262">
        <f ca="1">IFERROR(__xludf.DUMMYFUNCTION("""COMPUTED_VALUE"""),-0.768)</f>
        <v>-0.76800000000000002</v>
      </c>
      <c r="F262">
        <f ca="1">IFERROR(__xludf.DUMMYFUNCTION("""COMPUTED_VALUE"""),-4.61)</f>
        <v>-4.6100000000000003</v>
      </c>
      <c r="G262">
        <f ca="1">IFERROR(__xludf.DUMMYFUNCTION("""COMPUTED_VALUE"""),6)</f>
        <v>6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IFERROR(__xludf.DUMMYFUNCTION("""COMPUTED_VALUE"""),245)</f>
        <v>245</v>
      </c>
      <c r="C263" t="str">
        <f ca="1">IFERROR(__xludf.DUMMYFUNCTION("""COMPUTED_VALUE"""),"Kelly Kraft")</f>
        <v>Kelly Kraft</v>
      </c>
      <c r="D263">
        <f ca="1">IFERROR(__xludf.DUMMYFUNCTION("""COMPUTED_VALUE"""),14)</f>
        <v>14</v>
      </c>
      <c r="E263">
        <f ca="1">IFERROR(__xludf.DUMMYFUNCTION("""COMPUTED_VALUE"""),-0.783)</f>
        <v>-0.78300000000000003</v>
      </c>
      <c r="F263">
        <f ca="1">IFERROR(__xludf.DUMMYFUNCTION("""COMPUTED_VALUE"""),-6.26)</f>
        <v>-6.26</v>
      </c>
      <c r="G263">
        <f ca="1">IFERROR(__xludf.DUMMYFUNCTION("""COMPUTED_VALUE"""),8)</f>
        <v>8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IFERROR(__xludf.DUMMYFUNCTION("""COMPUTED_VALUE"""),255)</f>
        <v>255</v>
      </c>
      <c r="C264" t="str">
        <f ca="1">IFERROR(__xludf.DUMMYFUNCTION("""COMPUTED_VALUE"""),"Tae Hee Lee")</f>
        <v>Tae Hee Lee</v>
      </c>
      <c r="D264">
        <f ca="1">IFERROR(__xludf.DUMMYFUNCTION("""COMPUTED_VALUE"""),4)</f>
        <v>4</v>
      </c>
      <c r="E264">
        <f ca="1">IFERROR(__xludf.DUMMYFUNCTION("""COMPUTED_VALUE"""),-0.925)</f>
        <v>-0.92500000000000004</v>
      </c>
      <c r="F264">
        <f ca="1">IFERROR(__xludf.DUMMYFUNCTION("""COMPUTED_VALUE"""),-3.698)</f>
        <v>-3.698</v>
      </c>
      <c r="G264">
        <f ca="1">IFERROR(__xludf.DUMMYFUNCTION("""COMPUTED_VALUE"""),4)</f>
        <v>4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IFERROR(__xludf.DUMMYFUNCTION("""COMPUTED_VALUE"""),257)</f>
        <v>257</v>
      </c>
      <c r="C265" t="str">
        <f ca="1">IFERROR(__xludf.DUMMYFUNCTION("""COMPUTED_VALUE"""),"John Senden")</f>
        <v>John Senden</v>
      </c>
      <c r="D265">
        <f ca="1">IFERROR(__xludf.DUMMYFUNCTION("""COMPUTED_VALUE"""),8)</f>
        <v>8</v>
      </c>
      <c r="E265">
        <f ca="1">IFERROR(__xludf.DUMMYFUNCTION("""COMPUTED_VALUE"""),-0.931)</f>
        <v>-0.93100000000000005</v>
      </c>
      <c r="F265">
        <f ca="1">IFERROR(__xludf.DUMMYFUNCTION("""COMPUTED_VALUE"""),-1.863)</f>
        <v>-1.863</v>
      </c>
      <c r="G265">
        <f ca="1">IFERROR(__xludf.DUMMYFUNCTION("""COMPUTED_VALUE"""),2)</f>
        <v>2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IFERROR(__xludf.DUMMYFUNCTION("""COMPUTED_VALUE"""),258)</f>
        <v>258</v>
      </c>
      <c r="C266" t="str">
        <f ca="1">IFERROR(__xludf.DUMMYFUNCTION("""COMPUTED_VALUE"""),"Jay McLuen")</f>
        <v>Jay McLuen</v>
      </c>
      <c r="D266">
        <f ca="1">IFERROR(__xludf.DUMMYFUNCTION("""COMPUTED_VALUE"""),4)</f>
        <v>4</v>
      </c>
      <c r="E266">
        <f ca="1">IFERROR(__xludf.DUMMYFUNCTION("""COMPUTED_VALUE"""),-0.954)</f>
        <v>-0.95399999999999996</v>
      </c>
      <c r="F266">
        <f ca="1">IFERROR(__xludf.DUMMYFUNCTION("""COMPUTED_VALUE"""),-3.817)</f>
        <v>-3.8170000000000002</v>
      </c>
      <c r="G266">
        <f ca="1">IFERROR(__xludf.DUMMYFUNCTION("""COMPUTED_VALUE"""),4)</f>
        <v>4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IFERROR(__xludf.DUMMYFUNCTION("""COMPUTED_VALUE"""),204)</f>
        <v>204</v>
      </c>
      <c r="C267" t="str">
        <f ca="1">IFERROR(__xludf.DUMMYFUNCTION("""COMPUTED_VALUE"""),"Keith Mitchell")</f>
        <v>Keith Mitchell</v>
      </c>
      <c r="D267">
        <f ca="1">IFERROR(__xludf.DUMMYFUNCTION("""COMPUTED_VALUE"""),14)</f>
        <v>14</v>
      </c>
      <c r="E267">
        <f ca="1">IFERROR(__xludf.DUMMYFUNCTION("""COMPUTED_VALUE"""),-1.034)</f>
        <v>-1.034</v>
      </c>
      <c r="F267">
        <f ca="1">IFERROR(__xludf.DUMMYFUNCTION("""COMPUTED_VALUE"""),-6.202)</f>
        <v>-6.202</v>
      </c>
      <c r="G267">
        <f ca="1">IFERROR(__xludf.DUMMYFUNCTION("""COMPUTED_VALUE"""),6)</f>
        <v>6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IFERROR(__xludf.DUMMYFUNCTION("""COMPUTED_VALUE"""),261)</f>
        <v>261</v>
      </c>
      <c r="C268" t="str">
        <f ca="1">IFERROR(__xludf.DUMMYFUNCTION("""COMPUTED_VALUE"""),"Sangmoon Bae")</f>
        <v>Sangmoon Bae</v>
      </c>
      <c r="D268">
        <f ca="1">IFERROR(__xludf.DUMMYFUNCTION("""COMPUTED_VALUE"""),8)</f>
        <v>8</v>
      </c>
      <c r="E268">
        <f ca="1">IFERROR(__xludf.DUMMYFUNCTION("""COMPUTED_VALUE"""),-1.117)</f>
        <v>-1.117</v>
      </c>
      <c r="F268">
        <f ca="1">IFERROR(__xludf.DUMMYFUNCTION("""COMPUTED_VALUE"""),-2.235)</f>
        <v>-2.2349999999999999</v>
      </c>
      <c r="G268">
        <f ca="1">IFERROR(__xludf.DUMMYFUNCTION("""COMPUTED_VALUE"""),2)</f>
        <v>2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IFERROR(__xludf.DUMMYFUNCTION("""COMPUTED_VALUE"""),262)</f>
        <v>262</v>
      </c>
      <c r="C269" t="str">
        <f ca="1">IFERROR(__xludf.DUMMYFUNCTION("""COMPUTED_VALUE"""),"Luke Schniederjans")</f>
        <v>Luke Schniederjans</v>
      </c>
      <c r="D269">
        <f ca="1">IFERROR(__xludf.DUMMYFUNCTION("""COMPUTED_VALUE"""),4)</f>
        <v>4</v>
      </c>
      <c r="E269">
        <f ca="1">IFERROR(__xludf.DUMMYFUNCTION("""COMPUTED_VALUE"""),-1.16)</f>
        <v>-1.1599999999999999</v>
      </c>
      <c r="F269">
        <f ca="1">IFERROR(__xludf.DUMMYFUNCTION("""COMPUTED_VALUE"""),-2.321)</f>
        <v>-2.3210000000000002</v>
      </c>
      <c r="G269">
        <f ca="1">IFERROR(__xludf.DUMMYFUNCTION("""COMPUTED_VALUE"""),2)</f>
        <v>2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IFERROR(__xludf.DUMMYFUNCTION("""COMPUTED_VALUE"""),259)</f>
        <v>259</v>
      </c>
      <c r="C270" t="str">
        <f ca="1">IFERROR(__xludf.DUMMYFUNCTION("""COMPUTED_VALUE"""),"Sam Ryder")</f>
        <v>Sam Ryder</v>
      </c>
      <c r="D270">
        <f ca="1">IFERROR(__xludf.DUMMYFUNCTION("""COMPUTED_VALUE"""),12)</f>
        <v>12</v>
      </c>
      <c r="E270">
        <f ca="1">IFERROR(__xludf.DUMMYFUNCTION("""COMPUTED_VALUE"""),-1.168)</f>
        <v>-1.1679999999999999</v>
      </c>
      <c r="F270">
        <f ca="1">IFERROR(__xludf.DUMMYFUNCTION("""COMPUTED_VALUE"""),-9.344)</f>
        <v>-9.3439999999999994</v>
      </c>
      <c r="G270">
        <f ca="1">IFERROR(__xludf.DUMMYFUNCTION("""COMPUTED_VALUE"""),8)</f>
        <v>8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IFERROR(__xludf.DUMMYFUNCTION("""COMPUTED_VALUE"""),266)</f>
        <v>266</v>
      </c>
      <c r="C271" t="str">
        <f ca="1">IFERROR(__xludf.DUMMYFUNCTION("""COMPUTED_VALUE"""),"Kevin Stadler")</f>
        <v>Kevin Stadler</v>
      </c>
      <c r="D271">
        <f ca="1">IFERROR(__xludf.DUMMYFUNCTION("""COMPUTED_VALUE"""),8)</f>
        <v>8</v>
      </c>
      <c r="E271">
        <f ca="1">IFERROR(__xludf.DUMMYFUNCTION("""COMPUTED_VALUE"""),-1.184)</f>
        <v>-1.1839999999999999</v>
      </c>
      <c r="F271">
        <f ca="1">IFERROR(__xludf.DUMMYFUNCTION("""COMPUTED_VALUE"""),-7.104)</f>
        <v>-7.1040000000000001</v>
      </c>
      <c r="G271">
        <f ca="1">IFERROR(__xludf.DUMMYFUNCTION("""COMPUTED_VALUE"""),6)</f>
        <v>6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IFERROR(__xludf.DUMMYFUNCTION("""COMPUTED_VALUE"""),"Jaekyeong Lee")</f>
        <v>Jaekyeong Lee</v>
      </c>
      <c r="D272">
        <f ca="1">IFERROR(__xludf.DUMMYFUNCTION("""COMPUTED_VALUE"""),4)</f>
        <v>4</v>
      </c>
      <c r="E272">
        <f ca="1">IFERROR(__xludf.DUMMYFUNCTION("""COMPUTED_VALUE"""),-1.213)</f>
        <v>-1.2130000000000001</v>
      </c>
      <c r="F272">
        <f ca="1">IFERROR(__xludf.DUMMYFUNCTION("""COMPUTED_VALUE"""),-4.853)</f>
        <v>-4.8529999999999998</v>
      </c>
      <c r="G272">
        <f ca="1">IFERROR(__xludf.DUMMYFUNCTION("""COMPUTED_VALUE"""),4)</f>
        <v>4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IFERROR(__xludf.DUMMYFUNCTION("""COMPUTED_VALUE"""),267)</f>
        <v>267</v>
      </c>
      <c r="C273" t="str">
        <f ca="1">IFERROR(__xludf.DUMMYFUNCTION("""COMPUTED_VALUE"""),"Hunter Mahan")</f>
        <v>Hunter Mahan</v>
      </c>
      <c r="D273">
        <f ca="1">IFERROR(__xludf.DUMMYFUNCTION("""COMPUTED_VALUE"""),14)</f>
        <v>14</v>
      </c>
      <c r="E273">
        <f ca="1">IFERROR(__xludf.DUMMYFUNCTION("""COMPUTED_VALUE"""),-1.22)</f>
        <v>-1.22</v>
      </c>
      <c r="F273">
        <f ca="1">IFERROR(__xludf.DUMMYFUNCTION("""COMPUTED_VALUE"""),-12.202)</f>
        <v>-12.202</v>
      </c>
      <c r="G273">
        <f ca="1">IFERROR(__xludf.DUMMYFUNCTION("""COMPUTED_VALUE"""),10)</f>
        <v>10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IFERROR(__xludf.DUMMYFUNCTION("""COMPUTED_VALUE"""),173)</f>
        <v>173</v>
      </c>
      <c r="C274" t="str">
        <f ca="1">IFERROR(__xludf.DUMMYFUNCTION("""COMPUTED_VALUE"""),"Grayson Murray")</f>
        <v>Grayson Murray</v>
      </c>
      <c r="D274">
        <f ca="1">IFERROR(__xludf.DUMMYFUNCTION("""COMPUTED_VALUE"""),10)</f>
        <v>10</v>
      </c>
      <c r="E274">
        <f ca="1">IFERROR(__xludf.DUMMYFUNCTION("""COMPUTED_VALUE"""),-1.459)</f>
        <v>-1.4590000000000001</v>
      </c>
      <c r="F274">
        <f ca="1">IFERROR(__xludf.DUMMYFUNCTION("""COMPUTED_VALUE"""),-11.675)</f>
        <v>-11.675000000000001</v>
      </c>
      <c r="G274">
        <f ca="1">IFERROR(__xludf.DUMMYFUNCTION("""COMPUTED_VALUE"""),8)</f>
        <v>8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IFERROR(__xludf.DUMMYFUNCTION("""COMPUTED_VALUE"""),265)</f>
        <v>265</v>
      </c>
      <c r="C275" t="str">
        <f ca="1">IFERROR(__xludf.DUMMYFUNCTION("""COMPUTED_VALUE"""),"Davis Riley")</f>
        <v>Davis Riley</v>
      </c>
      <c r="D275">
        <f ca="1">IFERROR(__xludf.DUMMYFUNCTION("""COMPUTED_VALUE"""),4)</f>
        <v>4</v>
      </c>
      <c r="E275">
        <f ca="1">IFERROR(__xludf.DUMMYFUNCTION("""COMPUTED_VALUE"""),-1.469)</f>
        <v>-1.4690000000000001</v>
      </c>
      <c r="F275">
        <f ca="1">IFERROR(__xludf.DUMMYFUNCTION("""COMPUTED_VALUE"""),-5.877)</f>
        <v>-5.8769999999999998</v>
      </c>
      <c r="G275">
        <f ca="1">IFERROR(__xludf.DUMMYFUNCTION("""COMPUTED_VALUE"""),4)</f>
        <v>4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IFERROR(__xludf.DUMMYFUNCTION("""COMPUTED_VALUE"""),"Johnson Wagner")</f>
        <v>Johnson Wagner</v>
      </c>
      <c r="D276">
        <f ca="1">IFERROR(__xludf.DUMMYFUNCTION("""COMPUTED_VALUE"""),8)</f>
        <v>8</v>
      </c>
      <c r="E276">
        <f ca="1">IFERROR(__xludf.DUMMYFUNCTION("""COMPUTED_VALUE"""),-1.609)</f>
        <v>-1.609</v>
      </c>
      <c r="F276">
        <f ca="1">IFERROR(__xludf.DUMMYFUNCTION("""COMPUTED_VALUE"""),-3.219)</f>
        <v>-3.2189999999999999</v>
      </c>
      <c r="G276">
        <f ca="1">IFERROR(__xludf.DUMMYFUNCTION("""COMPUTED_VALUE"""),2)</f>
        <v>2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IFERROR(__xludf.DUMMYFUNCTION("""COMPUTED_VALUE"""),-1.644)</f>
        <v>-1.6439999999999999</v>
      </c>
      <c r="F277">
        <f ca="1">IFERROR(__xludf.DUMMYFUNCTION("""COMPUTED_VALUE"""),-3.288)</f>
        <v>-3.2879999999999998</v>
      </c>
      <c r="G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H290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IFERROR(__xludf.DUMMYFUNCTION("importhtml(""http://www.pgatour.com/stats/stat.111.html"",""table"",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IFERROR(__xludf.DUMMYFUNCTION("""COMPUTED_VALUE"""),"# SAVES")</f>
        <v># SAVES</v>
      </c>
      <c r="G1" t="str">
        <f ca="1">IFERROR(__xludf.DUMMYFUNCTION("""COMPUTED_VALUE"""),"# BUNKERS")</f>
        <v># BUNKERS</v>
      </c>
      <c r="H1" t="str">
        <f ca="1">IFERROR(__xludf.DUMMYFUNCTION("""COMPUTED_VALUE"""),"TOTAL O/U PAR")</f>
        <v>TOTAL O/U PAR</v>
      </c>
    </row>
    <row r="2" spans="1:8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>
        <f ca="1">IFERROR(__xludf.DUMMYFUNCTION("""COMPUTED_VALUE"""),100)</f>
        <v>100</v>
      </c>
      <c r="F2">
        <f ca="1">IFERROR(__xludf.DUMMYFUNCTION("""COMPUTED_VALUE"""),3)</f>
        <v>3</v>
      </c>
      <c r="G2">
        <f ca="1">IFERROR(__xludf.DUMMYFUNCTION("""COMPUTED_VALUE"""),3)</f>
        <v>3</v>
      </c>
      <c r="H2" t="str">
        <f ca="1">IFERROR(__xludf.DUMMYFUNCTION("""COMPUTED_VALUE"""),"E")</f>
        <v>E</v>
      </c>
    </row>
    <row r="3" spans="1:8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IFERROR(__xludf.DUMMYFUNCTION("""COMPUTED_VALUE"""),"Robert Garrigus")</f>
        <v>Robert Garrigus</v>
      </c>
      <c r="D3">
        <f ca="1">IFERROR(__xludf.DUMMYFUNCTION("""COMPUTED_VALUE"""),3)</f>
        <v>3</v>
      </c>
      <c r="E3">
        <f ca="1">IFERROR(__xludf.DUMMYFUNCTION("""COMPUTED_VALUE"""),100)</f>
        <v>100</v>
      </c>
      <c r="F3">
        <f ca="1">IFERROR(__xludf.DUMMYFUNCTION("""COMPUTED_VALUE"""),1)</f>
        <v>1</v>
      </c>
      <c r="G3">
        <f ca="1">IFERROR(__xludf.DUMMYFUNCTION("""COMPUTED_VALUE"""),1)</f>
        <v>1</v>
      </c>
      <c r="H3" t="str">
        <f ca="1">IFERROR(__xludf.DUMMYFUNCTION("""COMPUTED_VALUE"""),"E")</f>
        <v>E</v>
      </c>
    </row>
    <row r="4" spans="1:8" ht="15.75" customHeight="1">
      <c r="A4" t="str">
        <f ca="1">IFERROR(__xludf.DUMMYFUNCTION("""COMPUTED_VALUE"""),"T1")</f>
        <v>T1</v>
      </c>
      <c r="B4" t="str">
        <f ca="1">IFERROR(__xludf.DUMMYFUNCTION("""COMPUTED_VALUE"""),"")</f>
        <v/>
      </c>
      <c r="C4" t="str">
        <f ca="1">IFERROR(__xludf.DUMMYFUNCTION("""COMPUTED_VALUE"""),"Erik Barnes")</f>
        <v>Erik Barnes</v>
      </c>
      <c r="D4">
        <f ca="1">IFERROR(__xludf.DUMMYFUNCTION("""COMPUTED_VALUE"""),4)</f>
        <v>4</v>
      </c>
      <c r="E4">
        <f ca="1">IFERROR(__xludf.DUMMYFUNCTION("""COMPUTED_VALUE"""),100)</f>
        <v>100</v>
      </c>
      <c r="F4">
        <f ca="1">IFERROR(__xludf.DUMMYFUNCTION("""COMPUTED_VALUE"""),1)</f>
        <v>1</v>
      </c>
      <c r="G4">
        <f ca="1">IFERROR(__xludf.DUMMYFUNCTION("""COMPUTED_VALUE"""),1)</f>
        <v>1</v>
      </c>
      <c r="H4" t="str">
        <f ca="1">IFERROR(__xludf.DUMMYFUNCTION("""COMPUTED_VALUE"""),"E")</f>
        <v>E</v>
      </c>
    </row>
    <row r="5" spans="1:8" ht="15.75" customHeight="1">
      <c r="A5" t="str">
        <f ca="1">IFERROR(__xludf.DUMMYFUNCTION("""COMPUTED_VALUE"""),"T1")</f>
        <v>T1</v>
      </c>
      <c r="B5" t="str">
        <f ca="1">IFERROR(__xludf.DUMMYFUNCTION("""COMPUTED_VALUE"""),"T1")</f>
        <v>T1</v>
      </c>
      <c r="C5" t="str">
        <f ca="1">IFERROR(__xludf.DUMMYFUNCTION("""COMPUTED_VALUE"""),"Alex Smalley")</f>
        <v>Alex Smalley</v>
      </c>
      <c r="D5">
        <f ca="1">IFERROR(__xludf.DUMMYFUNCTION("""COMPUTED_VALUE"""),4)</f>
        <v>4</v>
      </c>
      <c r="E5">
        <f ca="1">IFERROR(__xludf.DUMMYFUNCTION("""COMPUTED_VALUE"""),100)</f>
        <v>100</v>
      </c>
      <c r="F5">
        <f ca="1">IFERROR(__xludf.DUMMYFUNCTION("""COMPUTED_VALUE"""),2)</f>
        <v>2</v>
      </c>
      <c r="G5">
        <f ca="1">IFERROR(__xludf.DUMMYFUNCTION("""COMPUTED_VALUE"""),2)</f>
        <v>2</v>
      </c>
      <c r="H5" t="str">
        <f ca="1">IFERROR(__xludf.DUMMYFUNCTION("""COMPUTED_VALUE"""),"E")</f>
        <v>E</v>
      </c>
    </row>
    <row r="6" spans="1:8" ht="15.75" customHeight="1">
      <c r="A6" t="str">
        <f ca="1">IFERROR(__xludf.DUMMYFUNCTION("""COMPUTED_VALUE"""),"T5")</f>
        <v>T5</v>
      </c>
      <c r="B6" t="str">
        <f ca="1">IFERROR(__xludf.DUMMYFUNCTION("""COMPUTED_VALUE"""),"T4")</f>
        <v>T4</v>
      </c>
      <c r="C6" t="str">
        <f ca="1">IFERROR(__xludf.DUMMYFUNCTION("""COMPUTED_VALUE"""),"Akshay Bhatia")</f>
        <v>Akshay Bhatia</v>
      </c>
      <c r="D6">
        <f ca="1">IFERROR(__xludf.DUMMYFUNCTION("""COMPUTED_VALUE"""),6)</f>
        <v>6</v>
      </c>
      <c r="E6">
        <f ca="1">IFERROR(__xludf.DUMMYFUNCTION("""COMPUTED_VALUE"""),83.33)</f>
        <v>83.33</v>
      </c>
      <c r="F6">
        <f ca="1">IFERROR(__xludf.DUMMYFUNCTION("""COMPUTED_VALUE"""),5)</f>
        <v>5</v>
      </c>
      <c r="G6">
        <f ca="1">IFERROR(__xludf.DUMMYFUNCTION("""COMPUTED_VALUE"""),6)</f>
        <v>6</v>
      </c>
      <c r="H6" t="str">
        <f ca="1">IFERROR(__xludf.DUMMYFUNCTION("""COMPUTED_VALUE"""),"E")</f>
        <v>E</v>
      </c>
    </row>
    <row r="7" spans="1:8" ht="15.75" customHeight="1">
      <c r="A7" t="str">
        <f ca="1">IFERROR(__xludf.DUMMYFUNCTION("""COMPUTED_VALUE"""),"T5")</f>
        <v>T5</v>
      </c>
      <c r="B7" t="str">
        <f ca="1">IFERROR(__xludf.DUMMYFUNCTION("""COMPUTED_VALUE"""),"T4")</f>
        <v>T4</v>
      </c>
      <c r="C7" t="str">
        <f ca="1">IFERROR(__xludf.DUMMYFUNCTION("""COMPUTED_VALUE"""),"Bud Cauley")</f>
        <v>Bud Cauley</v>
      </c>
      <c r="D7">
        <f ca="1">IFERROR(__xludf.DUMMYFUNCTION("""COMPUTED_VALUE"""),4)</f>
        <v>4</v>
      </c>
      <c r="E7">
        <f ca="1">IFERROR(__xludf.DUMMYFUNCTION("""COMPUTED_VALUE"""),83.33)</f>
        <v>83.33</v>
      </c>
      <c r="F7">
        <f ca="1">IFERROR(__xludf.DUMMYFUNCTION("""COMPUTED_VALUE"""),5)</f>
        <v>5</v>
      </c>
      <c r="G7">
        <f ca="1">IFERROR(__xludf.DUMMYFUNCTION("""COMPUTED_VALUE"""),6)</f>
        <v>6</v>
      </c>
      <c r="H7">
        <f ca="1">IFERROR(__xludf.DUMMYFUNCTION("""COMPUTED_VALUE"""),-1)</f>
        <v>-1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IFERROR(__xludf.DUMMYFUNCTION("""COMPUTED_VALUE"""),6)</f>
        <v>6</v>
      </c>
      <c r="C8" t="str">
        <f ca="1">IFERROR(__xludf.DUMMYFUNCTION("""COMPUTED_VALUE"""),"Ben Taylor")</f>
        <v>Ben Taylor</v>
      </c>
      <c r="D8">
        <f ca="1">IFERROR(__xludf.DUMMYFUNCTION("""COMPUTED_VALUE"""),10)</f>
        <v>10</v>
      </c>
      <c r="E8">
        <f ca="1">IFERROR(__xludf.DUMMYFUNCTION("""COMPUTED_VALUE"""),82.35)</f>
        <v>82.35</v>
      </c>
      <c r="F8">
        <f ca="1">IFERROR(__xludf.DUMMYFUNCTION("""COMPUTED_VALUE"""),14)</f>
        <v>14</v>
      </c>
      <c r="G8">
        <f ca="1">IFERROR(__xludf.DUMMYFUNCTION("""COMPUTED_VALUE"""),17)</f>
        <v>17</v>
      </c>
      <c r="H8" t="str">
        <f ca="1">IFERROR(__xludf.DUMMYFUNCTION("""COMPUTED_VALUE"""),"E")</f>
        <v>E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IFERROR(__xludf.DUMMYFUNCTION("""COMPUTED_VALUE"""),7)</f>
        <v>7</v>
      </c>
      <c r="C9" t="str">
        <f ca="1">IFERROR(__xludf.DUMMYFUNCTION("""COMPUTED_VALUE"""),"Sahith Theegala")</f>
        <v>Sahith Theegala</v>
      </c>
      <c r="D9">
        <f ca="1">IFERROR(__xludf.DUMMYFUNCTION("""COMPUTED_VALUE"""),6)</f>
        <v>6</v>
      </c>
      <c r="E9">
        <f ca="1">IFERROR(__xludf.DUMMYFUNCTION("""COMPUTED_VALUE"""),81.82)</f>
        <v>81.819999999999993</v>
      </c>
      <c r="F9">
        <f ca="1">IFERROR(__xludf.DUMMYFUNCTION("""COMPUTED_VALUE"""),9)</f>
        <v>9</v>
      </c>
      <c r="G9">
        <f ca="1">IFERROR(__xludf.DUMMYFUNCTION("""COMPUTED_VALUE"""),11)</f>
        <v>11</v>
      </c>
      <c r="H9">
        <f ca="1">IFERROR(__xludf.DUMMYFUNCTION("""COMPUTED_VALUE"""),-1)</f>
        <v>-1</v>
      </c>
    </row>
    <row r="10" spans="1:8" ht="15.75" customHeight="1">
      <c r="A10" t="str">
        <f ca="1">IFERROR(__xludf.DUMMYFUNCTION("""COMPUTED_VALUE"""),"T9")</f>
        <v>T9</v>
      </c>
      <c r="B10" t="str">
        <f ca="1">IFERROR(__xludf.DUMMYFUNCTION("""COMPUTED_VALUE"""),"")</f>
        <v/>
      </c>
      <c r="C10" t="str">
        <f ca="1">IFERROR(__xludf.DUMMYFUNCTION("""COMPUTED_VALUE"""),"Brooks Koepka")</f>
        <v>Brooks Koepka</v>
      </c>
      <c r="D10">
        <f ca="1">IFERROR(__xludf.DUMMYFUNCTION("""COMPUTED_VALUE"""),8)</f>
        <v>8</v>
      </c>
      <c r="E10">
        <f ca="1">IFERROR(__xludf.DUMMYFUNCTION("""COMPUTED_VALUE"""),80)</f>
        <v>80</v>
      </c>
      <c r="F10">
        <f ca="1">IFERROR(__xludf.DUMMYFUNCTION("""COMPUTED_VALUE"""),4)</f>
        <v>4</v>
      </c>
      <c r="G10">
        <f ca="1">IFERROR(__xludf.DUMMYFUNCTION("""COMPUTED_VALUE"""),5)</f>
        <v>5</v>
      </c>
      <c r="H10" t="str">
        <f ca="1">IFERROR(__xludf.DUMMYFUNCTION("""COMPUTED_VALUE"""),"+1.00")</f>
        <v>+1.00</v>
      </c>
    </row>
    <row r="11" spans="1:8" ht="15.75" customHeight="1">
      <c r="A11" t="str">
        <f ca="1">IFERROR(__xludf.DUMMYFUNCTION("""COMPUTED_VALUE"""),"T9")</f>
        <v>T9</v>
      </c>
      <c r="B11" t="str">
        <f ca="1">IFERROR(__xludf.DUMMYFUNCTION("""COMPUTED_VALUE"""),"T8")</f>
        <v>T8</v>
      </c>
      <c r="C11" t="str">
        <f ca="1">IFERROR(__xludf.DUMMYFUNCTION("""COMPUTED_VALUE"""),"Stephan Jaeger")</f>
        <v>Stephan Jaeger</v>
      </c>
      <c r="D11">
        <f ca="1">IFERROR(__xludf.DUMMYFUNCTION("""COMPUTED_VALUE"""),4)</f>
        <v>4</v>
      </c>
      <c r="E11">
        <f ca="1">IFERROR(__xludf.DUMMYFUNCTION("""COMPUTED_VALUE"""),80)</f>
        <v>80</v>
      </c>
      <c r="F11">
        <f ca="1">IFERROR(__xludf.DUMMYFUNCTION("""COMPUTED_VALUE"""),8)</f>
        <v>8</v>
      </c>
      <c r="G11">
        <f ca="1">IFERROR(__xludf.DUMMYFUNCTION("""COMPUTED_VALUE"""),10)</f>
        <v>10</v>
      </c>
      <c r="H11" t="str">
        <f ca="1">IFERROR(__xludf.DUMMYFUNCTION("""COMPUTED_VALUE"""),"+3.00")</f>
        <v>+3.00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IFERROR(__xludf.DUMMYFUNCTION("""COMPUTED_VALUE"""),10)</f>
        <v>10</v>
      </c>
      <c r="C12" t="str">
        <f ca="1">IFERROR(__xludf.DUMMYFUNCTION("""COMPUTED_VALUE"""),"Collin Morikawa")</f>
        <v>Collin Morikawa</v>
      </c>
      <c r="D12">
        <f ca="1">IFERROR(__xludf.DUMMYFUNCTION("""COMPUTED_VALUE"""),12)</f>
        <v>12</v>
      </c>
      <c r="E12">
        <f ca="1">IFERROR(__xludf.DUMMYFUNCTION("""COMPUTED_VALUE"""),78.57)</f>
        <v>78.569999999999993</v>
      </c>
      <c r="F12">
        <f ca="1">IFERROR(__xludf.DUMMYFUNCTION("""COMPUTED_VALUE"""),11)</f>
        <v>11</v>
      </c>
      <c r="G12">
        <f ca="1">IFERROR(__xludf.DUMMYFUNCTION("""COMPUTED_VALUE"""),14)</f>
        <v>14</v>
      </c>
      <c r="H12">
        <f ca="1">IFERROR(__xludf.DUMMYFUNCTION("""COMPUTED_VALUE"""),-3)</f>
        <v>-3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IFERROR(__xludf.DUMMYFUNCTION("""COMPUTED_VALUE"""),"Patrick Reed")</f>
        <v>Patrick Reed</v>
      </c>
      <c r="D13">
        <f ca="1">IFERROR(__xludf.DUMMYFUNCTION("""COMPUTED_VALUE"""),8)</f>
        <v>8</v>
      </c>
      <c r="E13">
        <f ca="1">IFERROR(__xludf.DUMMYFUNCTION("""COMPUTED_VALUE"""),77.78)</f>
        <v>77.78</v>
      </c>
      <c r="F13">
        <f ca="1">IFERROR(__xludf.DUMMYFUNCTION("""COMPUTED_VALUE"""),7)</f>
        <v>7</v>
      </c>
      <c r="G13">
        <f ca="1">IFERROR(__xludf.DUMMYFUNCTION("""COMPUTED_VALUE"""),9)</f>
        <v>9</v>
      </c>
      <c r="H13" t="str">
        <f ca="1">IFERROR(__xludf.DUMMYFUNCTION("""COMPUTED_VALUE"""),"+1.00")</f>
        <v>+1.00</v>
      </c>
    </row>
    <row r="14" spans="1:8" ht="15.75" customHeight="1">
      <c r="A14">
        <f ca="1">IFERROR(__xludf.DUMMYFUNCTION("""COMPUTED_VALUE"""),13)</f>
        <v>13</v>
      </c>
      <c r="B14" t="str">
        <f ca="1">IFERROR(__xludf.DUMMYFUNCTION("""COMPUTED_VALUE"""),"T22")</f>
        <v>T22</v>
      </c>
      <c r="C14" t="str">
        <f ca="1">IFERROR(__xludf.DUMMYFUNCTION("""COMPUTED_VALUE"""),"Tony Finau")</f>
        <v>Tony Finau</v>
      </c>
      <c r="D14">
        <f ca="1">IFERROR(__xludf.DUMMYFUNCTION("""COMPUTED_VALUE"""),12)</f>
        <v>12</v>
      </c>
      <c r="E14">
        <f ca="1">IFERROR(__xludf.DUMMYFUNCTION("""COMPUTED_VALUE"""),76.92)</f>
        <v>76.92</v>
      </c>
      <c r="F14">
        <f ca="1">IFERROR(__xludf.DUMMYFUNCTION("""COMPUTED_VALUE"""),10)</f>
        <v>10</v>
      </c>
      <c r="G14">
        <f ca="1">IFERROR(__xludf.DUMMYFUNCTION("""COMPUTED_VALUE"""),13)</f>
        <v>13</v>
      </c>
      <c r="H14" t="str">
        <f ca="1">IFERROR(__xludf.DUMMYFUNCTION("""COMPUTED_VALUE"""),"+1.00")</f>
        <v>+1.00</v>
      </c>
    </row>
    <row r="15" spans="1:8" ht="15.75" customHeight="1">
      <c r="A15">
        <f ca="1">IFERROR(__xludf.DUMMYFUNCTION("""COMPUTED_VALUE"""),14)</f>
        <v>14</v>
      </c>
      <c r="B15">
        <f ca="1">IFERROR(__xludf.DUMMYFUNCTION("""COMPUTED_VALUE"""),12)</f>
        <v>12</v>
      </c>
      <c r="C15" t="str">
        <f ca="1">IFERROR(__xludf.DUMMYFUNCTION("""COMPUTED_VALUE"""),"Brice Garnett")</f>
        <v>Brice Garnett</v>
      </c>
      <c r="D15">
        <f ca="1">IFERROR(__xludf.DUMMYFUNCTION("""COMPUTED_VALUE"""),22)</f>
        <v>22</v>
      </c>
      <c r="E15">
        <f ca="1">IFERROR(__xludf.DUMMYFUNCTION("""COMPUTED_VALUE"""),76.47)</f>
        <v>76.47</v>
      </c>
      <c r="F15">
        <f ca="1">IFERROR(__xludf.DUMMYFUNCTION("""COMPUTED_VALUE"""),26)</f>
        <v>26</v>
      </c>
      <c r="G15">
        <f ca="1">IFERROR(__xludf.DUMMYFUNCTION("""COMPUTED_VALUE"""),34)</f>
        <v>34</v>
      </c>
      <c r="H15" t="str">
        <f ca="1">IFERROR(__xludf.DUMMYFUNCTION("""COMPUTED_VALUE"""),"+6.00")</f>
        <v>+6.00</v>
      </c>
    </row>
    <row r="16" spans="1:8" ht="15.75" customHeight="1">
      <c r="A16" t="str">
        <f ca="1">IFERROR(__xludf.DUMMYFUNCTION("""COMPUTED_VALUE"""),"T15")</f>
        <v>T15</v>
      </c>
      <c r="B16" t="str">
        <f ca="1">IFERROR(__xludf.DUMMYFUNCTION("""COMPUTED_VALUE"""),"T13")</f>
        <v>T13</v>
      </c>
      <c r="C16" t="str">
        <f ca="1">IFERROR(__xludf.DUMMYFUNCTION("""COMPUTED_VALUE"""),"Steve Lewton")</f>
        <v>Steve Lewton</v>
      </c>
      <c r="D16">
        <f ca="1">IFERROR(__xludf.DUMMYFUNCTION("""COMPUTED_VALUE"""),4)</f>
        <v>4</v>
      </c>
      <c r="E16">
        <f ca="1">IFERROR(__xludf.DUMMYFUNCTION("""COMPUTED_VALUE"""),75)</f>
        <v>75</v>
      </c>
      <c r="F16">
        <f ca="1">IFERROR(__xludf.DUMMYFUNCTION("""COMPUTED_VALUE"""),6)</f>
        <v>6</v>
      </c>
      <c r="G16">
        <f ca="1">IFERROR(__xludf.DUMMYFUNCTION("""COMPUTED_VALUE"""),8)</f>
        <v>8</v>
      </c>
      <c r="H16" t="str">
        <f ca="1">IFERROR(__xludf.DUMMYFUNCTION("""COMPUTED_VALUE"""),"+2.00")</f>
        <v>+2.00</v>
      </c>
    </row>
    <row r="17" spans="1:8" ht="15.75" customHeight="1">
      <c r="A17" t="str">
        <f ca="1">IFERROR(__xludf.DUMMYFUNCTION("""COMPUTED_VALUE"""),"T15")</f>
        <v>T15</v>
      </c>
      <c r="B17" t="str">
        <f ca="1">IFERROR(__xludf.DUMMYFUNCTION("""COMPUTED_VALUE"""),"T13")</f>
        <v>T13</v>
      </c>
      <c r="C17" t="str">
        <f ca="1">IFERROR(__xludf.DUMMYFUNCTION("""COMPUTED_VALUE"""),"J.J. Henry")</f>
        <v>J.J. Henry</v>
      </c>
      <c r="D17">
        <f ca="1">IFERROR(__xludf.DUMMYFUNCTION("""COMPUTED_VALUE"""),4)</f>
        <v>4</v>
      </c>
      <c r="E17">
        <f ca="1">IFERROR(__xludf.DUMMYFUNCTION("""COMPUTED_VALUE"""),75)</f>
        <v>75</v>
      </c>
      <c r="F17">
        <f ca="1">IFERROR(__xludf.DUMMYFUNCTION("""COMPUTED_VALUE"""),3)</f>
        <v>3</v>
      </c>
      <c r="G17">
        <f ca="1">IFERROR(__xludf.DUMMYFUNCTION("""COMPUTED_VALUE"""),4)</f>
        <v>4</v>
      </c>
      <c r="H17" t="str">
        <f ca="1">IFERROR(__xludf.DUMMYFUNCTION("""COMPUTED_VALUE"""),"+1.00")</f>
        <v>+1.00</v>
      </c>
    </row>
    <row r="18" spans="1:8" ht="15.75" customHeight="1">
      <c r="A18" t="str">
        <f ca="1">IFERROR(__xludf.DUMMYFUNCTION("""COMPUTED_VALUE"""),"T15")</f>
        <v>T15</v>
      </c>
      <c r="B18" t="str">
        <f ca="1">IFERROR(__xludf.DUMMYFUNCTION("""COMPUTED_VALUE"""),"T8")</f>
        <v>T8</v>
      </c>
      <c r="C18" t="str">
        <f ca="1">IFERROR(__xludf.DUMMYFUNCTION("""COMPUTED_VALUE"""),"Tyrrell Hatton")</f>
        <v>Tyrrell Hatton</v>
      </c>
      <c r="D18">
        <f ca="1">IFERROR(__xludf.DUMMYFUNCTION("""COMPUTED_VALUE"""),14)</f>
        <v>14</v>
      </c>
      <c r="E18">
        <f ca="1">IFERROR(__xludf.DUMMYFUNCTION("""COMPUTED_VALUE"""),75)</f>
        <v>75</v>
      </c>
      <c r="F18">
        <f ca="1">IFERROR(__xludf.DUMMYFUNCTION("""COMPUTED_VALUE"""),9)</f>
        <v>9</v>
      </c>
      <c r="G18">
        <f ca="1">IFERROR(__xludf.DUMMYFUNCTION("""COMPUTED_VALUE"""),12)</f>
        <v>12</v>
      </c>
      <c r="H18">
        <f ca="1">IFERROR(__xludf.DUMMYFUNCTION("""COMPUTED_VALUE"""),-1)</f>
        <v>-1</v>
      </c>
    </row>
    <row r="19" spans="1:8" ht="15.75" customHeight="1">
      <c r="A19" t="str">
        <f ca="1">IFERROR(__xludf.DUMMYFUNCTION("""COMPUTED_VALUE"""),"T15")</f>
        <v>T15</v>
      </c>
      <c r="B19" t="str">
        <f ca="1">IFERROR(__xludf.DUMMYFUNCTION("""COMPUTED_VALUE"""),"T13")</f>
        <v>T13</v>
      </c>
      <c r="C19" t="str">
        <f ca="1">IFERROR(__xludf.DUMMYFUNCTION("""COMPUTED_VALUE"""),"Gunn Charoenkul")</f>
        <v>Gunn Charoenkul</v>
      </c>
      <c r="D19">
        <f ca="1">IFERROR(__xludf.DUMMYFUNCTION("""COMPUTED_VALUE"""),4)</f>
        <v>4</v>
      </c>
      <c r="E19">
        <f ca="1">IFERROR(__xludf.DUMMYFUNCTION("""COMPUTED_VALUE"""),75)</f>
        <v>75</v>
      </c>
      <c r="F19">
        <f ca="1">IFERROR(__xludf.DUMMYFUNCTION("""COMPUTED_VALUE"""),3)</f>
        <v>3</v>
      </c>
      <c r="G19">
        <f ca="1">IFERROR(__xludf.DUMMYFUNCTION("""COMPUTED_VALUE"""),4)</f>
        <v>4</v>
      </c>
      <c r="H19">
        <f ca="1">IFERROR(__xludf.DUMMYFUNCTION("""COMPUTED_VALUE"""),-1)</f>
        <v>-1</v>
      </c>
    </row>
    <row r="20" spans="1:8" ht="15.75" customHeight="1">
      <c r="A20" t="str">
        <f ca="1">IFERROR(__xludf.DUMMYFUNCTION("""COMPUTED_VALUE"""),"T19")</f>
        <v>T19</v>
      </c>
      <c r="B20" t="str">
        <f ca="1">IFERROR(__xludf.DUMMYFUNCTION("""COMPUTED_VALUE"""),"T13")</f>
        <v>T13</v>
      </c>
      <c r="C20" t="str">
        <f ca="1">IFERROR(__xludf.DUMMYFUNCTION("""COMPUTED_VALUE"""),"Viktor Hovland")</f>
        <v>Viktor Hovland</v>
      </c>
      <c r="D20">
        <f ca="1">IFERROR(__xludf.DUMMYFUNCTION("""COMPUTED_VALUE"""),16)</f>
        <v>16</v>
      </c>
      <c r="E20">
        <f ca="1">IFERROR(__xludf.DUMMYFUNCTION("""COMPUTED_VALUE"""),73.68)</f>
        <v>73.680000000000007</v>
      </c>
      <c r="F20">
        <f ca="1">IFERROR(__xludf.DUMMYFUNCTION("""COMPUTED_VALUE"""),14)</f>
        <v>14</v>
      </c>
      <c r="G20">
        <f ca="1">IFERROR(__xludf.DUMMYFUNCTION("""COMPUTED_VALUE"""),19)</f>
        <v>19</v>
      </c>
      <c r="H20">
        <f ca="1">IFERROR(__xludf.DUMMYFUNCTION("""COMPUTED_VALUE"""),-4)</f>
        <v>-4</v>
      </c>
    </row>
    <row r="21" spans="1:8" ht="15.75" customHeight="1">
      <c r="A21" t="str">
        <f ca="1">IFERROR(__xludf.DUMMYFUNCTION("""COMPUTED_VALUE"""),"T19")</f>
        <v>T19</v>
      </c>
      <c r="B21">
        <f ca="1">IFERROR(__xludf.DUMMYFUNCTION("""COMPUTED_VALUE"""),17)</f>
        <v>17</v>
      </c>
      <c r="C21" t="str">
        <f ca="1">IFERROR(__xludf.DUMMYFUNCTION("""COMPUTED_VALUE"""),"Kevin Chappell")</f>
        <v>Kevin Chappell</v>
      </c>
      <c r="D21">
        <f ca="1">IFERROR(__xludf.DUMMYFUNCTION("""COMPUTED_VALUE"""),16)</f>
        <v>16</v>
      </c>
      <c r="E21">
        <f ca="1">IFERROR(__xludf.DUMMYFUNCTION("""COMPUTED_VALUE"""),73.68)</f>
        <v>73.680000000000007</v>
      </c>
      <c r="F21">
        <f ca="1">IFERROR(__xludf.DUMMYFUNCTION("""COMPUTED_VALUE"""),14)</f>
        <v>14</v>
      </c>
      <c r="G21">
        <f ca="1">IFERROR(__xludf.DUMMYFUNCTION("""COMPUTED_VALUE"""),19)</f>
        <v>19</v>
      </c>
      <c r="H21" t="str">
        <f ca="1">IFERROR(__xludf.DUMMYFUNCTION("""COMPUTED_VALUE"""),"+6.00")</f>
        <v>+6.00</v>
      </c>
    </row>
    <row r="22" spans="1:8" ht="15.75" customHeight="1">
      <c r="A22">
        <f ca="1">IFERROR(__xludf.DUMMYFUNCTION("""COMPUTED_VALUE"""),21)</f>
        <v>21</v>
      </c>
      <c r="B22" t="str">
        <f ca="1">IFERROR(__xludf.DUMMYFUNCTION("""COMPUTED_VALUE"""),"T22")</f>
        <v>T22</v>
      </c>
      <c r="C22" t="str">
        <f ca="1">IFERROR(__xludf.DUMMYFUNCTION("""COMPUTED_VALUE"""),"Scott Piercy")</f>
        <v>Scott Piercy</v>
      </c>
      <c r="D22">
        <f ca="1">IFERROR(__xludf.DUMMYFUNCTION("""COMPUTED_VALUE"""),18)</f>
        <v>18</v>
      </c>
      <c r="E22">
        <f ca="1">IFERROR(__xludf.DUMMYFUNCTION("""COMPUTED_VALUE"""),72.73)</f>
        <v>72.73</v>
      </c>
      <c r="F22">
        <f ca="1">IFERROR(__xludf.DUMMYFUNCTION("""COMPUTED_VALUE"""),16)</f>
        <v>16</v>
      </c>
      <c r="G22">
        <f ca="1">IFERROR(__xludf.DUMMYFUNCTION("""COMPUTED_VALUE"""),22)</f>
        <v>22</v>
      </c>
      <c r="H22" t="str">
        <f ca="1">IFERROR(__xludf.DUMMYFUNCTION("""COMPUTED_VALUE"""),"E")</f>
        <v>E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IFERROR(__xludf.DUMMYFUNCTION("""COMPUTED_VALUE"""),"T30")</f>
        <v>T30</v>
      </c>
      <c r="C23" t="str">
        <f ca="1">IFERROR(__xludf.DUMMYFUNCTION("""COMPUTED_VALUE"""),"Denny McCarthy")</f>
        <v>Denny McCarthy</v>
      </c>
      <c r="D23">
        <f ca="1">IFERROR(__xludf.DUMMYFUNCTION("""COMPUTED_VALUE"""),22)</f>
        <v>22</v>
      </c>
      <c r="E23">
        <f ca="1">IFERROR(__xludf.DUMMYFUNCTION("""COMPUTED_VALUE"""),71.43)</f>
        <v>71.430000000000007</v>
      </c>
      <c r="F23">
        <f ca="1">IFERROR(__xludf.DUMMYFUNCTION("""COMPUTED_VALUE"""),15)</f>
        <v>15</v>
      </c>
      <c r="G23">
        <f ca="1">IFERROR(__xludf.DUMMYFUNCTION("""COMPUTED_VALUE"""),21)</f>
        <v>21</v>
      </c>
      <c r="H23" t="str">
        <f ca="1">IFERROR(__xludf.DUMMYFUNCTION("""COMPUTED_VALUE"""),"E")</f>
        <v>E</v>
      </c>
    </row>
    <row r="24" spans="1:8" ht="15.75" customHeight="1">
      <c r="A24" t="str">
        <f ca="1">IFERROR(__xludf.DUMMYFUNCTION("""COMPUTED_VALUE"""),"T22")</f>
        <v>T22</v>
      </c>
      <c r="B24" t="str">
        <f ca="1">IFERROR(__xludf.DUMMYFUNCTION("""COMPUTED_VALUE"""),"T18")</f>
        <v>T18</v>
      </c>
      <c r="C24" t="str">
        <f ca="1">IFERROR(__xludf.DUMMYFUNCTION("""COMPUTED_VALUE"""),"Thomas Pieters")</f>
        <v>Thomas Pieters</v>
      </c>
      <c r="D24">
        <f ca="1">IFERROR(__xludf.DUMMYFUNCTION("""COMPUTED_VALUE"""),4)</f>
        <v>4</v>
      </c>
      <c r="E24">
        <f ca="1">IFERROR(__xludf.DUMMYFUNCTION("""COMPUTED_VALUE"""),71.43)</f>
        <v>71.430000000000007</v>
      </c>
      <c r="F24">
        <f ca="1">IFERROR(__xludf.DUMMYFUNCTION("""COMPUTED_VALUE"""),5)</f>
        <v>5</v>
      </c>
      <c r="G24">
        <f ca="1">IFERROR(__xludf.DUMMYFUNCTION("""COMPUTED_VALUE"""),7)</f>
        <v>7</v>
      </c>
      <c r="H24" t="str">
        <f ca="1">IFERROR(__xludf.DUMMYFUNCTION("""COMPUTED_VALUE"""),"+1.00")</f>
        <v>+1.00</v>
      </c>
    </row>
    <row r="25" spans="1:8" ht="15.75" customHeight="1">
      <c r="A25" t="str">
        <f ca="1">IFERROR(__xludf.DUMMYFUNCTION("""COMPUTED_VALUE"""),"T24")</f>
        <v>T24</v>
      </c>
      <c r="B25" t="str">
        <f ca="1">IFERROR(__xludf.DUMMYFUNCTION("""COMPUTED_VALUE"""),"T20")</f>
        <v>T20</v>
      </c>
      <c r="C25" t="str">
        <f ca="1">IFERROR(__xludf.DUMMYFUNCTION("""COMPUTED_VALUE"""),"Hank Lebioda")</f>
        <v>Hank Lebioda</v>
      </c>
      <c r="D25">
        <f ca="1">IFERROR(__xludf.DUMMYFUNCTION("""COMPUTED_VALUE"""),14)</f>
        <v>14</v>
      </c>
      <c r="E25">
        <f ca="1">IFERROR(__xludf.DUMMYFUNCTION("""COMPUTED_VALUE"""),70.59)</f>
        <v>70.59</v>
      </c>
      <c r="F25">
        <f ca="1">IFERROR(__xludf.DUMMYFUNCTION("""COMPUTED_VALUE"""),12)</f>
        <v>12</v>
      </c>
      <c r="G25">
        <f ca="1">IFERROR(__xludf.DUMMYFUNCTION("""COMPUTED_VALUE"""),17)</f>
        <v>17</v>
      </c>
      <c r="H25" t="str">
        <f ca="1">IFERROR(__xludf.DUMMYFUNCTION("""COMPUTED_VALUE"""),"+1.00")</f>
        <v>+1.00</v>
      </c>
    </row>
    <row r="26" spans="1:8" ht="15.75" customHeight="1">
      <c r="A26" t="str">
        <f ca="1">IFERROR(__xludf.DUMMYFUNCTION("""COMPUTED_VALUE"""),"T24")</f>
        <v>T24</v>
      </c>
      <c r="B26" t="str">
        <f ca="1">IFERROR(__xludf.DUMMYFUNCTION("""COMPUTED_VALUE"""),"T20")</f>
        <v>T20</v>
      </c>
      <c r="C26" t="str">
        <f ca="1">IFERROR(__xludf.DUMMYFUNCTION("""COMPUTED_VALUE"""),"Doug Ghim")</f>
        <v>Doug Ghim</v>
      </c>
      <c r="D26">
        <f ca="1">IFERROR(__xludf.DUMMYFUNCTION("""COMPUTED_VALUE"""),14)</f>
        <v>14</v>
      </c>
      <c r="E26">
        <f ca="1">IFERROR(__xludf.DUMMYFUNCTION("""COMPUTED_VALUE"""),70.59)</f>
        <v>70.59</v>
      </c>
      <c r="F26">
        <f ca="1">IFERROR(__xludf.DUMMYFUNCTION("""COMPUTED_VALUE"""),12)</f>
        <v>12</v>
      </c>
      <c r="G26">
        <f ca="1">IFERROR(__xludf.DUMMYFUNCTION("""COMPUTED_VALUE"""),17)</f>
        <v>17</v>
      </c>
      <c r="H26" t="str">
        <f ca="1">IFERROR(__xludf.DUMMYFUNCTION("""COMPUTED_VALUE"""),"+3.00")</f>
        <v>+3.00</v>
      </c>
    </row>
    <row r="27" spans="1:8" ht="15.75" customHeight="1">
      <c r="A27" t="str">
        <f ca="1">IFERROR(__xludf.DUMMYFUNCTION("""COMPUTED_VALUE"""),"T26")</f>
        <v>T26</v>
      </c>
      <c r="B27" t="str">
        <f ca="1">IFERROR(__xludf.DUMMYFUNCTION("""COMPUTED_VALUE"""),"T30")</f>
        <v>T30</v>
      </c>
      <c r="C27" t="str">
        <f ca="1">IFERROR(__xludf.DUMMYFUNCTION("""COMPUTED_VALUE"""),"Isaiah Salinda")</f>
        <v>Isaiah Salinda</v>
      </c>
      <c r="D27">
        <f ca="1">IFERROR(__xludf.DUMMYFUNCTION("""COMPUTED_VALUE"""),8)</f>
        <v>8</v>
      </c>
      <c r="E27">
        <f ca="1">IFERROR(__xludf.DUMMYFUNCTION("""COMPUTED_VALUE"""),70)</f>
        <v>70</v>
      </c>
      <c r="F27">
        <f ca="1">IFERROR(__xludf.DUMMYFUNCTION("""COMPUTED_VALUE"""),7)</f>
        <v>7</v>
      </c>
      <c r="G27">
        <f ca="1">IFERROR(__xludf.DUMMYFUNCTION("""COMPUTED_VALUE"""),10)</f>
        <v>10</v>
      </c>
      <c r="H27" t="str">
        <f ca="1">IFERROR(__xludf.DUMMYFUNCTION("""COMPUTED_VALUE"""),"+1.00")</f>
        <v>+1.00</v>
      </c>
    </row>
    <row r="28" spans="1:8" ht="15.75" customHeight="1">
      <c r="A28" t="str">
        <f ca="1">IFERROR(__xludf.DUMMYFUNCTION("""COMPUTED_VALUE"""),"T26")</f>
        <v>T26</v>
      </c>
      <c r="B28" t="str">
        <f ca="1">IFERROR(__xludf.DUMMYFUNCTION("""COMPUTED_VALUE"""),"T22")</f>
        <v>T22</v>
      </c>
      <c r="C28" t="str">
        <f ca="1">IFERROR(__xludf.DUMMYFUNCTION("""COMPUTED_VALUE"""),"Christiaan Bezuidenhout")</f>
        <v>Christiaan Bezuidenhout</v>
      </c>
      <c r="D28">
        <f ca="1">IFERROR(__xludf.DUMMYFUNCTION("""COMPUTED_VALUE"""),4)</f>
        <v>4</v>
      </c>
      <c r="E28">
        <f ca="1">IFERROR(__xludf.DUMMYFUNCTION("""COMPUTED_VALUE"""),70)</f>
        <v>70</v>
      </c>
      <c r="F28">
        <f ca="1">IFERROR(__xludf.DUMMYFUNCTION("""COMPUTED_VALUE"""),7)</f>
        <v>7</v>
      </c>
      <c r="G28">
        <f ca="1">IFERROR(__xludf.DUMMYFUNCTION("""COMPUTED_VALUE"""),10)</f>
        <v>10</v>
      </c>
      <c r="H28" t="str">
        <f ca="1">IFERROR(__xludf.DUMMYFUNCTION("""COMPUTED_VALUE"""),"+3.00")</f>
        <v>+3.00</v>
      </c>
    </row>
    <row r="29" spans="1:8" ht="15.75" customHeight="1">
      <c r="A29" t="str">
        <f ca="1">IFERROR(__xludf.DUMMYFUNCTION("""COMPUTED_VALUE"""),"T26")</f>
        <v>T26</v>
      </c>
      <c r="B29" t="str">
        <f ca="1">IFERROR(__xludf.DUMMYFUNCTION("""COMPUTED_VALUE"""),"T22")</f>
        <v>T22</v>
      </c>
      <c r="C29" t="str">
        <f ca="1">IFERROR(__xludf.DUMMYFUNCTION("""COMPUTED_VALUE"""),"Fred Funk")</f>
        <v>Fred Funk</v>
      </c>
      <c r="D29">
        <f ca="1">IFERROR(__xludf.DUMMYFUNCTION("""COMPUTED_VALUE"""),4)</f>
        <v>4</v>
      </c>
      <c r="E29">
        <f ca="1">IFERROR(__xludf.DUMMYFUNCTION("""COMPUTED_VALUE"""),70)</f>
        <v>70</v>
      </c>
      <c r="F29">
        <f ca="1">IFERROR(__xludf.DUMMYFUNCTION("""COMPUTED_VALUE"""),7)</f>
        <v>7</v>
      </c>
      <c r="G29">
        <f ca="1">IFERROR(__xludf.DUMMYFUNCTION("""COMPUTED_VALUE"""),10)</f>
        <v>10</v>
      </c>
      <c r="H29" t="str">
        <f ca="1">IFERROR(__xludf.DUMMYFUNCTION("""COMPUTED_VALUE"""),"+3.00")</f>
        <v>+3.00</v>
      </c>
    </row>
    <row r="30" spans="1:8" ht="15.75" customHeight="1">
      <c r="A30" t="str">
        <f ca="1">IFERROR(__xludf.DUMMYFUNCTION("""COMPUTED_VALUE"""),"T29")</f>
        <v>T29</v>
      </c>
      <c r="B30">
        <f ca="1">IFERROR(__xludf.DUMMYFUNCTION("""COMPUTED_VALUE"""),29)</f>
        <v>29</v>
      </c>
      <c r="C30" t="str">
        <f ca="1">IFERROR(__xludf.DUMMYFUNCTION("""COMPUTED_VALUE"""),"Kyoung-Hoon Lee")</f>
        <v>Kyoung-Hoon Lee</v>
      </c>
      <c r="D30">
        <f ca="1">IFERROR(__xludf.DUMMYFUNCTION("""COMPUTED_VALUE"""),20)</f>
        <v>20</v>
      </c>
      <c r="E30">
        <f ca="1">IFERROR(__xludf.DUMMYFUNCTION("""COMPUTED_VALUE"""),69.23)</f>
        <v>69.23</v>
      </c>
      <c r="F30">
        <f ca="1">IFERROR(__xludf.DUMMYFUNCTION("""COMPUTED_VALUE"""),18)</f>
        <v>18</v>
      </c>
      <c r="G30">
        <f ca="1">IFERROR(__xludf.DUMMYFUNCTION("""COMPUTED_VALUE"""),26)</f>
        <v>26</v>
      </c>
      <c r="H30" t="str">
        <f ca="1">IFERROR(__xludf.DUMMYFUNCTION("""COMPUTED_VALUE"""),"+4.00")</f>
        <v>+4.00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IFERROR(__xludf.DUMMYFUNCTION("""COMPUTED_VALUE"""),"T30")</f>
        <v>T30</v>
      </c>
      <c r="C31" t="str">
        <f ca="1">IFERROR(__xludf.DUMMYFUNCTION("""COMPUTED_VALUE"""),"Keegan Bradley")</f>
        <v>Keegan Bradley</v>
      </c>
      <c r="D31">
        <f ca="1">IFERROR(__xludf.DUMMYFUNCTION("""COMPUTED_VALUE"""),16)</f>
        <v>16</v>
      </c>
      <c r="E31">
        <f ca="1">IFERROR(__xludf.DUMMYFUNCTION("""COMPUTED_VALUE"""),69.23)</f>
        <v>69.23</v>
      </c>
      <c r="F31">
        <f ca="1">IFERROR(__xludf.DUMMYFUNCTION("""COMPUTED_VALUE"""),9)</f>
        <v>9</v>
      </c>
      <c r="G31">
        <f ca="1">IFERROR(__xludf.DUMMYFUNCTION("""COMPUTED_VALUE"""),13)</f>
        <v>13</v>
      </c>
      <c r="H31">
        <f ca="1">IFERROR(__xludf.DUMMYFUNCTION("""COMPUTED_VALUE"""),-2)</f>
        <v>-2</v>
      </c>
    </row>
    <row r="32" spans="1:8" ht="12.75">
      <c r="A32">
        <f ca="1">IFERROR(__xludf.DUMMYFUNCTION("""COMPUTED_VALUE"""),31)</f>
        <v>31</v>
      </c>
      <c r="B32">
        <f ca="1">IFERROR(__xludf.DUMMYFUNCTION("""COMPUTED_VALUE"""),27)</f>
        <v>27</v>
      </c>
      <c r="C32" t="str">
        <f ca="1">IFERROR(__xludf.DUMMYFUNCTION("""COMPUTED_VALUE"""),"Webb Simpson")</f>
        <v>Webb Simpson</v>
      </c>
      <c r="D32">
        <f ca="1">IFERROR(__xludf.DUMMYFUNCTION("""COMPUTED_VALUE"""),12)</f>
        <v>12</v>
      </c>
      <c r="E32">
        <f ca="1">IFERROR(__xludf.DUMMYFUNCTION("""COMPUTED_VALUE"""),68.42)</f>
        <v>68.42</v>
      </c>
      <c r="F32">
        <f ca="1">IFERROR(__xludf.DUMMYFUNCTION("""COMPUTED_VALUE"""),13)</f>
        <v>13</v>
      </c>
      <c r="G32">
        <f ca="1">IFERROR(__xludf.DUMMYFUNCTION("""COMPUTED_VALUE"""),19)</f>
        <v>19</v>
      </c>
      <c r="H32" t="str">
        <f ca="1">IFERROR(__xludf.DUMMYFUNCTION("""COMPUTED_VALUE"""),"+3.00")</f>
        <v>+3.00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IFERROR(__xludf.DUMMYFUNCTION("""COMPUTED_VALUE"""),"T30")</f>
        <v>T30</v>
      </c>
      <c r="C33" t="str">
        <f ca="1">IFERROR(__xludf.DUMMYFUNCTION("""COMPUTED_VALUE"""),"Stephen Stallings Jr.")</f>
        <v>Stephen Stallings Jr.</v>
      </c>
      <c r="D33">
        <f ca="1">IFERROR(__xludf.DUMMYFUNCTION("""COMPUTED_VALUE"""),4)</f>
        <v>4</v>
      </c>
      <c r="E33">
        <f ca="1">IFERROR(__xludf.DUMMYFUNCTION("""COMPUTED_VALUE"""),66.67)</f>
        <v>66.67</v>
      </c>
      <c r="F33">
        <f ca="1">IFERROR(__xludf.DUMMYFUNCTION("""COMPUTED_VALUE"""),2)</f>
        <v>2</v>
      </c>
      <c r="G33">
        <f ca="1">IFERROR(__xludf.DUMMYFUNCTION("""COMPUTED_VALUE"""),3)</f>
        <v>3</v>
      </c>
      <c r="H33">
        <f ca="1">IFERROR(__xludf.DUMMYFUNCTION("""COMPUTED_VALUE"""),-1)</f>
        <v>-1</v>
      </c>
    </row>
    <row r="34" spans="1:8" ht="12.75">
      <c r="A34" t="str">
        <f ca="1">IFERROR(__xludf.DUMMYFUNCTION("""COMPUTED_VALUE"""),"T32")</f>
        <v>T32</v>
      </c>
      <c r="B34" t="str">
        <f ca="1">IFERROR(__xludf.DUMMYFUNCTION("""COMPUTED_VALUE"""),"T30")</f>
        <v>T30</v>
      </c>
      <c r="C34" t="str">
        <f ca="1">IFERROR(__xludf.DUMMYFUNCTION("""COMPUTED_VALUE"""),"Brad Kennedy")</f>
        <v>Brad Kennedy</v>
      </c>
      <c r="D34">
        <f ca="1">IFERROR(__xludf.DUMMYFUNCTION("""COMPUTED_VALUE"""),4)</f>
        <v>4</v>
      </c>
      <c r="E34">
        <f ca="1">IFERROR(__xludf.DUMMYFUNCTION("""COMPUTED_VALUE"""),66.67)</f>
        <v>66.67</v>
      </c>
      <c r="F34">
        <f ca="1">IFERROR(__xludf.DUMMYFUNCTION("""COMPUTED_VALUE"""),2)</f>
        <v>2</v>
      </c>
      <c r="G34">
        <f ca="1">IFERROR(__xludf.DUMMYFUNCTION("""COMPUTED_VALUE"""),3)</f>
        <v>3</v>
      </c>
      <c r="H34" t="str">
        <f ca="1">IFERROR(__xludf.DUMMYFUNCTION("""COMPUTED_VALUE"""),"+1.00")</f>
        <v>+1.00</v>
      </c>
    </row>
    <row r="35" spans="1:8" ht="12.75">
      <c r="A35" t="str">
        <f ca="1">IFERROR(__xludf.DUMMYFUNCTION("""COMPUTED_VALUE"""),"T32")</f>
        <v>T32</v>
      </c>
      <c r="B35" t="str">
        <f ca="1">IFERROR(__xludf.DUMMYFUNCTION("""COMPUTED_VALUE"""),"T30")</f>
        <v>T30</v>
      </c>
      <c r="C35" t="str">
        <f ca="1">IFERROR(__xludf.DUMMYFUNCTION("""COMPUTED_VALUE"""),"Vaughn Taylor")</f>
        <v>Vaughn Taylor</v>
      </c>
      <c r="D35">
        <f ca="1">IFERROR(__xludf.DUMMYFUNCTION("""COMPUTED_VALUE"""),12)</f>
        <v>12</v>
      </c>
      <c r="E35">
        <f ca="1">IFERROR(__xludf.DUMMYFUNCTION("""COMPUTED_VALUE"""),66.67)</f>
        <v>66.67</v>
      </c>
      <c r="F35">
        <f ca="1">IFERROR(__xludf.DUMMYFUNCTION("""COMPUTED_VALUE"""),8)</f>
        <v>8</v>
      </c>
      <c r="G35">
        <f ca="1">IFERROR(__xludf.DUMMYFUNCTION("""COMPUTED_VALUE"""),12)</f>
        <v>12</v>
      </c>
      <c r="H35" t="str">
        <f ca="1">IFERROR(__xludf.DUMMYFUNCTION("""COMPUTED_VALUE"""),"+2.00")</f>
        <v>+2.00</v>
      </c>
    </row>
    <row r="36" spans="1:8" ht="12.75">
      <c r="A36" t="str">
        <f ca="1">IFERROR(__xludf.DUMMYFUNCTION("""COMPUTED_VALUE"""),"T32")</f>
        <v>T32</v>
      </c>
      <c r="B36" t="str">
        <f ca="1">IFERROR(__xludf.DUMMYFUNCTION("""COMPUTED_VALUE"""),"T30")</f>
        <v>T30</v>
      </c>
      <c r="C36" t="str">
        <f ca="1">IFERROR(__xludf.DUMMYFUNCTION("""COMPUTED_VALUE"""),"Andy Zhang")</f>
        <v>Andy Zhang</v>
      </c>
      <c r="D36">
        <f ca="1">IFERROR(__xludf.DUMMYFUNCTION("""COMPUTED_VALUE"""),4)</f>
        <v>4</v>
      </c>
      <c r="E36">
        <f ca="1">IFERROR(__xludf.DUMMYFUNCTION("""COMPUTED_VALUE"""),66.67)</f>
        <v>66.67</v>
      </c>
      <c r="F36">
        <f ca="1">IFERROR(__xludf.DUMMYFUNCTION("""COMPUTED_VALUE"""),4)</f>
        <v>4</v>
      </c>
      <c r="G36">
        <f ca="1">IFERROR(__xludf.DUMMYFUNCTION("""COMPUTED_VALUE"""),6)</f>
        <v>6</v>
      </c>
      <c r="H36" t="str">
        <f ca="1">IFERROR(__xludf.DUMMYFUNCTION("""COMPUTED_VALUE"""),"+2.00")</f>
        <v>+2.00</v>
      </c>
    </row>
    <row r="37" spans="1:8" ht="12.75">
      <c r="A37" t="str">
        <f ca="1">IFERROR(__xludf.DUMMYFUNCTION("""COMPUTED_VALUE"""),"T32")</f>
        <v>T32</v>
      </c>
      <c r="B37" t="str">
        <f ca="1">IFERROR(__xludf.DUMMYFUNCTION("""COMPUTED_VALUE"""),"T30")</f>
        <v>T30</v>
      </c>
      <c r="C37" t="str">
        <f ca="1">IFERROR(__xludf.DUMMYFUNCTION("""COMPUTED_VALUE"""),"Renato Paratore")</f>
        <v>Renato Paratore</v>
      </c>
      <c r="D37">
        <f ca="1">IFERROR(__xludf.DUMMYFUNCTION("""COMPUTED_VALUE"""),4)</f>
        <v>4</v>
      </c>
      <c r="E37">
        <f ca="1">IFERROR(__xludf.DUMMYFUNCTION("""COMPUTED_VALUE"""),66.67)</f>
        <v>66.67</v>
      </c>
      <c r="F37">
        <f ca="1">IFERROR(__xludf.DUMMYFUNCTION("""COMPUTED_VALUE"""),6)</f>
        <v>6</v>
      </c>
      <c r="G37">
        <f ca="1">IFERROR(__xludf.DUMMYFUNCTION("""COMPUTED_VALUE"""),9)</f>
        <v>9</v>
      </c>
      <c r="H37" t="str">
        <f ca="1">IFERROR(__xludf.DUMMYFUNCTION("""COMPUTED_VALUE"""),"+4.00")</f>
        <v>+4.00</v>
      </c>
    </row>
    <row r="38" spans="1:8" ht="12.75">
      <c r="A38" t="str">
        <f ca="1">IFERROR(__xludf.DUMMYFUNCTION("""COMPUTED_VALUE"""),"T32")</f>
        <v>T32</v>
      </c>
      <c r="B38" t="str">
        <f ca="1">IFERROR(__xludf.DUMMYFUNCTION("""COMPUTED_VALUE"""),"T30")</f>
        <v>T30</v>
      </c>
      <c r="C38" t="str">
        <f ca="1">IFERROR(__xludf.DUMMYFUNCTION("""COMPUTED_VALUE"""),"Xander Schauffele")</f>
        <v>Xander Schauffele</v>
      </c>
      <c r="D38">
        <f ca="1">IFERROR(__xludf.DUMMYFUNCTION("""COMPUTED_VALUE"""),12)</f>
        <v>12</v>
      </c>
      <c r="E38">
        <f ca="1">IFERROR(__xludf.DUMMYFUNCTION("""COMPUTED_VALUE"""),66.67)</f>
        <v>66.67</v>
      </c>
      <c r="F38">
        <f ca="1">IFERROR(__xludf.DUMMYFUNCTION("""COMPUTED_VALUE"""),6)</f>
        <v>6</v>
      </c>
      <c r="G38">
        <f ca="1">IFERROR(__xludf.DUMMYFUNCTION("""COMPUTED_VALUE"""),9)</f>
        <v>9</v>
      </c>
      <c r="H38" t="str">
        <f ca="1">IFERROR(__xludf.DUMMYFUNCTION("""COMPUTED_VALUE"""),"+2.00")</f>
        <v>+2.00</v>
      </c>
    </row>
    <row r="39" spans="1:8" ht="12.75">
      <c r="A39">
        <f ca="1">IFERROR(__xludf.DUMMYFUNCTION("""COMPUTED_VALUE"""),38)</f>
        <v>38</v>
      </c>
      <c r="B39">
        <f ca="1">IFERROR(__xludf.DUMMYFUNCTION("""COMPUTED_VALUE"""),43)</f>
        <v>43</v>
      </c>
      <c r="C39" t="str">
        <f ca="1">IFERROR(__xludf.DUMMYFUNCTION("""COMPUTED_VALUE"""),"Aaron Baddeley")</f>
        <v>Aaron Baddeley</v>
      </c>
      <c r="D39">
        <f ca="1">IFERROR(__xludf.DUMMYFUNCTION("""COMPUTED_VALUE"""),8)</f>
        <v>8</v>
      </c>
      <c r="E39">
        <f ca="1">IFERROR(__xludf.DUMMYFUNCTION("""COMPUTED_VALUE"""),64.71)</f>
        <v>64.709999999999994</v>
      </c>
      <c r="F39">
        <f ca="1">IFERROR(__xludf.DUMMYFUNCTION("""COMPUTED_VALUE"""),11)</f>
        <v>11</v>
      </c>
      <c r="G39">
        <f ca="1">IFERROR(__xludf.DUMMYFUNCTION("""COMPUTED_VALUE"""),17)</f>
        <v>17</v>
      </c>
      <c r="H39" t="str">
        <f ca="1">IFERROR(__xludf.DUMMYFUNCTION("""COMPUTED_VALUE"""),"+4.00")</f>
        <v>+4.00</v>
      </c>
    </row>
    <row r="40" spans="1:8" ht="12.75">
      <c r="A40">
        <f ca="1">IFERROR(__xludf.DUMMYFUNCTION("""COMPUTED_VALUE"""),39)</f>
        <v>39</v>
      </c>
      <c r="B40" t="str">
        <f ca="1">IFERROR(__xludf.DUMMYFUNCTION("""COMPUTED_VALUE"""),"T52")</f>
        <v>T52</v>
      </c>
      <c r="C40" t="str">
        <f ca="1">IFERROR(__xludf.DUMMYFUNCTION("""COMPUTED_VALUE"""),"Maverick McNealy")</f>
        <v>Maverick McNealy</v>
      </c>
      <c r="D40">
        <f ca="1">IFERROR(__xludf.DUMMYFUNCTION("""COMPUTED_VALUE"""),16)</f>
        <v>16</v>
      </c>
      <c r="E40">
        <f ca="1">IFERROR(__xludf.DUMMYFUNCTION("""COMPUTED_VALUE"""),63.64)</f>
        <v>63.64</v>
      </c>
      <c r="F40">
        <f ca="1">IFERROR(__xludf.DUMMYFUNCTION("""COMPUTED_VALUE"""),14)</f>
        <v>14</v>
      </c>
      <c r="G40">
        <f ca="1">IFERROR(__xludf.DUMMYFUNCTION("""COMPUTED_VALUE"""),22)</f>
        <v>22</v>
      </c>
      <c r="H40" t="str">
        <f ca="1">IFERROR(__xludf.DUMMYFUNCTION("""COMPUTED_VALUE"""),"+2.00")</f>
        <v>+2.00</v>
      </c>
    </row>
    <row r="41" spans="1:8" ht="12.75">
      <c r="A41">
        <f ca="1">IFERROR(__xludf.DUMMYFUNCTION("""COMPUTED_VALUE"""),40)</f>
        <v>40</v>
      </c>
      <c r="B41" t="str">
        <f ca="1">IFERROR(__xludf.DUMMYFUNCTION("""COMPUTED_VALUE"""),"T30")</f>
        <v>T30</v>
      </c>
      <c r="C41" t="str">
        <f ca="1">IFERROR(__xludf.DUMMYFUNCTION("""COMPUTED_VALUE"""),"Pat Perez")</f>
        <v>Pat Perez</v>
      </c>
      <c r="D41">
        <f ca="1">IFERROR(__xludf.DUMMYFUNCTION("""COMPUTED_VALUE"""),16)</f>
        <v>16</v>
      </c>
      <c r="E41">
        <f ca="1">IFERROR(__xludf.DUMMYFUNCTION("""COMPUTED_VALUE"""),63.16)</f>
        <v>63.16</v>
      </c>
      <c r="F41">
        <f ca="1">IFERROR(__xludf.DUMMYFUNCTION("""COMPUTED_VALUE"""),12)</f>
        <v>12</v>
      </c>
      <c r="G41">
        <f ca="1">IFERROR(__xludf.DUMMYFUNCTION("""COMPUTED_VALUE"""),19)</f>
        <v>19</v>
      </c>
      <c r="H41">
        <f ca="1">IFERROR(__xludf.DUMMYFUNCTION("""COMPUTED_VALUE"""),-1)</f>
        <v>-1</v>
      </c>
    </row>
    <row r="42" spans="1:8" ht="12.75">
      <c r="A42" t="str">
        <f ca="1">IFERROR(__xludf.DUMMYFUNCTION("""COMPUTED_VALUE"""),"T41")</f>
        <v>T41</v>
      </c>
      <c r="B42" t="str">
        <f ca="1">IFERROR(__xludf.DUMMYFUNCTION("""COMPUTED_VALUE"""),"T45")</f>
        <v>T45</v>
      </c>
      <c r="C42" t="str">
        <f ca="1">IFERROR(__xludf.DUMMYFUNCTION("""COMPUTED_VALUE"""),"Parker McLachlin")</f>
        <v>Parker McLachlin</v>
      </c>
      <c r="D42">
        <f ca="1">IFERROR(__xludf.DUMMYFUNCTION("""COMPUTED_VALUE"""),4)</f>
        <v>4</v>
      </c>
      <c r="E42">
        <f ca="1">IFERROR(__xludf.DUMMYFUNCTION("""COMPUTED_VALUE"""),62.5)</f>
        <v>62.5</v>
      </c>
      <c r="F42">
        <f ca="1">IFERROR(__xludf.DUMMYFUNCTION("""COMPUTED_VALUE"""),5)</f>
        <v>5</v>
      </c>
      <c r="G42">
        <f ca="1">IFERROR(__xludf.DUMMYFUNCTION("""COMPUTED_VALUE"""),8)</f>
        <v>8</v>
      </c>
      <c r="H42" t="str">
        <f ca="1">IFERROR(__xludf.DUMMYFUNCTION("""COMPUTED_VALUE"""),"+3.00")</f>
        <v>+3.00</v>
      </c>
    </row>
    <row r="43" spans="1:8" ht="12.75">
      <c r="A43" t="str">
        <f ca="1">IFERROR(__xludf.DUMMYFUNCTION("""COMPUTED_VALUE"""),"T41")</f>
        <v>T41</v>
      </c>
      <c r="B43" t="str">
        <f ca="1">IFERROR(__xludf.DUMMYFUNCTION("""COMPUTED_VALUE"""),"T71")</f>
        <v>T71</v>
      </c>
      <c r="C43" t="str">
        <f ca="1">IFERROR(__xludf.DUMMYFUNCTION("""COMPUTED_VALUE"""),"Henrik Stenson")</f>
        <v>Henrik Stenson</v>
      </c>
      <c r="D43">
        <f ca="1">IFERROR(__xludf.DUMMYFUNCTION("""COMPUTED_VALUE"""),11)</f>
        <v>11</v>
      </c>
      <c r="E43">
        <f ca="1">IFERROR(__xludf.DUMMYFUNCTION("""COMPUTED_VALUE"""),62.5)</f>
        <v>62.5</v>
      </c>
      <c r="F43">
        <f ca="1">IFERROR(__xludf.DUMMYFUNCTION("""COMPUTED_VALUE"""),5)</f>
        <v>5</v>
      </c>
      <c r="G43">
        <f ca="1">IFERROR(__xludf.DUMMYFUNCTION("""COMPUTED_VALUE"""),8)</f>
        <v>8</v>
      </c>
      <c r="H43" t="str">
        <f ca="1">IFERROR(__xludf.DUMMYFUNCTION("""COMPUTED_VALUE"""),"+3.00")</f>
        <v>+3.00</v>
      </c>
    </row>
    <row r="44" spans="1:8" ht="12.75">
      <c r="A44" t="str">
        <f ca="1">IFERROR(__xludf.DUMMYFUNCTION("""COMPUTED_VALUE"""),"T41")</f>
        <v>T41</v>
      </c>
      <c r="B44" t="str">
        <f ca="1">IFERROR(__xludf.DUMMYFUNCTION("""COMPUTED_VALUE"""),"T45")</f>
        <v>T45</v>
      </c>
      <c r="C44" t="str">
        <f ca="1">IFERROR(__xludf.DUMMYFUNCTION("""COMPUTED_VALUE"""),"Louis Oosthuizen")</f>
        <v>Louis Oosthuizen</v>
      </c>
      <c r="D44">
        <f ca="1">IFERROR(__xludf.DUMMYFUNCTION("""COMPUTED_VALUE"""),12)</f>
        <v>12</v>
      </c>
      <c r="E44">
        <f ca="1">IFERROR(__xludf.DUMMYFUNCTION("""COMPUTED_VALUE"""),62.5)</f>
        <v>62.5</v>
      </c>
      <c r="F44">
        <f ca="1">IFERROR(__xludf.DUMMYFUNCTION("""COMPUTED_VALUE"""),15)</f>
        <v>15</v>
      </c>
      <c r="G44">
        <f ca="1">IFERROR(__xludf.DUMMYFUNCTION("""COMPUTED_VALUE"""),24)</f>
        <v>24</v>
      </c>
      <c r="H44" t="str">
        <f ca="1">IFERROR(__xludf.DUMMYFUNCTION("""COMPUTED_VALUE"""),"+4.00")</f>
        <v>+4.00</v>
      </c>
    </row>
    <row r="45" spans="1:8" ht="12.75">
      <c r="A45" t="str">
        <f ca="1">IFERROR(__xludf.DUMMYFUNCTION("""COMPUTED_VALUE"""),"T41")</f>
        <v>T41</v>
      </c>
      <c r="B45" t="str">
        <f ca="1">IFERROR(__xludf.DUMMYFUNCTION("""COMPUTED_VALUE"""),"T104")</f>
        <v>T104</v>
      </c>
      <c r="C45" t="str">
        <f ca="1">IFERROR(__xludf.DUMMYFUNCTION("""COMPUTED_VALUE"""),"Scott Brown")</f>
        <v>Scott Brown</v>
      </c>
      <c r="D45">
        <f ca="1">IFERROR(__xludf.DUMMYFUNCTION("""COMPUTED_VALUE"""),14)</f>
        <v>14</v>
      </c>
      <c r="E45">
        <f ca="1">IFERROR(__xludf.DUMMYFUNCTION("""COMPUTED_VALUE"""),62.5)</f>
        <v>62.5</v>
      </c>
      <c r="F45">
        <f ca="1">IFERROR(__xludf.DUMMYFUNCTION("""COMPUTED_VALUE"""),10)</f>
        <v>10</v>
      </c>
      <c r="G45">
        <f ca="1">IFERROR(__xludf.DUMMYFUNCTION("""COMPUTED_VALUE"""),16)</f>
        <v>16</v>
      </c>
      <c r="H45" t="str">
        <f ca="1">IFERROR(__xludf.DUMMYFUNCTION("""COMPUTED_VALUE"""),"+4.00")</f>
        <v>+4.00</v>
      </c>
    </row>
    <row r="46" spans="1:8" ht="12.75">
      <c r="A46">
        <f ca="1">IFERROR(__xludf.DUMMYFUNCTION("""COMPUTED_VALUE"""),45)</f>
        <v>45</v>
      </c>
      <c r="B46" t="str">
        <f ca="1">IFERROR(__xludf.DUMMYFUNCTION("""COMPUTED_VALUE"""),"T30")</f>
        <v>T30</v>
      </c>
      <c r="C46" t="str">
        <f ca="1">IFERROR(__xludf.DUMMYFUNCTION("""COMPUTED_VALUE"""),"Camilo Villegas")</f>
        <v>Camilo Villegas</v>
      </c>
      <c r="D46">
        <f ca="1">IFERROR(__xludf.DUMMYFUNCTION("""COMPUTED_VALUE"""),14)</f>
        <v>14</v>
      </c>
      <c r="E46">
        <f ca="1">IFERROR(__xludf.DUMMYFUNCTION("""COMPUTED_VALUE"""),61.9)</f>
        <v>61.9</v>
      </c>
      <c r="F46">
        <f ca="1">IFERROR(__xludf.DUMMYFUNCTION("""COMPUTED_VALUE"""),13)</f>
        <v>13</v>
      </c>
      <c r="G46">
        <f ca="1">IFERROR(__xludf.DUMMYFUNCTION("""COMPUTED_VALUE"""),21)</f>
        <v>21</v>
      </c>
      <c r="H46" t="str">
        <f ca="1">IFERROR(__xludf.DUMMYFUNCTION("""COMPUTED_VALUE"""),"+3.00")</f>
        <v>+3.00</v>
      </c>
    </row>
    <row r="47" spans="1:8" ht="12.75">
      <c r="A47">
        <f ca="1">IFERROR(__xludf.DUMMYFUNCTION("""COMPUTED_VALUE"""),46)</f>
        <v>46</v>
      </c>
      <c r="B47" t="str">
        <f ca="1">IFERROR(__xludf.DUMMYFUNCTION("""COMPUTED_VALUE"""),"T49")</f>
        <v>T49</v>
      </c>
      <c r="C47" t="str">
        <f ca="1">IFERROR(__xludf.DUMMYFUNCTION("""COMPUTED_VALUE"""),"Alex Cejka")</f>
        <v>Alex Cejka</v>
      </c>
      <c r="D47">
        <f ca="1">IFERROR(__xludf.DUMMYFUNCTION("""COMPUTED_VALUE"""),6)</f>
        <v>6</v>
      </c>
      <c r="E47">
        <f ca="1">IFERROR(__xludf.DUMMYFUNCTION("""COMPUTED_VALUE"""),61.54)</f>
        <v>61.54</v>
      </c>
      <c r="F47">
        <f ca="1">IFERROR(__xludf.DUMMYFUNCTION("""COMPUTED_VALUE"""),8)</f>
        <v>8</v>
      </c>
      <c r="G47">
        <f ca="1">IFERROR(__xludf.DUMMYFUNCTION("""COMPUTED_VALUE"""),13)</f>
        <v>13</v>
      </c>
      <c r="H47" t="str">
        <f ca="1">IFERROR(__xludf.DUMMYFUNCTION("""COMPUTED_VALUE"""),"+4.00")</f>
        <v>+4.00</v>
      </c>
    </row>
    <row r="48" spans="1:8" ht="12.75">
      <c r="A48">
        <f ca="1">IFERROR(__xludf.DUMMYFUNCTION("""COMPUTED_VALUE"""),47)</f>
        <v>47</v>
      </c>
      <c r="B48">
        <f ca="1">IFERROR(__xludf.DUMMYFUNCTION("""COMPUTED_VALUE"""),51)</f>
        <v>51</v>
      </c>
      <c r="C48" t="str">
        <f ca="1">IFERROR(__xludf.DUMMYFUNCTION("""COMPUTED_VALUE"""),"Cameron Smith")</f>
        <v>Cameron Smith</v>
      </c>
      <c r="D48">
        <f ca="1">IFERROR(__xludf.DUMMYFUNCTION("""COMPUTED_VALUE"""),16)</f>
        <v>16</v>
      </c>
      <c r="E48">
        <f ca="1">IFERROR(__xludf.DUMMYFUNCTION("""COMPUTED_VALUE"""),61.29)</f>
        <v>61.29</v>
      </c>
      <c r="F48">
        <f ca="1">IFERROR(__xludf.DUMMYFUNCTION("""COMPUTED_VALUE"""),19)</f>
        <v>19</v>
      </c>
      <c r="G48">
        <f ca="1">IFERROR(__xludf.DUMMYFUNCTION("""COMPUTED_VALUE"""),31)</f>
        <v>31</v>
      </c>
      <c r="H48" t="str">
        <f ca="1">IFERROR(__xludf.DUMMYFUNCTION("""COMPUTED_VALUE"""),"+9.00")</f>
        <v>+9.00</v>
      </c>
    </row>
    <row r="49" spans="1:8" ht="12.75">
      <c r="A49" t="str">
        <f ca="1">IFERROR(__xludf.DUMMYFUNCTION("""COMPUTED_VALUE"""),"T48")</f>
        <v>T48</v>
      </c>
      <c r="B49" t="str">
        <f ca="1">IFERROR(__xludf.DUMMYFUNCTION("""COMPUTED_VALUE"""),"T52")</f>
        <v>T52</v>
      </c>
      <c r="C49" t="str">
        <f ca="1">IFERROR(__xludf.DUMMYFUNCTION("""COMPUTED_VALUE"""),"Brandon Hagy")</f>
        <v>Brandon Hagy</v>
      </c>
      <c r="D49">
        <f ca="1">IFERROR(__xludf.DUMMYFUNCTION("""COMPUTED_VALUE"""),10)</f>
        <v>10</v>
      </c>
      <c r="E49">
        <f ca="1">IFERROR(__xludf.DUMMYFUNCTION("""COMPUTED_VALUE"""),61.11)</f>
        <v>61.11</v>
      </c>
      <c r="F49">
        <f ca="1">IFERROR(__xludf.DUMMYFUNCTION("""COMPUTED_VALUE"""),11)</f>
        <v>11</v>
      </c>
      <c r="G49">
        <f ca="1">IFERROR(__xludf.DUMMYFUNCTION("""COMPUTED_VALUE"""),18)</f>
        <v>18</v>
      </c>
      <c r="H49" t="str">
        <f ca="1">IFERROR(__xludf.DUMMYFUNCTION("""COMPUTED_VALUE"""),"+1.00")</f>
        <v>+1.00</v>
      </c>
    </row>
    <row r="50" spans="1:8" ht="12.75">
      <c r="A50" t="str">
        <f ca="1">IFERROR(__xludf.DUMMYFUNCTION("""COMPUTED_VALUE"""),"T48")</f>
        <v>T48</v>
      </c>
      <c r="B50" t="str">
        <f ca="1">IFERROR(__xludf.DUMMYFUNCTION("""COMPUTED_VALUE"""),"T30")</f>
        <v>T30</v>
      </c>
      <c r="C50" t="str">
        <f ca="1">IFERROR(__xludf.DUMMYFUNCTION("""COMPUTED_VALUE"""),"Alex Noren")</f>
        <v>Alex Noren</v>
      </c>
      <c r="D50">
        <f ca="1">IFERROR(__xludf.DUMMYFUNCTION("""COMPUTED_VALUE"""),14)</f>
        <v>14</v>
      </c>
      <c r="E50">
        <f ca="1">IFERROR(__xludf.DUMMYFUNCTION("""COMPUTED_VALUE"""),61.11)</f>
        <v>61.11</v>
      </c>
      <c r="F50">
        <f ca="1">IFERROR(__xludf.DUMMYFUNCTION("""COMPUTED_VALUE"""),11)</f>
        <v>11</v>
      </c>
      <c r="G50">
        <f ca="1">IFERROR(__xludf.DUMMYFUNCTION("""COMPUTED_VALUE"""),18)</f>
        <v>18</v>
      </c>
      <c r="H50" t="str">
        <f ca="1">IFERROR(__xludf.DUMMYFUNCTION("""COMPUTED_VALUE"""),"+8.00")</f>
        <v>+8.00</v>
      </c>
    </row>
    <row r="51" spans="1:8" ht="12.75">
      <c r="A51" t="str">
        <f ca="1">IFERROR(__xludf.DUMMYFUNCTION("""COMPUTED_VALUE"""),"T48")</f>
        <v>T48</v>
      </c>
      <c r="B51" t="str">
        <f ca="1">IFERROR(__xludf.DUMMYFUNCTION("""COMPUTED_VALUE"""),"T52")</f>
        <v>T52</v>
      </c>
      <c r="C51" t="str">
        <f ca="1">IFERROR(__xludf.DUMMYFUNCTION("""COMPUTED_VALUE"""),"Anirban Lahiri")</f>
        <v>Anirban Lahiri</v>
      </c>
      <c r="D51">
        <f ca="1">IFERROR(__xludf.DUMMYFUNCTION("""COMPUTED_VALUE"""),16)</f>
        <v>16</v>
      </c>
      <c r="E51">
        <f ca="1">IFERROR(__xludf.DUMMYFUNCTION("""COMPUTED_VALUE"""),61.11)</f>
        <v>61.11</v>
      </c>
      <c r="F51">
        <f ca="1">IFERROR(__xludf.DUMMYFUNCTION("""COMPUTED_VALUE"""),11)</f>
        <v>11</v>
      </c>
      <c r="G51">
        <f ca="1">IFERROR(__xludf.DUMMYFUNCTION("""COMPUTED_VALUE"""),18)</f>
        <v>18</v>
      </c>
      <c r="H51" t="str">
        <f ca="1">IFERROR(__xludf.DUMMYFUNCTION("""COMPUTED_VALUE"""),"+8.00")</f>
        <v>+8.00</v>
      </c>
    </row>
    <row r="52" spans="1:8" ht="12.75">
      <c r="A52" t="str">
        <f ca="1">IFERROR(__xludf.DUMMYFUNCTION("""COMPUTED_VALUE"""),"T51")</f>
        <v>T51</v>
      </c>
      <c r="B52">
        <f ca="1">IFERROR(__xludf.DUMMYFUNCTION("""COMPUTED_VALUE"""),48)</f>
        <v>48</v>
      </c>
      <c r="C52" t="str">
        <f ca="1">IFERROR(__xludf.DUMMYFUNCTION("""COMPUTED_VALUE"""),"C.T. Pan")</f>
        <v>C.T. Pan</v>
      </c>
      <c r="D52">
        <f ca="1">IFERROR(__xludf.DUMMYFUNCTION("""COMPUTED_VALUE"""),20)</f>
        <v>20</v>
      </c>
      <c r="E52">
        <f ca="1">IFERROR(__xludf.DUMMYFUNCTION("""COMPUTED_VALUE"""),60.87)</f>
        <v>60.87</v>
      </c>
      <c r="F52">
        <f ca="1">IFERROR(__xludf.DUMMYFUNCTION("""COMPUTED_VALUE"""),14)</f>
        <v>14</v>
      </c>
      <c r="G52">
        <f ca="1">IFERROR(__xludf.DUMMYFUNCTION("""COMPUTED_VALUE"""),23)</f>
        <v>23</v>
      </c>
      <c r="H52" t="str">
        <f ca="1">IFERROR(__xludf.DUMMYFUNCTION("""COMPUTED_VALUE"""),"+3.00")</f>
        <v>+3.00</v>
      </c>
    </row>
    <row r="53" spans="1:8" ht="12.75">
      <c r="A53" t="str">
        <f ca="1">IFERROR(__xludf.DUMMYFUNCTION("""COMPUTED_VALUE"""),"T51")</f>
        <v>T51</v>
      </c>
      <c r="B53" t="str">
        <f ca="1">IFERROR(__xludf.DUMMYFUNCTION("""COMPUTED_VALUE"""),"T22")</f>
        <v>T22</v>
      </c>
      <c r="C53" t="str">
        <f ca="1">IFERROR(__xludf.DUMMYFUNCTION("""COMPUTED_VALUE"""),"Ryan Armour")</f>
        <v>Ryan Armour</v>
      </c>
      <c r="D53">
        <f ca="1">IFERROR(__xludf.DUMMYFUNCTION("""COMPUTED_VALUE"""),16)</f>
        <v>16</v>
      </c>
      <c r="E53">
        <f ca="1">IFERROR(__xludf.DUMMYFUNCTION("""COMPUTED_VALUE"""),60.87)</f>
        <v>60.87</v>
      </c>
      <c r="F53">
        <f ca="1">IFERROR(__xludf.DUMMYFUNCTION("""COMPUTED_VALUE"""),14)</f>
        <v>14</v>
      </c>
      <c r="G53">
        <f ca="1">IFERROR(__xludf.DUMMYFUNCTION("""COMPUTED_VALUE"""),23)</f>
        <v>23</v>
      </c>
      <c r="H53" t="str">
        <f ca="1">IFERROR(__xludf.DUMMYFUNCTION("""COMPUTED_VALUE"""),"+6.00")</f>
        <v>+6.00</v>
      </c>
    </row>
    <row r="54" spans="1:8" ht="12.75">
      <c r="A54" t="str">
        <f ca="1">IFERROR(__xludf.DUMMYFUNCTION("""COMPUTED_VALUE"""),"T51")</f>
        <v>T51</v>
      </c>
      <c r="B54" t="str">
        <f ca="1">IFERROR(__xludf.DUMMYFUNCTION("""COMPUTED_VALUE"""),"T55")</f>
        <v>T55</v>
      </c>
      <c r="C54" t="str">
        <f ca="1">IFERROR(__xludf.DUMMYFUNCTION("""COMPUTED_VALUE"""),"Wyndham Clark")</f>
        <v>Wyndham Clark</v>
      </c>
      <c r="D54">
        <f ca="1">IFERROR(__xludf.DUMMYFUNCTION("""COMPUTED_VALUE"""),16)</f>
        <v>16</v>
      </c>
      <c r="E54">
        <f ca="1">IFERROR(__xludf.DUMMYFUNCTION("""COMPUTED_VALUE"""),60.87)</f>
        <v>60.87</v>
      </c>
      <c r="F54">
        <f ca="1">IFERROR(__xludf.DUMMYFUNCTION("""COMPUTED_VALUE"""),14)</f>
        <v>14</v>
      </c>
      <c r="G54">
        <f ca="1">IFERROR(__xludf.DUMMYFUNCTION("""COMPUTED_VALUE"""),23)</f>
        <v>23</v>
      </c>
      <c r="H54" t="str">
        <f ca="1">IFERROR(__xludf.DUMMYFUNCTION("""COMPUTED_VALUE"""),"+3.00")</f>
        <v>+3.00</v>
      </c>
    </row>
    <row r="55" spans="1:8" ht="12.75">
      <c r="A55" t="str">
        <f ca="1">IFERROR(__xludf.DUMMYFUNCTION("""COMPUTED_VALUE"""),"T51")</f>
        <v>T51</v>
      </c>
      <c r="B55" t="str">
        <f ca="1">IFERROR(__xludf.DUMMYFUNCTION("""COMPUTED_VALUE"""),"T55")</f>
        <v>T55</v>
      </c>
      <c r="C55" t="str">
        <f ca="1">IFERROR(__xludf.DUMMYFUNCTION("""COMPUTED_VALUE"""),"Chesson Hadley")</f>
        <v>Chesson Hadley</v>
      </c>
      <c r="D55">
        <f ca="1">IFERROR(__xludf.DUMMYFUNCTION("""COMPUTED_VALUE"""),16)</f>
        <v>16</v>
      </c>
      <c r="E55">
        <f ca="1">IFERROR(__xludf.DUMMYFUNCTION("""COMPUTED_VALUE"""),60.87)</f>
        <v>60.87</v>
      </c>
      <c r="F55">
        <f ca="1">IFERROR(__xludf.DUMMYFUNCTION("""COMPUTED_VALUE"""),14)</f>
        <v>14</v>
      </c>
      <c r="G55">
        <f ca="1">IFERROR(__xludf.DUMMYFUNCTION("""COMPUTED_VALUE"""),23)</f>
        <v>23</v>
      </c>
      <c r="H55" t="str">
        <f ca="1">IFERROR(__xludf.DUMMYFUNCTION("""COMPUTED_VALUE"""),"+4.00")</f>
        <v>+4.00</v>
      </c>
    </row>
    <row r="56" spans="1:8" ht="12.75">
      <c r="A56">
        <f ca="1">IFERROR(__xludf.DUMMYFUNCTION("""COMPUTED_VALUE"""),55)</f>
        <v>55</v>
      </c>
      <c r="B56" t="str">
        <f ca="1">IFERROR(__xludf.DUMMYFUNCTION("""COMPUTED_VALUE"""),"T49")</f>
        <v>T49</v>
      </c>
      <c r="C56" t="str">
        <f ca="1">IFERROR(__xludf.DUMMYFUNCTION("""COMPUTED_VALUE"""),"Matt Jones")</f>
        <v>Matt Jones</v>
      </c>
      <c r="D56">
        <f ca="1">IFERROR(__xludf.DUMMYFUNCTION("""COMPUTED_VALUE"""),20)</f>
        <v>20</v>
      </c>
      <c r="E56">
        <f ca="1">IFERROR(__xludf.DUMMYFUNCTION("""COMPUTED_VALUE"""),60.71)</f>
        <v>60.71</v>
      </c>
      <c r="F56">
        <f ca="1">IFERROR(__xludf.DUMMYFUNCTION("""COMPUTED_VALUE"""),17)</f>
        <v>17</v>
      </c>
      <c r="G56">
        <f ca="1">IFERROR(__xludf.DUMMYFUNCTION("""COMPUTED_VALUE"""),28)</f>
        <v>28</v>
      </c>
      <c r="H56" t="str">
        <f ca="1">IFERROR(__xludf.DUMMYFUNCTION("""COMPUTED_VALUE"""),"+3.00")</f>
        <v>+3.00</v>
      </c>
    </row>
    <row r="57" spans="1:8" ht="12.75">
      <c r="A57" t="str">
        <f ca="1">IFERROR(__xludf.DUMMYFUNCTION("""COMPUTED_VALUE"""),"T56")</f>
        <v>T56</v>
      </c>
      <c r="B57" t="str">
        <f ca="1">IFERROR(__xludf.DUMMYFUNCTION("""COMPUTED_VALUE"""),"T18")</f>
        <v>T18</v>
      </c>
      <c r="C57" t="str">
        <f ca="1">IFERROR(__xludf.DUMMYFUNCTION("""COMPUTED_VALUE"""),"Sean O'Hair")</f>
        <v>Sean O'Hair</v>
      </c>
      <c r="D57">
        <f ca="1">IFERROR(__xludf.DUMMYFUNCTION("""COMPUTED_VALUE"""),14)</f>
        <v>14</v>
      </c>
      <c r="E57">
        <f ca="1">IFERROR(__xludf.DUMMYFUNCTION("""COMPUTED_VALUE"""),60)</f>
        <v>60</v>
      </c>
      <c r="F57">
        <f ca="1">IFERROR(__xludf.DUMMYFUNCTION("""COMPUTED_VALUE"""),6)</f>
        <v>6</v>
      </c>
      <c r="G57">
        <f ca="1">IFERROR(__xludf.DUMMYFUNCTION("""COMPUTED_VALUE"""),10)</f>
        <v>10</v>
      </c>
      <c r="H57" t="str">
        <f ca="1">IFERROR(__xludf.DUMMYFUNCTION("""COMPUTED_VALUE"""),"+4.00")</f>
        <v>+4.00</v>
      </c>
    </row>
    <row r="58" spans="1:8" ht="12.75">
      <c r="A58" t="str">
        <f ca="1">IFERROR(__xludf.DUMMYFUNCTION("""COMPUTED_VALUE"""),"T56")</f>
        <v>T56</v>
      </c>
      <c r="B58" t="str">
        <f ca="1">IFERROR(__xludf.DUMMYFUNCTION("""COMPUTED_VALUE"""),"T58")</f>
        <v>T58</v>
      </c>
      <c r="C58" t="str">
        <f ca="1">IFERROR(__xludf.DUMMYFUNCTION("""COMPUTED_VALUE"""),"Rob Oppenheim")</f>
        <v>Rob Oppenheim</v>
      </c>
      <c r="D58">
        <f ca="1">IFERROR(__xludf.DUMMYFUNCTION("""COMPUTED_VALUE"""),16)</f>
        <v>16</v>
      </c>
      <c r="E58">
        <f ca="1">IFERROR(__xludf.DUMMYFUNCTION("""COMPUTED_VALUE"""),60)</f>
        <v>60</v>
      </c>
      <c r="F58">
        <f ca="1">IFERROR(__xludf.DUMMYFUNCTION("""COMPUTED_VALUE"""),15)</f>
        <v>15</v>
      </c>
      <c r="G58">
        <f ca="1">IFERROR(__xludf.DUMMYFUNCTION("""COMPUTED_VALUE"""),25)</f>
        <v>25</v>
      </c>
      <c r="H58" t="str">
        <f ca="1">IFERROR(__xludf.DUMMYFUNCTION("""COMPUTED_VALUE"""),"+6.00")</f>
        <v>+6.00</v>
      </c>
    </row>
    <row r="59" spans="1:8" ht="12.75">
      <c r="A59" t="str">
        <f ca="1">IFERROR(__xludf.DUMMYFUNCTION("""COMPUTED_VALUE"""),"T56")</f>
        <v>T56</v>
      </c>
      <c r="B59" t="str">
        <f ca="1">IFERROR(__xludf.DUMMYFUNCTION("""COMPUTED_VALUE"""),"")</f>
        <v/>
      </c>
      <c r="C59" t="str">
        <f ca="1">IFERROR(__xludf.DUMMYFUNCTION("""COMPUTED_VALUE"""),"Dawie van der Walt")</f>
        <v>Dawie van der Walt</v>
      </c>
      <c r="D59">
        <f ca="1">IFERROR(__xludf.DUMMYFUNCTION("""COMPUTED_VALUE"""),4)</f>
        <v>4</v>
      </c>
      <c r="E59">
        <f ca="1">IFERROR(__xludf.DUMMYFUNCTION("""COMPUTED_VALUE"""),60)</f>
        <v>60</v>
      </c>
      <c r="F59">
        <f ca="1">IFERROR(__xludf.DUMMYFUNCTION("""COMPUTED_VALUE"""),3)</f>
        <v>3</v>
      </c>
      <c r="G59">
        <f ca="1">IFERROR(__xludf.DUMMYFUNCTION("""COMPUTED_VALUE"""),5)</f>
        <v>5</v>
      </c>
      <c r="H59" t="str">
        <f ca="1">IFERROR(__xludf.DUMMYFUNCTION("""COMPUTED_VALUE"""),"+2.00")</f>
        <v>+2.00</v>
      </c>
    </row>
    <row r="60" spans="1:8" ht="12.75">
      <c r="A60" t="str">
        <f ca="1">IFERROR(__xludf.DUMMYFUNCTION("""COMPUTED_VALUE"""),"T56")</f>
        <v>T56</v>
      </c>
      <c r="B60" t="str">
        <f ca="1">IFERROR(__xludf.DUMMYFUNCTION("""COMPUTED_VALUE"""),"T58")</f>
        <v>T58</v>
      </c>
      <c r="C60" t="str">
        <f ca="1">IFERROR(__xludf.DUMMYFUNCTION("""COMPUTED_VALUE"""),"Chan Kim")</f>
        <v>Chan Kim</v>
      </c>
      <c r="D60">
        <f ca="1">IFERROR(__xludf.DUMMYFUNCTION("""COMPUTED_VALUE"""),6)</f>
        <v>6</v>
      </c>
      <c r="E60">
        <f ca="1">IFERROR(__xludf.DUMMYFUNCTION("""COMPUTED_VALUE"""),60)</f>
        <v>60</v>
      </c>
      <c r="F60">
        <f ca="1">IFERROR(__xludf.DUMMYFUNCTION("""COMPUTED_VALUE"""),3)</f>
        <v>3</v>
      </c>
      <c r="G60">
        <f ca="1">IFERROR(__xludf.DUMMYFUNCTION("""COMPUTED_VALUE"""),5)</f>
        <v>5</v>
      </c>
      <c r="H60" t="str">
        <f ca="1">IFERROR(__xludf.DUMMYFUNCTION("""COMPUTED_VALUE"""),"+1.00")</f>
        <v>+1.00</v>
      </c>
    </row>
    <row r="61" spans="1:8" ht="12.75">
      <c r="A61" t="str">
        <f ca="1">IFERROR(__xludf.DUMMYFUNCTION("""COMPUTED_VALUE"""),"T56")</f>
        <v>T56</v>
      </c>
      <c r="B61" t="str">
        <f ca="1">IFERROR(__xludf.DUMMYFUNCTION("""COMPUTED_VALUE"""),"T58")</f>
        <v>T58</v>
      </c>
      <c r="C61" t="str">
        <f ca="1">IFERROR(__xludf.DUMMYFUNCTION("""COMPUTED_VALUE"""),"Roberto Díaz")</f>
        <v>Roberto Díaz</v>
      </c>
      <c r="D61">
        <f ca="1">IFERROR(__xludf.DUMMYFUNCTION("""COMPUTED_VALUE"""),4)</f>
        <v>4</v>
      </c>
      <c r="E61">
        <f ca="1">IFERROR(__xludf.DUMMYFUNCTION("""COMPUTED_VALUE"""),60)</f>
        <v>60</v>
      </c>
      <c r="F61">
        <f ca="1">IFERROR(__xludf.DUMMYFUNCTION("""COMPUTED_VALUE"""),3)</f>
        <v>3</v>
      </c>
      <c r="G61">
        <f ca="1">IFERROR(__xludf.DUMMYFUNCTION("""COMPUTED_VALUE"""),5)</f>
        <v>5</v>
      </c>
      <c r="H61" t="str">
        <f ca="1">IFERROR(__xludf.DUMMYFUNCTION("""COMPUTED_VALUE"""),"+3.00")</f>
        <v>+3.00</v>
      </c>
    </row>
    <row r="62" spans="1:8" ht="12.75">
      <c r="A62" t="str">
        <f ca="1">IFERROR(__xludf.DUMMYFUNCTION("""COMPUTED_VALUE"""),"T56")</f>
        <v>T56</v>
      </c>
      <c r="B62" t="str">
        <f ca="1">IFERROR(__xludf.DUMMYFUNCTION("""COMPUTED_VALUE"""),"T58")</f>
        <v>T58</v>
      </c>
      <c r="C62" t="str">
        <f ca="1">IFERROR(__xludf.DUMMYFUNCTION("""COMPUTED_VALUE"""),"Willy Pumarol")</f>
        <v>Willy Pumarol</v>
      </c>
      <c r="D62">
        <f ca="1">IFERROR(__xludf.DUMMYFUNCTION("""COMPUTED_VALUE"""),4)</f>
        <v>4</v>
      </c>
      <c r="E62">
        <f ca="1">IFERROR(__xludf.DUMMYFUNCTION("""COMPUTED_VALUE"""),60)</f>
        <v>60</v>
      </c>
      <c r="F62">
        <f ca="1">IFERROR(__xludf.DUMMYFUNCTION("""COMPUTED_VALUE"""),3)</f>
        <v>3</v>
      </c>
      <c r="G62">
        <f ca="1">IFERROR(__xludf.DUMMYFUNCTION("""COMPUTED_VALUE"""),5)</f>
        <v>5</v>
      </c>
      <c r="H62" t="str">
        <f ca="1">IFERROR(__xludf.DUMMYFUNCTION("""COMPUTED_VALUE"""),"+2.00")</f>
        <v>+2.00</v>
      </c>
    </row>
    <row r="63" spans="1:8" ht="12.75">
      <c r="A63" t="str">
        <f ca="1">IFERROR(__xludf.DUMMYFUNCTION("""COMPUTED_VALUE"""),"T56")</f>
        <v>T56</v>
      </c>
      <c r="B63" t="str">
        <f ca="1">IFERROR(__xludf.DUMMYFUNCTION("""COMPUTED_VALUE"""),"T58")</f>
        <v>T58</v>
      </c>
      <c r="C63" t="str">
        <f ca="1">IFERROR(__xludf.DUMMYFUNCTION("""COMPUTED_VALUE"""),"J.J. Spaun")</f>
        <v>J.J. Spaun</v>
      </c>
      <c r="D63">
        <f ca="1">IFERROR(__xludf.DUMMYFUNCTION("""COMPUTED_VALUE"""),10)</f>
        <v>10</v>
      </c>
      <c r="E63">
        <f ca="1">IFERROR(__xludf.DUMMYFUNCTION("""COMPUTED_VALUE"""),60)</f>
        <v>60</v>
      </c>
      <c r="F63">
        <f ca="1">IFERROR(__xludf.DUMMYFUNCTION("""COMPUTED_VALUE"""),3)</f>
        <v>3</v>
      </c>
      <c r="G63">
        <f ca="1">IFERROR(__xludf.DUMMYFUNCTION("""COMPUTED_VALUE"""),5)</f>
        <v>5</v>
      </c>
      <c r="H63" t="str">
        <f ca="1">IFERROR(__xludf.DUMMYFUNCTION("""COMPUTED_VALUE"""),"+1.00")</f>
        <v>+1.00</v>
      </c>
    </row>
    <row r="64" spans="1:8" ht="12.75">
      <c r="A64" t="str">
        <f ca="1">IFERROR(__xludf.DUMMYFUNCTION("""COMPUTED_VALUE"""),"T56")</f>
        <v>T56</v>
      </c>
      <c r="B64" t="str">
        <f ca="1">IFERROR(__xludf.DUMMYFUNCTION("""COMPUTED_VALUE"""),"T58")</f>
        <v>T58</v>
      </c>
      <c r="C64" t="str">
        <f ca="1">IFERROR(__xludf.DUMMYFUNCTION("""COMPUTED_VALUE"""),"Thomas Detry")</f>
        <v>Thomas Detry</v>
      </c>
      <c r="D64">
        <f ca="1">IFERROR(__xludf.DUMMYFUNCTION("""COMPUTED_VALUE"""),8)</f>
        <v>8</v>
      </c>
      <c r="E64">
        <f ca="1">IFERROR(__xludf.DUMMYFUNCTION("""COMPUTED_VALUE"""),60)</f>
        <v>60</v>
      </c>
      <c r="F64">
        <f ca="1">IFERROR(__xludf.DUMMYFUNCTION("""COMPUTED_VALUE"""),3)</f>
        <v>3</v>
      </c>
      <c r="G64">
        <f ca="1">IFERROR(__xludf.DUMMYFUNCTION("""COMPUTED_VALUE"""),5)</f>
        <v>5</v>
      </c>
      <c r="H64" t="str">
        <f ca="1">IFERROR(__xludf.DUMMYFUNCTION("""COMPUTED_VALUE"""),"+4.00")</f>
        <v>+4.00</v>
      </c>
    </row>
    <row r="65" spans="1:8" ht="12.75">
      <c r="A65" t="str">
        <f ca="1">IFERROR(__xludf.DUMMYFUNCTION("""COMPUTED_VALUE"""),"T56")</f>
        <v>T56</v>
      </c>
      <c r="B65" t="str">
        <f ca="1">IFERROR(__xludf.DUMMYFUNCTION("""COMPUTED_VALUE"""),"T92")</f>
        <v>T92</v>
      </c>
      <c r="C65" t="str">
        <f ca="1">IFERROR(__xludf.DUMMYFUNCTION("""COMPUTED_VALUE"""),"Russell Henley")</f>
        <v>Russell Henley</v>
      </c>
      <c r="D65">
        <f ca="1">IFERROR(__xludf.DUMMYFUNCTION("""COMPUTED_VALUE"""),16)</f>
        <v>16</v>
      </c>
      <c r="E65">
        <f ca="1">IFERROR(__xludf.DUMMYFUNCTION("""COMPUTED_VALUE"""),60)</f>
        <v>60</v>
      </c>
      <c r="F65">
        <f ca="1">IFERROR(__xludf.DUMMYFUNCTION("""COMPUTED_VALUE"""),12)</f>
        <v>12</v>
      </c>
      <c r="G65">
        <f ca="1">IFERROR(__xludf.DUMMYFUNCTION("""COMPUTED_VALUE"""),20)</f>
        <v>20</v>
      </c>
      <c r="H65">
        <f ca="1">IFERROR(__xludf.DUMMYFUNCTION("""COMPUTED_VALUE"""),-1)</f>
        <v>-1</v>
      </c>
    </row>
    <row r="66" spans="1:8" ht="12.75">
      <c r="A66" t="str">
        <f ca="1">IFERROR(__xludf.DUMMYFUNCTION("""COMPUTED_VALUE"""),"T56")</f>
        <v>T56</v>
      </c>
      <c r="B66" t="str">
        <f ca="1">IFERROR(__xludf.DUMMYFUNCTION("""COMPUTED_VALUE"""),"T58")</f>
        <v>T58</v>
      </c>
      <c r="C66" t="str">
        <f ca="1">IFERROR(__xludf.DUMMYFUNCTION("""COMPUTED_VALUE"""),"Kurt Kitayama")</f>
        <v>Kurt Kitayama</v>
      </c>
      <c r="D66">
        <f ca="1">IFERROR(__xludf.DUMMYFUNCTION("""COMPUTED_VALUE"""),4)</f>
        <v>4</v>
      </c>
      <c r="E66">
        <f ca="1">IFERROR(__xludf.DUMMYFUNCTION("""COMPUTED_VALUE"""),60)</f>
        <v>60</v>
      </c>
      <c r="F66">
        <f ca="1">IFERROR(__xludf.DUMMYFUNCTION("""COMPUTED_VALUE"""),3)</f>
        <v>3</v>
      </c>
      <c r="G66">
        <f ca="1">IFERROR(__xludf.DUMMYFUNCTION("""COMPUTED_VALUE"""),5)</f>
        <v>5</v>
      </c>
      <c r="H66" t="str">
        <f ca="1">IFERROR(__xludf.DUMMYFUNCTION("""COMPUTED_VALUE"""),"+1.00")</f>
        <v>+1.00</v>
      </c>
    </row>
    <row r="67" spans="1:8" ht="12.75">
      <c r="A67">
        <f ca="1">IFERROR(__xludf.DUMMYFUNCTION("""COMPUTED_VALUE"""),66)</f>
        <v>66</v>
      </c>
      <c r="B67">
        <f ca="1">IFERROR(__xludf.DUMMYFUNCTION("""COMPUTED_VALUE"""),28)</f>
        <v>28</v>
      </c>
      <c r="C67" t="str">
        <f ca="1">IFERROR(__xludf.DUMMYFUNCTION("""COMPUTED_VALUE"""),"Jamie Lovemark")</f>
        <v>Jamie Lovemark</v>
      </c>
      <c r="D67">
        <f ca="1">IFERROR(__xludf.DUMMYFUNCTION("""COMPUTED_VALUE"""),18)</f>
        <v>18</v>
      </c>
      <c r="E67">
        <f ca="1">IFERROR(__xludf.DUMMYFUNCTION("""COMPUTED_VALUE"""),59.26)</f>
        <v>59.26</v>
      </c>
      <c r="F67">
        <f ca="1">IFERROR(__xludf.DUMMYFUNCTION("""COMPUTED_VALUE"""),16)</f>
        <v>16</v>
      </c>
      <c r="G67">
        <f ca="1">IFERROR(__xludf.DUMMYFUNCTION("""COMPUTED_VALUE"""),27)</f>
        <v>27</v>
      </c>
      <c r="H67" t="str">
        <f ca="1">IFERROR(__xludf.DUMMYFUNCTION("""COMPUTED_VALUE"""),"+8.00")</f>
        <v>+8.00</v>
      </c>
    </row>
    <row r="68" spans="1:8" ht="12.75">
      <c r="A68">
        <f ca="1">IFERROR(__xludf.DUMMYFUNCTION("""COMPUTED_VALUE"""),67)</f>
        <v>67</v>
      </c>
      <c r="B68">
        <f ca="1">IFERROR(__xludf.DUMMYFUNCTION("""COMPUTED_VALUE"""),68)</f>
        <v>68</v>
      </c>
      <c r="C68" t="str">
        <f ca="1">IFERROR(__xludf.DUMMYFUNCTION("""COMPUTED_VALUE"""),"D.J. Trahan")</f>
        <v>D.J. Trahan</v>
      </c>
      <c r="D68">
        <f ca="1">IFERROR(__xludf.DUMMYFUNCTION("""COMPUTED_VALUE"""),16)</f>
        <v>16</v>
      </c>
      <c r="E68">
        <f ca="1">IFERROR(__xludf.DUMMYFUNCTION("""COMPUTED_VALUE"""),59.09)</f>
        <v>59.09</v>
      </c>
      <c r="F68">
        <f ca="1">IFERROR(__xludf.DUMMYFUNCTION("""COMPUTED_VALUE"""),13)</f>
        <v>13</v>
      </c>
      <c r="G68">
        <f ca="1">IFERROR(__xludf.DUMMYFUNCTION("""COMPUTED_VALUE"""),22)</f>
        <v>22</v>
      </c>
      <c r="H68" t="str">
        <f ca="1">IFERROR(__xludf.DUMMYFUNCTION("""COMPUTED_VALUE"""),"+2.00")</f>
        <v>+2.00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IFERROR(__xludf.DUMMYFUNCTION("""COMPUTED_VALUE"""),"T58")</f>
        <v>T58</v>
      </c>
      <c r="C69" t="str">
        <f ca="1">IFERROR(__xludf.DUMMYFUNCTION("""COMPUTED_VALUE"""),"D.A. Points")</f>
        <v>D.A. Points</v>
      </c>
      <c r="D69">
        <f ca="1">IFERROR(__xludf.DUMMYFUNCTION("""COMPUTED_VALUE"""),12)</f>
        <v>12</v>
      </c>
      <c r="E69">
        <f ca="1">IFERROR(__xludf.DUMMYFUNCTION("""COMPUTED_VALUE"""),58.82)</f>
        <v>58.82</v>
      </c>
      <c r="F69">
        <f ca="1">IFERROR(__xludf.DUMMYFUNCTION("""COMPUTED_VALUE"""),10)</f>
        <v>10</v>
      </c>
      <c r="G69">
        <f ca="1">IFERROR(__xludf.DUMMYFUNCTION("""COMPUTED_VALUE"""),17)</f>
        <v>17</v>
      </c>
      <c r="H69" t="str">
        <f ca="1">IFERROR(__xludf.DUMMYFUNCTION("""COMPUTED_VALUE"""),"+8.00")</f>
        <v>+8.00</v>
      </c>
    </row>
    <row r="70" spans="1:8" ht="12.75">
      <c r="A70" t="str">
        <f ca="1">IFERROR(__xludf.DUMMYFUNCTION("""COMPUTED_VALUE"""),"T68")</f>
        <v>T68</v>
      </c>
      <c r="B70">
        <f ca="1">IFERROR(__xludf.DUMMYFUNCTION("""COMPUTED_VALUE"""),69)</f>
        <v>69</v>
      </c>
      <c r="C70" t="str">
        <f ca="1">IFERROR(__xludf.DUMMYFUNCTION("""COMPUTED_VALUE"""),"Rory McIlroy")</f>
        <v>Rory McIlroy</v>
      </c>
      <c r="D70">
        <f ca="1">IFERROR(__xludf.DUMMYFUNCTION("""COMPUTED_VALUE"""),12)</f>
        <v>12</v>
      </c>
      <c r="E70">
        <f ca="1">IFERROR(__xludf.DUMMYFUNCTION("""COMPUTED_VALUE"""),58.82)</f>
        <v>58.82</v>
      </c>
      <c r="F70">
        <f ca="1">IFERROR(__xludf.DUMMYFUNCTION("""COMPUTED_VALUE"""),10)</f>
        <v>10</v>
      </c>
      <c r="G70">
        <f ca="1">IFERROR(__xludf.DUMMYFUNCTION("""COMPUTED_VALUE"""),17)</f>
        <v>17</v>
      </c>
      <c r="H70" t="str">
        <f ca="1">IFERROR(__xludf.DUMMYFUNCTION("""COMPUTED_VALUE"""),"+4.00")</f>
        <v>+4.00</v>
      </c>
    </row>
    <row r="71" spans="1:8" ht="12.75">
      <c r="A71">
        <f ca="1">IFERROR(__xludf.DUMMYFUNCTION("""COMPUTED_VALUE"""),70)</f>
        <v>70</v>
      </c>
      <c r="B71" t="str">
        <f ca="1">IFERROR(__xludf.DUMMYFUNCTION("""COMPUTED_VALUE"""),"T169")</f>
        <v>T169</v>
      </c>
      <c r="C71" t="str">
        <f ca="1">IFERROR(__xludf.DUMMYFUNCTION("""COMPUTED_VALUE"""),"Shane Lowry")</f>
        <v>Shane Lowry</v>
      </c>
      <c r="D71">
        <f ca="1">IFERROR(__xludf.DUMMYFUNCTION("""COMPUTED_VALUE"""),14)</f>
        <v>14</v>
      </c>
      <c r="E71">
        <f ca="1">IFERROR(__xludf.DUMMYFUNCTION("""COMPUTED_VALUE"""),58.33)</f>
        <v>58.33</v>
      </c>
      <c r="F71">
        <f ca="1">IFERROR(__xludf.DUMMYFUNCTION("""COMPUTED_VALUE"""),7)</f>
        <v>7</v>
      </c>
      <c r="G71">
        <f ca="1">IFERROR(__xludf.DUMMYFUNCTION("""COMPUTED_VALUE"""),12)</f>
        <v>12</v>
      </c>
      <c r="H71" t="str">
        <f ca="1">IFERROR(__xludf.DUMMYFUNCTION("""COMPUTED_VALUE"""),"+2.00")</f>
        <v>+2.00</v>
      </c>
    </row>
    <row r="72" spans="1:8" ht="12.75">
      <c r="A72">
        <f ca="1">IFERROR(__xludf.DUMMYFUNCTION("""COMPUTED_VALUE"""),71)</f>
        <v>71</v>
      </c>
      <c r="B72" t="str">
        <f ca="1">IFERROR(__xludf.DUMMYFUNCTION("""COMPUTED_VALUE"""),"T77")</f>
        <v>T77</v>
      </c>
      <c r="C72" t="str">
        <f ca="1">IFERROR(__xludf.DUMMYFUNCTION("""COMPUTED_VALUE"""),"J.T. Poston")</f>
        <v>J.T. Poston</v>
      </c>
      <c r="D72">
        <f ca="1">IFERROR(__xludf.DUMMYFUNCTION("""COMPUTED_VALUE"""),18)</f>
        <v>18</v>
      </c>
      <c r="E72">
        <f ca="1">IFERROR(__xludf.DUMMYFUNCTION("""COMPUTED_VALUE"""),58.06)</f>
        <v>58.06</v>
      </c>
      <c r="F72">
        <f ca="1">IFERROR(__xludf.DUMMYFUNCTION("""COMPUTED_VALUE"""),18)</f>
        <v>18</v>
      </c>
      <c r="G72">
        <f ca="1">IFERROR(__xludf.DUMMYFUNCTION("""COMPUTED_VALUE"""),31)</f>
        <v>31</v>
      </c>
      <c r="H72" t="str">
        <f ca="1">IFERROR(__xludf.DUMMYFUNCTION("""COMPUTED_VALUE"""),"+8.00")</f>
        <v>+8.00</v>
      </c>
    </row>
    <row r="73" spans="1:8" ht="12.75">
      <c r="A73">
        <f ca="1">IFERROR(__xludf.DUMMYFUNCTION("""COMPUTED_VALUE"""),72)</f>
        <v>72</v>
      </c>
      <c r="B73" t="str">
        <f ca="1">IFERROR(__xludf.DUMMYFUNCTION("""COMPUTED_VALUE"""),"T71")</f>
        <v>T71</v>
      </c>
      <c r="C73" t="str">
        <f ca="1">IFERROR(__xludf.DUMMYFUNCTION("""COMPUTED_VALUE"""),"James Hahn")</f>
        <v>James Hahn</v>
      </c>
      <c r="D73">
        <f ca="1">IFERROR(__xludf.DUMMYFUNCTION("""COMPUTED_VALUE"""),16)</f>
        <v>16</v>
      </c>
      <c r="E73">
        <f ca="1">IFERROR(__xludf.DUMMYFUNCTION("""COMPUTED_VALUE"""),57.89)</f>
        <v>57.89</v>
      </c>
      <c r="F73">
        <f ca="1">IFERROR(__xludf.DUMMYFUNCTION("""COMPUTED_VALUE"""),11)</f>
        <v>11</v>
      </c>
      <c r="G73">
        <f ca="1">IFERROR(__xludf.DUMMYFUNCTION("""COMPUTED_VALUE"""),19)</f>
        <v>19</v>
      </c>
      <c r="H73" t="str">
        <f ca="1">IFERROR(__xludf.DUMMYFUNCTION("""COMPUTED_VALUE"""),"+1.00")</f>
        <v>+1.00</v>
      </c>
    </row>
    <row r="74" spans="1:8" ht="12.75">
      <c r="A74">
        <f ca="1">IFERROR(__xludf.DUMMYFUNCTION("""COMPUTED_VALUE"""),73)</f>
        <v>73</v>
      </c>
      <c r="B74" t="str">
        <f ca="1">IFERROR(__xludf.DUMMYFUNCTION("""COMPUTED_VALUE"""),"T77")</f>
        <v>T77</v>
      </c>
      <c r="C74" t="str">
        <f ca="1">IFERROR(__xludf.DUMMYFUNCTION("""COMPUTED_VALUE"""),"Jason Day")</f>
        <v>Jason Day</v>
      </c>
      <c r="D74">
        <f ca="1">IFERROR(__xludf.DUMMYFUNCTION("""COMPUTED_VALUE"""),17)</f>
        <v>17</v>
      </c>
      <c r="E74">
        <f ca="1">IFERROR(__xludf.DUMMYFUNCTION("""COMPUTED_VALUE"""),57.69)</f>
        <v>57.69</v>
      </c>
      <c r="F74">
        <f ca="1">IFERROR(__xludf.DUMMYFUNCTION("""COMPUTED_VALUE"""),15)</f>
        <v>15</v>
      </c>
      <c r="G74">
        <f ca="1">IFERROR(__xludf.DUMMYFUNCTION("""COMPUTED_VALUE"""),26)</f>
        <v>26</v>
      </c>
      <c r="H74" t="str">
        <f ca="1">IFERROR(__xludf.DUMMYFUNCTION("""COMPUTED_VALUE"""),"+8.00")</f>
        <v>+8.00</v>
      </c>
    </row>
    <row r="75" spans="1:8" ht="12.75">
      <c r="A75" t="str">
        <f ca="1">IFERROR(__xludf.DUMMYFUNCTION("""COMPUTED_VALUE"""),"T74")</f>
        <v>T74</v>
      </c>
      <c r="B75" t="str">
        <f ca="1">IFERROR(__xludf.DUMMYFUNCTION("""COMPUTED_VALUE"""),"T96")</f>
        <v>T96</v>
      </c>
      <c r="C75" t="str">
        <f ca="1">IFERROR(__xludf.DUMMYFUNCTION("""COMPUTED_VALUE"""),"Fabián Gómez")</f>
        <v>Fabián Gómez</v>
      </c>
      <c r="D75">
        <f ca="1">IFERROR(__xludf.DUMMYFUNCTION("""COMPUTED_VALUE"""),16)</f>
        <v>16</v>
      </c>
      <c r="E75">
        <f ca="1">IFERROR(__xludf.DUMMYFUNCTION("""COMPUTED_VALUE"""),57.14)</f>
        <v>57.14</v>
      </c>
      <c r="F75">
        <f ca="1">IFERROR(__xludf.DUMMYFUNCTION("""COMPUTED_VALUE"""),12)</f>
        <v>12</v>
      </c>
      <c r="G75">
        <f ca="1">IFERROR(__xludf.DUMMYFUNCTION("""COMPUTED_VALUE"""),21)</f>
        <v>21</v>
      </c>
      <c r="H75" t="str">
        <f ca="1">IFERROR(__xludf.DUMMYFUNCTION("""COMPUTED_VALUE"""),"+5.00")</f>
        <v>+5.00</v>
      </c>
    </row>
    <row r="76" spans="1:8" ht="12.75">
      <c r="A76" t="str">
        <f ca="1">IFERROR(__xludf.DUMMYFUNCTION("""COMPUTED_VALUE"""),"T74")</f>
        <v>T74</v>
      </c>
      <c r="B76" t="str">
        <f ca="1">IFERROR(__xludf.DUMMYFUNCTION("""COMPUTED_VALUE"""),"T71")</f>
        <v>T71</v>
      </c>
      <c r="C76" t="str">
        <f ca="1">IFERROR(__xludf.DUMMYFUNCTION("""COMPUTED_VALUE"""),"Tim Wilkinson")</f>
        <v>Tim Wilkinson</v>
      </c>
      <c r="D76">
        <f ca="1">IFERROR(__xludf.DUMMYFUNCTION("""COMPUTED_VALUE"""),12)</f>
        <v>12</v>
      </c>
      <c r="E76">
        <f ca="1">IFERROR(__xludf.DUMMYFUNCTION("""COMPUTED_VALUE"""),57.14)</f>
        <v>57.14</v>
      </c>
      <c r="F76">
        <f ca="1">IFERROR(__xludf.DUMMYFUNCTION("""COMPUTED_VALUE"""),12)</f>
        <v>12</v>
      </c>
      <c r="G76">
        <f ca="1">IFERROR(__xludf.DUMMYFUNCTION("""COMPUTED_VALUE"""),21)</f>
        <v>21</v>
      </c>
      <c r="H76" t="str">
        <f ca="1">IFERROR(__xludf.DUMMYFUNCTION("""COMPUTED_VALUE"""),"+9.00")</f>
        <v>+9.00</v>
      </c>
    </row>
    <row r="77" spans="1:8" ht="12.75">
      <c r="A77" t="str">
        <f ca="1">IFERROR(__xludf.DUMMYFUNCTION("""COMPUTED_VALUE"""),"T74")</f>
        <v>T74</v>
      </c>
      <c r="B77" t="str">
        <f ca="1">IFERROR(__xludf.DUMMYFUNCTION("""COMPUTED_VALUE"""),"T58")</f>
        <v>T58</v>
      </c>
      <c r="C77" t="str">
        <f ca="1">IFERROR(__xludf.DUMMYFUNCTION("""COMPUTED_VALUE"""),"Stewart Cink")</f>
        <v>Stewart Cink</v>
      </c>
      <c r="D77">
        <f ca="1">IFERROR(__xludf.DUMMYFUNCTION("""COMPUTED_VALUE"""),18)</f>
        <v>18</v>
      </c>
      <c r="E77">
        <f ca="1">IFERROR(__xludf.DUMMYFUNCTION("""COMPUTED_VALUE"""),57.14)</f>
        <v>57.14</v>
      </c>
      <c r="F77">
        <f ca="1">IFERROR(__xludf.DUMMYFUNCTION("""COMPUTED_VALUE"""),12)</f>
        <v>12</v>
      </c>
      <c r="G77">
        <f ca="1">IFERROR(__xludf.DUMMYFUNCTION("""COMPUTED_VALUE"""),21)</f>
        <v>21</v>
      </c>
      <c r="H77">
        <f ca="1">IFERROR(__xludf.DUMMYFUNCTION("""COMPUTED_VALUE"""),-2)</f>
        <v>-2</v>
      </c>
    </row>
    <row r="78" spans="1:8" ht="12.75">
      <c r="A78" t="str">
        <f ca="1">IFERROR(__xludf.DUMMYFUNCTION("""COMPUTED_VALUE"""),"T74")</f>
        <v>T74</v>
      </c>
      <c r="B78" t="str">
        <f ca="1">IFERROR(__xludf.DUMMYFUNCTION("""COMPUTED_VALUE"""),"T71")</f>
        <v>T71</v>
      </c>
      <c r="C78" t="str">
        <f ca="1">IFERROR(__xludf.DUMMYFUNCTION("""COMPUTED_VALUE"""),"Harry Higgs")</f>
        <v>Harry Higgs</v>
      </c>
      <c r="D78">
        <f ca="1">IFERROR(__xludf.DUMMYFUNCTION("""COMPUTED_VALUE"""),14)</f>
        <v>14</v>
      </c>
      <c r="E78">
        <f ca="1">IFERROR(__xludf.DUMMYFUNCTION("""COMPUTED_VALUE"""),57.14)</f>
        <v>57.14</v>
      </c>
      <c r="F78">
        <f ca="1">IFERROR(__xludf.DUMMYFUNCTION("""COMPUTED_VALUE"""),12)</f>
        <v>12</v>
      </c>
      <c r="G78">
        <f ca="1">IFERROR(__xludf.DUMMYFUNCTION("""COMPUTED_VALUE"""),21)</f>
        <v>21</v>
      </c>
      <c r="H78" t="str">
        <f ca="1">IFERROR(__xludf.DUMMYFUNCTION("""COMPUTED_VALUE"""),"+4.00")</f>
        <v>+4.00</v>
      </c>
    </row>
    <row r="79" spans="1:8" ht="12.75">
      <c r="A79">
        <f ca="1">IFERROR(__xludf.DUMMYFUNCTION("""COMPUTED_VALUE"""),78)</f>
        <v>78</v>
      </c>
      <c r="B79" t="str">
        <f ca="1">IFERROR(__xludf.DUMMYFUNCTION("""COMPUTED_VALUE"""),"T71")</f>
        <v>T71</v>
      </c>
      <c r="C79" t="str">
        <f ca="1">IFERROR(__xludf.DUMMYFUNCTION("""COMPUTED_VALUE"""),"Beau Hossler")</f>
        <v>Beau Hossler</v>
      </c>
      <c r="D79">
        <f ca="1">IFERROR(__xludf.DUMMYFUNCTION("""COMPUTED_VALUE"""),22)</f>
        <v>22</v>
      </c>
      <c r="E79">
        <f ca="1">IFERROR(__xludf.DUMMYFUNCTION("""COMPUTED_VALUE"""),56.67)</f>
        <v>56.67</v>
      </c>
      <c r="F79">
        <f ca="1">IFERROR(__xludf.DUMMYFUNCTION("""COMPUTED_VALUE"""),17)</f>
        <v>17</v>
      </c>
      <c r="G79">
        <f ca="1">IFERROR(__xludf.DUMMYFUNCTION("""COMPUTED_VALUE"""),30)</f>
        <v>30</v>
      </c>
      <c r="H79" t="str">
        <f ca="1">IFERROR(__xludf.DUMMYFUNCTION("""COMPUTED_VALUE"""),"+7.00")</f>
        <v>+7.00</v>
      </c>
    </row>
    <row r="80" spans="1:8" ht="12.75">
      <c r="A80" t="str">
        <f ca="1">IFERROR(__xludf.DUMMYFUNCTION("""COMPUTED_VALUE"""),"T79")</f>
        <v>T79</v>
      </c>
      <c r="B80" t="str">
        <f ca="1">IFERROR(__xludf.DUMMYFUNCTION("""COMPUTED_VALUE"""),"T79")</f>
        <v>T79</v>
      </c>
      <c r="C80" t="str">
        <f ca="1">IFERROR(__xludf.DUMMYFUNCTION("""COMPUTED_VALUE"""),"Brendan Steele")</f>
        <v>Brendan Steele</v>
      </c>
      <c r="D80">
        <f ca="1">IFERROR(__xludf.DUMMYFUNCTION("""COMPUTED_VALUE"""),14)</f>
        <v>14</v>
      </c>
      <c r="E80">
        <f ca="1">IFERROR(__xludf.DUMMYFUNCTION("""COMPUTED_VALUE"""),56.25)</f>
        <v>56.25</v>
      </c>
      <c r="F80">
        <f ca="1">IFERROR(__xludf.DUMMYFUNCTION("""COMPUTED_VALUE"""),9)</f>
        <v>9</v>
      </c>
      <c r="G80">
        <f ca="1">IFERROR(__xludf.DUMMYFUNCTION("""COMPUTED_VALUE"""),16)</f>
        <v>16</v>
      </c>
      <c r="H80" t="str">
        <f ca="1">IFERROR(__xludf.DUMMYFUNCTION("""COMPUTED_VALUE"""),"+2.00")</f>
        <v>+2.00</v>
      </c>
    </row>
    <row r="81" spans="1:8" ht="12.75">
      <c r="A81" t="str">
        <f ca="1">IFERROR(__xludf.DUMMYFUNCTION("""COMPUTED_VALUE"""),"T79")</f>
        <v>T79</v>
      </c>
      <c r="B81" t="str">
        <f ca="1">IFERROR(__xludf.DUMMYFUNCTION("""COMPUTED_VALUE"""),"T102")</f>
        <v>T102</v>
      </c>
      <c r="C81" t="str">
        <f ca="1">IFERROR(__xludf.DUMMYFUNCTION("""COMPUTED_VALUE"""),"Scott Harrington")</f>
        <v>Scott Harrington</v>
      </c>
      <c r="D81">
        <f ca="1">IFERROR(__xludf.DUMMYFUNCTION("""COMPUTED_VALUE"""),18)</f>
        <v>18</v>
      </c>
      <c r="E81">
        <f ca="1">IFERROR(__xludf.DUMMYFUNCTION("""COMPUTED_VALUE"""),56.25)</f>
        <v>56.25</v>
      </c>
      <c r="F81">
        <f ca="1">IFERROR(__xludf.DUMMYFUNCTION("""COMPUTED_VALUE"""),18)</f>
        <v>18</v>
      </c>
      <c r="G81">
        <f ca="1">IFERROR(__xludf.DUMMYFUNCTION("""COMPUTED_VALUE"""),32)</f>
        <v>32</v>
      </c>
      <c r="H81" t="str">
        <f ca="1">IFERROR(__xludf.DUMMYFUNCTION("""COMPUTED_VALUE"""),"+13.00")</f>
        <v>+13.00</v>
      </c>
    </row>
    <row r="82" spans="1:8" ht="12.75">
      <c r="A82" t="str">
        <f ca="1">IFERROR(__xludf.DUMMYFUNCTION("""COMPUTED_VALUE"""),"T79")</f>
        <v>T79</v>
      </c>
      <c r="B82" t="str">
        <f ca="1">IFERROR(__xludf.DUMMYFUNCTION("""COMPUTED_VALUE"""),"T162")</f>
        <v>T162</v>
      </c>
      <c r="C82" t="str">
        <f ca="1">IFERROR(__xludf.DUMMYFUNCTION("""COMPUTED_VALUE"""),"Satoshi Kodaira")</f>
        <v>Satoshi Kodaira</v>
      </c>
      <c r="D82">
        <f ca="1">IFERROR(__xludf.DUMMYFUNCTION("""COMPUTED_VALUE"""),12)</f>
        <v>12</v>
      </c>
      <c r="E82">
        <f ca="1">IFERROR(__xludf.DUMMYFUNCTION("""COMPUTED_VALUE"""),56.25)</f>
        <v>56.25</v>
      </c>
      <c r="F82">
        <f ca="1">IFERROR(__xludf.DUMMYFUNCTION("""COMPUTED_VALUE"""),9)</f>
        <v>9</v>
      </c>
      <c r="G82">
        <f ca="1">IFERROR(__xludf.DUMMYFUNCTION("""COMPUTED_VALUE"""),16)</f>
        <v>16</v>
      </c>
      <c r="H82" t="str">
        <f ca="1">IFERROR(__xludf.DUMMYFUNCTION("""COMPUTED_VALUE"""),"+5.00")</f>
        <v>+5.00</v>
      </c>
    </row>
    <row r="83" spans="1:8" ht="12.75">
      <c r="A83" t="str">
        <f ca="1">IFERROR(__xludf.DUMMYFUNCTION("""COMPUTED_VALUE"""),"T79")</f>
        <v>T79</v>
      </c>
      <c r="B83" t="str">
        <f ca="1">IFERROR(__xludf.DUMMYFUNCTION("""COMPUTED_VALUE"""),"T79")</f>
        <v>T79</v>
      </c>
      <c r="C83" t="str">
        <f ca="1">IFERROR(__xludf.DUMMYFUNCTION("""COMPUTED_VALUE"""),"Ryo Ishikawa")</f>
        <v>Ryo Ishikawa</v>
      </c>
      <c r="D83">
        <f ca="1">IFERROR(__xludf.DUMMYFUNCTION("""COMPUTED_VALUE"""),8)</f>
        <v>8</v>
      </c>
      <c r="E83">
        <f ca="1">IFERROR(__xludf.DUMMYFUNCTION("""COMPUTED_VALUE"""),56.25)</f>
        <v>56.25</v>
      </c>
      <c r="F83">
        <f ca="1">IFERROR(__xludf.DUMMYFUNCTION("""COMPUTED_VALUE"""),9)</f>
        <v>9</v>
      </c>
      <c r="G83">
        <f ca="1">IFERROR(__xludf.DUMMYFUNCTION("""COMPUTED_VALUE"""),16)</f>
        <v>16</v>
      </c>
      <c r="H83" t="str">
        <f ca="1">IFERROR(__xludf.DUMMYFUNCTION("""COMPUTED_VALUE"""),"+7.00")</f>
        <v>+7.00</v>
      </c>
    </row>
    <row r="84" spans="1:8" ht="12.75">
      <c r="A84" t="str">
        <f ca="1">IFERROR(__xludf.DUMMYFUNCTION("""COMPUTED_VALUE"""),"T83")</f>
        <v>T83</v>
      </c>
      <c r="B84">
        <f ca="1">IFERROR(__xludf.DUMMYFUNCTION("""COMPUTED_VALUE"""),81)</f>
        <v>81</v>
      </c>
      <c r="C84" t="str">
        <f ca="1">IFERROR(__xludf.DUMMYFUNCTION("""COMPUTED_VALUE"""),"Brendon Todd")</f>
        <v>Brendon Todd</v>
      </c>
      <c r="D84">
        <f ca="1">IFERROR(__xludf.DUMMYFUNCTION("""COMPUTED_VALUE"""),14)</f>
        <v>14</v>
      </c>
      <c r="E84">
        <f ca="1">IFERROR(__xludf.DUMMYFUNCTION("""COMPUTED_VALUE"""),56)</f>
        <v>56</v>
      </c>
      <c r="F84">
        <f ca="1">IFERROR(__xludf.DUMMYFUNCTION("""COMPUTED_VALUE"""),14)</f>
        <v>14</v>
      </c>
      <c r="G84">
        <f ca="1">IFERROR(__xludf.DUMMYFUNCTION("""COMPUTED_VALUE"""),25)</f>
        <v>25</v>
      </c>
      <c r="H84" t="str">
        <f ca="1">IFERROR(__xludf.DUMMYFUNCTION("""COMPUTED_VALUE"""),"+7.00")</f>
        <v>+7.00</v>
      </c>
    </row>
    <row r="85" spans="1:8" ht="12.75">
      <c r="A85" t="str">
        <f ca="1">IFERROR(__xludf.DUMMYFUNCTION("""COMPUTED_VALUE"""),"T83")</f>
        <v>T83</v>
      </c>
      <c r="B85" t="str">
        <f ca="1">IFERROR(__xludf.DUMMYFUNCTION("""COMPUTED_VALUE"""),"T145")</f>
        <v>T145</v>
      </c>
      <c r="C85" t="str">
        <f ca="1">IFERROR(__xludf.DUMMYFUNCTION("""COMPUTED_VALUE"""),"Brian Harman")</f>
        <v>Brian Harman</v>
      </c>
      <c r="D85">
        <f ca="1">IFERROR(__xludf.DUMMYFUNCTION("""COMPUTED_VALUE"""),24)</f>
        <v>24</v>
      </c>
      <c r="E85">
        <f ca="1">IFERROR(__xludf.DUMMYFUNCTION("""COMPUTED_VALUE"""),56)</f>
        <v>56</v>
      </c>
      <c r="F85">
        <f ca="1">IFERROR(__xludf.DUMMYFUNCTION("""COMPUTED_VALUE"""),14)</f>
        <v>14</v>
      </c>
      <c r="G85">
        <f ca="1">IFERROR(__xludf.DUMMYFUNCTION("""COMPUTED_VALUE"""),25)</f>
        <v>25</v>
      </c>
      <c r="H85" t="str">
        <f ca="1">IFERROR(__xludf.DUMMYFUNCTION("""COMPUTED_VALUE"""),"+10.00")</f>
        <v>+10.00</v>
      </c>
    </row>
    <row r="86" spans="1:8" ht="12.75">
      <c r="A86" t="str">
        <f ca="1">IFERROR(__xludf.DUMMYFUNCTION("""COMPUTED_VALUE"""),"T83")</f>
        <v>T83</v>
      </c>
      <c r="B86" t="str">
        <f ca="1">IFERROR(__xludf.DUMMYFUNCTION("""COMPUTED_VALUE"""),"T30")</f>
        <v>T30</v>
      </c>
      <c r="C86" t="str">
        <f ca="1">IFERROR(__xludf.DUMMYFUNCTION("""COMPUTED_VALUE"""),"Bo Hoag")</f>
        <v>Bo Hoag</v>
      </c>
      <c r="D86">
        <f ca="1">IFERROR(__xludf.DUMMYFUNCTION("""COMPUTED_VALUE"""),14)</f>
        <v>14</v>
      </c>
      <c r="E86">
        <f ca="1">IFERROR(__xludf.DUMMYFUNCTION("""COMPUTED_VALUE"""),56)</f>
        <v>56</v>
      </c>
      <c r="F86">
        <f ca="1">IFERROR(__xludf.DUMMYFUNCTION("""COMPUTED_VALUE"""),14)</f>
        <v>14</v>
      </c>
      <c r="G86">
        <f ca="1">IFERROR(__xludf.DUMMYFUNCTION("""COMPUTED_VALUE"""),25)</f>
        <v>25</v>
      </c>
      <c r="H86" t="str">
        <f ca="1">IFERROR(__xludf.DUMMYFUNCTION("""COMPUTED_VALUE"""),"+4.00")</f>
        <v>+4.00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IFERROR(__xludf.DUMMYFUNCTION("""COMPUTED_VALUE"""),"T82")</f>
        <v>T82</v>
      </c>
      <c r="C87" t="str">
        <f ca="1">IFERROR(__xludf.DUMMYFUNCTION("""COMPUTED_VALUE"""),"Wes Roach")</f>
        <v>Wes Roach</v>
      </c>
      <c r="D87">
        <f ca="1">IFERROR(__xludf.DUMMYFUNCTION("""COMPUTED_VALUE"""),6)</f>
        <v>6</v>
      </c>
      <c r="E87">
        <f ca="1">IFERROR(__xludf.DUMMYFUNCTION("""COMPUTED_VALUE"""),55.56)</f>
        <v>55.56</v>
      </c>
      <c r="F87">
        <f ca="1">IFERROR(__xludf.DUMMYFUNCTION("""COMPUTED_VALUE"""),5)</f>
        <v>5</v>
      </c>
      <c r="G87">
        <f ca="1">IFERROR(__xludf.DUMMYFUNCTION("""COMPUTED_VALUE"""),9)</f>
        <v>9</v>
      </c>
      <c r="H87" t="str">
        <f ca="1">IFERROR(__xludf.DUMMYFUNCTION("""COMPUTED_VALUE"""),"+3.00")</f>
        <v>+3.00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IFERROR(__xludf.DUMMYFUNCTION("""COMPUTED_VALUE"""),"T82")</f>
        <v>T82</v>
      </c>
      <c r="C88" t="str">
        <f ca="1">IFERROR(__xludf.DUMMYFUNCTION("""COMPUTED_VALUE"""),"Peter Malnati")</f>
        <v>Peter Malnati</v>
      </c>
      <c r="D88">
        <f ca="1">IFERROR(__xludf.DUMMYFUNCTION("""COMPUTED_VALUE"""),18)</f>
        <v>18</v>
      </c>
      <c r="E88">
        <f ca="1">IFERROR(__xludf.DUMMYFUNCTION("""COMPUTED_VALUE"""),55.56)</f>
        <v>55.56</v>
      </c>
      <c r="F88">
        <f ca="1">IFERROR(__xludf.DUMMYFUNCTION("""COMPUTED_VALUE"""),15)</f>
        <v>15</v>
      </c>
      <c r="G88">
        <f ca="1">IFERROR(__xludf.DUMMYFUNCTION("""COMPUTED_VALUE"""),27)</f>
        <v>27</v>
      </c>
      <c r="H88" t="str">
        <f ca="1">IFERROR(__xludf.DUMMYFUNCTION("""COMPUTED_VALUE"""),"+3.00")</f>
        <v>+3.00</v>
      </c>
    </row>
    <row r="89" spans="1:8" ht="12.75">
      <c r="A89" t="str">
        <f ca="1">IFERROR(__xludf.DUMMYFUNCTION("""COMPUTED_VALUE"""),"T86")</f>
        <v>T86</v>
      </c>
      <c r="B89" t="str">
        <f ca="1">IFERROR(__xludf.DUMMYFUNCTION("""COMPUTED_VALUE"""),"T155")</f>
        <v>T155</v>
      </c>
      <c r="C89" t="str">
        <f ca="1">IFERROR(__xludf.DUMMYFUNCTION("""COMPUTED_VALUE"""),"Max Homa")</f>
        <v>Max Homa</v>
      </c>
      <c r="D89">
        <f ca="1">IFERROR(__xludf.DUMMYFUNCTION("""COMPUTED_VALUE"""),12)</f>
        <v>12</v>
      </c>
      <c r="E89">
        <f ca="1">IFERROR(__xludf.DUMMYFUNCTION("""COMPUTED_VALUE"""),55.56)</f>
        <v>55.56</v>
      </c>
      <c r="F89">
        <f ca="1">IFERROR(__xludf.DUMMYFUNCTION("""COMPUTED_VALUE"""),10)</f>
        <v>10</v>
      </c>
      <c r="G89">
        <f ca="1">IFERROR(__xludf.DUMMYFUNCTION("""COMPUTED_VALUE"""),18)</f>
        <v>18</v>
      </c>
      <c r="H89" t="str">
        <f ca="1">IFERROR(__xludf.DUMMYFUNCTION("""COMPUTED_VALUE"""),"+7.00")</f>
        <v>+7.00</v>
      </c>
    </row>
    <row r="90" spans="1:8" ht="12.75">
      <c r="A90" t="str">
        <f ca="1">IFERROR(__xludf.DUMMYFUNCTION("""COMPUTED_VALUE"""),"T86")</f>
        <v>T86</v>
      </c>
      <c r="B90">
        <f ca="1">IFERROR(__xludf.DUMMYFUNCTION("""COMPUTED_VALUE"""),101)</f>
        <v>101</v>
      </c>
      <c r="C90" t="str">
        <f ca="1">IFERROR(__xludf.DUMMYFUNCTION("""COMPUTED_VALUE"""),"Doc Redman")</f>
        <v>Doc Redman</v>
      </c>
      <c r="D90">
        <f ca="1">IFERROR(__xludf.DUMMYFUNCTION("""COMPUTED_VALUE"""),18)</f>
        <v>18</v>
      </c>
      <c r="E90">
        <f ca="1">IFERROR(__xludf.DUMMYFUNCTION("""COMPUTED_VALUE"""),55.56)</f>
        <v>55.56</v>
      </c>
      <c r="F90">
        <f ca="1">IFERROR(__xludf.DUMMYFUNCTION("""COMPUTED_VALUE"""),15)</f>
        <v>15</v>
      </c>
      <c r="G90">
        <f ca="1">IFERROR(__xludf.DUMMYFUNCTION("""COMPUTED_VALUE"""),27)</f>
        <v>27</v>
      </c>
      <c r="H90">
        <f ca="1">IFERROR(__xludf.DUMMYFUNCTION("""COMPUTED_VALUE"""),-2)</f>
        <v>-2</v>
      </c>
    </row>
    <row r="91" spans="1:8" ht="12.75">
      <c r="A91" t="str">
        <f ca="1">IFERROR(__xludf.DUMMYFUNCTION("""COMPUTED_VALUE"""),"T86")</f>
        <v>T86</v>
      </c>
      <c r="B91" t="str">
        <f ca="1">IFERROR(__xludf.DUMMYFUNCTION("""COMPUTED_VALUE"""),"T96")</f>
        <v>T96</v>
      </c>
      <c r="C91" t="str">
        <f ca="1">IFERROR(__xludf.DUMMYFUNCTION("""COMPUTED_VALUE"""),"Dylan Frittelli")</f>
        <v>Dylan Frittelli</v>
      </c>
      <c r="D91">
        <f ca="1">IFERROR(__xludf.DUMMYFUNCTION("""COMPUTED_VALUE"""),16)</f>
        <v>16</v>
      </c>
      <c r="E91">
        <f ca="1">IFERROR(__xludf.DUMMYFUNCTION("""COMPUTED_VALUE"""),55.56)</f>
        <v>55.56</v>
      </c>
      <c r="F91">
        <f ca="1">IFERROR(__xludf.DUMMYFUNCTION("""COMPUTED_VALUE"""),10)</f>
        <v>10</v>
      </c>
      <c r="G91">
        <f ca="1">IFERROR(__xludf.DUMMYFUNCTION("""COMPUTED_VALUE"""),18)</f>
        <v>18</v>
      </c>
      <c r="H91" t="str">
        <f ca="1">IFERROR(__xludf.DUMMYFUNCTION("""COMPUTED_VALUE"""),"E")</f>
        <v>E</v>
      </c>
    </row>
    <row r="92" spans="1:8" ht="12.75">
      <c r="A92" t="str">
        <f ca="1">IFERROR(__xludf.DUMMYFUNCTION("""COMPUTED_VALUE"""),"T86")</f>
        <v>T86</v>
      </c>
      <c r="B92" t="str">
        <f ca="1">IFERROR(__xludf.DUMMYFUNCTION("""COMPUTED_VALUE"""),"T45")</f>
        <v>T45</v>
      </c>
      <c r="C92" t="str">
        <f ca="1">IFERROR(__xludf.DUMMYFUNCTION("""COMPUTED_VALUE"""),"Jason Dufner")</f>
        <v>Jason Dufner</v>
      </c>
      <c r="D92">
        <f ca="1">IFERROR(__xludf.DUMMYFUNCTION("""COMPUTED_VALUE"""),14)</f>
        <v>14</v>
      </c>
      <c r="E92">
        <f ca="1">IFERROR(__xludf.DUMMYFUNCTION("""COMPUTED_VALUE"""),55.56)</f>
        <v>55.56</v>
      </c>
      <c r="F92">
        <f ca="1">IFERROR(__xludf.DUMMYFUNCTION("""COMPUTED_VALUE"""),10)</f>
        <v>10</v>
      </c>
      <c r="G92">
        <f ca="1">IFERROR(__xludf.DUMMYFUNCTION("""COMPUTED_VALUE"""),18)</f>
        <v>18</v>
      </c>
      <c r="H92" t="str">
        <f ca="1">IFERROR(__xludf.DUMMYFUNCTION("""COMPUTED_VALUE"""),"+6.00")</f>
        <v>+6.00</v>
      </c>
    </row>
    <row r="93" spans="1:8" ht="12.75">
      <c r="A93" t="str">
        <f ca="1">IFERROR(__xludf.DUMMYFUNCTION("""COMPUTED_VALUE"""),"T86")</f>
        <v>T86</v>
      </c>
      <c r="B93" t="str">
        <f ca="1">IFERROR(__xludf.DUMMYFUNCTION("""COMPUTED_VALUE"""),"T82")</f>
        <v>T82</v>
      </c>
      <c r="C93" t="str">
        <f ca="1">IFERROR(__xludf.DUMMYFUNCTION("""COMPUTED_VALUE"""),"Jonathan Byrd")</f>
        <v>Jonathan Byrd</v>
      </c>
      <c r="D93">
        <f ca="1">IFERROR(__xludf.DUMMYFUNCTION("""COMPUTED_VALUE"""),14)</f>
        <v>14</v>
      </c>
      <c r="E93">
        <f ca="1">IFERROR(__xludf.DUMMYFUNCTION("""COMPUTED_VALUE"""),55.56)</f>
        <v>55.56</v>
      </c>
      <c r="F93">
        <f ca="1">IFERROR(__xludf.DUMMYFUNCTION("""COMPUTED_VALUE"""),15)</f>
        <v>15</v>
      </c>
      <c r="G93">
        <f ca="1">IFERROR(__xludf.DUMMYFUNCTION("""COMPUTED_VALUE"""),27)</f>
        <v>27</v>
      </c>
      <c r="H93" t="str">
        <f ca="1">IFERROR(__xludf.DUMMYFUNCTION("""COMPUTED_VALUE"""),"+6.00")</f>
        <v>+6.00</v>
      </c>
    </row>
    <row r="94" spans="1:8" ht="12.75">
      <c r="A94">
        <f ca="1">IFERROR(__xludf.DUMMYFUNCTION("""COMPUTED_VALUE"""),93)</f>
        <v>93</v>
      </c>
      <c r="B94">
        <f ca="1">IFERROR(__xludf.DUMMYFUNCTION("""COMPUTED_VALUE"""),70)</f>
        <v>70</v>
      </c>
      <c r="C94" t="str">
        <f ca="1">IFERROR(__xludf.DUMMYFUNCTION("""COMPUTED_VALUE"""),"Sepp Straka")</f>
        <v>Sepp Straka</v>
      </c>
      <c r="D94">
        <f ca="1">IFERROR(__xludf.DUMMYFUNCTION("""COMPUTED_VALUE"""),22)</f>
        <v>22</v>
      </c>
      <c r="E94">
        <f ca="1">IFERROR(__xludf.DUMMYFUNCTION("""COMPUTED_VALUE"""),55.17)</f>
        <v>55.17</v>
      </c>
      <c r="F94">
        <f ca="1">IFERROR(__xludf.DUMMYFUNCTION("""COMPUTED_VALUE"""),16)</f>
        <v>16</v>
      </c>
      <c r="G94">
        <f ca="1">IFERROR(__xludf.DUMMYFUNCTION("""COMPUTED_VALUE"""),29)</f>
        <v>29</v>
      </c>
      <c r="H94" t="str">
        <f ca="1">IFERROR(__xludf.DUMMYFUNCTION("""COMPUTED_VALUE"""),"+6.00")</f>
        <v>+6.00</v>
      </c>
    </row>
    <row r="95" spans="1:8" ht="12.75">
      <c r="A95">
        <f ca="1">IFERROR(__xludf.DUMMYFUNCTION("""COMPUTED_VALUE"""),94)</f>
        <v>94</v>
      </c>
      <c r="B95">
        <f ca="1">IFERROR(__xludf.DUMMYFUNCTION("""COMPUTED_VALUE"""),86)</f>
        <v>86</v>
      </c>
      <c r="C95" t="str">
        <f ca="1">IFERROR(__xludf.DUMMYFUNCTION("""COMPUTED_VALUE"""),"Justin Thomas")</f>
        <v>Justin Thomas</v>
      </c>
      <c r="D95">
        <f ca="1">IFERROR(__xludf.DUMMYFUNCTION("""COMPUTED_VALUE"""),12)</f>
        <v>12</v>
      </c>
      <c r="E95">
        <f ca="1">IFERROR(__xludf.DUMMYFUNCTION("""COMPUTED_VALUE"""),55)</f>
        <v>55</v>
      </c>
      <c r="F95">
        <f ca="1">IFERROR(__xludf.DUMMYFUNCTION("""COMPUTED_VALUE"""),11)</f>
        <v>11</v>
      </c>
      <c r="G95">
        <f ca="1">IFERROR(__xludf.DUMMYFUNCTION("""COMPUTED_VALUE"""),20)</f>
        <v>20</v>
      </c>
      <c r="H95" t="str">
        <f ca="1">IFERROR(__xludf.DUMMYFUNCTION("""COMPUTED_VALUE"""),"+8.00")</f>
        <v>+8.00</v>
      </c>
    </row>
    <row r="96" spans="1:8" ht="12.75">
      <c r="A96" t="str">
        <f ca="1">IFERROR(__xludf.DUMMYFUNCTION("""COMPUTED_VALUE"""),"T95")</f>
        <v>T95</v>
      </c>
      <c r="B96" t="str">
        <f ca="1">IFERROR(__xludf.DUMMYFUNCTION("""COMPUTED_VALUE"""),"T87")</f>
        <v>T87</v>
      </c>
      <c r="C96" t="str">
        <f ca="1">IFERROR(__xludf.DUMMYFUNCTION("""COMPUTED_VALUE"""),"Shawn Stefani")</f>
        <v>Shawn Stefani</v>
      </c>
      <c r="D96">
        <f ca="1">IFERROR(__xludf.DUMMYFUNCTION("""COMPUTED_VALUE"""),5)</f>
        <v>5</v>
      </c>
      <c r="E96">
        <f ca="1">IFERROR(__xludf.DUMMYFUNCTION("""COMPUTED_VALUE"""),54.55)</f>
        <v>54.55</v>
      </c>
      <c r="F96">
        <f ca="1">IFERROR(__xludf.DUMMYFUNCTION("""COMPUTED_VALUE"""),6)</f>
        <v>6</v>
      </c>
      <c r="G96">
        <f ca="1">IFERROR(__xludf.DUMMYFUNCTION("""COMPUTED_VALUE"""),11)</f>
        <v>11</v>
      </c>
      <c r="H96" t="str">
        <f ca="1">IFERROR(__xludf.DUMMYFUNCTION("""COMPUTED_VALUE"""),"+6.00")</f>
        <v>+6.00</v>
      </c>
    </row>
    <row r="97" spans="1:8" ht="12.75">
      <c r="A97" t="str">
        <f ca="1">IFERROR(__xludf.DUMMYFUNCTION("""COMPUTED_VALUE"""),"T95")</f>
        <v>T95</v>
      </c>
      <c r="B97" t="str">
        <f ca="1">IFERROR(__xludf.DUMMYFUNCTION("""COMPUTED_VALUE"""),"T87")</f>
        <v>T87</v>
      </c>
      <c r="C97" t="str">
        <f ca="1">IFERROR(__xludf.DUMMYFUNCTION("""COMPUTED_VALUE"""),"MJ Daffue")</f>
        <v>MJ Daffue</v>
      </c>
      <c r="D97">
        <f ca="1">IFERROR(__xludf.DUMMYFUNCTION("""COMPUTED_VALUE"""),10)</f>
        <v>10</v>
      </c>
      <c r="E97">
        <f ca="1">IFERROR(__xludf.DUMMYFUNCTION("""COMPUTED_VALUE"""),54.55)</f>
        <v>54.55</v>
      </c>
      <c r="F97">
        <f ca="1">IFERROR(__xludf.DUMMYFUNCTION("""COMPUTED_VALUE"""),6)</f>
        <v>6</v>
      </c>
      <c r="G97">
        <f ca="1">IFERROR(__xludf.DUMMYFUNCTION("""COMPUTED_VALUE"""),11)</f>
        <v>11</v>
      </c>
      <c r="H97" t="str">
        <f ca="1">IFERROR(__xludf.DUMMYFUNCTION("""COMPUTED_VALUE"""),"E")</f>
        <v>E</v>
      </c>
    </row>
    <row r="98" spans="1:8" ht="12.75">
      <c r="A98" t="str">
        <f ca="1">IFERROR(__xludf.DUMMYFUNCTION("""COMPUTED_VALUE"""),"T95")</f>
        <v>T95</v>
      </c>
      <c r="B98" t="str">
        <f ca="1">IFERROR(__xludf.DUMMYFUNCTION("""COMPUTED_VALUE"""),"T211")</f>
        <v>T211</v>
      </c>
      <c r="C98" t="str">
        <f ca="1">IFERROR(__xludf.DUMMYFUNCTION("""COMPUTED_VALUE"""),"Erik van Rooyen")</f>
        <v>Erik van Rooyen</v>
      </c>
      <c r="D98">
        <f ca="1">IFERROR(__xludf.DUMMYFUNCTION("""COMPUTED_VALUE"""),10)</f>
        <v>10</v>
      </c>
      <c r="E98">
        <f ca="1">IFERROR(__xludf.DUMMYFUNCTION("""COMPUTED_VALUE"""),54.55)</f>
        <v>54.55</v>
      </c>
      <c r="F98">
        <f ca="1">IFERROR(__xludf.DUMMYFUNCTION("""COMPUTED_VALUE"""),6)</f>
        <v>6</v>
      </c>
      <c r="G98">
        <f ca="1">IFERROR(__xludf.DUMMYFUNCTION("""COMPUTED_VALUE"""),11)</f>
        <v>11</v>
      </c>
      <c r="H98" t="str">
        <f ca="1">IFERROR(__xludf.DUMMYFUNCTION("""COMPUTED_VALUE"""),"+4.00")</f>
        <v>+4.00</v>
      </c>
    </row>
    <row r="99" spans="1:8" ht="12.75">
      <c r="A99" t="str">
        <f ca="1">IFERROR(__xludf.DUMMYFUNCTION("""COMPUTED_VALUE"""),"T95")</f>
        <v>T95</v>
      </c>
      <c r="B99" t="str">
        <f ca="1">IFERROR(__xludf.DUMMYFUNCTION("""COMPUTED_VALUE"""),"T58")</f>
        <v>T58</v>
      </c>
      <c r="C99" t="str">
        <f ca="1">IFERROR(__xludf.DUMMYFUNCTION("""COMPUTED_VALUE"""),"Hunter Mahan")</f>
        <v>Hunter Mahan</v>
      </c>
      <c r="D99">
        <f ca="1">IFERROR(__xludf.DUMMYFUNCTION("""COMPUTED_VALUE"""),14)</f>
        <v>14</v>
      </c>
      <c r="E99">
        <f ca="1">IFERROR(__xludf.DUMMYFUNCTION("""COMPUTED_VALUE"""),54.55)</f>
        <v>54.55</v>
      </c>
      <c r="F99">
        <f ca="1">IFERROR(__xludf.DUMMYFUNCTION("""COMPUTED_VALUE"""),12)</f>
        <v>12</v>
      </c>
      <c r="G99">
        <f ca="1">IFERROR(__xludf.DUMMYFUNCTION("""COMPUTED_VALUE"""),22)</f>
        <v>22</v>
      </c>
      <c r="H99" t="str">
        <f ca="1">IFERROR(__xludf.DUMMYFUNCTION("""COMPUTED_VALUE"""),"+8.00")</f>
        <v>+8.00</v>
      </c>
    </row>
    <row r="100" spans="1:8" ht="12.75">
      <c r="A100">
        <f ca="1">IFERROR(__xludf.DUMMYFUNCTION("""COMPUTED_VALUE"""),99)</f>
        <v>99</v>
      </c>
      <c r="B100" t="str">
        <f ca="1">IFERROR(__xludf.DUMMYFUNCTION("""COMPUTED_VALUE"""),"T104")</f>
        <v>T104</v>
      </c>
      <c r="C100" t="str">
        <f ca="1">IFERROR(__xludf.DUMMYFUNCTION("""COMPUTED_VALUE"""),"Danny Lee")</f>
        <v>Danny Lee</v>
      </c>
      <c r="D100">
        <f ca="1">IFERROR(__xludf.DUMMYFUNCTION("""COMPUTED_VALUE"""),15)</f>
        <v>15</v>
      </c>
      <c r="E100">
        <f ca="1">IFERROR(__xludf.DUMMYFUNCTION("""COMPUTED_VALUE"""),54.17)</f>
        <v>54.17</v>
      </c>
      <c r="F100">
        <f ca="1">IFERROR(__xludf.DUMMYFUNCTION("""COMPUTED_VALUE"""),13)</f>
        <v>13</v>
      </c>
      <c r="G100">
        <f ca="1">IFERROR(__xludf.DUMMYFUNCTION("""COMPUTED_VALUE"""),24)</f>
        <v>24</v>
      </c>
      <c r="H100" t="str">
        <f ca="1">IFERROR(__xludf.DUMMYFUNCTION("""COMPUTED_VALUE"""),"+4.00")</f>
        <v>+4.00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IFERROR(__xludf.DUMMYFUNCTION("""COMPUTED_VALUE"""),"T90")</f>
        <v>T90</v>
      </c>
      <c r="C101" t="str">
        <f ca="1">IFERROR(__xludf.DUMMYFUNCTION("""COMPUTED_VALUE"""),"Jason Kokrak")</f>
        <v>Jason Kokrak</v>
      </c>
      <c r="D101">
        <f ca="1">IFERROR(__xludf.DUMMYFUNCTION("""COMPUTED_VALUE"""),14)</f>
        <v>14</v>
      </c>
      <c r="E101">
        <f ca="1">IFERROR(__xludf.DUMMYFUNCTION("""COMPUTED_VALUE"""),53.85)</f>
        <v>53.85</v>
      </c>
      <c r="F101">
        <f ca="1">IFERROR(__xludf.DUMMYFUNCTION("""COMPUTED_VALUE"""),7)</f>
        <v>7</v>
      </c>
      <c r="G101">
        <f ca="1">IFERROR(__xludf.DUMMYFUNCTION("""COMPUTED_VALUE"""),13)</f>
        <v>13</v>
      </c>
      <c r="H101" t="str">
        <f ca="1">IFERROR(__xludf.DUMMYFUNCTION("""COMPUTED_VALUE"""),"+2.00")</f>
        <v>+2.00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IFERROR(__xludf.DUMMYFUNCTION("""COMPUTED_VALUE"""),"T104")</f>
        <v>T104</v>
      </c>
      <c r="C102" t="str">
        <f ca="1">IFERROR(__xludf.DUMMYFUNCTION("""COMPUTED_VALUE"""),"Nate Lashley")</f>
        <v>Nate Lashley</v>
      </c>
      <c r="D102">
        <f ca="1">IFERROR(__xludf.DUMMYFUNCTION("""COMPUTED_VALUE"""),16)</f>
        <v>16</v>
      </c>
      <c r="E102">
        <f ca="1">IFERROR(__xludf.DUMMYFUNCTION("""COMPUTED_VALUE"""),53.85)</f>
        <v>53.85</v>
      </c>
      <c r="F102">
        <f ca="1">IFERROR(__xludf.DUMMYFUNCTION("""COMPUTED_VALUE"""),7)</f>
        <v>7</v>
      </c>
      <c r="G102">
        <f ca="1">IFERROR(__xludf.DUMMYFUNCTION("""COMPUTED_VALUE"""),13)</f>
        <v>13</v>
      </c>
      <c r="H102" t="str">
        <f ca="1">IFERROR(__xludf.DUMMYFUNCTION("""COMPUTED_VALUE"""),"+3.00")</f>
        <v>+3.00</v>
      </c>
    </row>
    <row r="103" spans="1:8" ht="12.75">
      <c r="A103" t="str">
        <f ca="1">IFERROR(__xludf.DUMMYFUNCTION("""COMPUTED_VALUE"""),"T100")</f>
        <v>T100</v>
      </c>
      <c r="B103">
        <f ca="1">IFERROR(__xludf.DUMMYFUNCTION("""COMPUTED_VALUE"""),44)</f>
        <v>44</v>
      </c>
      <c r="C103" t="str">
        <f ca="1">IFERROR(__xludf.DUMMYFUNCTION("""COMPUTED_VALUE"""),"Jimmy Walker")</f>
        <v>Jimmy Walker</v>
      </c>
      <c r="D103">
        <f ca="1">IFERROR(__xludf.DUMMYFUNCTION("""COMPUTED_VALUE"""),10)</f>
        <v>10</v>
      </c>
      <c r="E103">
        <f ca="1">IFERROR(__xludf.DUMMYFUNCTION("""COMPUTED_VALUE"""),53.85)</f>
        <v>53.85</v>
      </c>
      <c r="F103">
        <f ca="1">IFERROR(__xludf.DUMMYFUNCTION("""COMPUTED_VALUE"""),7)</f>
        <v>7</v>
      </c>
      <c r="G103">
        <f ca="1">IFERROR(__xludf.DUMMYFUNCTION("""COMPUTED_VALUE"""),13)</f>
        <v>13</v>
      </c>
      <c r="H103" t="str">
        <f ca="1">IFERROR(__xludf.DUMMYFUNCTION("""COMPUTED_VALUE"""),"+1.00")</f>
        <v>+1.00</v>
      </c>
    </row>
    <row r="104" spans="1:8" ht="12.75">
      <c r="A104" t="str">
        <f ca="1">IFERROR(__xludf.DUMMYFUNCTION("""COMPUTED_VALUE"""),"T100")</f>
        <v>T100</v>
      </c>
      <c r="B104" t="str">
        <f ca="1">IFERROR(__xludf.DUMMYFUNCTION("""COMPUTED_VALUE"""),"T90")</f>
        <v>T90</v>
      </c>
      <c r="C104" t="str">
        <f ca="1">IFERROR(__xludf.DUMMYFUNCTION("""COMPUTED_VALUE"""),"Patrick Cantlay")</f>
        <v>Patrick Cantlay</v>
      </c>
      <c r="D104">
        <f ca="1">IFERROR(__xludf.DUMMYFUNCTION("""COMPUTED_VALUE"""),16)</f>
        <v>16</v>
      </c>
      <c r="E104">
        <f ca="1">IFERROR(__xludf.DUMMYFUNCTION("""COMPUTED_VALUE"""),53.85)</f>
        <v>53.85</v>
      </c>
      <c r="F104">
        <f ca="1">IFERROR(__xludf.DUMMYFUNCTION("""COMPUTED_VALUE"""),14)</f>
        <v>14</v>
      </c>
      <c r="G104">
        <f ca="1">IFERROR(__xludf.DUMMYFUNCTION("""COMPUTED_VALUE"""),26)</f>
        <v>26</v>
      </c>
      <c r="H104" t="str">
        <f ca="1">IFERROR(__xludf.DUMMYFUNCTION("""COMPUTED_VALUE"""),"+1.00")</f>
        <v>+1.00</v>
      </c>
    </row>
    <row r="105" spans="1:8" ht="12.75">
      <c r="A105" t="str">
        <f ca="1">IFERROR(__xludf.DUMMYFUNCTION("""COMPUTED_VALUE"""),"T104")</f>
        <v>T104</v>
      </c>
      <c r="B105">
        <f ca="1">IFERROR(__xludf.DUMMYFUNCTION("""COMPUTED_VALUE"""),76)</f>
        <v>76</v>
      </c>
      <c r="C105" t="str">
        <f ca="1">IFERROR(__xludf.DUMMYFUNCTION("""COMPUTED_VALUE"""),"Mark Hubbard")</f>
        <v>Mark Hubbard</v>
      </c>
      <c r="D105">
        <f ca="1">IFERROR(__xludf.DUMMYFUNCTION("""COMPUTED_VALUE"""),20)</f>
        <v>20</v>
      </c>
      <c r="E105">
        <f ca="1">IFERROR(__xludf.DUMMYFUNCTION("""COMPUTED_VALUE"""),53.13)</f>
        <v>53.13</v>
      </c>
      <c r="F105">
        <f ca="1">IFERROR(__xludf.DUMMYFUNCTION("""COMPUTED_VALUE"""),17)</f>
        <v>17</v>
      </c>
      <c r="G105">
        <f ca="1">IFERROR(__xludf.DUMMYFUNCTION("""COMPUTED_VALUE"""),32)</f>
        <v>32</v>
      </c>
      <c r="H105" t="str">
        <f ca="1">IFERROR(__xludf.DUMMYFUNCTION("""COMPUTED_VALUE"""),"+11.00")</f>
        <v>+11.00</v>
      </c>
    </row>
    <row r="106" spans="1:8" ht="12.75">
      <c r="A106" t="str">
        <f ca="1">IFERROR(__xludf.DUMMYFUNCTION("""COMPUTED_VALUE"""),"T104")</f>
        <v>T104</v>
      </c>
      <c r="B106">
        <f ca="1">IFERROR(__xludf.DUMMYFUNCTION("""COMPUTED_VALUE"""),57)</f>
        <v>57</v>
      </c>
      <c r="C106" t="str">
        <f ca="1">IFERROR(__xludf.DUMMYFUNCTION("""COMPUTED_VALUE"""),"Adam Schenk")</f>
        <v>Adam Schenk</v>
      </c>
      <c r="D106">
        <f ca="1">IFERROR(__xludf.DUMMYFUNCTION("""COMPUTED_VALUE"""),22)</f>
        <v>22</v>
      </c>
      <c r="E106">
        <f ca="1">IFERROR(__xludf.DUMMYFUNCTION("""COMPUTED_VALUE"""),53.13)</f>
        <v>53.13</v>
      </c>
      <c r="F106">
        <f ca="1">IFERROR(__xludf.DUMMYFUNCTION("""COMPUTED_VALUE"""),17)</f>
        <v>17</v>
      </c>
      <c r="G106">
        <f ca="1">IFERROR(__xludf.DUMMYFUNCTION("""COMPUTED_VALUE"""),32)</f>
        <v>32</v>
      </c>
      <c r="H106" t="str">
        <f ca="1">IFERROR(__xludf.DUMMYFUNCTION("""COMPUTED_VALUE"""),"+10.00")</f>
        <v>+10.00</v>
      </c>
    </row>
    <row r="107" spans="1:8" ht="12.75">
      <c r="A107" t="str">
        <f ca="1">IFERROR(__xludf.DUMMYFUNCTION("""COMPUTED_VALUE"""),"T106")</f>
        <v>T106</v>
      </c>
      <c r="B107" t="str">
        <f ca="1">IFERROR(__xludf.DUMMYFUNCTION("""COMPUTED_VALUE"""),"T96")</f>
        <v>T96</v>
      </c>
      <c r="C107" t="str">
        <f ca="1">IFERROR(__xludf.DUMMYFUNCTION("""COMPUTED_VALUE"""),"Michael Kim")</f>
        <v>Michael Kim</v>
      </c>
      <c r="D107">
        <f ca="1">IFERROR(__xludf.DUMMYFUNCTION("""COMPUTED_VALUE"""),12)</f>
        <v>12</v>
      </c>
      <c r="E107">
        <f ca="1">IFERROR(__xludf.DUMMYFUNCTION("""COMPUTED_VALUE"""),52.63)</f>
        <v>52.63</v>
      </c>
      <c r="F107">
        <f ca="1">IFERROR(__xludf.DUMMYFUNCTION("""COMPUTED_VALUE"""),10)</f>
        <v>10</v>
      </c>
      <c r="G107">
        <f ca="1">IFERROR(__xludf.DUMMYFUNCTION("""COMPUTED_VALUE"""),19)</f>
        <v>19</v>
      </c>
      <c r="H107" t="str">
        <f ca="1">IFERROR(__xludf.DUMMYFUNCTION("""COMPUTED_VALUE"""),"+9.00")</f>
        <v>+9.00</v>
      </c>
    </row>
    <row r="108" spans="1:8" ht="12.75">
      <c r="A108" t="str">
        <f ca="1">IFERROR(__xludf.DUMMYFUNCTION("""COMPUTED_VALUE"""),"T106")</f>
        <v>T106</v>
      </c>
      <c r="B108" t="str">
        <f ca="1">IFERROR(__xludf.DUMMYFUNCTION("""COMPUTED_VALUE"""),"T147")</f>
        <v>T147</v>
      </c>
      <c r="C108" t="str">
        <f ca="1">IFERROR(__xludf.DUMMYFUNCTION("""COMPUTED_VALUE"""),"Emiliano Grillo")</f>
        <v>Emiliano Grillo</v>
      </c>
      <c r="D108">
        <f ca="1">IFERROR(__xludf.DUMMYFUNCTION("""COMPUTED_VALUE"""),22)</f>
        <v>22</v>
      </c>
      <c r="E108">
        <f ca="1">IFERROR(__xludf.DUMMYFUNCTION("""COMPUTED_VALUE"""),52.63)</f>
        <v>52.63</v>
      </c>
      <c r="F108">
        <f ca="1">IFERROR(__xludf.DUMMYFUNCTION("""COMPUTED_VALUE"""),10)</f>
        <v>10</v>
      </c>
      <c r="G108">
        <f ca="1">IFERROR(__xludf.DUMMYFUNCTION("""COMPUTED_VALUE"""),19)</f>
        <v>19</v>
      </c>
      <c r="H108" t="str">
        <f ca="1">IFERROR(__xludf.DUMMYFUNCTION("""COMPUTED_VALUE"""),"+2.00")</f>
        <v>+2.00</v>
      </c>
    </row>
    <row r="109" spans="1:8" ht="12.75">
      <c r="A109" t="str">
        <f ca="1">IFERROR(__xludf.DUMMYFUNCTION("""COMPUTED_VALUE"""),"T108")</f>
        <v>T108</v>
      </c>
      <c r="B109" t="str">
        <f ca="1">IFERROR(__xludf.DUMMYFUNCTION("""COMPUTED_VALUE"""),"T99")</f>
        <v>T99</v>
      </c>
      <c r="C109" t="str">
        <f ca="1">IFERROR(__xludf.DUMMYFUNCTION("""COMPUTED_VALUE"""),"Bill Haas")</f>
        <v>Bill Haas</v>
      </c>
      <c r="D109">
        <f ca="1">IFERROR(__xludf.DUMMYFUNCTION("""COMPUTED_VALUE"""),10)</f>
        <v>10</v>
      </c>
      <c r="E109">
        <f ca="1">IFERROR(__xludf.DUMMYFUNCTION("""COMPUTED_VALUE"""),52.38)</f>
        <v>52.38</v>
      </c>
      <c r="F109">
        <f ca="1">IFERROR(__xludf.DUMMYFUNCTION("""COMPUTED_VALUE"""),11)</f>
        <v>11</v>
      </c>
      <c r="G109">
        <f ca="1">IFERROR(__xludf.DUMMYFUNCTION("""COMPUTED_VALUE"""),21)</f>
        <v>21</v>
      </c>
      <c r="H109" t="str">
        <f ca="1">IFERROR(__xludf.DUMMYFUNCTION("""COMPUTED_VALUE"""),"+5.00")</f>
        <v>+5.00</v>
      </c>
    </row>
    <row r="110" spans="1:8" ht="12.75">
      <c r="A110" t="str">
        <f ca="1">IFERROR(__xludf.DUMMYFUNCTION("""COMPUTED_VALUE"""),"T108")</f>
        <v>T108</v>
      </c>
      <c r="B110" t="str">
        <f ca="1">IFERROR(__xludf.DUMMYFUNCTION("""COMPUTED_VALUE"""),"T145")</f>
        <v>T145</v>
      </c>
      <c r="C110" t="str">
        <f ca="1">IFERROR(__xludf.DUMMYFUNCTION("""COMPUTED_VALUE"""),"Robby Shelton")</f>
        <v>Robby Shelton</v>
      </c>
      <c r="D110">
        <f ca="1">IFERROR(__xludf.DUMMYFUNCTION("""COMPUTED_VALUE"""),14)</f>
        <v>14</v>
      </c>
      <c r="E110">
        <f ca="1">IFERROR(__xludf.DUMMYFUNCTION("""COMPUTED_VALUE"""),52.38)</f>
        <v>52.38</v>
      </c>
      <c r="F110">
        <f ca="1">IFERROR(__xludf.DUMMYFUNCTION("""COMPUTED_VALUE"""),11)</f>
        <v>11</v>
      </c>
      <c r="G110">
        <f ca="1">IFERROR(__xludf.DUMMYFUNCTION("""COMPUTED_VALUE"""),21)</f>
        <v>21</v>
      </c>
      <c r="H110" t="str">
        <f ca="1">IFERROR(__xludf.DUMMYFUNCTION("""COMPUTED_VALUE"""),"+1.00")</f>
        <v>+1.00</v>
      </c>
    </row>
    <row r="111" spans="1:8" ht="12.75">
      <c r="A111">
        <f ca="1">IFERROR(__xludf.DUMMYFUNCTION("""COMPUTED_VALUE"""),110)</f>
        <v>110</v>
      </c>
      <c r="B111" t="str">
        <f ca="1">IFERROR(__xludf.DUMMYFUNCTION("""COMPUTED_VALUE"""),"T99")</f>
        <v>T99</v>
      </c>
      <c r="C111" t="str">
        <f ca="1">IFERROR(__xludf.DUMMYFUNCTION("""COMPUTED_VALUE"""),"Phil Mickelson")</f>
        <v>Phil Mickelson</v>
      </c>
      <c r="D111">
        <f ca="1">IFERROR(__xludf.DUMMYFUNCTION("""COMPUTED_VALUE"""),12)</f>
        <v>12</v>
      </c>
      <c r="E111">
        <f ca="1">IFERROR(__xludf.DUMMYFUNCTION("""COMPUTED_VALUE"""),52.17)</f>
        <v>52.17</v>
      </c>
      <c r="F111">
        <f ca="1">IFERROR(__xludf.DUMMYFUNCTION("""COMPUTED_VALUE"""),12)</f>
        <v>12</v>
      </c>
      <c r="G111">
        <f ca="1">IFERROR(__xludf.DUMMYFUNCTION("""COMPUTED_VALUE"""),23)</f>
        <v>23</v>
      </c>
      <c r="H111" t="str">
        <f ca="1">IFERROR(__xludf.DUMMYFUNCTION("""COMPUTED_VALUE"""),"+14.00")</f>
        <v>+14.00</v>
      </c>
    </row>
    <row r="112" spans="1:8" ht="12.75">
      <c r="A112" t="str">
        <f ca="1">IFERROR(__xludf.DUMMYFUNCTION("""COMPUTED_VALUE"""),"T111")</f>
        <v>T111</v>
      </c>
      <c r="B112">
        <f ca="1">IFERROR(__xludf.DUMMYFUNCTION("""COMPUTED_VALUE"""),89)</f>
        <v>89</v>
      </c>
      <c r="C112" t="str">
        <f ca="1">IFERROR(__xludf.DUMMYFUNCTION("""COMPUTED_VALUE"""),"Luke List")</f>
        <v>Luke List</v>
      </c>
      <c r="D112">
        <f ca="1">IFERROR(__xludf.DUMMYFUNCTION("""COMPUTED_VALUE"""),18)</f>
        <v>18</v>
      </c>
      <c r="E112">
        <f ca="1">IFERROR(__xludf.DUMMYFUNCTION("""COMPUTED_VALUE"""),52)</f>
        <v>52</v>
      </c>
      <c r="F112">
        <f ca="1">IFERROR(__xludf.DUMMYFUNCTION("""COMPUTED_VALUE"""),13)</f>
        <v>13</v>
      </c>
      <c r="G112">
        <f ca="1">IFERROR(__xludf.DUMMYFUNCTION("""COMPUTED_VALUE"""),25)</f>
        <v>25</v>
      </c>
      <c r="H112" t="str">
        <f ca="1">IFERROR(__xludf.DUMMYFUNCTION("""COMPUTED_VALUE"""),"+1.00")</f>
        <v>+1.00</v>
      </c>
    </row>
    <row r="113" spans="1:8" ht="12.75">
      <c r="A113" t="str">
        <f ca="1">IFERROR(__xludf.DUMMYFUNCTION("""COMPUTED_VALUE"""),"T111")</f>
        <v>T111</v>
      </c>
      <c r="B113" t="str">
        <f ca="1">IFERROR(__xludf.DUMMYFUNCTION("""COMPUTED_VALUE"""),"T102")</f>
        <v>T102</v>
      </c>
      <c r="C113" t="str">
        <f ca="1">IFERROR(__xludf.DUMMYFUNCTION("""COMPUTED_VALUE"""),"Sebastián Muñoz")</f>
        <v>Sebastián Muñoz</v>
      </c>
      <c r="D113">
        <f ca="1">IFERROR(__xludf.DUMMYFUNCTION("""COMPUTED_VALUE"""),20)</f>
        <v>20</v>
      </c>
      <c r="E113">
        <f ca="1">IFERROR(__xludf.DUMMYFUNCTION("""COMPUTED_VALUE"""),52)</f>
        <v>52</v>
      </c>
      <c r="F113">
        <f ca="1">IFERROR(__xludf.DUMMYFUNCTION("""COMPUTED_VALUE"""),13)</f>
        <v>13</v>
      </c>
      <c r="G113">
        <f ca="1">IFERROR(__xludf.DUMMYFUNCTION("""COMPUTED_VALUE"""),25)</f>
        <v>25</v>
      </c>
      <c r="H113" t="str">
        <f ca="1">IFERROR(__xludf.DUMMYFUNCTION("""COMPUTED_VALUE"""),"+4.00")</f>
        <v>+4.00</v>
      </c>
    </row>
    <row r="114" spans="1:8" ht="12.75">
      <c r="A114">
        <f ca="1">IFERROR(__xludf.DUMMYFUNCTION("""COMPUTED_VALUE"""),113)</f>
        <v>113</v>
      </c>
      <c r="B114" t="str">
        <f ca="1">IFERROR(__xludf.DUMMYFUNCTION("""COMPUTED_VALUE"""),"T92")</f>
        <v>T92</v>
      </c>
      <c r="C114" t="str">
        <f ca="1">IFERROR(__xludf.DUMMYFUNCTION("""COMPUTED_VALUE"""),"Tyler Duncan")</f>
        <v>Tyler Duncan</v>
      </c>
      <c r="D114">
        <f ca="1">IFERROR(__xludf.DUMMYFUNCTION("""COMPUTED_VALUE"""),18)</f>
        <v>18</v>
      </c>
      <c r="E114">
        <f ca="1">IFERROR(__xludf.DUMMYFUNCTION("""COMPUTED_VALUE"""),51.52)</f>
        <v>51.52</v>
      </c>
      <c r="F114">
        <f ca="1">IFERROR(__xludf.DUMMYFUNCTION("""COMPUTED_VALUE"""),17)</f>
        <v>17</v>
      </c>
      <c r="G114">
        <f ca="1">IFERROR(__xludf.DUMMYFUNCTION("""COMPUTED_VALUE"""),33)</f>
        <v>33</v>
      </c>
      <c r="H114" t="str">
        <f ca="1">IFERROR(__xludf.DUMMYFUNCTION("""COMPUTED_VALUE"""),"+13.00")</f>
        <v>+13.00</v>
      </c>
    </row>
    <row r="115" spans="1:8" ht="12.75">
      <c r="A115" t="str">
        <f ca="1">IFERROR(__xludf.DUMMYFUNCTION("""COMPUTED_VALUE"""),"T114")</f>
        <v>T114</v>
      </c>
      <c r="B115" t="str">
        <f ca="1">IFERROR(__xludf.DUMMYFUNCTION("""COMPUTED_VALUE"""),"T104")</f>
        <v>T104</v>
      </c>
      <c r="C115" t="str">
        <f ca="1">IFERROR(__xludf.DUMMYFUNCTION("""COMPUTED_VALUE"""),"John Pak")</f>
        <v>John Pak</v>
      </c>
      <c r="D115">
        <f ca="1">IFERROR(__xludf.DUMMYFUNCTION("""COMPUTED_VALUE"""),4)</f>
        <v>4</v>
      </c>
      <c r="E115">
        <f ca="1">IFERROR(__xludf.DUMMYFUNCTION("""COMPUTED_VALUE"""),50)</f>
        <v>50</v>
      </c>
      <c r="F115">
        <f ca="1">IFERROR(__xludf.DUMMYFUNCTION("""COMPUTED_VALUE"""),2)</f>
        <v>2</v>
      </c>
      <c r="G115">
        <f ca="1">IFERROR(__xludf.DUMMYFUNCTION("""COMPUTED_VALUE"""),4)</f>
        <v>4</v>
      </c>
      <c r="H115" t="str">
        <f ca="1">IFERROR(__xludf.DUMMYFUNCTION("""COMPUTED_VALUE"""),"+2.00")</f>
        <v>+2.00</v>
      </c>
    </row>
    <row r="116" spans="1:8" ht="12.75">
      <c r="A116" t="str">
        <f ca="1">IFERROR(__xludf.DUMMYFUNCTION("""COMPUTED_VALUE"""),"T114")</f>
        <v>T114</v>
      </c>
      <c r="B116" t="str">
        <f ca="1">IFERROR(__xludf.DUMMYFUNCTION("""COMPUTED_VALUE"""),"T169")</f>
        <v>T169</v>
      </c>
      <c r="C116" t="str">
        <f ca="1">IFERROR(__xludf.DUMMYFUNCTION("""COMPUTED_VALUE"""),"Talor Gooch")</f>
        <v>Talor Gooch</v>
      </c>
      <c r="D116">
        <f ca="1">IFERROR(__xludf.DUMMYFUNCTION("""COMPUTED_VALUE"""),20)</f>
        <v>20</v>
      </c>
      <c r="E116">
        <f ca="1">IFERROR(__xludf.DUMMYFUNCTION("""COMPUTED_VALUE"""),50)</f>
        <v>50</v>
      </c>
      <c r="F116">
        <f ca="1">IFERROR(__xludf.DUMMYFUNCTION("""COMPUTED_VALUE"""),11)</f>
        <v>11</v>
      </c>
      <c r="G116">
        <f ca="1">IFERROR(__xludf.DUMMYFUNCTION("""COMPUTED_VALUE"""),22)</f>
        <v>22</v>
      </c>
      <c r="H116" t="str">
        <f ca="1">IFERROR(__xludf.DUMMYFUNCTION("""COMPUTED_VALUE"""),"E")</f>
        <v>E</v>
      </c>
    </row>
    <row r="117" spans="1:8" ht="12.75">
      <c r="A117" t="str">
        <f ca="1">IFERROR(__xludf.DUMMYFUNCTION("""COMPUTED_VALUE"""),"T114")</f>
        <v>T114</v>
      </c>
      <c r="B117" t="str">
        <f ca="1">IFERROR(__xludf.DUMMYFUNCTION("""COMPUTED_VALUE"""),"T200")</f>
        <v>T200</v>
      </c>
      <c r="C117" t="str">
        <f ca="1">IFERROR(__xludf.DUMMYFUNCTION("""COMPUTED_VALUE"""),"Austin Cook")</f>
        <v>Austin Cook</v>
      </c>
      <c r="D117">
        <f ca="1">IFERROR(__xludf.DUMMYFUNCTION("""COMPUTED_VALUE"""),14)</f>
        <v>14</v>
      </c>
      <c r="E117">
        <f ca="1">IFERROR(__xludf.DUMMYFUNCTION("""COMPUTED_VALUE"""),50)</f>
        <v>50</v>
      </c>
      <c r="F117">
        <f ca="1">IFERROR(__xludf.DUMMYFUNCTION("""COMPUTED_VALUE"""),10)</f>
        <v>10</v>
      </c>
      <c r="G117">
        <f ca="1">IFERROR(__xludf.DUMMYFUNCTION("""COMPUTED_VALUE"""),20)</f>
        <v>20</v>
      </c>
      <c r="H117" t="str">
        <f ca="1">IFERROR(__xludf.DUMMYFUNCTION("""COMPUTED_VALUE"""),"+3.00")</f>
        <v>+3.00</v>
      </c>
    </row>
    <row r="118" spans="1:8" ht="12.75">
      <c r="A118" t="str">
        <f ca="1">IFERROR(__xludf.DUMMYFUNCTION("""COMPUTED_VALUE"""),"T114")</f>
        <v>T114</v>
      </c>
      <c r="B118" t="str">
        <f ca="1">IFERROR(__xludf.DUMMYFUNCTION("""COMPUTED_VALUE"""),"T104")</f>
        <v>T104</v>
      </c>
      <c r="C118" t="str">
        <f ca="1">IFERROR(__xludf.DUMMYFUNCTION("""COMPUTED_VALUE"""),"Taylor Pendrith")</f>
        <v>Taylor Pendrith</v>
      </c>
      <c r="D118">
        <f ca="1">IFERROR(__xludf.DUMMYFUNCTION("""COMPUTED_VALUE"""),4)</f>
        <v>4</v>
      </c>
      <c r="E118">
        <f ca="1">IFERROR(__xludf.DUMMYFUNCTION("""COMPUTED_VALUE"""),50)</f>
        <v>50</v>
      </c>
      <c r="F118">
        <f ca="1">IFERROR(__xludf.DUMMYFUNCTION("""COMPUTED_VALUE"""),6)</f>
        <v>6</v>
      </c>
      <c r="G118">
        <f ca="1">IFERROR(__xludf.DUMMYFUNCTION("""COMPUTED_VALUE"""),12)</f>
        <v>12</v>
      </c>
      <c r="H118" t="str">
        <f ca="1">IFERROR(__xludf.DUMMYFUNCTION("""COMPUTED_VALUE"""),"+5.00")</f>
        <v>+5.00</v>
      </c>
    </row>
    <row r="119" spans="1:8" ht="12.75">
      <c r="A119" t="str">
        <f ca="1">IFERROR(__xludf.DUMMYFUNCTION("""COMPUTED_VALUE"""),"T114")</f>
        <v>T114</v>
      </c>
      <c r="B119" t="str">
        <f ca="1">IFERROR(__xludf.DUMMYFUNCTION("""COMPUTED_VALUE"""),"T92")</f>
        <v>T92</v>
      </c>
      <c r="C119" t="str">
        <f ca="1">IFERROR(__xludf.DUMMYFUNCTION("""COMPUTED_VALUE"""),"Cameron Davis")</f>
        <v>Cameron Davis</v>
      </c>
      <c r="D119">
        <f ca="1">IFERROR(__xludf.DUMMYFUNCTION("""COMPUTED_VALUE"""),16)</f>
        <v>16</v>
      </c>
      <c r="E119">
        <f ca="1">IFERROR(__xludf.DUMMYFUNCTION("""COMPUTED_VALUE"""),50)</f>
        <v>50</v>
      </c>
      <c r="F119">
        <f ca="1">IFERROR(__xludf.DUMMYFUNCTION("""COMPUTED_VALUE"""),10)</f>
        <v>10</v>
      </c>
      <c r="G119">
        <f ca="1">IFERROR(__xludf.DUMMYFUNCTION("""COMPUTED_VALUE"""),20)</f>
        <v>20</v>
      </c>
      <c r="H119" t="str">
        <f ca="1">IFERROR(__xludf.DUMMYFUNCTION("""COMPUTED_VALUE"""),"+11.00")</f>
        <v>+11.00</v>
      </c>
    </row>
    <row r="120" spans="1:8" ht="12.75">
      <c r="A120" t="str">
        <f ca="1">IFERROR(__xludf.DUMMYFUNCTION("""COMPUTED_VALUE"""),"T114")</f>
        <v>T114</v>
      </c>
      <c r="B120" t="str">
        <f ca="1">IFERROR(__xludf.DUMMYFUNCTION("""COMPUTED_VALUE"""),"T104")</f>
        <v>T104</v>
      </c>
      <c r="C120" t="str">
        <f ca="1">IFERROR(__xludf.DUMMYFUNCTION("""COMPUTED_VALUE"""),"Daniel Berger")</f>
        <v>Daniel Berger</v>
      </c>
      <c r="D120">
        <f ca="1">IFERROR(__xludf.DUMMYFUNCTION("""COMPUTED_VALUE"""),12)</f>
        <v>12</v>
      </c>
      <c r="E120">
        <f ca="1">IFERROR(__xludf.DUMMYFUNCTION("""COMPUTED_VALUE"""),50)</f>
        <v>50</v>
      </c>
      <c r="F120">
        <f ca="1">IFERROR(__xludf.DUMMYFUNCTION("""COMPUTED_VALUE"""),7)</f>
        <v>7</v>
      </c>
      <c r="G120">
        <f ca="1">IFERROR(__xludf.DUMMYFUNCTION("""COMPUTED_VALUE"""),14)</f>
        <v>14</v>
      </c>
      <c r="H120" t="str">
        <f ca="1">IFERROR(__xludf.DUMMYFUNCTION("""COMPUTED_VALUE"""),"+6.00")</f>
        <v>+6.00</v>
      </c>
    </row>
    <row r="121" spans="1:8" ht="12.75">
      <c r="A121" t="str">
        <f ca="1">IFERROR(__xludf.DUMMYFUNCTION("""COMPUTED_VALUE"""),"T114")</f>
        <v>T114</v>
      </c>
      <c r="B121" t="str">
        <f ca="1">IFERROR(__xludf.DUMMYFUNCTION("""COMPUTED_VALUE"""),"T227")</f>
        <v>T227</v>
      </c>
      <c r="C121" t="str">
        <f ca="1">IFERROR(__xludf.DUMMYFUNCTION("""COMPUTED_VALUE"""),"Ollie Schniederjans")</f>
        <v>Ollie Schniederjans</v>
      </c>
      <c r="D121">
        <f ca="1">IFERROR(__xludf.DUMMYFUNCTION("""COMPUTED_VALUE"""),6)</f>
        <v>6</v>
      </c>
      <c r="E121">
        <f ca="1">IFERROR(__xludf.DUMMYFUNCTION("""COMPUTED_VALUE"""),50)</f>
        <v>50</v>
      </c>
      <c r="F121">
        <f ca="1">IFERROR(__xludf.DUMMYFUNCTION("""COMPUTED_VALUE"""),4)</f>
        <v>4</v>
      </c>
      <c r="G121">
        <f ca="1">IFERROR(__xludf.DUMMYFUNCTION("""COMPUTED_VALUE"""),8)</f>
        <v>8</v>
      </c>
      <c r="H121" t="str">
        <f ca="1">IFERROR(__xludf.DUMMYFUNCTION("""COMPUTED_VALUE"""),"+3.00")</f>
        <v>+3.00</v>
      </c>
    </row>
    <row r="122" spans="1:8" ht="12.75">
      <c r="A122" t="str">
        <f ca="1">IFERROR(__xludf.DUMMYFUNCTION("""COMPUTED_VALUE"""),"T114")</f>
        <v>T114</v>
      </c>
      <c r="B122" t="str">
        <f ca="1">IFERROR(__xludf.DUMMYFUNCTION("""COMPUTED_VALUE"""),"T104")</f>
        <v>T104</v>
      </c>
      <c r="C122" t="str">
        <f ca="1">IFERROR(__xludf.DUMMYFUNCTION("""COMPUTED_VALUE"""),"Jaekyeong Lee")</f>
        <v>Jaekyeong Lee</v>
      </c>
      <c r="D122">
        <f ca="1">IFERROR(__xludf.DUMMYFUNCTION("""COMPUTED_VALUE"""),4)</f>
        <v>4</v>
      </c>
      <c r="E122">
        <f ca="1">IFERROR(__xludf.DUMMYFUNCTION("""COMPUTED_VALUE"""),50)</f>
        <v>50</v>
      </c>
      <c r="F122">
        <f ca="1">IFERROR(__xludf.DUMMYFUNCTION("""COMPUTED_VALUE"""),2)</f>
        <v>2</v>
      </c>
      <c r="G122">
        <f ca="1">IFERROR(__xludf.DUMMYFUNCTION("""COMPUTED_VALUE"""),4)</f>
        <v>4</v>
      </c>
      <c r="H122" t="str">
        <f ca="1">IFERROR(__xludf.DUMMYFUNCTION("""COMPUTED_VALUE"""),"E")</f>
        <v>E</v>
      </c>
    </row>
    <row r="123" spans="1:8" ht="12.75">
      <c r="A123" t="str">
        <f ca="1">IFERROR(__xludf.DUMMYFUNCTION("""COMPUTED_VALUE"""),"T114")</f>
        <v>T114</v>
      </c>
      <c r="B123" t="str">
        <f ca="1">IFERROR(__xludf.DUMMYFUNCTION("""COMPUTED_VALUE"""),"T104")</f>
        <v>T104</v>
      </c>
      <c r="C123" t="str">
        <f ca="1">IFERROR(__xludf.DUMMYFUNCTION("""COMPUTED_VALUE"""),"Rikuya Hoshino")</f>
        <v>Rikuya Hoshino</v>
      </c>
      <c r="D123">
        <f ca="1">IFERROR(__xludf.DUMMYFUNCTION("""COMPUTED_VALUE"""),4)</f>
        <v>4</v>
      </c>
      <c r="E123">
        <f ca="1">IFERROR(__xludf.DUMMYFUNCTION("""COMPUTED_VALUE"""),50)</f>
        <v>50</v>
      </c>
      <c r="F123">
        <f ca="1">IFERROR(__xludf.DUMMYFUNCTION("""COMPUTED_VALUE"""),4)</f>
        <v>4</v>
      </c>
      <c r="G123">
        <f ca="1">IFERROR(__xludf.DUMMYFUNCTION("""COMPUTED_VALUE"""),8)</f>
        <v>8</v>
      </c>
      <c r="H123" t="str">
        <f ca="1">IFERROR(__xludf.DUMMYFUNCTION("""COMPUTED_VALUE"""),"E")</f>
        <v>E</v>
      </c>
    </row>
    <row r="124" spans="1:8" ht="12.75">
      <c r="A124" t="str">
        <f ca="1">IFERROR(__xludf.DUMMYFUNCTION("""COMPUTED_VALUE"""),"T114")</f>
        <v>T114</v>
      </c>
      <c r="B124" t="str">
        <f ca="1">IFERROR(__xludf.DUMMYFUNCTION("""COMPUTED_VALUE"""),"T104")</f>
        <v>T104</v>
      </c>
      <c r="C124" t="str">
        <f ca="1">IFERROR(__xludf.DUMMYFUNCTION("""COMPUTED_VALUE"""),"Hanbyeol Kim")</f>
        <v>Hanbyeol Kim</v>
      </c>
      <c r="D124">
        <f ca="1">IFERROR(__xludf.DUMMYFUNCTION("""COMPUTED_VALUE"""),4)</f>
        <v>4</v>
      </c>
      <c r="E124">
        <f ca="1">IFERROR(__xludf.DUMMYFUNCTION("""COMPUTED_VALUE"""),50)</f>
        <v>50</v>
      </c>
      <c r="F124">
        <f ca="1">IFERROR(__xludf.DUMMYFUNCTION("""COMPUTED_VALUE"""),1)</f>
        <v>1</v>
      </c>
      <c r="G124">
        <f ca="1">IFERROR(__xludf.DUMMYFUNCTION("""COMPUTED_VALUE"""),2)</f>
        <v>2</v>
      </c>
      <c r="H124" t="str">
        <f ca="1">IFERROR(__xludf.DUMMYFUNCTION("""COMPUTED_VALUE"""),"+1.00")</f>
        <v>+1.00</v>
      </c>
    </row>
    <row r="125" spans="1:8" ht="12.75">
      <c r="A125" t="str">
        <f ca="1">IFERROR(__xludf.DUMMYFUNCTION("""COMPUTED_VALUE"""),"T114")</f>
        <v>T114</v>
      </c>
      <c r="B125" t="str">
        <f ca="1">IFERROR(__xludf.DUMMYFUNCTION("""COMPUTED_VALUE"""),"T104")</f>
        <v>T104</v>
      </c>
      <c r="C125" t="str">
        <f ca="1">IFERROR(__xludf.DUMMYFUNCTION("""COMPUTED_VALUE"""),"Michael Gellerman")</f>
        <v>Michael Gellerman</v>
      </c>
      <c r="D125">
        <f ca="1">IFERROR(__xludf.DUMMYFUNCTION("""COMPUTED_VALUE"""),5)</f>
        <v>5</v>
      </c>
      <c r="E125">
        <f ca="1">IFERROR(__xludf.DUMMYFUNCTION("""COMPUTED_VALUE"""),50)</f>
        <v>50</v>
      </c>
      <c r="F125">
        <f ca="1">IFERROR(__xludf.DUMMYFUNCTION("""COMPUTED_VALUE"""),7)</f>
        <v>7</v>
      </c>
      <c r="G125">
        <f ca="1">IFERROR(__xludf.DUMMYFUNCTION("""COMPUTED_VALUE"""),14)</f>
        <v>14</v>
      </c>
      <c r="H125" t="str">
        <f ca="1">IFERROR(__xludf.DUMMYFUNCTION("""COMPUTED_VALUE"""),"+6.00")</f>
        <v>+6.00</v>
      </c>
    </row>
    <row r="126" spans="1:8" ht="12.75">
      <c r="A126" t="str">
        <f ca="1">IFERROR(__xludf.DUMMYFUNCTION("""COMPUTED_VALUE"""),"T114")</f>
        <v>T114</v>
      </c>
      <c r="B126" t="str">
        <f ca="1">IFERROR(__xludf.DUMMYFUNCTION("""COMPUTED_VALUE"""),"T104")</f>
        <v>T104</v>
      </c>
      <c r="C126" t="str">
        <f ca="1">IFERROR(__xludf.DUMMYFUNCTION("""COMPUTED_VALUE"""),"Wesley Bryan")</f>
        <v>Wesley Bryan</v>
      </c>
      <c r="D126">
        <f ca="1">IFERROR(__xludf.DUMMYFUNCTION("""COMPUTED_VALUE"""),8)</f>
        <v>8</v>
      </c>
      <c r="E126">
        <f ca="1">IFERROR(__xludf.DUMMYFUNCTION("""COMPUTED_VALUE"""),50)</f>
        <v>50</v>
      </c>
      <c r="F126">
        <f ca="1">IFERROR(__xludf.DUMMYFUNCTION("""COMPUTED_VALUE"""),6)</f>
        <v>6</v>
      </c>
      <c r="G126">
        <f ca="1">IFERROR(__xludf.DUMMYFUNCTION("""COMPUTED_VALUE"""),12)</f>
        <v>12</v>
      </c>
      <c r="H126" t="str">
        <f ca="1">IFERROR(__xludf.DUMMYFUNCTION("""COMPUTED_VALUE"""),"+1.00")</f>
        <v>+1.00</v>
      </c>
    </row>
    <row r="127" spans="1:8" ht="12.75">
      <c r="A127" t="str">
        <f ca="1">IFERROR(__xludf.DUMMYFUNCTION("""COMPUTED_VALUE"""),"T114")</f>
        <v>T114</v>
      </c>
      <c r="B127" t="str">
        <f ca="1">IFERROR(__xludf.DUMMYFUNCTION("""COMPUTED_VALUE"""),"T104")</f>
        <v>T104</v>
      </c>
      <c r="C127" t="str">
        <f ca="1">IFERROR(__xludf.DUMMYFUNCTION("""COMPUTED_VALUE"""),"Tae Hee Lee")</f>
        <v>Tae Hee Lee</v>
      </c>
      <c r="D127">
        <f ca="1">IFERROR(__xludf.DUMMYFUNCTION("""COMPUTED_VALUE"""),4)</f>
        <v>4</v>
      </c>
      <c r="E127">
        <f ca="1">IFERROR(__xludf.DUMMYFUNCTION("""COMPUTED_VALUE"""),50)</f>
        <v>50</v>
      </c>
      <c r="F127">
        <f ca="1">IFERROR(__xludf.DUMMYFUNCTION("""COMPUTED_VALUE"""),2)</f>
        <v>2</v>
      </c>
      <c r="G127">
        <f ca="1">IFERROR(__xludf.DUMMYFUNCTION("""COMPUTED_VALUE"""),4)</f>
        <v>4</v>
      </c>
      <c r="H127">
        <f ca="1">IFERROR(__xludf.DUMMYFUNCTION("""COMPUTED_VALUE"""),-1)</f>
        <v>-1</v>
      </c>
    </row>
    <row r="128" spans="1:8" ht="12.75">
      <c r="A128" t="str">
        <f ca="1">IFERROR(__xludf.DUMMYFUNCTION("""COMPUTED_VALUE"""),"T114")</f>
        <v>T114</v>
      </c>
      <c r="B128" t="str">
        <f ca="1">IFERROR(__xludf.DUMMYFUNCTION("""COMPUTED_VALUE"""),"T104")</f>
        <v>T104</v>
      </c>
      <c r="C128" t="str">
        <f ca="1">IFERROR(__xludf.DUMMYFUNCTION("""COMPUTED_VALUE"""),"Cameron Champ")</f>
        <v>Cameron Champ</v>
      </c>
      <c r="D128">
        <f ca="1">IFERROR(__xludf.DUMMYFUNCTION("""COMPUTED_VALUE"""),12)</f>
        <v>12</v>
      </c>
      <c r="E128">
        <f ca="1">IFERROR(__xludf.DUMMYFUNCTION("""COMPUTED_VALUE"""),50)</f>
        <v>50</v>
      </c>
      <c r="F128">
        <f ca="1">IFERROR(__xludf.DUMMYFUNCTION("""COMPUTED_VALUE"""),9)</f>
        <v>9</v>
      </c>
      <c r="G128">
        <f ca="1">IFERROR(__xludf.DUMMYFUNCTION("""COMPUTED_VALUE"""),18)</f>
        <v>18</v>
      </c>
      <c r="H128" t="str">
        <f ca="1">IFERROR(__xludf.DUMMYFUNCTION("""COMPUTED_VALUE"""),"+7.00")</f>
        <v>+7.00</v>
      </c>
    </row>
    <row r="129" spans="1:8" ht="12.75">
      <c r="A129" t="str">
        <f ca="1">IFERROR(__xludf.DUMMYFUNCTION("""COMPUTED_VALUE"""),"T114")</f>
        <v>T114</v>
      </c>
      <c r="B129" t="str">
        <f ca="1">IFERROR(__xludf.DUMMYFUNCTION("""COMPUTED_VALUE"""),"T104")</f>
        <v>T104</v>
      </c>
      <c r="C129" t="str">
        <f ca="1">IFERROR(__xludf.DUMMYFUNCTION("""COMPUTED_VALUE"""),"Lucas Herbert")</f>
        <v>Lucas Herbert</v>
      </c>
      <c r="D129">
        <f ca="1">IFERROR(__xludf.DUMMYFUNCTION("""COMPUTED_VALUE"""),4)</f>
        <v>4</v>
      </c>
      <c r="E129">
        <f ca="1">IFERROR(__xludf.DUMMYFUNCTION("""COMPUTED_VALUE"""),50)</f>
        <v>50</v>
      </c>
      <c r="F129">
        <f ca="1">IFERROR(__xludf.DUMMYFUNCTION("""COMPUTED_VALUE"""),6)</f>
        <v>6</v>
      </c>
      <c r="G129">
        <f ca="1">IFERROR(__xludf.DUMMYFUNCTION("""COMPUTED_VALUE"""),12)</f>
        <v>12</v>
      </c>
      <c r="H129" t="str">
        <f ca="1">IFERROR(__xludf.DUMMYFUNCTION("""COMPUTED_VALUE"""),"+5.00")</f>
        <v>+5.00</v>
      </c>
    </row>
    <row r="130" spans="1:8" ht="12.75">
      <c r="A130" t="str">
        <f ca="1">IFERROR(__xludf.DUMMYFUNCTION("""COMPUTED_VALUE"""),"T114")</f>
        <v>T114</v>
      </c>
      <c r="B130" t="str">
        <f ca="1">IFERROR(__xludf.DUMMYFUNCTION("""COMPUTED_VALUE"""),"T104")</f>
        <v>T104</v>
      </c>
      <c r="C130" t="str">
        <f ca="1">IFERROR(__xludf.DUMMYFUNCTION("""COMPUTED_VALUE"""),"Mikumu Horikawa")</f>
        <v>Mikumu Horikawa</v>
      </c>
      <c r="D130">
        <f ca="1">IFERROR(__xludf.DUMMYFUNCTION("""COMPUTED_VALUE"""),4)</f>
        <v>4</v>
      </c>
      <c r="E130">
        <f ca="1">IFERROR(__xludf.DUMMYFUNCTION("""COMPUTED_VALUE"""),50)</f>
        <v>50</v>
      </c>
      <c r="F130">
        <f ca="1">IFERROR(__xludf.DUMMYFUNCTION("""COMPUTED_VALUE"""),2)</f>
        <v>2</v>
      </c>
      <c r="G130">
        <f ca="1">IFERROR(__xludf.DUMMYFUNCTION("""COMPUTED_VALUE"""),4)</f>
        <v>4</v>
      </c>
      <c r="H130" t="str">
        <f ca="1">IFERROR(__xludf.DUMMYFUNCTION("""COMPUTED_VALUE"""),"+2.00")</f>
        <v>+2.00</v>
      </c>
    </row>
    <row r="131" spans="1:8" ht="12.75">
      <c r="A131" t="str">
        <f ca="1">IFERROR(__xludf.DUMMYFUNCTION("""COMPUTED_VALUE"""),"T114")</f>
        <v>T114</v>
      </c>
      <c r="B131" t="str">
        <f ca="1">IFERROR(__xludf.DUMMYFUNCTION("""COMPUTED_VALUE"""),"T147")</f>
        <v>T147</v>
      </c>
      <c r="C131" t="str">
        <f ca="1">IFERROR(__xludf.DUMMYFUNCTION("""COMPUTED_VALUE"""),"Martin Trainer")</f>
        <v>Martin Trainer</v>
      </c>
      <c r="D131">
        <f ca="1">IFERROR(__xludf.DUMMYFUNCTION("""COMPUTED_VALUE"""),10)</f>
        <v>10</v>
      </c>
      <c r="E131">
        <f ca="1">IFERROR(__xludf.DUMMYFUNCTION("""COMPUTED_VALUE"""),50)</f>
        <v>50</v>
      </c>
      <c r="F131">
        <f ca="1">IFERROR(__xludf.DUMMYFUNCTION("""COMPUTED_VALUE"""),9)</f>
        <v>9</v>
      </c>
      <c r="G131">
        <f ca="1">IFERROR(__xludf.DUMMYFUNCTION("""COMPUTED_VALUE"""),18)</f>
        <v>18</v>
      </c>
      <c r="H131" t="str">
        <f ca="1">IFERROR(__xludf.DUMMYFUNCTION("""COMPUTED_VALUE"""),"+9.00")</f>
        <v>+9.00</v>
      </c>
    </row>
    <row r="132" spans="1:8" ht="12.75">
      <c r="A132" t="str">
        <f ca="1">IFERROR(__xludf.DUMMYFUNCTION("""COMPUTED_VALUE"""),"T114")</f>
        <v>T114</v>
      </c>
      <c r="B132" t="str">
        <f ca="1">IFERROR(__xludf.DUMMYFUNCTION("""COMPUTED_VALUE"""),"T104")</f>
        <v>T104</v>
      </c>
      <c r="C132" t="str">
        <f ca="1">IFERROR(__xludf.DUMMYFUNCTION("""COMPUTED_VALUE"""),"Zack Sucher")</f>
        <v>Zack Sucher</v>
      </c>
      <c r="D132">
        <f ca="1">IFERROR(__xludf.DUMMYFUNCTION("""COMPUTED_VALUE"""),6)</f>
        <v>6</v>
      </c>
      <c r="E132">
        <f ca="1">IFERROR(__xludf.DUMMYFUNCTION("""COMPUTED_VALUE"""),50)</f>
        <v>50</v>
      </c>
      <c r="F132">
        <f ca="1">IFERROR(__xludf.DUMMYFUNCTION("""COMPUTED_VALUE"""),6)</f>
        <v>6</v>
      </c>
      <c r="G132">
        <f ca="1">IFERROR(__xludf.DUMMYFUNCTION("""COMPUTED_VALUE"""),12)</f>
        <v>12</v>
      </c>
      <c r="H132" t="str">
        <f ca="1">IFERROR(__xludf.DUMMYFUNCTION("""COMPUTED_VALUE"""),"+2.00")</f>
        <v>+2.00</v>
      </c>
    </row>
    <row r="133" spans="1:8" ht="12.75">
      <c r="A133" t="str">
        <f ca="1">IFERROR(__xludf.DUMMYFUNCTION("""COMPUTED_VALUE"""),"T114")</f>
        <v>T114</v>
      </c>
      <c r="B133" t="str">
        <f ca="1">IFERROR(__xludf.DUMMYFUNCTION("""COMPUTED_VALUE"""),"T104")</f>
        <v>T104</v>
      </c>
      <c r="C133" t="str">
        <f ca="1">IFERROR(__xludf.DUMMYFUNCTION("""COMPUTED_VALUE"""),"Ben Martin")</f>
        <v>Ben Martin</v>
      </c>
      <c r="D133">
        <f ca="1">IFERROR(__xludf.DUMMYFUNCTION("""COMPUTED_VALUE"""),6)</f>
        <v>6</v>
      </c>
      <c r="E133">
        <f ca="1">IFERROR(__xludf.DUMMYFUNCTION("""COMPUTED_VALUE"""),50)</f>
        <v>50</v>
      </c>
      <c r="F133">
        <f ca="1">IFERROR(__xludf.DUMMYFUNCTION("""COMPUTED_VALUE"""),6)</f>
        <v>6</v>
      </c>
      <c r="G133">
        <f ca="1">IFERROR(__xludf.DUMMYFUNCTION("""COMPUTED_VALUE"""),12)</f>
        <v>12</v>
      </c>
      <c r="H133" t="str">
        <f ca="1">IFERROR(__xludf.DUMMYFUNCTION("""COMPUTED_VALUE"""),"+2.00")</f>
        <v>+2.00</v>
      </c>
    </row>
    <row r="134" spans="1:8" ht="12.75">
      <c r="A134" t="str">
        <f ca="1">IFERROR(__xludf.DUMMYFUNCTION("""COMPUTED_VALUE"""),"T114")</f>
        <v>T114</v>
      </c>
      <c r="B134" t="str">
        <f ca="1">IFERROR(__xludf.DUMMYFUNCTION("""COMPUTED_VALUE"""),"T104")</f>
        <v>T104</v>
      </c>
      <c r="C134" t="str">
        <f ca="1">IFERROR(__xludf.DUMMYFUNCTION("""COMPUTED_VALUE"""),"Mark Anderson")</f>
        <v>Mark Anderson</v>
      </c>
      <c r="D134">
        <f ca="1">IFERROR(__xludf.DUMMYFUNCTION("""COMPUTED_VALUE"""),14)</f>
        <v>14</v>
      </c>
      <c r="E134">
        <f ca="1">IFERROR(__xludf.DUMMYFUNCTION("""COMPUTED_VALUE"""),50)</f>
        <v>50</v>
      </c>
      <c r="F134">
        <f ca="1">IFERROR(__xludf.DUMMYFUNCTION("""COMPUTED_VALUE"""),6)</f>
        <v>6</v>
      </c>
      <c r="G134">
        <f ca="1">IFERROR(__xludf.DUMMYFUNCTION("""COMPUTED_VALUE"""),12)</f>
        <v>12</v>
      </c>
      <c r="H134" t="str">
        <f ca="1">IFERROR(__xludf.DUMMYFUNCTION("""COMPUTED_VALUE"""),"+4.00")</f>
        <v>+4.00</v>
      </c>
    </row>
    <row r="135" spans="1:8" ht="12.75">
      <c r="A135" t="str">
        <f ca="1">IFERROR(__xludf.DUMMYFUNCTION("""COMPUTED_VALUE"""),"T114")</f>
        <v>T114</v>
      </c>
      <c r="B135" t="str">
        <f ca="1">IFERROR(__xludf.DUMMYFUNCTION("""COMPUTED_VALUE"""),"T104")</f>
        <v>T104</v>
      </c>
      <c r="C135" t="str">
        <f ca="1">IFERROR(__xludf.DUMMYFUNCTION("""COMPUTED_VALUE"""),"Adam Hadwin")</f>
        <v>Adam Hadwin</v>
      </c>
      <c r="D135">
        <f ca="1">IFERROR(__xludf.DUMMYFUNCTION("""COMPUTED_VALUE"""),16)</f>
        <v>16</v>
      </c>
      <c r="E135">
        <f ca="1">IFERROR(__xludf.DUMMYFUNCTION("""COMPUTED_VALUE"""),50)</f>
        <v>50</v>
      </c>
      <c r="F135">
        <f ca="1">IFERROR(__xludf.DUMMYFUNCTION("""COMPUTED_VALUE"""),13)</f>
        <v>13</v>
      </c>
      <c r="G135">
        <f ca="1">IFERROR(__xludf.DUMMYFUNCTION("""COMPUTED_VALUE"""),26)</f>
        <v>26</v>
      </c>
      <c r="H135" t="str">
        <f ca="1">IFERROR(__xludf.DUMMYFUNCTION("""COMPUTED_VALUE"""),"+4.00")</f>
        <v>+4.00</v>
      </c>
    </row>
    <row r="136" spans="1:8" ht="12.75">
      <c r="A136" t="str">
        <f ca="1">IFERROR(__xludf.DUMMYFUNCTION("""COMPUTED_VALUE"""),"T114")</f>
        <v>T114</v>
      </c>
      <c r="B136" t="str">
        <f ca="1">IFERROR(__xludf.DUMMYFUNCTION("""COMPUTED_VALUE"""),"T227")</f>
        <v>T227</v>
      </c>
      <c r="C136" t="str">
        <f ca="1">IFERROR(__xludf.DUMMYFUNCTION("""COMPUTED_VALUE"""),"John Huh")</f>
        <v>John Huh</v>
      </c>
      <c r="D136">
        <f ca="1">IFERROR(__xludf.DUMMYFUNCTION("""COMPUTED_VALUE"""),8)</f>
        <v>8</v>
      </c>
      <c r="E136">
        <f ca="1">IFERROR(__xludf.DUMMYFUNCTION("""COMPUTED_VALUE"""),50)</f>
        <v>50</v>
      </c>
      <c r="F136">
        <f ca="1">IFERROR(__xludf.DUMMYFUNCTION("""COMPUTED_VALUE"""),4)</f>
        <v>4</v>
      </c>
      <c r="G136">
        <f ca="1">IFERROR(__xludf.DUMMYFUNCTION("""COMPUTED_VALUE"""),8)</f>
        <v>8</v>
      </c>
      <c r="H136" t="str">
        <f ca="1">IFERROR(__xludf.DUMMYFUNCTION("""COMPUTED_VALUE"""),"+4.00")</f>
        <v>+4.00</v>
      </c>
    </row>
    <row r="137" spans="1:8" ht="12.75">
      <c r="A137" t="str">
        <f ca="1">IFERROR(__xludf.DUMMYFUNCTION("""COMPUTED_VALUE"""),"T114")</f>
        <v>T114</v>
      </c>
      <c r="B137" t="str">
        <f ca="1">IFERROR(__xludf.DUMMYFUNCTION("""COMPUTED_VALUE"""),"T104")</f>
        <v>T104</v>
      </c>
      <c r="C137" t="str">
        <f ca="1">IFERROR(__xludf.DUMMYFUNCTION("""COMPUTED_VALUE"""),"Sebastian Cappelen")</f>
        <v>Sebastian Cappelen</v>
      </c>
      <c r="D137">
        <f ca="1">IFERROR(__xludf.DUMMYFUNCTION("""COMPUTED_VALUE"""),8)</f>
        <v>8</v>
      </c>
      <c r="E137">
        <f ca="1">IFERROR(__xludf.DUMMYFUNCTION("""COMPUTED_VALUE"""),50)</f>
        <v>50</v>
      </c>
      <c r="F137">
        <f ca="1">IFERROR(__xludf.DUMMYFUNCTION("""COMPUTED_VALUE"""),7)</f>
        <v>7</v>
      </c>
      <c r="G137">
        <f ca="1">IFERROR(__xludf.DUMMYFUNCTION("""COMPUTED_VALUE"""),14)</f>
        <v>14</v>
      </c>
      <c r="H137" t="str">
        <f ca="1">IFERROR(__xludf.DUMMYFUNCTION("""COMPUTED_VALUE"""),"+3.00")</f>
        <v>+3.00</v>
      </c>
    </row>
    <row r="138" spans="1:8" ht="12.75">
      <c r="A138" t="str">
        <f ca="1">IFERROR(__xludf.DUMMYFUNCTION("""COMPUTED_VALUE"""),"T114")</f>
        <v>T114</v>
      </c>
      <c r="B138" t="str">
        <f ca="1">IFERROR(__xludf.DUMMYFUNCTION("""COMPUTED_VALUE"""),"T104")</f>
        <v>T104</v>
      </c>
      <c r="C138" t="str">
        <f ca="1">IFERROR(__xludf.DUMMYFUNCTION("""COMPUTED_VALUE"""),"Chez Reavie")</f>
        <v>Chez Reavie</v>
      </c>
      <c r="D138">
        <f ca="1">IFERROR(__xludf.DUMMYFUNCTION("""COMPUTED_VALUE"""),14)</f>
        <v>14</v>
      </c>
      <c r="E138">
        <f ca="1">IFERROR(__xludf.DUMMYFUNCTION("""COMPUTED_VALUE"""),50)</f>
        <v>50</v>
      </c>
      <c r="F138">
        <f ca="1">IFERROR(__xludf.DUMMYFUNCTION("""COMPUTED_VALUE"""),8)</f>
        <v>8</v>
      </c>
      <c r="G138">
        <f ca="1">IFERROR(__xludf.DUMMYFUNCTION("""COMPUTED_VALUE"""),16)</f>
        <v>16</v>
      </c>
      <c r="H138" t="str">
        <f ca="1">IFERROR(__xludf.DUMMYFUNCTION("""COMPUTED_VALUE"""),"+6.00")</f>
        <v>+6.00</v>
      </c>
    </row>
    <row r="139" spans="1:8" ht="12.75">
      <c r="A139" t="str">
        <f ca="1">IFERROR(__xludf.DUMMYFUNCTION("""COMPUTED_VALUE"""),"T114")</f>
        <v>T114</v>
      </c>
      <c r="B139" t="str">
        <f ca="1">IFERROR(__xludf.DUMMYFUNCTION("""COMPUTED_VALUE"""),"T169")</f>
        <v>T169</v>
      </c>
      <c r="C139" t="str">
        <f ca="1">IFERROR(__xludf.DUMMYFUNCTION("""COMPUTED_VALUE"""),"Kevin Stadler")</f>
        <v>Kevin Stadler</v>
      </c>
      <c r="D139">
        <f ca="1">IFERROR(__xludf.DUMMYFUNCTION("""COMPUTED_VALUE"""),8)</f>
        <v>8</v>
      </c>
      <c r="E139">
        <f ca="1">IFERROR(__xludf.DUMMYFUNCTION("""COMPUTED_VALUE"""),50)</f>
        <v>50</v>
      </c>
      <c r="F139">
        <f ca="1">IFERROR(__xludf.DUMMYFUNCTION("""COMPUTED_VALUE"""),5)</f>
        <v>5</v>
      </c>
      <c r="G139">
        <f ca="1">IFERROR(__xludf.DUMMYFUNCTION("""COMPUTED_VALUE"""),10)</f>
        <v>10</v>
      </c>
      <c r="H139" t="str">
        <f ca="1">IFERROR(__xludf.DUMMYFUNCTION("""COMPUTED_VALUE"""),"+5.00")</f>
        <v>+5.00</v>
      </c>
    </row>
    <row r="140" spans="1:8" ht="12.75">
      <c r="A140" t="str">
        <f ca="1">IFERROR(__xludf.DUMMYFUNCTION("""COMPUTED_VALUE"""),"T114")</f>
        <v>T114</v>
      </c>
      <c r="B140" t="str">
        <f ca="1">IFERROR(__xludf.DUMMYFUNCTION("""COMPUTED_VALUE"""),"T104")</f>
        <v>T104</v>
      </c>
      <c r="C140" t="str">
        <f ca="1">IFERROR(__xludf.DUMMYFUNCTION("""COMPUTED_VALUE"""),"Ricky Barnes")</f>
        <v>Ricky Barnes</v>
      </c>
      <c r="D140">
        <f ca="1">IFERROR(__xludf.DUMMYFUNCTION("""COMPUTED_VALUE"""),12)</f>
        <v>12</v>
      </c>
      <c r="E140">
        <f ca="1">IFERROR(__xludf.DUMMYFUNCTION("""COMPUTED_VALUE"""),50)</f>
        <v>50</v>
      </c>
      <c r="F140">
        <f ca="1">IFERROR(__xludf.DUMMYFUNCTION("""COMPUTED_VALUE"""),6)</f>
        <v>6</v>
      </c>
      <c r="G140">
        <f ca="1">IFERROR(__xludf.DUMMYFUNCTION("""COMPUTED_VALUE"""),12)</f>
        <v>12</v>
      </c>
      <c r="H140" t="str">
        <f ca="1">IFERROR(__xludf.DUMMYFUNCTION("""COMPUTED_VALUE"""),"+5.00")</f>
        <v>+5.00</v>
      </c>
    </row>
    <row r="141" spans="1:8" ht="12.75">
      <c r="A141" t="str">
        <f ca="1">IFERROR(__xludf.DUMMYFUNCTION("""COMPUTED_VALUE"""),"T114")</f>
        <v>T114</v>
      </c>
      <c r="B141" t="str">
        <f ca="1">IFERROR(__xludf.DUMMYFUNCTION("""COMPUTED_VALUE"""),"T104")</f>
        <v>T104</v>
      </c>
      <c r="C141" t="str">
        <f ca="1">IFERROR(__xludf.DUMMYFUNCTION("""COMPUTED_VALUE"""),"Paul Casey")</f>
        <v>Paul Casey</v>
      </c>
      <c r="D141">
        <f ca="1">IFERROR(__xludf.DUMMYFUNCTION("""COMPUTED_VALUE"""),14)</f>
        <v>14</v>
      </c>
      <c r="E141">
        <f ca="1">IFERROR(__xludf.DUMMYFUNCTION("""COMPUTED_VALUE"""),50)</f>
        <v>50</v>
      </c>
      <c r="F141">
        <f ca="1">IFERROR(__xludf.DUMMYFUNCTION("""COMPUTED_VALUE"""),9)</f>
        <v>9</v>
      </c>
      <c r="G141">
        <f ca="1">IFERROR(__xludf.DUMMYFUNCTION("""COMPUTED_VALUE"""),18)</f>
        <v>18</v>
      </c>
      <c r="H141" t="str">
        <f ca="1">IFERROR(__xludf.DUMMYFUNCTION("""COMPUTED_VALUE"""),"+6.00")</f>
        <v>+6.00</v>
      </c>
    </row>
    <row r="142" spans="1:8" ht="12.75">
      <c r="A142" t="str">
        <f ca="1">IFERROR(__xludf.DUMMYFUNCTION("""COMPUTED_VALUE"""),"T114")</f>
        <v>T114</v>
      </c>
      <c r="B142" t="str">
        <f ca="1">IFERROR(__xludf.DUMMYFUNCTION("""COMPUTED_VALUE"""),"T104")</f>
        <v>T104</v>
      </c>
      <c r="C142" t="str">
        <f ca="1">IFERROR(__xludf.DUMMYFUNCTION("""COMPUTED_VALUE"""),"K.J. Choi")</f>
        <v>K.J. Choi</v>
      </c>
      <c r="D142">
        <f ca="1">IFERROR(__xludf.DUMMYFUNCTION("""COMPUTED_VALUE"""),6)</f>
        <v>6</v>
      </c>
      <c r="E142">
        <f ca="1">IFERROR(__xludf.DUMMYFUNCTION("""COMPUTED_VALUE"""),50)</f>
        <v>50</v>
      </c>
      <c r="F142">
        <f ca="1">IFERROR(__xludf.DUMMYFUNCTION("""COMPUTED_VALUE"""),7)</f>
        <v>7</v>
      </c>
      <c r="G142">
        <f ca="1">IFERROR(__xludf.DUMMYFUNCTION("""COMPUTED_VALUE"""),14)</f>
        <v>14</v>
      </c>
      <c r="H142" t="str">
        <f ca="1">IFERROR(__xludf.DUMMYFUNCTION("""COMPUTED_VALUE"""),"+5.00")</f>
        <v>+5.00</v>
      </c>
    </row>
    <row r="143" spans="1:8" ht="12.75">
      <c r="A143" t="str">
        <f ca="1">IFERROR(__xludf.DUMMYFUNCTION("""COMPUTED_VALUE"""),"T114")</f>
        <v>T114</v>
      </c>
      <c r="B143" t="str">
        <f ca="1">IFERROR(__xludf.DUMMYFUNCTION("""COMPUTED_VALUE"""),"T104")</f>
        <v>T104</v>
      </c>
      <c r="C143" t="str">
        <f ca="1">IFERROR(__xludf.DUMMYFUNCTION("""COMPUTED_VALUE"""),"George McNeill")</f>
        <v>George McNeill</v>
      </c>
      <c r="D143">
        <f ca="1">IFERROR(__xludf.DUMMYFUNCTION("""COMPUTED_VALUE"""),8)</f>
        <v>8</v>
      </c>
      <c r="E143">
        <f ca="1">IFERROR(__xludf.DUMMYFUNCTION("""COMPUTED_VALUE"""),50)</f>
        <v>50</v>
      </c>
      <c r="F143">
        <f ca="1">IFERROR(__xludf.DUMMYFUNCTION("""COMPUTED_VALUE"""),6)</f>
        <v>6</v>
      </c>
      <c r="G143">
        <f ca="1">IFERROR(__xludf.DUMMYFUNCTION("""COMPUTED_VALUE"""),12)</f>
        <v>12</v>
      </c>
      <c r="H143" t="str">
        <f ca="1">IFERROR(__xludf.DUMMYFUNCTION("""COMPUTED_VALUE"""),"+5.00")</f>
        <v>+5.00</v>
      </c>
    </row>
    <row r="144" spans="1:8" ht="12.75">
      <c r="A144" t="str">
        <f ca="1">IFERROR(__xludf.DUMMYFUNCTION("""COMPUTED_VALUE"""),"T114")</f>
        <v>T114</v>
      </c>
      <c r="B144" t="str">
        <f ca="1">IFERROR(__xludf.DUMMYFUNCTION("""COMPUTED_VALUE"""),"T104")</f>
        <v>T104</v>
      </c>
      <c r="C144" t="str">
        <f ca="1">IFERROR(__xludf.DUMMYFUNCTION("""COMPUTED_VALUE"""),"Matt Kuchar")</f>
        <v>Matt Kuchar</v>
      </c>
      <c r="D144">
        <f ca="1">IFERROR(__xludf.DUMMYFUNCTION("""COMPUTED_VALUE"""),14)</f>
        <v>14</v>
      </c>
      <c r="E144">
        <f ca="1">IFERROR(__xludf.DUMMYFUNCTION("""COMPUTED_VALUE"""),50)</f>
        <v>50</v>
      </c>
      <c r="F144">
        <f ca="1">IFERROR(__xludf.DUMMYFUNCTION("""COMPUTED_VALUE"""),10)</f>
        <v>10</v>
      </c>
      <c r="G144">
        <f ca="1">IFERROR(__xludf.DUMMYFUNCTION("""COMPUTED_VALUE"""),20)</f>
        <v>20</v>
      </c>
      <c r="H144" t="str">
        <f ca="1">IFERROR(__xludf.DUMMYFUNCTION("""COMPUTED_VALUE"""),"+4.00")</f>
        <v>+4.00</v>
      </c>
    </row>
    <row r="145" spans="1:8" ht="12.75">
      <c r="A145" t="str">
        <f ca="1">IFERROR(__xludf.DUMMYFUNCTION("""COMPUTED_VALUE"""),"T114")</f>
        <v>T114</v>
      </c>
      <c r="B145" t="str">
        <f ca="1">IFERROR(__xludf.DUMMYFUNCTION("""COMPUTED_VALUE"""),"T104")</f>
        <v>T104</v>
      </c>
      <c r="C145" t="str">
        <f ca="1">IFERROR(__xludf.DUMMYFUNCTION("""COMPUTED_VALUE"""),"Michael Gligic")</f>
        <v>Michael Gligic</v>
      </c>
      <c r="D145">
        <f ca="1">IFERROR(__xludf.DUMMYFUNCTION("""COMPUTED_VALUE"""),18)</f>
        <v>18</v>
      </c>
      <c r="E145">
        <f ca="1">IFERROR(__xludf.DUMMYFUNCTION("""COMPUTED_VALUE"""),50)</f>
        <v>50</v>
      </c>
      <c r="F145">
        <f ca="1">IFERROR(__xludf.DUMMYFUNCTION("""COMPUTED_VALUE"""),12)</f>
        <v>12</v>
      </c>
      <c r="G145">
        <f ca="1">IFERROR(__xludf.DUMMYFUNCTION("""COMPUTED_VALUE"""),24)</f>
        <v>24</v>
      </c>
      <c r="H145" t="str">
        <f ca="1">IFERROR(__xludf.DUMMYFUNCTION("""COMPUTED_VALUE"""),"+4.00")</f>
        <v>+4.00</v>
      </c>
    </row>
    <row r="146" spans="1:8" ht="12.75">
      <c r="A146" t="str">
        <f ca="1">IFERROR(__xludf.DUMMYFUNCTION("""COMPUTED_VALUE"""),"T114")</f>
        <v>T114</v>
      </c>
      <c r="B146" t="str">
        <f ca="1">IFERROR(__xludf.DUMMYFUNCTION("""COMPUTED_VALUE"""),"T104")</f>
        <v>T104</v>
      </c>
      <c r="C146" t="str">
        <f ca="1">IFERROR(__xludf.DUMMYFUNCTION("""COMPUTED_VALUE"""),"Seamus Power")</f>
        <v>Seamus Power</v>
      </c>
      <c r="D146">
        <f ca="1">IFERROR(__xludf.DUMMYFUNCTION("""COMPUTED_VALUE"""),8)</f>
        <v>8</v>
      </c>
      <c r="E146">
        <f ca="1">IFERROR(__xludf.DUMMYFUNCTION("""COMPUTED_VALUE"""),50)</f>
        <v>50</v>
      </c>
      <c r="F146">
        <f ca="1">IFERROR(__xludf.DUMMYFUNCTION("""COMPUTED_VALUE"""),6)</f>
        <v>6</v>
      </c>
      <c r="G146">
        <f ca="1">IFERROR(__xludf.DUMMYFUNCTION("""COMPUTED_VALUE"""),12)</f>
        <v>12</v>
      </c>
      <c r="H146" t="str">
        <f ca="1">IFERROR(__xludf.DUMMYFUNCTION("""COMPUTED_VALUE"""),"+3.00")</f>
        <v>+3.00</v>
      </c>
    </row>
    <row r="147" spans="1:8" ht="12.75">
      <c r="A147" t="str">
        <f ca="1">IFERROR(__xludf.DUMMYFUNCTION("""COMPUTED_VALUE"""),"T114")</f>
        <v>T114</v>
      </c>
      <c r="B147" t="str">
        <f ca="1">IFERROR(__xludf.DUMMYFUNCTION("""COMPUTED_VALUE"""),"T147")</f>
        <v>T147</v>
      </c>
      <c r="C147" t="str">
        <f ca="1">IFERROR(__xludf.DUMMYFUNCTION("""COMPUTED_VALUE"""),"Brandt Snedeker")</f>
        <v>Brandt Snedeker</v>
      </c>
      <c r="D147">
        <f ca="1">IFERROR(__xludf.DUMMYFUNCTION("""COMPUTED_VALUE"""),16)</f>
        <v>16</v>
      </c>
      <c r="E147">
        <f ca="1">IFERROR(__xludf.DUMMYFUNCTION("""COMPUTED_VALUE"""),50)</f>
        <v>50</v>
      </c>
      <c r="F147">
        <f ca="1">IFERROR(__xludf.DUMMYFUNCTION("""COMPUTED_VALUE"""),11)</f>
        <v>11</v>
      </c>
      <c r="G147">
        <f ca="1">IFERROR(__xludf.DUMMYFUNCTION("""COMPUTED_VALUE"""),22)</f>
        <v>22</v>
      </c>
      <c r="H147" t="str">
        <f ca="1">IFERROR(__xludf.DUMMYFUNCTION("""COMPUTED_VALUE"""),"+11.00")</f>
        <v>+11.00</v>
      </c>
    </row>
    <row r="148" spans="1:8" ht="12.75">
      <c r="A148" t="str">
        <f ca="1">IFERROR(__xludf.DUMMYFUNCTION("""COMPUTED_VALUE"""),"T114")</f>
        <v>T114</v>
      </c>
      <c r="B148" t="str">
        <f ca="1">IFERROR(__xludf.DUMMYFUNCTION("""COMPUTED_VALUE"""),"T147")</f>
        <v>T147</v>
      </c>
      <c r="C148" t="str">
        <f ca="1">IFERROR(__xludf.DUMMYFUNCTION("""COMPUTED_VALUE"""),"Bronson Burgoon")</f>
        <v>Bronson Burgoon</v>
      </c>
      <c r="D148">
        <f ca="1">IFERROR(__xludf.DUMMYFUNCTION("""COMPUTED_VALUE"""),10)</f>
        <v>10</v>
      </c>
      <c r="E148">
        <f ca="1">IFERROR(__xludf.DUMMYFUNCTION("""COMPUTED_VALUE"""),50)</f>
        <v>50</v>
      </c>
      <c r="F148">
        <f ca="1">IFERROR(__xludf.DUMMYFUNCTION("""COMPUTED_VALUE"""),10)</f>
        <v>10</v>
      </c>
      <c r="G148">
        <f ca="1">IFERROR(__xludf.DUMMYFUNCTION("""COMPUTED_VALUE"""),20)</f>
        <v>20</v>
      </c>
      <c r="H148" t="str">
        <f ca="1">IFERROR(__xludf.DUMMYFUNCTION("""COMPUTED_VALUE"""),"+7.00")</f>
        <v>+7.00</v>
      </c>
    </row>
    <row r="149" spans="1:8" ht="12.75">
      <c r="A149">
        <f ca="1">IFERROR(__xludf.DUMMYFUNCTION("""COMPUTED_VALUE"""),148)</f>
        <v>148</v>
      </c>
      <c r="B149">
        <f ca="1">IFERROR(__xludf.DUMMYFUNCTION("""COMPUTED_VALUE"""),154)</f>
        <v>154</v>
      </c>
      <c r="C149" t="str">
        <f ca="1">IFERROR(__xludf.DUMMYFUNCTION("""COMPUTED_VALUE"""),"Sung Kang")</f>
        <v>Sung Kang</v>
      </c>
      <c r="D149">
        <f ca="1">IFERROR(__xludf.DUMMYFUNCTION("""COMPUTED_VALUE"""),14)</f>
        <v>14</v>
      </c>
      <c r="E149">
        <f ca="1">IFERROR(__xludf.DUMMYFUNCTION("""COMPUTED_VALUE"""),48.39)</f>
        <v>48.39</v>
      </c>
      <c r="F149">
        <f ca="1">IFERROR(__xludf.DUMMYFUNCTION("""COMPUTED_VALUE"""),15)</f>
        <v>15</v>
      </c>
      <c r="G149">
        <f ca="1">IFERROR(__xludf.DUMMYFUNCTION("""COMPUTED_VALUE"""),31)</f>
        <v>31</v>
      </c>
      <c r="H149" t="str">
        <f ca="1">IFERROR(__xludf.DUMMYFUNCTION("""COMPUTED_VALUE"""),"+10.00")</f>
        <v>+10.00</v>
      </c>
    </row>
    <row r="150" spans="1:8" ht="12.75">
      <c r="A150">
        <f ca="1">IFERROR(__xludf.DUMMYFUNCTION("""COMPUTED_VALUE"""),149)</f>
        <v>149</v>
      </c>
      <c r="B150">
        <f ca="1">IFERROR(__xludf.DUMMYFUNCTION("""COMPUTED_VALUE"""),138)</f>
        <v>138</v>
      </c>
      <c r="C150" t="str">
        <f ca="1">IFERROR(__xludf.DUMMYFUNCTION("""COMPUTED_VALUE"""),"Charley Hoffman")</f>
        <v>Charley Hoffman</v>
      </c>
      <c r="D150">
        <f ca="1">IFERROR(__xludf.DUMMYFUNCTION("""COMPUTED_VALUE"""),20)</f>
        <v>20</v>
      </c>
      <c r="E150">
        <f ca="1">IFERROR(__xludf.DUMMYFUNCTION("""COMPUTED_VALUE"""),48.28)</f>
        <v>48.28</v>
      </c>
      <c r="F150">
        <f ca="1">IFERROR(__xludf.DUMMYFUNCTION("""COMPUTED_VALUE"""),14)</f>
        <v>14</v>
      </c>
      <c r="G150">
        <f ca="1">IFERROR(__xludf.DUMMYFUNCTION("""COMPUTED_VALUE"""),29)</f>
        <v>29</v>
      </c>
      <c r="H150" t="str">
        <f ca="1">IFERROR(__xludf.DUMMYFUNCTION("""COMPUTED_VALUE"""),"+12.00")</f>
        <v>+12.00</v>
      </c>
    </row>
    <row r="151" spans="1:8" ht="12.75">
      <c r="A151">
        <f ca="1">IFERROR(__xludf.DUMMYFUNCTION("""COMPUTED_VALUE"""),150)</f>
        <v>150</v>
      </c>
      <c r="B151" t="str">
        <f ca="1">IFERROR(__xludf.DUMMYFUNCTION("""COMPUTED_VALUE"""),"T189")</f>
        <v>T189</v>
      </c>
      <c r="C151" t="str">
        <f ca="1">IFERROR(__xludf.DUMMYFUNCTION("""COMPUTED_VALUE"""),"Mackenzie Hughes")</f>
        <v>Mackenzie Hughes</v>
      </c>
      <c r="D151">
        <f ca="1">IFERROR(__xludf.DUMMYFUNCTION("""COMPUTED_VALUE"""),18)</f>
        <v>18</v>
      </c>
      <c r="E151">
        <f ca="1">IFERROR(__xludf.DUMMYFUNCTION("""COMPUTED_VALUE"""),48.15)</f>
        <v>48.15</v>
      </c>
      <c r="F151">
        <f ca="1">IFERROR(__xludf.DUMMYFUNCTION("""COMPUTED_VALUE"""),13)</f>
        <v>13</v>
      </c>
      <c r="G151">
        <f ca="1">IFERROR(__xludf.DUMMYFUNCTION("""COMPUTED_VALUE"""),27)</f>
        <v>27</v>
      </c>
      <c r="H151" t="str">
        <f ca="1">IFERROR(__xludf.DUMMYFUNCTION("""COMPUTED_VALUE"""),"+10.00")</f>
        <v>+10.00</v>
      </c>
    </row>
    <row r="152" spans="1:8" ht="12.75">
      <c r="A152">
        <f ca="1">IFERROR(__xludf.DUMMYFUNCTION("""COMPUTED_VALUE"""),151)</f>
        <v>151</v>
      </c>
      <c r="B152" t="str">
        <f ca="1">IFERROR(__xludf.DUMMYFUNCTION("""COMPUTED_VALUE"""),"T139")</f>
        <v>T139</v>
      </c>
      <c r="C152" t="str">
        <f ca="1">IFERROR(__xludf.DUMMYFUNCTION("""COMPUTED_VALUE"""),"Rafa Cabrera Bello")</f>
        <v>Rafa Cabrera Bello</v>
      </c>
      <c r="D152">
        <f ca="1">IFERROR(__xludf.DUMMYFUNCTION("""COMPUTED_VALUE"""),14)</f>
        <v>14</v>
      </c>
      <c r="E152">
        <f ca="1">IFERROR(__xludf.DUMMYFUNCTION("""COMPUTED_VALUE"""),48)</f>
        <v>48</v>
      </c>
      <c r="F152">
        <f ca="1">IFERROR(__xludf.DUMMYFUNCTION("""COMPUTED_VALUE"""),12)</f>
        <v>12</v>
      </c>
      <c r="G152">
        <f ca="1">IFERROR(__xludf.DUMMYFUNCTION("""COMPUTED_VALUE"""),25)</f>
        <v>25</v>
      </c>
      <c r="H152" t="str">
        <f ca="1">IFERROR(__xludf.DUMMYFUNCTION("""COMPUTED_VALUE"""),"+8.00")</f>
        <v>+8.00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IFERROR(__xludf.DUMMYFUNCTION("""COMPUTED_VALUE"""),"T141")</f>
        <v>T141</v>
      </c>
      <c r="C153" t="str">
        <f ca="1">IFERROR(__xludf.DUMMYFUNCTION("""COMPUTED_VALUE"""),"Will Gordon")</f>
        <v>Will Gordon</v>
      </c>
      <c r="D153">
        <f ca="1">IFERROR(__xludf.DUMMYFUNCTION("""COMPUTED_VALUE"""),20)</f>
        <v>20</v>
      </c>
      <c r="E153">
        <f ca="1">IFERROR(__xludf.DUMMYFUNCTION("""COMPUTED_VALUE"""),47.83)</f>
        <v>47.83</v>
      </c>
      <c r="F153">
        <f ca="1">IFERROR(__xludf.DUMMYFUNCTION("""COMPUTED_VALUE"""),11)</f>
        <v>11</v>
      </c>
      <c r="G153">
        <f ca="1">IFERROR(__xludf.DUMMYFUNCTION("""COMPUTED_VALUE"""),23)</f>
        <v>23</v>
      </c>
      <c r="H153" t="str">
        <f ca="1">IFERROR(__xludf.DUMMYFUNCTION("""COMPUTED_VALUE"""),"+7.00")</f>
        <v>+7.00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IFERROR(__xludf.DUMMYFUNCTION("""COMPUTED_VALUE"""),"T141")</f>
        <v>T141</v>
      </c>
      <c r="C154" t="str">
        <f ca="1">IFERROR(__xludf.DUMMYFUNCTION("""COMPUTED_VALUE"""),"Charles Howell III")</f>
        <v>Charles Howell III</v>
      </c>
      <c r="D154">
        <f ca="1">IFERROR(__xludf.DUMMYFUNCTION("""COMPUTED_VALUE"""),10)</f>
        <v>10</v>
      </c>
      <c r="E154">
        <f ca="1">IFERROR(__xludf.DUMMYFUNCTION("""COMPUTED_VALUE"""),47.83)</f>
        <v>47.83</v>
      </c>
      <c r="F154">
        <f ca="1">IFERROR(__xludf.DUMMYFUNCTION("""COMPUTED_VALUE"""),11)</f>
        <v>11</v>
      </c>
      <c r="G154">
        <f ca="1">IFERROR(__xludf.DUMMYFUNCTION("""COMPUTED_VALUE"""),23)</f>
        <v>23</v>
      </c>
      <c r="H154" t="str">
        <f ca="1">IFERROR(__xludf.DUMMYFUNCTION("""COMPUTED_VALUE"""),"+7.00")</f>
        <v>+7.00</v>
      </c>
    </row>
    <row r="155" spans="1:8" ht="12.75">
      <c r="A155" t="str">
        <f ca="1">IFERROR(__xludf.DUMMYFUNCTION("""COMPUTED_VALUE"""),"T152")</f>
        <v>T152</v>
      </c>
      <c r="B155">
        <f ca="1">IFERROR(__xludf.DUMMYFUNCTION("""COMPUTED_VALUE"""),178)</f>
        <v>178</v>
      </c>
      <c r="C155" t="str">
        <f ca="1">IFERROR(__xludf.DUMMYFUNCTION("""COMPUTED_VALUE"""),"Patton Kizzire")</f>
        <v>Patton Kizzire</v>
      </c>
      <c r="D155">
        <f ca="1">IFERROR(__xludf.DUMMYFUNCTION("""COMPUTED_VALUE"""),18)</f>
        <v>18</v>
      </c>
      <c r="E155">
        <f ca="1">IFERROR(__xludf.DUMMYFUNCTION("""COMPUTED_VALUE"""),47.83)</f>
        <v>47.83</v>
      </c>
      <c r="F155">
        <f ca="1">IFERROR(__xludf.DUMMYFUNCTION("""COMPUTED_VALUE"""),11)</f>
        <v>11</v>
      </c>
      <c r="G155">
        <f ca="1">IFERROR(__xludf.DUMMYFUNCTION("""COMPUTED_VALUE"""),23)</f>
        <v>23</v>
      </c>
      <c r="H155" t="str">
        <f ca="1">IFERROR(__xludf.DUMMYFUNCTION("""COMPUTED_VALUE"""),"+3.00")</f>
        <v>+3.00</v>
      </c>
    </row>
    <row r="156" spans="1:8" ht="12.75">
      <c r="A156" t="str">
        <f ca="1">IFERROR(__xludf.DUMMYFUNCTION("""COMPUTED_VALUE"""),"T152")</f>
        <v>T152</v>
      </c>
      <c r="B156" t="str">
        <f ca="1">IFERROR(__xludf.DUMMYFUNCTION("""COMPUTED_VALUE"""),"T104")</f>
        <v>T104</v>
      </c>
      <c r="C156" t="str">
        <f ca="1">IFERROR(__xludf.DUMMYFUNCTION("""COMPUTED_VALUE"""),"Adam Long")</f>
        <v>Adam Long</v>
      </c>
      <c r="D156">
        <f ca="1">IFERROR(__xludf.DUMMYFUNCTION("""COMPUTED_VALUE"""),22)</f>
        <v>22</v>
      </c>
      <c r="E156">
        <f ca="1">IFERROR(__xludf.DUMMYFUNCTION("""COMPUTED_VALUE"""),47.83)</f>
        <v>47.83</v>
      </c>
      <c r="F156">
        <f ca="1">IFERROR(__xludf.DUMMYFUNCTION("""COMPUTED_VALUE"""),11)</f>
        <v>11</v>
      </c>
      <c r="G156">
        <f ca="1">IFERROR(__xludf.DUMMYFUNCTION("""COMPUTED_VALUE"""),23)</f>
        <v>23</v>
      </c>
      <c r="H156" t="str">
        <f ca="1">IFERROR(__xludf.DUMMYFUNCTION("""COMPUTED_VALUE"""),"+8.00")</f>
        <v>+8.00</v>
      </c>
    </row>
    <row r="157" spans="1:8" ht="12.75">
      <c r="A157" t="str">
        <f ca="1">IFERROR(__xludf.DUMMYFUNCTION("""COMPUTED_VALUE"""),"T156")</f>
        <v>T156</v>
      </c>
      <c r="B157" t="str">
        <f ca="1">IFERROR(__xludf.DUMMYFUNCTION("""COMPUTED_VALUE"""),"T184")</f>
        <v>T184</v>
      </c>
      <c r="C157" t="str">
        <f ca="1">IFERROR(__xludf.DUMMYFUNCTION("""COMPUTED_VALUE"""),"Harold Varner III")</f>
        <v>Harold Varner III</v>
      </c>
      <c r="D157">
        <f ca="1">IFERROR(__xludf.DUMMYFUNCTION("""COMPUTED_VALUE"""),14)</f>
        <v>14</v>
      </c>
      <c r="E157">
        <f ca="1">IFERROR(__xludf.DUMMYFUNCTION("""COMPUTED_VALUE"""),47.62)</f>
        <v>47.62</v>
      </c>
      <c r="F157">
        <f ca="1">IFERROR(__xludf.DUMMYFUNCTION("""COMPUTED_VALUE"""),10)</f>
        <v>10</v>
      </c>
      <c r="G157">
        <f ca="1">IFERROR(__xludf.DUMMYFUNCTION("""COMPUTED_VALUE"""),21)</f>
        <v>21</v>
      </c>
      <c r="H157" t="str">
        <f ca="1">IFERROR(__xludf.DUMMYFUNCTION("""COMPUTED_VALUE"""),"+6.00")</f>
        <v>+6.00</v>
      </c>
    </row>
    <row r="158" spans="1:8" ht="12.75">
      <c r="A158" t="str">
        <f ca="1">IFERROR(__xludf.DUMMYFUNCTION("""COMPUTED_VALUE"""),"T156")</f>
        <v>T156</v>
      </c>
      <c r="B158" t="str">
        <f ca="1">IFERROR(__xludf.DUMMYFUNCTION("""COMPUTED_VALUE"""),"T143")</f>
        <v>T143</v>
      </c>
      <c r="C158" t="str">
        <f ca="1">IFERROR(__xludf.DUMMYFUNCTION("""COMPUTED_VALUE"""),"Harris English")</f>
        <v>Harris English</v>
      </c>
      <c r="D158">
        <f ca="1">IFERROR(__xludf.DUMMYFUNCTION("""COMPUTED_VALUE"""),14)</f>
        <v>14</v>
      </c>
      <c r="E158">
        <f ca="1">IFERROR(__xludf.DUMMYFUNCTION("""COMPUTED_VALUE"""),47.62)</f>
        <v>47.62</v>
      </c>
      <c r="F158">
        <f ca="1">IFERROR(__xludf.DUMMYFUNCTION("""COMPUTED_VALUE"""),10)</f>
        <v>10</v>
      </c>
      <c r="G158">
        <f ca="1">IFERROR(__xludf.DUMMYFUNCTION("""COMPUTED_VALUE"""),21)</f>
        <v>21</v>
      </c>
      <c r="H158" t="str">
        <f ca="1">IFERROR(__xludf.DUMMYFUNCTION("""COMPUTED_VALUE"""),"+5.00")</f>
        <v>+5.00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IFERROR(__xludf.DUMMYFUNCTION("""COMPUTED_VALUE"""),"T92")</f>
        <v>T92</v>
      </c>
      <c r="C159" t="str">
        <f ca="1">IFERROR(__xludf.DUMMYFUNCTION("""COMPUTED_VALUE"""),"Kramer Hickok")</f>
        <v>Kramer Hickok</v>
      </c>
      <c r="D159">
        <f ca="1">IFERROR(__xludf.DUMMYFUNCTION("""COMPUTED_VALUE"""),16)</f>
        <v>16</v>
      </c>
      <c r="E159">
        <f ca="1">IFERROR(__xludf.DUMMYFUNCTION("""COMPUTED_VALUE"""),47.37)</f>
        <v>47.37</v>
      </c>
      <c r="F159">
        <f ca="1">IFERROR(__xludf.DUMMYFUNCTION("""COMPUTED_VALUE"""),9)</f>
        <v>9</v>
      </c>
      <c r="G159">
        <f ca="1">IFERROR(__xludf.DUMMYFUNCTION("""COMPUTED_VALUE"""),19)</f>
        <v>19</v>
      </c>
      <c r="H159" t="str">
        <f ca="1">IFERROR(__xludf.DUMMYFUNCTION("""COMPUTED_VALUE"""),"+10.00")</f>
        <v>+10.00</v>
      </c>
    </row>
    <row r="160" spans="1:8" ht="12.75">
      <c r="A160" t="str">
        <f ca="1">IFERROR(__xludf.DUMMYFUNCTION("""COMPUTED_VALUE"""),"T158")</f>
        <v>T158</v>
      </c>
      <c r="B160" t="str">
        <f ca="1">IFERROR(__xludf.DUMMYFUNCTION("""COMPUTED_VALUE"""),"T173")</f>
        <v>T173</v>
      </c>
      <c r="C160" t="str">
        <f ca="1">IFERROR(__xludf.DUMMYFUNCTION("""COMPUTED_VALUE"""),"Charl Schwartzel")</f>
        <v>Charl Schwartzel</v>
      </c>
      <c r="D160">
        <f ca="1">IFERROR(__xludf.DUMMYFUNCTION("""COMPUTED_VALUE"""),12)</f>
        <v>12</v>
      </c>
      <c r="E160">
        <f ca="1">IFERROR(__xludf.DUMMYFUNCTION("""COMPUTED_VALUE"""),47.37)</f>
        <v>47.37</v>
      </c>
      <c r="F160">
        <f ca="1">IFERROR(__xludf.DUMMYFUNCTION("""COMPUTED_VALUE"""),9)</f>
        <v>9</v>
      </c>
      <c r="G160">
        <f ca="1">IFERROR(__xludf.DUMMYFUNCTION("""COMPUTED_VALUE"""),19)</f>
        <v>19</v>
      </c>
      <c r="H160" t="str">
        <f ca="1">IFERROR(__xludf.DUMMYFUNCTION("""COMPUTED_VALUE"""),"+5.00")</f>
        <v>+5.00</v>
      </c>
    </row>
    <row r="161" spans="1:8" ht="12.75">
      <c r="A161" t="str">
        <f ca="1">IFERROR(__xludf.DUMMYFUNCTION("""COMPUTED_VALUE"""),"T160")</f>
        <v>T160</v>
      </c>
      <c r="B161" t="str">
        <f ca="1">IFERROR(__xludf.DUMMYFUNCTION("""COMPUTED_VALUE"""),"T147")</f>
        <v>T147</v>
      </c>
      <c r="C161" t="str">
        <f ca="1">IFERROR(__xludf.DUMMYFUNCTION("""COMPUTED_VALUE"""),"Cameron Percy")</f>
        <v>Cameron Percy</v>
      </c>
      <c r="D161">
        <f ca="1">IFERROR(__xludf.DUMMYFUNCTION("""COMPUTED_VALUE"""),16)</f>
        <v>16</v>
      </c>
      <c r="E161">
        <f ca="1">IFERROR(__xludf.DUMMYFUNCTION("""COMPUTED_VALUE"""),47.06)</f>
        <v>47.06</v>
      </c>
      <c r="F161">
        <f ca="1">IFERROR(__xludf.DUMMYFUNCTION("""COMPUTED_VALUE"""),8)</f>
        <v>8</v>
      </c>
      <c r="G161">
        <f ca="1">IFERROR(__xludf.DUMMYFUNCTION("""COMPUTED_VALUE"""),17)</f>
        <v>17</v>
      </c>
      <c r="H161" t="str">
        <f ca="1">IFERROR(__xludf.DUMMYFUNCTION("""COMPUTED_VALUE"""),"+3.00")</f>
        <v>+3.00</v>
      </c>
    </row>
    <row r="162" spans="1:8" ht="12.75">
      <c r="A162" t="str">
        <f ca="1">IFERROR(__xludf.DUMMYFUNCTION("""COMPUTED_VALUE"""),"T160")</f>
        <v>T160</v>
      </c>
      <c r="B162" t="str">
        <f ca="1">IFERROR(__xludf.DUMMYFUNCTION("""COMPUTED_VALUE"""),"T200")</f>
        <v>T200</v>
      </c>
      <c r="C162" t="str">
        <f ca="1">IFERROR(__xludf.DUMMYFUNCTION("""COMPUTED_VALUE"""),"Zach Johnson")</f>
        <v>Zach Johnson</v>
      </c>
      <c r="D162">
        <f ca="1">IFERROR(__xludf.DUMMYFUNCTION("""COMPUTED_VALUE"""),16)</f>
        <v>16</v>
      </c>
      <c r="E162">
        <f ca="1">IFERROR(__xludf.DUMMYFUNCTION("""COMPUTED_VALUE"""),47.06)</f>
        <v>47.06</v>
      </c>
      <c r="F162">
        <f ca="1">IFERROR(__xludf.DUMMYFUNCTION("""COMPUTED_VALUE"""),8)</f>
        <v>8</v>
      </c>
      <c r="G162">
        <f ca="1">IFERROR(__xludf.DUMMYFUNCTION("""COMPUTED_VALUE"""),17)</f>
        <v>17</v>
      </c>
      <c r="H162" t="str">
        <f ca="1">IFERROR(__xludf.DUMMYFUNCTION("""COMPUTED_VALUE"""),"+6.00")</f>
        <v>+6.00</v>
      </c>
    </row>
    <row r="163" spans="1:8" ht="12.75">
      <c r="A163" t="str">
        <f ca="1">IFERROR(__xludf.DUMMYFUNCTION("""COMPUTED_VALUE"""),"T160")</f>
        <v>T160</v>
      </c>
      <c r="B163" t="str">
        <f ca="1">IFERROR(__xludf.DUMMYFUNCTION("""COMPUTED_VALUE"""),"T104")</f>
        <v>T104</v>
      </c>
      <c r="C163" t="str">
        <f ca="1">IFERROR(__xludf.DUMMYFUNCTION("""COMPUTED_VALUE"""),"Scottie Scheffler")</f>
        <v>Scottie Scheffler</v>
      </c>
      <c r="D163">
        <f ca="1">IFERROR(__xludf.DUMMYFUNCTION("""COMPUTED_VALUE"""),18)</f>
        <v>18</v>
      </c>
      <c r="E163">
        <f ca="1">IFERROR(__xludf.DUMMYFUNCTION("""COMPUTED_VALUE"""),47.06)</f>
        <v>47.06</v>
      </c>
      <c r="F163">
        <f ca="1">IFERROR(__xludf.DUMMYFUNCTION("""COMPUTED_VALUE"""),8)</f>
        <v>8</v>
      </c>
      <c r="G163">
        <f ca="1">IFERROR(__xludf.DUMMYFUNCTION("""COMPUTED_VALUE"""),17)</f>
        <v>17</v>
      </c>
      <c r="H163" t="str">
        <f ca="1">IFERROR(__xludf.DUMMYFUNCTION("""COMPUTED_VALUE"""),"+9.00")</f>
        <v>+9.00</v>
      </c>
    </row>
    <row r="164" spans="1:8" ht="12.75">
      <c r="A164" t="str">
        <f ca="1">IFERROR(__xludf.DUMMYFUNCTION("""COMPUTED_VALUE"""),"T163")</f>
        <v>T163</v>
      </c>
      <c r="B164" t="str">
        <f ca="1">IFERROR(__xludf.DUMMYFUNCTION("""COMPUTED_VALUE"""),"T152")</f>
        <v>T152</v>
      </c>
      <c r="C164" t="str">
        <f ca="1">IFERROR(__xludf.DUMMYFUNCTION("""COMPUTED_VALUE"""),"Matthew Wolff")</f>
        <v>Matthew Wolff</v>
      </c>
      <c r="D164">
        <f ca="1">IFERROR(__xludf.DUMMYFUNCTION("""COMPUTED_VALUE"""),16)</f>
        <v>16</v>
      </c>
      <c r="E164">
        <f ca="1">IFERROR(__xludf.DUMMYFUNCTION("""COMPUTED_VALUE"""),46.67)</f>
        <v>46.67</v>
      </c>
      <c r="F164">
        <f ca="1">IFERROR(__xludf.DUMMYFUNCTION("""COMPUTED_VALUE"""),7)</f>
        <v>7</v>
      </c>
      <c r="G164">
        <f ca="1">IFERROR(__xludf.DUMMYFUNCTION("""COMPUTED_VALUE"""),15)</f>
        <v>15</v>
      </c>
      <c r="H164" t="str">
        <f ca="1">IFERROR(__xludf.DUMMYFUNCTION("""COMPUTED_VALUE"""),"+5.00")</f>
        <v>+5.00</v>
      </c>
    </row>
    <row r="165" spans="1:8" ht="12.75">
      <c r="A165" t="str">
        <f ca="1">IFERROR(__xludf.DUMMYFUNCTION("""COMPUTED_VALUE"""),"T163")</f>
        <v>T163</v>
      </c>
      <c r="B165" t="str">
        <f ca="1">IFERROR(__xludf.DUMMYFUNCTION("""COMPUTED_VALUE"""),"T82")</f>
        <v>T82</v>
      </c>
      <c r="C165" t="str">
        <f ca="1">IFERROR(__xludf.DUMMYFUNCTION("""COMPUTED_VALUE"""),"Adam Scott")</f>
        <v>Adam Scott</v>
      </c>
      <c r="D165">
        <f ca="1">IFERROR(__xludf.DUMMYFUNCTION("""COMPUTED_VALUE"""),8)</f>
        <v>8</v>
      </c>
      <c r="E165">
        <f ca="1">IFERROR(__xludf.DUMMYFUNCTION("""COMPUTED_VALUE"""),46.67)</f>
        <v>46.67</v>
      </c>
      <c r="F165">
        <f ca="1">IFERROR(__xludf.DUMMYFUNCTION("""COMPUTED_VALUE"""),7)</f>
        <v>7</v>
      </c>
      <c r="G165">
        <f ca="1">IFERROR(__xludf.DUMMYFUNCTION("""COMPUTED_VALUE"""),15)</f>
        <v>15</v>
      </c>
      <c r="H165" t="str">
        <f ca="1">IFERROR(__xludf.DUMMYFUNCTION("""COMPUTED_VALUE"""),"+10.00")</f>
        <v>+10.00</v>
      </c>
    </row>
    <row r="166" spans="1:8" ht="12.75">
      <c r="A166" t="str">
        <f ca="1">IFERROR(__xludf.DUMMYFUNCTION("""COMPUTED_VALUE"""),"T163")</f>
        <v>T163</v>
      </c>
      <c r="B166" t="str">
        <f ca="1">IFERROR(__xludf.DUMMYFUNCTION("""COMPUTED_VALUE"""),"T152")</f>
        <v>T152</v>
      </c>
      <c r="C166" t="str">
        <f ca="1">IFERROR(__xludf.DUMMYFUNCTION("""COMPUTED_VALUE"""),"Justin Rose")</f>
        <v>Justin Rose</v>
      </c>
      <c r="D166">
        <f ca="1">IFERROR(__xludf.DUMMYFUNCTION("""COMPUTED_VALUE"""),10)</f>
        <v>10</v>
      </c>
      <c r="E166">
        <f ca="1">IFERROR(__xludf.DUMMYFUNCTION("""COMPUTED_VALUE"""),46.67)</f>
        <v>46.67</v>
      </c>
      <c r="F166">
        <f ca="1">IFERROR(__xludf.DUMMYFUNCTION("""COMPUTED_VALUE"""),7)</f>
        <v>7</v>
      </c>
      <c r="G166">
        <f ca="1">IFERROR(__xludf.DUMMYFUNCTION("""COMPUTED_VALUE"""),15)</f>
        <v>15</v>
      </c>
      <c r="H166" t="str">
        <f ca="1">IFERROR(__xludf.DUMMYFUNCTION("""COMPUTED_VALUE"""),"+5.00")</f>
        <v>+5.00</v>
      </c>
    </row>
    <row r="167" spans="1:8" ht="12.75">
      <c r="A167" t="str">
        <f ca="1">IFERROR(__xludf.DUMMYFUNCTION("""COMPUTED_VALUE"""),"T163")</f>
        <v>T163</v>
      </c>
      <c r="B167" t="str">
        <f ca="1">IFERROR(__xludf.DUMMYFUNCTION("""COMPUTED_VALUE"""),"T155")</f>
        <v>T155</v>
      </c>
      <c r="C167" t="str">
        <f ca="1">IFERROR(__xludf.DUMMYFUNCTION("""COMPUTED_VALUE"""),"Kevin Tway")</f>
        <v>Kevin Tway</v>
      </c>
      <c r="D167">
        <f ca="1">IFERROR(__xludf.DUMMYFUNCTION("""COMPUTED_VALUE"""),16)</f>
        <v>16</v>
      </c>
      <c r="E167">
        <f ca="1">IFERROR(__xludf.DUMMYFUNCTION("""COMPUTED_VALUE"""),46.67)</f>
        <v>46.67</v>
      </c>
      <c r="F167">
        <f ca="1">IFERROR(__xludf.DUMMYFUNCTION("""COMPUTED_VALUE"""),7)</f>
        <v>7</v>
      </c>
      <c r="G167">
        <f ca="1">IFERROR(__xludf.DUMMYFUNCTION("""COMPUTED_VALUE"""),15)</f>
        <v>15</v>
      </c>
      <c r="H167" t="str">
        <f ca="1">IFERROR(__xludf.DUMMYFUNCTION("""COMPUTED_VALUE"""),"+5.00")</f>
        <v>+5.00</v>
      </c>
    </row>
    <row r="168" spans="1:8" ht="12.75">
      <c r="A168" t="str">
        <f ca="1">IFERROR(__xludf.DUMMYFUNCTION("""COMPUTED_VALUE"""),"T163")</f>
        <v>T163</v>
      </c>
      <c r="B168" t="str">
        <f ca="1">IFERROR(__xludf.DUMMYFUNCTION("""COMPUTED_VALUE"""),"T155")</f>
        <v>T155</v>
      </c>
      <c r="C168" t="str">
        <f ca="1">IFERROR(__xludf.DUMMYFUNCTION("""COMPUTED_VALUE"""),"Scott Stallings")</f>
        <v>Scott Stallings</v>
      </c>
      <c r="D168">
        <f ca="1">IFERROR(__xludf.DUMMYFUNCTION("""COMPUTED_VALUE"""),14)</f>
        <v>14</v>
      </c>
      <c r="E168">
        <f ca="1">IFERROR(__xludf.DUMMYFUNCTION("""COMPUTED_VALUE"""),46.67)</f>
        <v>46.67</v>
      </c>
      <c r="F168">
        <f ca="1">IFERROR(__xludf.DUMMYFUNCTION("""COMPUTED_VALUE"""),7)</f>
        <v>7</v>
      </c>
      <c r="G168">
        <f ca="1">IFERROR(__xludf.DUMMYFUNCTION("""COMPUTED_VALUE"""),15)</f>
        <v>15</v>
      </c>
      <c r="H168" t="str">
        <f ca="1">IFERROR(__xludf.DUMMYFUNCTION("""COMPUTED_VALUE"""),"+4.00")</f>
        <v>+4.00</v>
      </c>
    </row>
    <row r="169" spans="1:8" ht="12.75">
      <c r="A169" t="str">
        <f ca="1">IFERROR(__xludf.DUMMYFUNCTION("""COMPUTED_VALUE"""),"T168")</f>
        <v>T168</v>
      </c>
      <c r="B169" t="str">
        <f ca="1">IFERROR(__xludf.DUMMYFUNCTION("""COMPUTED_VALUE"""),"T155")</f>
        <v>T155</v>
      </c>
      <c r="C169" t="str">
        <f ca="1">IFERROR(__xludf.DUMMYFUNCTION("""COMPUTED_VALUE"""),"Johnson Wagner")</f>
        <v>Johnson Wagner</v>
      </c>
      <c r="D169">
        <f ca="1">IFERROR(__xludf.DUMMYFUNCTION("""COMPUTED_VALUE"""),8)</f>
        <v>8</v>
      </c>
      <c r="E169">
        <f ca="1">IFERROR(__xludf.DUMMYFUNCTION("""COMPUTED_VALUE"""),46.15)</f>
        <v>46.15</v>
      </c>
      <c r="F169">
        <f ca="1">IFERROR(__xludf.DUMMYFUNCTION("""COMPUTED_VALUE"""),6)</f>
        <v>6</v>
      </c>
      <c r="G169">
        <f ca="1">IFERROR(__xludf.DUMMYFUNCTION("""COMPUTED_VALUE"""),13)</f>
        <v>13</v>
      </c>
      <c r="H169" t="str">
        <f ca="1">IFERROR(__xludf.DUMMYFUNCTION("""COMPUTED_VALUE"""),"+7.00")</f>
        <v>+7.00</v>
      </c>
    </row>
    <row r="170" spans="1:8" ht="12.75">
      <c r="A170" t="str">
        <f ca="1">IFERROR(__xludf.DUMMYFUNCTION("""COMPUTED_VALUE"""),"T168")</f>
        <v>T168</v>
      </c>
      <c r="B170" t="str">
        <f ca="1">IFERROR(__xludf.DUMMYFUNCTION("""COMPUTED_VALUE"""),"T143")</f>
        <v>T143</v>
      </c>
      <c r="C170" t="str">
        <f ca="1">IFERROR(__xludf.DUMMYFUNCTION("""COMPUTED_VALUE"""),"Jhonattan Vegas")</f>
        <v>Jhonattan Vegas</v>
      </c>
      <c r="D170">
        <f ca="1">IFERROR(__xludf.DUMMYFUNCTION("""COMPUTED_VALUE"""),16)</f>
        <v>16</v>
      </c>
      <c r="E170">
        <f ca="1">IFERROR(__xludf.DUMMYFUNCTION("""COMPUTED_VALUE"""),46.15)</f>
        <v>46.15</v>
      </c>
      <c r="F170">
        <f ca="1">IFERROR(__xludf.DUMMYFUNCTION("""COMPUTED_VALUE"""),12)</f>
        <v>12</v>
      </c>
      <c r="G170">
        <f ca="1">IFERROR(__xludf.DUMMYFUNCTION("""COMPUTED_VALUE"""),26)</f>
        <v>26</v>
      </c>
      <c r="H170" t="str">
        <f ca="1">IFERROR(__xludf.DUMMYFUNCTION("""COMPUTED_VALUE"""),"+5.00")</f>
        <v>+5.00</v>
      </c>
    </row>
    <row r="171" spans="1:8" ht="12.75">
      <c r="A171" t="str">
        <f ca="1">IFERROR(__xludf.DUMMYFUNCTION("""COMPUTED_VALUE"""),"T168")</f>
        <v>T168</v>
      </c>
      <c r="B171" t="str">
        <f ca="1">IFERROR(__xludf.DUMMYFUNCTION("""COMPUTED_VALUE"""),"T155")</f>
        <v>T155</v>
      </c>
      <c r="C171" t="str">
        <f ca="1">IFERROR(__xludf.DUMMYFUNCTION("""COMPUTED_VALUE"""),"Justin Suh")</f>
        <v>Justin Suh</v>
      </c>
      <c r="D171">
        <f ca="1">IFERROR(__xludf.DUMMYFUNCTION("""COMPUTED_VALUE"""),10)</f>
        <v>10</v>
      </c>
      <c r="E171">
        <f ca="1">IFERROR(__xludf.DUMMYFUNCTION("""COMPUTED_VALUE"""),46.15)</f>
        <v>46.15</v>
      </c>
      <c r="F171">
        <f ca="1">IFERROR(__xludf.DUMMYFUNCTION("""COMPUTED_VALUE"""),6)</f>
        <v>6</v>
      </c>
      <c r="G171">
        <f ca="1">IFERROR(__xludf.DUMMYFUNCTION("""COMPUTED_VALUE"""),13)</f>
        <v>13</v>
      </c>
      <c r="H171" t="str">
        <f ca="1">IFERROR(__xludf.DUMMYFUNCTION("""COMPUTED_VALUE"""),"+3.00")</f>
        <v>+3.00</v>
      </c>
    </row>
    <row r="172" spans="1:8" ht="12.75">
      <c r="A172" t="str">
        <f ca="1">IFERROR(__xludf.DUMMYFUNCTION("""COMPUTED_VALUE"""),"T168")</f>
        <v>T168</v>
      </c>
      <c r="B172" t="str">
        <f ca="1">IFERROR(__xludf.DUMMYFUNCTION("""COMPUTED_VALUE"""),"T155")</f>
        <v>T155</v>
      </c>
      <c r="C172" t="str">
        <f ca="1">IFERROR(__xludf.DUMMYFUNCTION("""COMPUTED_VALUE"""),"Byeong Hun An")</f>
        <v>Byeong Hun An</v>
      </c>
      <c r="D172">
        <f ca="1">IFERROR(__xludf.DUMMYFUNCTION("""COMPUTED_VALUE"""),14)</f>
        <v>14</v>
      </c>
      <c r="E172">
        <f ca="1">IFERROR(__xludf.DUMMYFUNCTION("""COMPUTED_VALUE"""),46.15)</f>
        <v>46.15</v>
      </c>
      <c r="F172">
        <f ca="1">IFERROR(__xludf.DUMMYFUNCTION("""COMPUTED_VALUE"""),6)</f>
        <v>6</v>
      </c>
      <c r="G172">
        <f ca="1">IFERROR(__xludf.DUMMYFUNCTION("""COMPUTED_VALUE"""),13)</f>
        <v>13</v>
      </c>
      <c r="H172" t="str">
        <f ca="1">IFERROR(__xludf.DUMMYFUNCTION("""COMPUTED_VALUE"""),"+1.00")</f>
        <v>+1.00</v>
      </c>
    </row>
    <row r="173" spans="1:8" ht="12.75">
      <c r="A173">
        <f ca="1">IFERROR(__xludf.DUMMYFUNCTION("""COMPUTED_VALUE"""),172)</f>
        <v>172</v>
      </c>
      <c r="B173">
        <f ca="1">IFERROR(__xludf.DUMMYFUNCTION("""COMPUTED_VALUE"""),161)</f>
        <v>161</v>
      </c>
      <c r="C173" t="str">
        <f ca="1">IFERROR(__xludf.DUMMYFUNCTION("""COMPUTED_VALUE"""),"Rory Sabbatini")</f>
        <v>Rory Sabbatini</v>
      </c>
      <c r="D173">
        <f ca="1">IFERROR(__xludf.DUMMYFUNCTION("""COMPUTED_VALUE"""),13)</f>
        <v>13</v>
      </c>
      <c r="E173">
        <f ca="1">IFERROR(__xludf.DUMMYFUNCTION("""COMPUTED_VALUE"""),45.83)</f>
        <v>45.83</v>
      </c>
      <c r="F173">
        <f ca="1">IFERROR(__xludf.DUMMYFUNCTION("""COMPUTED_VALUE"""),11)</f>
        <v>11</v>
      </c>
      <c r="G173">
        <f ca="1">IFERROR(__xludf.DUMMYFUNCTION("""COMPUTED_VALUE"""),24)</f>
        <v>24</v>
      </c>
      <c r="H173" t="str">
        <f ca="1">IFERROR(__xludf.DUMMYFUNCTION("""COMPUTED_VALUE"""),"+7.00")</f>
        <v>+7.00</v>
      </c>
    </row>
    <row r="174" spans="1:8" ht="12.75">
      <c r="A174" t="str">
        <f ca="1">IFERROR(__xludf.DUMMYFUNCTION("""COMPUTED_VALUE"""),"T173")</f>
        <v>T173</v>
      </c>
      <c r="B174" t="str">
        <f ca="1">IFERROR(__xludf.DUMMYFUNCTION("""COMPUTED_VALUE"""),"T162")</f>
        <v>T162</v>
      </c>
      <c r="C174" t="str">
        <f ca="1">IFERROR(__xludf.DUMMYFUNCTION("""COMPUTED_VALUE"""),"Ian Poulter")</f>
        <v>Ian Poulter</v>
      </c>
      <c r="D174">
        <f ca="1">IFERROR(__xludf.DUMMYFUNCTION("""COMPUTED_VALUE"""),6)</f>
        <v>6</v>
      </c>
      <c r="E174">
        <f ca="1">IFERROR(__xludf.DUMMYFUNCTION("""COMPUTED_VALUE"""),45.45)</f>
        <v>45.45</v>
      </c>
      <c r="F174">
        <f ca="1">IFERROR(__xludf.DUMMYFUNCTION("""COMPUTED_VALUE"""),5)</f>
        <v>5</v>
      </c>
      <c r="G174">
        <f ca="1">IFERROR(__xludf.DUMMYFUNCTION("""COMPUTED_VALUE"""),11)</f>
        <v>11</v>
      </c>
      <c r="H174" t="str">
        <f ca="1">IFERROR(__xludf.DUMMYFUNCTION("""COMPUTED_VALUE"""),"+5.00")</f>
        <v>+5.00</v>
      </c>
    </row>
    <row r="175" spans="1:8" ht="12.75">
      <c r="A175" t="str">
        <f ca="1">IFERROR(__xludf.DUMMYFUNCTION("""COMPUTED_VALUE"""),"T173")</f>
        <v>T173</v>
      </c>
      <c r="B175" t="str">
        <f ca="1">IFERROR(__xludf.DUMMYFUNCTION("""COMPUTED_VALUE"""),"T162")</f>
        <v>T162</v>
      </c>
      <c r="C175" t="str">
        <f ca="1">IFERROR(__xludf.DUMMYFUNCTION("""COMPUTED_VALUE"""),"Brian Gay")</f>
        <v>Brian Gay</v>
      </c>
      <c r="D175">
        <f ca="1">IFERROR(__xludf.DUMMYFUNCTION("""COMPUTED_VALUE"""),8)</f>
        <v>8</v>
      </c>
      <c r="E175">
        <f ca="1">IFERROR(__xludf.DUMMYFUNCTION("""COMPUTED_VALUE"""),45.45)</f>
        <v>45.45</v>
      </c>
      <c r="F175">
        <f ca="1">IFERROR(__xludf.DUMMYFUNCTION("""COMPUTED_VALUE"""),5)</f>
        <v>5</v>
      </c>
      <c r="G175">
        <f ca="1">IFERROR(__xludf.DUMMYFUNCTION("""COMPUTED_VALUE"""),11)</f>
        <v>11</v>
      </c>
      <c r="H175" t="str">
        <f ca="1">IFERROR(__xludf.DUMMYFUNCTION("""COMPUTED_VALUE"""),"+4.00")</f>
        <v>+4.00</v>
      </c>
    </row>
    <row r="176" spans="1:8" ht="12.75">
      <c r="A176" t="str">
        <f ca="1">IFERROR(__xludf.DUMMYFUNCTION("""COMPUTED_VALUE"""),"T173")</f>
        <v>T173</v>
      </c>
      <c r="B176" t="str">
        <f ca="1">IFERROR(__xludf.DUMMYFUNCTION("""COMPUTED_VALUE"""),"T104")</f>
        <v>T104</v>
      </c>
      <c r="C176" t="str">
        <f ca="1">IFERROR(__xludf.DUMMYFUNCTION("""COMPUTED_VALUE"""),"Chris Kirk")</f>
        <v>Chris Kirk</v>
      </c>
      <c r="D176">
        <f ca="1">IFERROR(__xludf.DUMMYFUNCTION("""COMPUTED_VALUE"""),10)</f>
        <v>10</v>
      </c>
      <c r="E176">
        <f ca="1">IFERROR(__xludf.DUMMYFUNCTION("""COMPUTED_VALUE"""),45.45)</f>
        <v>45.45</v>
      </c>
      <c r="F176">
        <f ca="1">IFERROR(__xludf.DUMMYFUNCTION("""COMPUTED_VALUE"""),5)</f>
        <v>5</v>
      </c>
      <c r="G176">
        <f ca="1">IFERROR(__xludf.DUMMYFUNCTION("""COMPUTED_VALUE"""),11)</f>
        <v>11</v>
      </c>
      <c r="H176" t="str">
        <f ca="1">IFERROR(__xludf.DUMMYFUNCTION("""COMPUTED_VALUE"""),"+6.00")</f>
        <v>+6.00</v>
      </c>
    </row>
    <row r="177" spans="1:8" ht="12.75">
      <c r="A177" t="str">
        <f ca="1">IFERROR(__xludf.DUMMYFUNCTION("""COMPUTED_VALUE"""),"T173")</f>
        <v>T173</v>
      </c>
      <c r="B177" t="str">
        <f ca="1">IFERROR(__xludf.DUMMYFUNCTION("""COMPUTED_VALUE"""),"T162")</f>
        <v>T162</v>
      </c>
      <c r="C177" t="str">
        <f ca="1">IFERROR(__xludf.DUMMYFUNCTION("""COMPUTED_VALUE"""),"Dominic Bozzelli")</f>
        <v>Dominic Bozzelli</v>
      </c>
      <c r="D177">
        <f ca="1">IFERROR(__xludf.DUMMYFUNCTION("""COMPUTED_VALUE"""),8)</f>
        <v>8</v>
      </c>
      <c r="E177">
        <f ca="1">IFERROR(__xludf.DUMMYFUNCTION("""COMPUTED_VALUE"""),45.45)</f>
        <v>45.45</v>
      </c>
      <c r="F177">
        <f ca="1">IFERROR(__xludf.DUMMYFUNCTION("""COMPUTED_VALUE"""),5)</f>
        <v>5</v>
      </c>
      <c r="G177">
        <f ca="1">IFERROR(__xludf.DUMMYFUNCTION("""COMPUTED_VALUE"""),11)</f>
        <v>11</v>
      </c>
      <c r="H177" t="str">
        <f ca="1">IFERROR(__xludf.DUMMYFUNCTION("""COMPUTED_VALUE"""),"+3.00")</f>
        <v>+3.00</v>
      </c>
    </row>
    <row r="178" spans="1:8" ht="12.75">
      <c r="A178" t="str">
        <f ca="1">IFERROR(__xludf.DUMMYFUNCTION("""COMPUTED_VALUE"""),"T173")</f>
        <v>T173</v>
      </c>
      <c r="B178" t="str">
        <f ca="1">IFERROR(__xludf.DUMMYFUNCTION("""COMPUTED_VALUE"""),"T162")</f>
        <v>T162</v>
      </c>
      <c r="C178" t="str">
        <f ca="1">IFERROR(__xludf.DUMMYFUNCTION("""COMPUTED_VALUE"""),"Richy Werenski")</f>
        <v>Richy Werenski</v>
      </c>
      <c r="D178">
        <f ca="1">IFERROR(__xludf.DUMMYFUNCTION("""COMPUTED_VALUE"""),16)</f>
        <v>16</v>
      </c>
      <c r="E178">
        <f ca="1">IFERROR(__xludf.DUMMYFUNCTION("""COMPUTED_VALUE"""),45.45)</f>
        <v>45.45</v>
      </c>
      <c r="F178">
        <f ca="1">IFERROR(__xludf.DUMMYFUNCTION("""COMPUTED_VALUE"""),10)</f>
        <v>10</v>
      </c>
      <c r="G178">
        <f ca="1">IFERROR(__xludf.DUMMYFUNCTION("""COMPUTED_VALUE"""),22)</f>
        <v>22</v>
      </c>
      <c r="H178" t="str">
        <f ca="1">IFERROR(__xludf.DUMMYFUNCTION("""COMPUTED_VALUE"""),"+10.00")</f>
        <v>+10.00</v>
      </c>
    </row>
    <row r="179" spans="1:8" ht="12.75">
      <c r="A179" t="str">
        <f ca="1">IFERROR(__xludf.DUMMYFUNCTION("""COMPUTED_VALUE"""),"T178")</f>
        <v>T178</v>
      </c>
      <c r="B179" t="str">
        <f ca="1">IFERROR(__xludf.DUMMYFUNCTION("""COMPUTED_VALUE"""),"T104")</f>
        <v>T104</v>
      </c>
      <c r="C179" t="str">
        <f ca="1">IFERROR(__xludf.DUMMYFUNCTION("""COMPUTED_VALUE"""),"Sam Burns")</f>
        <v>Sam Burns</v>
      </c>
      <c r="D179">
        <f ca="1">IFERROR(__xludf.DUMMYFUNCTION("""COMPUTED_VALUE"""),18)</f>
        <v>18</v>
      </c>
      <c r="E179">
        <f ca="1">IFERROR(__xludf.DUMMYFUNCTION("""COMPUTED_VALUE"""),45)</f>
        <v>45</v>
      </c>
      <c r="F179">
        <f ca="1">IFERROR(__xludf.DUMMYFUNCTION("""COMPUTED_VALUE"""),9)</f>
        <v>9</v>
      </c>
      <c r="G179">
        <f ca="1">IFERROR(__xludf.DUMMYFUNCTION("""COMPUTED_VALUE"""),20)</f>
        <v>20</v>
      </c>
      <c r="H179" t="str">
        <f ca="1">IFERROR(__xludf.DUMMYFUNCTION("""COMPUTED_VALUE"""),"+5.00")</f>
        <v>+5.00</v>
      </c>
    </row>
    <row r="180" spans="1:8" ht="12.75">
      <c r="A180" t="str">
        <f ca="1">IFERROR(__xludf.DUMMYFUNCTION("""COMPUTED_VALUE"""),"T178")</f>
        <v>T178</v>
      </c>
      <c r="B180" t="str">
        <f ca="1">IFERROR(__xludf.DUMMYFUNCTION("""COMPUTED_VALUE"""),"T104")</f>
        <v>T104</v>
      </c>
      <c r="C180" t="str">
        <f ca="1">IFERROR(__xludf.DUMMYFUNCTION("""COMPUTED_VALUE"""),"Keith Mitchell")</f>
        <v>Keith Mitchell</v>
      </c>
      <c r="D180">
        <f ca="1">IFERROR(__xludf.DUMMYFUNCTION("""COMPUTED_VALUE"""),14)</f>
        <v>14</v>
      </c>
      <c r="E180">
        <f ca="1">IFERROR(__xludf.DUMMYFUNCTION("""COMPUTED_VALUE"""),45)</f>
        <v>45</v>
      </c>
      <c r="F180">
        <f ca="1">IFERROR(__xludf.DUMMYFUNCTION("""COMPUTED_VALUE"""),9)</f>
        <v>9</v>
      </c>
      <c r="G180">
        <f ca="1">IFERROR(__xludf.DUMMYFUNCTION("""COMPUTED_VALUE"""),20)</f>
        <v>20</v>
      </c>
      <c r="H180" t="str">
        <f ca="1">IFERROR(__xludf.DUMMYFUNCTION("""COMPUTED_VALUE"""),"+8.00")</f>
        <v>+8.00</v>
      </c>
    </row>
    <row r="181" spans="1:8" ht="12.75">
      <c r="A181">
        <f ca="1">IFERROR(__xludf.DUMMYFUNCTION("""COMPUTED_VALUE"""),180)</f>
        <v>180</v>
      </c>
      <c r="B181" t="str">
        <f ca="1">IFERROR(__xludf.DUMMYFUNCTION("""COMPUTED_VALUE"""),"T139")</f>
        <v>T139</v>
      </c>
      <c r="C181" t="str">
        <f ca="1">IFERROR(__xludf.DUMMYFUNCTION("""COMPUTED_VALUE"""),"Cameron Tringale")</f>
        <v>Cameron Tringale</v>
      </c>
      <c r="D181">
        <f ca="1">IFERROR(__xludf.DUMMYFUNCTION("""COMPUTED_VALUE"""),16)</f>
        <v>16</v>
      </c>
      <c r="E181">
        <f ca="1">IFERROR(__xludf.DUMMYFUNCTION("""COMPUTED_VALUE"""),44.83)</f>
        <v>44.83</v>
      </c>
      <c r="F181">
        <f ca="1">IFERROR(__xludf.DUMMYFUNCTION("""COMPUTED_VALUE"""),13)</f>
        <v>13</v>
      </c>
      <c r="G181">
        <f ca="1">IFERROR(__xludf.DUMMYFUNCTION("""COMPUTED_VALUE"""),29)</f>
        <v>29</v>
      </c>
      <c r="H181" t="str">
        <f ca="1">IFERROR(__xludf.DUMMYFUNCTION("""COMPUTED_VALUE"""),"+8.00")</f>
        <v>+8.00</v>
      </c>
    </row>
    <row r="182" spans="1:8" ht="12.75">
      <c r="A182" t="str">
        <f ca="1">IFERROR(__xludf.DUMMYFUNCTION("""COMPUTED_VALUE"""),"T181")</f>
        <v>T181</v>
      </c>
      <c r="B182" t="str">
        <f ca="1">IFERROR(__xludf.DUMMYFUNCTION("""COMPUTED_VALUE"""),"T189")</f>
        <v>T189</v>
      </c>
      <c r="C182" t="str">
        <f ca="1">IFERROR(__xludf.DUMMYFUNCTION("""COMPUTED_VALUE"""),"Andrew Putnam")</f>
        <v>Andrew Putnam</v>
      </c>
      <c r="D182">
        <f ca="1">IFERROR(__xludf.DUMMYFUNCTION("""COMPUTED_VALUE"""),19)</f>
        <v>19</v>
      </c>
      <c r="E182">
        <f ca="1">IFERROR(__xludf.DUMMYFUNCTION("""COMPUTED_VALUE"""),44.44)</f>
        <v>44.44</v>
      </c>
      <c r="F182">
        <f ca="1">IFERROR(__xludf.DUMMYFUNCTION("""COMPUTED_VALUE"""),12)</f>
        <v>12</v>
      </c>
      <c r="G182">
        <f ca="1">IFERROR(__xludf.DUMMYFUNCTION("""COMPUTED_VALUE"""),27)</f>
        <v>27</v>
      </c>
      <c r="H182" t="str">
        <f ca="1">IFERROR(__xludf.DUMMYFUNCTION("""COMPUTED_VALUE"""),"+8.00")</f>
        <v>+8.00</v>
      </c>
    </row>
    <row r="183" spans="1:8" ht="12.75">
      <c r="A183" t="str">
        <f ca="1">IFERROR(__xludf.DUMMYFUNCTION("""COMPUTED_VALUE"""),"T181")</f>
        <v>T181</v>
      </c>
      <c r="B183" t="str">
        <f ca="1">IFERROR(__xludf.DUMMYFUNCTION("""COMPUTED_VALUE"""),"T169")</f>
        <v>T169</v>
      </c>
      <c r="C183" t="str">
        <f ca="1">IFERROR(__xludf.DUMMYFUNCTION("""COMPUTED_VALUE"""),"Ryan Blaum")</f>
        <v>Ryan Blaum</v>
      </c>
      <c r="D183">
        <f ca="1">IFERROR(__xludf.DUMMYFUNCTION("""COMPUTED_VALUE"""),8)</f>
        <v>8</v>
      </c>
      <c r="E183">
        <f ca="1">IFERROR(__xludf.DUMMYFUNCTION("""COMPUTED_VALUE"""),44.44)</f>
        <v>44.44</v>
      </c>
      <c r="F183">
        <f ca="1">IFERROR(__xludf.DUMMYFUNCTION("""COMPUTED_VALUE"""),4)</f>
        <v>4</v>
      </c>
      <c r="G183">
        <f ca="1">IFERROR(__xludf.DUMMYFUNCTION("""COMPUTED_VALUE"""),9)</f>
        <v>9</v>
      </c>
      <c r="H183" t="str">
        <f ca="1">IFERROR(__xludf.DUMMYFUNCTION("""COMPUTED_VALUE"""),"+1.00")</f>
        <v>+1.00</v>
      </c>
    </row>
    <row r="184" spans="1:8" ht="12.75">
      <c r="A184">
        <f ca="1">IFERROR(__xludf.DUMMYFUNCTION("""COMPUTED_VALUE"""),183)</f>
        <v>183</v>
      </c>
      <c r="B184" t="str">
        <f ca="1">IFERROR(__xludf.DUMMYFUNCTION("""COMPUTED_VALUE"""),"T179")</f>
        <v>T179</v>
      </c>
      <c r="C184" t="str">
        <f ca="1">IFERROR(__xludf.DUMMYFUNCTION("""COMPUTED_VALUE"""),"Hudson Swafford")</f>
        <v>Hudson Swafford</v>
      </c>
      <c r="D184">
        <f ca="1">IFERROR(__xludf.DUMMYFUNCTION("""COMPUTED_VALUE"""),18)</f>
        <v>18</v>
      </c>
      <c r="E184">
        <f ca="1">IFERROR(__xludf.DUMMYFUNCTION("""COMPUTED_VALUE"""),44)</f>
        <v>44</v>
      </c>
      <c r="F184">
        <f ca="1">IFERROR(__xludf.DUMMYFUNCTION("""COMPUTED_VALUE"""),11)</f>
        <v>11</v>
      </c>
      <c r="G184">
        <f ca="1">IFERROR(__xludf.DUMMYFUNCTION("""COMPUTED_VALUE"""),25)</f>
        <v>25</v>
      </c>
      <c r="H184" t="str">
        <f ca="1">IFERROR(__xludf.DUMMYFUNCTION("""COMPUTED_VALUE"""),"+7.00")</f>
        <v>+7.00</v>
      </c>
    </row>
    <row r="185" spans="1:8" ht="12.75">
      <c r="A185" t="str">
        <f ca="1">IFERROR(__xludf.DUMMYFUNCTION("""COMPUTED_VALUE"""),"T184")</f>
        <v>T184</v>
      </c>
      <c r="B185">
        <f ca="1">IFERROR(__xludf.DUMMYFUNCTION("""COMPUTED_VALUE"""),168)</f>
        <v>168</v>
      </c>
      <c r="C185" t="str">
        <f ca="1">IFERROR(__xludf.DUMMYFUNCTION("""COMPUTED_VALUE"""),"Corey Conners")</f>
        <v>Corey Conners</v>
      </c>
      <c r="D185">
        <f ca="1">IFERROR(__xludf.DUMMYFUNCTION("""COMPUTED_VALUE"""),20)</f>
        <v>20</v>
      </c>
      <c r="E185">
        <f ca="1">IFERROR(__xludf.DUMMYFUNCTION("""COMPUTED_VALUE"""),43.48)</f>
        <v>43.48</v>
      </c>
      <c r="F185">
        <f ca="1">IFERROR(__xludf.DUMMYFUNCTION("""COMPUTED_VALUE"""),10)</f>
        <v>10</v>
      </c>
      <c r="G185">
        <f ca="1">IFERROR(__xludf.DUMMYFUNCTION("""COMPUTED_VALUE"""),23)</f>
        <v>23</v>
      </c>
      <c r="H185" t="str">
        <f ca="1">IFERROR(__xludf.DUMMYFUNCTION("""COMPUTED_VALUE"""),"+15.00")</f>
        <v>+15.00</v>
      </c>
    </row>
    <row r="186" spans="1:8" ht="12.75">
      <c r="A186" t="str">
        <f ca="1">IFERROR(__xludf.DUMMYFUNCTION("""COMPUTED_VALUE"""),"T184")</f>
        <v>T184</v>
      </c>
      <c r="B186">
        <f ca="1">IFERROR(__xludf.DUMMYFUNCTION("""COMPUTED_VALUE"""),175)</f>
        <v>175</v>
      </c>
      <c r="C186" t="str">
        <f ca="1">IFERROR(__xludf.DUMMYFUNCTION("""COMPUTED_VALUE"""),"Kevin Streelman")</f>
        <v>Kevin Streelman</v>
      </c>
      <c r="D186">
        <f ca="1">IFERROR(__xludf.DUMMYFUNCTION("""COMPUTED_VALUE"""),18)</f>
        <v>18</v>
      </c>
      <c r="E186">
        <f ca="1">IFERROR(__xludf.DUMMYFUNCTION("""COMPUTED_VALUE"""),43.48)</f>
        <v>43.48</v>
      </c>
      <c r="F186">
        <f ca="1">IFERROR(__xludf.DUMMYFUNCTION("""COMPUTED_VALUE"""),10)</f>
        <v>10</v>
      </c>
      <c r="G186">
        <f ca="1">IFERROR(__xludf.DUMMYFUNCTION("""COMPUTED_VALUE"""),23)</f>
        <v>23</v>
      </c>
      <c r="H186" t="str">
        <f ca="1">IFERROR(__xludf.DUMMYFUNCTION("""COMPUTED_VALUE"""),"+8.00")</f>
        <v>+8.00</v>
      </c>
    </row>
    <row r="187" spans="1:8" ht="12.75">
      <c r="A187">
        <f ca="1">IFERROR(__xludf.DUMMYFUNCTION("""COMPUTED_VALUE"""),186)</f>
        <v>186</v>
      </c>
      <c r="B187" t="str">
        <f ca="1">IFERROR(__xludf.DUMMYFUNCTION("""COMPUTED_VALUE"""),"T189")</f>
        <v>T189</v>
      </c>
      <c r="C187" t="str">
        <f ca="1">IFERROR(__xludf.DUMMYFUNCTION("""COMPUTED_VALUE"""),"Kristoffer Ventura")</f>
        <v>Kristoffer Ventura</v>
      </c>
      <c r="D187">
        <f ca="1">IFERROR(__xludf.DUMMYFUNCTION("""COMPUTED_VALUE"""),20)</f>
        <v>20</v>
      </c>
      <c r="E187">
        <f ca="1">IFERROR(__xludf.DUMMYFUNCTION("""COMPUTED_VALUE"""),43.33)</f>
        <v>43.33</v>
      </c>
      <c r="F187">
        <f ca="1">IFERROR(__xludf.DUMMYFUNCTION("""COMPUTED_VALUE"""),13)</f>
        <v>13</v>
      </c>
      <c r="G187">
        <f ca="1">IFERROR(__xludf.DUMMYFUNCTION("""COMPUTED_VALUE"""),30)</f>
        <v>30</v>
      </c>
      <c r="H187" t="str">
        <f ca="1">IFERROR(__xludf.DUMMYFUNCTION("""COMPUTED_VALUE"""),"+11.00")</f>
        <v>+11.00</v>
      </c>
    </row>
    <row r="188" spans="1:8" ht="12.75">
      <c r="A188" t="str">
        <f ca="1">IFERROR(__xludf.DUMMYFUNCTION("""COMPUTED_VALUE"""),"T187")</f>
        <v>T187</v>
      </c>
      <c r="B188" t="str">
        <f ca="1">IFERROR(__xludf.DUMMYFUNCTION("""COMPUTED_VALUE"""),"T218")</f>
        <v>T218</v>
      </c>
      <c r="C188" t="str">
        <f ca="1">IFERROR(__xludf.DUMMYFUNCTION("""COMPUTED_VALUE"""),"Lucas Glover")</f>
        <v>Lucas Glover</v>
      </c>
      <c r="D188">
        <f ca="1">IFERROR(__xludf.DUMMYFUNCTION("""COMPUTED_VALUE"""),12)</f>
        <v>12</v>
      </c>
      <c r="E188">
        <f ca="1">IFERROR(__xludf.DUMMYFUNCTION("""COMPUTED_VALUE"""),42.86)</f>
        <v>42.86</v>
      </c>
      <c r="F188">
        <f ca="1">IFERROR(__xludf.DUMMYFUNCTION("""COMPUTED_VALUE"""),6)</f>
        <v>6</v>
      </c>
      <c r="G188">
        <f ca="1">IFERROR(__xludf.DUMMYFUNCTION("""COMPUTED_VALUE"""),14)</f>
        <v>14</v>
      </c>
      <c r="H188" t="str">
        <f ca="1">IFERROR(__xludf.DUMMYFUNCTION("""COMPUTED_VALUE"""),"+4.00")</f>
        <v>+4.00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IFERROR(__xludf.DUMMYFUNCTION("""COMPUTED_VALUE"""),"T104")</f>
        <v>T104</v>
      </c>
      <c r="C189" t="str">
        <f ca="1">IFERROR(__xludf.DUMMYFUNCTION("""COMPUTED_VALUE"""),"Dustin Johnson")</f>
        <v>Dustin Johnson</v>
      </c>
      <c r="D189">
        <f ca="1">IFERROR(__xludf.DUMMYFUNCTION("""COMPUTED_VALUE"""),8)</f>
        <v>8</v>
      </c>
      <c r="E189">
        <f ca="1">IFERROR(__xludf.DUMMYFUNCTION("""COMPUTED_VALUE"""),42.86)</f>
        <v>42.86</v>
      </c>
      <c r="F189">
        <f ca="1">IFERROR(__xludf.DUMMYFUNCTION("""COMPUTED_VALUE"""),3)</f>
        <v>3</v>
      </c>
      <c r="G189">
        <f ca="1">IFERROR(__xludf.DUMMYFUNCTION("""COMPUTED_VALUE"""),7)</f>
        <v>7</v>
      </c>
      <c r="H189" t="str">
        <f ca="1">IFERROR(__xludf.DUMMYFUNCTION("""COMPUTED_VALUE"""),"+4.00")</f>
        <v>+4.00</v>
      </c>
    </row>
    <row r="190" spans="1:8" ht="12.75">
      <c r="A190">
        <f ca="1">IFERROR(__xludf.DUMMYFUNCTION("""COMPUTED_VALUE"""),189)</f>
        <v>189</v>
      </c>
      <c r="B190">
        <f ca="1">IFERROR(__xludf.DUMMYFUNCTION("""COMPUTED_VALUE"""),183)</f>
        <v>183</v>
      </c>
      <c r="C190" t="str">
        <f ca="1">IFERROR(__xludf.DUMMYFUNCTION("""COMPUTED_VALUE"""),"Si Woo Kim")</f>
        <v>Si Woo Kim</v>
      </c>
      <c r="D190">
        <f ca="1">IFERROR(__xludf.DUMMYFUNCTION("""COMPUTED_VALUE"""),20)</f>
        <v>20</v>
      </c>
      <c r="E190">
        <f ca="1">IFERROR(__xludf.DUMMYFUNCTION("""COMPUTED_VALUE"""),41.94)</f>
        <v>41.94</v>
      </c>
      <c r="F190">
        <f ca="1">IFERROR(__xludf.DUMMYFUNCTION("""COMPUTED_VALUE"""),13)</f>
        <v>13</v>
      </c>
      <c r="G190">
        <f ca="1">IFERROR(__xludf.DUMMYFUNCTION("""COMPUTED_VALUE"""),31)</f>
        <v>31</v>
      </c>
      <c r="H190" t="str">
        <f ca="1">IFERROR(__xludf.DUMMYFUNCTION("""COMPUTED_VALUE"""),"+10.00")</f>
        <v>+10.00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IFERROR(__xludf.DUMMYFUNCTION("""COMPUTED_VALUE"""),"T227")</f>
        <v>T227</v>
      </c>
      <c r="C191" t="str">
        <f ca="1">IFERROR(__xludf.DUMMYFUNCTION("""COMPUTED_VALUE"""),"Russell Knox")</f>
        <v>Russell Knox</v>
      </c>
      <c r="D191">
        <f ca="1">IFERROR(__xludf.DUMMYFUNCTION("""COMPUTED_VALUE"""),16)</f>
        <v>16</v>
      </c>
      <c r="E191">
        <f ca="1">IFERROR(__xludf.DUMMYFUNCTION("""COMPUTED_VALUE"""),41.67)</f>
        <v>41.67</v>
      </c>
      <c r="F191">
        <f ca="1">IFERROR(__xludf.DUMMYFUNCTION("""COMPUTED_VALUE"""),5)</f>
        <v>5</v>
      </c>
      <c r="G191">
        <f ca="1">IFERROR(__xludf.DUMMYFUNCTION("""COMPUTED_VALUE"""),12)</f>
        <v>12</v>
      </c>
      <c r="H191" t="str">
        <f ca="1">IFERROR(__xludf.DUMMYFUNCTION("""COMPUTED_VALUE"""),"+3.00")</f>
        <v>+3.00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IFERROR(__xludf.DUMMYFUNCTION("""COMPUTED_VALUE"""),"T179")</f>
        <v>T179</v>
      </c>
      <c r="C192" t="str">
        <f ca="1">IFERROR(__xludf.DUMMYFUNCTION("""COMPUTED_VALUE"""),"Matt Every")</f>
        <v>Matt Every</v>
      </c>
      <c r="D192">
        <f ca="1">IFERROR(__xludf.DUMMYFUNCTION("""COMPUTED_VALUE"""),8)</f>
        <v>8</v>
      </c>
      <c r="E192">
        <f ca="1">IFERROR(__xludf.DUMMYFUNCTION("""COMPUTED_VALUE"""),41.67)</f>
        <v>41.67</v>
      </c>
      <c r="F192">
        <f ca="1">IFERROR(__xludf.DUMMYFUNCTION("""COMPUTED_VALUE"""),5)</f>
        <v>5</v>
      </c>
      <c r="G192">
        <f ca="1">IFERROR(__xludf.DUMMYFUNCTION("""COMPUTED_VALUE"""),12)</f>
        <v>12</v>
      </c>
      <c r="H192" t="str">
        <f ca="1">IFERROR(__xludf.DUMMYFUNCTION("""COMPUTED_VALUE"""),"+9.00")</f>
        <v>+9.00</v>
      </c>
    </row>
    <row r="193" spans="1:8" ht="12.75">
      <c r="A193" t="str">
        <f ca="1">IFERROR(__xludf.DUMMYFUNCTION("""COMPUTED_VALUE"""),"T190")</f>
        <v>T190</v>
      </c>
      <c r="B193" t="str">
        <f ca="1">IFERROR(__xludf.DUMMYFUNCTION("""COMPUTED_VALUE"""),"T179")</f>
        <v>T179</v>
      </c>
      <c r="C193" t="str">
        <f ca="1">IFERROR(__xludf.DUMMYFUNCTION("""COMPUTED_VALUE"""),"Nick Taylor")</f>
        <v>Nick Taylor</v>
      </c>
      <c r="D193">
        <f ca="1">IFERROR(__xludf.DUMMYFUNCTION("""COMPUTED_VALUE"""),12)</f>
        <v>12</v>
      </c>
      <c r="E193">
        <f ca="1">IFERROR(__xludf.DUMMYFUNCTION("""COMPUTED_VALUE"""),41.67)</f>
        <v>41.67</v>
      </c>
      <c r="F193">
        <f ca="1">IFERROR(__xludf.DUMMYFUNCTION("""COMPUTED_VALUE"""),5)</f>
        <v>5</v>
      </c>
      <c r="G193">
        <f ca="1">IFERROR(__xludf.DUMMYFUNCTION("""COMPUTED_VALUE"""),12)</f>
        <v>12</v>
      </c>
      <c r="H193" t="str">
        <f ca="1">IFERROR(__xludf.DUMMYFUNCTION("""COMPUTED_VALUE"""),"+5.00")</f>
        <v>+5.00</v>
      </c>
    </row>
    <row r="194" spans="1:8" ht="12.75">
      <c r="A194">
        <f ca="1">IFERROR(__xludf.DUMMYFUNCTION("""COMPUTED_VALUE"""),193)</f>
        <v>193</v>
      </c>
      <c r="B194" t="str">
        <f ca="1">IFERROR(__xludf.DUMMYFUNCTION("""COMPUTED_VALUE"""),"T176")</f>
        <v>T176</v>
      </c>
      <c r="C194" t="str">
        <f ca="1">IFERROR(__xludf.DUMMYFUNCTION("""COMPUTED_VALUE"""),"Branden Grace")</f>
        <v>Branden Grace</v>
      </c>
      <c r="D194">
        <f ca="1">IFERROR(__xludf.DUMMYFUNCTION("""COMPUTED_VALUE"""),16)</f>
        <v>16</v>
      </c>
      <c r="E194">
        <f ca="1">IFERROR(__xludf.DUMMYFUNCTION("""COMPUTED_VALUE"""),41.38)</f>
        <v>41.38</v>
      </c>
      <c r="F194">
        <f ca="1">IFERROR(__xludf.DUMMYFUNCTION("""COMPUTED_VALUE"""),12)</f>
        <v>12</v>
      </c>
      <c r="G194">
        <f ca="1">IFERROR(__xludf.DUMMYFUNCTION("""COMPUTED_VALUE"""),29)</f>
        <v>29</v>
      </c>
      <c r="H194" t="str">
        <f ca="1">IFERROR(__xludf.DUMMYFUNCTION("""COMPUTED_VALUE"""),"+11.00")</f>
        <v>+11.00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IFERROR(__xludf.DUMMYFUNCTION("""COMPUTED_VALUE"""),"T186")</f>
        <v>T186</v>
      </c>
      <c r="C195" t="str">
        <f ca="1">IFERROR(__xludf.DUMMYFUNCTION("""COMPUTED_VALUE"""),"Kiradech Aphibarnrat")</f>
        <v>Kiradech Aphibarnrat</v>
      </c>
      <c r="D195">
        <f ca="1">IFERROR(__xludf.DUMMYFUNCTION("""COMPUTED_VALUE"""),12)</f>
        <v>12</v>
      </c>
      <c r="E195">
        <f ca="1">IFERROR(__xludf.DUMMYFUNCTION("""COMPUTED_VALUE"""),40.91)</f>
        <v>40.909999999999997</v>
      </c>
      <c r="F195">
        <f ca="1">IFERROR(__xludf.DUMMYFUNCTION("""COMPUTED_VALUE"""),9)</f>
        <v>9</v>
      </c>
      <c r="G195">
        <f ca="1">IFERROR(__xludf.DUMMYFUNCTION("""COMPUTED_VALUE"""),22)</f>
        <v>22</v>
      </c>
      <c r="H195" t="str">
        <f ca="1">IFERROR(__xludf.DUMMYFUNCTION("""COMPUTED_VALUE"""),"+11.00")</f>
        <v>+11.00</v>
      </c>
    </row>
    <row r="196" spans="1:8" ht="12.75">
      <c r="A196" t="str">
        <f ca="1">IFERROR(__xludf.DUMMYFUNCTION("""COMPUTED_VALUE"""),"T194")</f>
        <v>T194</v>
      </c>
      <c r="B196" t="str">
        <f ca="1">IFERROR(__xludf.DUMMYFUNCTION("""COMPUTED_VALUE"""),"T186")</f>
        <v>T186</v>
      </c>
      <c r="C196" t="str">
        <f ca="1">IFERROR(__xludf.DUMMYFUNCTION("""COMPUTED_VALUE"""),"Joel Dahmen")</f>
        <v>Joel Dahmen</v>
      </c>
      <c r="D196">
        <f ca="1">IFERROR(__xludf.DUMMYFUNCTION("""COMPUTED_VALUE"""),18)</f>
        <v>18</v>
      </c>
      <c r="E196">
        <f ca="1">IFERROR(__xludf.DUMMYFUNCTION("""COMPUTED_VALUE"""),40.91)</f>
        <v>40.909999999999997</v>
      </c>
      <c r="F196">
        <f ca="1">IFERROR(__xludf.DUMMYFUNCTION("""COMPUTED_VALUE"""),9)</f>
        <v>9</v>
      </c>
      <c r="G196">
        <f ca="1">IFERROR(__xludf.DUMMYFUNCTION("""COMPUTED_VALUE"""),22)</f>
        <v>22</v>
      </c>
      <c r="H196" t="str">
        <f ca="1">IFERROR(__xludf.DUMMYFUNCTION("""COMPUTED_VALUE"""),"+6.00")</f>
        <v>+6.00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IFERROR(__xludf.DUMMYFUNCTION("""COMPUTED_VALUE"""),"T186")</f>
        <v>T186</v>
      </c>
      <c r="C197" t="str">
        <f ca="1">IFERROR(__xludf.DUMMYFUNCTION("""COMPUTED_VALUE"""),"Vincent Whaley")</f>
        <v>Vincent Whaley</v>
      </c>
      <c r="D197">
        <f ca="1">IFERROR(__xludf.DUMMYFUNCTION("""COMPUTED_VALUE"""),14)</f>
        <v>14</v>
      </c>
      <c r="E197">
        <f ca="1">IFERROR(__xludf.DUMMYFUNCTION("""COMPUTED_VALUE"""),40.91)</f>
        <v>40.909999999999997</v>
      </c>
      <c r="F197">
        <f ca="1">IFERROR(__xludf.DUMMYFUNCTION("""COMPUTED_VALUE"""),9)</f>
        <v>9</v>
      </c>
      <c r="G197">
        <f ca="1">IFERROR(__xludf.DUMMYFUNCTION("""COMPUTED_VALUE"""),22)</f>
        <v>22</v>
      </c>
      <c r="H197" t="str">
        <f ca="1">IFERROR(__xludf.DUMMYFUNCTION("""COMPUTED_VALUE"""),"+2.00")</f>
        <v>+2.00</v>
      </c>
    </row>
    <row r="198" spans="1:8" ht="12.75">
      <c r="A198" t="str">
        <f ca="1">IFERROR(__xludf.DUMMYFUNCTION("""COMPUTED_VALUE"""),"T197")</f>
        <v>T197</v>
      </c>
      <c r="B198" t="str">
        <f ca="1">IFERROR(__xludf.DUMMYFUNCTION("""COMPUTED_VALUE"""),"T189")</f>
        <v>T189</v>
      </c>
      <c r="C198" t="str">
        <f ca="1">IFERROR(__xludf.DUMMYFUNCTION("""COMPUTED_VALUE"""),"Will Zalatoris")</f>
        <v>Will Zalatoris</v>
      </c>
      <c r="D198">
        <f ca="1">IFERROR(__xludf.DUMMYFUNCTION("""COMPUTED_VALUE"""),18)</f>
        <v>18</v>
      </c>
      <c r="E198">
        <f ca="1">IFERROR(__xludf.DUMMYFUNCTION("""COMPUTED_VALUE"""),40)</f>
        <v>40</v>
      </c>
      <c r="F198">
        <f ca="1">IFERROR(__xludf.DUMMYFUNCTION("""COMPUTED_VALUE"""),8)</f>
        <v>8</v>
      </c>
      <c r="G198">
        <f ca="1">IFERROR(__xludf.DUMMYFUNCTION("""COMPUTED_VALUE"""),20)</f>
        <v>20</v>
      </c>
      <c r="H198" t="str">
        <f ca="1">IFERROR(__xludf.DUMMYFUNCTION("""COMPUTED_VALUE"""),"+3.00")</f>
        <v>+3.00</v>
      </c>
    </row>
    <row r="199" spans="1:8" ht="12.75">
      <c r="A199" t="str">
        <f ca="1">IFERROR(__xludf.DUMMYFUNCTION("""COMPUTED_VALUE"""),"T197")</f>
        <v>T197</v>
      </c>
      <c r="B199" t="str">
        <f ca="1">IFERROR(__xludf.DUMMYFUNCTION("""COMPUTED_VALUE"""),"T225")</f>
        <v>T225</v>
      </c>
      <c r="C199" t="str">
        <f ca="1">IFERROR(__xludf.DUMMYFUNCTION("""COMPUTED_VALUE"""),"Carlos Ortiz")</f>
        <v>Carlos Ortiz</v>
      </c>
      <c r="D199">
        <f ca="1">IFERROR(__xludf.DUMMYFUNCTION("""COMPUTED_VALUE"""),20)</f>
        <v>20</v>
      </c>
      <c r="E199">
        <f ca="1">IFERROR(__xludf.DUMMYFUNCTION("""COMPUTED_VALUE"""),40)</f>
        <v>40</v>
      </c>
      <c r="F199">
        <f ca="1">IFERROR(__xludf.DUMMYFUNCTION("""COMPUTED_VALUE"""),8)</f>
        <v>8</v>
      </c>
      <c r="G199">
        <f ca="1">IFERROR(__xludf.DUMMYFUNCTION("""COMPUTED_VALUE"""),20)</f>
        <v>20</v>
      </c>
      <c r="H199" t="str">
        <f ca="1">IFERROR(__xludf.DUMMYFUNCTION("""COMPUTED_VALUE"""),"+7.00")</f>
        <v>+7.00</v>
      </c>
    </row>
    <row r="200" spans="1:8" ht="12.75">
      <c r="A200" t="str">
        <f ca="1">IFERROR(__xludf.DUMMYFUNCTION("""COMPUTED_VALUE"""),"T197")</f>
        <v>T197</v>
      </c>
      <c r="B200" t="str">
        <f ca="1">IFERROR(__xludf.DUMMYFUNCTION("""COMPUTED_VALUE"""),"T176")</f>
        <v>T176</v>
      </c>
      <c r="C200" t="str">
        <f ca="1">IFERROR(__xludf.DUMMYFUNCTION("""COMPUTED_VALUE"""),"Sungjae Im")</f>
        <v>Sungjae Im</v>
      </c>
      <c r="D200">
        <f ca="1">IFERROR(__xludf.DUMMYFUNCTION("""COMPUTED_VALUE"""),24)</f>
        <v>24</v>
      </c>
      <c r="E200">
        <f ca="1">IFERROR(__xludf.DUMMYFUNCTION("""COMPUTED_VALUE"""),40)</f>
        <v>40</v>
      </c>
      <c r="F200">
        <f ca="1">IFERROR(__xludf.DUMMYFUNCTION("""COMPUTED_VALUE"""),12)</f>
        <v>12</v>
      </c>
      <c r="G200">
        <f ca="1">IFERROR(__xludf.DUMMYFUNCTION("""COMPUTED_VALUE"""),30)</f>
        <v>30</v>
      </c>
      <c r="H200" t="str">
        <f ca="1">IFERROR(__xludf.DUMMYFUNCTION("""COMPUTED_VALUE"""),"+6.00")</f>
        <v>+6.00</v>
      </c>
    </row>
    <row r="201" spans="1:8" ht="12.75">
      <c r="A201" t="str">
        <f ca="1">IFERROR(__xludf.DUMMYFUNCTION("""COMPUTED_VALUE"""),"T197")</f>
        <v>T197</v>
      </c>
      <c r="B201" t="str">
        <f ca="1">IFERROR(__xludf.DUMMYFUNCTION("""COMPUTED_VALUE"""),"T184")</f>
        <v>T184</v>
      </c>
      <c r="C201" t="str">
        <f ca="1">IFERROR(__xludf.DUMMYFUNCTION("""COMPUTED_VALUE"""),"Michael Thompson")</f>
        <v>Michael Thompson</v>
      </c>
      <c r="D201">
        <f ca="1">IFERROR(__xludf.DUMMYFUNCTION("""COMPUTED_VALUE"""),16)</f>
        <v>16</v>
      </c>
      <c r="E201">
        <f ca="1">IFERROR(__xludf.DUMMYFUNCTION("""COMPUTED_VALUE"""),40)</f>
        <v>40</v>
      </c>
      <c r="F201">
        <f ca="1">IFERROR(__xludf.DUMMYFUNCTION("""COMPUTED_VALUE"""),8)</f>
        <v>8</v>
      </c>
      <c r="G201">
        <f ca="1">IFERROR(__xludf.DUMMYFUNCTION("""COMPUTED_VALUE"""),20)</f>
        <v>20</v>
      </c>
      <c r="H201" t="str">
        <f ca="1">IFERROR(__xludf.DUMMYFUNCTION("""COMPUTED_VALUE"""),"+7.00")</f>
        <v>+7.00</v>
      </c>
    </row>
    <row r="202" spans="1:8" ht="12.75">
      <c r="A202" t="str">
        <f ca="1">IFERROR(__xludf.DUMMYFUNCTION("""COMPUTED_VALUE"""),"T197")</f>
        <v>T197</v>
      </c>
      <c r="B202" t="str">
        <f ca="1">IFERROR(__xludf.DUMMYFUNCTION("""COMPUTED_VALUE"""),"T189")</f>
        <v>T189</v>
      </c>
      <c r="C202" t="str">
        <f ca="1">IFERROR(__xludf.DUMMYFUNCTION("""COMPUTED_VALUE"""),"Matthew Borchert")</f>
        <v>Matthew Borchert</v>
      </c>
      <c r="D202">
        <f ca="1">IFERROR(__xludf.DUMMYFUNCTION("""COMPUTED_VALUE"""),4)</f>
        <v>4</v>
      </c>
      <c r="E202">
        <f ca="1">IFERROR(__xludf.DUMMYFUNCTION("""COMPUTED_VALUE"""),40)</f>
        <v>40</v>
      </c>
      <c r="F202">
        <f ca="1">IFERROR(__xludf.DUMMYFUNCTION("""COMPUTED_VALUE"""),4)</f>
        <v>4</v>
      </c>
      <c r="G202">
        <f ca="1">IFERROR(__xludf.DUMMYFUNCTION("""COMPUTED_VALUE"""),10)</f>
        <v>10</v>
      </c>
      <c r="H202" t="str">
        <f ca="1">IFERROR(__xludf.DUMMYFUNCTION("""COMPUTED_VALUE"""),"+2.00")</f>
        <v>+2.00</v>
      </c>
    </row>
    <row r="203" spans="1:8" ht="12.75">
      <c r="A203" t="str">
        <f ca="1">IFERROR(__xludf.DUMMYFUNCTION("""COMPUTED_VALUE"""),"T197")</f>
        <v>T197</v>
      </c>
      <c r="B203" t="str">
        <f ca="1">IFERROR(__xludf.DUMMYFUNCTION("""COMPUTED_VALUE"""),"T189")</f>
        <v>T189</v>
      </c>
      <c r="C203" t="str">
        <f ca="1">IFERROR(__xludf.DUMMYFUNCTION("""COMPUTED_VALUE"""),"Chris Stroud")</f>
        <v>Chris Stroud</v>
      </c>
      <c r="D203">
        <f ca="1">IFERROR(__xludf.DUMMYFUNCTION("""COMPUTED_VALUE"""),6)</f>
        <v>6</v>
      </c>
      <c r="E203">
        <f ca="1">IFERROR(__xludf.DUMMYFUNCTION("""COMPUTED_VALUE"""),40)</f>
        <v>40</v>
      </c>
      <c r="F203">
        <f ca="1">IFERROR(__xludf.DUMMYFUNCTION("""COMPUTED_VALUE"""),4)</f>
        <v>4</v>
      </c>
      <c r="G203">
        <f ca="1">IFERROR(__xludf.DUMMYFUNCTION("""COMPUTED_VALUE"""),10)</f>
        <v>10</v>
      </c>
      <c r="H203" t="str">
        <f ca="1">IFERROR(__xludf.DUMMYFUNCTION("""COMPUTED_VALUE"""),"+2.00")</f>
        <v>+2.00</v>
      </c>
    </row>
    <row r="204" spans="1:8" ht="12.75">
      <c r="A204" t="str">
        <f ca="1">IFERROR(__xludf.DUMMYFUNCTION("""COMPUTED_VALUE"""),"T197")</f>
        <v>T197</v>
      </c>
      <c r="B204" t="str">
        <f ca="1">IFERROR(__xludf.DUMMYFUNCTION("""COMPUTED_VALUE"""),"T189")</f>
        <v>T189</v>
      </c>
      <c r="C204" t="str">
        <f ca="1">IFERROR(__xludf.DUMMYFUNCTION("""COMPUTED_VALUE"""),"Bubba Watson")</f>
        <v>Bubba Watson</v>
      </c>
      <c r="D204">
        <f ca="1">IFERROR(__xludf.DUMMYFUNCTION("""COMPUTED_VALUE"""),12)</f>
        <v>12</v>
      </c>
      <c r="E204">
        <f ca="1">IFERROR(__xludf.DUMMYFUNCTION("""COMPUTED_VALUE"""),40)</f>
        <v>40</v>
      </c>
      <c r="F204">
        <f ca="1">IFERROR(__xludf.DUMMYFUNCTION("""COMPUTED_VALUE"""),4)</f>
        <v>4</v>
      </c>
      <c r="G204">
        <f ca="1">IFERROR(__xludf.DUMMYFUNCTION("""COMPUTED_VALUE"""),10)</f>
        <v>10</v>
      </c>
      <c r="H204" t="str">
        <f ca="1">IFERROR(__xludf.DUMMYFUNCTION("""COMPUTED_VALUE"""),"+2.00")</f>
        <v>+2.00</v>
      </c>
    </row>
    <row r="205" spans="1:8" ht="12.75">
      <c r="A205" t="str">
        <f ca="1">IFERROR(__xludf.DUMMYFUNCTION("""COMPUTED_VALUE"""),"T197")</f>
        <v>T197</v>
      </c>
      <c r="B205" t="str">
        <f ca="1">IFERROR(__xludf.DUMMYFUNCTION("""COMPUTED_VALUE"""),"T189")</f>
        <v>T189</v>
      </c>
      <c r="C205" t="str">
        <f ca="1">IFERROR(__xludf.DUMMYFUNCTION("""COMPUTED_VALUE"""),"Tiger Woods")</f>
        <v>Tiger Woods</v>
      </c>
      <c r="D205">
        <f ca="1">IFERROR(__xludf.DUMMYFUNCTION("""COMPUTED_VALUE"""),6)</f>
        <v>6</v>
      </c>
      <c r="E205">
        <f ca="1">IFERROR(__xludf.DUMMYFUNCTION("""COMPUTED_VALUE"""),40)</f>
        <v>40</v>
      </c>
      <c r="F205">
        <f ca="1">IFERROR(__xludf.DUMMYFUNCTION("""COMPUTED_VALUE"""),6)</f>
        <v>6</v>
      </c>
      <c r="G205">
        <f ca="1">IFERROR(__xludf.DUMMYFUNCTION("""COMPUTED_VALUE"""),15)</f>
        <v>15</v>
      </c>
      <c r="H205" t="str">
        <f ca="1">IFERROR(__xludf.DUMMYFUNCTION("""COMPUTED_VALUE"""),"+8.00")</f>
        <v>+8.00</v>
      </c>
    </row>
    <row r="206" spans="1:8" ht="12.75">
      <c r="A206" t="str">
        <f ca="1">IFERROR(__xludf.DUMMYFUNCTION("""COMPUTED_VALUE"""),"T197")</f>
        <v>T197</v>
      </c>
      <c r="B206" t="str">
        <f ca="1">IFERROR(__xludf.DUMMYFUNCTION("""COMPUTED_VALUE"""),"T227")</f>
        <v>T227</v>
      </c>
      <c r="C206" t="str">
        <f ca="1">IFERROR(__xludf.DUMMYFUNCTION("""COMPUTED_VALUE"""),"Padraig Harrington")</f>
        <v>Padraig Harrington</v>
      </c>
      <c r="D206">
        <f ca="1">IFERROR(__xludf.DUMMYFUNCTION("""COMPUTED_VALUE"""),8)</f>
        <v>8</v>
      </c>
      <c r="E206">
        <f ca="1">IFERROR(__xludf.DUMMYFUNCTION("""COMPUTED_VALUE"""),40)</f>
        <v>40</v>
      </c>
      <c r="F206">
        <f ca="1">IFERROR(__xludf.DUMMYFUNCTION("""COMPUTED_VALUE"""),2)</f>
        <v>2</v>
      </c>
      <c r="G206">
        <f ca="1">IFERROR(__xludf.DUMMYFUNCTION("""COMPUTED_VALUE"""),5)</f>
        <v>5</v>
      </c>
      <c r="H206" t="str">
        <f ca="1">IFERROR(__xludf.DUMMYFUNCTION("""COMPUTED_VALUE"""),"+1.00")</f>
        <v>+1.00</v>
      </c>
    </row>
    <row r="207" spans="1:8" ht="12.75">
      <c r="A207" t="str">
        <f ca="1">IFERROR(__xludf.DUMMYFUNCTION("""COMPUTED_VALUE"""),"T197")</f>
        <v>T197</v>
      </c>
      <c r="B207" t="str">
        <f ca="1">IFERROR(__xludf.DUMMYFUNCTION("""COMPUTED_VALUE"""),"T200")</f>
        <v>T200</v>
      </c>
      <c r="C207" t="str">
        <f ca="1">IFERROR(__xludf.DUMMYFUNCTION("""COMPUTED_VALUE"""),"Sergio Garcia")</f>
        <v>Sergio Garcia</v>
      </c>
      <c r="D207">
        <f ca="1">IFERROR(__xludf.DUMMYFUNCTION("""COMPUTED_VALUE"""),18)</f>
        <v>18</v>
      </c>
      <c r="E207">
        <f ca="1">IFERROR(__xludf.DUMMYFUNCTION("""COMPUTED_VALUE"""),40)</f>
        <v>40</v>
      </c>
      <c r="F207">
        <f ca="1">IFERROR(__xludf.DUMMYFUNCTION("""COMPUTED_VALUE"""),12)</f>
        <v>12</v>
      </c>
      <c r="G207">
        <f ca="1">IFERROR(__xludf.DUMMYFUNCTION("""COMPUTED_VALUE"""),30)</f>
        <v>30</v>
      </c>
      <c r="H207" t="str">
        <f ca="1">IFERROR(__xludf.DUMMYFUNCTION("""COMPUTED_VALUE"""),"+4.00")</f>
        <v>+4.00</v>
      </c>
    </row>
    <row r="208" spans="1:8" ht="12.75">
      <c r="A208" t="str">
        <f ca="1">IFERROR(__xludf.DUMMYFUNCTION("""COMPUTED_VALUE"""),"T197")</f>
        <v>T197</v>
      </c>
      <c r="B208" t="str">
        <f ca="1">IFERROR(__xludf.DUMMYFUNCTION("""COMPUTED_VALUE"""),"T189")</f>
        <v>T189</v>
      </c>
      <c r="C208" t="str">
        <f ca="1">IFERROR(__xludf.DUMMYFUNCTION("""COMPUTED_VALUE"""),"Arjun Atwal")</f>
        <v>Arjun Atwal</v>
      </c>
      <c r="D208">
        <f ca="1">IFERROR(__xludf.DUMMYFUNCTION("""COMPUTED_VALUE"""),6)</f>
        <v>6</v>
      </c>
      <c r="E208">
        <f ca="1">IFERROR(__xludf.DUMMYFUNCTION("""COMPUTED_VALUE"""),40)</f>
        <v>40</v>
      </c>
      <c r="F208">
        <f ca="1">IFERROR(__xludf.DUMMYFUNCTION("""COMPUTED_VALUE"""),4)</f>
        <v>4</v>
      </c>
      <c r="G208">
        <f ca="1">IFERROR(__xludf.DUMMYFUNCTION("""COMPUTED_VALUE"""),10)</f>
        <v>10</v>
      </c>
      <c r="H208" t="str">
        <f ca="1">IFERROR(__xludf.DUMMYFUNCTION("""COMPUTED_VALUE"""),"+5.00")</f>
        <v>+5.00</v>
      </c>
    </row>
    <row r="209" spans="1:8" ht="12.75">
      <c r="A209">
        <f ca="1">IFERROR(__xludf.DUMMYFUNCTION("""COMPUTED_VALUE"""),208)</f>
        <v>208</v>
      </c>
      <c r="B209" t="str">
        <f ca="1">IFERROR(__xludf.DUMMYFUNCTION("""COMPUTED_VALUE"""),"T173")</f>
        <v>T173</v>
      </c>
      <c r="C209" t="str">
        <f ca="1">IFERROR(__xludf.DUMMYFUNCTION("""COMPUTED_VALUE"""),"David Hearn")</f>
        <v>David Hearn</v>
      </c>
      <c r="D209">
        <f ca="1">IFERROR(__xludf.DUMMYFUNCTION("""COMPUTED_VALUE"""),16)</f>
        <v>16</v>
      </c>
      <c r="E209">
        <f ca="1">IFERROR(__xludf.DUMMYFUNCTION("""COMPUTED_VALUE"""),38.89)</f>
        <v>38.89</v>
      </c>
      <c r="F209">
        <f ca="1">IFERROR(__xludf.DUMMYFUNCTION("""COMPUTED_VALUE"""),7)</f>
        <v>7</v>
      </c>
      <c r="G209">
        <f ca="1">IFERROR(__xludf.DUMMYFUNCTION("""COMPUTED_VALUE"""),18)</f>
        <v>18</v>
      </c>
      <c r="H209" t="str">
        <f ca="1">IFERROR(__xludf.DUMMYFUNCTION("""COMPUTED_VALUE"""),"+11.00")</f>
        <v>+11.00</v>
      </c>
    </row>
    <row r="210" spans="1:8" ht="12.75">
      <c r="A210" t="str">
        <f ca="1">IFERROR(__xludf.DUMMYFUNCTION("""COMPUTED_VALUE"""),"T209")</f>
        <v>T209</v>
      </c>
      <c r="B210" t="str">
        <f ca="1">IFERROR(__xludf.DUMMYFUNCTION("""COMPUTED_VALUE"""),"T200")</f>
        <v>T200</v>
      </c>
      <c r="C210" t="str">
        <f ca="1">IFERROR(__xludf.DUMMYFUNCTION("""COMPUTED_VALUE"""),"Ryan Brehm")</f>
        <v>Ryan Brehm</v>
      </c>
      <c r="D210">
        <f ca="1">IFERROR(__xludf.DUMMYFUNCTION("""COMPUTED_VALUE"""),10)</f>
        <v>10</v>
      </c>
      <c r="E210">
        <f ca="1">IFERROR(__xludf.DUMMYFUNCTION("""COMPUTED_VALUE"""),38.46)</f>
        <v>38.46</v>
      </c>
      <c r="F210">
        <f ca="1">IFERROR(__xludf.DUMMYFUNCTION("""COMPUTED_VALUE"""),5)</f>
        <v>5</v>
      </c>
      <c r="G210">
        <f ca="1">IFERROR(__xludf.DUMMYFUNCTION("""COMPUTED_VALUE"""),13)</f>
        <v>13</v>
      </c>
      <c r="H210" t="str">
        <f ca="1">IFERROR(__xludf.DUMMYFUNCTION("""COMPUTED_VALUE"""),"+6.00")</f>
        <v>+6.00</v>
      </c>
    </row>
    <row r="211" spans="1:8" ht="12.75">
      <c r="A211" t="str">
        <f ca="1">IFERROR(__xludf.DUMMYFUNCTION("""COMPUTED_VALUE"""),"T209")</f>
        <v>T209</v>
      </c>
      <c r="B211" t="str">
        <f ca="1">IFERROR(__xludf.DUMMYFUNCTION("""COMPUTED_VALUE"""),"T200")</f>
        <v>T200</v>
      </c>
      <c r="C211" t="str">
        <f ca="1">IFERROR(__xludf.DUMMYFUNCTION("""COMPUTED_VALUE"""),"Peter Uihlein")</f>
        <v>Peter Uihlein</v>
      </c>
      <c r="D211">
        <f ca="1">IFERROR(__xludf.DUMMYFUNCTION("""COMPUTED_VALUE"""),8)</f>
        <v>8</v>
      </c>
      <c r="E211">
        <f ca="1">IFERROR(__xludf.DUMMYFUNCTION("""COMPUTED_VALUE"""),38.46)</f>
        <v>38.46</v>
      </c>
      <c r="F211">
        <f ca="1">IFERROR(__xludf.DUMMYFUNCTION("""COMPUTED_VALUE"""),5)</f>
        <v>5</v>
      </c>
      <c r="G211">
        <f ca="1">IFERROR(__xludf.DUMMYFUNCTION("""COMPUTED_VALUE"""),13)</f>
        <v>13</v>
      </c>
      <c r="H211" t="str">
        <f ca="1">IFERROR(__xludf.DUMMYFUNCTION("""COMPUTED_VALUE"""),"+6.00")</f>
        <v>+6.00</v>
      </c>
    </row>
    <row r="212" spans="1:8" ht="12.75">
      <c r="A212" t="str">
        <f ca="1">IFERROR(__xludf.DUMMYFUNCTION("""COMPUTED_VALUE"""),"T209")</f>
        <v>T209</v>
      </c>
      <c r="B212">
        <f ca="1">IFERROR(__xludf.DUMMYFUNCTION("""COMPUTED_VALUE"""),221)</f>
        <v>221</v>
      </c>
      <c r="C212" t="str">
        <f ca="1">IFERROR(__xludf.DUMMYFUNCTION("""COMPUTED_VALUE"""),"Troy Merritt")</f>
        <v>Troy Merritt</v>
      </c>
      <c r="D212">
        <f ca="1">IFERROR(__xludf.DUMMYFUNCTION("""COMPUTED_VALUE"""),20)</f>
        <v>20</v>
      </c>
      <c r="E212">
        <f ca="1">IFERROR(__xludf.DUMMYFUNCTION("""COMPUTED_VALUE"""),38.46)</f>
        <v>38.46</v>
      </c>
      <c r="F212">
        <f ca="1">IFERROR(__xludf.DUMMYFUNCTION("""COMPUTED_VALUE"""),10)</f>
        <v>10</v>
      </c>
      <c r="G212">
        <f ca="1">IFERROR(__xludf.DUMMYFUNCTION("""COMPUTED_VALUE"""),26)</f>
        <v>26</v>
      </c>
      <c r="H212" t="str">
        <f ca="1">IFERROR(__xludf.DUMMYFUNCTION("""COMPUTED_VALUE"""),"+10.00")</f>
        <v>+10.00</v>
      </c>
    </row>
    <row r="213" spans="1:8" ht="12.75">
      <c r="A213" t="str">
        <f ca="1">IFERROR(__xludf.DUMMYFUNCTION("""COMPUTED_VALUE"""),"T209")</f>
        <v>T209</v>
      </c>
      <c r="B213" t="str">
        <f ca="1">IFERROR(__xludf.DUMMYFUNCTION("""COMPUTED_VALUE"""),"T200")</f>
        <v>T200</v>
      </c>
      <c r="C213" t="str">
        <f ca="1">IFERROR(__xludf.DUMMYFUNCTION("""COMPUTED_VALUE"""),"Jim Herman")</f>
        <v>Jim Herman</v>
      </c>
      <c r="D213">
        <f ca="1">IFERROR(__xludf.DUMMYFUNCTION("""COMPUTED_VALUE"""),12)</f>
        <v>12</v>
      </c>
      <c r="E213">
        <f ca="1">IFERROR(__xludf.DUMMYFUNCTION("""COMPUTED_VALUE"""),38.46)</f>
        <v>38.46</v>
      </c>
      <c r="F213">
        <f ca="1">IFERROR(__xludf.DUMMYFUNCTION("""COMPUTED_VALUE"""),5)</f>
        <v>5</v>
      </c>
      <c r="G213">
        <f ca="1">IFERROR(__xludf.DUMMYFUNCTION("""COMPUTED_VALUE"""),13)</f>
        <v>13</v>
      </c>
      <c r="H213" t="str">
        <f ca="1">IFERROR(__xludf.DUMMYFUNCTION("""COMPUTED_VALUE"""),"+3.00")</f>
        <v>+3.00</v>
      </c>
    </row>
    <row r="214" spans="1:8" ht="12.75">
      <c r="A214" t="str">
        <f ca="1">IFERROR(__xludf.DUMMYFUNCTION("""COMPUTED_VALUE"""),"T209")</f>
        <v>T209</v>
      </c>
      <c r="B214" t="str">
        <f ca="1">IFERROR(__xludf.DUMMYFUNCTION("""COMPUTED_VALUE"""),"T200")</f>
        <v>T200</v>
      </c>
      <c r="C214" t="str">
        <f ca="1">IFERROR(__xludf.DUMMYFUNCTION("""COMPUTED_VALUE"""),"Tommy Fleetwood")</f>
        <v>Tommy Fleetwood</v>
      </c>
      <c r="D214">
        <f ca="1">IFERROR(__xludf.DUMMYFUNCTION("""COMPUTED_VALUE"""),10)</f>
        <v>10</v>
      </c>
      <c r="E214">
        <f ca="1">IFERROR(__xludf.DUMMYFUNCTION("""COMPUTED_VALUE"""),38.46)</f>
        <v>38.46</v>
      </c>
      <c r="F214">
        <f ca="1">IFERROR(__xludf.DUMMYFUNCTION("""COMPUTED_VALUE"""),5)</f>
        <v>5</v>
      </c>
      <c r="G214">
        <f ca="1">IFERROR(__xludf.DUMMYFUNCTION("""COMPUTED_VALUE"""),13)</f>
        <v>13</v>
      </c>
      <c r="H214" t="str">
        <f ca="1">IFERROR(__xludf.DUMMYFUNCTION("""COMPUTED_VALUE"""),"+11.00")</f>
        <v>+11.00</v>
      </c>
    </row>
    <row r="215" spans="1:8" ht="12.75">
      <c r="A215" t="str">
        <f ca="1">IFERROR(__xludf.DUMMYFUNCTION("""COMPUTED_VALUE"""),"T209")</f>
        <v>T209</v>
      </c>
      <c r="B215" t="str">
        <f ca="1">IFERROR(__xludf.DUMMYFUNCTION("""COMPUTED_VALUE"""),"T179")</f>
        <v>T179</v>
      </c>
      <c r="C215" t="str">
        <f ca="1">IFERROR(__xludf.DUMMYFUNCTION("""COMPUTED_VALUE"""),"Patrick Rodgers")</f>
        <v>Patrick Rodgers</v>
      </c>
      <c r="D215">
        <f ca="1">IFERROR(__xludf.DUMMYFUNCTION("""COMPUTED_VALUE"""),18)</f>
        <v>18</v>
      </c>
      <c r="E215">
        <f ca="1">IFERROR(__xludf.DUMMYFUNCTION("""COMPUTED_VALUE"""),38.46)</f>
        <v>38.46</v>
      </c>
      <c r="F215">
        <f ca="1">IFERROR(__xludf.DUMMYFUNCTION("""COMPUTED_VALUE"""),5)</f>
        <v>5</v>
      </c>
      <c r="G215">
        <f ca="1">IFERROR(__xludf.DUMMYFUNCTION("""COMPUTED_VALUE"""),13)</f>
        <v>13</v>
      </c>
      <c r="H215" t="str">
        <f ca="1">IFERROR(__xludf.DUMMYFUNCTION("""COMPUTED_VALUE"""),"+1.00")</f>
        <v>+1.00</v>
      </c>
    </row>
    <row r="216" spans="1:8" ht="12.75">
      <c r="A216" t="str">
        <f ca="1">IFERROR(__xludf.DUMMYFUNCTION("""COMPUTED_VALUE"""),"T209")</f>
        <v>T209</v>
      </c>
      <c r="B216" t="str">
        <f ca="1">IFERROR(__xludf.DUMMYFUNCTION("""COMPUTED_VALUE"""),"T200")</f>
        <v>T200</v>
      </c>
      <c r="C216" t="str">
        <f ca="1">IFERROR(__xludf.DUMMYFUNCTION("""COMPUTED_VALUE"""),"Tyler McCumber")</f>
        <v>Tyler McCumber</v>
      </c>
      <c r="D216">
        <f ca="1">IFERROR(__xludf.DUMMYFUNCTION("""COMPUTED_VALUE"""),14)</f>
        <v>14</v>
      </c>
      <c r="E216">
        <f ca="1">IFERROR(__xludf.DUMMYFUNCTION("""COMPUTED_VALUE"""),38.46)</f>
        <v>38.46</v>
      </c>
      <c r="F216">
        <f ca="1">IFERROR(__xludf.DUMMYFUNCTION("""COMPUTED_VALUE"""),5)</f>
        <v>5</v>
      </c>
      <c r="G216">
        <f ca="1">IFERROR(__xludf.DUMMYFUNCTION("""COMPUTED_VALUE"""),13)</f>
        <v>13</v>
      </c>
      <c r="H216" t="str">
        <f ca="1">IFERROR(__xludf.DUMMYFUNCTION("""COMPUTED_VALUE"""),"+5.00")</f>
        <v>+5.00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IFERROR(__xludf.DUMMYFUNCTION("""COMPUTED_VALUE"""),210)</f>
        <v>210</v>
      </c>
      <c r="C217" t="str">
        <f ca="1">IFERROR(__xludf.DUMMYFUNCTION("""COMPUTED_VALUE"""),"Kyle Stanley")</f>
        <v>Kyle Stanley</v>
      </c>
      <c r="D217">
        <f ca="1">IFERROR(__xludf.DUMMYFUNCTION("""COMPUTED_VALUE"""),16)</f>
        <v>16</v>
      </c>
      <c r="E217">
        <f ca="1">IFERROR(__xludf.DUMMYFUNCTION("""COMPUTED_VALUE"""),38.1)</f>
        <v>38.1</v>
      </c>
      <c r="F217">
        <f ca="1">IFERROR(__xludf.DUMMYFUNCTION("""COMPUTED_VALUE"""),8)</f>
        <v>8</v>
      </c>
      <c r="G217">
        <f ca="1">IFERROR(__xludf.DUMMYFUNCTION("""COMPUTED_VALUE"""),21)</f>
        <v>21</v>
      </c>
      <c r="H217" t="str">
        <f ca="1">IFERROR(__xludf.DUMMYFUNCTION("""COMPUTED_VALUE"""),"+10.00")</f>
        <v>+10.00</v>
      </c>
    </row>
    <row r="218" spans="1:8" ht="12.75">
      <c r="A218">
        <f ca="1">IFERROR(__xludf.DUMMYFUNCTION("""COMPUTED_VALUE"""),217)</f>
        <v>217</v>
      </c>
      <c r="B218" t="str">
        <f ca="1">IFERROR(__xludf.DUMMYFUNCTION("""COMPUTED_VALUE"""),"T227")</f>
        <v>T227</v>
      </c>
      <c r="C218" t="str">
        <f ca="1">IFERROR(__xludf.DUMMYFUNCTION("""COMPUTED_VALUE"""),"Henrik Norlander")</f>
        <v>Henrik Norlander</v>
      </c>
      <c r="D218">
        <f ca="1">IFERROR(__xludf.DUMMYFUNCTION("""COMPUTED_VALUE"""),16)</f>
        <v>16</v>
      </c>
      <c r="E218">
        <f ca="1">IFERROR(__xludf.DUMMYFUNCTION("""COMPUTED_VALUE"""),37.93)</f>
        <v>37.93</v>
      </c>
      <c r="F218">
        <f ca="1">IFERROR(__xludf.DUMMYFUNCTION("""COMPUTED_VALUE"""),11)</f>
        <v>11</v>
      </c>
      <c r="G218">
        <f ca="1">IFERROR(__xludf.DUMMYFUNCTION("""COMPUTED_VALUE"""),29)</f>
        <v>29</v>
      </c>
      <c r="H218" t="str">
        <f ca="1">IFERROR(__xludf.DUMMYFUNCTION("""COMPUTED_VALUE"""),"+10.00")</f>
        <v>+10.00</v>
      </c>
    </row>
    <row r="219" spans="1:8" ht="12.75">
      <c r="A219" t="str">
        <f ca="1">IFERROR(__xludf.DUMMYFUNCTION("""COMPUTED_VALUE"""),"T218")</f>
        <v>T218</v>
      </c>
      <c r="B219" t="str">
        <f ca="1">IFERROR(__xludf.DUMMYFUNCTION("""COMPUTED_VALUE"""),"T189")</f>
        <v>T189</v>
      </c>
      <c r="C219" t="str">
        <f ca="1">IFERROR(__xludf.DUMMYFUNCTION("""COMPUTED_VALUE"""),"Xinjun Zhang")</f>
        <v>Xinjun Zhang</v>
      </c>
      <c r="D219">
        <f ca="1">IFERROR(__xludf.DUMMYFUNCTION("""COMPUTED_VALUE"""),14)</f>
        <v>14</v>
      </c>
      <c r="E219">
        <f ca="1">IFERROR(__xludf.DUMMYFUNCTION("""COMPUTED_VALUE"""),37.5)</f>
        <v>37.5</v>
      </c>
      <c r="F219">
        <f ca="1">IFERROR(__xludf.DUMMYFUNCTION("""COMPUTED_VALUE"""),6)</f>
        <v>6</v>
      </c>
      <c r="G219">
        <f ca="1">IFERROR(__xludf.DUMMYFUNCTION("""COMPUTED_VALUE"""),16)</f>
        <v>16</v>
      </c>
      <c r="H219" t="str">
        <f ca="1">IFERROR(__xludf.DUMMYFUNCTION("""COMPUTED_VALUE"""),"+5.00")</f>
        <v>+5.00</v>
      </c>
    </row>
    <row r="220" spans="1:8" ht="12.75">
      <c r="A220" t="str">
        <f ca="1">IFERROR(__xludf.DUMMYFUNCTION("""COMPUTED_VALUE"""),"T218")</f>
        <v>T218</v>
      </c>
      <c r="B220" t="str">
        <f ca="1">IFERROR(__xludf.DUMMYFUNCTION("""COMPUTED_VALUE"""),"T211")</f>
        <v>T211</v>
      </c>
      <c r="C220" t="str">
        <f ca="1">IFERROR(__xludf.DUMMYFUNCTION("""COMPUTED_VALUE"""),"J.B. Holmes")</f>
        <v>J.B. Holmes</v>
      </c>
      <c r="D220">
        <f ca="1">IFERROR(__xludf.DUMMYFUNCTION("""COMPUTED_VALUE"""),10)</f>
        <v>10</v>
      </c>
      <c r="E220">
        <f ca="1">IFERROR(__xludf.DUMMYFUNCTION("""COMPUTED_VALUE"""),37.5)</f>
        <v>37.5</v>
      </c>
      <c r="F220">
        <f ca="1">IFERROR(__xludf.DUMMYFUNCTION("""COMPUTED_VALUE"""),6)</f>
        <v>6</v>
      </c>
      <c r="G220">
        <f ca="1">IFERROR(__xludf.DUMMYFUNCTION("""COMPUTED_VALUE"""),16)</f>
        <v>16</v>
      </c>
      <c r="H220" t="str">
        <f ca="1">IFERROR(__xludf.DUMMYFUNCTION("""COMPUTED_VALUE"""),"+1.00")</f>
        <v>+1.00</v>
      </c>
    </row>
    <row r="221" spans="1:8" ht="12.75">
      <c r="A221" t="str">
        <f ca="1">IFERROR(__xludf.DUMMYFUNCTION("""COMPUTED_VALUE"""),"T218")</f>
        <v>T218</v>
      </c>
      <c r="B221" t="str">
        <f ca="1">IFERROR(__xludf.DUMMYFUNCTION("""COMPUTED_VALUE"""),"T211")</f>
        <v>T211</v>
      </c>
      <c r="C221" t="str">
        <f ca="1">IFERROR(__xludf.DUMMYFUNCTION("""COMPUTED_VALUE"""),"Jazz Janewattananond")</f>
        <v>Jazz Janewattananond</v>
      </c>
      <c r="D221">
        <f ca="1">IFERROR(__xludf.DUMMYFUNCTION("""COMPUTED_VALUE"""),6)</f>
        <v>6</v>
      </c>
      <c r="E221">
        <f ca="1">IFERROR(__xludf.DUMMYFUNCTION("""COMPUTED_VALUE"""),37.5)</f>
        <v>37.5</v>
      </c>
      <c r="F221">
        <f ca="1">IFERROR(__xludf.DUMMYFUNCTION("""COMPUTED_VALUE"""),3)</f>
        <v>3</v>
      </c>
      <c r="G221">
        <f ca="1">IFERROR(__xludf.DUMMYFUNCTION("""COMPUTED_VALUE"""),8)</f>
        <v>8</v>
      </c>
      <c r="H221" t="str">
        <f ca="1">IFERROR(__xludf.DUMMYFUNCTION("""COMPUTED_VALUE"""),"+3.00")</f>
        <v>+3.00</v>
      </c>
    </row>
    <row r="222" spans="1:8" ht="12.75">
      <c r="A222" t="str">
        <f ca="1">IFERROR(__xludf.DUMMYFUNCTION("""COMPUTED_VALUE"""),"T218")</f>
        <v>T218</v>
      </c>
      <c r="B222" t="str">
        <f ca="1">IFERROR(__xludf.DUMMYFUNCTION("""COMPUTED_VALUE"""),"T189")</f>
        <v>T189</v>
      </c>
      <c r="C222" t="str">
        <f ca="1">IFERROR(__xludf.DUMMYFUNCTION("""COMPUTED_VALUE"""),"Lanto Griffin")</f>
        <v>Lanto Griffin</v>
      </c>
      <c r="D222">
        <f ca="1">IFERROR(__xludf.DUMMYFUNCTION("""COMPUTED_VALUE"""),18)</f>
        <v>18</v>
      </c>
      <c r="E222">
        <f ca="1">IFERROR(__xludf.DUMMYFUNCTION("""COMPUTED_VALUE"""),37.5)</f>
        <v>37.5</v>
      </c>
      <c r="F222">
        <f ca="1">IFERROR(__xludf.DUMMYFUNCTION("""COMPUTED_VALUE"""),9)</f>
        <v>9</v>
      </c>
      <c r="G222">
        <f ca="1">IFERROR(__xludf.DUMMYFUNCTION("""COMPUTED_VALUE"""),24)</f>
        <v>24</v>
      </c>
      <c r="H222" t="str">
        <f ca="1">IFERROR(__xludf.DUMMYFUNCTION("""COMPUTED_VALUE"""),"+10.00")</f>
        <v>+10.00</v>
      </c>
    </row>
    <row r="223" spans="1:8" ht="12.75">
      <c r="A223" t="str">
        <f ca="1">IFERROR(__xludf.DUMMYFUNCTION("""COMPUTED_VALUE"""),"T218")</f>
        <v>T218</v>
      </c>
      <c r="B223" t="str">
        <f ca="1">IFERROR(__xludf.DUMMYFUNCTION("""COMPUTED_VALUE"""),"T211")</f>
        <v>T211</v>
      </c>
      <c r="C223" t="str">
        <f ca="1">IFERROR(__xludf.DUMMYFUNCTION("""COMPUTED_VALUE"""),"Chris Baker")</f>
        <v>Chris Baker</v>
      </c>
      <c r="D223">
        <f ca="1">IFERROR(__xludf.DUMMYFUNCTION("""COMPUTED_VALUE"""),8)</f>
        <v>8</v>
      </c>
      <c r="E223">
        <f ca="1">IFERROR(__xludf.DUMMYFUNCTION("""COMPUTED_VALUE"""),37.5)</f>
        <v>37.5</v>
      </c>
      <c r="F223">
        <f ca="1">IFERROR(__xludf.DUMMYFUNCTION("""COMPUTED_VALUE"""),6)</f>
        <v>6</v>
      </c>
      <c r="G223">
        <f ca="1">IFERROR(__xludf.DUMMYFUNCTION("""COMPUTED_VALUE"""),16)</f>
        <v>16</v>
      </c>
      <c r="H223" t="str">
        <f ca="1">IFERROR(__xludf.DUMMYFUNCTION("""COMPUTED_VALUE"""),"+8.00")</f>
        <v>+8.00</v>
      </c>
    </row>
    <row r="224" spans="1:8" ht="12.75">
      <c r="A224" t="str">
        <f ca="1">IFERROR(__xludf.DUMMYFUNCTION("""COMPUTED_VALUE"""),"T218")</f>
        <v>T218</v>
      </c>
      <c r="B224" t="str">
        <f ca="1">IFERROR(__xludf.DUMMYFUNCTION("""COMPUTED_VALUE"""),"T222")</f>
        <v>T222</v>
      </c>
      <c r="C224" t="str">
        <f ca="1">IFERROR(__xludf.DUMMYFUNCTION("""COMPUTED_VALUE"""),"Grayson Murray")</f>
        <v>Grayson Murray</v>
      </c>
      <c r="D224">
        <f ca="1">IFERROR(__xludf.DUMMYFUNCTION("""COMPUTED_VALUE"""),10)</f>
        <v>10</v>
      </c>
      <c r="E224">
        <f ca="1">IFERROR(__xludf.DUMMYFUNCTION("""COMPUTED_VALUE"""),37.5)</f>
        <v>37.5</v>
      </c>
      <c r="F224">
        <f ca="1">IFERROR(__xludf.DUMMYFUNCTION("""COMPUTED_VALUE"""),6)</f>
        <v>6</v>
      </c>
      <c r="G224">
        <f ca="1">IFERROR(__xludf.DUMMYFUNCTION("""COMPUTED_VALUE"""),16)</f>
        <v>16</v>
      </c>
      <c r="H224" t="str">
        <f ca="1">IFERROR(__xludf.DUMMYFUNCTION("""COMPUTED_VALUE"""),"+6.00")</f>
        <v>+6.00</v>
      </c>
    </row>
    <row r="225" spans="1:8" ht="12.75">
      <c r="A225" t="str">
        <f ca="1">IFERROR(__xludf.DUMMYFUNCTION("""COMPUTED_VALUE"""),"T224")</f>
        <v>T224</v>
      </c>
      <c r="B225" t="str">
        <f ca="1">IFERROR(__xludf.DUMMYFUNCTION("""COMPUTED_VALUE"""),"T216")</f>
        <v>T216</v>
      </c>
      <c r="C225" t="str">
        <f ca="1">IFERROR(__xludf.DUMMYFUNCTION("""COMPUTED_VALUE"""),"Roger Sloan")</f>
        <v>Roger Sloan</v>
      </c>
      <c r="D225">
        <f ca="1">IFERROR(__xludf.DUMMYFUNCTION("""COMPUTED_VALUE"""),12)</f>
        <v>12</v>
      </c>
      <c r="E225">
        <f ca="1">IFERROR(__xludf.DUMMYFUNCTION("""COMPUTED_VALUE"""),36.84)</f>
        <v>36.840000000000003</v>
      </c>
      <c r="F225">
        <f ca="1">IFERROR(__xludf.DUMMYFUNCTION("""COMPUTED_VALUE"""),7)</f>
        <v>7</v>
      </c>
      <c r="G225">
        <f ca="1">IFERROR(__xludf.DUMMYFUNCTION("""COMPUTED_VALUE"""),19)</f>
        <v>19</v>
      </c>
      <c r="H225" t="str">
        <f ca="1">IFERROR(__xludf.DUMMYFUNCTION("""COMPUTED_VALUE"""),"+4.00")</f>
        <v>+4.00</v>
      </c>
    </row>
    <row r="226" spans="1:8" ht="12.75">
      <c r="A226" t="str">
        <f ca="1">IFERROR(__xludf.DUMMYFUNCTION("""COMPUTED_VALUE"""),"T224")</f>
        <v>T224</v>
      </c>
      <c r="B226" t="str">
        <f ca="1">IFERROR(__xludf.DUMMYFUNCTION("""COMPUTED_VALUE"""),"T244")</f>
        <v>T244</v>
      </c>
      <c r="C226" t="str">
        <f ca="1">IFERROR(__xludf.DUMMYFUNCTION("""COMPUTED_VALUE"""),"Aaron Wise")</f>
        <v>Aaron Wise</v>
      </c>
      <c r="D226">
        <f ca="1">IFERROR(__xludf.DUMMYFUNCTION("""COMPUTED_VALUE"""),16)</f>
        <v>16</v>
      </c>
      <c r="E226">
        <f ca="1">IFERROR(__xludf.DUMMYFUNCTION("""COMPUTED_VALUE"""),36.84)</f>
        <v>36.840000000000003</v>
      </c>
      <c r="F226">
        <f ca="1">IFERROR(__xludf.DUMMYFUNCTION("""COMPUTED_VALUE"""),7)</f>
        <v>7</v>
      </c>
      <c r="G226">
        <f ca="1">IFERROR(__xludf.DUMMYFUNCTION("""COMPUTED_VALUE"""),19)</f>
        <v>19</v>
      </c>
      <c r="H226" t="str">
        <f ca="1">IFERROR(__xludf.DUMMYFUNCTION("""COMPUTED_VALUE"""),"+6.00")</f>
        <v>+6.00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IFERROR(__xludf.DUMMYFUNCTION("""COMPUTED_VALUE"""),"T211")</f>
        <v>T211</v>
      </c>
      <c r="C227" t="str">
        <f ca="1">IFERROR(__xludf.DUMMYFUNCTION("""COMPUTED_VALUE"""),"Andrew Landry")</f>
        <v>Andrew Landry</v>
      </c>
      <c r="D227">
        <f ca="1">IFERROR(__xludf.DUMMYFUNCTION("""COMPUTED_VALUE"""),14)</f>
        <v>14</v>
      </c>
      <c r="E227">
        <f ca="1">IFERROR(__xludf.DUMMYFUNCTION("""COMPUTED_VALUE"""),36.36)</f>
        <v>36.36</v>
      </c>
      <c r="F227">
        <f ca="1">IFERROR(__xludf.DUMMYFUNCTION("""COMPUTED_VALUE"""),4)</f>
        <v>4</v>
      </c>
      <c r="G227">
        <f ca="1">IFERROR(__xludf.DUMMYFUNCTION("""COMPUTED_VALUE"""),11)</f>
        <v>11</v>
      </c>
      <c r="H227" t="str">
        <f ca="1">IFERROR(__xludf.DUMMYFUNCTION("""COMPUTED_VALUE"""),"+2.00")</f>
        <v>+2.00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IFERROR(__xludf.DUMMYFUNCTION("""COMPUTED_VALUE"""),"T218")</f>
        <v>T218</v>
      </c>
      <c r="C228" t="str">
        <f ca="1">IFERROR(__xludf.DUMMYFUNCTION("""COMPUTED_VALUE"""),"Billy Horschel")</f>
        <v>Billy Horschel</v>
      </c>
      <c r="D228">
        <f ca="1">IFERROR(__xludf.DUMMYFUNCTION("""COMPUTED_VALUE"""),12)</f>
        <v>12</v>
      </c>
      <c r="E228">
        <f ca="1">IFERROR(__xludf.DUMMYFUNCTION("""COMPUTED_VALUE"""),36.36)</f>
        <v>36.36</v>
      </c>
      <c r="F228">
        <f ca="1">IFERROR(__xludf.DUMMYFUNCTION("""COMPUTED_VALUE"""),8)</f>
        <v>8</v>
      </c>
      <c r="G228">
        <f ca="1">IFERROR(__xludf.DUMMYFUNCTION("""COMPUTED_VALUE"""),22)</f>
        <v>22</v>
      </c>
      <c r="H228" t="str">
        <f ca="1">IFERROR(__xludf.DUMMYFUNCTION("""COMPUTED_VALUE"""),"+8.00")</f>
        <v>+8.00</v>
      </c>
    </row>
    <row r="229" spans="1:8" ht="12.75">
      <c r="A229" t="str">
        <f ca="1">IFERROR(__xludf.DUMMYFUNCTION("""COMPUTED_VALUE"""),"T228")</f>
        <v>T228</v>
      </c>
      <c r="B229" t="str">
        <f ca="1">IFERROR(__xludf.DUMMYFUNCTION("""COMPUTED_VALUE"""),"T162")</f>
        <v>T162</v>
      </c>
      <c r="C229" t="str">
        <f ca="1">IFERROR(__xludf.DUMMYFUNCTION("""COMPUTED_VALUE"""),"Danny Willett")</f>
        <v>Danny Willett</v>
      </c>
      <c r="D229">
        <f ca="1">IFERROR(__xludf.DUMMYFUNCTION("""COMPUTED_VALUE"""),7)</f>
        <v>7</v>
      </c>
      <c r="E229">
        <f ca="1">IFERROR(__xludf.DUMMYFUNCTION("""COMPUTED_VALUE"""),35.71)</f>
        <v>35.71</v>
      </c>
      <c r="F229">
        <f ca="1">IFERROR(__xludf.DUMMYFUNCTION("""COMPUTED_VALUE"""),5)</f>
        <v>5</v>
      </c>
      <c r="G229">
        <f ca="1">IFERROR(__xludf.DUMMYFUNCTION("""COMPUTED_VALUE"""),14)</f>
        <v>14</v>
      </c>
      <c r="H229" t="str">
        <f ca="1">IFERROR(__xludf.DUMMYFUNCTION("""COMPUTED_VALUE"""),"+8.00")</f>
        <v>+8.00</v>
      </c>
    </row>
    <row r="230" spans="1:8" ht="12.75">
      <c r="A230" t="str">
        <f ca="1">IFERROR(__xludf.DUMMYFUNCTION("""COMPUTED_VALUE"""),"T228")</f>
        <v>T228</v>
      </c>
      <c r="B230" t="str">
        <f ca="1">IFERROR(__xludf.DUMMYFUNCTION("""COMPUTED_VALUE"""),"T200")</f>
        <v>T200</v>
      </c>
      <c r="C230" t="str">
        <f ca="1">IFERROR(__xludf.DUMMYFUNCTION("""COMPUTED_VALUE"""),"Graham DeLaet")</f>
        <v>Graham DeLaet</v>
      </c>
      <c r="D230">
        <f ca="1">IFERROR(__xludf.DUMMYFUNCTION("""COMPUTED_VALUE"""),9)</f>
        <v>9</v>
      </c>
      <c r="E230">
        <f ca="1">IFERROR(__xludf.DUMMYFUNCTION("""COMPUTED_VALUE"""),35.71)</f>
        <v>35.71</v>
      </c>
      <c r="F230">
        <f ca="1">IFERROR(__xludf.DUMMYFUNCTION("""COMPUTED_VALUE"""),5)</f>
        <v>5</v>
      </c>
      <c r="G230">
        <f ca="1">IFERROR(__xludf.DUMMYFUNCTION("""COMPUTED_VALUE"""),14)</f>
        <v>14</v>
      </c>
      <c r="H230" t="str">
        <f ca="1">IFERROR(__xludf.DUMMYFUNCTION("""COMPUTED_VALUE"""),"+5.00")</f>
        <v>+5.00</v>
      </c>
    </row>
    <row r="231" spans="1:8" ht="12.75">
      <c r="A231" t="str">
        <f ca="1">IFERROR(__xludf.DUMMYFUNCTION("""COMPUTED_VALUE"""),"T228")</f>
        <v>T228</v>
      </c>
      <c r="B231" t="str">
        <f ca="1">IFERROR(__xludf.DUMMYFUNCTION("""COMPUTED_VALUE"""),"T227")</f>
        <v>T227</v>
      </c>
      <c r="C231" t="str">
        <f ca="1">IFERROR(__xludf.DUMMYFUNCTION("""COMPUTED_VALUE"""),"Bo Van Pelt")</f>
        <v>Bo Van Pelt</v>
      </c>
      <c r="D231">
        <f ca="1">IFERROR(__xludf.DUMMYFUNCTION("""COMPUTED_VALUE"""),10)</f>
        <v>10</v>
      </c>
      <c r="E231">
        <f ca="1">IFERROR(__xludf.DUMMYFUNCTION("""COMPUTED_VALUE"""),35.71)</f>
        <v>35.71</v>
      </c>
      <c r="F231">
        <f ca="1">IFERROR(__xludf.DUMMYFUNCTION("""COMPUTED_VALUE"""),5)</f>
        <v>5</v>
      </c>
      <c r="G231">
        <f ca="1">IFERROR(__xludf.DUMMYFUNCTION("""COMPUTED_VALUE"""),14)</f>
        <v>14</v>
      </c>
      <c r="H231" t="str">
        <f ca="1">IFERROR(__xludf.DUMMYFUNCTION("""COMPUTED_VALUE"""),"+7.00")</f>
        <v>+7.00</v>
      </c>
    </row>
    <row r="232" spans="1:8" ht="12.75">
      <c r="A232" t="str">
        <f ca="1">IFERROR(__xludf.DUMMYFUNCTION("""COMPUTED_VALUE"""),"T228")</f>
        <v>T228</v>
      </c>
      <c r="B232" t="str">
        <f ca="1">IFERROR(__xludf.DUMMYFUNCTION("""COMPUTED_VALUE"""),"T222")</f>
        <v>T222</v>
      </c>
      <c r="C232" t="str">
        <f ca="1">IFERROR(__xludf.DUMMYFUNCTION("""COMPUTED_VALUE"""),"John Senden")</f>
        <v>John Senden</v>
      </c>
      <c r="D232">
        <f ca="1">IFERROR(__xludf.DUMMYFUNCTION("""COMPUTED_VALUE"""),8)</f>
        <v>8</v>
      </c>
      <c r="E232">
        <f ca="1">IFERROR(__xludf.DUMMYFUNCTION("""COMPUTED_VALUE"""),35.71)</f>
        <v>35.71</v>
      </c>
      <c r="F232">
        <f ca="1">IFERROR(__xludf.DUMMYFUNCTION("""COMPUTED_VALUE"""),5)</f>
        <v>5</v>
      </c>
      <c r="G232">
        <f ca="1">IFERROR(__xludf.DUMMYFUNCTION("""COMPUTED_VALUE"""),14)</f>
        <v>14</v>
      </c>
      <c r="H232" t="str">
        <f ca="1">IFERROR(__xludf.DUMMYFUNCTION("""COMPUTED_VALUE"""),"+7.00")</f>
        <v>+7.00</v>
      </c>
    </row>
    <row r="233" spans="1:8" ht="12.75">
      <c r="A233" t="str">
        <f ca="1">IFERROR(__xludf.DUMMYFUNCTION("""COMPUTED_VALUE"""),"T228")</f>
        <v>T228</v>
      </c>
      <c r="B233" t="str">
        <f ca="1">IFERROR(__xludf.DUMMYFUNCTION("""COMPUTED_VALUE"""),"T222")</f>
        <v>T222</v>
      </c>
      <c r="C233" t="str">
        <f ca="1">IFERROR(__xludf.DUMMYFUNCTION("""COMPUTED_VALUE"""),"Jordan Spieth")</f>
        <v>Jordan Spieth</v>
      </c>
      <c r="D233">
        <f ca="1">IFERROR(__xludf.DUMMYFUNCTION("""COMPUTED_VALUE"""),14)</f>
        <v>14</v>
      </c>
      <c r="E233">
        <f ca="1">IFERROR(__xludf.DUMMYFUNCTION("""COMPUTED_VALUE"""),35.71)</f>
        <v>35.71</v>
      </c>
      <c r="F233">
        <f ca="1">IFERROR(__xludf.DUMMYFUNCTION("""COMPUTED_VALUE"""),5)</f>
        <v>5</v>
      </c>
      <c r="G233">
        <f ca="1">IFERROR(__xludf.DUMMYFUNCTION("""COMPUTED_VALUE"""),14)</f>
        <v>14</v>
      </c>
      <c r="H233" t="str">
        <f ca="1">IFERROR(__xludf.DUMMYFUNCTION("""COMPUTED_VALUE"""),"+6.00")</f>
        <v>+6.00</v>
      </c>
    </row>
    <row r="234" spans="1:8" ht="12.75">
      <c r="A234" t="str">
        <f ca="1">IFERROR(__xludf.DUMMYFUNCTION("""COMPUTED_VALUE"""),"T228")</f>
        <v>T228</v>
      </c>
      <c r="B234" t="str">
        <f ca="1">IFERROR(__xludf.DUMMYFUNCTION("""COMPUTED_VALUE"""),"T262")</f>
        <v>T262</v>
      </c>
      <c r="C234" t="str">
        <f ca="1">IFERROR(__xludf.DUMMYFUNCTION("""COMPUTED_VALUE"""),"Sam Ryder")</f>
        <v>Sam Ryder</v>
      </c>
      <c r="D234">
        <f ca="1">IFERROR(__xludf.DUMMYFUNCTION("""COMPUTED_VALUE"""),12)</f>
        <v>12</v>
      </c>
      <c r="E234">
        <f ca="1">IFERROR(__xludf.DUMMYFUNCTION("""COMPUTED_VALUE"""),35.71)</f>
        <v>35.71</v>
      </c>
      <c r="F234">
        <f ca="1">IFERROR(__xludf.DUMMYFUNCTION("""COMPUTED_VALUE"""),5)</f>
        <v>5</v>
      </c>
      <c r="G234">
        <f ca="1">IFERROR(__xludf.DUMMYFUNCTION("""COMPUTED_VALUE"""),14)</f>
        <v>14</v>
      </c>
      <c r="H234" t="str">
        <f ca="1">IFERROR(__xludf.DUMMYFUNCTION("""COMPUTED_VALUE"""),"+7.00")</f>
        <v>+7.00</v>
      </c>
    </row>
    <row r="235" spans="1:8" ht="12.75">
      <c r="A235">
        <f ca="1">IFERROR(__xludf.DUMMYFUNCTION("""COMPUTED_VALUE"""),234)</f>
        <v>234</v>
      </c>
      <c r="B235" t="str">
        <f ca="1">IFERROR(__xludf.DUMMYFUNCTION("""COMPUTED_VALUE"""),"T225")</f>
        <v>T225</v>
      </c>
      <c r="C235" t="str">
        <f ca="1">IFERROR(__xludf.DUMMYFUNCTION("""COMPUTED_VALUE"""),"Kevin Na")</f>
        <v>Kevin Na</v>
      </c>
      <c r="D235">
        <f ca="1">IFERROR(__xludf.DUMMYFUNCTION("""COMPUTED_VALUE"""),14)</f>
        <v>14</v>
      </c>
      <c r="E235">
        <f ca="1">IFERROR(__xludf.DUMMYFUNCTION("""COMPUTED_VALUE"""),35.29)</f>
        <v>35.29</v>
      </c>
      <c r="F235">
        <f ca="1">IFERROR(__xludf.DUMMYFUNCTION("""COMPUTED_VALUE"""),6)</f>
        <v>6</v>
      </c>
      <c r="G235">
        <f ca="1">IFERROR(__xludf.DUMMYFUNCTION("""COMPUTED_VALUE"""),17)</f>
        <v>17</v>
      </c>
      <c r="H235" t="str">
        <f ca="1">IFERROR(__xludf.DUMMYFUNCTION("""COMPUTED_VALUE"""),"+10.00")</f>
        <v>+10.00</v>
      </c>
    </row>
    <row r="236" spans="1:8" ht="12.75">
      <c r="A236">
        <f ca="1">IFERROR(__xludf.DUMMYFUNCTION("""COMPUTED_VALUE"""),235)</f>
        <v>235</v>
      </c>
      <c r="B236" t="str">
        <f ca="1">IFERROR(__xludf.DUMMYFUNCTION("""COMPUTED_VALUE"""),"T216")</f>
        <v>T216</v>
      </c>
      <c r="C236" t="str">
        <f ca="1">IFERROR(__xludf.DUMMYFUNCTION("""COMPUTED_VALUE"""),"Hideki Matsuyama")</f>
        <v>Hideki Matsuyama</v>
      </c>
      <c r="D236">
        <f ca="1">IFERROR(__xludf.DUMMYFUNCTION("""COMPUTED_VALUE"""),18)</f>
        <v>18</v>
      </c>
      <c r="E236">
        <f ca="1">IFERROR(__xludf.DUMMYFUNCTION("""COMPUTED_VALUE"""),34.78)</f>
        <v>34.78</v>
      </c>
      <c r="F236">
        <f ca="1">IFERROR(__xludf.DUMMYFUNCTION("""COMPUTED_VALUE"""),8)</f>
        <v>8</v>
      </c>
      <c r="G236">
        <f ca="1">IFERROR(__xludf.DUMMYFUNCTION("""COMPUTED_VALUE"""),23)</f>
        <v>23</v>
      </c>
      <c r="H236" t="str">
        <f ca="1">IFERROR(__xludf.DUMMYFUNCTION("""COMPUTED_VALUE"""),"+10.00")</f>
        <v>+10.00</v>
      </c>
    </row>
    <row r="237" spans="1:8" ht="12.75">
      <c r="A237" t="str">
        <f ca="1">IFERROR(__xludf.DUMMYFUNCTION("""COMPUTED_VALUE"""),"T236")</f>
        <v>T236</v>
      </c>
      <c r="B237" t="str">
        <f ca="1">IFERROR(__xludf.DUMMYFUNCTION("""COMPUTED_VALUE"""),"T227")</f>
        <v>T227</v>
      </c>
      <c r="C237" t="str">
        <f ca="1">IFERROR(__xludf.DUMMYFUNCTION("""COMPUTED_VALUE"""),"Joohyung Kim")</f>
        <v>Joohyung Kim</v>
      </c>
      <c r="D237">
        <f ca="1">IFERROR(__xludf.DUMMYFUNCTION("""COMPUTED_VALUE"""),12)</f>
        <v>12</v>
      </c>
      <c r="E237">
        <f ca="1">IFERROR(__xludf.DUMMYFUNCTION("""COMPUTED_VALUE"""),33.33)</f>
        <v>33.33</v>
      </c>
      <c r="F237">
        <f ca="1">IFERROR(__xludf.DUMMYFUNCTION("""COMPUTED_VALUE"""),5)</f>
        <v>5</v>
      </c>
      <c r="G237">
        <f ca="1">IFERROR(__xludf.DUMMYFUNCTION("""COMPUTED_VALUE"""),15)</f>
        <v>15</v>
      </c>
      <c r="H237" t="str">
        <f ca="1">IFERROR(__xludf.DUMMYFUNCTION("""COMPUTED_VALUE"""),"+8.00")</f>
        <v>+8.00</v>
      </c>
    </row>
    <row r="238" spans="1:8" ht="12.75">
      <c r="A238" t="str">
        <f ca="1">IFERROR(__xludf.DUMMYFUNCTION("""COMPUTED_VALUE"""),"T236")</f>
        <v>T236</v>
      </c>
      <c r="B238" t="str">
        <f ca="1">IFERROR(__xludf.DUMMYFUNCTION("""COMPUTED_VALUE"""),"T227")</f>
        <v>T227</v>
      </c>
      <c r="C238" t="str">
        <f ca="1">IFERROR(__xludf.DUMMYFUNCTION("""COMPUTED_VALUE"""),"Rickie Fowler")</f>
        <v>Rickie Fowler</v>
      </c>
      <c r="D238">
        <f ca="1">IFERROR(__xludf.DUMMYFUNCTION("""COMPUTED_VALUE"""),14)</f>
        <v>14</v>
      </c>
      <c r="E238">
        <f ca="1">IFERROR(__xludf.DUMMYFUNCTION("""COMPUTED_VALUE"""),33.33)</f>
        <v>33.33</v>
      </c>
      <c r="F238">
        <f ca="1">IFERROR(__xludf.DUMMYFUNCTION("""COMPUTED_VALUE"""),4)</f>
        <v>4</v>
      </c>
      <c r="G238">
        <f ca="1">IFERROR(__xludf.DUMMYFUNCTION("""COMPUTED_VALUE"""),12)</f>
        <v>12</v>
      </c>
      <c r="H238" t="str">
        <f ca="1">IFERROR(__xludf.DUMMYFUNCTION("""COMPUTED_VALUE"""),"+4.00")</f>
        <v>+4.00</v>
      </c>
    </row>
    <row r="239" spans="1:8" ht="12.75">
      <c r="A239" t="str">
        <f ca="1">IFERROR(__xludf.DUMMYFUNCTION("""COMPUTED_VALUE"""),"T236")</f>
        <v>T236</v>
      </c>
      <c r="B239" t="str">
        <f ca="1">IFERROR(__xludf.DUMMYFUNCTION("""COMPUTED_VALUE"""),"T227")</f>
        <v>T227</v>
      </c>
      <c r="C239" t="str">
        <f ca="1">IFERROR(__xludf.DUMMYFUNCTION("""COMPUTED_VALUE"""),"William McGirt")</f>
        <v>William McGirt</v>
      </c>
      <c r="D239">
        <f ca="1">IFERROR(__xludf.DUMMYFUNCTION("""COMPUTED_VALUE"""),6)</f>
        <v>6</v>
      </c>
      <c r="E239">
        <f ca="1">IFERROR(__xludf.DUMMYFUNCTION("""COMPUTED_VALUE"""),33.33)</f>
        <v>33.33</v>
      </c>
      <c r="F239">
        <f ca="1">IFERROR(__xludf.DUMMYFUNCTION("""COMPUTED_VALUE"""),2)</f>
        <v>2</v>
      </c>
      <c r="G239">
        <f ca="1">IFERROR(__xludf.DUMMYFUNCTION("""COMPUTED_VALUE"""),6)</f>
        <v>6</v>
      </c>
      <c r="H239" t="str">
        <f ca="1">IFERROR(__xludf.DUMMYFUNCTION("""COMPUTED_VALUE"""),"+3.00")</f>
        <v>+3.00</v>
      </c>
    </row>
    <row r="240" spans="1:8" ht="12.75">
      <c r="A240" t="str">
        <f ca="1">IFERROR(__xludf.DUMMYFUNCTION("""COMPUTED_VALUE"""),"T236")</f>
        <v>T236</v>
      </c>
      <c r="B240" t="str">
        <f ca="1">IFERROR(__xludf.DUMMYFUNCTION("""COMPUTED_VALUE"""),"T227")</f>
        <v>T227</v>
      </c>
      <c r="C240" t="str">
        <f ca="1">IFERROR(__xludf.DUMMYFUNCTION("""COMPUTED_VALUE"""),"Kevin Kisner")</f>
        <v>Kevin Kisner</v>
      </c>
      <c r="D240">
        <f ca="1">IFERROR(__xludf.DUMMYFUNCTION("""COMPUTED_VALUE"""),10)</f>
        <v>10</v>
      </c>
      <c r="E240">
        <f ca="1">IFERROR(__xludf.DUMMYFUNCTION("""COMPUTED_VALUE"""),33.33)</f>
        <v>33.33</v>
      </c>
      <c r="F240">
        <f ca="1">IFERROR(__xludf.DUMMYFUNCTION("""COMPUTED_VALUE"""),5)</f>
        <v>5</v>
      </c>
      <c r="G240">
        <f ca="1">IFERROR(__xludf.DUMMYFUNCTION("""COMPUTED_VALUE"""),15)</f>
        <v>15</v>
      </c>
      <c r="H240" t="str">
        <f ca="1">IFERROR(__xludf.DUMMYFUNCTION("""COMPUTED_VALUE"""),"+8.00")</f>
        <v>+8.00</v>
      </c>
    </row>
    <row r="241" spans="1:8" ht="12.75">
      <c r="A241" t="str">
        <f ca="1">IFERROR(__xludf.DUMMYFUNCTION("""COMPUTED_VALUE"""),"T236")</f>
        <v>T236</v>
      </c>
      <c r="B241" t="str">
        <f ca="1">IFERROR(__xludf.DUMMYFUNCTION("""COMPUTED_VALUE"""),"T227")</f>
        <v>T227</v>
      </c>
      <c r="C241" t="str">
        <f ca="1">IFERROR(__xludf.DUMMYFUNCTION("""COMPUTED_VALUE"""),"Romain Langasque")</f>
        <v>Romain Langasque</v>
      </c>
      <c r="D241">
        <f ca="1">IFERROR(__xludf.DUMMYFUNCTION("""COMPUTED_VALUE"""),4)</f>
        <v>4</v>
      </c>
      <c r="E241">
        <f ca="1">IFERROR(__xludf.DUMMYFUNCTION("""COMPUTED_VALUE"""),33.33)</f>
        <v>33.33</v>
      </c>
      <c r="F241">
        <f ca="1">IFERROR(__xludf.DUMMYFUNCTION("""COMPUTED_VALUE"""),2)</f>
        <v>2</v>
      </c>
      <c r="G241">
        <f ca="1">IFERROR(__xludf.DUMMYFUNCTION("""COMPUTED_VALUE"""),6)</f>
        <v>6</v>
      </c>
      <c r="H241" t="str">
        <f ca="1">IFERROR(__xludf.DUMMYFUNCTION("""COMPUTED_VALUE"""),"+6.00")</f>
        <v>+6.00</v>
      </c>
    </row>
    <row r="242" spans="1:8" ht="12.75">
      <c r="A242" t="str">
        <f ca="1">IFERROR(__xludf.DUMMYFUNCTION("""COMPUTED_VALUE"""),"T236")</f>
        <v>T236</v>
      </c>
      <c r="B242" t="str">
        <f ca="1">IFERROR(__xludf.DUMMYFUNCTION("""COMPUTED_VALUE"""),"T218")</f>
        <v>T218</v>
      </c>
      <c r="C242" t="str">
        <f ca="1">IFERROR(__xludf.DUMMYFUNCTION("""COMPUTED_VALUE"""),"Matthew NeSmith")</f>
        <v>Matthew NeSmith</v>
      </c>
      <c r="D242">
        <f ca="1">IFERROR(__xludf.DUMMYFUNCTION("""COMPUTED_VALUE"""),16)</f>
        <v>16</v>
      </c>
      <c r="E242">
        <f ca="1">IFERROR(__xludf.DUMMYFUNCTION("""COMPUTED_VALUE"""),33.33)</f>
        <v>33.33</v>
      </c>
      <c r="F242">
        <f ca="1">IFERROR(__xludf.DUMMYFUNCTION("""COMPUTED_VALUE"""),4)</f>
        <v>4</v>
      </c>
      <c r="G242">
        <f ca="1">IFERROR(__xludf.DUMMYFUNCTION("""COMPUTED_VALUE"""),12)</f>
        <v>12</v>
      </c>
      <c r="H242" t="str">
        <f ca="1">IFERROR(__xludf.DUMMYFUNCTION("""COMPUTED_VALUE"""),"+5.00")</f>
        <v>+5.00</v>
      </c>
    </row>
    <row r="243" spans="1:8" ht="12.75">
      <c r="A243" t="str">
        <f ca="1">IFERROR(__xludf.DUMMYFUNCTION("""COMPUTED_VALUE"""),"T236")</f>
        <v>T236</v>
      </c>
      <c r="B243" t="str">
        <f ca="1">IFERROR(__xludf.DUMMYFUNCTION("""COMPUTED_VALUE"""),"T227")</f>
        <v>T227</v>
      </c>
      <c r="C243" t="str">
        <f ca="1">IFERROR(__xludf.DUMMYFUNCTION("""COMPUTED_VALUE"""),"Joseph Bramlett")</f>
        <v>Joseph Bramlett</v>
      </c>
      <c r="D243">
        <f ca="1">IFERROR(__xludf.DUMMYFUNCTION("""COMPUTED_VALUE"""),18)</f>
        <v>18</v>
      </c>
      <c r="E243">
        <f ca="1">IFERROR(__xludf.DUMMYFUNCTION("""COMPUTED_VALUE"""),33.33)</f>
        <v>33.33</v>
      </c>
      <c r="F243">
        <f ca="1">IFERROR(__xludf.DUMMYFUNCTION("""COMPUTED_VALUE"""),9)</f>
        <v>9</v>
      </c>
      <c r="G243">
        <f ca="1">IFERROR(__xludf.DUMMYFUNCTION("""COMPUTED_VALUE"""),27)</f>
        <v>27</v>
      </c>
      <c r="H243" t="str">
        <f ca="1">IFERROR(__xludf.DUMMYFUNCTION("""COMPUTED_VALUE"""),"+11.00")</f>
        <v>+11.00</v>
      </c>
    </row>
    <row r="244" spans="1:8" ht="12.75">
      <c r="A244" t="str">
        <f ca="1">IFERROR(__xludf.DUMMYFUNCTION("""COMPUTED_VALUE"""),"T236")</f>
        <v>T236</v>
      </c>
      <c r="B244" t="str">
        <f ca="1">IFERROR(__xludf.DUMMYFUNCTION("""COMPUTED_VALUE"""),"T227")</f>
        <v>T227</v>
      </c>
      <c r="C244" t="str">
        <f ca="1">IFERROR(__xludf.DUMMYFUNCTION("""COMPUTED_VALUE"""),"Robert Streb")</f>
        <v>Robert Streb</v>
      </c>
      <c r="D244">
        <f ca="1">IFERROR(__xludf.DUMMYFUNCTION("""COMPUTED_VALUE"""),12)</f>
        <v>12</v>
      </c>
      <c r="E244">
        <f ca="1">IFERROR(__xludf.DUMMYFUNCTION("""COMPUTED_VALUE"""),33.33)</f>
        <v>33.33</v>
      </c>
      <c r="F244">
        <f ca="1">IFERROR(__xludf.DUMMYFUNCTION("""COMPUTED_VALUE"""),5)</f>
        <v>5</v>
      </c>
      <c r="G244">
        <f ca="1">IFERROR(__xludf.DUMMYFUNCTION("""COMPUTED_VALUE"""),15)</f>
        <v>15</v>
      </c>
      <c r="H244" t="str">
        <f ca="1">IFERROR(__xludf.DUMMYFUNCTION("""COMPUTED_VALUE"""),"+6.00")</f>
        <v>+6.00</v>
      </c>
    </row>
    <row r="245" spans="1:8" ht="12.75">
      <c r="A245" t="str">
        <f ca="1">IFERROR(__xludf.DUMMYFUNCTION("""COMPUTED_VALUE"""),"T236")</f>
        <v>T236</v>
      </c>
      <c r="B245" t="str">
        <f ca="1">IFERROR(__xludf.DUMMYFUNCTION("""COMPUTED_VALUE"""),"T227")</f>
        <v>T227</v>
      </c>
      <c r="C245" t="str">
        <f ca="1">IFERROR(__xludf.DUMMYFUNCTION("""COMPUTED_VALUE"""),"Bryson DeChambeau")</f>
        <v>Bryson DeChambeau</v>
      </c>
      <c r="D245">
        <f ca="1">IFERROR(__xludf.DUMMYFUNCTION("""COMPUTED_VALUE"""),8)</f>
        <v>8</v>
      </c>
      <c r="E245">
        <f ca="1">IFERROR(__xludf.DUMMYFUNCTION("""COMPUTED_VALUE"""),33.33)</f>
        <v>33.33</v>
      </c>
      <c r="F245">
        <f ca="1">IFERROR(__xludf.DUMMYFUNCTION("""COMPUTED_VALUE"""),3)</f>
        <v>3</v>
      </c>
      <c r="G245">
        <f ca="1">IFERROR(__xludf.DUMMYFUNCTION("""COMPUTED_VALUE"""),9)</f>
        <v>9</v>
      </c>
      <c r="H245" t="str">
        <f ca="1">IFERROR(__xludf.DUMMYFUNCTION("""COMPUTED_VALUE"""),"+3.00")</f>
        <v>+3.00</v>
      </c>
    </row>
    <row r="246" spans="1:8" ht="12.75">
      <c r="A246" t="str">
        <f ca="1">IFERROR(__xludf.DUMMYFUNCTION("""COMPUTED_VALUE"""),"T245")</f>
        <v>T245</v>
      </c>
      <c r="B246" t="str">
        <f ca="1">IFERROR(__xludf.DUMMYFUNCTION("""COMPUTED_VALUE"""),"T242")</f>
        <v>T242</v>
      </c>
      <c r="C246" t="str">
        <f ca="1">IFERROR(__xludf.DUMMYFUNCTION("""COMPUTED_VALUE"""),"Chase Seiffert")</f>
        <v>Chase Seiffert</v>
      </c>
      <c r="D246">
        <f ca="1">IFERROR(__xludf.DUMMYFUNCTION("""COMPUTED_VALUE"""),14)</f>
        <v>14</v>
      </c>
      <c r="E246">
        <f ca="1">IFERROR(__xludf.DUMMYFUNCTION("""COMPUTED_VALUE"""),32)</f>
        <v>32</v>
      </c>
      <c r="F246">
        <f ca="1">IFERROR(__xludf.DUMMYFUNCTION("""COMPUTED_VALUE"""),8)</f>
        <v>8</v>
      </c>
      <c r="G246">
        <f ca="1">IFERROR(__xludf.DUMMYFUNCTION("""COMPUTED_VALUE"""),25)</f>
        <v>25</v>
      </c>
      <c r="H246" t="str">
        <f ca="1">IFERROR(__xludf.DUMMYFUNCTION("""COMPUTED_VALUE"""),"+13.00")</f>
        <v>+13.00</v>
      </c>
    </row>
    <row r="247" spans="1:8" ht="12.75">
      <c r="A247" t="str">
        <f ca="1">IFERROR(__xludf.DUMMYFUNCTION("""COMPUTED_VALUE"""),"T245")</f>
        <v>T245</v>
      </c>
      <c r="B247" t="str">
        <f ca="1">IFERROR(__xludf.DUMMYFUNCTION("""COMPUTED_VALUE"""),"T242")</f>
        <v>T242</v>
      </c>
      <c r="C247" t="str">
        <f ca="1">IFERROR(__xludf.DUMMYFUNCTION("""COMPUTED_VALUE"""),"Luke Donald")</f>
        <v>Luke Donald</v>
      </c>
      <c r="D247">
        <f ca="1">IFERROR(__xludf.DUMMYFUNCTION("""COMPUTED_VALUE"""),14)</f>
        <v>14</v>
      </c>
      <c r="E247">
        <f ca="1">IFERROR(__xludf.DUMMYFUNCTION("""COMPUTED_VALUE"""),32)</f>
        <v>32</v>
      </c>
      <c r="F247">
        <f ca="1">IFERROR(__xludf.DUMMYFUNCTION("""COMPUTED_VALUE"""),8)</f>
        <v>8</v>
      </c>
      <c r="G247">
        <f ca="1">IFERROR(__xludf.DUMMYFUNCTION("""COMPUTED_VALUE"""),25)</f>
        <v>25</v>
      </c>
      <c r="H247" t="str">
        <f ca="1">IFERROR(__xludf.DUMMYFUNCTION("""COMPUTED_VALUE"""),"+11.00")</f>
        <v>+11.00</v>
      </c>
    </row>
    <row r="248" spans="1:8" ht="12.75">
      <c r="A248" t="str">
        <f ca="1">IFERROR(__xludf.DUMMYFUNCTION("""COMPUTED_VALUE"""),"T247")</f>
        <v>T247</v>
      </c>
      <c r="B248" t="str">
        <f ca="1">IFERROR(__xludf.DUMMYFUNCTION("""COMPUTED_VALUE"""),"T200")</f>
        <v>T200</v>
      </c>
      <c r="C248" t="str">
        <f ca="1">IFERROR(__xludf.DUMMYFUNCTION("""COMPUTED_VALUE"""),"Martin Laird")</f>
        <v>Martin Laird</v>
      </c>
      <c r="D248">
        <f ca="1">IFERROR(__xludf.DUMMYFUNCTION("""COMPUTED_VALUE"""),16)</f>
        <v>16</v>
      </c>
      <c r="E248">
        <f ca="1">IFERROR(__xludf.DUMMYFUNCTION("""COMPUTED_VALUE"""),31.25)</f>
        <v>31.25</v>
      </c>
      <c r="F248">
        <f ca="1">IFERROR(__xludf.DUMMYFUNCTION("""COMPUTED_VALUE"""),5)</f>
        <v>5</v>
      </c>
      <c r="G248">
        <f ca="1">IFERROR(__xludf.DUMMYFUNCTION("""COMPUTED_VALUE"""),16)</f>
        <v>16</v>
      </c>
      <c r="H248" t="str">
        <f ca="1">IFERROR(__xludf.DUMMYFUNCTION("""COMPUTED_VALUE"""),"+6.00")</f>
        <v>+6.00</v>
      </c>
    </row>
    <row r="249" spans="1:8" ht="12.75">
      <c r="A249" t="str">
        <f ca="1">IFERROR(__xludf.DUMMYFUNCTION("""COMPUTED_VALUE"""),"T247")</f>
        <v>T247</v>
      </c>
      <c r="B249" t="str">
        <f ca="1">IFERROR(__xludf.DUMMYFUNCTION("""COMPUTED_VALUE"""),"T244")</f>
        <v>T244</v>
      </c>
      <c r="C249" t="str">
        <f ca="1">IFERROR(__xludf.DUMMYFUNCTION("""COMPUTED_VALUE"""),"Abraham Ancer")</f>
        <v>Abraham Ancer</v>
      </c>
      <c r="D249">
        <f ca="1">IFERROR(__xludf.DUMMYFUNCTION("""COMPUTED_VALUE"""),16)</f>
        <v>16</v>
      </c>
      <c r="E249">
        <f ca="1">IFERROR(__xludf.DUMMYFUNCTION("""COMPUTED_VALUE"""),31.25)</f>
        <v>31.25</v>
      </c>
      <c r="F249">
        <f ca="1">IFERROR(__xludf.DUMMYFUNCTION("""COMPUTED_VALUE"""),5)</f>
        <v>5</v>
      </c>
      <c r="G249">
        <f ca="1">IFERROR(__xludf.DUMMYFUNCTION("""COMPUTED_VALUE"""),16)</f>
        <v>16</v>
      </c>
      <c r="H249" t="str">
        <f ca="1">IFERROR(__xludf.DUMMYFUNCTION("""COMPUTED_VALUE"""),"+11.00")</f>
        <v>+11.00</v>
      </c>
    </row>
    <row r="250" spans="1:8" ht="12.75">
      <c r="A250" t="str">
        <f ca="1">IFERROR(__xludf.DUMMYFUNCTION("""COMPUTED_VALUE"""),"T249")</f>
        <v>T249</v>
      </c>
      <c r="B250" t="str">
        <f ca="1">IFERROR(__xludf.DUMMYFUNCTION("""COMPUTED_VALUE"""),"T227")</f>
        <v>T227</v>
      </c>
      <c r="C250" t="str">
        <f ca="1">IFERROR(__xludf.DUMMYFUNCTION("""COMPUTED_VALUE"""),"Tom Lewis")</f>
        <v>Tom Lewis</v>
      </c>
      <c r="D250">
        <f ca="1">IFERROR(__xludf.DUMMYFUNCTION("""COMPUTED_VALUE"""),12)</f>
        <v>12</v>
      </c>
      <c r="E250">
        <f ca="1">IFERROR(__xludf.DUMMYFUNCTION("""COMPUTED_VALUE"""),30.77)</f>
        <v>30.77</v>
      </c>
      <c r="F250">
        <f ca="1">IFERROR(__xludf.DUMMYFUNCTION("""COMPUTED_VALUE"""),8)</f>
        <v>8</v>
      </c>
      <c r="G250">
        <f ca="1">IFERROR(__xludf.DUMMYFUNCTION("""COMPUTED_VALUE"""),26)</f>
        <v>26</v>
      </c>
      <c r="H250" t="str">
        <f ca="1">IFERROR(__xludf.DUMMYFUNCTION("""COMPUTED_VALUE"""),"+12.00")</f>
        <v>+12.00</v>
      </c>
    </row>
    <row r="251" spans="1:8" ht="12.75">
      <c r="A251" t="str">
        <f ca="1">IFERROR(__xludf.DUMMYFUNCTION("""COMPUTED_VALUE"""),"T249")</f>
        <v>T249</v>
      </c>
      <c r="B251">
        <f ca="1">IFERROR(__xludf.DUMMYFUNCTION("""COMPUTED_VALUE"""),246)</f>
        <v>246</v>
      </c>
      <c r="C251" t="str">
        <f ca="1">IFERROR(__xludf.DUMMYFUNCTION("""COMPUTED_VALUE"""),"Rafael Campos")</f>
        <v>Rafael Campos</v>
      </c>
      <c r="D251">
        <f ca="1">IFERROR(__xludf.DUMMYFUNCTION("""COMPUTED_VALUE"""),6)</f>
        <v>6</v>
      </c>
      <c r="E251">
        <f ca="1">IFERROR(__xludf.DUMMYFUNCTION("""COMPUTED_VALUE"""),30.77)</f>
        <v>30.77</v>
      </c>
      <c r="F251">
        <f ca="1">IFERROR(__xludf.DUMMYFUNCTION("""COMPUTED_VALUE"""),4)</f>
        <v>4</v>
      </c>
      <c r="G251">
        <f ca="1">IFERROR(__xludf.DUMMYFUNCTION("""COMPUTED_VALUE"""),13)</f>
        <v>13</v>
      </c>
      <c r="H251" t="str">
        <f ca="1">IFERROR(__xludf.DUMMYFUNCTION("""COMPUTED_VALUE"""),"+10.00")</f>
        <v>+10.00</v>
      </c>
    </row>
    <row r="252" spans="1:8" ht="12.75">
      <c r="A252" t="str">
        <f ca="1">IFERROR(__xludf.DUMMYFUNCTION("""COMPUTED_VALUE"""),"T251")</f>
        <v>T251</v>
      </c>
      <c r="B252" t="str">
        <f ca="1">IFERROR(__xludf.DUMMYFUNCTION("""COMPUTED_VALUE"""),"T247")</f>
        <v>T247</v>
      </c>
      <c r="C252" t="str">
        <f ca="1">IFERROR(__xludf.DUMMYFUNCTION("""COMPUTED_VALUE"""),"George Markham")</f>
        <v>George Markham</v>
      </c>
      <c r="D252">
        <f ca="1">IFERROR(__xludf.DUMMYFUNCTION("""COMPUTED_VALUE"""),4)</f>
        <v>4</v>
      </c>
      <c r="E252">
        <f ca="1">IFERROR(__xludf.DUMMYFUNCTION("""COMPUTED_VALUE"""),30)</f>
        <v>30</v>
      </c>
      <c r="F252">
        <f ca="1">IFERROR(__xludf.DUMMYFUNCTION("""COMPUTED_VALUE"""),3)</f>
        <v>3</v>
      </c>
      <c r="G252">
        <f ca="1">IFERROR(__xludf.DUMMYFUNCTION("""COMPUTED_VALUE"""),10)</f>
        <v>10</v>
      </c>
      <c r="H252" t="str">
        <f ca="1">IFERROR(__xludf.DUMMYFUNCTION("""COMPUTED_VALUE"""),"+2.00")</f>
        <v>+2.00</v>
      </c>
    </row>
    <row r="253" spans="1:8" ht="12.75">
      <c r="A253" t="str">
        <f ca="1">IFERROR(__xludf.DUMMYFUNCTION("""COMPUTED_VALUE"""),"T251")</f>
        <v>T251</v>
      </c>
      <c r="B253" t="str">
        <f ca="1">IFERROR(__xludf.DUMMYFUNCTION("""COMPUTED_VALUE"""),"T252")</f>
        <v>T252</v>
      </c>
      <c r="C253" t="str">
        <f ca="1">IFERROR(__xludf.DUMMYFUNCTION("""COMPUTED_VALUE"""),"Ted Potter, Jr.")</f>
        <v>Ted Potter, Jr.</v>
      </c>
      <c r="D253">
        <f ca="1">IFERROR(__xludf.DUMMYFUNCTION("""COMPUTED_VALUE"""),8)</f>
        <v>8</v>
      </c>
      <c r="E253">
        <f ca="1">IFERROR(__xludf.DUMMYFUNCTION("""COMPUTED_VALUE"""),30)</f>
        <v>30</v>
      </c>
      <c r="F253">
        <f ca="1">IFERROR(__xludf.DUMMYFUNCTION("""COMPUTED_VALUE"""),3)</f>
        <v>3</v>
      </c>
      <c r="G253">
        <f ca="1">IFERROR(__xludf.DUMMYFUNCTION("""COMPUTED_VALUE"""),10)</f>
        <v>10</v>
      </c>
      <c r="H253" t="str">
        <f ca="1">IFERROR(__xludf.DUMMYFUNCTION("""COMPUTED_VALUE"""),"+2.00")</f>
        <v>+2.00</v>
      </c>
    </row>
    <row r="254" spans="1:8" ht="12.75">
      <c r="A254" t="str">
        <f ca="1">IFERROR(__xludf.DUMMYFUNCTION("""COMPUTED_VALUE"""),"T251")</f>
        <v>T251</v>
      </c>
      <c r="B254" t="str">
        <f ca="1">IFERROR(__xludf.DUMMYFUNCTION("""COMPUTED_VALUE"""),"")</f>
        <v/>
      </c>
      <c r="C254" t="str">
        <f ca="1">IFERROR(__xludf.DUMMYFUNCTION("""COMPUTED_VALUE"""),"Greg Chalmers")</f>
        <v>Greg Chalmers</v>
      </c>
      <c r="D254">
        <f ca="1">IFERROR(__xludf.DUMMYFUNCTION("""COMPUTED_VALUE"""),6)</f>
        <v>6</v>
      </c>
      <c r="E254">
        <f ca="1">IFERROR(__xludf.DUMMYFUNCTION("""COMPUTED_VALUE"""),30)</f>
        <v>30</v>
      </c>
      <c r="F254">
        <f ca="1">IFERROR(__xludf.DUMMYFUNCTION("""COMPUTED_VALUE"""),3)</f>
        <v>3</v>
      </c>
      <c r="G254">
        <f ca="1">IFERROR(__xludf.DUMMYFUNCTION("""COMPUTED_VALUE"""),10)</f>
        <v>10</v>
      </c>
      <c r="H254" t="str">
        <f ca="1">IFERROR(__xludf.DUMMYFUNCTION("""COMPUTED_VALUE"""),"+9.00")</f>
        <v>+9.00</v>
      </c>
    </row>
    <row r="255" spans="1:8" ht="12.75">
      <c r="A255" t="str">
        <f ca="1">IFERROR(__xludf.DUMMYFUNCTION("""COMPUTED_VALUE"""),"T251")</f>
        <v>T251</v>
      </c>
      <c r="B255" t="str">
        <f ca="1">IFERROR(__xludf.DUMMYFUNCTION("""COMPUTED_VALUE"""),"T247")</f>
        <v>T247</v>
      </c>
      <c r="C255" t="str">
        <f ca="1">IFERROR(__xludf.DUMMYFUNCTION("""COMPUTED_VALUE"""),"Marc Leishman")</f>
        <v>Marc Leishman</v>
      </c>
      <c r="D255">
        <f ca="1">IFERROR(__xludf.DUMMYFUNCTION("""COMPUTED_VALUE"""),10)</f>
        <v>10</v>
      </c>
      <c r="E255">
        <f ca="1">IFERROR(__xludf.DUMMYFUNCTION("""COMPUTED_VALUE"""),30)</f>
        <v>30</v>
      </c>
      <c r="F255">
        <f ca="1">IFERROR(__xludf.DUMMYFUNCTION("""COMPUTED_VALUE"""),3)</f>
        <v>3</v>
      </c>
      <c r="G255">
        <f ca="1">IFERROR(__xludf.DUMMYFUNCTION("""COMPUTED_VALUE"""),10)</f>
        <v>10</v>
      </c>
      <c r="H255" t="str">
        <f ca="1">IFERROR(__xludf.DUMMYFUNCTION("""COMPUTED_VALUE"""),"+3.00")</f>
        <v>+3.00</v>
      </c>
    </row>
    <row r="256" spans="1:8" ht="12.75">
      <c r="A256" t="str">
        <f ca="1">IFERROR(__xludf.DUMMYFUNCTION("""COMPUTED_VALUE"""),"T251")</f>
        <v>T251</v>
      </c>
      <c r="B256" t="str">
        <f ca="1">IFERROR(__xludf.DUMMYFUNCTION("""COMPUTED_VALUE"""),"T247")</f>
        <v>T247</v>
      </c>
      <c r="C256" t="str">
        <f ca="1">IFERROR(__xludf.DUMMYFUNCTION("""COMPUTED_VALUE"""),"Shaun Norris")</f>
        <v>Shaun Norris</v>
      </c>
      <c r="D256">
        <f ca="1">IFERROR(__xludf.DUMMYFUNCTION("""COMPUTED_VALUE"""),6)</f>
        <v>6</v>
      </c>
      <c r="E256">
        <f ca="1">IFERROR(__xludf.DUMMYFUNCTION("""COMPUTED_VALUE"""),30)</f>
        <v>30</v>
      </c>
      <c r="F256">
        <f ca="1">IFERROR(__xludf.DUMMYFUNCTION("""COMPUTED_VALUE"""),3)</f>
        <v>3</v>
      </c>
      <c r="G256">
        <f ca="1">IFERROR(__xludf.DUMMYFUNCTION("""COMPUTED_VALUE"""),10)</f>
        <v>10</v>
      </c>
      <c r="H256" t="str">
        <f ca="1">IFERROR(__xludf.DUMMYFUNCTION("""COMPUTED_VALUE"""),"+5.00")</f>
        <v>+5.00</v>
      </c>
    </row>
    <row r="257" spans="1:8" ht="12.75">
      <c r="A257" t="str">
        <f ca="1">IFERROR(__xludf.DUMMYFUNCTION("""COMPUTED_VALUE"""),"T251")</f>
        <v>T251</v>
      </c>
      <c r="B257" t="str">
        <f ca="1">IFERROR(__xludf.DUMMYFUNCTION("""COMPUTED_VALUE"""),"T247")</f>
        <v>T247</v>
      </c>
      <c r="C257" t="str">
        <f ca="1">IFERROR(__xludf.DUMMYFUNCTION("""COMPUTED_VALUE"""),"Joaquin Niemann")</f>
        <v>Joaquin Niemann</v>
      </c>
      <c r="D257">
        <f ca="1">IFERROR(__xludf.DUMMYFUNCTION("""COMPUTED_VALUE"""),16)</f>
        <v>16</v>
      </c>
      <c r="E257">
        <f ca="1">IFERROR(__xludf.DUMMYFUNCTION("""COMPUTED_VALUE"""),30)</f>
        <v>30</v>
      </c>
      <c r="F257">
        <f ca="1">IFERROR(__xludf.DUMMYFUNCTION("""COMPUTED_VALUE"""),6)</f>
        <v>6</v>
      </c>
      <c r="G257">
        <f ca="1">IFERROR(__xludf.DUMMYFUNCTION("""COMPUTED_VALUE"""),20)</f>
        <v>20</v>
      </c>
      <c r="H257" t="str">
        <f ca="1">IFERROR(__xludf.DUMMYFUNCTION("""COMPUTED_VALUE"""),"+5.00")</f>
        <v>+5.00</v>
      </c>
    </row>
    <row r="258" spans="1:8" ht="12.75">
      <c r="A258">
        <f ca="1">IFERROR(__xludf.DUMMYFUNCTION("""COMPUTED_VALUE"""),257)</f>
        <v>257</v>
      </c>
      <c r="B258">
        <f ca="1">IFERROR(__xludf.DUMMYFUNCTION("""COMPUTED_VALUE"""),251)</f>
        <v>251</v>
      </c>
      <c r="C258" t="str">
        <f ca="1">IFERROR(__xludf.DUMMYFUNCTION("""COMPUTED_VALUE"""),"Ryan Palmer")</f>
        <v>Ryan Palmer</v>
      </c>
      <c r="D258">
        <f ca="1">IFERROR(__xludf.DUMMYFUNCTION("""COMPUTED_VALUE"""),14)</f>
        <v>14</v>
      </c>
      <c r="E258">
        <f ca="1">IFERROR(__xludf.DUMMYFUNCTION("""COMPUTED_VALUE"""),29.41)</f>
        <v>29.41</v>
      </c>
      <c r="F258">
        <f ca="1">IFERROR(__xludf.DUMMYFUNCTION("""COMPUTED_VALUE"""),5)</f>
        <v>5</v>
      </c>
      <c r="G258">
        <f ca="1">IFERROR(__xludf.DUMMYFUNCTION("""COMPUTED_VALUE"""),17)</f>
        <v>17</v>
      </c>
      <c r="H258" t="str">
        <f ca="1">IFERROR(__xludf.DUMMYFUNCTION("""COMPUTED_VALUE"""),"+11.00")</f>
        <v>+11.00</v>
      </c>
    </row>
    <row r="259" spans="1:8" ht="12.75">
      <c r="A259" t="str">
        <f ca="1">IFERROR(__xludf.DUMMYFUNCTION("""COMPUTED_VALUE"""),"T258")</f>
        <v>T258</v>
      </c>
      <c r="B259" t="str">
        <f ca="1">IFERROR(__xludf.DUMMYFUNCTION("""COMPUTED_VALUE"""),"")</f>
        <v/>
      </c>
      <c r="C259" t="str">
        <f ca="1">IFERROR(__xludf.DUMMYFUNCTION("""COMPUTED_VALUE"""),"Francesco Molinari")</f>
        <v>Francesco Molinari</v>
      </c>
      <c r="D259">
        <f ca="1">IFERROR(__xludf.DUMMYFUNCTION("""COMPUTED_VALUE"""),6)</f>
        <v>6</v>
      </c>
      <c r="E259">
        <f ca="1">IFERROR(__xludf.DUMMYFUNCTION("""COMPUTED_VALUE"""),28.57)</f>
        <v>28.57</v>
      </c>
      <c r="F259">
        <f ca="1">IFERROR(__xludf.DUMMYFUNCTION("""COMPUTED_VALUE"""),2)</f>
        <v>2</v>
      </c>
      <c r="G259">
        <f ca="1">IFERROR(__xludf.DUMMYFUNCTION("""COMPUTED_VALUE"""),7)</f>
        <v>7</v>
      </c>
      <c r="H259" t="str">
        <f ca="1">IFERROR(__xludf.DUMMYFUNCTION("""COMPUTED_VALUE"""),"+3.00")</f>
        <v>+3.00</v>
      </c>
    </row>
    <row r="260" spans="1:8" ht="12.75">
      <c r="A260" t="str">
        <f ca="1">IFERROR(__xludf.DUMMYFUNCTION("""COMPUTED_VALUE"""),"T258")</f>
        <v>T258</v>
      </c>
      <c r="B260" t="str">
        <f ca="1">IFERROR(__xludf.DUMMYFUNCTION("""COMPUTED_VALUE"""),"T252")</f>
        <v>T252</v>
      </c>
      <c r="C260" t="str">
        <f ca="1">IFERROR(__xludf.DUMMYFUNCTION("""COMPUTED_VALUE"""),"Eric Dugas")</f>
        <v>Eric Dugas</v>
      </c>
      <c r="D260">
        <f ca="1">IFERROR(__xludf.DUMMYFUNCTION("""COMPUTED_VALUE"""),4)</f>
        <v>4</v>
      </c>
      <c r="E260">
        <f ca="1">IFERROR(__xludf.DUMMYFUNCTION("""COMPUTED_VALUE"""),28.57)</f>
        <v>28.57</v>
      </c>
      <c r="F260">
        <f ca="1">IFERROR(__xludf.DUMMYFUNCTION("""COMPUTED_VALUE"""),2)</f>
        <v>2</v>
      </c>
      <c r="G260">
        <f ca="1">IFERROR(__xludf.DUMMYFUNCTION("""COMPUTED_VALUE"""),7)</f>
        <v>7</v>
      </c>
      <c r="H260" t="str">
        <f ca="1">IFERROR(__xludf.DUMMYFUNCTION("""COMPUTED_VALUE"""),"+3.00")</f>
        <v>+3.00</v>
      </c>
    </row>
    <row r="261" spans="1:8" ht="12.75">
      <c r="A261" t="str">
        <f ca="1">IFERROR(__xludf.DUMMYFUNCTION("""COMPUTED_VALUE"""),"T258")</f>
        <v>T258</v>
      </c>
      <c r="B261" t="str">
        <f ca="1">IFERROR(__xludf.DUMMYFUNCTION("""COMPUTED_VALUE"""),"T252")</f>
        <v>T252</v>
      </c>
      <c r="C261" t="str">
        <f ca="1">IFERROR(__xludf.DUMMYFUNCTION("""COMPUTED_VALUE"""),"Takumi Kanaya")</f>
        <v>Takumi Kanaya</v>
      </c>
      <c r="D261">
        <f ca="1">IFERROR(__xludf.DUMMYFUNCTION("""COMPUTED_VALUE"""),6)</f>
        <v>6</v>
      </c>
      <c r="E261">
        <f ca="1">IFERROR(__xludf.DUMMYFUNCTION("""COMPUTED_VALUE"""),28.57)</f>
        <v>28.57</v>
      </c>
      <c r="F261">
        <f ca="1">IFERROR(__xludf.DUMMYFUNCTION("""COMPUTED_VALUE"""),2)</f>
        <v>2</v>
      </c>
      <c r="G261">
        <f ca="1">IFERROR(__xludf.DUMMYFUNCTION("""COMPUTED_VALUE"""),7)</f>
        <v>7</v>
      </c>
      <c r="H261" t="str">
        <f ca="1">IFERROR(__xludf.DUMMYFUNCTION("""COMPUTED_VALUE"""),"+4.00")</f>
        <v>+4.00</v>
      </c>
    </row>
    <row r="262" spans="1:8" ht="12.75">
      <c r="A262" t="str">
        <f ca="1">IFERROR(__xludf.DUMMYFUNCTION("""COMPUTED_VALUE"""),"T258")</f>
        <v>T258</v>
      </c>
      <c r="B262" t="str">
        <f ca="1">IFERROR(__xludf.DUMMYFUNCTION("""COMPUTED_VALUE"""),"T252")</f>
        <v>T252</v>
      </c>
      <c r="C262" t="str">
        <f ca="1">IFERROR(__xludf.DUMMYFUNCTION("""COMPUTED_VALUE"""),"Jon Rahm")</f>
        <v>Jon Rahm</v>
      </c>
      <c r="D262">
        <f ca="1">IFERROR(__xludf.DUMMYFUNCTION("""COMPUTED_VALUE"""),12)</f>
        <v>12</v>
      </c>
      <c r="E262">
        <f ca="1">IFERROR(__xludf.DUMMYFUNCTION("""COMPUTED_VALUE"""),28.57)</f>
        <v>28.57</v>
      </c>
      <c r="F262">
        <f ca="1">IFERROR(__xludf.DUMMYFUNCTION("""COMPUTED_VALUE"""),4)</f>
        <v>4</v>
      </c>
      <c r="G262">
        <f ca="1">IFERROR(__xludf.DUMMYFUNCTION("""COMPUTED_VALUE"""),14)</f>
        <v>14</v>
      </c>
      <c r="H262" t="str">
        <f ca="1">IFERROR(__xludf.DUMMYFUNCTION("""COMPUTED_VALUE"""),"+5.00")</f>
        <v>+5.00</v>
      </c>
    </row>
    <row r="263" spans="1:8" ht="12.75">
      <c r="A263" t="str">
        <f ca="1">IFERROR(__xludf.DUMMYFUNCTION("""COMPUTED_VALUE"""),"T258")</f>
        <v>T258</v>
      </c>
      <c r="B263" t="str">
        <f ca="1">IFERROR(__xludf.DUMMYFUNCTION("""COMPUTED_VALUE"""),"T252")</f>
        <v>T252</v>
      </c>
      <c r="C263" t="str">
        <f ca="1">IFERROR(__xludf.DUMMYFUNCTION("""COMPUTED_VALUE"""),"Matt Wallace")</f>
        <v>Matt Wallace</v>
      </c>
      <c r="D263">
        <f ca="1">IFERROR(__xludf.DUMMYFUNCTION("""COMPUTED_VALUE"""),4)</f>
        <v>4</v>
      </c>
      <c r="E263">
        <f ca="1">IFERROR(__xludf.DUMMYFUNCTION("""COMPUTED_VALUE"""),28.57)</f>
        <v>28.57</v>
      </c>
      <c r="F263">
        <f ca="1">IFERROR(__xludf.DUMMYFUNCTION("""COMPUTED_VALUE"""),2)</f>
        <v>2</v>
      </c>
      <c r="G263">
        <f ca="1">IFERROR(__xludf.DUMMYFUNCTION("""COMPUTED_VALUE"""),7)</f>
        <v>7</v>
      </c>
      <c r="H263" t="str">
        <f ca="1">IFERROR(__xludf.DUMMYFUNCTION("""COMPUTED_VALUE"""),"+4.00")</f>
        <v>+4.00</v>
      </c>
    </row>
    <row r="264" spans="1:8" ht="12.75">
      <c r="A264" t="str">
        <f ca="1">IFERROR(__xludf.DUMMYFUNCTION("""COMPUTED_VALUE"""),"T263")</f>
        <v>T263</v>
      </c>
      <c r="B264" t="str">
        <f ca="1">IFERROR(__xludf.DUMMYFUNCTION("""COMPUTED_VALUE"""),"T258")</f>
        <v>T258</v>
      </c>
      <c r="C264" t="str">
        <f ca="1">IFERROR(__xludf.DUMMYFUNCTION("""COMPUTED_VALUE"""),"Robert MacIntyre")</f>
        <v>Robert MacIntyre</v>
      </c>
      <c r="D264">
        <f ca="1">IFERROR(__xludf.DUMMYFUNCTION("""COMPUTED_VALUE"""),4)</f>
        <v>4</v>
      </c>
      <c r="E264">
        <f ca="1">IFERROR(__xludf.DUMMYFUNCTION("""COMPUTED_VALUE"""),27.27)</f>
        <v>27.27</v>
      </c>
      <c r="F264">
        <f ca="1">IFERROR(__xludf.DUMMYFUNCTION("""COMPUTED_VALUE"""),3)</f>
        <v>3</v>
      </c>
      <c r="G264">
        <f ca="1">IFERROR(__xludf.DUMMYFUNCTION("""COMPUTED_VALUE"""),11)</f>
        <v>11</v>
      </c>
      <c r="H264" t="str">
        <f ca="1">IFERROR(__xludf.DUMMYFUNCTION("""COMPUTED_VALUE"""),"+11.00")</f>
        <v>+11.00</v>
      </c>
    </row>
    <row r="265" spans="1:8" ht="12.75">
      <c r="A265" t="str">
        <f ca="1">IFERROR(__xludf.DUMMYFUNCTION("""COMPUTED_VALUE"""),"T263")</f>
        <v>T263</v>
      </c>
      <c r="B265" t="str">
        <f ca="1">IFERROR(__xludf.DUMMYFUNCTION("""COMPUTED_VALUE"""),"T262")</f>
        <v>T262</v>
      </c>
      <c r="C265" t="str">
        <f ca="1">IFERROR(__xludf.DUMMYFUNCTION("""COMPUTED_VALUE"""),"Lee Westwood")</f>
        <v>Lee Westwood</v>
      </c>
      <c r="D265">
        <f ca="1">IFERROR(__xludf.DUMMYFUNCTION("""COMPUTED_VALUE"""),6)</f>
        <v>6</v>
      </c>
      <c r="E265">
        <f ca="1">IFERROR(__xludf.DUMMYFUNCTION("""COMPUTED_VALUE"""),27.27)</f>
        <v>27.27</v>
      </c>
      <c r="F265">
        <f ca="1">IFERROR(__xludf.DUMMYFUNCTION("""COMPUTED_VALUE"""),3)</f>
        <v>3</v>
      </c>
      <c r="G265">
        <f ca="1">IFERROR(__xludf.DUMMYFUNCTION("""COMPUTED_VALUE"""),11)</f>
        <v>11</v>
      </c>
      <c r="H265" t="str">
        <f ca="1">IFERROR(__xludf.DUMMYFUNCTION("""COMPUTED_VALUE"""),"+7.00")</f>
        <v>+7.00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IFERROR(__xludf.DUMMYFUNCTION("""COMPUTED_VALUE"""),261)</f>
        <v>261</v>
      </c>
      <c r="C266" t="str">
        <f ca="1">IFERROR(__xludf.DUMMYFUNCTION("""COMPUTED_VALUE"""),"Nelson Ledesma")</f>
        <v>Nelson Ledesma</v>
      </c>
      <c r="D266">
        <f ca="1">IFERROR(__xludf.DUMMYFUNCTION("""COMPUTED_VALUE"""),8)</f>
        <v>8</v>
      </c>
      <c r="E266">
        <f ca="1">IFERROR(__xludf.DUMMYFUNCTION("""COMPUTED_VALUE"""),26.67)</f>
        <v>26.67</v>
      </c>
      <c r="F266">
        <f ca="1">IFERROR(__xludf.DUMMYFUNCTION("""COMPUTED_VALUE"""),4)</f>
        <v>4</v>
      </c>
      <c r="G266">
        <f ca="1">IFERROR(__xludf.DUMMYFUNCTION("""COMPUTED_VALUE"""),15)</f>
        <v>15</v>
      </c>
      <c r="H266" t="str">
        <f ca="1">IFERROR(__xludf.DUMMYFUNCTION("""COMPUTED_VALUE"""),"+8.00")</f>
        <v>+8.00</v>
      </c>
    </row>
    <row r="267" spans="1:8" ht="12.75">
      <c r="A267">
        <f ca="1">IFERROR(__xludf.DUMMYFUNCTION("""COMPUTED_VALUE"""),266)</f>
        <v>266</v>
      </c>
      <c r="B267" t="str">
        <f ca="1">IFERROR(__xludf.DUMMYFUNCTION("""COMPUTED_VALUE"""),"T258")</f>
        <v>T258</v>
      </c>
      <c r="C267" t="str">
        <f ca="1">IFERROR(__xludf.DUMMYFUNCTION("""COMPUTED_VALUE"""),"Tom Hoge")</f>
        <v>Tom Hoge</v>
      </c>
      <c r="D267">
        <f ca="1">IFERROR(__xludf.DUMMYFUNCTION("""COMPUTED_VALUE"""),22)</f>
        <v>22</v>
      </c>
      <c r="E267">
        <f ca="1">IFERROR(__xludf.DUMMYFUNCTION("""COMPUTED_VALUE"""),26.09)</f>
        <v>26.09</v>
      </c>
      <c r="F267">
        <f ca="1">IFERROR(__xludf.DUMMYFUNCTION("""COMPUTED_VALUE"""),6)</f>
        <v>6</v>
      </c>
      <c r="G267">
        <f ca="1">IFERROR(__xludf.DUMMYFUNCTION("""COMPUTED_VALUE"""),23)</f>
        <v>23</v>
      </c>
      <c r="H267" t="str">
        <f ca="1">IFERROR(__xludf.DUMMYFUNCTION("""COMPUTED_VALUE"""),"+11.00")</f>
        <v>+11.00</v>
      </c>
    </row>
    <row r="268" spans="1:8" ht="12.75">
      <c r="A268" t="str">
        <f ca="1">IFERROR(__xludf.DUMMYFUNCTION("""COMPUTED_VALUE"""),"T267")</f>
        <v>T267</v>
      </c>
      <c r="B268" t="str">
        <f ca="1">IFERROR(__xludf.DUMMYFUNCTION("""COMPUTED_VALUE"""),"T252")</f>
        <v>T252</v>
      </c>
      <c r="C268" t="str">
        <f ca="1">IFERROR(__xludf.DUMMYFUNCTION("""COMPUTED_VALUE"""),"Kelly Kraft")</f>
        <v>Kelly Kraft</v>
      </c>
      <c r="D268">
        <f ca="1">IFERROR(__xludf.DUMMYFUNCTION("""COMPUTED_VALUE"""),14)</f>
        <v>14</v>
      </c>
      <c r="E268">
        <f ca="1">IFERROR(__xludf.DUMMYFUNCTION("""COMPUTED_VALUE"""),25)</f>
        <v>25</v>
      </c>
      <c r="F268">
        <f ca="1">IFERROR(__xludf.DUMMYFUNCTION("""COMPUTED_VALUE"""),4)</f>
        <v>4</v>
      </c>
      <c r="G268">
        <f ca="1">IFERROR(__xludf.DUMMYFUNCTION("""COMPUTED_VALUE"""),16)</f>
        <v>16</v>
      </c>
      <c r="H268" t="str">
        <f ca="1">IFERROR(__xludf.DUMMYFUNCTION("""COMPUTED_VALUE"""),"+12.00")</f>
        <v>+12.00</v>
      </c>
    </row>
    <row r="269" spans="1:8" ht="12.75">
      <c r="A269" t="str">
        <f ca="1">IFERROR(__xludf.DUMMYFUNCTION("""COMPUTED_VALUE"""),"T267")</f>
        <v>T267</v>
      </c>
      <c r="B269" t="str">
        <f ca="1">IFERROR(__xludf.DUMMYFUNCTION("""COMPUTED_VALUE"""),"T262")</f>
        <v>T262</v>
      </c>
      <c r="C269" t="str">
        <f ca="1">IFERROR(__xludf.DUMMYFUNCTION("""COMPUTED_VALUE"""),"Matthias Schwab")</f>
        <v>Matthias Schwab</v>
      </c>
      <c r="D269">
        <f ca="1">IFERROR(__xludf.DUMMYFUNCTION("""COMPUTED_VALUE"""),8)</f>
        <v>8</v>
      </c>
      <c r="E269">
        <f ca="1">IFERROR(__xludf.DUMMYFUNCTION("""COMPUTED_VALUE"""),25)</f>
        <v>25</v>
      </c>
      <c r="F269">
        <f ca="1">IFERROR(__xludf.DUMMYFUNCTION("""COMPUTED_VALUE"""),2)</f>
        <v>2</v>
      </c>
      <c r="G269">
        <f ca="1">IFERROR(__xludf.DUMMYFUNCTION("""COMPUTED_VALUE"""),8)</f>
        <v>8</v>
      </c>
      <c r="H269" t="str">
        <f ca="1">IFERROR(__xludf.DUMMYFUNCTION("""COMPUTED_VALUE"""),"+5.00")</f>
        <v>+5.00</v>
      </c>
    </row>
    <row r="270" spans="1:8" ht="12.75">
      <c r="A270" t="str">
        <f ca="1">IFERROR(__xludf.DUMMYFUNCTION("""COMPUTED_VALUE"""),"T267")</f>
        <v>T267</v>
      </c>
      <c r="B270" t="str">
        <f ca="1">IFERROR(__xludf.DUMMYFUNCTION("""COMPUTED_VALUE"""),"T262")</f>
        <v>T262</v>
      </c>
      <c r="C270" t="str">
        <f ca="1">IFERROR(__xludf.DUMMYFUNCTION("""COMPUTED_VALUE"""),"Rasmus Hojgaard")</f>
        <v>Rasmus Hojgaard</v>
      </c>
      <c r="D270">
        <f ca="1">IFERROR(__xludf.DUMMYFUNCTION("""COMPUTED_VALUE"""),6)</f>
        <v>6</v>
      </c>
      <c r="E270">
        <f ca="1">IFERROR(__xludf.DUMMYFUNCTION("""COMPUTED_VALUE"""),25)</f>
        <v>25</v>
      </c>
      <c r="F270">
        <f ca="1">IFERROR(__xludf.DUMMYFUNCTION("""COMPUTED_VALUE"""),2)</f>
        <v>2</v>
      </c>
      <c r="G270">
        <f ca="1">IFERROR(__xludf.DUMMYFUNCTION("""COMPUTED_VALUE"""),8)</f>
        <v>8</v>
      </c>
      <c r="H270" t="str">
        <f ca="1">IFERROR(__xludf.DUMMYFUNCTION("""COMPUTED_VALUE"""),"+5.00")</f>
        <v>+5.00</v>
      </c>
    </row>
    <row r="271" spans="1:8" ht="12.75">
      <c r="A271" t="str">
        <f ca="1">IFERROR(__xludf.DUMMYFUNCTION("""COMPUTED_VALUE"""),"T267")</f>
        <v>T267</v>
      </c>
      <c r="B271" t="str">
        <f ca="1">IFERROR(__xludf.DUMMYFUNCTION("""COMPUTED_VALUE"""),"T262")</f>
        <v>T262</v>
      </c>
      <c r="C271" t="str">
        <f ca="1">IFERROR(__xludf.DUMMYFUNCTION("""COMPUTED_VALUE"""),"Seonghyeon Kim")</f>
        <v>Seonghyeon Kim</v>
      </c>
      <c r="D271">
        <f ca="1">IFERROR(__xludf.DUMMYFUNCTION("""COMPUTED_VALUE"""),4)</f>
        <v>4</v>
      </c>
      <c r="E271">
        <f ca="1">IFERROR(__xludf.DUMMYFUNCTION("""COMPUTED_VALUE"""),25)</f>
        <v>25</v>
      </c>
      <c r="F271">
        <f ca="1">IFERROR(__xludf.DUMMYFUNCTION("""COMPUTED_VALUE"""),1)</f>
        <v>1</v>
      </c>
      <c r="G271">
        <f ca="1">IFERROR(__xludf.DUMMYFUNCTION("""COMPUTED_VALUE"""),4)</f>
        <v>4</v>
      </c>
      <c r="H271" t="str">
        <f ca="1">IFERROR(__xludf.DUMMYFUNCTION("""COMPUTED_VALUE"""),"+1.00")</f>
        <v>+1.00</v>
      </c>
    </row>
    <row r="272" spans="1:8" ht="12.75">
      <c r="A272" t="str">
        <f ca="1">IFERROR(__xludf.DUMMYFUNCTION("""COMPUTED_VALUE"""),"T267")</f>
        <v>T267</v>
      </c>
      <c r="B272" t="str">
        <f ca="1">IFERROR(__xludf.DUMMYFUNCTION("""COMPUTED_VALUE"""),"T262")</f>
        <v>T262</v>
      </c>
      <c r="C272" t="str">
        <f ca="1">IFERROR(__xludf.DUMMYFUNCTION("""COMPUTED_VALUE"""),"Jay McLuen")</f>
        <v>Jay McLuen</v>
      </c>
      <c r="D272">
        <f ca="1">IFERROR(__xludf.DUMMYFUNCTION("""COMPUTED_VALUE"""),4)</f>
        <v>4</v>
      </c>
      <c r="E272">
        <f ca="1">IFERROR(__xludf.DUMMYFUNCTION("""COMPUTED_VALUE"""),25)</f>
        <v>25</v>
      </c>
      <c r="F272">
        <f ca="1">IFERROR(__xludf.DUMMYFUNCTION("""COMPUTED_VALUE"""),2)</f>
        <v>2</v>
      </c>
      <c r="G272">
        <f ca="1">IFERROR(__xludf.DUMMYFUNCTION("""COMPUTED_VALUE"""),8)</f>
        <v>8</v>
      </c>
      <c r="H272" t="str">
        <f ca="1">IFERROR(__xludf.DUMMYFUNCTION("""COMPUTED_VALUE"""),"+6.00")</f>
        <v>+6.00</v>
      </c>
    </row>
    <row r="273" spans="1:8" ht="12.75">
      <c r="A273" t="str">
        <f ca="1">IFERROR(__xludf.DUMMYFUNCTION("""COMPUTED_VALUE"""),"T267")</f>
        <v>T267</v>
      </c>
      <c r="B273" t="str">
        <f ca="1">IFERROR(__xludf.DUMMYFUNCTION("""COMPUTED_VALUE"""),"T262")</f>
        <v>T262</v>
      </c>
      <c r="C273" t="str">
        <f ca="1">IFERROR(__xludf.DUMMYFUNCTION("""COMPUTED_VALUE"""),"Nick Watney")</f>
        <v>Nick Watney</v>
      </c>
      <c r="D273">
        <f ca="1">IFERROR(__xludf.DUMMYFUNCTION("""COMPUTED_VALUE"""),10)</f>
        <v>10</v>
      </c>
      <c r="E273">
        <f ca="1">IFERROR(__xludf.DUMMYFUNCTION("""COMPUTED_VALUE"""),25)</f>
        <v>25</v>
      </c>
      <c r="F273">
        <f ca="1">IFERROR(__xludf.DUMMYFUNCTION("""COMPUTED_VALUE"""),4)</f>
        <v>4</v>
      </c>
      <c r="G273">
        <f ca="1">IFERROR(__xludf.DUMMYFUNCTION("""COMPUTED_VALUE"""),16)</f>
        <v>16</v>
      </c>
      <c r="H273" t="str">
        <f ca="1">IFERROR(__xludf.DUMMYFUNCTION("""COMPUTED_VALUE"""),"+5.00")</f>
        <v>+5.00</v>
      </c>
    </row>
    <row r="274" spans="1:8" ht="12.75">
      <c r="A274" t="str">
        <f ca="1">IFERROR(__xludf.DUMMYFUNCTION("""COMPUTED_VALUE"""),"T267")</f>
        <v>T267</v>
      </c>
      <c r="B274" t="str">
        <f ca="1">IFERROR(__xludf.DUMMYFUNCTION("""COMPUTED_VALUE"""),"T262")</f>
        <v>T262</v>
      </c>
      <c r="C274" t="str">
        <f ca="1">IFERROR(__xludf.DUMMYFUNCTION("""COMPUTED_VALUE"""),"Shugo Imahira")</f>
        <v>Shugo Imahira</v>
      </c>
      <c r="D274">
        <f ca="1">IFERROR(__xludf.DUMMYFUNCTION("""COMPUTED_VALUE"""),8)</f>
        <v>8</v>
      </c>
      <c r="E274">
        <f ca="1">IFERROR(__xludf.DUMMYFUNCTION("""COMPUTED_VALUE"""),25)</f>
        <v>25</v>
      </c>
      <c r="F274">
        <f ca="1">IFERROR(__xludf.DUMMYFUNCTION("""COMPUTED_VALUE"""),2)</f>
        <v>2</v>
      </c>
      <c r="G274">
        <f ca="1">IFERROR(__xludf.DUMMYFUNCTION("""COMPUTED_VALUE"""),8)</f>
        <v>8</v>
      </c>
      <c r="H274" t="str">
        <f ca="1">IFERROR(__xludf.DUMMYFUNCTION("""COMPUTED_VALUE"""),"+5.00")</f>
        <v>+5.00</v>
      </c>
    </row>
    <row r="275" spans="1:8" ht="12.75">
      <c r="A275" t="str">
        <f ca="1">IFERROR(__xludf.DUMMYFUNCTION("""COMPUTED_VALUE"""),"T267")</f>
        <v>T267</v>
      </c>
      <c r="B275" t="str">
        <f ca="1">IFERROR(__xludf.DUMMYFUNCTION("""COMPUTED_VALUE"""),"T258")</f>
        <v>T258</v>
      </c>
      <c r="C275" t="str">
        <f ca="1">IFERROR(__xludf.DUMMYFUNCTION("""COMPUTED_VALUE"""),"Brian Stuard")</f>
        <v>Brian Stuard</v>
      </c>
      <c r="D275">
        <f ca="1">IFERROR(__xludf.DUMMYFUNCTION("""COMPUTED_VALUE"""),18)</f>
        <v>18</v>
      </c>
      <c r="E275">
        <f ca="1">IFERROR(__xludf.DUMMYFUNCTION("""COMPUTED_VALUE"""),25)</f>
        <v>25</v>
      </c>
      <c r="F275">
        <f ca="1">IFERROR(__xludf.DUMMYFUNCTION("""COMPUTED_VALUE"""),3)</f>
        <v>3</v>
      </c>
      <c r="G275">
        <f ca="1">IFERROR(__xludf.DUMMYFUNCTION("""COMPUTED_VALUE"""),12)</f>
        <v>12</v>
      </c>
      <c r="H275" t="str">
        <f ca="1">IFERROR(__xludf.DUMMYFUNCTION("""COMPUTED_VALUE"""),"+7.00")</f>
        <v>+7.00</v>
      </c>
    </row>
    <row r="276" spans="1:8" ht="12.75">
      <c r="A276" t="str">
        <f ca="1">IFERROR(__xludf.DUMMYFUNCTION("""COMPUTED_VALUE"""),"T267")</f>
        <v>T267</v>
      </c>
      <c r="B276" t="str">
        <f ca="1">IFERROR(__xludf.DUMMYFUNCTION("""COMPUTED_VALUE"""),"T262")</f>
        <v>T262</v>
      </c>
      <c r="C276" t="str">
        <f ca="1">IFERROR(__xludf.DUMMYFUNCTION("""COMPUTED_VALUE"""),"Tommy Gainey")</f>
        <v>Tommy Gainey</v>
      </c>
      <c r="D276">
        <f ca="1">IFERROR(__xludf.DUMMYFUNCTION("""COMPUTED_VALUE"""),6)</f>
        <v>6</v>
      </c>
      <c r="E276">
        <f ca="1">IFERROR(__xludf.DUMMYFUNCTION("""COMPUTED_VALUE"""),25)</f>
        <v>25</v>
      </c>
      <c r="F276">
        <f ca="1">IFERROR(__xludf.DUMMYFUNCTION("""COMPUTED_VALUE"""),2)</f>
        <v>2</v>
      </c>
      <c r="G276">
        <f ca="1">IFERROR(__xludf.DUMMYFUNCTION("""COMPUTED_VALUE"""),8)</f>
        <v>8</v>
      </c>
      <c r="H276" t="str">
        <f ca="1">IFERROR(__xludf.DUMMYFUNCTION("""COMPUTED_VALUE"""),"+6.00")</f>
        <v>+6.00</v>
      </c>
    </row>
    <row r="277" spans="1:8" ht="12.75">
      <c r="A277" t="str">
        <f ca="1">IFERROR(__xludf.DUMMYFUNCTION("""COMPUTED_VALUE"""),"T267")</f>
        <v>T267</v>
      </c>
      <c r="B277" t="str">
        <f ca="1">IFERROR(__xludf.DUMMYFUNCTION("""COMPUTED_VALUE"""),"")</f>
        <v/>
      </c>
      <c r="C277" t="str">
        <f ca="1">IFERROR(__xludf.DUMMYFUNCTION("""COMPUTED_VALUE"""),"Justin Harding")</f>
        <v>Justin Harding</v>
      </c>
      <c r="D277">
        <f ca="1">IFERROR(__xludf.DUMMYFUNCTION("""COMPUTED_VALUE"""),6)</f>
        <v>6</v>
      </c>
      <c r="E277">
        <f ca="1">IFERROR(__xludf.DUMMYFUNCTION("""COMPUTED_VALUE"""),25)</f>
        <v>25</v>
      </c>
      <c r="F277">
        <f ca="1">IFERROR(__xludf.DUMMYFUNCTION("""COMPUTED_VALUE"""),2)</f>
        <v>2</v>
      </c>
      <c r="G277">
        <f ca="1">IFERROR(__xludf.DUMMYFUNCTION("""COMPUTED_VALUE"""),8)</f>
        <v>8</v>
      </c>
      <c r="H277" t="str">
        <f ca="1">IFERROR(__xludf.DUMMYFUNCTION("""COMPUTED_VALUE"""),"+6.00")</f>
        <v>+6.00</v>
      </c>
    </row>
    <row r="278" spans="1:8" ht="12.75">
      <c r="A278" t="str">
        <f ca="1">IFERROR(__xludf.DUMMYFUNCTION("""COMPUTED_VALUE"""),"T267")</f>
        <v>T267</v>
      </c>
      <c r="B278" t="str">
        <f ca="1">IFERROR(__xludf.DUMMYFUNCTION("""COMPUTED_VALUE"""),"T262")</f>
        <v>T262</v>
      </c>
      <c r="C278" t="str">
        <f ca="1">IFERROR(__xludf.DUMMYFUNCTION("""COMPUTED_VALUE"""),"Bernd Wiesberger")</f>
        <v>Bernd Wiesberger</v>
      </c>
      <c r="D278">
        <f ca="1">IFERROR(__xludf.DUMMYFUNCTION("""COMPUTED_VALUE"""),4)</f>
        <v>4</v>
      </c>
      <c r="E278">
        <f ca="1">IFERROR(__xludf.DUMMYFUNCTION("""COMPUTED_VALUE"""),25)</f>
        <v>25</v>
      </c>
      <c r="F278">
        <f ca="1">IFERROR(__xludf.DUMMYFUNCTION("""COMPUTED_VALUE"""),2)</f>
        <v>2</v>
      </c>
      <c r="G278">
        <f ca="1">IFERROR(__xludf.DUMMYFUNCTION("""COMPUTED_VALUE"""),8)</f>
        <v>8</v>
      </c>
      <c r="H278" t="str">
        <f ca="1">IFERROR(__xludf.DUMMYFUNCTION("""COMPUTED_VALUE"""),"+6.00")</f>
        <v>+6.00</v>
      </c>
    </row>
    <row r="279" spans="1:8" ht="12.75">
      <c r="A279">
        <f ca="1">IFERROR(__xludf.DUMMYFUNCTION("""COMPUTED_VALUE"""),278)</f>
        <v>278</v>
      </c>
      <c r="B279">
        <f ca="1">IFERROR(__xludf.DUMMYFUNCTION("""COMPUTED_VALUE"""),272)</f>
        <v>272</v>
      </c>
      <c r="C279" t="str">
        <f ca="1">IFERROR(__xludf.DUMMYFUNCTION("""COMPUTED_VALUE"""),"Rhein Gibson")</f>
        <v>Rhein Gibson</v>
      </c>
      <c r="D279">
        <f ca="1">IFERROR(__xludf.DUMMYFUNCTION("""COMPUTED_VALUE"""),10)</f>
        <v>10</v>
      </c>
      <c r="E279">
        <f ca="1">IFERROR(__xludf.DUMMYFUNCTION("""COMPUTED_VALUE"""),21.43)</f>
        <v>21.43</v>
      </c>
      <c r="F279">
        <f ca="1">IFERROR(__xludf.DUMMYFUNCTION("""COMPUTED_VALUE"""),3)</f>
        <v>3</v>
      </c>
      <c r="G279">
        <f ca="1">IFERROR(__xludf.DUMMYFUNCTION("""COMPUTED_VALUE"""),14)</f>
        <v>14</v>
      </c>
      <c r="H279" t="str">
        <f ca="1">IFERROR(__xludf.DUMMYFUNCTION("""COMPUTED_VALUE"""),"+11.00")</f>
        <v>+11.00</v>
      </c>
    </row>
    <row r="280" spans="1:8" ht="12.75">
      <c r="A280" t="str">
        <f ca="1">IFERROR(__xludf.DUMMYFUNCTION("""COMPUTED_VALUE"""),"T279")</f>
        <v>T279</v>
      </c>
      <c r="B280" t="str">
        <f ca="1">IFERROR(__xludf.DUMMYFUNCTION("""COMPUTED_VALUE"""),"T273")</f>
        <v>T273</v>
      </c>
      <c r="C280" t="str">
        <f ca="1">IFERROR(__xludf.DUMMYFUNCTION("""COMPUTED_VALUE"""),"Gary Woodland")</f>
        <v>Gary Woodland</v>
      </c>
      <c r="D280">
        <f ca="1">IFERROR(__xludf.DUMMYFUNCTION("""COMPUTED_VALUE"""),6)</f>
        <v>6</v>
      </c>
      <c r="E280">
        <f ca="1">IFERROR(__xludf.DUMMYFUNCTION("""COMPUTED_VALUE"""),20)</f>
        <v>20</v>
      </c>
      <c r="F280">
        <f ca="1">IFERROR(__xludf.DUMMYFUNCTION("""COMPUTED_VALUE"""),2)</f>
        <v>2</v>
      </c>
      <c r="G280">
        <f ca="1">IFERROR(__xludf.DUMMYFUNCTION("""COMPUTED_VALUE"""),10)</f>
        <v>10</v>
      </c>
      <c r="H280" t="str">
        <f ca="1">IFERROR(__xludf.DUMMYFUNCTION("""COMPUTED_VALUE"""),"+6.00")</f>
        <v>+6.00</v>
      </c>
    </row>
    <row r="281" spans="1:8" ht="12.75">
      <c r="A281" t="str">
        <f ca="1">IFERROR(__xludf.DUMMYFUNCTION("""COMPUTED_VALUE"""),"T279")</f>
        <v>T279</v>
      </c>
      <c r="B281" t="str">
        <f ca="1">IFERROR(__xludf.DUMMYFUNCTION("""COMPUTED_VALUE"""),"T273")</f>
        <v>T273</v>
      </c>
      <c r="C281" t="str">
        <f ca="1">IFERROR(__xludf.DUMMYFUNCTION("""COMPUTED_VALUE"""),"Naoki Sekito")</f>
        <v>Naoki Sekito</v>
      </c>
      <c r="D281">
        <f ca="1">IFERROR(__xludf.DUMMYFUNCTION("""COMPUTED_VALUE"""),4)</f>
        <v>4</v>
      </c>
      <c r="E281">
        <f ca="1">IFERROR(__xludf.DUMMYFUNCTION("""COMPUTED_VALUE"""),20)</f>
        <v>20</v>
      </c>
      <c r="F281">
        <f ca="1">IFERROR(__xludf.DUMMYFUNCTION("""COMPUTED_VALUE"""),1)</f>
        <v>1</v>
      </c>
      <c r="G281">
        <f ca="1">IFERROR(__xludf.DUMMYFUNCTION("""COMPUTED_VALUE"""),5)</f>
        <v>5</v>
      </c>
      <c r="H281" t="str">
        <f ca="1">IFERROR(__xludf.DUMMYFUNCTION("""COMPUTED_VALUE"""),"+4.00")</f>
        <v>+4.00</v>
      </c>
    </row>
    <row r="282" spans="1:8" ht="12.75">
      <c r="A282" t="str">
        <f ca="1">IFERROR(__xludf.DUMMYFUNCTION("""COMPUTED_VALUE"""),"T279")</f>
        <v>T279</v>
      </c>
      <c r="B282" t="str">
        <f ca="1">IFERROR(__xludf.DUMMYFUNCTION("""COMPUTED_VALUE"""),"T273")</f>
        <v>T273</v>
      </c>
      <c r="C282" t="str">
        <f ca="1">IFERROR(__xludf.DUMMYFUNCTION("""COMPUTED_VALUE"""),"Michael Miller")</f>
        <v>Michael Miller</v>
      </c>
      <c r="D282">
        <f ca="1">IFERROR(__xludf.DUMMYFUNCTION("""COMPUTED_VALUE"""),4)</f>
        <v>4</v>
      </c>
      <c r="E282">
        <f ca="1">IFERROR(__xludf.DUMMYFUNCTION("""COMPUTED_VALUE"""),20)</f>
        <v>20</v>
      </c>
      <c r="F282">
        <f ca="1">IFERROR(__xludf.DUMMYFUNCTION("""COMPUTED_VALUE"""),1)</f>
        <v>1</v>
      </c>
      <c r="G282">
        <f ca="1">IFERROR(__xludf.DUMMYFUNCTION("""COMPUTED_VALUE"""),5)</f>
        <v>5</v>
      </c>
      <c r="H282" t="str">
        <f ca="1">IFERROR(__xludf.DUMMYFUNCTION("""COMPUTED_VALUE"""),"+3.00")</f>
        <v>+3.00</v>
      </c>
    </row>
    <row r="283" spans="1:8" ht="12.75">
      <c r="A283" t="str">
        <f ca="1">IFERROR(__xludf.DUMMYFUNCTION("""COMPUTED_VALUE"""),"T282")</f>
        <v>T282</v>
      </c>
      <c r="B283" t="str">
        <f ca="1">IFERROR(__xludf.DUMMYFUNCTION("""COMPUTED_VALUE"""),"T276")</f>
        <v>T276</v>
      </c>
      <c r="C283" t="str">
        <f ca="1">IFERROR(__xludf.DUMMYFUNCTION("""COMPUTED_VALUE"""),"Zac Blair")</f>
        <v>Zac Blair</v>
      </c>
      <c r="D283">
        <f ca="1">IFERROR(__xludf.DUMMYFUNCTION("""COMPUTED_VALUE"""),10)</f>
        <v>10</v>
      </c>
      <c r="E283">
        <f ca="1">IFERROR(__xludf.DUMMYFUNCTION("""COMPUTED_VALUE"""),16.67)</f>
        <v>16.670000000000002</v>
      </c>
      <c r="F283">
        <f ca="1">IFERROR(__xludf.DUMMYFUNCTION("""COMPUTED_VALUE"""),2)</f>
        <v>2</v>
      </c>
      <c r="G283">
        <f ca="1">IFERROR(__xludf.DUMMYFUNCTION("""COMPUTED_VALUE"""),12)</f>
        <v>12</v>
      </c>
      <c r="H283" t="str">
        <f ca="1">IFERROR(__xludf.DUMMYFUNCTION("""COMPUTED_VALUE"""),"+6.00")</f>
        <v>+6.00</v>
      </c>
    </row>
    <row r="284" spans="1:8" ht="12.75">
      <c r="A284" t="str">
        <f ca="1">IFERROR(__xludf.DUMMYFUNCTION("""COMPUTED_VALUE"""),"T282")</f>
        <v>T282</v>
      </c>
      <c r="B284" t="str">
        <f ca="1">IFERROR(__xludf.DUMMYFUNCTION("""COMPUTED_VALUE"""),"T276")</f>
        <v>T276</v>
      </c>
      <c r="C284" t="str">
        <f ca="1">IFERROR(__xludf.DUMMYFUNCTION("""COMPUTED_VALUE"""),"Josh Teater")</f>
        <v>Josh Teater</v>
      </c>
      <c r="D284">
        <f ca="1">IFERROR(__xludf.DUMMYFUNCTION("""COMPUTED_VALUE"""),6)</f>
        <v>6</v>
      </c>
      <c r="E284">
        <f ca="1">IFERROR(__xludf.DUMMYFUNCTION("""COMPUTED_VALUE"""),16.67)</f>
        <v>16.670000000000002</v>
      </c>
      <c r="F284">
        <f ca="1">IFERROR(__xludf.DUMMYFUNCTION("""COMPUTED_VALUE"""),1)</f>
        <v>1</v>
      </c>
      <c r="G284">
        <f ca="1">IFERROR(__xludf.DUMMYFUNCTION("""COMPUTED_VALUE"""),6)</f>
        <v>6</v>
      </c>
      <c r="H284" t="str">
        <f ca="1">IFERROR(__xludf.DUMMYFUNCTION("""COMPUTED_VALUE"""),"+5.00")</f>
        <v>+5.00</v>
      </c>
    </row>
    <row r="285" spans="1:8" ht="12.75">
      <c r="A285">
        <f ca="1">IFERROR(__xludf.DUMMYFUNCTION("""COMPUTED_VALUE"""),284)</f>
        <v>284</v>
      </c>
      <c r="B285">
        <f ca="1">IFERROR(__xludf.DUMMYFUNCTION("""COMPUTED_VALUE"""),278)</f>
        <v>278</v>
      </c>
      <c r="C285" t="str">
        <f ca="1">IFERROR(__xludf.DUMMYFUNCTION("""COMPUTED_VALUE"""),"Davis Riley")</f>
        <v>Davis Riley</v>
      </c>
      <c r="D285">
        <f ca="1">IFERROR(__xludf.DUMMYFUNCTION("""COMPUTED_VALUE"""),4)</f>
        <v>4</v>
      </c>
      <c r="E285">
        <f ca="1">IFERROR(__xludf.DUMMYFUNCTION("""COMPUTED_VALUE"""),14.29)</f>
        <v>14.29</v>
      </c>
      <c r="F285">
        <f ca="1">IFERROR(__xludf.DUMMYFUNCTION("""COMPUTED_VALUE"""),1)</f>
        <v>1</v>
      </c>
      <c r="G285">
        <f ca="1">IFERROR(__xludf.DUMMYFUNCTION("""COMPUTED_VALUE"""),7)</f>
        <v>7</v>
      </c>
      <c r="H285" t="str">
        <f ca="1">IFERROR(__xludf.DUMMYFUNCTION("""COMPUTED_VALUE"""),"+6.00")</f>
        <v>+6.00</v>
      </c>
    </row>
    <row r="286" spans="1:8" ht="12.75">
      <c r="A286">
        <f ca="1">IFERROR(__xludf.DUMMYFUNCTION("""COMPUTED_VALUE"""),285)</f>
        <v>285</v>
      </c>
      <c r="B286">
        <f ca="1">IFERROR(__xludf.DUMMYFUNCTION("""COMPUTED_VALUE"""),279)</f>
        <v>279</v>
      </c>
      <c r="C286" t="str">
        <f ca="1">IFERROR(__xludf.DUMMYFUNCTION("""COMPUTED_VALUE"""),"Matthew Fitzpatrick")</f>
        <v>Matthew Fitzpatrick</v>
      </c>
      <c r="D286">
        <f ca="1">IFERROR(__xludf.DUMMYFUNCTION("""COMPUTED_VALUE"""),10)</f>
        <v>10</v>
      </c>
      <c r="E286">
        <f ca="1">IFERROR(__xludf.DUMMYFUNCTION("""COMPUTED_VALUE"""),13.33)</f>
        <v>13.33</v>
      </c>
      <c r="F286">
        <f ca="1">IFERROR(__xludf.DUMMYFUNCTION("""COMPUTED_VALUE"""),2)</f>
        <v>2</v>
      </c>
      <c r="G286">
        <f ca="1">IFERROR(__xludf.DUMMYFUNCTION("""COMPUTED_VALUE"""),15)</f>
        <v>15</v>
      </c>
      <c r="H286" t="str">
        <f ca="1">IFERROR(__xludf.DUMMYFUNCTION("""COMPUTED_VALUE"""),"+7.00")</f>
        <v>+7.00</v>
      </c>
    </row>
    <row r="287" spans="1:8" ht="12.75">
      <c r="A287" t="str">
        <f ca="1">IFERROR(__xludf.DUMMYFUNCTION("""COMPUTED_VALUE"""),"T286")</f>
        <v>T286</v>
      </c>
      <c r="B287" t="str">
        <f ca="1">IFERROR(__xludf.DUMMYFUNCTION("""COMPUTED_VALUE"""),"T280")</f>
        <v>T280</v>
      </c>
      <c r="C287" t="str">
        <f ca="1">IFERROR(__xludf.DUMMYFUNCTION("""COMPUTED_VALUE"""),"Luke Schniederjans")</f>
        <v>Luke Schniederjans</v>
      </c>
      <c r="D287">
        <f ca="1">IFERROR(__xludf.DUMMYFUNCTION("""COMPUTED_VALUE"""),4)</f>
        <v>4</v>
      </c>
      <c r="E287">
        <f ca="1">IFERROR(__xludf.DUMMYFUNCTION("""COMPUTED_VALUE"""),12.5)</f>
        <v>12.5</v>
      </c>
      <c r="F287">
        <f ca="1">IFERROR(__xludf.DUMMYFUNCTION("""COMPUTED_VALUE"""),1)</f>
        <v>1</v>
      </c>
      <c r="G287">
        <f ca="1">IFERROR(__xludf.DUMMYFUNCTION("""COMPUTED_VALUE"""),8)</f>
        <v>8</v>
      </c>
      <c r="H287" t="str">
        <f ca="1">IFERROR(__xludf.DUMMYFUNCTION("""COMPUTED_VALUE"""),"+9.00")</f>
        <v>+9.00</v>
      </c>
    </row>
    <row r="288" spans="1:8" ht="12.75">
      <c r="A288" t="str">
        <f ca="1">IFERROR(__xludf.DUMMYFUNCTION("""COMPUTED_VALUE"""),"T286")</f>
        <v>T286</v>
      </c>
      <c r="B288" t="str">
        <f ca="1">IFERROR(__xludf.DUMMYFUNCTION("""COMPUTED_VALUE"""),"T280")</f>
        <v>T280</v>
      </c>
      <c r="C288" t="str">
        <f ca="1">IFERROR(__xludf.DUMMYFUNCTION("""COMPUTED_VALUE"""),"Sangmoon Bae")</f>
        <v>Sangmoon Bae</v>
      </c>
      <c r="D288">
        <f ca="1">IFERROR(__xludf.DUMMYFUNCTION("""COMPUTED_VALUE"""),8)</f>
        <v>8</v>
      </c>
      <c r="E288">
        <f ca="1">IFERROR(__xludf.DUMMYFUNCTION("""COMPUTED_VALUE"""),12.5)</f>
        <v>12.5</v>
      </c>
      <c r="F288">
        <f ca="1">IFERROR(__xludf.DUMMYFUNCTION("""COMPUTED_VALUE"""),1)</f>
        <v>1</v>
      </c>
      <c r="G288">
        <f ca="1">IFERROR(__xludf.DUMMYFUNCTION("""COMPUTED_VALUE"""),8)</f>
        <v>8</v>
      </c>
      <c r="H288" t="str">
        <f ca="1">IFERROR(__xludf.DUMMYFUNCTION("""COMPUTED_VALUE"""),"+6.00")</f>
        <v>+6.00</v>
      </c>
    </row>
    <row r="289" spans="1:8" ht="12.75">
      <c r="A289">
        <f ca="1">IFERROR(__xludf.DUMMYFUNCTION("""COMPUTED_VALUE"""),288)</f>
        <v>288</v>
      </c>
      <c r="B289" t="str">
        <f ca="1">IFERROR(__xludf.DUMMYFUNCTION("""COMPUTED_VALUE"""),"T282")</f>
        <v>T282</v>
      </c>
      <c r="C289" t="str">
        <f ca="1">IFERROR(__xludf.DUMMYFUNCTION("""COMPUTED_VALUE"""),"Graeme McDowell")</f>
        <v>Graeme McDowell</v>
      </c>
      <c r="D289">
        <f ca="1">IFERROR(__xludf.DUMMYFUNCTION("""COMPUTED_VALUE"""),8)</f>
        <v>8</v>
      </c>
      <c r="E289">
        <f ca="1">IFERROR(__xludf.DUMMYFUNCTION("""COMPUTED_VALUE"""),11.11)</f>
        <v>11.11</v>
      </c>
      <c r="F289">
        <f ca="1">IFERROR(__xludf.DUMMYFUNCTION("""COMPUTED_VALUE"""),1)</f>
        <v>1</v>
      </c>
      <c r="G289">
        <f ca="1">IFERROR(__xludf.DUMMYFUNCTION("""COMPUTED_VALUE"""),9)</f>
        <v>9</v>
      </c>
      <c r="H289" t="str">
        <f ca="1">IFERROR(__xludf.DUMMYFUNCTION("""COMPUTED_VALUE"""),"+11.00")</f>
        <v>+11.00</v>
      </c>
    </row>
    <row r="290" spans="1:8" ht="12.75">
      <c r="A290">
        <f ca="1">IFERROR(__xludf.DUMMYFUNCTION("""COMPUTED_VALUE"""),289)</f>
        <v>289</v>
      </c>
      <c r="B290" t="str">
        <f ca="1">IFERROR(__xludf.DUMMYFUNCTION("""COMPUTED_VALUE"""),"T282")</f>
        <v>T282</v>
      </c>
      <c r="C290" t="str">
        <f ca="1">IFERROR(__xludf.DUMMYFUNCTION("""COMPUTED_VALUE"""),"Jeongwoo Ham")</f>
        <v>Jeongwoo Ham</v>
      </c>
      <c r="D290">
        <f ca="1">IFERROR(__xludf.DUMMYFUNCTION("""COMPUTED_VALUE"""),4)</f>
        <v>4</v>
      </c>
      <c r="E290">
        <f ca="1">IFERROR(__xludf.DUMMYFUNCTION("""COMPUTED_VALUE"""),0)</f>
        <v>0</v>
      </c>
      <c r="F290">
        <f ca="1">IFERROR(__xludf.DUMMYFUNCTION("""COMPUTED_VALUE"""),0)</f>
        <v>0</v>
      </c>
      <c r="G290">
        <f ca="1">IFERROR(__xludf.DUMMYFUNCTION("""COMPUTED_VALUE"""),3)</f>
        <v>3</v>
      </c>
      <c r="H290" t="str">
        <f ca="1">IFERROR(__xludf.DUMMYFUNCTION("""COMPUTED_VALUE"""),"+1.00")</f>
        <v>+1.00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IFERROR(__xludf.DUMMYFUNCTION("importhtml(""http://www.pgatour.com/stats/stat.130.html"",""table"",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IFERROR(__xludf.DUMMYFUNCTION("""COMPUTED_VALUE"""),"PAR OR BETTER")</f>
        <v>PAR OR BETTER</v>
      </c>
      <c r="G1" t="str">
        <f ca="1">IFERROR(__xludf.DUMMYFUNCTION("""COMPUTED_VALUE"""),"MISSED GIR")</f>
        <v>MISSED GIR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IFERROR(__xludf.DUMMYFUNCTION("""COMPUTED_VALUE"""),2)</f>
        <v>2</v>
      </c>
      <c r="C2" t="str">
        <f ca="1">IFERROR(__xludf.DUMMYFUNCTION("""COMPUTED_VALUE"""),"Bud Cauley")</f>
        <v>Bud Cauley</v>
      </c>
      <c r="D2">
        <f ca="1">IFERROR(__xludf.DUMMYFUNCTION("""COMPUTED_VALUE"""),4)</f>
        <v>4</v>
      </c>
      <c r="E2">
        <f ca="1">IFERROR(__xludf.DUMMYFUNCTION("""COMPUTED_VALUE"""),78.95)</f>
        <v>78.95</v>
      </c>
      <c r="F2">
        <f ca="1">IFERROR(__xludf.DUMMYFUNCTION("""COMPUTED_VALUE"""),15)</f>
        <v>15</v>
      </c>
      <c r="G2">
        <f ca="1">IFERROR(__xludf.DUMMYFUNCTION("""COMPUTED_VALUE"""),19)</f>
        <v>19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IFERROR(__xludf.DUMMYFUNCTION("""COMPUTED_VALUE"""),3)</f>
        <v>3</v>
      </c>
      <c r="C3" t="str">
        <f ca="1">IFERROR(__xludf.DUMMYFUNCTION("""COMPUTED_VALUE"""),"Jim Furyk")</f>
        <v>Jim Furyk</v>
      </c>
      <c r="D3">
        <f ca="1">IFERROR(__xludf.DUMMYFUNCTION("""COMPUTED_VALUE"""),4)</f>
        <v>4</v>
      </c>
      <c r="E3">
        <f ca="1">IFERROR(__xludf.DUMMYFUNCTION("""COMPUTED_VALUE"""),78.57)</f>
        <v>78.569999999999993</v>
      </c>
      <c r="F3">
        <f ca="1">IFERROR(__xludf.DUMMYFUNCTION("""COMPUTED_VALUE"""),11)</f>
        <v>11</v>
      </c>
      <c r="G3">
        <f ca="1">IFERROR(__xludf.DUMMYFUNCTION("""COMPUTED_VALUE"""),14)</f>
        <v>14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IFERROR(__xludf.DUMMYFUNCTION("""COMPUTED_VALUE"""),"Alex Smalley")</f>
        <v>Alex Smalley</v>
      </c>
      <c r="D4">
        <f ca="1">IFERROR(__xludf.DUMMYFUNCTION("""COMPUTED_VALUE"""),4)</f>
        <v>4</v>
      </c>
      <c r="E4">
        <f ca="1">IFERROR(__xludf.DUMMYFUNCTION("""COMPUTED_VALUE"""),76.47)</f>
        <v>76.47</v>
      </c>
      <c r="F4">
        <f ca="1">IFERROR(__xludf.DUMMYFUNCTION("""COMPUTED_VALUE"""),13)</f>
        <v>13</v>
      </c>
      <c r="G4">
        <f ca="1">IFERROR(__xludf.DUMMYFUNCTION("""COMPUTED_VALUE"""),17)</f>
        <v>17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IFERROR(__xludf.DUMMYFUNCTION("""COMPUTED_VALUE"""),8)</f>
        <v>8</v>
      </c>
      <c r="C5" t="str">
        <f ca="1">IFERROR(__xludf.DUMMYFUNCTION("""COMPUTED_VALUE"""),"Russell Henley")</f>
        <v>Russell Henley</v>
      </c>
      <c r="D5">
        <f ca="1">IFERROR(__xludf.DUMMYFUNCTION("""COMPUTED_VALUE"""),16)</f>
        <v>16</v>
      </c>
      <c r="E5">
        <f ca="1">IFERROR(__xludf.DUMMYFUNCTION("""COMPUTED_VALUE"""),76.39)</f>
        <v>76.39</v>
      </c>
      <c r="F5">
        <f ca="1">IFERROR(__xludf.DUMMYFUNCTION("""COMPUTED_VALUE"""),55)</f>
        <v>55</v>
      </c>
      <c r="G5">
        <f ca="1">IFERROR(__xludf.DUMMYFUNCTION("""COMPUTED_VALUE"""),72)</f>
        <v>72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IFERROR(__xludf.DUMMYFUNCTION("""COMPUTED_VALUE"""),"Brad Kennedy")</f>
        <v>Brad Kennedy</v>
      </c>
      <c r="D6">
        <f ca="1">IFERROR(__xludf.DUMMYFUNCTION("""COMPUTED_VALUE"""),4)</f>
        <v>4</v>
      </c>
      <c r="E6">
        <f ca="1">IFERROR(__xludf.DUMMYFUNCTION("""COMPUTED_VALUE"""),76)</f>
        <v>76</v>
      </c>
      <c r="F6">
        <f ca="1">IFERROR(__xludf.DUMMYFUNCTION("""COMPUTED_VALUE"""),19)</f>
        <v>19</v>
      </c>
      <c r="G6">
        <f ca="1">IFERROR(__xludf.DUMMYFUNCTION("""COMPUTED_VALUE"""),25)</f>
        <v>25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IFERROR(__xludf.DUMMYFUNCTION("""COMPUTED_VALUE"""),7)</f>
        <v>7</v>
      </c>
      <c r="C7" t="str">
        <f ca="1">IFERROR(__xludf.DUMMYFUNCTION("""COMPUTED_VALUE"""),"Akshay Bhatia")</f>
        <v>Akshay Bhatia</v>
      </c>
      <c r="D7">
        <f ca="1">IFERROR(__xludf.DUMMYFUNCTION("""COMPUTED_VALUE"""),6)</f>
        <v>6</v>
      </c>
      <c r="E7">
        <f ca="1">IFERROR(__xludf.DUMMYFUNCTION("""COMPUTED_VALUE"""),75.86)</f>
        <v>75.86</v>
      </c>
      <c r="F7">
        <f ca="1">IFERROR(__xludf.DUMMYFUNCTION("""COMPUTED_VALUE"""),22)</f>
        <v>22</v>
      </c>
      <c r="G7">
        <f ca="1">IFERROR(__xludf.DUMMYFUNCTION("""COMPUTED_VALUE"""),29)</f>
        <v>29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IFERROR(__xludf.DUMMYFUNCTION("""COMPUTED_VALUE"""),9)</f>
        <v>9</v>
      </c>
      <c r="C8" t="str">
        <f ca="1">IFERROR(__xludf.DUMMYFUNCTION("""COMPUTED_VALUE"""),"Hank Lebioda")</f>
        <v>Hank Lebioda</v>
      </c>
      <c r="D8">
        <f ca="1">IFERROR(__xludf.DUMMYFUNCTION("""COMPUTED_VALUE"""),14)</f>
        <v>14</v>
      </c>
      <c r="E8">
        <f ca="1">IFERROR(__xludf.DUMMYFUNCTION("""COMPUTED_VALUE"""),74.7)</f>
        <v>74.7</v>
      </c>
      <c r="F8">
        <f ca="1">IFERROR(__xludf.DUMMYFUNCTION("""COMPUTED_VALUE"""),62)</f>
        <v>62</v>
      </c>
      <c r="G8">
        <f ca="1">IFERROR(__xludf.DUMMYFUNCTION("""COMPUTED_VALUE"""),83)</f>
        <v>83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IFERROR(__xludf.DUMMYFUNCTION("""COMPUTED_VALUE"""),4)</f>
        <v>4</v>
      </c>
      <c r="C9" t="str">
        <f ca="1">IFERROR(__xludf.DUMMYFUNCTION("""COMPUTED_VALUE"""),"Scott Stallings")</f>
        <v>Scott Stallings</v>
      </c>
      <c r="D9">
        <f ca="1">IFERROR(__xludf.DUMMYFUNCTION("""COMPUTED_VALUE"""),14)</f>
        <v>14</v>
      </c>
      <c r="E9">
        <f ca="1">IFERROR(__xludf.DUMMYFUNCTION("""COMPUTED_VALUE"""),74.39)</f>
        <v>74.39</v>
      </c>
      <c r="F9">
        <f ca="1">IFERROR(__xludf.DUMMYFUNCTION("""COMPUTED_VALUE"""),61)</f>
        <v>61</v>
      </c>
      <c r="G9">
        <f ca="1">IFERROR(__xludf.DUMMYFUNCTION("""COMPUTED_VALUE"""),82)</f>
        <v>82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IFERROR(__xludf.DUMMYFUNCTION("""COMPUTED_VALUE"""),14)</f>
        <v>14</v>
      </c>
      <c r="C10" t="str">
        <f ca="1">IFERROR(__xludf.DUMMYFUNCTION("""COMPUTED_VALUE"""),"Talor Gooch")</f>
        <v>Talor Gooch</v>
      </c>
      <c r="D10">
        <f ca="1">IFERROR(__xludf.DUMMYFUNCTION("""COMPUTED_VALUE"""),20)</f>
        <v>20</v>
      </c>
      <c r="E10">
        <f ca="1">IFERROR(__xludf.DUMMYFUNCTION("""COMPUTED_VALUE"""),74.31)</f>
        <v>74.31</v>
      </c>
      <c r="F10">
        <f ca="1">IFERROR(__xludf.DUMMYFUNCTION("""COMPUTED_VALUE"""),81)</f>
        <v>81</v>
      </c>
      <c r="G10">
        <f ca="1">IFERROR(__xludf.DUMMYFUNCTION("""COMPUTED_VALUE"""),109)</f>
        <v>109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IFERROR(__xludf.DUMMYFUNCTION("""COMPUTED_VALUE"""),11)</f>
        <v>11</v>
      </c>
      <c r="C11" t="str">
        <f ca="1">IFERROR(__xludf.DUMMYFUNCTION("""COMPUTED_VALUE"""),"Sahith Theegala")</f>
        <v>Sahith Theegala</v>
      </c>
      <c r="D11">
        <f ca="1">IFERROR(__xludf.DUMMYFUNCTION("""COMPUTED_VALUE"""),6)</f>
        <v>6</v>
      </c>
      <c r="E11">
        <f ca="1">IFERROR(__xludf.DUMMYFUNCTION("""COMPUTED_VALUE"""),73.33)</f>
        <v>73.33</v>
      </c>
      <c r="F11">
        <f ca="1">IFERROR(__xludf.DUMMYFUNCTION("""COMPUTED_VALUE"""),22)</f>
        <v>22</v>
      </c>
      <c r="G11">
        <f ca="1">IFERROR(__xludf.DUMMYFUNCTION("""COMPUTED_VALUE"""),30)</f>
        <v>30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IFERROR(__xludf.DUMMYFUNCTION("""COMPUTED_VALUE"""),"Fred Funk")</f>
        <v>Fred Funk</v>
      </c>
      <c r="D12">
        <f ca="1">IFERROR(__xludf.DUMMYFUNCTION("""COMPUTED_VALUE"""),4)</f>
        <v>4</v>
      </c>
      <c r="E12">
        <f ca="1">IFERROR(__xludf.DUMMYFUNCTION("""COMPUTED_VALUE"""),71.79)</f>
        <v>71.790000000000006</v>
      </c>
      <c r="F12">
        <f ca="1">IFERROR(__xludf.DUMMYFUNCTION("""COMPUTED_VALUE"""),28)</f>
        <v>28</v>
      </c>
      <c r="G12">
        <f ca="1">IFERROR(__xludf.DUMMYFUNCTION("""COMPUTED_VALUE"""),39)</f>
        <v>39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IFERROR(__xludf.DUMMYFUNCTION("""COMPUTED_VALUE"""),15)</f>
        <v>15</v>
      </c>
      <c r="C13" t="str">
        <f ca="1">IFERROR(__xludf.DUMMYFUNCTION("""COMPUTED_VALUE"""),"Webb Simpson")</f>
        <v>Webb Simpson</v>
      </c>
      <c r="D13">
        <f ca="1">IFERROR(__xludf.DUMMYFUNCTION("""COMPUTED_VALUE"""),12)</f>
        <v>12</v>
      </c>
      <c r="E13">
        <f ca="1">IFERROR(__xludf.DUMMYFUNCTION("""COMPUTED_VALUE"""),71.05)</f>
        <v>71.05</v>
      </c>
      <c r="F13">
        <f ca="1">IFERROR(__xludf.DUMMYFUNCTION("""COMPUTED_VALUE"""),54)</f>
        <v>54</v>
      </c>
      <c r="G13">
        <f ca="1">IFERROR(__xludf.DUMMYFUNCTION("""COMPUTED_VALUE"""),76)</f>
        <v>76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IFERROR(__xludf.DUMMYFUNCTION("""COMPUTED_VALUE"""),16)</f>
        <v>16</v>
      </c>
      <c r="C14" t="str">
        <f ca="1">IFERROR(__xludf.DUMMYFUNCTION("""COMPUTED_VALUE"""),"Rikuya Hoshino")</f>
        <v>Rikuya Hoshino</v>
      </c>
      <c r="D14">
        <f ca="1">IFERROR(__xludf.DUMMYFUNCTION("""COMPUTED_VALUE"""),4)</f>
        <v>4</v>
      </c>
      <c r="E14">
        <f ca="1">IFERROR(__xludf.DUMMYFUNCTION("""COMPUTED_VALUE"""),70.97)</f>
        <v>70.97</v>
      </c>
      <c r="F14">
        <f ca="1">IFERROR(__xludf.DUMMYFUNCTION("""COMPUTED_VALUE"""),22)</f>
        <v>22</v>
      </c>
      <c r="G14">
        <f ca="1">IFERROR(__xludf.DUMMYFUNCTION("""COMPUTED_VALUE"""),31)</f>
        <v>31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IFERROR(__xludf.DUMMYFUNCTION("""COMPUTED_VALUE"""),18)</f>
        <v>18</v>
      </c>
      <c r="C15" t="str">
        <f ca="1">IFERROR(__xludf.DUMMYFUNCTION("""COMPUTED_VALUE"""),"Michael Gligic")</f>
        <v>Michael Gligic</v>
      </c>
      <c r="D15">
        <f ca="1">IFERROR(__xludf.DUMMYFUNCTION("""COMPUTED_VALUE"""),18)</f>
        <v>18</v>
      </c>
      <c r="E15">
        <f ca="1">IFERROR(__xludf.DUMMYFUNCTION("""COMPUTED_VALUE"""),70.53)</f>
        <v>70.53</v>
      </c>
      <c r="F15">
        <f ca="1">IFERROR(__xludf.DUMMYFUNCTION("""COMPUTED_VALUE"""),67)</f>
        <v>67</v>
      </c>
      <c r="G15">
        <f ca="1">IFERROR(__xludf.DUMMYFUNCTION("""COMPUTED_VALUE"""),95)</f>
        <v>95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IFERROR(__xludf.DUMMYFUNCTION("""COMPUTED_VALUE"""),19)</f>
        <v>19</v>
      </c>
      <c r="C16" t="str">
        <f ca="1">IFERROR(__xludf.DUMMYFUNCTION("""COMPUTED_VALUE"""),"Doug Ghim")</f>
        <v>Doug Ghim</v>
      </c>
      <c r="D16">
        <f ca="1">IFERROR(__xludf.DUMMYFUNCTION("""COMPUTED_VALUE"""),14)</f>
        <v>14</v>
      </c>
      <c r="E16">
        <f ca="1">IFERROR(__xludf.DUMMYFUNCTION("""COMPUTED_VALUE"""),70.27)</f>
        <v>70.27</v>
      </c>
      <c r="F16">
        <f ca="1">IFERROR(__xludf.DUMMYFUNCTION("""COMPUTED_VALUE"""),52)</f>
        <v>52</v>
      </c>
      <c r="G16">
        <f ca="1">IFERROR(__xludf.DUMMYFUNCTION("""COMPUTED_VALUE"""),74)</f>
        <v>74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IFERROR(__xludf.DUMMYFUNCTION("""COMPUTED_VALUE"""),20)</f>
        <v>20</v>
      </c>
      <c r="C17" t="str">
        <f ca="1">IFERROR(__xludf.DUMMYFUNCTION("""COMPUTED_VALUE"""),"Roger Sloan")</f>
        <v>Roger Sloan</v>
      </c>
      <c r="D17">
        <f ca="1">IFERROR(__xludf.DUMMYFUNCTION("""COMPUTED_VALUE"""),12)</f>
        <v>12</v>
      </c>
      <c r="E17">
        <f ca="1">IFERROR(__xludf.DUMMYFUNCTION("""COMPUTED_VALUE"""),70.13)</f>
        <v>70.13</v>
      </c>
      <c r="F17">
        <f ca="1">IFERROR(__xludf.DUMMYFUNCTION("""COMPUTED_VALUE"""),54)</f>
        <v>54</v>
      </c>
      <c r="G17">
        <f ca="1">IFERROR(__xludf.DUMMYFUNCTION("""COMPUTED_VALUE"""),77)</f>
        <v>77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IFERROR(__xludf.DUMMYFUNCTION("""COMPUTED_VALUE"""),21)</f>
        <v>21</v>
      </c>
      <c r="C18" t="str">
        <f ca="1">IFERROR(__xludf.DUMMYFUNCTION("""COMPUTED_VALUE"""),"Anirban Lahiri")</f>
        <v>Anirban Lahiri</v>
      </c>
      <c r="D18">
        <f ca="1">IFERROR(__xludf.DUMMYFUNCTION("""COMPUTED_VALUE"""),16)</f>
        <v>16</v>
      </c>
      <c r="E18">
        <f ca="1">IFERROR(__xludf.DUMMYFUNCTION("""COMPUTED_VALUE"""),70.1)</f>
        <v>70.099999999999994</v>
      </c>
      <c r="F18">
        <f ca="1">IFERROR(__xludf.DUMMYFUNCTION("""COMPUTED_VALUE"""),68)</f>
        <v>68</v>
      </c>
      <c r="G18">
        <f ca="1">IFERROR(__xludf.DUMMYFUNCTION("""COMPUTED_VALUE"""),97)</f>
        <v>97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IFERROR(__xludf.DUMMYFUNCTION("""COMPUTED_VALUE"""),22)</f>
        <v>22</v>
      </c>
      <c r="C19" t="str">
        <f ca="1">IFERROR(__xludf.DUMMYFUNCTION("""COMPUTED_VALUE"""),"Gunn Charoenkul")</f>
        <v>Gunn Charoenkul</v>
      </c>
      <c r="D19">
        <f ca="1">IFERROR(__xludf.DUMMYFUNCTION("""COMPUTED_VALUE"""),4)</f>
        <v>4</v>
      </c>
      <c r="E19">
        <f ca="1">IFERROR(__xludf.DUMMYFUNCTION("""COMPUTED_VALUE"""),70)</f>
        <v>70</v>
      </c>
      <c r="F19">
        <f ca="1">IFERROR(__xludf.DUMMYFUNCTION("""COMPUTED_VALUE"""),14)</f>
        <v>14</v>
      </c>
      <c r="G19">
        <f ca="1">IFERROR(__xludf.DUMMYFUNCTION("""COMPUTED_VALUE"""),20)</f>
        <v>20</v>
      </c>
    </row>
    <row r="20" spans="1:7" ht="15.75" customHeight="1">
      <c r="A20" t="str">
        <f ca="1">IFERROR(__xludf.DUMMYFUNCTION("""COMPUTED_VALUE"""),"T19")</f>
        <v>T19</v>
      </c>
      <c r="B20" t="str">
        <f ca="1">IFERROR(__xludf.DUMMYFUNCTION("""COMPUTED_VALUE"""),"T24")</f>
        <v>T24</v>
      </c>
      <c r="C20" t="str">
        <f ca="1">IFERROR(__xludf.DUMMYFUNCTION("""COMPUTED_VALUE"""),"Ben Taylor")</f>
        <v>Ben Taylor</v>
      </c>
      <c r="D20">
        <f ca="1">IFERROR(__xludf.DUMMYFUNCTION("""COMPUTED_VALUE"""),10)</f>
        <v>10</v>
      </c>
      <c r="E20">
        <f ca="1">IFERROR(__xludf.DUMMYFUNCTION("""COMPUTED_VALUE"""),69.7)</f>
        <v>69.7</v>
      </c>
      <c r="F20">
        <f ca="1">IFERROR(__xludf.DUMMYFUNCTION("""COMPUTED_VALUE"""),46)</f>
        <v>46</v>
      </c>
      <c r="G20">
        <f ca="1">IFERROR(__xludf.DUMMYFUNCTION("""COMPUTED_VALUE"""),66)</f>
        <v>66</v>
      </c>
    </row>
    <row r="21" spans="1:7" ht="15.75" customHeight="1">
      <c r="A21" t="str">
        <f ca="1">IFERROR(__xludf.DUMMYFUNCTION("""COMPUTED_VALUE"""),"T19")</f>
        <v>T19</v>
      </c>
      <c r="B21" t="str">
        <f ca="1">IFERROR(__xludf.DUMMYFUNCTION("""COMPUTED_VALUE"""),"T24")</f>
        <v>T24</v>
      </c>
      <c r="C21" t="str">
        <f ca="1">IFERROR(__xludf.DUMMYFUNCTION("""COMPUTED_VALUE"""),"Bill Haas")</f>
        <v>Bill Haas</v>
      </c>
      <c r="D21">
        <f ca="1">IFERROR(__xludf.DUMMYFUNCTION("""COMPUTED_VALUE"""),10)</f>
        <v>10</v>
      </c>
      <c r="E21">
        <f ca="1">IFERROR(__xludf.DUMMYFUNCTION("""COMPUTED_VALUE"""),69.7)</f>
        <v>69.7</v>
      </c>
      <c r="F21">
        <f ca="1">IFERROR(__xludf.DUMMYFUNCTION("""COMPUTED_VALUE"""),46)</f>
        <v>46</v>
      </c>
      <c r="G21">
        <f ca="1">IFERROR(__xludf.DUMMYFUNCTION("""COMPUTED_VALUE"""),66)</f>
        <v>66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IFERROR(__xludf.DUMMYFUNCTION("""COMPUTED_VALUE"""),27)</f>
        <v>27</v>
      </c>
      <c r="C22" t="str">
        <f ca="1">IFERROR(__xludf.DUMMYFUNCTION("""COMPUTED_VALUE"""),"Patrick Cantlay")</f>
        <v>Patrick Cantlay</v>
      </c>
      <c r="D22">
        <f ca="1">IFERROR(__xludf.DUMMYFUNCTION("""COMPUTED_VALUE"""),16)</f>
        <v>16</v>
      </c>
      <c r="E22">
        <f ca="1">IFERROR(__xludf.DUMMYFUNCTION("""COMPUTED_VALUE"""),69.57)</f>
        <v>69.569999999999993</v>
      </c>
      <c r="F22">
        <f ca="1">IFERROR(__xludf.DUMMYFUNCTION("""COMPUTED_VALUE"""),64)</f>
        <v>64</v>
      </c>
      <c r="G22">
        <f ca="1">IFERROR(__xludf.DUMMYFUNCTION("""COMPUTED_VALUE"""),92)</f>
        <v>92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IFERROR(__xludf.DUMMYFUNCTION("""COMPUTED_VALUE"""),"T28")</f>
        <v>T28</v>
      </c>
      <c r="C23" t="str">
        <f ca="1">IFERROR(__xludf.DUMMYFUNCTION("""COMPUTED_VALUE"""),"Chris Stroud")</f>
        <v>Chris Stroud</v>
      </c>
      <c r="D23">
        <f ca="1">IFERROR(__xludf.DUMMYFUNCTION("""COMPUTED_VALUE"""),6)</f>
        <v>6</v>
      </c>
      <c r="E23">
        <f ca="1">IFERROR(__xludf.DUMMYFUNCTION("""COMPUTED_VALUE"""),69.44)</f>
        <v>69.44</v>
      </c>
      <c r="F23">
        <f ca="1">IFERROR(__xludf.DUMMYFUNCTION("""COMPUTED_VALUE"""),25)</f>
        <v>25</v>
      </c>
      <c r="G23">
        <f ca="1">IFERROR(__xludf.DUMMYFUNCTION("""COMPUTED_VALUE"""),36)</f>
        <v>36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IFERROR(__xludf.DUMMYFUNCTION("""COMPUTED_VALUE"""),30)</f>
        <v>30</v>
      </c>
      <c r="C24" t="str">
        <f ca="1">IFERROR(__xludf.DUMMYFUNCTION("""COMPUTED_VALUE"""),"Jonathan Byrd")</f>
        <v>Jonathan Byrd</v>
      </c>
      <c r="D24">
        <f ca="1">IFERROR(__xludf.DUMMYFUNCTION("""COMPUTED_VALUE"""),14)</f>
        <v>14</v>
      </c>
      <c r="E24">
        <f ca="1">IFERROR(__xludf.DUMMYFUNCTION("""COMPUTED_VALUE"""),69.23)</f>
        <v>69.23</v>
      </c>
      <c r="F24">
        <f ca="1">IFERROR(__xludf.DUMMYFUNCTION("""COMPUTED_VALUE"""),54)</f>
        <v>54</v>
      </c>
      <c r="G24">
        <f ca="1">IFERROR(__xludf.DUMMYFUNCTION("""COMPUTED_VALUE"""),78)</f>
        <v>78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IFERROR(__xludf.DUMMYFUNCTION("""COMPUTED_VALUE"""),"T40")</f>
        <v>T40</v>
      </c>
      <c r="C25" t="str">
        <f ca="1">IFERROR(__xludf.DUMMYFUNCTION("""COMPUTED_VALUE"""),"Fabián Gómez")</f>
        <v>Fabián Gómez</v>
      </c>
      <c r="D25">
        <f ca="1">IFERROR(__xludf.DUMMYFUNCTION("""COMPUTED_VALUE"""),16)</f>
        <v>16</v>
      </c>
      <c r="E25">
        <f ca="1">IFERROR(__xludf.DUMMYFUNCTION("""COMPUTED_VALUE"""),68.63)</f>
        <v>68.63</v>
      </c>
      <c r="F25">
        <f ca="1">IFERROR(__xludf.DUMMYFUNCTION("""COMPUTED_VALUE"""),70)</f>
        <v>70</v>
      </c>
      <c r="G25">
        <f ca="1">IFERROR(__xludf.DUMMYFUNCTION("""COMPUTED_VALUE"""),102)</f>
        <v>102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IFERROR(__xludf.DUMMYFUNCTION("""COMPUTED_VALUE"""),"T35")</f>
        <v>T35</v>
      </c>
      <c r="C26" t="str">
        <f ca="1">IFERROR(__xludf.DUMMYFUNCTION("""COMPUTED_VALUE"""),"Ian Poulter")</f>
        <v>Ian Poulter</v>
      </c>
      <c r="D26">
        <f ca="1">IFERROR(__xludf.DUMMYFUNCTION("""COMPUTED_VALUE"""),6)</f>
        <v>6</v>
      </c>
      <c r="E26">
        <f ca="1">IFERROR(__xludf.DUMMYFUNCTION("""COMPUTED_VALUE"""),68.09)</f>
        <v>68.09</v>
      </c>
      <c r="F26">
        <f ca="1">IFERROR(__xludf.DUMMYFUNCTION("""COMPUTED_VALUE"""),32)</f>
        <v>32</v>
      </c>
      <c r="G26">
        <f ca="1">IFERROR(__xludf.DUMMYFUNCTION("""COMPUTED_VALUE"""),47)</f>
        <v>47</v>
      </c>
    </row>
    <row r="27" spans="1:7" ht="15.75" customHeight="1">
      <c r="A27">
        <f ca="1">IFERROR(__xludf.DUMMYFUNCTION("""COMPUTED_VALUE"""),26)</f>
        <v>26</v>
      </c>
      <c r="B27" t="str">
        <f ca="1">IFERROR(__xludf.DUMMYFUNCTION("""COMPUTED_VALUE"""),"T40")</f>
        <v>T40</v>
      </c>
      <c r="C27" t="str">
        <f ca="1">IFERROR(__xludf.DUMMYFUNCTION("""COMPUTED_VALUE"""),"Henrik Stenson")</f>
        <v>Henrik Stenson</v>
      </c>
      <c r="D27">
        <f ca="1">IFERROR(__xludf.DUMMYFUNCTION("""COMPUTED_VALUE"""),11)</f>
        <v>11</v>
      </c>
      <c r="E27">
        <f ca="1">IFERROR(__xludf.DUMMYFUNCTION("""COMPUTED_VALUE"""),68.06)</f>
        <v>68.06</v>
      </c>
      <c r="F27">
        <f ca="1">IFERROR(__xludf.DUMMYFUNCTION("""COMPUTED_VALUE"""),49)</f>
        <v>49</v>
      </c>
      <c r="G27">
        <f ca="1">IFERROR(__xludf.DUMMYFUNCTION("""COMPUTED_VALUE"""),72)</f>
        <v>72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IFERROR(__xludf.DUMMYFUNCTION("""COMPUTED_VALUE"""),37)</f>
        <v>37</v>
      </c>
      <c r="C28" t="str">
        <f ca="1">IFERROR(__xludf.DUMMYFUNCTION("""COMPUTED_VALUE"""),"Tim Wilkinson")</f>
        <v>Tim Wilkinson</v>
      </c>
      <c r="D28">
        <f ca="1">IFERROR(__xludf.DUMMYFUNCTION("""COMPUTED_VALUE"""),12)</f>
        <v>12</v>
      </c>
      <c r="E28">
        <f ca="1">IFERROR(__xludf.DUMMYFUNCTION("""COMPUTED_VALUE"""),68)</f>
        <v>68</v>
      </c>
      <c r="F28">
        <f ca="1">IFERROR(__xludf.DUMMYFUNCTION("""COMPUTED_VALUE"""),51)</f>
        <v>51</v>
      </c>
      <c r="G28">
        <f ca="1">IFERROR(__xludf.DUMMYFUNCTION("""COMPUTED_VALUE"""),75)</f>
        <v>75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IFERROR(__xludf.DUMMYFUNCTION("""COMPUTED_VALUE"""),39)</f>
        <v>39</v>
      </c>
      <c r="C29" t="str">
        <f ca="1">IFERROR(__xludf.DUMMYFUNCTION("""COMPUTED_VALUE"""),"Mark Anderson")</f>
        <v>Mark Anderson</v>
      </c>
      <c r="D29">
        <f ca="1">IFERROR(__xludf.DUMMYFUNCTION("""COMPUTED_VALUE"""),14)</f>
        <v>14</v>
      </c>
      <c r="E29">
        <f ca="1">IFERROR(__xludf.DUMMYFUNCTION("""COMPUTED_VALUE"""),67.65)</f>
        <v>67.650000000000006</v>
      </c>
      <c r="F29">
        <f ca="1">IFERROR(__xludf.DUMMYFUNCTION("""COMPUTED_VALUE"""),46)</f>
        <v>46</v>
      </c>
      <c r="G29">
        <f ca="1">IFERROR(__xludf.DUMMYFUNCTION("""COMPUTED_VALUE"""),68)</f>
        <v>68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IFERROR(__xludf.DUMMYFUNCTION("""COMPUTED_VALUE"""),"")</f>
        <v/>
      </c>
      <c r="C30" t="str">
        <f ca="1">IFERROR(__xludf.DUMMYFUNCTION("""COMPUTED_VALUE"""),"Francesco Molinari")</f>
        <v>Francesco Molinari</v>
      </c>
      <c r="D30">
        <f ca="1">IFERROR(__xludf.DUMMYFUNCTION("""COMPUTED_VALUE"""),6)</f>
        <v>6</v>
      </c>
      <c r="E30">
        <f ca="1">IFERROR(__xludf.DUMMYFUNCTION("""COMPUTED_VALUE"""),67.57)</f>
        <v>67.569999999999993</v>
      </c>
      <c r="F30">
        <f ca="1">IFERROR(__xludf.DUMMYFUNCTION("""COMPUTED_VALUE"""),25)</f>
        <v>25</v>
      </c>
      <c r="G30">
        <f ca="1">IFERROR(__xludf.DUMMYFUNCTION("""COMPUTED_VALUE"""),37)</f>
        <v>37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IFERROR(__xludf.DUMMYFUNCTION("""COMPUTED_VALUE"""),31)</f>
        <v>31</v>
      </c>
      <c r="C31" t="str">
        <f ca="1">IFERROR(__xludf.DUMMYFUNCTION("""COMPUTED_VALUE"""),"Matt Jones")</f>
        <v>Matt Jones</v>
      </c>
      <c r="D31">
        <f ca="1">IFERROR(__xludf.DUMMYFUNCTION("""COMPUTED_VALUE"""),20)</f>
        <v>20</v>
      </c>
      <c r="E31">
        <f ca="1">IFERROR(__xludf.DUMMYFUNCTION("""COMPUTED_VALUE"""),67.48)</f>
        <v>67.48</v>
      </c>
      <c r="F31">
        <f ca="1">IFERROR(__xludf.DUMMYFUNCTION("""COMPUTED_VALUE"""),83)</f>
        <v>83</v>
      </c>
      <c r="G31">
        <f ca="1">IFERROR(__xludf.DUMMYFUNCTION("""COMPUTED_VALUE"""),123)</f>
        <v>123</v>
      </c>
    </row>
    <row r="32" spans="1:7" ht="12.75">
      <c r="A32" t="str">
        <f ca="1">IFERROR(__xludf.DUMMYFUNCTION("""COMPUTED_VALUE"""),"T31")</f>
        <v>T31</v>
      </c>
      <c r="B32" t="str">
        <f ca="1">IFERROR(__xludf.DUMMYFUNCTION("""COMPUTED_VALUE"""),"T40")</f>
        <v>T40</v>
      </c>
      <c r="C32" t="str">
        <f ca="1">IFERROR(__xludf.DUMMYFUNCTION("""COMPUTED_VALUE"""),"Charl Schwartzel")</f>
        <v>Charl Schwartzel</v>
      </c>
      <c r="D32">
        <f ca="1">IFERROR(__xludf.DUMMYFUNCTION("""COMPUTED_VALUE"""),12)</f>
        <v>12</v>
      </c>
      <c r="E32">
        <f ca="1">IFERROR(__xludf.DUMMYFUNCTION("""COMPUTED_VALUE"""),66.67)</f>
        <v>66.67</v>
      </c>
      <c r="F32">
        <f ca="1">IFERROR(__xludf.DUMMYFUNCTION("""COMPUTED_VALUE"""),40)</f>
        <v>40</v>
      </c>
      <c r="G32">
        <f ca="1">IFERROR(__xludf.DUMMYFUNCTION("""COMPUTED_VALUE"""),60)</f>
        <v>60</v>
      </c>
    </row>
    <row r="33" spans="1:7" ht="12.75">
      <c r="A33" t="str">
        <f ca="1">IFERROR(__xludf.DUMMYFUNCTION("""COMPUTED_VALUE"""),"T31")</f>
        <v>T31</v>
      </c>
      <c r="B33">
        <f ca="1">IFERROR(__xludf.DUMMYFUNCTION("""COMPUTED_VALUE"""),53)</f>
        <v>53</v>
      </c>
      <c r="C33" t="str">
        <f ca="1">IFERROR(__xludf.DUMMYFUNCTION("""COMPUTED_VALUE"""),"Xinjun Zhang")</f>
        <v>Xinjun Zhang</v>
      </c>
      <c r="D33">
        <f ca="1">IFERROR(__xludf.DUMMYFUNCTION("""COMPUTED_VALUE"""),14)</f>
        <v>14</v>
      </c>
      <c r="E33">
        <f ca="1">IFERROR(__xludf.DUMMYFUNCTION("""COMPUTED_VALUE"""),66.67)</f>
        <v>66.67</v>
      </c>
      <c r="F33">
        <f ca="1">IFERROR(__xludf.DUMMYFUNCTION("""COMPUTED_VALUE"""),52)</f>
        <v>52</v>
      </c>
      <c r="G33">
        <f ca="1">IFERROR(__xludf.DUMMYFUNCTION("""COMPUTED_VALUE"""),78)</f>
        <v>78</v>
      </c>
    </row>
    <row r="34" spans="1:7" ht="12.75">
      <c r="A34" t="str">
        <f ca="1">IFERROR(__xludf.DUMMYFUNCTION("""COMPUTED_VALUE"""),"T31")</f>
        <v>T31</v>
      </c>
      <c r="B34">
        <f ca="1">IFERROR(__xludf.DUMMYFUNCTION("""COMPUTED_VALUE"""),33)</f>
        <v>33</v>
      </c>
      <c r="C34" t="str">
        <f ca="1">IFERROR(__xludf.DUMMYFUNCTION("""COMPUTED_VALUE"""),"Sepp Straka")</f>
        <v>Sepp Straka</v>
      </c>
      <c r="D34">
        <f ca="1">IFERROR(__xludf.DUMMYFUNCTION("""COMPUTED_VALUE"""),22)</f>
        <v>22</v>
      </c>
      <c r="E34">
        <f ca="1">IFERROR(__xludf.DUMMYFUNCTION("""COMPUTED_VALUE"""),66.67)</f>
        <v>66.67</v>
      </c>
      <c r="F34">
        <f ca="1">IFERROR(__xludf.DUMMYFUNCTION("""COMPUTED_VALUE"""),82)</f>
        <v>82</v>
      </c>
      <c r="G34">
        <f ca="1">IFERROR(__xludf.DUMMYFUNCTION("""COMPUTED_VALUE"""),123)</f>
        <v>123</v>
      </c>
    </row>
    <row r="35" spans="1:7" ht="12.75">
      <c r="A35" t="str">
        <f ca="1">IFERROR(__xludf.DUMMYFUNCTION("""COMPUTED_VALUE"""),"T31")</f>
        <v>T31</v>
      </c>
      <c r="B35" t="str">
        <f ca="1">IFERROR(__xludf.DUMMYFUNCTION("""COMPUTED_VALUE"""),"T40")</f>
        <v>T40</v>
      </c>
      <c r="C35" t="str">
        <f ca="1">IFERROR(__xludf.DUMMYFUNCTION("""COMPUTED_VALUE"""),"Vincent Whaley")</f>
        <v>Vincent Whaley</v>
      </c>
      <c r="D35">
        <f ca="1">IFERROR(__xludf.DUMMYFUNCTION("""COMPUTED_VALUE"""),14)</f>
        <v>14</v>
      </c>
      <c r="E35">
        <f ca="1">IFERROR(__xludf.DUMMYFUNCTION("""COMPUTED_VALUE"""),66.67)</f>
        <v>66.67</v>
      </c>
      <c r="F35">
        <f ca="1">IFERROR(__xludf.DUMMYFUNCTION("""COMPUTED_VALUE"""),54)</f>
        <v>54</v>
      </c>
      <c r="G35">
        <f ca="1">IFERROR(__xludf.DUMMYFUNCTION("""COMPUTED_VALUE"""),81)</f>
        <v>81</v>
      </c>
    </row>
    <row r="36" spans="1:7" ht="12.75">
      <c r="A36" t="str">
        <f ca="1">IFERROR(__xludf.DUMMYFUNCTION("""COMPUTED_VALUE"""),"T31")</f>
        <v>T31</v>
      </c>
      <c r="B36" t="str">
        <f ca="1">IFERROR(__xludf.DUMMYFUNCTION("""COMPUTED_VALUE"""),"T40")</f>
        <v>T40</v>
      </c>
      <c r="C36" t="str">
        <f ca="1">IFERROR(__xludf.DUMMYFUNCTION("""COMPUTED_VALUE"""),"Dominic Bozzelli")</f>
        <v>Dominic Bozzelli</v>
      </c>
      <c r="D36">
        <f ca="1">IFERROR(__xludf.DUMMYFUNCTION("""COMPUTED_VALUE"""),8)</f>
        <v>8</v>
      </c>
      <c r="E36">
        <f ca="1">IFERROR(__xludf.DUMMYFUNCTION("""COMPUTED_VALUE"""),66.67)</f>
        <v>66.67</v>
      </c>
      <c r="F36">
        <f ca="1">IFERROR(__xludf.DUMMYFUNCTION("""COMPUTED_VALUE"""),38)</f>
        <v>38</v>
      </c>
      <c r="G36">
        <f ca="1">IFERROR(__xludf.DUMMYFUNCTION("""COMPUTED_VALUE"""),57)</f>
        <v>57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IFERROR(__xludf.DUMMYFUNCTION("""COMPUTED_VALUE"""),23)</f>
        <v>23</v>
      </c>
      <c r="C37" t="str">
        <f ca="1">IFERROR(__xludf.DUMMYFUNCTION("""COMPUTED_VALUE"""),"Maverick McNealy")</f>
        <v>Maverick McNealy</v>
      </c>
      <c r="D37">
        <f ca="1">IFERROR(__xludf.DUMMYFUNCTION("""COMPUTED_VALUE"""),16)</f>
        <v>16</v>
      </c>
      <c r="E37">
        <f ca="1">IFERROR(__xludf.DUMMYFUNCTION("""COMPUTED_VALUE"""),65.96)</f>
        <v>65.959999999999994</v>
      </c>
      <c r="F37">
        <f ca="1">IFERROR(__xludf.DUMMYFUNCTION("""COMPUTED_VALUE"""),62)</f>
        <v>62</v>
      </c>
      <c r="G37">
        <f ca="1">IFERROR(__xludf.DUMMYFUNCTION("""COMPUTED_VALUE"""),94)</f>
        <v>94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IFERROR(__xludf.DUMMYFUNCTION("""COMPUTED_VALUE"""),51)</f>
        <v>51</v>
      </c>
      <c r="C38" t="str">
        <f ca="1">IFERROR(__xludf.DUMMYFUNCTION("""COMPUTED_VALUE"""),"Kiradech Aphibarnrat")</f>
        <v>Kiradech Aphibarnrat</v>
      </c>
      <c r="D38">
        <f ca="1">IFERROR(__xludf.DUMMYFUNCTION("""COMPUTED_VALUE"""),12)</f>
        <v>12</v>
      </c>
      <c r="E38">
        <f ca="1">IFERROR(__xludf.DUMMYFUNCTION("""COMPUTED_VALUE"""),65.88)</f>
        <v>65.88</v>
      </c>
      <c r="F38">
        <f ca="1">IFERROR(__xludf.DUMMYFUNCTION("""COMPUTED_VALUE"""),56)</f>
        <v>56</v>
      </c>
      <c r="G38">
        <f ca="1">IFERROR(__xludf.DUMMYFUNCTION("""COMPUTED_VALUE"""),85)</f>
        <v>85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IFERROR(__xludf.DUMMYFUNCTION("""COMPUTED_VALUE"""),38)</f>
        <v>38</v>
      </c>
      <c r="C39" t="str">
        <f ca="1">IFERROR(__xludf.DUMMYFUNCTION("""COMPUTED_VALUE"""),"Si Woo Kim")</f>
        <v>Si Woo Kim</v>
      </c>
      <c r="D39">
        <f ca="1">IFERROR(__xludf.DUMMYFUNCTION("""COMPUTED_VALUE"""),20)</f>
        <v>20</v>
      </c>
      <c r="E39">
        <f ca="1">IFERROR(__xludf.DUMMYFUNCTION("""COMPUTED_VALUE"""),65.57)</f>
        <v>65.569999999999993</v>
      </c>
      <c r="F39">
        <f ca="1">IFERROR(__xludf.DUMMYFUNCTION("""COMPUTED_VALUE"""),80)</f>
        <v>80</v>
      </c>
      <c r="G39">
        <f ca="1">IFERROR(__xludf.DUMMYFUNCTION("""COMPUTED_VALUE"""),122)</f>
        <v>122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IFERROR(__xludf.DUMMYFUNCTION("""COMPUTED_VALUE"""),32)</f>
        <v>32</v>
      </c>
      <c r="C40" t="str">
        <f ca="1">IFERROR(__xludf.DUMMYFUNCTION("""COMPUTED_VALUE"""),"D.A. Points")</f>
        <v>D.A. Points</v>
      </c>
      <c r="D40">
        <f ca="1">IFERROR(__xludf.DUMMYFUNCTION("""COMPUTED_VALUE"""),12)</f>
        <v>12</v>
      </c>
      <c r="E40">
        <f ca="1">IFERROR(__xludf.DUMMYFUNCTION("""COMPUTED_VALUE"""),65.56)</f>
        <v>65.56</v>
      </c>
      <c r="F40">
        <f ca="1">IFERROR(__xludf.DUMMYFUNCTION("""COMPUTED_VALUE"""),59)</f>
        <v>59</v>
      </c>
      <c r="G40">
        <f ca="1">IFERROR(__xludf.DUMMYFUNCTION("""COMPUTED_VALUE"""),90)</f>
        <v>90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IFERROR(__xludf.DUMMYFUNCTION("""COMPUTED_VALUE"""),"T40")</f>
        <v>T40</v>
      </c>
      <c r="C41" t="str">
        <f ca="1">IFERROR(__xludf.DUMMYFUNCTION("""COMPUTED_VALUE"""),"Nate Lashley")</f>
        <v>Nate Lashley</v>
      </c>
      <c r="D41">
        <f ca="1">IFERROR(__xludf.DUMMYFUNCTION("""COMPUTED_VALUE"""),16)</f>
        <v>16</v>
      </c>
      <c r="E41">
        <f ca="1">IFERROR(__xludf.DUMMYFUNCTION("""COMPUTED_VALUE"""),65.52)</f>
        <v>65.52</v>
      </c>
      <c r="F41">
        <f ca="1">IFERROR(__xludf.DUMMYFUNCTION("""COMPUTED_VALUE"""),57)</f>
        <v>57</v>
      </c>
      <c r="G41">
        <f ca="1">IFERROR(__xludf.DUMMYFUNCTION("""COMPUTED_VALUE"""),87)</f>
        <v>87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IFERROR(__xludf.DUMMYFUNCTION("""COMPUTED_VALUE"""),54)</f>
        <v>54</v>
      </c>
      <c r="C42" t="str">
        <f ca="1">IFERROR(__xludf.DUMMYFUNCTION("""COMPUTED_VALUE"""),"Nick Watney")</f>
        <v>Nick Watney</v>
      </c>
      <c r="D42">
        <f ca="1">IFERROR(__xludf.DUMMYFUNCTION("""COMPUTED_VALUE"""),10)</f>
        <v>10</v>
      </c>
      <c r="E42">
        <f ca="1">IFERROR(__xludf.DUMMYFUNCTION("""COMPUTED_VALUE"""),65.31)</f>
        <v>65.31</v>
      </c>
      <c r="F42">
        <f ca="1">IFERROR(__xludf.DUMMYFUNCTION("""COMPUTED_VALUE"""),32)</f>
        <v>32</v>
      </c>
      <c r="G42">
        <f ca="1">IFERROR(__xludf.DUMMYFUNCTION("""COMPUTED_VALUE"""),49)</f>
        <v>49</v>
      </c>
    </row>
    <row r="43" spans="1:7" ht="12.75">
      <c r="A43" t="str">
        <f ca="1">IFERROR(__xludf.DUMMYFUNCTION("""COMPUTED_VALUE"""),"T42")</f>
        <v>T42</v>
      </c>
      <c r="B43" t="str">
        <f ca="1">IFERROR(__xludf.DUMMYFUNCTION("""COMPUTED_VALUE"""),"T40")</f>
        <v>T40</v>
      </c>
      <c r="C43" t="str">
        <f ca="1">IFERROR(__xludf.DUMMYFUNCTION("""COMPUTED_VALUE"""),"Denny McCarthy")</f>
        <v>Denny McCarthy</v>
      </c>
      <c r="D43">
        <f ca="1">IFERROR(__xludf.DUMMYFUNCTION("""COMPUTED_VALUE"""),22)</f>
        <v>22</v>
      </c>
      <c r="E43">
        <f ca="1">IFERROR(__xludf.DUMMYFUNCTION("""COMPUTED_VALUE"""),65.22)</f>
        <v>65.22</v>
      </c>
      <c r="F43">
        <f ca="1">IFERROR(__xludf.DUMMYFUNCTION("""COMPUTED_VALUE"""),75)</f>
        <v>75</v>
      </c>
      <c r="G43">
        <f ca="1">IFERROR(__xludf.DUMMYFUNCTION("""COMPUTED_VALUE"""),115)</f>
        <v>115</v>
      </c>
    </row>
    <row r="44" spans="1:7" ht="12.75">
      <c r="A44" t="str">
        <f ca="1">IFERROR(__xludf.DUMMYFUNCTION("""COMPUTED_VALUE"""),"T42")</f>
        <v>T42</v>
      </c>
      <c r="B44">
        <f ca="1">IFERROR(__xludf.DUMMYFUNCTION("""COMPUTED_VALUE"""),103)</f>
        <v>103</v>
      </c>
      <c r="C44" t="str">
        <f ca="1">IFERROR(__xludf.DUMMYFUNCTION("""COMPUTED_VALUE"""),"Russell Knox")</f>
        <v>Russell Knox</v>
      </c>
      <c r="D44">
        <f ca="1">IFERROR(__xludf.DUMMYFUNCTION("""COMPUTED_VALUE"""),16)</f>
        <v>16</v>
      </c>
      <c r="E44">
        <f ca="1">IFERROR(__xludf.DUMMYFUNCTION("""COMPUTED_VALUE"""),65.22)</f>
        <v>65.22</v>
      </c>
      <c r="F44">
        <f ca="1">IFERROR(__xludf.DUMMYFUNCTION("""COMPUTED_VALUE"""),45)</f>
        <v>45</v>
      </c>
      <c r="G44">
        <f ca="1">IFERROR(__xludf.DUMMYFUNCTION("""COMPUTED_VALUE"""),69)</f>
        <v>69</v>
      </c>
    </row>
    <row r="45" spans="1:7" ht="12.75">
      <c r="A45" t="str">
        <f ca="1">IFERROR(__xludf.DUMMYFUNCTION("""COMPUTED_VALUE"""),"T44")</f>
        <v>T44</v>
      </c>
      <c r="B45" t="str">
        <f ca="1">IFERROR(__xludf.DUMMYFUNCTION("""COMPUTED_VALUE"""),"T57")</f>
        <v>T57</v>
      </c>
      <c r="C45" t="str">
        <f ca="1">IFERROR(__xludf.DUMMYFUNCTION("""COMPUTED_VALUE"""),"Ben Martin")</f>
        <v>Ben Martin</v>
      </c>
      <c r="D45">
        <f ca="1">IFERROR(__xludf.DUMMYFUNCTION("""COMPUTED_VALUE"""),6)</f>
        <v>6</v>
      </c>
      <c r="E45">
        <f ca="1">IFERROR(__xludf.DUMMYFUNCTION("""COMPUTED_VALUE"""),65.12)</f>
        <v>65.12</v>
      </c>
      <c r="F45">
        <f ca="1">IFERROR(__xludf.DUMMYFUNCTION("""COMPUTED_VALUE"""),28)</f>
        <v>28</v>
      </c>
      <c r="G45">
        <f ca="1">IFERROR(__xludf.DUMMYFUNCTION("""COMPUTED_VALUE"""),43)</f>
        <v>43</v>
      </c>
    </row>
    <row r="46" spans="1:7" ht="12.75">
      <c r="A46" t="str">
        <f ca="1">IFERROR(__xludf.DUMMYFUNCTION("""COMPUTED_VALUE"""),"T44")</f>
        <v>T44</v>
      </c>
      <c r="B46" t="str">
        <f ca="1">IFERROR(__xludf.DUMMYFUNCTION("""COMPUTED_VALUE"""),"T57")</f>
        <v>T57</v>
      </c>
      <c r="C46" t="str">
        <f ca="1">IFERROR(__xludf.DUMMYFUNCTION("""COMPUTED_VALUE"""),"D.J. Trahan")</f>
        <v>D.J. Trahan</v>
      </c>
      <c r="D46">
        <f ca="1">IFERROR(__xludf.DUMMYFUNCTION("""COMPUTED_VALUE"""),16)</f>
        <v>16</v>
      </c>
      <c r="E46">
        <f ca="1">IFERROR(__xludf.DUMMYFUNCTION("""COMPUTED_VALUE"""),65.12)</f>
        <v>65.12</v>
      </c>
      <c r="F46">
        <f ca="1">IFERROR(__xludf.DUMMYFUNCTION("""COMPUTED_VALUE"""),56)</f>
        <v>56</v>
      </c>
      <c r="G46">
        <f ca="1">IFERROR(__xludf.DUMMYFUNCTION("""COMPUTED_VALUE"""),86)</f>
        <v>86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IFERROR(__xludf.DUMMYFUNCTION("""COMPUTED_VALUE"""),56)</f>
        <v>56</v>
      </c>
      <c r="C47" t="str">
        <f ca="1">IFERROR(__xludf.DUMMYFUNCTION("""COMPUTED_VALUE"""),"Robby Shelton")</f>
        <v>Robby Shelton</v>
      </c>
      <c r="D47">
        <f ca="1">IFERROR(__xludf.DUMMYFUNCTION("""COMPUTED_VALUE"""),14)</f>
        <v>14</v>
      </c>
      <c r="E47">
        <f ca="1">IFERROR(__xludf.DUMMYFUNCTION("""COMPUTED_VALUE"""),65)</f>
        <v>65</v>
      </c>
      <c r="F47">
        <f ca="1">IFERROR(__xludf.DUMMYFUNCTION("""COMPUTED_VALUE"""),52)</f>
        <v>52</v>
      </c>
      <c r="G47">
        <f ca="1">IFERROR(__xludf.DUMMYFUNCTION("""COMPUTED_VALUE"""),80)</f>
        <v>80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IFERROR(__xludf.DUMMYFUNCTION("""COMPUTED_VALUE"""),62)</f>
        <v>62</v>
      </c>
      <c r="C48" t="str">
        <f ca="1">IFERROR(__xludf.DUMMYFUNCTION("""COMPUTED_VALUE"""),"J.J. Spaun")</f>
        <v>J.J. Spaun</v>
      </c>
      <c r="D48">
        <f ca="1">IFERROR(__xludf.DUMMYFUNCTION("""COMPUTED_VALUE"""),10)</f>
        <v>10</v>
      </c>
      <c r="E48">
        <f ca="1">IFERROR(__xludf.DUMMYFUNCTION("""COMPUTED_VALUE"""),64.71)</f>
        <v>64.709999999999994</v>
      </c>
      <c r="F48">
        <f ca="1">IFERROR(__xludf.DUMMYFUNCTION("""COMPUTED_VALUE"""),33)</f>
        <v>33</v>
      </c>
      <c r="G48">
        <f ca="1">IFERROR(__xludf.DUMMYFUNCTION("""COMPUTED_VALUE"""),51)</f>
        <v>51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IFERROR(__xludf.DUMMYFUNCTION("""COMPUTED_VALUE"""),64)</f>
        <v>64</v>
      </c>
      <c r="C49" t="str">
        <f ca="1">IFERROR(__xludf.DUMMYFUNCTION("""COMPUTED_VALUE"""),"Will Zalatoris")</f>
        <v>Will Zalatoris</v>
      </c>
      <c r="D49">
        <f ca="1">IFERROR(__xludf.DUMMYFUNCTION("""COMPUTED_VALUE"""),18)</f>
        <v>18</v>
      </c>
      <c r="E49">
        <f ca="1">IFERROR(__xludf.DUMMYFUNCTION("""COMPUTED_VALUE"""),64.58)</f>
        <v>64.58</v>
      </c>
      <c r="F49">
        <f ca="1">IFERROR(__xludf.DUMMYFUNCTION("""COMPUTED_VALUE"""),62)</f>
        <v>62</v>
      </c>
      <c r="G49">
        <f ca="1">IFERROR(__xludf.DUMMYFUNCTION("""COMPUTED_VALUE"""),96)</f>
        <v>96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IFERROR(__xludf.DUMMYFUNCTION("""COMPUTED_VALUE"""),65)</f>
        <v>65</v>
      </c>
      <c r="C50" t="str">
        <f ca="1">IFERROR(__xludf.DUMMYFUNCTION("""COMPUTED_VALUE"""),"Harris English")</f>
        <v>Harris English</v>
      </c>
      <c r="D50">
        <f ca="1">IFERROR(__xludf.DUMMYFUNCTION("""COMPUTED_VALUE"""),14)</f>
        <v>14</v>
      </c>
      <c r="E50">
        <f ca="1">IFERROR(__xludf.DUMMYFUNCTION("""COMPUTED_VALUE"""),64.44)</f>
        <v>64.44</v>
      </c>
      <c r="F50">
        <f ca="1">IFERROR(__xludf.DUMMYFUNCTION("""COMPUTED_VALUE"""),58)</f>
        <v>58</v>
      </c>
      <c r="G50">
        <f ca="1">IFERROR(__xludf.DUMMYFUNCTION("""COMPUTED_VALUE"""),90)</f>
        <v>90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IFERROR(__xludf.DUMMYFUNCTION("""COMPUTED_VALUE"""),52)</f>
        <v>52</v>
      </c>
      <c r="C51" t="str">
        <f ca="1">IFERROR(__xludf.DUMMYFUNCTION("""COMPUTED_VALUE"""),"Wyndham Clark")</f>
        <v>Wyndham Clark</v>
      </c>
      <c r="D51">
        <f ca="1">IFERROR(__xludf.DUMMYFUNCTION("""COMPUTED_VALUE"""),16)</f>
        <v>16</v>
      </c>
      <c r="E51">
        <f ca="1">IFERROR(__xludf.DUMMYFUNCTION("""COMPUTED_VALUE"""),64.37)</f>
        <v>64.37</v>
      </c>
      <c r="F51">
        <f ca="1">IFERROR(__xludf.DUMMYFUNCTION("""COMPUTED_VALUE"""),56)</f>
        <v>56</v>
      </c>
      <c r="G51">
        <f ca="1">IFERROR(__xludf.DUMMYFUNCTION("""COMPUTED_VALUE"""),87)</f>
        <v>87</v>
      </c>
    </row>
    <row r="52" spans="1:7" ht="12.75">
      <c r="A52" t="str">
        <f ca="1">IFERROR(__xludf.DUMMYFUNCTION("""COMPUTED_VALUE"""),"T51")</f>
        <v>T51</v>
      </c>
      <c r="B52" t="str">
        <f ca="1">IFERROR(__xludf.DUMMYFUNCTION("""COMPUTED_VALUE"""),"")</f>
        <v/>
      </c>
      <c r="C52" t="str">
        <f ca="1">IFERROR(__xludf.DUMMYFUNCTION("""COMPUTED_VALUE"""),"Erik Barnes")</f>
        <v>Erik Barnes</v>
      </c>
      <c r="D52">
        <f ca="1">IFERROR(__xludf.DUMMYFUNCTION("""COMPUTED_VALUE"""),4)</f>
        <v>4</v>
      </c>
      <c r="E52">
        <f ca="1">IFERROR(__xludf.DUMMYFUNCTION("""COMPUTED_VALUE"""),64.29)</f>
        <v>64.290000000000006</v>
      </c>
      <c r="F52">
        <f ca="1">IFERROR(__xludf.DUMMYFUNCTION("""COMPUTED_VALUE"""),18)</f>
        <v>18</v>
      </c>
      <c r="G52">
        <f ca="1">IFERROR(__xludf.DUMMYFUNCTION("""COMPUTED_VALUE"""),28)</f>
        <v>28</v>
      </c>
    </row>
    <row r="53" spans="1:7" ht="12.75">
      <c r="A53" t="str">
        <f ca="1">IFERROR(__xludf.DUMMYFUNCTION("""COMPUTED_VALUE"""),"T51")</f>
        <v>T51</v>
      </c>
      <c r="B53" t="str">
        <f ca="1">IFERROR(__xludf.DUMMYFUNCTION("""COMPUTED_VALUE"""),"T66")</f>
        <v>T66</v>
      </c>
      <c r="C53" t="str">
        <f ca="1">IFERROR(__xludf.DUMMYFUNCTION("""COMPUTED_VALUE"""),"Charles Howell III")</f>
        <v>Charles Howell III</v>
      </c>
      <c r="D53">
        <f ca="1">IFERROR(__xludf.DUMMYFUNCTION("""COMPUTED_VALUE"""),10)</f>
        <v>10</v>
      </c>
      <c r="E53">
        <f ca="1">IFERROR(__xludf.DUMMYFUNCTION("""COMPUTED_VALUE"""),64.29)</f>
        <v>64.290000000000006</v>
      </c>
      <c r="F53">
        <f ca="1">IFERROR(__xludf.DUMMYFUNCTION("""COMPUTED_VALUE"""),45)</f>
        <v>45</v>
      </c>
      <c r="G53">
        <f ca="1">IFERROR(__xludf.DUMMYFUNCTION("""COMPUTED_VALUE"""),70)</f>
        <v>70</v>
      </c>
    </row>
    <row r="54" spans="1:7" ht="12.75">
      <c r="A54">
        <f ca="1">IFERROR(__xludf.DUMMYFUNCTION("""COMPUTED_VALUE"""),53)</f>
        <v>53</v>
      </c>
      <c r="B54" t="str">
        <f ca="1">IFERROR(__xludf.DUMMYFUNCTION("""COMPUTED_VALUE"""),"T28")</f>
        <v>T28</v>
      </c>
      <c r="C54" t="str">
        <f ca="1">IFERROR(__xludf.DUMMYFUNCTION("""COMPUTED_VALUE"""),"Adam Schenk")</f>
        <v>Adam Schenk</v>
      </c>
      <c r="D54">
        <f ca="1">IFERROR(__xludf.DUMMYFUNCTION("""COMPUTED_VALUE"""),22)</f>
        <v>22</v>
      </c>
      <c r="E54">
        <f ca="1">IFERROR(__xludf.DUMMYFUNCTION("""COMPUTED_VALUE"""),64.23)</f>
        <v>64.23</v>
      </c>
      <c r="F54">
        <f ca="1">IFERROR(__xludf.DUMMYFUNCTION("""COMPUTED_VALUE"""),79)</f>
        <v>79</v>
      </c>
      <c r="G54">
        <f ca="1">IFERROR(__xludf.DUMMYFUNCTION("""COMPUTED_VALUE"""),123)</f>
        <v>123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IFERROR(__xludf.DUMMYFUNCTION("""COMPUTED_VALUE"""),127)</f>
        <v>127</v>
      </c>
      <c r="C55" t="str">
        <f ca="1">IFERROR(__xludf.DUMMYFUNCTION("""COMPUTED_VALUE"""),"Carlos Ortiz")</f>
        <v>Carlos Ortiz</v>
      </c>
      <c r="D55">
        <f ca="1">IFERROR(__xludf.DUMMYFUNCTION("""COMPUTED_VALUE"""),20)</f>
        <v>20</v>
      </c>
      <c r="E55">
        <f ca="1">IFERROR(__xludf.DUMMYFUNCTION("""COMPUTED_VALUE"""),64.08)</f>
        <v>64.08</v>
      </c>
      <c r="F55">
        <f ca="1">IFERROR(__xludf.DUMMYFUNCTION("""COMPUTED_VALUE"""),66)</f>
        <v>66</v>
      </c>
      <c r="G55">
        <f ca="1">IFERROR(__xludf.DUMMYFUNCTION("""COMPUTED_VALUE"""),103)</f>
        <v>103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IFERROR(__xludf.DUMMYFUNCTION("""COMPUTED_VALUE"""),10)</f>
        <v>10</v>
      </c>
      <c r="C56" t="str">
        <f ca="1">IFERROR(__xludf.DUMMYFUNCTION("""COMPUTED_VALUE"""),"Doc Redman")</f>
        <v>Doc Redman</v>
      </c>
      <c r="D56">
        <f ca="1">IFERROR(__xludf.DUMMYFUNCTION("""COMPUTED_VALUE"""),18)</f>
        <v>18</v>
      </c>
      <c r="E56">
        <f ca="1">IFERROR(__xludf.DUMMYFUNCTION("""COMPUTED_VALUE"""),63.83)</f>
        <v>63.83</v>
      </c>
      <c r="F56">
        <f ca="1">IFERROR(__xludf.DUMMYFUNCTION("""COMPUTED_VALUE"""),60)</f>
        <v>60</v>
      </c>
      <c r="G56">
        <f ca="1">IFERROR(__xludf.DUMMYFUNCTION("""COMPUTED_VALUE"""),94)</f>
        <v>94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IFERROR(__xludf.DUMMYFUNCTION("""COMPUTED_VALUE"""),"T40")</f>
        <v>T40</v>
      </c>
      <c r="C57" t="str">
        <f ca="1">IFERROR(__xludf.DUMMYFUNCTION("""COMPUTED_VALUE"""),"Austin Cook")</f>
        <v>Austin Cook</v>
      </c>
      <c r="D57">
        <f ca="1">IFERROR(__xludf.DUMMYFUNCTION("""COMPUTED_VALUE"""),14)</f>
        <v>14</v>
      </c>
      <c r="E57">
        <f ca="1">IFERROR(__xludf.DUMMYFUNCTION("""COMPUTED_VALUE"""),63.64)</f>
        <v>63.64</v>
      </c>
      <c r="F57">
        <f ca="1">IFERROR(__xludf.DUMMYFUNCTION("""COMPUTED_VALUE"""),42)</f>
        <v>42</v>
      </c>
      <c r="G57">
        <f ca="1">IFERROR(__xludf.DUMMYFUNCTION("""COMPUTED_VALUE"""),66)</f>
        <v>66</v>
      </c>
    </row>
    <row r="58" spans="1:7" ht="12.75">
      <c r="A58" t="str">
        <f ca="1">IFERROR(__xludf.DUMMYFUNCTION("""COMPUTED_VALUE"""),"T56")</f>
        <v>T56</v>
      </c>
      <c r="B58" t="str">
        <f ca="1">IFERROR(__xludf.DUMMYFUNCTION("""COMPUTED_VALUE"""),"T70")</f>
        <v>T70</v>
      </c>
      <c r="C58" t="str">
        <f ca="1">IFERROR(__xludf.DUMMYFUNCTION("""COMPUTED_VALUE"""),"J.J. Henry")</f>
        <v>J.J. Henry</v>
      </c>
      <c r="D58">
        <f ca="1">IFERROR(__xludf.DUMMYFUNCTION("""COMPUTED_VALUE"""),4)</f>
        <v>4</v>
      </c>
      <c r="E58">
        <f ca="1">IFERROR(__xludf.DUMMYFUNCTION("""COMPUTED_VALUE"""),63.64)</f>
        <v>63.64</v>
      </c>
      <c r="F58">
        <f ca="1">IFERROR(__xludf.DUMMYFUNCTION("""COMPUTED_VALUE"""),14)</f>
        <v>14</v>
      </c>
      <c r="G58">
        <f ca="1">IFERROR(__xludf.DUMMYFUNCTION("""COMPUTED_VALUE"""),22)</f>
        <v>22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IFERROR(__xludf.DUMMYFUNCTION("""COMPUTED_VALUE"""),72)</f>
        <v>72</v>
      </c>
      <c r="C59" t="str">
        <f ca="1">IFERROR(__xludf.DUMMYFUNCTION("""COMPUTED_VALUE"""),"Rob Oppenheim")</f>
        <v>Rob Oppenheim</v>
      </c>
      <c r="D59">
        <f ca="1">IFERROR(__xludf.DUMMYFUNCTION("""COMPUTED_VALUE"""),16)</f>
        <v>16</v>
      </c>
      <c r="E59">
        <f ca="1">IFERROR(__xludf.DUMMYFUNCTION("""COMPUTED_VALUE"""),63.54)</f>
        <v>63.54</v>
      </c>
      <c r="F59">
        <f ca="1">IFERROR(__xludf.DUMMYFUNCTION("""COMPUTED_VALUE"""),61)</f>
        <v>61</v>
      </c>
      <c r="G59">
        <f ca="1">IFERROR(__xludf.DUMMYFUNCTION("""COMPUTED_VALUE"""),96)</f>
        <v>96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IFERROR(__xludf.DUMMYFUNCTION("""COMPUTED_VALUE"""),73)</f>
        <v>73</v>
      </c>
      <c r="C60" t="str">
        <f ca="1">IFERROR(__xludf.DUMMYFUNCTION("""COMPUTED_VALUE"""),"Joaquin Niemann")</f>
        <v>Joaquin Niemann</v>
      </c>
      <c r="D60">
        <f ca="1">IFERROR(__xludf.DUMMYFUNCTION("""COMPUTED_VALUE"""),16)</f>
        <v>16</v>
      </c>
      <c r="E60">
        <f ca="1">IFERROR(__xludf.DUMMYFUNCTION("""COMPUTED_VALUE"""),63.53)</f>
        <v>63.53</v>
      </c>
      <c r="F60">
        <f ca="1">IFERROR(__xludf.DUMMYFUNCTION("""COMPUTED_VALUE"""),54)</f>
        <v>54</v>
      </c>
      <c r="G60">
        <f ca="1">IFERROR(__xludf.DUMMYFUNCTION("""COMPUTED_VALUE"""),85)</f>
        <v>85</v>
      </c>
    </row>
    <row r="61" spans="1:7" ht="12.75">
      <c r="A61" t="str">
        <f ca="1">IFERROR(__xludf.DUMMYFUNCTION("""COMPUTED_VALUE"""),"T60")</f>
        <v>T60</v>
      </c>
      <c r="B61">
        <f ca="1">IFERROR(__xludf.DUMMYFUNCTION("""COMPUTED_VALUE"""),74)</f>
        <v>74</v>
      </c>
      <c r="C61" t="str">
        <f ca="1">IFERROR(__xludf.DUMMYFUNCTION("""COMPUTED_VALUE"""),"Seamus Power")</f>
        <v>Seamus Power</v>
      </c>
      <c r="D61">
        <f ca="1">IFERROR(__xludf.DUMMYFUNCTION("""COMPUTED_VALUE"""),8)</f>
        <v>8</v>
      </c>
      <c r="E61">
        <f ca="1">IFERROR(__xludf.DUMMYFUNCTION("""COMPUTED_VALUE"""),63.46)</f>
        <v>63.46</v>
      </c>
      <c r="F61">
        <f ca="1">IFERROR(__xludf.DUMMYFUNCTION("""COMPUTED_VALUE"""),33)</f>
        <v>33</v>
      </c>
      <c r="G61">
        <f ca="1">IFERROR(__xludf.DUMMYFUNCTION("""COMPUTED_VALUE"""),52)</f>
        <v>52</v>
      </c>
    </row>
    <row r="62" spans="1:7" ht="12.75">
      <c r="A62" t="str">
        <f ca="1">IFERROR(__xludf.DUMMYFUNCTION("""COMPUTED_VALUE"""),"T60")</f>
        <v>T60</v>
      </c>
      <c r="B62">
        <f ca="1">IFERROR(__xludf.DUMMYFUNCTION("""COMPUTED_VALUE"""),34)</f>
        <v>34</v>
      </c>
      <c r="C62" t="str">
        <f ca="1">IFERROR(__xludf.DUMMYFUNCTION("""COMPUTED_VALUE"""),"Brian Stuard")</f>
        <v>Brian Stuard</v>
      </c>
      <c r="D62">
        <f ca="1">IFERROR(__xludf.DUMMYFUNCTION("""COMPUTED_VALUE"""),18)</f>
        <v>18</v>
      </c>
      <c r="E62">
        <f ca="1">IFERROR(__xludf.DUMMYFUNCTION("""COMPUTED_VALUE"""),63.46)</f>
        <v>63.46</v>
      </c>
      <c r="F62">
        <f ca="1">IFERROR(__xludf.DUMMYFUNCTION("""COMPUTED_VALUE"""),66)</f>
        <v>66</v>
      </c>
      <c r="G62">
        <f ca="1">IFERROR(__xludf.DUMMYFUNCTION("""COMPUTED_VALUE"""),104)</f>
        <v>104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IFERROR(__xludf.DUMMYFUNCTION("""COMPUTED_VALUE"""),85)</f>
        <v>85</v>
      </c>
      <c r="C63" t="str">
        <f ca="1">IFERROR(__xludf.DUMMYFUNCTION("""COMPUTED_VALUE"""),"Scott Piercy")</f>
        <v>Scott Piercy</v>
      </c>
      <c r="D63">
        <f ca="1">IFERROR(__xludf.DUMMYFUNCTION("""COMPUTED_VALUE"""),18)</f>
        <v>18</v>
      </c>
      <c r="E63">
        <f ca="1">IFERROR(__xludf.DUMMYFUNCTION("""COMPUTED_VALUE"""),63.44)</f>
        <v>63.44</v>
      </c>
      <c r="F63">
        <f ca="1">IFERROR(__xludf.DUMMYFUNCTION("""COMPUTED_VALUE"""),59)</f>
        <v>59</v>
      </c>
      <c r="G63">
        <f ca="1">IFERROR(__xludf.DUMMYFUNCTION("""COMPUTED_VALUE"""),93)</f>
        <v>93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IFERROR(__xludf.DUMMYFUNCTION("""COMPUTED_VALUE"""),75)</f>
        <v>75</v>
      </c>
      <c r="C64" t="str">
        <f ca="1">IFERROR(__xludf.DUMMYFUNCTION("""COMPUTED_VALUE"""),"Louis Oosthuizen")</f>
        <v>Louis Oosthuizen</v>
      </c>
      <c r="D64">
        <f ca="1">IFERROR(__xludf.DUMMYFUNCTION("""COMPUTED_VALUE"""),12)</f>
        <v>12</v>
      </c>
      <c r="E64">
        <f ca="1">IFERROR(__xludf.DUMMYFUNCTION("""COMPUTED_VALUE"""),63.29)</f>
        <v>63.29</v>
      </c>
      <c r="F64">
        <f ca="1">IFERROR(__xludf.DUMMYFUNCTION("""COMPUTED_VALUE"""),50)</f>
        <v>50</v>
      </c>
      <c r="G64">
        <f ca="1">IFERROR(__xludf.DUMMYFUNCTION("""COMPUTED_VALUE"""),79)</f>
        <v>79</v>
      </c>
    </row>
    <row r="65" spans="1:7" ht="12.75">
      <c r="A65">
        <f ca="1">IFERROR(__xludf.DUMMYFUNCTION("""COMPUTED_VALUE"""),64)</f>
        <v>64</v>
      </c>
      <c r="B65" t="str">
        <f ca="1">IFERROR(__xludf.DUMMYFUNCTION("""COMPUTED_VALUE"""),"T57")</f>
        <v>T57</v>
      </c>
      <c r="C65" t="str">
        <f ca="1">IFERROR(__xludf.DUMMYFUNCTION("""COMPUTED_VALUE"""),"Emiliano Grillo")</f>
        <v>Emiliano Grillo</v>
      </c>
      <c r="D65">
        <f ca="1">IFERROR(__xludf.DUMMYFUNCTION("""COMPUTED_VALUE"""),22)</f>
        <v>22</v>
      </c>
      <c r="E65">
        <f ca="1">IFERROR(__xludf.DUMMYFUNCTION("""COMPUTED_VALUE"""),63.27)</f>
        <v>63.27</v>
      </c>
      <c r="F65">
        <f ca="1">IFERROR(__xludf.DUMMYFUNCTION("""COMPUTED_VALUE"""),62)</f>
        <v>62</v>
      </c>
      <c r="G65">
        <f ca="1">IFERROR(__xludf.DUMMYFUNCTION("""COMPUTED_VALUE"""),98)</f>
        <v>98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IFERROR(__xludf.DUMMYFUNCTION("""COMPUTED_VALUE"""),50)</f>
        <v>50</v>
      </c>
      <c r="C66" t="str">
        <f ca="1">IFERROR(__xludf.DUMMYFUNCTION("""COMPUTED_VALUE"""),"Andrew Putnam")</f>
        <v>Andrew Putnam</v>
      </c>
      <c r="D66">
        <f ca="1">IFERROR(__xludf.DUMMYFUNCTION("""COMPUTED_VALUE"""),19)</f>
        <v>19</v>
      </c>
      <c r="E66">
        <f ca="1">IFERROR(__xludf.DUMMYFUNCTION("""COMPUTED_VALUE"""),63.21)</f>
        <v>63.21</v>
      </c>
      <c r="F66">
        <f ca="1">IFERROR(__xludf.DUMMYFUNCTION("""COMPUTED_VALUE"""),67)</f>
        <v>67</v>
      </c>
      <c r="G66">
        <f ca="1">IFERROR(__xludf.DUMMYFUNCTION("""COMPUTED_VALUE"""),106)</f>
        <v>106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IFERROR(__xludf.DUMMYFUNCTION("""COMPUTED_VALUE"""),49)</f>
        <v>49</v>
      </c>
      <c r="C67" t="str">
        <f ca="1">IFERROR(__xludf.DUMMYFUNCTION("""COMPUTED_VALUE"""),"C.T. Pan")</f>
        <v>C.T. Pan</v>
      </c>
      <c r="D67">
        <f ca="1">IFERROR(__xludf.DUMMYFUNCTION("""COMPUTED_VALUE"""),20)</f>
        <v>20</v>
      </c>
      <c r="E67">
        <f ca="1">IFERROR(__xludf.DUMMYFUNCTION("""COMPUTED_VALUE"""),63.11)</f>
        <v>63.11</v>
      </c>
      <c r="F67">
        <f ca="1">IFERROR(__xludf.DUMMYFUNCTION("""COMPUTED_VALUE"""),77)</f>
        <v>77</v>
      </c>
      <c r="G67">
        <f ca="1">IFERROR(__xludf.DUMMYFUNCTION("""COMPUTED_VALUE"""),122)</f>
        <v>122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IFERROR(__xludf.DUMMYFUNCTION("""COMPUTED_VALUE"""),77)</f>
        <v>77</v>
      </c>
      <c r="C68" t="str">
        <f ca="1">IFERROR(__xludf.DUMMYFUNCTION("""COMPUTED_VALUE"""),"Byeong Hun An")</f>
        <v>Byeong Hun An</v>
      </c>
      <c r="D68">
        <f ca="1">IFERROR(__xludf.DUMMYFUNCTION("""COMPUTED_VALUE"""),14)</f>
        <v>14</v>
      </c>
      <c r="E68">
        <f ca="1">IFERROR(__xludf.DUMMYFUNCTION("""COMPUTED_VALUE"""),63.1)</f>
        <v>63.1</v>
      </c>
      <c r="F68">
        <f ca="1">IFERROR(__xludf.DUMMYFUNCTION("""COMPUTED_VALUE"""),53)</f>
        <v>53</v>
      </c>
      <c r="G68">
        <f ca="1">IFERROR(__xludf.DUMMYFUNCTION("""COMPUTED_VALUE"""),84)</f>
        <v>84</v>
      </c>
    </row>
    <row r="69" spans="1:7" ht="12.75">
      <c r="A69">
        <f ca="1">IFERROR(__xludf.DUMMYFUNCTION("""COMPUTED_VALUE"""),68)</f>
        <v>68</v>
      </c>
      <c r="B69" t="str">
        <f ca="1">IFERROR(__xludf.DUMMYFUNCTION("""COMPUTED_VALUE"""),"T66")</f>
        <v>T66</v>
      </c>
      <c r="C69" t="str">
        <f ca="1">IFERROR(__xludf.DUMMYFUNCTION("""COMPUTED_VALUE"""),"Charley Hoffman")</f>
        <v>Charley Hoffman</v>
      </c>
      <c r="D69">
        <f ca="1">IFERROR(__xludf.DUMMYFUNCTION("""COMPUTED_VALUE"""),20)</f>
        <v>20</v>
      </c>
      <c r="E69">
        <f ca="1">IFERROR(__xludf.DUMMYFUNCTION("""COMPUTED_VALUE"""),63.03)</f>
        <v>63.03</v>
      </c>
      <c r="F69">
        <f ca="1">IFERROR(__xludf.DUMMYFUNCTION("""COMPUTED_VALUE"""),75)</f>
        <v>75</v>
      </c>
      <c r="G69">
        <f ca="1">IFERROR(__xludf.DUMMYFUNCTION("""COMPUTED_VALUE"""),119)</f>
        <v>119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IFERROR(__xludf.DUMMYFUNCTION("""COMPUTED_VALUE"""),79)</f>
        <v>79</v>
      </c>
      <c r="C70" t="str">
        <f ca="1">IFERROR(__xludf.DUMMYFUNCTION("""COMPUTED_VALUE"""),"Harry Higgs")</f>
        <v>Harry Higgs</v>
      </c>
      <c r="D70">
        <f ca="1">IFERROR(__xludf.DUMMYFUNCTION("""COMPUTED_VALUE"""),14)</f>
        <v>14</v>
      </c>
      <c r="E70">
        <f ca="1">IFERROR(__xludf.DUMMYFUNCTION("""COMPUTED_VALUE"""),63.01)</f>
        <v>63.01</v>
      </c>
      <c r="F70">
        <f ca="1">IFERROR(__xludf.DUMMYFUNCTION("""COMPUTED_VALUE"""),46)</f>
        <v>46</v>
      </c>
      <c r="G70">
        <f ca="1">IFERROR(__xludf.DUMMYFUNCTION("""COMPUTED_VALUE"""),73)</f>
        <v>73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IFERROR(__xludf.DUMMYFUNCTION("""COMPUTED_VALUE"""),80)</f>
        <v>80</v>
      </c>
      <c r="C71" t="str">
        <f ca="1">IFERROR(__xludf.DUMMYFUNCTION("""COMPUTED_VALUE"""),"Peter Malnati")</f>
        <v>Peter Malnati</v>
      </c>
      <c r="D71">
        <f ca="1">IFERROR(__xludf.DUMMYFUNCTION("""COMPUTED_VALUE"""),18)</f>
        <v>18</v>
      </c>
      <c r="E71">
        <f ca="1">IFERROR(__xludf.DUMMYFUNCTION("""COMPUTED_VALUE"""),63)</f>
        <v>63</v>
      </c>
      <c r="F71">
        <f ca="1">IFERROR(__xludf.DUMMYFUNCTION("""COMPUTED_VALUE"""),63)</f>
        <v>63</v>
      </c>
      <c r="G71">
        <f ca="1">IFERROR(__xludf.DUMMYFUNCTION("""COMPUTED_VALUE"""),100)</f>
        <v>100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IFERROR(__xludf.DUMMYFUNCTION("""COMPUTED_VALUE"""),12)</f>
        <v>12</v>
      </c>
      <c r="C72" t="str">
        <f ca="1">IFERROR(__xludf.DUMMYFUNCTION("""COMPUTED_VALUE"""),"David Hearn")</f>
        <v>David Hearn</v>
      </c>
      <c r="D72">
        <f ca="1">IFERROR(__xludf.DUMMYFUNCTION("""COMPUTED_VALUE"""),16)</f>
        <v>16</v>
      </c>
      <c r="E72">
        <f ca="1">IFERROR(__xludf.DUMMYFUNCTION("""COMPUTED_VALUE"""),62.92)</f>
        <v>62.92</v>
      </c>
      <c r="F72">
        <f ca="1">IFERROR(__xludf.DUMMYFUNCTION("""COMPUTED_VALUE"""),56)</f>
        <v>56</v>
      </c>
      <c r="G72">
        <f ca="1">IFERROR(__xludf.DUMMYFUNCTION("""COMPUTED_VALUE"""),89)</f>
        <v>89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IFERROR(__xludf.DUMMYFUNCTION("""COMPUTED_VALUE"""),81)</f>
        <v>81</v>
      </c>
      <c r="C73" t="str">
        <f ca="1">IFERROR(__xludf.DUMMYFUNCTION("""COMPUTED_VALUE"""),"Dylan Frittelli")</f>
        <v>Dylan Frittelli</v>
      </c>
      <c r="D73">
        <f ca="1">IFERROR(__xludf.DUMMYFUNCTION("""COMPUTED_VALUE"""),16)</f>
        <v>16</v>
      </c>
      <c r="E73">
        <f ca="1">IFERROR(__xludf.DUMMYFUNCTION("""COMPUTED_VALUE"""),62.77)</f>
        <v>62.77</v>
      </c>
      <c r="F73">
        <f ca="1">IFERROR(__xludf.DUMMYFUNCTION("""COMPUTED_VALUE"""),59)</f>
        <v>59</v>
      </c>
      <c r="G73">
        <f ca="1">IFERROR(__xludf.DUMMYFUNCTION("""COMPUTED_VALUE"""),94)</f>
        <v>94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IFERROR(__xludf.DUMMYFUNCTION("""COMPUTED_VALUE"""),86)</f>
        <v>86</v>
      </c>
      <c r="C74" t="str">
        <f ca="1">IFERROR(__xludf.DUMMYFUNCTION("""COMPUTED_VALUE"""),"Roberto Díaz")</f>
        <v>Roberto Díaz</v>
      </c>
      <c r="D74">
        <f ca="1">IFERROR(__xludf.DUMMYFUNCTION("""COMPUTED_VALUE"""),4)</f>
        <v>4</v>
      </c>
      <c r="E74">
        <f ca="1">IFERROR(__xludf.DUMMYFUNCTION("""COMPUTED_VALUE"""),62.5)</f>
        <v>62.5</v>
      </c>
      <c r="F74">
        <f ca="1">IFERROR(__xludf.DUMMYFUNCTION("""COMPUTED_VALUE"""),20)</f>
        <v>20</v>
      </c>
      <c r="G74">
        <f ca="1">IFERROR(__xludf.DUMMYFUNCTION("""COMPUTED_VALUE"""),32)</f>
        <v>32</v>
      </c>
    </row>
    <row r="75" spans="1:7" ht="12.75">
      <c r="A75">
        <f ca="1">IFERROR(__xludf.DUMMYFUNCTION("""COMPUTED_VALUE"""),74)</f>
        <v>74</v>
      </c>
      <c r="B75">
        <f ca="1">IFERROR(__xludf.DUMMYFUNCTION("""COMPUTED_VALUE"""),87)</f>
        <v>87</v>
      </c>
      <c r="C75" t="str">
        <f ca="1">IFERROR(__xludf.DUMMYFUNCTION("""COMPUTED_VALUE"""),"Joel Dahmen")</f>
        <v>Joel Dahmen</v>
      </c>
      <c r="D75">
        <f ca="1">IFERROR(__xludf.DUMMYFUNCTION("""COMPUTED_VALUE"""),18)</f>
        <v>18</v>
      </c>
      <c r="E75">
        <f ca="1">IFERROR(__xludf.DUMMYFUNCTION("""COMPUTED_VALUE"""),62.37)</f>
        <v>62.37</v>
      </c>
      <c r="F75">
        <f ca="1">IFERROR(__xludf.DUMMYFUNCTION("""COMPUTED_VALUE"""),58)</f>
        <v>58</v>
      </c>
      <c r="G75">
        <f ca="1">IFERROR(__xludf.DUMMYFUNCTION("""COMPUTED_VALUE"""),93)</f>
        <v>93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IFERROR(__xludf.DUMMYFUNCTION("""COMPUTED_VALUE"""),"T90")</f>
        <v>T90</v>
      </c>
      <c r="C76" t="str">
        <f ca="1">IFERROR(__xludf.DUMMYFUNCTION("""COMPUTED_VALUE"""),"Tyler McCumber")</f>
        <v>Tyler McCumber</v>
      </c>
      <c r="D76">
        <f ca="1">IFERROR(__xludf.DUMMYFUNCTION("""COMPUTED_VALUE"""),14)</f>
        <v>14</v>
      </c>
      <c r="E76">
        <f ca="1">IFERROR(__xludf.DUMMYFUNCTION("""COMPUTED_VALUE"""),62.34)</f>
        <v>62.34</v>
      </c>
      <c r="F76">
        <f ca="1">IFERROR(__xludf.DUMMYFUNCTION("""COMPUTED_VALUE"""),48)</f>
        <v>48</v>
      </c>
      <c r="G76">
        <f ca="1">IFERROR(__xludf.DUMMYFUNCTION("""COMPUTED_VALUE"""),77)</f>
        <v>77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IFERROR(__xludf.DUMMYFUNCTION("""COMPUTED_VALUE"""),93)</f>
        <v>93</v>
      </c>
      <c r="C77" t="str">
        <f ca="1">IFERROR(__xludf.DUMMYFUNCTION("""COMPUTED_VALUE"""),"Sebastian Cappelen")</f>
        <v>Sebastian Cappelen</v>
      </c>
      <c r="D77">
        <f ca="1">IFERROR(__xludf.DUMMYFUNCTION("""COMPUTED_VALUE"""),8)</f>
        <v>8</v>
      </c>
      <c r="E77">
        <f ca="1">IFERROR(__xludf.DUMMYFUNCTION("""COMPUTED_VALUE"""),62.22)</f>
        <v>62.22</v>
      </c>
      <c r="F77">
        <f ca="1">IFERROR(__xludf.DUMMYFUNCTION("""COMPUTED_VALUE"""),28)</f>
        <v>28</v>
      </c>
      <c r="G77">
        <f ca="1">IFERROR(__xludf.DUMMYFUNCTION("""COMPUTED_VALUE"""),45)</f>
        <v>45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IFERROR(__xludf.DUMMYFUNCTION("""COMPUTED_VALUE"""),"T60")</f>
        <v>T60</v>
      </c>
      <c r="C78" t="str">
        <f ca="1">IFERROR(__xludf.DUMMYFUNCTION("""COMPUTED_VALUE"""),"Brice Garnett")</f>
        <v>Brice Garnett</v>
      </c>
      <c r="D78">
        <f ca="1">IFERROR(__xludf.DUMMYFUNCTION("""COMPUTED_VALUE"""),22)</f>
        <v>22</v>
      </c>
      <c r="E78">
        <f ca="1">IFERROR(__xludf.DUMMYFUNCTION("""COMPUTED_VALUE"""),62.2)</f>
        <v>62.2</v>
      </c>
      <c r="F78">
        <f ca="1">IFERROR(__xludf.DUMMYFUNCTION("""COMPUTED_VALUE"""),79)</f>
        <v>79</v>
      </c>
      <c r="G78">
        <f ca="1">IFERROR(__xludf.DUMMYFUNCTION("""COMPUTED_VALUE"""),127)</f>
        <v>127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IFERROR(__xludf.DUMMYFUNCTION("""COMPUTED_VALUE"""),84)</f>
        <v>84</v>
      </c>
      <c r="C79" t="str">
        <f ca="1">IFERROR(__xludf.DUMMYFUNCTION("""COMPUTED_VALUE"""),"Hideki Matsuyama")</f>
        <v>Hideki Matsuyama</v>
      </c>
      <c r="D79">
        <f ca="1">IFERROR(__xludf.DUMMYFUNCTION("""COMPUTED_VALUE"""),18)</f>
        <v>18</v>
      </c>
      <c r="E79">
        <f ca="1">IFERROR(__xludf.DUMMYFUNCTION("""COMPUTED_VALUE"""),62.04)</f>
        <v>62.04</v>
      </c>
      <c r="F79">
        <f ca="1">IFERROR(__xludf.DUMMYFUNCTION("""COMPUTED_VALUE"""),67)</f>
        <v>67</v>
      </c>
      <c r="G79">
        <f ca="1">IFERROR(__xludf.DUMMYFUNCTION("""COMPUTED_VALUE"""),108)</f>
        <v>108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IFERROR(__xludf.DUMMYFUNCTION("""COMPUTED_VALUE"""),94)</f>
        <v>94</v>
      </c>
      <c r="C80" t="str">
        <f ca="1">IFERROR(__xludf.DUMMYFUNCTION("""COMPUTED_VALUE"""),"Justin Thomas")</f>
        <v>Justin Thomas</v>
      </c>
      <c r="D80">
        <f ca="1">IFERROR(__xludf.DUMMYFUNCTION("""COMPUTED_VALUE"""),12)</f>
        <v>12</v>
      </c>
      <c r="E80">
        <f ca="1">IFERROR(__xludf.DUMMYFUNCTION("""COMPUTED_VALUE"""),62.03)</f>
        <v>62.03</v>
      </c>
      <c r="F80">
        <f ca="1">IFERROR(__xludf.DUMMYFUNCTION("""COMPUTED_VALUE"""),49)</f>
        <v>49</v>
      </c>
      <c r="G80">
        <f ca="1">IFERROR(__xludf.DUMMYFUNCTION("""COMPUTED_VALUE"""),79)</f>
        <v>79</v>
      </c>
    </row>
    <row r="81" spans="1:7" ht="12.75">
      <c r="A81">
        <f ca="1">IFERROR(__xludf.DUMMYFUNCTION("""COMPUTED_VALUE"""),80)</f>
        <v>80</v>
      </c>
      <c r="B81">
        <f ca="1">IFERROR(__xludf.DUMMYFUNCTION("""COMPUTED_VALUE"""),95)</f>
        <v>95</v>
      </c>
      <c r="C81" t="str">
        <f ca="1">IFERROR(__xludf.DUMMYFUNCTION("""COMPUTED_VALUE"""),"Chez Reavie")</f>
        <v>Chez Reavie</v>
      </c>
      <c r="D81">
        <f ca="1">IFERROR(__xludf.DUMMYFUNCTION("""COMPUTED_VALUE"""),14)</f>
        <v>14</v>
      </c>
      <c r="E81">
        <f ca="1">IFERROR(__xludf.DUMMYFUNCTION("""COMPUTED_VALUE"""),61.97)</f>
        <v>61.97</v>
      </c>
      <c r="F81">
        <f ca="1">IFERROR(__xludf.DUMMYFUNCTION("""COMPUTED_VALUE"""),44)</f>
        <v>44</v>
      </c>
      <c r="G81">
        <f ca="1">IFERROR(__xludf.DUMMYFUNCTION("""COMPUTED_VALUE"""),71)</f>
        <v>71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IFERROR(__xludf.DUMMYFUNCTION("""COMPUTED_VALUE"""),96)</f>
        <v>96</v>
      </c>
      <c r="C82" t="str">
        <f ca="1">IFERROR(__xludf.DUMMYFUNCTION("""COMPUTED_VALUE"""),"Ryo Ishikawa")</f>
        <v>Ryo Ishikawa</v>
      </c>
      <c r="D82">
        <f ca="1">IFERROR(__xludf.DUMMYFUNCTION("""COMPUTED_VALUE"""),8)</f>
        <v>8</v>
      </c>
      <c r="E82">
        <f ca="1">IFERROR(__xludf.DUMMYFUNCTION("""COMPUTED_VALUE"""),61.9)</f>
        <v>61.9</v>
      </c>
      <c r="F82">
        <f ca="1">IFERROR(__xludf.DUMMYFUNCTION("""COMPUTED_VALUE"""),39)</f>
        <v>39</v>
      </c>
      <c r="G82">
        <f ca="1">IFERROR(__xludf.DUMMYFUNCTION("""COMPUTED_VALUE"""),63)</f>
        <v>63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IFERROR(__xludf.DUMMYFUNCTION("""COMPUTED_VALUE"""),107)</f>
        <v>107</v>
      </c>
      <c r="C83" t="str">
        <f ca="1">IFERROR(__xludf.DUMMYFUNCTION("""COMPUTED_VALUE"""),"Aaron Wise")</f>
        <v>Aaron Wise</v>
      </c>
      <c r="D83">
        <f ca="1">IFERROR(__xludf.DUMMYFUNCTION("""COMPUTED_VALUE"""),16)</f>
        <v>16</v>
      </c>
      <c r="E83">
        <f ca="1">IFERROR(__xludf.DUMMYFUNCTION("""COMPUTED_VALUE"""),61.84)</f>
        <v>61.84</v>
      </c>
      <c r="F83">
        <f ca="1">IFERROR(__xludf.DUMMYFUNCTION("""COMPUTED_VALUE"""),47)</f>
        <v>47</v>
      </c>
      <c r="G83">
        <f ca="1">IFERROR(__xludf.DUMMYFUNCTION("""COMPUTED_VALUE"""),76)</f>
        <v>76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IFERROR(__xludf.DUMMYFUNCTION("""COMPUTED_VALUE"""),69)</f>
        <v>69</v>
      </c>
      <c r="C84" t="str">
        <f ca="1">IFERROR(__xludf.DUMMYFUNCTION("""COMPUTED_VALUE"""),"Bo Hoag")</f>
        <v>Bo Hoag</v>
      </c>
      <c r="D84">
        <f ca="1">IFERROR(__xludf.DUMMYFUNCTION("""COMPUTED_VALUE"""),14)</f>
        <v>14</v>
      </c>
      <c r="E84">
        <f ca="1">IFERROR(__xludf.DUMMYFUNCTION("""COMPUTED_VALUE"""),61.73)</f>
        <v>61.73</v>
      </c>
      <c r="F84">
        <f ca="1">IFERROR(__xludf.DUMMYFUNCTION("""COMPUTED_VALUE"""),50)</f>
        <v>50</v>
      </c>
      <c r="G84">
        <f ca="1">IFERROR(__xludf.DUMMYFUNCTION("""COMPUTED_VALUE"""),81)</f>
        <v>81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IFERROR(__xludf.DUMMYFUNCTION("""COMPUTED_VALUE"""),97)</f>
        <v>97</v>
      </c>
      <c r="C85" t="str">
        <f ca="1">IFERROR(__xludf.DUMMYFUNCTION("""COMPUTED_VALUE"""),"Aaron Baddeley")</f>
        <v>Aaron Baddeley</v>
      </c>
      <c r="D85">
        <f ca="1">IFERROR(__xludf.DUMMYFUNCTION("""COMPUTED_VALUE"""),8)</f>
        <v>8</v>
      </c>
      <c r="E85">
        <f ca="1">IFERROR(__xludf.DUMMYFUNCTION("""COMPUTED_VALUE"""),61.7)</f>
        <v>61.7</v>
      </c>
      <c r="F85">
        <f ca="1">IFERROR(__xludf.DUMMYFUNCTION("""COMPUTED_VALUE"""),29)</f>
        <v>29</v>
      </c>
      <c r="G85">
        <f ca="1">IFERROR(__xludf.DUMMYFUNCTION("""COMPUTED_VALUE"""),47)</f>
        <v>47</v>
      </c>
    </row>
    <row r="86" spans="1:7" ht="12.75">
      <c r="A86" t="str">
        <f ca="1">IFERROR(__xludf.DUMMYFUNCTION("""COMPUTED_VALUE"""),"T85")</f>
        <v>T85</v>
      </c>
      <c r="B86">
        <f ca="1">IFERROR(__xludf.DUMMYFUNCTION("""COMPUTED_VALUE"""),1)</f>
        <v>1</v>
      </c>
      <c r="C86" t="str">
        <f ca="1">IFERROR(__xludf.DUMMYFUNCTION("""COMPUTED_VALUE"""),"Ollie Schniederjans")</f>
        <v>Ollie Schniederjans</v>
      </c>
      <c r="D86">
        <f ca="1">IFERROR(__xludf.DUMMYFUNCTION("""COMPUTED_VALUE"""),6)</f>
        <v>6</v>
      </c>
      <c r="E86">
        <f ca="1">IFERROR(__xludf.DUMMYFUNCTION("""COMPUTED_VALUE"""),61.54)</f>
        <v>61.54</v>
      </c>
      <c r="F86">
        <f ca="1">IFERROR(__xludf.DUMMYFUNCTION("""COMPUTED_VALUE"""),24)</f>
        <v>24</v>
      </c>
      <c r="G86">
        <f ca="1">IFERROR(__xludf.DUMMYFUNCTION("""COMPUTED_VALUE"""),39)</f>
        <v>39</v>
      </c>
    </row>
    <row r="87" spans="1:7" ht="12.75">
      <c r="A87" t="str">
        <f ca="1">IFERROR(__xludf.DUMMYFUNCTION("""COMPUTED_VALUE"""),"T85")</f>
        <v>T85</v>
      </c>
      <c r="B87">
        <f ca="1">IFERROR(__xludf.DUMMYFUNCTION("""COMPUTED_VALUE"""),98)</f>
        <v>98</v>
      </c>
      <c r="C87" t="str">
        <f ca="1">IFERROR(__xludf.DUMMYFUNCTION("""COMPUTED_VALUE"""),"Chase Seiffert")</f>
        <v>Chase Seiffert</v>
      </c>
      <c r="D87">
        <f ca="1">IFERROR(__xludf.DUMMYFUNCTION("""COMPUTED_VALUE"""),14)</f>
        <v>14</v>
      </c>
      <c r="E87">
        <f ca="1">IFERROR(__xludf.DUMMYFUNCTION("""COMPUTED_VALUE"""),61.54)</f>
        <v>61.54</v>
      </c>
      <c r="F87">
        <f ca="1">IFERROR(__xludf.DUMMYFUNCTION("""COMPUTED_VALUE"""),48)</f>
        <v>48</v>
      </c>
      <c r="G87">
        <f ca="1">IFERROR(__xludf.DUMMYFUNCTION("""COMPUTED_VALUE"""),78)</f>
        <v>78</v>
      </c>
    </row>
    <row r="88" spans="1:7" ht="12.75">
      <c r="A88">
        <f ca="1">IFERROR(__xludf.DUMMYFUNCTION("""COMPUTED_VALUE"""),87)</f>
        <v>87</v>
      </c>
      <c r="B88" t="str">
        <f ca="1">IFERROR(__xludf.DUMMYFUNCTION("""COMPUTED_VALUE"""),"T35")</f>
        <v>T35</v>
      </c>
      <c r="C88" t="str">
        <f ca="1">IFERROR(__xludf.DUMMYFUNCTION("""COMPUTED_VALUE"""),"James Hahn")</f>
        <v>James Hahn</v>
      </c>
      <c r="D88">
        <f ca="1">IFERROR(__xludf.DUMMYFUNCTION("""COMPUTED_VALUE"""),16)</f>
        <v>16</v>
      </c>
      <c r="E88">
        <f ca="1">IFERROR(__xludf.DUMMYFUNCTION("""COMPUTED_VALUE"""),61.43)</f>
        <v>61.43</v>
      </c>
      <c r="F88">
        <f ca="1">IFERROR(__xludf.DUMMYFUNCTION("""COMPUTED_VALUE"""),43)</f>
        <v>43</v>
      </c>
      <c r="G88">
        <f ca="1">IFERROR(__xludf.DUMMYFUNCTION("""COMPUTED_VALUE"""),70)</f>
        <v>70</v>
      </c>
    </row>
    <row r="89" spans="1:7" ht="12.75">
      <c r="A89">
        <f ca="1">IFERROR(__xludf.DUMMYFUNCTION("""COMPUTED_VALUE"""),88)</f>
        <v>88</v>
      </c>
      <c r="B89" t="str">
        <f ca="1">IFERROR(__xludf.DUMMYFUNCTION("""COMPUTED_VALUE"""),"T88")</f>
        <v>T88</v>
      </c>
      <c r="C89" t="str">
        <f ca="1">IFERROR(__xludf.DUMMYFUNCTION("""COMPUTED_VALUE"""),"Sergio Garcia")</f>
        <v>Sergio Garcia</v>
      </c>
      <c r="D89">
        <f ca="1">IFERROR(__xludf.DUMMYFUNCTION("""COMPUTED_VALUE"""),18)</f>
        <v>18</v>
      </c>
      <c r="E89">
        <f ca="1">IFERROR(__xludf.DUMMYFUNCTION("""COMPUTED_VALUE"""),61.39)</f>
        <v>61.39</v>
      </c>
      <c r="F89">
        <f ca="1">IFERROR(__xludf.DUMMYFUNCTION("""COMPUTED_VALUE"""),62)</f>
        <v>62</v>
      </c>
      <c r="G89">
        <f ca="1">IFERROR(__xludf.DUMMYFUNCTION("""COMPUTED_VALUE"""),101)</f>
        <v>101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IFERROR(__xludf.DUMMYFUNCTION("""COMPUTED_VALUE"""),180)</f>
        <v>180</v>
      </c>
      <c r="C90" t="str">
        <f ca="1">IFERROR(__xludf.DUMMYFUNCTION("""COMPUTED_VALUE"""),"Scott Brown")</f>
        <v>Scott Brown</v>
      </c>
      <c r="D90">
        <f ca="1">IFERROR(__xludf.DUMMYFUNCTION("""COMPUTED_VALUE"""),14)</f>
        <v>14</v>
      </c>
      <c r="E90">
        <f ca="1">IFERROR(__xludf.DUMMYFUNCTION("""COMPUTED_VALUE"""),61.29)</f>
        <v>61.29</v>
      </c>
      <c r="F90">
        <f ca="1">IFERROR(__xludf.DUMMYFUNCTION("""COMPUTED_VALUE"""),57)</f>
        <v>57</v>
      </c>
      <c r="G90">
        <f ca="1">IFERROR(__xludf.DUMMYFUNCTION("""COMPUTED_VALUE"""),93)</f>
        <v>93</v>
      </c>
    </row>
    <row r="91" spans="1:7" ht="12.75">
      <c r="A91">
        <f ca="1">IFERROR(__xludf.DUMMYFUNCTION("""COMPUTED_VALUE"""),90)</f>
        <v>90</v>
      </c>
      <c r="B91">
        <f ca="1">IFERROR(__xludf.DUMMYFUNCTION("""COMPUTED_VALUE"""),131)</f>
        <v>131</v>
      </c>
      <c r="C91" t="str">
        <f ca="1">IFERROR(__xludf.DUMMYFUNCTION("""COMPUTED_VALUE"""),"Troy Merritt")</f>
        <v>Troy Merritt</v>
      </c>
      <c r="D91">
        <f ca="1">IFERROR(__xludf.DUMMYFUNCTION("""COMPUTED_VALUE"""),20)</f>
        <v>20</v>
      </c>
      <c r="E91">
        <f ca="1">IFERROR(__xludf.DUMMYFUNCTION("""COMPUTED_VALUE"""),61.19)</f>
        <v>61.19</v>
      </c>
      <c r="F91">
        <f ca="1">IFERROR(__xludf.DUMMYFUNCTION("""COMPUTED_VALUE"""),82)</f>
        <v>82</v>
      </c>
      <c r="G91">
        <f ca="1">IFERROR(__xludf.DUMMYFUNCTION("""COMPUTED_VALUE"""),134)</f>
        <v>134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IFERROR(__xludf.DUMMYFUNCTION("""COMPUTED_VALUE"""),55)</f>
        <v>55</v>
      </c>
      <c r="C92" t="str">
        <f ca="1">IFERROR(__xludf.DUMMYFUNCTION("""COMPUTED_VALUE"""),"Andrew Landry")</f>
        <v>Andrew Landry</v>
      </c>
      <c r="D92">
        <f ca="1">IFERROR(__xludf.DUMMYFUNCTION("""COMPUTED_VALUE"""),14)</f>
        <v>14</v>
      </c>
      <c r="E92">
        <f ca="1">IFERROR(__xludf.DUMMYFUNCTION("""COMPUTED_VALUE"""),61.11)</f>
        <v>61.11</v>
      </c>
      <c r="F92">
        <f ca="1">IFERROR(__xludf.DUMMYFUNCTION("""COMPUTED_VALUE"""),55)</f>
        <v>55</v>
      </c>
      <c r="G92">
        <f ca="1">IFERROR(__xludf.DUMMYFUNCTION("""COMPUTED_VALUE"""),90)</f>
        <v>90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IFERROR(__xludf.DUMMYFUNCTION("""COMPUTED_VALUE"""),101)</f>
        <v>101</v>
      </c>
      <c r="C93" t="str">
        <f ca="1">IFERROR(__xludf.DUMMYFUNCTION("""COMPUTED_VALUE"""),"Bryson DeChambeau")</f>
        <v>Bryson DeChambeau</v>
      </c>
      <c r="D93">
        <f ca="1">IFERROR(__xludf.DUMMYFUNCTION("""COMPUTED_VALUE"""),8)</f>
        <v>8</v>
      </c>
      <c r="E93">
        <f ca="1">IFERROR(__xludf.DUMMYFUNCTION("""COMPUTED_VALUE"""),60.98)</f>
        <v>60.98</v>
      </c>
      <c r="F93">
        <f ca="1">IFERROR(__xludf.DUMMYFUNCTION("""COMPUTED_VALUE"""),25)</f>
        <v>25</v>
      </c>
      <c r="G93">
        <f ca="1">IFERROR(__xludf.DUMMYFUNCTION("""COMPUTED_VALUE"""),41)</f>
        <v>41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IFERROR(__xludf.DUMMYFUNCTION("""COMPUTED_VALUE"""),104)</f>
        <v>104</v>
      </c>
      <c r="C94" t="str">
        <f ca="1">IFERROR(__xludf.DUMMYFUNCTION("""COMPUTED_VALUE"""),"Jason Kokrak")</f>
        <v>Jason Kokrak</v>
      </c>
      <c r="D94">
        <f ca="1">IFERROR(__xludf.DUMMYFUNCTION("""COMPUTED_VALUE"""),14)</f>
        <v>14</v>
      </c>
      <c r="E94">
        <f ca="1">IFERROR(__xludf.DUMMYFUNCTION("""COMPUTED_VALUE"""),60.76)</f>
        <v>60.76</v>
      </c>
      <c r="F94">
        <f ca="1">IFERROR(__xludf.DUMMYFUNCTION("""COMPUTED_VALUE"""),48)</f>
        <v>48</v>
      </c>
      <c r="G94">
        <f ca="1">IFERROR(__xludf.DUMMYFUNCTION("""COMPUTED_VALUE"""),79)</f>
        <v>79</v>
      </c>
    </row>
    <row r="95" spans="1:7" ht="12.75">
      <c r="A95">
        <f ca="1">IFERROR(__xludf.DUMMYFUNCTION("""COMPUTED_VALUE"""),94)</f>
        <v>94</v>
      </c>
      <c r="B95">
        <f ca="1">IFERROR(__xludf.DUMMYFUNCTION("""COMPUTED_VALUE"""),76)</f>
        <v>76</v>
      </c>
      <c r="C95" t="str">
        <f ca="1">IFERROR(__xludf.DUMMYFUNCTION("""COMPUTED_VALUE"""),"Tyler Duncan")</f>
        <v>Tyler Duncan</v>
      </c>
      <c r="D95">
        <f ca="1">IFERROR(__xludf.DUMMYFUNCTION("""COMPUTED_VALUE"""),18)</f>
        <v>18</v>
      </c>
      <c r="E95">
        <f ca="1">IFERROR(__xludf.DUMMYFUNCTION("""COMPUTED_VALUE"""),60.68)</f>
        <v>60.68</v>
      </c>
      <c r="F95">
        <f ca="1">IFERROR(__xludf.DUMMYFUNCTION("""COMPUTED_VALUE"""),71)</f>
        <v>71</v>
      </c>
      <c r="G95">
        <f ca="1">IFERROR(__xludf.DUMMYFUNCTION("""COMPUTED_VALUE"""),117)</f>
        <v>117</v>
      </c>
    </row>
    <row r="96" spans="1:7" ht="12.75">
      <c r="A96">
        <f ca="1">IFERROR(__xludf.DUMMYFUNCTION("""COMPUTED_VALUE"""),95)</f>
        <v>95</v>
      </c>
      <c r="B96" t="str">
        <f ca="1">IFERROR(__xludf.DUMMYFUNCTION("""COMPUTED_VALUE"""),"T24")</f>
        <v>T24</v>
      </c>
      <c r="C96" t="str">
        <f ca="1">IFERROR(__xludf.DUMMYFUNCTION("""COMPUTED_VALUE"""),"Cameron Davis")</f>
        <v>Cameron Davis</v>
      </c>
      <c r="D96">
        <f ca="1">IFERROR(__xludf.DUMMYFUNCTION("""COMPUTED_VALUE"""),16)</f>
        <v>16</v>
      </c>
      <c r="E96">
        <f ca="1">IFERROR(__xludf.DUMMYFUNCTION("""COMPUTED_VALUE"""),60.64)</f>
        <v>60.64</v>
      </c>
      <c r="F96">
        <f ca="1">IFERROR(__xludf.DUMMYFUNCTION("""COMPUTED_VALUE"""),57)</f>
        <v>57</v>
      </c>
      <c r="G96">
        <f ca="1">IFERROR(__xludf.DUMMYFUNCTION("""COMPUTED_VALUE"""),94)</f>
        <v>94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IFERROR(__xludf.DUMMYFUNCTION("""COMPUTED_VALUE"""),110)</f>
        <v>110</v>
      </c>
      <c r="C97" t="str">
        <f ca="1">IFERROR(__xludf.DUMMYFUNCTION("""COMPUTED_VALUE"""),"Cameron Percy")</f>
        <v>Cameron Percy</v>
      </c>
      <c r="D97">
        <f ca="1">IFERROR(__xludf.DUMMYFUNCTION("""COMPUTED_VALUE"""),16)</f>
        <v>16</v>
      </c>
      <c r="E97">
        <f ca="1">IFERROR(__xludf.DUMMYFUNCTION("""COMPUTED_VALUE"""),60.53)</f>
        <v>60.53</v>
      </c>
      <c r="F97">
        <f ca="1">IFERROR(__xludf.DUMMYFUNCTION("""COMPUTED_VALUE"""),46)</f>
        <v>46</v>
      </c>
      <c r="G97">
        <f ca="1">IFERROR(__xludf.DUMMYFUNCTION("""COMPUTED_VALUE"""),76)</f>
        <v>76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IFERROR(__xludf.DUMMYFUNCTION("""COMPUTED_VALUE"""),"T111")</f>
        <v>T111</v>
      </c>
      <c r="C98" t="str">
        <f ca="1">IFERROR(__xludf.DUMMYFUNCTION("""COMPUTED_VALUE"""),"Ryan Blaum")</f>
        <v>Ryan Blaum</v>
      </c>
      <c r="D98">
        <f ca="1">IFERROR(__xludf.DUMMYFUNCTION("""COMPUTED_VALUE"""),8)</f>
        <v>8</v>
      </c>
      <c r="E98">
        <f ca="1">IFERROR(__xludf.DUMMYFUNCTION("""COMPUTED_VALUE"""),60.42)</f>
        <v>60.42</v>
      </c>
      <c r="F98">
        <f ca="1">IFERROR(__xludf.DUMMYFUNCTION("""COMPUTED_VALUE"""),29)</f>
        <v>29</v>
      </c>
      <c r="G98">
        <f ca="1">IFERROR(__xludf.DUMMYFUNCTION("""COMPUTED_VALUE"""),48)</f>
        <v>48</v>
      </c>
    </row>
    <row r="99" spans="1:7" ht="12.75">
      <c r="A99" t="str">
        <f ca="1">IFERROR(__xludf.DUMMYFUNCTION("""COMPUTED_VALUE"""),"T97")</f>
        <v>T97</v>
      </c>
      <c r="B99">
        <f ca="1">IFERROR(__xludf.DUMMYFUNCTION("""COMPUTED_VALUE"""),126)</f>
        <v>126</v>
      </c>
      <c r="C99" t="str">
        <f ca="1">IFERROR(__xludf.DUMMYFUNCTION("""COMPUTED_VALUE"""),"Brian Harman")</f>
        <v>Brian Harman</v>
      </c>
      <c r="D99">
        <f ca="1">IFERROR(__xludf.DUMMYFUNCTION("""COMPUTED_VALUE"""),24)</f>
        <v>24</v>
      </c>
      <c r="E99">
        <f ca="1">IFERROR(__xludf.DUMMYFUNCTION("""COMPUTED_VALUE"""),60.42)</f>
        <v>60.42</v>
      </c>
      <c r="F99">
        <f ca="1">IFERROR(__xludf.DUMMYFUNCTION("""COMPUTED_VALUE"""),87)</f>
        <v>87</v>
      </c>
      <c r="G99">
        <f ca="1">IFERROR(__xludf.DUMMYFUNCTION("""COMPUTED_VALUE"""),144)</f>
        <v>144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IFERROR(__xludf.DUMMYFUNCTION("""COMPUTED_VALUE"""),"T40")</f>
        <v>T40</v>
      </c>
      <c r="C100" t="str">
        <f ca="1">IFERROR(__xludf.DUMMYFUNCTION("""COMPUTED_VALUE"""),"Stewart Cink")</f>
        <v>Stewart Cink</v>
      </c>
      <c r="D100">
        <f ca="1">IFERROR(__xludf.DUMMYFUNCTION("""COMPUTED_VALUE"""),18)</f>
        <v>18</v>
      </c>
      <c r="E100">
        <f ca="1">IFERROR(__xludf.DUMMYFUNCTION("""COMPUTED_VALUE"""),60.26)</f>
        <v>60.26</v>
      </c>
      <c r="F100">
        <f ca="1">IFERROR(__xludf.DUMMYFUNCTION("""COMPUTED_VALUE"""),47)</f>
        <v>47</v>
      </c>
      <c r="G100">
        <f ca="1">IFERROR(__xludf.DUMMYFUNCTION("""COMPUTED_VALUE"""),78)</f>
        <v>78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IFERROR(__xludf.DUMMYFUNCTION("""COMPUTED_VALUE"""),"T66")</f>
        <v>T66</v>
      </c>
      <c r="C101" t="str">
        <f ca="1">IFERROR(__xludf.DUMMYFUNCTION("""COMPUTED_VALUE"""),"Pat Perez")</f>
        <v>Pat Perez</v>
      </c>
      <c r="D101">
        <f ca="1">IFERROR(__xludf.DUMMYFUNCTION("""COMPUTED_VALUE"""),16)</f>
        <v>16</v>
      </c>
      <c r="E101">
        <f ca="1">IFERROR(__xludf.DUMMYFUNCTION("""COMPUTED_VALUE"""),60.23)</f>
        <v>60.23</v>
      </c>
      <c r="F101">
        <f ca="1">IFERROR(__xludf.DUMMYFUNCTION("""COMPUTED_VALUE"""),53)</f>
        <v>53</v>
      </c>
      <c r="G101">
        <f ca="1">IFERROR(__xludf.DUMMYFUNCTION("""COMPUTED_VALUE"""),88)</f>
        <v>88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IFERROR(__xludf.DUMMYFUNCTION("""COMPUTED_VALUE"""),63)</f>
        <v>63</v>
      </c>
      <c r="C102" t="str">
        <f ca="1">IFERROR(__xludf.DUMMYFUNCTION("""COMPUTED_VALUE"""),"Beau Hossler")</f>
        <v>Beau Hossler</v>
      </c>
      <c r="D102">
        <f ca="1">IFERROR(__xludf.DUMMYFUNCTION("""COMPUTED_VALUE"""),22)</f>
        <v>22</v>
      </c>
      <c r="E102">
        <f ca="1">IFERROR(__xludf.DUMMYFUNCTION("""COMPUTED_VALUE"""),60.15)</f>
        <v>60.15</v>
      </c>
      <c r="F102">
        <f ca="1">IFERROR(__xludf.DUMMYFUNCTION("""COMPUTED_VALUE"""),80)</f>
        <v>80</v>
      </c>
      <c r="G102">
        <f ca="1">IFERROR(__xludf.DUMMYFUNCTION("""COMPUTED_VALUE"""),133)</f>
        <v>133</v>
      </c>
    </row>
    <row r="103" spans="1:7" ht="12.75">
      <c r="A103" t="str">
        <f ca="1">IFERROR(__xludf.DUMMYFUNCTION("""COMPUTED_VALUE"""),"T102")</f>
        <v>T102</v>
      </c>
      <c r="B103">
        <f ca="1">IFERROR(__xludf.DUMMYFUNCTION("""COMPUTED_VALUE"""),82)</f>
        <v>82</v>
      </c>
      <c r="C103" t="str">
        <f ca="1">IFERROR(__xludf.DUMMYFUNCTION("""COMPUTED_VALUE"""),"Tom Hoge")</f>
        <v>Tom Hoge</v>
      </c>
      <c r="D103">
        <f ca="1">IFERROR(__xludf.DUMMYFUNCTION("""COMPUTED_VALUE"""),22)</f>
        <v>22</v>
      </c>
      <c r="E103">
        <f ca="1">IFERROR(__xludf.DUMMYFUNCTION("""COMPUTED_VALUE"""),60)</f>
        <v>60</v>
      </c>
      <c r="F103">
        <f ca="1">IFERROR(__xludf.DUMMYFUNCTION("""COMPUTED_VALUE"""),84)</f>
        <v>84</v>
      </c>
      <c r="G103">
        <f ca="1">IFERROR(__xludf.DUMMYFUNCTION("""COMPUTED_VALUE"""),140)</f>
        <v>140</v>
      </c>
    </row>
    <row r="104" spans="1:7" ht="12.75">
      <c r="A104" t="str">
        <f ca="1">IFERROR(__xludf.DUMMYFUNCTION("""COMPUTED_VALUE"""),"T102")</f>
        <v>T102</v>
      </c>
      <c r="B104" t="str">
        <f ca="1">IFERROR(__xludf.DUMMYFUNCTION("""COMPUTED_VALUE"""),"T114")</f>
        <v>T114</v>
      </c>
      <c r="C104" t="str">
        <f ca="1">IFERROR(__xludf.DUMMYFUNCTION("""COMPUTED_VALUE"""),"Michael Miller")</f>
        <v>Michael Miller</v>
      </c>
      <c r="D104">
        <f ca="1">IFERROR(__xludf.DUMMYFUNCTION("""COMPUTED_VALUE"""),4)</f>
        <v>4</v>
      </c>
      <c r="E104">
        <f ca="1">IFERROR(__xludf.DUMMYFUNCTION("""COMPUTED_VALUE"""),60)</f>
        <v>60</v>
      </c>
      <c r="F104">
        <f ca="1">IFERROR(__xludf.DUMMYFUNCTION("""COMPUTED_VALUE"""),12)</f>
        <v>12</v>
      </c>
      <c r="G104">
        <f ca="1">IFERROR(__xludf.DUMMYFUNCTION("""COMPUTED_VALUE"""),20)</f>
        <v>20</v>
      </c>
    </row>
    <row r="105" spans="1:7" ht="12.75">
      <c r="A105" t="str">
        <f ca="1">IFERROR(__xludf.DUMMYFUNCTION("""COMPUTED_VALUE"""),"T102")</f>
        <v>T102</v>
      </c>
      <c r="B105">
        <f ca="1">IFERROR(__xludf.DUMMYFUNCTION("""COMPUTED_VALUE"""),17)</f>
        <v>17</v>
      </c>
      <c r="C105" t="str">
        <f ca="1">IFERROR(__xludf.DUMMYFUNCTION("""COMPUTED_VALUE"""),"Padraig Harrington")</f>
        <v>Padraig Harrington</v>
      </c>
      <c r="D105">
        <f ca="1">IFERROR(__xludf.DUMMYFUNCTION("""COMPUTED_VALUE"""),8)</f>
        <v>8</v>
      </c>
      <c r="E105">
        <f ca="1">IFERROR(__xludf.DUMMYFUNCTION("""COMPUTED_VALUE"""),60)</f>
        <v>60</v>
      </c>
      <c r="F105">
        <f ca="1">IFERROR(__xludf.DUMMYFUNCTION("""COMPUTED_VALUE"""),27)</f>
        <v>27</v>
      </c>
      <c r="G105">
        <f ca="1">IFERROR(__xludf.DUMMYFUNCTION("""COMPUTED_VALUE"""),45)</f>
        <v>45</v>
      </c>
    </row>
    <row r="106" spans="1:7" ht="12.75">
      <c r="A106" t="str">
        <f ca="1">IFERROR(__xludf.DUMMYFUNCTION("""COMPUTED_VALUE"""),"T102")</f>
        <v>T102</v>
      </c>
      <c r="B106" t="str">
        <f ca="1">IFERROR(__xludf.DUMMYFUNCTION("""COMPUTED_VALUE"""),"")</f>
        <v/>
      </c>
      <c r="C106" t="str">
        <f ca="1">IFERROR(__xludf.DUMMYFUNCTION("""COMPUTED_VALUE"""),"Dawie van der Walt")</f>
        <v>Dawie van der Walt</v>
      </c>
      <c r="D106">
        <f ca="1">IFERROR(__xludf.DUMMYFUNCTION("""COMPUTED_VALUE"""),4)</f>
        <v>4</v>
      </c>
      <c r="E106">
        <f ca="1">IFERROR(__xludf.DUMMYFUNCTION("""COMPUTED_VALUE"""),60)</f>
        <v>60</v>
      </c>
      <c r="F106">
        <f ca="1">IFERROR(__xludf.DUMMYFUNCTION("""COMPUTED_VALUE"""),15)</f>
        <v>15</v>
      </c>
      <c r="G106">
        <f ca="1">IFERROR(__xludf.DUMMYFUNCTION("""COMPUTED_VALUE"""),25)</f>
        <v>25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IFERROR(__xludf.DUMMYFUNCTION("""COMPUTED_VALUE"""),78)</f>
        <v>78</v>
      </c>
      <c r="C107" t="str">
        <f ca="1">IFERROR(__xludf.DUMMYFUNCTION("""COMPUTED_VALUE"""),"Kevin Chappell")</f>
        <v>Kevin Chappell</v>
      </c>
      <c r="D107">
        <f ca="1">IFERROR(__xludf.DUMMYFUNCTION("""COMPUTED_VALUE"""),16)</f>
        <v>16</v>
      </c>
      <c r="E107">
        <f ca="1">IFERROR(__xludf.DUMMYFUNCTION("""COMPUTED_VALUE"""),59.57)</f>
        <v>59.57</v>
      </c>
      <c r="F107">
        <f ca="1">IFERROR(__xludf.DUMMYFUNCTION("""COMPUTED_VALUE"""),56)</f>
        <v>56</v>
      </c>
      <c r="G107">
        <f ca="1">IFERROR(__xludf.DUMMYFUNCTION("""COMPUTED_VALUE"""),94)</f>
        <v>94</v>
      </c>
    </row>
    <row r="108" spans="1:7" ht="12.75">
      <c r="A108">
        <f ca="1">IFERROR(__xludf.DUMMYFUNCTION("""COMPUTED_VALUE"""),107)</f>
        <v>107</v>
      </c>
      <c r="B108" t="str">
        <f ca="1">IFERROR(__xludf.DUMMYFUNCTION("""COMPUTED_VALUE"""),"T90")</f>
        <v>T90</v>
      </c>
      <c r="C108" t="str">
        <f ca="1">IFERROR(__xludf.DUMMYFUNCTION("""COMPUTED_VALUE"""),"Kevin Tway")</f>
        <v>Kevin Tway</v>
      </c>
      <c r="D108">
        <f ca="1">IFERROR(__xludf.DUMMYFUNCTION("""COMPUTED_VALUE"""),16)</f>
        <v>16</v>
      </c>
      <c r="E108">
        <f ca="1">IFERROR(__xludf.DUMMYFUNCTION("""COMPUTED_VALUE"""),59.55)</f>
        <v>59.55</v>
      </c>
      <c r="F108">
        <f ca="1">IFERROR(__xludf.DUMMYFUNCTION("""COMPUTED_VALUE"""),53)</f>
        <v>53</v>
      </c>
      <c r="G108">
        <f ca="1">IFERROR(__xludf.DUMMYFUNCTION("""COMPUTED_VALUE"""),89)</f>
        <v>89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IFERROR(__xludf.DUMMYFUNCTION("""COMPUTED_VALUE"""),119)</f>
        <v>119</v>
      </c>
      <c r="C109" t="str">
        <f ca="1">IFERROR(__xludf.DUMMYFUNCTION("""COMPUTED_VALUE"""),"Rhein Gibson")</f>
        <v>Rhein Gibson</v>
      </c>
      <c r="D109">
        <f ca="1">IFERROR(__xludf.DUMMYFUNCTION("""COMPUTED_VALUE"""),10)</f>
        <v>10</v>
      </c>
      <c r="E109">
        <f ca="1">IFERROR(__xludf.DUMMYFUNCTION("""COMPUTED_VALUE"""),59.42)</f>
        <v>59.42</v>
      </c>
      <c r="F109">
        <f ca="1">IFERROR(__xludf.DUMMYFUNCTION("""COMPUTED_VALUE"""),41)</f>
        <v>41</v>
      </c>
      <c r="G109">
        <f ca="1">IFERROR(__xludf.DUMMYFUNCTION("""COMPUTED_VALUE"""),69)</f>
        <v>69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IFERROR(__xludf.DUMMYFUNCTION("""COMPUTED_VALUE"""),146)</f>
        <v>146</v>
      </c>
      <c r="C110" t="str">
        <f ca="1">IFERROR(__xludf.DUMMYFUNCTION("""COMPUTED_VALUE"""),"Jason Day")</f>
        <v>Jason Day</v>
      </c>
      <c r="D110">
        <f ca="1">IFERROR(__xludf.DUMMYFUNCTION("""COMPUTED_VALUE"""),17)</f>
        <v>17</v>
      </c>
      <c r="E110">
        <f ca="1">IFERROR(__xludf.DUMMYFUNCTION("""COMPUTED_VALUE"""),59.05)</f>
        <v>59.05</v>
      </c>
      <c r="F110">
        <f ca="1">IFERROR(__xludf.DUMMYFUNCTION("""COMPUTED_VALUE"""),62)</f>
        <v>62</v>
      </c>
      <c r="G110">
        <f ca="1">IFERROR(__xludf.DUMMYFUNCTION("""COMPUTED_VALUE"""),105)</f>
        <v>105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IFERROR(__xludf.DUMMYFUNCTION("""COMPUTED_VALUE"""),122)</f>
        <v>122</v>
      </c>
      <c r="C111" t="str">
        <f ca="1">IFERROR(__xludf.DUMMYFUNCTION("""COMPUTED_VALUE"""),"Sebastián Muñoz")</f>
        <v>Sebastián Muñoz</v>
      </c>
      <c r="D111">
        <f ca="1">IFERROR(__xludf.DUMMYFUNCTION("""COMPUTED_VALUE"""),20)</f>
        <v>20</v>
      </c>
      <c r="E111">
        <f ca="1">IFERROR(__xludf.DUMMYFUNCTION("""COMPUTED_VALUE"""),59.02)</f>
        <v>59.02</v>
      </c>
      <c r="F111">
        <f ca="1">IFERROR(__xludf.DUMMYFUNCTION("""COMPUTED_VALUE"""),72)</f>
        <v>72</v>
      </c>
      <c r="G111">
        <f ca="1">IFERROR(__xludf.DUMMYFUNCTION("""COMPUTED_VALUE"""),122)</f>
        <v>122</v>
      </c>
    </row>
    <row r="112" spans="1:7" ht="12.75">
      <c r="A112">
        <f ca="1">IFERROR(__xludf.DUMMYFUNCTION("""COMPUTED_VALUE"""),111)</f>
        <v>111</v>
      </c>
      <c r="B112" t="str">
        <f ca="1">IFERROR(__xludf.DUMMYFUNCTION("""COMPUTED_VALUE"""),"T105")</f>
        <v>T105</v>
      </c>
      <c r="C112" t="str">
        <f ca="1">IFERROR(__xludf.DUMMYFUNCTION("""COMPUTED_VALUE"""),"Harold Varner III")</f>
        <v>Harold Varner III</v>
      </c>
      <c r="D112">
        <f ca="1">IFERROR(__xludf.DUMMYFUNCTION("""COMPUTED_VALUE"""),14)</f>
        <v>14</v>
      </c>
      <c r="E112">
        <f ca="1">IFERROR(__xludf.DUMMYFUNCTION("""COMPUTED_VALUE"""),58.9)</f>
        <v>58.9</v>
      </c>
      <c r="F112">
        <f ca="1">IFERROR(__xludf.DUMMYFUNCTION("""COMPUTED_VALUE"""),43)</f>
        <v>43</v>
      </c>
      <c r="G112">
        <f ca="1">IFERROR(__xludf.DUMMYFUNCTION("""COMPUTED_VALUE"""),73)</f>
        <v>73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IFERROR(__xludf.DUMMYFUNCTION("""COMPUTED_VALUE"""),"T123")</f>
        <v>T123</v>
      </c>
      <c r="C113" t="str">
        <f ca="1">IFERROR(__xludf.DUMMYFUNCTION("""COMPUTED_VALUE"""),"Richy Werenski")</f>
        <v>Richy Werenski</v>
      </c>
      <c r="D113">
        <f ca="1">IFERROR(__xludf.DUMMYFUNCTION("""COMPUTED_VALUE"""),16)</f>
        <v>16</v>
      </c>
      <c r="E113">
        <f ca="1">IFERROR(__xludf.DUMMYFUNCTION("""COMPUTED_VALUE"""),58.82)</f>
        <v>58.82</v>
      </c>
      <c r="F113">
        <f ca="1">IFERROR(__xludf.DUMMYFUNCTION("""COMPUTED_VALUE"""),70)</f>
        <v>70</v>
      </c>
      <c r="G113">
        <f ca="1">IFERROR(__xludf.DUMMYFUNCTION("""COMPUTED_VALUE"""),119)</f>
        <v>119</v>
      </c>
    </row>
    <row r="114" spans="1:7" ht="12.75">
      <c r="A114" t="str">
        <f ca="1">IFERROR(__xludf.DUMMYFUNCTION("""COMPUTED_VALUE"""),"T112")</f>
        <v>T112</v>
      </c>
      <c r="B114" t="str">
        <f ca="1">IFERROR(__xludf.DUMMYFUNCTION("""COMPUTED_VALUE"""),"T123")</f>
        <v>T123</v>
      </c>
      <c r="C114" t="str">
        <f ca="1">IFERROR(__xludf.DUMMYFUNCTION("""COMPUTED_VALUE"""),"Alex Cejka")</f>
        <v>Alex Cejka</v>
      </c>
      <c r="D114">
        <f ca="1">IFERROR(__xludf.DUMMYFUNCTION("""COMPUTED_VALUE"""),6)</f>
        <v>6</v>
      </c>
      <c r="E114">
        <f ca="1">IFERROR(__xludf.DUMMYFUNCTION("""COMPUTED_VALUE"""),58.82)</f>
        <v>58.82</v>
      </c>
      <c r="F114">
        <f ca="1">IFERROR(__xludf.DUMMYFUNCTION("""COMPUTED_VALUE"""),30)</f>
        <v>30</v>
      </c>
      <c r="G114">
        <f ca="1">IFERROR(__xludf.DUMMYFUNCTION("""COMPUTED_VALUE"""),51)</f>
        <v>51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IFERROR(__xludf.DUMMYFUNCTION("""COMPUTED_VALUE"""),113)</f>
        <v>113</v>
      </c>
      <c r="C115" t="str">
        <f ca="1">IFERROR(__xludf.DUMMYFUNCTION("""COMPUTED_VALUE"""),"Jamie Lovemark")</f>
        <v>Jamie Lovemark</v>
      </c>
      <c r="D115">
        <f ca="1">IFERROR(__xludf.DUMMYFUNCTION("""COMPUTED_VALUE"""),18)</f>
        <v>18</v>
      </c>
      <c r="E115">
        <f ca="1">IFERROR(__xludf.DUMMYFUNCTION("""COMPUTED_VALUE"""),58.68)</f>
        <v>58.68</v>
      </c>
      <c r="F115">
        <f ca="1">IFERROR(__xludf.DUMMYFUNCTION("""COMPUTED_VALUE"""),71)</f>
        <v>71</v>
      </c>
      <c r="G115">
        <f ca="1">IFERROR(__xludf.DUMMYFUNCTION("""COMPUTED_VALUE"""),121)</f>
        <v>121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IFERROR(__xludf.DUMMYFUNCTION("""COMPUTED_VALUE"""),170)</f>
        <v>170</v>
      </c>
      <c r="C116" t="str">
        <f ca="1">IFERROR(__xludf.DUMMYFUNCTION("""COMPUTED_VALUE"""),"Adam Long")</f>
        <v>Adam Long</v>
      </c>
      <c r="D116">
        <f ca="1">IFERROR(__xludf.DUMMYFUNCTION("""COMPUTED_VALUE"""),22)</f>
        <v>22</v>
      </c>
      <c r="E116">
        <f ca="1">IFERROR(__xludf.DUMMYFUNCTION("""COMPUTED_VALUE"""),58.62)</f>
        <v>58.62</v>
      </c>
      <c r="F116">
        <f ca="1">IFERROR(__xludf.DUMMYFUNCTION("""COMPUTED_VALUE"""),85)</f>
        <v>85</v>
      </c>
      <c r="G116">
        <f ca="1">IFERROR(__xludf.DUMMYFUNCTION("""COMPUTED_VALUE"""),145)</f>
        <v>145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IFERROR(__xludf.DUMMYFUNCTION("""COMPUTED_VALUE"""),130)</f>
        <v>130</v>
      </c>
      <c r="C117" t="str">
        <f ca="1">IFERROR(__xludf.DUMMYFUNCTION("""COMPUTED_VALUE"""),"Kristoffer Ventura")</f>
        <v>Kristoffer Ventura</v>
      </c>
      <c r="D117">
        <f ca="1">IFERROR(__xludf.DUMMYFUNCTION("""COMPUTED_VALUE"""),20)</f>
        <v>20</v>
      </c>
      <c r="E117">
        <f ca="1">IFERROR(__xludf.DUMMYFUNCTION("""COMPUTED_VALUE"""),58.56)</f>
        <v>58.56</v>
      </c>
      <c r="F117">
        <f ca="1">IFERROR(__xludf.DUMMYFUNCTION("""COMPUTED_VALUE"""),65)</f>
        <v>65</v>
      </c>
      <c r="G117">
        <f ca="1">IFERROR(__xludf.DUMMYFUNCTION("""COMPUTED_VALUE"""),111)</f>
        <v>111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IFERROR(__xludf.DUMMYFUNCTION("""COMPUTED_VALUE"""),128)</f>
        <v>128</v>
      </c>
      <c r="C118" t="str">
        <f ca="1">IFERROR(__xludf.DUMMYFUNCTION("""COMPUTED_VALUE"""),"Cameron Smith")</f>
        <v>Cameron Smith</v>
      </c>
      <c r="D118">
        <f ca="1">IFERROR(__xludf.DUMMYFUNCTION("""COMPUTED_VALUE"""),16)</f>
        <v>16</v>
      </c>
      <c r="E118">
        <f ca="1">IFERROR(__xludf.DUMMYFUNCTION("""COMPUTED_VALUE"""),58.51)</f>
        <v>58.51</v>
      </c>
      <c r="F118">
        <f ca="1">IFERROR(__xludf.DUMMYFUNCTION("""COMPUTED_VALUE"""),55)</f>
        <v>55</v>
      </c>
      <c r="G118">
        <f ca="1">IFERROR(__xludf.DUMMYFUNCTION("""COMPUTED_VALUE"""),94)</f>
        <v>94</v>
      </c>
    </row>
    <row r="119" spans="1:7" ht="12.75">
      <c r="A119">
        <f ca="1">IFERROR(__xludf.DUMMYFUNCTION("""COMPUTED_VALUE"""),118)</f>
        <v>118</v>
      </c>
      <c r="B119" t="str">
        <f ca="1">IFERROR(__xludf.DUMMYFUNCTION("""COMPUTED_VALUE"""),"T88")</f>
        <v>T88</v>
      </c>
      <c r="C119" t="str">
        <f ca="1">IFERROR(__xludf.DUMMYFUNCTION("""COMPUTED_VALUE"""),"Ryan Armour")</f>
        <v>Ryan Armour</v>
      </c>
      <c r="D119">
        <f ca="1">IFERROR(__xludf.DUMMYFUNCTION("""COMPUTED_VALUE"""),16)</f>
        <v>16</v>
      </c>
      <c r="E119">
        <f ca="1">IFERROR(__xludf.DUMMYFUNCTION("""COMPUTED_VALUE"""),58.42)</f>
        <v>58.42</v>
      </c>
      <c r="F119">
        <f ca="1">IFERROR(__xludf.DUMMYFUNCTION("""COMPUTED_VALUE"""),59)</f>
        <v>59</v>
      </c>
      <c r="G119">
        <f ca="1">IFERROR(__xludf.DUMMYFUNCTION("""COMPUTED_VALUE"""),101)</f>
        <v>101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IFERROR(__xludf.DUMMYFUNCTION("""COMPUTED_VALUE"""),"T123")</f>
        <v>T123</v>
      </c>
      <c r="C120" t="str">
        <f ca="1">IFERROR(__xludf.DUMMYFUNCTION("""COMPUTED_VALUE"""),"Kyoung-Hoon Lee")</f>
        <v>Kyoung-Hoon Lee</v>
      </c>
      <c r="D120">
        <f ca="1">IFERROR(__xludf.DUMMYFUNCTION("""COMPUTED_VALUE"""),20)</f>
        <v>20</v>
      </c>
      <c r="E120">
        <f ca="1">IFERROR(__xludf.DUMMYFUNCTION("""COMPUTED_VALUE"""),58.39)</f>
        <v>58.39</v>
      </c>
      <c r="F120">
        <f ca="1">IFERROR(__xludf.DUMMYFUNCTION("""COMPUTED_VALUE"""),80)</f>
        <v>80</v>
      </c>
      <c r="G120">
        <f ca="1">IFERROR(__xludf.DUMMYFUNCTION("""COMPUTED_VALUE"""),137)</f>
        <v>137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IFERROR(__xludf.DUMMYFUNCTION("""COMPUTED_VALUE"""),129)</f>
        <v>129</v>
      </c>
      <c r="C121" t="str">
        <f ca="1">IFERROR(__xludf.DUMMYFUNCTION("""COMPUTED_VALUE"""),"Brooks Koepka")</f>
        <v>Brooks Koepka</v>
      </c>
      <c r="D121">
        <f ca="1">IFERROR(__xludf.DUMMYFUNCTION("""COMPUTED_VALUE"""),8)</f>
        <v>8</v>
      </c>
      <c r="E121">
        <f ca="1">IFERROR(__xludf.DUMMYFUNCTION("""COMPUTED_VALUE"""),58.33)</f>
        <v>58.33</v>
      </c>
      <c r="F121">
        <f ca="1">IFERROR(__xludf.DUMMYFUNCTION("""COMPUTED_VALUE"""),28)</f>
        <v>28</v>
      </c>
      <c r="G121">
        <f ca="1">IFERROR(__xludf.DUMMYFUNCTION("""COMPUTED_VALUE"""),48)</f>
        <v>48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IFERROR(__xludf.DUMMYFUNCTION("""COMPUTED_VALUE"""),116)</f>
        <v>116</v>
      </c>
      <c r="C122" t="str">
        <f ca="1">IFERROR(__xludf.DUMMYFUNCTION("""COMPUTED_VALUE"""),"Kevin Streelman")</f>
        <v>Kevin Streelman</v>
      </c>
      <c r="D122">
        <f ca="1">IFERROR(__xludf.DUMMYFUNCTION("""COMPUTED_VALUE"""),18)</f>
        <v>18</v>
      </c>
      <c r="E122">
        <f ca="1">IFERROR(__xludf.DUMMYFUNCTION("""COMPUTED_VALUE"""),58)</f>
        <v>58</v>
      </c>
      <c r="F122">
        <f ca="1">IFERROR(__xludf.DUMMYFUNCTION("""COMPUTED_VALUE"""),58)</f>
        <v>58</v>
      </c>
      <c r="G122">
        <f ca="1">IFERROR(__xludf.DUMMYFUNCTION("""COMPUTED_VALUE"""),100)</f>
        <v>100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IFERROR(__xludf.DUMMYFUNCTION("""COMPUTED_VALUE"""),"T132")</f>
        <v>T132</v>
      </c>
      <c r="C123" t="str">
        <f ca="1">IFERROR(__xludf.DUMMYFUNCTION("""COMPUTED_VALUE"""),"Kyle Stanley")</f>
        <v>Kyle Stanley</v>
      </c>
      <c r="D123">
        <f ca="1">IFERROR(__xludf.DUMMYFUNCTION("""COMPUTED_VALUE"""),16)</f>
        <v>16</v>
      </c>
      <c r="E123">
        <f ca="1">IFERROR(__xludf.DUMMYFUNCTION("""COMPUTED_VALUE"""),57.89)</f>
        <v>57.89</v>
      </c>
      <c r="F123">
        <f ca="1">IFERROR(__xludf.DUMMYFUNCTION("""COMPUTED_VALUE"""),55)</f>
        <v>55</v>
      </c>
      <c r="G123">
        <f ca="1">IFERROR(__xludf.DUMMYFUNCTION("""COMPUTED_VALUE"""),95)</f>
        <v>95</v>
      </c>
    </row>
    <row r="124" spans="1:7" ht="12.75">
      <c r="A124" t="str">
        <f ca="1">IFERROR(__xludf.DUMMYFUNCTION("""COMPUTED_VALUE"""),"T122")</f>
        <v>T122</v>
      </c>
      <c r="B124">
        <f ca="1">IFERROR(__xludf.DUMMYFUNCTION("""COMPUTED_VALUE"""),100)</f>
        <v>100</v>
      </c>
      <c r="C124" t="str">
        <f ca="1">IFERROR(__xludf.DUMMYFUNCTION("""COMPUTED_VALUE"""),"Zach Johnson")</f>
        <v>Zach Johnson</v>
      </c>
      <c r="D124">
        <f ca="1">IFERROR(__xludf.DUMMYFUNCTION("""COMPUTED_VALUE"""),16)</f>
        <v>16</v>
      </c>
      <c r="E124">
        <f ca="1">IFERROR(__xludf.DUMMYFUNCTION("""COMPUTED_VALUE"""),57.89)</f>
        <v>57.89</v>
      </c>
      <c r="F124">
        <f ca="1">IFERROR(__xludf.DUMMYFUNCTION("""COMPUTED_VALUE"""),44)</f>
        <v>44</v>
      </c>
      <c r="G124">
        <f ca="1">IFERROR(__xludf.DUMMYFUNCTION("""COMPUTED_VALUE"""),76)</f>
        <v>76</v>
      </c>
    </row>
    <row r="125" spans="1:7" ht="12.75">
      <c r="A125" t="str">
        <f ca="1">IFERROR(__xludf.DUMMYFUNCTION("""COMPUTED_VALUE"""),"T122")</f>
        <v>T122</v>
      </c>
      <c r="B125" t="str">
        <f ca="1">IFERROR(__xludf.DUMMYFUNCTION("""COMPUTED_VALUE"""),"T132")</f>
        <v>T132</v>
      </c>
      <c r="C125" t="str">
        <f ca="1">IFERROR(__xludf.DUMMYFUNCTION("""COMPUTED_VALUE"""),"Renato Paratore")</f>
        <v>Renato Paratore</v>
      </c>
      <c r="D125">
        <f ca="1">IFERROR(__xludf.DUMMYFUNCTION("""COMPUTED_VALUE"""),4)</f>
        <v>4</v>
      </c>
      <c r="E125">
        <f ca="1">IFERROR(__xludf.DUMMYFUNCTION("""COMPUTED_VALUE"""),57.89)</f>
        <v>57.89</v>
      </c>
      <c r="F125">
        <f ca="1">IFERROR(__xludf.DUMMYFUNCTION("""COMPUTED_VALUE"""),22)</f>
        <v>22</v>
      </c>
      <c r="G125">
        <f ca="1">IFERROR(__xludf.DUMMYFUNCTION("""COMPUTED_VALUE"""),38)</f>
        <v>38</v>
      </c>
    </row>
    <row r="126" spans="1:7" ht="12.75">
      <c r="A126" t="str">
        <f ca="1">IFERROR(__xludf.DUMMYFUNCTION("""COMPUTED_VALUE"""),"T122")</f>
        <v>T122</v>
      </c>
      <c r="B126" t="str">
        <f ca="1">IFERROR(__xludf.DUMMYFUNCTION("""COMPUTED_VALUE"""),"T132")</f>
        <v>T132</v>
      </c>
      <c r="C126" t="str">
        <f ca="1">IFERROR(__xludf.DUMMYFUNCTION("""COMPUTED_VALUE"""),"Stephen Stallings Jr.")</f>
        <v>Stephen Stallings Jr.</v>
      </c>
      <c r="D126">
        <f ca="1">IFERROR(__xludf.DUMMYFUNCTION("""COMPUTED_VALUE"""),4)</f>
        <v>4</v>
      </c>
      <c r="E126">
        <f ca="1">IFERROR(__xludf.DUMMYFUNCTION("""COMPUTED_VALUE"""),57.89)</f>
        <v>57.89</v>
      </c>
      <c r="F126">
        <f ca="1">IFERROR(__xludf.DUMMYFUNCTION("""COMPUTED_VALUE"""),11)</f>
        <v>11</v>
      </c>
      <c r="G126">
        <f ca="1">IFERROR(__xludf.DUMMYFUNCTION("""COMPUTED_VALUE"""),19)</f>
        <v>19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IFERROR(__xludf.DUMMYFUNCTION("""COMPUTED_VALUE"""),102)</f>
        <v>102</v>
      </c>
      <c r="C127" t="str">
        <f ca="1">IFERROR(__xludf.DUMMYFUNCTION("""COMPUTED_VALUE"""),"Luke List")</f>
        <v>Luke List</v>
      </c>
      <c r="D127">
        <f ca="1">IFERROR(__xludf.DUMMYFUNCTION("""COMPUTED_VALUE"""),18)</f>
        <v>18</v>
      </c>
      <c r="E127">
        <f ca="1">IFERROR(__xludf.DUMMYFUNCTION("""COMPUTED_VALUE"""),57.84)</f>
        <v>57.84</v>
      </c>
      <c r="F127">
        <f ca="1">IFERROR(__xludf.DUMMYFUNCTION("""COMPUTED_VALUE"""),59)</f>
        <v>59</v>
      </c>
      <c r="G127">
        <f ca="1">IFERROR(__xludf.DUMMYFUNCTION("""COMPUTED_VALUE"""),102)</f>
        <v>102</v>
      </c>
    </row>
    <row r="128" spans="1:7" ht="12.75">
      <c r="A128">
        <f ca="1">IFERROR(__xludf.DUMMYFUNCTION("""COMPUTED_VALUE"""),127)</f>
        <v>127</v>
      </c>
      <c r="B128">
        <f ca="1">IFERROR(__xludf.DUMMYFUNCTION("""COMPUTED_VALUE"""),136)</f>
        <v>136</v>
      </c>
      <c r="C128" t="str">
        <f ca="1">IFERROR(__xludf.DUMMYFUNCTION("""COMPUTED_VALUE"""),"Joseph Bramlett")</f>
        <v>Joseph Bramlett</v>
      </c>
      <c r="D128">
        <f ca="1">IFERROR(__xludf.DUMMYFUNCTION("""COMPUTED_VALUE"""),18)</f>
        <v>18</v>
      </c>
      <c r="E128">
        <f ca="1">IFERROR(__xludf.DUMMYFUNCTION("""COMPUTED_VALUE"""),57.78)</f>
        <v>57.78</v>
      </c>
      <c r="F128">
        <f ca="1">IFERROR(__xludf.DUMMYFUNCTION("""COMPUTED_VALUE"""),52)</f>
        <v>52</v>
      </c>
      <c r="G128">
        <f ca="1">IFERROR(__xludf.DUMMYFUNCTION("""COMPUTED_VALUE"""),90)</f>
        <v>90</v>
      </c>
    </row>
    <row r="129" spans="1:7" ht="12.75">
      <c r="A129">
        <f ca="1">IFERROR(__xludf.DUMMYFUNCTION("""COMPUTED_VALUE"""),128)</f>
        <v>128</v>
      </c>
      <c r="B129">
        <f ca="1">IFERROR(__xludf.DUMMYFUNCTION("""COMPUTED_VALUE"""),118)</f>
        <v>118</v>
      </c>
      <c r="C129" t="str">
        <f ca="1">IFERROR(__xludf.DUMMYFUNCTION("""COMPUTED_VALUE"""),"Scott Harrington")</f>
        <v>Scott Harrington</v>
      </c>
      <c r="D129">
        <f ca="1">IFERROR(__xludf.DUMMYFUNCTION("""COMPUTED_VALUE"""),18)</f>
        <v>18</v>
      </c>
      <c r="E129">
        <f ca="1">IFERROR(__xludf.DUMMYFUNCTION("""COMPUTED_VALUE"""),57.76)</f>
        <v>57.76</v>
      </c>
      <c r="F129">
        <f ca="1">IFERROR(__xludf.DUMMYFUNCTION("""COMPUTED_VALUE"""),67)</f>
        <v>67</v>
      </c>
      <c r="G129">
        <f ca="1">IFERROR(__xludf.DUMMYFUNCTION("""COMPUTED_VALUE"""),116)</f>
        <v>116</v>
      </c>
    </row>
    <row r="130" spans="1:7" ht="12.75">
      <c r="A130">
        <f ca="1">IFERROR(__xludf.DUMMYFUNCTION("""COMPUTED_VALUE"""),129)</f>
        <v>129</v>
      </c>
      <c r="B130">
        <f ca="1">IFERROR(__xludf.DUMMYFUNCTION("""COMPUTED_VALUE"""),92)</f>
        <v>92</v>
      </c>
      <c r="C130" t="str">
        <f ca="1">IFERROR(__xludf.DUMMYFUNCTION("""COMPUTED_VALUE"""),"Sam Ryder")</f>
        <v>Sam Ryder</v>
      </c>
      <c r="D130">
        <f ca="1">IFERROR(__xludf.DUMMYFUNCTION("""COMPUTED_VALUE"""),12)</f>
        <v>12</v>
      </c>
      <c r="E130">
        <f ca="1">IFERROR(__xludf.DUMMYFUNCTION("""COMPUTED_VALUE"""),57.75)</f>
        <v>57.75</v>
      </c>
      <c r="F130">
        <f ca="1">IFERROR(__xludf.DUMMYFUNCTION("""COMPUTED_VALUE"""),41)</f>
        <v>41</v>
      </c>
      <c r="G130">
        <f ca="1">IFERROR(__xludf.DUMMYFUNCTION("""COMPUTED_VALUE"""),71)</f>
        <v>71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IFERROR(__xludf.DUMMYFUNCTION("""COMPUTED_VALUE"""),138)</f>
        <v>138</v>
      </c>
      <c r="C131" t="str">
        <f ca="1">IFERROR(__xludf.DUMMYFUNCTION("""COMPUTED_VALUE"""),"Jay McLuen")</f>
        <v>Jay McLuen</v>
      </c>
      <c r="D131">
        <f ca="1">IFERROR(__xludf.DUMMYFUNCTION("""COMPUTED_VALUE"""),4)</f>
        <v>4</v>
      </c>
      <c r="E131">
        <f ca="1">IFERROR(__xludf.DUMMYFUNCTION("""COMPUTED_VALUE"""),57.69)</f>
        <v>57.69</v>
      </c>
      <c r="F131">
        <f ca="1">IFERROR(__xludf.DUMMYFUNCTION("""COMPUTED_VALUE"""),15)</f>
        <v>15</v>
      </c>
      <c r="G131">
        <f ca="1">IFERROR(__xludf.DUMMYFUNCTION("""COMPUTED_VALUE"""),26)</f>
        <v>26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IFERROR(__xludf.DUMMYFUNCTION("""COMPUTED_VALUE"""),139)</f>
        <v>139</v>
      </c>
      <c r="C132" t="str">
        <f ca="1">IFERROR(__xludf.DUMMYFUNCTION("""COMPUTED_VALUE"""),"Bubba Watson")</f>
        <v>Bubba Watson</v>
      </c>
      <c r="D132">
        <f ca="1">IFERROR(__xludf.DUMMYFUNCTION("""COMPUTED_VALUE"""),12)</f>
        <v>12</v>
      </c>
      <c r="E132">
        <f ca="1">IFERROR(__xludf.DUMMYFUNCTION("""COMPUTED_VALUE"""),57.63)</f>
        <v>57.63</v>
      </c>
      <c r="F132">
        <f ca="1">IFERROR(__xludf.DUMMYFUNCTION("""COMPUTED_VALUE"""),34)</f>
        <v>34</v>
      </c>
      <c r="G132">
        <f ca="1">IFERROR(__xludf.DUMMYFUNCTION("""COMPUTED_VALUE"""),59)</f>
        <v>59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IFERROR(__xludf.DUMMYFUNCTION("""COMPUTED_VALUE"""),193)</f>
        <v>193</v>
      </c>
      <c r="C133" t="str">
        <f ca="1">IFERROR(__xludf.DUMMYFUNCTION("""COMPUTED_VALUE"""),"J.T. Poston")</f>
        <v>J.T. Poston</v>
      </c>
      <c r="D133">
        <f ca="1">IFERROR(__xludf.DUMMYFUNCTION("""COMPUTED_VALUE"""),18)</f>
        <v>18</v>
      </c>
      <c r="E133">
        <f ca="1">IFERROR(__xludf.DUMMYFUNCTION("""COMPUTED_VALUE"""),57.55)</f>
        <v>57.55</v>
      </c>
      <c r="F133">
        <f ca="1">IFERROR(__xludf.DUMMYFUNCTION("""COMPUTED_VALUE"""),61)</f>
        <v>61</v>
      </c>
      <c r="G133">
        <f ca="1">IFERROR(__xludf.DUMMYFUNCTION("""COMPUTED_VALUE"""),106)</f>
        <v>106</v>
      </c>
    </row>
    <row r="134" spans="1:7" ht="12.75">
      <c r="A134" t="str">
        <f ca="1">IFERROR(__xludf.DUMMYFUNCTION("""COMPUTED_VALUE"""),"T133")</f>
        <v>T133</v>
      </c>
      <c r="B134">
        <f ca="1">IFERROR(__xludf.DUMMYFUNCTION("""COMPUTED_VALUE"""),140)</f>
        <v>140</v>
      </c>
      <c r="C134" t="str">
        <f ca="1">IFERROR(__xludf.DUMMYFUNCTION("""COMPUTED_VALUE"""),"Matthias Schwab")</f>
        <v>Matthias Schwab</v>
      </c>
      <c r="D134">
        <f ca="1">IFERROR(__xludf.DUMMYFUNCTION("""COMPUTED_VALUE"""),8)</f>
        <v>8</v>
      </c>
      <c r="E134">
        <f ca="1">IFERROR(__xludf.DUMMYFUNCTION("""COMPUTED_VALUE"""),57.41)</f>
        <v>57.41</v>
      </c>
      <c r="F134">
        <f ca="1">IFERROR(__xludf.DUMMYFUNCTION("""COMPUTED_VALUE"""),31)</f>
        <v>31</v>
      </c>
      <c r="G134">
        <f ca="1">IFERROR(__xludf.DUMMYFUNCTION("""COMPUTED_VALUE"""),54)</f>
        <v>54</v>
      </c>
    </row>
    <row r="135" spans="1:7" ht="12.75">
      <c r="A135" t="str">
        <f ca="1">IFERROR(__xludf.DUMMYFUNCTION("""COMPUTED_VALUE"""),"T133")</f>
        <v>T133</v>
      </c>
      <c r="B135" t="str">
        <f ca="1">IFERROR(__xludf.DUMMYFUNCTION("""COMPUTED_VALUE"""),"T60")</f>
        <v>T60</v>
      </c>
      <c r="C135" t="str">
        <f ca="1">IFERROR(__xludf.DUMMYFUNCTION("""COMPUTED_VALUE"""),"Ted Potter, Jr.")</f>
        <v>Ted Potter, Jr.</v>
      </c>
      <c r="D135">
        <f ca="1">IFERROR(__xludf.DUMMYFUNCTION("""COMPUTED_VALUE"""),8)</f>
        <v>8</v>
      </c>
      <c r="E135">
        <f ca="1">IFERROR(__xludf.DUMMYFUNCTION("""COMPUTED_VALUE"""),57.41)</f>
        <v>57.41</v>
      </c>
      <c r="F135">
        <f ca="1">IFERROR(__xludf.DUMMYFUNCTION("""COMPUTED_VALUE"""),31)</f>
        <v>31</v>
      </c>
      <c r="G135">
        <f ca="1">IFERROR(__xludf.DUMMYFUNCTION("""COMPUTED_VALUE"""),54)</f>
        <v>54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IFERROR(__xludf.DUMMYFUNCTION("""COMPUTED_VALUE"""),"T105")</f>
        <v>T105</v>
      </c>
      <c r="C136" t="str">
        <f ca="1">IFERROR(__xludf.DUMMYFUNCTION("""COMPUTED_VALUE"""),"Vaughn Taylor")</f>
        <v>Vaughn Taylor</v>
      </c>
      <c r="D136">
        <f ca="1">IFERROR(__xludf.DUMMYFUNCTION("""COMPUTED_VALUE"""),12)</f>
        <v>12</v>
      </c>
      <c r="E136">
        <f ca="1">IFERROR(__xludf.DUMMYFUNCTION("""COMPUTED_VALUE"""),57.35)</f>
        <v>57.35</v>
      </c>
      <c r="F136">
        <f ca="1">IFERROR(__xludf.DUMMYFUNCTION("""COMPUTED_VALUE"""),39)</f>
        <v>39</v>
      </c>
      <c r="G136">
        <f ca="1">IFERROR(__xludf.DUMMYFUNCTION("""COMPUTED_VALUE"""),68)</f>
        <v>68</v>
      </c>
    </row>
    <row r="137" spans="1:7" ht="12.75">
      <c r="A137" t="str">
        <f ca="1">IFERROR(__xludf.DUMMYFUNCTION("""COMPUTED_VALUE"""),"T135")</f>
        <v>T135</v>
      </c>
      <c r="B137">
        <f ca="1">IFERROR(__xludf.DUMMYFUNCTION("""COMPUTED_VALUE"""),142)</f>
        <v>142</v>
      </c>
      <c r="C137" t="str">
        <f ca="1">IFERROR(__xludf.DUMMYFUNCTION("""COMPUTED_VALUE"""),"Xander Schauffele")</f>
        <v>Xander Schauffele</v>
      </c>
      <c r="D137">
        <f ca="1">IFERROR(__xludf.DUMMYFUNCTION("""COMPUTED_VALUE"""),12)</f>
        <v>12</v>
      </c>
      <c r="E137">
        <f ca="1">IFERROR(__xludf.DUMMYFUNCTION("""COMPUTED_VALUE"""),57.35)</f>
        <v>57.35</v>
      </c>
      <c r="F137">
        <f ca="1">IFERROR(__xludf.DUMMYFUNCTION("""COMPUTED_VALUE"""),39)</f>
        <v>39</v>
      </c>
      <c r="G137">
        <f ca="1">IFERROR(__xludf.DUMMYFUNCTION("""COMPUTED_VALUE"""),68)</f>
        <v>68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IFERROR(__xludf.DUMMYFUNCTION("""COMPUTED_VALUE"""),99)</f>
        <v>99</v>
      </c>
      <c r="C138" t="str">
        <f ca="1">IFERROR(__xludf.DUMMYFUNCTION("""COMPUTED_VALUE"""),"Michael Kim")</f>
        <v>Michael Kim</v>
      </c>
      <c r="D138">
        <f ca="1">IFERROR(__xludf.DUMMYFUNCTION("""COMPUTED_VALUE"""),12)</f>
        <v>12</v>
      </c>
      <c r="E138">
        <f ca="1">IFERROR(__xludf.DUMMYFUNCTION("""COMPUTED_VALUE"""),57.3)</f>
        <v>57.3</v>
      </c>
      <c r="F138">
        <f ca="1">IFERROR(__xludf.DUMMYFUNCTION("""COMPUTED_VALUE"""),51)</f>
        <v>51</v>
      </c>
      <c r="G138">
        <f ca="1">IFERROR(__xludf.DUMMYFUNCTION("""COMPUTED_VALUE"""),89)</f>
        <v>89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IFERROR(__xludf.DUMMYFUNCTION("""COMPUTED_VALUE"""),"T143")</f>
        <v>T143</v>
      </c>
      <c r="C139" t="str">
        <f ca="1">IFERROR(__xludf.DUMMYFUNCTION("""COMPUTED_VALUE"""),"Daniel Berger")</f>
        <v>Daniel Berger</v>
      </c>
      <c r="D139">
        <f ca="1">IFERROR(__xludf.DUMMYFUNCTION("""COMPUTED_VALUE"""),12)</f>
        <v>12</v>
      </c>
      <c r="E139">
        <f ca="1">IFERROR(__xludf.DUMMYFUNCTION("""COMPUTED_VALUE"""),57.14)</f>
        <v>57.14</v>
      </c>
      <c r="F139">
        <f ca="1">IFERROR(__xludf.DUMMYFUNCTION("""COMPUTED_VALUE"""),48)</f>
        <v>48</v>
      </c>
      <c r="G139">
        <f ca="1">IFERROR(__xludf.DUMMYFUNCTION("""COMPUTED_VALUE"""),84)</f>
        <v>84</v>
      </c>
    </row>
    <row r="140" spans="1:7" ht="12.75">
      <c r="A140" t="str">
        <f ca="1">IFERROR(__xludf.DUMMYFUNCTION("""COMPUTED_VALUE"""),"T138")</f>
        <v>T138</v>
      </c>
      <c r="B140" t="str">
        <f ca="1">IFERROR(__xludf.DUMMYFUNCTION("""COMPUTED_VALUE"""),"T228")</f>
        <v>T228</v>
      </c>
      <c r="C140" t="str">
        <f ca="1">IFERROR(__xludf.DUMMYFUNCTION("""COMPUTED_VALUE"""),"Satoshi Kodaira")</f>
        <v>Satoshi Kodaira</v>
      </c>
      <c r="D140">
        <f ca="1">IFERROR(__xludf.DUMMYFUNCTION("""COMPUTED_VALUE"""),12)</f>
        <v>12</v>
      </c>
      <c r="E140">
        <f ca="1">IFERROR(__xludf.DUMMYFUNCTION("""COMPUTED_VALUE"""),57.14)</f>
        <v>57.14</v>
      </c>
      <c r="F140">
        <f ca="1">IFERROR(__xludf.DUMMYFUNCTION("""COMPUTED_VALUE"""),44)</f>
        <v>44</v>
      </c>
      <c r="G140">
        <f ca="1">IFERROR(__xludf.DUMMYFUNCTION("""COMPUTED_VALUE"""),77)</f>
        <v>77</v>
      </c>
    </row>
    <row r="141" spans="1:7" ht="12.75">
      <c r="A141" t="str">
        <f ca="1">IFERROR(__xludf.DUMMYFUNCTION("""COMPUTED_VALUE"""),"T138")</f>
        <v>T138</v>
      </c>
      <c r="B141" t="str">
        <f ca="1">IFERROR(__xludf.DUMMYFUNCTION("""COMPUTED_VALUE"""),"T143")</f>
        <v>T143</v>
      </c>
      <c r="C141" t="str">
        <f ca="1">IFERROR(__xludf.DUMMYFUNCTION("""COMPUTED_VALUE"""),"Chris Baker")</f>
        <v>Chris Baker</v>
      </c>
      <c r="D141">
        <f ca="1">IFERROR(__xludf.DUMMYFUNCTION("""COMPUTED_VALUE"""),8)</f>
        <v>8</v>
      </c>
      <c r="E141">
        <f ca="1">IFERROR(__xludf.DUMMYFUNCTION("""COMPUTED_VALUE"""),57.14)</f>
        <v>57.14</v>
      </c>
      <c r="F141">
        <f ca="1">IFERROR(__xludf.DUMMYFUNCTION("""COMPUTED_VALUE"""),28)</f>
        <v>28</v>
      </c>
      <c r="G141">
        <f ca="1">IFERROR(__xludf.DUMMYFUNCTION("""COMPUTED_VALUE"""),49)</f>
        <v>49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IFERROR(__xludf.DUMMYFUNCTION("""COMPUTED_VALUE"""),147)</f>
        <v>147</v>
      </c>
      <c r="C142" t="str">
        <f ca="1">IFERROR(__xludf.DUMMYFUNCTION("""COMPUTED_VALUE"""),"Collin Morikawa")</f>
        <v>Collin Morikawa</v>
      </c>
      <c r="D142">
        <f ca="1">IFERROR(__xludf.DUMMYFUNCTION("""COMPUTED_VALUE"""),12)</f>
        <v>12</v>
      </c>
      <c r="E142">
        <f ca="1">IFERROR(__xludf.DUMMYFUNCTION("""COMPUTED_VALUE"""),56.92)</f>
        <v>56.92</v>
      </c>
      <c r="F142">
        <f ca="1">IFERROR(__xludf.DUMMYFUNCTION("""COMPUTED_VALUE"""),37)</f>
        <v>37</v>
      </c>
      <c r="G142">
        <f ca="1">IFERROR(__xludf.DUMMYFUNCTION("""COMPUTED_VALUE"""),65)</f>
        <v>65</v>
      </c>
    </row>
    <row r="143" spans="1:7" ht="12.75">
      <c r="A143">
        <f ca="1">IFERROR(__xludf.DUMMYFUNCTION("""COMPUTED_VALUE"""),142)</f>
        <v>142</v>
      </c>
      <c r="B143" t="str">
        <f ca="1">IFERROR(__xludf.DUMMYFUNCTION("""COMPUTED_VALUE"""),"T148")</f>
        <v>T148</v>
      </c>
      <c r="C143" t="str">
        <f ca="1">IFERROR(__xludf.DUMMYFUNCTION("""COMPUTED_VALUE"""),"MJ Daffue")</f>
        <v>MJ Daffue</v>
      </c>
      <c r="D143">
        <f ca="1">IFERROR(__xludf.DUMMYFUNCTION("""COMPUTED_VALUE"""),10)</f>
        <v>10</v>
      </c>
      <c r="E143">
        <f ca="1">IFERROR(__xludf.DUMMYFUNCTION("""COMPUTED_VALUE"""),56.86)</f>
        <v>56.86</v>
      </c>
      <c r="F143">
        <f ca="1">IFERROR(__xludf.DUMMYFUNCTION("""COMPUTED_VALUE"""),29)</f>
        <v>29</v>
      </c>
      <c r="G143">
        <f ca="1">IFERROR(__xludf.DUMMYFUNCTION("""COMPUTED_VALUE"""),51)</f>
        <v>51</v>
      </c>
    </row>
    <row r="144" spans="1:7" ht="12.75">
      <c r="A144">
        <f ca="1">IFERROR(__xludf.DUMMYFUNCTION("""COMPUTED_VALUE"""),143)</f>
        <v>143</v>
      </c>
      <c r="B144" t="str">
        <f ca="1">IFERROR(__xludf.DUMMYFUNCTION("""COMPUTED_VALUE"""),"T143")</f>
        <v>T143</v>
      </c>
      <c r="C144" t="str">
        <f ca="1">IFERROR(__xludf.DUMMYFUNCTION("""COMPUTED_VALUE"""),"Isaiah Salinda")</f>
        <v>Isaiah Salinda</v>
      </c>
      <c r="D144">
        <f ca="1">IFERROR(__xludf.DUMMYFUNCTION("""COMPUTED_VALUE"""),8)</f>
        <v>8</v>
      </c>
      <c r="E144">
        <f ca="1">IFERROR(__xludf.DUMMYFUNCTION("""COMPUTED_VALUE"""),56.76)</f>
        <v>56.76</v>
      </c>
      <c r="F144">
        <f ca="1">IFERROR(__xludf.DUMMYFUNCTION("""COMPUTED_VALUE"""),21)</f>
        <v>21</v>
      </c>
      <c r="G144">
        <f ca="1">IFERROR(__xludf.DUMMYFUNCTION("""COMPUTED_VALUE"""),37)</f>
        <v>37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IFERROR(__xludf.DUMMYFUNCTION("""COMPUTED_VALUE"""),"T150")</f>
        <v>T150</v>
      </c>
      <c r="C145" t="str">
        <f ca="1">IFERROR(__xludf.DUMMYFUNCTION("""COMPUTED_VALUE"""),"Seonghyeon Kim")</f>
        <v>Seonghyeon Kim</v>
      </c>
      <c r="D145">
        <f ca="1">IFERROR(__xludf.DUMMYFUNCTION("""COMPUTED_VALUE"""),4)</f>
        <v>4</v>
      </c>
      <c r="E145">
        <f ca="1">IFERROR(__xludf.DUMMYFUNCTION("""COMPUTED_VALUE"""),56.67)</f>
        <v>56.67</v>
      </c>
      <c r="F145">
        <f ca="1">IFERROR(__xludf.DUMMYFUNCTION("""COMPUTED_VALUE"""),17)</f>
        <v>17</v>
      </c>
      <c r="G145">
        <f ca="1">IFERROR(__xludf.DUMMYFUNCTION("""COMPUTED_VALUE"""),30)</f>
        <v>30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IFERROR(__xludf.DUMMYFUNCTION("""COMPUTED_VALUE"""),"T150")</f>
        <v>T150</v>
      </c>
      <c r="C146" t="str">
        <f ca="1">IFERROR(__xludf.DUMMYFUNCTION("""COMPUTED_VALUE"""),"Ricky Barnes")</f>
        <v>Ricky Barnes</v>
      </c>
      <c r="D146">
        <f ca="1">IFERROR(__xludf.DUMMYFUNCTION("""COMPUTED_VALUE"""),12)</f>
        <v>12</v>
      </c>
      <c r="E146">
        <f ca="1">IFERROR(__xludf.DUMMYFUNCTION("""COMPUTED_VALUE"""),56.67)</f>
        <v>56.67</v>
      </c>
      <c r="F146">
        <f ca="1">IFERROR(__xludf.DUMMYFUNCTION("""COMPUTED_VALUE"""),34)</f>
        <v>34</v>
      </c>
      <c r="G146">
        <f ca="1">IFERROR(__xludf.DUMMYFUNCTION("""COMPUTED_VALUE"""),60)</f>
        <v>60</v>
      </c>
    </row>
    <row r="147" spans="1:7" ht="12.75">
      <c r="A147" t="str">
        <f ca="1">IFERROR(__xludf.DUMMYFUNCTION("""COMPUTED_VALUE"""),"T144")</f>
        <v>T144</v>
      </c>
      <c r="B147" t="str">
        <f ca="1">IFERROR(__xludf.DUMMYFUNCTION("""COMPUTED_VALUE"""),"T114")</f>
        <v>T114</v>
      </c>
      <c r="C147" t="str">
        <f ca="1">IFERROR(__xludf.DUMMYFUNCTION("""COMPUTED_VALUE"""),"Chris Kirk")</f>
        <v>Chris Kirk</v>
      </c>
      <c r="D147">
        <f ca="1">IFERROR(__xludf.DUMMYFUNCTION("""COMPUTED_VALUE"""),10)</f>
        <v>10</v>
      </c>
      <c r="E147">
        <f ca="1">IFERROR(__xludf.DUMMYFUNCTION("""COMPUTED_VALUE"""),56.67)</f>
        <v>56.67</v>
      </c>
      <c r="F147">
        <f ca="1">IFERROR(__xludf.DUMMYFUNCTION("""COMPUTED_VALUE"""),34)</f>
        <v>34</v>
      </c>
      <c r="G147">
        <f ca="1">IFERROR(__xludf.DUMMYFUNCTION("""COMPUTED_VALUE"""),60)</f>
        <v>60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IFERROR(__xludf.DUMMYFUNCTION("""COMPUTED_VALUE"""),"T153")</f>
        <v>T153</v>
      </c>
      <c r="C148" t="str">
        <f ca="1">IFERROR(__xludf.DUMMYFUNCTION("""COMPUTED_VALUE"""),"Ryan Brehm")</f>
        <v>Ryan Brehm</v>
      </c>
      <c r="D148">
        <f ca="1">IFERROR(__xludf.DUMMYFUNCTION("""COMPUTED_VALUE"""),10)</f>
        <v>10</v>
      </c>
      <c r="E148">
        <f ca="1">IFERROR(__xludf.DUMMYFUNCTION("""COMPUTED_VALUE"""),56.6)</f>
        <v>56.6</v>
      </c>
      <c r="F148">
        <f ca="1">IFERROR(__xludf.DUMMYFUNCTION("""COMPUTED_VALUE"""),30)</f>
        <v>30</v>
      </c>
      <c r="G148">
        <f ca="1">IFERROR(__xludf.DUMMYFUNCTION("""COMPUTED_VALUE"""),53)</f>
        <v>53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IFERROR(__xludf.DUMMYFUNCTION("""COMPUTED_VALUE"""),"T153")</f>
        <v>T153</v>
      </c>
      <c r="C149" t="str">
        <f ca="1">IFERROR(__xludf.DUMMYFUNCTION("""COMPUTED_VALUE"""),"Sangmoon Bae")</f>
        <v>Sangmoon Bae</v>
      </c>
      <c r="D149">
        <f ca="1">IFERROR(__xludf.DUMMYFUNCTION("""COMPUTED_VALUE"""),8)</f>
        <v>8</v>
      </c>
      <c r="E149">
        <f ca="1">IFERROR(__xludf.DUMMYFUNCTION("""COMPUTED_VALUE"""),56.6)</f>
        <v>56.6</v>
      </c>
      <c r="F149">
        <f ca="1">IFERROR(__xludf.DUMMYFUNCTION("""COMPUTED_VALUE"""),30)</f>
        <v>30</v>
      </c>
      <c r="G149">
        <f ca="1">IFERROR(__xludf.DUMMYFUNCTION("""COMPUTED_VALUE"""),53)</f>
        <v>53</v>
      </c>
    </row>
    <row r="150" spans="1:7" ht="12.75">
      <c r="A150" t="str">
        <f ca="1">IFERROR(__xludf.DUMMYFUNCTION("""COMPUTED_VALUE"""),"T147")</f>
        <v>T147</v>
      </c>
      <c r="B150">
        <f ca="1">IFERROR(__xludf.DUMMYFUNCTION("""COMPUTED_VALUE"""),181)</f>
        <v>181</v>
      </c>
      <c r="C150" t="str">
        <f ca="1">IFERROR(__xludf.DUMMYFUNCTION("""COMPUTED_VALUE"""),"Lee Westwood")</f>
        <v>Lee Westwood</v>
      </c>
      <c r="D150">
        <f ca="1">IFERROR(__xludf.DUMMYFUNCTION("""COMPUTED_VALUE"""),6)</f>
        <v>6</v>
      </c>
      <c r="E150">
        <f ca="1">IFERROR(__xludf.DUMMYFUNCTION("""COMPUTED_VALUE"""),56.6)</f>
        <v>56.6</v>
      </c>
      <c r="F150">
        <f ca="1">IFERROR(__xludf.DUMMYFUNCTION("""COMPUTED_VALUE"""),30)</f>
        <v>30</v>
      </c>
      <c r="G150">
        <f ca="1">IFERROR(__xludf.DUMMYFUNCTION("""COMPUTED_VALUE"""),53)</f>
        <v>53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IFERROR(__xludf.DUMMYFUNCTION("""COMPUTED_VALUE"""),155)</f>
        <v>155</v>
      </c>
      <c r="C151" t="str">
        <f ca="1">IFERROR(__xludf.DUMMYFUNCTION("""COMPUTED_VALUE"""),"Cameron Champ")</f>
        <v>Cameron Champ</v>
      </c>
      <c r="D151">
        <f ca="1">IFERROR(__xludf.DUMMYFUNCTION("""COMPUTED_VALUE"""),12)</f>
        <v>12</v>
      </c>
      <c r="E151">
        <f ca="1">IFERROR(__xludf.DUMMYFUNCTION("""COMPUTED_VALUE"""),56.58)</f>
        <v>56.58</v>
      </c>
      <c r="F151">
        <f ca="1">IFERROR(__xludf.DUMMYFUNCTION("""COMPUTED_VALUE"""),43)</f>
        <v>43</v>
      </c>
      <c r="G151">
        <f ca="1">IFERROR(__xludf.DUMMYFUNCTION("""COMPUTED_VALUE"""),76)</f>
        <v>76</v>
      </c>
    </row>
    <row r="152" spans="1:7" ht="12.75">
      <c r="A152" t="str">
        <f ca="1">IFERROR(__xludf.DUMMYFUNCTION("""COMPUTED_VALUE"""),"T151")</f>
        <v>T151</v>
      </c>
      <c r="B152" t="str">
        <f ca="1">IFERROR(__xludf.DUMMYFUNCTION("""COMPUTED_VALUE"""),"T156")</f>
        <v>T156</v>
      </c>
      <c r="C152" t="str">
        <f ca="1">IFERROR(__xludf.DUMMYFUNCTION("""COMPUTED_VALUE"""),"Joohyung Kim")</f>
        <v>Joohyung Kim</v>
      </c>
      <c r="D152">
        <f ca="1">IFERROR(__xludf.DUMMYFUNCTION("""COMPUTED_VALUE"""),12)</f>
        <v>12</v>
      </c>
      <c r="E152">
        <f ca="1">IFERROR(__xludf.DUMMYFUNCTION("""COMPUTED_VALUE"""),56.52)</f>
        <v>56.52</v>
      </c>
      <c r="F152">
        <f ca="1">IFERROR(__xludf.DUMMYFUNCTION("""COMPUTED_VALUE"""),39)</f>
        <v>39</v>
      </c>
      <c r="G152">
        <f ca="1">IFERROR(__xludf.DUMMYFUNCTION("""COMPUTED_VALUE"""),69)</f>
        <v>69</v>
      </c>
    </row>
    <row r="153" spans="1:7" ht="12.75">
      <c r="A153" t="str">
        <f ca="1">IFERROR(__xludf.DUMMYFUNCTION("""COMPUTED_VALUE"""),"T151")</f>
        <v>T151</v>
      </c>
      <c r="B153">
        <f ca="1">IFERROR(__xludf.DUMMYFUNCTION("""COMPUTED_VALUE"""),192)</f>
        <v>192</v>
      </c>
      <c r="C153" t="str">
        <f ca="1">IFERROR(__xludf.DUMMYFUNCTION("""COMPUTED_VALUE"""),"Corey Conners")</f>
        <v>Corey Conners</v>
      </c>
      <c r="D153">
        <f ca="1">IFERROR(__xludf.DUMMYFUNCTION("""COMPUTED_VALUE"""),20)</f>
        <v>20</v>
      </c>
      <c r="E153">
        <f ca="1">IFERROR(__xludf.DUMMYFUNCTION("""COMPUTED_VALUE"""),56.52)</f>
        <v>56.52</v>
      </c>
      <c r="F153">
        <f ca="1">IFERROR(__xludf.DUMMYFUNCTION("""COMPUTED_VALUE"""),65)</f>
        <v>65</v>
      </c>
      <c r="G153">
        <f ca="1">IFERROR(__xludf.DUMMYFUNCTION("""COMPUTED_VALUE"""),115)</f>
        <v>115</v>
      </c>
    </row>
    <row r="154" spans="1:7" ht="12.75">
      <c r="A154" t="str">
        <f ca="1">IFERROR(__xludf.DUMMYFUNCTION("""COMPUTED_VALUE"""),"T151")</f>
        <v>T151</v>
      </c>
      <c r="B154" t="str">
        <f ca="1">IFERROR(__xludf.DUMMYFUNCTION("""COMPUTED_VALUE"""),"T156")</f>
        <v>T156</v>
      </c>
      <c r="C154" t="str">
        <f ca="1">IFERROR(__xludf.DUMMYFUNCTION("""COMPUTED_VALUE"""),"Willy Pumarol")</f>
        <v>Willy Pumarol</v>
      </c>
      <c r="D154">
        <f ca="1">IFERROR(__xludf.DUMMYFUNCTION("""COMPUTED_VALUE"""),4)</f>
        <v>4</v>
      </c>
      <c r="E154">
        <f ca="1">IFERROR(__xludf.DUMMYFUNCTION("""COMPUTED_VALUE"""),56.52)</f>
        <v>56.52</v>
      </c>
      <c r="F154">
        <f ca="1">IFERROR(__xludf.DUMMYFUNCTION("""COMPUTED_VALUE"""),13)</f>
        <v>13</v>
      </c>
      <c r="G154">
        <f ca="1">IFERROR(__xludf.DUMMYFUNCTION("""COMPUTED_VALUE"""),23)</f>
        <v>23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IFERROR(__xludf.DUMMYFUNCTION("""COMPUTED_VALUE"""),158)</f>
        <v>158</v>
      </c>
      <c r="C155" t="str">
        <f ca="1">IFERROR(__xludf.DUMMYFUNCTION("""COMPUTED_VALUE"""),"Jon Rahm")</f>
        <v>Jon Rahm</v>
      </c>
      <c r="D155">
        <f ca="1">IFERROR(__xludf.DUMMYFUNCTION("""COMPUTED_VALUE"""),12)</f>
        <v>12</v>
      </c>
      <c r="E155">
        <f ca="1">IFERROR(__xludf.DUMMYFUNCTION("""COMPUTED_VALUE"""),56.45)</f>
        <v>56.45</v>
      </c>
      <c r="F155">
        <f ca="1">IFERROR(__xludf.DUMMYFUNCTION("""COMPUTED_VALUE"""),35)</f>
        <v>35</v>
      </c>
      <c r="G155">
        <f ca="1">IFERROR(__xludf.DUMMYFUNCTION("""COMPUTED_VALUE"""),62)</f>
        <v>62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IFERROR(__xludf.DUMMYFUNCTION("""COMPUTED_VALUE"""),159)</f>
        <v>159</v>
      </c>
      <c r="C156" t="str">
        <f ca="1">IFERROR(__xludf.DUMMYFUNCTION("""COMPUTED_VALUE"""),"Jim Herman")</f>
        <v>Jim Herman</v>
      </c>
      <c r="D156">
        <f ca="1">IFERROR(__xludf.DUMMYFUNCTION("""COMPUTED_VALUE"""),12)</f>
        <v>12</v>
      </c>
      <c r="E156">
        <f ca="1">IFERROR(__xludf.DUMMYFUNCTION("""COMPUTED_VALUE"""),56.41)</f>
        <v>56.41</v>
      </c>
      <c r="F156">
        <f ca="1">IFERROR(__xludf.DUMMYFUNCTION("""COMPUTED_VALUE"""),44)</f>
        <v>44</v>
      </c>
      <c r="G156">
        <f ca="1">IFERROR(__xludf.DUMMYFUNCTION("""COMPUTED_VALUE"""),78)</f>
        <v>78</v>
      </c>
    </row>
    <row r="157" spans="1:7" ht="12.75">
      <c r="A157">
        <f ca="1">IFERROR(__xludf.DUMMYFUNCTION("""COMPUTED_VALUE"""),156)</f>
        <v>156</v>
      </c>
      <c r="B157">
        <f ca="1">IFERROR(__xludf.DUMMYFUNCTION("""COMPUTED_VALUE"""),117)</f>
        <v>117</v>
      </c>
      <c r="C157" t="str">
        <f ca="1">IFERROR(__xludf.DUMMYFUNCTION("""COMPUTED_VALUE"""),"Mark Hubbard")</f>
        <v>Mark Hubbard</v>
      </c>
      <c r="D157">
        <f ca="1">IFERROR(__xludf.DUMMYFUNCTION("""COMPUTED_VALUE"""),20)</f>
        <v>20</v>
      </c>
      <c r="E157">
        <f ca="1">IFERROR(__xludf.DUMMYFUNCTION("""COMPUTED_VALUE"""),56.2)</f>
        <v>56.2</v>
      </c>
      <c r="F157">
        <f ca="1">IFERROR(__xludf.DUMMYFUNCTION("""COMPUTED_VALUE"""),77)</f>
        <v>77</v>
      </c>
      <c r="G157">
        <f ca="1">IFERROR(__xludf.DUMMYFUNCTION("""COMPUTED_VALUE"""),137)</f>
        <v>137</v>
      </c>
    </row>
    <row r="158" spans="1:7" ht="12.75">
      <c r="A158">
        <f ca="1">IFERROR(__xludf.DUMMYFUNCTION("""COMPUTED_VALUE"""),157)</f>
        <v>157</v>
      </c>
      <c r="B158">
        <f ca="1">IFERROR(__xludf.DUMMYFUNCTION("""COMPUTED_VALUE"""),162)</f>
        <v>162</v>
      </c>
      <c r="C158" t="str">
        <f ca="1">IFERROR(__xludf.DUMMYFUNCTION("""COMPUTED_VALUE"""),"Brendan Steele")</f>
        <v>Brendan Steele</v>
      </c>
      <c r="D158">
        <f ca="1">IFERROR(__xludf.DUMMYFUNCTION("""COMPUTED_VALUE"""),14)</f>
        <v>14</v>
      </c>
      <c r="E158">
        <f ca="1">IFERROR(__xludf.DUMMYFUNCTION("""COMPUTED_VALUE"""),56.16)</f>
        <v>56.16</v>
      </c>
      <c r="F158">
        <f ca="1">IFERROR(__xludf.DUMMYFUNCTION("""COMPUTED_VALUE"""),41)</f>
        <v>41</v>
      </c>
      <c r="G158">
        <f ca="1">IFERROR(__xludf.DUMMYFUNCTION("""COMPUTED_VALUE"""),73)</f>
        <v>73</v>
      </c>
    </row>
    <row r="159" spans="1:7" ht="12.75">
      <c r="A159" t="str">
        <f ca="1">IFERROR(__xludf.DUMMYFUNCTION("""COMPUTED_VALUE"""),"T158")</f>
        <v>T158</v>
      </c>
      <c r="B159" t="str">
        <f ca="1">IFERROR(__xludf.DUMMYFUNCTION("""COMPUTED_VALUE"""),"T163")</f>
        <v>T163</v>
      </c>
      <c r="C159" t="str">
        <f ca="1">IFERROR(__xludf.DUMMYFUNCTION("""COMPUTED_VALUE"""),"Johnson Wagner")</f>
        <v>Johnson Wagner</v>
      </c>
      <c r="D159">
        <f ca="1">IFERROR(__xludf.DUMMYFUNCTION("""COMPUTED_VALUE"""),8)</f>
        <v>8</v>
      </c>
      <c r="E159">
        <f ca="1">IFERROR(__xludf.DUMMYFUNCTION("""COMPUTED_VALUE"""),56)</f>
        <v>56</v>
      </c>
      <c r="F159">
        <f ca="1">IFERROR(__xludf.DUMMYFUNCTION("""COMPUTED_VALUE"""),28)</f>
        <v>28</v>
      </c>
      <c r="G159">
        <f ca="1">IFERROR(__xludf.DUMMYFUNCTION("""COMPUTED_VALUE"""),50)</f>
        <v>50</v>
      </c>
    </row>
    <row r="160" spans="1:7" ht="12.75">
      <c r="A160" t="str">
        <f ca="1">IFERROR(__xludf.DUMMYFUNCTION("""COMPUTED_VALUE"""),"T158")</f>
        <v>T158</v>
      </c>
      <c r="B160" t="str">
        <f ca="1">IFERROR(__xludf.DUMMYFUNCTION("""COMPUTED_VALUE"""),"T163")</f>
        <v>T163</v>
      </c>
      <c r="C160" t="str">
        <f ca="1">IFERROR(__xludf.DUMMYFUNCTION("""COMPUTED_VALUE"""),"Robert Streb")</f>
        <v>Robert Streb</v>
      </c>
      <c r="D160">
        <f ca="1">IFERROR(__xludf.DUMMYFUNCTION("""COMPUTED_VALUE"""),12)</f>
        <v>12</v>
      </c>
      <c r="E160">
        <f ca="1">IFERROR(__xludf.DUMMYFUNCTION("""COMPUTED_VALUE"""),56)</f>
        <v>56</v>
      </c>
      <c r="F160">
        <f ca="1">IFERROR(__xludf.DUMMYFUNCTION("""COMPUTED_VALUE"""),42)</f>
        <v>42</v>
      </c>
      <c r="G160">
        <f ca="1">IFERROR(__xludf.DUMMYFUNCTION("""COMPUTED_VALUE"""),75)</f>
        <v>75</v>
      </c>
    </row>
    <row r="161" spans="1:7" ht="12.75">
      <c r="A161" t="str">
        <f ca="1">IFERROR(__xludf.DUMMYFUNCTION("""COMPUTED_VALUE"""),"T160")</f>
        <v>T160</v>
      </c>
      <c r="B161">
        <f ca="1">IFERROR(__xludf.DUMMYFUNCTION("""COMPUTED_VALUE"""),160)</f>
        <v>160</v>
      </c>
      <c r="C161" t="str">
        <f ca="1">IFERROR(__xludf.DUMMYFUNCTION("""COMPUTED_VALUE"""),"Hudson Swafford")</f>
        <v>Hudson Swafford</v>
      </c>
      <c r="D161">
        <f ca="1">IFERROR(__xludf.DUMMYFUNCTION("""COMPUTED_VALUE"""),18)</f>
        <v>18</v>
      </c>
      <c r="E161">
        <f ca="1">IFERROR(__xludf.DUMMYFUNCTION("""COMPUTED_VALUE"""),55.88)</f>
        <v>55.88</v>
      </c>
      <c r="F161">
        <f ca="1">IFERROR(__xludf.DUMMYFUNCTION("""COMPUTED_VALUE"""),57)</f>
        <v>57</v>
      </c>
      <c r="G161">
        <f ca="1">IFERROR(__xludf.DUMMYFUNCTION("""COMPUTED_VALUE"""),102)</f>
        <v>102</v>
      </c>
    </row>
    <row r="162" spans="1:7" ht="12.75">
      <c r="A162" t="str">
        <f ca="1">IFERROR(__xludf.DUMMYFUNCTION("""COMPUTED_VALUE"""),"T160")</f>
        <v>T160</v>
      </c>
      <c r="B162" t="str">
        <f ca="1">IFERROR(__xludf.DUMMYFUNCTION("""COMPUTED_VALUE"""),"T167")</f>
        <v>T167</v>
      </c>
      <c r="C162" t="str">
        <f ca="1">IFERROR(__xludf.DUMMYFUNCTION("""COMPUTED_VALUE"""),"K.J. Choi")</f>
        <v>K.J. Choi</v>
      </c>
      <c r="D162">
        <f ca="1">IFERROR(__xludf.DUMMYFUNCTION("""COMPUTED_VALUE"""),6)</f>
        <v>6</v>
      </c>
      <c r="E162">
        <f ca="1">IFERROR(__xludf.DUMMYFUNCTION("""COMPUTED_VALUE"""),55.88)</f>
        <v>55.88</v>
      </c>
      <c r="F162">
        <f ca="1">IFERROR(__xludf.DUMMYFUNCTION("""COMPUTED_VALUE"""),19)</f>
        <v>19</v>
      </c>
      <c r="G162">
        <f ca="1">IFERROR(__xludf.DUMMYFUNCTION("""COMPUTED_VALUE"""),34)</f>
        <v>34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IFERROR(__xludf.DUMMYFUNCTION("""COMPUTED_VALUE"""),166)</f>
        <v>166</v>
      </c>
      <c r="C163" t="str">
        <f ca="1">IFERROR(__xludf.DUMMYFUNCTION("""COMPUTED_VALUE"""),"Max Homa")</f>
        <v>Max Homa</v>
      </c>
      <c r="D163">
        <f ca="1">IFERROR(__xludf.DUMMYFUNCTION("""COMPUTED_VALUE"""),12)</f>
        <v>12</v>
      </c>
      <c r="E163">
        <f ca="1">IFERROR(__xludf.DUMMYFUNCTION("""COMPUTED_VALUE"""),55.81)</f>
        <v>55.81</v>
      </c>
      <c r="F163">
        <f ca="1">IFERROR(__xludf.DUMMYFUNCTION("""COMPUTED_VALUE"""),48)</f>
        <v>48</v>
      </c>
      <c r="G163">
        <f ca="1">IFERROR(__xludf.DUMMYFUNCTION("""COMPUTED_VALUE"""),86)</f>
        <v>86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IFERROR(__xludf.DUMMYFUNCTION("""COMPUTED_VALUE"""),"T171")</f>
        <v>T171</v>
      </c>
      <c r="C164" t="str">
        <f ca="1">IFERROR(__xludf.DUMMYFUNCTION("""COMPUTED_VALUE"""),"Robert Garrigus")</f>
        <v>Robert Garrigus</v>
      </c>
      <c r="D164">
        <f ca="1">IFERROR(__xludf.DUMMYFUNCTION("""COMPUTED_VALUE"""),3)</f>
        <v>3</v>
      </c>
      <c r="E164">
        <f ca="1">IFERROR(__xludf.DUMMYFUNCTION("""COMPUTED_VALUE"""),55.56)</f>
        <v>55.56</v>
      </c>
      <c r="F164">
        <f ca="1">IFERROR(__xludf.DUMMYFUNCTION("""COMPUTED_VALUE"""),10)</f>
        <v>10</v>
      </c>
      <c r="G164">
        <f ca="1">IFERROR(__xludf.DUMMYFUNCTION("""COMPUTED_VALUE"""),18)</f>
        <v>18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IFERROR(__xludf.DUMMYFUNCTION("""COMPUTED_VALUE"""),"T171")</f>
        <v>T171</v>
      </c>
      <c r="C165" t="str">
        <f ca="1">IFERROR(__xludf.DUMMYFUNCTION("""COMPUTED_VALUE"""),"Paul Casey")</f>
        <v>Paul Casey</v>
      </c>
      <c r="D165">
        <f ca="1">IFERROR(__xludf.DUMMYFUNCTION("""COMPUTED_VALUE"""),14)</f>
        <v>14</v>
      </c>
      <c r="E165">
        <f ca="1">IFERROR(__xludf.DUMMYFUNCTION("""COMPUTED_VALUE"""),55.56)</f>
        <v>55.56</v>
      </c>
      <c r="F165">
        <f ca="1">IFERROR(__xludf.DUMMYFUNCTION("""COMPUTED_VALUE"""),50)</f>
        <v>50</v>
      </c>
      <c r="G165">
        <f ca="1">IFERROR(__xludf.DUMMYFUNCTION("""COMPUTED_VALUE"""),90)</f>
        <v>90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IFERROR(__xludf.DUMMYFUNCTION("""COMPUTED_VALUE"""),173)</f>
        <v>173</v>
      </c>
      <c r="C166" t="str">
        <f ca="1">IFERROR(__xludf.DUMMYFUNCTION("""COMPUTED_VALUE"""),"Adam Hadwin")</f>
        <v>Adam Hadwin</v>
      </c>
      <c r="D166">
        <f ca="1">IFERROR(__xludf.DUMMYFUNCTION("""COMPUTED_VALUE"""),16)</f>
        <v>16</v>
      </c>
      <c r="E166">
        <f ca="1">IFERROR(__xludf.DUMMYFUNCTION("""COMPUTED_VALUE"""),55.45)</f>
        <v>55.45</v>
      </c>
      <c r="F166">
        <f ca="1">IFERROR(__xludf.DUMMYFUNCTION("""COMPUTED_VALUE"""),61)</f>
        <v>61</v>
      </c>
      <c r="G166">
        <f ca="1">IFERROR(__xludf.DUMMYFUNCTION("""COMPUTED_VALUE"""),110)</f>
        <v>110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IFERROR(__xludf.DUMMYFUNCTION("""COMPUTED_VALUE"""),108)</f>
        <v>108</v>
      </c>
      <c r="C167" t="str">
        <f ca="1">IFERROR(__xludf.DUMMYFUNCTION("""COMPUTED_VALUE"""),"Jason Dufner")</f>
        <v>Jason Dufner</v>
      </c>
      <c r="D167">
        <f ca="1">IFERROR(__xludf.DUMMYFUNCTION("""COMPUTED_VALUE"""),14)</f>
        <v>14</v>
      </c>
      <c r="E167">
        <f ca="1">IFERROR(__xludf.DUMMYFUNCTION("""COMPUTED_VALUE"""),55.29)</f>
        <v>55.29</v>
      </c>
      <c r="F167">
        <f ca="1">IFERROR(__xludf.DUMMYFUNCTION("""COMPUTED_VALUE"""),47)</f>
        <v>47</v>
      </c>
      <c r="G167">
        <f ca="1">IFERROR(__xludf.DUMMYFUNCTION("""COMPUTED_VALUE"""),85)</f>
        <v>85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IFERROR(__xludf.DUMMYFUNCTION("""COMPUTED_VALUE"""),175)</f>
        <v>175</v>
      </c>
      <c r="C168" t="str">
        <f ca="1">IFERROR(__xludf.DUMMYFUNCTION("""COMPUTED_VALUE"""),"Parker McLachlin")</f>
        <v>Parker McLachlin</v>
      </c>
      <c r="D168">
        <f ca="1">IFERROR(__xludf.DUMMYFUNCTION("""COMPUTED_VALUE"""),4)</f>
        <v>4</v>
      </c>
      <c r="E168">
        <f ca="1">IFERROR(__xludf.DUMMYFUNCTION("""COMPUTED_VALUE"""),55.26)</f>
        <v>55.26</v>
      </c>
      <c r="F168">
        <f ca="1">IFERROR(__xludf.DUMMYFUNCTION("""COMPUTED_VALUE"""),21)</f>
        <v>21</v>
      </c>
      <c r="G168">
        <f ca="1">IFERROR(__xludf.DUMMYFUNCTION("""COMPUTED_VALUE"""),38)</f>
        <v>38</v>
      </c>
    </row>
    <row r="169" spans="1:7" ht="12.75">
      <c r="A169" t="str">
        <f ca="1">IFERROR(__xludf.DUMMYFUNCTION("""COMPUTED_VALUE"""),"T168")</f>
        <v>T168</v>
      </c>
      <c r="B169" t="str">
        <f ca="1">IFERROR(__xludf.DUMMYFUNCTION("""COMPUTED_VALUE"""),"T199")</f>
        <v>T199</v>
      </c>
      <c r="C169" t="str">
        <f ca="1">IFERROR(__xludf.DUMMYFUNCTION("""COMPUTED_VALUE"""),"Hunter Mahan")</f>
        <v>Hunter Mahan</v>
      </c>
      <c r="D169">
        <f ca="1">IFERROR(__xludf.DUMMYFUNCTION("""COMPUTED_VALUE"""),14)</f>
        <v>14</v>
      </c>
      <c r="E169">
        <f ca="1">IFERROR(__xludf.DUMMYFUNCTION("""COMPUTED_VALUE"""),55)</f>
        <v>55</v>
      </c>
      <c r="F169">
        <f ca="1">IFERROR(__xludf.DUMMYFUNCTION("""COMPUTED_VALUE"""),55)</f>
        <v>55</v>
      </c>
      <c r="G169">
        <f ca="1">IFERROR(__xludf.DUMMYFUNCTION("""COMPUTED_VALUE"""),100)</f>
        <v>100</v>
      </c>
    </row>
    <row r="170" spans="1:7" ht="12.75">
      <c r="A170" t="str">
        <f ca="1">IFERROR(__xludf.DUMMYFUNCTION("""COMPUTED_VALUE"""),"T168")</f>
        <v>T168</v>
      </c>
      <c r="B170">
        <f ca="1">IFERROR(__xludf.DUMMYFUNCTION("""COMPUTED_VALUE"""),169)</f>
        <v>169</v>
      </c>
      <c r="C170" t="str">
        <f ca="1">IFERROR(__xludf.DUMMYFUNCTION("""COMPUTED_VALUE"""),"Scottie Scheffler")</f>
        <v>Scottie Scheffler</v>
      </c>
      <c r="D170">
        <f ca="1">IFERROR(__xludf.DUMMYFUNCTION("""COMPUTED_VALUE"""),18)</f>
        <v>18</v>
      </c>
      <c r="E170">
        <f ca="1">IFERROR(__xludf.DUMMYFUNCTION("""COMPUTED_VALUE"""),55)</f>
        <v>55</v>
      </c>
      <c r="F170">
        <f ca="1">IFERROR(__xludf.DUMMYFUNCTION("""COMPUTED_VALUE"""),55)</f>
        <v>55</v>
      </c>
      <c r="G170">
        <f ca="1">IFERROR(__xludf.DUMMYFUNCTION("""COMPUTED_VALUE"""),100)</f>
        <v>100</v>
      </c>
    </row>
    <row r="171" spans="1:7" ht="12.75">
      <c r="A171" t="str">
        <f ca="1">IFERROR(__xludf.DUMMYFUNCTION("""COMPUTED_VALUE"""),"T168")</f>
        <v>T168</v>
      </c>
      <c r="B171">
        <f ca="1">IFERROR(__xludf.DUMMYFUNCTION("""COMPUTED_VALUE"""),176)</f>
        <v>176</v>
      </c>
      <c r="C171" t="str">
        <f ca="1">IFERROR(__xludf.DUMMYFUNCTION("""COMPUTED_VALUE"""),"George Markham")</f>
        <v>George Markham</v>
      </c>
      <c r="D171">
        <f ca="1">IFERROR(__xludf.DUMMYFUNCTION("""COMPUTED_VALUE"""),4)</f>
        <v>4</v>
      </c>
      <c r="E171">
        <f ca="1">IFERROR(__xludf.DUMMYFUNCTION("""COMPUTED_VALUE"""),55)</f>
        <v>55</v>
      </c>
      <c r="F171">
        <f ca="1">IFERROR(__xludf.DUMMYFUNCTION("""COMPUTED_VALUE"""),11)</f>
        <v>11</v>
      </c>
      <c r="G171">
        <f ca="1">IFERROR(__xludf.DUMMYFUNCTION("""COMPUTED_VALUE"""),20)</f>
        <v>20</v>
      </c>
    </row>
    <row r="172" spans="1:7" ht="12.75">
      <c r="A172">
        <f ca="1">IFERROR(__xludf.DUMMYFUNCTION("""COMPUTED_VALUE"""),171)</f>
        <v>171</v>
      </c>
      <c r="B172">
        <f ca="1">IFERROR(__xludf.DUMMYFUNCTION("""COMPUTED_VALUE"""),177)</f>
        <v>177</v>
      </c>
      <c r="C172" t="str">
        <f ca="1">IFERROR(__xludf.DUMMYFUNCTION("""COMPUTED_VALUE"""),"Ryan Palmer")</f>
        <v>Ryan Palmer</v>
      </c>
      <c r="D172">
        <f ca="1">IFERROR(__xludf.DUMMYFUNCTION("""COMPUTED_VALUE"""),14)</f>
        <v>14</v>
      </c>
      <c r="E172">
        <f ca="1">IFERROR(__xludf.DUMMYFUNCTION("""COMPUTED_VALUE"""),54.93)</f>
        <v>54.93</v>
      </c>
      <c r="F172">
        <f ca="1">IFERROR(__xludf.DUMMYFUNCTION("""COMPUTED_VALUE"""),39)</f>
        <v>39</v>
      </c>
      <c r="G172">
        <f ca="1">IFERROR(__xludf.DUMMYFUNCTION("""COMPUTED_VALUE"""),71)</f>
        <v>71</v>
      </c>
    </row>
    <row r="173" spans="1:7" ht="12.75">
      <c r="A173" t="str">
        <f ca="1">IFERROR(__xludf.DUMMYFUNCTION("""COMPUTED_VALUE"""),"T172")</f>
        <v>T172</v>
      </c>
      <c r="B173">
        <f ca="1">IFERROR(__xludf.DUMMYFUNCTION("""COMPUTED_VALUE"""),264)</f>
        <v>264</v>
      </c>
      <c r="C173" t="str">
        <f ca="1">IFERROR(__xludf.DUMMYFUNCTION("""COMPUTED_VALUE"""),"Graeme McDowell")</f>
        <v>Graeme McDowell</v>
      </c>
      <c r="D173">
        <f ca="1">IFERROR(__xludf.DUMMYFUNCTION("""COMPUTED_VALUE"""),8)</f>
        <v>8</v>
      </c>
      <c r="E173">
        <f ca="1">IFERROR(__xludf.DUMMYFUNCTION("""COMPUTED_VALUE"""),54.84)</f>
        <v>54.84</v>
      </c>
      <c r="F173">
        <f ca="1">IFERROR(__xludf.DUMMYFUNCTION("""COMPUTED_VALUE"""),34)</f>
        <v>34</v>
      </c>
      <c r="G173">
        <f ca="1">IFERROR(__xludf.DUMMYFUNCTION("""COMPUTED_VALUE"""),62)</f>
        <v>62</v>
      </c>
    </row>
    <row r="174" spans="1:7" ht="12.75">
      <c r="A174" t="str">
        <f ca="1">IFERROR(__xludf.DUMMYFUNCTION("""COMPUTED_VALUE"""),"T172")</f>
        <v>T172</v>
      </c>
      <c r="B174">
        <f ca="1">IFERROR(__xludf.DUMMYFUNCTION("""COMPUTED_VALUE"""),178)</f>
        <v>178</v>
      </c>
      <c r="C174" t="str">
        <f ca="1">IFERROR(__xludf.DUMMYFUNCTION("""COMPUTED_VALUE"""),"Kurt Kitayama")</f>
        <v>Kurt Kitayama</v>
      </c>
      <c r="D174">
        <f ca="1">IFERROR(__xludf.DUMMYFUNCTION("""COMPUTED_VALUE"""),4)</f>
        <v>4</v>
      </c>
      <c r="E174">
        <f ca="1">IFERROR(__xludf.DUMMYFUNCTION("""COMPUTED_VALUE"""),54.84)</f>
        <v>54.84</v>
      </c>
      <c r="F174">
        <f ca="1">IFERROR(__xludf.DUMMYFUNCTION("""COMPUTED_VALUE"""),17)</f>
        <v>17</v>
      </c>
      <c r="G174">
        <f ca="1">IFERROR(__xludf.DUMMYFUNCTION("""COMPUTED_VALUE"""),31)</f>
        <v>31</v>
      </c>
    </row>
    <row r="175" spans="1:7" ht="12.75">
      <c r="A175" t="str">
        <f ca="1">IFERROR(__xludf.DUMMYFUNCTION("""COMPUTED_VALUE"""),"T174")</f>
        <v>T174</v>
      </c>
      <c r="B175">
        <f ca="1">IFERROR(__xludf.DUMMYFUNCTION("""COMPUTED_VALUE"""),141)</f>
        <v>141</v>
      </c>
      <c r="C175" t="str">
        <f ca="1">IFERROR(__xludf.DUMMYFUNCTION("""COMPUTED_VALUE"""),"Kramer Hickok")</f>
        <v>Kramer Hickok</v>
      </c>
      <c r="D175">
        <f ca="1">IFERROR(__xludf.DUMMYFUNCTION("""COMPUTED_VALUE"""),16)</f>
        <v>16</v>
      </c>
      <c r="E175">
        <f ca="1">IFERROR(__xludf.DUMMYFUNCTION("""COMPUTED_VALUE"""),54.76)</f>
        <v>54.76</v>
      </c>
      <c r="F175">
        <f ca="1">IFERROR(__xludf.DUMMYFUNCTION("""COMPUTED_VALUE"""),46)</f>
        <v>46</v>
      </c>
      <c r="G175">
        <f ca="1">IFERROR(__xludf.DUMMYFUNCTION("""COMPUTED_VALUE"""),84)</f>
        <v>84</v>
      </c>
    </row>
    <row r="176" spans="1:7" ht="12.75">
      <c r="A176" t="str">
        <f ca="1">IFERROR(__xludf.DUMMYFUNCTION("""COMPUTED_VALUE"""),"T174")</f>
        <v>T174</v>
      </c>
      <c r="B176">
        <f ca="1">IFERROR(__xludf.DUMMYFUNCTION("""COMPUTED_VALUE"""),179)</f>
        <v>179</v>
      </c>
      <c r="C176" t="str">
        <f ca="1">IFERROR(__xludf.DUMMYFUNCTION("""COMPUTED_VALUE"""),"Wesley Bryan")</f>
        <v>Wesley Bryan</v>
      </c>
      <c r="D176">
        <f ca="1">IFERROR(__xludf.DUMMYFUNCTION("""COMPUTED_VALUE"""),8)</f>
        <v>8</v>
      </c>
      <c r="E176">
        <f ca="1">IFERROR(__xludf.DUMMYFUNCTION("""COMPUTED_VALUE"""),54.76)</f>
        <v>54.76</v>
      </c>
      <c r="F176">
        <f ca="1">IFERROR(__xludf.DUMMYFUNCTION("""COMPUTED_VALUE"""),23)</f>
        <v>23</v>
      </c>
      <c r="G176">
        <f ca="1">IFERROR(__xludf.DUMMYFUNCTION("""COMPUTED_VALUE"""),42)</f>
        <v>42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IFERROR(__xludf.DUMMYFUNCTION("""COMPUTED_VALUE"""),83)</f>
        <v>83</v>
      </c>
      <c r="C177" t="str">
        <f ca="1">IFERROR(__xludf.DUMMYFUNCTION("""COMPUTED_VALUE"""),"Keith Mitchell")</f>
        <v>Keith Mitchell</v>
      </c>
      <c r="D177">
        <f ca="1">IFERROR(__xludf.DUMMYFUNCTION("""COMPUTED_VALUE"""),14)</f>
        <v>14</v>
      </c>
      <c r="E177">
        <f ca="1">IFERROR(__xludf.DUMMYFUNCTION("""COMPUTED_VALUE"""),54.55)</f>
        <v>54.55</v>
      </c>
      <c r="F177">
        <f ca="1">IFERROR(__xludf.DUMMYFUNCTION("""COMPUTED_VALUE"""),48)</f>
        <v>48</v>
      </c>
      <c r="G177">
        <f ca="1">IFERROR(__xludf.DUMMYFUNCTION("""COMPUTED_VALUE"""),88)</f>
        <v>88</v>
      </c>
    </row>
    <row r="178" spans="1:7" ht="12.75">
      <c r="A178" t="str">
        <f ca="1">IFERROR(__xludf.DUMMYFUNCTION("""COMPUTED_VALUE"""),"T177")</f>
        <v>T177</v>
      </c>
      <c r="B178">
        <f ca="1">IFERROR(__xludf.DUMMYFUNCTION("""COMPUTED_VALUE"""),215)</f>
        <v>215</v>
      </c>
      <c r="C178" t="str">
        <f ca="1">IFERROR(__xludf.DUMMYFUNCTION("""COMPUTED_VALUE"""),"Patton Kizzire")</f>
        <v>Patton Kizzire</v>
      </c>
      <c r="D178">
        <f ca="1">IFERROR(__xludf.DUMMYFUNCTION("""COMPUTED_VALUE"""),18)</f>
        <v>18</v>
      </c>
      <c r="E178">
        <f ca="1">IFERROR(__xludf.DUMMYFUNCTION("""COMPUTED_VALUE"""),54.46)</f>
        <v>54.46</v>
      </c>
      <c r="F178">
        <f ca="1">IFERROR(__xludf.DUMMYFUNCTION("""COMPUTED_VALUE"""),55)</f>
        <v>55</v>
      </c>
      <c r="G178">
        <f ca="1">IFERROR(__xludf.DUMMYFUNCTION("""COMPUTED_VALUE"""),101)</f>
        <v>101</v>
      </c>
    </row>
    <row r="179" spans="1:7" ht="12.75">
      <c r="A179" t="str">
        <f ca="1">IFERROR(__xludf.DUMMYFUNCTION("""COMPUTED_VALUE"""),"T177")</f>
        <v>T177</v>
      </c>
      <c r="B179">
        <f ca="1">IFERROR(__xludf.DUMMYFUNCTION("""COMPUTED_VALUE"""),216)</f>
        <v>216</v>
      </c>
      <c r="C179" t="str">
        <f ca="1">IFERROR(__xludf.DUMMYFUNCTION("""COMPUTED_VALUE"""),"Jordan Spieth")</f>
        <v>Jordan Spieth</v>
      </c>
      <c r="D179">
        <f ca="1">IFERROR(__xludf.DUMMYFUNCTION("""COMPUTED_VALUE"""),14)</f>
        <v>14</v>
      </c>
      <c r="E179">
        <f ca="1">IFERROR(__xludf.DUMMYFUNCTION("""COMPUTED_VALUE"""),54.46)</f>
        <v>54.46</v>
      </c>
      <c r="F179">
        <f ca="1">IFERROR(__xludf.DUMMYFUNCTION("""COMPUTED_VALUE"""),55)</f>
        <v>55</v>
      </c>
      <c r="G179">
        <f ca="1">IFERROR(__xludf.DUMMYFUNCTION("""COMPUTED_VALUE"""),101)</f>
        <v>101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IFERROR(__xludf.DUMMYFUNCTION("""COMPUTED_VALUE"""),182)</f>
        <v>182</v>
      </c>
      <c r="C180" t="str">
        <f ca="1">IFERROR(__xludf.DUMMYFUNCTION("""COMPUTED_VALUE"""),"Rafael Campos")</f>
        <v>Rafael Campos</v>
      </c>
      <c r="D180">
        <f ca="1">IFERROR(__xludf.DUMMYFUNCTION("""COMPUTED_VALUE"""),6)</f>
        <v>6</v>
      </c>
      <c r="E180">
        <f ca="1">IFERROR(__xludf.DUMMYFUNCTION("""COMPUTED_VALUE"""),54.35)</f>
        <v>54.35</v>
      </c>
      <c r="F180">
        <f ca="1">IFERROR(__xludf.DUMMYFUNCTION("""COMPUTED_VALUE"""),25)</f>
        <v>25</v>
      </c>
      <c r="G180">
        <f ca="1">IFERROR(__xludf.DUMMYFUNCTION("""COMPUTED_VALUE"""),46)</f>
        <v>46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IFERROR(__xludf.DUMMYFUNCTION("""COMPUTED_VALUE"""),"T132")</f>
        <v>T132</v>
      </c>
      <c r="C181" t="str">
        <f ca="1">IFERROR(__xludf.DUMMYFUNCTION("""COMPUTED_VALUE"""),"Camilo Villegas")</f>
        <v>Camilo Villegas</v>
      </c>
      <c r="D181">
        <f ca="1">IFERROR(__xludf.DUMMYFUNCTION("""COMPUTED_VALUE"""),14)</f>
        <v>14</v>
      </c>
      <c r="E181">
        <f ca="1">IFERROR(__xludf.DUMMYFUNCTION("""COMPUTED_VALUE"""),54.29)</f>
        <v>54.29</v>
      </c>
      <c r="F181">
        <f ca="1">IFERROR(__xludf.DUMMYFUNCTION("""COMPUTED_VALUE"""),38)</f>
        <v>38</v>
      </c>
      <c r="G181">
        <f ca="1">IFERROR(__xludf.DUMMYFUNCTION("""COMPUTED_VALUE"""),70)</f>
        <v>70</v>
      </c>
    </row>
    <row r="182" spans="1:7" ht="12.75">
      <c r="A182" t="str">
        <f ca="1">IFERROR(__xludf.DUMMYFUNCTION("""COMPUTED_VALUE"""),"T181")</f>
        <v>T181</v>
      </c>
      <c r="B182">
        <f ca="1">IFERROR(__xludf.DUMMYFUNCTION("""COMPUTED_VALUE"""),184)</f>
        <v>184</v>
      </c>
      <c r="C182" t="str">
        <f ca="1">IFERROR(__xludf.DUMMYFUNCTION("""COMPUTED_VALUE"""),"Brian Gay")</f>
        <v>Brian Gay</v>
      </c>
      <c r="D182">
        <f ca="1">IFERROR(__xludf.DUMMYFUNCTION("""COMPUTED_VALUE"""),8)</f>
        <v>8</v>
      </c>
      <c r="E182">
        <f ca="1">IFERROR(__xludf.DUMMYFUNCTION("""COMPUTED_VALUE"""),54.17)</f>
        <v>54.17</v>
      </c>
      <c r="F182">
        <f ca="1">IFERROR(__xludf.DUMMYFUNCTION("""COMPUTED_VALUE"""),26)</f>
        <v>26</v>
      </c>
      <c r="G182">
        <f ca="1">IFERROR(__xludf.DUMMYFUNCTION("""COMPUTED_VALUE"""),48)</f>
        <v>48</v>
      </c>
    </row>
    <row r="183" spans="1:7" ht="12.75">
      <c r="A183" t="str">
        <f ca="1">IFERROR(__xludf.DUMMYFUNCTION("""COMPUTED_VALUE"""),"T181")</f>
        <v>T181</v>
      </c>
      <c r="B183" t="str">
        <f ca="1">IFERROR(__xludf.DUMMYFUNCTION("""COMPUTED_VALUE"""),"T210")</f>
        <v>T210</v>
      </c>
      <c r="C183" t="str">
        <f ca="1">IFERROR(__xludf.DUMMYFUNCTION("""COMPUTED_VALUE"""),"Sungjae Im")</f>
        <v>Sungjae Im</v>
      </c>
      <c r="D183">
        <f ca="1">IFERROR(__xludf.DUMMYFUNCTION("""COMPUTED_VALUE"""),24)</f>
        <v>24</v>
      </c>
      <c r="E183">
        <f ca="1">IFERROR(__xludf.DUMMYFUNCTION("""COMPUTED_VALUE"""),54.17)</f>
        <v>54.17</v>
      </c>
      <c r="F183">
        <f ca="1">IFERROR(__xludf.DUMMYFUNCTION("""COMPUTED_VALUE"""),65)</f>
        <v>65</v>
      </c>
      <c r="G183">
        <f ca="1">IFERROR(__xludf.DUMMYFUNCTION("""COMPUTED_VALUE"""),120)</f>
        <v>120</v>
      </c>
    </row>
    <row r="184" spans="1:7" ht="12.75">
      <c r="A184" t="str">
        <f ca="1">IFERROR(__xludf.DUMMYFUNCTION("""COMPUTED_VALUE"""),"T183")</f>
        <v>T183</v>
      </c>
      <c r="B184">
        <f ca="1">IFERROR(__xludf.DUMMYFUNCTION("""COMPUTED_VALUE"""),174)</f>
        <v>174</v>
      </c>
      <c r="C184" t="str">
        <f ca="1">IFERROR(__xludf.DUMMYFUNCTION("""COMPUTED_VALUE"""),"Viktor Hovland")</f>
        <v>Viktor Hovland</v>
      </c>
      <c r="D184">
        <f ca="1">IFERROR(__xludf.DUMMYFUNCTION("""COMPUTED_VALUE"""),16)</f>
        <v>16</v>
      </c>
      <c r="E184">
        <f ca="1">IFERROR(__xludf.DUMMYFUNCTION("""COMPUTED_VALUE"""),54.12)</f>
        <v>54.12</v>
      </c>
      <c r="F184">
        <f ca="1">IFERROR(__xludf.DUMMYFUNCTION("""COMPUTED_VALUE"""),46)</f>
        <v>46</v>
      </c>
      <c r="G184">
        <f ca="1">IFERROR(__xludf.DUMMYFUNCTION("""COMPUTED_VALUE"""),85)</f>
        <v>85</v>
      </c>
    </row>
    <row r="185" spans="1:7" ht="12.75">
      <c r="A185" t="str">
        <f ca="1">IFERROR(__xludf.DUMMYFUNCTION("""COMPUTED_VALUE"""),"T183")</f>
        <v>T183</v>
      </c>
      <c r="B185">
        <f ca="1">IFERROR(__xludf.DUMMYFUNCTION("""COMPUTED_VALUE"""),185)</f>
        <v>185</v>
      </c>
      <c r="C185" t="str">
        <f ca="1">IFERROR(__xludf.DUMMYFUNCTION("""COMPUTED_VALUE"""),"Billy Horschel")</f>
        <v>Billy Horschel</v>
      </c>
      <c r="D185">
        <f ca="1">IFERROR(__xludf.DUMMYFUNCTION("""COMPUTED_VALUE"""),12)</f>
        <v>12</v>
      </c>
      <c r="E185">
        <f ca="1">IFERROR(__xludf.DUMMYFUNCTION("""COMPUTED_VALUE"""),54.12)</f>
        <v>54.12</v>
      </c>
      <c r="F185">
        <f ca="1">IFERROR(__xludf.DUMMYFUNCTION("""COMPUTED_VALUE"""),46)</f>
        <v>46</v>
      </c>
      <c r="G185">
        <f ca="1">IFERROR(__xludf.DUMMYFUNCTION("""COMPUTED_VALUE"""),85)</f>
        <v>85</v>
      </c>
    </row>
    <row r="186" spans="1:7" ht="12.75">
      <c r="A186" t="str">
        <f ca="1">IFERROR(__xludf.DUMMYFUNCTION("""COMPUTED_VALUE"""),"T185")</f>
        <v>T185</v>
      </c>
      <c r="B186" t="str">
        <f ca="1">IFERROR(__xludf.DUMMYFUNCTION("""COMPUTED_VALUE"""),"T186")</f>
        <v>T186</v>
      </c>
      <c r="C186" t="str">
        <f ca="1">IFERROR(__xludf.DUMMYFUNCTION("""COMPUTED_VALUE"""),"Chan Kim")</f>
        <v>Chan Kim</v>
      </c>
      <c r="D186">
        <f ca="1">IFERROR(__xludf.DUMMYFUNCTION("""COMPUTED_VALUE"""),6)</f>
        <v>6</v>
      </c>
      <c r="E186">
        <f ca="1">IFERROR(__xludf.DUMMYFUNCTION("""COMPUTED_VALUE"""),54.05)</f>
        <v>54.05</v>
      </c>
      <c r="F186">
        <f ca="1">IFERROR(__xludf.DUMMYFUNCTION("""COMPUTED_VALUE"""),20)</f>
        <v>20</v>
      </c>
      <c r="G186">
        <f ca="1">IFERROR(__xludf.DUMMYFUNCTION("""COMPUTED_VALUE"""),37)</f>
        <v>37</v>
      </c>
    </row>
    <row r="187" spans="1:7" ht="12.75">
      <c r="A187" t="str">
        <f ca="1">IFERROR(__xludf.DUMMYFUNCTION("""COMPUTED_VALUE"""),"T185")</f>
        <v>T185</v>
      </c>
      <c r="B187" t="str">
        <f ca="1">IFERROR(__xludf.DUMMYFUNCTION("""COMPUTED_VALUE"""),"T186")</f>
        <v>T186</v>
      </c>
      <c r="C187" t="str">
        <f ca="1">IFERROR(__xludf.DUMMYFUNCTION("""COMPUTED_VALUE"""),"Stephan Jaeger")</f>
        <v>Stephan Jaeger</v>
      </c>
      <c r="D187">
        <f ca="1">IFERROR(__xludf.DUMMYFUNCTION("""COMPUTED_VALUE"""),4)</f>
        <v>4</v>
      </c>
      <c r="E187">
        <f ca="1">IFERROR(__xludf.DUMMYFUNCTION("""COMPUTED_VALUE"""),54.05)</f>
        <v>54.05</v>
      </c>
      <c r="F187">
        <f ca="1">IFERROR(__xludf.DUMMYFUNCTION("""COMPUTED_VALUE"""),20)</f>
        <v>20</v>
      </c>
      <c r="G187">
        <f ca="1">IFERROR(__xludf.DUMMYFUNCTION("""COMPUTED_VALUE"""),37)</f>
        <v>37</v>
      </c>
    </row>
    <row r="188" spans="1:7" ht="12.75">
      <c r="A188">
        <f ca="1">IFERROR(__xludf.DUMMYFUNCTION("""COMPUTED_VALUE"""),187)</f>
        <v>187</v>
      </c>
      <c r="B188" t="str">
        <f ca="1">IFERROR(__xludf.DUMMYFUNCTION("""COMPUTED_VALUE"""),"T189")</f>
        <v>T189</v>
      </c>
      <c r="C188" t="str">
        <f ca="1">IFERROR(__xludf.DUMMYFUNCTION("""COMPUTED_VALUE"""),"Kevin Kisner")</f>
        <v>Kevin Kisner</v>
      </c>
      <c r="D188">
        <f ca="1">IFERROR(__xludf.DUMMYFUNCTION("""COMPUTED_VALUE"""),10)</f>
        <v>10</v>
      </c>
      <c r="E188">
        <f ca="1">IFERROR(__xludf.DUMMYFUNCTION("""COMPUTED_VALUE"""),53.97)</f>
        <v>53.97</v>
      </c>
      <c r="F188">
        <f ca="1">IFERROR(__xludf.DUMMYFUNCTION("""COMPUTED_VALUE"""),34)</f>
        <v>34</v>
      </c>
      <c r="G188">
        <f ca="1">IFERROR(__xludf.DUMMYFUNCTION("""COMPUTED_VALUE"""),63)</f>
        <v>63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IFERROR(__xludf.DUMMYFUNCTION("""COMPUTED_VALUE"""),191)</f>
        <v>191</v>
      </c>
      <c r="C189" t="str">
        <f ca="1">IFERROR(__xludf.DUMMYFUNCTION("""COMPUTED_VALUE"""),"Nick Taylor")</f>
        <v>Nick Taylor</v>
      </c>
      <c r="D189">
        <f ca="1">IFERROR(__xludf.DUMMYFUNCTION("""COMPUTED_VALUE"""),12)</f>
        <v>12</v>
      </c>
      <c r="E189">
        <f ca="1">IFERROR(__xludf.DUMMYFUNCTION("""COMPUTED_VALUE"""),53.95)</f>
        <v>53.95</v>
      </c>
      <c r="F189">
        <f ca="1">IFERROR(__xludf.DUMMYFUNCTION("""COMPUTED_VALUE"""),41)</f>
        <v>41</v>
      </c>
      <c r="G189">
        <f ca="1">IFERROR(__xludf.DUMMYFUNCTION("""COMPUTED_VALUE"""),76)</f>
        <v>76</v>
      </c>
    </row>
    <row r="190" spans="1:7" ht="12.75">
      <c r="A190" t="str">
        <f ca="1">IFERROR(__xludf.DUMMYFUNCTION("""COMPUTED_VALUE"""),"T189")</f>
        <v>T189</v>
      </c>
      <c r="B190">
        <f ca="1">IFERROR(__xludf.DUMMYFUNCTION("""COMPUTED_VALUE"""),250)</f>
        <v>250</v>
      </c>
      <c r="C190" t="str">
        <f ca="1">IFERROR(__xludf.DUMMYFUNCTION("""COMPUTED_VALUE"""),"Mackenzie Hughes")</f>
        <v>Mackenzie Hughes</v>
      </c>
      <c r="D190">
        <f ca="1">IFERROR(__xludf.DUMMYFUNCTION("""COMPUTED_VALUE"""),18)</f>
        <v>18</v>
      </c>
      <c r="E190">
        <f ca="1">IFERROR(__xludf.DUMMYFUNCTION("""COMPUTED_VALUE"""),53.85)</f>
        <v>53.85</v>
      </c>
      <c r="F190">
        <f ca="1">IFERROR(__xludf.DUMMYFUNCTION("""COMPUTED_VALUE"""),63)</f>
        <v>63</v>
      </c>
      <c r="G190">
        <f ca="1">IFERROR(__xludf.DUMMYFUNCTION("""COMPUTED_VALUE"""),117)</f>
        <v>117</v>
      </c>
    </row>
    <row r="191" spans="1:7" ht="12.75">
      <c r="A191" t="str">
        <f ca="1">IFERROR(__xludf.DUMMYFUNCTION("""COMPUTED_VALUE"""),"T189")</f>
        <v>T189</v>
      </c>
      <c r="B191">
        <f ca="1">IFERROR(__xludf.DUMMYFUNCTION("""COMPUTED_VALUE"""),258)</f>
        <v>258</v>
      </c>
      <c r="C191" t="str">
        <f ca="1">IFERROR(__xludf.DUMMYFUNCTION("""COMPUTED_VALUE"""),"Tyrrell Hatton")</f>
        <v>Tyrrell Hatton</v>
      </c>
      <c r="D191">
        <f ca="1">IFERROR(__xludf.DUMMYFUNCTION("""COMPUTED_VALUE"""),14)</f>
        <v>14</v>
      </c>
      <c r="E191">
        <f ca="1">IFERROR(__xludf.DUMMYFUNCTION("""COMPUTED_VALUE"""),53.85)</f>
        <v>53.85</v>
      </c>
      <c r="F191">
        <f ca="1">IFERROR(__xludf.DUMMYFUNCTION("""COMPUTED_VALUE"""),42)</f>
        <v>42</v>
      </c>
      <c r="G191">
        <f ca="1">IFERROR(__xludf.DUMMYFUNCTION("""COMPUTED_VALUE"""),78)</f>
        <v>78</v>
      </c>
    </row>
    <row r="192" spans="1:7" ht="12.75">
      <c r="A192">
        <f ca="1">IFERROR(__xludf.DUMMYFUNCTION("""COMPUTED_VALUE"""),191)</f>
        <v>191</v>
      </c>
      <c r="B192" t="str">
        <f ca="1">IFERROR(__xludf.DUMMYFUNCTION("""COMPUTED_VALUE"""),"T199")</f>
        <v>T199</v>
      </c>
      <c r="C192" t="str">
        <f ca="1">IFERROR(__xludf.DUMMYFUNCTION("""COMPUTED_VALUE"""),"Brandt Snedeker")</f>
        <v>Brandt Snedeker</v>
      </c>
      <c r="D192">
        <f ca="1">IFERROR(__xludf.DUMMYFUNCTION("""COMPUTED_VALUE"""),16)</f>
        <v>16</v>
      </c>
      <c r="E192">
        <f ca="1">IFERROR(__xludf.DUMMYFUNCTION("""COMPUTED_VALUE"""),53.77)</f>
        <v>53.77</v>
      </c>
      <c r="F192">
        <f ca="1">IFERROR(__xludf.DUMMYFUNCTION("""COMPUTED_VALUE"""),57)</f>
        <v>57</v>
      </c>
      <c r="G192">
        <f ca="1">IFERROR(__xludf.DUMMYFUNCTION("""COMPUTED_VALUE"""),106)</f>
        <v>106</v>
      </c>
    </row>
    <row r="193" spans="1:7" ht="12.75">
      <c r="A193" t="str">
        <f ca="1">IFERROR(__xludf.DUMMYFUNCTION("""COMPUTED_VALUE"""),"T192")</f>
        <v>T192</v>
      </c>
      <c r="B193">
        <f ca="1">IFERROR(__xludf.DUMMYFUNCTION("""COMPUTED_VALUE"""),198)</f>
        <v>198</v>
      </c>
      <c r="C193" t="str">
        <f ca="1">IFERROR(__xludf.DUMMYFUNCTION("""COMPUTED_VALUE"""),"Cameron Tringale")</f>
        <v>Cameron Tringale</v>
      </c>
      <c r="D193">
        <f ca="1">IFERROR(__xludf.DUMMYFUNCTION("""COMPUTED_VALUE"""),16)</f>
        <v>16</v>
      </c>
      <c r="E193">
        <f ca="1">IFERROR(__xludf.DUMMYFUNCTION("""COMPUTED_VALUE"""),53.66)</f>
        <v>53.66</v>
      </c>
      <c r="F193">
        <f ca="1">IFERROR(__xludf.DUMMYFUNCTION("""COMPUTED_VALUE"""),44)</f>
        <v>44</v>
      </c>
      <c r="G193">
        <f ca="1">IFERROR(__xludf.DUMMYFUNCTION("""COMPUTED_VALUE"""),82)</f>
        <v>82</v>
      </c>
    </row>
    <row r="194" spans="1:7" ht="12.75">
      <c r="A194" t="str">
        <f ca="1">IFERROR(__xludf.DUMMYFUNCTION("""COMPUTED_VALUE"""),"T192")</f>
        <v>T192</v>
      </c>
      <c r="B194">
        <f ca="1">IFERROR(__xludf.DUMMYFUNCTION("""COMPUTED_VALUE"""),194)</f>
        <v>194</v>
      </c>
      <c r="C194" t="str">
        <f ca="1">IFERROR(__xludf.DUMMYFUNCTION("""COMPUTED_VALUE"""),"Tae Hee Lee")</f>
        <v>Tae Hee Lee</v>
      </c>
      <c r="D194">
        <f ca="1">IFERROR(__xludf.DUMMYFUNCTION("""COMPUTED_VALUE"""),4)</f>
        <v>4</v>
      </c>
      <c r="E194">
        <f ca="1">IFERROR(__xludf.DUMMYFUNCTION("""COMPUTED_VALUE"""),53.66)</f>
        <v>53.66</v>
      </c>
      <c r="F194">
        <f ca="1">IFERROR(__xludf.DUMMYFUNCTION("""COMPUTED_VALUE"""),22)</f>
        <v>22</v>
      </c>
      <c r="G194">
        <f ca="1">IFERROR(__xludf.DUMMYFUNCTION("""COMPUTED_VALUE"""),41)</f>
        <v>41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IFERROR(__xludf.DUMMYFUNCTION("""COMPUTED_VALUE"""),"T195")</f>
        <v>T195</v>
      </c>
      <c r="C195" t="str">
        <f ca="1">IFERROR(__xludf.DUMMYFUNCTION("""COMPUTED_VALUE"""),"Brandon Hagy")</f>
        <v>Brandon Hagy</v>
      </c>
      <c r="D195">
        <f ca="1">IFERROR(__xludf.DUMMYFUNCTION("""COMPUTED_VALUE"""),10)</f>
        <v>10</v>
      </c>
      <c r="E195">
        <f ca="1">IFERROR(__xludf.DUMMYFUNCTION("""COMPUTED_VALUE"""),53.57)</f>
        <v>53.57</v>
      </c>
      <c r="F195">
        <f ca="1">IFERROR(__xludf.DUMMYFUNCTION("""COMPUTED_VALUE"""),30)</f>
        <v>30</v>
      </c>
      <c r="G195">
        <f ca="1">IFERROR(__xludf.DUMMYFUNCTION("""COMPUTED_VALUE"""),56)</f>
        <v>56</v>
      </c>
    </row>
    <row r="196" spans="1:7" ht="12.75">
      <c r="A196" t="str">
        <f ca="1">IFERROR(__xludf.DUMMYFUNCTION("""COMPUTED_VALUE"""),"T194")</f>
        <v>T194</v>
      </c>
      <c r="B196">
        <f ca="1">IFERROR(__xludf.DUMMYFUNCTION("""COMPUTED_VALUE"""),137)</f>
        <v>137</v>
      </c>
      <c r="C196" t="str">
        <f ca="1">IFERROR(__xludf.DUMMYFUNCTION("""COMPUTED_VALUE"""),"Keegan Bradley")</f>
        <v>Keegan Bradley</v>
      </c>
      <c r="D196">
        <f ca="1">IFERROR(__xludf.DUMMYFUNCTION("""COMPUTED_VALUE"""),16)</f>
        <v>16</v>
      </c>
      <c r="E196">
        <f ca="1">IFERROR(__xludf.DUMMYFUNCTION("""COMPUTED_VALUE"""),53.57)</f>
        <v>53.57</v>
      </c>
      <c r="F196">
        <f ca="1">IFERROR(__xludf.DUMMYFUNCTION("""COMPUTED_VALUE"""),45)</f>
        <v>45</v>
      </c>
      <c r="G196">
        <f ca="1">IFERROR(__xludf.DUMMYFUNCTION("""COMPUTED_VALUE"""),84)</f>
        <v>84</v>
      </c>
    </row>
    <row r="197" spans="1:7" ht="12.75">
      <c r="A197" t="str">
        <f ca="1">IFERROR(__xludf.DUMMYFUNCTION("""COMPUTED_VALUE"""),"T194")</f>
        <v>T194</v>
      </c>
      <c r="B197" t="str">
        <f ca="1">IFERROR(__xludf.DUMMYFUNCTION("""COMPUTED_VALUE"""),"T195")</f>
        <v>T195</v>
      </c>
      <c r="C197" t="str">
        <f ca="1">IFERROR(__xludf.DUMMYFUNCTION("""COMPUTED_VALUE"""),"Mikumu Horikawa")</f>
        <v>Mikumu Horikawa</v>
      </c>
      <c r="D197">
        <f ca="1">IFERROR(__xludf.DUMMYFUNCTION("""COMPUTED_VALUE"""),4)</f>
        <v>4</v>
      </c>
      <c r="E197">
        <f ca="1">IFERROR(__xludf.DUMMYFUNCTION("""COMPUTED_VALUE"""),53.57)</f>
        <v>53.57</v>
      </c>
      <c r="F197">
        <f ca="1">IFERROR(__xludf.DUMMYFUNCTION("""COMPUTED_VALUE"""),15)</f>
        <v>15</v>
      </c>
      <c r="G197">
        <f ca="1">IFERROR(__xludf.DUMMYFUNCTION("""COMPUTED_VALUE"""),28)</f>
        <v>28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IFERROR(__xludf.DUMMYFUNCTION("""COMPUTED_VALUE"""),197)</f>
        <v>197</v>
      </c>
      <c r="C198" t="str">
        <f ca="1">IFERROR(__xludf.DUMMYFUNCTION("""COMPUTED_VALUE"""),"Kevin Na")</f>
        <v>Kevin Na</v>
      </c>
      <c r="D198">
        <f ca="1">IFERROR(__xludf.DUMMYFUNCTION("""COMPUTED_VALUE"""),14)</f>
        <v>14</v>
      </c>
      <c r="E198">
        <f ca="1">IFERROR(__xludf.DUMMYFUNCTION("""COMPUTED_VALUE"""),53.41)</f>
        <v>53.41</v>
      </c>
      <c r="F198">
        <f ca="1">IFERROR(__xludf.DUMMYFUNCTION("""COMPUTED_VALUE"""),47)</f>
        <v>47</v>
      </c>
      <c r="G198">
        <f ca="1">IFERROR(__xludf.DUMMYFUNCTION("""COMPUTED_VALUE"""),88)</f>
        <v>88</v>
      </c>
    </row>
    <row r="199" spans="1:7" ht="12.75">
      <c r="A199">
        <f ca="1">IFERROR(__xludf.DUMMYFUNCTION("""COMPUTED_VALUE"""),198)</f>
        <v>198</v>
      </c>
      <c r="B199" t="str">
        <f ca="1">IFERROR(__xludf.DUMMYFUNCTION("""COMPUTED_VALUE"""),"T150")</f>
        <v>T150</v>
      </c>
      <c r="C199" t="str">
        <f ca="1">IFERROR(__xludf.DUMMYFUNCTION("""COMPUTED_VALUE"""),"Dustin Johnson")</f>
        <v>Dustin Johnson</v>
      </c>
      <c r="D199">
        <f ca="1">IFERROR(__xludf.DUMMYFUNCTION("""COMPUTED_VALUE"""),8)</f>
        <v>8</v>
      </c>
      <c r="E199">
        <f ca="1">IFERROR(__xludf.DUMMYFUNCTION("""COMPUTED_VALUE"""),53.33)</f>
        <v>53.33</v>
      </c>
      <c r="F199">
        <f ca="1">IFERROR(__xludf.DUMMYFUNCTION("""COMPUTED_VALUE"""),24)</f>
        <v>24</v>
      </c>
      <c r="G199">
        <f ca="1">IFERROR(__xludf.DUMMYFUNCTION("""COMPUTED_VALUE"""),45)</f>
        <v>45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IFERROR(__xludf.DUMMYFUNCTION("""COMPUTED_VALUE"""),165)</f>
        <v>165</v>
      </c>
      <c r="C200" t="str">
        <f ca="1">IFERROR(__xludf.DUMMYFUNCTION("""COMPUTED_VALUE"""),"Lanto Griffin")</f>
        <v>Lanto Griffin</v>
      </c>
      <c r="D200">
        <f ca="1">IFERROR(__xludf.DUMMYFUNCTION("""COMPUTED_VALUE"""),18)</f>
        <v>18</v>
      </c>
      <c r="E200">
        <f ca="1">IFERROR(__xludf.DUMMYFUNCTION("""COMPUTED_VALUE"""),53.27)</f>
        <v>53.27</v>
      </c>
      <c r="F200">
        <f ca="1">IFERROR(__xludf.DUMMYFUNCTION("""COMPUTED_VALUE"""),57)</f>
        <v>57</v>
      </c>
      <c r="G200">
        <f ca="1">IFERROR(__xludf.DUMMYFUNCTION("""COMPUTED_VALUE"""),107)</f>
        <v>107</v>
      </c>
    </row>
    <row r="201" spans="1:7" ht="12.75">
      <c r="A201">
        <f ca="1">IFERROR(__xludf.DUMMYFUNCTION("""COMPUTED_VALUE"""),200)</f>
        <v>200</v>
      </c>
      <c r="B201" t="str">
        <f ca="1">IFERROR(__xludf.DUMMYFUNCTION("""COMPUTED_VALUE"""),"T199")</f>
        <v>T199</v>
      </c>
      <c r="C201" t="str">
        <f ca="1">IFERROR(__xludf.DUMMYFUNCTION("""COMPUTED_VALUE"""),"Matt Kuchar")</f>
        <v>Matt Kuchar</v>
      </c>
      <c r="D201">
        <f ca="1">IFERROR(__xludf.DUMMYFUNCTION("""COMPUTED_VALUE"""),14)</f>
        <v>14</v>
      </c>
      <c r="E201">
        <f ca="1">IFERROR(__xludf.DUMMYFUNCTION("""COMPUTED_VALUE"""),53.25)</f>
        <v>53.25</v>
      </c>
      <c r="F201">
        <f ca="1">IFERROR(__xludf.DUMMYFUNCTION("""COMPUTED_VALUE"""),41)</f>
        <v>41</v>
      </c>
      <c r="G201">
        <f ca="1">IFERROR(__xludf.DUMMYFUNCTION("""COMPUTED_VALUE"""),77)</f>
        <v>77</v>
      </c>
    </row>
    <row r="202" spans="1:7" ht="12.75">
      <c r="A202" t="str">
        <f ca="1">IFERROR(__xludf.DUMMYFUNCTION("""COMPUTED_VALUE"""),"T201")</f>
        <v>T201</v>
      </c>
      <c r="B202" t="str">
        <f ca="1">IFERROR(__xludf.DUMMYFUNCTION("""COMPUTED_VALUE"""),"T186")</f>
        <v>T186</v>
      </c>
      <c r="C202" t="str">
        <f ca="1">IFERROR(__xludf.DUMMYFUNCTION("""COMPUTED_VALUE"""),"Kelly Kraft")</f>
        <v>Kelly Kraft</v>
      </c>
      <c r="D202">
        <f ca="1">IFERROR(__xludf.DUMMYFUNCTION("""COMPUTED_VALUE"""),14)</f>
        <v>14</v>
      </c>
      <c r="E202">
        <f ca="1">IFERROR(__xludf.DUMMYFUNCTION("""COMPUTED_VALUE"""),53.19)</f>
        <v>53.19</v>
      </c>
      <c r="F202">
        <f ca="1">IFERROR(__xludf.DUMMYFUNCTION("""COMPUTED_VALUE"""),50)</f>
        <v>50</v>
      </c>
      <c r="G202">
        <f ca="1">IFERROR(__xludf.DUMMYFUNCTION("""COMPUTED_VALUE"""),94)</f>
        <v>94</v>
      </c>
    </row>
    <row r="203" spans="1:7" ht="12.75">
      <c r="A203" t="str">
        <f ca="1">IFERROR(__xludf.DUMMYFUNCTION("""COMPUTED_VALUE"""),"T201")</f>
        <v>T201</v>
      </c>
      <c r="B203">
        <f ca="1">IFERROR(__xludf.DUMMYFUNCTION("""COMPUTED_VALUE"""),202)</f>
        <v>202</v>
      </c>
      <c r="C203" t="str">
        <f ca="1">IFERROR(__xludf.DUMMYFUNCTION("""COMPUTED_VALUE"""),"Nelson Ledesma")</f>
        <v>Nelson Ledesma</v>
      </c>
      <c r="D203">
        <f ca="1">IFERROR(__xludf.DUMMYFUNCTION("""COMPUTED_VALUE"""),8)</f>
        <v>8</v>
      </c>
      <c r="E203">
        <f ca="1">IFERROR(__xludf.DUMMYFUNCTION("""COMPUTED_VALUE"""),53.19)</f>
        <v>53.19</v>
      </c>
      <c r="F203">
        <f ca="1">IFERROR(__xludf.DUMMYFUNCTION("""COMPUTED_VALUE"""),25)</f>
        <v>25</v>
      </c>
      <c r="G203">
        <f ca="1">IFERROR(__xludf.DUMMYFUNCTION("""COMPUTED_VALUE"""),47)</f>
        <v>47</v>
      </c>
    </row>
    <row r="204" spans="1:7" ht="12.75">
      <c r="A204" t="str">
        <f ca="1">IFERROR(__xludf.DUMMYFUNCTION("""COMPUTED_VALUE"""),"T203")</f>
        <v>T203</v>
      </c>
      <c r="B204" t="str">
        <f ca="1">IFERROR(__xludf.DUMMYFUNCTION("""COMPUTED_VALUE"""),"T203")</f>
        <v>T203</v>
      </c>
      <c r="C204" t="str">
        <f ca="1">IFERROR(__xludf.DUMMYFUNCTION("""COMPUTED_VALUE"""),"Chesson Hadley")</f>
        <v>Chesson Hadley</v>
      </c>
      <c r="D204">
        <f ca="1">IFERROR(__xludf.DUMMYFUNCTION("""COMPUTED_VALUE"""),16)</f>
        <v>16</v>
      </c>
      <c r="E204">
        <f ca="1">IFERROR(__xludf.DUMMYFUNCTION("""COMPUTED_VALUE"""),53.13)</f>
        <v>53.13</v>
      </c>
      <c r="F204">
        <f ca="1">IFERROR(__xludf.DUMMYFUNCTION("""COMPUTED_VALUE"""),51)</f>
        <v>51</v>
      </c>
      <c r="G204">
        <f ca="1">IFERROR(__xludf.DUMMYFUNCTION("""COMPUTED_VALUE"""),96)</f>
        <v>96</v>
      </c>
    </row>
    <row r="205" spans="1:7" ht="12.75">
      <c r="A205" t="str">
        <f ca="1">IFERROR(__xludf.DUMMYFUNCTION("""COMPUTED_VALUE"""),"T203")</f>
        <v>T203</v>
      </c>
      <c r="B205" t="str">
        <f ca="1">IFERROR(__xludf.DUMMYFUNCTION("""COMPUTED_VALUE"""),"T203")</f>
        <v>T203</v>
      </c>
      <c r="C205" t="str">
        <f ca="1">IFERROR(__xludf.DUMMYFUNCTION("""COMPUTED_VALUE"""),"William McGirt")</f>
        <v>William McGirt</v>
      </c>
      <c r="D205">
        <f ca="1">IFERROR(__xludf.DUMMYFUNCTION("""COMPUTED_VALUE"""),6)</f>
        <v>6</v>
      </c>
      <c r="E205">
        <f ca="1">IFERROR(__xludf.DUMMYFUNCTION("""COMPUTED_VALUE"""),53.13)</f>
        <v>53.13</v>
      </c>
      <c r="F205">
        <f ca="1">IFERROR(__xludf.DUMMYFUNCTION("""COMPUTED_VALUE"""),17)</f>
        <v>17</v>
      </c>
      <c r="G205">
        <f ca="1">IFERROR(__xludf.DUMMYFUNCTION("""COMPUTED_VALUE"""),32)</f>
        <v>32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IFERROR(__xludf.DUMMYFUNCTION("""COMPUTED_VALUE"""),109)</f>
        <v>109</v>
      </c>
      <c r="C206" t="str">
        <f ca="1">IFERROR(__xludf.DUMMYFUNCTION("""COMPUTED_VALUE"""),"Patrick Rodgers")</f>
        <v>Patrick Rodgers</v>
      </c>
      <c r="D206">
        <f ca="1">IFERROR(__xludf.DUMMYFUNCTION("""COMPUTED_VALUE"""),18)</f>
        <v>18</v>
      </c>
      <c r="E206">
        <f ca="1">IFERROR(__xludf.DUMMYFUNCTION("""COMPUTED_VALUE"""),52.94)</f>
        <v>52.94</v>
      </c>
      <c r="F206">
        <f ca="1">IFERROR(__xludf.DUMMYFUNCTION("""COMPUTED_VALUE"""),45)</f>
        <v>45</v>
      </c>
      <c r="G206">
        <f ca="1">IFERROR(__xludf.DUMMYFUNCTION("""COMPUTED_VALUE"""),85)</f>
        <v>85</v>
      </c>
    </row>
    <row r="207" spans="1:7" ht="12.75">
      <c r="A207" t="str">
        <f ca="1">IFERROR(__xludf.DUMMYFUNCTION("""COMPUTED_VALUE"""),"T206")</f>
        <v>T206</v>
      </c>
      <c r="B207" t="str">
        <f ca="1">IFERROR(__xludf.DUMMYFUNCTION("""COMPUTED_VALUE"""),"T205")</f>
        <v>T205</v>
      </c>
      <c r="C207" t="str">
        <f ca="1">IFERROR(__xludf.DUMMYFUNCTION("""COMPUTED_VALUE"""),"Brendon Todd")</f>
        <v>Brendon Todd</v>
      </c>
      <c r="D207">
        <f ca="1">IFERROR(__xludf.DUMMYFUNCTION("""COMPUTED_VALUE"""),14)</f>
        <v>14</v>
      </c>
      <c r="E207">
        <f ca="1">IFERROR(__xludf.DUMMYFUNCTION("""COMPUTED_VALUE"""),52.83)</f>
        <v>52.83</v>
      </c>
      <c r="F207">
        <f ca="1">IFERROR(__xludf.DUMMYFUNCTION("""COMPUTED_VALUE"""),56)</f>
        <v>56</v>
      </c>
      <c r="G207">
        <f ca="1">IFERROR(__xludf.DUMMYFUNCTION("""COMPUTED_VALUE"""),106)</f>
        <v>106</v>
      </c>
    </row>
    <row r="208" spans="1:7" ht="12.75">
      <c r="A208" t="str">
        <f ca="1">IFERROR(__xludf.DUMMYFUNCTION("""COMPUTED_VALUE"""),"T206")</f>
        <v>T206</v>
      </c>
      <c r="B208">
        <f ca="1">IFERROR(__xludf.DUMMYFUNCTION("""COMPUTED_VALUE"""),161)</f>
        <v>161</v>
      </c>
      <c r="C208" t="str">
        <f ca="1">IFERROR(__xludf.DUMMYFUNCTION("""COMPUTED_VALUE"""),"Alex Noren")</f>
        <v>Alex Noren</v>
      </c>
      <c r="D208">
        <f ca="1">IFERROR(__xludf.DUMMYFUNCTION("""COMPUTED_VALUE"""),14)</f>
        <v>14</v>
      </c>
      <c r="E208">
        <f ca="1">IFERROR(__xludf.DUMMYFUNCTION("""COMPUTED_VALUE"""),52.83)</f>
        <v>52.83</v>
      </c>
      <c r="F208">
        <f ca="1">IFERROR(__xludf.DUMMYFUNCTION("""COMPUTED_VALUE"""),56)</f>
        <v>56</v>
      </c>
      <c r="G208">
        <f ca="1">IFERROR(__xludf.DUMMYFUNCTION("""COMPUTED_VALUE"""),106)</f>
        <v>106</v>
      </c>
    </row>
    <row r="209" spans="1:7" ht="12.75">
      <c r="A209" t="str">
        <f ca="1">IFERROR(__xludf.DUMMYFUNCTION("""COMPUTED_VALUE"""),"T206")</f>
        <v>T206</v>
      </c>
      <c r="B209" t="str">
        <f ca="1">IFERROR(__xludf.DUMMYFUNCTION("""COMPUTED_VALUE"""),"T205")</f>
        <v>T205</v>
      </c>
      <c r="C209" t="str">
        <f ca="1">IFERROR(__xludf.DUMMYFUNCTION("""COMPUTED_VALUE"""),"John Senden")</f>
        <v>John Senden</v>
      </c>
      <c r="D209">
        <f ca="1">IFERROR(__xludf.DUMMYFUNCTION("""COMPUTED_VALUE"""),8)</f>
        <v>8</v>
      </c>
      <c r="E209">
        <f ca="1">IFERROR(__xludf.DUMMYFUNCTION("""COMPUTED_VALUE"""),52.83)</f>
        <v>52.83</v>
      </c>
      <c r="F209">
        <f ca="1">IFERROR(__xludf.DUMMYFUNCTION("""COMPUTED_VALUE"""),28)</f>
        <v>28</v>
      </c>
      <c r="G209">
        <f ca="1">IFERROR(__xludf.DUMMYFUNCTION("""COMPUTED_VALUE"""),53)</f>
        <v>53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IFERROR(__xludf.DUMMYFUNCTION("""COMPUTED_VALUE"""),207)</f>
        <v>207</v>
      </c>
      <c r="C210" t="str">
        <f ca="1">IFERROR(__xludf.DUMMYFUNCTION("""COMPUTED_VALUE"""),"Luke Schniederjans")</f>
        <v>Luke Schniederjans</v>
      </c>
      <c r="D210">
        <f ca="1">IFERROR(__xludf.DUMMYFUNCTION("""COMPUTED_VALUE"""),4)</f>
        <v>4</v>
      </c>
      <c r="E210">
        <f ca="1">IFERROR(__xludf.DUMMYFUNCTION("""COMPUTED_VALUE"""),52.78)</f>
        <v>52.78</v>
      </c>
      <c r="F210">
        <f ca="1">IFERROR(__xludf.DUMMYFUNCTION("""COMPUTED_VALUE"""),19)</f>
        <v>19</v>
      </c>
      <c r="G210">
        <f ca="1">IFERROR(__xludf.DUMMYFUNCTION("""COMPUTED_VALUE"""),36)</f>
        <v>36</v>
      </c>
    </row>
    <row r="211" spans="1:7" ht="12.75">
      <c r="A211">
        <f ca="1">IFERROR(__xludf.DUMMYFUNCTION("""COMPUTED_VALUE"""),210)</f>
        <v>210</v>
      </c>
      <c r="B211">
        <f ca="1">IFERROR(__xludf.DUMMYFUNCTION("""COMPUTED_VALUE"""),208)</f>
        <v>208</v>
      </c>
      <c r="C211" t="str">
        <f ca="1">IFERROR(__xludf.DUMMYFUNCTION("""COMPUTED_VALUE"""),"Patrick Reed")</f>
        <v>Patrick Reed</v>
      </c>
      <c r="D211">
        <f ca="1">IFERROR(__xludf.DUMMYFUNCTION("""COMPUTED_VALUE"""),8)</f>
        <v>8</v>
      </c>
      <c r="E211">
        <f ca="1">IFERROR(__xludf.DUMMYFUNCTION("""COMPUTED_VALUE"""),52.63)</f>
        <v>52.63</v>
      </c>
      <c r="F211">
        <f ca="1">IFERROR(__xludf.DUMMYFUNCTION("""COMPUTED_VALUE"""),30)</f>
        <v>30</v>
      </c>
      <c r="G211">
        <f ca="1">IFERROR(__xludf.DUMMYFUNCTION("""COMPUTED_VALUE"""),57)</f>
        <v>57</v>
      </c>
    </row>
    <row r="212" spans="1:7" ht="12.75">
      <c r="A212" t="str">
        <f ca="1">IFERROR(__xludf.DUMMYFUNCTION("""COMPUTED_VALUE"""),"T211")</f>
        <v>T211</v>
      </c>
      <c r="B212" t="str">
        <f ca="1">IFERROR(__xludf.DUMMYFUNCTION("""COMPUTED_VALUE"""),"T111")</f>
        <v>T111</v>
      </c>
      <c r="C212" t="str">
        <f ca="1">IFERROR(__xludf.DUMMYFUNCTION("""COMPUTED_VALUE"""),"Matthew NeSmith")</f>
        <v>Matthew NeSmith</v>
      </c>
      <c r="D212">
        <f ca="1">IFERROR(__xludf.DUMMYFUNCTION("""COMPUTED_VALUE"""),16)</f>
        <v>16</v>
      </c>
      <c r="E212">
        <f ca="1">IFERROR(__xludf.DUMMYFUNCTION("""COMPUTED_VALUE"""),52.38)</f>
        <v>52.38</v>
      </c>
      <c r="F212">
        <f ca="1">IFERROR(__xludf.DUMMYFUNCTION("""COMPUTED_VALUE"""),33)</f>
        <v>33</v>
      </c>
      <c r="G212">
        <f ca="1">IFERROR(__xludf.DUMMYFUNCTION("""COMPUTED_VALUE"""),63)</f>
        <v>63</v>
      </c>
    </row>
    <row r="213" spans="1:7" ht="12.75">
      <c r="A213" t="str">
        <f ca="1">IFERROR(__xludf.DUMMYFUNCTION("""COMPUTED_VALUE"""),"T211")</f>
        <v>T211</v>
      </c>
      <c r="B213" t="str">
        <f ca="1">IFERROR(__xludf.DUMMYFUNCTION("""COMPUTED_VALUE"""),"")</f>
        <v/>
      </c>
      <c r="C213" t="str">
        <f ca="1">IFERROR(__xludf.DUMMYFUNCTION("""COMPUTED_VALUE"""),"Greg Chalmers")</f>
        <v>Greg Chalmers</v>
      </c>
      <c r="D213">
        <f ca="1">IFERROR(__xludf.DUMMYFUNCTION("""COMPUTED_VALUE"""),6)</f>
        <v>6</v>
      </c>
      <c r="E213">
        <f ca="1">IFERROR(__xludf.DUMMYFUNCTION("""COMPUTED_VALUE"""),52.38)</f>
        <v>52.38</v>
      </c>
      <c r="F213">
        <f ca="1">IFERROR(__xludf.DUMMYFUNCTION("""COMPUTED_VALUE"""),22)</f>
        <v>22</v>
      </c>
      <c r="G213">
        <f ca="1">IFERROR(__xludf.DUMMYFUNCTION("""COMPUTED_VALUE"""),42)</f>
        <v>42</v>
      </c>
    </row>
    <row r="214" spans="1:7" ht="12.75">
      <c r="A214" t="str">
        <f ca="1">IFERROR(__xludf.DUMMYFUNCTION("""COMPUTED_VALUE"""),"T211")</f>
        <v>T211</v>
      </c>
      <c r="B214">
        <f ca="1">IFERROR(__xludf.DUMMYFUNCTION("""COMPUTED_VALUE"""),209)</f>
        <v>209</v>
      </c>
      <c r="C214" t="str">
        <f ca="1">IFERROR(__xludf.DUMMYFUNCTION("""COMPUTED_VALUE"""),"Josh Teater")</f>
        <v>Josh Teater</v>
      </c>
      <c r="D214">
        <f ca="1">IFERROR(__xludf.DUMMYFUNCTION("""COMPUTED_VALUE"""),6)</f>
        <v>6</v>
      </c>
      <c r="E214">
        <f ca="1">IFERROR(__xludf.DUMMYFUNCTION("""COMPUTED_VALUE"""),52.38)</f>
        <v>52.38</v>
      </c>
      <c r="F214">
        <f ca="1">IFERROR(__xludf.DUMMYFUNCTION("""COMPUTED_VALUE"""),22)</f>
        <v>22</v>
      </c>
      <c r="G214">
        <f ca="1">IFERROR(__xludf.DUMMYFUNCTION("""COMPUTED_VALUE"""),42)</f>
        <v>42</v>
      </c>
    </row>
    <row r="215" spans="1:7" ht="12.75">
      <c r="A215">
        <f ca="1">IFERROR(__xludf.DUMMYFUNCTION("""COMPUTED_VALUE"""),214)</f>
        <v>214</v>
      </c>
      <c r="B215" t="str">
        <f ca="1">IFERROR(__xludf.DUMMYFUNCTION("""COMPUTED_VALUE"""),"T70")</f>
        <v>T70</v>
      </c>
      <c r="C215" t="str">
        <f ca="1">IFERROR(__xludf.DUMMYFUNCTION("""COMPUTED_VALUE"""),"John Huh")</f>
        <v>John Huh</v>
      </c>
      <c r="D215">
        <f ca="1">IFERROR(__xludf.DUMMYFUNCTION("""COMPUTED_VALUE"""),8)</f>
        <v>8</v>
      </c>
      <c r="E215">
        <f ca="1">IFERROR(__xludf.DUMMYFUNCTION("""COMPUTED_VALUE"""),52.27)</f>
        <v>52.27</v>
      </c>
      <c r="F215">
        <f ca="1">IFERROR(__xludf.DUMMYFUNCTION("""COMPUTED_VALUE"""),23)</f>
        <v>23</v>
      </c>
      <c r="G215">
        <f ca="1">IFERROR(__xludf.DUMMYFUNCTION("""COMPUTED_VALUE"""),44)</f>
        <v>44</v>
      </c>
    </row>
    <row r="216" spans="1:7" ht="12.75">
      <c r="A216" t="str">
        <f ca="1">IFERROR(__xludf.DUMMYFUNCTION("""COMPUTED_VALUE"""),"T215")</f>
        <v>T215</v>
      </c>
      <c r="B216" t="str">
        <f ca="1">IFERROR(__xludf.DUMMYFUNCTION("""COMPUTED_VALUE"""),"T210")</f>
        <v>T210</v>
      </c>
      <c r="C216" t="str">
        <f ca="1">IFERROR(__xludf.DUMMYFUNCTION("""COMPUTED_VALUE"""),"Justin Suh")</f>
        <v>Justin Suh</v>
      </c>
      <c r="D216">
        <f ca="1">IFERROR(__xludf.DUMMYFUNCTION("""COMPUTED_VALUE"""),10)</f>
        <v>10</v>
      </c>
      <c r="E216">
        <f ca="1">IFERROR(__xludf.DUMMYFUNCTION("""COMPUTED_VALUE"""),52.17)</f>
        <v>52.17</v>
      </c>
      <c r="F216">
        <f ca="1">IFERROR(__xludf.DUMMYFUNCTION("""COMPUTED_VALUE"""),24)</f>
        <v>24</v>
      </c>
      <c r="G216">
        <f ca="1">IFERROR(__xludf.DUMMYFUNCTION("""COMPUTED_VALUE"""),46)</f>
        <v>46</v>
      </c>
    </row>
    <row r="217" spans="1:7" ht="12.75">
      <c r="A217" t="str">
        <f ca="1">IFERROR(__xludf.DUMMYFUNCTION("""COMPUTED_VALUE"""),"T215")</f>
        <v>T215</v>
      </c>
      <c r="B217" t="str">
        <f ca="1">IFERROR(__xludf.DUMMYFUNCTION("""COMPUTED_VALUE"""),"T210")</f>
        <v>T210</v>
      </c>
      <c r="C217" t="str">
        <f ca="1">IFERROR(__xludf.DUMMYFUNCTION("""COMPUTED_VALUE"""),"Steve Lewton")</f>
        <v>Steve Lewton</v>
      </c>
      <c r="D217">
        <f ca="1">IFERROR(__xludf.DUMMYFUNCTION("""COMPUTED_VALUE"""),4)</f>
        <v>4</v>
      </c>
      <c r="E217">
        <f ca="1">IFERROR(__xludf.DUMMYFUNCTION("""COMPUTED_VALUE"""),52.17)</f>
        <v>52.17</v>
      </c>
      <c r="F217">
        <f ca="1">IFERROR(__xludf.DUMMYFUNCTION("""COMPUTED_VALUE"""),12)</f>
        <v>12</v>
      </c>
      <c r="G217">
        <f ca="1">IFERROR(__xludf.DUMMYFUNCTION("""COMPUTED_VALUE"""),23)</f>
        <v>23</v>
      </c>
    </row>
    <row r="218" spans="1:7" ht="12.75">
      <c r="A218" t="str">
        <f ca="1">IFERROR(__xludf.DUMMYFUNCTION("""COMPUTED_VALUE"""),"T215")</f>
        <v>T215</v>
      </c>
      <c r="B218" t="str">
        <f ca="1">IFERROR(__xludf.DUMMYFUNCTION("""COMPUTED_VALUE"""),"T210")</f>
        <v>T210</v>
      </c>
      <c r="C218" t="str">
        <f ca="1">IFERROR(__xludf.DUMMYFUNCTION("""COMPUTED_VALUE"""),"Arjun Atwal")</f>
        <v>Arjun Atwal</v>
      </c>
      <c r="D218">
        <f ca="1">IFERROR(__xludf.DUMMYFUNCTION("""COMPUTED_VALUE"""),6)</f>
        <v>6</v>
      </c>
      <c r="E218">
        <f ca="1">IFERROR(__xludf.DUMMYFUNCTION("""COMPUTED_VALUE"""),52.17)</f>
        <v>52.17</v>
      </c>
      <c r="F218">
        <f ca="1">IFERROR(__xludf.DUMMYFUNCTION("""COMPUTED_VALUE"""),24)</f>
        <v>24</v>
      </c>
      <c r="G218">
        <f ca="1">IFERROR(__xludf.DUMMYFUNCTION("""COMPUTED_VALUE"""),46)</f>
        <v>46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IFERROR(__xludf.DUMMYFUNCTION("""COMPUTED_VALUE"""),214)</f>
        <v>214</v>
      </c>
      <c r="C219" t="str">
        <f ca="1">IFERROR(__xludf.DUMMYFUNCTION("""COMPUTED_VALUE"""),"Abraham Ancer")</f>
        <v>Abraham Ancer</v>
      </c>
      <c r="D219">
        <f ca="1">IFERROR(__xludf.DUMMYFUNCTION("""COMPUTED_VALUE"""),16)</f>
        <v>16</v>
      </c>
      <c r="E219">
        <f ca="1">IFERROR(__xludf.DUMMYFUNCTION("""COMPUTED_VALUE"""),52.13)</f>
        <v>52.13</v>
      </c>
      <c r="F219">
        <f ca="1">IFERROR(__xludf.DUMMYFUNCTION("""COMPUTED_VALUE"""),49)</f>
        <v>49</v>
      </c>
      <c r="G219">
        <f ca="1">IFERROR(__xludf.DUMMYFUNCTION("""COMPUTED_VALUE"""),94)</f>
        <v>94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IFERROR(__xludf.DUMMYFUNCTION("""COMPUTED_VALUE"""),"T120")</f>
        <v>T120</v>
      </c>
      <c r="C220" t="str">
        <f ca="1">IFERROR(__xludf.DUMMYFUNCTION("""COMPUTED_VALUE"""),"Sean O'Hair")</f>
        <v>Sean O'Hair</v>
      </c>
      <c r="D220">
        <f ca="1">IFERROR(__xludf.DUMMYFUNCTION("""COMPUTED_VALUE"""),14)</f>
        <v>14</v>
      </c>
      <c r="E220">
        <f ca="1">IFERROR(__xludf.DUMMYFUNCTION("""COMPUTED_VALUE"""),51.95)</f>
        <v>51.95</v>
      </c>
      <c r="F220">
        <f ca="1">IFERROR(__xludf.DUMMYFUNCTION("""COMPUTED_VALUE"""),40)</f>
        <v>40</v>
      </c>
      <c r="G220">
        <f ca="1">IFERROR(__xludf.DUMMYFUNCTION("""COMPUTED_VALUE"""),77)</f>
        <v>77</v>
      </c>
    </row>
    <row r="221" spans="1:7" ht="12.75">
      <c r="A221">
        <f ca="1">IFERROR(__xludf.DUMMYFUNCTION("""COMPUTED_VALUE"""),220)</f>
        <v>220</v>
      </c>
      <c r="B221" t="str">
        <f ca="1">IFERROR(__xludf.DUMMYFUNCTION("""COMPUTED_VALUE"""),"T219")</f>
        <v>T219</v>
      </c>
      <c r="C221" t="str">
        <f ca="1">IFERROR(__xludf.DUMMYFUNCTION("""COMPUTED_VALUE"""),"Phil Mickelson")</f>
        <v>Phil Mickelson</v>
      </c>
      <c r="D221">
        <f ca="1">IFERROR(__xludf.DUMMYFUNCTION("""COMPUTED_VALUE"""),12)</f>
        <v>12</v>
      </c>
      <c r="E221">
        <f ca="1">IFERROR(__xludf.DUMMYFUNCTION("""COMPUTED_VALUE"""),51.85)</f>
        <v>51.85</v>
      </c>
      <c r="F221">
        <f ca="1">IFERROR(__xludf.DUMMYFUNCTION("""COMPUTED_VALUE"""),42)</f>
        <v>42</v>
      </c>
      <c r="G221">
        <f ca="1">IFERROR(__xludf.DUMMYFUNCTION("""COMPUTED_VALUE"""),81)</f>
        <v>81</v>
      </c>
    </row>
    <row r="222" spans="1:7" ht="12.75">
      <c r="A222">
        <f ca="1">IFERROR(__xludf.DUMMYFUNCTION("""COMPUTED_VALUE"""),221)</f>
        <v>221</v>
      </c>
      <c r="B222" t="str">
        <f ca="1">IFERROR(__xludf.DUMMYFUNCTION("""COMPUTED_VALUE"""),"T247")</f>
        <v>T247</v>
      </c>
      <c r="C222" t="str">
        <f ca="1">IFERROR(__xludf.DUMMYFUNCTION("""COMPUTED_VALUE"""),"Shane Lowry")</f>
        <v>Shane Lowry</v>
      </c>
      <c r="D222">
        <f ca="1">IFERROR(__xludf.DUMMYFUNCTION("""COMPUTED_VALUE"""),14)</f>
        <v>14</v>
      </c>
      <c r="E222">
        <f ca="1">IFERROR(__xludf.DUMMYFUNCTION("""COMPUTED_VALUE"""),51.81)</f>
        <v>51.81</v>
      </c>
      <c r="F222">
        <f ca="1">IFERROR(__xludf.DUMMYFUNCTION("""COMPUTED_VALUE"""),43)</f>
        <v>43</v>
      </c>
      <c r="G222">
        <f ca="1">IFERROR(__xludf.DUMMYFUNCTION("""COMPUTED_VALUE"""),83)</f>
        <v>83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IFERROR(__xludf.DUMMYFUNCTION("""COMPUTED_VALUE"""),224)</f>
        <v>224</v>
      </c>
      <c r="C223" t="str">
        <f ca="1">IFERROR(__xludf.DUMMYFUNCTION("""COMPUTED_VALUE"""),"Will Gordon")</f>
        <v>Will Gordon</v>
      </c>
      <c r="D223">
        <f ca="1">IFERROR(__xludf.DUMMYFUNCTION("""COMPUTED_VALUE"""),20)</f>
        <v>20</v>
      </c>
      <c r="E223">
        <f ca="1">IFERROR(__xludf.DUMMYFUNCTION("""COMPUTED_VALUE"""),51.79)</f>
        <v>51.79</v>
      </c>
      <c r="F223">
        <f ca="1">IFERROR(__xludf.DUMMYFUNCTION("""COMPUTED_VALUE"""),58)</f>
        <v>58</v>
      </c>
      <c r="G223">
        <f ca="1">IFERROR(__xludf.DUMMYFUNCTION("""COMPUTED_VALUE"""),112)</f>
        <v>112</v>
      </c>
    </row>
    <row r="224" spans="1:7" ht="12.75">
      <c r="A224">
        <f ca="1">IFERROR(__xludf.DUMMYFUNCTION("""COMPUTED_VALUE"""),223)</f>
        <v>223</v>
      </c>
      <c r="B224" t="str">
        <f ca="1">IFERROR(__xludf.DUMMYFUNCTION("""COMPUTED_VALUE"""),"T167")</f>
        <v>T167</v>
      </c>
      <c r="C224" t="str">
        <f ca="1">IFERROR(__xludf.DUMMYFUNCTION("""COMPUTED_VALUE"""),"Tom Lewis")</f>
        <v>Tom Lewis</v>
      </c>
      <c r="D224">
        <f ca="1">IFERROR(__xludf.DUMMYFUNCTION("""COMPUTED_VALUE"""),12)</f>
        <v>12</v>
      </c>
      <c r="E224">
        <f ca="1">IFERROR(__xludf.DUMMYFUNCTION("""COMPUTED_VALUE"""),51.72)</f>
        <v>51.72</v>
      </c>
      <c r="F224">
        <f ca="1">IFERROR(__xludf.DUMMYFUNCTION("""COMPUTED_VALUE"""),45)</f>
        <v>45</v>
      </c>
      <c r="G224">
        <f ca="1">IFERROR(__xludf.DUMMYFUNCTION("""COMPUTED_VALUE"""),87)</f>
        <v>87</v>
      </c>
    </row>
    <row r="225" spans="1:7" ht="12.75">
      <c r="A225">
        <f ca="1">IFERROR(__xludf.DUMMYFUNCTION("""COMPUTED_VALUE"""),224)</f>
        <v>224</v>
      </c>
      <c r="B225" t="str">
        <f ca="1">IFERROR(__xludf.DUMMYFUNCTION("""COMPUTED_VALUE"""),"T217")</f>
        <v>T217</v>
      </c>
      <c r="C225" t="str">
        <f ca="1">IFERROR(__xludf.DUMMYFUNCTION("""COMPUTED_VALUE"""),"Romain Langasque")</f>
        <v>Romain Langasque</v>
      </c>
      <c r="D225">
        <f ca="1">IFERROR(__xludf.DUMMYFUNCTION("""COMPUTED_VALUE"""),4)</f>
        <v>4</v>
      </c>
      <c r="E225">
        <f ca="1">IFERROR(__xludf.DUMMYFUNCTION("""COMPUTED_VALUE"""),51.61)</f>
        <v>51.61</v>
      </c>
      <c r="F225">
        <f ca="1">IFERROR(__xludf.DUMMYFUNCTION("""COMPUTED_VALUE"""),16)</f>
        <v>16</v>
      </c>
      <c r="G225">
        <f ca="1">IFERROR(__xludf.DUMMYFUNCTION("""COMPUTED_VALUE"""),31)</f>
        <v>31</v>
      </c>
    </row>
    <row r="226" spans="1:7" ht="12.75">
      <c r="A226" t="str">
        <f ca="1">IFERROR(__xludf.DUMMYFUNCTION("""COMPUTED_VALUE"""),"T225")</f>
        <v>T225</v>
      </c>
      <c r="B226" t="str">
        <f ca="1">IFERROR(__xludf.DUMMYFUNCTION("""COMPUTED_VALUE"""),"T219")</f>
        <v>T219</v>
      </c>
      <c r="C226" t="str">
        <f ca="1">IFERROR(__xludf.DUMMYFUNCTION("""COMPUTED_VALUE"""),"Michael Gellerman")</f>
        <v>Michael Gellerman</v>
      </c>
      <c r="D226">
        <f ca="1">IFERROR(__xludf.DUMMYFUNCTION("""COMPUTED_VALUE"""),5)</f>
        <v>5</v>
      </c>
      <c r="E226">
        <f ca="1">IFERROR(__xludf.DUMMYFUNCTION("""COMPUTED_VALUE"""),51.52)</f>
        <v>51.52</v>
      </c>
      <c r="F226">
        <f ca="1">IFERROR(__xludf.DUMMYFUNCTION("""COMPUTED_VALUE"""),17)</f>
        <v>17</v>
      </c>
      <c r="G226">
        <f ca="1">IFERROR(__xludf.DUMMYFUNCTION("""COMPUTED_VALUE"""),33)</f>
        <v>33</v>
      </c>
    </row>
    <row r="227" spans="1:7" ht="12.75">
      <c r="A227" t="str">
        <f ca="1">IFERROR(__xludf.DUMMYFUNCTION("""COMPUTED_VALUE"""),"T225")</f>
        <v>T225</v>
      </c>
      <c r="B227" t="str">
        <f ca="1">IFERROR(__xludf.DUMMYFUNCTION("""COMPUTED_VALUE"""),"T120")</f>
        <v>T120</v>
      </c>
      <c r="C227" t="str">
        <f ca="1">IFERROR(__xludf.DUMMYFUNCTION("""COMPUTED_VALUE"""),"Martin Laird")</f>
        <v>Martin Laird</v>
      </c>
      <c r="D227">
        <f ca="1">IFERROR(__xludf.DUMMYFUNCTION("""COMPUTED_VALUE"""),16)</f>
        <v>16</v>
      </c>
      <c r="E227">
        <f ca="1">IFERROR(__xludf.DUMMYFUNCTION("""COMPUTED_VALUE"""),51.52)</f>
        <v>51.52</v>
      </c>
      <c r="F227">
        <f ca="1">IFERROR(__xludf.DUMMYFUNCTION("""COMPUTED_VALUE"""),34)</f>
        <v>34</v>
      </c>
      <c r="G227">
        <f ca="1">IFERROR(__xludf.DUMMYFUNCTION("""COMPUTED_VALUE"""),66)</f>
        <v>66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IFERROR(__xludf.DUMMYFUNCTION("""COMPUTED_VALUE"""),276)</f>
        <v>276</v>
      </c>
      <c r="C228" t="str">
        <f ca="1">IFERROR(__xludf.DUMMYFUNCTION("""COMPUTED_VALUE"""),"Tony Finau")</f>
        <v>Tony Finau</v>
      </c>
      <c r="D228">
        <f ca="1">IFERROR(__xludf.DUMMYFUNCTION("""COMPUTED_VALUE"""),12)</f>
        <v>12</v>
      </c>
      <c r="E228">
        <f ca="1">IFERROR(__xludf.DUMMYFUNCTION("""COMPUTED_VALUE"""),51.43)</f>
        <v>51.43</v>
      </c>
      <c r="F228">
        <f ca="1">IFERROR(__xludf.DUMMYFUNCTION("""COMPUTED_VALUE"""),36)</f>
        <v>36</v>
      </c>
      <c r="G228">
        <f ca="1">IFERROR(__xludf.DUMMYFUNCTION("""COMPUTED_VALUE"""),70)</f>
        <v>70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IFERROR(__xludf.DUMMYFUNCTION("""COMPUTED_VALUE"""),222)</f>
        <v>222</v>
      </c>
      <c r="C229" t="str">
        <f ca="1">IFERROR(__xludf.DUMMYFUNCTION("""COMPUTED_VALUE"""),"Rory McIlroy")</f>
        <v>Rory McIlroy</v>
      </c>
      <c r="D229">
        <f ca="1">IFERROR(__xludf.DUMMYFUNCTION("""COMPUTED_VALUE"""),12)</f>
        <v>12</v>
      </c>
      <c r="E229">
        <f ca="1">IFERROR(__xludf.DUMMYFUNCTION("""COMPUTED_VALUE"""),51.32)</f>
        <v>51.32</v>
      </c>
      <c r="F229">
        <f ca="1">IFERROR(__xludf.DUMMYFUNCTION("""COMPUTED_VALUE"""),39)</f>
        <v>39</v>
      </c>
      <c r="G229">
        <f ca="1">IFERROR(__xludf.DUMMYFUNCTION("""COMPUTED_VALUE"""),76)</f>
        <v>76</v>
      </c>
    </row>
    <row r="230" spans="1:7" ht="12.75">
      <c r="A230">
        <f ca="1">IFERROR(__xludf.DUMMYFUNCTION("""COMPUTED_VALUE"""),229)</f>
        <v>229</v>
      </c>
      <c r="B230" t="str">
        <f ca="1">IFERROR(__xludf.DUMMYFUNCTION("""COMPUTED_VALUE"""),"T217")</f>
        <v>T217</v>
      </c>
      <c r="C230" t="str">
        <f ca="1">IFERROR(__xludf.DUMMYFUNCTION("""COMPUTED_VALUE"""),"Sam Burns")</f>
        <v>Sam Burns</v>
      </c>
      <c r="D230">
        <f ca="1">IFERROR(__xludf.DUMMYFUNCTION("""COMPUTED_VALUE"""),18)</f>
        <v>18</v>
      </c>
      <c r="E230">
        <f ca="1">IFERROR(__xludf.DUMMYFUNCTION("""COMPUTED_VALUE"""),51.28)</f>
        <v>51.28</v>
      </c>
      <c r="F230">
        <f ca="1">IFERROR(__xludf.DUMMYFUNCTION("""COMPUTED_VALUE"""),40)</f>
        <v>40</v>
      </c>
      <c r="G230">
        <f ca="1">IFERROR(__xludf.DUMMYFUNCTION("""COMPUTED_VALUE"""),78)</f>
        <v>78</v>
      </c>
    </row>
    <row r="231" spans="1:7" ht="12.75">
      <c r="A231" t="str">
        <f ca="1">IFERROR(__xludf.DUMMYFUNCTION("""COMPUTED_VALUE"""),"T230")</f>
        <v>T230</v>
      </c>
      <c r="B231" t="str">
        <f ca="1">IFERROR(__xludf.DUMMYFUNCTION("""COMPUTED_VALUE"""),"T225")</f>
        <v>T225</v>
      </c>
      <c r="C231" t="str">
        <f ca="1">IFERROR(__xludf.DUMMYFUNCTION("""COMPUTED_VALUE"""),"Zac Blair")</f>
        <v>Zac Blair</v>
      </c>
      <c r="D231">
        <f ca="1">IFERROR(__xludf.DUMMYFUNCTION("""COMPUTED_VALUE"""),10)</f>
        <v>10</v>
      </c>
      <c r="E231">
        <f ca="1">IFERROR(__xludf.DUMMYFUNCTION("""COMPUTED_VALUE"""),50.91)</f>
        <v>50.91</v>
      </c>
      <c r="F231">
        <f ca="1">IFERROR(__xludf.DUMMYFUNCTION("""COMPUTED_VALUE"""),28)</f>
        <v>28</v>
      </c>
      <c r="G231">
        <f ca="1">IFERROR(__xludf.DUMMYFUNCTION("""COMPUTED_VALUE"""),55)</f>
        <v>55</v>
      </c>
    </row>
    <row r="232" spans="1:7" ht="12.75">
      <c r="A232" t="str">
        <f ca="1">IFERROR(__xludf.DUMMYFUNCTION("""COMPUTED_VALUE"""),"T230")</f>
        <v>T230</v>
      </c>
      <c r="B232" t="str">
        <f ca="1">IFERROR(__xludf.DUMMYFUNCTION("""COMPUTED_VALUE"""),"T225")</f>
        <v>T225</v>
      </c>
      <c r="C232" t="str">
        <f ca="1">IFERROR(__xludf.DUMMYFUNCTION("""COMPUTED_VALUE"""),"Matthew Fitzpatrick")</f>
        <v>Matthew Fitzpatrick</v>
      </c>
      <c r="D232">
        <f ca="1">IFERROR(__xludf.DUMMYFUNCTION("""COMPUTED_VALUE"""),10)</f>
        <v>10</v>
      </c>
      <c r="E232">
        <f ca="1">IFERROR(__xludf.DUMMYFUNCTION("""COMPUTED_VALUE"""),50.91)</f>
        <v>50.91</v>
      </c>
      <c r="F232">
        <f ca="1">IFERROR(__xludf.DUMMYFUNCTION("""COMPUTED_VALUE"""),28)</f>
        <v>28</v>
      </c>
      <c r="G232">
        <f ca="1">IFERROR(__xludf.DUMMYFUNCTION("""COMPUTED_VALUE"""),55)</f>
        <v>55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IFERROR(__xludf.DUMMYFUNCTION("""COMPUTED_VALUE"""),"T148")</f>
        <v>T148</v>
      </c>
      <c r="C233" t="str">
        <f ca="1">IFERROR(__xludf.DUMMYFUNCTION("""COMPUTED_VALUE"""),"Bronson Burgoon")</f>
        <v>Bronson Burgoon</v>
      </c>
      <c r="D233">
        <f ca="1">IFERROR(__xludf.DUMMYFUNCTION("""COMPUTED_VALUE"""),10)</f>
        <v>10</v>
      </c>
      <c r="E233">
        <f ca="1">IFERROR(__xludf.DUMMYFUNCTION("""COMPUTED_VALUE"""),50.72)</f>
        <v>50.72</v>
      </c>
      <c r="F233">
        <f ca="1">IFERROR(__xludf.DUMMYFUNCTION("""COMPUTED_VALUE"""),35)</f>
        <v>35</v>
      </c>
      <c r="G233">
        <f ca="1">IFERROR(__xludf.DUMMYFUNCTION("""COMPUTED_VALUE"""),69)</f>
        <v>69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IFERROR(__xludf.DUMMYFUNCTION("""COMPUTED_VALUE"""),183)</f>
        <v>183</v>
      </c>
      <c r="C234" t="str">
        <f ca="1">IFERROR(__xludf.DUMMYFUNCTION("""COMPUTED_VALUE"""),"Jimmy Walker")</f>
        <v>Jimmy Walker</v>
      </c>
      <c r="D234">
        <f ca="1">IFERROR(__xludf.DUMMYFUNCTION("""COMPUTED_VALUE"""),10)</f>
        <v>10</v>
      </c>
      <c r="E234">
        <f ca="1">IFERROR(__xludf.DUMMYFUNCTION("""COMPUTED_VALUE"""),50.62)</f>
        <v>50.62</v>
      </c>
      <c r="F234">
        <f ca="1">IFERROR(__xludf.DUMMYFUNCTION("""COMPUTED_VALUE"""),41)</f>
        <v>41</v>
      </c>
      <c r="G234">
        <f ca="1">IFERROR(__xludf.DUMMYFUNCTION("""COMPUTED_VALUE"""),81)</f>
        <v>81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IFERROR(__xludf.DUMMYFUNCTION("""COMPUTED_VALUE"""),227)</f>
        <v>227</v>
      </c>
      <c r="C235" t="str">
        <f ca="1">IFERROR(__xludf.DUMMYFUNCTION("""COMPUTED_VALUE"""),"Rafa Cabrera Bello")</f>
        <v>Rafa Cabrera Bello</v>
      </c>
      <c r="D235">
        <f ca="1">IFERROR(__xludf.DUMMYFUNCTION("""COMPUTED_VALUE"""),14)</f>
        <v>14</v>
      </c>
      <c r="E235">
        <f ca="1">IFERROR(__xludf.DUMMYFUNCTION("""COMPUTED_VALUE"""),50.53)</f>
        <v>50.53</v>
      </c>
      <c r="F235">
        <f ca="1">IFERROR(__xludf.DUMMYFUNCTION("""COMPUTED_VALUE"""),48)</f>
        <v>48</v>
      </c>
      <c r="G235">
        <f ca="1">IFERROR(__xludf.DUMMYFUNCTION("""COMPUTED_VALUE"""),95)</f>
        <v>95</v>
      </c>
    </row>
    <row r="236" spans="1:7" ht="12.75">
      <c r="A236" t="str">
        <f ca="1">IFERROR(__xludf.DUMMYFUNCTION("""COMPUTED_VALUE"""),"T235")</f>
        <v>T235</v>
      </c>
      <c r="B236" t="str">
        <f ca="1">IFERROR(__xludf.DUMMYFUNCTION("""COMPUTED_VALUE"""),"T228")</f>
        <v>T228</v>
      </c>
      <c r="C236" t="str">
        <f ca="1">IFERROR(__xludf.DUMMYFUNCTION("""COMPUTED_VALUE"""),"Marc Leishman")</f>
        <v>Marc Leishman</v>
      </c>
      <c r="D236">
        <f ca="1">IFERROR(__xludf.DUMMYFUNCTION("""COMPUTED_VALUE"""),10)</f>
        <v>10</v>
      </c>
      <c r="E236">
        <f ca="1">IFERROR(__xludf.DUMMYFUNCTION("""COMPUTED_VALUE"""),50)</f>
        <v>50</v>
      </c>
      <c r="F236">
        <f ca="1">IFERROR(__xludf.DUMMYFUNCTION("""COMPUTED_VALUE"""),31)</f>
        <v>31</v>
      </c>
      <c r="G236">
        <f ca="1">IFERROR(__xludf.DUMMYFUNCTION("""COMPUTED_VALUE"""),62)</f>
        <v>62</v>
      </c>
    </row>
    <row r="237" spans="1:7" ht="12.75">
      <c r="A237" t="str">
        <f ca="1">IFERROR(__xludf.DUMMYFUNCTION("""COMPUTED_VALUE"""),"T235")</f>
        <v>T235</v>
      </c>
      <c r="B237" t="str">
        <f ca="1">IFERROR(__xludf.DUMMYFUNCTION("""COMPUTED_VALUE"""),"T228")</f>
        <v>T228</v>
      </c>
      <c r="C237" t="str">
        <f ca="1">IFERROR(__xludf.DUMMYFUNCTION("""COMPUTED_VALUE"""),"Justin Rose")</f>
        <v>Justin Rose</v>
      </c>
      <c r="D237">
        <f ca="1">IFERROR(__xludf.DUMMYFUNCTION("""COMPUTED_VALUE"""),10)</f>
        <v>10</v>
      </c>
      <c r="E237">
        <f ca="1">IFERROR(__xludf.DUMMYFUNCTION("""COMPUTED_VALUE"""),50)</f>
        <v>50</v>
      </c>
      <c r="F237">
        <f ca="1">IFERROR(__xludf.DUMMYFUNCTION("""COMPUTED_VALUE"""),33)</f>
        <v>33</v>
      </c>
      <c r="G237">
        <f ca="1">IFERROR(__xludf.DUMMYFUNCTION("""COMPUTED_VALUE"""),66)</f>
        <v>66</v>
      </c>
    </row>
    <row r="238" spans="1:7" ht="12.75">
      <c r="A238" t="str">
        <f ca="1">IFERROR(__xludf.DUMMYFUNCTION("""COMPUTED_VALUE"""),"T235")</f>
        <v>T235</v>
      </c>
      <c r="B238" t="str">
        <f ca="1">IFERROR(__xludf.DUMMYFUNCTION("""COMPUTED_VALUE"""),"T228")</f>
        <v>T228</v>
      </c>
      <c r="C238" t="str">
        <f ca="1">IFERROR(__xludf.DUMMYFUNCTION("""COMPUTED_VALUE"""),"Taylor Pendrith")</f>
        <v>Taylor Pendrith</v>
      </c>
      <c r="D238">
        <f ca="1">IFERROR(__xludf.DUMMYFUNCTION("""COMPUTED_VALUE"""),4)</f>
        <v>4</v>
      </c>
      <c r="E238">
        <f ca="1">IFERROR(__xludf.DUMMYFUNCTION("""COMPUTED_VALUE"""),50)</f>
        <v>50</v>
      </c>
      <c r="F238">
        <f ca="1">IFERROR(__xludf.DUMMYFUNCTION("""COMPUTED_VALUE"""),19)</f>
        <v>19</v>
      </c>
      <c r="G238">
        <f ca="1">IFERROR(__xludf.DUMMYFUNCTION("""COMPUTED_VALUE"""),38)</f>
        <v>38</v>
      </c>
    </row>
    <row r="239" spans="1:7" ht="12.75">
      <c r="A239" t="str">
        <f ca="1">IFERROR(__xludf.DUMMYFUNCTION("""COMPUTED_VALUE"""),"T235")</f>
        <v>T235</v>
      </c>
      <c r="B239" t="str">
        <f ca="1">IFERROR(__xludf.DUMMYFUNCTION("""COMPUTED_VALUE"""),"T228")</f>
        <v>T228</v>
      </c>
      <c r="C239" t="str">
        <f ca="1">IFERROR(__xludf.DUMMYFUNCTION("""COMPUTED_VALUE"""),"Lucas Herbert")</f>
        <v>Lucas Herbert</v>
      </c>
      <c r="D239">
        <f ca="1">IFERROR(__xludf.DUMMYFUNCTION("""COMPUTED_VALUE"""),4)</f>
        <v>4</v>
      </c>
      <c r="E239">
        <f ca="1">IFERROR(__xludf.DUMMYFUNCTION("""COMPUTED_VALUE"""),50)</f>
        <v>50</v>
      </c>
      <c r="F239">
        <f ca="1">IFERROR(__xludf.DUMMYFUNCTION("""COMPUTED_VALUE"""),20)</f>
        <v>20</v>
      </c>
      <c r="G239">
        <f ca="1">IFERROR(__xludf.DUMMYFUNCTION("""COMPUTED_VALUE"""),40)</f>
        <v>40</v>
      </c>
    </row>
    <row r="240" spans="1:7" ht="12.75">
      <c r="A240" t="str">
        <f ca="1">IFERROR(__xludf.DUMMYFUNCTION("""COMPUTED_VALUE"""),"T235")</f>
        <v>T235</v>
      </c>
      <c r="B240">
        <f ca="1">IFERROR(__xludf.DUMMYFUNCTION("""COMPUTED_VALUE"""),269)</f>
        <v>269</v>
      </c>
      <c r="C240" t="str">
        <f ca="1">IFERROR(__xludf.DUMMYFUNCTION("""COMPUTED_VALUE"""),"Erik van Rooyen")</f>
        <v>Erik van Rooyen</v>
      </c>
      <c r="D240">
        <f ca="1">IFERROR(__xludf.DUMMYFUNCTION("""COMPUTED_VALUE"""),10)</f>
        <v>10</v>
      </c>
      <c r="E240">
        <f ca="1">IFERROR(__xludf.DUMMYFUNCTION("""COMPUTED_VALUE"""),50)</f>
        <v>50</v>
      </c>
      <c r="F240">
        <f ca="1">IFERROR(__xludf.DUMMYFUNCTION("""COMPUTED_VALUE"""),32)</f>
        <v>32</v>
      </c>
      <c r="G240">
        <f ca="1">IFERROR(__xludf.DUMMYFUNCTION("""COMPUTED_VALUE"""),64)</f>
        <v>64</v>
      </c>
    </row>
    <row r="241" spans="1:7" ht="12.75">
      <c r="A241" t="str">
        <f ca="1">IFERROR(__xludf.DUMMYFUNCTION("""COMPUTED_VALUE"""),"T235")</f>
        <v>T235</v>
      </c>
      <c r="B241" t="str">
        <f ca="1">IFERROR(__xludf.DUMMYFUNCTION("""COMPUTED_VALUE"""),"T228")</f>
        <v>T228</v>
      </c>
      <c r="C241" t="str">
        <f ca="1">IFERROR(__xludf.DUMMYFUNCTION("""COMPUTED_VALUE"""),"Takumi Kanaya")</f>
        <v>Takumi Kanaya</v>
      </c>
      <c r="D241">
        <f ca="1">IFERROR(__xludf.DUMMYFUNCTION("""COMPUTED_VALUE"""),6)</f>
        <v>6</v>
      </c>
      <c r="E241">
        <f ca="1">IFERROR(__xludf.DUMMYFUNCTION("""COMPUTED_VALUE"""),50)</f>
        <v>50</v>
      </c>
      <c r="F241">
        <f ca="1">IFERROR(__xludf.DUMMYFUNCTION("""COMPUTED_VALUE"""),16)</f>
        <v>16</v>
      </c>
      <c r="G241">
        <f ca="1">IFERROR(__xludf.DUMMYFUNCTION("""COMPUTED_VALUE"""),32)</f>
        <v>32</v>
      </c>
    </row>
    <row r="242" spans="1:7" ht="12.75">
      <c r="A242" t="str">
        <f ca="1">IFERROR(__xludf.DUMMYFUNCTION("""COMPUTED_VALUE"""),"T235")</f>
        <v>T235</v>
      </c>
      <c r="B242" t="str">
        <f ca="1">IFERROR(__xludf.DUMMYFUNCTION("""COMPUTED_VALUE"""),"T228")</f>
        <v>T228</v>
      </c>
      <c r="C242" t="str">
        <f ca="1">IFERROR(__xludf.DUMMYFUNCTION("""COMPUTED_VALUE"""),"Andy Zhang")</f>
        <v>Andy Zhang</v>
      </c>
      <c r="D242">
        <f ca="1">IFERROR(__xludf.DUMMYFUNCTION("""COMPUTED_VALUE"""),4)</f>
        <v>4</v>
      </c>
      <c r="E242">
        <f ca="1">IFERROR(__xludf.DUMMYFUNCTION("""COMPUTED_VALUE"""),50)</f>
        <v>50</v>
      </c>
      <c r="F242">
        <f ca="1">IFERROR(__xludf.DUMMYFUNCTION("""COMPUTED_VALUE"""),9)</f>
        <v>9</v>
      </c>
      <c r="G242">
        <f ca="1">IFERROR(__xludf.DUMMYFUNCTION("""COMPUTED_VALUE"""),18)</f>
        <v>18</v>
      </c>
    </row>
    <row r="243" spans="1:7" ht="12.75">
      <c r="A243" t="str">
        <f ca="1">IFERROR(__xludf.DUMMYFUNCTION("""COMPUTED_VALUE"""),"T235")</f>
        <v>T235</v>
      </c>
      <c r="B243" t="str">
        <f ca="1">IFERROR(__xludf.DUMMYFUNCTION("""COMPUTED_VALUE"""),"T228")</f>
        <v>T228</v>
      </c>
      <c r="C243" t="str">
        <f ca="1">IFERROR(__xludf.DUMMYFUNCTION("""COMPUTED_VALUE"""),"Wes Roach")</f>
        <v>Wes Roach</v>
      </c>
      <c r="D243">
        <f ca="1">IFERROR(__xludf.DUMMYFUNCTION("""COMPUTED_VALUE"""),6)</f>
        <v>6</v>
      </c>
      <c r="E243">
        <f ca="1">IFERROR(__xludf.DUMMYFUNCTION("""COMPUTED_VALUE"""),50)</f>
        <v>50</v>
      </c>
      <c r="F243">
        <f ca="1">IFERROR(__xludf.DUMMYFUNCTION("""COMPUTED_VALUE"""),20)</f>
        <v>20</v>
      </c>
      <c r="G243">
        <f ca="1">IFERROR(__xludf.DUMMYFUNCTION("""COMPUTED_VALUE"""),40)</f>
        <v>40</v>
      </c>
    </row>
    <row r="244" spans="1:7" ht="12.75">
      <c r="A244" t="str">
        <f ca="1">IFERROR(__xludf.DUMMYFUNCTION("""COMPUTED_VALUE"""),"T235")</f>
        <v>T235</v>
      </c>
      <c r="B244" t="str">
        <f ca="1">IFERROR(__xludf.DUMMYFUNCTION("""COMPUTED_VALUE"""),"T228")</f>
        <v>T228</v>
      </c>
      <c r="C244" t="str">
        <f ca="1">IFERROR(__xludf.DUMMYFUNCTION("""COMPUTED_VALUE"""),"Thomas Pieters")</f>
        <v>Thomas Pieters</v>
      </c>
      <c r="D244">
        <f ca="1">IFERROR(__xludf.DUMMYFUNCTION("""COMPUTED_VALUE"""),4)</f>
        <v>4</v>
      </c>
      <c r="E244">
        <f ca="1">IFERROR(__xludf.DUMMYFUNCTION("""COMPUTED_VALUE"""),50)</f>
        <v>50</v>
      </c>
      <c r="F244">
        <f ca="1">IFERROR(__xludf.DUMMYFUNCTION("""COMPUTED_VALUE"""),13)</f>
        <v>13</v>
      </c>
      <c r="G244">
        <f ca="1">IFERROR(__xludf.DUMMYFUNCTION("""COMPUTED_VALUE"""),26)</f>
        <v>26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IFERROR(__xludf.DUMMYFUNCTION("""COMPUTED_VALUE"""),253)</f>
        <v>253</v>
      </c>
      <c r="C245" t="str">
        <f ca="1">IFERROR(__xludf.DUMMYFUNCTION("""COMPUTED_VALUE"""),"Michael Thompson")</f>
        <v>Michael Thompson</v>
      </c>
      <c r="D245">
        <f ca="1">IFERROR(__xludf.DUMMYFUNCTION("""COMPUTED_VALUE"""),16)</f>
        <v>16</v>
      </c>
      <c r="E245">
        <f ca="1">IFERROR(__xludf.DUMMYFUNCTION("""COMPUTED_VALUE"""),49.59)</f>
        <v>49.59</v>
      </c>
      <c r="F245">
        <f ca="1">IFERROR(__xludf.DUMMYFUNCTION("""COMPUTED_VALUE"""),61)</f>
        <v>61</v>
      </c>
      <c r="G245">
        <f ca="1">IFERROR(__xludf.DUMMYFUNCTION("""COMPUTED_VALUE"""),123)</f>
        <v>123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IFERROR(__xludf.DUMMYFUNCTION("""COMPUTED_VALUE"""),245)</f>
        <v>245</v>
      </c>
      <c r="C246" t="str">
        <f ca="1">IFERROR(__xludf.DUMMYFUNCTION("""COMPUTED_VALUE"""),"Jhonattan Vegas")</f>
        <v>Jhonattan Vegas</v>
      </c>
      <c r="D246">
        <f ca="1">IFERROR(__xludf.DUMMYFUNCTION("""COMPUTED_VALUE"""),16)</f>
        <v>16</v>
      </c>
      <c r="E246">
        <f ca="1">IFERROR(__xludf.DUMMYFUNCTION("""COMPUTED_VALUE"""),49.51)</f>
        <v>49.51</v>
      </c>
      <c r="F246">
        <f ca="1">IFERROR(__xludf.DUMMYFUNCTION("""COMPUTED_VALUE"""),51)</f>
        <v>51</v>
      </c>
      <c r="G246">
        <f ca="1">IFERROR(__xludf.DUMMYFUNCTION("""COMPUTED_VALUE"""),103)</f>
        <v>103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IFERROR(__xludf.DUMMYFUNCTION("""COMPUTED_VALUE"""),223)</f>
        <v>223</v>
      </c>
      <c r="C247" t="str">
        <f ca="1">IFERROR(__xludf.DUMMYFUNCTION("""COMPUTED_VALUE"""),"Branden Grace")</f>
        <v>Branden Grace</v>
      </c>
      <c r="D247">
        <f ca="1">IFERROR(__xludf.DUMMYFUNCTION("""COMPUTED_VALUE"""),16)</f>
        <v>16</v>
      </c>
      <c r="E247">
        <f ca="1">IFERROR(__xludf.DUMMYFUNCTION("""COMPUTED_VALUE"""),49.5)</f>
        <v>49.5</v>
      </c>
      <c r="F247">
        <f ca="1">IFERROR(__xludf.DUMMYFUNCTION("""COMPUTED_VALUE"""),50)</f>
        <v>50</v>
      </c>
      <c r="G247">
        <f ca="1">IFERROR(__xludf.DUMMYFUNCTION("""COMPUTED_VALUE"""),101)</f>
        <v>101</v>
      </c>
    </row>
    <row r="248" spans="1:7" ht="12.75">
      <c r="A248">
        <f ca="1">IFERROR(__xludf.DUMMYFUNCTION("""COMPUTED_VALUE"""),247)</f>
        <v>247</v>
      </c>
      <c r="B248" t="str">
        <f ca="1">IFERROR(__xludf.DUMMYFUNCTION("""COMPUTED_VALUE"""),"T189")</f>
        <v>T189</v>
      </c>
      <c r="C248" t="str">
        <f ca="1">IFERROR(__xludf.DUMMYFUNCTION("""COMPUTED_VALUE"""),"Martin Trainer")</f>
        <v>Martin Trainer</v>
      </c>
      <c r="D248">
        <f ca="1">IFERROR(__xludf.DUMMYFUNCTION("""COMPUTED_VALUE"""),10)</f>
        <v>10</v>
      </c>
      <c r="E248">
        <f ca="1">IFERROR(__xludf.DUMMYFUNCTION("""COMPUTED_VALUE"""),49.4)</f>
        <v>49.4</v>
      </c>
      <c r="F248">
        <f ca="1">IFERROR(__xludf.DUMMYFUNCTION("""COMPUTED_VALUE"""),41)</f>
        <v>41</v>
      </c>
      <c r="G248">
        <f ca="1">IFERROR(__xludf.DUMMYFUNCTION("""COMPUTED_VALUE"""),83)</f>
        <v>83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IFERROR(__xludf.DUMMYFUNCTION("""COMPUTED_VALUE"""),239)</f>
        <v>239</v>
      </c>
      <c r="C249" t="str">
        <f ca="1">IFERROR(__xludf.DUMMYFUNCTION("""COMPUTED_VALUE"""),"Tommy Fleetwood")</f>
        <v>Tommy Fleetwood</v>
      </c>
      <c r="D249">
        <f ca="1">IFERROR(__xludf.DUMMYFUNCTION("""COMPUTED_VALUE"""),10)</f>
        <v>10</v>
      </c>
      <c r="E249">
        <f ca="1">IFERROR(__xludf.DUMMYFUNCTION("""COMPUTED_VALUE"""),49.33)</f>
        <v>49.33</v>
      </c>
      <c r="F249">
        <f ca="1">IFERROR(__xludf.DUMMYFUNCTION("""COMPUTED_VALUE"""),37)</f>
        <v>37</v>
      </c>
      <c r="G249">
        <f ca="1">IFERROR(__xludf.DUMMYFUNCTION("""COMPUTED_VALUE"""),75)</f>
        <v>75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IFERROR(__xludf.DUMMYFUNCTION("""COMPUTED_VALUE"""),251)</f>
        <v>251</v>
      </c>
      <c r="C250" t="str">
        <f ca="1">IFERROR(__xludf.DUMMYFUNCTION("""COMPUTED_VALUE"""),"Lucas Glover")</f>
        <v>Lucas Glover</v>
      </c>
      <c r="D250">
        <f ca="1">IFERROR(__xludf.DUMMYFUNCTION("""COMPUTED_VALUE"""),12)</f>
        <v>12</v>
      </c>
      <c r="E250">
        <f ca="1">IFERROR(__xludf.DUMMYFUNCTION("""COMPUTED_VALUE"""),49.32)</f>
        <v>49.32</v>
      </c>
      <c r="F250">
        <f ca="1">IFERROR(__xludf.DUMMYFUNCTION("""COMPUTED_VALUE"""),36)</f>
        <v>36</v>
      </c>
      <c r="G250">
        <f ca="1">IFERROR(__xludf.DUMMYFUNCTION("""COMPUTED_VALUE"""),73)</f>
        <v>73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IFERROR(__xludf.DUMMYFUNCTION("""COMPUTED_VALUE"""),260)</f>
        <v>260</v>
      </c>
      <c r="C251" t="str">
        <f ca="1">IFERROR(__xludf.DUMMYFUNCTION("""COMPUTED_VALUE"""),"Kevin Stadler")</f>
        <v>Kevin Stadler</v>
      </c>
      <c r="D251">
        <f ca="1">IFERROR(__xludf.DUMMYFUNCTION("""COMPUTED_VALUE"""),8)</f>
        <v>8</v>
      </c>
      <c r="E251">
        <f ca="1">IFERROR(__xludf.DUMMYFUNCTION("""COMPUTED_VALUE"""),49.23)</f>
        <v>49.23</v>
      </c>
      <c r="F251">
        <f ca="1">IFERROR(__xludf.DUMMYFUNCTION("""COMPUTED_VALUE"""),32)</f>
        <v>32</v>
      </c>
      <c r="G251">
        <f ca="1">IFERROR(__xludf.DUMMYFUNCTION("""COMPUTED_VALUE"""),65)</f>
        <v>65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IFERROR(__xludf.DUMMYFUNCTION("""COMPUTED_VALUE"""),240)</f>
        <v>240</v>
      </c>
      <c r="C252" t="str">
        <f ca="1">IFERROR(__xludf.DUMMYFUNCTION("""COMPUTED_VALUE"""),"George McNeill")</f>
        <v>George McNeill</v>
      </c>
      <c r="D252">
        <f ca="1">IFERROR(__xludf.DUMMYFUNCTION("""COMPUTED_VALUE"""),8)</f>
        <v>8</v>
      </c>
      <c r="E252">
        <f ca="1">IFERROR(__xludf.DUMMYFUNCTION("""COMPUTED_VALUE"""),48.98)</f>
        <v>48.98</v>
      </c>
      <c r="F252">
        <f ca="1">IFERROR(__xludf.DUMMYFUNCTION("""COMPUTED_VALUE"""),24)</f>
        <v>24</v>
      </c>
      <c r="G252">
        <f ca="1">IFERROR(__xludf.DUMMYFUNCTION("""COMPUTED_VALUE"""),49)</f>
        <v>49</v>
      </c>
    </row>
    <row r="253" spans="1:7" ht="12.75">
      <c r="A253" t="str">
        <f ca="1">IFERROR(__xludf.DUMMYFUNCTION("""COMPUTED_VALUE"""),"T252")</f>
        <v>T252</v>
      </c>
      <c r="B253" t="str">
        <f ca="1">IFERROR(__xludf.DUMMYFUNCTION("""COMPUTED_VALUE"""),"T242")</f>
        <v>T242</v>
      </c>
      <c r="C253" t="str">
        <f ca="1">IFERROR(__xludf.DUMMYFUNCTION("""COMPUTED_VALUE"""),"Tommy Gainey")</f>
        <v>Tommy Gainey</v>
      </c>
      <c r="D253">
        <f ca="1">IFERROR(__xludf.DUMMYFUNCTION("""COMPUTED_VALUE"""),6)</f>
        <v>6</v>
      </c>
      <c r="E253">
        <f ca="1">IFERROR(__xludf.DUMMYFUNCTION("""COMPUTED_VALUE"""),48.84)</f>
        <v>48.84</v>
      </c>
      <c r="F253">
        <f ca="1">IFERROR(__xludf.DUMMYFUNCTION("""COMPUTED_VALUE"""),21)</f>
        <v>21</v>
      </c>
      <c r="G253">
        <f ca="1">IFERROR(__xludf.DUMMYFUNCTION("""COMPUTED_VALUE"""),43)</f>
        <v>43</v>
      </c>
    </row>
    <row r="254" spans="1:7" ht="12.75">
      <c r="A254" t="str">
        <f ca="1">IFERROR(__xludf.DUMMYFUNCTION("""COMPUTED_VALUE"""),"T252")</f>
        <v>T252</v>
      </c>
      <c r="B254" t="str">
        <f ca="1">IFERROR(__xludf.DUMMYFUNCTION("""COMPUTED_VALUE"""),"T242")</f>
        <v>T242</v>
      </c>
      <c r="C254" t="str">
        <f ca="1">IFERROR(__xludf.DUMMYFUNCTION("""COMPUTED_VALUE"""),"Christiaan Bezuidenhout")</f>
        <v>Christiaan Bezuidenhout</v>
      </c>
      <c r="D254">
        <f ca="1">IFERROR(__xludf.DUMMYFUNCTION("""COMPUTED_VALUE"""),4)</f>
        <v>4</v>
      </c>
      <c r="E254">
        <f ca="1">IFERROR(__xludf.DUMMYFUNCTION("""COMPUTED_VALUE"""),48.84)</f>
        <v>48.84</v>
      </c>
      <c r="F254">
        <f ca="1">IFERROR(__xludf.DUMMYFUNCTION("""COMPUTED_VALUE"""),21)</f>
        <v>21</v>
      </c>
      <c r="G254">
        <f ca="1">IFERROR(__xludf.DUMMYFUNCTION("""COMPUTED_VALUE"""),43)</f>
        <v>43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IFERROR(__xludf.DUMMYFUNCTION("""COMPUTED_VALUE"""),221)</f>
        <v>221</v>
      </c>
      <c r="C255" t="str">
        <f ca="1">IFERROR(__xludf.DUMMYFUNCTION("""COMPUTED_VALUE"""),"Luke Donald")</f>
        <v>Luke Donald</v>
      </c>
      <c r="D255">
        <f ca="1">IFERROR(__xludf.DUMMYFUNCTION("""COMPUTED_VALUE"""),14)</f>
        <v>14</v>
      </c>
      <c r="E255">
        <f ca="1">IFERROR(__xludf.DUMMYFUNCTION("""COMPUTED_VALUE"""),48.81)</f>
        <v>48.81</v>
      </c>
      <c r="F255">
        <f ca="1">IFERROR(__xludf.DUMMYFUNCTION("""COMPUTED_VALUE"""),41)</f>
        <v>41</v>
      </c>
      <c r="G255">
        <f ca="1">IFERROR(__xludf.DUMMYFUNCTION("""COMPUTED_VALUE"""),84)</f>
        <v>84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IFERROR(__xludf.DUMMYFUNCTION("""COMPUTED_VALUE"""),244)</f>
        <v>244</v>
      </c>
      <c r="C256" t="str">
        <f ca="1">IFERROR(__xludf.DUMMYFUNCTION("""COMPUTED_VALUE"""),"Shawn Stefani")</f>
        <v>Shawn Stefani</v>
      </c>
      <c r="D256">
        <f ca="1">IFERROR(__xludf.DUMMYFUNCTION("""COMPUTED_VALUE"""),5)</f>
        <v>5</v>
      </c>
      <c r="E256">
        <f ca="1">IFERROR(__xludf.DUMMYFUNCTION("""COMPUTED_VALUE"""),48.78)</f>
        <v>48.78</v>
      </c>
      <c r="F256">
        <f ca="1">IFERROR(__xludf.DUMMYFUNCTION("""COMPUTED_VALUE"""),20)</f>
        <v>20</v>
      </c>
      <c r="G256">
        <f ca="1">IFERROR(__xludf.DUMMYFUNCTION("""COMPUTED_VALUE"""),41)</f>
        <v>41</v>
      </c>
    </row>
    <row r="257" spans="1:7" ht="12.75">
      <c r="A257">
        <f ca="1">IFERROR(__xludf.DUMMYFUNCTION("""COMPUTED_VALUE"""),256)</f>
        <v>256</v>
      </c>
      <c r="B257" t="str">
        <f ca="1">IFERROR(__xludf.DUMMYFUNCTION("""COMPUTED_VALUE"""),"T247")</f>
        <v>T247</v>
      </c>
      <c r="C257" t="str">
        <f ca="1">IFERROR(__xludf.DUMMYFUNCTION("""COMPUTED_VALUE"""),"Henrik Norlander")</f>
        <v>Henrik Norlander</v>
      </c>
      <c r="D257">
        <f ca="1">IFERROR(__xludf.DUMMYFUNCTION("""COMPUTED_VALUE"""),16)</f>
        <v>16</v>
      </c>
      <c r="E257">
        <f ca="1">IFERROR(__xludf.DUMMYFUNCTION("""COMPUTED_VALUE"""),48.68)</f>
        <v>48.68</v>
      </c>
      <c r="F257">
        <f ca="1">IFERROR(__xludf.DUMMYFUNCTION("""COMPUTED_VALUE"""),37)</f>
        <v>37</v>
      </c>
      <c r="G257">
        <f ca="1">IFERROR(__xludf.DUMMYFUNCTION("""COMPUTED_VALUE"""),76)</f>
        <v>76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IFERROR(__xludf.DUMMYFUNCTION("""COMPUTED_VALUE"""),246)</f>
        <v>246</v>
      </c>
      <c r="C258" t="str">
        <f ca="1">IFERROR(__xludf.DUMMYFUNCTION("""COMPUTED_VALUE"""),"Zack Sucher")</f>
        <v>Zack Sucher</v>
      </c>
      <c r="D258">
        <f ca="1">IFERROR(__xludf.DUMMYFUNCTION("""COMPUTED_VALUE"""),6)</f>
        <v>6</v>
      </c>
      <c r="E258">
        <f ca="1">IFERROR(__xludf.DUMMYFUNCTION("""COMPUTED_VALUE"""),48.57)</f>
        <v>48.57</v>
      </c>
      <c r="F258">
        <f ca="1">IFERROR(__xludf.DUMMYFUNCTION("""COMPUTED_VALUE"""),17)</f>
        <v>17</v>
      </c>
      <c r="G258">
        <f ca="1">IFERROR(__xludf.DUMMYFUNCTION("""COMPUTED_VALUE"""),35)</f>
        <v>35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IFERROR(__xludf.DUMMYFUNCTION("""COMPUTED_VALUE"""),249)</f>
        <v>249</v>
      </c>
      <c r="C259" t="str">
        <f ca="1">IFERROR(__xludf.DUMMYFUNCTION("""COMPUTED_VALUE"""),"Peter Uihlein")</f>
        <v>Peter Uihlein</v>
      </c>
      <c r="D259">
        <f ca="1">IFERROR(__xludf.DUMMYFUNCTION("""COMPUTED_VALUE"""),8)</f>
        <v>8</v>
      </c>
      <c r="E259">
        <f ca="1">IFERROR(__xludf.DUMMYFUNCTION("""COMPUTED_VALUE"""),48.33)</f>
        <v>48.33</v>
      </c>
      <c r="F259">
        <f ca="1">IFERROR(__xludf.DUMMYFUNCTION("""COMPUTED_VALUE"""),29)</f>
        <v>29</v>
      </c>
      <c r="G259">
        <f ca="1">IFERROR(__xludf.DUMMYFUNCTION("""COMPUTED_VALUE"""),60)</f>
        <v>60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IFERROR(__xludf.DUMMYFUNCTION("""COMPUTED_VALUE"""),252)</f>
        <v>252</v>
      </c>
      <c r="C260" t="str">
        <f ca="1">IFERROR(__xludf.DUMMYFUNCTION("""COMPUTED_VALUE"""),"Naoki Sekito")</f>
        <v>Naoki Sekito</v>
      </c>
      <c r="D260">
        <f ca="1">IFERROR(__xludf.DUMMYFUNCTION("""COMPUTED_VALUE"""),4)</f>
        <v>4</v>
      </c>
      <c r="E260">
        <f ca="1">IFERROR(__xludf.DUMMYFUNCTION("""COMPUTED_VALUE"""),48.15)</f>
        <v>48.15</v>
      </c>
      <c r="F260">
        <f ca="1">IFERROR(__xludf.DUMMYFUNCTION("""COMPUTED_VALUE"""),13)</f>
        <v>13</v>
      </c>
      <c r="G260">
        <f ca="1">IFERROR(__xludf.DUMMYFUNCTION("""COMPUTED_VALUE"""),27)</f>
        <v>27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IFERROR(__xludf.DUMMYFUNCTION("""COMPUTED_VALUE"""),254)</f>
        <v>254</v>
      </c>
      <c r="C261" t="str">
        <f ca="1">IFERROR(__xludf.DUMMYFUNCTION("""COMPUTED_VALUE"""),"Matthew Wolff")</f>
        <v>Matthew Wolff</v>
      </c>
      <c r="D261">
        <f ca="1">IFERROR(__xludf.DUMMYFUNCTION("""COMPUTED_VALUE"""),16)</f>
        <v>16</v>
      </c>
      <c r="E261">
        <f ca="1">IFERROR(__xludf.DUMMYFUNCTION("""COMPUTED_VALUE"""),47.57)</f>
        <v>47.57</v>
      </c>
      <c r="F261">
        <f ca="1">IFERROR(__xludf.DUMMYFUNCTION("""COMPUTED_VALUE"""),49)</f>
        <v>49</v>
      </c>
      <c r="G261">
        <f ca="1">IFERROR(__xludf.DUMMYFUNCTION("""COMPUTED_VALUE"""),103)</f>
        <v>103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IFERROR(__xludf.DUMMYFUNCTION("""COMPUTED_VALUE"""),255)</f>
        <v>255</v>
      </c>
      <c r="C262" t="str">
        <f ca="1">IFERROR(__xludf.DUMMYFUNCTION("""COMPUTED_VALUE"""),"Robert MacIntyre")</f>
        <v>Robert MacIntyre</v>
      </c>
      <c r="D262">
        <f ca="1">IFERROR(__xludf.DUMMYFUNCTION("""COMPUTED_VALUE"""),4)</f>
        <v>4</v>
      </c>
      <c r="E262">
        <f ca="1">IFERROR(__xludf.DUMMYFUNCTION("""COMPUTED_VALUE"""),47.5)</f>
        <v>47.5</v>
      </c>
      <c r="F262">
        <f ca="1">IFERROR(__xludf.DUMMYFUNCTION("""COMPUTED_VALUE"""),19)</f>
        <v>19</v>
      </c>
      <c r="G262">
        <f ca="1">IFERROR(__xludf.DUMMYFUNCTION("""COMPUTED_VALUE"""),40)</f>
        <v>40</v>
      </c>
    </row>
    <row r="263" spans="1:7" ht="12.75">
      <c r="A263" t="str">
        <f ca="1">IFERROR(__xludf.DUMMYFUNCTION("""COMPUTED_VALUE"""),"T262")</f>
        <v>T262</v>
      </c>
      <c r="B263" t="str">
        <f ca="1">IFERROR(__xludf.DUMMYFUNCTION("""COMPUTED_VALUE"""),"T256")</f>
        <v>T256</v>
      </c>
      <c r="C263" t="str">
        <f ca="1">IFERROR(__xludf.DUMMYFUNCTION("""COMPUTED_VALUE"""),"Thomas Detry")</f>
        <v>Thomas Detry</v>
      </c>
      <c r="D263">
        <f ca="1">IFERROR(__xludf.DUMMYFUNCTION("""COMPUTED_VALUE"""),8)</f>
        <v>8</v>
      </c>
      <c r="E263">
        <f ca="1">IFERROR(__xludf.DUMMYFUNCTION("""COMPUTED_VALUE"""),47.46)</f>
        <v>47.46</v>
      </c>
      <c r="F263">
        <f ca="1">IFERROR(__xludf.DUMMYFUNCTION("""COMPUTED_VALUE"""),28)</f>
        <v>28</v>
      </c>
      <c r="G263">
        <f ca="1">IFERROR(__xludf.DUMMYFUNCTION("""COMPUTED_VALUE"""),59)</f>
        <v>59</v>
      </c>
    </row>
    <row r="264" spans="1:7" ht="12.75">
      <c r="A264" t="str">
        <f ca="1">IFERROR(__xludf.DUMMYFUNCTION("""COMPUTED_VALUE"""),"T262")</f>
        <v>T262</v>
      </c>
      <c r="B264" t="str">
        <f ca="1">IFERROR(__xludf.DUMMYFUNCTION("""COMPUTED_VALUE"""),"T256")</f>
        <v>T256</v>
      </c>
      <c r="C264" t="str">
        <f ca="1">IFERROR(__xludf.DUMMYFUNCTION("""COMPUTED_VALUE"""),"Matt Every")</f>
        <v>Matt Every</v>
      </c>
      <c r="D264">
        <f ca="1">IFERROR(__xludf.DUMMYFUNCTION("""COMPUTED_VALUE"""),8)</f>
        <v>8</v>
      </c>
      <c r="E264">
        <f ca="1">IFERROR(__xludf.DUMMYFUNCTION("""COMPUTED_VALUE"""),47.46)</f>
        <v>47.46</v>
      </c>
      <c r="F264">
        <f ca="1">IFERROR(__xludf.DUMMYFUNCTION("""COMPUTED_VALUE"""),28)</f>
        <v>28</v>
      </c>
      <c r="G264">
        <f ca="1">IFERROR(__xludf.DUMMYFUNCTION("""COMPUTED_VALUE"""),59)</f>
        <v>59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IFERROR(__xludf.DUMMYFUNCTION("""COMPUTED_VALUE"""),259)</f>
        <v>259</v>
      </c>
      <c r="C265" t="str">
        <f ca="1">IFERROR(__xludf.DUMMYFUNCTION("""COMPUTED_VALUE"""),"Shaun Norris")</f>
        <v>Shaun Norris</v>
      </c>
      <c r="D265">
        <f ca="1">IFERROR(__xludf.DUMMYFUNCTION("""COMPUTED_VALUE"""),6)</f>
        <v>6</v>
      </c>
      <c r="E265">
        <f ca="1">IFERROR(__xludf.DUMMYFUNCTION("""COMPUTED_VALUE"""),47.22)</f>
        <v>47.22</v>
      </c>
      <c r="F265">
        <f ca="1">IFERROR(__xludf.DUMMYFUNCTION("""COMPUTED_VALUE"""),17)</f>
        <v>17</v>
      </c>
      <c r="G265">
        <f ca="1">IFERROR(__xludf.DUMMYFUNCTION("""COMPUTED_VALUE"""),36)</f>
        <v>36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IFERROR(__xludf.DUMMYFUNCTION("""COMPUTED_VALUE"""),241)</f>
        <v>241</v>
      </c>
      <c r="C266" t="str">
        <f ca="1">IFERROR(__xludf.DUMMYFUNCTION("""COMPUTED_VALUE"""),"Bo Van Pelt")</f>
        <v>Bo Van Pelt</v>
      </c>
      <c r="D266">
        <f ca="1">IFERROR(__xludf.DUMMYFUNCTION("""COMPUTED_VALUE"""),10)</f>
        <v>10</v>
      </c>
      <c r="E266">
        <f ca="1">IFERROR(__xludf.DUMMYFUNCTION("""COMPUTED_VALUE"""),46.97)</f>
        <v>46.97</v>
      </c>
      <c r="F266">
        <f ca="1">IFERROR(__xludf.DUMMYFUNCTION("""COMPUTED_VALUE"""),31)</f>
        <v>31</v>
      </c>
      <c r="G266">
        <f ca="1">IFERROR(__xludf.DUMMYFUNCTION("""COMPUTED_VALUE"""),66)</f>
        <v>66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IFERROR(__xludf.DUMMYFUNCTION("""COMPUTED_VALUE"""),261)</f>
        <v>261</v>
      </c>
      <c r="C267" t="str">
        <f ca="1">IFERROR(__xludf.DUMMYFUNCTION("""COMPUTED_VALUE"""),"Matthew Borchert")</f>
        <v>Matthew Borchert</v>
      </c>
      <c r="D267">
        <f ca="1">IFERROR(__xludf.DUMMYFUNCTION("""COMPUTED_VALUE"""),4)</f>
        <v>4</v>
      </c>
      <c r="E267">
        <f ca="1">IFERROR(__xludf.DUMMYFUNCTION("""COMPUTED_VALUE"""),46.67)</f>
        <v>46.67</v>
      </c>
      <c r="F267">
        <f ca="1">IFERROR(__xludf.DUMMYFUNCTION("""COMPUTED_VALUE"""),14)</f>
        <v>14</v>
      </c>
      <c r="G267">
        <f ca="1">IFERROR(__xludf.DUMMYFUNCTION("""COMPUTED_VALUE"""),30)</f>
        <v>30</v>
      </c>
    </row>
    <row r="268" spans="1:7" ht="12.75">
      <c r="A268">
        <f ca="1">IFERROR(__xludf.DUMMYFUNCTION("""COMPUTED_VALUE"""),267)</f>
        <v>267</v>
      </c>
      <c r="B268" t="str">
        <f ca="1">IFERROR(__xludf.DUMMYFUNCTION("""COMPUTED_VALUE"""),"T228")</f>
        <v>T228</v>
      </c>
      <c r="C268" t="str">
        <f ca="1">IFERROR(__xludf.DUMMYFUNCTION("""COMPUTED_VALUE"""),"Graham DeLaet")</f>
        <v>Graham DeLaet</v>
      </c>
      <c r="D268">
        <f ca="1">IFERROR(__xludf.DUMMYFUNCTION("""COMPUTED_VALUE"""),9)</f>
        <v>9</v>
      </c>
      <c r="E268">
        <f ca="1">IFERROR(__xludf.DUMMYFUNCTION("""COMPUTED_VALUE"""),46.43)</f>
        <v>46.43</v>
      </c>
      <c r="F268">
        <f ca="1">IFERROR(__xludf.DUMMYFUNCTION("""COMPUTED_VALUE"""),26)</f>
        <v>26</v>
      </c>
      <c r="G268">
        <f ca="1">IFERROR(__xludf.DUMMYFUNCTION("""COMPUTED_VALUE"""),56)</f>
        <v>56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IFERROR(__xludf.DUMMYFUNCTION("""COMPUTED_VALUE"""),262)</f>
        <v>262</v>
      </c>
      <c r="C269" t="str">
        <f ca="1">IFERROR(__xludf.DUMMYFUNCTION("""COMPUTED_VALUE"""),"Rickie Fowler")</f>
        <v>Rickie Fowler</v>
      </c>
      <c r="D269">
        <f ca="1">IFERROR(__xludf.DUMMYFUNCTION("""COMPUTED_VALUE"""),14)</f>
        <v>14</v>
      </c>
      <c r="E269">
        <f ca="1">IFERROR(__xludf.DUMMYFUNCTION("""COMPUTED_VALUE"""),46.34)</f>
        <v>46.34</v>
      </c>
      <c r="F269">
        <f ca="1">IFERROR(__xludf.DUMMYFUNCTION("""COMPUTED_VALUE"""),38)</f>
        <v>38</v>
      </c>
      <c r="G269">
        <f ca="1">IFERROR(__xludf.DUMMYFUNCTION("""COMPUTED_VALUE"""),82)</f>
        <v>82</v>
      </c>
    </row>
    <row r="270" spans="1:7" ht="12.75">
      <c r="A270">
        <f ca="1">IFERROR(__xludf.DUMMYFUNCTION("""COMPUTED_VALUE"""),269)</f>
        <v>269</v>
      </c>
      <c r="B270" t="str">
        <f ca="1">IFERROR(__xludf.DUMMYFUNCTION("""COMPUTED_VALUE"""),"T228")</f>
        <v>T228</v>
      </c>
      <c r="C270" t="str">
        <f ca="1">IFERROR(__xludf.DUMMYFUNCTION("""COMPUTED_VALUE"""),"Danny Willett")</f>
        <v>Danny Willett</v>
      </c>
      <c r="D270">
        <f ca="1">IFERROR(__xludf.DUMMYFUNCTION("""COMPUTED_VALUE"""),7)</f>
        <v>7</v>
      </c>
      <c r="E270">
        <f ca="1">IFERROR(__xludf.DUMMYFUNCTION("""COMPUTED_VALUE"""),45.61)</f>
        <v>45.61</v>
      </c>
      <c r="F270">
        <f ca="1">IFERROR(__xludf.DUMMYFUNCTION("""COMPUTED_VALUE"""),26)</f>
        <v>26</v>
      </c>
      <c r="G270">
        <f ca="1">IFERROR(__xludf.DUMMYFUNCTION("""COMPUTED_VALUE"""),57)</f>
        <v>57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IFERROR(__xludf.DUMMYFUNCTION("""COMPUTED_VALUE"""),"Grayson Murray")</f>
        <v>Grayson Murray</v>
      </c>
      <c r="D271">
        <f ca="1">IFERROR(__xludf.DUMMYFUNCTION("""COMPUTED_VALUE"""),10)</f>
        <v>10</v>
      </c>
      <c r="E271">
        <f ca="1">IFERROR(__xludf.DUMMYFUNCTION("""COMPUTED_VALUE"""),45.45)</f>
        <v>45.45</v>
      </c>
      <c r="F271">
        <f ca="1">IFERROR(__xludf.DUMMYFUNCTION("""COMPUTED_VALUE"""),30)</f>
        <v>30</v>
      </c>
      <c r="G271">
        <f ca="1">IFERROR(__xludf.DUMMYFUNCTION("""COMPUTED_VALUE"""),66)</f>
        <v>66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IFERROR(__xludf.DUMMYFUNCTION("""COMPUTED_VALUE"""),265)</f>
        <v>265</v>
      </c>
      <c r="C272" t="str">
        <f ca="1">IFERROR(__xludf.DUMMYFUNCTION("""COMPUTED_VALUE"""),"Danny Lee")</f>
        <v>Danny Lee</v>
      </c>
      <c r="D272">
        <f ca="1">IFERROR(__xludf.DUMMYFUNCTION("""COMPUTED_VALUE"""),15)</f>
        <v>15</v>
      </c>
      <c r="E272">
        <f ca="1">IFERROR(__xludf.DUMMYFUNCTION("""COMPUTED_VALUE"""),44.79)</f>
        <v>44.79</v>
      </c>
      <c r="F272">
        <f ca="1">IFERROR(__xludf.DUMMYFUNCTION("""COMPUTED_VALUE"""),43)</f>
        <v>43</v>
      </c>
      <c r="G272">
        <f ca="1">IFERROR(__xludf.DUMMYFUNCTION("""COMPUTED_VALUE"""),96)</f>
        <v>96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IFERROR(__xludf.DUMMYFUNCTION("""COMPUTED_VALUE"""),266)</f>
        <v>266</v>
      </c>
      <c r="C273" t="str">
        <f ca="1">IFERROR(__xludf.DUMMYFUNCTION("""COMPUTED_VALUE"""),"J.B. Holmes")</f>
        <v>J.B. Holmes</v>
      </c>
      <c r="D273">
        <f ca="1">IFERROR(__xludf.DUMMYFUNCTION("""COMPUTED_VALUE"""),10)</f>
        <v>10</v>
      </c>
      <c r="E273">
        <f ca="1">IFERROR(__xludf.DUMMYFUNCTION("""COMPUTED_VALUE"""),44.23)</f>
        <v>44.23</v>
      </c>
      <c r="F273">
        <f ca="1">IFERROR(__xludf.DUMMYFUNCTION("""COMPUTED_VALUE"""),23)</f>
        <v>23</v>
      </c>
      <c r="G273">
        <f ca="1">IFERROR(__xludf.DUMMYFUNCTION("""COMPUTED_VALUE"""),52)</f>
        <v>52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IFERROR(__xludf.DUMMYFUNCTION("""COMPUTED_VALUE"""),267)</f>
        <v>267</v>
      </c>
      <c r="C274" t="str">
        <f ca="1">IFERROR(__xludf.DUMMYFUNCTION("""COMPUTED_VALUE"""),"Jeongwoo Ham")</f>
        <v>Jeongwoo Ham</v>
      </c>
      <c r="D274">
        <f ca="1">IFERROR(__xludf.DUMMYFUNCTION("""COMPUTED_VALUE"""),4)</f>
        <v>4</v>
      </c>
      <c r="E274">
        <f ca="1">IFERROR(__xludf.DUMMYFUNCTION("""COMPUTED_VALUE"""),44.12)</f>
        <v>44.12</v>
      </c>
      <c r="F274">
        <f ca="1">IFERROR(__xludf.DUMMYFUNCTION("""COMPUTED_VALUE"""),15)</f>
        <v>15</v>
      </c>
      <c r="G274">
        <f ca="1">IFERROR(__xludf.DUMMYFUNCTION("""COMPUTED_VALUE"""),34)</f>
        <v>34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IFERROR(__xludf.DUMMYFUNCTION("""COMPUTED_VALUE"""),268)</f>
        <v>268</v>
      </c>
      <c r="C275" t="str">
        <f ca="1">IFERROR(__xludf.DUMMYFUNCTION("""COMPUTED_VALUE"""),"Shugo Imahira")</f>
        <v>Shugo Imahira</v>
      </c>
      <c r="D275">
        <f ca="1">IFERROR(__xludf.DUMMYFUNCTION("""COMPUTED_VALUE"""),8)</f>
        <v>8</v>
      </c>
      <c r="E275">
        <f ca="1">IFERROR(__xludf.DUMMYFUNCTION("""COMPUTED_VALUE"""),43.94)</f>
        <v>43.94</v>
      </c>
      <c r="F275">
        <f ca="1">IFERROR(__xludf.DUMMYFUNCTION("""COMPUTED_VALUE"""),29)</f>
        <v>29</v>
      </c>
      <c r="G275">
        <f ca="1">IFERROR(__xludf.DUMMYFUNCTION("""COMPUTED_VALUE"""),66)</f>
        <v>66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IFERROR(__xludf.DUMMYFUNCTION("""COMPUTED_VALUE"""),270)</f>
        <v>270</v>
      </c>
      <c r="C276" t="str">
        <f ca="1">IFERROR(__xludf.DUMMYFUNCTION("""COMPUTED_VALUE"""),"Rory Sabbatini")</f>
        <v>Rory Sabbatini</v>
      </c>
      <c r="D276">
        <f ca="1">IFERROR(__xludf.DUMMYFUNCTION("""COMPUTED_VALUE"""),13)</f>
        <v>13</v>
      </c>
      <c r="E276">
        <f ca="1">IFERROR(__xludf.DUMMYFUNCTION("""COMPUTED_VALUE"""),43.3)</f>
        <v>43.3</v>
      </c>
      <c r="F276">
        <f ca="1">IFERROR(__xludf.DUMMYFUNCTION("""COMPUTED_VALUE"""),42)</f>
        <v>42</v>
      </c>
      <c r="G276">
        <f ca="1">IFERROR(__xludf.DUMMYFUNCTION("""COMPUTED_VALUE"""),97)</f>
        <v>97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IFERROR(__xludf.DUMMYFUNCTION("""COMPUTED_VALUE"""),271)</f>
        <v>271</v>
      </c>
      <c r="C277" t="str">
        <f ca="1">IFERROR(__xludf.DUMMYFUNCTION("""COMPUTED_VALUE"""),"Tiger Woods")</f>
        <v>Tiger Woods</v>
      </c>
      <c r="D277">
        <f ca="1">IFERROR(__xludf.DUMMYFUNCTION("""COMPUTED_VALUE"""),6)</f>
        <v>6</v>
      </c>
      <c r="E277">
        <f ca="1">IFERROR(__xludf.DUMMYFUNCTION("""COMPUTED_VALUE"""),42.86)</f>
        <v>42.86</v>
      </c>
      <c r="F277">
        <f ca="1">IFERROR(__xludf.DUMMYFUNCTION("""COMPUTED_VALUE"""),18)</f>
        <v>18</v>
      </c>
      <c r="G277">
        <f ca="1">IFERROR(__xludf.DUMMYFUNCTION("""COMPUTED_VALUE"""),42)</f>
        <v>42</v>
      </c>
    </row>
    <row r="278" spans="1:7" ht="12.75">
      <c r="A278">
        <f ca="1">IFERROR(__xludf.DUMMYFUNCTION("""COMPUTED_VALUE"""),277)</f>
        <v>277</v>
      </c>
      <c r="B278">
        <f ca="1">IFERROR(__xludf.DUMMYFUNCTION("""COMPUTED_VALUE"""),272)</f>
        <v>272</v>
      </c>
      <c r="C278" t="str">
        <f ca="1">IFERROR(__xludf.DUMMYFUNCTION("""COMPUTED_VALUE"""),"John Pak")</f>
        <v>John Pak</v>
      </c>
      <c r="D278">
        <f ca="1">IFERROR(__xludf.DUMMYFUNCTION("""COMPUTED_VALUE"""),4)</f>
        <v>4</v>
      </c>
      <c r="E278">
        <f ca="1">IFERROR(__xludf.DUMMYFUNCTION("""COMPUTED_VALUE"""),42.42)</f>
        <v>42.42</v>
      </c>
      <c r="F278">
        <f ca="1">IFERROR(__xludf.DUMMYFUNCTION("""COMPUTED_VALUE"""),14)</f>
        <v>14</v>
      </c>
      <c r="G278">
        <f ca="1">IFERROR(__xludf.DUMMYFUNCTION("""COMPUTED_VALUE"""),33)</f>
        <v>33</v>
      </c>
    </row>
    <row r="279" spans="1:7" ht="12.75">
      <c r="A279">
        <f ca="1">IFERROR(__xludf.DUMMYFUNCTION("""COMPUTED_VALUE"""),278)</f>
        <v>278</v>
      </c>
      <c r="B279">
        <f ca="1">IFERROR(__xludf.DUMMYFUNCTION("""COMPUTED_VALUE"""),273)</f>
        <v>273</v>
      </c>
      <c r="C279" t="str">
        <f ca="1">IFERROR(__xludf.DUMMYFUNCTION("""COMPUTED_VALUE"""),"Gary Woodland")</f>
        <v>Gary Woodland</v>
      </c>
      <c r="D279">
        <f ca="1">IFERROR(__xludf.DUMMYFUNCTION("""COMPUTED_VALUE"""),6)</f>
        <v>6</v>
      </c>
      <c r="E279">
        <f ca="1">IFERROR(__xludf.DUMMYFUNCTION("""COMPUTED_VALUE"""),42.31)</f>
        <v>42.31</v>
      </c>
      <c r="F279">
        <f ca="1">IFERROR(__xludf.DUMMYFUNCTION("""COMPUTED_VALUE"""),22)</f>
        <v>22</v>
      </c>
      <c r="G279">
        <f ca="1">IFERROR(__xludf.DUMMYFUNCTION("""COMPUTED_VALUE"""),52)</f>
        <v>52</v>
      </c>
    </row>
    <row r="280" spans="1:7" ht="12.75">
      <c r="A280">
        <f ca="1">IFERROR(__xludf.DUMMYFUNCTION("""COMPUTED_VALUE"""),279)</f>
        <v>279</v>
      </c>
      <c r="B280" t="str">
        <f ca="1">IFERROR(__xludf.DUMMYFUNCTION("""COMPUTED_VALUE"""),"")</f>
        <v/>
      </c>
      <c r="C280" t="str">
        <f ca="1">IFERROR(__xludf.DUMMYFUNCTION("""COMPUTED_VALUE"""),"Justin Harding")</f>
        <v>Justin Harding</v>
      </c>
      <c r="D280">
        <f ca="1">IFERROR(__xludf.DUMMYFUNCTION("""COMPUTED_VALUE"""),6)</f>
        <v>6</v>
      </c>
      <c r="E280">
        <f ca="1">IFERROR(__xludf.DUMMYFUNCTION("""COMPUTED_VALUE"""),41.86)</f>
        <v>41.86</v>
      </c>
      <c r="F280">
        <f ca="1">IFERROR(__xludf.DUMMYFUNCTION("""COMPUTED_VALUE"""),18)</f>
        <v>18</v>
      </c>
      <c r="G280">
        <f ca="1">IFERROR(__xludf.DUMMYFUNCTION("""COMPUTED_VALUE"""),43)</f>
        <v>43</v>
      </c>
    </row>
    <row r="281" spans="1:7" ht="12.75">
      <c r="A281">
        <f ca="1">IFERROR(__xludf.DUMMYFUNCTION("""COMPUTED_VALUE"""),280)</f>
        <v>280</v>
      </c>
      <c r="B281">
        <f ca="1">IFERROR(__xludf.DUMMYFUNCTION("""COMPUTED_VALUE"""),275)</f>
        <v>275</v>
      </c>
      <c r="C281" t="str">
        <f ca="1">IFERROR(__xludf.DUMMYFUNCTION("""COMPUTED_VALUE"""),"Hanbyeol Kim")</f>
        <v>Hanbyeol Kim</v>
      </c>
      <c r="D281">
        <f ca="1">IFERROR(__xludf.DUMMYFUNCTION("""COMPUTED_VALUE"""),4)</f>
        <v>4</v>
      </c>
      <c r="E281">
        <f ca="1">IFERROR(__xludf.DUMMYFUNCTION("""COMPUTED_VALUE"""),41.67)</f>
        <v>41.67</v>
      </c>
      <c r="F281">
        <f ca="1">IFERROR(__xludf.DUMMYFUNCTION("""COMPUTED_VALUE"""),10)</f>
        <v>10</v>
      </c>
      <c r="G281">
        <f ca="1">IFERROR(__xludf.DUMMYFUNCTION("""COMPUTED_VALUE"""),24)</f>
        <v>24</v>
      </c>
    </row>
    <row r="282" spans="1:7" ht="12.75">
      <c r="A282">
        <f ca="1">IFERROR(__xludf.DUMMYFUNCTION("""COMPUTED_VALUE"""),281)</f>
        <v>281</v>
      </c>
      <c r="B282">
        <f ca="1">IFERROR(__xludf.DUMMYFUNCTION("""COMPUTED_VALUE"""),274)</f>
        <v>274</v>
      </c>
      <c r="C282" t="str">
        <f ca="1">IFERROR(__xludf.DUMMYFUNCTION("""COMPUTED_VALUE"""),"Sung Kang")</f>
        <v>Sung Kang</v>
      </c>
      <c r="D282">
        <f ca="1">IFERROR(__xludf.DUMMYFUNCTION("""COMPUTED_VALUE"""),14)</f>
        <v>14</v>
      </c>
      <c r="E282">
        <f ca="1">IFERROR(__xludf.DUMMYFUNCTION("""COMPUTED_VALUE"""),41.24)</f>
        <v>41.24</v>
      </c>
      <c r="F282">
        <f ca="1">IFERROR(__xludf.DUMMYFUNCTION("""COMPUTED_VALUE"""),40)</f>
        <v>40</v>
      </c>
      <c r="G282">
        <f ca="1">IFERROR(__xludf.DUMMYFUNCTION("""COMPUTED_VALUE"""),97)</f>
        <v>97</v>
      </c>
    </row>
    <row r="283" spans="1:7" ht="12.75">
      <c r="A283">
        <f ca="1">IFERROR(__xludf.DUMMYFUNCTION("""COMPUTED_VALUE"""),282)</f>
        <v>282</v>
      </c>
      <c r="B283">
        <f ca="1">IFERROR(__xludf.DUMMYFUNCTION("""COMPUTED_VALUE"""),277)</f>
        <v>277</v>
      </c>
      <c r="C283" t="str">
        <f ca="1">IFERROR(__xludf.DUMMYFUNCTION("""COMPUTED_VALUE"""),"Jaekyeong Lee")</f>
        <v>Jaekyeong Lee</v>
      </c>
      <c r="D283">
        <f ca="1">IFERROR(__xludf.DUMMYFUNCTION("""COMPUTED_VALUE"""),4)</f>
        <v>4</v>
      </c>
      <c r="E283">
        <f ca="1">IFERROR(__xludf.DUMMYFUNCTION("""COMPUTED_VALUE"""),40)</f>
        <v>40</v>
      </c>
      <c r="F283">
        <f ca="1">IFERROR(__xludf.DUMMYFUNCTION("""COMPUTED_VALUE"""),12)</f>
        <v>12</v>
      </c>
      <c r="G283">
        <f ca="1">IFERROR(__xludf.DUMMYFUNCTION("""COMPUTED_VALUE"""),30)</f>
        <v>30</v>
      </c>
    </row>
    <row r="284" spans="1:7" ht="12.75">
      <c r="A284">
        <f ca="1">IFERROR(__xludf.DUMMYFUNCTION("""COMPUTED_VALUE"""),283)</f>
        <v>283</v>
      </c>
      <c r="B284">
        <f ca="1">IFERROR(__xludf.DUMMYFUNCTION("""COMPUTED_VALUE"""),278)</f>
        <v>278</v>
      </c>
      <c r="C284" t="str">
        <f ca="1">IFERROR(__xludf.DUMMYFUNCTION("""COMPUTED_VALUE"""),"Bernd Wiesberger")</f>
        <v>Bernd Wiesberger</v>
      </c>
      <c r="D284">
        <f ca="1">IFERROR(__xludf.DUMMYFUNCTION("""COMPUTED_VALUE"""),4)</f>
        <v>4</v>
      </c>
      <c r="E284">
        <f ca="1">IFERROR(__xludf.DUMMYFUNCTION("""COMPUTED_VALUE"""),39.39)</f>
        <v>39.39</v>
      </c>
      <c r="F284">
        <f ca="1">IFERROR(__xludf.DUMMYFUNCTION("""COMPUTED_VALUE"""),13)</f>
        <v>13</v>
      </c>
      <c r="G284">
        <f ca="1">IFERROR(__xludf.DUMMYFUNCTION("""COMPUTED_VALUE"""),33)</f>
        <v>33</v>
      </c>
    </row>
    <row r="285" spans="1:7" ht="12.75">
      <c r="A285">
        <f ca="1">IFERROR(__xludf.DUMMYFUNCTION("""COMPUTED_VALUE"""),284)</f>
        <v>284</v>
      </c>
      <c r="B285">
        <f ca="1">IFERROR(__xludf.DUMMYFUNCTION("""COMPUTED_VALUE"""),279)</f>
        <v>279</v>
      </c>
      <c r="C285" t="str">
        <f ca="1">IFERROR(__xludf.DUMMYFUNCTION("""COMPUTED_VALUE"""),"Matt Wallace")</f>
        <v>Matt Wallace</v>
      </c>
      <c r="D285">
        <f ca="1">IFERROR(__xludf.DUMMYFUNCTION("""COMPUTED_VALUE"""),4)</f>
        <v>4</v>
      </c>
      <c r="E285">
        <f ca="1">IFERROR(__xludf.DUMMYFUNCTION("""COMPUTED_VALUE"""),38.46)</f>
        <v>38.46</v>
      </c>
      <c r="F285">
        <f ca="1">IFERROR(__xludf.DUMMYFUNCTION("""COMPUTED_VALUE"""),10)</f>
        <v>10</v>
      </c>
      <c r="G285">
        <f ca="1">IFERROR(__xludf.DUMMYFUNCTION("""COMPUTED_VALUE"""),26)</f>
        <v>26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IFERROR(__xludf.DUMMYFUNCTION("""COMPUTED_VALUE"""),280)</f>
        <v>280</v>
      </c>
      <c r="C286" t="str">
        <f ca="1">IFERROR(__xludf.DUMMYFUNCTION("""COMPUTED_VALUE"""),"Eric Dugas")</f>
        <v>Eric Dugas</v>
      </c>
      <c r="D286">
        <f ca="1">IFERROR(__xludf.DUMMYFUNCTION("""COMPUTED_VALUE"""),4)</f>
        <v>4</v>
      </c>
      <c r="E286">
        <f ca="1">IFERROR(__xludf.DUMMYFUNCTION("""COMPUTED_VALUE"""),38.24)</f>
        <v>38.24</v>
      </c>
      <c r="F286">
        <f ca="1">IFERROR(__xludf.DUMMYFUNCTION("""COMPUTED_VALUE"""),13)</f>
        <v>13</v>
      </c>
      <c r="G286">
        <f ca="1">IFERROR(__xludf.DUMMYFUNCTION("""COMPUTED_VALUE"""),34)</f>
        <v>34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IFERROR(__xludf.DUMMYFUNCTION("""COMPUTED_VALUE"""),281)</f>
        <v>281</v>
      </c>
      <c r="C287" t="str">
        <f ca="1">IFERROR(__xludf.DUMMYFUNCTION("""COMPUTED_VALUE"""),"Rasmus Hojgaard")</f>
        <v>Rasmus Hojgaard</v>
      </c>
      <c r="D287">
        <f ca="1">IFERROR(__xludf.DUMMYFUNCTION("""COMPUTED_VALUE"""),6)</f>
        <v>6</v>
      </c>
      <c r="E287">
        <f ca="1">IFERROR(__xludf.DUMMYFUNCTION("""COMPUTED_VALUE"""),37.78)</f>
        <v>37.78</v>
      </c>
      <c r="F287">
        <f ca="1">IFERROR(__xludf.DUMMYFUNCTION("""COMPUTED_VALUE"""),17)</f>
        <v>17</v>
      </c>
      <c r="G287">
        <f ca="1">IFERROR(__xludf.DUMMYFUNCTION("""COMPUTED_VALUE"""),45)</f>
        <v>45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IFERROR(__xludf.DUMMYFUNCTION("""COMPUTED_VALUE"""),284)</f>
        <v>284</v>
      </c>
      <c r="C288" t="str">
        <f ca="1">IFERROR(__xludf.DUMMYFUNCTION("""COMPUTED_VALUE"""),"Adam Scott")</f>
        <v>Adam Scott</v>
      </c>
      <c r="D288">
        <f ca="1">IFERROR(__xludf.DUMMYFUNCTION("""COMPUTED_VALUE"""),8)</f>
        <v>8</v>
      </c>
      <c r="E288">
        <f ca="1">IFERROR(__xludf.DUMMYFUNCTION("""COMPUTED_VALUE"""),37.29)</f>
        <v>37.29</v>
      </c>
      <c r="F288">
        <f ca="1">IFERROR(__xludf.DUMMYFUNCTION("""COMPUTED_VALUE"""),22)</f>
        <v>22</v>
      </c>
      <c r="G288">
        <f ca="1">IFERROR(__xludf.DUMMYFUNCTION("""COMPUTED_VALUE"""),59)</f>
        <v>59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IFERROR(__xludf.DUMMYFUNCTION("""COMPUTED_VALUE"""),282)</f>
        <v>282</v>
      </c>
      <c r="C289" t="str">
        <f ca="1">IFERROR(__xludf.DUMMYFUNCTION("""COMPUTED_VALUE"""),"Jazz Janewattananond")</f>
        <v>Jazz Janewattananond</v>
      </c>
      <c r="D289">
        <f ca="1">IFERROR(__xludf.DUMMYFUNCTION("""COMPUTED_VALUE"""),6)</f>
        <v>6</v>
      </c>
      <c r="E289">
        <f ca="1">IFERROR(__xludf.DUMMYFUNCTION("""COMPUTED_VALUE"""),36.67)</f>
        <v>36.67</v>
      </c>
      <c r="F289">
        <f ca="1">IFERROR(__xludf.DUMMYFUNCTION("""COMPUTED_VALUE"""),11)</f>
        <v>11</v>
      </c>
      <c r="G289">
        <f ca="1">IFERROR(__xludf.DUMMYFUNCTION("""COMPUTED_VALUE"""),30)</f>
        <v>30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IFERROR(__xludf.DUMMYFUNCTION("""COMPUTED_VALUE"""),283)</f>
        <v>283</v>
      </c>
      <c r="C290" t="str">
        <f ca="1">IFERROR(__xludf.DUMMYFUNCTION("""COMPUTED_VALUE"""),"Davis Riley")</f>
        <v>Davis Riley</v>
      </c>
      <c r="D290">
        <f ca="1">IFERROR(__xludf.DUMMYFUNCTION("""COMPUTED_VALUE"""),4)</f>
        <v>4</v>
      </c>
      <c r="E290">
        <f ca="1">IFERROR(__xludf.DUMMYFUNCTION("""COMPUTED_VALUE"""),35.29)</f>
        <v>35.29</v>
      </c>
      <c r="F290">
        <f ca="1">IFERROR(__xludf.DUMMYFUNCTION("""COMPUTED_VALUE"""),12)</f>
        <v>12</v>
      </c>
      <c r="G290">
        <f ca="1">IFERROR(__xludf.DUMMYFUNCTION("""COMPUTED_VALUE"""),34)</f>
        <v>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IFERROR(__xludf.DUMMYFUNCTION("importhtml(""http://www.pgatour.com/stats/stat.362.html"",""table"",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IFERROR(__xludf.DUMMYFUNCTION("""COMPUTED_VALUE"""),"SUCCESSES")</f>
        <v>SUCCESSES</v>
      </c>
      <c r="G1" t="str">
        <f ca="1">IFERROR(__xludf.DUMMYFUNCTION("""COMPUTED_VALUE"""),"ATTEMPTS")</f>
        <v>ATTEMPTS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IFERROR(__xludf.DUMMYFUNCTION("""COMPUTED_VALUE"""),"Jim Furyk")</f>
        <v>Jim Furyk</v>
      </c>
      <c r="D2">
        <f ca="1">IFERROR(__xludf.DUMMYFUNCTION("""COMPUTED_VALUE"""),4)</f>
        <v>4</v>
      </c>
      <c r="E2">
        <f ca="1">IFERROR(__xludf.DUMMYFUNCTION("""COMPUTED_VALUE"""),100)</f>
        <v>100</v>
      </c>
      <c r="F2">
        <f ca="1">IFERROR(__xludf.DUMMYFUNCTION("""COMPUTED_VALUE"""),3)</f>
        <v>3</v>
      </c>
      <c r="G2">
        <f ca="1">IFERROR(__xludf.DUMMYFUNCTION("""COMPUTED_VALUE"""),3)</f>
        <v>3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IFERROR(__xludf.DUMMYFUNCTION("""COMPUTED_VALUE"""),"Robert Garrigus")</f>
        <v>Robert Garrigus</v>
      </c>
      <c r="D3">
        <f ca="1">IFERROR(__xludf.DUMMYFUNCTION("""COMPUTED_VALUE"""),3)</f>
        <v>3</v>
      </c>
      <c r="E3">
        <f ca="1">IFERROR(__xludf.DUMMYFUNCTION("""COMPUTED_VALUE"""),100)</f>
        <v>100</v>
      </c>
      <c r="F3">
        <f ca="1">IFERROR(__xludf.DUMMYFUNCTION("""COMPUTED_VALUE"""),1)</f>
        <v>1</v>
      </c>
      <c r="G3">
        <f ca="1">IFERROR(__xludf.DUMMYFUNCTION("""COMPUTED_VALUE"""),1)</f>
        <v>1</v>
      </c>
    </row>
    <row r="4" spans="1:7" ht="15.75" customHeight="1">
      <c r="A4" t="str">
        <f ca="1">IFERROR(__xludf.DUMMYFUNCTION("""COMPUTED_VALUE"""),"T1")</f>
        <v>T1</v>
      </c>
      <c r="B4" t="str">
        <f ca="1">IFERROR(__xludf.DUMMYFUNCTION("""COMPUTED_VALUE"""),"T1")</f>
        <v>T1</v>
      </c>
      <c r="C4" t="str">
        <f ca="1">IFERROR(__xludf.DUMMYFUNCTION("""COMPUTED_VALUE"""),"Gunn Charoenkul")</f>
        <v>Gunn Charoenkul</v>
      </c>
      <c r="D4">
        <f ca="1">IFERROR(__xludf.DUMMYFUNCTION("""COMPUTED_VALUE"""),4)</f>
        <v>4</v>
      </c>
      <c r="E4">
        <f ca="1">IFERROR(__xludf.DUMMYFUNCTION("""COMPUTED_VALUE"""),100)</f>
        <v>100</v>
      </c>
      <c r="F4">
        <f ca="1">IFERROR(__xludf.DUMMYFUNCTION("""COMPUTED_VALUE"""),2)</f>
        <v>2</v>
      </c>
      <c r="G4">
        <f ca="1">IFERROR(__xludf.DUMMYFUNCTION("""COMPUTED_VALUE"""),2)</f>
        <v>2</v>
      </c>
    </row>
    <row r="5" spans="1:7" ht="15.75" customHeight="1">
      <c r="A5" t="str">
        <f ca="1">IFERROR(__xludf.DUMMYFUNCTION("""COMPUTED_VALUE"""),"T1")</f>
        <v>T1</v>
      </c>
      <c r="B5" t="str">
        <f ca="1">IFERROR(__xludf.DUMMYFUNCTION("""COMPUTED_VALUE"""),"")</f>
        <v/>
      </c>
      <c r="C5" t="str">
        <f ca="1">IFERROR(__xludf.DUMMYFUNCTION("""COMPUTED_VALUE"""),"Erik Barnes")</f>
        <v>Erik Barnes</v>
      </c>
      <c r="D5">
        <f ca="1">IFERROR(__xludf.DUMMYFUNCTION("""COMPUTED_VALUE"""),4)</f>
        <v>4</v>
      </c>
      <c r="E5">
        <f ca="1">IFERROR(__xludf.DUMMYFUNCTION("""COMPUTED_VALUE"""),100)</f>
        <v>100</v>
      </c>
      <c r="F5">
        <f ca="1">IFERROR(__xludf.DUMMYFUNCTION("""COMPUTED_VALUE"""),1)</f>
        <v>1</v>
      </c>
      <c r="G5">
        <f ca="1">IFERROR(__xludf.DUMMYFUNCTION("""COMPUTED_VALUE"""),1)</f>
        <v>1</v>
      </c>
    </row>
    <row r="6" spans="1:7" ht="15.75" customHeight="1">
      <c r="A6" t="str">
        <f ca="1">IFERROR(__xludf.DUMMYFUNCTION("""COMPUTED_VALUE"""),"T1")</f>
        <v>T1</v>
      </c>
      <c r="B6" t="str">
        <f ca="1">IFERROR(__xludf.DUMMYFUNCTION("""COMPUTED_VALUE"""),"T1")</f>
        <v>T1</v>
      </c>
      <c r="C6" t="str">
        <f ca="1">IFERROR(__xludf.DUMMYFUNCTION("""COMPUTED_VALUE"""),"Alex Smalley")</f>
        <v>Alex Smalley</v>
      </c>
      <c r="D6">
        <f ca="1">IFERROR(__xludf.DUMMYFUNCTION("""COMPUTED_VALUE"""),4)</f>
        <v>4</v>
      </c>
      <c r="E6">
        <f ca="1">IFERROR(__xludf.DUMMYFUNCTION("""COMPUTED_VALUE"""),100)</f>
        <v>100</v>
      </c>
      <c r="F6">
        <f ca="1">IFERROR(__xludf.DUMMYFUNCTION("""COMPUTED_VALUE"""),2)</f>
        <v>2</v>
      </c>
      <c r="G6">
        <f ca="1">IFERROR(__xludf.DUMMYFUNCTION("""COMPUTED_VALUE"""),2)</f>
        <v>2</v>
      </c>
    </row>
    <row r="7" spans="1:7" ht="15.75" customHeight="1">
      <c r="A7" t="str">
        <f ca="1">IFERROR(__xludf.DUMMYFUNCTION("""COMPUTED_VALUE"""),"T1")</f>
        <v>T1</v>
      </c>
      <c r="B7" t="str">
        <f ca="1">IFERROR(__xludf.DUMMYFUNCTION("""COMPUTED_VALUE"""),"T1")</f>
        <v>T1</v>
      </c>
      <c r="C7" t="str">
        <f ca="1">IFERROR(__xludf.DUMMYFUNCTION("""COMPUTED_VALUE"""),"Tae Hee Lee")</f>
        <v>Tae Hee Lee</v>
      </c>
      <c r="D7">
        <f ca="1">IFERROR(__xludf.DUMMYFUNCTION("""COMPUTED_VALUE"""),4)</f>
        <v>4</v>
      </c>
      <c r="E7">
        <f ca="1">IFERROR(__xludf.DUMMYFUNCTION("""COMPUTED_VALUE"""),100)</f>
        <v>100</v>
      </c>
      <c r="F7">
        <f ca="1">IFERROR(__xludf.DUMMYFUNCTION("""COMPUTED_VALUE"""),1)</f>
        <v>1</v>
      </c>
      <c r="G7">
        <f ca="1">IFERROR(__xludf.DUMMYFUNCTION("""COMPUTED_VALUE"""),1)</f>
        <v>1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IFERROR(__xludf.DUMMYFUNCTION("""COMPUTED_VALUE"""),"Ben Taylor")</f>
        <v>Ben Taylor</v>
      </c>
      <c r="D8">
        <f ca="1">IFERROR(__xludf.DUMMYFUNCTION("""COMPUTED_VALUE"""),10)</f>
        <v>10</v>
      </c>
      <c r="E8">
        <f ca="1">IFERROR(__xludf.DUMMYFUNCTION("""COMPUTED_VALUE"""),92.31)</f>
        <v>92.31</v>
      </c>
      <c r="F8">
        <f ca="1">IFERROR(__xludf.DUMMYFUNCTION("""COMPUTED_VALUE"""),12)</f>
        <v>12</v>
      </c>
      <c r="G8">
        <f ca="1">IFERROR(__xludf.DUMMYFUNCTION("""COMPUTED_VALUE"""),13)</f>
        <v>13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IFERROR(__xludf.DUMMYFUNCTION("""COMPUTED_VALUE"""),"Thomas Pieters")</f>
        <v>Thomas Pieters</v>
      </c>
      <c r="D9">
        <f ca="1">IFERROR(__xludf.DUMMYFUNCTION("""COMPUTED_VALUE"""),4)</f>
        <v>4</v>
      </c>
      <c r="E9">
        <f ca="1">IFERROR(__xludf.DUMMYFUNCTION("""COMPUTED_VALUE"""),85.71)</f>
        <v>85.71</v>
      </c>
      <c r="F9">
        <f ca="1">IFERROR(__xludf.DUMMYFUNCTION("""COMPUTED_VALUE"""),6)</f>
        <v>6</v>
      </c>
      <c r="G9">
        <f ca="1">IFERROR(__xludf.DUMMYFUNCTION("""COMPUTED_VALUE"""),7)</f>
        <v>7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IFERROR(__xludf.DUMMYFUNCTION("""COMPUTED_VALUE"""),"Sahith Theegala")</f>
        <v>Sahith Theegala</v>
      </c>
      <c r="D10">
        <f ca="1">IFERROR(__xludf.DUMMYFUNCTION("""COMPUTED_VALUE"""),6)</f>
        <v>6</v>
      </c>
      <c r="E10">
        <f ca="1">IFERROR(__xludf.DUMMYFUNCTION("""COMPUTED_VALUE"""),83.33)</f>
        <v>83.33</v>
      </c>
      <c r="F10">
        <f ca="1">IFERROR(__xludf.DUMMYFUNCTION("""COMPUTED_VALUE"""),5)</f>
        <v>5</v>
      </c>
      <c r="G10">
        <f ca="1">IFERROR(__xludf.DUMMYFUNCTION("""COMPUTED_VALUE"""),6)</f>
        <v>6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IFERROR(__xludf.DUMMYFUNCTION("""COMPUTED_VALUE"""),"Brice Garnett")</f>
        <v>Brice Garnett</v>
      </c>
      <c r="D11">
        <f ca="1">IFERROR(__xludf.DUMMYFUNCTION("""COMPUTED_VALUE"""),22)</f>
        <v>22</v>
      </c>
      <c r="E11">
        <f ca="1">IFERROR(__xludf.DUMMYFUNCTION("""COMPUTED_VALUE"""),80.77)</f>
        <v>80.77</v>
      </c>
      <c r="F11">
        <f ca="1">IFERROR(__xludf.DUMMYFUNCTION("""COMPUTED_VALUE"""),21)</f>
        <v>21</v>
      </c>
      <c r="G11">
        <f ca="1">IFERROR(__xludf.DUMMYFUNCTION("""COMPUTED_VALUE"""),26)</f>
        <v>26</v>
      </c>
    </row>
    <row r="12" spans="1:7" ht="15.75" customHeight="1">
      <c r="A12" t="str">
        <f ca="1">IFERROR(__xludf.DUMMYFUNCTION("""COMPUTED_VALUE"""),"T11")</f>
        <v>T11</v>
      </c>
      <c r="B12" t="str">
        <f ca="1">IFERROR(__xludf.DUMMYFUNCTION("""COMPUTED_VALUE"""),"T11")</f>
        <v>T11</v>
      </c>
      <c r="C12" t="str">
        <f ca="1">IFERROR(__xludf.DUMMYFUNCTION("""COMPUTED_VALUE"""),"Steve Lewton")</f>
        <v>Steve Lewton</v>
      </c>
      <c r="D12">
        <f ca="1">IFERROR(__xludf.DUMMYFUNCTION("""COMPUTED_VALUE"""),4)</f>
        <v>4</v>
      </c>
      <c r="E12">
        <f ca="1">IFERROR(__xludf.DUMMYFUNCTION("""COMPUTED_VALUE"""),80)</f>
        <v>80</v>
      </c>
      <c r="F12">
        <f ca="1">IFERROR(__xludf.DUMMYFUNCTION("""COMPUTED_VALUE"""),4)</f>
        <v>4</v>
      </c>
      <c r="G12">
        <f ca="1">IFERROR(__xludf.DUMMYFUNCTION("""COMPUTED_VALUE"""),5)</f>
        <v>5</v>
      </c>
    </row>
    <row r="13" spans="1:7" ht="15.75" customHeight="1">
      <c r="A13" t="str">
        <f ca="1">IFERROR(__xludf.DUMMYFUNCTION("""COMPUTED_VALUE"""),"T11")</f>
        <v>T11</v>
      </c>
      <c r="B13" t="str">
        <f ca="1">IFERROR(__xludf.DUMMYFUNCTION("""COMPUTED_VALUE"""),"T17")</f>
        <v>T17</v>
      </c>
      <c r="C13" t="str">
        <f ca="1">IFERROR(__xludf.DUMMYFUNCTION("""COMPUTED_VALUE"""),"Tyrrell Hatton")</f>
        <v>Tyrrell Hatton</v>
      </c>
      <c r="D13">
        <f ca="1">IFERROR(__xludf.DUMMYFUNCTION("""COMPUTED_VALUE"""),14)</f>
        <v>14</v>
      </c>
      <c r="E13">
        <f ca="1">IFERROR(__xludf.DUMMYFUNCTION("""COMPUTED_VALUE"""),80)</f>
        <v>80</v>
      </c>
      <c r="F13">
        <f ca="1">IFERROR(__xludf.DUMMYFUNCTION("""COMPUTED_VALUE"""),4)</f>
        <v>4</v>
      </c>
      <c r="G13">
        <f ca="1">IFERROR(__xludf.DUMMYFUNCTION("""COMPUTED_VALUE"""),5)</f>
        <v>5</v>
      </c>
    </row>
    <row r="14" spans="1:7" ht="15.75" customHeight="1">
      <c r="A14" t="str">
        <f ca="1">IFERROR(__xludf.DUMMYFUNCTION("""COMPUTED_VALUE"""),"T11")</f>
        <v>T11</v>
      </c>
      <c r="B14" t="str">
        <f ca="1">IFERROR(__xludf.DUMMYFUNCTION("""COMPUTED_VALUE"""),"")</f>
        <v/>
      </c>
      <c r="C14" t="str">
        <f ca="1">IFERROR(__xludf.DUMMYFUNCTION("""COMPUTED_VALUE"""),"Brooks Koepka")</f>
        <v>Brooks Koepka</v>
      </c>
      <c r="D14">
        <f ca="1">IFERROR(__xludf.DUMMYFUNCTION("""COMPUTED_VALUE"""),8)</f>
        <v>8</v>
      </c>
      <c r="E14">
        <f ca="1">IFERROR(__xludf.DUMMYFUNCTION("""COMPUTED_VALUE"""),80)</f>
        <v>80</v>
      </c>
      <c r="F14">
        <f ca="1">IFERROR(__xludf.DUMMYFUNCTION("""COMPUTED_VALUE"""),4)</f>
        <v>4</v>
      </c>
      <c r="G14">
        <f ca="1">IFERROR(__xludf.DUMMYFUNCTION("""COMPUTED_VALUE"""),5)</f>
        <v>5</v>
      </c>
    </row>
    <row r="15" spans="1:7" ht="15.75" customHeight="1">
      <c r="A15" t="str">
        <f ca="1">IFERROR(__xludf.DUMMYFUNCTION("""COMPUTED_VALUE"""),"T11")</f>
        <v>T11</v>
      </c>
      <c r="B15" t="str">
        <f ca="1">IFERROR(__xludf.DUMMYFUNCTION("""COMPUTED_VALUE"""),"T11")</f>
        <v>T11</v>
      </c>
      <c r="C15" t="str">
        <f ca="1">IFERROR(__xludf.DUMMYFUNCTION("""COMPUTED_VALUE"""),"Akshay Bhatia")</f>
        <v>Akshay Bhatia</v>
      </c>
      <c r="D15">
        <f ca="1">IFERROR(__xludf.DUMMYFUNCTION("""COMPUTED_VALUE"""),6)</f>
        <v>6</v>
      </c>
      <c r="E15">
        <f ca="1">IFERROR(__xludf.DUMMYFUNCTION("""COMPUTED_VALUE"""),80)</f>
        <v>80</v>
      </c>
      <c r="F15">
        <f ca="1">IFERROR(__xludf.DUMMYFUNCTION("""COMPUTED_VALUE"""),4)</f>
        <v>4</v>
      </c>
      <c r="G15">
        <f ca="1">IFERROR(__xludf.DUMMYFUNCTION("""COMPUTED_VALUE"""),5)</f>
        <v>5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IFERROR(__xludf.DUMMYFUNCTION("""COMPUTED_VALUE"""),"Doug Ghim")</f>
        <v>Doug Ghim</v>
      </c>
      <c r="D16">
        <f ca="1">IFERROR(__xludf.DUMMYFUNCTION("""COMPUTED_VALUE"""),14)</f>
        <v>14</v>
      </c>
      <c r="E16">
        <f ca="1">IFERROR(__xludf.DUMMYFUNCTION("""COMPUTED_VALUE"""),78.57)</f>
        <v>78.569999999999993</v>
      </c>
      <c r="F16">
        <f ca="1">IFERROR(__xludf.DUMMYFUNCTION("""COMPUTED_VALUE"""),11)</f>
        <v>11</v>
      </c>
      <c r="G16">
        <f ca="1">IFERROR(__xludf.DUMMYFUNCTION("""COMPUTED_VALUE"""),14)</f>
        <v>14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IFERROR(__xludf.DUMMYFUNCTION("""COMPUTED_VALUE"""),16)</f>
        <v>16</v>
      </c>
      <c r="C17" t="str">
        <f ca="1">IFERROR(__xludf.DUMMYFUNCTION("""COMPUTED_VALUE"""),"Stephan Jaeger")</f>
        <v>Stephan Jaeger</v>
      </c>
      <c r="D17">
        <f ca="1">IFERROR(__xludf.DUMMYFUNCTION("""COMPUTED_VALUE"""),4)</f>
        <v>4</v>
      </c>
      <c r="E17">
        <f ca="1">IFERROR(__xludf.DUMMYFUNCTION("""COMPUTED_VALUE"""),77.78)</f>
        <v>77.78</v>
      </c>
      <c r="F17">
        <f ca="1">IFERROR(__xludf.DUMMYFUNCTION("""COMPUTED_VALUE"""),7)</f>
        <v>7</v>
      </c>
      <c r="G17">
        <f ca="1">IFERROR(__xludf.DUMMYFUNCTION("""COMPUTED_VALUE"""),9)</f>
        <v>9</v>
      </c>
    </row>
    <row r="18" spans="1:7" ht="15.75" customHeight="1">
      <c r="A18" t="str">
        <f ca="1">IFERROR(__xludf.DUMMYFUNCTION("""COMPUTED_VALUE"""),"T17")</f>
        <v>T17</v>
      </c>
      <c r="B18" t="str">
        <f ca="1">IFERROR(__xludf.DUMMYFUNCTION("""COMPUTED_VALUE"""),"T17")</f>
        <v>T17</v>
      </c>
      <c r="C18" t="str">
        <f ca="1">IFERROR(__xludf.DUMMYFUNCTION("""COMPUTED_VALUE"""),"Vaughn Taylor")</f>
        <v>Vaughn Taylor</v>
      </c>
      <c r="D18">
        <f ca="1">IFERROR(__xludf.DUMMYFUNCTION("""COMPUTED_VALUE"""),12)</f>
        <v>12</v>
      </c>
      <c r="E18">
        <f ca="1">IFERROR(__xludf.DUMMYFUNCTION("""COMPUTED_VALUE"""),75)</f>
        <v>75</v>
      </c>
      <c r="F18">
        <f ca="1">IFERROR(__xludf.DUMMYFUNCTION("""COMPUTED_VALUE"""),6)</f>
        <v>6</v>
      </c>
      <c r="G18">
        <f ca="1">IFERROR(__xludf.DUMMYFUNCTION("""COMPUTED_VALUE"""),8)</f>
        <v>8</v>
      </c>
    </row>
    <row r="19" spans="1:7" ht="15.75" customHeight="1">
      <c r="A19" t="str">
        <f ca="1">IFERROR(__xludf.DUMMYFUNCTION("""COMPUTED_VALUE"""),"T17")</f>
        <v>T17</v>
      </c>
      <c r="B19" t="str">
        <f ca="1">IFERROR(__xludf.DUMMYFUNCTION("""COMPUTED_VALUE"""),"T17")</f>
        <v>T17</v>
      </c>
      <c r="C19" t="str">
        <f ca="1">IFERROR(__xludf.DUMMYFUNCTION("""COMPUTED_VALUE"""),"J.J. Henry")</f>
        <v>J.J. Henry</v>
      </c>
      <c r="D19">
        <f ca="1">IFERROR(__xludf.DUMMYFUNCTION("""COMPUTED_VALUE"""),4)</f>
        <v>4</v>
      </c>
      <c r="E19">
        <f ca="1">IFERROR(__xludf.DUMMYFUNCTION("""COMPUTED_VALUE"""),75)</f>
        <v>75</v>
      </c>
      <c r="F19">
        <f ca="1">IFERROR(__xludf.DUMMYFUNCTION("""COMPUTED_VALUE"""),3)</f>
        <v>3</v>
      </c>
      <c r="G19">
        <f ca="1">IFERROR(__xludf.DUMMYFUNCTION("""COMPUTED_VALUE"""),4)</f>
        <v>4</v>
      </c>
    </row>
    <row r="20" spans="1:7" ht="15.75" customHeight="1">
      <c r="A20" t="str">
        <f ca="1">IFERROR(__xludf.DUMMYFUNCTION("""COMPUTED_VALUE"""),"T17")</f>
        <v>T17</v>
      </c>
      <c r="B20" t="str">
        <f ca="1">IFERROR(__xludf.DUMMYFUNCTION("""COMPUTED_VALUE"""),"T17")</f>
        <v>T17</v>
      </c>
      <c r="C20" t="str">
        <f ca="1">IFERROR(__xludf.DUMMYFUNCTION("""COMPUTED_VALUE"""),"Rob Oppenheim")</f>
        <v>Rob Oppenheim</v>
      </c>
      <c r="D20">
        <f ca="1">IFERROR(__xludf.DUMMYFUNCTION("""COMPUTED_VALUE"""),16)</f>
        <v>16</v>
      </c>
      <c r="E20">
        <f ca="1">IFERROR(__xludf.DUMMYFUNCTION("""COMPUTED_VALUE"""),75)</f>
        <v>75</v>
      </c>
      <c r="F20">
        <f ca="1">IFERROR(__xludf.DUMMYFUNCTION("""COMPUTED_VALUE"""),15)</f>
        <v>15</v>
      </c>
      <c r="G20">
        <f ca="1">IFERROR(__xludf.DUMMYFUNCTION("""COMPUTED_VALUE"""),20)</f>
        <v>20</v>
      </c>
    </row>
    <row r="21" spans="1:7" ht="15.75" customHeight="1">
      <c r="A21" t="str">
        <f ca="1">IFERROR(__xludf.DUMMYFUNCTION("""COMPUTED_VALUE"""),"T17")</f>
        <v>T17</v>
      </c>
      <c r="B21" t="str">
        <f ca="1">IFERROR(__xludf.DUMMYFUNCTION("""COMPUTED_VALUE"""),"T29")</f>
        <v>T29</v>
      </c>
      <c r="C21" t="str">
        <f ca="1">IFERROR(__xludf.DUMMYFUNCTION("""COMPUTED_VALUE"""),"Kyoung-Hoon Lee")</f>
        <v>Kyoung-Hoon Lee</v>
      </c>
      <c r="D21">
        <f ca="1">IFERROR(__xludf.DUMMYFUNCTION("""COMPUTED_VALUE"""),20)</f>
        <v>20</v>
      </c>
      <c r="E21">
        <f ca="1">IFERROR(__xludf.DUMMYFUNCTION("""COMPUTED_VALUE"""),75)</f>
        <v>75</v>
      </c>
      <c r="F21">
        <f ca="1">IFERROR(__xludf.DUMMYFUNCTION("""COMPUTED_VALUE"""),12)</f>
        <v>12</v>
      </c>
      <c r="G21">
        <f ca="1">IFERROR(__xludf.DUMMYFUNCTION("""COMPUTED_VALUE"""),16)</f>
        <v>16</v>
      </c>
    </row>
    <row r="22" spans="1:7" ht="15.75" customHeight="1">
      <c r="A22" t="str">
        <f ca="1">IFERROR(__xludf.DUMMYFUNCTION("""COMPUTED_VALUE"""),"T17")</f>
        <v>T17</v>
      </c>
      <c r="B22" t="str">
        <f ca="1">IFERROR(__xludf.DUMMYFUNCTION("""COMPUTED_VALUE"""),"T17")</f>
        <v>T17</v>
      </c>
      <c r="C22" t="str">
        <f ca="1">IFERROR(__xludf.DUMMYFUNCTION("""COMPUTED_VALUE"""),"Bud Cauley")</f>
        <v>Bud Cauley</v>
      </c>
      <c r="D22">
        <f ca="1">IFERROR(__xludf.DUMMYFUNCTION("""COMPUTED_VALUE"""),4)</f>
        <v>4</v>
      </c>
      <c r="E22">
        <f ca="1">IFERROR(__xludf.DUMMYFUNCTION("""COMPUTED_VALUE"""),75)</f>
        <v>75</v>
      </c>
      <c r="F22">
        <f ca="1">IFERROR(__xludf.DUMMYFUNCTION("""COMPUTED_VALUE"""),3)</f>
        <v>3</v>
      </c>
      <c r="G22">
        <f ca="1">IFERROR(__xludf.DUMMYFUNCTION("""COMPUTED_VALUE"""),4)</f>
        <v>4</v>
      </c>
    </row>
    <row r="23" spans="1:7" ht="15.75" customHeight="1">
      <c r="A23" t="str">
        <f ca="1">IFERROR(__xludf.DUMMYFUNCTION("""COMPUTED_VALUE"""),"T17")</f>
        <v>T17</v>
      </c>
      <c r="B23" t="str">
        <f ca="1">IFERROR(__xludf.DUMMYFUNCTION("""COMPUTED_VALUE"""),"T17")</f>
        <v>T17</v>
      </c>
      <c r="C23" t="str">
        <f ca="1">IFERROR(__xludf.DUMMYFUNCTION("""COMPUTED_VALUE"""),"Patrick Reed")</f>
        <v>Patrick Reed</v>
      </c>
      <c r="D23">
        <f ca="1">IFERROR(__xludf.DUMMYFUNCTION("""COMPUTED_VALUE"""),8)</f>
        <v>8</v>
      </c>
      <c r="E23">
        <f ca="1">IFERROR(__xludf.DUMMYFUNCTION("""COMPUTED_VALUE"""),75)</f>
        <v>75</v>
      </c>
      <c r="F23">
        <f ca="1">IFERROR(__xludf.DUMMYFUNCTION("""COMPUTED_VALUE"""),6)</f>
        <v>6</v>
      </c>
      <c r="G23">
        <f ca="1">IFERROR(__xludf.DUMMYFUNCTION("""COMPUTED_VALUE"""),8)</f>
        <v>8</v>
      </c>
    </row>
    <row r="24" spans="1:7" ht="15.75" customHeight="1">
      <c r="A24" t="str">
        <f ca="1">IFERROR(__xludf.DUMMYFUNCTION("""COMPUTED_VALUE"""),"T17")</f>
        <v>T17</v>
      </c>
      <c r="B24" t="str">
        <f ca="1">IFERROR(__xludf.DUMMYFUNCTION("""COMPUTED_VALUE"""),"T17")</f>
        <v>T17</v>
      </c>
      <c r="C24" t="str">
        <f ca="1">IFERROR(__xludf.DUMMYFUNCTION("""COMPUTED_VALUE"""),"Chan Kim")</f>
        <v>Chan Kim</v>
      </c>
      <c r="D24">
        <f ca="1">IFERROR(__xludf.DUMMYFUNCTION("""COMPUTED_VALUE"""),6)</f>
        <v>6</v>
      </c>
      <c r="E24">
        <f ca="1">IFERROR(__xludf.DUMMYFUNCTION("""COMPUTED_VALUE"""),75)</f>
        <v>75</v>
      </c>
      <c r="F24">
        <f ca="1">IFERROR(__xludf.DUMMYFUNCTION("""COMPUTED_VALUE"""),3)</f>
        <v>3</v>
      </c>
      <c r="G24">
        <f ca="1">IFERROR(__xludf.DUMMYFUNCTION("""COMPUTED_VALUE"""),4)</f>
        <v>4</v>
      </c>
    </row>
    <row r="25" spans="1:7" ht="15.75" customHeight="1">
      <c r="A25" t="str">
        <f ca="1">IFERROR(__xludf.DUMMYFUNCTION("""COMPUTED_VALUE"""),"T17")</f>
        <v>T17</v>
      </c>
      <c r="B25" t="str">
        <f ca="1">IFERROR(__xludf.DUMMYFUNCTION("""COMPUTED_VALUE"""),"T11")</f>
        <v>T11</v>
      </c>
      <c r="C25" t="str">
        <f ca="1">IFERROR(__xludf.DUMMYFUNCTION("""COMPUTED_VALUE"""),"Viktor Hovland")</f>
        <v>Viktor Hovland</v>
      </c>
      <c r="D25">
        <f ca="1">IFERROR(__xludf.DUMMYFUNCTION("""COMPUTED_VALUE"""),16)</f>
        <v>16</v>
      </c>
      <c r="E25">
        <f ca="1">IFERROR(__xludf.DUMMYFUNCTION("""COMPUTED_VALUE"""),75)</f>
        <v>75</v>
      </c>
      <c r="F25">
        <f ca="1">IFERROR(__xludf.DUMMYFUNCTION("""COMPUTED_VALUE"""),9)</f>
        <v>9</v>
      </c>
      <c r="G25">
        <f ca="1">IFERROR(__xludf.DUMMYFUNCTION("""COMPUTED_VALUE"""),12)</f>
        <v>12</v>
      </c>
    </row>
    <row r="26" spans="1:7" ht="15.75" customHeight="1">
      <c r="A26" t="str">
        <f ca="1">IFERROR(__xludf.DUMMYFUNCTION("""COMPUTED_VALUE"""),"T17")</f>
        <v>T17</v>
      </c>
      <c r="B26" t="str">
        <f ca="1">IFERROR(__xludf.DUMMYFUNCTION("""COMPUTED_VALUE"""),"T17")</f>
        <v>T17</v>
      </c>
      <c r="C26" t="str">
        <f ca="1">IFERROR(__xludf.DUMMYFUNCTION("""COMPUTED_VALUE"""),"Rikuya Hoshino")</f>
        <v>Rikuya Hoshino</v>
      </c>
      <c r="D26">
        <f ca="1">IFERROR(__xludf.DUMMYFUNCTION("""COMPUTED_VALUE"""),4)</f>
        <v>4</v>
      </c>
      <c r="E26">
        <f ca="1">IFERROR(__xludf.DUMMYFUNCTION("""COMPUTED_VALUE"""),75)</f>
        <v>75</v>
      </c>
      <c r="F26">
        <f ca="1">IFERROR(__xludf.DUMMYFUNCTION("""COMPUTED_VALUE"""),3)</f>
        <v>3</v>
      </c>
      <c r="G26">
        <f ca="1">IFERROR(__xludf.DUMMYFUNCTION("""COMPUTED_VALUE"""),4)</f>
        <v>4</v>
      </c>
    </row>
    <row r="27" spans="1:7" ht="15.75" customHeight="1">
      <c r="A27" t="str">
        <f ca="1">IFERROR(__xludf.DUMMYFUNCTION("""COMPUTED_VALUE"""),"T17")</f>
        <v>T17</v>
      </c>
      <c r="B27" t="str">
        <f ca="1">IFERROR(__xludf.DUMMYFUNCTION("""COMPUTED_VALUE"""),"T17")</f>
        <v>T17</v>
      </c>
      <c r="C27" t="str">
        <f ca="1">IFERROR(__xludf.DUMMYFUNCTION("""COMPUTED_VALUE"""),"Xander Schauffele")</f>
        <v>Xander Schauffele</v>
      </c>
      <c r="D27">
        <f ca="1">IFERROR(__xludf.DUMMYFUNCTION("""COMPUTED_VALUE"""),12)</f>
        <v>12</v>
      </c>
      <c r="E27">
        <f ca="1">IFERROR(__xludf.DUMMYFUNCTION("""COMPUTED_VALUE"""),75)</f>
        <v>75</v>
      </c>
      <c r="F27">
        <f ca="1">IFERROR(__xludf.DUMMYFUNCTION("""COMPUTED_VALUE"""),6)</f>
        <v>6</v>
      </c>
      <c r="G27">
        <f ca="1">IFERROR(__xludf.DUMMYFUNCTION("""COMPUTED_VALUE"""),8)</f>
        <v>8</v>
      </c>
    </row>
    <row r="28" spans="1:7" ht="15.75" customHeight="1">
      <c r="A28" t="str">
        <f ca="1">IFERROR(__xludf.DUMMYFUNCTION("""COMPUTED_VALUE"""),"T17")</f>
        <v>T17</v>
      </c>
      <c r="B28" t="str">
        <f ca="1">IFERROR(__xludf.DUMMYFUNCTION("""COMPUTED_VALUE"""),"T17")</f>
        <v>T17</v>
      </c>
      <c r="C28" t="str">
        <f ca="1">IFERROR(__xludf.DUMMYFUNCTION("""COMPUTED_VALUE"""),"Kurt Kitayama")</f>
        <v>Kurt Kitayama</v>
      </c>
      <c r="D28">
        <f ca="1">IFERROR(__xludf.DUMMYFUNCTION("""COMPUTED_VALUE"""),4)</f>
        <v>4</v>
      </c>
      <c r="E28">
        <f ca="1">IFERROR(__xludf.DUMMYFUNCTION("""COMPUTED_VALUE"""),75)</f>
        <v>75</v>
      </c>
      <c r="F28">
        <f ca="1">IFERROR(__xludf.DUMMYFUNCTION("""COMPUTED_VALUE"""),3)</f>
        <v>3</v>
      </c>
      <c r="G28">
        <f ca="1">IFERROR(__xludf.DUMMYFUNCTION("""COMPUTED_VALUE"""),4)</f>
        <v>4</v>
      </c>
    </row>
    <row r="29" spans="1:7" ht="15.75" customHeight="1">
      <c r="A29" t="str">
        <f ca="1">IFERROR(__xludf.DUMMYFUNCTION("""COMPUTED_VALUE"""),"T17")</f>
        <v>T17</v>
      </c>
      <c r="B29" t="str">
        <f ca="1">IFERROR(__xludf.DUMMYFUNCTION("""COMPUTED_VALUE"""),"T17")</f>
        <v>T17</v>
      </c>
      <c r="C29" t="str">
        <f ca="1">IFERROR(__xludf.DUMMYFUNCTION("""COMPUTED_VALUE"""),"Hank Lebioda")</f>
        <v>Hank Lebioda</v>
      </c>
      <c r="D29">
        <f ca="1">IFERROR(__xludf.DUMMYFUNCTION("""COMPUTED_VALUE"""),14)</f>
        <v>14</v>
      </c>
      <c r="E29">
        <f ca="1">IFERROR(__xludf.DUMMYFUNCTION("""COMPUTED_VALUE"""),75)</f>
        <v>75</v>
      </c>
      <c r="F29">
        <f ca="1">IFERROR(__xludf.DUMMYFUNCTION("""COMPUTED_VALUE"""),9)</f>
        <v>9</v>
      </c>
      <c r="G29">
        <f ca="1">IFERROR(__xludf.DUMMYFUNCTION("""COMPUTED_VALUE"""),12)</f>
        <v>12</v>
      </c>
    </row>
    <row r="30" spans="1:7" ht="15.75" customHeight="1">
      <c r="A30" t="str">
        <f ca="1">IFERROR(__xludf.DUMMYFUNCTION("""COMPUTED_VALUE"""),"T17")</f>
        <v>T17</v>
      </c>
      <c r="B30" t="str">
        <f ca="1">IFERROR(__xludf.DUMMYFUNCTION("""COMPUTED_VALUE"""),"T17")</f>
        <v>T17</v>
      </c>
      <c r="C30" t="str">
        <f ca="1">IFERROR(__xludf.DUMMYFUNCTION("""COMPUTED_VALUE"""),"Collin Morikawa")</f>
        <v>Collin Morikawa</v>
      </c>
      <c r="D30">
        <f ca="1">IFERROR(__xludf.DUMMYFUNCTION("""COMPUTED_VALUE"""),12)</f>
        <v>12</v>
      </c>
      <c r="E30">
        <f ca="1">IFERROR(__xludf.DUMMYFUNCTION("""COMPUTED_VALUE"""),75)</f>
        <v>75</v>
      </c>
      <c r="F30">
        <f ca="1">IFERROR(__xludf.DUMMYFUNCTION("""COMPUTED_VALUE"""),6)</f>
        <v>6</v>
      </c>
      <c r="G30">
        <f ca="1">IFERROR(__xludf.DUMMYFUNCTION("""COMPUTED_VALUE"""),8)</f>
        <v>8</v>
      </c>
    </row>
    <row r="31" spans="1:7" ht="12.75">
      <c r="A31" t="str">
        <f ca="1">IFERROR(__xludf.DUMMYFUNCTION("""COMPUTED_VALUE"""),"T30")</f>
        <v>T30</v>
      </c>
      <c r="B31" t="str">
        <f ca="1">IFERROR(__xludf.DUMMYFUNCTION("""COMPUTED_VALUE"""),"T62")</f>
        <v>T62</v>
      </c>
      <c r="C31" t="str">
        <f ca="1">IFERROR(__xludf.DUMMYFUNCTION("""COMPUTED_VALUE"""),"Tony Finau")</f>
        <v>Tony Finau</v>
      </c>
      <c r="D31">
        <f ca="1">IFERROR(__xludf.DUMMYFUNCTION("""COMPUTED_VALUE"""),12)</f>
        <v>12</v>
      </c>
      <c r="E31">
        <f ca="1">IFERROR(__xludf.DUMMYFUNCTION("""COMPUTED_VALUE"""),72.73)</f>
        <v>72.73</v>
      </c>
      <c r="F31">
        <f ca="1">IFERROR(__xludf.DUMMYFUNCTION("""COMPUTED_VALUE"""),8)</f>
        <v>8</v>
      </c>
      <c r="G31">
        <f ca="1">IFERROR(__xludf.DUMMYFUNCTION("""COMPUTED_VALUE"""),11)</f>
        <v>11</v>
      </c>
    </row>
    <row r="32" spans="1:7" ht="12.75">
      <c r="A32" t="str">
        <f ca="1">IFERROR(__xludf.DUMMYFUNCTION("""COMPUTED_VALUE"""),"T30")</f>
        <v>T30</v>
      </c>
      <c r="B32" t="str">
        <f ca="1">IFERROR(__xludf.DUMMYFUNCTION("""COMPUTED_VALUE"""),"T33")</f>
        <v>T33</v>
      </c>
      <c r="C32" t="str">
        <f ca="1">IFERROR(__xludf.DUMMYFUNCTION("""COMPUTED_VALUE"""),"Talor Gooch")</f>
        <v>Talor Gooch</v>
      </c>
      <c r="D32">
        <f ca="1">IFERROR(__xludf.DUMMYFUNCTION("""COMPUTED_VALUE"""),20)</f>
        <v>20</v>
      </c>
      <c r="E32">
        <f ca="1">IFERROR(__xludf.DUMMYFUNCTION("""COMPUTED_VALUE"""),72.73)</f>
        <v>72.73</v>
      </c>
      <c r="F32">
        <f ca="1">IFERROR(__xludf.DUMMYFUNCTION("""COMPUTED_VALUE"""),8)</f>
        <v>8</v>
      </c>
      <c r="G32">
        <f ca="1">IFERROR(__xludf.DUMMYFUNCTION("""COMPUTED_VALUE"""),11)</f>
        <v>11</v>
      </c>
    </row>
    <row r="33" spans="1:7" ht="12.75">
      <c r="A33" t="str">
        <f ca="1">IFERROR(__xludf.DUMMYFUNCTION("""COMPUTED_VALUE"""),"T32")</f>
        <v>T32</v>
      </c>
      <c r="B33" t="str">
        <f ca="1">IFERROR(__xludf.DUMMYFUNCTION("""COMPUTED_VALUE"""),"T33")</f>
        <v>T33</v>
      </c>
      <c r="C33" t="str">
        <f ca="1">IFERROR(__xludf.DUMMYFUNCTION("""COMPUTED_VALUE"""),"Webb Simpson")</f>
        <v>Webb Simpson</v>
      </c>
      <c r="D33">
        <f ca="1">IFERROR(__xludf.DUMMYFUNCTION("""COMPUTED_VALUE"""),12)</f>
        <v>12</v>
      </c>
      <c r="E33">
        <f ca="1">IFERROR(__xludf.DUMMYFUNCTION("""COMPUTED_VALUE"""),71.43)</f>
        <v>71.430000000000007</v>
      </c>
      <c r="F33">
        <f ca="1">IFERROR(__xludf.DUMMYFUNCTION("""COMPUTED_VALUE"""),10)</f>
        <v>10</v>
      </c>
      <c r="G33">
        <f ca="1">IFERROR(__xludf.DUMMYFUNCTION("""COMPUTED_VALUE"""),14)</f>
        <v>14</v>
      </c>
    </row>
    <row r="34" spans="1:7" ht="12.75">
      <c r="A34" t="str">
        <f ca="1">IFERROR(__xludf.DUMMYFUNCTION("""COMPUTED_VALUE"""),"T32")</f>
        <v>T32</v>
      </c>
      <c r="B34">
        <f ca="1">IFERROR(__xludf.DUMMYFUNCTION("""COMPUTED_VALUE"""),31)</f>
        <v>31</v>
      </c>
      <c r="C34" t="str">
        <f ca="1">IFERROR(__xludf.DUMMYFUNCTION("""COMPUTED_VALUE"""),"Kevin Chappell")</f>
        <v>Kevin Chappell</v>
      </c>
      <c r="D34">
        <f ca="1">IFERROR(__xludf.DUMMYFUNCTION("""COMPUTED_VALUE"""),16)</f>
        <v>16</v>
      </c>
      <c r="E34">
        <f ca="1">IFERROR(__xludf.DUMMYFUNCTION("""COMPUTED_VALUE"""),71.43)</f>
        <v>71.430000000000007</v>
      </c>
      <c r="F34">
        <f ca="1">IFERROR(__xludf.DUMMYFUNCTION("""COMPUTED_VALUE"""),10)</f>
        <v>10</v>
      </c>
      <c r="G34">
        <f ca="1">IFERROR(__xludf.DUMMYFUNCTION("""COMPUTED_VALUE"""),14)</f>
        <v>14</v>
      </c>
    </row>
    <row r="35" spans="1:7" ht="12.75">
      <c r="A35" t="str">
        <f ca="1">IFERROR(__xludf.DUMMYFUNCTION("""COMPUTED_VALUE"""),"T32")</f>
        <v>T32</v>
      </c>
      <c r="B35" t="str">
        <f ca="1">IFERROR(__xludf.DUMMYFUNCTION("""COMPUTED_VALUE"""),"T33")</f>
        <v>T33</v>
      </c>
      <c r="C35" t="str">
        <f ca="1">IFERROR(__xludf.DUMMYFUNCTION("""COMPUTED_VALUE"""),"Keegan Bradley")</f>
        <v>Keegan Bradley</v>
      </c>
      <c r="D35">
        <f ca="1">IFERROR(__xludf.DUMMYFUNCTION("""COMPUTED_VALUE"""),16)</f>
        <v>16</v>
      </c>
      <c r="E35">
        <f ca="1">IFERROR(__xludf.DUMMYFUNCTION("""COMPUTED_VALUE"""),71.43)</f>
        <v>71.430000000000007</v>
      </c>
      <c r="F35">
        <f ca="1">IFERROR(__xludf.DUMMYFUNCTION("""COMPUTED_VALUE"""),5)</f>
        <v>5</v>
      </c>
      <c r="G35">
        <f ca="1">IFERROR(__xludf.DUMMYFUNCTION("""COMPUTED_VALUE"""),7)</f>
        <v>7</v>
      </c>
    </row>
    <row r="36" spans="1:7" ht="12.75">
      <c r="A36" t="str">
        <f ca="1">IFERROR(__xludf.DUMMYFUNCTION("""COMPUTED_VALUE"""),"T32")</f>
        <v>T32</v>
      </c>
      <c r="B36" t="str">
        <f ca="1">IFERROR(__xludf.DUMMYFUNCTION("""COMPUTED_VALUE"""),"")</f>
        <v/>
      </c>
      <c r="C36" t="str">
        <f ca="1">IFERROR(__xludf.DUMMYFUNCTION("""COMPUTED_VALUE"""),"Isaiah Salinda")</f>
        <v>Isaiah Salinda</v>
      </c>
      <c r="D36">
        <f ca="1">IFERROR(__xludf.DUMMYFUNCTION("""COMPUTED_VALUE"""),8)</f>
        <v>8</v>
      </c>
      <c r="E36">
        <f ca="1">IFERROR(__xludf.DUMMYFUNCTION("""COMPUTED_VALUE"""),71.43)</f>
        <v>71.430000000000007</v>
      </c>
      <c r="F36">
        <f ca="1">IFERROR(__xludf.DUMMYFUNCTION("""COMPUTED_VALUE"""),5)</f>
        <v>5</v>
      </c>
      <c r="G36">
        <f ca="1">IFERROR(__xludf.DUMMYFUNCTION("""COMPUTED_VALUE"""),7)</f>
        <v>7</v>
      </c>
    </row>
    <row r="37" spans="1:7" ht="12.75">
      <c r="A37" t="str">
        <f ca="1">IFERROR(__xludf.DUMMYFUNCTION("""COMPUTED_VALUE"""),"T36")</f>
        <v>T36</v>
      </c>
      <c r="B37">
        <f ca="1">IFERROR(__xludf.DUMMYFUNCTION("""COMPUTED_VALUE"""),37)</f>
        <v>37</v>
      </c>
      <c r="C37" t="str">
        <f ca="1">IFERROR(__xludf.DUMMYFUNCTION("""COMPUTED_VALUE"""),"Anirban Lahiri")</f>
        <v>Anirban Lahiri</v>
      </c>
      <c r="D37">
        <f ca="1">IFERROR(__xludf.DUMMYFUNCTION("""COMPUTED_VALUE"""),16)</f>
        <v>16</v>
      </c>
      <c r="E37">
        <f ca="1">IFERROR(__xludf.DUMMYFUNCTION("""COMPUTED_VALUE"""),70.59)</f>
        <v>70.59</v>
      </c>
      <c r="F37">
        <f ca="1">IFERROR(__xludf.DUMMYFUNCTION("""COMPUTED_VALUE"""),12)</f>
        <v>12</v>
      </c>
      <c r="G37">
        <f ca="1">IFERROR(__xludf.DUMMYFUNCTION("""COMPUTED_VALUE"""),17)</f>
        <v>17</v>
      </c>
    </row>
    <row r="38" spans="1:7" ht="12.75">
      <c r="A38" t="str">
        <f ca="1">IFERROR(__xludf.DUMMYFUNCTION("""COMPUTED_VALUE"""),"T36")</f>
        <v>T36</v>
      </c>
      <c r="B38" t="str">
        <f ca="1">IFERROR(__xludf.DUMMYFUNCTION("""COMPUTED_VALUE"""),"T54")</f>
        <v>T54</v>
      </c>
      <c r="C38" t="str">
        <f ca="1">IFERROR(__xludf.DUMMYFUNCTION("""COMPUTED_VALUE"""),"Maverick McNealy")</f>
        <v>Maverick McNealy</v>
      </c>
      <c r="D38">
        <f ca="1">IFERROR(__xludf.DUMMYFUNCTION("""COMPUTED_VALUE"""),16)</f>
        <v>16</v>
      </c>
      <c r="E38">
        <f ca="1">IFERROR(__xludf.DUMMYFUNCTION("""COMPUTED_VALUE"""),70.59)</f>
        <v>70.59</v>
      </c>
      <c r="F38">
        <f ca="1">IFERROR(__xludf.DUMMYFUNCTION("""COMPUTED_VALUE"""),12)</f>
        <v>12</v>
      </c>
      <c r="G38">
        <f ca="1">IFERROR(__xludf.DUMMYFUNCTION("""COMPUTED_VALUE"""),17)</f>
        <v>17</v>
      </c>
    </row>
    <row r="39" spans="1:7" ht="12.75">
      <c r="A39" t="str">
        <f ca="1">IFERROR(__xludf.DUMMYFUNCTION("""COMPUTED_VALUE"""),"T38")</f>
        <v>T38</v>
      </c>
      <c r="B39" t="str">
        <f ca="1">IFERROR(__xludf.DUMMYFUNCTION("""COMPUTED_VALUE"""),"T38")</f>
        <v>T38</v>
      </c>
      <c r="C39" t="str">
        <f ca="1">IFERROR(__xludf.DUMMYFUNCTION("""COMPUTED_VALUE"""),"Pat Perez")</f>
        <v>Pat Perez</v>
      </c>
      <c r="D39">
        <f ca="1">IFERROR(__xludf.DUMMYFUNCTION("""COMPUTED_VALUE"""),16)</f>
        <v>16</v>
      </c>
      <c r="E39">
        <f ca="1">IFERROR(__xludf.DUMMYFUNCTION("""COMPUTED_VALUE"""),70)</f>
        <v>70</v>
      </c>
      <c r="F39">
        <f ca="1">IFERROR(__xludf.DUMMYFUNCTION("""COMPUTED_VALUE"""),7)</f>
        <v>7</v>
      </c>
      <c r="G39">
        <f ca="1">IFERROR(__xludf.DUMMYFUNCTION("""COMPUTED_VALUE"""),10)</f>
        <v>10</v>
      </c>
    </row>
    <row r="40" spans="1:7" ht="12.75">
      <c r="A40" t="str">
        <f ca="1">IFERROR(__xludf.DUMMYFUNCTION("""COMPUTED_VALUE"""),"T38")</f>
        <v>T38</v>
      </c>
      <c r="B40">
        <f ca="1">IFERROR(__xludf.DUMMYFUNCTION("""COMPUTED_VALUE"""),32)</f>
        <v>32</v>
      </c>
      <c r="C40" t="str">
        <f ca="1">IFERROR(__xludf.DUMMYFUNCTION("""COMPUTED_VALUE"""),"Matt Jones")</f>
        <v>Matt Jones</v>
      </c>
      <c r="D40">
        <f ca="1">IFERROR(__xludf.DUMMYFUNCTION("""COMPUTED_VALUE"""),20)</f>
        <v>20</v>
      </c>
      <c r="E40">
        <f ca="1">IFERROR(__xludf.DUMMYFUNCTION("""COMPUTED_VALUE"""),70)</f>
        <v>70</v>
      </c>
      <c r="F40">
        <f ca="1">IFERROR(__xludf.DUMMYFUNCTION("""COMPUTED_VALUE"""),14)</f>
        <v>14</v>
      </c>
      <c r="G40">
        <f ca="1">IFERROR(__xludf.DUMMYFUNCTION("""COMPUTED_VALUE"""),20)</f>
        <v>20</v>
      </c>
    </row>
    <row r="41" spans="1:7" ht="12.75">
      <c r="A41" t="str">
        <f ca="1">IFERROR(__xludf.DUMMYFUNCTION("""COMPUTED_VALUE"""),"T38")</f>
        <v>T38</v>
      </c>
      <c r="B41" t="str">
        <f ca="1">IFERROR(__xludf.DUMMYFUNCTION("""COMPUTED_VALUE"""),"T38")</f>
        <v>T38</v>
      </c>
      <c r="C41" t="str">
        <f ca="1">IFERROR(__xludf.DUMMYFUNCTION("""COMPUTED_VALUE"""),"Patrick Cantlay")</f>
        <v>Patrick Cantlay</v>
      </c>
      <c r="D41">
        <f ca="1">IFERROR(__xludf.DUMMYFUNCTION("""COMPUTED_VALUE"""),16)</f>
        <v>16</v>
      </c>
      <c r="E41">
        <f ca="1">IFERROR(__xludf.DUMMYFUNCTION("""COMPUTED_VALUE"""),70)</f>
        <v>70</v>
      </c>
      <c r="F41">
        <f ca="1">IFERROR(__xludf.DUMMYFUNCTION("""COMPUTED_VALUE"""),7)</f>
        <v>7</v>
      </c>
      <c r="G41">
        <f ca="1">IFERROR(__xludf.DUMMYFUNCTION("""COMPUTED_VALUE"""),10)</f>
        <v>10</v>
      </c>
    </row>
    <row r="42" spans="1:7" ht="12.75">
      <c r="A42" t="str">
        <f ca="1">IFERROR(__xludf.DUMMYFUNCTION("""COMPUTED_VALUE"""),"T38")</f>
        <v>T38</v>
      </c>
      <c r="B42" t="str">
        <f ca="1">IFERROR(__xludf.DUMMYFUNCTION("""COMPUTED_VALUE"""),"T38")</f>
        <v>T38</v>
      </c>
      <c r="C42" t="str">
        <f ca="1">IFERROR(__xludf.DUMMYFUNCTION("""COMPUTED_VALUE"""),"Christiaan Bezuidenhout")</f>
        <v>Christiaan Bezuidenhout</v>
      </c>
      <c r="D42">
        <f ca="1">IFERROR(__xludf.DUMMYFUNCTION("""COMPUTED_VALUE"""),4)</f>
        <v>4</v>
      </c>
      <c r="E42">
        <f ca="1">IFERROR(__xludf.DUMMYFUNCTION("""COMPUTED_VALUE"""),70)</f>
        <v>70</v>
      </c>
      <c r="F42">
        <f ca="1">IFERROR(__xludf.DUMMYFUNCTION("""COMPUTED_VALUE"""),7)</f>
        <v>7</v>
      </c>
      <c r="G42">
        <f ca="1">IFERROR(__xludf.DUMMYFUNCTION("""COMPUTED_VALUE"""),10)</f>
        <v>10</v>
      </c>
    </row>
    <row r="43" spans="1:7" ht="12.75">
      <c r="A43" t="str">
        <f ca="1">IFERROR(__xludf.DUMMYFUNCTION("""COMPUTED_VALUE"""),"T42")</f>
        <v>T42</v>
      </c>
      <c r="B43" t="str">
        <f ca="1">IFERROR(__xludf.DUMMYFUNCTION("""COMPUTED_VALUE"""),"T11")</f>
        <v>T11</v>
      </c>
      <c r="C43" t="str">
        <f ca="1">IFERROR(__xludf.DUMMYFUNCTION("""COMPUTED_VALUE"""),"Alex Noren")</f>
        <v>Alex Noren</v>
      </c>
      <c r="D43">
        <f ca="1">IFERROR(__xludf.DUMMYFUNCTION("""COMPUTED_VALUE"""),14)</f>
        <v>14</v>
      </c>
      <c r="E43">
        <f ca="1">IFERROR(__xludf.DUMMYFUNCTION("""COMPUTED_VALUE"""),69.23)</f>
        <v>69.23</v>
      </c>
      <c r="F43">
        <f ca="1">IFERROR(__xludf.DUMMYFUNCTION("""COMPUTED_VALUE"""),9)</f>
        <v>9</v>
      </c>
      <c r="G43">
        <f ca="1">IFERROR(__xludf.DUMMYFUNCTION("""COMPUTED_VALUE"""),13)</f>
        <v>13</v>
      </c>
    </row>
    <row r="44" spans="1:7" ht="12.75">
      <c r="A44" t="str">
        <f ca="1">IFERROR(__xludf.DUMMYFUNCTION("""COMPUTED_VALUE"""),"T42")</f>
        <v>T42</v>
      </c>
      <c r="B44" t="str">
        <f ca="1">IFERROR(__xludf.DUMMYFUNCTION("""COMPUTED_VALUE"""),"T90")</f>
        <v>T90</v>
      </c>
      <c r="C44" t="str">
        <f ca="1">IFERROR(__xludf.DUMMYFUNCTION("""COMPUTED_VALUE"""),"Scott Brown")</f>
        <v>Scott Brown</v>
      </c>
      <c r="D44">
        <f ca="1">IFERROR(__xludf.DUMMYFUNCTION("""COMPUTED_VALUE"""),14)</f>
        <v>14</v>
      </c>
      <c r="E44">
        <f ca="1">IFERROR(__xludf.DUMMYFUNCTION("""COMPUTED_VALUE"""),69.23)</f>
        <v>69.23</v>
      </c>
      <c r="F44">
        <f ca="1">IFERROR(__xludf.DUMMYFUNCTION("""COMPUTED_VALUE"""),9)</f>
        <v>9</v>
      </c>
      <c r="G44">
        <f ca="1">IFERROR(__xludf.DUMMYFUNCTION("""COMPUTED_VALUE"""),13)</f>
        <v>13</v>
      </c>
    </row>
    <row r="45" spans="1:7" ht="12.75">
      <c r="A45" t="str">
        <f ca="1">IFERROR(__xludf.DUMMYFUNCTION("""COMPUTED_VALUE"""),"T42")</f>
        <v>T42</v>
      </c>
      <c r="B45" t="str">
        <f ca="1">IFERROR(__xludf.DUMMYFUNCTION("""COMPUTED_VALUE"""),"T38")</f>
        <v>T38</v>
      </c>
      <c r="C45" t="str">
        <f ca="1">IFERROR(__xludf.DUMMYFUNCTION("""COMPUTED_VALUE"""),"Doc Redman")</f>
        <v>Doc Redman</v>
      </c>
      <c r="D45">
        <f ca="1">IFERROR(__xludf.DUMMYFUNCTION("""COMPUTED_VALUE"""),18)</f>
        <v>18</v>
      </c>
      <c r="E45">
        <f ca="1">IFERROR(__xludf.DUMMYFUNCTION("""COMPUTED_VALUE"""),69.23)</f>
        <v>69.23</v>
      </c>
      <c r="F45">
        <f ca="1">IFERROR(__xludf.DUMMYFUNCTION("""COMPUTED_VALUE"""),9)</f>
        <v>9</v>
      </c>
      <c r="G45">
        <f ca="1">IFERROR(__xludf.DUMMYFUNCTION("""COMPUTED_VALUE"""),13)</f>
        <v>13</v>
      </c>
    </row>
    <row r="46" spans="1:7" ht="12.75">
      <c r="A46">
        <f ca="1">IFERROR(__xludf.DUMMYFUNCTION("""COMPUTED_VALUE"""),45)</f>
        <v>45</v>
      </c>
      <c r="B46" t="str">
        <f ca="1">IFERROR(__xludf.DUMMYFUNCTION("""COMPUTED_VALUE"""),"T54")</f>
        <v>T54</v>
      </c>
      <c r="C46" t="str">
        <f ca="1">IFERROR(__xludf.DUMMYFUNCTION("""COMPUTED_VALUE"""),"Scott Piercy")</f>
        <v>Scott Piercy</v>
      </c>
      <c r="D46">
        <f ca="1">IFERROR(__xludf.DUMMYFUNCTION("""COMPUTED_VALUE"""),18)</f>
        <v>18</v>
      </c>
      <c r="E46">
        <f ca="1">IFERROR(__xludf.DUMMYFUNCTION("""COMPUTED_VALUE"""),68.75)</f>
        <v>68.75</v>
      </c>
      <c r="F46">
        <f ca="1">IFERROR(__xludf.DUMMYFUNCTION("""COMPUTED_VALUE"""),11)</f>
        <v>11</v>
      </c>
      <c r="G46">
        <f ca="1">IFERROR(__xludf.DUMMYFUNCTION("""COMPUTED_VALUE"""),16)</f>
        <v>16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IFERROR(__xludf.DUMMYFUNCTION("""COMPUTED_VALUE"""),"T43")</f>
        <v>T43</v>
      </c>
      <c r="C47" t="str">
        <f ca="1">IFERROR(__xludf.DUMMYFUNCTION("""COMPUTED_VALUE"""),"Fred Funk")</f>
        <v>Fred Funk</v>
      </c>
      <c r="D47">
        <f ca="1">IFERROR(__xludf.DUMMYFUNCTION("""COMPUTED_VALUE"""),4)</f>
        <v>4</v>
      </c>
      <c r="E47">
        <f ca="1">IFERROR(__xludf.DUMMYFUNCTION("""COMPUTED_VALUE"""),66.67)</f>
        <v>66.67</v>
      </c>
      <c r="F47">
        <f ca="1">IFERROR(__xludf.DUMMYFUNCTION("""COMPUTED_VALUE"""),6)</f>
        <v>6</v>
      </c>
      <c r="G47">
        <f ca="1">IFERROR(__xludf.DUMMYFUNCTION("""COMPUTED_VALUE"""),9)</f>
        <v>9</v>
      </c>
    </row>
    <row r="48" spans="1:7" ht="12.75">
      <c r="A48" t="str">
        <f ca="1">IFERROR(__xludf.DUMMYFUNCTION("""COMPUTED_VALUE"""),"T46")</f>
        <v>T46</v>
      </c>
      <c r="B48" t="str">
        <f ca="1">IFERROR(__xludf.DUMMYFUNCTION("""COMPUTED_VALUE"""),"T43")</f>
        <v>T43</v>
      </c>
      <c r="C48" t="str">
        <f ca="1">IFERROR(__xludf.DUMMYFUNCTION("""COMPUTED_VALUE"""),"Aaron Baddeley")</f>
        <v>Aaron Baddeley</v>
      </c>
      <c r="D48">
        <f ca="1">IFERROR(__xludf.DUMMYFUNCTION("""COMPUTED_VALUE"""),8)</f>
        <v>8</v>
      </c>
      <c r="E48">
        <f ca="1">IFERROR(__xludf.DUMMYFUNCTION("""COMPUTED_VALUE"""),66.67)</f>
        <v>66.67</v>
      </c>
      <c r="F48">
        <f ca="1">IFERROR(__xludf.DUMMYFUNCTION("""COMPUTED_VALUE"""),10)</f>
        <v>10</v>
      </c>
      <c r="G48">
        <f ca="1">IFERROR(__xludf.DUMMYFUNCTION("""COMPUTED_VALUE"""),15)</f>
        <v>15</v>
      </c>
    </row>
    <row r="49" spans="1:7" ht="12.75">
      <c r="A49" t="str">
        <f ca="1">IFERROR(__xludf.DUMMYFUNCTION("""COMPUTED_VALUE"""),"T46")</f>
        <v>T46</v>
      </c>
      <c r="B49" t="str">
        <f ca="1">IFERROR(__xludf.DUMMYFUNCTION("""COMPUTED_VALUE"""),"T43")</f>
        <v>T43</v>
      </c>
      <c r="C49" t="str">
        <f ca="1">IFERROR(__xludf.DUMMYFUNCTION("""COMPUTED_VALUE"""),"Brad Kennedy")</f>
        <v>Brad Kennedy</v>
      </c>
      <c r="D49">
        <f ca="1">IFERROR(__xludf.DUMMYFUNCTION("""COMPUTED_VALUE"""),4)</f>
        <v>4</v>
      </c>
      <c r="E49">
        <f ca="1">IFERROR(__xludf.DUMMYFUNCTION("""COMPUTED_VALUE"""),66.67)</f>
        <v>66.67</v>
      </c>
      <c r="F49">
        <f ca="1">IFERROR(__xludf.DUMMYFUNCTION("""COMPUTED_VALUE"""),2)</f>
        <v>2</v>
      </c>
      <c r="G49">
        <f ca="1">IFERROR(__xludf.DUMMYFUNCTION("""COMPUTED_VALUE"""),3)</f>
        <v>3</v>
      </c>
    </row>
    <row r="50" spans="1:7" ht="12.75">
      <c r="A50" t="str">
        <f ca="1">IFERROR(__xludf.DUMMYFUNCTION("""COMPUTED_VALUE"""),"T46")</f>
        <v>T46</v>
      </c>
      <c r="B50" t="str">
        <f ca="1">IFERROR(__xludf.DUMMYFUNCTION("""COMPUTED_VALUE"""),"T43")</f>
        <v>T43</v>
      </c>
      <c r="C50" t="str">
        <f ca="1">IFERROR(__xludf.DUMMYFUNCTION("""COMPUTED_VALUE"""),"Jonathan Byrd")</f>
        <v>Jonathan Byrd</v>
      </c>
      <c r="D50">
        <f ca="1">IFERROR(__xludf.DUMMYFUNCTION("""COMPUTED_VALUE"""),14)</f>
        <v>14</v>
      </c>
      <c r="E50">
        <f ca="1">IFERROR(__xludf.DUMMYFUNCTION("""COMPUTED_VALUE"""),66.67)</f>
        <v>66.67</v>
      </c>
      <c r="F50">
        <f ca="1">IFERROR(__xludf.DUMMYFUNCTION("""COMPUTED_VALUE"""),14)</f>
        <v>14</v>
      </c>
      <c r="G50">
        <f ca="1">IFERROR(__xludf.DUMMYFUNCTION("""COMPUTED_VALUE"""),21)</f>
        <v>21</v>
      </c>
    </row>
    <row r="51" spans="1:7" ht="12.75">
      <c r="A51" t="str">
        <f ca="1">IFERROR(__xludf.DUMMYFUNCTION("""COMPUTED_VALUE"""),"T46")</f>
        <v>T46</v>
      </c>
      <c r="B51" t="str">
        <f ca="1">IFERROR(__xludf.DUMMYFUNCTION("""COMPUTED_VALUE"""),"T54")</f>
        <v>T54</v>
      </c>
      <c r="C51" t="str">
        <f ca="1">IFERROR(__xludf.DUMMYFUNCTION("""COMPUTED_VALUE"""),"D.A. Points")</f>
        <v>D.A. Points</v>
      </c>
      <c r="D51">
        <f ca="1">IFERROR(__xludf.DUMMYFUNCTION("""COMPUTED_VALUE"""),12)</f>
        <v>12</v>
      </c>
      <c r="E51">
        <f ca="1">IFERROR(__xludf.DUMMYFUNCTION("""COMPUTED_VALUE"""),66.67)</f>
        <v>66.67</v>
      </c>
      <c r="F51">
        <f ca="1">IFERROR(__xludf.DUMMYFUNCTION("""COMPUTED_VALUE"""),10)</f>
        <v>10</v>
      </c>
      <c r="G51">
        <f ca="1">IFERROR(__xludf.DUMMYFUNCTION("""COMPUTED_VALUE"""),15)</f>
        <v>15</v>
      </c>
    </row>
    <row r="52" spans="1:7" ht="12.75">
      <c r="A52" t="str">
        <f ca="1">IFERROR(__xludf.DUMMYFUNCTION("""COMPUTED_VALUE"""),"T46")</f>
        <v>T46</v>
      </c>
      <c r="B52" t="str">
        <f ca="1">IFERROR(__xludf.DUMMYFUNCTION("""COMPUTED_VALUE"""),"T43")</f>
        <v>T43</v>
      </c>
      <c r="C52" t="str">
        <f ca="1">IFERROR(__xludf.DUMMYFUNCTION("""COMPUTED_VALUE"""),"Louis Oosthuizen")</f>
        <v>Louis Oosthuizen</v>
      </c>
      <c r="D52">
        <f ca="1">IFERROR(__xludf.DUMMYFUNCTION("""COMPUTED_VALUE"""),12)</f>
        <v>12</v>
      </c>
      <c r="E52">
        <f ca="1">IFERROR(__xludf.DUMMYFUNCTION("""COMPUTED_VALUE"""),66.67)</f>
        <v>66.67</v>
      </c>
      <c r="F52">
        <f ca="1">IFERROR(__xludf.DUMMYFUNCTION("""COMPUTED_VALUE"""),12)</f>
        <v>12</v>
      </c>
      <c r="G52">
        <f ca="1">IFERROR(__xludf.DUMMYFUNCTION("""COMPUTED_VALUE"""),18)</f>
        <v>18</v>
      </c>
    </row>
    <row r="53" spans="1:7" ht="12.75">
      <c r="A53" t="str">
        <f ca="1">IFERROR(__xludf.DUMMYFUNCTION("""COMPUTED_VALUE"""),"T46")</f>
        <v>T46</v>
      </c>
      <c r="B53">
        <f ca="1">IFERROR(__xludf.DUMMYFUNCTION("""COMPUTED_VALUE"""),61)</f>
        <v>61</v>
      </c>
      <c r="C53" t="str">
        <f ca="1">IFERROR(__xludf.DUMMYFUNCTION("""COMPUTED_VALUE"""),"Fabián Gómez")</f>
        <v>Fabián Gómez</v>
      </c>
      <c r="D53">
        <f ca="1">IFERROR(__xludf.DUMMYFUNCTION("""COMPUTED_VALUE"""),16)</f>
        <v>16</v>
      </c>
      <c r="E53">
        <f ca="1">IFERROR(__xludf.DUMMYFUNCTION("""COMPUTED_VALUE"""),66.67)</f>
        <v>66.67</v>
      </c>
      <c r="F53">
        <f ca="1">IFERROR(__xludf.DUMMYFUNCTION("""COMPUTED_VALUE"""),10)</f>
        <v>10</v>
      </c>
      <c r="G53">
        <f ca="1">IFERROR(__xludf.DUMMYFUNCTION("""COMPUTED_VALUE"""),15)</f>
        <v>15</v>
      </c>
    </row>
    <row r="54" spans="1:7" ht="12.75">
      <c r="A54" t="str">
        <f ca="1">IFERROR(__xludf.DUMMYFUNCTION("""COMPUTED_VALUE"""),"T46")</f>
        <v>T46</v>
      </c>
      <c r="B54" t="str">
        <f ca="1">IFERROR(__xludf.DUMMYFUNCTION("""COMPUTED_VALUE"""),"T43")</f>
        <v>T43</v>
      </c>
      <c r="C54" t="str">
        <f ca="1">IFERROR(__xludf.DUMMYFUNCTION("""COMPUTED_VALUE"""),"Brendan Steele")</f>
        <v>Brendan Steele</v>
      </c>
      <c r="D54">
        <f ca="1">IFERROR(__xludf.DUMMYFUNCTION("""COMPUTED_VALUE"""),14)</f>
        <v>14</v>
      </c>
      <c r="E54">
        <f ca="1">IFERROR(__xludf.DUMMYFUNCTION("""COMPUTED_VALUE"""),66.67)</f>
        <v>66.67</v>
      </c>
      <c r="F54">
        <f ca="1">IFERROR(__xludf.DUMMYFUNCTION("""COMPUTED_VALUE"""),6)</f>
        <v>6</v>
      </c>
      <c r="G54">
        <f ca="1">IFERROR(__xludf.DUMMYFUNCTION("""COMPUTED_VALUE"""),9)</f>
        <v>9</v>
      </c>
    </row>
    <row r="55" spans="1:7" ht="12.75">
      <c r="A55" t="str">
        <f ca="1">IFERROR(__xludf.DUMMYFUNCTION("""COMPUTED_VALUE"""),"T46")</f>
        <v>T46</v>
      </c>
      <c r="B55" t="str">
        <f ca="1">IFERROR(__xludf.DUMMYFUNCTION("""COMPUTED_VALUE"""),"T43")</f>
        <v>T43</v>
      </c>
      <c r="C55" t="str">
        <f ca="1">IFERROR(__xludf.DUMMYFUNCTION("""COMPUTED_VALUE"""),"Jason Kokrak")</f>
        <v>Jason Kokrak</v>
      </c>
      <c r="D55">
        <f ca="1">IFERROR(__xludf.DUMMYFUNCTION("""COMPUTED_VALUE"""),14)</f>
        <v>14</v>
      </c>
      <c r="E55">
        <f ca="1">IFERROR(__xludf.DUMMYFUNCTION("""COMPUTED_VALUE"""),66.67)</f>
        <v>66.67</v>
      </c>
      <c r="F55">
        <f ca="1">IFERROR(__xludf.DUMMYFUNCTION("""COMPUTED_VALUE"""),6)</f>
        <v>6</v>
      </c>
      <c r="G55">
        <f ca="1">IFERROR(__xludf.DUMMYFUNCTION("""COMPUTED_VALUE"""),9)</f>
        <v>9</v>
      </c>
    </row>
    <row r="56" spans="1:7" ht="12.75">
      <c r="A56" t="str">
        <f ca="1">IFERROR(__xludf.DUMMYFUNCTION("""COMPUTED_VALUE"""),"T46")</f>
        <v>T46</v>
      </c>
      <c r="B56" t="str">
        <f ca="1">IFERROR(__xludf.DUMMYFUNCTION("""COMPUTED_VALUE"""),"T218")</f>
        <v>T218</v>
      </c>
      <c r="C56" t="str">
        <f ca="1">IFERROR(__xludf.DUMMYFUNCTION("""COMPUTED_VALUE"""),"Shane Lowry")</f>
        <v>Shane Lowry</v>
      </c>
      <c r="D56">
        <f ca="1">IFERROR(__xludf.DUMMYFUNCTION("""COMPUTED_VALUE"""),14)</f>
        <v>14</v>
      </c>
      <c r="E56">
        <f ca="1">IFERROR(__xludf.DUMMYFUNCTION("""COMPUTED_VALUE"""),66.67)</f>
        <v>66.67</v>
      </c>
      <c r="F56">
        <f ca="1">IFERROR(__xludf.DUMMYFUNCTION("""COMPUTED_VALUE"""),4)</f>
        <v>4</v>
      </c>
      <c r="G56">
        <f ca="1">IFERROR(__xludf.DUMMYFUNCTION("""COMPUTED_VALUE"""),6)</f>
        <v>6</v>
      </c>
    </row>
    <row r="57" spans="1:7" ht="12.75">
      <c r="A57" t="str">
        <f ca="1">IFERROR(__xludf.DUMMYFUNCTION("""COMPUTED_VALUE"""),"T46")</f>
        <v>T46</v>
      </c>
      <c r="B57" t="str">
        <f ca="1">IFERROR(__xludf.DUMMYFUNCTION("""COMPUTED_VALUE"""),"T43")</f>
        <v>T43</v>
      </c>
      <c r="C57" t="str">
        <f ca="1">IFERROR(__xludf.DUMMYFUNCTION("""COMPUTED_VALUE"""),"MJ Daffue")</f>
        <v>MJ Daffue</v>
      </c>
      <c r="D57">
        <f ca="1">IFERROR(__xludf.DUMMYFUNCTION("""COMPUTED_VALUE"""),10)</f>
        <v>10</v>
      </c>
      <c r="E57">
        <f ca="1">IFERROR(__xludf.DUMMYFUNCTION("""COMPUTED_VALUE"""),66.67)</f>
        <v>66.67</v>
      </c>
      <c r="F57">
        <f ca="1">IFERROR(__xludf.DUMMYFUNCTION("""COMPUTED_VALUE"""),4)</f>
        <v>4</v>
      </c>
      <c r="G57">
        <f ca="1">IFERROR(__xludf.DUMMYFUNCTION("""COMPUTED_VALUE"""),6)</f>
        <v>6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IFERROR(__xludf.DUMMYFUNCTION("""COMPUTED_VALUE"""),"T52")</f>
        <v>T52</v>
      </c>
      <c r="C58" t="str">
        <f ca="1">IFERROR(__xludf.DUMMYFUNCTION("""COMPUTED_VALUE"""),"Wyndham Clark")</f>
        <v>Wyndham Clark</v>
      </c>
      <c r="D58">
        <f ca="1">IFERROR(__xludf.DUMMYFUNCTION("""COMPUTED_VALUE"""),16)</f>
        <v>16</v>
      </c>
      <c r="E58">
        <f ca="1">IFERROR(__xludf.DUMMYFUNCTION("""COMPUTED_VALUE"""),64.71)</f>
        <v>64.709999999999994</v>
      </c>
      <c r="F58">
        <f ca="1">IFERROR(__xludf.DUMMYFUNCTION("""COMPUTED_VALUE"""),11)</f>
        <v>11</v>
      </c>
      <c r="G58">
        <f ca="1">IFERROR(__xludf.DUMMYFUNCTION("""COMPUTED_VALUE"""),17)</f>
        <v>17</v>
      </c>
    </row>
    <row r="59" spans="1:7" ht="12.75">
      <c r="A59" t="str">
        <f ca="1">IFERROR(__xludf.DUMMYFUNCTION("""COMPUTED_VALUE"""),"T58")</f>
        <v>T58</v>
      </c>
      <c r="B59" t="str">
        <f ca="1">IFERROR(__xludf.DUMMYFUNCTION("""COMPUTED_VALUE"""),"T54")</f>
        <v>T54</v>
      </c>
      <c r="C59" t="str">
        <f ca="1">IFERROR(__xludf.DUMMYFUNCTION("""COMPUTED_VALUE"""),"Chez Reavie")</f>
        <v>Chez Reavie</v>
      </c>
      <c r="D59">
        <f ca="1">IFERROR(__xludf.DUMMYFUNCTION("""COMPUTED_VALUE"""),14)</f>
        <v>14</v>
      </c>
      <c r="E59">
        <f ca="1">IFERROR(__xludf.DUMMYFUNCTION("""COMPUTED_VALUE"""),64.29)</f>
        <v>64.290000000000006</v>
      </c>
      <c r="F59">
        <f ca="1">IFERROR(__xludf.DUMMYFUNCTION("""COMPUTED_VALUE"""),9)</f>
        <v>9</v>
      </c>
      <c r="G59">
        <f ca="1">IFERROR(__xludf.DUMMYFUNCTION("""COMPUTED_VALUE"""),14)</f>
        <v>14</v>
      </c>
    </row>
    <row r="60" spans="1:7" ht="12.75">
      <c r="A60" t="str">
        <f ca="1">IFERROR(__xludf.DUMMYFUNCTION("""COMPUTED_VALUE"""),"T58")</f>
        <v>T58</v>
      </c>
      <c r="B60" t="str">
        <f ca="1">IFERROR(__xludf.DUMMYFUNCTION("""COMPUTED_VALUE"""),"T54")</f>
        <v>T54</v>
      </c>
      <c r="C60" t="str">
        <f ca="1">IFERROR(__xludf.DUMMYFUNCTION("""COMPUTED_VALUE"""),"Michael Gligic")</f>
        <v>Michael Gligic</v>
      </c>
      <c r="D60">
        <f ca="1">IFERROR(__xludf.DUMMYFUNCTION("""COMPUTED_VALUE"""),18)</f>
        <v>18</v>
      </c>
      <c r="E60">
        <f ca="1">IFERROR(__xludf.DUMMYFUNCTION("""COMPUTED_VALUE"""),64.29)</f>
        <v>64.290000000000006</v>
      </c>
      <c r="F60">
        <f ca="1">IFERROR(__xludf.DUMMYFUNCTION("""COMPUTED_VALUE"""),9)</f>
        <v>9</v>
      </c>
      <c r="G60">
        <f ca="1">IFERROR(__xludf.DUMMYFUNCTION("""COMPUTED_VALUE"""),14)</f>
        <v>14</v>
      </c>
    </row>
    <row r="61" spans="1:7" ht="12.75">
      <c r="A61" t="str">
        <f ca="1">IFERROR(__xludf.DUMMYFUNCTION("""COMPUTED_VALUE"""),"T60")</f>
        <v>T60</v>
      </c>
      <c r="B61" t="str">
        <f ca="1">IFERROR(__xludf.DUMMYFUNCTION("""COMPUTED_VALUE"""),"T62")</f>
        <v>T62</v>
      </c>
      <c r="C61" t="str">
        <f ca="1">IFERROR(__xludf.DUMMYFUNCTION("""COMPUTED_VALUE"""),"Nate Lashley")</f>
        <v>Nate Lashley</v>
      </c>
      <c r="D61">
        <f ca="1">IFERROR(__xludf.DUMMYFUNCTION("""COMPUTED_VALUE"""),16)</f>
        <v>16</v>
      </c>
      <c r="E61">
        <f ca="1">IFERROR(__xludf.DUMMYFUNCTION("""COMPUTED_VALUE"""),63.64)</f>
        <v>63.64</v>
      </c>
      <c r="F61">
        <f ca="1">IFERROR(__xludf.DUMMYFUNCTION("""COMPUTED_VALUE"""),7)</f>
        <v>7</v>
      </c>
      <c r="G61">
        <f ca="1">IFERROR(__xludf.DUMMYFUNCTION("""COMPUTED_VALUE"""),11)</f>
        <v>11</v>
      </c>
    </row>
    <row r="62" spans="1:7" ht="12.75">
      <c r="A62" t="str">
        <f ca="1">IFERROR(__xludf.DUMMYFUNCTION("""COMPUTED_VALUE"""),"T60")</f>
        <v>T60</v>
      </c>
      <c r="B62" t="str">
        <f ca="1">IFERROR(__xludf.DUMMYFUNCTION("""COMPUTED_VALUE"""),"T90")</f>
        <v>T90</v>
      </c>
      <c r="C62" t="str">
        <f ca="1">IFERROR(__xludf.DUMMYFUNCTION("""COMPUTED_VALUE"""),"Emiliano Grillo")</f>
        <v>Emiliano Grillo</v>
      </c>
      <c r="D62">
        <f ca="1">IFERROR(__xludf.DUMMYFUNCTION("""COMPUTED_VALUE"""),22)</f>
        <v>22</v>
      </c>
      <c r="E62">
        <f ca="1">IFERROR(__xludf.DUMMYFUNCTION("""COMPUTED_VALUE"""),63.64)</f>
        <v>63.64</v>
      </c>
      <c r="F62">
        <f ca="1">IFERROR(__xludf.DUMMYFUNCTION("""COMPUTED_VALUE"""),7)</f>
        <v>7</v>
      </c>
      <c r="G62">
        <f ca="1">IFERROR(__xludf.DUMMYFUNCTION("""COMPUTED_VALUE"""),11)</f>
        <v>11</v>
      </c>
    </row>
    <row r="63" spans="1:7" ht="12.75">
      <c r="A63" t="str">
        <f ca="1">IFERROR(__xludf.DUMMYFUNCTION("""COMPUTED_VALUE"""),"T62")</f>
        <v>T62</v>
      </c>
      <c r="B63" t="str">
        <f ca="1">IFERROR(__xludf.DUMMYFUNCTION("""COMPUTED_VALUE"""),"T33")</f>
        <v>T33</v>
      </c>
      <c r="C63" t="str">
        <f ca="1">IFERROR(__xludf.DUMMYFUNCTION("""COMPUTED_VALUE"""),"Stewart Cink")</f>
        <v>Stewart Cink</v>
      </c>
      <c r="D63">
        <f ca="1">IFERROR(__xludf.DUMMYFUNCTION("""COMPUTED_VALUE"""),18)</f>
        <v>18</v>
      </c>
      <c r="E63">
        <f ca="1">IFERROR(__xludf.DUMMYFUNCTION("""COMPUTED_VALUE"""),62.5)</f>
        <v>62.5</v>
      </c>
      <c r="F63">
        <f ca="1">IFERROR(__xludf.DUMMYFUNCTION("""COMPUTED_VALUE"""),5)</f>
        <v>5</v>
      </c>
      <c r="G63">
        <f ca="1">IFERROR(__xludf.DUMMYFUNCTION("""COMPUTED_VALUE"""),8)</f>
        <v>8</v>
      </c>
    </row>
    <row r="64" spans="1:7" ht="12.75">
      <c r="A64" t="str">
        <f ca="1">IFERROR(__xludf.DUMMYFUNCTION("""COMPUTED_VALUE"""),"T62")</f>
        <v>T62</v>
      </c>
      <c r="B64" t="str">
        <f ca="1">IFERROR(__xludf.DUMMYFUNCTION("""COMPUTED_VALUE"""),"T62")</f>
        <v>T62</v>
      </c>
      <c r="C64" t="str">
        <f ca="1">IFERROR(__xludf.DUMMYFUNCTION("""COMPUTED_VALUE"""),"Parker McLachlin")</f>
        <v>Parker McLachlin</v>
      </c>
      <c r="D64">
        <f ca="1">IFERROR(__xludf.DUMMYFUNCTION("""COMPUTED_VALUE"""),4)</f>
        <v>4</v>
      </c>
      <c r="E64">
        <f ca="1">IFERROR(__xludf.DUMMYFUNCTION("""COMPUTED_VALUE"""),62.5)</f>
        <v>62.5</v>
      </c>
      <c r="F64">
        <f ca="1">IFERROR(__xludf.DUMMYFUNCTION("""COMPUTED_VALUE"""),5)</f>
        <v>5</v>
      </c>
      <c r="G64">
        <f ca="1">IFERROR(__xludf.DUMMYFUNCTION("""COMPUTED_VALUE"""),8)</f>
        <v>8</v>
      </c>
    </row>
    <row r="65" spans="1:7" ht="12.75">
      <c r="A65" t="str">
        <f ca="1">IFERROR(__xludf.DUMMYFUNCTION("""COMPUTED_VALUE"""),"T62")</f>
        <v>T62</v>
      </c>
      <c r="B65" t="str">
        <f ca="1">IFERROR(__xludf.DUMMYFUNCTION("""COMPUTED_VALUE"""),"T54")</f>
        <v>T54</v>
      </c>
      <c r="C65" t="str">
        <f ca="1">IFERROR(__xludf.DUMMYFUNCTION("""COMPUTED_VALUE"""),"C.T. Pan")</f>
        <v>C.T. Pan</v>
      </c>
      <c r="D65">
        <f ca="1">IFERROR(__xludf.DUMMYFUNCTION("""COMPUTED_VALUE"""),20)</f>
        <v>20</v>
      </c>
      <c r="E65">
        <f ca="1">IFERROR(__xludf.DUMMYFUNCTION("""COMPUTED_VALUE"""),62.5)</f>
        <v>62.5</v>
      </c>
      <c r="F65">
        <f ca="1">IFERROR(__xludf.DUMMYFUNCTION("""COMPUTED_VALUE"""),10)</f>
        <v>10</v>
      </c>
      <c r="G65">
        <f ca="1">IFERROR(__xludf.DUMMYFUNCTION("""COMPUTED_VALUE"""),16)</f>
        <v>16</v>
      </c>
    </row>
    <row r="66" spans="1:7" ht="12.75">
      <c r="A66" t="str">
        <f ca="1">IFERROR(__xludf.DUMMYFUNCTION("""COMPUTED_VALUE"""),"T62")</f>
        <v>T62</v>
      </c>
      <c r="B66" t="str">
        <f ca="1">IFERROR(__xludf.DUMMYFUNCTION("""COMPUTED_VALUE"""),"T62")</f>
        <v>T62</v>
      </c>
      <c r="C66" t="str">
        <f ca="1">IFERROR(__xludf.DUMMYFUNCTION("""COMPUTED_VALUE"""),"Zack Sucher")</f>
        <v>Zack Sucher</v>
      </c>
      <c r="D66">
        <f ca="1">IFERROR(__xludf.DUMMYFUNCTION("""COMPUTED_VALUE"""),6)</f>
        <v>6</v>
      </c>
      <c r="E66">
        <f ca="1">IFERROR(__xludf.DUMMYFUNCTION("""COMPUTED_VALUE"""),62.5)</f>
        <v>62.5</v>
      </c>
      <c r="F66">
        <f ca="1">IFERROR(__xludf.DUMMYFUNCTION("""COMPUTED_VALUE"""),5)</f>
        <v>5</v>
      </c>
      <c r="G66">
        <f ca="1">IFERROR(__xludf.DUMMYFUNCTION("""COMPUTED_VALUE"""),8)</f>
        <v>8</v>
      </c>
    </row>
    <row r="67" spans="1:7" ht="12.75">
      <c r="A67" t="str">
        <f ca="1">IFERROR(__xludf.DUMMYFUNCTION("""COMPUTED_VALUE"""),"T62")</f>
        <v>T62</v>
      </c>
      <c r="B67" t="str">
        <f ca="1">IFERROR(__xludf.DUMMYFUNCTION("""COMPUTED_VALUE"""),"T62")</f>
        <v>T62</v>
      </c>
      <c r="C67" t="str">
        <f ca="1">IFERROR(__xludf.DUMMYFUNCTION("""COMPUTED_VALUE"""),"Sebastian Cappelen")</f>
        <v>Sebastian Cappelen</v>
      </c>
      <c r="D67">
        <f ca="1">IFERROR(__xludf.DUMMYFUNCTION("""COMPUTED_VALUE"""),8)</f>
        <v>8</v>
      </c>
      <c r="E67">
        <f ca="1">IFERROR(__xludf.DUMMYFUNCTION("""COMPUTED_VALUE"""),62.5)</f>
        <v>62.5</v>
      </c>
      <c r="F67">
        <f ca="1">IFERROR(__xludf.DUMMYFUNCTION("""COMPUTED_VALUE"""),5)</f>
        <v>5</v>
      </c>
      <c r="G67">
        <f ca="1">IFERROR(__xludf.DUMMYFUNCTION("""COMPUTED_VALUE"""),8)</f>
        <v>8</v>
      </c>
    </row>
    <row r="68" spans="1:7" ht="12.75">
      <c r="A68" t="str">
        <f ca="1">IFERROR(__xludf.DUMMYFUNCTION("""COMPUTED_VALUE"""),"T62")</f>
        <v>T62</v>
      </c>
      <c r="B68" t="str">
        <f ca="1">IFERROR(__xludf.DUMMYFUNCTION("""COMPUTED_VALUE"""),"T62")</f>
        <v>T62</v>
      </c>
      <c r="C68" t="str">
        <f ca="1">IFERROR(__xludf.DUMMYFUNCTION("""COMPUTED_VALUE"""),"Renato Paratore")</f>
        <v>Renato Paratore</v>
      </c>
      <c r="D68">
        <f ca="1">IFERROR(__xludf.DUMMYFUNCTION("""COMPUTED_VALUE"""),4)</f>
        <v>4</v>
      </c>
      <c r="E68">
        <f ca="1">IFERROR(__xludf.DUMMYFUNCTION("""COMPUTED_VALUE"""),62.5)</f>
        <v>62.5</v>
      </c>
      <c r="F68">
        <f ca="1">IFERROR(__xludf.DUMMYFUNCTION("""COMPUTED_VALUE"""),5)</f>
        <v>5</v>
      </c>
      <c r="G68">
        <f ca="1">IFERROR(__xludf.DUMMYFUNCTION("""COMPUTED_VALUE"""),8)</f>
        <v>8</v>
      </c>
    </row>
    <row r="69" spans="1:7" ht="12.75">
      <c r="A69" t="str">
        <f ca="1">IFERROR(__xludf.DUMMYFUNCTION("""COMPUTED_VALUE"""),"T68")</f>
        <v>T68</v>
      </c>
      <c r="B69" t="str">
        <f ca="1">IFERROR(__xludf.DUMMYFUNCTION("""COMPUTED_VALUE"""),"T70")</f>
        <v>T70</v>
      </c>
      <c r="C69" t="str">
        <f ca="1">IFERROR(__xludf.DUMMYFUNCTION("""COMPUTED_VALUE"""),"Jason Day")</f>
        <v>Jason Day</v>
      </c>
      <c r="D69">
        <f ca="1">IFERROR(__xludf.DUMMYFUNCTION("""COMPUTED_VALUE"""),17)</f>
        <v>17</v>
      </c>
      <c r="E69">
        <f ca="1">IFERROR(__xludf.DUMMYFUNCTION("""COMPUTED_VALUE"""),61.9)</f>
        <v>61.9</v>
      </c>
      <c r="F69">
        <f ca="1">IFERROR(__xludf.DUMMYFUNCTION("""COMPUTED_VALUE"""),13)</f>
        <v>13</v>
      </c>
      <c r="G69">
        <f ca="1">IFERROR(__xludf.DUMMYFUNCTION("""COMPUTED_VALUE"""),21)</f>
        <v>21</v>
      </c>
    </row>
    <row r="70" spans="1:7" ht="12.75">
      <c r="A70" t="str">
        <f ca="1">IFERROR(__xludf.DUMMYFUNCTION("""COMPUTED_VALUE"""),"T68")</f>
        <v>T68</v>
      </c>
      <c r="B70" t="str">
        <f ca="1">IFERROR(__xludf.DUMMYFUNCTION("""COMPUTED_VALUE"""),"T68")</f>
        <v>T68</v>
      </c>
      <c r="C70" t="str">
        <f ca="1">IFERROR(__xludf.DUMMYFUNCTION("""COMPUTED_VALUE"""),"J.T. Poston")</f>
        <v>J.T. Poston</v>
      </c>
      <c r="D70">
        <f ca="1">IFERROR(__xludf.DUMMYFUNCTION("""COMPUTED_VALUE"""),18)</f>
        <v>18</v>
      </c>
      <c r="E70">
        <f ca="1">IFERROR(__xludf.DUMMYFUNCTION("""COMPUTED_VALUE"""),61.9)</f>
        <v>61.9</v>
      </c>
      <c r="F70">
        <f ca="1">IFERROR(__xludf.DUMMYFUNCTION("""COMPUTED_VALUE"""),13)</f>
        <v>13</v>
      </c>
      <c r="G70">
        <f ca="1">IFERROR(__xludf.DUMMYFUNCTION("""COMPUTED_VALUE"""),21)</f>
        <v>21</v>
      </c>
    </row>
    <row r="71" spans="1:7" ht="12.75">
      <c r="A71" t="str">
        <f ca="1">IFERROR(__xludf.DUMMYFUNCTION("""COMPUTED_VALUE"""),"T70")</f>
        <v>T70</v>
      </c>
      <c r="B71" t="str">
        <f ca="1">IFERROR(__xludf.DUMMYFUNCTION("""COMPUTED_VALUE"""),"T90")</f>
        <v>T90</v>
      </c>
      <c r="C71" t="str">
        <f ca="1">IFERROR(__xludf.DUMMYFUNCTION("""COMPUTED_VALUE"""),"Patton Kizzire")</f>
        <v>Patton Kizzire</v>
      </c>
      <c r="D71">
        <f ca="1">IFERROR(__xludf.DUMMYFUNCTION("""COMPUTED_VALUE"""),18)</f>
        <v>18</v>
      </c>
      <c r="E71">
        <f ca="1">IFERROR(__xludf.DUMMYFUNCTION("""COMPUTED_VALUE"""),61.54)</f>
        <v>61.54</v>
      </c>
      <c r="F71">
        <f ca="1">IFERROR(__xludf.DUMMYFUNCTION("""COMPUTED_VALUE"""),8)</f>
        <v>8</v>
      </c>
      <c r="G71">
        <f ca="1">IFERROR(__xludf.DUMMYFUNCTION("""COMPUTED_VALUE"""),13)</f>
        <v>13</v>
      </c>
    </row>
    <row r="72" spans="1:7" ht="12.75">
      <c r="A72" t="str">
        <f ca="1">IFERROR(__xludf.DUMMYFUNCTION("""COMPUTED_VALUE"""),"T70")</f>
        <v>T70</v>
      </c>
      <c r="B72" t="str">
        <f ca="1">IFERROR(__xludf.DUMMYFUNCTION("""COMPUTED_VALUE"""),"T117")</f>
        <v>T117</v>
      </c>
      <c r="C72" t="str">
        <f ca="1">IFERROR(__xludf.DUMMYFUNCTION("""COMPUTED_VALUE"""),"Satoshi Kodaira")</f>
        <v>Satoshi Kodaira</v>
      </c>
      <c r="D72">
        <f ca="1">IFERROR(__xludf.DUMMYFUNCTION("""COMPUTED_VALUE"""),12)</f>
        <v>12</v>
      </c>
      <c r="E72">
        <f ca="1">IFERROR(__xludf.DUMMYFUNCTION("""COMPUTED_VALUE"""),61.54)</f>
        <v>61.54</v>
      </c>
      <c r="F72">
        <f ca="1">IFERROR(__xludf.DUMMYFUNCTION("""COMPUTED_VALUE"""),8)</f>
        <v>8</v>
      </c>
      <c r="G72">
        <f ca="1">IFERROR(__xludf.DUMMYFUNCTION("""COMPUTED_VALUE"""),13)</f>
        <v>13</v>
      </c>
    </row>
    <row r="73" spans="1:7" ht="12.75">
      <c r="A73" t="str">
        <f ca="1">IFERROR(__xludf.DUMMYFUNCTION("""COMPUTED_VALUE"""),"T70")</f>
        <v>T70</v>
      </c>
      <c r="B73" t="str">
        <f ca="1">IFERROR(__xludf.DUMMYFUNCTION("""COMPUTED_VALUE"""),"T117")</f>
        <v>T117</v>
      </c>
      <c r="C73" t="str">
        <f ca="1">IFERROR(__xludf.DUMMYFUNCTION("""COMPUTED_VALUE"""),"Austin Cook")</f>
        <v>Austin Cook</v>
      </c>
      <c r="D73">
        <f ca="1">IFERROR(__xludf.DUMMYFUNCTION("""COMPUTED_VALUE"""),14)</f>
        <v>14</v>
      </c>
      <c r="E73">
        <f ca="1">IFERROR(__xludf.DUMMYFUNCTION("""COMPUTED_VALUE"""),61.54)</f>
        <v>61.54</v>
      </c>
      <c r="F73">
        <f ca="1">IFERROR(__xludf.DUMMYFUNCTION("""COMPUTED_VALUE"""),8)</f>
        <v>8</v>
      </c>
      <c r="G73">
        <f ca="1">IFERROR(__xludf.DUMMYFUNCTION("""COMPUTED_VALUE"""),13)</f>
        <v>13</v>
      </c>
    </row>
    <row r="74" spans="1:7" ht="12.75">
      <c r="A74" t="str">
        <f ca="1">IFERROR(__xludf.DUMMYFUNCTION("""COMPUTED_VALUE"""),"T70")</f>
        <v>T70</v>
      </c>
      <c r="B74" t="str">
        <f ca="1">IFERROR(__xludf.DUMMYFUNCTION("""COMPUTED_VALUE"""),"T117")</f>
        <v>T117</v>
      </c>
      <c r="C74" t="str">
        <f ca="1">IFERROR(__xludf.DUMMYFUNCTION("""COMPUTED_VALUE"""),"Denny McCarthy")</f>
        <v>Denny McCarthy</v>
      </c>
      <c r="D74">
        <f ca="1">IFERROR(__xludf.DUMMYFUNCTION("""COMPUTED_VALUE"""),22)</f>
        <v>22</v>
      </c>
      <c r="E74">
        <f ca="1">IFERROR(__xludf.DUMMYFUNCTION("""COMPUTED_VALUE"""),61.54)</f>
        <v>61.54</v>
      </c>
      <c r="F74">
        <f ca="1">IFERROR(__xludf.DUMMYFUNCTION("""COMPUTED_VALUE"""),8)</f>
        <v>8</v>
      </c>
      <c r="G74">
        <f ca="1">IFERROR(__xludf.DUMMYFUNCTION("""COMPUTED_VALUE"""),13)</f>
        <v>13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IFERROR(__xludf.DUMMYFUNCTION("""COMPUTED_VALUE"""),"T29")</f>
        <v>T29</v>
      </c>
      <c r="C75" t="str">
        <f ca="1">IFERROR(__xludf.DUMMYFUNCTION("""COMPUTED_VALUE"""),"Ryan Armour")</f>
        <v>Ryan Armour</v>
      </c>
      <c r="D75">
        <f ca="1">IFERROR(__xludf.DUMMYFUNCTION("""COMPUTED_VALUE"""),16)</f>
        <v>16</v>
      </c>
      <c r="E75">
        <f ca="1">IFERROR(__xludf.DUMMYFUNCTION("""COMPUTED_VALUE"""),61.11)</f>
        <v>61.11</v>
      </c>
      <c r="F75">
        <f ca="1">IFERROR(__xludf.DUMMYFUNCTION("""COMPUTED_VALUE"""),11)</f>
        <v>11</v>
      </c>
      <c r="G75">
        <f ca="1">IFERROR(__xludf.DUMMYFUNCTION("""COMPUTED_VALUE"""),18)</f>
        <v>18</v>
      </c>
    </row>
    <row r="76" spans="1:7" ht="12.75">
      <c r="A76" t="str">
        <f ca="1">IFERROR(__xludf.DUMMYFUNCTION("""COMPUTED_VALUE"""),"T74")</f>
        <v>T74</v>
      </c>
      <c r="B76" t="str">
        <f ca="1">IFERROR(__xludf.DUMMYFUNCTION("""COMPUTED_VALUE"""),"T70")</f>
        <v>T70</v>
      </c>
      <c r="C76" t="str">
        <f ca="1">IFERROR(__xludf.DUMMYFUNCTION("""COMPUTED_VALUE"""),"Chesson Hadley")</f>
        <v>Chesson Hadley</v>
      </c>
      <c r="D76">
        <f ca="1">IFERROR(__xludf.DUMMYFUNCTION("""COMPUTED_VALUE"""),16)</f>
        <v>16</v>
      </c>
      <c r="E76">
        <f ca="1">IFERROR(__xludf.DUMMYFUNCTION("""COMPUTED_VALUE"""),61.11)</f>
        <v>61.11</v>
      </c>
      <c r="F76">
        <f ca="1">IFERROR(__xludf.DUMMYFUNCTION("""COMPUTED_VALUE"""),11)</f>
        <v>11</v>
      </c>
      <c r="G76">
        <f ca="1">IFERROR(__xludf.DUMMYFUNCTION("""COMPUTED_VALUE"""),18)</f>
        <v>18</v>
      </c>
    </row>
    <row r="77" spans="1:7" ht="12.75">
      <c r="A77" t="str">
        <f ca="1">IFERROR(__xludf.DUMMYFUNCTION("""COMPUTED_VALUE"""),"T76")</f>
        <v>T76</v>
      </c>
      <c r="B77" t="str">
        <f ca="1">IFERROR(__xludf.DUMMYFUNCTION("""COMPUTED_VALUE"""),"T68")</f>
        <v>T68</v>
      </c>
      <c r="C77" t="str">
        <f ca="1">IFERROR(__xludf.DUMMYFUNCTION("""COMPUTED_VALUE"""),"Phil Mickelson")</f>
        <v>Phil Mickelson</v>
      </c>
      <c r="D77">
        <f ca="1">IFERROR(__xludf.DUMMYFUNCTION("""COMPUTED_VALUE"""),12)</f>
        <v>12</v>
      </c>
      <c r="E77">
        <f ca="1">IFERROR(__xludf.DUMMYFUNCTION("""COMPUTED_VALUE"""),60)</f>
        <v>60</v>
      </c>
      <c r="F77">
        <f ca="1">IFERROR(__xludf.DUMMYFUNCTION("""COMPUTED_VALUE"""),9)</f>
        <v>9</v>
      </c>
      <c r="G77">
        <f ca="1">IFERROR(__xludf.DUMMYFUNCTION("""COMPUTED_VALUE"""),15)</f>
        <v>15</v>
      </c>
    </row>
    <row r="78" spans="1:7" ht="12.75">
      <c r="A78" t="str">
        <f ca="1">IFERROR(__xludf.DUMMYFUNCTION("""COMPUTED_VALUE"""),"T76")</f>
        <v>T76</v>
      </c>
      <c r="B78" t="str">
        <f ca="1">IFERROR(__xludf.DUMMYFUNCTION("""COMPUTED_VALUE"""),"T72")</f>
        <v>T72</v>
      </c>
      <c r="C78" t="str">
        <f ca="1">IFERROR(__xludf.DUMMYFUNCTION("""COMPUTED_VALUE"""),"D.J. Trahan")</f>
        <v>D.J. Trahan</v>
      </c>
      <c r="D78">
        <f ca="1">IFERROR(__xludf.DUMMYFUNCTION("""COMPUTED_VALUE"""),16)</f>
        <v>16</v>
      </c>
      <c r="E78">
        <f ca="1">IFERROR(__xludf.DUMMYFUNCTION("""COMPUTED_VALUE"""),60)</f>
        <v>60</v>
      </c>
      <c r="F78">
        <f ca="1">IFERROR(__xludf.DUMMYFUNCTION("""COMPUTED_VALUE"""),9)</f>
        <v>9</v>
      </c>
      <c r="G78">
        <f ca="1">IFERROR(__xludf.DUMMYFUNCTION("""COMPUTED_VALUE"""),15)</f>
        <v>15</v>
      </c>
    </row>
    <row r="79" spans="1:7" ht="12.75">
      <c r="A79" t="str">
        <f ca="1">IFERROR(__xludf.DUMMYFUNCTION("""COMPUTED_VALUE"""),"T76")</f>
        <v>T76</v>
      </c>
      <c r="B79" t="str">
        <f ca="1">IFERROR(__xludf.DUMMYFUNCTION("""COMPUTED_VALUE"""),"T72")</f>
        <v>T72</v>
      </c>
      <c r="C79" t="str">
        <f ca="1">IFERROR(__xludf.DUMMYFUNCTION("""COMPUTED_VALUE"""),"Tim Wilkinson")</f>
        <v>Tim Wilkinson</v>
      </c>
      <c r="D79">
        <f ca="1">IFERROR(__xludf.DUMMYFUNCTION("""COMPUTED_VALUE"""),12)</f>
        <v>12</v>
      </c>
      <c r="E79">
        <f ca="1">IFERROR(__xludf.DUMMYFUNCTION("""COMPUTED_VALUE"""),60)</f>
        <v>60</v>
      </c>
      <c r="F79">
        <f ca="1">IFERROR(__xludf.DUMMYFUNCTION("""COMPUTED_VALUE"""),12)</f>
        <v>12</v>
      </c>
      <c r="G79">
        <f ca="1">IFERROR(__xludf.DUMMYFUNCTION("""COMPUTED_VALUE"""),20)</f>
        <v>20</v>
      </c>
    </row>
    <row r="80" spans="1:7" ht="12.75">
      <c r="A80" t="str">
        <f ca="1">IFERROR(__xludf.DUMMYFUNCTION("""COMPUTED_VALUE"""),"T76")</f>
        <v>T76</v>
      </c>
      <c r="B80">
        <f ca="1">IFERROR(__xludf.DUMMYFUNCTION("""COMPUTED_VALUE"""),42)</f>
        <v>42</v>
      </c>
      <c r="C80" t="str">
        <f ca="1">IFERROR(__xludf.DUMMYFUNCTION("""COMPUTED_VALUE"""),"Jason Dufner")</f>
        <v>Jason Dufner</v>
      </c>
      <c r="D80">
        <f ca="1">IFERROR(__xludf.DUMMYFUNCTION("""COMPUTED_VALUE"""),14)</f>
        <v>14</v>
      </c>
      <c r="E80">
        <f ca="1">IFERROR(__xludf.DUMMYFUNCTION("""COMPUTED_VALUE"""),60)</f>
        <v>60</v>
      </c>
      <c r="F80">
        <f ca="1">IFERROR(__xludf.DUMMYFUNCTION("""COMPUTED_VALUE"""),9)</f>
        <v>9</v>
      </c>
      <c r="G80">
        <f ca="1">IFERROR(__xludf.DUMMYFUNCTION("""COMPUTED_VALUE"""),15)</f>
        <v>15</v>
      </c>
    </row>
    <row r="81" spans="1:7" ht="12.75">
      <c r="A81" t="str">
        <f ca="1">IFERROR(__xludf.DUMMYFUNCTION("""COMPUTED_VALUE"""),"T76")</f>
        <v>T76</v>
      </c>
      <c r="B81" t="str">
        <f ca="1">IFERROR(__xludf.DUMMYFUNCTION("""COMPUTED_VALUE"""),"T54")</f>
        <v>T54</v>
      </c>
      <c r="C81" t="str">
        <f ca="1">IFERROR(__xludf.DUMMYFUNCTION("""COMPUTED_VALUE"""),"Luke List")</f>
        <v>Luke List</v>
      </c>
      <c r="D81">
        <f ca="1">IFERROR(__xludf.DUMMYFUNCTION("""COMPUTED_VALUE"""),18)</f>
        <v>18</v>
      </c>
      <c r="E81">
        <f ca="1">IFERROR(__xludf.DUMMYFUNCTION("""COMPUTED_VALUE"""),60)</f>
        <v>60</v>
      </c>
      <c r="F81">
        <f ca="1">IFERROR(__xludf.DUMMYFUNCTION("""COMPUTED_VALUE"""),9)</f>
        <v>9</v>
      </c>
      <c r="G81">
        <f ca="1">IFERROR(__xludf.DUMMYFUNCTION("""COMPUTED_VALUE"""),15)</f>
        <v>15</v>
      </c>
    </row>
    <row r="82" spans="1:7" ht="12.75">
      <c r="A82" t="str">
        <f ca="1">IFERROR(__xludf.DUMMYFUNCTION("""COMPUTED_VALUE"""),"T76")</f>
        <v>T76</v>
      </c>
      <c r="B82" t="str">
        <f ca="1">IFERROR(__xludf.DUMMYFUNCTION("""COMPUTED_VALUE"""),"")</f>
        <v/>
      </c>
      <c r="C82" t="str">
        <f ca="1">IFERROR(__xludf.DUMMYFUNCTION("""COMPUTED_VALUE"""),"Dawie van der Walt")</f>
        <v>Dawie van der Walt</v>
      </c>
      <c r="D82">
        <f ca="1">IFERROR(__xludf.DUMMYFUNCTION("""COMPUTED_VALUE"""),4)</f>
        <v>4</v>
      </c>
      <c r="E82">
        <f ca="1">IFERROR(__xludf.DUMMYFUNCTION("""COMPUTED_VALUE"""),60)</f>
        <v>60</v>
      </c>
      <c r="F82">
        <f ca="1">IFERROR(__xludf.DUMMYFUNCTION("""COMPUTED_VALUE"""),3)</f>
        <v>3</v>
      </c>
      <c r="G82">
        <f ca="1">IFERROR(__xludf.DUMMYFUNCTION("""COMPUTED_VALUE"""),5)</f>
        <v>5</v>
      </c>
    </row>
    <row r="83" spans="1:7" ht="12.75">
      <c r="A83" t="str">
        <f ca="1">IFERROR(__xludf.DUMMYFUNCTION("""COMPUTED_VALUE"""),"T76")</f>
        <v>T76</v>
      </c>
      <c r="B83" t="str">
        <f ca="1">IFERROR(__xludf.DUMMYFUNCTION("""COMPUTED_VALUE"""),"T81")</f>
        <v>T81</v>
      </c>
      <c r="C83" t="str">
        <f ca="1">IFERROR(__xludf.DUMMYFUNCTION("""COMPUTED_VALUE"""),"Bronson Burgoon")</f>
        <v>Bronson Burgoon</v>
      </c>
      <c r="D83">
        <f ca="1">IFERROR(__xludf.DUMMYFUNCTION("""COMPUTED_VALUE"""),10)</f>
        <v>10</v>
      </c>
      <c r="E83">
        <f ca="1">IFERROR(__xludf.DUMMYFUNCTION("""COMPUTED_VALUE"""),60)</f>
        <v>60</v>
      </c>
      <c r="F83">
        <f ca="1">IFERROR(__xludf.DUMMYFUNCTION("""COMPUTED_VALUE"""),9)</f>
        <v>9</v>
      </c>
      <c r="G83">
        <f ca="1">IFERROR(__xludf.DUMMYFUNCTION("""COMPUTED_VALUE"""),15)</f>
        <v>15</v>
      </c>
    </row>
    <row r="84" spans="1:7" ht="12.75">
      <c r="A84" t="str">
        <f ca="1">IFERROR(__xludf.DUMMYFUNCTION("""COMPUTED_VALUE"""),"T76")</f>
        <v>T76</v>
      </c>
      <c r="B84" t="str">
        <f ca="1">IFERROR(__xludf.DUMMYFUNCTION("""COMPUTED_VALUE"""),"T90")</f>
        <v>T90</v>
      </c>
      <c r="C84" t="str">
        <f ca="1">IFERROR(__xludf.DUMMYFUNCTION("""COMPUTED_VALUE"""),"Dylan Frittelli")</f>
        <v>Dylan Frittelli</v>
      </c>
      <c r="D84">
        <f ca="1">IFERROR(__xludf.DUMMYFUNCTION("""COMPUTED_VALUE"""),16)</f>
        <v>16</v>
      </c>
      <c r="E84">
        <f ca="1">IFERROR(__xludf.DUMMYFUNCTION("""COMPUTED_VALUE"""),60)</f>
        <v>60</v>
      </c>
      <c r="F84">
        <f ca="1">IFERROR(__xludf.DUMMYFUNCTION("""COMPUTED_VALUE"""),6)</f>
        <v>6</v>
      </c>
      <c r="G84">
        <f ca="1">IFERROR(__xludf.DUMMYFUNCTION("""COMPUTED_VALUE"""),10)</f>
        <v>10</v>
      </c>
    </row>
    <row r="85" spans="1:7" ht="12.75">
      <c r="A85" t="str">
        <f ca="1">IFERROR(__xludf.DUMMYFUNCTION("""COMPUTED_VALUE"""),"T76")</f>
        <v>T76</v>
      </c>
      <c r="B85" t="str">
        <f ca="1">IFERROR(__xludf.DUMMYFUNCTION("""COMPUTED_VALUE"""),"T72")</f>
        <v>T72</v>
      </c>
      <c r="C85" t="str">
        <f ca="1">IFERROR(__xludf.DUMMYFUNCTION("""COMPUTED_VALUE"""),"Mark Anderson")</f>
        <v>Mark Anderson</v>
      </c>
      <c r="D85">
        <f ca="1">IFERROR(__xludf.DUMMYFUNCTION("""COMPUTED_VALUE"""),14)</f>
        <v>14</v>
      </c>
      <c r="E85">
        <f ca="1">IFERROR(__xludf.DUMMYFUNCTION("""COMPUTED_VALUE"""),60)</f>
        <v>60</v>
      </c>
      <c r="F85">
        <f ca="1">IFERROR(__xludf.DUMMYFUNCTION("""COMPUTED_VALUE"""),6)</f>
        <v>6</v>
      </c>
      <c r="G85">
        <f ca="1">IFERROR(__xludf.DUMMYFUNCTION("""COMPUTED_VALUE"""),10)</f>
        <v>10</v>
      </c>
    </row>
    <row r="86" spans="1:7" ht="12.75">
      <c r="A86" t="str">
        <f ca="1">IFERROR(__xludf.DUMMYFUNCTION("""COMPUTED_VALUE"""),"T76")</f>
        <v>T76</v>
      </c>
      <c r="B86" t="str">
        <f ca="1">IFERROR(__xludf.DUMMYFUNCTION("""COMPUTED_VALUE"""),"T72")</f>
        <v>T72</v>
      </c>
      <c r="C86" t="str">
        <f ca="1">IFERROR(__xludf.DUMMYFUNCTION("""COMPUTED_VALUE"""),"Harry Higgs")</f>
        <v>Harry Higgs</v>
      </c>
      <c r="D86">
        <f ca="1">IFERROR(__xludf.DUMMYFUNCTION("""COMPUTED_VALUE"""),14)</f>
        <v>14</v>
      </c>
      <c r="E86">
        <f ca="1">IFERROR(__xludf.DUMMYFUNCTION("""COMPUTED_VALUE"""),60)</f>
        <v>60</v>
      </c>
      <c r="F86">
        <f ca="1">IFERROR(__xludf.DUMMYFUNCTION("""COMPUTED_VALUE"""),9)</f>
        <v>9</v>
      </c>
      <c r="G86">
        <f ca="1">IFERROR(__xludf.DUMMYFUNCTION("""COMPUTED_VALUE"""),15)</f>
        <v>15</v>
      </c>
    </row>
    <row r="87" spans="1:7" ht="12.75">
      <c r="A87" t="str">
        <f ca="1">IFERROR(__xludf.DUMMYFUNCTION("""COMPUTED_VALUE"""),"T76")</f>
        <v>T76</v>
      </c>
      <c r="B87" t="str">
        <f ca="1">IFERROR(__xludf.DUMMYFUNCTION("""COMPUTED_VALUE"""),"T72")</f>
        <v>T72</v>
      </c>
      <c r="C87" t="str">
        <f ca="1">IFERROR(__xludf.DUMMYFUNCTION("""COMPUTED_VALUE"""),"Daniel Berger")</f>
        <v>Daniel Berger</v>
      </c>
      <c r="D87">
        <f ca="1">IFERROR(__xludf.DUMMYFUNCTION("""COMPUTED_VALUE"""),12)</f>
        <v>12</v>
      </c>
      <c r="E87">
        <f ca="1">IFERROR(__xludf.DUMMYFUNCTION("""COMPUTED_VALUE"""),60)</f>
        <v>60</v>
      </c>
      <c r="F87">
        <f ca="1">IFERROR(__xludf.DUMMYFUNCTION("""COMPUTED_VALUE"""),6)</f>
        <v>6</v>
      </c>
      <c r="G87">
        <f ca="1">IFERROR(__xludf.DUMMYFUNCTION("""COMPUTED_VALUE"""),10)</f>
        <v>10</v>
      </c>
    </row>
    <row r="88" spans="1:7" ht="12.75">
      <c r="A88" t="str">
        <f ca="1">IFERROR(__xludf.DUMMYFUNCTION("""COMPUTED_VALUE"""),"T76")</f>
        <v>T76</v>
      </c>
      <c r="B88" t="str">
        <f ca="1">IFERROR(__xludf.DUMMYFUNCTION("""COMPUTED_VALUE"""),"T1")</f>
        <v>T1</v>
      </c>
      <c r="C88" t="str">
        <f ca="1">IFERROR(__xludf.DUMMYFUNCTION("""COMPUTED_VALUE"""),"Ollie Schniederjans")</f>
        <v>Ollie Schniederjans</v>
      </c>
      <c r="D88">
        <f ca="1">IFERROR(__xludf.DUMMYFUNCTION("""COMPUTED_VALUE"""),6)</f>
        <v>6</v>
      </c>
      <c r="E88">
        <f ca="1">IFERROR(__xludf.DUMMYFUNCTION("""COMPUTED_VALUE"""),60)</f>
        <v>60</v>
      </c>
      <c r="F88">
        <f ca="1">IFERROR(__xludf.DUMMYFUNCTION("""COMPUTED_VALUE"""),3)</f>
        <v>3</v>
      </c>
      <c r="G88">
        <f ca="1">IFERROR(__xludf.DUMMYFUNCTION("""COMPUTED_VALUE"""),5)</f>
        <v>5</v>
      </c>
    </row>
    <row r="89" spans="1:7" ht="12.75">
      <c r="A89" t="str">
        <f ca="1">IFERROR(__xludf.DUMMYFUNCTION("""COMPUTED_VALUE"""),"T76")</f>
        <v>T76</v>
      </c>
      <c r="B89" t="str">
        <f ca="1">IFERROR(__xludf.DUMMYFUNCTION("""COMPUTED_VALUE"""),"T72")</f>
        <v>T72</v>
      </c>
      <c r="C89" t="str">
        <f ca="1">IFERROR(__xludf.DUMMYFUNCTION("""COMPUTED_VALUE"""),"Brandon Hagy")</f>
        <v>Brandon Hagy</v>
      </c>
      <c r="D89">
        <f ca="1">IFERROR(__xludf.DUMMYFUNCTION("""COMPUTED_VALUE"""),10)</f>
        <v>10</v>
      </c>
      <c r="E89">
        <f ca="1">IFERROR(__xludf.DUMMYFUNCTION("""COMPUTED_VALUE"""),60)</f>
        <v>60</v>
      </c>
      <c r="F89">
        <f ca="1">IFERROR(__xludf.DUMMYFUNCTION("""COMPUTED_VALUE"""),6)</f>
        <v>6</v>
      </c>
      <c r="G89">
        <f ca="1">IFERROR(__xludf.DUMMYFUNCTION("""COMPUTED_VALUE"""),10)</f>
        <v>10</v>
      </c>
    </row>
    <row r="90" spans="1:7" ht="12.75">
      <c r="A90">
        <f ca="1">IFERROR(__xludf.DUMMYFUNCTION("""COMPUTED_VALUE"""),89)</f>
        <v>89</v>
      </c>
      <c r="B90" t="str">
        <f ca="1">IFERROR(__xludf.DUMMYFUNCTION("""COMPUTED_VALUE"""),"T117")</f>
        <v>T117</v>
      </c>
      <c r="C90" t="str">
        <f ca="1">IFERROR(__xludf.DUMMYFUNCTION("""COMPUTED_VALUE"""),"Max Homa")</f>
        <v>Max Homa</v>
      </c>
      <c r="D90">
        <f ca="1">IFERROR(__xludf.DUMMYFUNCTION("""COMPUTED_VALUE"""),12)</f>
        <v>12</v>
      </c>
      <c r="E90">
        <f ca="1">IFERROR(__xludf.DUMMYFUNCTION("""COMPUTED_VALUE"""),58.82)</f>
        <v>58.82</v>
      </c>
      <c r="F90">
        <f ca="1">IFERROR(__xludf.DUMMYFUNCTION("""COMPUTED_VALUE"""),10)</f>
        <v>10</v>
      </c>
      <c r="G90">
        <f ca="1">IFERROR(__xludf.DUMMYFUNCTION("""COMPUTED_VALUE"""),17)</f>
        <v>17</v>
      </c>
    </row>
    <row r="91" spans="1:7" ht="12.75">
      <c r="A91" t="str">
        <f ca="1">IFERROR(__xludf.DUMMYFUNCTION("""COMPUTED_VALUE"""),"T90")</f>
        <v>T90</v>
      </c>
      <c r="B91" t="str">
        <f ca="1">IFERROR(__xludf.DUMMYFUNCTION("""COMPUTED_VALUE"""),"T81")</f>
        <v>T81</v>
      </c>
      <c r="C91" t="str">
        <f ca="1">IFERROR(__xludf.DUMMYFUNCTION("""COMPUTED_VALUE"""),"Alex Cejka")</f>
        <v>Alex Cejka</v>
      </c>
      <c r="D91">
        <f ca="1">IFERROR(__xludf.DUMMYFUNCTION("""COMPUTED_VALUE"""),6)</f>
        <v>6</v>
      </c>
      <c r="E91">
        <f ca="1">IFERROR(__xludf.DUMMYFUNCTION("""COMPUTED_VALUE"""),58.33)</f>
        <v>58.33</v>
      </c>
      <c r="F91">
        <f ca="1">IFERROR(__xludf.DUMMYFUNCTION("""COMPUTED_VALUE"""),7)</f>
        <v>7</v>
      </c>
      <c r="G91">
        <f ca="1">IFERROR(__xludf.DUMMYFUNCTION("""COMPUTED_VALUE"""),12)</f>
        <v>12</v>
      </c>
    </row>
    <row r="92" spans="1:7" ht="12.75">
      <c r="A92" t="str">
        <f ca="1">IFERROR(__xludf.DUMMYFUNCTION("""COMPUTED_VALUE"""),"T90")</f>
        <v>T90</v>
      </c>
      <c r="B92" t="str">
        <f ca="1">IFERROR(__xludf.DUMMYFUNCTION("""COMPUTED_VALUE"""),"T177")</f>
        <v>T177</v>
      </c>
      <c r="C92" t="str">
        <f ca="1">IFERROR(__xludf.DUMMYFUNCTION("""COMPUTED_VALUE"""),"Russell Henley")</f>
        <v>Russell Henley</v>
      </c>
      <c r="D92">
        <f ca="1">IFERROR(__xludf.DUMMYFUNCTION("""COMPUTED_VALUE"""),16)</f>
        <v>16</v>
      </c>
      <c r="E92">
        <f ca="1">IFERROR(__xludf.DUMMYFUNCTION("""COMPUTED_VALUE"""),58.33)</f>
        <v>58.33</v>
      </c>
      <c r="F92">
        <f ca="1">IFERROR(__xludf.DUMMYFUNCTION("""COMPUTED_VALUE"""),7)</f>
        <v>7</v>
      </c>
      <c r="G92">
        <f ca="1">IFERROR(__xludf.DUMMYFUNCTION("""COMPUTED_VALUE"""),12)</f>
        <v>12</v>
      </c>
    </row>
    <row r="93" spans="1:7" ht="12.75">
      <c r="A93" t="str">
        <f ca="1">IFERROR(__xludf.DUMMYFUNCTION("""COMPUTED_VALUE"""),"T92")</f>
        <v>T92</v>
      </c>
      <c r="B93" t="str">
        <f ca="1">IFERROR(__xludf.DUMMYFUNCTION("""COMPUTED_VALUE"""),"T79")</f>
        <v>T79</v>
      </c>
      <c r="C93" t="str">
        <f ca="1">IFERROR(__xludf.DUMMYFUNCTION("""COMPUTED_VALUE"""),"Charley Hoffman")</f>
        <v>Charley Hoffman</v>
      </c>
      <c r="D93">
        <f ca="1">IFERROR(__xludf.DUMMYFUNCTION("""COMPUTED_VALUE"""),20)</f>
        <v>20</v>
      </c>
      <c r="E93">
        <f ca="1">IFERROR(__xludf.DUMMYFUNCTION("""COMPUTED_VALUE"""),57.89)</f>
        <v>57.89</v>
      </c>
      <c r="F93">
        <f ca="1">IFERROR(__xludf.DUMMYFUNCTION("""COMPUTED_VALUE"""),11)</f>
        <v>11</v>
      </c>
      <c r="G93">
        <f ca="1">IFERROR(__xludf.DUMMYFUNCTION("""COMPUTED_VALUE"""),19)</f>
        <v>19</v>
      </c>
    </row>
    <row r="94" spans="1:7" ht="12.75">
      <c r="A94" t="str">
        <f ca="1">IFERROR(__xludf.DUMMYFUNCTION("""COMPUTED_VALUE"""),"T92")</f>
        <v>T92</v>
      </c>
      <c r="B94">
        <f ca="1">IFERROR(__xludf.DUMMYFUNCTION("""COMPUTED_VALUE"""),84)</f>
        <v>84</v>
      </c>
      <c r="C94" t="str">
        <f ca="1">IFERROR(__xludf.DUMMYFUNCTION("""COMPUTED_VALUE"""),"Brendon Todd")</f>
        <v>Brendon Todd</v>
      </c>
      <c r="D94">
        <f ca="1">IFERROR(__xludf.DUMMYFUNCTION("""COMPUTED_VALUE"""),14)</f>
        <v>14</v>
      </c>
      <c r="E94">
        <f ca="1">IFERROR(__xludf.DUMMYFUNCTION("""COMPUTED_VALUE"""),57.89)</f>
        <v>57.89</v>
      </c>
      <c r="F94">
        <f ca="1">IFERROR(__xludf.DUMMYFUNCTION("""COMPUTED_VALUE"""),11)</f>
        <v>11</v>
      </c>
      <c r="G94">
        <f ca="1">IFERROR(__xludf.DUMMYFUNCTION("""COMPUTED_VALUE"""),19)</f>
        <v>19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IFERROR(__xludf.DUMMYFUNCTION("""COMPUTED_VALUE"""),"T117")</f>
        <v>T117</v>
      </c>
      <c r="C95" t="str">
        <f ca="1">IFERROR(__xludf.DUMMYFUNCTION("""COMPUTED_VALUE"""),"Henrik Stenson")</f>
        <v>Henrik Stenson</v>
      </c>
      <c r="D95">
        <f ca="1">IFERROR(__xludf.DUMMYFUNCTION("""COMPUTED_VALUE"""),11)</f>
        <v>11</v>
      </c>
      <c r="E95">
        <f ca="1">IFERROR(__xludf.DUMMYFUNCTION("""COMPUTED_VALUE"""),57.14)</f>
        <v>57.14</v>
      </c>
      <c r="F95">
        <f ca="1">IFERROR(__xludf.DUMMYFUNCTION("""COMPUTED_VALUE"""),4)</f>
        <v>4</v>
      </c>
      <c r="G95">
        <f ca="1">IFERROR(__xludf.DUMMYFUNCTION("""COMPUTED_VALUE"""),7)</f>
        <v>7</v>
      </c>
    </row>
    <row r="96" spans="1:7" ht="12.75">
      <c r="A96" t="str">
        <f ca="1">IFERROR(__xludf.DUMMYFUNCTION("""COMPUTED_VALUE"""),"T94")</f>
        <v>T94</v>
      </c>
      <c r="B96">
        <f ca="1">IFERROR(__xludf.DUMMYFUNCTION("""COMPUTED_VALUE"""),161)</f>
        <v>161</v>
      </c>
      <c r="C96" t="str">
        <f ca="1">IFERROR(__xludf.DUMMYFUNCTION("""COMPUTED_VALUE"""),"Brian Harman")</f>
        <v>Brian Harman</v>
      </c>
      <c r="D96">
        <f ca="1">IFERROR(__xludf.DUMMYFUNCTION("""COMPUTED_VALUE"""),24)</f>
        <v>24</v>
      </c>
      <c r="E96">
        <f ca="1">IFERROR(__xludf.DUMMYFUNCTION("""COMPUTED_VALUE"""),57.14)</f>
        <v>57.14</v>
      </c>
      <c r="F96">
        <f ca="1">IFERROR(__xludf.DUMMYFUNCTION("""COMPUTED_VALUE"""),12)</f>
        <v>12</v>
      </c>
      <c r="G96">
        <f ca="1">IFERROR(__xludf.DUMMYFUNCTION("""COMPUTED_VALUE"""),21)</f>
        <v>21</v>
      </c>
    </row>
    <row r="97" spans="1:7" ht="12.75">
      <c r="A97" t="str">
        <f ca="1">IFERROR(__xludf.DUMMYFUNCTION("""COMPUTED_VALUE"""),"T94")</f>
        <v>T94</v>
      </c>
      <c r="B97" t="str">
        <f ca="1">IFERROR(__xludf.DUMMYFUNCTION("""COMPUTED_VALUE"""),"T90")</f>
        <v>T90</v>
      </c>
      <c r="C97" t="str">
        <f ca="1">IFERROR(__xludf.DUMMYFUNCTION("""COMPUTED_VALUE"""),"Sung Kang")</f>
        <v>Sung Kang</v>
      </c>
      <c r="D97">
        <f ca="1">IFERROR(__xludf.DUMMYFUNCTION("""COMPUTED_VALUE"""),14)</f>
        <v>14</v>
      </c>
      <c r="E97">
        <f ca="1">IFERROR(__xludf.DUMMYFUNCTION("""COMPUTED_VALUE"""),57.14)</f>
        <v>57.14</v>
      </c>
      <c r="F97">
        <f ca="1">IFERROR(__xludf.DUMMYFUNCTION("""COMPUTED_VALUE"""),12)</f>
        <v>12</v>
      </c>
      <c r="G97">
        <f ca="1">IFERROR(__xludf.DUMMYFUNCTION("""COMPUTED_VALUE"""),21)</f>
        <v>21</v>
      </c>
    </row>
    <row r="98" spans="1:7" ht="12.75">
      <c r="A98" t="str">
        <f ca="1">IFERROR(__xludf.DUMMYFUNCTION("""COMPUTED_VALUE"""),"T94")</f>
        <v>T94</v>
      </c>
      <c r="B98" t="str">
        <f ca="1">IFERROR(__xludf.DUMMYFUNCTION("""COMPUTED_VALUE"""),"T79")</f>
        <v>T79</v>
      </c>
      <c r="C98" t="str">
        <f ca="1">IFERROR(__xludf.DUMMYFUNCTION("""COMPUTED_VALUE"""),"Sepp Straka")</f>
        <v>Sepp Straka</v>
      </c>
      <c r="D98">
        <f ca="1">IFERROR(__xludf.DUMMYFUNCTION("""COMPUTED_VALUE"""),22)</f>
        <v>22</v>
      </c>
      <c r="E98">
        <f ca="1">IFERROR(__xludf.DUMMYFUNCTION("""COMPUTED_VALUE"""),57.14)</f>
        <v>57.14</v>
      </c>
      <c r="F98">
        <f ca="1">IFERROR(__xludf.DUMMYFUNCTION("""COMPUTED_VALUE"""),12)</f>
        <v>12</v>
      </c>
      <c r="G98">
        <f ca="1">IFERROR(__xludf.DUMMYFUNCTION("""COMPUTED_VALUE"""),21)</f>
        <v>21</v>
      </c>
    </row>
    <row r="99" spans="1:7" ht="12.75">
      <c r="A99" t="str">
        <f ca="1">IFERROR(__xludf.DUMMYFUNCTION("""COMPUTED_VALUE"""),"T94")</f>
        <v>T94</v>
      </c>
      <c r="B99" t="str">
        <f ca="1">IFERROR(__xludf.DUMMYFUNCTION("""COMPUTED_VALUE"""),"T85")</f>
        <v>T85</v>
      </c>
      <c r="C99" t="str">
        <f ca="1">IFERROR(__xludf.DUMMYFUNCTION("""COMPUTED_VALUE"""),"Will Gordon")</f>
        <v>Will Gordon</v>
      </c>
      <c r="D99">
        <f ca="1">IFERROR(__xludf.DUMMYFUNCTION("""COMPUTED_VALUE"""),20)</f>
        <v>20</v>
      </c>
      <c r="E99">
        <f ca="1">IFERROR(__xludf.DUMMYFUNCTION("""COMPUTED_VALUE"""),57.14)</f>
        <v>57.14</v>
      </c>
      <c r="F99">
        <f ca="1">IFERROR(__xludf.DUMMYFUNCTION("""COMPUTED_VALUE"""),8)</f>
        <v>8</v>
      </c>
      <c r="G99">
        <f ca="1">IFERROR(__xludf.DUMMYFUNCTION("""COMPUTED_VALUE"""),14)</f>
        <v>14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IFERROR(__xludf.DUMMYFUNCTION("""COMPUTED_VALUE"""),51)</f>
        <v>51</v>
      </c>
      <c r="C100" t="str">
        <f ca="1">IFERROR(__xludf.DUMMYFUNCTION("""COMPUTED_VALUE"""),"Adam Schenk")</f>
        <v>Adam Schenk</v>
      </c>
      <c r="D100">
        <f ca="1">IFERROR(__xludf.DUMMYFUNCTION("""COMPUTED_VALUE"""),22)</f>
        <v>22</v>
      </c>
      <c r="E100">
        <f ca="1">IFERROR(__xludf.DUMMYFUNCTION("""COMPUTED_VALUE"""),56.52)</f>
        <v>56.52</v>
      </c>
      <c r="F100">
        <f ca="1">IFERROR(__xludf.DUMMYFUNCTION("""COMPUTED_VALUE"""),13)</f>
        <v>13</v>
      </c>
      <c r="G100">
        <f ca="1">IFERROR(__xludf.DUMMYFUNCTION("""COMPUTED_VALUE"""),23)</f>
        <v>23</v>
      </c>
    </row>
    <row r="101" spans="1:7" ht="12.75">
      <c r="A101" t="str">
        <f ca="1">IFERROR(__xludf.DUMMYFUNCTION("""COMPUTED_VALUE"""),"T100")</f>
        <v>T100</v>
      </c>
      <c r="B101" t="str">
        <f ca="1">IFERROR(__xludf.DUMMYFUNCTION("""COMPUTED_VALUE"""),"T88")</f>
        <v>T88</v>
      </c>
      <c r="C101" t="str">
        <f ca="1">IFERROR(__xludf.DUMMYFUNCTION("""COMPUTED_VALUE"""),"Bill Haas")</f>
        <v>Bill Haas</v>
      </c>
      <c r="D101">
        <f ca="1">IFERROR(__xludf.DUMMYFUNCTION("""COMPUTED_VALUE"""),10)</f>
        <v>10</v>
      </c>
      <c r="E101">
        <f ca="1">IFERROR(__xludf.DUMMYFUNCTION("""COMPUTED_VALUE"""),56.25)</f>
        <v>56.25</v>
      </c>
      <c r="F101">
        <f ca="1">IFERROR(__xludf.DUMMYFUNCTION("""COMPUTED_VALUE"""),9)</f>
        <v>9</v>
      </c>
      <c r="G101">
        <f ca="1">IFERROR(__xludf.DUMMYFUNCTION("""COMPUTED_VALUE"""),16)</f>
        <v>16</v>
      </c>
    </row>
    <row r="102" spans="1:7" ht="12.75">
      <c r="A102" t="str">
        <f ca="1">IFERROR(__xludf.DUMMYFUNCTION("""COMPUTED_VALUE"""),"T100")</f>
        <v>T100</v>
      </c>
      <c r="B102" t="str">
        <f ca="1">IFERROR(__xludf.DUMMYFUNCTION("""COMPUTED_VALUE"""),"T88")</f>
        <v>T88</v>
      </c>
      <c r="C102" t="str">
        <f ca="1">IFERROR(__xludf.DUMMYFUNCTION("""COMPUTED_VALUE"""),"Ryo Ishikawa")</f>
        <v>Ryo Ishikawa</v>
      </c>
      <c r="D102">
        <f ca="1">IFERROR(__xludf.DUMMYFUNCTION("""COMPUTED_VALUE"""),8)</f>
        <v>8</v>
      </c>
      <c r="E102">
        <f ca="1">IFERROR(__xludf.DUMMYFUNCTION("""COMPUTED_VALUE"""),56.25)</f>
        <v>56.25</v>
      </c>
      <c r="F102">
        <f ca="1">IFERROR(__xludf.DUMMYFUNCTION("""COMPUTED_VALUE"""),9)</f>
        <v>9</v>
      </c>
      <c r="G102">
        <f ca="1">IFERROR(__xludf.DUMMYFUNCTION("""COMPUTED_VALUE"""),16)</f>
        <v>16</v>
      </c>
    </row>
    <row r="103" spans="1:7" ht="12.75">
      <c r="A103" t="str">
        <f ca="1">IFERROR(__xludf.DUMMYFUNCTION("""COMPUTED_VALUE"""),"T100")</f>
        <v>T100</v>
      </c>
      <c r="B103" t="str">
        <f ca="1">IFERROR(__xludf.DUMMYFUNCTION("""COMPUTED_VALUE"""),"T117")</f>
        <v>T117</v>
      </c>
      <c r="C103" t="str">
        <f ca="1">IFERROR(__xludf.DUMMYFUNCTION("""COMPUTED_VALUE"""),"Harold Varner III")</f>
        <v>Harold Varner III</v>
      </c>
      <c r="D103">
        <f ca="1">IFERROR(__xludf.DUMMYFUNCTION("""COMPUTED_VALUE"""),14)</f>
        <v>14</v>
      </c>
      <c r="E103">
        <f ca="1">IFERROR(__xludf.DUMMYFUNCTION("""COMPUTED_VALUE"""),56.25)</f>
        <v>56.25</v>
      </c>
      <c r="F103">
        <f ca="1">IFERROR(__xludf.DUMMYFUNCTION("""COMPUTED_VALUE"""),9)</f>
        <v>9</v>
      </c>
      <c r="G103">
        <f ca="1">IFERROR(__xludf.DUMMYFUNCTION("""COMPUTED_VALUE"""),16)</f>
        <v>16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IFERROR(__xludf.DUMMYFUNCTION("""COMPUTED_VALUE"""),"T90")</f>
        <v>T90</v>
      </c>
      <c r="C104" t="str">
        <f ca="1">IFERROR(__xludf.DUMMYFUNCTION("""COMPUTED_VALUE"""),"Brian Gay")</f>
        <v>Brian Gay</v>
      </c>
      <c r="D104">
        <f ca="1">IFERROR(__xludf.DUMMYFUNCTION("""COMPUTED_VALUE"""),8)</f>
        <v>8</v>
      </c>
      <c r="E104">
        <f ca="1">IFERROR(__xludf.DUMMYFUNCTION("""COMPUTED_VALUE"""),55.56)</f>
        <v>55.56</v>
      </c>
      <c r="F104">
        <f ca="1">IFERROR(__xludf.DUMMYFUNCTION("""COMPUTED_VALUE"""),5)</f>
        <v>5</v>
      </c>
      <c r="G104">
        <f ca="1">IFERROR(__xludf.DUMMYFUNCTION("""COMPUTED_VALUE"""),9)</f>
        <v>9</v>
      </c>
    </row>
    <row r="105" spans="1:7" ht="12.75">
      <c r="A105" t="str">
        <f ca="1">IFERROR(__xludf.DUMMYFUNCTION("""COMPUTED_VALUE"""),"T103")</f>
        <v>T103</v>
      </c>
      <c r="B105" t="str">
        <f ca="1">IFERROR(__xludf.DUMMYFUNCTION("""COMPUTED_VALUE"""),"T90")</f>
        <v>T90</v>
      </c>
      <c r="C105" t="str">
        <f ca="1">IFERROR(__xludf.DUMMYFUNCTION("""COMPUTED_VALUE"""),"Ian Poulter")</f>
        <v>Ian Poulter</v>
      </c>
      <c r="D105">
        <f ca="1">IFERROR(__xludf.DUMMYFUNCTION("""COMPUTED_VALUE"""),6)</f>
        <v>6</v>
      </c>
      <c r="E105">
        <f ca="1">IFERROR(__xludf.DUMMYFUNCTION("""COMPUTED_VALUE"""),55.56)</f>
        <v>55.56</v>
      </c>
      <c r="F105">
        <f ca="1">IFERROR(__xludf.DUMMYFUNCTION("""COMPUTED_VALUE"""),5)</f>
        <v>5</v>
      </c>
      <c r="G105">
        <f ca="1">IFERROR(__xludf.DUMMYFUNCTION("""COMPUTED_VALUE"""),9)</f>
        <v>9</v>
      </c>
    </row>
    <row r="106" spans="1:7" ht="12.75">
      <c r="A106" t="str">
        <f ca="1">IFERROR(__xludf.DUMMYFUNCTION("""COMPUTED_VALUE"""),"T103")</f>
        <v>T103</v>
      </c>
      <c r="B106" t="str">
        <f ca="1">IFERROR(__xludf.DUMMYFUNCTION("""COMPUTED_VALUE"""),"T90")</f>
        <v>T90</v>
      </c>
      <c r="C106" t="str">
        <f ca="1">IFERROR(__xludf.DUMMYFUNCTION("""COMPUTED_VALUE"""),"Rory McIlroy")</f>
        <v>Rory McIlroy</v>
      </c>
      <c r="D106">
        <f ca="1">IFERROR(__xludf.DUMMYFUNCTION("""COMPUTED_VALUE"""),12)</f>
        <v>12</v>
      </c>
      <c r="E106">
        <f ca="1">IFERROR(__xludf.DUMMYFUNCTION("""COMPUTED_VALUE"""),55.56)</f>
        <v>55.56</v>
      </c>
      <c r="F106">
        <f ca="1">IFERROR(__xludf.DUMMYFUNCTION("""COMPUTED_VALUE"""),5)</f>
        <v>5</v>
      </c>
      <c r="G106">
        <f ca="1">IFERROR(__xludf.DUMMYFUNCTION("""COMPUTED_VALUE"""),9)</f>
        <v>9</v>
      </c>
    </row>
    <row r="107" spans="1:7" ht="12.75">
      <c r="A107" t="str">
        <f ca="1">IFERROR(__xludf.DUMMYFUNCTION("""COMPUTED_VALUE"""),"T103")</f>
        <v>T103</v>
      </c>
      <c r="B107" t="str">
        <f ca="1">IFERROR(__xludf.DUMMYFUNCTION("""COMPUTED_VALUE"""),"T90")</f>
        <v>T90</v>
      </c>
      <c r="C107" t="str">
        <f ca="1">IFERROR(__xludf.DUMMYFUNCTION("""COMPUTED_VALUE"""),"Seamus Power")</f>
        <v>Seamus Power</v>
      </c>
      <c r="D107">
        <f ca="1">IFERROR(__xludf.DUMMYFUNCTION("""COMPUTED_VALUE"""),8)</f>
        <v>8</v>
      </c>
      <c r="E107">
        <f ca="1">IFERROR(__xludf.DUMMYFUNCTION("""COMPUTED_VALUE"""),55.56)</f>
        <v>55.56</v>
      </c>
      <c r="F107">
        <f ca="1">IFERROR(__xludf.DUMMYFUNCTION("""COMPUTED_VALUE"""),5)</f>
        <v>5</v>
      </c>
      <c r="G107">
        <f ca="1">IFERROR(__xludf.DUMMYFUNCTION("""COMPUTED_VALUE"""),9)</f>
        <v>9</v>
      </c>
    </row>
    <row r="108" spans="1:7" ht="12.75">
      <c r="A108" t="str">
        <f ca="1">IFERROR(__xludf.DUMMYFUNCTION("""COMPUTED_VALUE"""),"T103")</f>
        <v>T103</v>
      </c>
      <c r="B108" t="str">
        <f ca="1">IFERROR(__xludf.DUMMYFUNCTION("""COMPUTED_VALUE"""),"T90")</f>
        <v>T90</v>
      </c>
      <c r="C108" t="str">
        <f ca="1">IFERROR(__xludf.DUMMYFUNCTION("""COMPUTED_VALUE"""),"Peter Malnati")</f>
        <v>Peter Malnati</v>
      </c>
      <c r="D108">
        <f ca="1">IFERROR(__xludf.DUMMYFUNCTION("""COMPUTED_VALUE"""),18)</f>
        <v>18</v>
      </c>
      <c r="E108">
        <f ca="1">IFERROR(__xludf.DUMMYFUNCTION("""COMPUTED_VALUE"""),55.56)</f>
        <v>55.56</v>
      </c>
      <c r="F108">
        <f ca="1">IFERROR(__xludf.DUMMYFUNCTION("""COMPUTED_VALUE"""),10)</f>
        <v>10</v>
      </c>
      <c r="G108">
        <f ca="1">IFERROR(__xludf.DUMMYFUNCTION("""COMPUTED_VALUE"""),18)</f>
        <v>18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IFERROR(__xludf.DUMMYFUNCTION("""COMPUTED_VALUE"""),"T162")</f>
        <v>T162</v>
      </c>
      <c r="C109" t="str">
        <f ca="1">IFERROR(__xludf.DUMMYFUNCTION("""COMPUTED_VALUE"""),"Scott Harrington")</f>
        <v>Scott Harrington</v>
      </c>
      <c r="D109">
        <f ca="1">IFERROR(__xludf.DUMMYFUNCTION("""COMPUTED_VALUE"""),18)</f>
        <v>18</v>
      </c>
      <c r="E109">
        <f ca="1">IFERROR(__xludf.DUMMYFUNCTION("""COMPUTED_VALUE"""),55)</f>
        <v>55</v>
      </c>
      <c r="F109">
        <f ca="1">IFERROR(__xludf.DUMMYFUNCTION("""COMPUTED_VALUE"""),11)</f>
        <v>11</v>
      </c>
      <c r="G109">
        <f ca="1">IFERROR(__xludf.DUMMYFUNCTION("""COMPUTED_VALUE"""),20)</f>
        <v>20</v>
      </c>
    </row>
    <row r="110" spans="1:7" ht="12.75">
      <c r="A110" t="str">
        <f ca="1">IFERROR(__xludf.DUMMYFUNCTION("""COMPUTED_VALUE"""),"T109")</f>
        <v>T109</v>
      </c>
      <c r="B110" t="str">
        <f ca="1">IFERROR(__xludf.DUMMYFUNCTION("""COMPUTED_VALUE"""),"T102")</f>
        <v>T102</v>
      </c>
      <c r="C110" t="str">
        <f ca="1">IFERROR(__xludf.DUMMYFUNCTION("""COMPUTED_VALUE"""),"George McNeill")</f>
        <v>George McNeill</v>
      </c>
      <c r="D110">
        <f ca="1">IFERROR(__xludf.DUMMYFUNCTION("""COMPUTED_VALUE"""),8)</f>
        <v>8</v>
      </c>
      <c r="E110">
        <f ca="1">IFERROR(__xludf.DUMMYFUNCTION("""COMPUTED_VALUE"""),54.55)</f>
        <v>54.55</v>
      </c>
      <c r="F110">
        <f ca="1">IFERROR(__xludf.DUMMYFUNCTION("""COMPUTED_VALUE"""),6)</f>
        <v>6</v>
      </c>
      <c r="G110">
        <f ca="1">IFERROR(__xludf.DUMMYFUNCTION("""COMPUTED_VALUE"""),11)</f>
        <v>11</v>
      </c>
    </row>
    <row r="111" spans="1:7" ht="12.75">
      <c r="A111" t="str">
        <f ca="1">IFERROR(__xludf.DUMMYFUNCTION("""COMPUTED_VALUE"""),"T109")</f>
        <v>T109</v>
      </c>
      <c r="B111" t="str">
        <f ca="1">IFERROR(__xludf.DUMMYFUNCTION("""COMPUTED_VALUE"""),"T85")</f>
        <v>T85</v>
      </c>
      <c r="C111" t="str">
        <f ca="1">IFERROR(__xludf.DUMMYFUNCTION("""COMPUTED_VALUE"""),"Adam Scott")</f>
        <v>Adam Scott</v>
      </c>
      <c r="D111">
        <f ca="1">IFERROR(__xludf.DUMMYFUNCTION("""COMPUTED_VALUE"""),8)</f>
        <v>8</v>
      </c>
      <c r="E111">
        <f ca="1">IFERROR(__xludf.DUMMYFUNCTION("""COMPUTED_VALUE"""),54.55)</f>
        <v>54.55</v>
      </c>
      <c r="F111">
        <f ca="1">IFERROR(__xludf.DUMMYFUNCTION("""COMPUTED_VALUE"""),6)</f>
        <v>6</v>
      </c>
      <c r="G111">
        <f ca="1">IFERROR(__xludf.DUMMYFUNCTION("""COMPUTED_VALUE"""),11)</f>
        <v>11</v>
      </c>
    </row>
    <row r="112" spans="1:7" ht="12.75">
      <c r="A112" t="str">
        <f ca="1">IFERROR(__xludf.DUMMYFUNCTION("""COMPUTED_VALUE"""),"T109")</f>
        <v>T109</v>
      </c>
      <c r="B112" t="str">
        <f ca="1">IFERROR(__xludf.DUMMYFUNCTION("""COMPUTED_VALUE"""),"T102")</f>
        <v>T102</v>
      </c>
      <c r="C112" t="str">
        <f ca="1">IFERROR(__xludf.DUMMYFUNCTION("""COMPUTED_VALUE"""),"Johnson Wagner")</f>
        <v>Johnson Wagner</v>
      </c>
      <c r="D112">
        <f ca="1">IFERROR(__xludf.DUMMYFUNCTION("""COMPUTED_VALUE"""),8)</f>
        <v>8</v>
      </c>
      <c r="E112">
        <f ca="1">IFERROR(__xludf.DUMMYFUNCTION("""COMPUTED_VALUE"""),54.55)</f>
        <v>54.55</v>
      </c>
      <c r="F112">
        <f ca="1">IFERROR(__xludf.DUMMYFUNCTION("""COMPUTED_VALUE"""),6)</f>
        <v>6</v>
      </c>
      <c r="G112">
        <f ca="1">IFERROR(__xludf.DUMMYFUNCTION("""COMPUTED_VALUE"""),11)</f>
        <v>11</v>
      </c>
    </row>
    <row r="113" spans="1:7" ht="12.75">
      <c r="A113" t="str">
        <f ca="1">IFERROR(__xludf.DUMMYFUNCTION("""COMPUTED_VALUE"""),"T109")</f>
        <v>T109</v>
      </c>
      <c r="B113" t="str">
        <f ca="1">IFERROR(__xludf.DUMMYFUNCTION("""COMPUTED_VALUE"""),"T52")</f>
        <v>T52</v>
      </c>
      <c r="C113" t="str">
        <f ca="1">IFERROR(__xludf.DUMMYFUNCTION("""COMPUTED_VALUE"""),"Jamie Lovemark")</f>
        <v>Jamie Lovemark</v>
      </c>
      <c r="D113">
        <f ca="1">IFERROR(__xludf.DUMMYFUNCTION("""COMPUTED_VALUE"""),18)</f>
        <v>18</v>
      </c>
      <c r="E113">
        <f ca="1">IFERROR(__xludf.DUMMYFUNCTION("""COMPUTED_VALUE"""),54.55)</f>
        <v>54.55</v>
      </c>
      <c r="F113">
        <f ca="1">IFERROR(__xludf.DUMMYFUNCTION("""COMPUTED_VALUE"""),12)</f>
        <v>12</v>
      </c>
      <c r="G113">
        <f ca="1">IFERROR(__xludf.DUMMYFUNCTION("""COMPUTED_VALUE"""),22)</f>
        <v>22</v>
      </c>
    </row>
    <row r="114" spans="1:7" ht="12.75">
      <c r="A114" t="str">
        <f ca="1">IFERROR(__xludf.DUMMYFUNCTION("""COMPUTED_VALUE"""),"T109")</f>
        <v>T109</v>
      </c>
      <c r="B114" t="str">
        <f ca="1">IFERROR(__xludf.DUMMYFUNCTION("""COMPUTED_VALUE"""),"T90")</f>
        <v>T90</v>
      </c>
      <c r="C114" t="str">
        <f ca="1">IFERROR(__xludf.DUMMYFUNCTION("""COMPUTED_VALUE"""),"Scott Stallings")</f>
        <v>Scott Stallings</v>
      </c>
      <c r="D114">
        <f ca="1">IFERROR(__xludf.DUMMYFUNCTION("""COMPUTED_VALUE"""),14)</f>
        <v>14</v>
      </c>
      <c r="E114">
        <f ca="1">IFERROR(__xludf.DUMMYFUNCTION("""COMPUTED_VALUE"""),54.55)</f>
        <v>54.55</v>
      </c>
      <c r="F114">
        <f ca="1">IFERROR(__xludf.DUMMYFUNCTION("""COMPUTED_VALUE"""),6)</f>
        <v>6</v>
      </c>
      <c r="G114">
        <f ca="1">IFERROR(__xludf.DUMMYFUNCTION("""COMPUTED_VALUE"""),11)</f>
        <v>11</v>
      </c>
    </row>
    <row r="115" spans="1:7" ht="12.75">
      <c r="A115" t="str">
        <f ca="1">IFERROR(__xludf.DUMMYFUNCTION("""COMPUTED_VALUE"""),"T109")</f>
        <v>T109</v>
      </c>
      <c r="B115">
        <f ca="1">IFERROR(__xludf.DUMMYFUNCTION("""COMPUTED_VALUE"""),101)</f>
        <v>101</v>
      </c>
      <c r="C115" t="str">
        <f ca="1">IFERROR(__xludf.DUMMYFUNCTION("""COMPUTED_VALUE"""),"Beau Hossler")</f>
        <v>Beau Hossler</v>
      </c>
      <c r="D115">
        <f ca="1">IFERROR(__xludf.DUMMYFUNCTION("""COMPUTED_VALUE"""),22)</f>
        <v>22</v>
      </c>
      <c r="E115">
        <f ca="1">IFERROR(__xludf.DUMMYFUNCTION("""COMPUTED_VALUE"""),54.55)</f>
        <v>54.55</v>
      </c>
      <c r="F115">
        <f ca="1">IFERROR(__xludf.DUMMYFUNCTION("""COMPUTED_VALUE"""),12)</f>
        <v>12</v>
      </c>
      <c r="G115">
        <f ca="1">IFERROR(__xludf.DUMMYFUNCTION("""COMPUTED_VALUE"""),22)</f>
        <v>22</v>
      </c>
    </row>
    <row r="116" spans="1:7" ht="12.75">
      <c r="A116" t="str">
        <f ca="1">IFERROR(__xludf.DUMMYFUNCTION("""COMPUTED_VALUE"""),"T109")</f>
        <v>T109</v>
      </c>
      <c r="B116" t="str">
        <f ca="1">IFERROR(__xludf.DUMMYFUNCTION("""COMPUTED_VALUE"""),"T168")</f>
        <v>T168</v>
      </c>
      <c r="C116" t="str">
        <f ca="1">IFERROR(__xludf.DUMMYFUNCTION("""COMPUTED_VALUE"""),"Sam Ryder")</f>
        <v>Sam Ryder</v>
      </c>
      <c r="D116">
        <f ca="1">IFERROR(__xludf.DUMMYFUNCTION("""COMPUTED_VALUE"""),12)</f>
        <v>12</v>
      </c>
      <c r="E116">
        <f ca="1">IFERROR(__xludf.DUMMYFUNCTION("""COMPUTED_VALUE"""),54.55)</f>
        <v>54.55</v>
      </c>
      <c r="F116">
        <f ca="1">IFERROR(__xludf.DUMMYFUNCTION("""COMPUTED_VALUE"""),6)</f>
        <v>6</v>
      </c>
      <c r="G116">
        <f ca="1">IFERROR(__xludf.DUMMYFUNCTION("""COMPUTED_VALUE"""),11)</f>
        <v>11</v>
      </c>
    </row>
    <row r="117" spans="1:7" ht="12.75">
      <c r="A117" t="str">
        <f ca="1">IFERROR(__xludf.DUMMYFUNCTION("""COMPUTED_VALUE"""),"T109")</f>
        <v>T109</v>
      </c>
      <c r="B117" t="str">
        <f ca="1">IFERROR(__xludf.DUMMYFUNCTION("""COMPUTED_VALUE"""),"T102")</f>
        <v>T102</v>
      </c>
      <c r="C117" t="str">
        <f ca="1">IFERROR(__xludf.DUMMYFUNCTION("""COMPUTED_VALUE"""),"Taylor Pendrith")</f>
        <v>Taylor Pendrith</v>
      </c>
      <c r="D117">
        <f ca="1">IFERROR(__xludf.DUMMYFUNCTION("""COMPUTED_VALUE"""),4)</f>
        <v>4</v>
      </c>
      <c r="E117">
        <f ca="1">IFERROR(__xludf.DUMMYFUNCTION("""COMPUTED_VALUE"""),54.55)</f>
        <v>54.55</v>
      </c>
      <c r="F117">
        <f ca="1">IFERROR(__xludf.DUMMYFUNCTION("""COMPUTED_VALUE"""),6)</f>
        <v>6</v>
      </c>
      <c r="G117">
        <f ca="1">IFERROR(__xludf.DUMMYFUNCTION("""COMPUTED_VALUE"""),11)</f>
        <v>11</v>
      </c>
    </row>
    <row r="118" spans="1:7" ht="12.75">
      <c r="A118" t="str">
        <f ca="1">IFERROR(__xludf.DUMMYFUNCTION("""COMPUTED_VALUE"""),"T109")</f>
        <v>T109</v>
      </c>
      <c r="B118" t="str">
        <f ca="1">IFERROR(__xludf.DUMMYFUNCTION("""COMPUTED_VALUE"""),"T168")</f>
        <v>T168</v>
      </c>
      <c r="C118" t="str">
        <f ca="1">IFERROR(__xludf.DUMMYFUNCTION("""COMPUTED_VALUE"""),"Robby Shelton")</f>
        <v>Robby Shelton</v>
      </c>
      <c r="D118">
        <f ca="1">IFERROR(__xludf.DUMMYFUNCTION("""COMPUTED_VALUE"""),14)</f>
        <v>14</v>
      </c>
      <c r="E118">
        <f ca="1">IFERROR(__xludf.DUMMYFUNCTION("""COMPUTED_VALUE"""),54.55)</f>
        <v>54.55</v>
      </c>
      <c r="F118">
        <f ca="1">IFERROR(__xludf.DUMMYFUNCTION("""COMPUTED_VALUE"""),6)</f>
        <v>6</v>
      </c>
      <c r="G118">
        <f ca="1">IFERROR(__xludf.DUMMYFUNCTION("""COMPUTED_VALUE"""),11)</f>
        <v>11</v>
      </c>
    </row>
    <row r="119" spans="1:7" ht="12.75">
      <c r="A119" t="str">
        <f ca="1">IFERROR(__xludf.DUMMYFUNCTION("""COMPUTED_VALUE"""),"T109")</f>
        <v>T109</v>
      </c>
      <c r="B119" t="str">
        <f ca="1">IFERROR(__xludf.DUMMYFUNCTION("""COMPUTED_VALUE"""),"T102")</f>
        <v>T102</v>
      </c>
      <c r="C119" t="str">
        <f ca="1">IFERROR(__xludf.DUMMYFUNCTION("""COMPUTED_VALUE"""),"Vincent Whaley")</f>
        <v>Vincent Whaley</v>
      </c>
      <c r="D119">
        <f ca="1">IFERROR(__xludf.DUMMYFUNCTION("""COMPUTED_VALUE"""),14)</f>
        <v>14</v>
      </c>
      <c r="E119">
        <f ca="1">IFERROR(__xludf.DUMMYFUNCTION("""COMPUTED_VALUE"""),54.55)</f>
        <v>54.55</v>
      </c>
      <c r="F119">
        <f ca="1">IFERROR(__xludf.DUMMYFUNCTION("""COMPUTED_VALUE"""),6)</f>
        <v>6</v>
      </c>
      <c r="G119">
        <f ca="1">IFERROR(__xludf.DUMMYFUNCTION("""COMPUTED_VALUE"""),11)</f>
        <v>11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IFERROR(__xludf.DUMMYFUNCTION("""COMPUTED_VALUE"""),"T117")</f>
        <v>T117</v>
      </c>
      <c r="C120" t="str">
        <f ca="1">IFERROR(__xludf.DUMMYFUNCTION("""COMPUTED_VALUE"""),"Martin Trainer")</f>
        <v>Martin Trainer</v>
      </c>
      <c r="D120">
        <f ca="1">IFERROR(__xludf.DUMMYFUNCTION("""COMPUTED_VALUE"""),10)</f>
        <v>10</v>
      </c>
      <c r="E120">
        <f ca="1">IFERROR(__xludf.DUMMYFUNCTION("""COMPUTED_VALUE"""),53.85)</f>
        <v>53.85</v>
      </c>
      <c r="F120">
        <f ca="1">IFERROR(__xludf.DUMMYFUNCTION("""COMPUTED_VALUE"""),7)</f>
        <v>7</v>
      </c>
      <c r="G120">
        <f ca="1">IFERROR(__xludf.DUMMYFUNCTION("""COMPUTED_VALUE"""),13)</f>
        <v>13</v>
      </c>
    </row>
    <row r="121" spans="1:7" ht="12.75">
      <c r="A121" t="str">
        <f ca="1">IFERROR(__xludf.DUMMYFUNCTION("""COMPUTED_VALUE"""),"T120")</f>
        <v>T120</v>
      </c>
      <c r="B121" t="str">
        <f ca="1">IFERROR(__xludf.DUMMYFUNCTION("""COMPUTED_VALUE"""),"T107")</f>
        <v>T107</v>
      </c>
      <c r="C121" t="str">
        <f ca="1">IFERROR(__xludf.DUMMYFUNCTION("""COMPUTED_VALUE"""),"Kevin Streelman")</f>
        <v>Kevin Streelman</v>
      </c>
      <c r="D121">
        <f ca="1">IFERROR(__xludf.DUMMYFUNCTION("""COMPUTED_VALUE"""),18)</f>
        <v>18</v>
      </c>
      <c r="E121">
        <f ca="1">IFERROR(__xludf.DUMMYFUNCTION("""COMPUTED_VALUE"""),53.33)</f>
        <v>53.33</v>
      </c>
      <c r="F121">
        <f ca="1">IFERROR(__xludf.DUMMYFUNCTION("""COMPUTED_VALUE"""),8)</f>
        <v>8</v>
      </c>
      <c r="G121">
        <f ca="1">IFERROR(__xludf.DUMMYFUNCTION("""COMPUTED_VALUE"""),15)</f>
        <v>15</v>
      </c>
    </row>
    <row r="122" spans="1:7" ht="12.75">
      <c r="A122" t="str">
        <f ca="1">IFERROR(__xludf.DUMMYFUNCTION("""COMPUTED_VALUE"""),"T120")</f>
        <v>T120</v>
      </c>
      <c r="B122" t="str">
        <f ca="1">IFERROR(__xludf.DUMMYFUNCTION("""COMPUTED_VALUE"""),"T81")</f>
        <v>T81</v>
      </c>
      <c r="C122" t="str">
        <f ca="1">IFERROR(__xludf.DUMMYFUNCTION("""COMPUTED_VALUE"""),"Camilo Villegas")</f>
        <v>Camilo Villegas</v>
      </c>
      <c r="D122">
        <f ca="1">IFERROR(__xludf.DUMMYFUNCTION("""COMPUTED_VALUE"""),14)</f>
        <v>14</v>
      </c>
      <c r="E122">
        <f ca="1">IFERROR(__xludf.DUMMYFUNCTION("""COMPUTED_VALUE"""),53.33)</f>
        <v>53.33</v>
      </c>
      <c r="F122">
        <f ca="1">IFERROR(__xludf.DUMMYFUNCTION("""COMPUTED_VALUE"""),8)</f>
        <v>8</v>
      </c>
      <c r="G122">
        <f ca="1">IFERROR(__xludf.DUMMYFUNCTION("""COMPUTED_VALUE"""),15)</f>
        <v>15</v>
      </c>
    </row>
    <row r="123" spans="1:7" ht="12.75">
      <c r="A123" t="str">
        <f ca="1">IFERROR(__xludf.DUMMYFUNCTION("""COMPUTED_VALUE"""),"T120")</f>
        <v>T120</v>
      </c>
      <c r="B123" t="str">
        <f ca="1">IFERROR(__xludf.DUMMYFUNCTION("""COMPUTED_VALUE"""),"T164")</f>
        <v>T164</v>
      </c>
      <c r="C123" t="str">
        <f ca="1">IFERROR(__xludf.DUMMYFUNCTION("""COMPUTED_VALUE"""),"Danny Lee")</f>
        <v>Danny Lee</v>
      </c>
      <c r="D123">
        <f ca="1">IFERROR(__xludf.DUMMYFUNCTION("""COMPUTED_VALUE"""),15)</f>
        <v>15</v>
      </c>
      <c r="E123">
        <f ca="1">IFERROR(__xludf.DUMMYFUNCTION("""COMPUTED_VALUE"""),53.33)</f>
        <v>53.33</v>
      </c>
      <c r="F123">
        <f ca="1">IFERROR(__xludf.DUMMYFUNCTION("""COMPUTED_VALUE"""),8)</f>
        <v>8</v>
      </c>
      <c r="G123">
        <f ca="1">IFERROR(__xludf.DUMMYFUNCTION("""COMPUTED_VALUE"""),15)</f>
        <v>15</v>
      </c>
    </row>
    <row r="124" spans="1:7" ht="12.75">
      <c r="A124" t="str">
        <f ca="1">IFERROR(__xludf.DUMMYFUNCTION("""COMPUTED_VALUE"""),"T120")</f>
        <v>T120</v>
      </c>
      <c r="B124" t="str">
        <f ca="1">IFERROR(__xludf.DUMMYFUNCTION("""COMPUTED_VALUE"""),"T109")</f>
        <v>T109</v>
      </c>
      <c r="C124" t="str">
        <f ca="1">IFERROR(__xludf.DUMMYFUNCTION("""COMPUTED_VALUE"""),"Justin Thomas")</f>
        <v>Justin Thomas</v>
      </c>
      <c r="D124">
        <f ca="1">IFERROR(__xludf.DUMMYFUNCTION("""COMPUTED_VALUE"""),12)</f>
        <v>12</v>
      </c>
      <c r="E124">
        <f ca="1">IFERROR(__xludf.DUMMYFUNCTION("""COMPUTED_VALUE"""),53.33)</f>
        <v>53.33</v>
      </c>
      <c r="F124">
        <f ca="1">IFERROR(__xludf.DUMMYFUNCTION("""COMPUTED_VALUE"""),8)</f>
        <v>8</v>
      </c>
      <c r="G124">
        <f ca="1">IFERROR(__xludf.DUMMYFUNCTION("""COMPUTED_VALUE"""),15)</f>
        <v>15</v>
      </c>
    </row>
    <row r="125" spans="1:7" ht="12.75">
      <c r="A125" t="str">
        <f ca="1">IFERROR(__xludf.DUMMYFUNCTION("""COMPUTED_VALUE"""),"T120")</f>
        <v>T120</v>
      </c>
      <c r="B125" t="str">
        <f ca="1">IFERROR(__xludf.DUMMYFUNCTION("""COMPUTED_VALUE"""),"T107")</f>
        <v>T107</v>
      </c>
      <c r="C125" t="str">
        <f ca="1">IFERROR(__xludf.DUMMYFUNCTION("""COMPUTED_VALUE"""),"Michael Kim")</f>
        <v>Michael Kim</v>
      </c>
      <c r="D125">
        <f ca="1">IFERROR(__xludf.DUMMYFUNCTION("""COMPUTED_VALUE"""),12)</f>
        <v>12</v>
      </c>
      <c r="E125">
        <f ca="1">IFERROR(__xludf.DUMMYFUNCTION("""COMPUTED_VALUE"""),53.33)</f>
        <v>53.33</v>
      </c>
      <c r="F125">
        <f ca="1">IFERROR(__xludf.DUMMYFUNCTION("""COMPUTED_VALUE"""),8)</f>
        <v>8</v>
      </c>
      <c r="G125">
        <f ca="1">IFERROR(__xludf.DUMMYFUNCTION("""COMPUTED_VALUE"""),15)</f>
        <v>15</v>
      </c>
    </row>
    <row r="126" spans="1:7" ht="12.75">
      <c r="A126" t="str">
        <f ca="1">IFERROR(__xludf.DUMMYFUNCTION("""COMPUTED_VALUE"""),"T120")</f>
        <v>T120</v>
      </c>
      <c r="B126" t="str">
        <f ca="1">IFERROR(__xludf.DUMMYFUNCTION("""COMPUTED_VALUE"""),"T109")</f>
        <v>T109</v>
      </c>
      <c r="C126" t="str">
        <f ca="1">IFERROR(__xludf.DUMMYFUNCTION("""COMPUTED_VALUE"""),"Sebastián Muñoz")</f>
        <v>Sebastián Muñoz</v>
      </c>
      <c r="D126">
        <f ca="1">IFERROR(__xludf.DUMMYFUNCTION("""COMPUTED_VALUE"""),20)</f>
        <v>20</v>
      </c>
      <c r="E126">
        <f ca="1">IFERROR(__xludf.DUMMYFUNCTION("""COMPUTED_VALUE"""),53.33)</f>
        <v>53.33</v>
      </c>
      <c r="F126">
        <f ca="1">IFERROR(__xludf.DUMMYFUNCTION("""COMPUTED_VALUE"""),8)</f>
        <v>8</v>
      </c>
      <c r="G126">
        <f ca="1">IFERROR(__xludf.DUMMYFUNCTION("""COMPUTED_VALUE"""),15)</f>
        <v>15</v>
      </c>
    </row>
    <row r="127" spans="1:7" ht="12.75">
      <c r="A127">
        <f ca="1">IFERROR(__xludf.DUMMYFUNCTION("""COMPUTED_VALUE"""),126)</f>
        <v>126</v>
      </c>
      <c r="B127" t="str">
        <f ca="1">IFERROR(__xludf.DUMMYFUNCTION("""COMPUTED_VALUE"""),"T113")</f>
        <v>T113</v>
      </c>
      <c r="C127" t="str">
        <f ca="1">IFERROR(__xludf.DUMMYFUNCTION("""COMPUTED_VALUE"""),"Charles Howell III")</f>
        <v>Charles Howell III</v>
      </c>
      <c r="D127">
        <f ca="1">IFERROR(__xludf.DUMMYFUNCTION("""COMPUTED_VALUE"""),10)</f>
        <v>10</v>
      </c>
      <c r="E127">
        <f ca="1">IFERROR(__xludf.DUMMYFUNCTION("""COMPUTED_VALUE"""),52.94)</f>
        <v>52.94</v>
      </c>
      <c r="F127">
        <f ca="1">IFERROR(__xludf.DUMMYFUNCTION("""COMPUTED_VALUE"""),9)</f>
        <v>9</v>
      </c>
      <c r="G127">
        <f ca="1">IFERROR(__xludf.DUMMYFUNCTION("""COMPUTED_VALUE"""),17)</f>
        <v>17</v>
      </c>
    </row>
    <row r="128" spans="1:7" ht="12.75">
      <c r="A128" t="str">
        <f ca="1">IFERROR(__xludf.DUMMYFUNCTION("""COMPUTED_VALUE"""),"T127")</f>
        <v>T127</v>
      </c>
      <c r="B128" t="str">
        <f ca="1">IFERROR(__xludf.DUMMYFUNCTION("""COMPUTED_VALUE"""),"T159")</f>
        <v>T159</v>
      </c>
      <c r="C128" t="str">
        <f ca="1">IFERROR(__xludf.DUMMYFUNCTION("""COMPUTED_VALUE"""),"Andrew Putnam")</f>
        <v>Andrew Putnam</v>
      </c>
      <c r="D128">
        <f ca="1">IFERROR(__xludf.DUMMYFUNCTION("""COMPUTED_VALUE"""),19)</f>
        <v>19</v>
      </c>
      <c r="E128">
        <f ca="1">IFERROR(__xludf.DUMMYFUNCTION("""COMPUTED_VALUE"""),52.63)</f>
        <v>52.63</v>
      </c>
      <c r="F128">
        <f ca="1">IFERROR(__xludf.DUMMYFUNCTION("""COMPUTED_VALUE"""),10)</f>
        <v>10</v>
      </c>
      <c r="G128">
        <f ca="1">IFERROR(__xludf.DUMMYFUNCTION("""COMPUTED_VALUE"""),19)</f>
        <v>19</v>
      </c>
    </row>
    <row r="129" spans="1:7" ht="12.75">
      <c r="A129" t="str">
        <f ca="1">IFERROR(__xludf.DUMMYFUNCTION("""COMPUTED_VALUE"""),"T127")</f>
        <v>T127</v>
      </c>
      <c r="B129" t="str">
        <f ca="1">IFERROR(__xludf.DUMMYFUNCTION("""COMPUTED_VALUE"""),"T109")</f>
        <v>T109</v>
      </c>
      <c r="C129" t="str">
        <f ca="1">IFERROR(__xludf.DUMMYFUNCTION("""COMPUTED_VALUE"""),"Adam Long")</f>
        <v>Adam Long</v>
      </c>
      <c r="D129">
        <f ca="1">IFERROR(__xludf.DUMMYFUNCTION("""COMPUTED_VALUE"""),22)</f>
        <v>22</v>
      </c>
      <c r="E129">
        <f ca="1">IFERROR(__xludf.DUMMYFUNCTION("""COMPUTED_VALUE"""),52.63)</f>
        <v>52.63</v>
      </c>
      <c r="F129">
        <f ca="1">IFERROR(__xludf.DUMMYFUNCTION("""COMPUTED_VALUE"""),10)</f>
        <v>10</v>
      </c>
      <c r="G129">
        <f ca="1">IFERROR(__xludf.DUMMYFUNCTION("""COMPUTED_VALUE"""),19)</f>
        <v>19</v>
      </c>
    </row>
    <row r="130" spans="1:7" ht="12.75">
      <c r="A130" t="str">
        <f ca="1">IFERROR(__xludf.DUMMYFUNCTION("""COMPUTED_VALUE"""),"T127")</f>
        <v>T127</v>
      </c>
      <c r="B130" t="str">
        <f ca="1">IFERROR(__xludf.DUMMYFUNCTION("""COMPUTED_VALUE"""),"T113")</f>
        <v>T113</v>
      </c>
      <c r="C130" t="str">
        <f ca="1">IFERROR(__xludf.DUMMYFUNCTION("""COMPUTED_VALUE"""),"Si Woo Kim")</f>
        <v>Si Woo Kim</v>
      </c>
      <c r="D130">
        <f ca="1">IFERROR(__xludf.DUMMYFUNCTION("""COMPUTED_VALUE"""),20)</f>
        <v>20</v>
      </c>
      <c r="E130">
        <f ca="1">IFERROR(__xludf.DUMMYFUNCTION("""COMPUTED_VALUE"""),52.63)</f>
        <v>52.63</v>
      </c>
      <c r="F130">
        <f ca="1">IFERROR(__xludf.DUMMYFUNCTION("""COMPUTED_VALUE"""),10)</f>
        <v>10</v>
      </c>
      <c r="G130">
        <f ca="1">IFERROR(__xludf.DUMMYFUNCTION("""COMPUTED_VALUE"""),19)</f>
        <v>19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IFERROR(__xludf.DUMMYFUNCTION("""COMPUTED_VALUE"""),116)</f>
        <v>116</v>
      </c>
      <c r="C131" t="str">
        <f ca="1">IFERROR(__xludf.DUMMYFUNCTION("""COMPUTED_VALUE"""),"Cameron Smith")</f>
        <v>Cameron Smith</v>
      </c>
      <c r="D131">
        <f ca="1">IFERROR(__xludf.DUMMYFUNCTION("""COMPUTED_VALUE"""),16)</f>
        <v>16</v>
      </c>
      <c r="E131">
        <f ca="1">IFERROR(__xludf.DUMMYFUNCTION("""COMPUTED_VALUE"""),52.38)</f>
        <v>52.38</v>
      </c>
      <c r="F131">
        <f ca="1">IFERROR(__xludf.DUMMYFUNCTION("""COMPUTED_VALUE"""),11)</f>
        <v>11</v>
      </c>
      <c r="G131">
        <f ca="1">IFERROR(__xludf.DUMMYFUNCTION("""COMPUTED_VALUE"""),21)</f>
        <v>21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IFERROR(__xludf.DUMMYFUNCTION("""COMPUTED_VALUE"""),106)</f>
        <v>106</v>
      </c>
      <c r="C132" t="str">
        <f ca="1">IFERROR(__xludf.DUMMYFUNCTION("""COMPUTED_VALUE"""),"Tyler Duncan")</f>
        <v>Tyler Duncan</v>
      </c>
      <c r="D132">
        <f ca="1">IFERROR(__xludf.DUMMYFUNCTION("""COMPUTED_VALUE"""),18)</f>
        <v>18</v>
      </c>
      <c r="E132">
        <f ca="1">IFERROR(__xludf.DUMMYFUNCTION("""COMPUTED_VALUE"""),51.85)</f>
        <v>51.85</v>
      </c>
      <c r="F132">
        <f ca="1">IFERROR(__xludf.DUMMYFUNCTION("""COMPUTED_VALUE"""),14)</f>
        <v>14</v>
      </c>
      <c r="G132">
        <f ca="1">IFERROR(__xludf.DUMMYFUNCTION("""COMPUTED_VALUE"""),27)</f>
        <v>27</v>
      </c>
    </row>
    <row r="133" spans="1:7" ht="12.75">
      <c r="A133" t="str">
        <f ca="1">IFERROR(__xludf.DUMMYFUNCTION("""COMPUTED_VALUE"""),"T132")</f>
        <v>T132</v>
      </c>
      <c r="B133" t="str">
        <f ca="1">IFERROR(__xludf.DUMMYFUNCTION("""COMPUTED_VALUE"""),"T117")</f>
        <v>T117</v>
      </c>
      <c r="C133" t="str">
        <f ca="1">IFERROR(__xludf.DUMMYFUNCTION("""COMPUTED_VALUE"""),"Arjun Atwal")</f>
        <v>Arjun Atwal</v>
      </c>
      <c r="D133">
        <f ca="1">IFERROR(__xludf.DUMMYFUNCTION("""COMPUTED_VALUE"""),6)</f>
        <v>6</v>
      </c>
      <c r="E133">
        <f ca="1">IFERROR(__xludf.DUMMYFUNCTION("""COMPUTED_VALUE"""),50)</f>
        <v>50</v>
      </c>
      <c r="F133">
        <f ca="1">IFERROR(__xludf.DUMMYFUNCTION("""COMPUTED_VALUE"""),3)</f>
        <v>3</v>
      </c>
      <c r="G133">
        <f ca="1">IFERROR(__xludf.DUMMYFUNCTION("""COMPUTED_VALUE"""),6)</f>
        <v>6</v>
      </c>
    </row>
    <row r="134" spans="1:7" ht="12.75">
      <c r="A134" t="str">
        <f ca="1">IFERROR(__xludf.DUMMYFUNCTION("""COMPUTED_VALUE"""),"T132")</f>
        <v>T132</v>
      </c>
      <c r="B134" t="str">
        <f ca="1">IFERROR(__xludf.DUMMYFUNCTION("""COMPUTED_VALUE"""),"T72")</f>
        <v>T72</v>
      </c>
      <c r="C134" t="str">
        <f ca="1">IFERROR(__xludf.DUMMYFUNCTION("""COMPUTED_VALUE"""),"Sean O'Hair")</f>
        <v>Sean O'Hair</v>
      </c>
      <c r="D134">
        <f ca="1">IFERROR(__xludf.DUMMYFUNCTION("""COMPUTED_VALUE"""),14)</f>
        <v>14</v>
      </c>
      <c r="E134">
        <f ca="1">IFERROR(__xludf.DUMMYFUNCTION("""COMPUTED_VALUE"""),50)</f>
        <v>50</v>
      </c>
      <c r="F134">
        <f ca="1">IFERROR(__xludf.DUMMYFUNCTION("""COMPUTED_VALUE"""),4)</f>
        <v>4</v>
      </c>
      <c r="G134">
        <f ca="1">IFERROR(__xludf.DUMMYFUNCTION("""COMPUTED_VALUE"""),8)</f>
        <v>8</v>
      </c>
    </row>
    <row r="135" spans="1:7" ht="12.75">
      <c r="A135" t="str">
        <f ca="1">IFERROR(__xludf.DUMMYFUNCTION("""COMPUTED_VALUE"""),"T132")</f>
        <v>T132</v>
      </c>
      <c r="B135" t="str">
        <f ca="1">IFERROR(__xludf.DUMMYFUNCTION("""COMPUTED_VALUE"""),"T117")</f>
        <v>T117</v>
      </c>
      <c r="C135" t="str">
        <f ca="1">IFERROR(__xludf.DUMMYFUNCTION("""COMPUTED_VALUE"""),"K.J. Choi")</f>
        <v>K.J. Choi</v>
      </c>
      <c r="D135">
        <f ca="1">IFERROR(__xludf.DUMMYFUNCTION("""COMPUTED_VALUE"""),6)</f>
        <v>6</v>
      </c>
      <c r="E135">
        <f ca="1">IFERROR(__xludf.DUMMYFUNCTION("""COMPUTED_VALUE"""),50)</f>
        <v>50</v>
      </c>
      <c r="F135">
        <f ca="1">IFERROR(__xludf.DUMMYFUNCTION("""COMPUTED_VALUE"""),5)</f>
        <v>5</v>
      </c>
      <c r="G135">
        <f ca="1">IFERROR(__xludf.DUMMYFUNCTION("""COMPUTED_VALUE"""),10)</f>
        <v>10</v>
      </c>
    </row>
    <row r="136" spans="1:7" ht="12.75">
      <c r="A136" t="str">
        <f ca="1">IFERROR(__xludf.DUMMYFUNCTION("""COMPUTED_VALUE"""),"T132")</f>
        <v>T132</v>
      </c>
      <c r="B136" t="str">
        <f ca="1">IFERROR(__xludf.DUMMYFUNCTION("""COMPUTED_VALUE"""),"T117")</f>
        <v>T117</v>
      </c>
      <c r="C136" t="str">
        <f ca="1">IFERROR(__xludf.DUMMYFUNCTION("""COMPUTED_VALUE"""),"Paul Casey")</f>
        <v>Paul Casey</v>
      </c>
      <c r="D136">
        <f ca="1">IFERROR(__xludf.DUMMYFUNCTION("""COMPUTED_VALUE"""),14)</f>
        <v>14</v>
      </c>
      <c r="E136">
        <f ca="1">IFERROR(__xludf.DUMMYFUNCTION("""COMPUTED_VALUE"""),50)</f>
        <v>50</v>
      </c>
      <c r="F136">
        <f ca="1">IFERROR(__xludf.DUMMYFUNCTION("""COMPUTED_VALUE"""),6)</f>
        <v>6</v>
      </c>
      <c r="G136">
        <f ca="1">IFERROR(__xludf.DUMMYFUNCTION("""COMPUTED_VALUE"""),12)</f>
        <v>12</v>
      </c>
    </row>
    <row r="137" spans="1:7" ht="12.75">
      <c r="A137" t="str">
        <f ca="1">IFERROR(__xludf.DUMMYFUNCTION("""COMPUTED_VALUE"""),"T132")</f>
        <v>T132</v>
      </c>
      <c r="B137" t="str">
        <f ca="1">IFERROR(__xludf.DUMMYFUNCTION("""COMPUTED_VALUE"""),"T117")</f>
        <v>T117</v>
      </c>
      <c r="C137" t="str">
        <f ca="1">IFERROR(__xludf.DUMMYFUNCTION("""COMPUTED_VALUE"""),"Bubba Watson")</f>
        <v>Bubba Watson</v>
      </c>
      <c r="D137">
        <f ca="1">IFERROR(__xludf.DUMMYFUNCTION("""COMPUTED_VALUE"""),12)</f>
        <v>12</v>
      </c>
      <c r="E137">
        <f ca="1">IFERROR(__xludf.DUMMYFUNCTION("""COMPUTED_VALUE"""),50)</f>
        <v>50</v>
      </c>
      <c r="F137">
        <f ca="1">IFERROR(__xludf.DUMMYFUNCTION("""COMPUTED_VALUE"""),2)</f>
        <v>2</v>
      </c>
      <c r="G137">
        <f ca="1">IFERROR(__xludf.DUMMYFUNCTION("""COMPUTED_VALUE"""),4)</f>
        <v>4</v>
      </c>
    </row>
    <row r="138" spans="1:7" ht="12.75">
      <c r="A138" t="str">
        <f ca="1">IFERROR(__xludf.DUMMYFUNCTION("""COMPUTED_VALUE"""),"T132")</f>
        <v>T132</v>
      </c>
      <c r="B138" t="str">
        <f ca="1">IFERROR(__xludf.DUMMYFUNCTION("""COMPUTED_VALUE"""),"T117")</f>
        <v>T117</v>
      </c>
      <c r="C138" t="str">
        <f ca="1">IFERROR(__xludf.DUMMYFUNCTION("""COMPUTED_VALUE"""),"Rafa Cabrera Bello")</f>
        <v>Rafa Cabrera Bello</v>
      </c>
      <c r="D138">
        <f ca="1">IFERROR(__xludf.DUMMYFUNCTION("""COMPUTED_VALUE"""),14)</f>
        <v>14</v>
      </c>
      <c r="E138">
        <f ca="1">IFERROR(__xludf.DUMMYFUNCTION("""COMPUTED_VALUE"""),50)</f>
        <v>50</v>
      </c>
      <c r="F138">
        <f ca="1">IFERROR(__xludf.DUMMYFUNCTION("""COMPUTED_VALUE"""),10)</f>
        <v>10</v>
      </c>
      <c r="G138">
        <f ca="1">IFERROR(__xludf.DUMMYFUNCTION("""COMPUTED_VALUE"""),20)</f>
        <v>20</v>
      </c>
    </row>
    <row r="139" spans="1:7" ht="12.75">
      <c r="A139" t="str">
        <f ca="1">IFERROR(__xludf.DUMMYFUNCTION("""COMPUTED_VALUE"""),"T132")</f>
        <v>T132</v>
      </c>
      <c r="B139" t="str">
        <f ca="1">IFERROR(__xludf.DUMMYFUNCTION("""COMPUTED_VALUE"""),"T117")</f>
        <v>T117</v>
      </c>
      <c r="C139" t="str">
        <f ca="1">IFERROR(__xludf.DUMMYFUNCTION("""COMPUTED_VALUE"""),"Peter Uihlein")</f>
        <v>Peter Uihlein</v>
      </c>
      <c r="D139">
        <f ca="1">IFERROR(__xludf.DUMMYFUNCTION("""COMPUTED_VALUE"""),8)</f>
        <v>8</v>
      </c>
      <c r="E139">
        <f ca="1">IFERROR(__xludf.DUMMYFUNCTION("""COMPUTED_VALUE"""),50)</f>
        <v>50</v>
      </c>
      <c r="F139">
        <f ca="1">IFERROR(__xludf.DUMMYFUNCTION("""COMPUTED_VALUE"""),5)</f>
        <v>5</v>
      </c>
      <c r="G139">
        <f ca="1">IFERROR(__xludf.DUMMYFUNCTION("""COMPUTED_VALUE"""),10)</f>
        <v>10</v>
      </c>
    </row>
    <row r="140" spans="1:7" ht="12.75">
      <c r="A140" t="str">
        <f ca="1">IFERROR(__xludf.DUMMYFUNCTION("""COMPUTED_VALUE"""),"T132")</f>
        <v>T132</v>
      </c>
      <c r="B140" t="str">
        <f ca="1">IFERROR(__xludf.DUMMYFUNCTION("""COMPUTED_VALUE"""),"T177")</f>
        <v>T177</v>
      </c>
      <c r="C140" t="str">
        <f ca="1">IFERROR(__xludf.DUMMYFUNCTION("""COMPUTED_VALUE"""),"James Hahn")</f>
        <v>James Hahn</v>
      </c>
      <c r="D140">
        <f ca="1">IFERROR(__xludf.DUMMYFUNCTION("""COMPUTED_VALUE"""),16)</f>
        <v>16</v>
      </c>
      <c r="E140">
        <f ca="1">IFERROR(__xludf.DUMMYFUNCTION("""COMPUTED_VALUE"""),50)</f>
        <v>50</v>
      </c>
      <c r="F140">
        <f ca="1">IFERROR(__xludf.DUMMYFUNCTION("""COMPUTED_VALUE"""),6)</f>
        <v>6</v>
      </c>
      <c r="G140">
        <f ca="1">IFERROR(__xludf.DUMMYFUNCTION("""COMPUTED_VALUE"""),12)</f>
        <v>12</v>
      </c>
    </row>
    <row r="141" spans="1:7" ht="12.75">
      <c r="A141" t="str">
        <f ca="1">IFERROR(__xludf.DUMMYFUNCTION("""COMPUTED_VALUE"""),"T132")</f>
        <v>T132</v>
      </c>
      <c r="B141" t="str">
        <f ca="1">IFERROR(__xludf.DUMMYFUNCTION("""COMPUTED_VALUE"""),"T190")</f>
        <v>T190</v>
      </c>
      <c r="C141" t="str">
        <f ca="1">IFERROR(__xludf.DUMMYFUNCTION("""COMPUTED_VALUE"""),"Russell Knox")</f>
        <v>Russell Knox</v>
      </c>
      <c r="D141">
        <f ca="1">IFERROR(__xludf.DUMMYFUNCTION("""COMPUTED_VALUE"""),16)</f>
        <v>16</v>
      </c>
      <c r="E141">
        <f ca="1">IFERROR(__xludf.DUMMYFUNCTION("""COMPUTED_VALUE"""),50)</f>
        <v>50</v>
      </c>
      <c r="F141">
        <f ca="1">IFERROR(__xludf.DUMMYFUNCTION("""COMPUTED_VALUE"""),4)</f>
        <v>4</v>
      </c>
      <c r="G141">
        <f ca="1">IFERROR(__xludf.DUMMYFUNCTION("""COMPUTED_VALUE"""),8)</f>
        <v>8</v>
      </c>
    </row>
    <row r="142" spans="1:7" ht="12.75">
      <c r="A142" t="str">
        <f ca="1">IFERROR(__xludf.DUMMYFUNCTION("""COMPUTED_VALUE"""),"T132")</f>
        <v>T132</v>
      </c>
      <c r="B142" t="str">
        <f ca="1">IFERROR(__xludf.DUMMYFUNCTION("""COMPUTED_VALUE"""),"T117")</f>
        <v>T117</v>
      </c>
      <c r="C142" t="str">
        <f ca="1">IFERROR(__xludf.DUMMYFUNCTION("""COMPUTED_VALUE"""),"Adam Hadwin")</f>
        <v>Adam Hadwin</v>
      </c>
      <c r="D142">
        <f ca="1">IFERROR(__xludf.DUMMYFUNCTION("""COMPUTED_VALUE"""),16)</f>
        <v>16</v>
      </c>
      <c r="E142">
        <f ca="1">IFERROR(__xludf.DUMMYFUNCTION("""COMPUTED_VALUE"""),50)</f>
        <v>50</v>
      </c>
      <c r="F142">
        <f ca="1">IFERROR(__xludf.DUMMYFUNCTION("""COMPUTED_VALUE"""),8)</f>
        <v>8</v>
      </c>
      <c r="G142">
        <f ca="1">IFERROR(__xludf.DUMMYFUNCTION("""COMPUTED_VALUE"""),16)</f>
        <v>16</v>
      </c>
    </row>
    <row r="143" spans="1:7" ht="12.75">
      <c r="A143" t="str">
        <f ca="1">IFERROR(__xludf.DUMMYFUNCTION("""COMPUTED_VALUE"""),"T132")</f>
        <v>T132</v>
      </c>
      <c r="B143" t="str">
        <f ca="1">IFERROR(__xludf.DUMMYFUNCTION("""COMPUTED_VALUE"""),"T117")</f>
        <v>T117</v>
      </c>
      <c r="C143" t="str">
        <f ca="1">IFERROR(__xludf.DUMMYFUNCTION("""COMPUTED_VALUE"""),"Ben Martin")</f>
        <v>Ben Martin</v>
      </c>
      <c r="D143">
        <f ca="1">IFERROR(__xludf.DUMMYFUNCTION("""COMPUTED_VALUE"""),6)</f>
        <v>6</v>
      </c>
      <c r="E143">
        <f ca="1">IFERROR(__xludf.DUMMYFUNCTION("""COMPUTED_VALUE"""),50)</f>
        <v>50</v>
      </c>
      <c r="F143">
        <f ca="1">IFERROR(__xludf.DUMMYFUNCTION("""COMPUTED_VALUE"""),5)</f>
        <v>5</v>
      </c>
      <c r="G143">
        <f ca="1">IFERROR(__xludf.DUMMYFUNCTION("""COMPUTED_VALUE"""),10)</f>
        <v>10</v>
      </c>
    </row>
    <row r="144" spans="1:7" ht="12.75">
      <c r="A144" t="str">
        <f ca="1">IFERROR(__xludf.DUMMYFUNCTION("""COMPUTED_VALUE"""),"T132")</f>
        <v>T132</v>
      </c>
      <c r="B144" t="str">
        <f ca="1">IFERROR(__xludf.DUMMYFUNCTION("""COMPUTED_VALUE"""),"T117")</f>
        <v>T117</v>
      </c>
      <c r="C144" t="str">
        <f ca="1">IFERROR(__xludf.DUMMYFUNCTION("""COMPUTED_VALUE"""),"Shawn Stefani")</f>
        <v>Shawn Stefani</v>
      </c>
      <c r="D144">
        <f ca="1">IFERROR(__xludf.DUMMYFUNCTION("""COMPUTED_VALUE"""),5)</f>
        <v>5</v>
      </c>
      <c r="E144">
        <f ca="1">IFERROR(__xludf.DUMMYFUNCTION("""COMPUTED_VALUE"""),50)</f>
        <v>50</v>
      </c>
      <c r="F144">
        <f ca="1">IFERROR(__xludf.DUMMYFUNCTION("""COMPUTED_VALUE"""),5)</f>
        <v>5</v>
      </c>
      <c r="G144">
        <f ca="1">IFERROR(__xludf.DUMMYFUNCTION("""COMPUTED_VALUE"""),10)</f>
        <v>10</v>
      </c>
    </row>
    <row r="145" spans="1:7" ht="12.75">
      <c r="A145" t="str">
        <f ca="1">IFERROR(__xludf.DUMMYFUNCTION("""COMPUTED_VALUE"""),"T132")</f>
        <v>T132</v>
      </c>
      <c r="B145" t="str">
        <f ca="1">IFERROR(__xludf.DUMMYFUNCTION("""COMPUTED_VALUE"""),"T117")</f>
        <v>T117</v>
      </c>
      <c r="C145" t="str">
        <f ca="1">IFERROR(__xludf.DUMMYFUNCTION("""COMPUTED_VALUE"""),"Thomas Detry")</f>
        <v>Thomas Detry</v>
      </c>
      <c r="D145">
        <f ca="1">IFERROR(__xludf.DUMMYFUNCTION("""COMPUTED_VALUE"""),8)</f>
        <v>8</v>
      </c>
      <c r="E145">
        <f ca="1">IFERROR(__xludf.DUMMYFUNCTION("""COMPUTED_VALUE"""),50)</f>
        <v>50</v>
      </c>
      <c r="F145">
        <f ca="1">IFERROR(__xludf.DUMMYFUNCTION("""COMPUTED_VALUE"""),2)</f>
        <v>2</v>
      </c>
      <c r="G145">
        <f ca="1">IFERROR(__xludf.DUMMYFUNCTION("""COMPUTED_VALUE"""),4)</f>
        <v>4</v>
      </c>
    </row>
    <row r="146" spans="1:7" ht="12.75">
      <c r="A146" t="str">
        <f ca="1">IFERROR(__xludf.DUMMYFUNCTION("""COMPUTED_VALUE"""),"T132")</f>
        <v>T132</v>
      </c>
      <c r="B146" t="str">
        <f ca="1">IFERROR(__xludf.DUMMYFUNCTION("""COMPUTED_VALUE"""),"T117")</f>
        <v>T117</v>
      </c>
      <c r="C146" t="str">
        <f ca="1">IFERROR(__xludf.DUMMYFUNCTION("""COMPUTED_VALUE"""),"Harris English")</f>
        <v>Harris English</v>
      </c>
      <c r="D146">
        <f ca="1">IFERROR(__xludf.DUMMYFUNCTION("""COMPUTED_VALUE"""),14)</f>
        <v>14</v>
      </c>
      <c r="E146">
        <f ca="1">IFERROR(__xludf.DUMMYFUNCTION("""COMPUTED_VALUE"""),50)</f>
        <v>50</v>
      </c>
      <c r="F146">
        <f ca="1">IFERROR(__xludf.DUMMYFUNCTION("""COMPUTED_VALUE"""),7)</f>
        <v>7</v>
      </c>
      <c r="G146">
        <f ca="1">IFERROR(__xludf.DUMMYFUNCTION("""COMPUTED_VALUE"""),14)</f>
        <v>14</v>
      </c>
    </row>
    <row r="147" spans="1:7" ht="12.75">
      <c r="A147" t="str">
        <f ca="1">IFERROR(__xludf.DUMMYFUNCTION("""COMPUTED_VALUE"""),"T132")</f>
        <v>T132</v>
      </c>
      <c r="B147" t="str">
        <f ca="1">IFERROR(__xludf.DUMMYFUNCTION("""COMPUTED_VALUE"""),"T218")</f>
        <v>T218</v>
      </c>
      <c r="C147" t="str">
        <f ca="1">IFERROR(__xludf.DUMMYFUNCTION("""COMPUTED_VALUE"""),"John Huh")</f>
        <v>John Huh</v>
      </c>
      <c r="D147">
        <f ca="1">IFERROR(__xludf.DUMMYFUNCTION("""COMPUTED_VALUE"""),8)</f>
        <v>8</v>
      </c>
      <c r="E147">
        <f ca="1">IFERROR(__xludf.DUMMYFUNCTION("""COMPUTED_VALUE"""),50)</f>
        <v>50</v>
      </c>
      <c r="F147">
        <f ca="1">IFERROR(__xludf.DUMMYFUNCTION("""COMPUTED_VALUE"""),4)</f>
        <v>4</v>
      </c>
      <c r="G147">
        <f ca="1">IFERROR(__xludf.DUMMYFUNCTION("""COMPUTED_VALUE"""),8)</f>
        <v>8</v>
      </c>
    </row>
    <row r="148" spans="1:7" ht="12.75">
      <c r="A148" t="str">
        <f ca="1">IFERROR(__xludf.DUMMYFUNCTION("""COMPUTED_VALUE"""),"T132")</f>
        <v>T132</v>
      </c>
      <c r="B148" t="str">
        <f ca="1">IFERROR(__xludf.DUMMYFUNCTION("""COMPUTED_VALUE"""),"T117")</f>
        <v>T117</v>
      </c>
      <c r="C148" t="str">
        <f ca="1">IFERROR(__xludf.DUMMYFUNCTION("""COMPUTED_VALUE"""),"Roberto Díaz")</f>
        <v>Roberto Díaz</v>
      </c>
      <c r="D148">
        <f ca="1">IFERROR(__xludf.DUMMYFUNCTION("""COMPUTED_VALUE"""),4)</f>
        <v>4</v>
      </c>
      <c r="E148">
        <f ca="1">IFERROR(__xludf.DUMMYFUNCTION("""COMPUTED_VALUE"""),50)</f>
        <v>50</v>
      </c>
      <c r="F148">
        <f ca="1">IFERROR(__xludf.DUMMYFUNCTION("""COMPUTED_VALUE"""),2)</f>
        <v>2</v>
      </c>
      <c r="G148">
        <f ca="1">IFERROR(__xludf.DUMMYFUNCTION("""COMPUTED_VALUE"""),4)</f>
        <v>4</v>
      </c>
    </row>
    <row r="149" spans="1:7" ht="12.75">
      <c r="A149" t="str">
        <f ca="1">IFERROR(__xludf.DUMMYFUNCTION("""COMPUTED_VALUE"""),"T132")</f>
        <v>T132</v>
      </c>
      <c r="B149" t="str">
        <f ca="1">IFERROR(__xludf.DUMMYFUNCTION("""COMPUTED_VALUE"""),"T175")</f>
        <v>T175</v>
      </c>
      <c r="C149" t="str">
        <f ca="1">IFERROR(__xludf.DUMMYFUNCTION("""COMPUTED_VALUE"""),"Kristoffer Ventura")</f>
        <v>Kristoffer Ventura</v>
      </c>
      <c r="D149">
        <f ca="1">IFERROR(__xludf.DUMMYFUNCTION("""COMPUTED_VALUE"""),20)</f>
        <v>20</v>
      </c>
      <c r="E149">
        <f ca="1">IFERROR(__xludf.DUMMYFUNCTION("""COMPUTED_VALUE"""),50)</f>
        <v>50</v>
      </c>
      <c r="F149">
        <f ca="1">IFERROR(__xludf.DUMMYFUNCTION("""COMPUTED_VALUE"""),10)</f>
        <v>10</v>
      </c>
      <c r="G149">
        <f ca="1">IFERROR(__xludf.DUMMYFUNCTION("""COMPUTED_VALUE"""),20)</f>
        <v>20</v>
      </c>
    </row>
    <row r="150" spans="1:7" ht="12.75">
      <c r="A150" t="str">
        <f ca="1">IFERROR(__xludf.DUMMYFUNCTION("""COMPUTED_VALUE"""),"T132")</f>
        <v>T132</v>
      </c>
      <c r="B150" t="str">
        <f ca="1">IFERROR(__xludf.DUMMYFUNCTION("""COMPUTED_VALUE"""),"T117")</f>
        <v>T117</v>
      </c>
      <c r="C150" t="str">
        <f ca="1">IFERROR(__xludf.DUMMYFUNCTION("""COMPUTED_VALUE"""),"Wes Roach")</f>
        <v>Wes Roach</v>
      </c>
      <c r="D150">
        <f ca="1">IFERROR(__xludf.DUMMYFUNCTION("""COMPUTED_VALUE"""),6)</f>
        <v>6</v>
      </c>
      <c r="E150">
        <f ca="1">IFERROR(__xludf.DUMMYFUNCTION("""COMPUTED_VALUE"""),50)</f>
        <v>50</v>
      </c>
      <c r="F150">
        <f ca="1">IFERROR(__xludf.DUMMYFUNCTION("""COMPUTED_VALUE"""),4)</f>
        <v>4</v>
      </c>
      <c r="G150">
        <f ca="1">IFERROR(__xludf.DUMMYFUNCTION("""COMPUTED_VALUE"""),8)</f>
        <v>8</v>
      </c>
    </row>
    <row r="151" spans="1:7" ht="12.75">
      <c r="A151" t="str">
        <f ca="1">IFERROR(__xludf.DUMMYFUNCTION("""COMPUTED_VALUE"""),"T132")</f>
        <v>T132</v>
      </c>
      <c r="B151" t="str">
        <f ca="1">IFERROR(__xludf.DUMMYFUNCTION("""COMPUTED_VALUE"""),"T117")</f>
        <v>T117</v>
      </c>
      <c r="C151" t="str">
        <f ca="1">IFERROR(__xludf.DUMMYFUNCTION("""COMPUTED_VALUE"""),"Willy Pumarol")</f>
        <v>Willy Pumarol</v>
      </c>
      <c r="D151">
        <f ca="1">IFERROR(__xludf.DUMMYFUNCTION("""COMPUTED_VALUE"""),4)</f>
        <v>4</v>
      </c>
      <c r="E151">
        <f ca="1">IFERROR(__xludf.DUMMYFUNCTION("""COMPUTED_VALUE"""),50)</f>
        <v>50</v>
      </c>
      <c r="F151">
        <f ca="1">IFERROR(__xludf.DUMMYFUNCTION("""COMPUTED_VALUE"""),2)</f>
        <v>2</v>
      </c>
      <c r="G151">
        <f ca="1">IFERROR(__xludf.DUMMYFUNCTION("""COMPUTED_VALUE"""),4)</f>
        <v>4</v>
      </c>
    </row>
    <row r="152" spans="1:7" ht="12.75">
      <c r="A152" t="str">
        <f ca="1">IFERROR(__xludf.DUMMYFUNCTION("""COMPUTED_VALUE"""),"T132")</f>
        <v>T132</v>
      </c>
      <c r="B152" t="str">
        <f ca="1">IFERROR(__xludf.DUMMYFUNCTION("""COMPUTED_VALUE"""),"T117")</f>
        <v>T117</v>
      </c>
      <c r="C152" t="str">
        <f ca="1">IFERROR(__xludf.DUMMYFUNCTION("""COMPUTED_VALUE"""),"Andy Zhang")</f>
        <v>Andy Zhang</v>
      </c>
      <c r="D152">
        <f ca="1">IFERROR(__xludf.DUMMYFUNCTION("""COMPUTED_VALUE"""),4)</f>
        <v>4</v>
      </c>
      <c r="E152">
        <f ca="1">IFERROR(__xludf.DUMMYFUNCTION("""COMPUTED_VALUE"""),50)</f>
        <v>50</v>
      </c>
      <c r="F152">
        <f ca="1">IFERROR(__xludf.DUMMYFUNCTION("""COMPUTED_VALUE"""),2)</f>
        <v>2</v>
      </c>
      <c r="G152">
        <f ca="1">IFERROR(__xludf.DUMMYFUNCTION("""COMPUTED_VALUE"""),4)</f>
        <v>4</v>
      </c>
    </row>
    <row r="153" spans="1:7" ht="12.75">
      <c r="A153" t="str">
        <f ca="1">IFERROR(__xludf.DUMMYFUNCTION("""COMPUTED_VALUE"""),"T132")</f>
        <v>T132</v>
      </c>
      <c r="B153" t="str">
        <f ca="1">IFERROR(__xludf.DUMMYFUNCTION("""COMPUTED_VALUE"""),"T117")</f>
        <v>T117</v>
      </c>
      <c r="C153" t="str">
        <f ca="1">IFERROR(__xludf.DUMMYFUNCTION("""COMPUTED_VALUE"""),"Lucas Herbert")</f>
        <v>Lucas Herbert</v>
      </c>
      <c r="D153">
        <f ca="1">IFERROR(__xludf.DUMMYFUNCTION("""COMPUTED_VALUE"""),4)</f>
        <v>4</v>
      </c>
      <c r="E153">
        <f ca="1">IFERROR(__xludf.DUMMYFUNCTION("""COMPUTED_VALUE"""),50)</f>
        <v>50</v>
      </c>
      <c r="F153">
        <f ca="1">IFERROR(__xludf.DUMMYFUNCTION("""COMPUTED_VALUE"""),5)</f>
        <v>5</v>
      </c>
      <c r="G153">
        <f ca="1">IFERROR(__xludf.DUMMYFUNCTION("""COMPUTED_VALUE"""),10)</f>
        <v>10</v>
      </c>
    </row>
    <row r="154" spans="1:7" ht="12.75">
      <c r="A154" t="str">
        <f ca="1">IFERROR(__xludf.DUMMYFUNCTION("""COMPUTED_VALUE"""),"T132")</f>
        <v>T132</v>
      </c>
      <c r="B154" t="str">
        <f ca="1">IFERROR(__xludf.DUMMYFUNCTION("""COMPUTED_VALUE"""),"T117")</f>
        <v>T117</v>
      </c>
      <c r="C154" t="str">
        <f ca="1">IFERROR(__xludf.DUMMYFUNCTION("""COMPUTED_VALUE"""),"J.J. Spaun")</f>
        <v>J.J. Spaun</v>
      </c>
      <c r="D154">
        <f ca="1">IFERROR(__xludf.DUMMYFUNCTION("""COMPUTED_VALUE"""),10)</f>
        <v>10</v>
      </c>
      <c r="E154">
        <f ca="1">IFERROR(__xludf.DUMMYFUNCTION("""COMPUTED_VALUE"""),50)</f>
        <v>50</v>
      </c>
      <c r="F154">
        <f ca="1">IFERROR(__xludf.DUMMYFUNCTION("""COMPUTED_VALUE"""),2)</f>
        <v>2</v>
      </c>
      <c r="G154">
        <f ca="1">IFERROR(__xludf.DUMMYFUNCTION("""COMPUTED_VALUE"""),4)</f>
        <v>4</v>
      </c>
    </row>
    <row r="155" spans="1:7" ht="12.75">
      <c r="A155" t="str">
        <f ca="1">IFERROR(__xludf.DUMMYFUNCTION("""COMPUTED_VALUE"""),"T132")</f>
        <v>T132</v>
      </c>
      <c r="B155" t="str">
        <f ca="1">IFERROR(__xludf.DUMMYFUNCTION("""COMPUTED_VALUE"""),"T240")</f>
        <v>T240</v>
      </c>
      <c r="C155" t="str">
        <f ca="1">IFERROR(__xludf.DUMMYFUNCTION("""COMPUTED_VALUE"""),"Erik van Rooyen")</f>
        <v>Erik van Rooyen</v>
      </c>
      <c r="D155">
        <f ca="1">IFERROR(__xludf.DUMMYFUNCTION("""COMPUTED_VALUE"""),10)</f>
        <v>10</v>
      </c>
      <c r="E155">
        <f ca="1">IFERROR(__xludf.DUMMYFUNCTION("""COMPUTED_VALUE"""),50)</f>
        <v>50</v>
      </c>
      <c r="F155">
        <f ca="1">IFERROR(__xludf.DUMMYFUNCTION("""COMPUTED_VALUE"""),5)</f>
        <v>5</v>
      </c>
      <c r="G155">
        <f ca="1">IFERROR(__xludf.DUMMYFUNCTION("""COMPUTED_VALUE"""),10)</f>
        <v>10</v>
      </c>
    </row>
    <row r="156" spans="1:7" ht="12.75">
      <c r="A156" t="str">
        <f ca="1">IFERROR(__xludf.DUMMYFUNCTION("""COMPUTED_VALUE"""),"T132")</f>
        <v>T132</v>
      </c>
      <c r="B156" t="str">
        <f ca="1">IFERROR(__xludf.DUMMYFUNCTION("""COMPUTED_VALUE"""),"T117")</f>
        <v>T117</v>
      </c>
      <c r="C156" t="str">
        <f ca="1">IFERROR(__xludf.DUMMYFUNCTION("""COMPUTED_VALUE"""),"Dominic Bozzelli")</f>
        <v>Dominic Bozzelli</v>
      </c>
      <c r="D156">
        <f ca="1">IFERROR(__xludf.DUMMYFUNCTION("""COMPUTED_VALUE"""),8)</f>
        <v>8</v>
      </c>
      <c r="E156">
        <f ca="1">IFERROR(__xludf.DUMMYFUNCTION("""COMPUTED_VALUE"""),50)</f>
        <v>50</v>
      </c>
      <c r="F156">
        <f ca="1">IFERROR(__xludf.DUMMYFUNCTION("""COMPUTED_VALUE"""),4)</f>
        <v>4</v>
      </c>
      <c r="G156">
        <f ca="1">IFERROR(__xludf.DUMMYFUNCTION("""COMPUTED_VALUE"""),8)</f>
        <v>8</v>
      </c>
    </row>
    <row r="157" spans="1:7" ht="12.75">
      <c r="A157" t="str">
        <f ca="1">IFERROR(__xludf.DUMMYFUNCTION("""COMPUTED_VALUE"""),"T132")</f>
        <v>T132</v>
      </c>
      <c r="B157" t="str">
        <f ca="1">IFERROR(__xludf.DUMMYFUNCTION("""COMPUTED_VALUE"""),"T85")</f>
        <v>T85</v>
      </c>
      <c r="C157" t="str">
        <f ca="1">IFERROR(__xludf.DUMMYFUNCTION("""COMPUTED_VALUE"""),"Scottie Scheffler")</f>
        <v>Scottie Scheffler</v>
      </c>
      <c r="D157">
        <f ca="1">IFERROR(__xludf.DUMMYFUNCTION("""COMPUTED_VALUE"""),18)</f>
        <v>18</v>
      </c>
      <c r="E157">
        <f ca="1">IFERROR(__xludf.DUMMYFUNCTION("""COMPUTED_VALUE"""),50)</f>
        <v>50</v>
      </c>
      <c r="F157">
        <f ca="1">IFERROR(__xludf.DUMMYFUNCTION("""COMPUTED_VALUE"""),6)</f>
        <v>6</v>
      </c>
      <c r="G157">
        <f ca="1">IFERROR(__xludf.DUMMYFUNCTION("""COMPUTED_VALUE"""),12)</f>
        <v>12</v>
      </c>
    </row>
    <row r="158" spans="1:7" ht="12.75">
      <c r="A158" t="str">
        <f ca="1">IFERROR(__xludf.DUMMYFUNCTION("""COMPUTED_VALUE"""),"T132")</f>
        <v>T132</v>
      </c>
      <c r="B158" t="str">
        <f ca="1">IFERROR(__xludf.DUMMYFUNCTION("""COMPUTED_VALUE"""),"T117")</f>
        <v>T117</v>
      </c>
      <c r="C158" t="str">
        <f ca="1">IFERROR(__xludf.DUMMYFUNCTION("""COMPUTED_VALUE"""),"Jaekyeong Lee")</f>
        <v>Jaekyeong Lee</v>
      </c>
      <c r="D158">
        <f ca="1">IFERROR(__xludf.DUMMYFUNCTION("""COMPUTED_VALUE"""),4)</f>
        <v>4</v>
      </c>
      <c r="E158">
        <f ca="1">IFERROR(__xludf.DUMMYFUNCTION("""COMPUTED_VALUE"""),50)</f>
        <v>50</v>
      </c>
      <c r="F158">
        <f ca="1">IFERROR(__xludf.DUMMYFUNCTION("""COMPUTED_VALUE"""),1)</f>
        <v>1</v>
      </c>
      <c r="G158">
        <f ca="1">IFERROR(__xludf.DUMMYFUNCTION("""COMPUTED_VALUE"""),2)</f>
        <v>2</v>
      </c>
    </row>
    <row r="159" spans="1:7" ht="12.75">
      <c r="A159" t="str">
        <f ca="1">IFERROR(__xludf.DUMMYFUNCTION("""COMPUTED_VALUE"""),"T132")</f>
        <v>T132</v>
      </c>
      <c r="B159" t="str">
        <f ca="1">IFERROR(__xludf.DUMMYFUNCTION("""COMPUTED_VALUE"""),"T117")</f>
        <v>T117</v>
      </c>
      <c r="C159" t="str">
        <f ca="1">IFERROR(__xludf.DUMMYFUNCTION("""COMPUTED_VALUE"""),"Hanbyeol Kim")</f>
        <v>Hanbyeol Kim</v>
      </c>
      <c r="D159">
        <f ca="1">IFERROR(__xludf.DUMMYFUNCTION("""COMPUTED_VALUE"""),4)</f>
        <v>4</v>
      </c>
      <c r="E159">
        <f ca="1">IFERROR(__xludf.DUMMYFUNCTION("""COMPUTED_VALUE"""),50)</f>
        <v>50</v>
      </c>
      <c r="F159">
        <f ca="1">IFERROR(__xludf.DUMMYFUNCTION("""COMPUTED_VALUE"""),1)</f>
        <v>1</v>
      </c>
      <c r="G159">
        <f ca="1">IFERROR(__xludf.DUMMYFUNCTION("""COMPUTED_VALUE"""),2)</f>
        <v>2</v>
      </c>
    </row>
    <row r="160" spans="1:7" ht="12.75">
      <c r="A160" t="str">
        <f ca="1">IFERROR(__xludf.DUMMYFUNCTION("""COMPUTED_VALUE"""),"T132")</f>
        <v>T132</v>
      </c>
      <c r="B160" t="str">
        <f ca="1">IFERROR(__xludf.DUMMYFUNCTION("""COMPUTED_VALUE"""),"T117")</f>
        <v>T117</v>
      </c>
      <c r="C160" t="str">
        <f ca="1">IFERROR(__xludf.DUMMYFUNCTION("""COMPUTED_VALUE"""),"Michael Gellerman")</f>
        <v>Michael Gellerman</v>
      </c>
      <c r="D160">
        <f ca="1">IFERROR(__xludf.DUMMYFUNCTION("""COMPUTED_VALUE"""),5)</f>
        <v>5</v>
      </c>
      <c r="E160">
        <f ca="1">IFERROR(__xludf.DUMMYFUNCTION("""COMPUTED_VALUE"""),50)</f>
        <v>50</v>
      </c>
      <c r="F160">
        <f ca="1">IFERROR(__xludf.DUMMYFUNCTION("""COMPUTED_VALUE"""),5)</f>
        <v>5</v>
      </c>
      <c r="G160">
        <f ca="1">IFERROR(__xludf.DUMMYFUNCTION("""COMPUTED_VALUE"""),10)</f>
        <v>10</v>
      </c>
    </row>
    <row r="161" spans="1:7" ht="12.75">
      <c r="A161" t="str">
        <f ca="1">IFERROR(__xludf.DUMMYFUNCTION("""COMPUTED_VALUE"""),"T132")</f>
        <v>T132</v>
      </c>
      <c r="B161" t="str">
        <f ca="1">IFERROR(__xludf.DUMMYFUNCTION("""COMPUTED_VALUE"""),"T117")</f>
        <v>T117</v>
      </c>
      <c r="C161" t="str">
        <f ca="1">IFERROR(__xludf.DUMMYFUNCTION("""COMPUTED_VALUE"""),"Seonghyeon Kim")</f>
        <v>Seonghyeon Kim</v>
      </c>
      <c r="D161">
        <f ca="1">IFERROR(__xludf.DUMMYFUNCTION("""COMPUTED_VALUE"""),4)</f>
        <v>4</v>
      </c>
      <c r="E161">
        <f ca="1">IFERROR(__xludf.DUMMYFUNCTION("""COMPUTED_VALUE"""),50)</f>
        <v>50</v>
      </c>
      <c r="F161">
        <f ca="1">IFERROR(__xludf.DUMMYFUNCTION("""COMPUTED_VALUE"""),1)</f>
        <v>1</v>
      </c>
      <c r="G161">
        <f ca="1">IFERROR(__xludf.DUMMYFUNCTION("""COMPUTED_VALUE"""),2)</f>
        <v>2</v>
      </c>
    </row>
    <row r="162" spans="1:7" ht="12.75">
      <c r="A162" t="str">
        <f ca="1">IFERROR(__xludf.DUMMYFUNCTION("""COMPUTED_VALUE"""),"T132")</f>
        <v>T132</v>
      </c>
      <c r="B162" t="str">
        <f ca="1">IFERROR(__xludf.DUMMYFUNCTION("""COMPUTED_VALUE"""),"T117")</f>
        <v>T117</v>
      </c>
      <c r="C162" t="str">
        <f ca="1">IFERROR(__xludf.DUMMYFUNCTION("""COMPUTED_VALUE"""),"Stephen Stallings Jr.")</f>
        <v>Stephen Stallings Jr.</v>
      </c>
      <c r="D162">
        <f ca="1">IFERROR(__xludf.DUMMYFUNCTION("""COMPUTED_VALUE"""),4)</f>
        <v>4</v>
      </c>
      <c r="E162">
        <f ca="1">IFERROR(__xludf.DUMMYFUNCTION("""COMPUTED_VALUE"""),50)</f>
        <v>50</v>
      </c>
      <c r="F162">
        <f ca="1">IFERROR(__xludf.DUMMYFUNCTION("""COMPUTED_VALUE"""),1)</f>
        <v>1</v>
      </c>
      <c r="G162">
        <f ca="1">IFERROR(__xludf.DUMMYFUNCTION("""COMPUTED_VALUE"""),2)</f>
        <v>2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IFERROR(__xludf.DUMMYFUNCTION("""COMPUTED_VALUE"""),115)</f>
        <v>115</v>
      </c>
      <c r="C163" t="str">
        <f ca="1">IFERROR(__xludf.DUMMYFUNCTION("""COMPUTED_VALUE"""),"Mark Hubbard")</f>
        <v>Mark Hubbard</v>
      </c>
      <c r="D163">
        <f ca="1">IFERROR(__xludf.DUMMYFUNCTION("""COMPUTED_VALUE"""),20)</f>
        <v>20</v>
      </c>
      <c r="E163">
        <f ca="1">IFERROR(__xludf.DUMMYFUNCTION("""COMPUTED_VALUE"""),47.62)</f>
        <v>47.62</v>
      </c>
      <c r="F163">
        <f ca="1">IFERROR(__xludf.DUMMYFUNCTION("""COMPUTED_VALUE"""),10)</f>
        <v>10</v>
      </c>
      <c r="G163">
        <f ca="1">IFERROR(__xludf.DUMMYFUNCTION("""COMPUTED_VALUE"""),21)</f>
        <v>21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IFERROR(__xludf.DUMMYFUNCTION("""COMPUTED_VALUE"""),"T177")</f>
        <v>T177</v>
      </c>
      <c r="C164" t="str">
        <f ca="1">IFERROR(__xludf.DUMMYFUNCTION("""COMPUTED_VALUE"""),"Brandt Snedeker")</f>
        <v>Brandt Snedeker</v>
      </c>
      <c r="D164">
        <f ca="1">IFERROR(__xludf.DUMMYFUNCTION("""COMPUTED_VALUE"""),16)</f>
        <v>16</v>
      </c>
      <c r="E164">
        <f ca="1">IFERROR(__xludf.DUMMYFUNCTION("""COMPUTED_VALUE"""),47.37)</f>
        <v>47.37</v>
      </c>
      <c r="F164">
        <f ca="1">IFERROR(__xludf.DUMMYFUNCTION("""COMPUTED_VALUE"""),9)</f>
        <v>9</v>
      </c>
      <c r="G164">
        <f ca="1">IFERROR(__xludf.DUMMYFUNCTION("""COMPUTED_VALUE"""),19)</f>
        <v>19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IFERROR(__xludf.DUMMYFUNCTION("""COMPUTED_VALUE"""),"T218")</f>
        <v>T218</v>
      </c>
      <c r="C165" t="str">
        <f ca="1">IFERROR(__xludf.DUMMYFUNCTION("""COMPUTED_VALUE"""),"Mackenzie Hughes")</f>
        <v>Mackenzie Hughes</v>
      </c>
      <c r="D165">
        <f ca="1">IFERROR(__xludf.DUMMYFUNCTION("""COMPUTED_VALUE"""),18)</f>
        <v>18</v>
      </c>
      <c r="E165">
        <f ca="1">IFERROR(__xludf.DUMMYFUNCTION("""COMPUTED_VALUE"""),47.37)</f>
        <v>47.37</v>
      </c>
      <c r="F165">
        <f ca="1">IFERROR(__xludf.DUMMYFUNCTION("""COMPUTED_VALUE"""),9)</f>
        <v>9</v>
      </c>
      <c r="G165">
        <f ca="1">IFERROR(__xludf.DUMMYFUNCTION("""COMPUTED_VALUE"""),19)</f>
        <v>19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IFERROR(__xludf.DUMMYFUNCTION("""COMPUTED_VALUE"""),"T117")</f>
        <v>T117</v>
      </c>
      <c r="C166" t="str">
        <f ca="1">IFERROR(__xludf.DUMMYFUNCTION("""COMPUTED_VALUE"""),"Cameron Tringale")</f>
        <v>Cameron Tringale</v>
      </c>
      <c r="D166">
        <f ca="1">IFERROR(__xludf.DUMMYFUNCTION("""COMPUTED_VALUE"""),16)</f>
        <v>16</v>
      </c>
      <c r="E166">
        <f ca="1">IFERROR(__xludf.DUMMYFUNCTION("""COMPUTED_VALUE"""),47.06)</f>
        <v>47.06</v>
      </c>
      <c r="F166">
        <f ca="1">IFERROR(__xludf.DUMMYFUNCTION("""COMPUTED_VALUE"""),8)</f>
        <v>8</v>
      </c>
      <c r="G166">
        <f ca="1">IFERROR(__xludf.DUMMYFUNCTION("""COMPUTED_VALUE"""),17)</f>
        <v>17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IFERROR(__xludf.DUMMYFUNCTION("""COMPUTED_VALUE"""),"T159")</f>
        <v>T159</v>
      </c>
      <c r="C167" t="str">
        <f ca="1">IFERROR(__xludf.DUMMYFUNCTION("""COMPUTED_VALUE"""),"Chase Seiffert")</f>
        <v>Chase Seiffert</v>
      </c>
      <c r="D167">
        <f ca="1">IFERROR(__xludf.DUMMYFUNCTION("""COMPUTED_VALUE"""),14)</f>
        <v>14</v>
      </c>
      <c r="E167">
        <f ca="1">IFERROR(__xludf.DUMMYFUNCTION("""COMPUTED_VALUE"""),47.06)</f>
        <v>47.06</v>
      </c>
      <c r="F167">
        <f ca="1">IFERROR(__xludf.DUMMYFUNCTION("""COMPUTED_VALUE"""),8)</f>
        <v>8</v>
      </c>
      <c r="G167">
        <f ca="1">IFERROR(__xludf.DUMMYFUNCTION("""COMPUTED_VALUE"""),17)</f>
        <v>17</v>
      </c>
    </row>
    <row r="168" spans="1:7" ht="12.75">
      <c r="A168" t="str">
        <f ca="1">IFERROR(__xludf.DUMMYFUNCTION("""COMPUTED_VALUE"""),"T167")</f>
        <v>T167</v>
      </c>
      <c r="B168" t="str">
        <f ca="1">IFERROR(__xludf.DUMMYFUNCTION("""COMPUTED_VALUE"""),"T177")</f>
        <v>T177</v>
      </c>
      <c r="C168" t="str">
        <f ca="1">IFERROR(__xludf.DUMMYFUNCTION("""COMPUTED_VALUE"""),"Hudson Swafford")</f>
        <v>Hudson Swafford</v>
      </c>
      <c r="D168">
        <f ca="1">IFERROR(__xludf.DUMMYFUNCTION("""COMPUTED_VALUE"""),18)</f>
        <v>18</v>
      </c>
      <c r="E168">
        <f ca="1">IFERROR(__xludf.DUMMYFUNCTION("""COMPUTED_VALUE"""),46.67)</f>
        <v>46.67</v>
      </c>
      <c r="F168">
        <f ca="1">IFERROR(__xludf.DUMMYFUNCTION("""COMPUTED_VALUE"""),7)</f>
        <v>7</v>
      </c>
      <c r="G168">
        <f ca="1">IFERROR(__xludf.DUMMYFUNCTION("""COMPUTED_VALUE"""),15)</f>
        <v>15</v>
      </c>
    </row>
    <row r="169" spans="1:7" ht="12.75">
      <c r="A169" t="str">
        <f ca="1">IFERROR(__xludf.DUMMYFUNCTION("""COMPUTED_VALUE"""),"T167")</f>
        <v>T167</v>
      </c>
      <c r="B169" t="str">
        <f ca="1">IFERROR(__xludf.DUMMYFUNCTION("""COMPUTED_VALUE"""),"T117")</f>
        <v>T117</v>
      </c>
      <c r="C169" t="str">
        <f ca="1">IFERROR(__xludf.DUMMYFUNCTION("""COMPUTED_VALUE"""),"Cameron Davis")</f>
        <v>Cameron Davis</v>
      </c>
      <c r="D169">
        <f ca="1">IFERROR(__xludf.DUMMYFUNCTION("""COMPUTED_VALUE"""),16)</f>
        <v>16</v>
      </c>
      <c r="E169">
        <f ca="1">IFERROR(__xludf.DUMMYFUNCTION("""COMPUTED_VALUE"""),46.67)</f>
        <v>46.67</v>
      </c>
      <c r="F169">
        <f ca="1">IFERROR(__xludf.DUMMYFUNCTION("""COMPUTED_VALUE"""),7)</f>
        <v>7</v>
      </c>
      <c r="G169">
        <f ca="1">IFERROR(__xludf.DUMMYFUNCTION("""COMPUTED_VALUE"""),15)</f>
        <v>15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IFERROR(__xludf.DUMMYFUNCTION("""COMPUTED_VALUE"""),"T162")</f>
        <v>T162</v>
      </c>
      <c r="C170" t="str">
        <f ca="1">IFERROR(__xludf.DUMMYFUNCTION("""COMPUTED_VALUE"""),"Cameron Champ")</f>
        <v>Cameron Champ</v>
      </c>
      <c r="D170">
        <f ca="1">IFERROR(__xludf.DUMMYFUNCTION("""COMPUTED_VALUE"""),12)</f>
        <v>12</v>
      </c>
      <c r="E170">
        <f ca="1">IFERROR(__xludf.DUMMYFUNCTION("""COMPUTED_VALUE"""),46.15)</f>
        <v>46.15</v>
      </c>
      <c r="F170">
        <f ca="1">IFERROR(__xludf.DUMMYFUNCTION("""COMPUTED_VALUE"""),6)</f>
        <v>6</v>
      </c>
      <c r="G170">
        <f ca="1">IFERROR(__xludf.DUMMYFUNCTION("""COMPUTED_VALUE"""),13)</f>
        <v>13</v>
      </c>
    </row>
    <row r="171" spans="1:7" ht="12.75">
      <c r="A171" t="str">
        <f ca="1">IFERROR(__xludf.DUMMYFUNCTION("""COMPUTED_VALUE"""),"T170")</f>
        <v>T170</v>
      </c>
      <c r="B171" t="str">
        <f ca="1">IFERROR(__xludf.DUMMYFUNCTION("""COMPUTED_VALUE"""),"T164")</f>
        <v>T164</v>
      </c>
      <c r="C171" t="str">
        <f ca="1">IFERROR(__xludf.DUMMYFUNCTION("""COMPUTED_VALUE"""),"Ricky Barnes")</f>
        <v>Ricky Barnes</v>
      </c>
      <c r="D171">
        <f ca="1">IFERROR(__xludf.DUMMYFUNCTION("""COMPUTED_VALUE"""),12)</f>
        <v>12</v>
      </c>
      <c r="E171">
        <f ca="1">IFERROR(__xludf.DUMMYFUNCTION("""COMPUTED_VALUE"""),45.45)</f>
        <v>45.45</v>
      </c>
      <c r="F171">
        <f ca="1">IFERROR(__xludf.DUMMYFUNCTION("""COMPUTED_VALUE"""),5)</f>
        <v>5</v>
      </c>
      <c r="G171">
        <f ca="1">IFERROR(__xludf.DUMMYFUNCTION("""COMPUTED_VALUE"""),11)</f>
        <v>11</v>
      </c>
    </row>
    <row r="172" spans="1:7" ht="12.75">
      <c r="A172" t="str">
        <f ca="1">IFERROR(__xludf.DUMMYFUNCTION("""COMPUTED_VALUE"""),"T170")</f>
        <v>T170</v>
      </c>
      <c r="B172" t="str">
        <f ca="1">IFERROR(__xludf.DUMMYFUNCTION("""COMPUTED_VALUE"""),"T164")</f>
        <v>T164</v>
      </c>
      <c r="C172" t="str">
        <f ca="1">IFERROR(__xludf.DUMMYFUNCTION("""COMPUTED_VALUE"""),"Roger Sloan")</f>
        <v>Roger Sloan</v>
      </c>
      <c r="D172">
        <f ca="1">IFERROR(__xludf.DUMMYFUNCTION("""COMPUTED_VALUE"""),12)</f>
        <v>12</v>
      </c>
      <c r="E172">
        <f ca="1">IFERROR(__xludf.DUMMYFUNCTION("""COMPUTED_VALUE"""),45.45)</f>
        <v>45.45</v>
      </c>
      <c r="F172">
        <f ca="1">IFERROR(__xludf.DUMMYFUNCTION("""COMPUTED_VALUE"""),5)</f>
        <v>5</v>
      </c>
      <c r="G172">
        <f ca="1">IFERROR(__xludf.DUMMYFUNCTION("""COMPUTED_VALUE"""),11)</f>
        <v>11</v>
      </c>
    </row>
    <row r="173" spans="1:7" ht="12.75">
      <c r="A173" t="str">
        <f ca="1">IFERROR(__xludf.DUMMYFUNCTION("""COMPUTED_VALUE"""),"T170")</f>
        <v>T170</v>
      </c>
      <c r="B173" t="str">
        <f ca="1">IFERROR(__xludf.DUMMYFUNCTION("""COMPUTED_VALUE"""),"T168")</f>
        <v>T168</v>
      </c>
      <c r="C173" t="str">
        <f ca="1">IFERROR(__xludf.DUMMYFUNCTION("""COMPUTED_VALUE"""),"Aaron Wise")</f>
        <v>Aaron Wise</v>
      </c>
      <c r="D173">
        <f ca="1">IFERROR(__xludf.DUMMYFUNCTION("""COMPUTED_VALUE"""),16)</f>
        <v>16</v>
      </c>
      <c r="E173">
        <f ca="1">IFERROR(__xludf.DUMMYFUNCTION("""COMPUTED_VALUE"""),45.45)</f>
        <v>45.45</v>
      </c>
      <c r="F173">
        <f ca="1">IFERROR(__xludf.DUMMYFUNCTION("""COMPUTED_VALUE"""),5)</f>
        <v>5</v>
      </c>
      <c r="G173">
        <f ca="1">IFERROR(__xludf.DUMMYFUNCTION("""COMPUTED_VALUE"""),11)</f>
        <v>11</v>
      </c>
    </row>
    <row r="174" spans="1:7" ht="12.75">
      <c r="A174" t="str">
        <f ca="1">IFERROR(__xludf.DUMMYFUNCTION("""COMPUTED_VALUE"""),"T170")</f>
        <v>T170</v>
      </c>
      <c r="B174" t="str">
        <f ca="1">IFERROR(__xludf.DUMMYFUNCTION("""COMPUTED_VALUE"""),"T164")</f>
        <v>T164</v>
      </c>
      <c r="C174" t="str">
        <f ca="1">IFERROR(__xludf.DUMMYFUNCTION("""COMPUTED_VALUE"""),"Joohyung Kim")</f>
        <v>Joohyung Kim</v>
      </c>
      <c r="D174">
        <f ca="1">IFERROR(__xludf.DUMMYFUNCTION("""COMPUTED_VALUE"""),12)</f>
        <v>12</v>
      </c>
      <c r="E174">
        <f ca="1">IFERROR(__xludf.DUMMYFUNCTION("""COMPUTED_VALUE"""),45.45)</f>
        <v>45.45</v>
      </c>
      <c r="F174">
        <f ca="1">IFERROR(__xludf.DUMMYFUNCTION("""COMPUTED_VALUE"""),5)</f>
        <v>5</v>
      </c>
      <c r="G174">
        <f ca="1">IFERROR(__xludf.DUMMYFUNCTION("""COMPUTED_VALUE"""),11)</f>
        <v>11</v>
      </c>
    </row>
    <row r="175" spans="1:7" ht="12.75">
      <c r="A175" t="str">
        <f ca="1">IFERROR(__xludf.DUMMYFUNCTION("""COMPUTED_VALUE"""),"T174")</f>
        <v>T174</v>
      </c>
      <c r="B175" t="str">
        <f ca="1">IFERROR(__xludf.DUMMYFUNCTION("""COMPUTED_VALUE"""),"T190")</f>
        <v>T190</v>
      </c>
      <c r="C175" t="str">
        <f ca="1">IFERROR(__xludf.DUMMYFUNCTION("""COMPUTED_VALUE"""),"Chris Kirk")</f>
        <v>Chris Kirk</v>
      </c>
      <c r="D175">
        <f ca="1">IFERROR(__xludf.DUMMYFUNCTION("""COMPUTED_VALUE"""),10)</f>
        <v>10</v>
      </c>
      <c r="E175">
        <f ca="1">IFERROR(__xludf.DUMMYFUNCTION("""COMPUTED_VALUE"""),44.44)</f>
        <v>44.44</v>
      </c>
      <c r="F175">
        <f ca="1">IFERROR(__xludf.DUMMYFUNCTION("""COMPUTED_VALUE"""),4)</f>
        <v>4</v>
      </c>
      <c r="G175">
        <f ca="1">IFERROR(__xludf.DUMMYFUNCTION("""COMPUTED_VALUE"""),9)</f>
        <v>9</v>
      </c>
    </row>
    <row r="176" spans="1:7" ht="12.75">
      <c r="A176" t="str">
        <f ca="1">IFERROR(__xludf.DUMMYFUNCTION("""COMPUTED_VALUE"""),"T174")</f>
        <v>T174</v>
      </c>
      <c r="B176">
        <f ca="1">IFERROR(__xludf.DUMMYFUNCTION("""COMPUTED_VALUE"""),189)</f>
        <v>189</v>
      </c>
      <c r="C176" t="str">
        <f ca="1">IFERROR(__xludf.DUMMYFUNCTION("""COMPUTED_VALUE"""),"Troy Merritt")</f>
        <v>Troy Merritt</v>
      </c>
      <c r="D176">
        <f ca="1">IFERROR(__xludf.DUMMYFUNCTION("""COMPUTED_VALUE"""),20)</f>
        <v>20</v>
      </c>
      <c r="E176">
        <f ca="1">IFERROR(__xludf.DUMMYFUNCTION("""COMPUTED_VALUE"""),44.44)</f>
        <v>44.44</v>
      </c>
      <c r="F176">
        <f ca="1">IFERROR(__xludf.DUMMYFUNCTION("""COMPUTED_VALUE"""),8)</f>
        <v>8</v>
      </c>
      <c r="G176">
        <f ca="1">IFERROR(__xludf.DUMMYFUNCTION("""COMPUTED_VALUE"""),18)</f>
        <v>18</v>
      </c>
    </row>
    <row r="177" spans="1:7" ht="12.75">
      <c r="A177" t="str">
        <f ca="1">IFERROR(__xludf.DUMMYFUNCTION("""COMPUTED_VALUE"""),"T174")</f>
        <v>T174</v>
      </c>
      <c r="B177" t="str">
        <f ca="1">IFERROR(__xludf.DUMMYFUNCTION("""COMPUTED_VALUE"""),"T109")</f>
        <v>T109</v>
      </c>
      <c r="C177" t="str">
        <f ca="1">IFERROR(__xludf.DUMMYFUNCTION("""COMPUTED_VALUE"""),"Bo Hoag")</f>
        <v>Bo Hoag</v>
      </c>
      <c r="D177">
        <f ca="1">IFERROR(__xludf.DUMMYFUNCTION("""COMPUTED_VALUE"""),14)</f>
        <v>14</v>
      </c>
      <c r="E177">
        <f ca="1">IFERROR(__xludf.DUMMYFUNCTION("""COMPUTED_VALUE"""),44.44)</f>
        <v>44.44</v>
      </c>
      <c r="F177">
        <f ca="1">IFERROR(__xludf.DUMMYFUNCTION("""COMPUTED_VALUE"""),8)</f>
        <v>8</v>
      </c>
      <c r="G177">
        <f ca="1">IFERROR(__xludf.DUMMYFUNCTION("""COMPUTED_VALUE"""),18)</f>
        <v>18</v>
      </c>
    </row>
    <row r="178" spans="1:7" ht="12.75">
      <c r="A178" t="str">
        <f ca="1">IFERROR(__xludf.DUMMYFUNCTION("""COMPUTED_VALUE"""),"T174")</f>
        <v>T174</v>
      </c>
      <c r="B178" t="str">
        <f ca="1">IFERROR(__xludf.DUMMYFUNCTION("""COMPUTED_VALUE"""),"T168")</f>
        <v>T168</v>
      </c>
      <c r="C178" t="str">
        <f ca="1">IFERROR(__xludf.DUMMYFUNCTION("""COMPUTED_VALUE"""),"Jordan Spieth")</f>
        <v>Jordan Spieth</v>
      </c>
      <c r="D178">
        <f ca="1">IFERROR(__xludf.DUMMYFUNCTION("""COMPUTED_VALUE"""),14)</f>
        <v>14</v>
      </c>
      <c r="E178">
        <f ca="1">IFERROR(__xludf.DUMMYFUNCTION("""COMPUTED_VALUE"""),44.44)</f>
        <v>44.44</v>
      </c>
      <c r="F178">
        <f ca="1">IFERROR(__xludf.DUMMYFUNCTION("""COMPUTED_VALUE"""),4)</f>
        <v>4</v>
      </c>
      <c r="G178">
        <f ca="1">IFERROR(__xludf.DUMMYFUNCTION("""COMPUTED_VALUE"""),9)</f>
        <v>9</v>
      </c>
    </row>
    <row r="179" spans="1:7" ht="12.75">
      <c r="A179" t="str">
        <f ca="1">IFERROR(__xludf.DUMMYFUNCTION("""COMPUTED_VALUE"""),"T174")</f>
        <v>T174</v>
      </c>
      <c r="B179" t="str">
        <f ca="1">IFERROR(__xludf.DUMMYFUNCTION("""COMPUTED_VALUE"""),"T168")</f>
        <v>T168</v>
      </c>
      <c r="C179" t="str">
        <f ca="1">IFERROR(__xludf.DUMMYFUNCTION("""COMPUTED_VALUE"""),"Joseph Bramlett")</f>
        <v>Joseph Bramlett</v>
      </c>
      <c r="D179">
        <f ca="1">IFERROR(__xludf.DUMMYFUNCTION("""COMPUTED_VALUE"""),18)</f>
        <v>18</v>
      </c>
      <c r="E179">
        <f ca="1">IFERROR(__xludf.DUMMYFUNCTION("""COMPUTED_VALUE"""),44.44)</f>
        <v>44.44</v>
      </c>
      <c r="F179">
        <f ca="1">IFERROR(__xludf.DUMMYFUNCTION("""COMPUTED_VALUE"""),8)</f>
        <v>8</v>
      </c>
      <c r="G179">
        <f ca="1">IFERROR(__xludf.DUMMYFUNCTION("""COMPUTED_VALUE"""),18)</f>
        <v>18</v>
      </c>
    </row>
    <row r="180" spans="1:7" ht="12.75">
      <c r="A180" t="str">
        <f ca="1">IFERROR(__xludf.DUMMYFUNCTION("""COMPUTED_VALUE"""),"T174")</f>
        <v>T174</v>
      </c>
      <c r="B180" t="str">
        <f ca="1">IFERROR(__xludf.DUMMYFUNCTION("""COMPUTED_VALUE"""),"T168")</f>
        <v>T168</v>
      </c>
      <c r="C180" t="str">
        <f ca="1">IFERROR(__xludf.DUMMYFUNCTION("""COMPUTED_VALUE"""),"Tyler McCumber")</f>
        <v>Tyler McCumber</v>
      </c>
      <c r="D180">
        <f ca="1">IFERROR(__xludf.DUMMYFUNCTION("""COMPUTED_VALUE"""),14)</f>
        <v>14</v>
      </c>
      <c r="E180">
        <f ca="1">IFERROR(__xludf.DUMMYFUNCTION("""COMPUTED_VALUE"""),44.44)</f>
        <v>44.44</v>
      </c>
      <c r="F180">
        <f ca="1">IFERROR(__xludf.DUMMYFUNCTION("""COMPUTED_VALUE"""),4)</f>
        <v>4</v>
      </c>
      <c r="G180">
        <f ca="1">IFERROR(__xludf.DUMMYFUNCTION("""COMPUTED_VALUE"""),9)</f>
        <v>9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IFERROR(__xludf.DUMMYFUNCTION("""COMPUTED_VALUE"""),"T175")</f>
        <v>T175</v>
      </c>
      <c r="C181" t="str">
        <f ca="1">IFERROR(__xludf.DUMMYFUNCTION("""COMPUTED_VALUE"""),"Richy Werenski")</f>
        <v>Richy Werenski</v>
      </c>
      <c r="D181">
        <f ca="1">IFERROR(__xludf.DUMMYFUNCTION("""COMPUTED_VALUE"""),16)</f>
        <v>16</v>
      </c>
      <c r="E181">
        <f ca="1">IFERROR(__xludf.DUMMYFUNCTION("""COMPUTED_VALUE"""),43.75)</f>
        <v>43.75</v>
      </c>
      <c r="F181">
        <f ca="1">IFERROR(__xludf.DUMMYFUNCTION("""COMPUTED_VALUE"""),7)</f>
        <v>7</v>
      </c>
      <c r="G181">
        <f ca="1">IFERROR(__xludf.DUMMYFUNCTION("""COMPUTED_VALUE"""),16)</f>
        <v>16</v>
      </c>
    </row>
    <row r="182" spans="1:7" ht="12.75">
      <c r="A182" t="str">
        <f ca="1">IFERROR(__xludf.DUMMYFUNCTION("""COMPUTED_VALUE"""),"T181")</f>
        <v>T181</v>
      </c>
      <c r="B182" t="str">
        <f ca="1">IFERROR(__xludf.DUMMYFUNCTION("""COMPUTED_VALUE"""),"T235")</f>
        <v>T235</v>
      </c>
      <c r="C182" t="str">
        <f ca="1">IFERROR(__xludf.DUMMYFUNCTION("""COMPUTED_VALUE"""),"Zach Johnson")</f>
        <v>Zach Johnson</v>
      </c>
      <c r="D182">
        <f ca="1">IFERROR(__xludf.DUMMYFUNCTION("""COMPUTED_VALUE"""),16)</f>
        <v>16</v>
      </c>
      <c r="E182">
        <f ca="1">IFERROR(__xludf.DUMMYFUNCTION("""COMPUTED_VALUE"""),42.86)</f>
        <v>42.86</v>
      </c>
      <c r="F182">
        <f ca="1">IFERROR(__xludf.DUMMYFUNCTION("""COMPUTED_VALUE"""),6)</f>
        <v>6</v>
      </c>
      <c r="G182">
        <f ca="1">IFERROR(__xludf.DUMMYFUNCTION("""COMPUTED_VALUE"""),14)</f>
        <v>14</v>
      </c>
    </row>
    <row r="183" spans="1:7" ht="12.75">
      <c r="A183" t="str">
        <f ca="1">IFERROR(__xludf.DUMMYFUNCTION("""COMPUTED_VALUE"""),"T181")</f>
        <v>T181</v>
      </c>
      <c r="B183" t="str">
        <f ca="1">IFERROR(__xludf.DUMMYFUNCTION("""COMPUTED_VALUE"""),"T117")</f>
        <v>T117</v>
      </c>
      <c r="C183" t="str">
        <f ca="1">IFERROR(__xludf.DUMMYFUNCTION("""COMPUTED_VALUE"""),"David Hearn")</f>
        <v>David Hearn</v>
      </c>
      <c r="D183">
        <f ca="1">IFERROR(__xludf.DUMMYFUNCTION("""COMPUTED_VALUE"""),16)</f>
        <v>16</v>
      </c>
      <c r="E183">
        <f ca="1">IFERROR(__xludf.DUMMYFUNCTION("""COMPUTED_VALUE"""),42.86)</f>
        <v>42.86</v>
      </c>
      <c r="F183">
        <f ca="1">IFERROR(__xludf.DUMMYFUNCTION("""COMPUTED_VALUE"""),6)</f>
        <v>6</v>
      </c>
      <c r="G183">
        <f ca="1">IFERROR(__xludf.DUMMYFUNCTION("""COMPUTED_VALUE"""),14)</f>
        <v>14</v>
      </c>
    </row>
    <row r="184" spans="1:7" ht="12.75">
      <c r="A184" t="str">
        <f ca="1">IFERROR(__xludf.DUMMYFUNCTION("""COMPUTED_VALUE"""),"T181")</f>
        <v>T181</v>
      </c>
      <c r="B184" t="str">
        <f ca="1">IFERROR(__xludf.DUMMYFUNCTION("""COMPUTED_VALUE"""),"T177")</f>
        <v>T177</v>
      </c>
      <c r="C184" t="str">
        <f ca="1">IFERROR(__xludf.DUMMYFUNCTION("""COMPUTED_VALUE"""),"Chris Stroud")</f>
        <v>Chris Stroud</v>
      </c>
      <c r="D184">
        <f ca="1">IFERROR(__xludf.DUMMYFUNCTION("""COMPUTED_VALUE"""),6)</f>
        <v>6</v>
      </c>
      <c r="E184">
        <f ca="1">IFERROR(__xludf.DUMMYFUNCTION("""COMPUTED_VALUE"""),42.86)</f>
        <v>42.86</v>
      </c>
      <c r="F184">
        <f ca="1">IFERROR(__xludf.DUMMYFUNCTION("""COMPUTED_VALUE"""),3)</f>
        <v>3</v>
      </c>
      <c r="G184">
        <f ca="1">IFERROR(__xludf.DUMMYFUNCTION("""COMPUTED_VALUE"""),7)</f>
        <v>7</v>
      </c>
    </row>
    <row r="185" spans="1:7" ht="12.75">
      <c r="A185" t="str">
        <f ca="1">IFERROR(__xludf.DUMMYFUNCTION("""COMPUTED_VALUE"""),"T181")</f>
        <v>T181</v>
      </c>
      <c r="B185" t="str">
        <f ca="1">IFERROR(__xludf.DUMMYFUNCTION("""COMPUTED_VALUE"""),"T117")</f>
        <v>T117</v>
      </c>
      <c r="C185" t="str">
        <f ca="1">IFERROR(__xludf.DUMMYFUNCTION("""COMPUTED_VALUE"""),"Dustin Johnson")</f>
        <v>Dustin Johnson</v>
      </c>
      <c r="D185">
        <f ca="1">IFERROR(__xludf.DUMMYFUNCTION("""COMPUTED_VALUE"""),8)</f>
        <v>8</v>
      </c>
      <c r="E185">
        <f ca="1">IFERROR(__xludf.DUMMYFUNCTION("""COMPUTED_VALUE"""),42.86)</f>
        <v>42.86</v>
      </c>
      <c r="F185">
        <f ca="1">IFERROR(__xludf.DUMMYFUNCTION("""COMPUTED_VALUE"""),3)</f>
        <v>3</v>
      </c>
      <c r="G185">
        <f ca="1">IFERROR(__xludf.DUMMYFUNCTION("""COMPUTED_VALUE"""),7)</f>
        <v>7</v>
      </c>
    </row>
    <row r="186" spans="1:7" ht="12.75">
      <c r="A186" t="str">
        <f ca="1">IFERROR(__xludf.DUMMYFUNCTION("""COMPUTED_VALUE"""),"T181")</f>
        <v>T181</v>
      </c>
      <c r="B186" t="str">
        <f ca="1">IFERROR(__xludf.DUMMYFUNCTION("""COMPUTED_VALUE"""),"T211")</f>
        <v>T211</v>
      </c>
      <c r="C186" t="str">
        <f ca="1">IFERROR(__xludf.DUMMYFUNCTION("""COMPUTED_VALUE"""),"Carlos Ortiz")</f>
        <v>Carlos Ortiz</v>
      </c>
      <c r="D186">
        <f ca="1">IFERROR(__xludf.DUMMYFUNCTION("""COMPUTED_VALUE"""),20)</f>
        <v>20</v>
      </c>
      <c r="E186">
        <f ca="1">IFERROR(__xludf.DUMMYFUNCTION("""COMPUTED_VALUE"""),42.86)</f>
        <v>42.86</v>
      </c>
      <c r="F186">
        <f ca="1">IFERROR(__xludf.DUMMYFUNCTION("""COMPUTED_VALUE"""),6)</f>
        <v>6</v>
      </c>
      <c r="G186">
        <f ca="1">IFERROR(__xludf.DUMMYFUNCTION("""COMPUTED_VALUE"""),14)</f>
        <v>14</v>
      </c>
    </row>
    <row r="187" spans="1:7" ht="12.75">
      <c r="A187" t="str">
        <f ca="1">IFERROR(__xludf.DUMMYFUNCTION("""COMPUTED_VALUE"""),"T181")</f>
        <v>T181</v>
      </c>
      <c r="B187" t="str">
        <f ca="1">IFERROR(__xludf.DUMMYFUNCTION("""COMPUTED_VALUE"""),"T117")</f>
        <v>T117</v>
      </c>
      <c r="C187" t="str">
        <f ca="1">IFERROR(__xludf.DUMMYFUNCTION("""COMPUTED_VALUE"""),"Sam Burns")</f>
        <v>Sam Burns</v>
      </c>
      <c r="D187">
        <f ca="1">IFERROR(__xludf.DUMMYFUNCTION("""COMPUTED_VALUE"""),18)</f>
        <v>18</v>
      </c>
      <c r="E187">
        <f ca="1">IFERROR(__xludf.DUMMYFUNCTION("""COMPUTED_VALUE"""),42.86)</f>
        <v>42.86</v>
      </c>
      <c r="F187">
        <f ca="1">IFERROR(__xludf.DUMMYFUNCTION("""COMPUTED_VALUE"""),6)</f>
        <v>6</v>
      </c>
      <c r="G187">
        <f ca="1">IFERROR(__xludf.DUMMYFUNCTION("""COMPUTED_VALUE"""),14)</f>
        <v>14</v>
      </c>
    </row>
    <row r="188" spans="1:7" ht="12.75">
      <c r="A188" t="str">
        <f ca="1">IFERROR(__xludf.DUMMYFUNCTION("""COMPUTED_VALUE"""),"T181")</f>
        <v>T181</v>
      </c>
      <c r="B188" t="str">
        <f ca="1">IFERROR(__xludf.DUMMYFUNCTION("""COMPUTED_VALUE"""),"T177")</f>
        <v>T177</v>
      </c>
      <c r="C188" t="str">
        <f ca="1">IFERROR(__xludf.DUMMYFUNCTION("""COMPUTED_VALUE"""),"Wesley Bryan")</f>
        <v>Wesley Bryan</v>
      </c>
      <c r="D188">
        <f ca="1">IFERROR(__xludf.DUMMYFUNCTION("""COMPUTED_VALUE"""),8)</f>
        <v>8</v>
      </c>
      <c r="E188">
        <f ca="1">IFERROR(__xludf.DUMMYFUNCTION("""COMPUTED_VALUE"""),42.86)</f>
        <v>42.86</v>
      </c>
      <c r="F188">
        <f ca="1">IFERROR(__xludf.DUMMYFUNCTION("""COMPUTED_VALUE"""),3)</f>
        <v>3</v>
      </c>
      <c r="G188">
        <f ca="1">IFERROR(__xludf.DUMMYFUNCTION("""COMPUTED_VALUE"""),7)</f>
        <v>7</v>
      </c>
    </row>
    <row r="189" spans="1:7" ht="12.75">
      <c r="A189" t="str">
        <f ca="1">IFERROR(__xludf.DUMMYFUNCTION("""COMPUTED_VALUE"""),"T181")</f>
        <v>T181</v>
      </c>
      <c r="B189" t="str">
        <f ca="1">IFERROR(__xludf.DUMMYFUNCTION("""COMPUTED_VALUE"""),"T117")</f>
        <v>T117</v>
      </c>
      <c r="C189" t="str">
        <f ca="1">IFERROR(__xludf.DUMMYFUNCTION("""COMPUTED_VALUE"""),"Kramer Hickok")</f>
        <v>Kramer Hickok</v>
      </c>
      <c r="D189">
        <f ca="1">IFERROR(__xludf.DUMMYFUNCTION("""COMPUTED_VALUE"""),16)</f>
        <v>16</v>
      </c>
      <c r="E189">
        <f ca="1">IFERROR(__xludf.DUMMYFUNCTION("""COMPUTED_VALUE"""),42.86)</f>
        <v>42.86</v>
      </c>
      <c r="F189">
        <f ca="1">IFERROR(__xludf.DUMMYFUNCTION("""COMPUTED_VALUE"""),6)</f>
        <v>6</v>
      </c>
      <c r="G189">
        <f ca="1">IFERROR(__xludf.DUMMYFUNCTION("""COMPUTED_VALUE"""),14)</f>
        <v>14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IFERROR(__xludf.DUMMYFUNCTION("""COMPUTED_VALUE"""),184)</f>
        <v>184</v>
      </c>
      <c r="C190" t="str">
        <f ca="1">IFERROR(__xludf.DUMMYFUNCTION("""COMPUTED_VALUE"""),"Kiradech Aphibarnrat")</f>
        <v>Kiradech Aphibarnrat</v>
      </c>
      <c r="D190">
        <f ca="1">IFERROR(__xludf.DUMMYFUNCTION("""COMPUTED_VALUE"""),12)</f>
        <v>12</v>
      </c>
      <c r="E190">
        <f ca="1">IFERROR(__xludf.DUMMYFUNCTION("""COMPUTED_VALUE"""),42.11)</f>
        <v>42.11</v>
      </c>
      <c r="F190">
        <f ca="1">IFERROR(__xludf.DUMMYFUNCTION("""COMPUTED_VALUE"""),8)</f>
        <v>8</v>
      </c>
      <c r="G190">
        <f ca="1">IFERROR(__xludf.DUMMYFUNCTION("""COMPUTED_VALUE"""),19)</f>
        <v>19</v>
      </c>
    </row>
    <row r="191" spans="1:7" ht="12.75">
      <c r="A191" t="str">
        <f ca="1">IFERROR(__xludf.DUMMYFUNCTION("""COMPUTED_VALUE"""),"T190")</f>
        <v>T190</v>
      </c>
      <c r="B191" t="str">
        <f ca="1">IFERROR(__xludf.DUMMYFUNCTION("""COMPUTED_VALUE"""),"T235")</f>
        <v>T235</v>
      </c>
      <c r="C191" t="str">
        <f ca="1">IFERROR(__xludf.DUMMYFUNCTION("""COMPUTED_VALUE"""),"Charl Schwartzel")</f>
        <v>Charl Schwartzel</v>
      </c>
      <c r="D191">
        <f ca="1">IFERROR(__xludf.DUMMYFUNCTION("""COMPUTED_VALUE"""),12)</f>
        <v>12</v>
      </c>
      <c r="E191">
        <f ca="1">IFERROR(__xludf.DUMMYFUNCTION("""COMPUTED_VALUE"""),41.67)</f>
        <v>41.67</v>
      </c>
      <c r="F191">
        <f ca="1">IFERROR(__xludf.DUMMYFUNCTION("""COMPUTED_VALUE"""),5)</f>
        <v>5</v>
      </c>
      <c r="G191">
        <f ca="1">IFERROR(__xludf.DUMMYFUNCTION("""COMPUTED_VALUE"""),12)</f>
        <v>12</v>
      </c>
    </row>
    <row r="192" spans="1:7" ht="12.75">
      <c r="A192" t="str">
        <f ca="1">IFERROR(__xludf.DUMMYFUNCTION("""COMPUTED_VALUE"""),"T190")</f>
        <v>T190</v>
      </c>
      <c r="B192" t="str">
        <f ca="1">IFERROR(__xludf.DUMMYFUNCTION("""COMPUTED_VALUE"""),"T185")</f>
        <v>T185</v>
      </c>
      <c r="C192" t="str">
        <f ca="1">IFERROR(__xludf.DUMMYFUNCTION("""COMPUTED_VALUE"""),"Matt Every")</f>
        <v>Matt Every</v>
      </c>
      <c r="D192">
        <f ca="1">IFERROR(__xludf.DUMMYFUNCTION("""COMPUTED_VALUE"""),8)</f>
        <v>8</v>
      </c>
      <c r="E192">
        <f ca="1">IFERROR(__xludf.DUMMYFUNCTION("""COMPUTED_VALUE"""),41.67)</f>
        <v>41.67</v>
      </c>
      <c r="F192">
        <f ca="1">IFERROR(__xludf.DUMMYFUNCTION("""COMPUTED_VALUE"""),5)</f>
        <v>5</v>
      </c>
      <c r="G192">
        <f ca="1">IFERROR(__xludf.DUMMYFUNCTION("""COMPUTED_VALUE"""),12)</f>
        <v>12</v>
      </c>
    </row>
    <row r="193" spans="1:7" ht="12.75">
      <c r="A193" t="str">
        <f ca="1">IFERROR(__xludf.DUMMYFUNCTION("""COMPUTED_VALUE"""),"T190")</f>
        <v>T190</v>
      </c>
      <c r="B193" t="str">
        <f ca="1">IFERROR(__xludf.DUMMYFUNCTION("""COMPUTED_VALUE"""),"T185")</f>
        <v>T185</v>
      </c>
      <c r="C193" t="str">
        <f ca="1">IFERROR(__xludf.DUMMYFUNCTION("""COMPUTED_VALUE"""),"Billy Horschel")</f>
        <v>Billy Horschel</v>
      </c>
      <c r="D193">
        <f ca="1">IFERROR(__xludf.DUMMYFUNCTION("""COMPUTED_VALUE"""),12)</f>
        <v>12</v>
      </c>
      <c r="E193">
        <f ca="1">IFERROR(__xludf.DUMMYFUNCTION("""COMPUTED_VALUE"""),41.67)</f>
        <v>41.67</v>
      </c>
      <c r="F193">
        <f ca="1">IFERROR(__xludf.DUMMYFUNCTION("""COMPUTED_VALUE"""),5)</f>
        <v>5</v>
      </c>
      <c r="G193">
        <f ca="1">IFERROR(__xludf.DUMMYFUNCTION("""COMPUTED_VALUE"""),12)</f>
        <v>12</v>
      </c>
    </row>
    <row r="194" spans="1:7" ht="12.75">
      <c r="A194" t="str">
        <f ca="1">IFERROR(__xludf.DUMMYFUNCTION("""COMPUTED_VALUE"""),"T190")</f>
        <v>T190</v>
      </c>
      <c r="B194" t="str">
        <f ca="1">IFERROR(__xludf.DUMMYFUNCTION("""COMPUTED_VALUE"""),"T117")</f>
        <v>T117</v>
      </c>
      <c r="C194" t="str">
        <f ca="1">IFERROR(__xludf.DUMMYFUNCTION("""COMPUTED_VALUE"""),"Keith Mitchell")</f>
        <v>Keith Mitchell</v>
      </c>
      <c r="D194">
        <f ca="1">IFERROR(__xludf.DUMMYFUNCTION("""COMPUTED_VALUE"""),14)</f>
        <v>14</v>
      </c>
      <c r="E194">
        <f ca="1">IFERROR(__xludf.DUMMYFUNCTION("""COMPUTED_VALUE"""),41.67)</f>
        <v>41.67</v>
      </c>
      <c r="F194">
        <f ca="1">IFERROR(__xludf.DUMMYFUNCTION("""COMPUTED_VALUE"""),5)</f>
        <v>5</v>
      </c>
      <c r="G194">
        <f ca="1">IFERROR(__xludf.DUMMYFUNCTION("""COMPUTED_VALUE"""),12)</f>
        <v>12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IFERROR(__xludf.DUMMYFUNCTION("""COMPUTED_VALUE"""),"T203")</f>
        <v>T203</v>
      </c>
      <c r="C195" t="str">
        <f ca="1">IFERROR(__xludf.DUMMYFUNCTION("""COMPUTED_VALUE"""),"Sergio Garcia")</f>
        <v>Sergio Garcia</v>
      </c>
      <c r="D195">
        <f ca="1">IFERROR(__xludf.DUMMYFUNCTION("""COMPUTED_VALUE"""),18)</f>
        <v>18</v>
      </c>
      <c r="E195">
        <f ca="1">IFERROR(__xludf.DUMMYFUNCTION("""COMPUTED_VALUE"""),41.18)</f>
        <v>41.18</v>
      </c>
      <c r="F195">
        <f ca="1">IFERROR(__xludf.DUMMYFUNCTION("""COMPUTED_VALUE"""),7)</f>
        <v>7</v>
      </c>
      <c r="G195">
        <f ca="1">IFERROR(__xludf.DUMMYFUNCTION("""COMPUTED_VALUE"""),17)</f>
        <v>17</v>
      </c>
    </row>
    <row r="196" spans="1:7" ht="12.75">
      <c r="A196" t="str">
        <f ca="1">IFERROR(__xludf.DUMMYFUNCTION("""COMPUTED_VALUE"""),"T194")</f>
        <v>T194</v>
      </c>
      <c r="B196" t="str">
        <f ca="1">IFERROR(__xludf.DUMMYFUNCTION("""COMPUTED_VALUE"""),"T185")</f>
        <v>T185</v>
      </c>
      <c r="C196" t="str">
        <f ca="1">IFERROR(__xludf.DUMMYFUNCTION("""COMPUTED_VALUE"""),"Jhonattan Vegas")</f>
        <v>Jhonattan Vegas</v>
      </c>
      <c r="D196">
        <f ca="1">IFERROR(__xludf.DUMMYFUNCTION("""COMPUTED_VALUE"""),16)</f>
        <v>16</v>
      </c>
      <c r="E196">
        <f ca="1">IFERROR(__xludf.DUMMYFUNCTION("""COMPUTED_VALUE"""),41.18)</f>
        <v>41.18</v>
      </c>
      <c r="F196">
        <f ca="1">IFERROR(__xludf.DUMMYFUNCTION("""COMPUTED_VALUE"""),7)</f>
        <v>7</v>
      </c>
      <c r="G196">
        <f ca="1">IFERROR(__xludf.DUMMYFUNCTION("""COMPUTED_VALUE"""),17)</f>
        <v>17</v>
      </c>
    </row>
    <row r="197" spans="1:7" ht="12.75">
      <c r="A197" t="str">
        <f ca="1">IFERROR(__xludf.DUMMYFUNCTION("""COMPUTED_VALUE"""),"T196")</f>
        <v>T196</v>
      </c>
      <c r="B197" t="str">
        <f ca="1">IFERROR(__xludf.DUMMYFUNCTION("""COMPUTED_VALUE"""),"T190")</f>
        <v>T190</v>
      </c>
      <c r="C197" t="str">
        <f ca="1">IFERROR(__xludf.DUMMYFUNCTION("""COMPUTED_VALUE"""),"Cameron Percy")</f>
        <v>Cameron Percy</v>
      </c>
      <c r="D197">
        <f ca="1">IFERROR(__xludf.DUMMYFUNCTION("""COMPUTED_VALUE"""),16)</f>
        <v>16</v>
      </c>
      <c r="E197">
        <f ca="1">IFERROR(__xludf.DUMMYFUNCTION("""COMPUTED_VALUE"""),40)</f>
        <v>40</v>
      </c>
      <c r="F197">
        <f ca="1">IFERROR(__xludf.DUMMYFUNCTION("""COMPUTED_VALUE"""),4)</f>
        <v>4</v>
      </c>
      <c r="G197">
        <f ca="1">IFERROR(__xludf.DUMMYFUNCTION("""COMPUTED_VALUE"""),10)</f>
        <v>10</v>
      </c>
    </row>
    <row r="198" spans="1:7" ht="12.75">
      <c r="A198" t="str">
        <f ca="1">IFERROR(__xludf.DUMMYFUNCTION("""COMPUTED_VALUE"""),"T196")</f>
        <v>T196</v>
      </c>
      <c r="B198" t="str">
        <f ca="1">IFERROR(__xludf.DUMMYFUNCTION("""COMPUTED_VALUE"""),"")</f>
        <v/>
      </c>
      <c r="C198" t="str">
        <f ca="1">IFERROR(__xludf.DUMMYFUNCTION("""COMPUTED_VALUE"""),"Francesco Molinari")</f>
        <v>Francesco Molinari</v>
      </c>
      <c r="D198">
        <f ca="1">IFERROR(__xludf.DUMMYFUNCTION("""COMPUTED_VALUE"""),6)</f>
        <v>6</v>
      </c>
      <c r="E198">
        <f ca="1">IFERROR(__xludf.DUMMYFUNCTION("""COMPUTED_VALUE"""),40)</f>
        <v>40</v>
      </c>
      <c r="F198">
        <f ca="1">IFERROR(__xludf.DUMMYFUNCTION("""COMPUTED_VALUE"""),2)</f>
        <v>2</v>
      </c>
      <c r="G198">
        <f ca="1">IFERROR(__xludf.DUMMYFUNCTION("""COMPUTED_VALUE"""),5)</f>
        <v>5</v>
      </c>
    </row>
    <row r="199" spans="1:7" ht="12.75">
      <c r="A199" t="str">
        <f ca="1">IFERROR(__xludf.DUMMYFUNCTION("""COMPUTED_VALUE"""),"T196")</f>
        <v>T196</v>
      </c>
      <c r="B199" t="str">
        <f ca="1">IFERROR(__xludf.DUMMYFUNCTION("""COMPUTED_VALUE"""),"T117")</f>
        <v>T117</v>
      </c>
      <c r="C199" t="str">
        <f ca="1">IFERROR(__xludf.DUMMYFUNCTION("""COMPUTED_VALUE"""),"Ted Potter, Jr.")</f>
        <v>Ted Potter, Jr.</v>
      </c>
      <c r="D199">
        <f ca="1">IFERROR(__xludf.DUMMYFUNCTION("""COMPUTED_VALUE"""),8)</f>
        <v>8</v>
      </c>
      <c r="E199">
        <f ca="1">IFERROR(__xludf.DUMMYFUNCTION("""COMPUTED_VALUE"""),40)</f>
        <v>40</v>
      </c>
      <c r="F199">
        <f ca="1">IFERROR(__xludf.DUMMYFUNCTION("""COMPUTED_VALUE"""),2)</f>
        <v>2</v>
      </c>
      <c r="G199">
        <f ca="1">IFERROR(__xludf.DUMMYFUNCTION("""COMPUTED_VALUE"""),5)</f>
        <v>5</v>
      </c>
    </row>
    <row r="200" spans="1:7" ht="12.75">
      <c r="A200" t="str">
        <f ca="1">IFERROR(__xludf.DUMMYFUNCTION("""COMPUTED_VALUE"""),"T196")</f>
        <v>T196</v>
      </c>
      <c r="B200" t="str">
        <f ca="1">IFERROR(__xludf.DUMMYFUNCTION("""COMPUTED_VALUE"""),"T190")</f>
        <v>T190</v>
      </c>
      <c r="C200" t="str">
        <f ca="1">IFERROR(__xludf.DUMMYFUNCTION("""COMPUTED_VALUE"""),"Ryan Blaum")</f>
        <v>Ryan Blaum</v>
      </c>
      <c r="D200">
        <f ca="1">IFERROR(__xludf.DUMMYFUNCTION("""COMPUTED_VALUE"""),8)</f>
        <v>8</v>
      </c>
      <c r="E200">
        <f ca="1">IFERROR(__xludf.DUMMYFUNCTION("""COMPUTED_VALUE"""),40)</f>
        <v>40</v>
      </c>
      <c r="F200">
        <f ca="1">IFERROR(__xludf.DUMMYFUNCTION("""COMPUTED_VALUE"""),2)</f>
        <v>2</v>
      </c>
      <c r="G200">
        <f ca="1">IFERROR(__xludf.DUMMYFUNCTION("""COMPUTED_VALUE"""),5)</f>
        <v>5</v>
      </c>
    </row>
    <row r="201" spans="1:7" ht="12.75">
      <c r="A201" t="str">
        <f ca="1">IFERROR(__xludf.DUMMYFUNCTION("""COMPUTED_VALUE"""),"T196")</f>
        <v>T196</v>
      </c>
      <c r="B201" t="str">
        <f ca="1">IFERROR(__xludf.DUMMYFUNCTION("""COMPUTED_VALUE"""),"T190")</f>
        <v>T190</v>
      </c>
      <c r="C201" t="str">
        <f ca="1">IFERROR(__xludf.DUMMYFUNCTION("""COMPUTED_VALUE"""),"Ryan Brehm")</f>
        <v>Ryan Brehm</v>
      </c>
      <c r="D201">
        <f ca="1">IFERROR(__xludf.DUMMYFUNCTION("""COMPUTED_VALUE"""),10)</f>
        <v>10</v>
      </c>
      <c r="E201">
        <f ca="1">IFERROR(__xludf.DUMMYFUNCTION("""COMPUTED_VALUE"""),40)</f>
        <v>40</v>
      </c>
      <c r="F201">
        <f ca="1">IFERROR(__xludf.DUMMYFUNCTION("""COMPUTED_VALUE"""),4)</f>
        <v>4</v>
      </c>
      <c r="G201">
        <f ca="1">IFERROR(__xludf.DUMMYFUNCTION("""COMPUTED_VALUE"""),10)</f>
        <v>10</v>
      </c>
    </row>
    <row r="202" spans="1:7" ht="12.75">
      <c r="A202" t="str">
        <f ca="1">IFERROR(__xludf.DUMMYFUNCTION("""COMPUTED_VALUE"""),"T196")</f>
        <v>T196</v>
      </c>
      <c r="B202" t="str">
        <f ca="1">IFERROR(__xludf.DUMMYFUNCTION("""COMPUTED_VALUE"""),"T190")</f>
        <v>T190</v>
      </c>
      <c r="C202" t="str">
        <f ca="1">IFERROR(__xludf.DUMMYFUNCTION("""COMPUTED_VALUE"""),"Rafael Campos")</f>
        <v>Rafael Campos</v>
      </c>
      <c r="D202">
        <f ca="1">IFERROR(__xludf.DUMMYFUNCTION("""COMPUTED_VALUE"""),6)</f>
        <v>6</v>
      </c>
      <c r="E202">
        <f ca="1">IFERROR(__xludf.DUMMYFUNCTION("""COMPUTED_VALUE"""),40)</f>
        <v>40</v>
      </c>
      <c r="F202">
        <f ca="1">IFERROR(__xludf.DUMMYFUNCTION("""COMPUTED_VALUE"""),4)</f>
        <v>4</v>
      </c>
      <c r="G202">
        <f ca="1">IFERROR(__xludf.DUMMYFUNCTION("""COMPUTED_VALUE"""),10)</f>
        <v>10</v>
      </c>
    </row>
    <row r="203" spans="1:7" ht="12.75">
      <c r="A203" t="str">
        <f ca="1">IFERROR(__xludf.DUMMYFUNCTION("""COMPUTED_VALUE"""),"T196")</f>
        <v>T196</v>
      </c>
      <c r="B203" t="str">
        <f ca="1">IFERROR(__xludf.DUMMYFUNCTION("""COMPUTED_VALUE"""),"T117")</f>
        <v>T117</v>
      </c>
      <c r="C203" t="str">
        <f ca="1">IFERROR(__xludf.DUMMYFUNCTION("""COMPUTED_VALUE"""),"Andrew Landry")</f>
        <v>Andrew Landry</v>
      </c>
      <c r="D203">
        <f ca="1">IFERROR(__xludf.DUMMYFUNCTION("""COMPUTED_VALUE"""),14)</f>
        <v>14</v>
      </c>
      <c r="E203">
        <f ca="1">IFERROR(__xludf.DUMMYFUNCTION("""COMPUTED_VALUE"""),40)</f>
        <v>40</v>
      </c>
      <c r="F203">
        <f ca="1">IFERROR(__xludf.DUMMYFUNCTION("""COMPUTED_VALUE"""),2)</f>
        <v>2</v>
      </c>
      <c r="G203">
        <f ca="1">IFERROR(__xludf.DUMMYFUNCTION("""COMPUTED_VALUE"""),5)</f>
        <v>5</v>
      </c>
    </row>
    <row r="204" spans="1:7" ht="12.75">
      <c r="A204" t="str">
        <f ca="1">IFERROR(__xludf.DUMMYFUNCTION("""COMPUTED_VALUE"""),"T196")</f>
        <v>T196</v>
      </c>
      <c r="B204" t="str">
        <f ca="1">IFERROR(__xludf.DUMMYFUNCTION("""COMPUTED_VALUE"""),"T190")</f>
        <v>T190</v>
      </c>
      <c r="C204" t="str">
        <f ca="1">IFERROR(__xludf.DUMMYFUNCTION("""COMPUTED_VALUE"""),"Byeong Hun An")</f>
        <v>Byeong Hun An</v>
      </c>
      <c r="D204">
        <f ca="1">IFERROR(__xludf.DUMMYFUNCTION("""COMPUTED_VALUE"""),14)</f>
        <v>14</v>
      </c>
      <c r="E204">
        <f ca="1">IFERROR(__xludf.DUMMYFUNCTION("""COMPUTED_VALUE"""),40)</f>
        <v>40</v>
      </c>
      <c r="F204">
        <f ca="1">IFERROR(__xludf.DUMMYFUNCTION("""COMPUTED_VALUE"""),2)</f>
        <v>2</v>
      </c>
      <c r="G204">
        <f ca="1">IFERROR(__xludf.DUMMYFUNCTION("""COMPUTED_VALUE"""),5)</f>
        <v>5</v>
      </c>
    </row>
    <row r="205" spans="1:7" ht="12.75">
      <c r="A205" t="str">
        <f ca="1">IFERROR(__xludf.DUMMYFUNCTION("""COMPUTED_VALUE"""),"T196")</f>
        <v>T196</v>
      </c>
      <c r="B205" t="str">
        <f ca="1">IFERROR(__xludf.DUMMYFUNCTION("""COMPUTED_VALUE"""),"T168")</f>
        <v>T168</v>
      </c>
      <c r="C205" t="str">
        <f ca="1">IFERROR(__xludf.DUMMYFUNCTION("""COMPUTED_VALUE"""),"Tom Lewis")</f>
        <v>Tom Lewis</v>
      </c>
      <c r="D205">
        <f ca="1">IFERROR(__xludf.DUMMYFUNCTION("""COMPUTED_VALUE"""),12)</f>
        <v>12</v>
      </c>
      <c r="E205">
        <f ca="1">IFERROR(__xludf.DUMMYFUNCTION("""COMPUTED_VALUE"""),40)</f>
        <v>40</v>
      </c>
      <c r="F205">
        <f ca="1">IFERROR(__xludf.DUMMYFUNCTION("""COMPUTED_VALUE"""),8)</f>
        <v>8</v>
      </c>
      <c r="G205">
        <f ca="1">IFERROR(__xludf.DUMMYFUNCTION("""COMPUTED_VALUE"""),20)</f>
        <v>20</v>
      </c>
    </row>
    <row r="206" spans="1:7" ht="12.75">
      <c r="A206" t="str">
        <f ca="1">IFERROR(__xludf.DUMMYFUNCTION("""COMPUTED_VALUE"""),"T196")</f>
        <v>T196</v>
      </c>
      <c r="B206" t="str">
        <f ca="1">IFERROR(__xludf.DUMMYFUNCTION("""COMPUTED_VALUE"""),"T117")</f>
        <v>T117</v>
      </c>
      <c r="C206" t="str">
        <f ca="1">IFERROR(__xludf.DUMMYFUNCTION("""COMPUTED_VALUE"""),"Patrick Rodgers")</f>
        <v>Patrick Rodgers</v>
      </c>
      <c r="D206">
        <f ca="1">IFERROR(__xludf.DUMMYFUNCTION("""COMPUTED_VALUE"""),18)</f>
        <v>18</v>
      </c>
      <c r="E206">
        <f ca="1">IFERROR(__xludf.DUMMYFUNCTION("""COMPUTED_VALUE"""),40)</f>
        <v>40</v>
      </c>
      <c r="F206">
        <f ca="1">IFERROR(__xludf.DUMMYFUNCTION("""COMPUTED_VALUE"""),2)</f>
        <v>2</v>
      </c>
      <c r="G206">
        <f ca="1">IFERROR(__xludf.DUMMYFUNCTION("""COMPUTED_VALUE"""),5)</f>
        <v>5</v>
      </c>
    </row>
    <row r="207" spans="1:7" ht="12.75">
      <c r="A207" t="str">
        <f ca="1">IFERROR(__xludf.DUMMYFUNCTION("""COMPUTED_VALUE"""),"T196")</f>
        <v>T196</v>
      </c>
      <c r="B207" t="str">
        <f ca="1">IFERROR(__xludf.DUMMYFUNCTION("""COMPUTED_VALUE"""),"T190")</f>
        <v>T190</v>
      </c>
      <c r="C207" t="str">
        <f ca="1">IFERROR(__xludf.DUMMYFUNCTION("""COMPUTED_VALUE"""),"Matt Wallace")</f>
        <v>Matt Wallace</v>
      </c>
      <c r="D207">
        <f ca="1">IFERROR(__xludf.DUMMYFUNCTION("""COMPUTED_VALUE"""),4)</f>
        <v>4</v>
      </c>
      <c r="E207">
        <f ca="1">IFERROR(__xludf.DUMMYFUNCTION("""COMPUTED_VALUE"""),40)</f>
        <v>40</v>
      </c>
      <c r="F207">
        <f ca="1">IFERROR(__xludf.DUMMYFUNCTION("""COMPUTED_VALUE"""),2)</f>
        <v>2</v>
      </c>
      <c r="G207">
        <f ca="1">IFERROR(__xludf.DUMMYFUNCTION("""COMPUTED_VALUE"""),5)</f>
        <v>5</v>
      </c>
    </row>
    <row r="208" spans="1:7" ht="12.75">
      <c r="A208" t="str">
        <f ca="1">IFERROR(__xludf.DUMMYFUNCTION("""COMPUTED_VALUE"""),"T196")</f>
        <v>T196</v>
      </c>
      <c r="B208" t="str">
        <f ca="1">IFERROR(__xludf.DUMMYFUNCTION("""COMPUTED_VALUE"""),"T190")</f>
        <v>T190</v>
      </c>
      <c r="C208" t="str">
        <f ca="1">IFERROR(__xludf.DUMMYFUNCTION("""COMPUTED_VALUE"""),"Justin Suh")</f>
        <v>Justin Suh</v>
      </c>
      <c r="D208">
        <f ca="1">IFERROR(__xludf.DUMMYFUNCTION("""COMPUTED_VALUE"""),10)</f>
        <v>10</v>
      </c>
      <c r="E208">
        <f ca="1">IFERROR(__xludf.DUMMYFUNCTION("""COMPUTED_VALUE"""),40)</f>
        <v>40</v>
      </c>
      <c r="F208">
        <f ca="1">IFERROR(__xludf.DUMMYFUNCTION("""COMPUTED_VALUE"""),2)</f>
        <v>2</v>
      </c>
      <c r="G208">
        <f ca="1">IFERROR(__xludf.DUMMYFUNCTION("""COMPUTED_VALUE"""),5)</f>
        <v>5</v>
      </c>
    </row>
    <row r="209" spans="1:7" ht="12.75">
      <c r="A209" t="str">
        <f ca="1">IFERROR(__xludf.DUMMYFUNCTION("""COMPUTED_VALUE"""),"T196")</f>
        <v>T196</v>
      </c>
      <c r="B209" t="str">
        <f ca="1">IFERROR(__xludf.DUMMYFUNCTION("""COMPUTED_VALUE"""),"T190")</f>
        <v>T190</v>
      </c>
      <c r="C209" t="str">
        <f ca="1">IFERROR(__xludf.DUMMYFUNCTION("""COMPUTED_VALUE"""),"Matthew Wolff")</f>
        <v>Matthew Wolff</v>
      </c>
      <c r="D209">
        <f ca="1">IFERROR(__xludf.DUMMYFUNCTION("""COMPUTED_VALUE"""),16)</f>
        <v>16</v>
      </c>
      <c r="E209">
        <f ca="1">IFERROR(__xludf.DUMMYFUNCTION("""COMPUTED_VALUE"""),40)</f>
        <v>40</v>
      </c>
      <c r="F209">
        <f ca="1">IFERROR(__xludf.DUMMYFUNCTION("""COMPUTED_VALUE"""),4)</f>
        <v>4</v>
      </c>
      <c r="G209">
        <f ca="1">IFERROR(__xludf.DUMMYFUNCTION("""COMPUTED_VALUE"""),10)</f>
        <v>10</v>
      </c>
    </row>
    <row r="210" spans="1:7" ht="12.75">
      <c r="A210" t="str">
        <f ca="1">IFERROR(__xludf.DUMMYFUNCTION("""COMPUTED_VALUE"""),"T196")</f>
        <v>T196</v>
      </c>
      <c r="B210" t="str">
        <f ca="1">IFERROR(__xludf.DUMMYFUNCTION("""COMPUTED_VALUE"""),"T190")</f>
        <v>T190</v>
      </c>
      <c r="C210" t="str">
        <f ca="1">IFERROR(__xludf.DUMMYFUNCTION("""COMPUTED_VALUE"""),"George Markham")</f>
        <v>George Markham</v>
      </c>
      <c r="D210">
        <f ca="1">IFERROR(__xludf.DUMMYFUNCTION("""COMPUTED_VALUE"""),4)</f>
        <v>4</v>
      </c>
      <c r="E210">
        <f ca="1">IFERROR(__xludf.DUMMYFUNCTION("""COMPUTED_VALUE"""),40)</f>
        <v>40</v>
      </c>
      <c r="F210">
        <f ca="1">IFERROR(__xludf.DUMMYFUNCTION("""COMPUTED_VALUE"""),2)</f>
        <v>2</v>
      </c>
      <c r="G210">
        <f ca="1">IFERROR(__xludf.DUMMYFUNCTION("""COMPUTED_VALUE"""),5)</f>
        <v>5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IFERROR(__xludf.DUMMYFUNCTION("""COMPUTED_VALUE"""),"T190")</f>
        <v>T190</v>
      </c>
      <c r="C211" t="str">
        <f ca="1">IFERROR(__xludf.DUMMYFUNCTION("""COMPUTED_VALUE"""),"Branden Grace")</f>
        <v>Branden Grace</v>
      </c>
      <c r="D211">
        <f ca="1">IFERROR(__xludf.DUMMYFUNCTION("""COMPUTED_VALUE"""),16)</f>
        <v>16</v>
      </c>
      <c r="E211">
        <f ca="1">IFERROR(__xludf.DUMMYFUNCTION("""COMPUTED_VALUE"""),39.13)</f>
        <v>39.130000000000003</v>
      </c>
      <c r="F211">
        <f ca="1">IFERROR(__xludf.DUMMYFUNCTION("""COMPUTED_VALUE"""),9)</f>
        <v>9</v>
      </c>
      <c r="G211">
        <f ca="1">IFERROR(__xludf.DUMMYFUNCTION("""COMPUTED_VALUE"""),23)</f>
        <v>23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IFERROR(__xludf.DUMMYFUNCTION("""COMPUTED_VALUE"""),202)</f>
        <v>202</v>
      </c>
      <c r="C212" t="str">
        <f ca="1">IFERROR(__xludf.DUMMYFUNCTION("""COMPUTED_VALUE"""),"Kyle Stanley")</f>
        <v>Kyle Stanley</v>
      </c>
      <c r="D212">
        <f ca="1">IFERROR(__xludf.DUMMYFUNCTION("""COMPUTED_VALUE"""),16)</f>
        <v>16</v>
      </c>
      <c r="E212">
        <f ca="1">IFERROR(__xludf.DUMMYFUNCTION("""COMPUTED_VALUE"""),38.89)</f>
        <v>38.89</v>
      </c>
      <c r="F212">
        <f ca="1">IFERROR(__xludf.DUMMYFUNCTION("""COMPUTED_VALUE"""),7)</f>
        <v>7</v>
      </c>
      <c r="G212">
        <f ca="1">IFERROR(__xludf.DUMMYFUNCTION("""COMPUTED_VALUE"""),18)</f>
        <v>18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IFERROR(__xludf.DUMMYFUNCTION("""COMPUTED_VALUE"""),"T203")</f>
        <v>T203</v>
      </c>
      <c r="C213" t="str">
        <f ca="1">IFERROR(__xludf.DUMMYFUNCTION("""COMPUTED_VALUE"""),"Kevin Na")</f>
        <v>Kevin Na</v>
      </c>
      <c r="D213">
        <f ca="1">IFERROR(__xludf.DUMMYFUNCTION("""COMPUTED_VALUE"""),14)</f>
        <v>14</v>
      </c>
      <c r="E213">
        <f ca="1">IFERROR(__xludf.DUMMYFUNCTION("""COMPUTED_VALUE"""),38.46)</f>
        <v>38.46</v>
      </c>
      <c r="F213">
        <f ca="1">IFERROR(__xludf.DUMMYFUNCTION("""COMPUTED_VALUE"""),5)</f>
        <v>5</v>
      </c>
      <c r="G213">
        <f ca="1">IFERROR(__xludf.DUMMYFUNCTION("""COMPUTED_VALUE"""),13)</f>
        <v>13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IFERROR(__xludf.DUMMYFUNCTION("""COMPUTED_VALUE"""),"T117")</f>
        <v>T117</v>
      </c>
      <c r="C214" t="str">
        <f ca="1">IFERROR(__xludf.DUMMYFUNCTION("""COMPUTED_VALUE"""),"Danny Willett")</f>
        <v>Danny Willett</v>
      </c>
      <c r="D214">
        <f ca="1">IFERROR(__xludf.DUMMYFUNCTION("""COMPUTED_VALUE"""),7)</f>
        <v>7</v>
      </c>
      <c r="E214">
        <f ca="1">IFERROR(__xludf.DUMMYFUNCTION("""COMPUTED_VALUE"""),38.46)</f>
        <v>38.46</v>
      </c>
      <c r="F214">
        <f ca="1">IFERROR(__xludf.DUMMYFUNCTION("""COMPUTED_VALUE"""),5)</f>
        <v>5</v>
      </c>
      <c r="G214">
        <f ca="1">IFERROR(__xludf.DUMMYFUNCTION("""COMPUTED_VALUE"""),13)</f>
        <v>13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IFERROR(__xludf.DUMMYFUNCTION("""COMPUTED_VALUE"""),"T203")</f>
        <v>T203</v>
      </c>
      <c r="C215" t="str">
        <f ca="1">IFERROR(__xludf.DUMMYFUNCTION("""COMPUTED_VALUE"""),"Chris Baker")</f>
        <v>Chris Baker</v>
      </c>
      <c r="D215">
        <f ca="1">IFERROR(__xludf.DUMMYFUNCTION("""COMPUTED_VALUE"""),8)</f>
        <v>8</v>
      </c>
      <c r="E215">
        <f ca="1">IFERROR(__xludf.DUMMYFUNCTION("""COMPUTED_VALUE"""),38.46)</f>
        <v>38.46</v>
      </c>
      <c r="F215">
        <f ca="1">IFERROR(__xludf.DUMMYFUNCTION("""COMPUTED_VALUE"""),5)</f>
        <v>5</v>
      </c>
      <c r="G215">
        <f ca="1">IFERROR(__xludf.DUMMYFUNCTION("""COMPUTED_VALUE"""),13)</f>
        <v>13</v>
      </c>
    </row>
    <row r="216" spans="1:7" ht="12.75">
      <c r="A216" t="str">
        <f ca="1">IFERROR(__xludf.DUMMYFUNCTION("""COMPUTED_VALUE"""),"T215")</f>
        <v>T215</v>
      </c>
      <c r="B216" t="str">
        <f ca="1">IFERROR(__xludf.DUMMYFUNCTION("""COMPUTED_VALUE"""),"T206")</f>
        <v>T206</v>
      </c>
      <c r="C216" t="str">
        <f ca="1">IFERROR(__xludf.DUMMYFUNCTION("""COMPUTED_VALUE"""),"Rory Sabbatini")</f>
        <v>Rory Sabbatini</v>
      </c>
      <c r="D216">
        <f ca="1">IFERROR(__xludf.DUMMYFUNCTION("""COMPUTED_VALUE"""),13)</f>
        <v>13</v>
      </c>
      <c r="E216">
        <f ca="1">IFERROR(__xludf.DUMMYFUNCTION("""COMPUTED_VALUE"""),37.5)</f>
        <v>37.5</v>
      </c>
      <c r="F216">
        <f ca="1">IFERROR(__xludf.DUMMYFUNCTION("""COMPUTED_VALUE"""),6)</f>
        <v>6</v>
      </c>
      <c r="G216">
        <f ca="1">IFERROR(__xludf.DUMMYFUNCTION("""COMPUTED_VALUE"""),16)</f>
        <v>16</v>
      </c>
    </row>
    <row r="217" spans="1:7" ht="12.75">
      <c r="A217" t="str">
        <f ca="1">IFERROR(__xludf.DUMMYFUNCTION("""COMPUTED_VALUE"""),"T215")</f>
        <v>T215</v>
      </c>
      <c r="B217" t="str">
        <f ca="1">IFERROR(__xludf.DUMMYFUNCTION("""COMPUTED_VALUE"""),"T177")</f>
        <v>T177</v>
      </c>
      <c r="C217" t="str">
        <f ca="1">IFERROR(__xludf.DUMMYFUNCTION("""COMPUTED_VALUE"""),"Hunter Mahan")</f>
        <v>Hunter Mahan</v>
      </c>
      <c r="D217">
        <f ca="1">IFERROR(__xludf.DUMMYFUNCTION("""COMPUTED_VALUE"""),14)</f>
        <v>14</v>
      </c>
      <c r="E217">
        <f ca="1">IFERROR(__xludf.DUMMYFUNCTION("""COMPUTED_VALUE"""),37.5)</f>
        <v>37.5</v>
      </c>
      <c r="F217">
        <f ca="1">IFERROR(__xludf.DUMMYFUNCTION("""COMPUTED_VALUE"""),6)</f>
        <v>6</v>
      </c>
      <c r="G217">
        <f ca="1">IFERROR(__xludf.DUMMYFUNCTION("""COMPUTED_VALUE"""),16)</f>
        <v>16</v>
      </c>
    </row>
    <row r="218" spans="1:7" ht="12.75">
      <c r="A218" t="str">
        <f ca="1">IFERROR(__xludf.DUMMYFUNCTION("""COMPUTED_VALUE"""),"T215")</f>
        <v>T215</v>
      </c>
      <c r="B218" t="str">
        <f ca="1">IFERROR(__xludf.DUMMYFUNCTION("""COMPUTED_VALUE"""),"T117")</f>
        <v>T117</v>
      </c>
      <c r="C218" t="str">
        <f ca="1">IFERROR(__xludf.DUMMYFUNCTION("""COMPUTED_VALUE"""),"Jimmy Walker")</f>
        <v>Jimmy Walker</v>
      </c>
      <c r="D218">
        <f ca="1">IFERROR(__xludf.DUMMYFUNCTION("""COMPUTED_VALUE"""),10)</f>
        <v>10</v>
      </c>
      <c r="E218">
        <f ca="1">IFERROR(__xludf.DUMMYFUNCTION("""COMPUTED_VALUE"""),37.5)</f>
        <v>37.5</v>
      </c>
      <c r="F218">
        <f ca="1">IFERROR(__xludf.DUMMYFUNCTION("""COMPUTED_VALUE"""),3)</f>
        <v>3</v>
      </c>
      <c r="G218">
        <f ca="1">IFERROR(__xludf.DUMMYFUNCTION("""COMPUTED_VALUE"""),8)</f>
        <v>8</v>
      </c>
    </row>
    <row r="219" spans="1:7" ht="12.75">
      <c r="A219" t="str">
        <f ca="1">IFERROR(__xludf.DUMMYFUNCTION("""COMPUTED_VALUE"""),"T215")</f>
        <v>T215</v>
      </c>
      <c r="B219" t="str">
        <f ca="1">IFERROR(__xludf.DUMMYFUNCTION("""COMPUTED_VALUE"""),"T185")</f>
        <v>T185</v>
      </c>
      <c r="C219" t="str">
        <f ca="1">IFERROR(__xludf.DUMMYFUNCTION("""COMPUTED_VALUE"""),"Hideki Matsuyama")</f>
        <v>Hideki Matsuyama</v>
      </c>
      <c r="D219">
        <f ca="1">IFERROR(__xludf.DUMMYFUNCTION("""COMPUTED_VALUE"""),18)</f>
        <v>18</v>
      </c>
      <c r="E219">
        <f ca="1">IFERROR(__xludf.DUMMYFUNCTION("""COMPUTED_VALUE"""),37.5)</f>
        <v>37.5</v>
      </c>
      <c r="F219">
        <f ca="1">IFERROR(__xludf.DUMMYFUNCTION("""COMPUTED_VALUE"""),6)</f>
        <v>6</v>
      </c>
      <c r="G219">
        <f ca="1">IFERROR(__xludf.DUMMYFUNCTION("""COMPUTED_VALUE"""),16)</f>
        <v>16</v>
      </c>
    </row>
    <row r="220" spans="1:7" ht="12.75">
      <c r="A220" t="str">
        <f ca="1">IFERROR(__xludf.DUMMYFUNCTION("""COMPUTED_VALUE"""),"T215")</f>
        <v>T215</v>
      </c>
      <c r="B220" t="str">
        <f ca="1">IFERROR(__xludf.DUMMYFUNCTION("""COMPUTED_VALUE"""),"T206")</f>
        <v>T206</v>
      </c>
      <c r="C220" t="str">
        <f ca="1">IFERROR(__xludf.DUMMYFUNCTION("""COMPUTED_VALUE"""),"Jon Rahm")</f>
        <v>Jon Rahm</v>
      </c>
      <c r="D220">
        <f ca="1">IFERROR(__xludf.DUMMYFUNCTION("""COMPUTED_VALUE"""),12)</f>
        <v>12</v>
      </c>
      <c r="E220">
        <f ca="1">IFERROR(__xludf.DUMMYFUNCTION("""COMPUTED_VALUE"""),37.5)</f>
        <v>37.5</v>
      </c>
      <c r="F220">
        <f ca="1">IFERROR(__xludf.DUMMYFUNCTION("""COMPUTED_VALUE"""),3)</f>
        <v>3</v>
      </c>
      <c r="G220">
        <f ca="1">IFERROR(__xludf.DUMMYFUNCTION("""COMPUTED_VALUE"""),8)</f>
        <v>8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IFERROR(__xludf.DUMMYFUNCTION("""COMPUTED_VALUE"""),210)</f>
        <v>210</v>
      </c>
      <c r="C221" t="str">
        <f ca="1">IFERROR(__xludf.DUMMYFUNCTION("""COMPUTED_VALUE"""),"Luke Donald")</f>
        <v>Luke Donald</v>
      </c>
      <c r="D221">
        <f ca="1">IFERROR(__xludf.DUMMYFUNCTION("""COMPUTED_VALUE"""),14)</f>
        <v>14</v>
      </c>
      <c r="E221">
        <f ca="1">IFERROR(__xludf.DUMMYFUNCTION("""COMPUTED_VALUE"""),36.84)</f>
        <v>36.840000000000003</v>
      </c>
      <c r="F221">
        <f ca="1">IFERROR(__xludf.DUMMYFUNCTION("""COMPUTED_VALUE"""),7)</f>
        <v>7</v>
      </c>
      <c r="G221">
        <f ca="1">IFERROR(__xludf.DUMMYFUNCTION("""COMPUTED_VALUE"""),19)</f>
        <v>19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IFERROR(__xludf.DUMMYFUNCTION("""COMPUTED_VALUE"""),"T211")</f>
        <v>T211</v>
      </c>
      <c r="C222" t="str">
        <f ca="1">IFERROR(__xludf.DUMMYFUNCTION("""COMPUTED_VALUE"""),"John Senden")</f>
        <v>John Senden</v>
      </c>
      <c r="D222">
        <f ca="1">IFERROR(__xludf.DUMMYFUNCTION("""COMPUTED_VALUE"""),8)</f>
        <v>8</v>
      </c>
      <c r="E222">
        <f ca="1">IFERROR(__xludf.DUMMYFUNCTION("""COMPUTED_VALUE"""),36.36)</f>
        <v>36.36</v>
      </c>
      <c r="F222">
        <f ca="1">IFERROR(__xludf.DUMMYFUNCTION("""COMPUTED_VALUE"""),4)</f>
        <v>4</v>
      </c>
      <c r="G222">
        <f ca="1">IFERROR(__xludf.DUMMYFUNCTION("""COMPUTED_VALUE"""),11)</f>
        <v>11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IFERROR(__xludf.DUMMYFUNCTION("""COMPUTED_VALUE"""),"T218")</f>
        <v>T218</v>
      </c>
      <c r="C223" t="str">
        <f ca="1">IFERROR(__xludf.DUMMYFUNCTION("""COMPUTED_VALUE"""),"Bo Van Pelt")</f>
        <v>Bo Van Pelt</v>
      </c>
      <c r="D223">
        <f ca="1">IFERROR(__xludf.DUMMYFUNCTION("""COMPUTED_VALUE"""),10)</f>
        <v>10</v>
      </c>
      <c r="E223">
        <f ca="1">IFERROR(__xludf.DUMMYFUNCTION("""COMPUTED_VALUE"""),36.36)</f>
        <v>36.36</v>
      </c>
      <c r="F223">
        <f ca="1">IFERROR(__xludf.DUMMYFUNCTION("""COMPUTED_VALUE"""),4)</f>
        <v>4</v>
      </c>
      <c r="G223">
        <f ca="1">IFERROR(__xludf.DUMMYFUNCTION("""COMPUTED_VALUE"""),11)</f>
        <v>11</v>
      </c>
    </row>
    <row r="224" spans="1:7" ht="12.75">
      <c r="A224" t="str">
        <f ca="1">IFERROR(__xludf.DUMMYFUNCTION("""COMPUTED_VALUE"""),"T221")</f>
        <v>T221</v>
      </c>
      <c r="B224" t="str">
        <f ca="1">IFERROR(__xludf.DUMMYFUNCTION("""COMPUTED_VALUE"""),"T211")</f>
        <v>T211</v>
      </c>
      <c r="C224" t="str">
        <f ca="1">IFERROR(__xludf.DUMMYFUNCTION("""COMPUTED_VALUE"""),"Abraham Ancer")</f>
        <v>Abraham Ancer</v>
      </c>
      <c r="D224">
        <f ca="1">IFERROR(__xludf.DUMMYFUNCTION("""COMPUTED_VALUE"""),16)</f>
        <v>16</v>
      </c>
      <c r="E224">
        <f ca="1">IFERROR(__xludf.DUMMYFUNCTION("""COMPUTED_VALUE"""),36.36)</f>
        <v>36.36</v>
      </c>
      <c r="F224">
        <f ca="1">IFERROR(__xludf.DUMMYFUNCTION("""COMPUTED_VALUE"""),4)</f>
        <v>4</v>
      </c>
      <c r="G224">
        <f ca="1">IFERROR(__xludf.DUMMYFUNCTION("""COMPUTED_VALUE"""),11)</f>
        <v>11</v>
      </c>
    </row>
    <row r="225" spans="1:7" ht="12.75">
      <c r="A225" t="str">
        <f ca="1">IFERROR(__xludf.DUMMYFUNCTION("""COMPUTED_VALUE"""),"T221")</f>
        <v>T221</v>
      </c>
      <c r="B225" t="str">
        <f ca="1">IFERROR(__xludf.DUMMYFUNCTION("""COMPUTED_VALUE"""),"T211")</f>
        <v>T211</v>
      </c>
      <c r="C225" t="str">
        <f ca="1">IFERROR(__xludf.DUMMYFUNCTION("""COMPUTED_VALUE"""),"Will Zalatoris")</f>
        <v>Will Zalatoris</v>
      </c>
      <c r="D225">
        <f ca="1">IFERROR(__xludf.DUMMYFUNCTION("""COMPUTED_VALUE"""),18)</f>
        <v>18</v>
      </c>
      <c r="E225">
        <f ca="1">IFERROR(__xludf.DUMMYFUNCTION("""COMPUTED_VALUE"""),36.36)</f>
        <v>36.36</v>
      </c>
      <c r="F225">
        <f ca="1">IFERROR(__xludf.DUMMYFUNCTION("""COMPUTED_VALUE"""),4)</f>
        <v>4</v>
      </c>
      <c r="G225">
        <f ca="1">IFERROR(__xludf.DUMMYFUNCTION("""COMPUTED_VALUE"""),11)</f>
        <v>11</v>
      </c>
    </row>
    <row r="226" spans="1:7" ht="12.75">
      <c r="A226">
        <f ca="1">IFERROR(__xludf.DUMMYFUNCTION("""COMPUTED_VALUE"""),225)</f>
        <v>225</v>
      </c>
      <c r="B226" t="str">
        <f ca="1">IFERROR(__xludf.DUMMYFUNCTION("""COMPUTED_VALUE"""),"T216")</f>
        <v>T216</v>
      </c>
      <c r="C226" t="str">
        <f ca="1">IFERROR(__xludf.DUMMYFUNCTION("""COMPUTED_VALUE"""),"Matt Kuchar")</f>
        <v>Matt Kuchar</v>
      </c>
      <c r="D226">
        <f ca="1">IFERROR(__xludf.DUMMYFUNCTION("""COMPUTED_VALUE"""),14)</f>
        <v>14</v>
      </c>
      <c r="E226">
        <f ca="1">IFERROR(__xludf.DUMMYFUNCTION("""COMPUTED_VALUE"""),35.71)</f>
        <v>35.71</v>
      </c>
      <c r="F226">
        <f ca="1">IFERROR(__xludf.DUMMYFUNCTION("""COMPUTED_VALUE"""),5)</f>
        <v>5</v>
      </c>
      <c r="G226">
        <f ca="1">IFERROR(__xludf.DUMMYFUNCTION("""COMPUTED_VALUE"""),14)</f>
        <v>14</v>
      </c>
    </row>
    <row r="227" spans="1:7" ht="12.75">
      <c r="A227">
        <f ca="1">IFERROR(__xludf.DUMMYFUNCTION("""COMPUTED_VALUE"""),226)</f>
        <v>226</v>
      </c>
      <c r="B227" t="str">
        <f ca="1">IFERROR(__xludf.DUMMYFUNCTION("""COMPUTED_VALUE"""),"T216")</f>
        <v>T216</v>
      </c>
      <c r="C227" t="str">
        <f ca="1">IFERROR(__xludf.DUMMYFUNCTION("""COMPUTED_VALUE"""),"Corey Conners")</f>
        <v>Corey Conners</v>
      </c>
      <c r="D227">
        <f ca="1">IFERROR(__xludf.DUMMYFUNCTION("""COMPUTED_VALUE"""),20)</f>
        <v>20</v>
      </c>
      <c r="E227">
        <f ca="1">IFERROR(__xludf.DUMMYFUNCTION("""COMPUTED_VALUE"""),35.29)</f>
        <v>35.29</v>
      </c>
      <c r="F227">
        <f ca="1">IFERROR(__xludf.DUMMYFUNCTION("""COMPUTED_VALUE"""),6)</f>
        <v>6</v>
      </c>
      <c r="G227">
        <f ca="1">IFERROR(__xludf.DUMMYFUNCTION("""COMPUTED_VALUE"""),17)</f>
        <v>17</v>
      </c>
    </row>
    <row r="228" spans="1:7" ht="12.75">
      <c r="A228">
        <f ca="1">IFERROR(__xludf.DUMMYFUNCTION("""COMPUTED_VALUE"""),227)</f>
        <v>227</v>
      </c>
      <c r="B228" t="str">
        <f ca="1">IFERROR(__xludf.DUMMYFUNCTION("""COMPUTED_VALUE"""),"T250")</f>
        <v>T250</v>
      </c>
      <c r="C228" t="str">
        <f ca="1">IFERROR(__xludf.DUMMYFUNCTION("""COMPUTED_VALUE"""),"Henrik Norlander")</f>
        <v>Henrik Norlander</v>
      </c>
      <c r="D228">
        <f ca="1">IFERROR(__xludf.DUMMYFUNCTION("""COMPUTED_VALUE"""),16)</f>
        <v>16</v>
      </c>
      <c r="E228">
        <f ca="1">IFERROR(__xludf.DUMMYFUNCTION("""COMPUTED_VALUE"""),35)</f>
        <v>35</v>
      </c>
      <c r="F228">
        <f ca="1">IFERROR(__xludf.DUMMYFUNCTION("""COMPUTED_VALUE"""),7)</f>
        <v>7</v>
      </c>
      <c r="G228">
        <f ca="1">IFERROR(__xludf.DUMMYFUNCTION("""COMPUTED_VALUE"""),20)</f>
        <v>20</v>
      </c>
    </row>
    <row r="229" spans="1:7" ht="12.75">
      <c r="A229" t="str">
        <f ca="1">IFERROR(__xludf.DUMMYFUNCTION("""COMPUTED_VALUE"""),"T228")</f>
        <v>T228</v>
      </c>
      <c r="B229" t="str">
        <f ca="1">IFERROR(__xludf.DUMMYFUNCTION("""COMPUTED_VALUE"""),"T218")</f>
        <v>T218</v>
      </c>
      <c r="C229" t="str">
        <f ca="1">IFERROR(__xludf.DUMMYFUNCTION("""COMPUTED_VALUE"""),"Tiger Woods")</f>
        <v>Tiger Woods</v>
      </c>
      <c r="D229">
        <f ca="1">IFERROR(__xludf.DUMMYFUNCTION("""COMPUTED_VALUE"""),6)</f>
        <v>6</v>
      </c>
      <c r="E229">
        <f ca="1">IFERROR(__xludf.DUMMYFUNCTION("""COMPUTED_VALUE"""),33.33)</f>
        <v>33.33</v>
      </c>
      <c r="F229">
        <f ca="1">IFERROR(__xludf.DUMMYFUNCTION("""COMPUTED_VALUE"""),4)</f>
        <v>4</v>
      </c>
      <c r="G229">
        <f ca="1">IFERROR(__xludf.DUMMYFUNCTION("""COMPUTED_VALUE"""),12)</f>
        <v>12</v>
      </c>
    </row>
    <row r="230" spans="1:7" ht="12.75">
      <c r="A230" t="str">
        <f ca="1">IFERROR(__xludf.DUMMYFUNCTION("""COMPUTED_VALUE"""),"T228")</f>
        <v>T228</v>
      </c>
      <c r="B230" t="str">
        <f ca="1">IFERROR(__xludf.DUMMYFUNCTION("""COMPUTED_VALUE"""),"T278")</f>
        <v>T278</v>
      </c>
      <c r="C230" t="str">
        <f ca="1">IFERROR(__xludf.DUMMYFUNCTION("""COMPUTED_VALUE"""),"Padraig Harrington")</f>
        <v>Padraig Harrington</v>
      </c>
      <c r="D230">
        <f ca="1">IFERROR(__xludf.DUMMYFUNCTION("""COMPUTED_VALUE"""),8)</f>
        <v>8</v>
      </c>
      <c r="E230">
        <f ca="1">IFERROR(__xludf.DUMMYFUNCTION("""COMPUTED_VALUE"""),33.33)</f>
        <v>33.33</v>
      </c>
      <c r="F230">
        <f ca="1">IFERROR(__xludf.DUMMYFUNCTION("""COMPUTED_VALUE"""),1)</f>
        <v>1</v>
      </c>
      <c r="G230">
        <f ca="1">IFERROR(__xludf.DUMMYFUNCTION("""COMPUTED_VALUE"""),3)</f>
        <v>3</v>
      </c>
    </row>
    <row r="231" spans="1:7" ht="12.75">
      <c r="A231" t="str">
        <f ca="1">IFERROR(__xludf.DUMMYFUNCTION("""COMPUTED_VALUE"""),"T228")</f>
        <v>T228</v>
      </c>
      <c r="B231" t="str">
        <f ca="1">IFERROR(__xludf.DUMMYFUNCTION("""COMPUTED_VALUE"""),"T218")</f>
        <v>T218</v>
      </c>
      <c r="C231" t="str">
        <f ca="1">IFERROR(__xludf.DUMMYFUNCTION("""COMPUTED_VALUE"""),"Justin Rose")</f>
        <v>Justin Rose</v>
      </c>
      <c r="D231">
        <f ca="1">IFERROR(__xludf.DUMMYFUNCTION("""COMPUTED_VALUE"""),10)</f>
        <v>10</v>
      </c>
      <c r="E231">
        <f ca="1">IFERROR(__xludf.DUMMYFUNCTION("""COMPUTED_VALUE"""),33.33)</f>
        <v>33.33</v>
      </c>
      <c r="F231">
        <f ca="1">IFERROR(__xludf.DUMMYFUNCTION("""COMPUTED_VALUE"""),3)</f>
        <v>3</v>
      </c>
      <c r="G231">
        <f ca="1">IFERROR(__xludf.DUMMYFUNCTION("""COMPUTED_VALUE"""),9)</f>
        <v>9</v>
      </c>
    </row>
    <row r="232" spans="1:7" ht="12.75">
      <c r="A232" t="str">
        <f ca="1">IFERROR(__xludf.DUMMYFUNCTION("""COMPUTED_VALUE"""),"T228")</f>
        <v>T228</v>
      </c>
      <c r="B232" t="str">
        <f ca="1">IFERROR(__xludf.DUMMYFUNCTION("""COMPUTED_VALUE"""),"T270")</f>
        <v>T270</v>
      </c>
      <c r="C232" t="str">
        <f ca="1">IFERROR(__xludf.DUMMYFUNCTION("""COMPUTED_VALUE"""),"Lucas Glover")</f>
        <v>Lucas Glover</v>
      </c>
      <c r="D232">
        <f ca="1">IFERROR(__xludf.DUMMYFUNCTION("""COMPUTED_VALUE"""),12)</f>
        <v>12</v>
      </c>
      <c r="E232">
        <f ca="1">IFERROR(__xludf.DUMMYFUNCTION("""COMPUTED_VALUE"""),33.33)</f>
        <v>33.33</v>
      </c>
      <c r="F232">
        <f ca="1">IFERROR(__xludf.DUMMYFUNCTION("""COMPUTED_VALUE"""),3)</f>
        <v>3</v>
      </c>
      <c r="G232">
        <f ca="1">IFERROR(__xludf.DUMMYFUNCTION("""COMPUTED_VALUE"""),9)</f>
        <v>9</v>
      </c>
    </row>
    <row r="233" spans="1:7" ht="12.75">
      <c r="A233" t="str">
        <f ca="1">IFERROR(__xludf.DUMMYFUNCTION("""COMPUTED_VALUE"""),"T228")</f>
        <v>T228</v>
      </c>
      <c r="B233" t="str">
        <f ca="1">IFERROR(__xludf.DUMMYFUNCTION("""COMPUTED_VALUE"""),"T218")</f>
        <v>T218</v>
      </c>
      <c r="C233" t="str">
        <f ca="1">IFERROR(__xludf.DUMMYFUNCTION("""COMPUTED_VALUE"""),"Kevin Kisner")</f>
        <v>Kevin Kisner</v>
      </c>
      <c r="D233">
        <f ca="1">IFERROR(__xludf.DUMMYFUNCTION("""COMPUTED_VALUE"""),10)</f>
        <v>10</v>
      </c>
      <c r="E233">
        <f ca="1">IFERROR(__xludf.DUMMYFUNCTION("""COMPUTED_VALUE"""),33.33)</f>
        <v>33.33</v>
      </c>
      <c r="F233">
        <f ca="1">IFERROR(__xludf.DUMMYFUNCTION("""COMPUTED_VALUE"""),3)</f>
        <v>3</v>
      </c>
      <c r="G233">
        <f ca="1">IFERROR(__xludf.DUMMYFUNCTION("""COMPUTED_VALUE"""),9)</f>
        <v>9</v>
      </c>
    </row>
    <row r="234" spans="1:7" ht="12.75">
      <c r="A234" t="str">
        <f ca="1">IFERROR(__xludf.DUMMYFUNCTION("""COMPUTED_VALUE"""),"T228")</f>
        <v>T228</v>
      </c>
      <c r="B234" t="str">
        <f ca="1">IFERROR(__xludf.DUMMYFUNCTION("""COMPUTED_VALUE"""),"T218")</f>
        <v>T218</v>
      </c>
      <c r="C234" t="str">
        <f ca="1">IFERROR(__xludf.DUMMYFUNCTION("""COMPUTED_VALUE"""),"Tommy Fleetwood")</f>
        <v>Tommy Fleetwood</v>
      </c>
      <c r="D234">
        <f ca="1">IFERROR(__xludf.DUMMYFUNCTION("""COMPUTED_VALUE"""),10)</f>
        <v>10</v>
      </c>
      <c r="E234">
        <f ca="1">IFERROR(__xludf.DUMMYFUNCTION("""COMPUTED_VALUE"""),33.33)</f>
        <v>33.33</v>
      </c>
      <c r="F234">
        <f ca="1">IFERROR(__xludf.DUMMYFUNCTION("""COMPUTED_VALUE"""),3)</f>
        <v>3</v>
      </c>
      <c r="G234">
        <f ca="1">IFERROR(__xludf.DUMMYFUNCTION("""COMPUTED_VALUE"""),9)</f>
        <v>9</v>
      </c>
    </row>
    <row r="235" spans="1:7" ht="12.75">
      <c r="A235" t="str">
        <f ca="1">IFERROR(__xludf.DUMMYFUNCTION("""COMPUTED_VALUE"""),"T228")</f>
        <v>T228</v>
      </c>
      <c r="B235" t="str">
        <f ca="1">IFERROR(__xludf.DUMMYFUNCTION("""COMPUTED_VALUE"""),"T218")</f>
        <v>T218</v>
      </c>
      <c r="C235" t="str">
        <f ca="1">IFERROR(__xludf.DUMMYFUNCTION("""COMPUTED_VALUE"""),"Gary Woodland")</f>
        <v>Gary Woodland</v>
      </c>
      <c r="D235">
        <f ca="1">IFERROR(__xludf.DUMMYFUNCTION("""COMPUTED_VALUE"""),6)</f>
        <v>6</v>
      </c>
      <c r="E235">
        <f ca="1">IFERROR(__xludf.DUMMYFUNCTION("""COMPUTED_VALUE"""),33.33)</f>
        <v>33.33</v>
      </c>
      <c r="F235">
        <f ca="1">IFERROR(__xludf.DUMMYFUNCTION("""COMPUTED_VALUE"""),1)</f>
        <v>1</v>
      </c>
      <c r="G235">
        <f ca="1">IFERROR(__xludf.DUMMYFUNCTION("""COMPUTED_VALUE"""),3)</f>
        <v>3</v>
      </c>
    </row>
    <row r="236" spans="1:7" ht="12.75">
      <c r="A236" t="str">
        <f ca="1">IFERROR(__xludf.DUMMYFUNCTION("""COMPUTED_VALUE"""),"T228")</f>
        <v>T228</v>
      </c>
      <c r="B236" t="str">
        <f ca="1">IFERROR(__xludf.DUMMYFUNCTION("""COMPUTED_VALUE"""),"T206")</f>
        <v>T206</v>
      </c>
      <c r="C236" t="str">
        <f ca="1">IFERROR(__xludf.DUMMYFUNCTION("""COMPUTED_VALUE"""),"Brian Stuard")</f>
        <v>Brian Stuard</v>
      </c>
      <c r="D236">
        <f ca="1">IFERROR(__xludf.DUMMYFUNCTION("""COMPUTED_VALUE"""),18)</f>
        <v>18</v>
      </c>
      <c r="E236">
        <f ca="1">IFERROR(__xludf.DUMMYFUNCTION("""COMPUTED_VALUE"""),33.33)</f>
        <v>33.33</v>
      </c>
      <c r="F236">
        <f ca="1">IFERROR(__xludf.DUMMYFUNCTION("""COMPUTED_VALUE"""),3)</f>
        <v>3</v>
      </c>
      <c r="G236">
        <f ca="1">IFERROR(__xludf.DUMMYFUNCTION("""COMPUTED_VALUE"""),9)</f>
        <v>9</v>
      </c>
    </row>
    <row r="237" spans="1:7" ht="12.75">
      <c r="A237" t="str">
        <f ca="1">IFERROR(__xludf.DUMMYFUNCTION("""COMPUTED_VALUE"""),"T228")</f>
        <v>T228</v>
      </c>
      <c r="B237" t="str">
        <f ca="1">IFERROR(__xludf.DUMMYFUNCTION("""COMPUTED_VALUE"""),"T218")</f>
        <v>T218</v>
      </c>
      <c r="C237" t="str">
        <f ca="1">IFERROR(__xludf.DUMMYFUNCTION("""COMPUTED_VALUE"""),"Michael Thompson")</f>
        <v>Michael Thompson</v>
      </c>
      <c r="D237">
        <f ca="1">IFERROR(__xludf.DUMMYFUNCTION("""COMPUTED_VALUE"""),16)</f>
        <v>16</v>
      </c>
      <c r="E237">
        <f ca="1">IFERROR(__xludf.DUMMYFUNCTION("""COMPUTED_VALUE"""),33.33)</f>
        <v>33.33</v>
      </c>
      <c r="F237">
        <f ca="1">IFERROR(__xludf.DUMMYFUNCTION("""COMPUTED_VALUE"""),5)</f>
        <v>5</v>
      </c>
      <c r="G237">
        <f ca="1">IFERROR(__xludf.DUMMYFUNCTION("""COMPUTED_VALUE"""),15)</f>
        <v>15</v>
      </c>
    </row>
    <row r="238" spans="1:7" ht="12.75">
      <c r="A238" t="str">
        <f ca="1">IFERROR(__xludf.DUMMYFUNCTION("""COMPUTED_VALUE"""),"T228")</f>
        <v>T228</v>
      </c>
      <c r="B238" t="str">
        <f ca="1">IFERROR(__xludf.DUMMYFUNCTION("""COMPUTED_VALUE"""),"T235")</f>
        <v>T235</v>
      </c>
      <c r="C238" t="str">
        <f ca="1">IFERROR(__xludf.DUMMYFUNCTION("""COMPUTED_VALUE"""),"Kevin Tway")</f>
        <v>Kevin Tway</v>
      </c>
      <c r="D238">
        <f ca="1">IFERROR(__xludf.DUMMYFUNCTION("""COMPUTED_VALUE"""),16)</f>
        <v>16</v>
      </c>
      <c r="E238">
        <f ca="1">IFERROR(__xludf.DUMMYFUNCTION("""COMPUTED_VALUE"""),33.33)</f>
        <v>33.33</v>
      </c>
      <c r="F238">
        <f ca="1">IFERROR(__xludf.DUMMYFUNCTION("""COMPUTED_VALUE"""),4)</f>
        <v>4</v>
      </c>
      <c r="G238">
        <f ca="1">IFERROR(__xludf.DUMMYFUNCTION("""COMPUTED_VALUE"""),12)</f>
        <v>12</v>
      </c>
    </row>
    <row r="239" spans="1:7" ht="12.75">
      <c r="A239" t="str">
        <f ca="1">IFERROR(__xludf.DUMMYFUNCTION("""COMPUTED_VALUE"""),"T228")</f>
        <v>T228</v>
      </c>
      <c r="B239" t="str">
        <f ca="1">IFERROR(__xludf.DUMMYFUNCTION("""COMPUTED_VALUE"""),"T218")</f>
        <v>T218</v>
      </c>
      <c r="C239" t="str">
        <f ca="1">IFERROR(__xludf.DUMMYFUNCTION("""COMPUTED_VALUE"""),"Matthias Schwab")</f>
        <v>Matthias Schwab</v>
      </c>
      <c r="D239">
        <f ca="1">IFERROR(__xludf.DUMMYFUNCTION("""COMPUTED_VALUE"""),8)</f>
        <v>8</v>
      </c>
      <c r="E239">
        <f ca="1">IFERROR(__xludf.DUMMYFUNCTION("""COMPUTED_VALUE"""),33.33)</f>
        <v>33.33</v>
      </c>
      <c r="F239">
        <f ca="1">IFERROR(__xludf.DUMMYFUNCTION("""COMPUTED_VALUE"""),2)</f>
        <v>2</v>
      </c>
      <c r="G239">
        <f ca="1">IFERROR(__xludf.DUMMYFUNCTION("""COMPUTED_VALUE"""),6)</f>
        <v>6</v>
      </c>
    </row>
    <row r="240" spans="1:7" ht="12.75">
      <c r="A240" t="str">
        <f ca="1">IFERROR(__xludf.DUMMYFUNCTION("""COMPUTED_VALUE"""),"T228")</f>
        <v>T228</v>
      </c>
      <c r="B240" t="str">
        <f ca="1">IFERROR(__xludf.DUMMYFUNCTION("""COMPUTED_VALUE"""),"T218")</f>
        <v>T218</v>
      </c>
      <c r="C240" t="str">
        <f ca="1">IFERROR(__xludf.DUMMYFUNCTION("""COMPUTED_VALUE"""),"Mikumu Horikawa")</f>
        <v>Mikumu Horikawa</v>
      </c>
      <c r="D240">
        <f ca="1">IFERROR(__xludf.DUMMYFUNCTION("""COMPUTED_VALUE"""),4)</f>
        <v>4</v>
      </c>
      <c r="E240">
        <f ca="1">IFERROR(__xludf.DUMMYFUNCTION("""COMPUTED_VALUE"""),33.33)</f>
        <v>33.33</v>
      </c>
      <c r="F240">
        <f ca="1">IFERROR(__xludf.DUMMYFUNCTION("""COMPUTED_VALUE"""),1)</f>
        <v>1</v>
      </c>
      <c r="G240">
        <f ca="1">IFERROR(__xludf.DUMMYFUNCTION("""COMPUTED_VALUE"""),3)</f>
        <v>3</v>
      </c>
    </row>
    <row r="241" spans="1:7" ht="12.75">
      <c r="A241" t="str">
        <f ca="1">IFERROR(__xludf.DUMMYFUNCTION("""COMPUTED_VALUE"""),"T228")</f>
        <v>T228</v>
      </c>
      <c r="B241" t="str">
        <f ca="1">IFERROR(__xludf.DUMMYFUNCTION("""COMPUTED_VALUE"""),"T211")</f>
        <v>T211</v>
      </c>
      <c r="C241" t="str">
        <f ca="1">IFERROR(__xludf.DUMMYFUNCTION("""COMPUTED_VALUE"""),"Lanto Griffin")</f>
        <v>Lanto Griffin</v>
      </c>
      <c r="D241">
        <f ca="1">IFERROR(__xludf.DUMMYFUNCTION("""COMPUTED_VALUE"""),18)</f>
        <v>18</v>
      </c>
      <c r="E241">
        <f ca="1">IFERROR(__xludf.DUMMYFUNCTION("""COMPUTED_VALUE"""),33.33)</f>
        <v>33.33</v>
      </c>
      <c r="F241">
        <f ca="1">IFERROR(__xludf.DUMMYFUNCTION("""COMPUTED_VALUE"""),5)</f>
        <v>5</v>
      </c>
      <c r="G241">
        <f ca="1">IFERROR(__xludf.DUMMYFUNCTION("""COMPUTED_VALUE"""),15)</f>
        <v>15</v>
      </c>
    </row>
    <row r="242" spans="1:7" ht="12.75">
      <c r="A242" t="str">
        <f ca="1">IFERROR(__xludf.DUMMYFUNCTION("""COMPUTED_VALUE"""),"T228")</f>
        <v>T228</v>
      </c>
      <c r="B242" t="str">
        <f ca="1">IFERROR(__xludf.DUMMYFUNCTION("""COMPUTED_VALUE"""),"T218")</f>
        <v>T218</v>
      </c>
      <c r="C242" t="str">
        <f ca="1">IFERROR(__xludf.DUMMYFUNCTION("""COMPUTED_VALUE"""),"Robert MacIntyre")</f>
        <v>Robert MacIntyre</v>
      </c>
      <c r="D242">
        <f ca="1">IFERROR(__xludf.DUMMYFUNCTION("""COMPUTED_VALUE"""),4)</f>
        <v>4</v>
      </c>
      <c r="E242">
        <f ca="1">IFERROR(__xludf.DUMMYFUNCTION("""COMPUTED_VALUE"""),33.33)</f>
        <v>33.33</v>
      </c>
      <c r="F242">
        <f ca="1">IFERROR(__xludf.DUMMYFUNCTION("""COMPUTED_VALUE"""),3)</f>
        <v>3</v>
      </c>
      <c r="G242">
        <f ca="1">IFERROR(__xludf.DUMMYFUNCTION("""COMPUTED_VALUE"""),9)</f>
        <v>9</v>
      </c>
    </row>
    <row r="243" spans="1:7" ht="12.75">
      <c r="A243" t="str">
        <f ca="1">IFERROR(__xludf.DUMMYFUNCTION("""COMPUTED_VALUE"""),"T228")</f>
        <v>T228</v>
      </c>
      <c r="B243" t="str">
        <f ca="1">IFERROR(__xludf.DUMMYFUNCTION("""COMPUTED_VALUE"""),"T218")</f>
        <v>T218</v>
      </c>
      <c r="C243" t="str">
        <f ca="1">IFERROR(__xludf.DUMMYFUNCTION("""COMPUTED_VALUE"""),"John Pak")</f>
        <v>John Pak</v>
      </c>
      <c r="D243">
        <f ca="1">IFERROR(__xludf.DUMMYFUNCTION("""COMPUTED_VALUE"""),4)</f>
        <v>4</v>
      </c>
      <c r="E243">
        <f ca="1">IFERROR(__xludf.DUMMYFUNCTION("""COMPUTED_VALUE"""),33.33)</f>
        <v>33.33</v>
      </c>
      <c r="F243">
        <f ca="1">IFERROR(__xludf.DUMMYFUNCTION("""COMPUTED_VALUE"""),1)</f>
        <v>1</v>
      </c>
      <c r="G243">
        <f ca="1">IFERROR(__xludf.DUMMYFUNCTION("""COMPUTED_VALUE"""),3)</f>
        <v>3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IFERROR(__xludf.DUMMYFUNCTION("""COMPUTED_VALUE"""),"T218")</f>
        <v>T218</v>
      </c>
      <c r="C244" t="str">
        <f ca="1">IFERROR(__xludf.DUMMYFUNCTION("""COMPUTED_VALUE"""),"Sungjae Im")</f>
        <v>Sungjae Im</v>
      </c>
      <c r="D244">
        <f ca="1">IFERROR(__xludf.DUMMYFUNCTION("""COMPUTED_VALUE"""),24)</f>
        <v>24</v>
      </c>
      <c r="E244">
        <f ca="1">IFERROR(__xludf.DUMMYFUNCTION("""COMPUTED_VALUE"""),31.58)</f>
        <v>31.58</v>
      </c>
      <c r="F244">
        <f ca="1">IFERROR(__xludf.DUMMYFUNCTION("""COMPUTED_VALUE"""),6)</f>
        <v>6</v>
      </c>
      <c r="G244">
        <f ca="1">IFERROR(__xludf.DUMMYFUNCTION("""COMPUTED_VALUE"""),19)</f>
        <v>19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IFERROR(__xludf.DUMMYFUNCTION("""COMPUTED_VALUE"""),234)</f>
        <v>234</v>
      </c>
      <c r="C245" t="str">
        <f ca="1">IFERROR(__xludf.DUMMYFUNCTION("""COMPUTED_VALUE"""),"Ryan Palmer")</f>
        <v>Ryan Palmer</v>
      </c>
      <c r="D245">
        <f ca="1">IFERROR(__xludf.DUMMYFUNCTION("""COMPUTED_VALUE"""),14)</f>
        <v>14</v>
      </c>
      <c r="E245">
        <f ca="1">IFERROR(__xludf.DUMMYFUNCTION("""COMPUTED_VALUE"""),30.77)</f>
        <v>30.77</v>
      </c>
      <c r="F245">
        <f ca="1">IFERROR(__xludf.DUMMYFUNCTION("""COMPUTED_VALUE"""),4)</f>
        <v>4</v>
      </c>
      <c r="G245">
        <f ca="1">IFERROR(__xludf.DUMMYFUNCTION("""COMPUTED_VALUE"""),13)</f>
        <v>13</v>
      </c>
    </row>
    <row r="246" spans="1:7" ht="12.75">
      <c r="A246" t="str">
        <f ca="1">IFERROR(__xludf.DUMMYFUNCTION("""COMPUTED_VALUE"""),"T245")</f>
        <v>T245</v>
      </c>
      <c r="B246" t="str">
        <f ca="1">IFERROR(__xludf.DUMMYFUNCTION("""COMPUTED_VALUE"""),"T206")</f>
        <v>T206</v>
      </c>
      <c r="C246" t="str">
        <f ca="1">IFERROR(__xludf.DUMMYFUNCTION("""COMPUTED_VALUE"""),"Lee Westwood")</f>
        <v>Lee Westwood</v>
      </c>
      <c r="D246">
        <f ca="1">IFERROR(__xludf.DUMMYFUNCTION("""COMPUTED_VALUE"""),6)</f>
        <v>6</v>
      </c>
      <c r="E246">
        <f ca="1">IFERROR(__xludf.DUMMYFUNCTION("""COMPUTED_VALUE"""),30)</f>
        <v>30</v>
      </c>
      <c r="F246">
        <f ca="1">IFERROR(__xludf.DUMMYFUNCTION("""COMPUTED_VALUE"""),3)</f>
        <v>3</v>
      </c>
      <c r="G246">
        <f ca="1">IFERROR(__xludf.DUMMYFUNCTION("""COMPUTED_VALUE"""),10)</f>
        <v>10</v>
      </c>
    </row>
    <row r="247" spans="1:7" ht="12.75">
      <c r="A247" t="str">
        <f ca="1">IFERROR(__xludf.DUMMYFUNCTION("""COMPUTED_VALUE"""),"T245")</f>
        <v>T245</v>
      </c>
      <c r="B247" t="str">
        <f ca="1">IFERROR(__xludf.DUMMYFUNCTION("""COMPUTED_VALUE"""),"")</f>
        <v/>
      </c>
      <c r="C247" t="str">
        <f ca="1">IFERROR(__xludf.DUMMYFUNCTION("""COMPUTED_VALUE"""),"Greg Chalmers")</f>
        <v>Greg Chalmers</v>
      </c>
      <c r="D247">
        <f ca="1">IFERROR(__xludf.DUMMYFUNCTION("""COMPUTED_VALUE"""),6)</f>
        <v>6</v>
      </c>
      <c r="E247">
        <f ca="1">IFERROR(__xludf.DUMMYFUNCTION("""COMPUTED_VALUE"""),30)</f>
        <v>30</v>
      </c>
      <c r="F247">
        <f ca="1">IFERROR(__xludf.DUMMYFUNCTION("""COMPUTED_VALUE"""),3)</f>
        <v>3</v>
      </c>
      <c r="G247">
        <f ca="1">IFERROR(__xludf.DUMMYFUNCTION("""COMPUTED_VALUE"""),10)</f>
        <v>10</v>
      </c>
    </row>
    <row r="248" spans="1:7" ht="12.75">
      <c r="A248" t="str">
        <f ca="1">IFERROR(__xludf.DUMMYFUNCTION("""COMPUTED_VALUE"""),"T245")</f>
        <v>T245</v>
      </c>
      <c r="B248" t="str">
        <f ca="1">IFERROR(__xludf.DUMMYFUNCTION("""COMPUTED_VALUE"""),"T235")</f>
        <v>T235</v>
      </c>
      <c r="C248" t="str">
        <f ca="1">IFERROR(__xludf.DUMMYFUNCTION("""COMPUTED_VALUE"""),"Nick Taylor")</f>
        <v>Nick Taylor</v>
      </c>
      <c r="D248">
        <f ca="1">IFERROR(__xludf.DUMMYFUNCTION("""COMPUTED_VALUE"""),12)</f>
        <v>12</v>
      </c>
      <c r="E248">
        <f ca="1">IFERROR(__xludf.DUMMYFUNCTION("""COMPUTED_VALUE"""),30)</f>
        <v>30</v>
      </c>
      <c r="F248">
        <f ca="1">IFERROR(__xludf.DUMMYFUNCTION("""COMPUTED_VALUE"""),3)</f>
        <v>3</v>
      </c>
      <c r="G248">
        <f ca="1">IFERROR(__xludf.DUMMYFUNCTION("""COMPUTED_VALUE"""),10)</f>
        <v>10</v>
      </c>
    </row>
    <row r="249" spans="1:7" ht="12.75">
      <c r="A249" t="str">
        <f ca="1">IFERROR(__xludf.DUMMYFUNCTION("""COMPUTED_VALUE"""),"T245")</f>
        <v>T245</v>
      </c>
      <c r="B249" t="str">
        <f ca="1">IFERROR(__xludf.DUMMYFUNCTION("""COMPUTED_VALUE"""),"T218")</f>
        <v>T218</v>
      </c>
      <c r="C249" t="str">
        <f ca="1">IFERROR(__xludf.DUMMYFUNCTION("""COMPUTED_VALUE"""),"Xinjun Zhang")</f>
        <v>Xinjun Zhang</v>
      </c>
      <c r="D249">
        <f ca="1">IFERROR(__xludf.DUMMYFUNCTION("""COMPUTED_VALUE"""),14)</f>
        <v>14</v>
      </c>
      <c r="E249">
        <f ca="1">IFERROR(__xludf.DUMMYFUNCTION("""COMPUTED_VALUE"""),30)</f>
        <v>30</v>
      </c>
      <c r="F249">
        <f ca="1">IFERROR(__xludf.DUMMYFUNCTION("""COMPUTED_VALUE"""),3)</f>
        <v>3</v>
      </c>
      <c r="G249">
        <f ca="1">IFERROR(__xludf.DUMMYFUNCTION("""COMPUTED_VALUE"""),10)</f>
        <v>10</v>
      </c>
    </row>
    <row r="250" spans="1:7" ht="12.75">
      <c r="A250" t="str">
        <f ca="1">IFERROR(__xludf.DUMMYFUNCTION("""COMPUTED_VALUE"""),"T245")</f>
        <v>T245</v>
      </c>
      <c r="B250" t="str">
        <f ca="1">IFERROR(__xludf.DUMMYFUNCTION("""COMPUTED_VALUE"""),"T235")</f>
        <v>T235</v>
      </c>
      <c r="C250" t="str">
        <f ca="1">IFERROR(__xludf.DUMMYFUNCTION("""COMPUTED_VALUE"""),"Robert Streb")</f>
        <v>Robert Streb</v>
      </c>
      <c r="D250">
        <f ca="1">IFERROR(__xludf.DUMMYFUNCTION("""COMPUTED_VALUE"""),12)</f>
        <v>12</v>
      </c>
      <c r="E250">
        <f ca="1">IFERROR(__xludf.DUMMYFUNCTION("""COMPUTED_VALUE"""),30)</f>
        <v>30</v>
      </c>
      <c r="F250">
        <f ca="1">IFERROR(__xludf.DUMMYFUNCTION("""COMPUTED_VALUE"""),3)</f>
        <v>3</v>
      </c>
      <c r="G250">
        <f ca="1">IFERROR(__xludf.DUMMYFUNCTION("""COMPUTED_VALUE"""),10)</f>
        <v>10</v>
      </c>
    </row>
    <row r="251" spans="1:7" ht="12.75">
      <c r="A251" t="str">
        <f ca="1">IFERROR(__xludf.DUMMYFUNCTION("""COMPUTED_VALUE"""),"T250")</f>
        <v>T250</v>
      </c>
      <c r="B251" t="str">
        <f ca="1">IFERROR(__xludf.DUMMYFUNCTION("""COMPUTED_VALUE"""),"T270")</f>
        <v>T270</v>
      </c>
      <c r="C251" t="str">
        <f ca="1">IFERROR(__xludf.DUMMYFUNCTION("""COMPUTED_VALUE"""),"Kevin Stadler")</f>
        <v>Kevin Stadler</v>
      </c>
      <c r="D251">
        <f ca="1">IFERROR(__xludf.DUMMYFUNCTION("""COMPUTED_VALUE"""),8)</f>
        <v>8</v>
      </c>
      <c r="E251">
        <f ca="1">IFERROR(__xludf.DUMMYFUNCTION("""COMPUTED_VALUE"""),28.57)</f>
        <v>28.57</v>
      </c>
      <c r="F251">
        <f ca="1">IFERROR(__xludf.DUMMYFUNCTION("""COMPUTED_VALUE"""),2)</f>
        <v>2</v>
      </c>
      <c r="G251">
        <f ca="1">IFERROR(__xludf.DUMMYFUNCTION("""COMPUTED_VALUE"""),7)</f>
        <v>7</v>
      </c>
    </row>
    <row r="252" spans="1:7" ht="12.75">
      <c r="A252" t="str">
        <f ca="1">IFERROR(__xludf.DUMMYFUNCTION("""COMPUTED_VALUE"""),"T250")</f>
        <v>T250</v>
      </c>
      <c r="B252" t="str">
        <f ca="1">IFERROR(__xludf.DUMMYFUNCTION("""COMPUTED_VALUE"""),"T240")</f>
        <v>T240</v>
      </c>
      <c r="C252" t="str">
        <f ca="1">IFERROR(__xludf.DUMMYFUNCTION("""COMPUTED_VALUE"""),"J.B. Holmes")</f>
        <v>J.B. Holmes</v>
      </c>
      <c r="D252">
        <f ca="1">IFERROR(__xludf.DUMMYFUNCTION("""COMPUTED_VALUE"""),10)</f>
        <v>10</v>
      </c>
      <c r="E252">
        <f ca="1">IFERROR(__xludf.DUMMYFUNCTION("""COMPUTED_VALUE"""),28.57)</f>
        <v>28.57</v>
      </c>
      <c r="F252">
        <f ca="1">IFERROR(__xludf.DUMMYFUNCTION("""COMPUTED_VALUE"""),2)</f>
        <v>2</v>
      </c>
      <c r="G252">
        <f ca="1">IFERROR(__xludf.DUMMYFUNCTION("""COMPUTED_VALUE"""),7)</f>
        <v>7</v>
      </c>
    </row>
    <row r="253" spans="1:7" ht="12.75">
      <c r="A253" t="str">
        <f ca="1">IFERROR(__xludf.DUMMYFUNCTION("""COMPUTED_VALUE"""),"T250")</f>
        <v>T250</v>
      </c>
      <c r="B253" t="str">
        <f ca="1">IFERROR(__xludf.DUMMYFUNCTION("""COMPUTED_VALUE"""),"T240")</f>
        <v>T240</v>
      </c>
      <c r="C253" t="str">
        <f ca="1">IFERROR(__xludf.DUMMYFUNCTION("""COMPUTED_VALUE"""),"Tommy Gainey")</f>
        <v>Tommy Gainey</v>
      </c>
      <c r="D253">
        <f ca="1">IFERROR(__xludf.DUMMYFUNCTION("""COMPUTED_VALUE"""),6)</f>
        <v>6</v>
      </c>
      <c r="E253">
        <f ca="1">IFERROR(__xludf.DUMMYFUNCTION("""COMPUTED_VALUE"""),28.57)</f>
        <v>28.57</v>
      </c>
      <c r="F253">
        <f ca="1">IFERROR(__xludf.DUMMYFUNCTION("""COMPUTED_VALUE"""),2)</f>
        <v>2</v>
      </c>
      <c r="G253">
        <f ca="1">IFERROR(__xludf.DUMMYFUNCTION("""COMPUTED_VALUE"""),7)</f>
        <v>7</v>
      </c>
    </row>
    <row r="254" spans="1:7" ht="12.75">
      <c r="A254" t="str">
        <f ca="1">IFERROR(__xludf.DUMMYFUNCTION("""COMPUTED_VALUE"""),"T250")</f>
        <v>T250</v>
      </c>
      <c r="B254" t="str">
        <f ca="1">IFERROR(__xludf.DUMMYFUNCTION("""COMPUTED_VALUE"""),"T240")</f>
        <v>T240</v>
      </c>
      <c r="C254" t="str">
        <f ca="1">IFERROR(__xludf.DUMMYFUNCTION("""COMPUTED_VALUE"""),"Jim Herman")</f>
        <v>Jim Herman</v>
      </c>
      <c r="D254">
        <f ca="1">IFERROR(__xludf.DUMMYFUNCTION("""COMPUTED_VALUE"""),12)</f>
        <v>12</v>
      </c>
      <c r="E254">
        <f ca="1">IFERROR(__xludf.DUMMYFUNCTION("""COMPUTED_VALUE"""),28.57)</f>
        <v>28.57</v>
      </c>
      <c r="F254">
        <f ca="1">IFERROR(__xludf.DUMMYFUNCTION("""COMPUTED_VALUE"""),2)</f>
        <v>2</v>
      </c>
      <c r="G254">
        <f ca="1">IFERROR(__xludf.DUMMYFUNCTION("""COMPUTED_VALUE"""),7)</f>
        <v>7</v>
      </c>
    </row>
    <row r="255" spans="1:7" ht="12.75">
      <c r="A255" t="str">
        <f ca="1">IFERROR(__xludf.DUMMYFUNCTION("""COMPUTED_VALUE"""),"T250")</f>
        <v>T250</v>
      </c>
      <c r="B255" t="str">
        <f ca="1">IFERROR(__xludf.DUMMYFUNCTION("""COMPUTED_VALUE"""),"T240")</f>
        <v>T240</v>
      </c>
      <c r="C255" t="str">
        <f ca="1">IFERROR(__xludf.DUMMYFUNCTION("""COMPUTED_VALUE"""),"Shugo Imahira")</f>
        <v>Shugo Imahira</v>
      </c>
      <c r="D255">
        <f ca="1">IFERROR(__xludf.DUMMYFUNCTION("""COMPUTED_VALUE"""),8)</f>
        <v>8</v>
      </c>
      <c r="E255">
        <f ca="1">IFERROR(__xludf.DUMMYFUNCTION("""COMPUTED_VALUE"""),28.57)</f>
        <v>28.57</v>
      </c>
      <c r="F255">
        <f ca="1">IFERROR(__xludf.DUMMYFUNCTION("""COMPUTED_VALUE"""),2)</f>
        <v>2</v>
      </c>
      <c r="G255">
        <f ca="1">IFERROR(__xludf.DUMMYFUNCTION("""COMPUTED_VALUE"""),7)</f>
        <v>7</v>
      </c>
    </row>
    <row r="256" spans="1:7" ht="12.75">
      <c r="A256" t="str">
        <f ca="1">IFERROR(__xludf.DUMMYFUNCTION("""COMPUTED_VALUE"""),"T250")</f>
        <v>T250</v>
      </c>
      <c r="B256" t="str">
        <f ca="1">IFERROR(__xludf.DUMMYFUNCTION("""COMPUTED_VALUE"""),"T240")</f>
        <v>T240</v>
      </c>
      <c r="C256" t="str">
        <f ca="1">IFERROR(__xludf.DUMMYFUNCTION("""COMPUTED_VALUE"""),"Matthew NeSmith")</f>
        <v>Matthew NeSmith</v>
      </c>
      <c r="D256">
        <f ca="1">IFERROR(__xludf.DUMMYFUNCTION("""COMPUTED_VALUE"""),16)</f>
        <v>16</v>
      </c>
      <c r="E256">
        <f ca="1">IFERROR(__xludf.DUMMYFUNCTION("""COMPUTED_VALUE"""),28.57)</f>
        <v>28.57</v>
      </c>
      <c r="F256">
        <f ca="1">IFERROR(__xludf.DUMMYFUNCTION("""COMPUTED_VALUE"""),2)</f>
        <v>2</v>
      </c>
      <c r="G256">
        <f ca="1">IFERROR(__xludf.DUMMYFUNCTION("""COMPUTED_VALUE"""),7)</f>
        <v>7</v>
      </c>
    </row>
    <row r="257" spans="1:7" ht="12.75">
      <c r="A257" t="str">
        <f ca="1">IFERROR(__xludf.DUMMYFUNCTION("""COMPUTED_VALUE"""),"T250")</f>
        <v>T250</v>
      </c>
      <c r="B257" t="str">
        <f ca="1">IFERROR(__xludf.DUMMYFUNCTION("""COMPUTED_VALUE"""),"T240")</f>
        <v>T240</v>
      </c>
      <c r="C257" t="str">
        <f ca="1">IFERROR(__xludf.DUMMYFUNCTION("""COMPUTED_VALUE"""),"Rasmus Hojgaard")</f>
        <v>Rasmus Hojgaard</v>
      </c>
      <c r="D257">
        <f ca="1">IFERROR(__xludf.DUMMYFUNCTION("""COMPUTED_VALUE"""),6)</f>
        <v>6</v>
      </c>
      <c r="E257">
        <f ca="1">IFERROR(__xludf.DUMMYFUNCTION("""COMPUTED_VALUE"""),28.57)</f>
        <v>28.57</v>
      </c>
      <c r="F257">
        <f ca="1">IFERROR(__xludf.DUMMYFUNCTION("""COMPUTED_VALUE"""),2)</f>
        <v>2</v>
      </c>
      <c r="G257">
        <f ca="1">IFERROR(__xludf.DUMMYFUNCTION("""COMPUTED_VALUE"""),7)</f>
        <v>7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IFERROR(__xludf.DUMMYFUNCTION("""COMPUTED_VALUE"""),"T248")</f>
        <v>T248</v>
      </c>
      <c r="C258" t="str">
        <f ca="1">IFERROR(__xludf.DUMMYFUNCTION("""COMPUTED_VALUE"""),"Joel Dahmen")</f>
        <v>Joel Dahmen</v>
      </c>
      <c r="D258">
        <f ca="1">IFERROR(__xludf.DUMMYFUNCTION("""COMPUTED_VALUE"""),18)</f>
        <v>18</v>
      </c>
      <c r="E258">
        <f ca="1">IFERROR(__xludf.DUMMYFUNCTION("""COMPUTED_VALUE"""),27.27)</f>
        <v>27.27</v>
      </c>
      <c r="F258">
        <f ca="1">IFERROR(__xludf.DUMMYFUNCTION("""COMPUTED_VALUE"""),3)</f>
        <v>3</v>
      </c>
      <c r="G258">
        <f ca="1">IFERROR(__xludf.DUMMYFUNCTION("""COMPUTED_VALUE"""),11)</f>
        <v>11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IFERROR(__xludf.DUMMYFUNCTION("""COMPUTED_VALUE"""),"T250")</f>
        <v>T250</v>
      </c>
      <c r="C259" t="str">
        <f ca="1">IFERROR(__xludf.DUMMYFUNCTION("""COMPUTED_VALUE"""),"Jay McLuen")</f>
        <v>Jay McLuen</v>
      </c>
      <c r="D259">
        <f ca="1">IFERROR(__xludf.DUMMYFUNCTION("""COMPUTED_VALUE"""),4)</f>
        <v>4</v>
      </c>
      <c r="E259">
        <f ca="1">IFERROR(__xludf.DUMMYFUNCTION("""COMPUTED_VALUE"""),25)</f>
        <v>25</v>
      </c>
      <c r="F259">
        <f ca="1">IFERROR(__xludf.DUMMYFUNCTION("""COMPUTED_VALUE"""),2)</f>
        <v>2</v>
      </c>
      <c r="G259">
        <f ca="1">IFERROR(__xludf.DUMMYFUNCTION("""COMPUTED_VALUE"""),8)</f>
        <v>8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IFERROR(__xludf.DUMMYFUNCTION("""COMPUTED_VALUE"""),"")</f>
        <v/>
      </c>
      <c r="C260" t="str">
        <f ca="1">IFERROR(__xludf.DUMMYFUNCTION("""COMPUTED_VALUE"""),"Justin Harding")</f>
        <v>Justin Harding</v>
      </c>
      <c r="D260">
        <f ca="1">IFERROR(__xludf.DUMMYFUNCTION("""COMPUTED_VALUE"""),6)</f>
        <v>6</v>
      </c>
      <c r="E260">
        <f ca="1">IFERROR(__xludf.DUMMYFUNCTION("""COMPUTED_VALUE"""),25)</f>
        <v>25</v>
      </c>
      <c r="F260">
        <f ca="1">IFERROR(__xludf.DUMMYFUNCTION("""COMPUTED_VALUE"""),2)</f>
        <v>2</v>
      </c>
      <c r="G260">
        <f ca="1">IFERROR(__xludf.DUMMYFUNCTION("""COMPUTED_VALUE"""),8)</f>
        <v>8</v>
      </c>
    </row>
    <row r="261" spans="1:7" ht="12.75">
      <c r="A261" t="str">
        <f ca="1">IFERROR(__xludf.DUMMYFUNCTION("""COMPUTED_VALUE"""),"T258")</f>
        <v>T258</v>
      </c>
      <c r="B261" t="str">
        <f ca="1">IFERROR(__xludf.DUMMYFUNCTION("""COMPUTED_VALUE"""),"T250")</f>
        <v>T250</v>
      </c>
      <c r="C261" t="str">
        <f ca="1">IFERROR(__xludf.DUMMYFUNCTION("""COMPUTED_VALUE"""),"Bernd Wiesberger")</f>
        <v>Bernd Wiesberger</v>
      </c>
      <c r="D261">
        <f ca="1">IFERROR(__xludf.DUMMYFUNCTION("""COMPUTED_VALUE"""),4)</f>
        <v>4</v>
      </c>
      <c r="E261">
        <f ca="1">IFERROR(__xludf.DUMMYFUNCTION("""COMPUTED_VALUE"""),25)</f>
        <v>25</v>
      </c>
      <c r="F261">
        <f ca="1">IFERROR(__xludf.DUMMYFUNCTION("""COMPUTED_VALUE"""),2)</f>
        <v>2</v>
      </c>
      <c r="G261">
        <f ca="1">IFERROR(__xludf.DUMMYFUNCTION("""COMPUTED_VALUE"""),8)</f>
        <v>8</v>
      </c>
    </row>
    <row r="262" spans="1:7" ht="12.75">
      <c r="A262" t="str">
        <f ca="1">IFERROR(__xludf.DUMMYFUNCTION("""COMPUTED_VALUE"""),"T258")</f>
        <v>T258</v>
      </c>
      <c r="B262" t="str">
        <f ca="1">IFERROR(__xludf.DUMMYFUNCTION("""COMPUTED_VALUE"""),"T250")</f>
        <v>T250</v>
      </c>
      <c r="C262" t="str">
        <f ca="1">IFERROR(__xludf.DUMMYFUNCTION("""COMPUTED_VALUE"""),"Rickie Fowler")</f>
        <v>Rickie Fowler</v>
      </c>
      <c r="D262">
        <f ca="1">IFERROR(__xludf.DUMMYFUNCTION("""COMPUTED_VALUE"""),14)</f>
        <v>14</v>
      </c>
      <c r="E262">
        <f ca="1">IFERROR(__xludf.DUMMYFUNCTION("""COMPUTED_VALUE"""),25)</f>
        <v>25</v>
      </c>
      <c r="F262">
        <f ca="1">IFERROR(__xludf.DUMMYFUNCTION("""COMPUTED_VALUE"""),2)</f>
        <v>2</v>
      </c>
      <c r="G262">
        <f ca="1">IFERROR(__xludf.DUMMYFUNCTION("""COMPUTED_VALUE"""),8)</f>
        <v>8</v>
      </c>
    </row>
    <row r="263" spans="1:7" ht="12.75">
      <c r="A263" t="str">
        <f ca="1">IFERROR(__xludf.DUMMYFUNCTION("""COMPUTED_VALUE"""),"T258")</f>
        <v>T258</v>
      </c>
      <c r="B263" t="str">
        <f ca="1">IFERROR(__xludf.DUMMYFUNCTION("""COMPUTED_VALUE"""),"T248")</f>
        <v>T248</v>
      </c>
      <c r="C263" t="str">
        <f ca="1">IFERROR(__xludf.DUMMYFUNCTION("""COMPUTED_VALUE"""),"Kelly Kraft")</f>
        <v>Kelly Kraft</v>
      </c>
      <c r="D263">
        <f ca="1">IFERROR(__xludf.DUMMYFUNCTION("""COMPUTED_VALUE"""),14)</f>
        <v>14</v>
      </c>
      <c r="E263">
        <f ca="1">IFERROR(__xludf.DUMMYFUNCTION("""COMPUTED_VALUE"""),25)</f>
        <v>25</v>
      </c>
      <c r="F263">
        <f ca="1">IFERROR(__xludf.DUMMYFUNCTION("""COMPUTED_VALUE"""),3)</f>
        <v>3</v>
      </c>
      <c r="G263">
        <f ca="1">IFERROR(__xludf.DUMMYFUNCTION("""COMPUTED_VALUE"""),12)</f>
        <v>12</v>
      </c>
    </row>
    <row r="264" spans="1:7" ht="12.75">
      <c r="A264" t="str">
        <f ca="1">IFERROR(__xludf.DUMMYFUNCTION("""COMPUTED_VALUE"""),"T258")</f>
        <v>T258</v>
      </c>
      <c r="B264" t="str">
        <f ca="1">IFERROR(__xludf.DUMMYFUNCTION("""COMPUTED_VALUE"""),"T250")</f>
        <v>T250</v>
      </c>
      <c r="C264" t="str">
        <f ca="1">IFERROR(__xludf.DUMMYFUNCTION("""COMPUTED_VALUE"""),"Joaquin Niemann")</f>
        <v>Joaquin Niemann</v>
      </c>
      <c r="D264">
        <f ca="1">IFERROR(__xludf.DUMMYFUNCTION("""COMPUTED_VALUE"""),16)</f>
        <v>16</v>
      </c>
      <c r="E264">
        <f ca="1">IFERROR(__xludf.DUMMYFUNCTION("""COMPUTED_VALUE"""),25)</f>
        <v>25</v>
      </c>
      <c r="F264">
        <f ca="1">IFERROR(__xludf.DUMMYFUNCTION("""COMPUTED_VALUE"""),3)</f>
        <v>3</v>
      </c>
      <c r="G264">
        <f ca="1">IFERROR(__xludf.DUMMYFUNCTION("""COMPUTED_VALUE"""),12)</f>
        <v>12</v>
      </c>
    </row>
    <row r="265" spans="1:7" ht="12.75">
      <c r="A265" t="str">
        <f ca="1">IFERROR(__xludf.DUMMYFUNCTION("""COMPUTED_VALUE"""),"T258")</f>
        <v>T258</v>
      </c>
      <c r="B265" t="str">
        <f ca="1">IFERROR(__xludf.DUMMYFUNCTION("""COMPUTED_VALUE"""),"T250")</f>
        <v>T250</v>
      </c>
      <c r="C265" t="str">
        <f ca="1">IFERROR(__xludf.DUMMYFUNCTION("""COMPUTED_VALUE"""),"Michael Miller")</f>
        <v>Michael Miller</v>
      </c>
      <c r="D265">
        <f ca="1">IFERROR(__xludf.DUMMYFUNCTION("""COMPUTED_VALUE"""),4)</f>
        <v>4</v>
      </c>
      <c r="E265">
        <f ca="1">IFERROR(__xludf.DUMMYFUNCTION("""COMPUTED_VALUE"""),25)</f>
        <v>25</v>
      </c>
      <c r="F265">
        <f ca="1">IFERROR(__xludf.DUMMYFUNCTION("""COMPUTED_VALUE"""),1)</f>
        <v>1</v>
      </c>
      <c r="G265">
        <f ca="1">IFERROR(__xludf.DUMMYFUNCTION("""COMPUTED_VALUE"""),4)</f>
        <v>4</v>
      </c>
    </row>
    <row r="266" spans="1:7" ht="12.75">
      <c r="A266" t="str">
        <f ca="1">IFERROR(__xludf.DUMMYFUNCTION("""COMPUTED_VALUE"""),"T258")</f>
        <v>T258</v>
      </c>
      <c r="B266" t="str">
        <f ca="1">IFERROR(__xludf.DUMMYFUNCTION("""COMPUTED_VALUE"""),"T250")</f>
        <v>T250</v>
      </c>
      <c r="C266" t="str">
        <f ca="1">IFERROR(__xludf.DUMMYFUNCTION("""COMPUTED_VALUE"""),"Naoki Sekito")</f>
        <v>Naoki Sekito</v>
      </c>
      <c r="D266">
        <f ca="1">IFERROR(__xludf.DUMMYFUNCTION("""COMPUTED_VALUE"""),4)</f>
        <v>4</v>
      </c>
      <c r="E266">
        <f ca="1">IFERROR(__xludf.DUMMYFUNCTION("""COMPUTED_VALUE"""),25)</f>
        <v>25</v>
      </c>
      <c r="F266">
        <f ca="1">IFERROR(__xludf.DUMMYFUNCTION("""COMPUTED_VALUE"""),1)</f>
        <v>1</v>
      </c>
      <c r="G266">
        <f ca="1">IFERROR(__xludf.DUMMYFUNCTION("""COMPUTED_VALUE"""),4)</f>
        <v>4</v>
      </c>
    </row>
    <row r="267" spans="1:7" ht="12.75">
      <c r="A267">
        <f ca="1">IFERROR(__xludf.DUMMYFUNCTION("""COMPUTED_VALUE"""),266)</f>
        <v>266</v>
      </c>
      <c r="B267" t="str">
        <f ca="1">IFERROR(__xludf.DUMMYFUNCTION("""COMPUTED_VALUE"""),"T250")</f>
        <v>T250</v>
      </c>
      <c r="C267" t="str">
        <f ca="1">IFERROR(__xludf.DUMMYFUNCTION("""COMPUTED_VALUE"""),"Tom Hoge")</f>
        <v>Tom Hoge</v>
      </c>
      <c r="D267">
        <f ca="1">IFERROR(__xludf.DUMMYFUNCTION("""COMPUTED_VALUE"""),22)</f>
        <v>22</v>
      </c>
      <c r="E267">
        <f ca="1">IFERROR(__xludf.DUMMYFUNCTION("""COMPUTED_VALUE"""),23.53)</f>
        <v>23.53</v>
      </c>
      <c r="F267">
        <f ca="1">IFERROR(__xludf.DUMMYFUNCTION("""COMPUTED_VALUE"""),4)</f>
        <v>4</v>
      </c>
      <c r="G267">
        <f ca="1">IFERROR(__xludf.DUMMYFUNCTION("""COMPUTED_VALUE"""),17)</f>
        <v>17</v>
      </c>
    </row>
    <row r="268" spans="1:7" ht="12.75">
      <c r="A268" t="str">
        <f ca="1">IFERROR(__xludf.DUMMYFUNCTION("""COMPUTED_VALUE"""),"T267")</f>
        <v>T267</v>
      </c>
      <c r="B268" t="str">
        <f ca="1">IFERROR(__xludf.DUMMYFUNCTION("""COMPUTED_VALUE"""),"T259")</f>
        <v>T259</v>
      </c>
      <c r="C268" t="str">
        <f ca="1">IFERROR(__xludf.DUMMYFUNCTION("""COMPUTED_VALUE"""),"Nick Watney")</f>
        <v>Nick Watney</v>
      </c>
      <c r="D268">
        <f ca="1">IFERROR(__xludf.DUMMYFUNCTION("""COMPUTED_VALUE"""),10)</f>
        <v>10</v>
      </c>
      <c r="E268">
        <f ca="1">IFERROR(__xludf.DUMMYFUNCTION("""COMPUTED_VALUE"""),22.22)</f>
        <v>22.22</v>
      </c>
      <c r="F268">
        <f ca="1">IFERROR(__xludf.DUMMYFUNCTION("""COMPUTED_VALUE"""),2)</f>
        <v>2</v>
      </c>
      <c r="G268">
        <f ca="1">IFERROR(__xludf.DUMMYFUNCTION("""COMPUTED_VALUE"""),9)</f>
        <v>9</v>
      </c>
    </row>
    <row r="269" spans="1:7" ht="12.75">
      <c r="A269" t="str">
        <f ca="1">IFERROR(__xludf.DUMMYFUNCTION("""COMPUTED_VALUE"""),"T267")</f>
        <v>T267</v>
      </c>
      <c r="B269" t="str">
        <f ca="1">IFERROR(__xludf.DUMMYFUNCTION("""COMPUTED_VALUE"""),"T250")</f>
        <v>T250</v>
      </c>
      <c r="C269" t="str">
        <f ca="1">IFERROR(__xludf.DUMMYFUNCTION("""COMPUTED_VALUE"""),"Grayson Murray")</f>
        <v>Grayson Murray</v>
      </c>
      <c r="D269">
        <f ca="1">IFERROR(__xludf.DUMMYFUNCTION("""COMPUTED_VALUE"""),10)</f>
        <v>10</v>
      </c>
      <c r="E269">
        <f ca="1">IFERROR(__xludf.DUMMYFUNCTION("""COMPUTED_VALUE"""),22.22)</f>
        <v>22.22</v>
      </c>
      <c r="F269">
        <f ca="1">IFERROR(__xludf.DUMMYFUNCTION("""COMPUTED_VALUE"""),2)</f>
        <v>2</v>
      </c>
      <c r="G269">
        <f ca="1">IFERROR(__xludf.DUMMYFUNCTION("""COMPUTED_VALUE"""),9)</f>
        <v>9</v>
      </c>
    </row>
    <row r="270" spans="1:7" ht="12.75">
      <c r="A270" t="str">
        <f ca="1">IFERROR(__xludf.DUMMYFUNCTION("""COMPUTED_VALUE"""),"T267")</f>
        <v>T267</v>
      </c>
      <c r="B270" t="str">
        <f ca="1">IFERROR(__xludf.DUMMYFUNCTION("""COMPUTED_VALUE"""),"T259")</f>
        <v>T259</v>
      </c>
      <c r="C270" t="str">
        <f ca="1">IFERROR(__xludf.DUMMYFUNCTION("""COMPUTED_VALUE"""),"Nelson Ledesma")</f>
        <v>Nelson Ledesma</v>
      </c>
      <c r="D270">
        <f ca="1">IFERROR(__xludf.DUMMYFUNCTION("""COMPUTED_VALUE"""),8)</f>
        <v>8</v>
      </c>
      <c r="E270">
        <f ca="1">IFERROR(__xludf.DUMMYFUNCTION("""COMPUTED_VALUE"""),22.22)</f>
        <v>22.22</v>
      </c>
      <c r="F270">
        <f ca="1">IFERROR(__xludf.DUMMYFUNCTION("""COMPUTED_VALUE"""),2)</f>
        <v>2</v>
      </c>
      <c r="G270">
        <f ca="1">IFERROR(__xludf.DUMMYFUNCTION("""COMPUTED_VALUE"""),9)</f>
        <v>9</v>
      </c>
    </row>
    <row r="271" spans="1:7" ht="12.75">
      <c r="A271" t="str">
        <f ca="1">IFERROR(__xludf.DUMMYFUNCTION("""COMPUTED_VALUE"""),"T270")</f>
        <v>T270</v>
      </c>
      <c r="B271" t="str">
        <f ca="1">IFERROR(__xludf.DUMMYFUNCTION("""COMPUTED_VALUE"""),"T259")</f>
        <v>T259</v>
      </c>
      <c r="C271" t="str">
        <f ca="1">IFERROR(__xludf.DUMMYFUNCTION("""COMPUTED_VALUE"""),"Graham DeLaet")</f>
        <v>Graham DeLaet</v>
      </c>
      <c r="D271">
        <f ca="1">IFERROR(__xludf.DUMMYFUNCTION("""COMPUTED_VALUE"""),9)</f>
        <v>9</v>
      </c>
      <c r="E271">
        <f ca="1">IFERROR(__xludf.DUMMYFUNCTION("""COMPUTED_VALUE"""),20)</f>
        <v>20</v>
      </c>
      <c r="F271">
        <f ca="1">IFERROR(__xludf.DUMMYFUNCTION("""COMPUTED_VALUE"""),2)</f>
        <v>2</v>
      </c>
      <c r="G271">
        <f ca="1">IFERROR(__xludf.DUMMYFUNCTION("""COMPUTED_VALUE"""),10)</f>
        <v>10</v>
      </c>
    </row>
    <row r="272" spans="1:7" ht="12.75">
      <c r="A272" t="str">
        <f ca="1">IFERROR(__xludf.DUMMYFUNCTION("""COMPUTED_VALUE"""),"T270")</f>
        <v>T270</v>
      </c>
      <c r="B272" t="str">
        <f ca="1">IFERROR(__xludf.DUMMYFUNCTION("""COMPUTED_VALUE"""),"T240")</f>
        <v>T240</v>
      </c>
      <c r="C272" t="str">
        <f ca="1">IFERROR(__xludf.DUMMYFUNCTION("""COMPUTED_VALUE"""),"Martin Laird")</f>
        <v>Martin Laird</v>
      </c>
      <c r="D272">
        <f ca="1">IFERROR(__xludf.DUMMYFUNCTION("""COMPUTED_VALUE"""),16)</f>
        <v>16</v>
      </c>
      <c r="E272">
        <f ca="1">IFERROR(__xludf.DUMMYFUNCTION("""COMPUTED_VALUE"""),20)</f>
        <v>20</v>
      </c>
      <c r="F272">
        <f ca="1">IFERROR(__xludf.DUMMYFUNCTION("""COMPUTED_VALUE"""),2)</f>
        <v>2</v>
      </c>
      <c r="G272">
        <f ca="1">IFERROR(__xludf.DUMMYFUNCTION("""COMPUTED_VALUE"""),10)</f>
        <v>10</v>
      </c>
    </row>
    <row r="273" spans="1:7" ht="12.75">
      <c r="A273" t="str">
        <f ca="1">IFERROR(__xludf.DUMMYFUNCTION("""COMPUTED_VALUE"""),"T270")</f>
        <v>T270</v>
      </c>
      <c r="B273" t="str">
        <f ca="1">IFERROR(__xludf.DUMMYFUNCTION("""COMPUTED_VALUE"""),"T262")</f>
        <v>T262</v>
      </c>
      <c r="C273" t="str">
        <f ca="1">IFERROR(__xludf.DUMMYFUNCTION("""COMPUTED_VALUE"""),"William McGirt")</f>
        <v>William McGirt</v>
      </c>
      <c r="D273">
        <f ca="1">IFERROR(__xludf.DUMMYFUNCTION("""COMPUTED_VALUE"""),6)</f>
        <v>6</v>
      </c>
      <c r="E273">
        <f ca="1">IFERROR(__xludf.DUMMYFUNCTION("""COMPUTED_VALUE"""),20)</f>
        <v>20</v>
      </c>
      <c r="F273">
        <f ca="1">IFERROR(__xludf.DUMMYFUNCTION("""COMPUTED_VALUE"""),1)</f>
        <v>1</v>
      </c>
      <c r="G273">
        <f ca="1">IFERROR(__xludf.DUMMYFUNCTION("""COMPUTED_VALUE"""),5)</f>
        <v>5</v>
      </c>
    </row>
    <row r="274" spans="1:7" ht="12.75">
      <c r="A274" t="str">
        <f ca="1">IFERROR(__xludf.DUMMYFUNCTION("""COMPUTED_VALUE"""),"T270")</f>
        <v>T270</v>
      </c>
      <c r="B274" t="str">
        <f ca="1">IFERROR(__xludf.DUMMYFUNCTION("""COMPUTED_VALUE"""),"T262")</f>
        <v>T262</v>
      </c>
      <c r="C274" t="str">
        <f ca="1">IFERROR(__xludf.DUMMYFUNCTION("""COMPUTED_VALUE"""),"Matthew Borchert")</f>
        <v>Matthew Borchert</v>
      </c>
      <c r="D274">
        <f ca="1">IFERROR(__xludf.DUMMYFUNCTION("""COMPUTED_VALUE"""),4)</f>
        <v>4</v>
      </c>
      <c r="E274">
        <f ca="1">IFERROR(__xludf.DUMMYFUNCTION("""COMPUTED_VALUE"""),20)</f>
        <v>20</v>
      </c>
      <c r="F274">
        <f ca="1">IFERROR(__xludf.DUMMYFUNCTION("""COMPUTED_VALUE"""),1)</f>
        <v>1</v>
      </c>
      <c r="G274">
        <f ca="1">IFERROR(__xludf.DUMMYFUNCTION("""COMPUTED_VALUE"""),5)</f>
        <v>5</v>
      </c>
    </row>
    <row r="275" spans="1:7" ht="12.75">
      <c r="A275" t="str">
        <f ca="1">IFERROR(__xludf.DUMMYFUNCTION("""COMPUTED_VALUE"""),"T270")</f>
        <v>T270</v>
      </c>
      <c r="B275" t="str">
        <f ca="1">IFERROR(__xludf.DUMMYFUNCTION("""COMPUTED_VALUE"""),"T262")</f>
        <v>T262</v>
      </c>
      <c r="C275" t="str">
        <f ca="1">IFERROR(__xludf.DUMMYFUNCTION("""COMPUTED_VALUE"""),"Eric Dugas")</f>
        <v>Eric Dugas</v>
      </c>
      <c r="D275">
        <f ca="1">IFERROR(__xludf.DUMMYFUNCTION("""COMPUTED_VALUE"""),4)</f>
        <v>4</v>
      </c>
      <c r="E275">
        <f ca="1">IFERROR(__xludf.DUMMYFUNCTION("""COMPUTED_VALUE"""),20)</f>
        <v>20</v>
      </c>
      <c r="F275">
        <f ca="1">IFERROR(__xludf.DUMMYFUNCTION("""COMPUTED_VALUE"""),1)</f>
        <v>1</v>
      </c>
      <c r="G275">
        <f ca="1">IFERROR(__xludf.DUMMYFUNCTION("""COMPUTED_VALUE"""),5)</f>
        <v>5</v>
      </c>
    </row>
    <row r="276" spans="1:7" ht="12.75">
      <c r="A276" t="str">
        <f ca="1">IFERROR(__xludf.DUMMYFUNCTION("""COMPUTED_VALUE"""),"T270")</f>
        <v>T270</v>
      </c>
      <c r="B276" t="str">
        <f ca="1">IFERROR(__xludf.DUMMYFUNCTION("""COMPUTED_VALUE"""),"T262")</f>
        <v>T262</v>
      </c>
      <c r="C276" t="str">
        <f ca="1">IFERROR(__xludf.DUMMYFUNCTION("""COMPUTED_VALUE"""),"Rhein Gibson")</f>
        <v>Rhein Gibson</v>
      </c>
      <c r="D276">
        <f ca="1">IFERROR(__xludf.DUMMYFUNCTION("""COMPUTED_VALUE"""),10)</f>
        <v>10</v>
      </c>
      <c r="E276">
        <f ca="1">IFERROR(__xludf.DUMMYFUNCTION("""COMPUTED_VALUE"""),20)</f>
        <v>20</v>
      </c>
      <c r="F276">
        <f ca="1">IFERROR(__xludf.DUMMYFUNCTION("""COMPUTED_VALUE"""),2)</f>
        <v>2</v>
      </c>
      <c r="G276">
        <f ca="1">IFERROR(__xludf.DUMMYFUNCTION("""COMPUTED_VALUE"""),10)</f>
        <v>10</v>
      </c>
    </row>
    <row r="277" spans="1:7" ht="12.75">
      <c r="A277" t="str">
        <f ca="1">IFERROR(__xludf.DUMMYFUNCTION("""COMPUTED_VALUE"""),"T270")</f>
        <v>T270</v>
      </c>
      <c r="B277" t="str">
        <f ca="1">IFERROR(__xludf.DUMMYFUNCTION("""COMPUTED_VALUE"""),"T262")</f>
        <v>T262</v>
      </c>
      <c r="C277" t="str">
        <f ca="1">IFERROR(__xludf.DUMMYFUNCTION("""COMPUTED_VALUE"""),"Romain Langasque")</f>
        <v>Romain Langasque</v>
      </c>
      <c r="D277">
        <f ca="1">IFERROR(__xludf.DUMMYFUNCTION("""COMPUTED_VALUE"""),4)</f>
        <v>4</v>
      </c>
      <c r="E277">
        <f ca="1">IFERROR(__xludf.DUMMYFUNCTION("""COMPUTED_VALUE"""),20)</f>
        <v>20</v>
      </c>
      <c r="F277">
        <f ca="1">IFERROR(__xludf.DUMMYFUNCTION("""COMPUTED_VALUE"""),1)</f>
        <v>1</v>
      </c>
      <c r="G277">
        <f ca="1">IFERROR(__xludf.DUMMYFUNCTION("""COMPUTED_VALUE"""),5)</f>
        <v>5</v>
      </c>
    </row>
    <row r="278" spans="1:7" ht="12.75">
      <c r="A278" t="str">
        <f ca="1">IFERROR(__xludf.DUMMYFUNCTION("""COMPUTED_VALUE"""),"T270")</f>
        <v>T270</v>
      </c>
      <c r="B278" t="str">
        <f ca="1">IFERROR(__xludf.DUMMYFUNCTION("""COMPUTED_VALUE"""),"T262")</f>
        <v>T262</v>
      </c>
      <c r="C278" t="str">
        <f ca="1">IFERROR(__xludf.DUMMYFUNCTION("""COMPUTED_VALUE"""),"Bryson DeChambeau")</f>
        <v>Bryson DeChambeau</v>
      </c>
      <c r="D278">
        <f ca="1">IFERROR(__xludf.DUMMYFUNCTION("""COMPUTED_VALUE"""),8)</f>
        <v>8</v>
      </c>
      <c r="E278">
        <f ca="1">IFERROR(__xludf.DUMMYFUNCTION("""COMPUTED_VALUE"""),20)</f>
        <v>20</v>
      </c>
      <c r="F278">
        <f ca="1">IFERROR(__xludf.DUMMYFUNCTION("""COMPUTED_VALUE"""),1)</f>
        <v>1</v>
      </c>
      <c r="G278">
        <f ca="1">IFERROR(__xludf.DUMMYFUNCTION("""COMPUTED_VALUE"""),5)</f>
        <v>5</v>
      </c>
    </row>
    <row r="279" spans="1:7" ht="12.75">
      <c r="A279" t="str">
        <f ca="1">IFERROR(__xludf.DUMMYFUNCTION("""COMPUTED_VALUE"""),"T270")</f>
        <v>T270</v>
      </c>
      <c r="B279" t="str">
        <f ca="1">IFERROR(__xludf.DUMMYFUNCTION("""COMPUTED_VALUE"""),"T262")</f>
        <v>T262</v>
      </c>
      <c r="C279" t="str">
        <f ca="1">IFERROR(__xludf.DUMMYFUNCTION("""COMPUTED_VALUE"""),"Davis Riley")</f>
        <v>Davis Riley</v>
      </c>
      <c r="D279">
        <f ca="1">IFERROR(__xludf.DUMMYFUNCTION("""COMPUTED_VALUE"""),4)</f>
        <v>4</v>
      </c>
      <c r="E279">
        <f ca="1">IFERROR(__xludf.DUMMYFUNCTION("""COMPUTED_VALUE"""),20)</f>
        <v>20</v>
      </c>
      <c r="F279">
        <f ca="1">IFERROR(__xludf.DUMMYFUNCTION("""COMPUTED_VALUE"""),1)</f>
        <v>1</v>
      </c>
      <c r="G279">
        <f ca="1">IFERROR(__xludf.DUMMYFUNCTION("""COMPUTED_VALUE"""),5)</f>
        <v>5</v>
      </c>
    </row>
    <row r="280" spans="1:7" ht="12.75">
      <c r="A280" t="str">
        <f ca="1">IFERROR(__xludf.DUMMYFUNCTION("""COMPUTED_VALUE"""),"T270")</f>
        <v>T270</v>
      </c>
      <c r="B280" t="str">
        <f ca="1">IFERROR(__xludf.DUMMYFUNCTION("""COMPUTED_VALUE"""),"T262")</f>
        <v>T262</v>
      </c>
      <c r="C280" t="str">
        <f ca="1">IFERROR(__xludf.DUMMYFUNCTION("""COMPUTED_VALUE"""),"Luke Schniederjans")</f>
        <v>Luke Schniederjans</v>
      </c>
      <c r="D280">
        <f ca="1">IFERROR(__xludf.DUMMYFUNCTION("""COMPUTED_VALUE"""),4)</f>
        <v>4</v>
      </c>
      <c r="E280">
        <f ca="1">IFERROR(__xludf.DUMMYFUNCTION("""COMPUTED_VALUE"""),20)</f>
        <v>20</v>
      </c>
      <c r="F280">
        <f ca="1">IFERROR(__xludf.DUMMYFUNCTION("""COMPUTED_VALUE"""),1)</f>
        <v>1</v>
      </c>
      <c r="G280">
        <f ca="1">IFERROR(__xludf.DUMMYFUNCTION("""COMPUTED_VALUE"""),5)</f>
        <v>5</v>
      </c>
    </row>
    <row r="281" spans="1:7" ht="12.75">
      <c r="A281" t="str">
        <f ca="1">IFERROR(__xludf.DUMMYFUNCTION("""COMPUTED_VALUE"""),"T280")</f>
        <v>T280</v>
      </c>
      <c r="B281" t="str">
        <f ca="1">IFERROR(__xludf.DUMMYFUNCTION("""COMPUTED_VALUE"""),"T270")</f>
        <v>T270</v>
      </c>
      <c r="C281" t="str">
        <f ca="1">IFERROR(__xludf.DUMMYFUNCTION("""COMPUTED_VALUE"""),"Marc Leishman")</f>
        <v>Marc Leishman</v>
      </c>
      <c r="D281">
        <f ca="1">IFERROR(__xludf.DUMMYFUNCTION("""COMPUTED_VALUE"""),10)</f>
        <v>10</v>
      </c>
      <c r="E281">
        <f ca="1">IFERROR(__xludf.DUMMYFUNCTION("""COMPUTED_VALUE"""),16.67)</f>
        <v>16.670000000000002</v>
      </c>
      <c r="F281">
        <f ca="1">IFERROR(__xludf.DUMMYFUNCTION("""COMPUTED_VALUE"""),1)</f>
        <v>1</v>
      </c>
      <c r="G281">
        <f ca="1">IFERROR(__xludf.DUMMYFUNCTION("""COMPUTED_VALUE"""),6)</f>
        <v>6</v>
      </c>
    </row>
    <row r="282" spans="1:7" ht="12.75">
      <c r="A282" t="str">
        <f ca="1">IFERROR(__xludf.DUMMYFUNCTION("""COMPUTED_VALUE"""),"T280")</f>
        <v>T280</v>
      </c>
      <c r="B282" t="str">
        <f ca="1">IFERROR(__xludf.DUMMYFUNCTION("""COMPUTED_VALUE"""),"T270")</f>
        <v>T270</v>
      </c>
      <c r="C282" t="str">
        <f ca="1">IFERROR(__xludf.DUMMYFUNCTION("""COMPUTED_VALUE"""),"Jazz Janewattananond")</f>
        <v>Jazz Janewattananond</v>
      </c>
      <c r="D282">
        <f ca="1">IFERROR(__xludf.DUMMYFUNCTION("""COMPUTED_VALUE"""),6)</f>
        <v>6</v>
      </c>
      <c r="E282">
        <f ca="1">IFERROR(__xludf.DUMMYFUNCTION("""COMPUTED_VALUE"""),16.67)</f>
        <v>16.670000000000002</v>
      </c>
      <c r="F282">
        <f ca="1">IFERROR(__xludf.DUMMYFUNCTION("""COMPUTED_VALUE"""),1)</f>
        <v>1</v>
      </c>
      <c r="G282">
        <f ca="1">IFERROR(__xludf.DUMMYFUNCTION("""COMPUTED_VALUE"""),6)</f>
        <v>6</v>
      </c>
    </row>
    <row r="283" spans="1:7" ht="12.75">
      <c r="A283" t="str">
        <f ca="1">IFERROR(__xludf.DUMMYFUNCTION("""COMPUTED_VALUE"""),"T280")</f>
        <v>T280</v>
      </c>
      <c r="B283" t="str">
        <f ca="1">IFERROR(__xludf.DUMMYFUNCTION("""COMPUTED_VALUE"""),"T270")</f>
        <v>T270</v>
      </c>
      <c r="C283" t="str">
        <f ca="1">IFERROR(__xludf.DUMMYFUNCTION("""COMPUTED_VALUE"""),"Takumi Kanaya")</f>
        <v>Takumi Kanaya</v>
      </c>
      <c r="D283">
        <f ca="1">IFERROR(__xludf.DUMMYFUNCTION("""COMPUTED_VALUE"""),6)</f>
        <v>6</v>
      </c>
      <c r="E283">
        <f ca="1">IFERROR(__xludf.DUMMYFUNCTION("""COMPUTED_VALUE"""),16.67)</f>
        <v>16.670000000000002</v>
      </c>
      <c r="F283">
        <f ca="1">IFERROR(__xludf.DUMMYFUNCTION("""COMPUTED_VALUE"""),1)</f>
        <v>1</v>
      </c>
      <c r="G283">
        <f ca="1">IFERROR(__xludf.DUMMYFUNCTION("""COMPUTED_VALUE"""),6)</f>
        <v>6</v>
      </c>
    </row>
    <row r="284" spans="1:7" ht="12.75">
      <c r="A284">
        <f ca="1">IFERROR(__xludf.DUMMYFUNCTION("""COMPUTED_VALUE"""),283)</f>
        <v>283</v>
      </c>
      <c r="B284">
        <f ca="1">IFERROR(__xludf.DUMMYFUNCTION("""COMPUTED_VALUE"""),275)</f>
        <v>275</v>
      </c>
      <c r="C284" t="str">
        <f ca="1">IFERROR(__xludf.DUMMYFUNCTION("""COMPUTED_VALUE"""),"Sangmoon Bae")</f>
        <v>Sangmoon Bae</v>
      </c>
      <c r="D284">
        <f ca="1">IFERROR(__xludf.DUMMYFUNCTION("""COMPUTED_VALUE"""),8)</f>
        <v>8</v>
      </c>
      <c r="E284">
        <f ca="1">IFERROR(__xludf.DUMMYFUNCTION("""COMPUTED_VALUE"""),14.29)</f>
        <v>14.29</v>
      </c>
      <c r="F284">
        <f ca="1">IFERROR(__xludf.DUMMYFUNCTION("""COMPUTED_VALUE"""),1)</f>
        <v>1</v>
      </c>
      <c r="G284">
        <f ca="1">IFERROR(__xludf.DUMMYFUNCTION("""COMPUTED_VALUE"""),7)</f>
        <v>7</v>
      </c>
    </row>
    <row r="285" spans="1:7" ht="12.75">
      <c r="A285" t="str">
        <f ca="1">IFERROR(__xludf.DUMMYFUNCTION("""COMPUTED_VALUE"""),"T284")</f>
        <v>T284</v>
      </c>
      <c r="B285" t="str">
        <f ca="1">IFERROR(__xludf.DUMMYFUNCTION("""COMPUTED_VALUE"""),"T278")</f>
        <v>T278</v>
      </c>
      <c r="C285" t="str">
        <f ca="1">IFERROR(__xludf.DUMMYFUNCTION("""COMPUTED_VALUE"""),"Graeme McDowell")</f>
        <v>Graeme McDowell</v>
      </c>
      <c r="D285">
        <f ca="1">IFERROR(__xludf.DUMMYFUNCTION("""COMPUTED_VALUE"""),8)</f>
        <v>8</v>
      </c>
      <c r="E285">
        <f ca="1">IFERROR(__xludf.DUMMYFUNCTION("""COMPUTED_VALUE"""),12.5)</f>
        <v>12.5</v>
      </c>
      <c r="F285">
        <f ca="1">IFERROR(__xludf.DUMMYFUNCTION("""COMPUTED_VALUE"""),1)</f>
        <v>1</v>
      </c>
      <c r="G285">
        <f ca="1">IFERROR(__xludf.DUMMYFUNCTION("""COMPUTED_VALUE"""),8)</f>
        <v>8</v>
      </c>
    </row>
    <row r="286" spans="1:7" ht="12.75">
      <c r="A286" t="str">
        <f ca="1">IFERROR(__xludf.DUMMYFUNCTION("""COMPUTED_VALUE"""),"T284")</f>
        <v>T284</v>
      </c>
      <c r="B286">
        <f ca="1">IFERROR(__xludf.DUMMYFUNCTION("""COMPUTED_VALUE"""),276)</f>
        <v>276</v>
      </c>
      <c r="C286" t="str">
        <f ca="1">IFERROR(__xludf.DUMMYFUNCTION("""COMPUTED_VALUE"""),"Shaun Norris")</f>
        <v>Shaun Norris</v>
      </c>
      <c r="D286">
        <f ca="1">IFERROR(__xludf.DUMMYFUNCTION("""COMPUTED_VALUE"""),6)</f>
        <v>6</v>
      </c>
      <c r="E286">
        <f ca="1">IFERROR(__xludf.DUMMYFUNCTION("""COMPUTED_VALUE"""),12.5)</f>
        <v>12.5</v>
      </c>
      <c r="F286">
        <f ca="1">IFERROR(__xludf.DUMMYFUNCTION("""COMPUTED_VALUE"""),1)</f>
        <v>1</v>
      </c>
      <c r="G286">
        <f ca="1">IFERROR(__xludf.DUMMYFUNCTION("""COMPUTED_VALUE"""),8)</f>
        <v>8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IFERROR(__xludf.DUMMYFUNCTION("""COMPUTED_VALUE"""),277)</f>
        <v>277</v>
      </c>
      <c r="C287" t="str">
        <f ca="1">IFERROR(__xludf.DUMMYFUNCTION("""COMPUTED_VALUE"""),"Matthew Fitzpatrick")</f>
        <v>Matthew Fitzpatrick</v>
      </c>
      <c r="D287">
        <f ca="1">IFERROR(__xludf.DUMMYFUNCTION("""COMPUTED_VALUE"""),10)</f>
        <v>10</v>
      </c>
      <c r="E287">
        <f ca="1">IFERROR(__xludf.DUMMYFUNCTION("""COMPUTED_VALUE"""),10)</f>
        <v>10</v>
      </c>
      <c r="F287">
        <f ca="1">IFERROR(__xludf.DUMMYFUNCTION("""COMPUTED_VALUE"""),1)</f>
        <v>1</v>
      </c>
      <c r="G287">
        <f ca="1">IFERROR(__xludf.DUMMYFUNCTION("""COMPUTED_VALUE"""),10)</f>
        <v>10</v>
      </c>
    </row>
    <row r="288" spans="1:7" ht="12.75">
      <c r="A288" t="str">
        <f ca="1">IFERROR(__xludf.DUMMYFUNCTION("""COMPUTED_VALUE"""),"T287")</f>
        <v>T287</v>
      </c>
      <c r="B288" t="str">
        <f ca="1">IFERROR(__xludf.DUMMYFUNCTION("""COMPUTED_VALUE"""),"T278")</f>
        <v>T278</v>
      </c>
      <c r="C288" t="str">
        <f ca="1">IFERROR(__xludf.DUMMYFUNCTION("""COMPUTED_VALUE"""),"Josh Teater")</f>
        <v>Josh Teater</v>
      </c>
      <c r="D288">
        <f ca="1">IFERROR(__xludf.DUMMYFUNCTION("""COMPUTED_VALUE"""),6)</f>
        <v>6</v>
      </c>
      <c r="E288">
        <f ca="1">IFERROR(__xludf.DUMMYFUNCTION("""COMPUTED_VALUE"""),0)</f>
        <v>0</v>
      </c>
      <c r="F288">
        <f ca="1">IFERROR(__xludf.DUMMYFUNCTION("""COMPUTED_VALUE"""),0)</f>
        <v>0</v>
      </c>
      <c r="G288">
        <f ca="1">IFERROR(__xludf.DUMMYFUNCTION("""COMPUTED_VALUE"""),5)</f>
        <v>5</v>
      </c>
    </row>
    <row r="289" spans="1:7" ht="12.75">
      <c r="A289" t="str">
        <f ca="1">IFERROR(__xludf.DUMMYFUNCTION("""COMPUTED_VALUE"""),"T287")</f>
        <v>T287</v>
      </c>
      <c r="B289" t="str">
        <f ca="1">IFERROR(__xludf.DUMMYFUNCTION("""COMPUTED_VALUE"""),"T278")</f>
        <v>T278</v>
      </c>
      <c r="C289" t="str">
        <f ca="1">IFERROR(__xludf.DUMMYFUNCTION("""COMPUTED_VALUE"""),"Zac Blair")</f>
        <v>Zac Blair</v>
      </c>
      <c r="D289">
        <f ca="1">IFERROR(__xludf.DUMMYFUNCTION("""COMPUTED_VALUE"""),10)</f>
        <v>10</v>
      </c>
      <c r="E289">
        <f ca="1">IFERROR(__xludf.DUMMYFUNCTION("""COMPUTED_VALUE"""),0)</f>
        <v>0</v>
      </c>
      <c r="F289">
        <f ca="1">IFERROR(__xludf.DUMMYFUNCTION("""COMPUTED_VALUE"""),0)</f>
        <v>0</v>
      </c>
      <c r="G289">
        <f ca="1">IFERROR(__xludf.DUMMYFUNCTION("""COMPUTED_VALUE"""),7)</f>
        <v>7</v>
      </c>
    </row>
    <row r="290" spans="1:7" ht="12.75">
      <c r="A290" t="str">
        <f ca="1">IFERROR(__xludf.DUMMYFUNCTION("""COMPUTED_VALUE"""),"T287")</f>
        <v>T287</v>
      </c>
      <c r="B290" t="str">
        <f ca="1">IFERROR(__xludf.DUMMYFUNCTION("""COMPUTED_VALUE"""),"T278")</f>
        <v>T278</v>
      </c>
      <c r="C290" t="str">
        <f ca="1">IFERROR(__xludf.DUMMYFUNCTION("""COMPUTED_VALUE"""),"Jeongwoo Ham")</f>
        <v>Jeongwoo Ham</v>
      </c>
      <c r="D290">
        <f ca="1">IFERROR(__xludf.DUMMYFUNCTION("""COMPUTED_VALUE"""),4)</f>
        <v>4</v>
      </c>
      <c r="E290">
        <f ca="1">IFERROR(__xludf.DUMMYFUNCTION("""COMPUTED_VALUE"""),0)</f>
        <v>0</v>
      </c>
      <c r="F290">
        <f ca="1">IFERROR(__xludf.DUMMYFUNCTION("""COMPUTED_VALUE"""),0)</f>
        <v>0</v>
      </c>
      <c r="G290">
        <f ca="1">IFERROR(__xludf.DUMMYFUNCTION("""COMPUTED_VALUE"""),1)</f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IFERROR(__xludf.DUMMYFUNCTION("importhtml(""http://www.pgatour.com/stats/stat.363.html"",""table"",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IFERROR(__xludf.DUMMYFUNCTION("""COMPUTED_VALUE"""),"SUCCESSES")</f>
        <v>SUCCESSES</v>
      </c>
      <c r="G1" t="str">
        <f ca="1">IFERROR(__xludf.DUMMYFUNCTION("""COMPUTED_VALUE"""),"ATTEMPTS")</f>
        <v>ATTEMPTS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IFERROR(__xludf.DUMMYFUNCTION("""COMPUTED_VALUE"""),"")</f>
        <v/>
      </c>
      <c r="C2" t="str">
        <f ca="1">IFERROR(__xludf.DUMMYFUNCTION("""COMPUTED_VALUE"""),"Francesco Molinari")</f>
        <v>Francesco Molinari</v>
      </c>
      <c r="D2">
        <f ca="1">IFERROR(__xludf.DUMMYFUNCTION("""COMPUTED_VALUE"""),6)</f>
        <v>6</v>
      </c>
      <c r="E2">
        <f ca="1">IFERROR(__xludf.DUMMYFUNCTION("""COMPUTED_VALUE"""),100)</f>
        <v>100</v>
      </c>
      <c r="F2">
        <f ca="1">IFERROR(__xludf.DUMMYFUNCTION("""COMPUTED_VALUE"""),4)</f>
        <v>4</v>
      </c>
      <c r="G2">
        <f ca="1">IFERROR(__xludf.DUMMYFUNCTION("""COMPUTED_VALUE"""),4)</f>
        <v>4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IFERROR(__xludf.DUMMYFUNCTION("""COMPUTED_VALUE"""),"T2")</f>
        <v>T2</v>
      </c>
      <c r="C3" t="str">
        <f ca="1">IFERROR(__xludf.DUMMYFUNCTION("""COMPUTED_VALUE"""),"Nick Watney")</f>
        <v>Nick Watney</v>
      </c>
      <c r="D3">
        <f ca="1">IFERROR(__xludf.DUMMYFUNCTION("""COMPUTED_VALUE"""),10)</f>
        <v>10</v>
      </c>
      <c r="E3">
        <f ca="1">IFERROR(__xludf.DUMMYFUNCTION("""COMPUTED_VALUE"""),85.71)</f>
        <v>85.71</v>
      </c>
      <c r="F3">
        <f ca="1">IFERROR(__xludf.DUMMYFUNCTION("""COMPUTED_VALUE"""),12)</f>
        <v>12</v>
      </c>
      <c r="G3">
        <f ca="1">IFERROR(__xludf.DUMMYFUNCTION("""COMPUTED_VALUE"""),14)</f>
        <v>14</v>
      </c>
    </row>
    <row r="4" spans="1:7" ht="15.75" customHeight="1">
      <c r="A4" t="str">
        <f ca="1">IFERROR(__xludf.DUMMYFUNCTION("""COMPUTED_VALUE"""),"T3")</f>
        <v>T3</v>
      </c>
      <c r="B4" t="str">
        <f ca="1">IFERROR(__xludf.DUMMYFUNCTION("""COMPUTED_VALUE"""),"T4")</f>
        <v>T4</v>
      </c>
      <c r="C4" t="str">
        <f ca="1">IFERROR(__xludf.DUMMYFUNCTION("""COMPUTED_VALUE"""),"Jim Furyk")</f>
        <v>Jim Furyk</v>
      </c>
      <c r="D4">
        <f ca="1">IFERROR(__xludf.DUMMYFUNCTION("""COMPUTED_VALUE"""),4)</f>
        <v>4</v>
      </c>
      <c r="E4">
        <f ca="1">IFERROR(__xludf.DUMMYFUNCTION("""COMPUTED_VALUE"""),83.33)</f>
        <v>83.33</v>
      </c>
      <c r="F4">
        <f ca="1">IFERROR(__xludf.DUMMYFUNCTION("""COMPUTED_VALUE"""),5)</f>
        <v>5</v>
      </c>
      <c r="G4">
        <f ca="1">IFERROR(__xludf.DUMMYFUNCTION("""COMPUTED_VALUE"""),6)</f>
        <v>6</v>
      </c>
    </row>
    <row r="5" spans="1:7" ht="15.75" customHeight="1">
      <c r="A5" t="str">
        <f ca="1">IFERROR(__xludf.DUMMYFUNCTION("""COMPUTED_VALUE"""),"T3")</f>
        <v>T3</v>
      </c>
      <c r="B5" t="str">
        <f ca="1">IFERROR(__xludf.DUMMYFUNCTION("""COMPUTED_VALUE"""),"T4")</f>
        <v>T4</v>
      </c>
      <c r="C5" t="str">
        <f ca="1">IFERROR(__xludf.DUMMYFUNCTION("""COMPUTED_VALUE"""),"Michael Miller")</f>
        <v>Michael Miller</v>
      </c>
      <c r="D5">
        <f ca="1">IFERROR(__xludf.DUMMYFUNCTION("""COMPUTED_VALUE"""),4)</f>
        <v>4</v>
      </c>
      <c r="E5">
        <f ca="1">IFERROR(__xludf.DUMMYFUNCTION("""COMPUTED_VALUE"""),83.33)</f>
        <v>83.33</v>
      </c>
      <c r="F5">
        <f ca="1">IFERROR(__xludf.DUMMYFUNCTION("""COMPUTED_VALUE"""),10)</f>
        <v>10</v>
      </c>
      <c r="G5">
        <f ca="1">IFERROR(__xludf.DUMMYFUNCTION("""COMPUTED_VALUE"""),12)</f>
        <v>12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IFERROR(__xludf.DUMMYFUNCTION("""COMPUTED_VALUE"""),7)</f>
        <v>7</v>
      </c>
      <c r="C6" t="str">
        <f ca="1">IFERROR(__xludf.DUMMYFUNCTION("""COMPUTED_VALUE"""),"Russell Henley")</f>
        <v>Russell Henley</v>
      </c>
      <c r="D6">
        <f ca="1">IFERROR(__xludf.DUMMYFUNCTION("""COMPUTED_VALUE"""),16)</f>
        <v>16</v>
      </c>
      <c r="E6">
        <f ca="1">IFERROR(__xludf.DUMMYFUNCTION("""COMPUTED_VALUE"""),82.61)</f>
        <v>82.61</v>
      </c>
      <c r="F6">
        <f ca="1">IFERROR(__xludf.DUMMYFUNCTION("""COMPUTED_VALUE"""),19)</f>
        <v>19</v>
      </c>
      <c r="G6">
        <f ca="1">IFERROR(__xludf.DUMMYFUNCTION("""COMPUTED_VALUE"""),23)</f>
        <v>23</v>
      </c>
    </row>
    <row r="7" spans="1:7" ht="15.75" customHeight="1">
      <c r="A7">
        <f ca="1">IFERROR(__xludf.DUMMYFUNCTION("""COMPUTED_VALUE"""),6)</f>
        <v>6</v>
      </c>
      <c r="B7" t="str">
        <f ca="1">IFERROR(__xludf.DUMMYFUNCTION("""COMPUTED_VALUE"""),"T8")</f>
        <v>T8</v>
      </c>
      <c r="C7" t="str">
        <f ca="1">IFERROR(__xludf.DUMMYFUNCTION("""COMPUTED_VALUE"""),"Bill Haas")</f>
        <v>Bill Haas</v>
      </c>
      <c r="D7">
        <f ca="1">IFERROR(__xludf.DUMMYFUNCTION("""COMPUTED_VALUE"""),10)</f>
        <v>10</v>
      </c>
      <c r="E7">
        <f ca="1">IFERROR(__xludf.DUMMYFUNCTION("""COMPUTED_VALUE"""),80)</f>
        <v>80</v>
      </c>
      <c r="F7">
        <f ca="1">IFERROR(__xludf.DUMMYFUNCTION("""COMPUTED_VALUE"""),12)</f>
        <v>12</v>
      </c>
      <c r="G7">
        <f ca="1">IFERROR(__xludf.DUMMYFUNCTION("""COMPUTED_VALUE"""),15)</f>
        <v>15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IFERROR(__xludf.DUMMYFUNCTION("""COMPUTED_VALUE"""),12)</f>
        <v>12</v>
      </c>
      <c r="C8" t="str">
        <f ca="1">IFERROR(__xludf.DUMMYFUNCTION("""COMPUTED_VALUE"""),"Chris Baker")</f>
        <v>Chris Baker</v>
      </c>
      <c r="D8">
        <f ca="1">IFERROR(__xludf.DUMMYFUNCTION("""COMPUTED_VALUE"""),8)</f>
        <v>8</v>
      </c>
      <c r="E8">
        <f ca="1">IFERROR(__xludf.DUMMYFUNCTION("""COMPUTED_VALUE"""),76.92)</f>
        <v>76.92</v>
      </c>
      <c r="F8">
        <f ca="1">IFERROR(__xludf.DUMMYFUNCTION("""COMPUTED_VALUE"""),10)</f>
        <v>10</v>
      </c>
      <c r="G8">
        <f ca="1">IFERROR(__xludf.DUMMYFUNCTION("""COMPUTED_VALUE"""),13)</f>
        <v>13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IFERROR(__xludf.DUMMYFUNCTION("""COMPUTED_VALUE"""),"T10")</f>
        <v>T10</v>
      </c>
      <c r="C9" t="str">
        <f ca="1">IFERROR(__xludf.DUMMYFUNCTION("""COMPUTED_VALUE"""),"Charl Schwartzel")</f>
        <v>Charl Schwartzel</v>
      </c>
      <c r="D9">
        <f ca="1">IFERROR(__xludf.DUMMYFUNCTION("""COMPUTED_VALUE"""),12)</f>
        <v>12</v>
      </c>
      <c r="E9">
        <f ca="1">IFERROR(__xludf.DUMMYFUNCTION("""COMPUTED_VALUE"""),76.47)</f>
        <v>76.47</v>
      </c>
      <c r="F9">
        <f ca="1">IFERROR(__xludf.DUMMYFUNCTION("""COMPUTED_VALUE"""),13)</f>
        <v>13</v>
      </c>
      <c r="G9">
        <f ca="1">IFERROR(__xludf.DUMMYFUNCTION("""COMPUTED_VALUE"""),17)</f>
        <v>17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IFERROR(__xludf.DUMMYFUNCTION("""COMPUTED_VALUE"""),"T10")</f>
        <v>T10</v>
      </c>
      <c r="C10" t="str">
        <f ca="1">IFERROR(__xludf.DUMMYFUNCTION("""COMPUTED_VALUE"""),"Scott Stallings")</f>
        <v>Scott Stallings</v>
      </c>
      <c r="D10">
        <f ca="1">IFERROR(__xludf.DUMMYFUNCTION("""COMPUTED_VALUE"""),14)</f>
        <v>14</v>
      </c>
      <c r="E10">
        <f ca="1">IFERROR(__xludf.DUMMYFUNCTION("""COMPUTED_VALUE"""),75)</f>
        <v>75</v>
      </c>
      <c r="F10">
        <f ca="1">IFERROR(__xludf.DUMMYFUNCTION("""COMPUTED_VALUE"""),27)</f>
        <v>27</v>
      </c>
      <c r="G10">
        <f ca="1">IFERROR(__xludf.DUMMYFUNCTION("""COMPUTED_VALUE"""),36)</f>
        <v>36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IFERROR(__xludf.DUMMYFUNCTION("""COMPUTED_VALUE"""),"T13")</f>
        <v>T13</v>
      </c>
      <c r="C11" t="str">
        <f ca="1">IFERROR(__xludf.DUMMYFUNCTION("""COMPUTED_VALUE"""),"Ben Martin")</f>
        <v>Ben Martin</v>
      </c>
      <c r="D11">
        <f ca="1">IFERROR(__xludf.DUMMYFUNCTION("""COMPUTED_VALUE"""),6)</f>
        <v>6</v>
      </c>
      <c r="E11">
        <f ca="1">IFERROR(__xludf.DUMMYFUNCTION("""COMPUTED_VALUE"""),75)</f>
        <v>75</v>
      </c>
      <c r="F11">
        <f ca="1">IFERROR(__xludf.DUMMYFUNCTION("""COMPUTED_VALUE"""),12)</f>
        <v>12</v>
      </c>
      <c r="G11">
        <f ca="1">IFERROR(__xludf.DUMMYFUNCTION("""COMPUTED_VALUE"""),16)</f>
        <v>16</v>
      </c>
    </row>
    <row r="12" spans="1:7" ht="15.75" customHeight="1">
      <c r="A12" t="str">
        <f ca="1">IFERROR(__xludf.DUMMYFUNCTION("""COMPUTED_VALUE"""),"T9")</f>
        <v>T9</v>
      </c>
      <c r="B12" t="str">
        <f ca="1">IFERROR(__xludf.DUMMYFUNCTION("""COMPUTED_VALUE"""),"T13")</f>
        <v>T13</v>
      </c>
      <c r="C12" t="str">
        <f ca="1">IFERROR(__xludf.DUMMYFUNCTION("""COMPUTED_VALUE"""),"George Markham")</f>
        <v>George Markham</v>
      </c>
      <c r="D12">
        <f ca="1">IFERROR(__xludf.DUMMYFUNCTION("""COMPUTED_VALUE"""),4)</f>
        <v>4</v>
      </c>
      <c r="E12">
        <f ca="1">IFERROR(__xludf.DUMMYFUNCTION("""COMPUTED_VALUE"""),75)</f>
        <v>75</v>
      </c>
      <c r="F12">
        <f ca="1">IFERROR(__xludf.DUMMYFUNCTION("""COMPUTED_VALUE"""),3)</f>
        <v>3</v>
      </c>
      <c r="G12">
        <f ca="1">IFERROR(__xludf.DUMMYFUNCTION("""COMPUTED_VALUE"""),4)</f>
        <v>4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IFERROR(__xludf.DUMMYFUNCTION("""COMPUTED_VALUE"""),6)</f>
        <v>6</v>
      </c>
      <c r="C13" t="str">
        <f ca="1">IFERROR(__xludf.DUMMYFUNCTION("""COMPUTED_VALUE"""),"Sepp Straka")</f>
        <v>Sepp Straka</v>
      </c>
      <c r="D13">
        <f ca="1">IFERROR(__xludf.DUMMYFUNCTION("""COMPUTED_VALUE"""),22)</f>
        <v>22</v>
      </c>
      <c r="E13">
        <f ca="1">IFERROR(__xludf.DUMMYFUNCTION("""COMPUTED_VALUE"""),72.97)</f>
        <v>72.97</v>
      </c>
      <c r="F13">
        <f ca="1">IFERROR(__xludf.DUMMYFUNCTION("""COMPUTED_VALUE"""),27)</f>
        <v>27</v>
      </c>
      <c r="G13">
        <f ca="1">IFERROR(__xludf.DUMMYFUNCTION("""COMPUTED_VALUE"""),37)</f>
        <v>37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IFERROR(__xludf.DUMMYFUNCTION("""COMPUTED_VALUE"""),16)</f>
        <v>16</v>
      </c>
      <c r="C14" t="str">
        <f ca="1">IFERROR(__xludf.DUMMYFUNCTION("""COMPUTED_VALUE"""),"Hank Lebioda")</f>
        <v>Hank Lebioda</v>
      </c>
      <c r="D14">
        <f ca="1">IFERROR(__xludf.DUMMYFUNCTION("""COMPUTED_VALUE"""),14)</f>
        <v>14</v>
      </c>
      <c r="E14">
        <f ca="1">IFERROR(__xludf.DUMMYFUNCTION("""COMPUTED_VALUE"""),72.22)</f>
        <v>72.22</v>
      </c>
      <c r="F14">
        <f ca="1">IFERROR(__xludf.DUMMYFUNCTION("""COMPUTED_VALUE"""),26)</f>
        <v>26</v>
      </c>
      <c r="G14">
        <f ca="1">IFERROR(__xludf.DUMMYFUNCTION("""COMPUTED_VALUE"""),36)</f>
        <v>36</v>
      </c>
    </row>
    <row r="15" spans="1:7" ht="15.75" customHeight="1">
      <c r="A15" t="str">
        <f ca="1">IFERROR(__xludf.DUMMYFUNCTION("""COMPUTED_VALUE"""),"T14")</f>
        <v>T14</v>
      </c>
      <c r="B15" t="str">
        <f ca="1">IFERROR(__xludf.DUMMYFUNCTION("""COMPUTED_VALUE"""),"T18")</f>
        <v>T18</v>
      </c>
      <c r="C15" t="str">
        <f ca="1">IFERROR(__xludf.DUMMYFUNCTION("""COMPUTED_VALUE"""),"Alex Smalley")</f>
        <v>Alex Smalley</v>
      </c>
      <c r="D15">
        <f ca="1">IFERROR(__xludf.DUMMYFUNCTION("""COMPUTED_VALUE"""),4)</f>
        <v>4</v>
      </c>
      <c r="E15">
        <f ca="1">IFERROR(__xludf.DUMMYFUNCTION("""COMPUTED_VALUE"""),71.43)</f>
        <v>71.430000000000007</v>
      </c>
      <c r="F15">
        <f ca="1">IFERROR(__xludf.DUMMYFUNCTION("""COMPUTED_VALUE"""),5)</f>
        <v>5</v>
      </c>
      <c r="G15">
        <f ca="1">IFERROR(__xludf.DUMMYFUNCTION("""COMPUTED_VALUE"""),7)</f>
        <v>7</v>
      </c>
    </row>
    <row r="16" spans="1:7" ht="15.75" customHeight="1">
      <c r="A16" t="str">
        <f ca="1">IFERROR(__xludf.DUMMYFUNCTION("""COMPUTED_VALUE"""),"T14")</f>
        <v>T14</v>
      </c>
      <c r="B16" t="str">
        <f ca="1">IFERROR(__xludf.DUMMYFUNCTION("""COMPUTED_VALUE"""),"T18")</f>
        <v>T18</v>
      </c>
      <c r="C16" t="str">
        <f ca="1">IFERROR(__xludf.DUMMYFUNCTION("""COMPUTED_VALUE"""),"Kiradech Aphibarnrat")</f>
        <v>Kiradech Aphibarnrat</v>
      </c>
      <c r="D16">
        <f ca="1">IFERROR(__xludf.DUMMYFUNCTION("""COMPUTED_VALUE"""),12)</f>
        <v>12</v>
      </c>
      <c r="E16">
        <f ca="1">IFERROR(__xludf.DUMMYFUNCTION("""COMPUTED_VALUE"""),71.43)</f>
        <v>71.430000000000007</v>
      </c>
      <c r="F16">
        <f ca="1">IFERROR(__xludf.DUMMYFUNCTION("""COMPUTED_VALUE"""),25)</f>
        <v>25</v>
      </c>
      <c r="G16">
        <f ca="1">IFERROR(__xludf.DUMMYFUNCTION("""COMPUTED_VALUE"""),35)</f>
        <v>35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IFERROR(__xludf.DUMMYFUNCTION("""COMPUTED_VALUE"""),"T8")</f>
        <v>T8</v>
      </c>
      <c r="C17" t="str">
        <f ca="1">IFERROR(__xludf.DUMMYFUNCTION("""COMPUTED_VALUE"""),"James Hahn")</f>
        <v>James Hahn</v>
      </c>
      <c r="D17">
        <f ca="1">IFERROR(__xludf.DUMMYFUNCTION("""COMPUTED_VALUE"""),16)</f>
        <v>16</v>
      </c>
      <c r="E17">
        <f ca="1">IFERROR(__xludf.DUMMYFUNCTION("""COMPUTED_VALUE"""),70)</f>
        <v>70</v>
      </c>
      <c r="F17">
        <f ca="1">IFERROR(__xludf.DUMMYFUNCTION("""COMPUTED_VALUE"""),14)</f>
        <v>14</v>
      </c>
      <c r="G17">
        <f ca="1">IFERROR(__xludf.DUMMYFUNCTION("""COMPUTED_VALUE"""),20)</f>
        <v>20</v>
      </c>
    </row>
    <row r="18" spans="1:7" ht="15.75" customHeight="1">
      <c r="A18" t="str">
        <f ca="1">IFERROR(__xludf.DUMMYFUNCTION("""COMPUTED_VALUE"""),"T16")</f>
        <v>T16</v>
      </c>
      <c r="B18">
        <f ca="1">IFERROR(__xludf.DUMMYFUNCTION("""COMPUTED_VALUE"""),22)</f>
        <v>22</v>
      </c>
      <c r="C18" t="str">
        <f ca="1">IFERROR(__xludf.DUMMYFUNCTION("""COMPUTED_VALUE"""),"Chris Stroud")</f>
        <v>Chris Stroud</v>
      </c>
      <c r="D18">
        <f ca="1">IFERROR(__xludf.DUMMYFUNCTION("""COMPUTED_VALUE"""),6)</f>
        <v>6</v>
      </c>
      <c r="E18">
        <f ca="1">IFERROR(__xludf.DUMMYFUNCTION("""COMPUTED_VALUE"""),70)</f>
        <v>70</v>
      </c>
      <c r="F18">
        <f ca="1">IFERROR(__xludf.DUMMYFUNCTION("""COMPUTED_VALUE"""),7)</f>
        <v>7</v>
      </c>
      <c r="G18">
        <f ca="1">IFERROR(__xludf.DUMMYFUNCTION("""COMPUTED_VALUE"""),10)</f>
        <v>10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IFERROR(__xludf.DUMMYFUNCTION("""COMPUTED_VALUE"""),"Roger Sloan")</f>
        <v>Roger Sloan</v>
      </c>
      <c r="D19">
        <f ca="1">IFERROR(__xludf.DUMMYFUNCTION("""COMPUTED_VALUE"""),12)</f>
        <v>12</v>
      </c>
      <c r="E19">
        <f ca="1">IFERROR(__xludf.DUMMYFUNCTION("""COMPUTED_VALUE"""),69.7)</f>
        <v>69.7</v>
      </c>
      <c r="F19">
        <f ca="1">IFERROR(__xludf.DUMMYFUNCTION("""COMPUTED_VALUE"""),23)</f>
        <v>23</v>
      </c>
      <c r="G19">
        <f ca="1">IFERROR(__xludf.DUMMYFUNCTION("""COMPUTED_VALUE"""),33)</f>
        <v>33</v>
      </c>
    </row>
    <row r="20" spans="1:7" ht="15.75" customHeight="1">
      <c r="A20">
        <f ca="1">IFERROR(__xludf.DUMMYFUNCTION("""COMPUTED_VALUE"""),19)</f>
        <v>19</v>
      </c>
      <c r="B20" t="str">
        <f ca="1">IFERROR(__xludf.DUMMYFUNCTION("""COMPUTED_VALUE"""),"T32")</f>
        <v>T32</v>
      </c>
      <c r="C20" t="str">
        <f ca="1">IFERROR(__xludf.DUMMYFUNCTION("""COMPUTED_VALUE"""),"Henrik Stenson")</f>
        <v>Henrik Stenson</v>
      </c>
      <c r="D20">
        <f ca="1">IFERROR(__xludf.DUMMYFUNCTION("""COMPUTED_VALUE"""),11)</f>
        <v>11</v>
      </c>
      <c r="E20">
        <f ca="1">IFERROR(__xludf.DUMMYFUNCTION("""COMPUTED_VALUE"""),69.23)</f>
        <v>69.23</v>
      </c>
      <c r="F20">
        <f ca="1">IFERROR(__xludf.DUMMYFUNCTION("""COMPUTED_VALUE"""),18)</f>
        <v>18</v>
      </c>
      <c r="G20">
        <f ca="1">IFERROR(__xludf.DUMMYFUNCTION("""COMPUTED_VALUE"""),26)</f>
        <v>26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IFERROR(__xludf.DUMMYFUNCTION("""COMPUTED_VALUE"""),24)</f>
        <v>24</v>
      </c>
      <c r="C21" t="str">
        <f ca="1">IFERROR(__xludf.DUMMYFUNCTION("""COMPUTED_VALUE"""),"Xander Schauffele")</f>
        <v>Xander Schauffele</v>
      </c>
      <c r="D21">
        <f ca="1">IFERROR(__xludf.DUMMYFUNCTION("""COMPUTED_VALUE"""),12)</f>
        <v>12</v>
      </c>
      <c r="E21">
        <f ca="1">IFERROR(__xludf.DUMMYFUNCTION("""COMPUTED_VALUE"""),68.97)</f>
        <v>68.97</v>
      </c>
      <c r="F21">
        <f ca="1">IFERROR(__xludf.DUMMYFUNCTION("""COMPUTED_VALUE"""),20)</f>
        <v>20</v>
      </c>
      <c r="G21">
        <f ca="1">IFERROR(__xludf.DUMMYFUNCTION("""COMPUTED_VALUE"""),29)</f>
        <v>29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IFERROR(__xludf.DUMMYFUNCTION("""COMPUTED_VALUE"""),"T18")</f>
        <v>T18</v>
      </c>
      <c r="C22" t="str">
        <f ca="1">IFERROR(__xludf.DUMMYFUNCTION("""COMPUTED_VALUE"""),"Austin Cook")</f>
        <v>Austin Cook</v>
      </c>
      <c r="D22">
        <f ca="1">IFERROR(__xludf.DUMMYFUNCTION("""COMPUTED_VALUE"""),14)</f>
        <v>14</v>
      </c>
      <c r="E22">
        <f ca="1">IFERROR(__xludf.DUMMYFUNCTION("""COMPUTED_VALUE"""),68.42)</f>
        <v>68.42</v>
      </c>
      <c r="F22">
        <f ca="1">IFERROR(__xludf.DUMMYFUNCTION("""COMPUTED_VALUE"""),13)</f>
        <v>13</v>
      </c>
      <c r="G22">
        <f ca="1">IFERROR(__xludf.DUMMYFUNCTION("""COMPUTED_VALUE"""),19)</f>
        <v>19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IFERROR(__xludf.DUMMYFUNCTION("""COMPUTED_VALUE"""),"T2")</f>
        <v>T2</v>
      </c>
      <c r="C23" t="str">
        <f ca="1">IFERROR(__xludf.DUMMYFUNCTION("""COMPUTED_VALUE"""),"Ollie Schniederjans")</f>
        <v>Ollie Schniederjans</v>
      </c>
      <c r="D23">
        <f ca="1">IFERROR(__xludf.DUMMYFUNCTION("""COMPUTED_VALUE"""),6)</f>
        <v>6</v>
      </c>
      <c r="E23">
        <f ca="1">IFERROR(__xludf.DUMMYFUNCTION("""COMPUTED_VALUE"""),68.42)</f>
        <v>68.42</v>
      </c>
      <c r="F23">
        <f ca="1">IFERROR(__xludf.DUMMYFUNCTION("""COMPUTED_VALUE"""),13)</f>
        <v>13</v>
      </c>
      <c r="G23">
        <f ca="1">IFERROR(__xludf.DUMMYFUNCTION("""COMPUTED_VALUE"""),19)</f>
        <v>19</v>
      </c>
    </row>
    <row r="24" spans="1:7" ht="15.75" customHeight="1">
      <c r="A24">
        <f ca="1">IFERROR(__xludf.DUMMYFUNCTION("""COMPUTED_VALUE"""),23)</f>
        <v>23</v>
      </c>
      <c r="B24" t="str">
        <f ca="1">IFERROR(__xludf.DUMMYFUNCTION("""COMPUTED_VALUE"""),"T18")</f>
        <v>T18</v>
      </c>
      <c r="C24" t="str">
        <f ca="1">IFERROR(__xludf.DUMMYFUNCTION("""COMPUTED_VALUE"""),"Charley Hoffman")</f>
        <v>Charley Hoffman</v>
      </c>
      <c r="D24">
        <f ca="1">IFERROR(__xludf.DUMMYFUNCTION("""COMPUTED_VALUE"""),20)</f>
        <v>20</v>
      </c>
      <c r="E24">
        <f ca="1">IFERROR(__xludf.DUMMYFUNCTION("""COMPUTED_VALUE"""),68.29)</f>
        <v>68.290000000000006</v>
      </c>
      <c r="F24">
        <f ca="1">IFERROR(__xludf.DUMMYFUNCTION("""COMPUTED_VALUE"""),28)</f>
        <v>28</v>
      </c>
      <c r="G24">
        <f ca="1">IFERROR(__xludf.DUMMYFUNCTION("""COMPUTED_VALUE"""),41)</f>
        <v>41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IFERROR(__xludf.DUMMYFUNCTION("""COMPUTED_VALUE"""),27)</f>
        <v>27</v>
      </c>
      <c r="C25" t="str">
        <f ca="1">IFERROR(__xludf.DUMMYFUNCTION("""COMPUTED_VALUE"""),"Louis Oosthuizen")</f>
        <v>Louis Oosthuizen</v>
      </c>
      <c r="D25">
        <f ca="1">IFERROR(__xludf.DUMMYFUNCTION("""COMPUTED_VALUE"""),12)</f>
        <v>12</v>
      </c>
      <c r="E25">
        <f ca="1">IFERROR(__xludf.DUMMYFUNCTION("""COMPUTED_VALUE"""),67.65)</f>
        <v>67.650000000000006</v>
      </c>
      <c r="F25">
        <f ca="1">IFERROR(__xludf.DUMMYFUNCTION("""COMPUTED_VALUE"""),23)</f>
        <v>23</v>
      </c>
      <c r="G25">
        <f ca="1">IFERROR(__xludf.DUMMYFUNCTION("""COMPUTED_VALUE"""),34)</f>
        <v>34</v>
      </c>
    </row>
    <row r="26" spans="1:7" ht="15.75" customHeight="1">
      <c r="A26" t="str">
        <f ca="1">IFERROR(__xludf.DUMMYFUNCTION("""COMPUTED_VALUE"""),"T25")</f>
        <v>T25</v>
      </c>
      <c r="B26" t="str">
        <f ca="1">IFERROR(__xludf.DUMMYFUNCTION("""COMPUTED_VALUE"""),"T28")</f>
        <v>T28</v>
      </c>
      <c r="C26" t="str">
        <f ca="1">IFERROR(__xludf.DUMMYFUNCTION("""COMPUTED_VALUE"""),"Daniel Berger")</f>
        <v>Daniel Berger</v>
      </c>
      <c r="D26">
        <f ca="1">IFERROR(__xludf.DUMMYFUNCTION("""COMPUTED_VALUE"""),12)</f>
        <v>12</v>
      </c>
      <c r="E26">
        <f ca="1">IFERROR(__xludf.DUMMYFUNCTION("""COMPUTED_VALUE"""),67.5)</f>
        <v>67.5</v>
      </c>
      <c r="F26">
        <f ca="1">IFERROR(__xludf.DUMMYFUNCTION("""COMPUTED_VALUE"""),27)</f>
        <v>27</v>
      </c>
      <c r="G26">
        <f ca="1">IFERROR(__xludf.DUMMYFUNCTION("""COMPUTED_VALUE"""),40)</f>
        <v>40</v>
      </c>
    </row>
    <row r="27" spans="1:7" ht="15.75" customHeight="1">
      <c r="A27" t="str">
        <f ca="1">IFERROR(__xludf.DUMMYFUNCTION("""COMPUTED_VALUE"""),"T25")</f>
        <v>T25</v>
      </c>
      <c r="B27" t="str">
        <f ca="1">IFERROR(__xludf.DUMMYFUNCTION("""COMPUTED_VALUE"""),"T28")</f>
        <v>T28</v>
      </c>
      <c r="C27" t="str">
        <f ca="1">IFERROR(__xludf.DUMMYFUNCTION("""COMPUTED_VALUE"""),"Joel Dahmen")</f>
        <v>Joel Dahmen</v>
      </c>
      <c r="D27">
        <f ca="1">IFERROR(__xludf.DUMMYFUNCTION("""COMPUTED_VALUE"""),18)</f>
        <v>18</v>
      </c>
      <c r="E27">
        <f ca="1">IFERROR(__xludf.DUMMYFUNCTION("""COMPUTED_VALUE"""),67.5)</f>
        <v>67.5</v>
      </c>
      <c r="F27">
        <f ca="1">IFERROR(__xludf.DUMMYFUNCTION("""COMPUTED_VALUE"""),27)</f>
        <v>27</v>
      </c>
      <c r="G27">
        <f ca="1">IFERROR(__xludf.DUMMYFUNCTION("""COMPUTED_VALUE"""),40)</f>
        <v>40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IFERROR(__xludf.DUMMYFUNCTION("""COMPUTED_VALUE"""),31)</f>
        <v>31</v>
      </c>
      <c r="C28" t="str">
        <f ca="1">IFERROR(__xludf.DUMMYFUNCTION("""COMPUTED_VALUE"""),"Patrick Cantlay")</f>
        <v>Patrick Cantlay</v>
      </c>
      <c r="D28">
        <f ca="1">IFERROR(__xludf.DUMMYFUNCTION("""COMPUTED_VALUE"""),16)</f>
        <v>16</v>
      </c>
      <c r="E28">
        <f ca="1">IFERROR(__xludf.DUMMYFUNCTION("""COMPUTED_VALUE"""),67.44)</f>
        <v>67.44</v>
      </c>
      <c r="F28">
        <f ca="1">IFERROR(__xludf.DUMMYFUNCTION("""COMPUTED_VALUE"""),29)</f>
        <v>29</v>
      </c>
      <c r="G28">
        <f ca="1">IFERROR(__xludf.DUMMYFUNCTION("""COMPUTED_VALUE"""),43)</f>
        <v>43</v>
      </c>
    </row>
    <row r="29" spans="1:7" ht="15.75" customHeight="1">
      <c r="A29" t="str">
        <f ca="1">IFERROR(__xludf.DUMMYFUNCTION("""COMPUTED_VALUE"""),"T28")</f>
        <v>T28</v>
      </c>
      <c r="B29">
        <f ca="1">IFERROR(__xludf.DUMMYFUNCTION("""COMPUTED_VALUE"""),25)</f>
        <v>25</v>
      </c>
      <c r="C29" t="str">
        <f ca="1">IFERROR(__xludf.DUMMYFUNCTION("""COMPUTED_VALUE"""),"Talor Gooch")</f>
        <v>Talor Gooch</v>
      </c>
      <c r="D29">
        <f ca="1">IFERROR(__xludf.DUMMYFUNCTION("""COMPUTED_VALUE"""),20)</f>
        <v>20</v>
      </c>
      <c r="E29">
        <f ca="1">IFERROR(__xludf.DUMMYFUNCTION("""COMPUTED_VALUE"""),66.67)</f>
        <v>66.67</v>
      </c>
      <c r="F29">
        <f ca="1">IFERROR(__xludf.DUMMYFUNCTION("""COMPUTED_VALUE"""),26)</f>
        <v>26</v>
      </c>
      <c r="G29">
        <f ca="1">IFERROR(__xludf.DUMMYFUNCTION("""COMPUTED_VALUE"""),39)</f>
        <v>39</v>
      </c>
    </row>
    <row r="30" spans="1:7" ht="15.75" customHeight="1">
      <c r="A30" t="str">
        <f ca="1">IFERROR(__xludf.DUMMYFUNCTION("""COMPUTED_VALUE"""),"T28")</f>
        <v>T28</v>
      </c>
      <c r="B30" t="str">
        <f ca="1">IFERROR(__xludf.DUMMYFUNCTION("""COMPUTED_VALUE"""),"T32")</f>
        <v>T32</v>
      </c>
      <c r="C30" t="str">
        <f ca="1">IFERROR(__xludf.DUMMYFUNCTION("""COMPUTED_VALUE"""),"Rikuya Hoshino")</f>
        <v>Rikuya Hoshino</v>
      </c>
      <c r="D30">
        <f ca="1">IFERROR(__xludf.DUMMYFUNCTION("""COMPUTED_VALUE"""),4)</f>
        <v>4</v>
      </c>
      <c r="E30">
        <f ca="1">IFERROR(__xludf.DUMMYFUNCTION("""COMPUTED_VALUE"""),66.67)</f>
        <v>66.67</v>
      </c>
      <c r="F30">
        <f ca="1">IFERROR(__xludf.DUMMYFUNCTION("""COMPUTED_VALUE"""),10)</f>
        <v>10</v>
      </c>
      <c r="G30">
        <f ca="1">IFERROR(__xludf.DUMMYFUNCTION("""COMPUTED_VALUE"""),15)</f>
        <v>15</v>
      </c>
    </row>
    <row r="31" spans="1:7" ht="12.75">
      <c r="A31" t="str">
        <f ca="1">IFERROR(__xludf.DUMMYFUNCTION("""COMPUTED_VALUE"""),"T28")</f>
        <v>T28</v>
      </c>
      <c r="B31" t="str">
        <f ca="1">IFERROR(__xludf.DUMMYFUNCTION("""COMPUTED_VALUE"""),"T32")</f>
        <v>T32</v>
      </c>
      <c r="C31" t="str">
        <f ca="1">IFERROR(__xludf.DUMMYFUNCTION("""COMPUTED_VALUE"""),"Will Zalatoris")</f>
        <v>Will Zalatoris</v>
      </c>
      <c r="D31">
        <f ca="1">IFERROR(__xludf.DUMMYFUNCTION("""COMPUTED_VALUE"""),18)</f>
        <v>18</v>
      </c>
      <c r="E31">
        <f ca="1">IFERROR(__xludf.DUMMYFUNCTION("""COMPUTED_VALUE"""),66.67)</f>
        <v>66.67</v>
      </c>
      <c r="F31">
        <f ca="1">IFERROR(__xludf.DUMMYFUNCTION("""COMPUTED_VALUE"""),26)</f>
        <v>26</v>
      </c>
      <c r="G31">
        <f ca="1">IFERROR(__xludf.DUMMYFUNCTION("""COMPUTED_VALUE"""),39)</f>
        <v>39</v>
      </c>
    </row>
    <row r="32" spans="1:7" ht="12.75">
      <c r="A32" t="str">
        <f ca="1">IFERROR(__xludf.DUMMYFUNCTION("""COMPUTED_VALUE"""),"T28")</f>
        <v>T28</v>
      </c>
      <c r="B32" t="str">
        <f ca="1">IFERROR(__xludf.DUMMYFUNCTION("""COMPUTED_VALUE"""),"T32")</f>
        <v>T32</v>
      </c>
      <c r="C32" t="str">
        <f ca="1">IFERROR(__xludf.DUMMYFUNCTION("""COMPUTED_VALUE"""),"Tiger Woods")</f>
        <v>Tiger Woods</v>
      </c>
      <c r="D32">
        <f ca="1">IFERROR(__xludf.DUMMYFUNCTION("""COMPUTED_VALUE"""),6)</f>
        <v>6</v>
      </c>
      <c r="E32">
        <f ca="1">IFERROR(__xludf.DUMMYFUNCTION("""COMPUTED_VALUE"""),66.67)</f>
        <v>66.67</v>
      </c>
      <c r="F32">
        <f ca="1">IFERROR(__xludf.DUMMYFUNCTION("""COMPUTED_VALUE"""),8)</f>
        <v>8</v>
      </c>
      <c r="G32">
        <f ca="1">IFERROR(__xludf.DUMMYFUNCTION("""COMPUTED_VALUE"""),12)</f>
        <v>12</v>
      </c>
    </row>
    <row r="33" spans="1:7" ht="12.75">
      <c r="A33" t="str">
        <f ca="1">IFERROR(__xludf.DUMMYFUNCTION("""COMPUTED_VALUE"""),"T28")</f>
        <v>T28</v>
      </c>
      <c r="B33" t="str">
        <f ca="1">IFERROR(__xludf.DUMMYFUNCTION("""COMPUTED_VALUE"""),"T32")</f>
        <v>T32</v>
      </c>
      <c r="C33" t="str">
        <f ca="1">IFERROR(__xludf.DUMMYFUNCTION("""COMPUTED_VALUE"""),"Cameron Percy")</f>
        <v>Cameron Percy</v>
      </c>
      <c r="D33">
        <f ca="1">IFERROR(__xludf.DUMMYFUNCTION("""COMPUTED_VALUE"""),16)</f>
        <v>16</v>
      </c>
      <c r="E33">
        <f ca="1">IFERROR(__xludf.DUMMYFUNCTION("""COMPUTED_VALUE"""),66.67)</f>
        <v>66.67</v>
      </c>
      <c r="F33">
        <f ca="1">IFERROR(__xludf.DUMMYFUNCTION("""COMPUTED_VALUE"""),18)</f>
        <v>18</v>
      </c>
      <c r="G33">
        <f ca="1">IFERROR(__xludf.DUMMYFUNCTION("""COMPUTED_VALUE"""),27)</f>
        <v>27</v>
      </c>
    </row>
    <row r="34" spans="1:7" ht="12.75">
      <c r="A34" t="str">
        <f ca="1">IFERROR(__xludf.DUMMYFUNCTION("""COMPUTED_VALUE"""),"T28")</f>
        <v>T28</v>
      </c>
      <c r="B34" t="str">
        <f ca="1">IFERROR(__xludf.DUMMYFUNCTION("""COMPUTED_VALUE"""),"T32")</f>
        <v>T32</v>
      </c>
      <c r="C34" t="str">
        <f ca="1">IFERROR(__xludf.DUMMYFUNCTION("""COMPUTED_VALUE"""),"Brad Kennedy")</f>
        <v>Brad Kennedy</v>
      </c>
      <c r="D34">
        <f ca="1">IFERROR(__xludf.DUMMYFUNCTION("""COMPUTED_VALUE"""),4)</f>
        <v>4</v>
      </c>
      <c r="E34">
        <f ca="1">IFERROR(__xludf.DUMMYFUNCTION("""COMPUTED_VALUE"""),66.67)</f>
        <v>66.67</v>
      </c>
      <c r="F34">
        <f ca="1">IFERROR(__xludf.DUMMYFUNCTION("""COMPUTED_VALUE"""),4)</f>
        <v>4</v>
      </c>
      <c r="G34">
        <f ca="1">IFERROR(__xludf.DUMMYFUNCTION("""COMPUTED_VALUE"""),6)</f>
        <v>6</v>
      </c>
    </row>
    <row r="35" spans="1:7" ht="12.75">
      <c r="A35" t="str">
        <f ca="1">IFERROR(__xludf.DUMMYFUNCTION("""COMPUTED_VALUE"""),"T28")</f>
        <v>T28</v>
      </c>
      <c r="B35" t="str">
        <f ca="1">IFERROR(__xludf.DUMMYFUNCTION("""COMPUTED_VALUE"""),"T32")</f>
        <v>T32</v>
      </c>
      <c r="C35" t="str">
        <f ca="1">IFERROR(__xludf.DUMMYFUNCTION("""COMPUTED_VALUE"""),"Seamus Power")</f>
        <v>Seamus Power</v>
      </c>
      <c r="D35">
        <f ca="1">IFERROR(__xludf.DUMMYFUNCTION("""COMPUTED_VALUE"""),8)</f>
        <v>8</v>
      </c>
      <c r="E35">
        <f ca="1">IFERROR(__xludf.DUMMYFUNCTION("""COMPUTED_VALUE"""),66.67)</f>
        <v>66.67</v>
      </c>
      <c r="F35">
        <f ca="1">IFERROR(__xludf.DUMMYFUNCTION("""COMPUTED_VALUE"""),14)</f>
        <v>14</v>
      </c>
      <c r="G35">
        <f ca="1">IFERROR(__xludf.DUMMYFUNCTION("""COMPUTED_VALUE"""),21)</f>
        <v>21</v>
      </c>
    </row>
    <row r="36" spans="1:7" ht="12.75">
      <c r="A36" t="str">
        <f ca="1">IFERROR(__xludf.DUMMYFUNCTION("""COMPUTED_VALUE"""),"T28")</f>
        <v>T28</v>
      </c>
      <c r="B36" t="str">
        <f ca="1">IFERROR(__xludf.DUMMYFUNCTION("""COMPUTED_VALUE"""),"T32")</f>
        <v>T32</v>
      </c>
      <c r="C36" t="str">
        <f ca="1">IFERROR(__xludf.DUMMYFUNCTION("""COMPUTED_VALUE"""),"Rafael Campos")</f>
        <v>Rafael Campos</v>
      </c>
      <c r="D36">
        <f ca="1">IFERROR(__xludf.DUMMYFUNCTION("""COMPUTED_VALUE"""),6)</f>
        <v>6</v>
      </c>
      <c r="E36">
        <f ca="1">IFERROR(__xludf.DUMMYFUNCTION("""COMPUTED_VALUE"""),66.67)</f>
        <v>66.67</v>
      </c>
      <c r="F36">
        <f ca="1">IFERROR(__xludf.DUMMYFUNCTION("""COMPUTED_VALUE"""),16)</f>
        <v>16</v>
      </c>
      <c r="G36">
        <f ca="1">IFERROR(__xludf.DUMMYFUNCTION("""COMPUTED_VALUE"""),24)</f>
        <v>24</v>
      </c>
    </row>
    <row r="37" spans="1:7" ht="12.75">
      <c r="A37" t="str">
        <f ca="1">IFERROR(__xludf.DUMMYFUNCTION("""COMPUTED_VALUE"""),"T28")</f>
        <v>T28</v>
      </c>
      <c r="B37" t="str">
        <f ca="1">IFERROR(__xludf.DUMMYFUNCTION("""COMPUTED_VALUE"""),"T32")</f>
        <v>T32</v>
      </c>
      <c r="C37" t="str">
        <f ca="1">IFERROR(__xludf.DUMMYFUNCTION("""COMPUTED_VALUE"""),"Kyle Stanley")</f>
        <v>Kyle Stanley</v>
      </c>
      <c r="D37">
        <f ca="1">IFERROR(__xludf.DUMMYFUNCTION("""COMPUTED_VALUE"""),16)</f>
        <v>16</v>
      </c>
      <c r="E37">
        <f ca="1">IFERROR(__xludf.DUMMYFUNCTION("""COMPUTED_VALUE"""),66.67)</f>
        <v>66.67</v>
      </c>
      <c r="F37">
        <f ca="1">IFERROR(__xludf.DUMMYFUNCTION("""COMPUTED_VALUE"""),20)</f>
        <v>20</v>
      </c>
      <c r="G37">
        <f ca="1">IFERROR(__xludf.DUMMYFUNCTION("""COMPUTED_VALUE"""),30)</f>
        <v>30</v>
      </c>
    </row>
    <row r="38" spans="1:7" ht="12.75">
      <c r="A38" t="str">
        <f ca="1">IFERROR(__xludf.DUMMYFUNCTION("""COMPUTED_VALUE"""),"T37")</f>
        <v>T37</v>
      </c>
      <c r="B38" t="str">
        <f ca="1">IFERROR(__xludf.DUMMYFUNCTION("""COMPUTED_VALUE"""),"T56")</f>
        <v>T56</v>
      </c>
      <c r="C38" t="str">
        <f ca="1">IFERROR(__xludf.DUMMYFUNCTION("""COMPUTED_VALUE"""),"Xinjun Zhang")</f>
        <v>Xinjun Zhang</v>
      </c>
      <c r="D38">
        <f ca="1">IFERROR(__xludf.DUMMYFUNCTION("""COMPUTED_VALUE"""),14)</f>
        <v>14</v>
      </c>
      <c r="E38">
        <f ca="1">IFERROR(__xludf.DUMMYFUNCTION("""COMPUTED_VALUE"""),65.52)</f>
        <v>65.52</v>
      </c>
      <c r="F38">
        <f ca="1">IFERROR(__xludf.DUMMYFUNCTION("""COMPUTED_VALUE"""),19)</f>
        <v>19</v>
      </c>
      <c r="G38">
        <f ca="1">IFERROR(__xludf.DUMMYFUNCTION("""COMPUTED_VALUE"""),29)</f>
        <v>29</v>
      </c>
    </row>
    <row r="39" spans="1:7" ht="12.75">
      <c r="A39" t="str">
        <f ca="1">IFERROR(__xludf.DUMMYFUNCTION("""COMPUTED_VALUE"""),"T37")</f>
        <v>T37</v>
      </c>
      <c r="B39">
        <f ca="1">IFERROR(__xludf.DUMMYFUNCTION("""COMPUTED_VALUE"""),44)</f>
        <v>44</v>
      </c>
      <c r="C39" t="str">
        <f ca="1">IFERROR(__xludf.DUMMYFUNCTION("""COMPUTED_VALUE"""),"Joaquin Niemann")</f>
        <v>Joaquin Niemann</v>
      </c>
      <c r="D39">
        <f ca="1">IFERROR(__xludf.DUMMYFUNCTION("""COMPUTED_VALUE"""),16)</f>
        <v>16</v>
      </c>
      <c r="E39">
        <f ca="1">IFERROR(__xludf.DUMMYFUNCTION("""COMPUTED_VALUE"""),65.52)</f>
        <v>65.52</v>
      </c>
      <c r="F39">
        <f ca="1">IFERROR(__xludf.DUMMYFUNCTION("""COMPUTED_VALUE"""),19)</f>
        <v>19</v>
      </c>
      <c r="G39">
        <f ca="1">IFERROR(__xludf.DUMMYFUNCTION("""COMPUTED_VALUE"""),29)</f>
        <v>29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IFERROR(__xludf.DUMMYFUNCTION("""COMPUTED_VALUE"""),45)</f>
        <v>45</v>
      </c>
      <c r="C40" t="str">
        <f ca="1">IFERROR(__xludf.DUMMYFUNCTION("""COMPUTED_VALUE"""),"Jonathan Byrd")</f>
        <v>Jonathan Byrd</v>
      </c>
      <c r="D40">
        <f ca="1">IFERROR(__xludf.DUMMYFUNCTION("""COMPUTED_VALUE"""),14)</f>
        <v>14</v>
      </c>
      <c r="E40">
        <f ca="1">IFERROR(__xludf.DUMMYFUNCTION("""COMPUTED_VALUE"""),65.38)</f>
        <v>65.38</v>
      </c>
      <c r="F40">
        <f ca="1">IFERROR(__xludf.DUMMYFUNCTION("""COMPUTED_VALUE"""),17)</f>
        <v>17</v>
      </c>
      <c r="G40">
        <f ca="1">IFERROR(__xludf.DUMMYFUNCTION("""COMPUTED_VALUE"""),26)</f>
        <v>26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IFERROR(__xludf.DUMMYFUNCTION("""COMPUTED_VALUE"""),"T59")</f>
        <v>T59</v>
      </c>
      <c r="C41" t="str">
        <f ca="1">IFERROR(__xludf.DUMMYFUNCTION("""COMPUTED_VALUE"""),"Sergio Garcia")</f>
        <v>Sergio Garcia</v>
      </c>
      <c r="D41">
        <f ca="1">IFERROR(__xludf.DUMMYFUNCTION("""COMPUTED_VALUE"""),18)</f>
        <v>18</v>
      </c>
      <c r="E41">
        <f ca="1">IFERROR(__xludf.DUMMYFUNCTION("""COMPUTED_VALUE"""),64.86)</f>
        <v>64.86</v>
      </c>
      <c r="F41">
        <f ca="1">IFERROR(__xludf.DUMMYFUNCTION("""COMPUTED_VALUE"""),24)</f>
        <v>24</v>
      </c>
      <c r="G41">
        <f ca="1">IFERROR(__xludf.DUMMYFUNCTION("""COMPUTED_VALUE"""),37)</f>
        <v>37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IFERROR(__xludf.DUMMYFUNCTION("""COMPUTED_VALUE"""),26)</f>
        <v>26</v>
      </c>
      <c r="C42" t="str">
        <f ca="1">IFERROR(__xludf.DUMMYFUNCTION("""COMPUTED_VALUE"""),"Emiliano Grillo")</f>
        <v>Emiliano Grillo</v>
      </c>
      <c r="D42">
        <f ca="1">IFERROR(__xludf.DUMMYFUNCTION("""COMPUTED_VALUE"""),22)</f>
        <v>22</v>
      </c>
      <c r="E42">
        <f ca="1">IFERROR(__xludf.DUMMYFUNCTION("""COMPUTED_VALUE"""),64.71)</f>
        <v>64.709999999999994</v>
      </c>
      <c r="F42">
        <f ca="1">IFERROR(__xludf.DUMMYFUNCTION("""COMPUTED_VALUE"""),22)</f>
        <v>22</v>
      </c>
      <c r="G42">
        <f ca="1">IFERROR(__xludf.DUMMYFUNCTION("""COMPUTED_VALUE"""),34)</f>
        <v>34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IFERROR(__xludf.DUMMYFUNCTION("""COMPUTED_VALUE"""),"T28")</f>
        <v>T28</v>
      </c>
      <c r="C43" t="str">
        <f ca="1">IFERROR(__xludf.DUMMYFUNCTION("""COMPUTED_VALUE"""),"Matt Jones")</f>
        <v>Matt Jones</v>
      </c>
      <c r="D43">
        <f ca="1">IFERROR(__xludf.DUMMYFUNCTION("""COMPUTED_VALUE"""),20)</f>
        <v>20</v>
      </c>
      <c r="E43">
        <f ca="1">IFERROR(__xludf.DUMMYFUNCTION("""COMPUTED_VALUE"""),63.83)</f>
        <v>63.83</v>
      </c>
      <c r="F43">
        <f ca="1">IFERROR(__xludf.DUMMYFUNCTION("""COMPUTED_VALUE"""),30)</f>
        <v>30</v>
      </c>
      <c r="G43">
        <f ca="1">IFERROR(__xludf.DUMMYFUNCTION("""COMPUTED_VALUE"""),47)</f>
        <v>47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IFERROR(__xludf.DUMMYFUNCTION("""COMPUTED_VALUE"""),"T32")</f>
        <v>T32</v>
      </c>
      <c r="C44" t="str">
        <f ca="1">IFERROR(__xludf.DUMMYFUNCTION("""COMPUTED_VALUE"""),"Robby Shelton")</f>
        <v>Robby Shelton</v>
      </c>
      <c r="D44">
        <f ca="1">IFERROR(__xludf.DUMMYFUNCTION("""COMPUTED_VALUE"""),14)</f>
        <v>14</v>
      </c>
      <c r="E44">
        <f ca="1">IFERROR(__xludf.DUMMYFUNCTION("""COMPUTED_VALUE"""),63.64)</f>
        <v>63.64</v>
      </c>
      <c r="F44">
        <f ca="1">IFERROR(__xludf.DUMMYFUNCTION("""COMPUTED_VALUE"""),21)</f>
        <v>21</v>
      </c>
      <c r="G44">
        <f ca="1">IFERROR(__xludf.DUMMYFUNCTION("""COMPUTED_VALUE"""),33)</f>
        <v>33</v>
      </c>
    </row>
    <row r="45" spans="1:7" ht="12.75">
      <c r="A45" t="str">
        <f ca="1">IFERROR(__xludf.DUMMYFUNCTION("""COMPUTED_VALUE"""),"T43")</f>
        <v>T43</v>
      </c>
      <c r="B45" t="str">
        <f ca="1">IFERROR(__xludf.DUMMYFUNCTION("""COMPUTED_VALUE"""),"T51")</f>
        <v>T51</v>
      </c>
      <c r="C45" t="str">
        <f ca="1">IFERROR(__xludf.DUMMYFUNCTION("""COMPUTED_VALUE"""),"Romain Langasque")</f>
        <v>Romain Langasque</v>
      </c>
      <c r="D45">
        <f ca="1">IFERROR(__xludf.DUMMYFUNCTION("""COMPUTED_VALUE"""),4)</f>
        <v>4</v>
      </c>
      <c r="E45">
        <f ca="1">IFERROR(__xludf.DUMMYFUNCTION("""COMPUTED_VALUE"""),63.64)</f>
        <v>63.64</v>
      </c>
      <c r="F45">
        <f ca="1">IFERROR(__xludf.DUMMYFUNCTION("""COMPUTED_VALUE"""),7)</f>
        <v>7</v>
      </c>
      <c r="G45">
        <f ca="1">IFERROR(__xludf.DUMMYFUNCTION("""COMPUTED_VALUE"""),11)</f>
        <v>11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IFERROR(__xludf.DUMMYFUNCTION("""COMPUTED_VALUE"""),55)</f>
        <v>55</v>
      </c>
      <c r="C46" t="str">
        <f ca="1">IFERROR(__xludf.DUMMYFUNCTION("""COMPUTED_VALUE"""),"Anirban Lahiri")</f>
        <v>Anirban Lahiri</v>
      </c>
      <c r="D46">
        <f ca="1">IFERROR(__xludf.DUMMYFUNCTION("""COMPUTED_VALUE"""),16)</f>
        <v>16</v>
      </c>
      <c r="E46">
        <f ca="1">IFERROR(__xludf.DUMMYFUNCTION("""COMPUTED_VALUE"""),63.41)</f>
        <v>63.41</v>
      </c>
      <c r="F46">
        <f ca="1">IFERROR(__xludf.DUMMYFUNCTION("""COMPUTED_VALUE"""),26)</f>
        <v>26</v>
      </c>
      <c r="G46">
        <f ca="1">IFERROR(__xludf.DUMMYFUNCTION("""COMPUTED_VALUE"""),41)</f>
        <v>41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IFERROR(__xludf.DUMMYFUNCTION("""COMPUTED_VALUE"""),17)</f>
        <v>17</v>
      </c>
      <c r="C47" t="str">
        <f ca="1">IFERROR(__xludf.DUMMYFUNCTION("""COMPUTED_VALUE"""),"Brian Stuard")</f>
        <v>Brian Stuard</v>
      </c>
      <c r="D47">
        <f ca="1">IFERROR(__xludf.DUMMYFUNCTION("""COMPUTED_VALUE"""),18)</f>
        <v>18</v>
      </c>
      <c r="E47">
        <f ca="1">IFERROR(__xludf.DUMMYFUNCTION("""COMPUTED_VALUE"""),63.16)</f>
        <v>63.16</v>
      </c>
      <c r="F47">
        <f ca="1">IFERROR(__xludf.DUMMYFUNCTION("""COMPUTED_VALUE"""),24)</f>
        <v>24</v>
      </c>
      <c r="G47">
        <f ca="1">IFERROR(__xludf.DUMMYFUNCTION("""COMPUTED_VALUE"""),38)</f>
        <v>38</v>
      </c>
    </row>
    <row r="48" spans="1:7" ht="12.75">
      <c r="A48">
        <f ca="1">IFERROR(__xludf.DUMMYFUNCTION("""COMPUTED_VALUE"""),47)</f>
        <v>47</v>
      </c>
      <c r="B48" t="str">
        <f ca="1">IFERROR(__xludf.DUMMYFUNCTION("""COMPUTED_VALUE"""),"T56")</f>
        <v>T56</v>
      </c>
      <c r="C48" t="str">
        <f ca="1">IFERROR(__xludf.DUMMYFUNCTION("""COMPUTED_VALUE"""),"Ian Poulter")</f>
        <v>Ian Poulter</v>
      </c>
      <c r="D48">
        <f ca="1">IFERROR(__xludf.DUMMYFUNCTION("""COMPUTED_VALUE"""),6)</f>
        <v>6</v>
      </c>
      <c r="E48">
        <f ca="1">IFERROR(__xludf.DUMMYFUNCTION("""COMPUTED_VALUE"""),62.96)</f>
        <v>62.96</v>
      </c>
      <c r="F48">
        <f ca="1">IFERROR(__xludf.DUMMYFUNCTION("""COMPUTED_VALUE"""),17)</f>
        <v>17</v>
      </c>
      <c r="G48">
        <f ca="1">IFERROR(__xludf.DUMMYFUNCTION("""COMPUTED_VALUE"""),27)</f>
        <v>27</v>
      </c>
    </row>
    <row r="49" spans="1:7" ht="12.75">
      <c r="A49" t="str">
        <f ca="1">IFERROR(__xludf.DUMMYFUNCTION("""COMPUTED_VALUE"""),"T48")</f>
        <v>T48</v>
      </c>
      <c r="B49" t="str">
        <f ca="1">IFERROR(__xludf.DUMMYFUNCTION("""COMPUTED_VALUE"""),"T61")</f>
        <v>T61</v>
      </c>
      <c r="C49" t="str">
        <f ca="1">IFERROR(__xludf.DUMMYFUNCTION("""COMPUTED_VALUE"""),"Fred Funk")</f>
        <v>Fred Funk</v>
      </c>
      <c r="D49">
        <f ca="1">IFERROR(__xludf.DUMMYFUNCTION("""COMPUTED_VALUE"""),4)</f>
        <v>4</v>
      </c>
      <c r="E49">
        <f ca="1">IFERROR(__xludf.DUMMYFUNCTION("""COMPUTED_VALUE"""),62.5)</f>
        <v>62.5</v>
      </c>
      <c r="F49">
        <f ca="1">IFERROR(__xludf.DUMMYFUNCTION("""COMPUTED_VALUE"""),10)</f>
        <v>10</v>
      </c>
      <c r="G49">
        <f ca="1">IFERROR(__xludf.DUMMYFUNCTION("""COMPUTED_VALUE"""),16)</f>
        <v>16</v>
      </c>
    </row>
    <row r="50" spans="1:7" ht="12.75">
      <c r="A50" t="str">
        <f ca="1">IFERROR(__xludf.DUMMYFUNCTION("""COMPUTED_VALUE"""),"T48")</f>
        <v>T48</v>
      </c>
      <c r="B50" t="str">
        <f ca="1">IFERROR(__xludf.DUMMYFUNCTION("""COMPUTED_VALUE"""),"T61")</f>
        <v>T61</v>
      </c>
      <c r="C50" t="str">
        <f ca="1">IFERROR(__xludf.DUMMYFUNCTION("""COMPUTED_VALUE"""),"Bud Cauley")</f>
        <v>Bud Cauley</v>
      </c>
      <c r="D50">
        <f ca="1">IFERROR(__xludf.DUMMYFUNCTION("""COMPUTED_VALUE"""),4)</f>
        <v>4</v>
      </c>
      <c r="E50">
        <f ca="1">IFERROR(__xludf.DUMMYFUNCTION("""COMPUTED_VALUE"""),62.5)</f>
        <v>62.5</v>
      </c>
      <c r="F50">
        <f ca="1">IFERROR(__xludf.DUMMYFUNCTION("""COMPUTED_VALUE"""),5)</f>
        <v>5</v>
      </c>
      <c r="G50">
        <f ca="1">IFERROR(__xludf.DUMMYFUNCTION("""COMPUTED_VALUE"""),8)</f>
        <v>8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IFERROR(__xludf.DUMMYFUNCTION("""COMPUTED_VALUE"""),66)</f>
        <v>66</v>
      </c>
      <c r="C51" t="str">
        <f ca="1">IFERROR(__xludf.DUMMYFUNCTION("""COMPUTED_VALUE"""),"Michael Gligic")</f>
        <v>Michael Gligic</v>
      </c>
      <c r="D51">
        <f ca="1">IFERROR(__xludf.DUMMYFUNCTION("""COMPUTED_VALUE"""),18)</f>
        <v>18</v>
      </c>
      <c r="E51">
        <f ca="1">IFERROR(__xludf.DUMMYFUNCTION("""COMPUTED_VALUE"""),62.16)</f>
        <v>62.16</v>
      </c>
      <c r="F51">
        <f ca="1">IFERROR(__xludf.DUMMYFUNCTION("""COMPUTED_VALUE"""),23)</f>
        <v>23</v>
      </c>
      <c r="G51">
        <f ca="1">IFERROR(__xludf.DUMMYFUNCTION("""COMPUTED_VALUE"""),37)</f>
        <v>37</v>
      </c>
    </row>
    <row r="52" spans="1:7" ht="12.75">
      <c r="A52" t="str">
        <f ca="1">IFERROR(__xludf.DUMMYFUNCTION("""COMPUTED_VALUE"""),"T51")</f>
        <v>T51</v>
      </c>
      <c r="B52" t="str">
        <f ca="1">IFERROR(__xludf.DUMMYFUNCTION("""COMPUTED_VALUE"""),"T67")</f>
        <v>T67</v>
      </c>
      <c r="C52" t="str">
        <f ca="1">IFERROR(__xludf.DUMMYFUNCTION("""COMPUTED_VALUE"""),"Harry Higgs")</f>
        <v>Harry Higgs</v>
      </c>
      <c r="D52">
        <f ca="1">IFERROR(__xludf.DUMMYFUNCTION("""COMPUTED_VALUE"""),14)</f>
        <v>14</v>
      </c>
      <c r="E52">
        <f ca="1">IFERROR(__xludf.DUMMYFUNCTION("""COMPUTED_VALUE"""),62.07)</f>
        <v>62.07</v>
      </c>
      <c r="F52">
        <f ca="1">IFERROR(__xludf.DUMMYFUNCTION("""COMPUTED_VALUE"""),18)</f>
        <v>18</v>
      </c>
      <c r="G52">
        <f ca="1">IFERROR(__xludf.DUMMYFUNCTION("""COMPUTED_VALUE"""),29)</f>
        <v>29</v>
      </c>
    </row>
    <row r="53" spans="1:7" ht="12.75">
      <c r="A53" t="str">
        <f ca="1">IFERROR(__xludf.DUMMYFUNCTION("""COMPUTED_VALUE"""),"T51")</f>
        <v>T51</v>
      </c>
      <c r="B53" t="str">
        <f ca="1">IFERROR(__xludf.DUMMYFUNCTION("""COMPUTED_VALUE"""),"T67")</f>
        <v>T67</v>
      </c>
      <c r="C53" t="str">
        <f ca="1">IFERROR(__xludf.DUMMYFUNCTION("""COMPUTED_VALUE"""),"Dominic Bozzelli")</f>
        <v>Dominic Bozzelli</v>
      </c>
      <c r="D53">
        <f ca="1">IFERROR(__xludf.DUMMYFUNCTION("""COMPUTED_VALUE"""),8)</f>
        <v>8</v>
      </c>
      <c r="E53">
        <f ca="1">IFERROR(__xludf.DUMMYFUNCTION("""COMPUTED_VALUE"""),62.07)</f>
        <v>62.07</v>
      </c>
      <c r="F53">
        <f ca="1">IFERROR(__xludf.DUMMYFUNCTION("""COMPUTED_VALUE"""),18)</f>
        <v>18</v>
      </c>
      <c r="G53">
        <f ca="1">IFERROR(__xludf.DUMMYFUNCTION("""COMPUTED_VALUE"""),29)</f>
        <v>29</v>
      </c>
    </row>
    <row r="54" spans="1:7" ht="12.75">
      <c r="A54">
        <f ca="1">IFERROR(__xludf.DUMMYFUNCTION("""COMPUTED_VALUE"""),53)</f>
        <v>53</v>
      </c>
      <c r="B54" t="str">
        <f ca="1">IFERROR(__xludf.DUMMYFUNCTION("""COMPUTED_VALUE"""),"T105")</f>
        <v>T105</v>
      </c>
      <c r="C54" t="str">
        <f ca="1">IFERROR(__xludf.DUMMYFUNCTION("""COMPUTED_VALUE"""),"Aaron Wise")</f>
        <v>Aaron Wise</v>
      </c>
      <c r="D54">
        <f ca="1">IFERROR(__xludf.DUMMYFUNCTION("""COMPUTED_VALUE"""),16)</f>
        <v>16</v>
      </c>
      <c r="E54">
        <f ca="1">IFERROR(__xludf.DUMMYFUNCTION("""COMPUTED_VALUE"""),61.76)</f>
        <v>61.76</v>
      </c>
      <c r="F54">
        <f ca="1">IFERROR(__xludf.DUMMYFUNCTION("""COMPUTED_VALUE"""),21)</f>
        <v>21</v>
      </c>
      <c r="G54">
        <f ca="1">IFERROR(__xludf.DUMMYFUNCTION("""COMPUTED_VALUE"""),34)</f>
        <v>34</v>
      </c>
    </row>
    <row r="55" spans="1:7" ht="12.75">
      <c r="A55" t="str">
        <f ca="1">IFERROR(__xludf.DUMMYFUNCTION("""COMPUTED_VALUE"""),"T54")</f>
        <v>T54</v>
      </c>
      <c r="B55" t="str">
        <f ca="1">IFERROR(__xludf.DUMMYFUNCTION("""COMPUTED_VALUE"""),"T76")</f>
        <v>T76</v>
      </c>
      <c r="C55" t="str">
        <f ca="1">IFERROR(__xludf.DUMMYFUNCTION("""COMPUTED_VALUE"""),"Carlos Ortiz")</f>
        <v>Carlos Ortiz</v>
      </c>
      <c r="D55">
        <f ca="1">IFERROR(__xludf.DUMMYFUNCTION("""COMPUTED_VALUE"""),20)</f>
        <v>20</v>
      </c>
      <c r="E55">
        <f ca="1">IFERROR(__xludf.DUMMYFUNCTION("""COMPUTED_VALUE"""),61.54)</f>
        <v>61.54</v>
      </c>
      <c r="F55">
        <f ca="1">IFERROR(__xludf.DUMMYFUNCTION("""COMPUTED_VALUE"""),24)</f>
        <v>24</v>
      </c>
      <c r="G55">
        <f ca="1">IFERROR(__xludf.DUMMYFUNCTION("""COMPUTED_VALUE"""),39)</f>
        <v>39</v>
      </c>
    </row>
    <row r="56" spans="1:7" ht="12.75">
      <c r="A56" t="str">
        <f ca="1">IFERROR(__xludf.DUMMYFUNCTION("""COMPUTED_VALUE"""),"T54")</f>
        <v>T54</v>
      </c>
      <c r="B56">
        <f ca="1">IFERROR(__xludf.DUMMYFUNCTION("""COMPUTED_VALUE"""),71)</f>
        <v>71</v>
      </c>
      <c r="C56" t="str">
        <f ca="1">IFERROR(__xludf.DUMMYFUNCTION("""COMPUTED_VALUE"""),"Rhein Gibson")</f>
        <v>Rhein Gibson</v>
      </c>
      <c r="D56">
        <f ca="1">IFERROR(__xludf.DUMMYFUNCTION("""COMPUTED_VALUE"""),10)</f>
        <v>10</v>
      </c>
      <c r="E56">
        <f ca="1">IFERROR(__xludf.DUMMYFUNCTION("""COMPUTED_VALUE"""),61.54)</f>
        <v>61.54</v>
      </c>
      <c r="F56">
        <f ca="1">IFERROR(__xludf.DUMMYFUNCTION("""COMPUTED_VALUE"""),16)</f>
        <v>16</v>
      </c>
      <c r="G56">
        <f ca="1">IFERROR(__xludf.DUMMYFUNCTION("""COMPUTED_VALUE"""),26)</f>
        <v>26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IFERROR(__xludf.DUMMYFUNCTION("""COMPUTED_VALUE"""),"T73")</f>
        <v>T73</v>
      </c>
      <c r="C57" t="str">
        <f ca="1">IFERROR(__xludf.DUMMYFUNCTION("""COMPUTED_VALUE"""),"Mark Anderson")</f>
        <v>Mark Anderson</v>
      </c>
      <c r="D57">
        <f ca="1">IFERROR(__xludf.DUMMYFUNCTION("""COMPUTED_VALUE"""),14)</f>
        <v>14</v>
      </c>
      <c r="E57">
        <f ca="1">IFERROR(__xludf.DUMMYFUNCTION("""COMPUTED_VALUE"""),61.29)</f>
        <v>61.29</v>
      </c>
      <c r="F57">
        <f ca="1">IFERROR(__xludf.DUMMYFUNCTION("""COMPUTED_VALUE"""),19)</f>
        <v>19</v>
      </c>
      <c r="G57">
        <f ca="1">IFERROR(__xludf.DUMMYFUNCTION("""COMPUTED_VALUE"""),31)</f>
        <v>31</v>
      </c>
    </row>
    <row r="58" spans="1:7" ht="12.75">
      <c r="A58" t="str">
        <f ca="1">IFERROR(__xludf.DUMMYFUNCTION("""COMPUTED_VALUE"""),"T56")</f>
        <v>T56</v>
      </c>
      <c r="B58" t="str">
        <f ca="1">IFERROR(__xludf.DUMMYFUNCTION("""COMPUTED_VALUE"""),"T73")</f>
        <v>T73</v>
      </c>
      <c r="C58" t="str">
        <f ca="1">IFERROR(__xludf.DUMMYFUNCTION("""COMPUTED_VALUE"""),"Webb Simpson")</f>
        <v>Webb Simpson</v>
      </c>
      <c r="D58">
        <f ca="1">IFERROR(__xludf.DUMMYFUNCTION("""COMPUTED_VALUE"""),12)</f>
        <v>12</v>
      </c>
      <c r="E58">
        <f ca="1">IFERROR(__xludf.DUMMYFUNCTION("""COMPUTED_VALUE"""),61.29)</f>
        <v>61.29</v>
      </c>
      <c r="F58">
        <f ca="1">IFERROR(__xludf.DUMMYFUNCTION("""COMPUTED_VALUE"""),19)</f>
        <v>19</v>
      </c>
      <c r="G58">
        <f ca="1">IFERROR(__xludf.DUMMYFUNCTION("""COMPUTED_VALUE"""),31)</f>
        <v>31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IFERROR(__xludf.DUMMYFUNCTION("""COMPUTED_VALUE"""),47)</f>
        <v>47</v>
      </c>
      <c r="C59" t="str">
        <f ca="1">IFERROR(__xludf.DUMMYFUNCTION("""COMPUTED_VALUE"""),"Denny McCarthy")</f>
        <v>Denny McCarthy</v>
      </c>
      <c r="D59">
        <f ca="1">IFERROR(__xludf.DUMMYFUNCTION("""COMPUTED_VALUE"""),22)</f>
        <v>22</v>
      </c>
      <c r="E59">
        <f ca="1">IFERROR(__xludf.DUMMYFUNCTION("""COMPUTED_VALUE"""),61.11)</f>
        <v>61.11</v>
      </c>
      <c r="F59">
        <f ca="1">IFERROR(__xludf.DUMMYFUNCTION("""COMPUTED_VALUE"""),22)</f>
        <v>22</v>
      </c>
      <c r="G59">
        <f ca="1">IFERROR(__xludf.DUMMYFUNCTION("""COMPUTED_VALUE"""),36)</f>
        <v>36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IFERROR(__xludf.DUMMYFUNCTION("""COMPUTED_VALUE"""),90)</f>
        <v>90</v>
      </c>
      <c r="C60" t="str">
        <f ca="1">IFERROR(__xludf.DUMMYFUNCTION("""COMPUTED_VALUE"""),"Adam Long")</f>
        <v>Adam Long</v>
      </c>
      <c r="D60">
        <f ca="1">IFERROR(__xludf.DUMMYFUNCTION("""COMPUTED_VALUE"""),22)</f>
        <v>22</v>
      </c>
      <c r="E60">
        <f ca="1">IFERROR(__xludf.DUMMYFUNCTION("""COMPUTED_VALUE"""),60.71)</f>
        <v>60.71</v>
      </c>
      <c r="F60">
        <f ca="1">IFERROR(__xludf.DUMMYFUNCTION("""COMPUTED_VALUE"""),34)</f>
        <v>34</v>
      </c>
      <c r="G60">
        <f ca="1">IFERROR(__xludf.DUMMYFUNCTION("""COMPUTED_VALUE"""),56)</f>
        <v>56</v>
      </c>
    </row>
    <row r="61" spans="1:7" ht="12.75">
      <c r="A61" t="str">
        <f ca="1">IFERROR(__xludf.DUMMYFUNCTION("""COMPUTED_VALUE"""),"T60")</f>
        <v>T60</v>
      </c>
      <c r="B61" t="str">
        <f ca="1">IFERROR(__xludf.DUMMYFUNCTION("""COMPUTED_VALUE"""),"T79")</f>
        <v>T79</v>
      </c>
      <c r="C61" t="str">
        <f ca="1">IFERROR(__xludf.DUMMYFUNCTION("""COMPUTED_VALUE"""),"Harris English")</f>
        <v>Harris English</v>
      </c>
      <c r="D61">
        <f ca="1">IFERROR(__xludf.DUMMYFUNCTION("""COMPUTED_VALUE"""),14)</f>
        <v>14</v>
      </c>
      <c r="E61">
        <f ca="1">IFERROR(__xludf.DUMMYFUNCTION("""COMPUTED_VALUE"""),60.61)</f>
        <v>60.61</v>
      </c>
      <c r="F61">
        <f ca="1">IFERROR(__xludf.DUMMYFUNCTION("""COMPUTED_VALUE"""),20)</f>
        <v>20</v>
      </c>
      <c r="G61">
        <f ca="1">IFERROR(__xludf.DUMMYFUNCTION("""COMPUTED_VALUE"""),33)</f>
        <v>33</v>
      </c>
    </row>
    <row r="62" spans="1:7" ht="12.75">
      <c r="A62" t="str">
        <f ca="1">IFERROR(__xludf.DUMMYFUNCTION("""COMPUTED_VALUE"""),"T60")</f>
        <v>T60</v>
      </c>
      <c r="B62" t="str">
        <f ca="1">IFERROR(__xludf.DUMMYFUNCTION("""COMPUTED_VALUE"""),"T79")</f>
        <v>T79</v>
      </c>
      <c r="C62" t="str">
        <f ca="1">IFERROR(__xludf.DUMMYFUNCTION("""COMPUTED_VALUE"""),"D.J. Trahan")</f>
        <v>D.J. Trahan</v>
      </c>
      <c r="D62">
        <f ca="1">IFERROR(__xludf.DUMMYFUNCTION("""COMPUTED_VALUE"""),16)</f>
        <v>16</v>
      </c>
      <c r="E62">
        <f ca="1">IFERROR(__xludf.DUMMYFUNCTION("""COMPUTED_VALUE"""),60.61)</f>
        <v>60.61</v>
      </c>
      <c r="F62">
        <f ca="1">IFERROR(__xludf.DUMMYFUNCTION("""COMPUTED_VALUE"""),20)</f>
        <v>20</v>
      </c>
      <c r="G62">
        <f ca="1">IFERROR(__xludf.DUMMYFUNCTION("""COMPUTED_VALUE"""),33)</f>
        <v>33</v>
      </c>
    </row>
    <row r="63" spans="1:7" ht="12.75">
      <c r="A63" t="str">
        <f ca="1">IFERROR(__xludf.DUMMYFUNCTION("""COMPUTED_VALUE"""),"T62")</f>
        <v>T62</v>
      </c>
      <c r="B63">
        <f ca="1">IFERROR(__xludf.DUMMYFUNCTION("""COMPUTED_VALUE"""),81)</f>
        <v>81</v>
      </c>
      <c r="C63" t="str">
        <f ca="1">IFERROR(__xludf.DUMMYFUNCTION("""COMPUTED_VALUE"""),"Paul Casey")</f>
        <v>Paul Casey</v>
      </c>
      <c r="D63">
        <f ca="1">IFERROR(__xludf.DUMMYFUNCTION("""COMPUTED_VALUE"""),14)</f>
        <v>14</v>
      </c>
      <c r="E63">
        <f ca="1">IFERROR(__xludf.DUMMYFUNCTION("""COMPUTED_VALUE"""),60.53)</f>
        <v>60.53</v>
      </c>
      <c r="F63">
        <f ca="1">IFERROR(__xludf.DUMMYFUNCTION("""COMPUTED_VALUE"""),23)</f>
        <v>23</v>
      </c>
      <c r="G63">
        <f ca="1">IFERROR(__xludf.DUMMYFUNCTION("""COMPUTED_VALUE"""),38)</f>
        <v>38</v>
      </c>
    </row>
    <row r="64" spans="1:7" ht="12.75">
      <c r="A64" t="str">
        <f ca="1">IFERROR(__xludf.DUMMYFUNCTION("""COMPUTED_VALUE"""),"T62")</f>
        <v>T62</v>
      </c>
      <c r="B64">
        <f ca="1">IFERROR(__xludf.DUMMYFUNCTION("""COMPUTED_VALUE"""),43)</f>
        <v>43</v>
      </c>
      <c r="C64" t="str">
        <f ca="1">IFERROR(__xludf.DUMMYFUNCTION("""COMPUTED_VALUE"""),"Andrew Putnam")</f>
        <v>Andrew Putnam</v>
      </c>
      <c r="D64">
        <f ca="1">IFERROR(__xludf.DUMMYFUNCTION("""COMPUTED_VALUE"""),19)</f>
        <v>19</v>
      </c>
      <c r="E64">
        <f ca="1">IFERROR(__xludf.DUMMYFUNCTION("""COMPUTED_VALUE"""),60.53)</f>
        <v>60.53</v>
      </c>
      <c r="F64">
        <f ca="1">IFERROR(__xludf.DUMMYFUNCTION("""COMPUTED_VALUE"""),23)</f>
        <v>23</v>
      </c>
      <c r="G64">
        <f ca="1">IFERROR(__xludf.DUMMYFUNCTION("""COMPUTED_VALUE"""),38)</f>
        <v>38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IFERROR(__xludf.DUMMYFUNCTION("""COMPUTED_VALUE"""),"T82")</f>
        <v>T82</v>
      </c>
      <c r="C65" t="str">
        <f ca="1">IFERROR(__xludf.DUMMYFUNCTION("""COMPUTED_VALUE"""),"Willy Pumarol")</f>
        <v>Willy Pumarol</v>
      </c>
      <c r="D65">
        <f ca="1">IFERROR(__xludf.DUMMYFUNCTION("""COMPUTED_VALUE"""),4)</f>
        <v>4</v>
      </c>
      <c r="E65">
        <f ca="1">IFERROR(__xludf.DUMMYFUNCTION("""COMPUTED_VALUE"""),60)</f>
        <v>60</v>
      </c>
      <c r="F65">
        <f ca="1">IFERROR(__xludf.DUMMYFUNCTION("""COMPUTED_VALUE"""),6)</f>
        <v>6</v>
      </c>
      <c r="G65">
        <f ca="1">IFERROR(__xludf.DUMMYFUNCTION("""COMPUTED_VALUE"""),10)</f>
        <v>10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IFERROR(__xludf.DUMMYFUNCTION("""COMPUTED_VALUE"""),"T61")</f>
        <v>T61</v>
      </c>
      <c r="C66" t="str">
        <f ca="1">IFERROR(__xludf.DUMMYFUNCTION("""COMPUTED_VALUE"""),"Troy Merritt")</f>
        <v>Troy Merritt</v>
      </c>
      <c r="D66">
        <f ca="1">IFERROR(__xludf.DUMMYFUNCTION("""COMPUTED_VALUE"""),20)</f>
        <v>20</v>
      </c>
      <c r="E66">
        <f ca="1">IFERROR(__xludf.DUMMYFUNCTION("""COMPUTED_VALUE"""),60)</f>
        <v>60</v>
      </c>
      <c r="F66">
        <f ca="1">IFERROR(__xludf.DUMMYFUNCTION("""COMPUTED_VALUE"""),33)</f>
        <v>33</v>
      </c>
      <c r="G66">
        <f ca="1">IFERROR(__xludf.DUMMYFUNCTION("""COMPUTED_VALUE"""),55)</f>
        <v>55</v>
      </c>
    </row>
    <row r="67" spans="1:7" ht="12.75">
      <c r="A67" t="str">
        <f ca="1">IFERROR(__xludf.DUMMYFUNCTION("""COMPUTED_VALUE"""),"T64")</f>
        <v>T64</v>
      </c>
      <c r="B67" t="str">
        <f ca="1">IFERROR(__xludf.DUMMYFUNCTION("""COMPUTED_VALUE"""),"T82")</f>
        <v>T82</v>
      </c>
      <c r="C67" t="str">
        <f ca="1">IFERROR(__xludf.DUMMYFUNCTION("""COMPUTED_VALUE"""),"Jon Rahm")</f>
        <v>Jon Rahm</v>
      </c>
      <c r="D67">
        <f ca="1">IFERROR(__xludf.DUMMYFUNCTION("""COMPUTED_VALUE"""),12)</f>
        <v>12</v>
      </c>
      <c r="E67">
        <f ca="1">IFERROR(__xludf.DUMMYFUNCTION("""COMPUTED_VALUE"""),60)</f>
        <v>60</v>
      </c>
      <c r="F67">
        <f ca="1">IFERROR(__xludf.DUMMYFUNCTION("""COMPUTED_VALUE"""),18)</f>
        <v>18</v>
      </c>
      <c r="G67">
        <f ca="1">IFERROR(__xludf.DUMMYFUNCTION("""COMPUTED_VALUE"""),30)</f>
        <v>30</v>
      </c>
    </row>
    <row r="68" spans="1:7" ht="12.75">
      <c r="A68" t="str">
        <f ca="1">IFERROR(__xludf.DUMMYFUNCTION("""COMPUTED_VALUE"""),"T64")</f>
        <v>T64</v>
      </c>
      <c r="B68" t="str">
        <f ca="1">IFERROR(__xludf.DUMMYFUNCTION("""COMPUTED_VALUE"""),"T73")</f>
        <v>T73</v>
      </c>
      <c r="C68" t="str">
        <f ca="1">IFERROR(__xludf.DUMMYFUNCTION("""COMPUTED_VALUE"""),"Pat Perez")</f>
        <v>Pat Perez</v>
      </c>
      <c r="D68">
        <f ca="1">IFERROR(__xludf.DUMMYFUNCTION("""COMPUTED_VALUE"""),16)</f>
        <v>16</v>
      </c>
      <c r="E68">
        <f ca="1">IFERROR(__xludf.DUMMYFUNCTION("""COMPUTED_VALUE"""),60)</f>
        <v>60</v>
      </c>
      <c r="F68">
        <f ca="1">IFERROR(__xludf.DUMMYFUNCTION("""COMPUTED_VALUE"""),21)</f>
        <v>21</v>
      </c>
      <c r="G68">
        <f ca="1">IFERROR(__xludf.DUMMYFUNCTION("""COMPUTED_VALUE"""),35)</f>
        <v>35</v>
      </c>
    </row>
    <row r="69" spans="1:7" ht="12.75">
      <c r="A69" t="str">
        <f ca="1">IFERROR(__xludf.DUMMYFUNCTION("""COMPUTED_VALUE"""),"T64")</f>
        <v>T64</v>
      </c>
      <c r="B69" t="str">
        <f ca="1">IFERROR(__xludf.DUMMYFUNCTION("""COMPUTED_VALUE"""),"T82")</f>
        <v>T82</v>
      </c>
      <c r="C69" t="str">
        <f ca="1">IFERROR(__xludf.DUMMYFUNCTION("""COMPUTED_VALUE"""),"Chez Reavie")</f>
        <v>Chez Reavie</v>
      </c>
      <c r="D69">
        <f ca="1">IFERROR(__xludf.DUMMYFUNCTION("""COMPUTED_VALUE"""),14)</f>
        <v>14</v>
      </c>
      <c r="E69">
        <f ca="1">IFERROR(__xludf.DUMMYFUNCTION("""COMPUTED_VALUE"""),60)</f>
        <v>60</v>
      </c>
      <c r="F69">
        <f ca="1">IFERROR(__xludf.DUMMYFUNCTION("""COMPUTED_VALUE"""),12)</f>
        <v>12</v>
      </c>
      <c r="G69">
        <f ca="1">IFERROR(__xludf.DUMMYFUNCTION("""COMPUTED_VALUE"""),20)</f>
        <v>20</v>
      </c>
    </row>
    <row r="70" spans="1:7" ht="12.75">
      <c r="A70" t="str">
        <f ca="1">IFERROR(__xludf.DUMMYFUNCTION("""COMPUTED_VALUE"""),"T64")</f>
        <v>T64</v>
      </c>
      <c r="B70" t="str">
        <f ca="1">IFERROR(__xludf.DUMMYFUNCTION("""COMPUTED_VALUE"""),"T82")</f>
        <v>T82</v>
      </c>
      <c r="C70" t="str">
        <f ca="1">IFERROR(__xludf.DUMMYFUNCTION("""COMPUTED_VALUE"""),"Jay McLuen")</f>
        <v>Jay McLuen</v>
      </c>
      <c r="D70">
        <f ca="1">IFERROR(__xludf.DUMMYFUNCTION("""COMPUTED_VALUE"""),4)</f>
        <v>4</v>
      </c>
      <c r="E70">
        <f ca="1">IFERROR(__xludf.DUMMYFUNCTION("""COMPUTED_VALUE"""),60)</f>
        <v>60</v>
      </c>
      <c r="F70">
        <f ca="1">IFERROR(__xludf.DUMMYFUNCTION("""COMPUTED_VALUE"""),3)</f>
        <v>3</v>
      </c>
      <c r="G70">
        <f ca="1">IFERROR(__xludf.DUMMYFUNCTION("""COMPUTED_VALUE"""),5)</f>
        <v>5</v>
      </c>
    </row>
    <row r="71" spans="1:7" ht="12.75">
      <c r="A71" t="str">
        <f ca="1">IFERROR(__xludf.DUMMYFUNCTION("""COMPUTED_VALUE"""),"T64")</f>
        <v>T64</v>
      </c>
      <c r="B71" t="str">
        <f ca="1">IFERROR(__xludf.DUMMYFUNCTION("""COMPUTED_VALUE"""),"T82")</f>
        <v>T82</v>
      </c>
      <c r="C71" t="str">
        <f ca="1">IFERROR(__xludf.DUMMYFUNCTION("""COMPUTED_VALUE"""),"John Senden")</f>
        <v>John Senden</v>
      </c>
      <c r="D71">
        <f ca="1">IFERROR(__xludf.DUMMYFUNCTION("""COMPUTED_VALUE"""),8)</f>
        <v>8</v>
      </c>
      <c r="E71">
        <f ca="1">IFERROR(__xludf.DUMMYFUNCTION("""COMPUTED_VALUE"""),60)</f>
        <v>60</v>
      </c>
      <c r="F71">
        <f ca="1">IFERROR(__xludf.DUMMYFUNCTION("""COMPUTED_VALUE"""),12)</f>
        <v>12</v>
      </c>
      <c r="G71">
        <f ca="1">IFERROR(__xludf.DUMMYFUNCTION("""COMPUTED_VALUE"""),20)</f>
        <v>20</v>
      </c>
    </row>
    <row r="72" spans="1:7" ht="12.75">
      <c r="A72" t="str">
        <f ca="1">IFERROR(__xludf.DUMMYFUNCTION("""COMPUTED_VALUE"""),"T64")</f>
        <v>T64</v>
      </c>
      <c r="B72">
        <f ca="1">IFERROR(__xludf.DUMMYFUNCTION("""COMPUTED_VALUE"""),98)</f>
        <v>98</v>
      </c>
      <c r="C72" t="str">
        <f ca="1">IFERROR(__xludf.DUMMYFUNCTION("""COMPUTED_VALUE"""),"C.T. Pan")</f>
        <v>C.T. Pan</v>
      </c>
      <c r="D72">
        <f ca="1">IFERROR(__xludf.DUMMYFUNCTION("""COMPUTED_VALUE"""),20)</f>
        <v>20</v>
      </c>
      <c r="E72">
        <f ca="1">IFERROR(__xludf.DUMMYFUNCTION("""COMPUTED_VALUE"""),60)</f>
        <v>60</v>
      </c>
      <c r="F72">
        <f ca="1">IFERROR(__xludf.DUMMYFUNCTION("""COMPUTED_VALUE"""),21)</f>
        <v>21</v>
      </c>
      <c r="G72">
        <f ca="1">IFERROR(__xludf.DUMMYFUNCTION("""COMPUTED_VALUE"""),35)</f>
        <v>35</v>
      </c>
    </row>
    <row r="73" spans="1:7" ht="12.75">
      <c r="A73" t="str">
        <f ca="1">IFERROR(__xludf.DUMMYFUNCTION("""COMPUTED_VALUE"""),"T72")</f>
        <v>T72</v>
      </c>
      <c r="B73" t="str">
        <f ca="1">IFERROR(__xludf.DUMMYFUNCTION("""COMPUTED_VALUE"""),"T91")</f>
        <v>T91</v>
      </c>
      <c r="C73" t="str">
        <f ca="1">IFERROR(__xludf.DUMMYFUNCTION("""COMPUTED_VALUE"""),"Abraham Ancer")</f>
        <v>Abraham Ancer</v>
      </c>
      <c r="D73">
        <f ca="1">IFERROR(__xludf.DUMMYFUNCTION("""COMPUTED_VALUE"""),16)</f>
        <v>16</v>
      </c>
      <c r="E73">
        <f ca="1">IFERROR(__xludf.DUMMYFUNCTION("""COMPUTED_VALUE"""),59.57)</f>
        <v>59.57</v>
      </c>
      <c r="F73">
        <f ca="1">IFERROR(__xludf.DUMMYFUNCTION("""COMPUTED_VALUE"""),28)</f>
        <v>28</v>
      </c>
      <c r="G73">
        <f ca="1">IFERROR(__xludf.DUMMYFUNCTION("""COMPUTED_VALUE"""),47)</f>
        <v>47</v>
      </c>
    </row>
    <row r="74" spans="1:7" ht="12.75">
      <c r="A74" t="str">
        <f ca="1">IFERROR(__xludf.DUMMYFUNCTION("""COMPUTED_VALUE"""),"T72")</f>
        <v>T72</v>
      </c>
      <c r="B74" t="str">
        <f ca="1">IFERROR(__xludf.DUMMYFUNCTION("""COMPUTED_VALUE"""),"T48")</f>
        <v>T48</v>
      </c>
      <c r="C74" t="str">
        <f ca="1">IFERROR(__xludf.DUMMYFUNCTION("""COMPUTED_VALUE"""),"Si Woo Kim")</f>
        <v>Si Woo Kim</v>
      </c>
      <c r="D74">
        <f ca="1">IFERROR(__xludf.DUMMYFUNCTION("""COMPUTED_VALUE"""),20)</f>
        <v>20</v>
      </c>
      <c r="E74">
        <f ca="1">IFERROR(__xludf.DUMMYFUNCTION("""COMPUTED_VALUE"""),59.57)</f>
        <v>59.57</v>
      </c>
      <c r="F74">
        <f ca="1">IFERROR(__xludf.DUMMYFUNCTION("""COMPUTED_VALUE"""),28)</f>
        <v>28</v>
      </c>
      <c r="G74">
        <f ca="1">IFERROR(__xludf.DUMMYFUNCTION("""COMPUTED_VALUE"""),47)</f>
        <v>47</v>
      </c>
    </row>
    <row r="75" spans="1:7" ht="12.75">
      <c r="A75" t="str">
        <f ca="1">IFERROR(__xludf.DUMMYFUNCTION("""COMPUTED_VALUE"""),"T74")</f>
        <v>T74</v>
      </c>
      <c r="B75">
        <f ca="1">IFERROR(__xludf.DUMMYFUNCTION("""COMPUTED_VALUE"""),42)</f>
        <v>42</v>
      </c>
      <c r="C75" t="str">
        <f ca="1">IFERROR(__xludf.DUMMYFUNCTION("""COMPUTED_VALUE"""),"Ryan Armour")</f>
        <v>Ryan Armour</v>
      </c>
      <c r="D75">
        <f ca="1">IFERROR(__xludf.DUMMYFUNCTION("""COMPUTED_VALUE"""),16)</f>
        <v>16</v>
      </c>
      <c r="E75">
        <f ca="1">IFERROR(__xludf.DUMMYFUNCTION("""COMPUTED_VALUE"""),59.52)</f>
        <v>59.52</v>
      </c>
      <c r="F75">
        <f ca="1">IFERROR(__xludf.DUMMYFUNCTION("""COMPUTED_VALUE"""),25)</f>
        <v>25</v>
      </c>
      <c r="G75">
        <f ca="1">IFERROR(__xludf.DUMMYFUNCTION("""COMPUTED_VALUE"""),42)</f>
        <v>42</v>
      </c>
    </row>
    <row r="76" spans="1:7" ht="12.75">
      <c r="A76" t="str">
        <f ca="1">IFERROR(__xludf.DUMMYFUNCTION("""COMPUTED_VALUE"""),"T74")</f>
        <v>T74</v>
      </c>
      <c r="B76" t="str">
        <f ca="1">IFERROR(__xludf.DUMMYFUNCTION("""COMPUTED_VALUE"""),"T132")</f>
        <v>T132</v>
      </c>
      <c r="C76" t="str">
        <f ca="1">IFERROR(__xludf.DUMMYFUNCTION("""COMPUTED_VALUE"""),"Hunter Mahan")</f>
        <v>Hunter Mahan</v>
      </c>
      <c r="D76">
        <f ca="1">IFERROR(__xludf.DUMMYFUNCTION("""COMPUTED_VALUE"""),14)</f>
        <v>14</v>
      </c>
      <c r="E76">
        <f ca="1">IFERROR(__xludf.DUMMYFUNCTION("""COMPUTED_VALUE"""),59.52)</f>
        <v>59.52</v>
      </c>
      <c r="F76">
        <f ca="1">IFERROR(__xludf.DUMMYFUNCTION("""COMPUTED_VALUE"""),25)</f>
        <v>25</v>
      </c>
      <c r="G76">
        <f ca="1">IFERROR(__xludf.DUMMYFUNCTION("""COMPUTED_VALUE"""),42)</f>
        <v>42</v>
      </c>
    </row>
    <row r="77" spans="1:7" ht="12.75">
      <c r="A77" t="str">
        <f ca="1">IFERROR(__xludf.DUMMYFUNCTION("""COMPUTED_VALUE"""),"T76")</f>
        <v>T76</v>
      </c>
      <c r="B77" t="str">
        <f ca="1">IFERROR(__xludf.DUMMYFUNCTION("""COMPUTED_VALUE"""),"T51")</f>
        <v>T51</v>
      </c>
      <c r="C77" t="str">
        <f ca="1">IFERROR(__xludf.DUMMYFUNCTION("""COMPUTED_VALUE"""),"Wyndham Clark")</f>
        <v>Wyndham Clark</v>
      </c>
      <c r="D77">
        <f ca="1">IFERROR(__xludf.DUMMYFUNCTION("""COMPUTED_VALUE"""),16)</f>
        <v>16</v>
      </c>
      <c r="E77">
        <f ca="1">IFERROR(__xludf.DUMMYFUNCTION("""COMPUTED_VALUE"""),59.46)</f>
        <v>59.46</v>
      </c>
      <c r="F77">
        <f ca="1">IFERROR(__xludf.DUMMYFUNCTION("""COMPUTED_VALUE"""),22)</f>
        <v>22</v>
      </c>
      <c r="G77">
        <f ca="1">IFERROR(__xludf.DUMMYFUNCTION("""COMPUTED_VALUE"""),37)</f>
        <v>37</v>
      </c>
    </row>
    <row r="78" spans="1:7" ht="12.75">
      <c r="A78" t="str">
        <f ca="1">IFERROR(__xludf.DUMMYFUNCTION("""COMPUTED_VALUE"""),"T76")</f>
        <v>T76</v>
      </c>
      <c r="B78" t="str">
        <f ca="1">IFERROR(__xludf.DUMMYFUNCTION("""COMPUTED_VALUE"""),"T93")</f>
        <v>T93</v>
      </c>
      <c r="C78" t="str">
        <f ca="1">IFERROR(__xludf.DUMMYFUNCTION("""COMPUTED_VALUE"""),"Justin Thomas")</f>
        <v>Justin Thomas</v>
      </c>
      <c r="D78">
        <f ca="1">IFERROR(__xludf.DUMMYFUNCTION("""COMPUTED_VALUE"""),12)</f>
        <v>12</v>
      </c>
      <c r="E78">
        <f ca="1">IFERROR(__xludf.DUMMYFUNCTION("""COMPUTED_VALUE"""),59.46)</f>
        <v>59.46</v>
      </c>
      <c r="F78">
        <f ca="1">IFERROR(__xludf.DUMMYFUNCTION("""COMPUTED_VALUE"""),22)</f>
        <v>22</v>
      </c>
      <c r="G78">
        <f ca="1">IFERROR(__xludf.DUMMYFUNCTION("""COMPUTED_VALUE"""),37)</f>
        <v>37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IFERROR(__xludf.DUMMYFUNCTION("""COMPUTED_VALUE"""),"T95")</f>
        <v>T95</v>
      </c>
      <c r="C79" t="str">
        <f ca="1">IFERROR(__xludf.DUMMYFUNCTION("""COMPUTED_VALUE"""),"Doug Ghim")</f>
        <v>Doug Ghim</v>
      </c>
      <c r="D79">
        <f ca="1">IFERROR(__xludf.DUMMYFUNCTION("""COMPUTED_VALUE"""),14)</f>
        <v>14</v>
      </c>
      <c r="E79">
        <f ca="1">IFERROR(__xludf.DUMMYFUNCTION("""COMPUTED_VALUE"""),59.38)</f>
        <v>59.38</v>
      </c>
      <c r="F79">
        <f ca="1">IFERROR(__xludf.DUMMYFUNCTION("""COMPUTED_VALUE"""),19)</f>
        <v>19</v>
      </c>
      <c r="G79">
        <f ca="1">IFERROR(__xludf.DUMMYFUNCTION("""COMPUTED_VALUE"""),32)</f>
        <v>32</v>
      </c>
    </row>
    <row r="80" spans="1:7" ht="12.75">
      <c r="A80" t="str">
        <f ca="1">IFERROR(__xludf.DUMMYFUNCTION("""COMPUTED_VALUE"""),"T78")</f>
        <v>T78</v>
      </c>
      <c r="B80" t="str">
        <f ca="1">IFERROR(__xludf.DUMMYFUNCTION("""COMPUTED_VALUE"""),"T95")</f>
        <v>T95</v>
      </c>
      <c r="C80" t="str">
        <f ca="1">IFERROR(__xludf.DUMMYFUNCTION("""COMPUTED_VALUE"""),"Jason Kokrak")</f>
        <v>Jason Kokrak</v>
      </c>
      <c r="D80">
        <f ca="1">IFERROR(__xludf.DUMMYFUNCTION("""COMPUTED_VALUE"""),14)</f>
        <v>14</v>
      </c>
      <c r="E80">
        <f ca="1">IFERROR(__xludf.DUMMYFUNCTION("""COMPUTED_VALUE"""),59.38)</f>
        <v>59.38</v>
      </c>
      <c r="F80">
        <f ca="1">IFERROR(__xludf.DUMMYFUNCTION("""COMPUTED_VALUE"""),19)</f>
        <v>19</v>
      </c>
      <c r="G80">
        <f ca="1">IFERROR(__xludf.DUMMYFUNCTION("""COMPUTED_VALUE"""),32)</f>
        <v>32</v>
      </c>
    </row>
    <row r="81" spans="1:7" ht="12.75">
      <c r="A81" t="str">
        <f ca="1">IFERROR(__xludf.DUMMYFUNCTION("""COMPUTED_VALUE"""),"T80")</f>
        <v>T80</v>
      </c>
      <c r="B81" t="str">
        <f ca="1">IFERROR(__xludf.DUMMYFUNCTION("""COMPUTED_VALUE"""),"T61")</f>
        <v>T61</v>
      </c>
      <c r="C81" t="str">
        <f ca="1">IFERROR(__xludf.DUMMYFUNCTION("""COMPUTED_VALUE"""),"Stewart Cink")</f>
        <v>Stewart Cink</v>
      </c>
      <c r="D81">
        <f ca="1">IFERROR(__xludf.DUMMYFUNCTION("""COMPUTED_VALUE"""),18)</f>
        <v>18</v>
      </c>
      <c r="E81">
        <f ca="1">IFERROR(__xludf.DUMMYFUNCTION("""COMPUTED_VALUE"""),59.26)</f>
        <v>59.26</v>
      </c>
      <c r="F81">
        <f ca="1">IFERROR(__xludf.DUMMYFUNCTION("""COMPUTED_VALUE"""),16)</f>
        <v>16</v>
      </c>
      <c r="G81">
        <f ca="1">IFERROR(__xludf.DUMMYFUNCTION("""COMPUTED_VALUE"""),27)</f>
        <v>27</v>
      </c>
    </row>
    <row r="82" spans="1:7" ht="12.75">
      <c r="A82" t="str">
        <f ca="1">IFERROR(__xludf.DUMMYFUNCTION("""COMPUTED_VALUE"""),"T80")</f>
        <v>T80</v>
      </c>
      <c r="B82" t="str">
        <f ca="1">IFERROR(__xludf.DUMMYFUNCTION("""COMPUTED_VALUE"""),"T69")</f>
        <v>T69</v>
      </c>
      <c r="C82" t="str">
        <f ca="1">IFERROR(__xludf.DUMMYFUNCTION("""COMPUTED_VALUE"""),"Russell Knox")</f>
        <v>Russell Knox</v>
      </c>
      <c r="D82">
        <f ca="1">IFERROR(__xludf.DUMMYFUNCTION("""COMPUTED_VALUE"""),16)</f>
        <v>16</v>
      </c>
      <c r="E82">
        <f ca="1">IFERROR(__xludf.DUMMYFUNCTION("""COMPUTED_VALUE"""),59.26)</f>
        <v>59.26</v>
      </c>
      <c r="F82">
        <f ca="1">IFERROR(__xludf.DUMMYFUNCTION("""COMPUTED_VALUE"""),16)</f>
        <v>16</v>
      </c>
      <c r="G82">
        <f ca="1">IFERROR(__xludf.DUMMYFUNCTION("""COMPUTED_VALUE"""),27)</f>
        <v>27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IFERROR(__xludf.DUMMYFUNCTION("""COMPUTED_VALUE"""),72)</f>
        <v>72</v>
      </c>
      <c r="C83" t="str">
        <f ca="1">IFERROR(__xludf.DUMMYFUNCTION("""COMPUTED_VALUE"""),"Tyler Duncan")</f>
        <v>Tyler Duncan</v>
      </c>
      <c r="D83">
        <f ca="1">IFERROR(__xludf.DUMMYFUNCTION("""COMPUTED_VALUE"""),18)</f>
        <v>18</v>
      </c>
      <c r="E83">
        <f ca="1">IFERROR(__xludf.DUMMYFUNCTION("""COMPUTED_VALUE"""),59.18)</f>
        <v>59.18</v>
      </c>
      <c r="F83">
        <f ca="1">IFERROR(__xludf.DUMMYFUNCTION("""COMPUTED_VALUE"""),29)</f>
        <v>29</v>
      </c>
      <c r="G83">
        <f ca="1">IFERROR(__xludf.DUMMYFUNCTION("""COMPUTED_VALUE"""),49)</f>
        <v>49</v>
      </c>
    </row>
    <row r="84" spans="1:7" ht="12.75">
      <c r="A84">
        <f ca="1">IFERROR(__xludf.DUMMYFUNCTION("""COMPUTED_VALUE"""),83)</f>
        <v>83</v>
      </c>
      <c r="B84" t="str">
        <f ca="1">IFERROR(__xludf.DUMMYFUNCTION("""COMPUTED_VALUE"""),"T93")</f>
        <v>T93</v>
      </c>
      <c r="C84" t="str">
        <f ca="1">IFERROR(__xludf.DUMMYFUNCTION("""COMPUTED_VALUE"""),"Hideki Matsuyama")</f>
        <v>Hideki Matsuyama</v>
      </c>
      <c r="D84">
        <f ca="1">IFERROR(__xludf.DUMMYFUNCTION("""COMPUTED_VALUE"""),18)</f>
        <v>18</v>
      </c>
      <c r="E84">
        <f ca="1">IFERROR(__xludf.DUMMYFUNCTION("""COMPUTED_VALUE"""),58.97)</f>
        <v>58.97</v>
      </c>
      <c r="F84">
        <f ca="1">IFERROR(__xludf.DUMMYFUNCTION("""COMPUTED_VALUE"""),23)</f>
        <v>23</v>
      </c>
      <c r="G84">
        <f ca="1">IFERROR(__xludf.DUMMYFUNCTION("""COMPUTED_VALUE"""),39)</f>
        <v>39</v>
      </c>
    </row>
    <row r="85" spans="1:7" ht="12.75">
      <c r="A85" t="str">
        <f ca="1">IFERROR(__xludf.DUMMYFUNCTION("""COMPUTED_VALUE"""),"T84")</f>
        <v>T84</v>
      </c>
      <c r="B85" t="str">
        <f ca="1">IFERROR(__xludf.DUMMYFUNCTION("""COMPUTED_VALUE"""),"T101")</f>
        <v>T101</v>
      </c>
      <c r="C85" t="str">
        <f ca="1">IFERROR(__xludf.DUMMYFUNCTION("""COMPUTED_VALUE"""),"Takumi Kanaya")</f>
        <v>Takumi Kanaya</v>
      </c>
      <c r="D85">
        <f ca="1">IFERROR(__xludf.DUMMYFUNCTION("""COMPUTED_VALUE"""),6)</f>
        <v>6</v>
      </c>
      <c r="E85">
        <f ca="1">IFERROR(__xludf.DUMMYFUNCTION("""COMPUTED_VALUE"""),58.82)</f>
        <v>58.82</v>
      </c>
      <c r="F85">
        <f ca="1">IFERROR(__xludf.DUMMYFUNCTION("""COMPUTED_VALUE"""),10)</f>
        <v>10</v>
      </c>
      <c r="G85">
        <f ca="1">IFERROR(__xludf.DUMMYFUNCTION("""COMPUTED_VALUE"""),17)</f>
        <v>17</v>
      </c>
    </row>
    <row r="86" spans="1:7" ht="12.75">
      <c r="A86" t="str">
        <f ca="1">IFERROR(__xludf.DUMMYFUNCTION("""COMPUTED_VALUE"""),"T84")</f>
        <v>T84</v>
      </c>
      <c r="B86" t="str">
        <f ca="1">IFERROR(__xludf.DUMMYFUNCTION("""COMPUTED_VALUE"""),"T101")</f>
        <v>T101</v>
      </c>
      <c r="C86" t="str">
        <f ca="1">IFERROR(__xludf.DUMMYFUNCTION("""COMPUTED_VALUE"""),"Bryson DeChambeau")</f>
        <v>Bryson DeChambeau</v>
      </c>
      <c r="D86">
        <f ca="1">IFERROR(__xludf.DUMMYFUNCTION("""COMPUTED_VALUE"""),8)</f>
        <v>8</v>
      </c>
      <c r="E86">
        <f ca="1">IFERROR(__xludf.DUMMYFUNCTION("""COMPUTED_VALUE"""),58.82)</f>
        <v>58.82</v>
      </c>
      <c r="F86">
        <f ca="1">IFERROR(__xludf.DUMMYFUNCTION("""COMPUTED_VALUE"""),10)</f>
        <v>10</v>
      </c>
      <c r="G86">
        <f ca="1">IFERROR(__xludf.DUMMYFUNCTION("""COMPUTED_VALUE"""),17)</f>
        <v>17</v>
      </c>
    </row>
    <row r="87" spans="1:7" ht="12.75">
      <c r="A87">
        <f ca="1">IFERROR(__xludf.DUMMYFUNCTION("""COMPUTED_VALUE"""),86)</f>
        <v>86</v>
      </c>
      <c r="B87" t="str">
        <f ca="1">IFERROR(__xludf.DUMMYFUNCTION("""COMPUTED_VALUE"""),"T91")</f>
        <v>T91</v>
      </c>
      <c r="C87" t="str">
        <f ca="1">IFERROR(__xludf.DUMMYFUNCTION("""COMPUTED_VALUE"""),"Mark Hubbard")</f>
        <v>Mark Hubbard</v>
      </c>
      <c r="D87">
        <f ca="1">IFERROR(__xludf.DUMMYFUNCTION("""COMPUTED_VALUE"""),20)</f>
        <v>20</v>
      </c>
      <c r="E87">
        <f ca="1">IFERROR(__xludf.DUMMYFUNCTION("""COMPUTED_VALUE"""),58.49)</f>
        <v>58.49</v>
      </c>
      <c r="F87">
        <f ca="1">IFERROR(__xludf.DUMMYFUNCTION("""COMPUTED_VALUE"""),31)</f>
        <v>31</v>
      </c>
      <c r="G87">
        <f ca="1">IFERROR(__xludf.DUMMYFUNCTION("""COMPUTED_VALUE"""),53)</f>
        <v>53</v>
      </c>
    </row>
    <row r="88" spans="1:7" ht="12.75">
      <c r="A88" t="str">
        <f ca="1">IFERROR(__xludf.DUMMYFUNCTION("""COMPUTED_VALUE"""),"T87")</f>
        <v>T87</v>
      </c>
      <c r="B88" t="str">
        <f ca="1">IFERROR(__xludf.DUMMYFUNCTION("""COMPUTED_VALUE"""),"T107")</f>
        <v>T107</v>
      </c>
      <c r="C88" t="str">
        <f ca="1">IFERROR(__xludf.DUMMYFUNCTION("""COMPUTED_VALUE"""),"Matthew Fitzpatrick")</f>
        <v>Matthew Fitzpatrick</v>
      </c>
      <c r="D88">
        <f ca="1">IFERROR(__xludf.DUMMYFUNCTION("""COMPUTED_VALUE"""),10)</f>
        <v>10</v>
      </c>
      <c r="E88">
        <f ca="1">IFERROR(__xludf.DUMMYFUNCTION("""COMPUTED_VALUE"""),58.33)</f>
        <v>58.33</v>
      </c>
      <c r="F88">
        <f ca="1">IFERROR(__xludf.DUMMYFUNCTION("""COMPUTED_VALUE"""),14)</f>
        <v>14</v>
      </c>
      <c r="G88">
        <f ca="1">IFERROR(__xludf.DUMMYFUNCTION("""COMPUTED_VALUE"""),24)</f>
        <v>24</v>
      </c>
    </row>
    <row r="89" spans="1:7" ht="12.75">
      <c r="A89" t="str">
        <f ca="1">IFERROR(__xludf.DUMMYFUNCTION("""COMPUTED_VALUE"""),"T87")</f>
        <v>T87</v>
      </c>
      <c r="B89" t="str">
        <f ca="1">IFERROR(__xludf.DUMMYFUNCTION("""COMPUTED_VALUE"""),"T116")</f>
        <v>T116</v>
      </c>
      <c r="C89" t="str">
        <f ca="1">IFERROR(__xludf.DUMMYFUNCTION("""COMPUTED_VALUE"""),"Vaughn Taylor")</f>
        <v>Vaughn Taylor</v>
      </c>
      <c r="D89">
        <f ca="1">IFERROR(__xludf.DUMMYFUNCTION("""COMPUTED_VALUE"""),12)</f>
        <v>12</v>
      </c>
      <c r="E89">
        <f ca="1">IFERROR(__xludf.DUMMYFUNCTION("""COMPUTED_VALUE"""),58.33)</f>
        <v>58.33</v>
      </c>
      <c r="F89">
        <f ca="1">IFERROR(__xludf.DUMMYFUNCTION("""COMPUTED_VALUE"""),14)</f>
        <v>14</v>
      </c>
      <c r="G89">
        <f ca="1">IFERROR(__xludf.DUMMYFUNCTION("""COMPUTED_VALUE"""),24)</f>
        <v>24</v>
      </c>
    </row>
    <row r="90" spans="1:7" ht="12.75">
      <c r="A90" t="str">
        <f ca="1">IFERROR(__xludf.DUMMYFUNCTION("""COMPUTED_VALUE"""),"T89")</f>
        <v>T89</v>
      </c>
      <c r="B90" t="str">
        <f ca="1">IFERROR(__xludf.DUMMYFUNCTION("""COMPUTED_VALUE"""),"T82")</f>
        <v>T82</v>
      </c>
      <c r="C90" t="str">
        <f ca="1">IFERROR(__xludf.DUMMYFUNCTION("""COMPUTED_VALUE"""),"Viktor Hovland")</f>
        <v>Viktor Hovland</v>
      </c>
      <c r="D90">
        <f ca="1">IFERROR(__xludf.DUMMYFUNCTION("""COMPUTED_VALUE"""),16)</f>
        <v>16</v>
      </c>
      <c r="E90">
        <f ca="1">IFERROR(__xludf.DUMMYFUNCTION("""COMPUTED_VALUE"""),58.14)</f>
        <v>58.14</v>
      </c>
      <c r="F90">
        <f ca="1">IFERROR(__xludf.DUMMYFUNCTION("""COMPUTED_VALUE"""),25)</f>
        <v>25</v>
      </c>
      <c r="G90">
        <f ca="1">IFERROR(__xludf.DUMMYFUNCTION("""COMPUTED_VALUE"""),43)</f>
        <v>43</v>
      </c>
    </row>
    <row r="91" spans="1:7" ht="12.75">
      <c r="A91" t="str">
        <f ca="1">IFERROR(__xludf.DUMMYFUNCTION("""COMPUTED_VALUE"""),"T89")</f>
        <v>T89</v>
      </c>
      <c r="B91">
        <f ca="1">IFERROR(__xludf.DUMMYFUNCTION("""COMPUTED_VALUE"""),110)</f>
        <v>110</v>
      </c>
      <c r="C91" t="str">
        <f ca="1">IFERROR(__xludf.DUMMYFUNCTION("""COMPUTED_VALUE"""),"Peter Malnati")</f>
        <v>Peter Malnati</v>
      </c>
      <c r="D91">
        <f ca="1">IFERROR(__xludf.DUMMYFUNCTION("""COMPUTED_VALUE"""),18)</f>
        <v>18</v>
      </c>
      <c r="E91">
        <f ca="1">IFERROR(__xludf.DUMMYFUNCTION("""COMPUTED_VALUE"""),58.14)</f>
        <v>58.14</v>
      </c>
      <c r="F91">
        <f ca="1">IFERROR(__xludf.DUMMYFUNCTION("""COMPUTED_VALUE"""),25)</f>
        <v>25</v>
      </c>
      <c r="G91">
        <f ca="1">IFERROR(__xludf.DUMMYFUNCTION("""COMPUTED_VALUE"""),43)</f>
        <v>43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IFERROR(__xludf.DUMMYFUNCTION("""COMPUTED_VALUE"""),50)</f>
        <v>50</v>
      </c>
      <c r="C92" t="str">
        <f ca="1">IFERROR(__xludf.DUMMYFUNCTION("""COMPUTED_VALUE"""),"D.A. Points")</f>
        <v>D.A. Points</v>
      </c>
      <c r="D92">
        <f ca="1">IFERROR(__xludf.DUMMYFUNCTION("""COMPUTED_VALUE"""),12)</f>
        <v>12</v>
      </c>
      <c r="E92">
        <f ca="1">IFERROR(__xludf.DUMMYFUNCTION("""COMPUTED_VALUE"""),58.06)</f>
        <v>58.06</v>
      </c>
      <c r="F92">
        <f ca="1">IFERROR(__xludf.DUMMYFUNCTION("""COMPUTED_VALUE"""),18)</f>
        <v>18</v>
      </c>
      <c r="G92">
        <f ca="1">IFERROR(__xludf.DUMMYFUNCTION("""COMPUTED_VALUE"""),31)</f>
        <v>31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IFERROR(__xludf.DUMMYFUNCTION("""COMPUTED_VALUE"""),111)</f>
        <v>111</v>
      </c>
      <c r="C93" t="str">
        <f ca="1">IFERROR(__xludf.DUMMYFUNCTION("""COMPUTED_VALUE"""),"Richy Werenski")</f>
        <v>Richy Werenski</v>
      </c>
      <c r="D93">
        <f ca="1">IFERROR(__xludf.DUMMYFUNCTION("""COMPUTED_VALUE"""),16)</f>
        <v>16</v>
      </c>
      <c r="E93">
        <f ca="1">IFERROR(__xludf.DUMMYFUNCTION("""COMPUTED_VALUE"""),58)</f>
        <v>58</v>
      </c>
      <c r="F93">
        <f ca="1">IFERROR(__xludf.DUMMYFUNCTION("""COMPUTED_VALUE"""),29)</f>
        <v>29</v>
      </c>
      <c r="G93">
        <f ca="1">IFERROR(__xludf.DUMMYFUNCTION("""COMPUTED_VALUE"""),50)</f>
        <v>50</v>
      </c>
    </row>
    <row r="94" spans="1:7" ht="12.75">
      <c r="A94" t="str">
        <f ca="1">IFERROR(__xludf.DUMMYFUNCTION("""COMPUTED_VALUE"""),"T93")</f>
        <v>T93</v>
      </c>
      <c r="B94" t="str">
        <f ca="1">IFERROR(__xludf.DUMMYFUNCTION("""COMPUTED_VALUE"""),"T112")</f>
        <v>T112</v>
      </c>
      <c r="C94" t="str">
        <f ca="1">IFERROR(__xludf.DUMMYFUNCTION("""COMPUTED_VALUE"""),"Justin Suh")</f>
        <v>Justin Suh</v>
      </c>
      <c r="D94">
        <f ca="1">IFERROR(__xludf.DUMMYFUNCTION("""COMPUTED_VALUE"""),10)</f>
        <v>10</v>
      </c>
      <c r="E94">
        <f ca="1">IFERROR(__xludf.DUMMYFUNCTION("""COMPUTED_VALUE"""),57.89)</f>
        <v>57.89</v>
      </c>
      <c r="F94">
        <f ca="1">IFERROR(__xludf.DUMMYFUNCTION("""COMPUTED_VALUE"""),11)</f>
        <v>11</v>
      </c>
      <c r="G94">
        <f ca="1">IFERROR(__xludf.DUMMYFUNCTION("""COMPUTED_VALUE"""),19)</f>
        <v>19</v>
      </c>
    </row>
    <row r="95" spans="1:7" ht="12.75">
      <c r="A95" t="str">
        <f ca="1">IFERROR(__xludf.DUMMYFUNCTION("""COMPUTED_VALUE"""),"T93")</f>
        <v>T93</v>
      </c>
      <c r="B95" t="str">
        <f ca="1">IFERROR(__xludf.DUMMYFUNCTION("""COMPUTED_VALUE"""),"T59")</f>
        <v>T59</v>
      </c>
      <c r="C95" t="str">
        <f ca="1">IFERROR(__xludf.DUMMYFUNCTION("""COMPUTED_VALUE"""),"Michael Kim")</f>
        <v>Michael Kim</v>
      </c>
      <c r="D95">
        <f ca="1">IFERROR(__xludf.DUMMYFUNCTION("""COMPUTED_VALUE"""),12)</f>
        <v>12</v>
      </c>
      <c r="E95">
        <f ca="1">IFERROR(__xludf.DUMMYFUNCTION("""COMPUTED_VALUE"""),57.89)</f>
        <v>57.89</v>
      </c>
      <c r="F95">
        <f ca="1">IFERROR(__xludf.DUMMYFUNCTION("""COMPUTED_VALUE"""),22)</f>
        <v>22</v>
      </c>
      <c r="G95">
        <f ca="1">IFERROR(__xludf.DUMMYFUNCTION("""COMPUTED_VALUE"""),38)</f>
        <v>38</v>
      </c>
    </row>
    <row r="96" spans="1:7" ht="12.75">
      <c r="A96" t="str">
        <f ca="1">IFERROR(__xludf.DUMMYFUNCTION("""COMPUTED_VALUE"""),"T93")</f>
        <v>T93</v>
      </c>
      <c r="B96" t="str">
        <f ca="1">IFERROR(__xludf.DUMMYFUNCTION("""COMPUTED_VALUE"""),"T112")</f>
        <v>T112</v>
      </c>
      <c r="C96" t="str">
        <f ca="1">IFERROR(__xludf.DUMMYFUNCTION("""COMPUTED_VALUE"""),"Lucas Herbert")</f>
        <v>Lucas Herbert</v>
      </c>
      <c r="D96">
        <f ca="1">IFERROR(__xludf.DUMMYFUNCTION("""COMPUTED_VALUE"""),4)</f>
        <v>4</v>
      </c>
      <c r="E96">
        <f ca="1">IFERROR(__xludf.DUMMYFUNCTION("""COMPUTED_VALUE"""),57.89)</f>
        <v>57.89</v>
      </c>
      <c r="F96">
        <f ca="1">IFERROR(__xludf.DUMMYFUNCTION("""COMPUTED_VALUE"""),11)</f>
        <v>11</v>
      </c>
      <c r="G96">
        <f ca="1">IFERROR(__xludf.DUMMYFUNCTION("""COMPUTED_VALUE"""),19)</f>
        <v>19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IFERROR(__xludf.DUMMYFUNCTION("""COMPUTED_VALUE"""),114)</f>
        <v>114</v>
      </c>
      <c r="C97" t="str">
        <f ca="1">IFERROR(__xludf.DUMMYFUNCTION("""COMPUTED_VALUE"""),"Adam Hadwin")</f>
        <v>Adam Hadwin</v>
      </c>
      <c r="D97">
        <f ca="1">IFERROR(__xludf.DUMMYFUNCTION("""COMPUTED_VALUE"""),16)</f>
        <v>16</v>
      </c>
      <c r="E97">
        <f ca="1">IFERROR(__xludf.DUMMYFUNCTION("""COMPUTED_VALUE"""),57.78)</f>
        <v>57.78</v>
      </c>
      <c r="F97">
        <f ca="1">IFERROR(__xludf.DUMMYFUNCTION("""COMPUTED_VALUE"""),26)</f>
        <v>26</v>
      </c>
      <c r="G97">
        <f ca="1">IFERROR(__xludf.DUMMYFUNCTION("""COMPUTED_VALUE"""),45)</f>
        <v>45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IFERROR(__xludf.DUMMYFUNCTION("""COMPUTED_VALUE"""),115)</f>
        <v>115</v>
      </c>
      <c r="C98" t="str">
        <f ca="1">IFERROR(__xludf.DUMMYFUNCTION("""COMPUTED_VALUE"""),"Vincent Whaley")</f>
        <v>Vincent Whaley</v>
      </c>
      <c r="D98">
        <f ca="1">IFERROR(__xludf.DUMMYFUNCTION("""COMPUTED_VALUE"""),14)</f>
        <v>14</v>
      </c>
      <c r="E98">
        <f ca="1">IFERROR(__xludf.DUMMYFUNCTION("""COMPUTED_VALUE"""),57.58)</f>
        <v>57.58</v>
      </c>
      <c r="F98">
        <f ca="1">IFERROR(__xludf.DUMMYFUNCTION("""COMPUTED_VALUE"""),19)</f>
        <v>19</v>
      </c>
      <c r="G98">
        <f ca="1">IFERROR(__xludf.DUMMYFUNCTION("""COMPUTED_VALUE"""),33)</f>
        <v>33</v>
      </c>
    </row>
    <row r="99" spans="1:7" ht="12.75">
      <c r="A99" t="str">
        <f ca="1">IFERROR(__xludf.DUMMYFUNCTION("""COMPUTED_VALUE"""),"T98")</f>
        <v>T98</v>
      </c>
      <c r="B99" t="str">
        <f ca="1">IFERROR(__xludf.DUMMYFUNCTION("""COMPUTED_VALUE"""),"T116")</f>
        <v>T116</v>
      </c>
      <c r="C99" t="str">
        <f ca="1">IFERROR(__xludf.DUMMYFUNCTION("""COMPUTED_VALUE"""),"Sahith Theegala")</f>
        <v>Sahith Theegala</v>
      </c>
      <c r="D99">
        <f ca="1">IFERROR(__xludf.DUMMYFUNCTION("""COMPUTED_VALUE"""),6)</f>
        <v>6</v>
      </c>
      <c r="E99">
        <f ca="1">IFERROR(__xludf.DUMMYFUNCTION("""COMPUTED_VALUE"""),57.14)</f>
        <v>57.14</v>
      </c>
      <c r="F99">
        <f ca="1">IFERROR(__xludf.DUMMYFUNCTION("""COMPUTED_VALUE"""),8)</f>
        <v>8</v>
      </c>
      <c r="G99">
        <f ca="1">IFERROR(__xludf.DUMMYFUNCTION("""COMPUTED_VALUE"""),14)</f>
        <v>14</v>
      </c>
    </row>
    <row r="100" spans="1:7" ht="12.75">
      <c r="A100" t="str">
        <f ca="1">IFERROR(__xludf.DUMMYFUNCTION("""COMPUTED_VALUE"""),"T98")</f>
        <v>T98</v>
      </c>
      <c r="B100" t="str">
        <f ca="1">IFERROR(__xludf.DUMMYFUNCTION("""COMPUTED_VALUE"""),"T116")</f>
        <v>T116</v>
      </c>
      <c r="C100" t="str">
        <f ca="1">IFERROR(__xludf.DUMMYFUNCTION("""COMPUTED_VALUE"""),"Seonghyeon Kim")</f>
        <v>Seonghyeon Kim</v>
      </c>
      <c r="D100">
        <f ca="1">IFERROR(__xludf.DUMMYFUNCTION("""COMPUTED_VALUE"""),4)</f>
        <v>4</v>
      </c>
      <c r="E100">
        <f ca="1">IFERROR(__xludf.DUMMYFUNCTION("""COMPUTED_VALUE"""),57.14)</f>
        <v>57.14</v>
      </c>
      <c r="F100">
        <f ca="1">IFERROR(__xludf.DUMMYFUNCTION("""COMPUTED_VALUE"""),8)</f>
        <v>8</v>
      </c>
      <c r="G100">
        <f ca="1">IFERROR(__xludf.DUMMYFUNCTION("""COMPUTED_VALUE"""),14)</f>
        <v>14</v>
      </c>
    </row>
    <row r="101" spans="1:7" ht="12.75">
      <c r="A101" t="str">
        <f ca="1">IFERROR(__xludf.DUMMYFUNCTION("""COMPUTED_VALUE"""),"T98")</f>
        <v>T98</v>
      </c>
      <c r="B101" t="str">
        <f ca="1">IFERROR(__xludf.DUMMYFUNCTION("""COMPUTED_VALUE"""),"T116")</f>
        <v>T116</v>
      </c>
      <c r="C101" t="str">
        <f ca="1">IFERROR(__xludf.DUMMYFUNCTION("""COMPUTED_VALUE"""),"Ben Taylor")</f>
        <v>Ben Taylor</v>
      </c>
      <c r="D101">
        <f ca="1">IFERROR(__xludf.DUMMYFUNCTION("""COMPUTED_VALUE"""),10)</f>
        <v>10</v>
      </c>
      <c r="E101">
        <f ca="1">IFERROR(__xludf.DUMMYFUNCTION("""COMPUTED_VALUE"""),57.14)</f>
        <v>57.14</v>
      </c>
      <c r="F101">
        <f ca="1">IFERROR(__xludf.DUMMYFUNCTION("""COMPUTED_VALUE"""),16)</f>
        <v>16</v>
      </c>
      <c r="G101">
        <f ca="1">IFERROR(__xludf.DUMMYFUNCTION("""COMPUTED_VALUE"""),28)</f>
        <v>28</v>
      </c>
    </row>
    <row r="102" spans="1:7" ht="12.75">
      <c r="A102" t="str">
        <f ca="1">IFERROR(__xludf.DUMMYFUNCTION("""COMPUTED_VALUE"""),"T98")</f>
        <v>T98</v>
      </c>
      <c r="B102" t="str">
        <f ca="1">IFERROR(__xludf.DUMMYFUNCTION("""COMPUTED_VALUE"""),"T116")</f>
        <v>T116</v>
      </c>
      <c r="C102" t="str">
        <f ca="1">IFERROR(__xludf.DUMMYFUNCTION("""COMPUTED_VALUE"""),"Gunn Charoenkul")</f>
        <v>Gunn Charoenkul</v>
      </c>
      <c r="D102">
        <f ca="1">IFERROR(__xludf.DUMMYFUNCTION("""COMPUTED_VALUE"""),4)</f>
        <v>4</v>
      </c>
      <c r="E102">
        <f ca="1">IFERROR(__xludf.DUMMYFUNCTION("""COMPUTED_VALUE"""),57.14)</f>
        <v>57.14</v>
      </c>
      <c r="F102">
        <f ca="1">IFERROR(__xludf.DUMMYFUNCTION("""COMPUTED_VALUE"""),4)</f>
        <v>4</v>
      </c>
      <c r="G102">
        <f ca="1">IFERROR(__xludf.DUMMYFUNCTION("""COMPUTED_VALUE"""),7)</f>
        <v>7</v>
      </c>
    </row>
    <row r="103" spans="1:7" ht="12.75">
      <c r="A103" t="str">
        <f ca="1">IFERROR(__xludf.DUMMYFUNCTION("""COMPUTED_VALUE"""),"T98")</f>
        <v>T98</v>
      </c>
      <c r="B103">
        <f ca="1">IFERROR(__xludf.DUMMYFUNCTION("""COMPUTED_VALUE"""),1)</f>
        <v>1</v>
      </c>
      <c r="C103" t="str">
        <f ca="1">IFERROR(__xludf.DUMMYFUNCTION("""COMPUTED_VALUE"""),"John Huh")</f>
        <v>John Huh</v>
      </c>
      <c r="D103">
        <f ca="1">IFERROR(__xludf.DUMMYFUNCTION("""COMPUTED_VALUE"""),8)</f>
        <v>8</v>
      </c>
      <c r="E103">
        <f ca="1">IFERROR(__xludf.DUMMYFUNCTION("""COMPUTED_VALUE"""),57.14)</f>
        <v>57.14</v>
      </c>
      <c r="F103">
        <f ca="1">IFERROR(__xludf.DUMMYFUNCTION("""COMPUTED_VALUE"""),4)</f>
        <v>4</v>
      </c>
      <c r="G103">
        <f ca="1">IFERROR(__xludf.DUMMYFUNCTION("""COMPUTED_VALUE"""),7)</f>
        <v>7</v>
      </c>
    </row>
    <row r="104" spans="1:7" ht="12.75">
      <c r="A104" t="str">
        <f ca="1">IFERROR(__xludf.DUMMYFUNCTION("""COMPUTED_VALUE"""),"T98")</f>
        <v>T98</v>
      </c>
      <c r="B104" t="str">
        <f ca="1">IFERROR(__xludf.DUMMYFUNCTION("""COMPUTED_VALUE"""),"T116")</f>
        <v>T116</v>
      </c>
      <c r="C104" t="str">
        <f ca="1">IFERROR(__xludf.DUMMYFUNCTION("""COMPUTED_VALUE"""),"Andy Zhang")</f>
        <v>Andy Zhang</v>
      </c>
      <c r="D104">
        <f ca="1">IFERROR(__xludf.DUMMYFUNCTION("""COMPUTED_VALUE"""),4)</f>
        <v>4</v>
      </c>
      <c r="E104">
        <f ca="1">IFERROR(__xludf.DUMMYFUNCTION("""COMPUTED_VALUE"""),57.14)</f>
        <v>57.14</v>
      </c>
      <c r="F104">
        <f ca="1">IFERROR(__xludf.DUMMYFUNCTION("""COMPUTED_VALUE"""),4)</f>
        <v>4</v>
      </c>
      <c r="G104">
        <f ca="1">IFERROR(__xludf.DUMMYFUNCTION("""COMPUTED_VALUE"""),7)</f>
        <v>7</v>
      </c>
    </row>
    <row r="105" spans="1:7" ht="12.75">
      <c r="A105" t="str">
        <f ca="1">IFERROR(__xludf.DUMMYFUNCTION("""COMPUTED_VALUE"""),"T98")</f>
        <v>T98</v>
      </c>
      <c r="B105" t="str">
        <f ca="1">IFERROR(__xludf.DUMMYFUNCTION("""COMPUTED_VALUE"""),"T116")</f>
        <v>T116</v>
      </c>
      <c r="C105" t="str">
        <f ca="1">IFERROR(__xludf.DUMMYFUNCTION("""COMPUTED_VALUE"""),"Brian Gay")</f>
        <v>Brian Gay</v>
      </c>
      <c r="D105">
        <f ca="1">IFERROR(__xludf.DUMMYFUNCTION("""COMPUTED_VALUE"""),8)</f>
        <v>8</v>
      </c>
      <c r="E105">
        <f ca="1">IFERROR(__xludf.DUMMYFUNCTION("""COMPUTED_VALUE"""),57.14)</f>
        <v>57.14</v>
      </c>
      <c r="F105">
        <f ca="1">IFERROR(__xludf.DUMMYFUNCTION("""COMPUTED_VALUE"""),8)</f>
        <v>8</v>
      </c>
      <c r="G105">
        <f ca="1">IFERROR(__xludf.DUMMYFUNCTION("""COMPUTED_VALUE"""),14)</f>
        <v>14</v>
      </c>
    </row>
    <row r="106" spans="1:7" ht="12.75">
      <c r="A106" t="str">
        <f ca="1">IFERROR(__xludf.DUMMYFUNCTION("""COMPUTED_VALUE"""),"T98")</f>
        <v>T98</v>
      </c>
      <c r="B106" t="str">
        <f ca="1">IFERROR(__xludf.DUMMYFUNCTION("""COMPUTED_VALUE"""),"T51")</f>
        <v>T51</v>
      </c>
      <c r="C106" t="str">
        <f ca="1">IFERROR(__xludf.DUMMYFUNCTION("""COMPUTED_VALUE"""),"Padraig Harrington")</f>
        <v>Padraig Harrington</v>
      </c>
      <c r="D106">
        <f ca="1">IFERROR(__xludf.DUMMYFUNCTION("""COMPUTED_VALUE"""),8)</f>
        <v>8</v>
      </c>
      <c r="E106">
        <f ca="1">IFERROR(__xludf.DUMMYFUNCTION("""COMPUTED_VALUE"""),57.14)</f>
        <v>57.14</v>
      </c>
      <c r="F106">
        <f ca="1">IFERROR(__xludf.DUMMYFUNCTION("""COMPUTED_VALUE"""),8)</f>
        <v>8</v>
      </c>
      <c r="G106">
        <f ca="1">IFERROR(__xludf.DUMMYFUNCTION("""COMPUTED_VALUE"""),14)</f>
        <v>14</v>
      </c>
    </row>
    <row r="107" spans="1:7" ht="12.75">
      <c r="A107" t="str">
        <f ca="1">IFERROR(__xludf.DUMMYFUNCTION("""COMPUTED_VALUE"""),"T98")</f>
        <v>T98</v>
      </c>
      <c r="B107" t="str">
        <f ca="1">IFERROR(__xludf.DUMMYFUNCTION("""COMPUTED_VALUE"""),"T69")</f>
        <v>T69</v>
      </c>
      <c r="C107" t="str">
        <f ca="1">IFERROR(__xludf.DUMMYFUNCTION("""COMPUTED_VALUE"""),"Kevin Chappell")</f>
        <v>Kevin Chappell</v>
      </c>
      <c r="D107">
        <f ca="1">IFERROR(__xludf.DUMMYFUNCTION("""COMPUTED_VALUE"""),16)</f>
        <v>16</v>
      </c>
      <c r="E107">
        <f ca="1">IFERROR(__xludf.DUMMYFUNCTION("""COMPUTED_VALUE"""),57.14)</f>
        <v>57.14</v>
      </c>
      <c r="F107">
        <f ca="1">IFERROR(__xludf.DUMMYFUNCTION("""COMPUTED_VALUE"""),16)</f>
        <v>16</v>
      </c>
      <c r="G107">
        <f ca="1">IFERROR(__xludf.DUMMYFUNCTION("""COMPUTED_VALUE"""),28)</f>
        <v>28</v>
      </c>
    </row>
    <row r="108" spans="1:7" ht="12.75">
      <c r="A108" t="str">
        <f ca="1">IFERROR(__xludf.DUMMYFUNCTION("""COMPUTED_VALUE"""),"T98")</f>
        <v>T98</v>
      </c>
      <c r="B108" t="str">
        <f ca="1">IFERROR(__xludf.DUMMYFUNCTION("""COMPUTED_VALUE"""),"T116")</f>
        <v>T116</v>
      </c>
      <c r="C108" t="str">
        <f ca="1">IFERROR(__xludf.DUMMYFUNCTION("""COMPUTED_VALUE"""),"Akshay Bhatia")</f>
        <v>Akshay Bhatia</v>
      </c>
      <c r="D108">
        <f ca="1">IFERROR(__xludf.DUMMYFUNCTION("""COMPUTED_VALUE"""),6)</f>
        <v>6</v>
      </c>
      <c r="E108">
        <f ca="1">IFERROR(__xludf.DUMMYFUNCTION("""COMPUTED_VALUE"""),57.14)</f>
        <v>57.14</v>
      </c>
      <c r="F108">
        <f ca="1">IFERROR(__xludf.DUMMYFUNCTION("""COMPUTED_VALUE"""),8)</f>
        <v>8</v>
      </c>
      <c r="G108">
        <f ca="1">IFERROR(__xludf.DUMMYFUNCTION("""COMPUTED_VALUE"""),14)</f>
        <v>14</v>
      </c>
    </row>
    <row r="109" spans="1:7" ht="12.75">
      <c r="A109" t="str">
        <f ca="1">IFERROR(__xludf.DUMMYFUNCTION("""COMPUTED_VALUE"""),"T108")</f>
        <v>T108</v>
      </c>
      <c r="B109">
        <f ca="1">IFERROR(__xludf.DUMMYFUNCTION("""COMPUTED_VALUE"""),126)</f>
        <v>126</v>
      </c>
      <c r="C109" t="str">
        <f ca="1">IFERROR(__xludf.DUMMYFUNCTION("""COMPUTED_VALUE"""),"Bubba Watson")</f>
        <v>Bubba Watson</v>
      </c>
      <c r="D109">
        <f ca="1">IFERROR(__xludf.DUMMYFUNCTION("""COMPUTED_VALUE"""),12)</f>
        <v>12</v>
      </c>
      <c r="E109">
        <f ca="1">IFERROR(__xludf.DUMMYFUNCTION("""COMPUTED_VALUE"""),56.67)</f>
        <v>56.67</v>
      </c>
      <c r="F109">
        <f ca="1">IFERROR(__xludf.DUMMYFUNCTION("""COMPUTED_VALUE"""),17)</f>
        <v>17</v>
      </c>
      <c r="G109">
        <f ca="1">IFERROR(__xludf.DUMMYFUNCTION("""COMPUTED_VALUE"""),30)</f>
        <v>30</v>
      </c>
    </row>
    <row r="110" spans="1:7" ht="12.75">
      <c r="A110" t="str">
        <f ca="1">IFERROR(__xludf.DUMMYFUNCTION("""COMPUTED_VALUE"""),"T108")</f>
        <v>T108</v>
      </c>
      <c r="B110" t="str">
        <f ca="1">IFERROR(__xludf.DUMMYFUNCTION("""COMPUTED_VALUE"""),"T51")</f>
        <v>T51</v>
      </c>
      <c r="C110" t="str">
        <f ca="1">IFERROR(__xludf.DUMMYFUNCTION("""COMPUTED_VALUE"""),"Doc Redman")</f>
        <v>Doc Redman</v>
      </c>
      <c r="D110">
        <f ca="1">IFERROR(__xludf.DUMMYFUNCTION("""COMPUTED_VALUE"""),18)</f>
        <v>18</v>
      </c>
      <c r="E110">
        <f ca="1">IFERROR(__xludf.DUMMYFUNCTION("""COMPUTED_VALUE"""),56.67)</f>
        <v>56.67</v>
      </c>
      <c r="F110">
        <f ca="1">IFERROR(__xludf.DUMMYFUNCTION("""COMPUTED_VALUE"""),17)</f>
        <v>17</v>
      </c>
      <c r="G110">
        <f ca="1">IFERROR(__xludf.DUMMYFUNCTION("""COMPUTED_VALUE"""),30)</f>
        <v>30</v>
      </c>
    </row>
    <row r="111" spans="1:7" ht="12.75">
      <c r="A111" t="str">
        <f ca="1">IFERROR(__xludf.DUMMYFUNCTION("""COMPUTED_VALUE"""),"T110")</f>
        <v>T110</v>
      </c>
      <c r="B111">
        <f ca="1">IFERROR(__xludf.DUMMYFUNCTION("""COMPUTED_VALUE"""),46)</f>
        <v>46</v>
      </c>
      <c r="C111" t="str">
        <f ca="1">IFERROR(__xludf.DUMMYFUNCTION("""COMPUTED_VALUE"""),"Sam Ryder")</f>
        <v>Sam Ryder</v>
      </c>
      <c r="D111">
        <f ca="1">IFERROR(__xludf.DUMMYFUNCTION("""COMPUTED_VALUE"""),12)</f>
        <v>12</v>
      </c>
      <c r="E111">
        <f ca="1">IFERROR(__xludf.DUMMYFUNCTION("""COMPUTED_VALUE"""),56.52)</f>
        <v>56.52</v>
      </c>
      <c r="F111">
        <f ca="1">IFERROR(__xludf.DUMMYFUNCTION("""COMPUTED_VALUE"""),13)</f>
        <v>13</v>
      </c>
      <c r="G111">
        <f ca="1">IFERROR(__xludf.DUMMYFUNCTION("""COMPUTED_VALUE"""),23)</f>
        <v>23</v>
      </c>
    </row>
    <row r="112" spans="1:7" ht="12.75">
      <c r="A112" t="str">
        <f ca="1">IFERROR(__xludf.DUMMYFUNCTION("""COMPUTED_VALUE"""),"T110")</f>
        <v>T110</v>
      </c>
      <c r="B112">
        <f ca="1">IFERROR(__xludf.DUMMYFUNCTION("""COMPUTED_VALUE"""),127)</f>
        <v>127</v>
      </c>
      <c r="C112" t="str">
        <f ca="1">IFERROR(__xludf.DUMMYFUNCTION("""COMPUTED_VALUE"""),"Ryo Ishikawa")</f>
        <v>Ryo Ishikawa</v>
      </c>
      <c r="D112">
        <f ca="1">IFERROR(__xludf.DUMMYFUNCTION("""COMPUTED_VALUE"""),8)</f>
        <v>8</v>
      </c>
      <c r="E112">
        <f ca="1">IFERROR(__xludf.DUMMYFUNCTION("""COMPUTED_VALUE"""),56.52)</f>
        <v>56.52</v>
      </c>
      <c r="F112">
        <f ca="1">IFERROR(__xludf.DUMMYFUNCTION("""COMPUTED_VALUE"""),13)</f>
        <v>13</v>
      </c>
      <c r="G112">
        <f ca="1">IFERROR(__xludf.DUMMYFUNCTION("""COMPUTED_VALUE"""),23)</f>
        <v>23</v>
      </c>
    </row>
    <row r="113" spans="1:7" ht="12.75">
      <c r="A113" t="str">
        <f ca="1">IFERROR(__xludf.DUMMYFUNCTION("""COMPUTED_VALUE"""),"T112")</f>
        <v>T112</v>
      </c>
      <c r="B113" t="str">
        <f ca="1">IFERROR(__xludf.DUMMYFUNCTION("""COMPUTED_VALUE"""),"T128")</f>
        <v>T128</v>
      </c>
      <c r="C113" t="str">
        <f ca="1">IFERROR(__xludf.DUMMYFUNCTION("""COMPUTED_VALUE"""),"Jim Herman")</f>
        <v>Jim Herman</v>
      </c>
      <c r="D113">
        <f ca="1">IFERROR(__xludf.DUMMYFUNCTION("""COMPUTED_VALUE"""),12)</f>
        <v>12</v>
      </c>
      <c r="E113">
        <f ca="1">IFERROR(__xludf.DUMMYFUNCTION("""COMPUTED_VALUE"""),56.25)</f>
        <v>56.25</v>
      </c>
      <c r="F113">
        <f ca="1">IFERROR(__xludf.DUMMYFUNCTION("""COMPUTED_VALUE"""),18)</f>
        <v>18</v>
      </c>
      <c r="G113">
        <f ca="1">IFERROR(__xludf.DUMMYFUNCTION("""COMPUTED_VALUE"""),32)</f>
        <v>32</v>
      </c>
    </row>
    <row r="114" spans="1:7" ht="12.75">
      <c r="A114" t="str">
        <f ca="1">IFERROR(__xludf.DUMMYFUNCTION("""COMPUTED_VALUE"""),"T112")</f>
        <v>T112</v>
      </c>
      <c r="B114" t="str">
        <f ca="1">IFERROR(__xludf.DUMMYFUNCTION("""COMPUTED_VALUE"""),"T128")</f>
        <v>T128</v>
      </c>
      <c r="C114" t="str">
        <f ca="1">IFERROR(__xludf.DUMMYFUNCTION("""COMPUTED_VALUE"""),"Zack Sucher")</f>
        <v>Zack Sucher</v>
      </c>
      <c r="D114">
        <f ca="1">IFERROR(__xludf.DUMMYFUNCTION("""COMPUTED_VALUE"""),6)</f>
        <v>6</v>
      </c>
      <c r="E114">
        <f ca="1">IFERROR(__xludf.DUMMYFUNCTION("""COMPUTED_VALUE"""),56.25)</f>
        <v>56.25</v>
      </c>
      <c r="F114">
        <f ca="1">IFERROR(__xludf.DUMMYFUNCTION("""COMPUTED_VALUE"""),9)</f>
        <v>9</v>
      </c>
      <c r="G114">
        <f ca="1">IFERROR(__xludf.DUMMYFUNCTION("""COMPUTED_VALUE"""),16)</f>
        <v>16</v>
      </c>
    </row>
    <row r="115" spans="1:7" ht="12.75">
      <c r="A115" t="str">
        <f ca="1">IFERROR(__xludf.DUMMYFUNCTION("""COMPUTED_VALUE"""),"T114")</f>
        <v>T114</v>
      </c>
      <c r="B115">
        <f ca="1">IFERROR(__xludf.DUMMYFUNCTION("""COMPUTED_VALUE"""),131)</f>
        <v>131</v>
      </c>
      <c r="C115" t="str">
        <f ca="1">IFERROR(__xludf.DUMMYFUNCTION("""COMPUTED_VALUE"""),"Ryan Blaum")</f>
        <v>Ryan Blaum</v>
      </c>
      <c r="D115">
        <f ca="1">IFERROR(__xludf.DUMMYFUNCTION("""COMPUTED_VALUE"""),8)</f>
        <v>8</v>
      </c>
      <c r="E115">
        <f ca="1">IFERROR(__xludf.DUMMYFUNCTION("""COMPUTED_VALUE"""),56)</f>
        <v>56</v>
      </c>
      <c r="F115">
        <f ca="1">IFERROR(__xludf.DUMMYFUNCTION("""COMPUTED_VALUE"""),14)</f>
        <v>14</v>
      </c>
      <c r="G115">
        <f ca="1">IFERROR(__xludf.DUMMYFUNCTION("""COMPUTED_VALUE"""),25)</f>
        <v>25</v>
      </c>
    </row>
    <row r="116" spans="1:7" ht="12.75">
      <c r="A116" t="str">
        <f ca="1">IFERROR(__xludf.DUMMYFUNCTION("""COMPUTED_VALUE"""),"T114")</f>
        <v>T114</v>
      </c>
      <c r="B116" t="str">
        <f ca="1">IFERROR(__xludf.DUMMYFUNCTION("""COMPUTED_VALUE"""),"T167")</f>
        <v>T167</v>
      </c>
      <c r="C116" t="str">
        <f ca="1">IFERROR(__xludf.DUMMYFUNCTION("""COMPUTED_VALUE"""),"Jason Dufner")</f>
        <v>Jason Dufner</v>
      </c>
      <c r="D116">
        <f ca="1">IFERROR(__xludf.DUMMYFUNCTION("""COMPUTED_VALUE"""),14)</f>
        <v>14</v>
      </c>
      <c r="E116">
        <f ca="1">IFERROR(__xludf.DUMMYFUNCTION("""COMPUTED_VALUE"""),56)</f>
        <v>56</v>
      </c>
      <c r="F116">
        <f ca="1">IFERROR(__xludf.DUMMYFUNCTION("""COMPUTED_VALUE"""),14)</f>
        <v>14</v>
      </c>
      <c r="G116">
        <f ca="1">IFERROR(__xludf.DUMMYFUNCTION("""COMPUTED_VALUE"""),25)</f>
        <v>25</v>
      </c>
    </row>
    <row r="117" spans="1:7" ht="12.75">
      <c r="A117" t="str">
        <f ca="1">IFERROR(__xludf.DUMMYFUNCTION("""COMPUTED_VALUE"""),"T114")</f>
        <v>T114</v>
      </c>
      <c r="B117" t="str">
        <f ca="1">IFERROR(__xludf.DUMMYFUNCTION("""COMPUTED_VALUE"""),"T134")</f>
        <v>T134</v>
      </c>
      <c r="C117" t="str">
        <f ca="1">IFERROR(__xludf.DUMMYFUNCTION("""COMPUTED_VALUE"""),"Luke Donald")</f>
        <v>Luke Donald</v>
      </c>
      <c r="D117">
        <f ca="1">IFERROR(__xludf.DUMMYFUNCTION("""COMPUTED_VALUE"""),14)</f>
        <v>14</v>
      </c>
      <c r="E117">
        <f ca="1">IFERROR(__xludf.DUMMYFUNCTION("""COMPUTED_VALUE"""),56)</f>
        <v>56</v>
      </c>
      <c r="F117">
        <f ca="1">IFERROR(__xludf.DUMMYFUNCTION("""COMPUTED_VALUE"""),14)</f>
        <v>14</v>
      </c>
      <c r="G117">
        <f ca="1">IFERROR(__xludf.DUMMYFUNCTION("""COMPUTED_VALUE"""),25)</f>
        <v>25</v>
      </c>
    </row>
    <row r="118" spans="1:7" ht="12.75">
      <c r="A118">
        <f ca="1">IFERROR(__xludf.DUMMYFUNCTION("""COMPUTED_VALUE"""),117)</f>
        <v>117</v>
      </c>
      <c r="B118" t="str">
        <f ca="1">IFERROR(__xludf.DUMMYFUNCTION("""COMPUTED_VALUE"""),"T132")</f>
        <v>T132</v>
      </c>
      <c r="C118" t="str">
        <f ca="1">IFERROR(__xludf.DUMMYFUNCTION("""COMPUTED_VALUE"""),"Robert Streb")</f>
        <v>Robert Streb</v>
      </c>
      <c r="D118">
        <f ca="1">IFERROR(__xludf.DUMMYFUNCTION("""COMPUTED_VALUE"""),12)</f>
        <v>12</v>
      </c>
      <c r="E118">
        <f ca="1">IFERROR(__xludf.DUMMYFUNCTION("""COMPUTED_VALUE"""),55.88)</f>
        <v>55.88</v>
      </c>
      <c r="F118">
        <f ca="1">IFERROR(__xludf.DUMMYFUNCTION("""COMPUTED_VALUE"""),19)</f>
        <v>19</v>
      </c>
      <c r="G118">
        <f ca="1">IFERROR(__xludf.DUMMYFUNCTION("""COMPUTED_VALUE"""),34)</f>
        <v>34</v>
      </c>
    </row>
    <row r="119" spans="1:7" ht="12.75">
      <c r="A119" t="str">
        <f ca="1">IFERROR(__xludf.DUMMYFUNCTION("""COMPUTED_VALUE"""),"T118")</f>
        <v>T118</v>
      </c>
      <c r="B119" t="str">
        <f ca="1">IFERROR(__xludf.DUMMYFUNCTION("""COMPUTED_VALUE"""),"T134")</f>
        <v>T134</v>
      </c>
      <c r="C119" t="str">
        <f ca="1">IFERROR(__xludf.DUMMYFUNCTION("""COMPUTED_VALUE"""),"Nelson Ledesma")</f>
        <v>Nelson Ledesma</v>
      </c>
      <c r="D119">
        <f ca="1">IFERROR(__xludf.DUMMYFUNCTION("""COMPUTED_VALUE"""),8)</f>
        <v>8</v>
      </c>
      <c r="E119">
        <f ca="1">IFERROR(__xludf.DUMMYFUNCTION("""COMPUTED_VALUE"""),55.56)</f>
        <v>55.56</v>
      </c>
      <c r="F119">
        <f ca="1">IFERROR(__xludf.DUMMYFUNCTION("""COMPUTED_VALUE"""),10)</f>
        <v>10</v>
      </c>
      <c r="G119">
        <f ca="1">IFERROR(__xludf.DUMMYFUNCTION("""COMPUTED_VALUE"""),18)</f>
        <v>18</v>
      </c>
    </row>
    <row r="120" spans="1:7" ht="12.75">
      <c r="A120" t="str">
        <f ca="1">IFERROR(__xludf.DUMMYFUNCTION("""COMPUTED_VALUE"""),"T118")</f>
        <v>T118</v>
      </c>
      <c r="B120" t="str">
        <f ca="1">IFERROR(__xludf.DUMMYFUNCTION("""COMPUTED_VALUE"""),"T134")</f>
        <v>T134</v>
      </c>
      <c r="C120" t="str">
        <f ca="1">IFERROR(__xludf.DUMMYFUNCTION("""COMPUTED_VALUE"""),"Roberto Díaz")</f>
        <v>Roberto Díaz</v>
      </c>
      <c r="D120">
        <f ca="1">IFERROR(__xludf.DUMMYFUNCTION("""COMPUTED_VALUE"""),4)</f>
        <v>4</v>
      </c>
      <c r="E120">
        <f ca="1">IFERROR(__xludf.DUMMYFUNCTION("""COMPUTED_VALUE"""),55.56)</f>
        <v>55.56</v>
      </c>
      <c r="F120">
        <f ca="1">IFERROR(__xludf.DUMMYFUNCTION("""COMPUTED_VALUE"""),5)</f>
        <v>5</v>
      </c>
      <c r="G120">
        <f ca="1">IFERROR(__xludf.DUMMYFUNCTION("""COMPUTED_VALUE"""),9)</f>
        <v>9</v>
      </c>
    </row>
    <row r="121" spans="1:7" ht="12.75">
      <c r="A121" t="str">
        <f ca="1">IFERROR(__xludf.DUMMYFUNCTION("""COMPUTED_VALUE"""),"T118")</f>
        <v>T118</v>
      </c>
      <c r="B121" t="str">
        <f ca="1">IFERROR(__xludf.DUMMYFUNCTION("""COMPUTED_VALUE"""),"T48")</f>
        <v>T48</v>
      </c>
      <c r="C121" t="str">
        <f ca="1">IFERROR(__xludf.DUMMYFUNCTION("""COMPUTED_VALUE"""),"Ted Potter, Jr.")</f>
        <v>Ted Potter, Jr.</v>
      </c>
      <c r="D121">
        <f ca="1">IFERROR(__xludf.DUMMYFUNCTION("""COMPUTED_VALUE"""),8)</f>
        <v>8</v>
      </c>
      <c r="E121">
        <f ca="1">IFERROR(__xludf.DUMMYFUNCTION("""COMPUTED_VALUE"""),55.56)</f>
        <v>55.56</v>
      </c>
      <c r="F121">
        <f ca="1">IFERROR(__xludf.DUMMYFUNCTION("""COMPUTED_VALUE"""),10)</f>
        <v>10</v>
      </c>
      <c r="G121">
        <f ca="1">IFERROR(__xludf.DUMMYFUNCTION("""COMPUTED_VALUE"""),18)</f>
        <v>18</v>
      </c>
    </row>
    <row r="122" spans="1:7" ht="12.75">
      <c r="A122" t="str">
        <f ca="1">IFERROR(__xludf.DUMMYFUNCTION("""COMPUTED_VALUE"""),"T118")</f>
        <v>T118</v>
      </c>
      <c r="B122" t="str">
        <f ca="1">IFERROR(__xludf.DUMMYFUNCTION("""COMPUTED_VALUE"""),"T134")</f>
        <v>T134</v>
      </c>
      <c r="C122" t="str">
        <f ca="1">IFERROR(__xludf.DUMMYFUNCTION("""COMPUTED_VALUE"""),"Sangmoon Bae")</f>
        <v>Sangmoon Bae</v>
      </c>
      <c r="D122">
        <f ca="1">IFERROR(__xludf.DUMMYFUNCTION("""COMPUTED_VALUE"""),8)</f>
        <v>8</v>
      </c>
      <c r="E122">
        <f ca="1">IFERROR(__xludf.DUMMYFUNCTION("""COMPUTED_VALUE"""),55.56)</f>
        <v>55.56</v>
      </c>
      <c r="F122">
        <f ca="1">IFERROR(__xludf.DUMMYFUNCTION("""COMPUTED_VALUE"""),10)</f>
        <v>10</v>
      </c>
      <c r="G122">
        <f ca="1">IFERROR(__xludf.DUMMYFUNCTION("""COMPUTED_VALUE"""),18)</f>
        <v>18</v>
      </c>
    </row>
    <row r="123" spans="1:7" ht="12.75">
      <c r="A123" t="str">
        <f ca="1">IFERROR(__xludf.DUMMYFUNCTION("""COMPUTED_VALUE"""),"T118")</f>
        <v>T118</v>
      </c>
      <c r="B123" t="str">
        <f ca="1">IFERROR(__xludf.DUMMYFUNCTION("""COMPUTED_VALUE"""),"T134")</f>
        <v>T134</v>
      </c>
      <c r="C123" t="str">
        <f ca="1">IFERROR(__xludf.DUMMYFUNCTION("""COMPUTED_VALUE"""),"Ryan Brehm")</f>
        <v>Ryan Brehm</v>
      </c>
      <c r="D123">
        <f ca="1">IFERROR(__xludf.DUMMYFUNCTION("""COMPUTED_VALUE"""),10)</f>
        <v>10</v>
      </c>
      <c r="E123">
        <f ca="1">IFERROR(__xludf.DUMMYFUNCTION("""COMPUTED_VALUE"""),55.56)</f>
        <v>55.56</v>
      </c>
      <c r="F123">
        <f ca="1">IFERROR(__xludf.DUMMYFUNCTION("""COMPUTED_VALUE"""),10)</f>
        <v>10</v>
      </c>
      <c r="G123">
        <f ca="1">IFERROR(__xludf.DUMMYFUNCTION("""COMPUTED_VALUE"""),18)</f>
        <v>18</v>
      </c>
    </row>
    <row r="124" spans="1:7" ht="12.75">
      <c r="A124" t="str">
        <f ca="1">IFERROR(__xludf.DUMMYFUNCTION("""COMPUTED_VALUE"""),"T118")</f>
        <v>T118</v>
      </c>
      <c r="B124" t="str">
        <f ca="1">IFERROR(__xludf.DUMMYFUNCTION("""COMPUTED_VALUE"""),"T107")</f>
        <v>T107</v>
      </c>
      <c r="C124" t="str">
        <f ca="1">IFERROR(__xludf.DUMMYFUNCTION("""COMPUTED_VALUE"""),"Fabián Gómez")</f>
        <v>Fabián Gómez</v>
      </c>
      <c r="D124">
        <f ca="1">IFERROR(__xludf.DUMMYFUNCTION("""COMPUTED_VALUE"""),16)</f>
        <v>16</v>
      </c>
      <c r="E124">
        <f ca="1">IFERROR(__xludf.DUMMYFUNCTION("""COMPUTED_VALUE"""),55.56)</f>
        <v>55.56</v>
      </c>
      <c r="F124">
        <f ca="1">IFERROR(__xludf.DUMMYFUNCTION("""COMPUTED_VALUE"""),15)</f>
        <v>15</v>
      </c>
      <c r="G124">
        <f ca="1">IFERROR(__xludf.DUMMYFUNCTION("""COMPUTED_VALUE"""),27)</f>
        <v>27</v>
      </c>
    </row>
    <row r="125" spans="1:7" ht="12.75">
      <c r="A125" t="str">
        <f ca="1">IFERROR(__xludf.DUMMYFUNCTION("""COMPUTED_VALUE"""),"T124")</f>
        <v>T124</v>
      </c>
      <c r="B125" t="str">
        <f ca="1">IFERROR(__xludf.DUMMYFUNCTION("""COMPUTED_VALUE"""),"T107")</f>
        <v>T107</v>
      </c>
      <c r="C125" t="str">
        <f ca="1">IFERROR(__xludf.DUMMYFUNCTION("""COMPUTED_VALUE"""),"Branden Grace")</f>
        <v>Branden Grace</v>
      </c>
      <c r="D125">
        <f ca="1">IFERROR(__xludf.DUMMYFUNCTION("""COMPUTED_VALUE"""),16)</f>
        <v>16</v>
      </c>
      <c r="E125">
        <f ca="1">IFERROR(__xludf.DUMMYFUNCTION("""COMPUTED_VALUE"""),55.26)</f>
        <v>55.26</v>
      </c>
      <c r="F125">
        <f ca="1">IFERROR(__xludf.DUMMYFUNCTION("""COMPUTED_VALUE"""),21)</f>
        <v>21</v>
      </c>
      <c r="G125">
        <f ca="1">IFERROR(__xludf.DUMMYFUNCTION("""COMPUTED_VALUE"""),38)</f>
        <v>38</v>
      </c>
    </row>
    <row r="126" spans="1:7" ht="12.75">
      <c r="A126" t="str">
        <f ca="1">IFERROR(__xludf.DUMMYFUNCTION("""COMPUTED_VALUE"""),"T124")</f>
        <v>T124</v>
      </c>
      <c r="B126" t="str">
        <f ca="1">IFERROR(__xludf.DUMMYFUNCTION("""COMPUTED_VALUE"""),"T82")</f>
        <v>T82</v>
      </c>
      <c r="C126" t="str">
        <f ca="1">IFERROR(__xludf.DUMMYFUNCTION("""COMPUTED_VALUE"""),"Andrew Landry")</f>
        <v>Andrew Landry</v>
      </c>
      <c r="D126">
        <f ca="1">IFERROR(__xludf.DUMMYFUNCTION("""COMPUTED_VALUE"""),14)</f>
        <v>14</v>
      </c>
      <c r="E126">
        <f ca="1">IFERROR(__xludf.DUMMYFUNCTION("""COMPUTED_VALUE"""),55.26)</f>
        <v>55.26</v>
      </c>
      <c r="F126">
        <f ca="1">IFERROR(__xludf.DUMMYFUNCTION("""COMPUTED_VALUE"""),21)</f>
        <v>21</v>
      </c>
      <c r="G126">
        <f ca="1">IFERROR(__xludf.DUMMYFUNCTION("""COMPUTED_VALUE"""),38)</f>
        <v>38</v>
      </c>
    </row>
    <row r="127" spans="1:7" ht="12.75">
      <c r="A127" t="str">
        <f ca="1">IFERROR(__xludf.DUMMYFUNCTION("""COMPUTED_VALUE"""),"T126")</f>
        <v>T126</v>
      </c>
      <c r="B127" t="str">
        <f ca="1">IFERROR(__xludf.DUMMYFUNCTION("""COMPUTED_VALUE"""),"T101")</f>
        <v>T101</v>
      </c>
      <c r="C127" t="str">
        <f ca="1">IFERROR(__xludf.DUMMYFUNCTION("""COMPUTED_VALUE"""),"Harold Varner III")</f>
        <v>Harold Varner III</v>
      </c>
      <c r="D127">
        <f ca="1">IFERROR(__xludf.DUMMYFUNCTION("""COMPUTED_VALUE"""),14)</f>
        <v>14</v>
      </c>
      <c r="E127">
        <f ca="1">IFERROR(__xludf.DUMMYFUNCTION("""COMPUTED_VALUE"""),55)</f>
        <v>55</v>
      </c>
      <c r="F127">
        <f ca="1">IFERROR(__xludf.DUMMYFUNCTION("""COMPUTED_VALUE"""),11)</f>
        <v>11</v>
      </c>
      <c r="G127">
        <f ca="1">IFERROR(__xludf.DUMMYFUNCTION("""COMPUTED_VALUE"""),20)</f>
        <v>20</v>
      </c>
    </row>
    <row r="128" spans="1:7" ht="12.75">
      <c r="A128" t="str">
        <f ca="1">IFERROR(__xludf.DUMMYFUNCTION("""COMPUTED_VALUE"""),"T126")</f>
        <v>T126</v>
      </c>
      <c r="B128">
        <f ca="1">IFERROR(__xludf.DUMMYFUNCTION("""COMPUTED_VALUE"""),139)</f>
        <v>139</v>
      </c>
      <c r="C128" t="str">
        <f ca="1">IFERROR(__xludf.DUMMYFUNCTION("""COMPUTED_VALUE"""),"Luke Schniederjans")</f>
        <v>Luke Schniederjans</v>
      </c>
      <c r="D128">
        <f ca="1">IFERROR(__xludf.DUMMYFUNCTION("""COMPUTED_VALUE"""),4)</f>
        <v>4</v>
      </c>
      <c r="E128">
        <f ca="1">IFERROR(__xludf.DUMMYFUNCTION("""COMPUTED_VALUE"""),55)</f>
        <v>55</v>
      </c>
      <c r="F128">
        <f ca="1">IFERROR(__xludf.DUMMYFUNCTION("""COMPUTED_VALUE"""),11)</f>
        <v>11</v>
      </c>
      <c r="G128">
        <f ca="1">IFERROR(__xludf.DUMMYFUNCTION("""COMPUTED_VALUE"""),20)</f>
        <v>20</v>
      </c>
    </row>
    <row r="129" spans="1:7" ht="12.75">
      <c r="A129">
        <f ca="1">IFERROR(__xludf.DUMMYFUNCTION("""COMPUTED_VALUE"""),128)</f>
        <v>128</v>
      </c>
      <c r="B129">
        <f ca="1">IFERROR(__xludf.DUMMYFUNCTION("""COMPUTED_VALUE"""),104)</f>
        <v>104</v>
      </c>
      <c r="C129" t="str">
        <f ca="1">IFERROR(__xludf.DUMMYFUNCTION("""COMPUTED_VALUE"""),"Tom Hoge")</f>
        <v>Tom Hoge</v>
      </c>
      <c r="D129">
        <f ca="1">IFERROR(__xludf.DUMMYFUNCTION("""COMPUTED_VALUE"""),22)</f>
        <v>22</v>
      </c>
      <c r="E129">
        <f ca="1">IFERROR(__xludf.DUMMYFUNCTION("""COMPUTED_VALUE"""),54.9)</f>
        <v>54.9</v>
      </c>
      <c r="F129">
        <f ca="1">IFERROR(__xludf.DUMMYFUNCTION("""COMPUTED_VALUE"""),28)</f>
        <v>28</v>
      </c>
      <c r="G129">
        <f ca="1">IFERROR(__xludf.DUMMYFUNCTION("""COMPUTED_VALUE"""),51)</f>
        <v>51</v>
      </c>
    </row>
    <row r="130" spans="1:7" ht="12.75">
      <c r="A130" t="str">
        <f ca="1">IFERROR(__xludf.DUMMYFUNCTION("""COMPUTED_VALUE"""),"T129")</f>
        <v>T129</v>
      </c>
      <c r="B130" t="str">
        <f ca="1">IFERROR(__xludf.DUMMYFUNCTION("""COMPUTED_VALUE"""),"T140")</f>
        <v>T140</v>
      </c>
      <c r="C130" t="str">
        <f ca="1">IFERROR(__xludf.DUMMYFUNCTION("""COMPUTED_VALUE"""),"Cameron Smith")</f>
        <v>Cameron Smith</v>
      </c>
      <c r="D130">
        <f ca="1">IFERROR(__xludf.DUMMYFUNCTION("""COMPUTED_VALUE"""),16)</f>
        <v>16</v>
      </c>
      <c r="E130">
        <f ca="1">IFERROR(__xludf.DUMMYFUNCTION("""COMPUTED_VALUE"""),54.76)</f>
        <v>54.76</v>
      </c>
      <c r="F130">
        <f ca="1">IFERROR(__xludf.DUMMYFUNCTION("""COMPUTED_VALUE"""),23)</f>
        <v>23</v>
      </c>
      <c r="G130">
        <f ca="1">IFERROR(__xludf.DUMMYFUNCTION("""COMPUTED_VALUE"""),42)</f>
        <v>42</v>
      </c>
    </row>
    <row r="131" spans="1:7" ht="12.75">
      <c r="A131" t="str">
        <f ca="1">IFERROR(__xludf.DUMMYFUNCTION("""COMPUTED_VALUE"""),"T129")</f>
        <v>T129</v>
      </c>
      <c r="B131" t="str">
        <f ca="1">IFERROR(__xludf.DUMMYFUNCTION("""COMPUTED_VALUE"""),"T140")</f>
        <v>T140</v>
      </c>
      <c r="C131" t="str">
        <f ca="1">IFERROR(__xludf.DUMMYFUNCTION("""COMPUTED_VALUE"""),"Byeong Hun An")</f>
        <v>Byeong Hun An</v>
      </c>
      <c r="D131">
        <f ca="1">IFERROR(__xludf.DUMMYFUNCTION("""COMPUTED_VALUE"""),14)</f>
        <v>14</v>
      </c>
      <c r="E131">
        <f ca="1">IFERROR(__xludf.DUMMYFUNCTION("""COMPUTED_VALUE"""),54.76)</f>
        <v>54.76</v>
      </c>
      <c r="F131">
        <f ca="1">IFERROR(__xludf.DUMMYFUNCTION("""COMPUTED_VALUE"""),23)</f>
        <v>23</v>
      </c>
      <c r="G131">
        <f ca="1">IFERROR(__xludf.DUMMYFUNCTION("""COMPUTED_VALUE"""),42)</f>
        <v>42</v>
      </c>
    </row>
    <row r="132" spans="1:7" ht="12.75">
      <c r="A132" t="str">
        <f ca="1">IFERROR(__xludf.DUMMYFUNCTION("""COMPUTED_VALUE"""),"T131")</f>
        <v>T131</v>
      </c>
      <c r="B132" t="str">
        <f ca="1">IFERROR(__xludf.DUMMYFUNCTION("""COMPUTED_VALUE"""),"T142")</f>
        <v>T142</v>
      </c>
      <c r="C132" t="str">
        <f ca="1">IFERROR(__xludf.DUMMYFUNCTION("""COMPUTED_VALUE"""),"Wes Roach")</f>
        <v>Wes Roach</v>
      </c>
      <c r="D132">
        <f ca="1">IFERROR(__xludf.DUMMYFUNCTION("""COMPUTED_VALUE"""),6)</f>
        <v>6</v>
      </c>
      <c r="E132">
        <f ca="1">IFERROR(__xludf.DUMMYFUNCTION("""COMPUTED_VALUE"""),54.55)</f>
        <v>54.55</v>
      </c>
      <c r="F132">
        <f ca="1">IFERROR(__xludf.DUMMYFUNCTION("""COMPUTED_VALUE"""),6)</f>
        <v>6</v>
      </c>
      <c r="G132">
        <f ca="1">IFERROR(__xludf.DUMMYFUNCTION("""COMPUTED_VALUE"""),11)</f>
        <v>11</v>
      </c>
    </row>
    <row r="133" spans="1:7" ht="12.75">
      <c r="A133" t="str">
        <f ca="1">IFERROR(__xludf.DUMMYFUNCTION("""COMPUTED_VALUE"""),"T131")</f>
        <v>T131</v>
      </c>
      <c r="B133" t="str">
        <f ca="1">IFERROR(__xludf.DUMMYFUNCTION("""COMPUTED_VALUE"""),"T142")</f>
        <v>T142</v>
      </c>
      <c r="C133" t="str">
        <f ca="1">IFERROR(__xludf.DUMMYFUNCTION("""COMPUTED_VALUE"""),"Sebastián Muñoz")</f>
        <v>Sebastián Muñoz</v>
      </c>
      <c r="D133">
        <f ca="1">IFERROR(__xludf.DUMMYFUNCTION("""COMPUTED_VALUE"""),20)</f>
        <v>20</v>
      </c>
      <c r="E133">
        <f ca="1">IFERROR(__xludf.DUMMYFUNCTION("""COMPUTED_VALUE"""),54.55)</f>
        <v>54.55</v>
      </c>
      <c r="F133">
        <f ca="1">IFERROR(__xludf.DUMMYFUNCTION("""COMPUTED_VALUE"""),24)</f>
        <v>24</v>
      </c>
      <c r="G133">
        <f ca="1">IFERROR(__xludf.DUMMYFUNCTION("""COMPUTED_VALUE"""),44)</f>
        <v>44</v>
      </c>
    </row>
    <row r="134" spans="1:7" ht="12.75">
      <c r="A134" t="str">
        <f ca="1">IFERROR(__xludf.DUMMYFUNCTION("""COMPUTED_VALUE"""),"T131")</f>
        <v>T131</v>
      </c>
      <c r="B134" t="str">
        <f ca="1">IFERROR(__xludf.DUMMYFUNCTION("""COMPUTED_VALUE"""),"T142")</f>
        <v>T142</v>
      </c>
      <c r="C134" t="str">
        <f ca="1">IFERROR(__xludf.DUMMYFUNCTION("""COMPUTED_VALUE"""),"Shaun Norris")</f>
        <v>Shaun Norris</v>
      </c>
      <c r="D134">
        <f ca="1">IFERROR(__xludf.DUMMYFUNCTION("""COMPUTED_VALUE"""),6)</f>
        <v>6</v>
      </c>
      <c r="E134">
        <f ca="1">IFERROR(__xludf.DUMMYFUNCTION("""COMPUTED_VALUE"""),54.55)</f>
        <v>54.55</v>
      </c>
      <c r="F134">
        <f ca="1">IFERROR(__xludf.DUMMYFUNCTION("""COMPUTED_VALUE"""),6)</f>
        <v>6</v>
      </c>
      <c r="G134">
        <f ca="1">IFERROR(__xludf.DUMMYFUNCTION("""COMPUTED_VALUE"""),11)</f>
        <v>11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IFERROR(__xludf.DUMMYFUNCTION("""COMPUTED_VALUE"""),"T146")</f>
        <v>T146</v>
      </c>
      <c r="C135" t="str">
        <f ca="1">IFERROR(__xludf.DUMMYFUNCTION("""COMPUTED_VALUE"""),"Rob Oppenheim")</f>
        <v>Rob Oppenheim</v>
      </c>
      <c r="D135">
        <f ca="1">IFERROR(__xludf.DUMMYFUNCTION("""COMPUTED_VALUE"""),16)</f>
        <v>16</v>
      </c>
      <c r="E135">
        <f ca="1">IFERROR(__xludf.DUMMYFUNCTION("""COMPUTED_VALUE"""),54.29)</f>
        <v>54.29</v>
      </c>
      <c r="F135">
        <f ca="1">IFERROR(__xludf.DUMMYFUNCTION("""COMPUTED_VALUE"""),19)</f>
        <v>19</v>
      </c>
      <c r="G135">
        <f ca="1">IFERROR(__xludf.DUMMYFUNCTION("""COMPUTED_VALUE"""),35)</f>
        <v>35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IFERROR(__xludf.DUMMYFUNCTION("""COMPUTED_VALUE"""),"T95")</f>
        <v>T95</v>
      </c>
      <c r="C136" t="str">
        <f ca="1">IFERROR(__xludf.DUMMYFUNCTION("""COMPUTED_VALUE"""),"Hudson Swafford")</f>
        <v>Hudson Swafford</v>
      </c>
      <c r="D136">
        <f ca="1">IFERROR(__xludf.DUMMYFUNCTION("""COMPUTED_VALUE"""),18)</f>
        <v>18</v>
      </c>
      <c r="E136">
        <f ca="1">IFERROR(__xludf.DUMMYFUNCTION("""COMPUTED_VALUE"""),54.29)</f>
        <v>54.29</v>
      </c>
      <c r="F136">
        <f ca="1">IFERROR(__xludf.DUMMYFUNCTION("""COMPUTED_VALUE"""),19)</f>
        <v>19</v>
      </c>
      <c r="G136">
        <f ca="1">IFERROR(__xludf.DUMMYFUNCTION("""COMPUTED_VALUE"""),35)</f>
        <v>35</v>
      </c>
    </row>
    <row r="137" spans="1:7" ht="12.75">
      <c r="A137" t="str">
        <f ca="1">IFERROR(__xludf.DUMMYFUNCTION("""COMPUTED_VALUE"""),"T136")</f>
        <v>T136</v>
      </c>
      <c r="B137" t="str">
        <f ca="1">IFERROR(__xludf.DUMMYFUNCTION("""COMPUTED_VALUE"""),"T99")</f>
        <v>T99</v>
      </c>
      <c r="C137" t="str">
        <f ca="1">IFERROR(__xludf.DUMMYFUNCTION("""COMPUTED_VALUE"""),"Sam Burns")</f>
        <v>Sam Burns</v>
      </c>
      <c r="D137">
        <f ca="1">IFERROR(__xludf.DUMMYFUNCTION("""COMPUTED_VALUE"""),18)</f>
        <v>18</v>
      </c>
      <c r="E137">
        <f ca="1">IFERROR(__xludf.DUMMYFUNCTION("""COMPUTED_VALUE"""),54.17)</f>
        <v>54.17</v>
      </c>
      <c r="F137">
        <f ca="1">IFERROR(__xludf.DUMMYFUNCTION("""COMPUTED_VALUE"""),13)</f>
        <v>13</v>
      </c>
      <c r="G137">
        <f ca="1">IFERROR(__xludf.DUMMYFUNCTION("""COMPUTED_VALUE"""),24)</f>
        <v>24</v>
      </c>
    </row>
    <row r="138" spans="1:7" ht="12.75">
      <c r="A138" t="str">
        <f ca="1">IFERROR(__xludf.DUMMYFUNCTION("""COMPUTED_VALUE"""),"T136")</f>
        <v>T136</v>
      </c>
      <c r="B138">
        <f ca="1">IFERROR(__xludf.DUMMYFUNCTION("""COMPUTED_VALUE"""),148)</f>
        <v>148</v>
      </c>
      <c r="C138" t="str">
        <f ca="1">IFERROR(__xludf.DUMMYFUNCTION("""COMPUTED_VALUE"""),"J.J. Spaun")</f>
        <v>J.J. Spaun</v>
      </c>
      <c r="D138">
        <f ca="1">IFERROR(__xludf.DUMMYFUNCTION("""COMPUTED_VALUE"""),10)</f>
        <v>10</v>
      </c>
      <c r="E138">
        <f ca="1">IFERROR(__xludf.DUMMYFUNCTION("""COMPUTED_VALUE"""),54.17)</f>
        <v>54.17</v>
      </c>
      <c r="F138">
        <f ca="1">IFERROR(__xludf.DUMMYFUNCTION("""COMPUTED_VALUE"""),13)</f>
        <v>13</v>
      </c>
      <c r="G138">
        <f ca="1">IFERROR(__xludf.DUMMYFUNCTION("""COMPUTED_VALUE"""),24)</f>
        <v>24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IFERROR(__xludf.DUMMYFUNCTION("""COMPUTED_VALUE"""),125)</f>
        <v>125</v>
      </c>
      <c r="C139" t="str">
        <f ca="1">IFERROR(__xludf.DUMMYFUNCTION("""COMPUTED_VALUE"""),"Sungjae Im")</f>
        <v>Sungjae Im</v>
      </c>
      <c r="D139">
        <f ca="1">IFERROR(__xludf.DUMMYFUNCTION("""COMPUTED_VALUE"""),24)</f>
        <v>24</v>
      </c>
      <c r="E139">
        <f ca="1">IFERROR(__xludf.DUMMYFUNCTION("""COMPUTED_VALUE"""),54)</f>
        <v>54</v>
      </c>
      <c r="F139">
        <f ca="1">IFERROR(__xludf.DUMMYFUNCTION("""COMPUTED_VALUE"""),27)</f>
        <v>27</v>
      </c>
      <c r="G139">
        <f ca="1">IFERROR(__xludf.DUMMYFUNCTION("""COMPUTED_VALUE"""),50)</f>
        <v>50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IFERROR(__xludf.DUMMYFUNCTION("""COMPUTED_VALUE"""),"T149")</f>
        <v>T149</v>
      </c>
      <c r="C140" t="str">
        <f ca="1">IFERROR(__xludf.DUMMYFUNCTION("""COMPUTED_VALUE"""),"Taylor Pendrith")</f>
        <v>Taylor Pendrith</v>
      </c>
      <c r="D140">
        <f ca="1">IFERROR(__xludf.DUMMYFUNCTION("""COMPUTED_VALUE"""),4)</f>
        <v>4</v>
      </c>
      <c r="E140">
        <f ca="1">IFERROR(__xludf.DUMMYFUNCTION("""COMPUTED_VALUE"""),53.85)</f>
        <v>53.85</v>
      </c>
      <c r="F140">
        <f ca="1">IFERROR(__xludf.DUMMYFUNCTION("""COMPUTED_VALUE"""),7)</f>
        <v>7</v>
      </c>
      <c r="G140">
        <f ca="1">IFERROR(__xludf.DUMMYFUNCTION("""COMPUTED_VALUE"""),13)</f>
        <v>13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IFERROR(__xludf.DUMMYFUNCTION("""COMPUTED_VALUE"""),"T61")</f>
        <v>T61</v>
      </c>
      <c r="C141" t="str">
        <f ca="1">IFERROR(__xludf.DUMMYFUNCTION("""COMPUTED_VALUE"""),"Patrick Rodgers")</f>
        <v>Patrick Rodgers</v>
      </c>
      <c r="D141">
        <f ca="1">IFERROR(__xludf.DUMMYFUNCTION("""COMPUTED_VALUE"""),18)</f>
        <v>18</v>
      </c>
      <c r="E141">
        <f ca="1">IFERROR(__xludf.DUMMYFUNCTION("""COMPUTED_VALUE"""),53.85)</f>
        <v>53.85</v>
      </c>
      <c r="F141">
        <f ca="1">IFERROR(__xludf.DUMMYFUNCTION("""COMPUTED_VALUE"""),21)</f>
        <v>21</v>
      </c>
      <c r="G141">
        <f ca="1">IFERROR(__xludf.DUMMYFUNCTION("""COMPUTED_VALUE"""),39)</f>
        <v>39</v>
      </c>
    </row>
    <row r="142" spans="1:7" ht="12.75">
      <c r="A142" t="str">
        <f ca="1">IFERROR(__xludf.DUMMYFUNCTION("""COMPUTED_VALUE"""),"T141")</f>
        <v>T141</v>
      </c>
      <c r="B142">
        <f ca="1">IFERROR(__xludf.DUMMYFUNCTION("""COMPUTED_VALUE"""),78)</f>
        <v>78</v>
      </c>
      <c r="C142" t="str">
        <f ca="1">IFERROR(__xludf.DUMMYFUNCTION("""COMPUTED_VALUE"""),"Tom Lewis")</f>
        <v>Tom Lewis</v>
      </c>
      <c r="D142">
        <f ca="1">IFERROR(__xludf.DUMMYFUNCTION("""COMPUTED_VALUE"""),12)</f>
        <v>12</v>
      </c>
      <c r="E142">
        <f ca="1">IFERROR(__xludf.DUMMYFUNCTION("""COMPUTED_VALUE"""),53.57)</f>
        <v>53.57</v>
      </c>
      <c r="F142">
        <f ca="1">IFERROR(__xludf.DUMMYFUNCTION("""COMPUTED_VALUE"""),15)</f>
        <v>15</v>
      </c>
      <c r="G142">
        <f ca="1">IFERROR(__xludf.DUMMYFUNCTION("""COMPUTED_VALUE"""),28)</f>
        <v>28</v>
      </c>
    </row>
    <row r="143" spans="1:7" ht="12.75">
      <c r="A143" t="str">
        <f ca="1">IFERROR(__xludf.DUMMYFUNCTION("""COMPUTED_VALUE"""),"T141")</f>
        <v>T141</v>
      </c>
      <c r="B143">
        <f ca="1">IFERROR(__xludf.DUMMYFUNCTION("""COMPUTED_VALUE"""),152)</f>
        <v>152</v>
      </c>
      <c r="C143" t="str">
        <f ca="1">IFERROR(__xludf.DUMMYFUNCTION("""COMPUTED_VALUE"""),"Chase Seiffert")</f>
        <v>Chase Seiffert</v>
      </c>
      <c r="D143">
        <f ca="1">IFERROR(__xludf.DUMMYFUNCTION("""COMPUTED_VALUE"""),14)</f>
        <v>14</v>
      </c>
      <c r="E143">
        <f ca="1">IFERROR(__xludf.DUMMYFUNCTION("""COMPUTED_VALUE"""),53.57)</f>
        <v>53.57</v>
      </c>
      <c r="F143">
        <f ca="1">IFERROR(__xludf.DUMMYFUNCTION("""COMPUTED_VALUE"""),15)</f>
        <v>15</v>
      </c>
      <c r="G143">
        <f ca="1">IFERROR(__xludf.DUMMYFUNCTION("""COMPUTED_VALUE"""),28)</f>
        <v>28</v>
      </c>
    </row>
    <row r="144" spans="1:7" ht="12.75">
      <c r="A144" t="str">
        <f ca="1">IFERROR(__xludf.DUMMYFUNCTION("""COMPUTED_VALUE"""),"T143")</f>
        <v>T143</v>
      </c>
      <c r="B144">
        <f ca="1">IFERROR(__xludf.DUMMYFUNCTION("""COMPUTED_VALUE"""),15)</f>
        <v>15</v>
      </c>
      <c r="C144" t="str">
        <f ca="1">IFERROR(__xludf.DUMMYFUNCTION("""COMPUTED_VALUE"""),"Matthew NeSmith")</f>
        <v>Matthew NeSmith</v>
      </c>
      <c r="D144">
        <f ca="1">IFERROR(__xludf.DUMMYFUNCTION("""COMPUTED_VALUE"""),16)</f>
        <v>16</v>
      </c>
      <c r="E144">
        <f ca="1">IFERROR(__xludf.DUMMYFUNCTION("""COMPUTED_VALUE"""),53.33)</f>
        <v>53.33</v>
      </c>
      <c r="F144">
        <f ca="1">IFERROR(__xludf.DUMMYFUNCTION("""COMPUTED_VALUE"""),8)</f>
        <v>8</v>
      </c>
      <c r="G144">
        <f ca="1">IFERROR(__xludf.DUMMYFUNCTION("""COMPUTED_VALUE"""),15)</f>
        <v>15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IFERROR(__xludf.DUMMYFUNCTION("""COMPUTED_VALUE"""),"T153")</f>
        <v>T153</v>
      </c>
      <c r="C145" t="str">
        <f ca="1">IFERROR(__xludf.DUMMYFUNCTION("""COMPUTED_VALUE"""),"Josh Teater")</f>
        <v>Josh Teater</v>
      </c>
      <c r="D145">
        <f ca="1">IFERROR(__xludf.DUMMYFUNCTION("""COMPUTED_VALUE"""),6)</f>
        <v>6</v>
      </c>
      <c r="E145">
        <f ca="1">IFERROR(__xludf.DUMMYFUNCTION("""COMPUTED_VALUE"""),53.33)</f>
        <v>53.33</v>
      </c>
      <c r="F145">
        <f ca="1">IFERROR(__xludf.DUMMYFUNCTION("""COMPUTED_VALUE"""),8)</f>
        <v>8</v>
      </c>
      <c r="G145">
        <f ca="1">IFERROR(__xludf.DUMMYFUNCTION("""COMPUTED_VALUE"""),15)</f>
        <v>15</v>
      </c>
    </row>
    <row r="146" spans="1:7" ht="12.75">
      <c r="A146" t="str">
        <f ca="1">IFERROR(__xludf.DUMMYFUNCTION("""COMPUTED_VALUE"""),"T143")</f>
        <v>T143</v>
      </c>
      <c r="B146" t="str">
        <f ca="1">IFERROR(__xludf.DUMMYFUNCTION("""COMPUTED_VALUE"""),"T153")</f>
        <v>T153</v>
      </c>
      <c r="C146" t="str">
        <f ca="1">IFERROR(__xludf.DUMMYFUNCTION("""COMPUTED_VALUE"""),"Marc Leishman")</f>
        <v>Marc Leishman</v>
      </c>
      <c r="D146">
        <f ca="1">IFERROR(__xludf.DUMMYFUNCTION("""COMPUTED_VALUE"""),10)</f>
        <v>10</v>
      </c>
      <c r="E146">
        <f ca="1">IFERROR(__xludf.DUMMYFUNCTION("""COMPUTED_VALUE"""),53.33)</f>
        <v>53.33</v>
      </c>
      <c r="F146">
        <f ca="1">IFERROR(__xludf.DUMMYFUNCTION("""COMPUTED_VALUE"""),16)</f>
        <v>16</v>
      </c>
      <c r="G146">
        <f ca="1">IFERROR(__xludf.DUMMYFUNCTION("""COMPUTED_VALUE"""),30)</f>
        <v>30</v>
      </c>
    </row>
    <row r="147" spans="1:7" ht="12.75">
      <c r="A147">
        <f ca="1">IFERROR(__xludf.DUMMYFUNCTION("""COMPUTED_VALUE"""),146)</f>
        <v>146</v>
      </c>
      <c r="B147" t="str">
        <f ca="1">IFERROR(__xludf.DUMMYFUNCTION("""COMPUTED_VALUE"""),"T56")</f>
        <v>T56</v>
      </c>
      <c r="C147" t="str">
        <f ca="1">IFERROR(__xludf.DUMMYFUNCTION("""COMPUTED_VALUE"""),"Maverick McNealy")</f>
        <v>Maverick McNealy</v>
      </c>
      <c r="D147">
        <f ca="1">IFERROR(__xludf.DUMMYFUNCTION("""COMPUTED_VALUE"""),16)</f>
        <v>16</v>
      </c>
      <c r="E147">
        <f ca="1">IFERROR(__xludf.DUMMYFUNCTION("""COMPUTED_VALUE"""),53.13)</f>
        <v>53.13</v>
      </c>
      <c r="F147">
        <f ca="1">IFERROR(__xludf.DUMMYFUNCTION("""COMPUTED_VALUE"""),17)</f>
        <v>17</v>
      </c>
      <c r="G147">
        <f ca="1">IFERROR(__xludf.DUMMYFUNCTION("""COMPUTED_VALUE"""),32)</f>
        <v>32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IFERROR(__xludf.DUMMYFUNCTION("""COMPUTED_VALUE"""),"T105")</f>
        <v>T105</v>
      </c>
      <c r="C148" t="str">
        <f ca="1">IFERROR(__xludf.DUMMYFUNCTION("""COMPUTED_VALUE"""),"Scott Piercy")</f>
        <v>Scott Piercy</v>
      </c>
      <c r="D148">
        <f ca="1">IFERROR(__xludf.DUMMYFUNCTION("""COMPUTED_VALUE"""),18)</f>
        <v>18</v>
      </c>
      <c r="E148">
        <f ca="1">IFERROR(__xludf.DUMMYFUNCTION("""COMPUTED_VALUE"""),52.94)</f>
        <v>52.94</v>
      </c>
      <c r="F148">
        <f ca="1">IFERROR(__xludf.DUMMYFUNCTION("""COMPUTED_VALUE"""),18)</f>
        <v>18</v>
      </c>
      <c r="G148">
        <f ca="1">IFERROR(__xludf.DUMMYFUNCTION("""COMPUTED_VALUE"""),34)</f>
        <v>34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IFERROR(__xludf.DUMMYFUNCTION("""COMPUTED_VALUE"""),"T176")</f>
        <v>T176</v>
      </c>
      <c r="C149" t="str">
        <f ca="1">IFERROR(__xludf.DUMMYFUNCTION("""COMPUTED_VALUE"""),"Brian Harman")</f>
        <v>Brian Harman</v>
      </c>
      <c r="D149">
        <f ca="1">IFERROR(__xludf.DUMMYFUNCTION("""COMPUTED_VALUE"""),24)</f>
        <v>24</v>
      </c>
      <c r="E149">
        <f ca="1">IFERROR(__xludf.DUMMYFUNCTION("""COMPUTED_VALUE"""),52.94)</f>
        <v>52.94</v>
      </c>
      <c r="F149">
        <f ca="1">IFERROR(__xludf.DUMMYFUNCTION("""COMPUTED_VALUE"""),27)</f>
        <v>27</v>
      </c>
      <c r="G149">
        <f ca="1">IFERROR(__xludf.DUMMYFUNCTION("""COMPUTED_VALUE"""),51)</f>
        <v>51</v>
      </c>
    </row>
    <row r="150" spans="1:7" ht="12.75">
      <c r="A150" t="str">
        <f ca="1">IFERROR(__xludf.DUMMYFUNCTION("""COMPUTED_VALUE"""),"T147")</f>
        <v>T147</v>
      </c>
      <c r="B150" t="str">
        <f ca="1">IFERROR(__xludf.DUMMYFUNCTION("""COMPUTED_VALUE"""),"T158")</f>
        <v>T158</v>
      </c>
      <c r="C150" t="str">
        <f ca="1">IFERROR(__xludf.DUMMYFUNCTION("""COMPUTED_VALUE"""),"Kevin Kisner")</f>
        <v>Kevin Kisner</v>
      </c>
      <c r="D150">
        <f ca="1">IFERROR(__xludf.DUMMYFUNCTION("""COMPUTED_VALUE"""),10)</f>
        <v>10</v>
      </c>
      <c r="E150">
        <f ca="1">IFERROR(__xludf.DUMMYFUNCTION("""COMPUTED_VALUE"""),52.94)</f>
        <v>52.94</v>
      </c>
      <c r="F150">
        <f ca="1">IFERROR(__xludf.DUMMYFUNCTION("""COMPUTED_VALUE"""),18)</f>
        <v>18</v>
      </c>
      <c r="G150">
        <f ca="1">IFERROR(__xludf.DUMMYFUNCTION("""COMPUTED_VALUE"""),34)</f>
        <v>34</v>
      </c>
    </row>
    <row r="151" spans="1:7" ht="12.75">
      <c r="A151" t="str">
        <f ca="1">IFERROR(__xludf.DUMMYFUNCTION("""COMPUTED_VALUE"""),"T147")</f>
        <v>T147</v>
      </c>
      <c r="B151">
        <f ca="1">IFERROR(__xludf.DUMMYFUNCTION("""COMPUTED_VALUE"""),157)</f>
        <v>157</v>
      </c>
      <c r="C151" t="str">
        <f ca="1">IFERROR(__xludf.DUMMYFUNCTION("""COMPUTED_VALUE"""),"Dylan Frittelli")</f>
        <v>Dylan Frittelli</v>
      </c>
      <c r="D151">
        <f ca="1">IFERROR(__xludf.DUMMYFUNCTION("""COMPUTED_VALUE"""),16)</f>
        <v>16</v>
      </c>
      <c r="E151">
        <f ca="1">IFERROR(__xludf.DUMMYFUNCTION("""COMPUTED_VALUE"""),52.94)</f>
        <v>52.94</v>
      </c>
      <c r="F151">
        <f ca="1">IFERROR(__xludf.DUMMYFUNCTION("""COMPUTED_VALUE"""),18)</f>
        <v>18</v>
      </c>
      <c r="G151">
        <f ca="1">IFERROR(__xludf.DUMMYFUNCTION("""COMPUTED_VALUE"""),34)</f>
        <v>34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IFERROR(__xludf.DUMMYFUNCTION("""COMPUTED_VALUE"""),130)</f>
        <v>130</v>
      </c>
      <c r="C152" t="str">
        <f ca="1">IFERROR(__xludf.DUMMYFUNCTION("""COMPUTED_VALUE"""),"Lanto Griffin")</f>
        <v>Lanto Griffin</v>
      </c>
      <c r="D152">
        <f ca="1">IFERROR(__xludf.DUMMYFUNCTION("""COMPUTED_VALUE"""),18)</f>
        <v>18</v>
      </c>
      <c r="E152">
        <f ca="1">IFERROR(__xludf.DUMMYFUNCTION("""COMPUTED_VALUE"""),52.83)</f>
        <v>52.83</v>
      </c>
      <c r="F152">
        <f ca="1">IFERROR(__xludf.DUMMYFUNCTION("""COMPUTED_VALUE"""),28)</f>
        <v>28</v>
      </c>
      <c r="G152">
        <f ca="1">IFERROR(__xludf.DUMMYFUNCTION("""COMPUTED_VALUE"""),53)</f>
        <v>53</v>
      </c>
    </row>
    <row r="153" spans="1:7" ht="12.75">
      <c r="A153" t="str">
        <f ca="1">IFERROR(__xludf.DUMMYFUNCTION("""COMPUTED_VALUE"""),"T152")</f>
        <v>T152</v>
      </c>
      <c r="B153">
        <f ca="1">IFERROR(__xludf.DUMMYFUNCTION("""COMPUTED_VALUE"""),172)</f>
        <v>172</v>
      </c>
      <c r="C153" t="str">
        <f ca="1">IFERROR(__xludf.DUMMYFUNCTION("""COMPUTED_VALUE"""),"Kevin Tway")</f>
        <v>Kevin Tway</v>
      </c>
      <c r="D153">
        <f ca="1">IFERROR(__xludf.DUMMYFUNCTION("""COMPUTED_VALUE"""),16)</f>
        <v>16</v>
      </c>
      <c r="E153">
        <f ca="1">IFERROR(__xludf.DUMMYFUNCTION("""COMPUTED_VALUE"""),52.78)</f>
        <v>52.78</v>
      </c>
      <c r="F153">
        <f ca="1">IFERROR(__xludf.DUMMYFUNCTION("""COMPUTED_VALUE"""),19)</f>
        <v>19</v>
      </c>
      <c r="G153">
        <f ca="1">IFERROR(__xludf.DUMMYFUNCTION("""COMPUTED_VALUE"""),36)</f>
        <v>36</v>
      </c>
    </row>
    <row r="154" spans="1:7" ht="12.75">
      <c r="A154" t="str">
        <f ca="1">IFERROR(__xludf.DUMMYFUNCTION("""COMPUTED_VALUE"""),"T152")</f>
        <v>T152</v>
      </c>
      <c r="B154">
        <f ca="1">IFERROR(__xludf.DUMMYFUNCTION("""COMPUTED_VALUE"""),160)</f>
        <v>160</v>
      </c>
      <c r="C154" t="str">
        <f ca="1">IFERROR(__xludf.DUMMYFUNCTION("""COMPUTED_VALUE"""),"Kevin Na")</f>
        <v>Kevin Na</v>
      </c>
      <c r="D154">
        <f ca="1">IFERROR(__xludf.DUMMYFUNCTION("""COMPUTED_VALUE"""),14)</f>
        <v>14</v>
      </c>
      <c r="E154">
        <f ca="1">IFERROR(__xludf.DUMMYFUNCTION("""COMPUTED_VALUE"""),52.78)</f>
        <v>52.78</v>
      </c>
      <c r="F154">
        <f ca="1">IFERROR(__xludf.DUMMYFUNCTION("""COMPUTED_VALUE"""),19)</f>
        <v>19</v>
      </c>
      <c r="G154">
        <f ca="1">IFERROR(__xludf.DUMMYFUNCTION("""COMPUTED_VALUE"""),36)</f>
        <v>36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IFERROR(__xludf.DUMMYFUNCTION("""COMPUTED_VALUE"""),"T161")</f>
        <v>T161</v>
      </c>
      <c r="C155" t="str">
        <f ca="1">IFERROR(__xludf.DUMMYFUNCTION("""COMPUTED_VALUE"""),"Charles Howell III")</f>
        <v>Charles Howell III</v>
      </c>
      <c r="D155">
        <f ca="1">IFERROR(__xludf.DUMMYFUNCTION("""COMPUTED_VALUE"""),10)</f>
        <v>10</v>
      </c>
      <c r="E155">
        <f ca="1">IFERROR(__xludf.DUMMYFUNCTION("""COMPUTED_VALUE"""),52.63)</f>
        <v>52.63</v>
      </c>
      <c r="F155">
        <f ca="1">IFERROR(__xludf.DUMMYFUNCTION("""COMPUTED_VALUE"""),10)</f>
        <v>10</v>
      </c>
      <c r="G155">
        <f ca="1">IFERROR(__xludf.DUMMYFUNCTION("""COMPUTED_VALUE"""),19)</f>
        <v>19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IFERROR(__xludf.DUMMYFUNCTION("""COMPUTED_VALUE"""),"T161")</f>
        <v>T161</v>
      </c>
      <c r="C156" t="str">
        <f ca="1">IFERROR(__xludf.DUMMYFUNCTION("""COMPUTED_VALUE"""),"Matthew Borchert")</f>
        <v>Matthew Borchert</v>
      </c>
      <c r="D156">
        <f ca="1">IFERROR(__xludf.DUMMYFUNCTION("""COMPUTED_VALUE"""),4)</f>
        <v>4</v>
      </c>
      <c r="E156">
        <f ca="1">IFERROR(__xludf.DUMMYFUNCTION("""COMPUTED_VALUE"""),52.63)</f>
        <v>52.63</v>
      </c>
      <c r="F156">
        <f ca="1">IFERROR(__xludf.DUMMYFUNCTION("""COMPUTED_VALUE"""),10)</f>
        <v>10</v>
      </c>
      <c r="G156">
        <f ca="1">IFERROR(__xludf.DUMMYFUNCTION("""COMPUTED_VALUE"""),19)</f>
        <v>19</v>
      </c>
    </row>
    <row r="157" spans="1:7" ht="12.75">
      <c r="A157" t="str">
        <f ca="1">IFERROR(__xludf.DUMMYFUNCTION("""COMPUTED_VALUE"""),"T154")</f>
        <v>T154</v>
      </c>
      <c r="B157" t="str">
        <f ca="1">IFERROR(__xludf.DUMMYFUNCTION("""COMPUTED_VALUE"""),"T161")</f>
        <v>T161</v>
      </c>
      <c r="C157" t="str">
        <f ca="1">IFERROR(__xludf.DUMMYFUNCTION("""COMPUTED_VALUE"""),"Matthias Schwab")</f>
        <v>Matthias Schwab</v>
      </c>
      <c r="D157">
        <f ca="1">IFERROR(__xludf.DUMMYFUNCTION("""COMPUTED_VALUE"""),8)</f>
        <v>8</v>
      </c>
      <c r="E157">
        <f ca="1">IFERROR(__xludf.DUMMYFUNCTION("""COMPUTED_VALUE"""),52.63)</f>
        <v>52.63</v>
      </c>
      <c r="F157">
        <f ca="1">IFERROR(__xludf.DUMMYFUNCTION("""COMPUTED_VALUE"""),10)</f>
        <v>10</v>
      </c>
      <c r="G157">
        <f ca="1">IFERROR(__xludf.DUMMYFUNCTION("""COMPUTED_VALUE"""),19)</f>
        <v>19</v>
      </c>
    </row>
    <row r="158" spans="1:7" ht="12.75">
      <c r="A158" t="str">
        <f ca="1">IFERROR(__xludf.DUMMYFUNCTION("""COMPUTED_VALUE"""),"T154")</f>
        <v>T154</v>
      </c>
      <c r="B158" t="str">
        <f ca="1">IFERROR(__xludf.DUMMYFUNCTION("""COMPUTED_VALUE"""),"T146")</f>
        <v>T146</v>
      </c>
      <c r="C158" t="str">
        <f ca="1">IFERROR(__xludf.DUMMYFUNCTION("""COMPUTED_VALUE"""),"Corey Conners")</f>
        <v>Corey Conners</v>
      </c>
      <c r="D158">
        <f ca="1">IFERROR(__xludf.DUMMYFUNCTION("""COMPUTED_VALUE"""),20)</f>
        <v>20</v>
      </c>
      <c r="E158">
        <f ca="1">IFERROR(__xludf.DUMMYFUNCTION("""COMPUTED_VALUE"""),52.63)</f>
        <v>52.63</v>
      </c>
      <c r="F158">
        <f ca="1">IFERROR(__xludf.DUMMYFUNCTION("""COMPUTED_VALUE"""),20)</f>
        <v>20</v>
      </c>
      <c r="G158">
        <f ca="1">IFERROR(__xludf.DUMMYFUNCTION("""COMPUTED_VALUE"""),38)</f>
        <v>38</v>
      </c>
    </row>
    <row r="159" spans="1:7" ht="12.75">
      <c r="A159">
        <f ca="1">IFERROR(__xludf.DUMMYFUNCTION("""COMPUTED_VALUE"""),158)</f>
        <v>158</v>
      </c>
      <c r="B159" t="str">
        <f ca="1">IFERROR(__xludf.DUMMYFUNCTION("""COMPUTED_VALUE"""),"T153")</f>
        <v>T153</v>
      </c>
      <c r="C159" t="str">
        <f ca="1">IFERROR(__xludf.DUMMYFUNCTION("""COMPUTED_VALUE"""),"Nate Lashley")</f>
        <v>Nate Lashley</v>
      </c>
      <c r="D159">
        <f ca="1">IFERROR(__xludf.DUMMYFUNCTION("""COMPUTED_VALUE"""),16)</f>
        <v>16</v>
      </c>
      <c r="E159">
        <f ca="1">IFERROR(__xludf.DUMMYFUNCTION("""COMPUTED_VALUE"""),52.38)</f>
        <v>52.38</v>
      </c>
      <c r="F159">
        <f ca="1">IFERROR(__xludf.DUMMYFUNCTION("""COMPUTED_VALUE"""),11)</f>
        <v>11</v>
      </c>
      <c r="G159">
        <f ca="1">IFERROR(__xludf.DUMMYFUNCTION("""COMPUTED_VALUE"""),21)</f>
        <v>21</v>
      </c>
    </row>
    <row r="160" spans="1:7" ht="12.75">
      <c r="A160" t="str">
        <f ca="1">IFERROR(__xludf.DUMMYFUNCTION("""COMPUTED_VALUE"""),"T159")</f>
        <v>T159</v>
      </c>
      <c r="B160" t="str">
        <f ca="1">IFERROR(__xludf.DUMMYFUNCTION("""COMPUTED_VALUE"""),"T167")</f>
        <v>T167</v>
      </c>
      <c r="C160" t="str">
        <f ca="1">IFERROR(__xludf.DUMMYFUNCTION("""COMPUTED_VALUE"""),"Gary Woodland")</f>
        <v>Gary Woodland</v>
      </c>
      <c r="D160">
        <f ca="1">IFERROR(__xludf.DUMMYFUNCTION("""COMPUTED_VALUE"""),6)</f>
        <v>6</v>
      </c>
      <c r="E160">
        <f ca="1">IFERROR(__xludf.DUMMYFUNCTION("""COMPUTED_VALUE"""),52.17)</f>
        <v>52.17</v>
      </c>
      <c r="F160">
        <f ca="1">IFERROR(__xludf.DUMMYFUNCTION("""COMPUTED_VALUE"""),12)</f>
        <v>12</v>
      </c>
      <c r="G160">
        <f ca="1">IFERROR(__xludf.DUMMYFUNCTION("""COMPUTED_VALUE"""),23)</f>
        <v>23</v>
      </c>
    </row>
    <row r="161" spans="1:7" ht="12.75">
      <c r="A161" t="str">
        <f ca="1">IFERROR(__xludf.DUMMYFUNCTION("""COMPUTED_VALUE"""),"T159")</f>
        <v>T159</v>
      </c>
      <c r="B161" t="str">
        <f ca="1">IFERROR(__xludf.DUMMYFUNCTION("""COMPUTED_VALUE"""),"T76")</f>
        <v>T76</v>
      </c>
      <c r="C161" t="str">
        <f ca="1">IFERROR(__xludf.DUMMYFUNCTION("""COMPUTED_VALUE"""),"Bo Van Pelt")</f>
        <v>Bo Van Pelt</v>
      </c>
      <c r="D161">
        <f ca="1">IFERROR(__xludf.DUMMYFUNCTION("""COMPUTED_VALUE"""),10)</f>
        <v>10</v>
      </c>
      <c r="E161">
        <f ca="1">IFERROR(__xludf.DUMMYFUNCTION("""COMPUTED_VALUE"""),52.17)</f>
        <v>52.17</v>
      </c>
      <c r="F161">
        <f ca="1">IFERROR(__xludf.DUMMYFUNCTION("""COMPUTED_VALUE"""),12)</f>
        <v>12</v>
      </c>
      <c r="G161">
        <f ca="1">IFERROR(__xludf.DUMMYFUNCTION("""COMPUTED_VALUE"""),23)</f>
        <v>23</v>
      </c>
    </row>
    <row r="162" spans="1:7" ht="12.75">
      <c r="A162">
        <f ca="1">IFERROR(__xludf.DUMMYFUNCTION("""COMPUTED_VALUE"""),161)</f>
        <v>161</v>
      </c>
      <c r="B162" t="str">
        <f ca="1">IFERROR(__xludf.DUMMYFUNCTION("""COMPUTED_VALUE"""),"T176")</f>
        <v>T176</v>
      </c>
      <c r="C162" t="str">
        <f ca="1">IFERROR(__xludf.DUMMYFUNCTION("""COMPUTED_VALUE"""),"Cameron Tringale")</f>
        <v>Cameron Tringale</v>
      </c>
      <c r="D162">
        <f ca="1">IFERROR(__xludf.DUMMYFUNCTION("""COMPUTED_VALUE"""),16)</f>
        <v>16</v>
      </c>
      <c r="E162">
        <f ca="1">IFERROR(__xludf.DUMMYFUNCTION("""COMPUTED_VALUE"""),52)</f>
        <v>52</v>
      </c>
      <c r="F162">
        <f ca="1">IFERROR(__xludf.DUMMYFUNCTION("""COMPUTED_VALUE"""),13)</f>
        <v>13</v>
      </c>
      <c r="G162">
        <f ca="1">IFERROR(__xludf.DUMMYFUNCTION("""COMPUTED_VALUE"""),25)</f>
        <v>25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IFERROR(__xludf.DUMMYFUNCTION("""COMPUTED_VALUE"""),170)</f>
        <v>170</v>
      </c>
      <c r="C163" t="str">
        <f ca="1">IFERROR(__xludf.DUMMYFUNCTION("""COMPUTED_VALUE"""),"Brandon Hagy")</f>
        <v>Brandon Hagy</v>
      </c>
      <c r="D163">
        <f ca="1">IFERROR(__xludf.DUMMYFUNCTION("""COMPUTED_VALUE"""),10)</f>
        <v>10</v>
      </c>
      <c r="E163">
        <f ca="1">IFERROR(__xludf.DUMMYFUNCTION("""COMPUTED_VALUE"""),51.85)</f>
        <v>51.85</v>
      </c>
      <c r="F163">
        <f ca="1">IFERROR(__xludf.DUMMYFUNCTION("""COMPUTED_VALUE"""),14)</f>
        <v>14</v>
      </c>
      <c r="G163">
        <f ca="1">IFERROR(__xludf.DUMMYFUNCTION("""COMPUTED_VALUE"""),27)</f>
        <v>27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IFERROR(__xludf.DUMMYFUNCTION("""COMPUTED_VALUE"""),171)</f>
        <v>171</v>
      </c>
      <c r="C164" t="str">
        <f ca="1">IFERROR(__xludf.DUMMYFUNCTION("""COMPUTED_VALUE"""),"Tyler McCumber")</f>
        <v>Tyler McCumber</v>
      </c>
      <c r="D164">
        <f ca="1">IFERROR(__xludf.DUMMYFUNCTION("""COMPUTED_VALUE"""),14)</f>
        <v>14</v>
      </c>
      <c r="E164">
        <f ca="1">IFERROR(__xludf.DUMMYFUNCTION("""COMPUTED_VALUE"""),51.72)</f>
        <v>51.72</v>
      </c>
      <c r="F164">
        <f ca="1">IFERROR(__xludf.DUMMYFUNCTION("""COMPUTED_VALUE"""),15)</f>
        <v>15</v>
      </c>
      <c r="G164">
        <f ca="1">IFERROR(__xludf.DUMMYFUNCTION("""COMPUTED_VALUE"""),29)</f>
        <v>29</v>
      </c>
    </row>
    <row r="165" spans="1:7" ht="12.75">
      <c r="A165" t="str">
        <f ca="1">IFERROR(__xludf.DUMMYFUNCTION("""COMPUTED_VALUE"""),"T164")</f>
        <v>T164</v>
      </c>
      <c r="B165" t="str">
        <f ca="1">IFERROR(__xludf.DUMMYFUNCTION("""COMPUTED_VALUE"""),"T82")</f>
        <v>T82</v>
      </c>
      <c r="C165" t="str">
        <f ca="1">IFERROR(__xludf.DUMMYFUNCTION("""COMPUTED_VALUE"""),"Kristoffer Ventura")</f>
        <v>Kristoffer Ventura</v>
      </c>
      <c r="D165">
        <f ca="1">IFERROR(__xludf.DUMMYFUNCTION("""COMPUTED_VALUE"""),20)</f>
        <v>20</v>
      </c>
      <c r="E165">
        <f ca="1">IFERROR(__xludf.DUMMYFUNCTION("""COMPUTED_VALUE"""),51.43)</f>
        <v>51.43</v>
      </c>
      <c r="F165">
        <f ca="1">IFERROR(__xludf.DUMMYFUNCTION("""COMPUTED_VALUE"""),18)</f>
        <v>18</v>
      </c>
      <c r="G165">
        <f ca="1">IFERROR(__xludf.DUMMYFUNCTION("""COMPUTED_VALUE"""),35)</f>
        <v>35</v>
      </c>
    </row>
    <row r="166" spans="1:7" ht="12.75">
      <c r="A166" t="str">
        <f ca="1">IFERROR(__xludf.DUMMYFUNCTION("""COMPUTED_VALUE"""),"T164")</f>
        <v>T164</v>
      </c>
      <c r="B166">
        <f ca="1">IFERROR(__xludf.DUMMYFUNCTION("""COMPUTED_VALUE"""),174)</f>
        <v>174</v>
      </c>
      <c r="C166" t="str">
        <f ca="1">IFERROR(__xludf.DUMMYFUNCTION("""COMPUTED_VALUE"""),"Justin Rose")</f>
        <v>Justin Rose</v>
      </c>
      <c r="D166">
        <f ca="1">IFERROR(__xludf.DUMMYFUNCTION("""COMPUTED_VALUE"""),10)</f>
        <v>10</v>
      </c>
      <c r="E166">
        <f ca="1">IFERROR(__xludf.DUMMYFUNCTION("""COMPUTED_VALUE"""),51.43)</f>
        <v>51.43</v>
      </c>
      <c r="F166">
        <f ca="1">IFERROR(__xludf.DUMMYFUNCTION("""COMPUTED_VALUE"""),18)</f>
        <v>18</v>
      </c>
      <c r="G166">
        <f ca="1">IFERROR(__xludf.DUMMYFUNCTION("""COMPUTED_VALUE"""),35)</f>
        <v>35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IFERROR(__xludf.DUMMYFUNCTION("""COMPUTED_VALUE"""),173)</f>
        <v>173</v>
      </c>
      <c r="C167" t="str">
        <f ca="1">IFERROR(__xludf.DUMMYFUNCTION("""COMPUTED_VALUE"""),"Luke List")</f>
        <v>Luke List</v>
      </c>
      <c r="D167">
        <f ca="1">IFERROR(__xludf.DUMMYFUNCTION("""COMPUTED_VALUE"""),18)</f>
        <v>18</v>
      </c>
      <c r="E167">
        <f ca="1">IFERROR(__xludf.DUMMYFUNCTION("""COMPUTED_VALUE"""),51.35)</f>
        <v>51.35</v>
      </c>
      <c r="F167">
        <f ca="1">IFERROR(__xludf.DUMMYFUNCTION("""COMPUTED_VALUE"""),19)</f>
        <v>19</v>
      </c>
      <c r="G167">
        <f ca="1">IFERROR(__xludf.DUMMYFUNCTION("""COMPUTED_VALUE"""),37)</f>
        <v>37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IFERROR(__xludf.DUMMYFUNCTION("""COMPUTED_VALUE"""),"T197")</f>
        <v>T197</v>
      </c>
      <c r="C168" t="str">
        <f ca="1">IFERROR(__xludf.DUMMYFUNCTION("""COMPUTED_VALUE"""),"Jason Day")</f>
        <v>Jason Day</v>
      </c>
      <c r="D168">
        <f ca="1">IFERROR(__xludf.DUMMYFUNCTION("""COMPUTED_VALUE"""),17)</f>
        <v>17</v>
      </c>
      <c r="E168">
        <f ca="1">IFERROR(__xludf.DUMMYFUNCTION("""COMPUTED_VALUE"""),51.28)</f>
        <v>51.28</v>
      </c>
      <c r="F168">
        <f ca="1">IFERROR(__xludf.DUMMYFUNCTION("""COMPUTED_VALUE"""),20)</f>
        <v>20</v>
      </c>
      <c r="G168">
        <f ca="1">IFERROR(__xludf.DUMMYFUNCTION("""COMPUTED_VALUE"""),39)</f>
        <v>39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IFERROR(__xludf.DUMMYFUNCTION("""COMPUTED_VALUE"""),175)</f>
        <v>175</v>
      </c>
      <c r="C169" t="str">
        <f ca="1">IFERROR(__xludf.DUMMYFUNCTION("""COMPUTED_VALUE"""),"Billy Horschel")</f>
        <v>Billy Horschel</v>
      </c>
      <c r="D169">
        <f ca="1">IFERROR(__xludf.DUMMYFUNCTION("""COMPUTED_VALUE"""),12)</f>
        <v>12</v>
      </c>
      <c r="E169">
        <f ca="1">IFERROR(__xludf.DUMMYFUNCTION("""COMPUTED_VALUE"""),51.16)</f>
        <v>51.16</v>
      </c>
      <c r="F169">
        <f ca="1">IFERROR(__xludf.DUMMYFUNCTION("""COMPUTED_VALUE"""),22)</f>
        <v>22</v>
      </c>
      <c r="G169">
        <f ca="1">IFERROR(__xludf.DUMMYFUNCTION("""COMPUTED_VALUE"""),43)</f>
        <v>43</v>
      </c>
    </row>
    <row r="170" spans="1:7" ht="12.75">
      <c r="A170" t="str">
        <f ca="1">IFERROR(__xludf.DUMMYFUNCTION("""COMPUTED_VALUE"""),"T169")</f>
        <v>T169</v>
      </c>
      <c r="B170" t="str">
        <f ca="1">IFERROR(__xludf.DUMMYFUNCTION("""COMPUTED_VALUE"""),"T176")</f>
        <v>T176</v>
      </c>
      <c r="C170" t="str">
        <f ca="1">IFERROR(__xludf.DUMMYFUNCTION("""COMPUTED_VALUE"""),"Peter Uihlein")</f>
        <v>Peter Uihlein</v>
      </c>
      <c r="D170">
        <f ca="1">IFERROR(__xludf.DUMMYFUNCTION("""COMPUTED_VALUE"""),8)</f>
        <v>8</v>
      </c>
      <c r="E170">
        <f ca="1">IFERROR(__xludf.DUMMYFUNCTION("""COMPUTED_VALUE"""),50)</f>
        <v>50</v>
      </c>
      <c r="F170">
        <f ca="1">IFERROR(__xludf.DUMMYFUNCTION("""COMPUTED_VALUE"""),16)</f>
        <v>16</v>
      </c>
      <c r="G170">
        <f ca="1">IFERROR(__xludf.DUMMYFUNCTION("""COMPUTED_VALUE"""),32)</f>
        <v>32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IFERROR(__xludf.DUMMYFUNCTION("""COMPUTED_VALUE"""),"T176")</f>
        <v>T176</v>
      </c>
      <c r="C171" t="str">
        <f ca="1">IFERROR(__xludf.DUMMYFUNCTION("""COMPUTED_VALUE"""),"Brendan Steele")</f>
        <v>Brendan Steele</v>
      </c>
      <c r="D171">
        <f ca="1">IFERROR(__xludf.DUMMYFUNCTION("""COMPUTED_VALUE"""),14)</f>
        <v>14</v>
      </c>
      <c r="E171">
        <f ca="1">IFERROR(__xludf.DUMMYFUNCTION("""COMPUTED_VALUE"""),50)</f>
        <v>50</v>
      </c>
      <c r="F171">
        <f ca="1">IFERROR(__xludf.DUMMYFUNCTION("""COMPUTED_VALUE"""),19)</f>
        <v>19</v>
      </c>
      <c r="G171">
        <f ca="1">IFERROR(__xludf.DUMMYFUNCTION("""COMPUTED_VALUE"""),38)</f>
        <v>38</v>
      </c>
    </row>
    <row r="172" spans="1:7" ht="12.75">
      <c r="A172" t="str">
        <f ca="1">IFERROR(__xludf.DUMMYFUNCTION("""COMPUTED_VALUE"""),"T169")</f>
        <v>T169</v>
      </c>
      <c r="B172" t="str">
        <f ca="1">IFERROR(__xludf.DUMMYFUNCTION("""COMPUTED_VALUE"""),"T149")</f>
        <v>T149</v>
      </c>
      <c r="C172" t="str">
        <f ca="1">IFERROR(__xludf.DUMMYFUNCTION("""COMPUTED_VALUE"""),"Bronson Burgoon")</f>
        <v>Bronson Burgoon</v>
      </c>
      <c r="D172">
        <f ca="1">IFERROR(__xludf.DUMMYFUNCTION("""COMPUTED_VALUE"""),10)</f>
        <v>10</v>
      </c>
      <c r="E172">
        <f ca="1">IFERROR(__xludf.DUMMYFUNCTION("""COMPUTED_VALUE"""),50)</f>
        <v>50</v>
      </c>
      <c r="F172">
        <f ca="1">IFERROR(__xludf.DUMMYFUNCTION("""COMPUTED_VALUE"""),9)</f>
        <v>9</v>
      </c>
      <c r="G172">
        <f ca="1">IFERROR(__xludf.DUMMYFUNCTION("""COMPUTED_VALUE"""),18)</f>
        <v>18</v>
      </c>
    </row>
    <row r="173" spans="1:7" ht="12.75">
      <c r="A173" t="str">
        <f ca="1">IFERROR(__xludf.DUMMYFUNCTION("""COMPUTED_VALUE"""),"T169")</f>
        <v>T169</v>
      </c>
      <c r="B173" t="str">
        <f ca="1">IFERROR(__xludf.DUMMYFUNCTION("""COMPUTED_VALUE"""),"T176")</f>
        <v>T176</v>
      </c>
      <c r="C173" t="str">
        <f ca="1">IFERROR(__xludf.DUMMYFUNCTION("""COMPUTED_VALUE"""),"Tommy Fleetwood")</f>
        <v>Tommy Fleetwood</v>
      </c>
      <c r="D173">
        <f ca="1">IFERROR(__xludf.DUMMYFUNCTION("""COMPUTED_VALUE"""),10)</f>
        <v>10</v>
      </c>
      <c r="E173">
        <f ca="1">IFERROR(__xludf.DUMMYFUNCTION("""COMPUTED_VALUE"""),50)</f>
        <v>50</v>
      </c>
      <c r="F173">
        <f ca="1">IFERROR(__xludf.DUMMYFUNCTION("""COMPUTED_VALUE"""),17)</f>
        <v>17</v>
      </c>
      <c r="G173">
        <f ca="1">IFERROR(__xludf.DUMMYFUNCTION("""COMPUTED_VALUE"""),34)</f>
        <v>34</v>
      </c>
    </row>
    <row r="174" spans="1:7" ht="12.75">
      <c r="A174" t="str">
        <f ca="1">IFERROR(__xludf.DUMMYFUNCTION("""COMPUTED_VALUE"""),"T169")</f>
        <v>T169</v>
      </c>
      <c r="B174" t="str">
        <f ca="1">IFERROR(__xludf.DUMMYFUNCTION("""COMPUTED_VALUE"""),"T153")</f>
        <v>T153</v>
      </c>
      <c r="C174" t="str">
        <f ca="1">IFERROR(__xludf.DUMMYFUNCTION("""COMPUTED_VALUE"""),"Dustin Johnson")</f>
        <v>Dustin Johnson</v>
      </c>
      <c r="D174">
        <f ca="1">IFERROR(__xludf.DUMMYFUNCTION("""COMPUTED_VALUE"""),8)</f>
        <v>8</v>
      </c>
      <c r="E174">
        <f ca="1">IFERROR(__xludf.DUMMYFUNCTION("""COMPUTED_VALUE"""),50)</f>
        <v>50</v>
      </c>
      <c r="F174">
        <f ca="1">IFERROR(__xludf.DUMMYFUNCTION("""COMPUTED_VALUE"""),9)</f>
        <v>9</v>
      </c>
      <c r="G174">
        <f ca="1">IFERROR(__xludf.DUMMYFUNCTION("""COMPUTED_VALUE"""),18)</f>
        <v>18</v>
      </c>
    </row>
    <row r="175" spans="1:7" ht="12.75">
      <c r="A175" t="str">
        <f ca="1">IFERROR(__xludf.DUMMYFUNCTION("""COMPUTED_VALUE"""),"T169")</f>
        <v>T169</v>
      </c>
      <c r="B175" t="str">
        <f ca="1">IFERROR(__xludf.DUMMYFUNCTION("""COMPUTED_VALUE"""),"T176")</f>
        <v>T176</v>
      </c>
      <c r="C175" t="str">
        <f ca="1">IFERROR(__xludf.DUMMYFUNCTION("""COMPUTED_VALUE"""),"Parker McLachlin")</f>
        <v>Parker McLachlin</v>
      </c>
      <c r="D175">
        <f ca="1">IFERROR(__xludf.DUMMYFUNCTION("""COMPUTED_VALUE"""),4)</f>
        <v>4</v>
      </c>
      <c r="E175">
        <f ca="1">IFERROR(__xludf.DUMMYFUNCTION("""COMPUTED_VALUE"""),50)</f>
        <v>50</v>
      </c>
      <c r="F175">
        <f ca="1">IFERROR(__xludf.DUMMYFUNCTION("""COMPUTED_VALUE"""),8)</f>
        <v>8</v>
      </c>
      <c r="G175">
        <f ca="1">IFERROR(__xludf.DUMMYFUNCTION("""COMPUTED_VALUE"""),16)</f>
        <v>16</v>
      </c>
    </row>
    <row r="176" spans="1:7" ht="12.75">
      <c r="A176" t="str">
        <f ca="1">IFERROR(__xludf.DUMMYFUNCTION("""COMPUTED_VALUE"""),"T169")</f>
        <v>T169</v>
      </c>
      <c r="B176" t="str">
        <f ca="1">IFERROR(__xludf.DUMMYFUNCTION("""COMPUTED_VALUE"""),"")</f>
        <v/>
      </c>
      <c r="C176" t="str">
        <f ca="1">IFERROR(__xludf.DUMMYFUNCTION("""COMPUTED_VALUE"""),"Greg Chalmers")</f>
        <v>Greg Chalmers</v>
      </c>
      <c r="D176">
        <f ca="1">IFERROR(__xludf.DUMMYFUNCTION("""COMPUTED_VALUE"""),6)</f>
        <v>6</v>
      </c>
      <c r="E176">
        <f ca="1">IFERROR(__xludf.DUMMYFUNCTION("""COMPUTED_VALUE"""),50)</f>
        <v>50</v>
      </c>
      <c r="F176">
        <f ca="1">IFERROR(__xludf.DUMMYFUNCTION("""COMPUTED_VALUE"""),4)</f>
        <v>4</v>
      </c>
      <c r="G176">
        <f ca="1">IFERROR(__xludf.DUMMYFUNCTION("""COMPUTED_VALUE"""),8)</f>
        <v>8</v>
      </c>
    </row>
    <row r="177" spans="1:7" ht="12.75">
      <c r="A177" t="str">
        <f ca="1">IFERROR(__xludf.DUMMYFUNCTION("""COMPUTED_VALUE"""),"T169")</f>
        <v>T169</v>
      </c>
      <c r="B177" t="str">
        <f ca="1">IFERROR(__xludf.DUMMYFUNCTION("""COMPUTED_VALUE"""),"T176")</f>
        <v>T176</v>
      </c>
      <c r="C177" t="str">
        <f ca="1">IFERROR(__xludf.DUMMYFUNCTION("""COMPUTED_VALUE"""),"Robert Garrigus")</f>
        <v>Robert Garrigus</v>
      </c>
      <c r="D177">
        <f ca="1">IFERROR(__xludf.DUMMYFUNCTION("""COMPUTED_VALUE"""),3)</f>
        <v>3</v>
      </c>
      <c r="E177">
        <f ca="1">IFERROR(__xludf.DUMMYFUNCTION("""COMPUTED_VALUE"""),50)</f>
        <v>50</v>
      </c>
      <c r="F177">
        <f ca="1">IFERROR(__xludf.DUMMYFUNCTION("""COMPUTED_VALUE"""),5)</f>
        <v>5</v>
      </c>
      <c r="G177">
        <f ca="1">IFERROR(__xludf.DUMMYFUNCTION("""COMPUTED_VALUE"""),10)</f>
        <v>10</v>
      </c>
    </row>
    <row r="178" spans="1:7" ht="12.75">
      <c r="A178" t="str">
        <f ca="1">IFERROR(__xludf.DUMMYFUNCTION("""COMPUTED_VALUE"""),"T169")</f>
        <v>T169</v>
      </c>
      <c r="B178" t="str">
        <f ca="1">IFERROR(__xludf.DUMMYFUNCTION("""COMPUTED_VALUE"""),"T149")</f>
        <v>T149</v>
      </c>
      <c r="C178" t="str">
        <f ca="1">IFERROR(__xludf.DUMMYFUNCTION("""COMPUTED_VALUE"""),"Kelly Kraft")</f>
        <v>Kelly Kraft</v>
      </c>
      <c r="D178">
        <f ca="1">IFERROR(__xludf.DUMMYFUNCTION("""COMPUTED_VALUE"""),14)</f>
        <v>14</v>
      </c>
      <c r="E178">
        <f ca="1">IFERROR(__xludf.DUMMYFUNCTION("""COMPUTED_VALUE"""),50)</f>
        <v>50</v>
      </c>
      <c r="F178">
        <f ca="1">IFERROR(__xludf.DUMMYFUNCTION("""COMPUTED_VALUE"""),14)</f>
        <v>14</v>
      </c>
      <c r="G178">
        <f ca="1">IFERROR(__xludf.DUMMYFUNCTION("""COMPUTED_VALUE"""),28)</f>
        <v>28</v>
      </c>
    </row>
    <row r="179" spans="1:7" ht="12.75">
      <c r="A179" t="str">
        <f ca="1">IFERROR(__xludf.DUMMYFUNCTION("""COMPUTED_VALUE"""),"T169")</f>
        <v>T169</v>
      </c>
      <c r="B179" t="str">
        <f ca="1">IFERROR(__xludf.DUMMYFUNCTION("""COMPUTED_VALUE"""),"T116")</f>
        <v>T116</v>
      </c>
      <c r="C179" t="str">
        <f ca="1">IFERROR(__xludf.DUMMYFUNCTION("""COMPUTED_VALUE"""),"Beau Hossler")</f>
        <v>Beau Hossler</v>
      </c>
      <c r="D179">
        <f ca="1">IFERROR(__xludf.DUMMYFUNCTION("""COMPUTED_VALUE"""),22)</f>
        <v>22</v>
      </c>
      <c r="E179">
        <f ca="1">IFERROR(__xludf.DUMMYFUNCTION("""COMPUTED_VALUE"""),50)</f>
        <v>50</v>
      </c>
      <c r="F179">
        <f ca="1">IFERROR(__xludf.DUMMYFUNCTION("""COMPUTED_VALUE"""),29)</f>
        <v>29</v>
      </c>
      <c r="G179">
        <f ca="1">IFERROR(__xludf.DUMMYFUNCTION("""COMPUTED_VALUE"""),58)</f>
        <v>58</v>
      </c>
    </row>
    <row r="180" spans="1:7" ht="12.75">
      <c r="A180" t="str">
        <f ca="1">IFERROR(__xludf.DUMMYFUNCTION("""COMPUTED_VALUE"""),"T169")</f>
        <v>T169</v>
      </c>
      <c r="B180" t="str">
        <f ca="1">IFERROR(__xludf.DUMMYFUNCTION("""COMPUTED_VALUE"""),"T176")</f>
        <v>T176</v>
      </c>
      <c r="C180" t="str">
        <f ca="1">IFERROR(__xludf.DUMMYFUNCTION("""COMPUTED_VALUE"""),"Renato Paratore")</f>
        <v>Renato Paratore</v>
      </c>
      <c r="D180">
        <f ca="1">IFERROR(__xludf.DUMMYFUNCTION("""COMPUTED_VALUE"""),4)</f>
        <v>4</v>
      </c>
      <c r="E180">
        <f ca="1">IFERROR(__xludf.DUMMYFUNCTION("""COMPUTED_VALUE"""),50)</f>
        <v>50</v>
      </c>
      <c r="F180">
        <f ca="1">IFERROR(__xludf.DUMMYFUNCTION("""COMPUTED_VALUE"""),6)</f>
        <v>6</v>
      </c>
      <c r="G180">
        <f ca="1">IFERROR(__xludf.DUMMYFUNCTION("""COMPUTED_VALUE"""),12)</f>
        <v>12</v>
      </c>
    </row>
    <row r="181" spans="1:7" ht="12.75">
      <c r="A181" t="str">
        <f ca="1">IFERROR(__xludf.DUMMYFUNCTION("""COMPUTED_VALUE"""),"T169")</f>
        <v>T169</v>
      </c>
      <c r="B181" t="str">
        <f ca="1">IFERROR(__xludf.DUMMYFUNCTION("""COMPUTED_VALUE"""),"T176")</f>
        <v>T176</v>
      </c>
      <c r="C181" t="str">
        <f ca="1">IFERROR(__xludf.DUMMYFUNCTION("""COMPUTED_VALUE"""),"Joseph Bramlett")</f>
        <v>Joseph Bramlett</v>
      </c>
      <c r="D181">
        <f ca="1">IFERROR(__xludf.DUMMYFUNCTION("""COMPUTED_VALUE"""),18)</f>
        <v>18</v>
      </c>
      <c r="E181">
        <f ca="1">IFERROR(__xludf.DUMMYFUNCTION("""COMPUTED_VALUE"""),50)</f>
        <v>50</v>
      </c>
      <c r="F181">
        <f ca="1">IFERROR(__xludf.DUMMYFUNCTION("""COMPUTED_VALUE"""),13)</f>
        <v>13</v>
      </c>
      <c r="G181">
        <f ca="1">IFERROR(__xludf.DUMMYFUNCTION("""COMPUTED_VALUE"""),26)</f>
        <v>26</v>
      </c>
    </row>
    <row r="182" spans="1:7" ht="12.75">
      <c r="A182" t="str">
        <f ca="1">IFERROR(__xludf.DUMMYFUNCTION("""COMPUTED_VALUE"""),"T169")</f>
        <v>T169</v>
      </c>
      <c r="B182" t="str">
        <f ca="1">IFERROR(__xludf.DUMMYFUNCTION("""COMPUTED_VALUE"""),"T164")</f>
        <v>T164</v>
      </c>
      <c r="C182" t="str">
        <f ca="1">IFERROR(__xludf.DUMMYFUNCTION("""COMPUTED_VALUE"""),"Jordan Spieth")</f>
        <v>Jordan Spieth</v>
      </c>
      <c r="D182">
        <f ca="1">IFERROR(__xludf.DUMMYFUNCTION("""COMPUTED_VALUE"""),14)</f>
        <v>14</v>
      </c>
      <c r="E182">
        <f ca="1">IFERROR(__xludf.DUMMYFUNCTION("""COMPUTED_VALUE"""),50)</f>
        <v>50</v>
      </c>
      <c r="F182">
        <f ca="1">IFERROR(__xludf.DUMMYFUNCTION("""COMPUTED_VALUE"""),23)</f>
        <v>23</v>
      </c>
      <c r="G182">
        <f ca="1">IFERROR(__xludf.DUMMYFUNCTION("""COMPUTED_VALUE"""),46)</f>
        <v>46</v>
      </c>
    </row>
    <row r="183" spans="1:7" ht="12.75">
      <c r="A183" t="str">
        <f ca="1">IFERROR(__xludf.DUMMYFUNCTION("""COMPUTED_VALUE"""),"T169")</f>
        <v>T169</v>
      </c>
      <c r="B183" t="str">
        <f ca="1">IFERROR(__xludf.DUMMYFUNCTION("""COMPUTED_VALUE"""),"T204")</f>
        <v>T204</v>
      </c>
      <c r="C183" t="str">
        <f ca="1">IFERROR(__xludf.DUMMYFUNCTION("""COMPUTED_VALUE"""),"Erik van Rooyen")</f>
        <v>Erik van Rooyen</v>
      </c>
      <c r="D183">
        <f ca="1">IFERROR(__xludf.DUMMYFUNCTION("""COMPUTED_VALUE"""),10)</f>
        <v>10</v>
      </c>
      <c r="E183">
        <f ca="1">IFERROR(__xludf.DUMMYFUNCTION("""COMPUTED_VALUE"""),50)</f>
        <v>50</v>
      </c>
      <c r="F183">
        <f ca="1">IFERROR(__xludf.DUMMYFUNCTION("""COMPUTED_VALUE"""),12)</f>
        <v>12</v>
      </c>
      <c r="G183">
        <f ca="1">IFERROR(__xludf.DUMMYFUNCTION("""COMPUTED_VALUE"""),24)</f>
        <v>24</v>
      </c>
    </row>
    <row r="184" spans="1:7" ht="12.75">
      <c r="A184" t="str">
        <f ca="1">IFERROR(__xludf.DUMMYFUNCTION("""COMPUTED_VALUE"""),"T169")</f>
        <v>T169</v>
      </c>
      <c r="B184" t="str">
        <f ca="1">IFERROR(__xludf.DUMMYFUNCTION("""COMPUTED_VALUE"""),"T176")</f>
        <v>T176</v>
      </c>
      <c r="C184" t="str">
        <f ca="1">IFERROR(__xludf.DUMMYFUNCTION("""COMPUTED_VALUE"""),"MJ Daffue")</f>
        <v>MJ Daffue</v>
      </c>
      <c r="D184">
        <f ca="1">IFERROR(__xludf.DUMMYFUNCTION("""COMPUTED_VALUE"""),10)</f>
        <v>10</v>
      </c>
      <c r="E184">
        <f ca="1">IFERROR(__xludf.DUMMYFUNCTION("""COMPUTED_VALUE"""),50)</f>
        <v>50</v>
      </c>
      <c r="F184">
        <f ca="1">IFERROR(__xludf.DUMMYFUNCTION("""COMPUTED_VALUE"""),12)</f>
        <v>12</v>
      </c>
      <c r="G184">
        <f ca="1">IFERROR(__xludf.DUMMYFUNCTION("""COMPUTED_VALUE"""),24)</f>
        <v>24</v>
      </c>
    </row>
    <row r="185" spans="1:7" ht="12.75">
      <c r="A185" t="str">
        <f ca="1">IFERROR(__xludf.DUMMYFUNCTION("""COMPUTED_VALUE"""),"T169")</f>
        <v>T169</v>
      </c>
      <c r="B185" t="str">
        <f ca="1">IFERROR(__xludf.DUMMYFUNCTION("""COMPUTED_VALUE"""),"T176")</f>
        <v>T176</v>
      </c>
      <c r="C185" t="str">
        <f ca="1">IFERROR(__xludf.DUMMYFUNCTION("""COMPUTED_VALUE"""),"Stephen Stallings Jr.")</f>
        <v>Stephen Stallings Jr.</v>
      </c>
      <c r="D185">
        <f ca="1">IFERROR(__xludf.DUMMYFUNCTION("""COMPUTED_VALUE"""),4)</f>
        <v>4</v>
      </c>
      <c r="E185">
        <f ca="1">IFERROR(__xludf.DUMMYFUNCTION("""COMPUTED_VALUE"""),50)</f>
        <v>50</v>
      </c>
      <c r="F185">
        <f ca="1">IFERROR(__xludf.DUMMYFUNCTION("""COMPUTED_VALUE"""),2)</f>
        <v>2</v>
      </c>
      <c r="G185">
        <f ca="1">IFERROR(__xludf.DUMMYFUNCTION("""COMPUTED_VALUE"""),4)</f>
        <v>4</v>
      </c>
    </row>
    <row r="186" spans="1:7" ht="12.75">
      <c r="A186" t="str">
        <f ca="1">IFERROR(__xludf.DUMMYFUNCTION("""COMPUTED_VALUE"""),"T169")</f>
        <v>T169</v>
      </c>
      <c r="B186" t="str">
        <f ca="1">IFERROR(__xludf.DUMMYFUNCTION("""COMPUTED_VALUE"""),"T176")</f>
        <v>T176</v>
      </c>
      <c r="C186" t="str">
        <f ca="1">IFERROR(__xludf.DUMMYFUNCTION("""COMPUTED_VALUE"""),"Joohyung Kim")</f>
        <v>Joohyung Kim</v>
      </c>
      <c r="D186">
        <f ca="1">IFERROR(__xludf.DUMMYFUNCTION("""COMPUTED_VALUE"""),12)</f>
        <v>12</v>
      </c>
      <c r="E186">
        <f ca="1">IFERROR(__xludf.DUMMYFUNCTION("""COMPUTED_VALUE"""),50)</f>
        <v>50</v>
      </c>
      <c r="F186">
        <f ca="1">IFERROR(__xludf.DUMMYFUNCTION("""COMPUTED_VALUE"""),15)</f>
        <v>15</v>
      </c>
      <c r="G186">
        <f ca="1">IFERROR(__xludf.DUMMYFUNCTION("""COMPUTED_VALUE"""),30)</f>
        <v>30</v>
      </c>
    </row>
    <row r="187" spans="1:7" ht="12.75">
      <c r="A187" t="str">
        <f ca="1">IFERROR(__xludf.DUMMYFUNCTION("""COMPUTED_VALUE"""),"T169")</f>
        <v>T169</v>
      </c>
      <c r="B187" t="str">
        <f ca="1">IFERROR(__xludf.DUMMYFUNCTION("""COMPUTED_VALUE"""),"T176")</f>
        <v>T176</v>
      </c>
      <c r="C187" t="str">
        <f ca="1">IFERROR(__xludf.DUMMYFUNCTION("""COMPUTED_VALUE"""),"Tae Hee Lee")</f>
        <v>Tae Hee Lee</v>
      </c>
      <c r="D187">
        <f ca="1">IFERROR(__xludf.DUMMYFUNCTION("""COMPUTED_VALUE"""),4)</f>
        <v>4</v>
      </c>
      <c r="E187">
        <f ca="1">IFERROR(__xludf.DUMMYFUNCTION("""COMPUTED_VALUE"""),50)</f>
        <v>50</v>
      </c>
      <c r="F187">
        <f ca="1">IFERROR(__xludf.DUMMYFUNCTION("""COMPUTED_VALUE"""),14)</f>
        <v>14</v>
      </c>
      <c r="G187">
        <f ca="1">IFERROR(__xludf.DUMMYFUNCTION("""COMPUTED_VALUE"""),28)</f>
        <v>28</v>
      </c>
    </row>
    <row r="188" spans="1:7" ht="12.75">
      <c r="A188" t="str">
        <f ca="1">IFERROR(__xludf.DUMMYFUNCTION("""COMPUTED_VALUE"""),"T169")</f>
        <v>T169</v>
      </c>
      <c r="B188" t="str">
        <f ca="1">IFERROR(__xludf.DUMMYFUNCTION("""COMPUTED_VALUE"""),"T176")</f>
        <v>T176</v>
      </c>
      <c r="C188" t="str">
        <f ca="1">IFERROR(__xludf.DUMMYFUNCTION("""COMPUTED_VALUE"""),"Cameron Champ")</f>
        <v>Cameron Champ</v>
      </c>
      <c r="D188">
        <f ca="1">IFERROR(__xludf.DUMMYFUNCTION("""COMPUTED_VALUE"""),12)</f>
        <v>12</v>
      </c>
      <c r="E188">
        <f ca="1">IFERROR(__xludf.DUMMYFUNCTION("""COMPUTED_VALUE"""),50)</f>
        <v>50</v>
      </c>
      <c r="F188">
        <f ca="1">IFERROR(__xludf.DUMMYFUNCTION("""COMPUTED_VALUE"""),13)</f>
        <v>13</v>
      </c>
      <c r="G188">
        <f ca="1">IFERROR(__xludf.DUMMYFUNCTION("""COMPUTED_VALUE"""),26)</f>
        <v>26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IFERROR(__xludf.DUMMYFUNCTION("""COMPUTED_VALUE"""),"T197")</f>
        <v>T197</v>
      </c>
      <c r="C189" t="str">
        <f ca="1">IFERROR(__xludf.DUMMYFUNCTION("""COMPUTED_VALUE"""),"Jhonattan Vegas")</f>
        <v>Jhonattan Vegas</v>
      </c>
      <c r="D189">
        <f ca="1">IFERROR(__xludf.DUMMYFUNCTION("""COMPUTED_VALUE"""),16)</f>
        <v>16</v>
      </c>
      <c r="E189">
        <f ca="1">IFERROR(__xludf.DUMMYFUNCTION("""COMPUTED_VALUE"""),48.72)</f>
        <v>48.72</v>
      </c>
      <c r="F189">
        <f ca="1">IFERROR(__xludf.DUMMYFUNCTION("""COMPUTED_VALUE"""),19)</f>
        <v>19</v>
      </c>
      <c r="G189">
        <f ca="1">IFERROR(__xludf.DUMMYFUNCTION("""COMPUTED_VALUE"""),39)</f>
        <v>39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IFERROR(__xludf.DUMMYFUNCTION("""COMPUTED_VALUE"""),"T176")</f>
        <v>T176</v>
      </c>
      <c r="C190" t="str">
        <f ca="1">IFERROR(__xludf.DUMMYFUNCTION("""COMPUTED_VALUE"""),"Brandt Snedeker")</f>
        <v>Brandt Snedeker</v>
      </c>
      <c r="D190">
        <f ca="1">IFERROR(__xludf.DUMMYFUNCTION("""COMPUTED_VALUE"""),16)</f>
        <v>16</v>
      </c>
      <c r="E190">
        <f ca="1">IFERROR(__xludf.DUMMYFUNCTION("""COMPUTED_VALUE"""),48.72)</f>
        <v>48.72</v>
      </c>
      <c r="F190">
        <f ca="1">IFERROR(__xludf.DUMMYFUNCTION("""COMPUTED_VALUE"""),19)</f>
        <v>19</v>
      </c>
      <c r="G190">
        <f ca="1">IFERROR(__xludf.DUMMYFUNCTION("""COMPUTED_VALUE"""),39)</f>
        <v>39</v>
      </c>
    </row>
    <row r="191" spans="1:7" ht="12.75">
      <c r="A191" t="str">
        <f ca="1">IFERROR(__xludf.DUMMYFUNCTION("""COMPUTED_VALUE"""),"T190")</f>
        <v>T190</v>
      </c>
      <c r="B191">
        <f ca="1">IFERROR(__xludf.DUMMYFUNCTION("""COMPUTED_VALUE"""),196)</f>
        <v>196</v>
      </c>
      <c r="C191" t="str">
        <f ca="1">IFERROR(__xludf.DUMMYFUNCTION("""COMPUTED_VALUE"""),"Michael Thompson")</f>
        <v>Michael Thompson</v>
      </c>
      <c r="D191">
        <f ca="1">IFERROR(__xludf.DUMMYFUNCTION("""COMPUTED_VALUE"""),16)</f>
        <v>16</v>
      </c>
      <c r="E191">
        <f ca="1">IFERROR(__xludf.DUMMYFUNCTION("""COMPUTED_VALUE"""),48)</f>
        <v>48</v>
      </c>
      <c r="F191">
        <f ca="1">IFERROR(__xludf.DUMMYFUNCTION("""COMPUTED_VALUE"""),24)</f>
        <v>24</v>
      </c>
      <c r="G191">
        <f ca="1">IFERROR(__xludf.DUMMYFUNCTION("""COMPUTED_VALUE"""),50)</f>
        <v>50</v>
      </c>
    </row>
    <row r="192" spans="1:7" ht="12.75">
      <c r="A192" t="str">
        <f ca="1">IFERROR(__xludf.DUMMYFUNCTION("""COMPUTED_VALUE"""),"T190")</f>
        <v>T190</v>
      </c>
      <c r="B192">
        <f ca="1">IFERROR(__xludf.DUMMYFUNCTION("""COMPUTED_VALUE"""),199)</f>
        <v>199</v>
      </c>
      <c r="C192" t="str">
        <f ca="1">IFERROR(__xludf.DUMMYFUNCTION("""COMPUTED_VALUE"""),"Matthew Wolff")</f>
        <v>Matthew Wolff</v>
      </c>
      <c r="D192">
        <f ca="1">IFERROR(__xludf.DUMMYFUNCTION("""COMPUTED_VALUE"""),16)</f>
        <v>16</v>
      </c>
      <c r="E192">
        <f ca="1">IFERROR(__xludf.DUMMYFUNCTION("""COMPUTED_VALUE"""),48)</f>
        <v>48</v>
      </c>
      <c r="F192">
        <f ca="1">IFERROR(__xludf.DUMMYFUNCTION("""COMPUTED_VALUE"""),24)</f>
        <v>24</v>
      </c>
      <c r="G192">
        <f ca="1">IFERROR(__xludf.DUMMYFUNCTION("""COMPUTED_VALUE"""),50)</f>
        <v>50</v>
      </c>
    </row>
    <row r="193" spans="1:7" ht="12.75">
      <c r="A193" t="str">
        <f ca="1">IFERROR(__xludf.DUMMYFUNCTION("""COMPUTED_VALUE"""),"T192")</f>
        <v>T192</v>
      </c>
      <c r="B193" t="str">
        <f ca="1">IFERROR(__xludf.DUMMYFUNCTION("""COMPUTED_VALUE"""),"T200")</f>
        <v>T200</v>
      </c>
      <c r="C193" t="str">
        <f ca="1">IFERROR(__xludf.DUMMYFUNCTION("""COMPUTED_VALUE"""),"Chesson Hadley")</f>
        <v>Chesson Hadley</v>
      </c>
      <c r="D193">
        <f ca="1">IFERROR(__xludf.DUMMYFUNCTION("""COMPUTED_VALUE"""),16)</f>
        <v>16</v>
      </c>
      <c r="E193">
        <f ca="1">IFERROR(__xludf.DUMMYFUNCTION("""COMPUTED_VALUE"""),47.92)</f>
        <v>47.92</v>
      </c>
      <c r="F193">
        <f ca="1">IFERROR(__xludf.DUMMYFUNCTION("""COMPUTED_VALUE"""),23)</f>
        <v>23</v>
      </c>
      <c r="G193">
        <f ca="1">IFERROR(__xludf.DUMMYFUNCTION("""COMPUTED_VALUE"""),48)</f>
        <v>48</v>
      </c>
    </row>
    <row r="194" spans="1:7" ht="12.75">
      <c r="A194" t="str">
        <f ca="1">IFERROR(__xludf.DUMMYFUNCTION("""COMPUTED_VALUE"""),"T192")</f>
        <v>T192</v>
      </c>
      <c r="B194" t="str">
        <f ca="1">IFERROR(__xludf.DUMMYFUNCTION("""COMPUTED_VALUE"""),"T200")</f>
        <v>T200</v>
      </c>
      <c r="C194" t="str">
        <f ca="1">IFERROR(__xludf.DUMMYFUNCTION("""COMPUTED_VALUE"""),"Brendon Todd")</f>
        <v>Brendon Todd</v>
      </c>
      <c r="D194">
        <f ca="1">IFERROR(__xludf.DUMMYFUNCTION("""COMPUTED_VALUE"""),14)</f>
        <v>14</v>
      </c>
      <c r="E194">
        <f ca="1">IFERROR(__xludf.DUMMYFUNCTION("""COMPUTED_VALUE"""),47.92)</f>
        <v>47.92</v>
      </c>
      <c r="F194">
        <f ca="1">IFERROR(__xludf.DUMMYFUNCTION("""COMPUTED_VALUE"""),23)</f>
        <v>23</v>
      </c>
      <c r="G194">
        <f ca="1">IFERROR(__xludf.DUMMYFUNCTION("""COMPUTED_VALUE"""),48)</f>
        <v>48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IFERROR(__xludf.DUMMYFUNCTION("""COMPUTED_VALUE"""),"T164")</f>
        <v>T164</v>
      </c>
      <c r="C195" t="str">
        <f ca="1">IFERROR(__xludf.DUMMYFUNCTION("""COMPUTED_VALUE"""),"Danny Willett")</f>
        <v>Danny Willett</v>
      </c>
      <c r="D195">
        <f ca="1">IFERROR(__xludf.DUMMYFUNCTION("""COMPUTED_VALUE"""),7)</f>
        <v>7</v>
      </c>
      <c r="E195">
        <f ca="1">IFERROR(__xludf.DUMMYFUNCTION("""COMPUTED_VALUE"""),47.83)</f>
        <v>47.83</v>
      </c>
      <c r="F195">
        <f ca="1">IFERROR(__xludf.DUMMYFUNCTION("""COMPUTED_VALUE"""),11)</f>
        <v>11</v>
      </c>
      <c r="G195">
        <f ca="1">IFERROR(__xludf.DUMMYFUNCTION("""COMPUTED_VALUE"""),23)</f>
        <v>23</v>
      </c>
    </row>
    <row r="196" spans="1:7" ht="12.75">
      <c r="A196" t="str">
        <f ca="1">IFERROR(__xludf.DUMMYFUNCTION("""COMPUTED_VALUE"""),"T194")</f>
        <v>T194</v>
      </c>
      <c r="B196" t="str">
        <f ca="1">IFERROR(__xludf.DUMMYFUNCTION("""COMPUTED_VALUE"""),"T164")</f>
        <v>T164</v>
      </c>
      <c r="C196" t="str">
        <f ca="1">IFERROR(__xludf.DUMMYFUNCTION("""COMPUTED_VALUE"""),"Camilo Villegas")</f>
        <v>Camilo Villegas</v>
      </c>
      <c r="D196">
        <f ca="1">IFERROR(__xludf.DUMMYFUNCTION("""COMPUTED_VALUE"""),14)</f>
        <v>14</v>
      </c>
      <c r="E196">
        <f ca="1">IFERROR(__xludf.DUMMYFUNCTION("""COMPUTED_VALUE"""),47.83)</f>
        <v>47.83</v>
      </c>
      <c r="F196">
        <f ca="1">IFERROR(__xludf.DUMMYFUNCTION("""COMPUTED_VALUE"""),11)</f>
        <v>11</v>
      </c>
      <c r="G196">
        <f ca="1">IFERROR(__xludf.DUMMYFUNCTION("""COMPUTED_VALUE"""),23)</f>
        <v>23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IFERROR(__xludf.DUMMYFUNCTION("""COMPUTED_VALUE"""),203)</f>
        <v>203</v>
      </c>
      <c r="C197" t="str">
        <f ca="1">IFERROR(__xludf.DUMMYFUNCTION("""COMPUTED_VALUE"""),"Nick Taylor")</f>
        <v>Nick Taylor</v>
      </c>
      <c r="D197">
        <f ca="1">IFERROR(__xludf.DUMMYFUNCTION("""COMPUTED_VALUE"""),12)</f>
        <v>12</v>
      </c>
      <c r="E197">
        <f ca="1">IFERROR(__xludf.DUMMYFUNCTION("""COMPUTED_VALUE"""),47.5)</f>
        <v>47.5</v>
      </c>
      <c r="F197">
        <f ca="1">IFERROR(__xludf.DUMMYFUNCTION("""COMPUTED_VALUE"""),19)</f>
        <v>19</v>
      </c>
      <c r="G197">
        <f ca="1">IFERROR(__xludf.DUMMYFUNCTION("""COMPUTED_VALUE"""),40)</f>
        <v>40</v>
      </c>
    </row>
    <row r="198" spans="1:7" ht="12.75">
      <c r="A198" t="str">
        <f ca="1">IFERROR(__xludf.DUMMYFUNCTION("""COMPUTED_VALUE"""),"T197")</f>
        <v>T197</v>
      </c>
      <c r="B198" t="str">
        <f ca="1">IFERROR(__xludf.DUMMYFUNCTION("""COMPUTED_VALUE"""),"T204")</f>
        <v>T204</v>
      </c>
      <c r="C198" t="str">
        <f ca="1">IFERROR(__xludf.DUMMYFUNCTION("""COMPUTED_VALUE"""),"Tim Wilkinson")</f>
        <v>Tim Wilkinson</v>
      </c>
      <c r="D198">
        <f ca="1">IFERROR(__xludf.DUMMYFUNCTION("""COMPUTED_VALUE"""),12)</f>
        <v>12</v>
      </c>
      <c r="E198">
        <f ca="1">IFERROR(__xludf.DUMMYFUNCTION("""COMPUTED_VALUE"""),47.37)</f>
        <v>47.37</v>
      </c>
      <c r="F198">
        <f ca="1">IFERROR(__xludf.DUMMYFUNCTION("""COMPUTED_VALUE"""),9)</f>
        <v>9</v>
      </c>
      <c r="G198">
        <f ca="1">IFERROR(__xludf.DUMMYFUNCTION("""COMPUTED_VALUE"""),19)</f>
        <v>19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IFERROR(__xludf.DUMMYFUNCTION("""COMPUTED_VALUE"""),"T204")</f>
        <v>T204</v>
      </c>
      <c r="C199" t="str">
        <f ca="1">IFERROR(__xludf.DUMMYFUNCTION("""COMPUTED_VALUE"""),"Ricky Barnes")</f>
        <v>Ricky Barnes</v>
      </c>
      <c r="D199">
        <f ca="1">IFERROR(__xludf.DUMMYFUNCTION("""COMPUTED_VALUE"""),12)</f>
        <v>12</v>
      </c>
      <c r="E199">
        <f ca="1">IFERROR(__xludf.DUMMYFUNCTION("""COMPUTED_VALUE"""),47.37)</f>
        <v>47.37</v>
      </c>
      <c r="F199">
        <f ca="1">IFERROR(__xludf.DUMMYFUNCTION("""COMPUTED_VALUE"""),9)</f>
        <v>9</v>
      </c>
      <c r="G199">
        <f ca="1">IFERROR(__xludf.DUMMYFUNCTION("""COMPUTED_VALUE"""),19)</f>
        <v>19</v>
      </c>
    </row>
    <row r="200" spans="1:7" ht="12.75">
      <c r="A200" t="str">
        <f ca="1">IFERROR(__xludf.DUMMYFUNCTION("""COMPUTED_VALUE"""),"T197")</f>
        <v>T197</v>
      </c>
      <c r="B200" t="str">
        <f ca="1">IFERROR(__xludf.DUMMYFUNCTION("""COMPUTED_VALUE"""),"T158")</f>
        <v>T158</v>
      </c>
      <c r="C200" t="str">
        <f ca="1">IFERROR(__xludf.DUMMYFUNCTION("""COMPUTED_VALUE"""),"Kevin Streelman")</f>
        <v>Kevin Streelman</v>
      </c>
      <c r="D200">
        <f ca="1">IFERROR(__xludf.DUMMYFUNCTION("""COMPUTED_VALUE"""),18)</f>
        <v>18</v>
      </c>
      <c r="E200">
        <f ca="1">IFERROR(__xludf.DUMMYFUNCTION("""COMPUTED_VALUE"""),47.37)</f>
        <v>47.37</v>
      </c>
      <c r="F200">
        <f ca="1">IFERROR(__xludf.DUMMYFUNCTION("""COMPUTED_VALUE"""),18)</f>
        <v>18</v>
      </c>
      <c r="G200">
        <f ca="1">IFERROR(__xludf.DUMMYFUNCTION("""COMPUTED_VALUE"""),38)</f>
        <v>38</v>
      </c>
    </row>
    <row r="201" spans="1:7" ht="12.75">
      <c r="A201" t="str">
        <f ca="1">IFERROR(__xludf.DUMMYFUNCTION("""COMPUTED_VALUE"""),"T197")</f>
        <v>T197</v>
      </c>
      <c r="B201" t="str">
        <f ca="1">IFERROR(__xludf.DUMMYFUNCTION("""COMPUTED_VALUE"""),"T204")</f>
        <v>T204</v>
      </c>
      <c r="C201" t="str">
        <f ca="1">IFERROR(__xludf.DUMMYFUNCTION("""COMPUTED_VALUE"""),"Graham DeLaet")</f>
        <v>Graham DeLaet</v>
      </c>
      <c r="D201">
        <f ca="1">IFERROR(__xludf.DUMMYFUNCTION("""COMPUTED_VALUE"""),9)</f>
        <v>9</v>
      </c>
      <c r="E201">
        <f ca="1">IFERROR(__xludf.DUMMYFUNCTION("""COMPUTED_VALUE"""),47.37)</f>
        <v>47.37</v>
      </c>
      <c r="F201">
        <f ca="1">IFERROR(__xludf.DUMMYFUNCTION("""COMPUTED_VALUE"""),9)</f>
        <v>9</v>
      </c>
      <c r="G201">
        <f ca="1">IFERROR(__xludf.DUMMYFUNCTION("""COMPUTED_VALUE"""),19)</f>
        <v>19</v>
      </c>
    </row>
    <row r="202" spans="1:7" ht="12.75">
      <c r="A202" t="str">
        <f ca="1">IFERROR(__xludf.DUMMYFUNCTION("""COMPUTED_VALUE"""),"T197")</f>
        <v>T197</v>
      </c>
      <c r="B202" t="str">
        <f ca="1">IFERROR(__xludf.DUMMYFUNCTION("""COMPUTED_VALUE"""),"T204")</f>
        <v>T204</v>
      </c>
      <c r="C202" t="str">
        <f ca="1">IFERROR(__xludf.DUMMYFUNCTION("""COMPUTED_VALUE"""),"Sebastian Cappelen")</f>
        <v>Sebastian Cappelen</v>
      </c>
      <c r="D202">
        <f ca="1">IFERROR(__xludf.DUMMYFUNCTION("""COMPUTED_VALUE"""),8)</f>
        <v>8</v>
      </c>
      <c r="E202">
        <f ca="1">IFERROR(__xludf.DUMMYFUNCTION("""COMPUTED_VALUE"""),47.37)</f>
        <v>47.37</v>
      </c>
      <c r="F202">
        <f ca="1">IFERROR(__xludf.DUMMYFUNCTION("""COMPUTED_VALUE"""),9)</f>
        <v>9</v>
      </c>
      <c r="G202">
        <f ca="1">IFERROR(__xludf.DUMMYFUNCTION("""COMPUTED_VALUE"""),19)</f>
        <v>19</v>
      </c>
    </row>
    <row r="203" spans="1:7" ht="12.75">
      <c r="A203" t="str">
        <f ca="1">IFERROR(__xludf.DUMMYFUNCTION("""COMPUTED_VALUE"""),"T202")</f>
        <v>T202</v>
      </c>
      <c r="B203">
        <f ca="1">IFERROR(__xludf.DUMMYFUNCTION("""COMPUTED_VALUE"""),212)</f>
        <v>212</v>
      </c>
      <c r="C203" t="str">
        <f ca="1">IFERROR(__xludf.DUMMYFUNCTION("""COMPUTED_VALUE"""),"Patton Kizzire")</f>
        <v>Patton Kizzire</v>
      </c>
      <c r="D203">
        <f ca="1">IFERROR(__xludf.DUMMYFUNCTION("""COMPUTED_VALUE"""),18)</f>
        <v>18</v>
      </c>
      <c r="E203">
        <f ca="1">IFERROR(__xludf.DUMMYFUNCTION("""COMPUTED_VALUE"""),47.06)</f>
        <v>47.06</v>
      </c>
      <c r="F203">
        <f ca="1">IFERROR(__xludf.DUMMYFUNCTION("""COMPUTED_VALUE"""),16)</f>
        <v>16</v>
      </c>
      <c r="G203">
        <f ca="1">IFERROR(__xludf.DUMMYFUNCTION("""COMPUTED_VALUE"""),34)</f>
        <v>34</v>
      </c>
    </row>
    <row r="204" spans="1:7" ht="12.75">
      <c r="A204" t="str">
        <f ca="1">IFERROR(__xludf.DUMMYFUNCTION("""COMPUTED_VALUE"""),"T202")</f>
        <v>T202</v>
      </c>
      <c r="B204" t="str">
        <f ca="1">IFERROR(__xludf.DUMMYFUNCTION("""COMPUTED_VALUE"""),"T209")</f>
        <v>T209</v>
      </c>
      <c r="C204" t="str">
        <f ca="1">IFERROR(__xludf.DUMMYFUNCTION("""COMPUTED_VALUE"""),"Wesley Bryan")</f>
        <v>Wesley Bryan</v>
      </c>
      <c r="D204">
        <f ca="1">IFERROR(__xludf.DUMMYFUNCTION("""COMPUTED_VALUE"""),8)</f>
        <v>8</v>
      </c>
      <c r="E204">
        <f ca="1">IFERROR(__xludf.DUMMYFUNCTION("""COMPUTED_VALUE"""),47.06)</f>
        <v>47.06</v>
      </c>
      <c r="F204">
        <f ca="1">IFERROR(__xludf.DUMMYFUNCTION("""COMPUTED_VALUE"""),8)</f>
        <v>8</v>
      </c>
      <c r="G204">
        <f ca="1">IFERROR(__xludf.DUMMYFUNCTION("""COMPUTED_VALUE"""),17)</f>
        <v>17</v>
      </c>
    </row>
    <row r="205" spans="1:7" ht="12.75">
      <c r="A205" t="str">
        <f ca="1">IFERROR(__xludf.DUMMYFUNCTION("""COMPUTED_VALUE"""),"T202")</f>
        <v>T202</v>
      </c>
      <c r="B205" t="str">
        <f ca="1">IFERROR(__xludf.DUMMYFUNCTION("""COMPUTED_VALUE"""),"T176")</f>
        <v>T176</v>
      </c>
      <c r="C205" t="str">
        <f ca="1">IFERROR(__xludf.DUMMYFUNCTION("""COMPUTED_VALUE"""),"Henrik Norlander")</f>
        <v>Henrik Norlander</v>
      </c>
      <c r="D205">
        <f ca="1">IFERROR(__xludf.DUMMYFUNCTION("""COMPUTED_VALUE"""),16)</f>
        <v>16</v>
      </c>
      <c r="E205">
        <f ca="1">IFERROR(__xludf.DUMMYFUNCTION("""COMPUTED_VALUE"""),47.06)</f>
        <v>47.06</v>
      </c>
      <c r="F205">
        <f ca="1">IFERROR(__xludf.DUMMYFUNCTION("""COMPUTED_VALUE"""),8)</f>
        <v>8</v>
      </c>
      <c r="G205">
        <f ca="1">IFERROR(__xludf.DUMMYFUNCTION("""COMPUTED_VALUE"""),17)</f>
        <v>17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IFERROR(__xludf.DUMMYFUNCTION("""COMPUTED_VALUE"""),"T213")</f>
        <v>T213</v>
      </c>
      <c r="C206" t="str">
        <f ca="1">IFERROR(__xludf.DUMMYFUNCTION("""COMPUTED_VALUE"""),"William McGirt")</f>
        <v>William McGirt</v>
      </c>
      <c r="D206">
        <f ca="1">IFERROR(__xludf.DUMMYFUNCTION("""COMPUTED_VALUE"""),6)</f>
        <v>6</v>
      </c>
      <c r="E206">
        <f ca="1">IFERROR(__xludf.DUMMYFUNCTION("""COMPUTED_VALUE"""),46.67)</f>
        <v>46.67</v>
      </c>
      <c r="F206">
        <f ca="1">IFERROR(__xludf.DUMMYFUNCTION("""COMPUTED_VALUE"""),7)</f>
        <v>7</v>
      </c>
      <c r="G206">
        <f ca="1">IFERROR(__xludf.DUMMYFUNCTION("""COMPUTED_VALUE"""),15)</f>
        <v>15</v>
      </c>
    </row>
    <row r="207" spans="1:7" ht="12.75">
      <c r="A207" t="str">
        <f ca="1">IFERROR(__xludf.DUMMYFUNCTION("""COMPUTED_VALUE"""),"T205")</f>
        <v>T205</v>
      </c>
      <c r="B207" t="str">
        <f ca="1">IFERROR(__xludf.DUMMYFUNCTION("""COMPUTED_VALUE"""),"T213")</f>
        <v>T213</v>
      </c>
      <c r="C207" t="str">
        <f ca="1">IFERROR(__xludf.DUMMYFUNCTION("""COMPUTED_VALUE"""),"Aaron Baddeley")</f>
        <v>Aaron Baddeley</v>
      </c>
      <c r="D207">
        <f ca="1">IFERROR(__xludf.DUMMYFUNCTION("""COMPUTED_VALUE"""),8)</f>
        <v>8</v>
      </c>
      <c r="E207">
        <f ca="1">IFERROR(__xludf.DUMMYFUNCTION("""COMPUTED_VALUE"""),46.67)</f>
        <v>46.67</v>
      </c>
      <c r="F207">
        <f ca="1">IFERROR(__xludf.DUMMYFUNCTION("""COMPUTED_VALUE"""),7)</f>
        <v>7</v>
      </c>
      <c r="G207">
        <f ca="1">IFERROR(__xludf.DUMMYFUNCTION("""COMPUTED_VALUE"""),15)</f>
        <v>15</v>
      </c>
    </row>
    <row r="208" spans="1:7" ht="12.75">
      <c r="A208" t="str">
        <f ca="1">IFERROR(__xludf.DUMMYFUNCTION("""COMPUTED_VALUE"""),"T205")</f>
        <v>T205</v>
      </c>
      <c r="B208">
        <f ca="1">IFERROR(__xludf.DUMMYFUNCTION("""COMPUTED_VALUE"""),221)</f>
        <v>221</v>
      </c>
      <c r="C208" t="str">
        <f ca="1">IFERROR(__xludf.DUMMYFUNCTION("""COMPUTED_VALUE"""),"Max Homa")</f>
        <v>Max Homa</v>
      </c>
      <c r="D208">
        <f ca="1">IFERROR(__xludf.DUMMYFUNCTION("""COMPUTED_VALUE"""),12)</f>
        <v>12</v>
      </c>
      <c r="E208">
        <f ca="1">IFERROR(__xludf.DUMMYFUNCTION("""COMPUTED_VALUE"""),46.67)</f>
        <v>46.67</v>
      </c>
      <c r="F208">
        <f ca="1">IFERROR(__xludf.DUMMYFUNCTION("""COMPUTED_VALUE"""),14)</f>
        <v>14</v>
      </c>
      <c r="G208">
        <f ca="1">IFERROR(__xludf.DUMMYFUNCTION("""COMPUTED_VALUE"""),30)</f>
        <v>30</v>
      </c>
    </row>
    <row r="209" spans="1:7" ht="12.75">
      <c r="A209" t="str">
        <f ca="1">IFERROR(__xludf.DUMMYFUNCTION("""COMPUTED_VALUE"""),"T205")</f>
        <v>T205</v>
      </c>
      <c r="B209" t="str">
        <f ca="1">IFERROR(__xludf.DUMMYFUNCTION("""COMPUTED_VALUE"""),"T213")</f>
        <v>T213</v>
      </c>
      <c r="C209" t="str">
        <f ca="1">IFERROR(__xludf.DUMMYFUNCTION("""COMPUTED_VALUE"""),"Zac Blair")</f>
        <v>Zac Blair</v>
      </c>
      <c r="D209">
        <f ca="1">IFERROR(__xludf.DUMMYFUNCTION("""COMPUTED_VALUE"""),10)</f>
        <v>10</v>
      </c>
      <c r="E209">
        <f ca="1">IFERROR(__xludf.DUMMYFUNCTION("""COMPUTED_VALUE"""),46.67)</f>
        <v>46.67</v>
      </c>
      <c r="F209">
        <f ca="1">IFERROR(__xludf.DUMMYFUNCTION("""COMPUTED_VALUE"""),7)</f>
        <v>7</v>
      </c>
      <c r="G209">
        <f ca="1">IFERROR(__xludf.DUMMYFUNCTION("""COMPUTED_VALUE"""),15)</f>
        <v>15</v>
      </c>
    </row>
    <row r="210" spans="1:7" ht="12.75">
      <c r="A210" t="str">
        <f ca="1">IFERROR(__xludf.DUMMYFUNCTION("""COMPUTED_VALUE"""),"T205")</f>
        <v>T205</v>
      </c>
      <c r="B210">
        <f ca="1">IFERROR(__xludf.DUMMYFUNCTION("""COMPUTED_VALUE"""),216)</f>
        <v>216</v>
      </c>
      <c r="C210" t="str">
        <f ca="1">IFERROR(__xludf.DUMMYFUNCTION("""COMPUTED_VALUE"""),"Keegan Bradley")</f>
        <v>Keegan Bradley</v>
      </c>
      <c r="D210">
        <f ca="1">IFERROR(__xludf.DUMMYFUNCTION("""COMPUTED_VALUE"""),16)</f>
        <v>16</v>
      </c>
      <c r="E210">
        <f ca="1">IFERROR(__xludf.DUMMYFUNCTION("""COMPUTED_VALUE"""),46.67)</f>
        <v>46.67</v>
      </c>
      <c r="F210">
        <f ca="1">IFERROR(__xludf.DUMMYFUNCTION("""COMPUTED_VALUE"""),14)</f>
        <v>14</v>
      </c>
      <c r="G210">
        <f ca="1">IFERROR(__xludf.DUMMYFUNCTION("""COMPUTED_VALUE"""),30)</f>
        <v>30</v>
      </c>
    </row>
    <row r="211" spans="1:7" ht="12.75">
      <c r="A211" t="str">
        <f ca="1">IFERROR(__xludf.DUMMYFUNCTION("""COMPUTED_VALUE"""),"T205")</f>
        <v>T205</v>
      </c>
      <c r="B211">
        <f ca="1">IFERROR(__xludf.DUMMYFUNCTION("""COMPUTED_VALUE"""),229)</f>
        <v>229</v>
      </c>
      <c r="C211" t="str">
        <f ca="1">IFERROR(__xludf.DUMMYFUNCTION("""COMPUTED_VALUE"""),"Tyrrell Hatton")</f>
        <v>Tyrrell Hatton</v>
      </c>
      <c r="D211">
        <f ca="1">IFERROR(__xludf.DUMMYFUNCTION("""COMPUTED_VALUE"""),14)</f>
        <v>14</v>
      </c>
      <c r="E211">
        <f ca="1">IFERROR(__xludf.DUMMYFUNCTION("""COMPUTED_VALUE"""),46.67)</f>
        <v>46.67</v>
      </c>
      <c r="F211">
        <f ca="1">IFERROR(__xludf.DUMMYFUNCTION("""COMPUTED_VALUE"""),14)</f>
        <v>14</v>
      </c>
      <c r="G211">
        <f ca="1">IFERROR(__xludf.DUMMYFUNCTION("""COMPUTED_VALUE"""),30)</f>
        <v>30</v>
      </c>
    </row>
    <row r="212" spans="1:7" ht="12.75">
      <c r="A212" t="str">
        <f ca="1">IFERROR(__xludf.DUMMYFUNCTION("""COMPUTED_VALUE"""),"T211")</f>
        <v>T211</v>
      </c>
      <c r="B212" t="str">
        <f ca="1">IFERROR(__xludf.DUMMYFUNCTION("""COMPUTED_VALUE"""),"T99")</f>
        <v>T99</v>
      </c>
      <c r="C212" t="str">
        <f ca="1">IFERROR(__xludf.DUMMYFUNCTION("""COMPUTED_VALUE"""),"Cameron Davis")</f>
        <v>Cameron Davis</v>
      </c>
      <c r="D212">
        <f ca="1">IFERROR(__xludf.DUMMYFUNCTION("""COMPUTED_VALUE"""),16)</f>
        <v>16</v>
      </c>
      <c r="E212">
        <f ca="1">IFERROR(__xludf.DUMMYFUNCTION("""COMPUTED_VALUE"""),46.43)</f>
        <v>46.43</v>
      </c>
      <c r="F212">
        <f ca="1">IFERROR(__xludf.DUMMYFUNCTION("""COMPUTED_VALUE"""),13)</f>
        <v>13</v>
      </c>
      <c r="G212">
        <f ca="1">IFERROR(__xludf.DUMMYFUNCTION("""COMPUTED_VALUE"""),28)</f>
        <v>28</v>
      </c>
    </row>
    <row r="213" spans="1:7" ht="12.75">
      <c r="A213" t="str">
        <f ca="1">IFERROR(__xludf.DUMMYFUNCTION("""COMPUTED_VALUE"""),"T211")</f>
        <v>T211</v>
      </c>
      <c r="B213">
        <f ca="1">IFERROR(__xludf.DUMMYFUNCTION("""COMPUTED_VALUE"""),169)</f>
        <v>169</v>
      </c>
      <c r="C213" t="str">
        <f ca="1">IFERROR(__xludf.DUMMYFUNCTION("""COMPUTED_VALUE"""),"David Hearn")</f>
        <v>David Hearn</v>
      </c>
      <c r="D213">
        <f ca="1">IFERROR(__xludf.DUMMYFUNCTION("""COMPUTED_VALUE"""),16)</f>
        <v>16</v>
      </c>
      <c r="E213">
        <f ca="1">IFERROR(__xludf.DUMMYFUNCTION("""COMPUTED_VALUE"""),46.43)</f>
        <v>46.43</v>
      </c>
      <c r="F213">
        <f ca="1">IFERROR(__xludf.DUMMYFUNCTION("""COMPUTED_VALUE"""),13)</f>
        <v>13</v>
      </c>
      <c r="G213">
        <f ca="1">IFERROR(__xludf.DUMMYFUNCTION("""COMPUTED_VALUE"""),28)</f>
        <v>28</v>
      </c>
    </row>
    <row r="214" spans="1:7" ht="12.75">
      <c r="A214">
        <f ca="1">IFERROR(__xludf.DUMMYFUNCTION("""COMPUTED_VALUE"""),213)</f>
        <v>213</v>
      </c>
      <c r="B214" t="str">
        <f ca="1">IFERROR(__xludf.DUMMYFUNCTION("""COMPUTED_VALUE"""),"T209")</f>
        <v>T209</v>
      </c>
      <c r="C214" t="str">
        <f ca="1">IFERROR(__xludf.DUMMYFUNCTION("""COMPUTED_VALUE"""),"Will Gordon")</f>
        <v>Will Gordon</v>
      </c>
      <c r="D214">
        <f ca="1">IFERROR(__xludf.DUMMYFUNCTION("""COMPUTED_VALUE"""),20)</f>
        <v>20</v>
      </c>
      <c r="E214">
        <f ca="1">IFERROR(__xludf.DUMMYFUNCTION("""COMPUTED_VALUE"""),46.34)</f>
        <v>46.34</v>
      </c>
      <c r="F214">
        <f ca="1">IFERROR(__xludf.DUMMYFUNCTION("""COMPUTED_VALUE"""),19)</f>
        <v>19</v>
      </c>
      <c r="G214">
        <f ca="1">IFERROR(__xludf.DUMMYFUNCTION("""COMPUTED_VALUE"""),41)</f>
        <v>41</v>
      </c>
    </row>
    <row r="215" spans="1:7" ht="12.75">
      <c r="A215" t="str">
        <f ca="1">IFERROR(__xludf.DUMMYFUNCTION("""COMPUTED_VALUE"""),"T214")</f>
        <v>T214</v>
      </c>
      <c r="B215" t="str">
        <f ca="1">IFERROR(__xludf.DUMMYFUNCTION("""COMPUTED_VALUE"""),"T217")</f>
        <v>T217</v>
      </c>
      <c r="C215" t="str">
        <f ca="1">IFERROR(__xludf.DUMMYFUNCTION("""COMPUTED_VALUE"""),"Tommy Gainey")</f>
        <v>Tommy Gainey</v>
      </c>
      <c r="D215">
        <f ca="1">IFERROR(__xludf.DUMMYFUNCTION("""COMPUTED_VALUE"""),6)</f>
        <v>6</v>
      </c>
      <c r="E215">
        <f ca="1">IFERROR(__xludf.DUMMYFUNCTION("""COMPUTED_VALUE"""),46.15)</f>
        <v>46.15</v>
      </c>
      <c r="F215">
        <f ca="1">IFERROR(__xludf.DUMMYFUNCTION("""COMPUTED_VALUE"""),6)</f>
        <v>6</v>
      </c>
      <c r="G215">
        <f ca="1">IFERROR(__xludf.DUMMYFUNCTION("""COMPUTED_VALUE"""),13)</f>
        <v>13</v>
      </c>
    </row>
    <row r="216" spans="1:7" ht="12.75">
      <c r="A216" t="str">
        <f ca="1">IFERROR(__xludf.DUMMYFUNCTION("""COMPUTED_VALUE"""),"T214")</f>
        <v>T214</v>
      </c>
      <c r="B216" t="str">
        <f ca="1">IFERROR(__xludf.DUMMYFUNCTION("""COMPUTED_VALUE"""),"T217")</f>
        <v>T217</v>
      </c>
      <c r="C216" t="str">
        <f ca="1">IFERROR(__xludf.DUMMYFUNCTION("""COMPUTED_VALUE"""),"Rickie Fowler")</f>
        <v>Rickie Fowler</v>
      </c>
      <c r="D216">
        <f ca="1">IFERROR(__xludf.DUMMYFUNCTION("""COMPUTED_VALUE"""),14)</f>
        <v>14</v>
      </c>
      <c r="E216">
        <f ca="1">IFERROR(__xludf.DUMMYFUNCTION("""COMPUTED_VALUE"""),46.15)</f>
        <v>46.15</v>
      </c>
      <c r="F216">
        <f ca="1">IFERROR(__xludf.DUMMYFUNCTION("""COMPUTED_VALUE"""),18)</f>
        <v>18</v>
      </c>
      <c r="G216">
        <f ca="1">IFERROR(__xludf.DUMMYFUNCTION("""COMPUTED_VALUE"""),39)</f>
        <v>39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IFERROR(__xludf.DUMMYFUNCTION("""COMPUTED_VALUE"""),247)</f>
        <v>247</v>
      </c>
      <c r="C217" t="str">
        <f ca="1">IFERROR(__xludf.DUMMYFUNCTION("""COMPUTED_VALUE"""),"Shane Lowry")</f>
        <v>Shane Lowry</v>
      </c>
      <c r="D217">
        <f ca="1">IFERROR(__xludf.DUMMYFUNCTION("""COMPUTED_VALUE"""),14)</f>
        <v>14</v>
      </c>
      <c r="E217">
        <f ca="1">IFERROR(__xludf.DUMMYFUNCTION("""COMPUTED_VALUE"""),45.71)</f>
        <v>45.71</v>
      </c>
      <c r="F217">
        <f ca="1">IFERROR(__xludf.DUMMYFUNCTION("""COMPUTED_VALUE"""),16)</f>
        <v>16</v>
      </c>
      <c r="G217">
        <f ca="1">IFERROR(__xludf.DUMMYFUNCTION("""COMPUTED_VALUE"""),35)</f>
        <v>35</v>
      </c>
    </row>
    <row r="218" spans="1:7" ht="12.75">
      <c r="A218" t="str">
        <f ca="1">IFERROR(__xludf.DUMMYFUNCTION("""COMPUTED_VALUE"""),"T217")</f>
        <v>T217</v>
      </c>
      <c r="B218" t="str">
        <f ca="1">IFERROR(__xludf.DUMMYFUNCTION("""COMPUTED_VALUE"""),"T222")</f>
        <v>T222</v>
      </c>
      <c r="C218" t="str">
        <f ca="1">IFERROR(__xludf.DUMMYFUNCTION("""COMPUTED_VALUE"""),"Hanbyeol Kim")</f>
        <v>Hanbyeol Kim</v>
      </c>
      <c r="D218">
        <f ca="1">IFERROR(__xludf.DUMMYFUNCTION("""COMPUTED_VALUE"""),4)</f>
        <v>4</v>
      </c>
      <c r="E218">
        <f ca="1">IFERROR(__xludf.DUMMYFUNCTION("""COMPUTED_VALUE"""),45.45)</f>
        <v>45.45</v>
      </c>
      <c r="F218">
        <f ca="1">IFERROR(__xludf.DUMMYFUNCTION("""COMPUTED_VALUE"""),5)</f>
        <v>5</v>
      </c>
      <c r="G218">
        <f ca="1">IFERROR(__xludf.DUMMYFUNCTION("""COMPUTED_VALUE"""),11)</f>
        <v>11</v>
      </c>
    </row>
    <row r="219" spans="1:7" ht="12.75">
      <c r="A219" t="str">
        <f ca="1">IFERROR(__xludf.DUMMYFUNCTION("""COMPUTED_VALUE"""),"T217")</f>
        <v>T217</v>
      </c>
      <c r="B219" t="str">
        <f ca="1">IFERROR(__xludf.DUMMYFUNCTION("""COMPUTED_VALUE"""),"T222")</f>
        <v>T222</v>
      </c>
      <c r="C219" t="str">
        <f ca="1">IFERROR(__xludf.DUMMYFUNCTION("""COMPUTED_VALUE"""),"Naoki Sekito")</f>
        <v>Naoki Sekito</v>
      </c>
      <c r="D219">
        <f ca="1">IFERROR(__xludf.DUMMYFUNCTION("""COMPUTED_VALUE"""),4)</f>
        <v>4</v>
      </c>
      <c r="E219">
        <f ca="1">IFERROR(__xludf.DUMMYFUNCTION("""COMPUTED_VALUE"""),45.45)</f>
        <v>45.45</v>
      </c>
      <c r="F219">
        <f ca="1">IFERROR(__xludf.DUMMYFUNCTION("""COMPUTED_VALUE"""),5)</f>
        <v>5</v>
      </c>
      <c r="G219">
        <f ca="1">IFERROR(__xludf.DUMMYFUNCTION("""COMPUTED_VALUE"""),11)</f>
        <v>11</v>
      </c>
    </row>
    <row r="220" spans="1:7" ht="12.75">
      <c r="A220" t="str">
        <f ca="1">IFERROR(__xludf.DUMMYFUNCTION("""COMPUTED_VALUE"""),"T217")</f>
        <v>T217</v>
      </c>
      <c r="B220" t="str">
        <f ca="1">IFERROR(__xludf.DUMMYFUNCTION("""COMPUTED_VALUE"""),"T176")</f>
        <v>T176</v>
      </c>
      <c r="C220" t="str">
        <f ca="1">IFERROR(__xludf.DUMMYFUNCTION("""COMPUTED_VALUE"""),"Scott Harrington")</f>
        <v>Scott Harrington</v>
      </c>
      <c r="D220">
        <f ca="1">IFERROR(__xludf.DUMMYFUNCTION("""COMPUTED_VALUE"""),18)</f>
        <v>18</v>
      </c>
      <c r="E220">
        <f ca="1">IFERROR(__xludf.DUMMYFUNCTION("""COMPUTED_VALUE"""),45.45)</f>
        <v>45.45</v>
      </c>
      <c r="F220">
        <f ca="1">IFERROR(__xludf.DUMMYFUNCTION("""COMPUTED_VALUE"""),15)</f>
        <v>15</v>
      </c>
      <c r="G220">
        <f ca="1">IFERROR(__xludf.DUMMYFUNCTION("""COMPUTED_VALUE"""),33)</f>
        <v>33</v>
      </c>
    </row>
    <row r="221" spans="1:7" ht="12.75">
      <c r="A221" t="str">
        <f ca="1">IFERROR(__xludf.DUMMYFUNCTION("""COMPUTED_VALUE"""),"T217")</f>
        <v>T217</v>
      </c>
      <c r="B221" t="str">
        <f ca="1">IFERROR(__xludf.DUMMYFUNCTION("""COMPUTED_VALUE"""),"T222")</f>
        <v>T222</v>
      </c>
      <c r="C221" t="str">
        <f ca="1">IFERROR(__xludf.DUMMYFUNCTION("""COMPUTED_VALUE"""),"K.J. Choi")</f>
        <v>K.J. Choi</v>
      </c>
      <c r="D221">
        <f ca="1">IFERROR(__xludf.DUMMYFUNCTION("""COMPUTED_VALUE"""),6)</f>
        <v>6</v>
      </c>
      <c r="E221">
        <f ca="1">IFERROR(__xludf.DUMMYFUNCTION("""COMPUTED_VALUE"""),45.45)</f>
        <v>45.45</v>
      </c>
      <c r="F221">
        <f ca="1">IFERROR(__xludf.DUMMYFUNCTION("""COMPUTED_VALUE"""),5)</f>
        <v>5</v>
      </c>
      <c r="G221">
        <f ca="1">IFERROR(__xludf.DUMMYFUNCTION("""COMPUTED_VALUE"""),11)</f>
        <v>11</v>
      </c>
    </row>
    <row r="222" spans="1:7" ht="12.75">
      <c r="A222" t="str">
        <f ca="1">IFERROR(__xludf.DUMMYFUNCTION("""COMPUTED_VALUE"""),"T217")</f>
        <v>T217</v>
      </c>
      <c r="B222" t="str">
        <f ca="1">IFERROR(__xludf.DUMMYFUNCTION("""COMPUTED_VALUE"""),"T222")</f>
        <v>T222</v>
      </c>
      <c r="C222" t="str">
        <f ca="1">IFERROR(__xludf.DUMMYFUNCTION("""COMPUTED_VALUE"""),"Alex Cejka")</f>
        <v>Alex Cejka</v>
      </c>
      <c r="D222">
        <f ca="1">IFERROR(__xludf.DUMMYFUNCTION("""COMPUTED_VALUE"""),6)</f>
        <v>6</v>
      </c>
      <c r="E222">
        <f ca="1">IFERROR(__xludf.DUMMYFUNCTION("""COMPUTED_VALUE"""),45.45)</f>
        <v>45.45</v>
      </c>
      <c r="F222">
        <f ca="1">IFERROR(__xludf.DUMMYFUNCTION("""COMPUTED_VALUE"""),10)</f>
        <v>10</v>
      </c>
      <c r="G222">
        <f ca="1">IFERROR(__xludf.DUMMYFUNCTION("""COMPUTED_VALUE"""),22)</f>
        <v>22</v>
      </c>
    </row>
    <row r="223" spans="1:7" ht="12.75">
      <c r="A223" t="str">
        <f ca="1">IFERROR(__xludf.DUMMYFUNCTION("""COMPUTED_VALUE"""),"T222")</f>
        <v>T222</v>
      </c>
      <c r="B223" t="str">
        <f ca="1">IFERROR(__xludf.DUMMYFUNCTION("""COMPUTED_VALUE"""),"T227")</f>
        <v>T227</v>
      </c>
      <c r="C223" t="str">
        <f ca="1">IFERROR(__xludf.DUMMYFUNCTION("""COMPUTED_VALUE"""),"Shawn Stefani")</f>
        <v>Shawn Stefani</v>
      </c>
      <c r="D223">
        <f ca="1">IFERROR(__xludf.DUMMYFUNCTION("""COMPUTED_VALUE"""),5)</f>
        <v>5</v>
      </c>
      <c r="E223">
        <f ca="1">IFERROR(__xludf.DUMMYFUNCTION("""COMPUTED_VALUE"""),45)</f>
        <v>45</v>
      </c>
      <c r="F223">
        <f ca="1">IFERROR(__xludf.DUMMYFUNCTION("""COMPUTED_VALUE"""),9)</f>
        <v>9</v>
      </c>
      <c r="G223">
        <f ca="1">IFERROR(__xludf.DUMMYFUNCTION("""COMPUTED_VALUE"""),20)</f>
        <v>20</v>
      </c>
    </row>
    <row r="224" spans="1:7" ht="12.75">
      <c r="A224" t="str">
        <f ca="1">IFERROR(__xludf.DUMMYFUNCTION("""COMPUTED_VALUE"""),"T222")</f>
        <v>T222</v>
      </c>
      <c r="B224" t="str">
        <f ca="1">IFERROR(__xludf.DUMMYFUNCTION("""COMPUTED_VALUE"""),"T233")</f>
        <v>T233</v>
      </c>
      <c r="C224" t="str">
        <f ca="1">IFERROR(__xludf.DUMMYFUNCTION("""COMPUTED_VALUE"""),"Satoshi Kodaira")</f>
        <v>Satoshi Kodaira</v>
      </c>
      <c r="D224">
        <f ca="1">IFERROR(__xludf.DUMMYFUNCTION("""COMPUTED_VALUE"""),12)</f>
        <v>12</v>
      </c>
      <c r="E224">
        <f ca="1">IFERROR(__xludf.DUMMYFUNCTION("""COMPUTED_VALUE"""),45)</f>
        <v>45</v>
      </c>
      <c r="F224">
        <f ca="1">IFERROR(__xludf.DUMMYFUNCTION("""COMPUTED_VALUE"""),9)</f>
        <v>9</v>
      </c>
      <c r="G224">
        <f ca="1">IFERROR(__xludf.DUMMYFUNCTION("""COMPUTED_VALUE"""),20)</f>
        <v>20</v>
      </c>
    </row>
    <row r="225" spans="1:7" ht="12.75">
      <c r="A225" t="str">
        <f ca="1">IFERROR(__xludf.DUMMYFUNCTION("""COMPUTED_VALUE"""),"T224")</f>
        <v>T224</v>
      </c>
      <c r="B225" t="str">
        <f ca="1">IFERROR(__xludf.DUMMYFUNCTION("""COMPUTED_VALUE"""),"T176")</f>
        <v>T176</v>
      </c>
      <c r="C225" t="str">
        <f ca="1">IFERROR(__xludf.DUMMYFUNCTION("""COMPUTED_VALUE"""),"Adam Schenk")</f>
        <v>Adam Schenk</v>
      </c>
      <c r="D225">
        <f ca="1">IFERROR(__xludf.DUMMYFUNCTION("""COMPUTED_VALUE"""),22)</f>
        <v>22</v>
      </c>
      <c r="E225">
        <f ca="1">IFERROR(__xludf.DUMMYFUNCTION("""COMPUTED_VALUE"""),44.74)</f>
        <v>44.74</v>
      </c>
      <c r="F225">
        <f ca="1">IFERROR(__xludf.DUMMYFUNCTION("""COMPUTED_VALUE"""),17)</f>
        <v>17</v>
      </c>
      <c r="G225">
        <f ca="1">IFERROR(__xludf.DUMMYFUNCTION("""COMPUTED_VALUE"""),38)</f>
        <v>38</v>
      </c>
    </row>
    <row r="226" spans="1:7" ht="12.75">
      <c r="A226" t="str">
        <f ca="1">IFERROR(__xludf.DUMMYFUNCTION("""COMPUTED_VALUE"""),"T224")</f>
        <v>T224</v>
      </c>
      <c r="B226">
        <f ca="1">IFERROR(__xludf.DUMMYFUNCTION("""COMPUTED_VALUE"""),238)</f>
        <v>238</v>
      </c>
      <c r="C226" t="str">
        <f ca="1">IFERROR(__xludf.DUMMYFUNCTION("""COMPUTED_VALUE"""),"Scottie Scheffler")</f>
        <v>Scottie Scheffler</v>
      </c>
      <c r="D226">
        <f ca="1">IFERROR(__xludf.DUMMYFUNCTION("""COMPUTED_VALUE"""),18)</f>
        <v>18</v>
      </c>
      <c r="E226">
        <f ca="1">IFERROR(__xludf.DUMMYFUNCTION("""COMPUTED_VALUE"""),44.74)</f>
        <v>44.74</v>
      </c>
      <c r="F226">
        <f ca="1">IFERROR(__xludf.DUMMYFUNCTION("""COMPUTED_VALUE"""),17)</f>
        <v>17</v>
      </c>
      <c r="G226">
        <f ca="1">IFERROR(__xludf.DUMMYFUNCTION("""COMPUTED_VALUE"""),38)</f>
        <v>38</v>
      </c>
    </row>
    <row r="227" spans="1:7" ht="12.75">
      <c r="A227" t="str">
        <f ca="1">IFERROR(__xludf.DUMMYFUNCTION("""COMPUTED_VALUE"""),"T226")</f>
        <v>T226</v>
      </c>
      <c r="B227" t="str">
        <f ca="1">IFERROR(__xludf.DUMMYFUNCTION("""COMPUTED_VALUE"""),"T176")</f>
        <v>T176</v>
      </c>
      <c r="C227" t="str">
        <f ca="1">IFERROR(__xludf.DUMMYFUNCTION("""COMPUTED_VALUE"""),"Grayson Murray")</f>
        <v>Grayson Murray</v>
      </c>
      <c r="D227">
        <f ca="1">IFERROR(__xludf.DUMMYFUNCTION("""COMPUTED_VALUE"""),10)</f>
        <v>10</v>
      </c>
      <c r="E227">
        <f ca="1">IFERROR(__xludf.DUMMYFUNCTION("""COMPUTED_VALUE"""),44.44)</f>
        <v>44.44</v>
      </c>
      <c r="F227">
        <f ca="1">IFERROR(__xludf.DUMMYFUNCTION("""COMPUTED_VALUE"""),8)</f>
        <v>8</v>
      </c>
      <c r="G227">
        <f ca="1">IFERROR(__xludf.DUMMYFUNCTION("""COMPUTED_VALUE"""),18)</f>
        <v>18</v>
      </c>
    </row>
    <row r="228" spans="1:7" ht="12.75">
      <c r="A228" t="str">
        <f ca="1">IFERROR(__xludf.DUMMYFUNCTION("""COMPUTED_VALUE"""),"T226")</f>
        <v>T226</v>
      </c>
      <c r="B228" t="str">
        <f ca="1">IFERROR(__xludf.DUMMYFUNCTION("""COMPUTED_VALUE"""),"T230")</f>
        <v>T230</v>
      </c>
      <c r="C228" t="str">
        <f ca="1">IFERROR(__xludf.DUMMYFUNCTION("""COMPUTED_VALUE"""),"Patrick Reed")</f>
        <v>Patrick Reed</v>
      </c>
      <c r="D228">
        <f ca="1">IFERROR(__xludf.DUMMYFUNCTION("""COMPUTED_VALUE"""),8)</f>
        <v>8</v>
      </c>
      <c r="E228">
        <f ca="1">IFERROR(__xludf.DUMMYFUNCTION("""COMPUTED_VALUE"""),44.44)</f>
        <v>44.44</v>
      </c>
      <c r="F228">
        <f ca="1">IFERROR(__xludf.DUMMYFUNCTION("""COMPUTED_VALUE"""),12)</f>
        <v>12</v>
      </c>
      <c r="G228">
        <f ca="1">IFERROR(__xludf.DUMMYFUNCTION("""COMPUTED_VALUE"""),27)</f>
        <v>27</v>
      </c>
    </row>
    <row r="229" spans="1:7" ht="12.75">
      <c r="A229" t="str">
        <f ca="1">IFERROR(__xludf.DUMMYFUNCTION("""COMPUTED_VALUE"""),"T226")</f>
        <v>T226</v>
      </c>
      <c r="B229" t="str">
        <f ca="1">IFERROR(__xludf.DUMMYFUNCTION("""COMPUTED_VALUE"""),"T230")</f>
        <v>T230</v>
      </c>
      <c r="C229" t="str">
        <f ca="1">IFERROR(__xludf.DUMMYFUNCTION("""COMPUTED_VALUE"""),"Matt Kuchar")</f>
        <v>Matt Kuchar</v>
      </c>
      <c r="D229">
        <f ca="1">IFERROR(__xludf.DUMMYFUNCTION("""COMPUTED_VALUE"""),14)</f>
        <v>14</v>
      </c>
      <c r="E229">
        <f ca="1">IFERROR(__xludf.DUMMYFUNCTION("""COMPUTED_VALUE"""),44.44)</f>
        <v>44.44</v>
      </c>
      <c r="F229">
        <f ca="1">IFERROR(__xludf.DUMMYFUNCTION("""COMPUTED_VALUE"""),12)</f>
        <v>12</v>
      </c>
      <c r="G229">
        <f ca="1">IFERROR(__xludf.DUMMYFUNCTION("""COMPUTED_VALUE"""),27)</f>
        <v>27</v>
      </c>
    </row>
    <row r="230" spans="1:7" ht="12.75">
      <c r="A230" t="str">
        <f ca="1">IFERROR(__xludf.DUMMYFUNCTION("""COMPUTED_VALUE"""),"T226")</f>
        <v>T226</v>
      </c>
      <c r="B230" t="str">
        <f ca="1">IFERROR(__xludf.DUMMYFUNCTION("""COMPUTED_VALUE"""),"T230")</f>
        <v>T230</v>
      </c>
      <c r="C230" t="str">
        <f ca="1">IFERROR(__xludf.DUMMYFUNCTION("""COMPUTED_VALUE"""),"Eric Dugas")</f>
        <v>Eric Dugas</v>
      </c>
      <c r="D230">
        <f ca="1">IFERROR(__xludf.DUMMYFUNCTION("""COMPUTED_VALUE"""),4)</f>
        <v>4</v>
      </c>
      <c r="E230">
        <f ca="1">IFERROR(__xludf.DUMMYFUNCTION("""COMPUTED_VALUE"""),44.44)</f>
        <v>44.44</v>
      </c>
      <c r="F230">
        <f ca="1">IFERROR(__xludf.DUMMYFUNCTION("""COMPUTED_VALUE"""),8)</f>
        <v>8</v>
      </c>
      <c r="G230">
        <f ca="1">IFERROR(__xludf.DUMMYFUNCTION("""COMPUTED_VALUE"""),18)</f>
        <v>18</v>
      </c>
    </row>
    <row r="231" spans="1:7" ht="12.75">
      <c r="A231" t="str">
        <f ca="1">IFERROR(__xludf.DUMMYFUNCTION("""COMPUTED_VALUE"""),"T226")</f>
        <v>T226</v>
      </c>
      <c r="B231" t="str">
        <f ca="1">IFERROR(__xludf.DUMMYFUNCTION("""COMPUTED_VALUE"""),"T217")</f>
        <v>T217</v>
      </c>
      <c r="C231" t="str">
        <f ca="1">IFERROR(__xludf.DUMMYFUNCTION("""COMPUTED_VALUE"""),"Chris Kirk")</f>
        <v>Chris Kirk</v>
      </c>
      <c r="D231">
        <f ca="1">IFERROR(__xludf.DUMMYFUNCTION("""COMPUTED_VALUE"""),10)</f>
        <v>10</v>
      </c>
      <c r="E231">
        <f ca="1">IFERROR(__xludf.DUMMYFUNCTION("""COMPUTED_VALUE"""),44.44)</f>
        <v>44.44</v>
      </c>
      <c r="F231">
        <f ca="1">IFERROR(__xludf.DUMMYFUNCTION("""COMPUTED_VALUE"""),8)</f>
        <v>8</v>
      </c>
      <c r="G231">
        <f ca="1">IFERROR(__xludf.DUMMYFUNCTION("""COMPUTED_VALUE"""),18)</f>
        <v>18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IFERROR(__xludf.DUMMYFUNCTION("""COMPUTED_VALUE"""),"T233")</f>
        <v>T233</v>
      </c>
      <c r="C232" t="str">
        <f ca="1">IFERROR(__xludf.DUMMYFUNCTION("""COMPUTED_VALUE"""),"Rory McIlroy")</f>
        <v>Rory McIlroy</v>
      </c>
      <c r="D232">
        <f ca="1">IFERROR(__xludf.DUMMYFUNCTION("""COMPUTED_VALUE"""),12)</f>
        <v>12</v>
      </c>
      <c r="E232">
        <f ca="1">IFERROR(__xludf.DUMMYFUNCTION("""COMPUTED_VALUE"""),43.75)</f>
        <v>43.75</v>
      </c>
      <c r="F232">
        <f ca="1">IFERROR(__xludf.DUMMYFUNCTION("""COMPUTED_VALUE"""),14)</f>
        <v>14</v>
      </c>
      <c r="G232">
        <f ca="1">IFERROR(__xludf.DUMMYFUNCTION("""COMPUTED_VALUE"""),32)</f>
        <v>32</v>
      </c>
    </row>
    <row r="233" spans="1:7" ht="12.75">
      <c r="A233" t="str">
        <f ca="1">IFERROR(__xludf.DUMMYFUNCTION("""COMPUTED_VALUE"""),"T231")</f>
        <v>T231</v>
      </c>
      <c r="B233" t="str">
        <f ca="1">IFERROR(__xludf.DUMMYFUNCTION("""COMPUTED_VALUE"""),"T217")</f>
        <v>T217</v>
      </c>
      <c r="C233" t="str">
        <f ca="1">IFERROR(__xludf.DUMMYFUNCTION("""COMPUTED_VALUE"""),"Scott Brown")</f>
        <v>Scott Brown</v>
      </c>
      <c r="D233">
        <f ca="1">IFERROR(__xludf.DUMMYFUNCTION("""COMPUTED_VALUE"""),14)</f>
        <v>14</v>
      </c>
      <c r="E233">
        <f ca="1">IFERROR(__xludf.DUMMYFUNCTION("""COMPUTED_VALUE"""),43.75)</f>
        <v>43.75</v>
      </c>
      <c r="F233">
        <f ca="1">IFERROR(__xludf.DUMMYFUNCTION("""COMPUTED_VALUE"""),14)</f>
        <v>14</v>
      </c>
      <c r="G233">
        <f ca="1">IFERROR(__xludf.DUMMYFUNCTION("""COMPUTED_VALUE"""),32)</f>
        <v>32</v>
      </c>
    </row>
    <row r="234" spans="1:7" ht="12.75">
      <c r="A234" t="str">
        <f ca="1">IFERROR(__xludf.DUMMYFUNCTION("""COMPUTED_VALUE"""),"T231")</f>
        <v>T231</v>
      </c>
      <c r="B234" t="str">
        <f ca="1">IFERROR(__xludf.DUMMYFUNCTION("""COMPUTED_VALUE"""),"T233")</f>
        <v>T233</v>
      </c>
      <c r="C234" t="str">
        <f ca="1">IFERROR(__xludf.DUMMYFUNCTION("""COMPUTED_VALUE"""),"Ryan Palmer")</f>
        <v>Ryan Palmer</v>
      </c>
      <c r="D234">
        <f ca="1">IFERROR(__xludf.DUMMYFUNCTION("""COMPUTED_VALUE"""),14)</f>
        <v>14</v>
      </c>
      <c r="E234">
        <f ca="1">IFERROR(__xludf.DUMMYFUNCTION("""COMPUTED_VALUE"""),43.75)</f>
        <v>43.75</v>
      </c>
      <c r="F234">
        <f ca="1">IFERROR(__xludf.DUMMYFUNCTION("""COMPUTED_VALUE"""),14)</f>
        <v>14</v>
      </c>
      <c r="G234">
        <f ca="1">IFERROR(__xludf.DUMMYFUNCTION("""COMPUTED_VALUE"""),32)</f>
        <v>32</v>
      </c>
    </row>
    <row r="235" spans="1:7" ht="12.75">
      <c r="A235" t="str">
        <f ca="1">IFERROR(__xludf.DUMMYFUNCTION("""COMPUTED_VALUE"""),"T231")</f>
        <v>T231</v>
      </c>
      <c r="B235" t="str">
        <f ca="1">IFERROR(__xludf.DUMMYFUNCTION("""COMPUTED_VALUE"""),"T142")</f>
        <v>T142</v>
      </c>
      <c r="C235" t="str">
        <f ca="1">IFERROR(__xludf.DUMMYFUNCTION("""COMPUTED_VALUE"""),"Lee Westwood")</f>
        <v>Lee Westwood</v>
      </c>
      <c r="D235">
        <f ca="1">IFERROR(__xludf.DUMMYFUNCTION("""COMPUTED_VALUE"""),6)</f>
        <v>6</v>
      </c>
      <c r="E235">
        <f ca="1">IFERROR(__xludf.DUMMYFUNCTION("""COMPUTED_VALUE"""),43.75)</f>
        <v>43.75</v>
      </c>
      <c r="F235">
        <f ca="1">IFERROR(__xludf.DUMMYFUNCTION("""COMPUTED_VALUE"""),7)</f>
        <v>7</v>
      </c>
      <c r="G235">
        <f ca="1">IFERROR(__xludf.DUMMYFUNCTION("""COMPUTED_VALUE"""),16)</f>
        <v>16</v>
      </c>
    </row>
    <row r="236" spans="1:7" ht="12.75">
      <c r="A236" t="str">
        <f ca="1">IFERROR(__xludf.DUMMYFUNCTION("""COMPUTED_VALUE"""),"T231")</f>
        <v>T231</v>
      </c>
      <c r="B236" t="str">
        <f ca="1">IFERROR(__xludf.DUMMYFUNCTION("""COMPUTED_VALUE"""),"T233")</f>
        <v>T233</v>
      </c>
      <c r="C236" t="str">
        <f ca="1">IFERROR(__xludf.DUMMYFUNCTION("""COMPUTED_VALUE"""),"Chan Kim")</f>
        <v>Chan Kim</v>
      </c>
      <c r="D236">
        <f ca="1">IFERROR(__xludf.DUMMYFUNCTION("""COMPUTED_VALUE"""),6)</f>
        <v>6</v>
      </c>
      <c r="E236">
        <f ca="1">IFERROR(__xludf.DUMMYFUNCTION("""COMPUTED_VALUE"""),43.75)</f>
        <v>43.75</v>
      </c>
      <c r="F236">
        <f ca="1">IFERROR(__xludf.DUMMYFUNCTION("""COMPUTED_VALUE"""),7)</f>
        <v>7</v>
      </c>
      <c r="G236">
        <f ca="1">IFERROR(__xludf.DUMMYFUNCTION("""COMPUTED_VALUE"""),16)</f>
        <v>16</v>
      </c>
    </row>
    <row r="237" spans="1:7" ht="12.75">
      <c r="A237" t="str">
        <f ca="1">IFERROR(__xludf.DUMMYFUNCTION("""COMPUTED_VALUE"""),"T236")</f>
        <v>T236</v>
      </c>
      <c r="B237" t="str">
        <f ca="1">IFERROR(__xludf.DUMMYFUNCTION("""COMPUTED_VALUE"""),"T239")</f>
        <v>T239</v>
      </c>
      <c r="C237" t="str">
        <f ca="1">IFERROR(__xludf.DUMMYFUNCTION("""COMPUTED_VALUE"""),"Jeongwoo Ham")</f>
        <v>Jeongwoo Ham</v>
      </c>
      <c r="D237">
        <f ca="1">IFERROR(__xludf.DUMMYFUNCTION("""COMPUTED_VALUE"""),4)</f>
        <v>4</v>
      </c>
      <c r="E237">
        <f ca="1">IFERROR(__xludf.DUMMYFUNCTION("""COMPUTED_VALUE"""),42.86)</f>
        <v>42.86</v>
      </c>
      <c r="F237">
        <f ca="1">IFERROR(__xludf.DUMMYFUNCTION("""COMPUTED_VALUE"""),12)</f>
        <v>12</v>
      </c>
      <c r="G237">
        <f ca="1">IFERROR(__xludf.DUMMYFUNCTION("""COMPUTED_VALUE"""),28)</f>
        <v>28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IFERROR(__xludf.DUMMYFUNCTION("""COMPUTED_VALUE"""),"T209")</f>
        <v>T209</v>
      </c>
      <c r="C238" t="str">
        <f ca="1">IFERROR(__xludf.DUMMYFUNCTION("""COMPUTED_VALUE"""),"Zach Johnson")</f>
        <v>Zach Johnson</v>
      </c>
      <c r="D238">
        <f ca="1">IFERROR(__xludf.DUMMYFUNCTION("""COMPUTED_VALUE"""),16)</f>
        <v>16</v>
      </c>
      <c r="E238">
        <f ca="1">IFERROR(__xludf.DUMMYFUNCTION("""COMPUTED_VALUE"""),42.86)</f>
        <v>42.86</v>
      </c>
      <c r="F238">
        <f ca="1">IFERROR(__xludf.DUMMYFUNCTION("""COMPUTED_VALUE"""),9)</f>
        <v>9</v>
      </c>
      <c r="G238">
        <f ca="1">IFERROR(__xludf.DUMMYFUNCTION("""COMPUTED_VALUE"""),21)</f>
        <v>21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IFERROR(__xludf.DUMMYFUNCTION("""COMPUTED_VALUE"""),244)</f>
        <v>244</v>
      </c>
      <c r="C239" t="str">
        <f ca="1">IFERROR(__xludf.DUMMYFUNCTION("""COMPUTED_VALUE"""),"Collin Morikawa")</f>
        <v>Collin Morikawa</v>
      </c>
      <c r="D239">
        <f ca="1">IFERROR(__xludf.DUMMYFUNCTION("""COMPUTED_VALUE"""),12)</f>
        <v>12</v>
      </c>
      <c r="E239">
        <f ca="1">IFERROR(__xludf.DUMMYFUNCTION("""COMPUTED_VALUE"""),42.42)</f>
        <v>42.42</v>
      </c>
      <c r="F239">
        <f ca="1">IFERROR(__xludf.DUMMYFUNCTION("""COMPUTED_VALUE"""),14)</f>
        <v>14</v>
      </c>
      <c r="G239">
        <f ca="1">IFERROR(__xludf.DUMMYFUNCTION("""COMPUTED_VALUE"""),33)</f>
        <v>33</v>
      </c>
    </row>
    <row r="240" spans="1:7" ht="12.75">
      <c r="A240" t="str">
        <f ca="1">IFERROR(__xludf.DUMMYFUNCTION("""COMPUTED_VALUE"""),"T239")</f>
        <v>T239</v>
      </c>
      <c r="B240">
        <f ca="1">IFERROR(__xludf.DUMMYFUNCTION("""COMPUTED_VALUE"""),202)</f>
        <v>202</v>
      </c>
      <c r="C240" t="str">
        <f ca="1">IFERROR(__xludf.DUMMYFUNCTION("""COMPUTED_VALUE"""),"Keith Mitchell")</f>
        <v>Keith Mitchell</v>
      </c>
      <c r="D240">
        <f ca="1">IFERROR(__xludf.DUMMYFUNCTION("""COMPUTED_VALUE"""),14)</f>
        <v>14</v>
      </c>
      <c r="E240">
        <f ca="1">IFERROR(__xludf.DUMMYFUNCTION("""COMPUTED_VALUE"""),42.31)</f>
        <v>42.31</v>
      </c>
      <c r="F240">
        <f ca="1">IFERROR(__xludf.DUMMYFUNCTION("""COMPUTED_VALUE"""),11)</f>
        <v>11</v>
      </c>
      <c r="G240">
        <f ca="1">IFERROR(__xludf.DUMMYFUNCTION("""COMPUTED_VALUE"""),26)</f>
        <v>26</v>
      </c>
    </row>
    <row r="241" spans="1:7" ht="12.75">
      <c r="A241" t="str">
        <f ca="1">IFERROR(__xludf.DUMMYFUNCTION("""COMPUTED_VALUE"""),"T239")</f>
        <v>T239</v>
      </c>
      <c r="B241" t="str">
        <f ca="1">IFERROR(__xludf.DUMMYFUNCTION("""COMPUTED_VALUE"""),"T239")</f>
        <v>T239</v>
      </c>
      <c r="C241" t="str">
        <f ca="1">IFERROR(__xludf.DUMMYFUNCTION("""COMPUTED_VALUE"""),"Phil Mickelson")</f>
        <v>Phil Mickelson</v>
      </c>
      <c r="D241">
        <f ca="1">IFERROR(__xludf.DUMMYFUNCTION("""COMPUTED_VALUE"""),12)</f>
        <v>12</v>
      </c>
      <c r="E241">
        <f ca="1">IFERROR(__xludf.DUMMYFUNCTION("""COMPUTED_VALUE"""),42.31)</f>
        <v>42.31</v>
      </c>
      <c r="F241">
        <f ca="1">IFERROR(__xludf.DUMMYFUNCTION("""COMPUTED_VALUE"""),11)</f>
        <v>11</v>
      </c>
      <c r="G241">
        <f ca="1">IFERROR(__xludf.DUMMYFUNCTION("""COMPUTED_VALUE"""),26)</f>
        <v>26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IFERROR(__xludf.DUMMYFUNCTION("""COMPUTED_VALUE"""),"T227")</f>
        <v>T227</v>
      </c>
      <c r="C242" t="str">
        <f ca="1">IFERROR(__xludf.DUMMYFUNCTION("""COMPUTED_VALUE"""),"Kyoung-Hoon Lee")</f>
        <v>Kyoung-Hoon Lee</v>
      </c>
      <c r="D242">
        <f ca="1">IFERROR(__xludf.DUMMYFUNCTION("""COMPUTED_VALUE"""),20)</f>
        <v>20</v>
      </c>
      <c r="E242">
        <f ca="1">IFERROR(__xludf.DUMMYFUNCTION("""COMPUTED_VALUE"""),41.79)</f>
        <v>41.79</v>
      </c>
      <c r="F242">
        <f ca="1">IFERROR(__xludf.DUMMYFUNCTION("""COMPUTED_VALUE"""),28)</f>
        <v>28</v>
      </c>
      <c r="G242">
        <f ca="1">IFERROR(__xludf.DUMMYFUNCTION("""COMPUTED_VALUE"""),67)</f>
        <v>67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IFERROR(__xludf.DUMMYFUNCTION("""COMPUTED_VALUE"""),246)</f>
        <v>246</v>
      </c>
      <c r="C243" t="str">
        <f ca="1">IFERROR(__xludf.DUMMYFUNCTION("""COMPUTED_VALUE"""),"Bernd Wiesberger")</f>
        <v>Bernd Wiesberger</v>
      </c>
      <c r="D243">
        <f ca="1">IFERROR(__xludf.DUMMYFUNCTION("""COMPUTED_VALUE"""),4)</f>
        <v>4</v>
      </c>
      <c r="E243">
        <f ca="1">IFERROR(__xludf.DUMMYFUNCTION("""COMPUTED_VALUE"""),41.67)</f>
        <v>41.67</v>
      </c>
      <c r="F243">
        <f ca="1">IFERROR(__xludf.DUMMYFUNCTION("""COMPUTED_VALUE"""),5)</f>
        <v>5</v>
      </c>
      <c r="G243">
        <f ca="1">IFERROR(__xludf.DUMMYFUNCTION("""COMPUTED_VALUE"""),12)</f>
        <v>12</v>
      </c>
    </row>
    <row r="244" spans="1:7" ht="12.75">
      <c r="A244" t="str">
        <f ca="1">IFERROR(__xludf.DUMMYFUNCTION("""COMPUTED_VALUE"""),"T243")</f>
        <v>T243</v>
      </c>
      <c r="B244" t="str">
        <f ca="1">IFERROR(__xludf.DUMMYFUNCTION("""COMPUTED_VALUE"""),"T248")</f>
        <v>T248</v>
      </c>
      <c r="C244" t="str">
        <f ca="1">IFERROR(__xludf.DUMMYFUNCTION("""COMPUTED_VALUE"""),"Jamie Lovemark")</f>
        <v>Jamie Lovemark</v>
      </c>
      <c r="D244">
        <f ca="1">IFERROR(__xludf.DUMMYFUNCTION("""COMPUTED_VALUE"""),18)</f>
        <v>18</v>
      </c>
      <c r="E244">
        <f ca="1">IFERROR(__xludf.DUMMYFUNCTION("""COMPUTED_VALUE"""),41.46)</f>
        <v>41.46</v>
      </c>
      <c r="F244">
        <f ca="1">IFERROR(__xludf.DUMMYFUNCTION("""COMPUTED_VALUE"""),17)</f>
        <v>17</v>
      </c>
      <c r="G244">
        <f ca="1">IFERROR(__xludf.DUMMYFUNCTION("""COMPUTED_VALUE"""),41)</f>
        <v>41</v>
      </c>
    </row>
    <row r="245" spans="1:7" ht="12.75">
      <c r="A245" t="str">
        <f ca="1">IFERROR(__xludf.DUMMYFUNCTION("""COMPUTED_VALUE"""),"T243")</f>
        <v>T243</v>
      </c>
      <c r="B245">
        <f ca="1">IFERROR(__xludf.DUMMYFUNCTION("""COMPUTED_VALUE"""),245)</f>
        <v>245</v>
      </c>
      <c r="C245" t="str">
        <f ca="1">IFERROR(__xludf.DUMMYFUNCTION("""COMPUTED_VALUE"""),"Danny Lee")</f>
        <v>Danny Lee</v>
      </c>
      <c r="D245">
        <f ca="1">IFERROR(__xludf.DUMMYFUNCTION("""COMPUTED_VALUE"""),15)</f>
        <v>15</v>
      </c>
      <c r="E245">
        <f ca="1">IFERROR(__xludf.DUMMYFUNCTION("""COMPUTED_VALUE"""),41.46)</f>
        <v>41.46</v>
      </c>
      <c r="F245">
        <f ca="1">IFERROR(__xludf.DUMMYFUNCTION("""COMPUTED_VALUE"""),17)</f>
        <v>17</v>
      </c>
      <c r="G245">
        <f ca="1">IFERROR(__xludf.DUMMYFUNCTION("""COMPUTED_VALUE"""),41)</f>
        <v>41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IFERROR(__xludf.DUMMYFUNCTION("""COMPUTED_VALUE"""),226)</f>
        <v>226</v>
      </c>
      <c r="C246" t="str">
        <f ca="1">IFERROR(__xludf.DUMMYFUNCTION("""COMPUTED_VALUE"""),"Lucas Glover")</f>
        <v>Lucas Glover</v>
      </c>
      <c r="D246">
        <f ca="1">IFERROR(__xludf.DUMMYFUNCTION("""COMPUTED_VALUE"""),12)</f>
        <v>12</v>
      </c>
      <c r="E246">
        <f ca="1">IFERROR(__xludf.DUMMYFUNCTION("""COMPUTED_VALUE"""),41.18)</f>
        <v>41.18</v>
      </c>
      <c r="F246">
        <f ca="1">IFERROR(__xludf.DUMMYFUNCTION("""COMPUTED_VALUE"""),14)</f>
        <v>14</v>
      </c>
      <c r="G246">
        <f ca="1">IFERROR(__xludf.DUMMYFUNCTION("""COMPUTED_VALUE"""),34)</f>
        <v>34</v>
      </c>
    </row>
    <row r="247" spans="1:7" ht="12.75">
      <c r="A247">
        <f ca="1">IFERROR(__xludf.DUMMYFUNCTION("""COMPUTED_VALUE"""),246)</f>
        <v>246</v>
      </c>
      <c r="B247" t="str">
        <f ca="1">IFERROR(__xludf.DUMMYFUNCTION("""COMPUTED_VALUE"""),"T239")</f>
        <v>T239</v>
      </c>
      <c r="C247" t="str">
        <f ca="1">IFERROR(__xludf.DUMMYFUNCTION("""COMPUTED_VALUE"""),"Bo Hoag")</f>
        <v>Bo Hoag</v>
      </c>
      <c r="D247">
        <f ca="1">IFERROR(__xludf.DUMMYFUNCTION("""COMPUTED_VALUE"""),14)</f>
        <v>14</v>
      </c>
      <c r="E247">
        <f ca="1">IFERROR(__xludf.DUMMYFUNCTION("""COMPUTED_VALUE"""),40.91)</f>
        <v>40.909999999999997</v>
      </c>
      <c r="F247">
        <f ca="1">IFERROR(__xludf.DUMMYFUNCTION("""COMPUTED_VALUE"""),9)</f>
        <v>9</v>
      </c>
      <c r="G247">
        <f ca="1">IFERROR(__xludf.DUMMYFUNCTION("""COMPUTED_VALUE"""),22)</f>
        <v>22</v>
      </c>
    </row>
    <row r="248" spans="1:7" ht="12.75">
      <c r="A248">
        <f ca="1">IFERROR(__xludf.DUMMYFUNCTION("""COMPUTED_VALUE"""),247)</f>
        <v>247</v>
      </c>
      <c r="B248" t="str">
        <f ca="1">IFERROR(__xludf.DUMMYFUNCTION("""COMPUTED_VALUE"""),"T248")</f>
        <v>T248</v>
      </c>
      <c r="C248" t="str">
        <f ca="1">IFERROR(__xludf.DUMMYFUNCTION("""COMPUTED_VALUE"""),"Rafa Cabrera Bello")</f>
        <v>Rafa Cabrera Bello</v>
      </c>
      <c r="D248">
        <f ca="1">IFERROR(__xludf.DUMMYFUNCTION("""COMPUTED_VALUE"""),14)</f>
        <v>14</v>
      </c>
      <c r="E248">
        <f ca="1">IFERROR(__xludf.DUMMYFUNCTION("""COMPUTED_VALUE"""),40.63)</f>
        <v>40.630000000000003</v>
      </c>
      <c r="F248">
        <f ca="1">IFERROR(__xludf.DUMMYFUNCTION("""COMPUTED_VALUE"""),13)</f>
        <v>13</v>
      </c>
      <c r="G248">
        <f ca="1">IFERROR(__xludf.DUMMYFUNCTION("""COMPUTED_VALUE"""),32)</f>
        <v>32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IFERROR(__xludf.DUMMYFUNCTION("""COMPUTED_VALUE"""),243)</f>
        <v>243</v>
      </c>
      <c r="C249" t="str">
        <f ca="1">IFERROR(__xludf.DUMMYFUNCTION("""COMPUTED_VALUE"""),"Alex Noren")</f>
        <v>Alex Noren</v>
      </c>
      <c r="D249">
        <f ca="1">IFERROR(__xludf.DUMMYFUNCTION("""COMPUTED_VALUE"""),14)</f>
        <v>14</v>
      </c>
      <c r="E249">
        <f ca="1">IFERROR(__xludf.DUMMYFUNCTION("""COMPUTED_VALUE"""),40.48)</f>
        <v>40.479999999999997</v>
      </c>
      <c r="F249">
        <f ca="1">IFERROR(__xludf.DUMMYFUNCTION("""COMPUTED_VALUE"""),17)</f>
        <v>17</v>
      </c>
      <c r="G249">
        <f ca="1">IFERROR(__xludf.DUMMYFUNCTION("""COMPUTED_VALUE"""),42)</f>
        <v>42</v>
      </c>
    </row>
    <row r="250" spans="1:7" ht="12.75">
      <c r="A250" t="str">
        <f ca="1">IFERROR(__xludf.DUMMYFUNCTION("""COMPUTED_VALUE"""),"T249")</f>
        <v>T249</v>
      </c>
      <c r="B250" t="str">
        <f ca="1">IFERROR(__xludf.DUMMYFUNCTION("""COMPUTED_VALUE"""),"T233")</f>
        <v>T233</v>
      </c>
      <c r="C250" t="str">
        <f ca="1">IFERROR(__xludf.DUMMYFUNCTION("""COMPUTED_VALUE"""),"Martin Laird")</f>
        <v>Martin Laird</v>
      </c>
      <c r="D250">
        <f ca="1">IFERROR(__xludf.DUMMYFUNCTION("""COMPUTED_VALUE"""),16)</f>
        <v>16</v>
      </c>
      <c r="E250">
        <f ca="1">IFERROR(__xludf.DUMMYFUNCTION("""COMPUTED_VALUE"""),40)</f>
        <v>40</v>
      </c>
      <c r="F250">
        <f ca="1">IFERROR(__xludf.DUMMYFUNCTION("""COMPUTED_VALUE"""),8)</f>
        <v>8</v>
      </c>
      <c r="G250">
        <f ca="1">IFERROR(__xludf.DUMMYFUNCTION("""COMPUTED_VALUE"""),20)</f>
        <v>20</v>
      </c>
    </row>
    <row r="251" spans="1:7" ht="12.75">
      <c r="A251" t="str">
        <f ca="1">IFERROR(__xludf.DUMMYFUNCTION("""COMPUTED_VALUE"""),"T249")</f>
        <v>T249</v>
      </c>
      <c r="B251">
        <f ca="1">IFERROR(__xludf.DUMMYFUNCTION("""COMPUTED_VALUE"""),250)</f>
        <v>250</v>
      </c>
      <c r="C251" t="str">
        <f ca="1">IFERROR(__xludf.DUMMYFUNCTION("""COMPUTED_VALUE"""),"Michael Gellerman")</f>
        <v>Michael Gellerman</v>
      </c>
      <c r="D251">
        <f ca="1">IFERROR(__xludf.DUMMYFUNCTION("""COMPUTED_VALUE"""),5)</f>
        <v>5</v>
      </c>
      <c r="E251">
        <f ca="1">IFERROR(__xludf.DUMMYFUNCTION("""COMPUTED_VALUE"""),40)</f>
        <v>40</v>
      </c>
      <c r="F251">
        <f ca="1">IFERROR(__xludf.DUMMYFUNCTION("""COMPUTED_VALUE"""),2)</f>
        <v>2</v>
      </c>
      <c r="G251">
        <f ca="1">IFERROR(__xludf.DUMMYFUNCTION("""COMPUTED_VALUE"""),5)</f>
        <v>5</v>
      </c>
    </row>
    <row r="252" spans="1:7" ht="12.75">
      <c r="A252" t="str">
        <f ca="1">IFERROR(__xludf.DUMMYFUNCTION("""COMPUTED_VALUE"""),"T251")</f>
        <v>T251</v>
      </c>
      <c r="B252" t="str">
        <f ca="1">IFERROR(__xludf.DUMMYFUNCTION("""COMPUTED_VALUE"""),"T252")</f>
        <v>T252</v>
      </c>
      <c r="C252" t="str">
        <f ca="1">IFERROR(__xludf.DUMMYFUNCTION("""COMPUTED_VALUE"""),"Robert MacIntyre")</f>
        <v>Robert MacIntyre</v>
      </c>
      <c r="D252">
        <f ca="1">IFERROR(__xludf.DUMMYFUNCTION("""COMPUTED_VALUE"""),4)</f>
        <v>4</v>
      </c>
      <c r="E252">
        <f ca="1">IFERROR(__xludf.DUMMYFUNCTION("""COMPUTED_VALUE"""),38.89)</f>
        <v>38.89</v>
      </c>
      <c r="F252">
        <f ca="1">IFERROR(__xludf.DUMMYFUNCTION("""COMPUTED_VALUE"""),7)</f>
        <v>7</v>
      </c>
      <c r="G252">
        <f ca="1">IFERROR(__xludf.DUMMYFUNCTION("""COMPUTED_VALUE"""),18)</f>
        <v>18</v>
      </c>
    </row>
    <row r="253" spans="1:7" ht="12.75">
      <c r="A253" t="str">
        <f ca="1">IFERROR(__xludf.DUMMYFUNCTION("""COMPUTED_VALUE"""),"T251")</f>
        <v>T251</v>
      </c>
      <c r="B253" t="str">
        <f ca="1">IFERROR(__xludf.DUMMYFUNCTION("""COMPUTED_VALUE"""),"T252")</f>
        <v>T252</v>
      </c>
      <c r="C253" t="str">
        <f ca="1">IFERROR(__xludf.DUMMYFUNCTION("""COMPUTED_VALUE"""),"Johnson Wagner")</f>
        <v>Johnson Wagner</v>
      </c>
      <c r="D253">
        <f ca="1">IFERROR(__xludf.DUMMYFUNCTION("""COMPUTED_VALUE"""),8)</f>
        <v>8</v>
      </c>
      <c r="E253">
        <f ca="1">IFERROR(__xludf.DUMMYFUNCTION("""COMPUTED_VALUE"""),38.89)</f>
        <v>38.89</v>
      </c>
      <c r="F253">
        <f ca="1">IFERROR(__xludf.DUMMYFUNCTION("""COMPUTED_VALUE"""),7)</f>
        <v>7</v>
      </c>
      <c r="G253">
        <f ca="1">IFERROR(__xludf.DUMMYFUNCTION("""COMPUTED_VALUE"""),18)</f>
        <v>18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IFERROR(__xludf.DUMMYFUNCTION("""COMPUTED_VALUE"""),251)</f>
        <v>251</v>
      </c>
      <c r="C254" t="str">
        <f ca="1">IFERROR(__xludf.DUMMYFUNCTION("""COMPUTED_VALUE"""),"Brice Garnett")</f>
        <v>Brice Garnett</v>
      </c>
      <c r="D254">
        <f ca="1">IFERROR(__xludf.DUMMYFUNCTION("""COMPUTED_VALUE"""),22)</f>
        <v>22</v>
      </c>
      <c r="E254">
        <f ca="1">IFERROR(__xludf.DUMMYFUNCTION("""COMPUTED_VALUE"""),38.71)</f>
        <v>38.71</v>
      </c>
      <c r="F254">
        <f ca="1">IFERROR(__xludf.DUMMYFUNCTION("""COMPUTED_VALUE"""),12)</f>
        <v>12</v>
      </c>
      <c r="G254">
        <f ca="1">IFERROR(__xludf.DUMMYFUNCTION("""COMPUTED_VALUE"""),31)</f>
        <v>31</v>
      </c>
    </row>
    <row r="255" spans="1:7" ht="12.75">
      <c r="A255">
        <f ca="1">IFERROR(__xludf.DUMMYFUNCTION("""COMPUTED_VALUE"""),254)</f>
        <v>254</v>
      </c>
      <c r="B255" t="str">
        <f ca="1">IFERROR(__xludf.DUMMYFUNCTION("""COMPUTED_VALUE"""),"T254")</f>
        <v>T254</v>
      </c>
      <c r="C255" t="str">
        <f ca="1">IFERROR(__xludf.DUMMYFUNCTION("""COMPUTED_VALUE"""),"Stephan Jaeger")</f>
        <v>Stephan Jaeger</v>
      </c>
      <c r="D255">
        <f ca="1">IFERROR(__xludf.DUMMYFUNCTION("""COMPUTED_VALUE"""),4)</f>
        <v>4</v>
      </c>
      <c r="E255">
        <f ca="1">IFERROR(__xludf.DUMMYFUNCTION("""COMPUTED_VALUE"""),38.46)</f>
        <v>38.46</v>
      </c>
      <c r="F255">
        <f ca="1">IFERROR(__xludf.DUMMYFUNCTION("""COMPUTED_VALUE"""),5)</f>
        <v>5</v>
      </c>
      <c r="G255">
        <f ca="1">IFERROR(__xludf.DUMMYFUNCTION("""COMPUTED_VALUE"""),13)</f>
        <v>13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IFERROR(__xludf.DUMMYFUNCTION("""COMPUTED_VALUE"""),266)</f>
        <v>266</v>
      </c>
      <c r="C256" t="str">
        <f ca="1">IFERROR(__xludf.DUMMYFUNCTION("""COMPUTED_VALUE"""),"Tony Finau")</f>
        <v>Tony Finau</v>
      </c>
      <c r="D256">
        <f ca="1">IFERROR(__xludf.DUMMYFUNCTION("""COMPUTED_VALUE"""),12)</f>
        <v>12</v>
      </c>
      <c r="E256">
        <f ca="1">IFERROR(__xludf.DUMMYFUNCTION("""COMPUTED_VALUE"""),37.93)</f>
        <v>37.93</v>
      </c>
      <c r="F256">
        <f ca="1">IFERROR(__xludf.DUMMYFUNCTION("""COMPUTED_VALUE"""),11)</f>
        <v>11</v>
      </c>
      <c r="G256">
        <f ca="1">IFERROR(__xludf.DUMMYFUNCTION("""COMPUTED_VALUE"""),29)</f>
        <v>29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IFERROR(__xludf.DUMMYFUNCTION("""COMPUTED_VALUE"""),258)</f>
        <v>258</v>
      </c>
      <c r="C257" t="str">
        <f ca="1">IFERROR(__xludf.DUMMYFUNCTION("""COMPUTED_VALUE"""),"Steve Lewton")</f>
        <v>Steve Lewton</v>
      </c>
      <c r="D257">
        <f ca="1">IFERROR(__xludf.DUMMYFUNCTION("""COMPUTED_VALUE"""),4)</f>
        <v>4</v>
      </c>
      <c r="E257">
        <f ca="1">IFERROR(__xludf.DUMMYFUNCTION("""COMPUTED_VALUE"""),37.5)</f>
        <v>37.5</v>
      </c>
      <c r="F257">
        <f ca="1">IFERROR(__xludf.DUMMYFUNCTION("""COMPUTED_VALUE"""),3)</f>
        <v>3</v>
      </c>
      <c r="G257">
        <f ca="1">IFERROR(__xludf.DUMMYFUNCTION("""COMPUTED_VALUE"""),8)</f>
        <v>8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IFERROR(__xludf.DUMMYFUNCTION("""COMPUTED_VALUE"""),256)</f>
        <v>256</v>
      </c>
      <c r="C258" t="str">
        <f ca="1">IFERROR(__xludf.DUMMYFUNCTION("""COMPUTED_VALUE"""),"Kevin Stadler")</f>
        <v>Kevin Stadler</v>
      </c>
      <c r="D258">
        <f ca="1">IFERROR(__xludf.DUMMYFUNCTION("""COMPUTED_VALUE"""),8)</f>
        <v>8</v>
      </c>
      <c r="E258">
        <f ca="1">IFERROR(__xludf.DUMMYFUNCTION("""COMPUTED_VALUE"""),37.04)</f>
        <v>37.04</v>
      </c>
      <c r="F258">
        <f ca="1">IFERROR(__xludf.DUMMYFUNCTION("""COMPUTED_VALUE"""),10)</f>
        <v>10</v>
      </c>
      <c r="G258">
        <f ca="1">IFERROR(__xludf.DUMMYFUNCTION("""COMPUTED_VALUE"""),27)</f>
        <v>27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IFERROR(__xludf.DUMMYFUNCTION("""COMPUTED_VALUE"""),"T260")</f>
        <v>T260</v>
      </c>
      <c r="C259" t="str">
        <f ca="1">IFERROR(__xludf.DUMMYFUNCTION("""COMPUTED_VALUE"""),"George McNeill")</f>
        <v>George McNeill</v>
      </c>
      <c r="D259">
        <f ca="1">IFERROR(__xludf.DUMMYFUNCTION("""COMPUTED_VALUE"""),8)</f>
        <v>8</v>
      </c>
      <c r="E259">
        <f ca="1">IFERROR(__xludf.DUMMYFUNCTION("""COMPUTED_VALUE"""),36.84)</f>
        <v>36.840000000000003</v>
      </c>
      <c r="F259">
        <f ca="1">IFERROR(__xludf.DUMMYFUNCTION("""COMPUTED_VALUE"""),7)</f>
        <v>7</v>
      </c>
      <c r="G259">
        <f ca="1">IFERROR(__xludf.DUMMYFUNCTION("""COMPUTED_VALUE"""),19)</f>
        <v>19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IFERROR(__xludf.DUMMYFUNCTION("""COMPUTED_VALUE"""),"T260")</f>
        <v>T260</v>
      </c>
      <c r="C260" t="str">
        <f ca="1">IFERROR(__xludf.DUMMYFUNCTION("""COMPUTED_VALUE"""),"Arjun Atwal")</f>
        <v>Arjun Atwal</v>
      </c>
      <c r="D260">
        <f ca="1">IFERROR(__xludf.DUMMYFUNCTION("""COMPUTED_VALUE"""),6)</f>
        <v>6</v>
      </c>
      <c r="E260">
        <f ca="1">IFERROR(__xludf.DUMMYFUNCTION("""COMPUTED_VALUE"""),36.84)</f>
        <v>36.840000000000003</v>
      </c>
      <c r="F260">
        <f ca="1">IFERROR(__xludf.DUMMYFUNCTION("""COMPUTED_VALUE"""),7)</f>
        <v>7</v>
      </c>
      <c r="G260">
        <f ca="1">IFERROR(__xludf.DUMMYFUNCTION("""COMPUTED_VALUE"""),19)</f>
        <v>19</v>
      </c>
    </row>
    <row r="261" spans="1:7" ht="12.75">
      <c r="A261" t="str">
        <f ca="1">IFERROR(__xludf.DUMMYFUNCTION("""COMPUTED_VALUE"""),"T258")</f>
        <v>T258</v>
      </c>
      <c r="B261">
        <f ca="1">IFERROR(__xludf.DUMMYFUNCTION("""COMPUTED_VALUE"""),259)</f>
        <v>259</v>
      </c>
      <c r="C261" t="str">
        <f ca="1">IFERROR(__xludf.DUMMYFUNCTION("""COMPUTED_VALUE"""),"Rory Sabbatini")</f>
        <v>Rory Sabbatini</v>
      </c>
      <c r="D261">
        <f ca="1">IFERROR(__xludf.DUMMYFUNCTION("""COMPUTED_VALUE"""),13)</f>
        <v>13</v>
      </c>
      <c r="E261">
        <f ca="1">IFERROR(__xludf.DUMMYFUNCTION("""COMPUTED_VALUE"""),36.84)</f>
        <v>36.840000000000003</v>
      </c>
      <c r="F261">
        <f ca="1">IFERROR(__xludf.DUMMYFUNCTION("""COMPUTED_VALUE"""),14)</f>
        <v>14</v>
      </c>
      <c r="G261">
        <f ca="1">IFERROR(__xludf.DUMMYFUNCTION("""COMPUTED_VALUE"""),38)</f>
        <v>38</v>
      </c>
    </row>
    <row r="262" spans="1:7" ht="12.75">
      <c r="A262" t="str">
        <f ca="1">IFERROR(__xludf.DUMMYFUNCTION("""COMPUTED_VALUE"""),"T261")</f>
        <v>T261</v>
      </c>
      <c r="B262" t="str">
        <f ca="1">IFERROR(__xludf.DUMMYFUNCTION("""COMPUTED_VALUE"""),"T254")</f>
        <v>T254</v>
      </c>
      <c r="C262" t="str">
        <f ca="1">IFERROR(__xludf.DUMMYFUNCTION("""COMPUTED_VALUE"""),"Sung Kang")</f>
        <v>Sung Kang</v>
      </c>
      <c r="D262">
        <f ca="1">IFERROR(__xludf.DUMMYFUNCTION("""COMPUTED_VALUE"""),14)</f>
        <v>14</v>
      </c>
      <c r="E262">
        <f ca="1">IFERROR(__xludf.DUMMYFUNCTION("""COMPUTED_VALUE"""),36.36)</f>
        <v>36.36</v>
      </c>
      <c r="F262">
        <f ca="1">IFERROR(__xludf.DUMMYFUNCTION("""COMPUTED_VALUE"""),16)</f>
        <v>16</v>
      </c>
      <c r="G262">
        <f ca="1">IFERROR(__xludf.DUMMYFUNCTION("""COMPUTED_VALUE"""),44)</f>
        <v>44</v>
      </c>
    </row>
    <row r="263" spans="1:7" ht="12.75">
      <c r="A263" t="str">
        <f ca="1">IFERROR(__xludf.DUMMYFUNCTION("""COMPUTED_VALUE"""),"T261")</f>
        <v>T261</v>
      </c>
      <c r="B263" t="str">
        <f ca="1">IFERROR(__xludf.DUMMYFUNCTION("""COMPUTED_VALUE"""),"T269")</f>
        <v>T269</v>
      </c>
      <c r="C263" t="str">
        <f ca="1">IFERROR(__xludf.DUMMYFUNCTION("""COMPUTED_VALUE"""),"Kramer Hickok")</f>
        <v>Kramer Hickok</v>
      </c>
      <c r="D263">
        <f ca="1">IFERROR(__xludf.DUMMYFUNCTION("""COMPUTED_VALUE"""),16)</f>
        <v>16</v>
      </c>
      <c r="E263">
        <f ca="1">IFERROR(__xludf.DUMMYFUNCTION("""COMPUTED_VALUE"""),36.36)</f>
        <v>36.36</v>
      </c>
      <c r="F263">
        <f ca="1">IFERROR(__xludf.DUMMYFUNCTION("""COMPUTED_VALUE"""),8)</f>
        <v>8</v>
      </c>
      <c r="G263">
        <f ca="1">IFERROR(__xludf.DUMMYFUNCTION("""COMPUTED_VALUE"""),22)</f>
        <v>22</v>
      </c>
    </row>
    <row r="264" spans="1:7" ht="12.75">
      <c r="A264">
        <f ca="1">IFERROR(__xludf.DUMMYFUNCTION("""COMPUTED_VALUE"""),263)</f>
        <v>263</v>
      </c>
      <c r="B264" t="str">
        <f ca="1">IFERROR(__xludf.DUMMYFUNCTION("""COMPUTED_VALUE"""),"T239")</f>
        <v>T239</v>
      </c>
      <c r="C264" t="str">
        <f ca="1">IFERROR(__xludf.DUMMYFUNCTION("""COMPUTED_VALUE"""),"Jimmy Walker")</f>
        <v>Jimmy Walker</v>
      </c>
      <c r="D264">
        <f ca="1">IFERROR(__xludf.DUMMYFUNCTION("""COMPUTED_VALUE"""),10)</f>
        <v>10</v>
      </c>
      <c r="E264">
        <f ca="1">IFERROR(__xludf.DUMMYFUNCTION("""COMPUTED_VALUE"""),36.11)</f>
        <v>36.11</v>
      </c>
      <c r="F264">
        <f ca="1">IFERROR(__xludf.DUMMYFUNCTION("""COMPUTED_VALUE"""),13)</f>
        <v>13</v>
      </c>
      <c r="G264">
        <f ca="1">IFERROR(__xludf.DUMMYFUNCTION("""COMPUTED_VALUE"""),36)</f>
        <v>36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IFERROR(__xludf.DUMMYFUNCTION("""COMPUTED_VALUE"""),264)</f>
        <v>264</v>
      </c>
      <c r="C265" t="str">
        <f ca="1">IFERROR(__xludf.DUMMYFUNCTION("""COMPUTED_VALUE"""),"Rasmus Hojgaard")</f>
        <v>Rasmus Hojgaard</v>
      </c>
      <c r="D265">
        <f ca="1">IFERROR(__xludf.DUMMYFUNCTION("""COMPUTED_VALUE"""),6)</f>
        <v>6</v>
      </c>
      <c r="E265">
        <f ca="1">IFERROR(__xludf.DUMMYFUNCTION("""COMPUTED_VALUE"""),36)</f>
        <v>36</v>
      </c>
      <c r="F265">
        <f ca="1">IFERROR(__xludf.DUMMYFUNCTION("""COMPUTED_VALUE"""),9)</f>
        <v>9</v>
      </c>
      <c r="G265">
        <f ca="1">IFERROR(__xludf.DUMMYFUNCTION("""COMPUTED_VALUE"""),25)</f>
        <v>25</v>
      </c>
    </row>
    <row r="266" spans="1:7" ht="12.75">
      <c r="A266" t="str">
        <f ca="1">IFERROR(__xludf.DUMMYFUNCTION("""COMPUTED_VALUE"""),"T265")</f>
        <v>T265</v>
      </c>
      <c r="B266" t="str">
        <f ca="1">IFERROR(__xludf.DUMMYFUNCTION("""COMPUTED_VALUE"""),"T262")</f>
        <v>T262</v>
      </c>
      <c r="C266" t="str">
        <f ca="1">IFERROR(__xludf.DUMMYFUNCTION("""COMPUTED_VALUE"""),"Sean O'Hair")</f>
        <v>Sean O'Hair</v>
      </c>
      <c r="D266">
        <f ca="1">IFERROR(__xludf.DUMMYFUNCTION("""COMPUTED_VALUE"""),14)</f>
        <v>14</v>
      </c>
      <c r="E266">
        <f ca="1">IFERROR(__xludf.DUMMYFUNCTION("""COMPUTED_VALUE"""),35.71)</f>
        <v>35.71</v>
      </c>
      <c r="F266">
        <f ca="1">IFERROR(__xludf.DUMMYFUNCTION("""COMPUTED_VALUE"""),5)</f>
        <v>5</v>
      </c>
      <c r="G266">
        <f ca="1">IFERROR(__xludf.DUMMYFUNCTION("""COMPUTED_VALUE"""),14)</f>
        <v>14</v>
      </c>
    </row>
    <row r="267" spans="1:7" ht="12.75">
      <c r="A267" t="str">
        <f ca="1">IFERROR(__xludf.DUMMYFUNCTION("""COMPUTED_VALUE"""),"T265")</f>
        <v>T265</v>
      </c>
      <c r="B267">
        <f ca="1">IFERROR(__xludf.DUMMYFUNCTION("""COMPUTED_VALUE"""),265)</f>
        <v>265</v>
      </c>
      <c r="C267" t="str">
        <f ca="1">IFERROR(__xludf.DUMMYFUNCTION("""COMPUTED_VALUE"""),"Matt Every")</f>
        <v>Matt Every</v>
      </c>
      <c r="D267">
        <f ca="1">IFERROR(__xludf.DUMMYFUNCTION("""COMPUTED_VALUE"""),8)</f>
        <v>8</v>
      </c>
      <c r="E267">
        <f ca="1">IFERROR(__xludf.DUMMYFUNCTION("""COMPUTED_VALUE"""),35.71)</f>
        <v>35.71</v>
      </c>
      <c r="F267">
        <f ca="1">IFERROR(__xludf.DUMMYFUNCTION("""COMPUTED_VALUE"""),10)</f>
        <v>10</v>
      </c>
      <c r="G267">
        <f ca="1">IFERROR(__xludf.DUMMYFUNCTION("""COMPUTED_VALUE"""),28)</f>
        <v>28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IFERROR(__xludf.DUMMYFUNCTION("""COMPUTED_VALUE"""),268)</f>
        <v>268</v>
      </c>
      <c r="C268" t="str">
        <f ca="1">IFERROR(__xludf.DUMMYFUNCTION("""COMPUTED_VALUE"""),"J.T. Poston")</f>
        <v>J.T. Poston</v>
      </c>
      <c r="D268">
        <f ca="1">IFERROR(__xludf.DUMMYFUNCTION("""COMPUTED_VALUE"""),18)</f>
        <v>18</v>
      </c>
      <c r="E268">
        <f ca="1">IFERROR(__xludf.DUMMYFUNCTION("""COMPUTED_VALUE"""),35.48)</f>
        <v>35.479999999999997</v>
      </c>
      <c r="F268">
        <f ca="1">IFERROR(__xludf.DUMMYFUNCTION("""COMPUTED_VALUE"""),11)</f>
        <v>11</v>
      </c>
      <c r="G268">
        <f ca="1">IFERROR(__xludf.DUMMYFUNCTION("""COMPUTED_VALUE"""),31)</f>
        <v>31</v>
      </c>
    </row>
    <row r="269" spans="1:7" ht="12.75">
      <c r="A269">
        <f ca="1">IFERROR(__xludf.DUMMYFUNCTION("""COMPUTED_VALUE"""),268)</f>
        <v>268</v>
      </c>
      <c r="B269" t="str">
        <f ca="1">IFERROR(__xludf.DUMMYFUNCTION("""COMPUTED_VALUE"""),"T176")</f>
        <v>T176</v>
      </c>
      <c r="C269" t="str">
        <f ca="1">IFERROR(__xludf.DUMMYFUNCTION("""COMPUTED_VALUE"""),"Brooks Koepka")</f>
        <v>Brooks Koepka</v>
      </c>
      <c r="D269">
        <f ca="1">IFERROR(__xludf.DUMMYFUNCTION("""COMPUTED_VALUE"""),8)</f>
        <v>8</v>
      </c>
      <c r="E269">
        <f ca="1">IFERROR(__xludf.DUMMYFUNCTION("""COMPUTED_VALUE"""),35.29)</f>
        <v>35.29</v>
      </c>
      <c r="F269">
        <f ca="1">IFERROR(__xludf.DUMMYFUNCTION("""COMPUTED_VALUE"""),6)</f>
        <v>6</v>
      </c>
      <c r="G269">
        <f ca="1">IFERROR(__xludf.DUMMYFUNCTION("""COMPUTED_VALUE"""),17)</f>
        <v>17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IFERROR(__xludf.DUMMYFUNCTION("""COMPUTED_VALUE"""),277)</f>
        <v>277</v>
      </c>
      <c r="C270" t="str">
        <f ca="1">IFERROR(__xludf.DUMMYFUNCTION("""COMPUTED_VALUE"""),"Graeme McDowell")</f>
        <v>Graeme McDowell</v>
      </c>
      <c r="D270">
        <f ca="1">IFERROR(__xludf.DUMMYFUNCTION("""COMPUTED_VALUE"""),8)</f>
        <v>8</v>
      </c>
      <c r="E270">
        <f ca="1">IFERROR(__xludf.DUMMYFUNCTION("""COMPUTED_VALUE"""),35)</f>
        <v>35</v>
      </c>
      <c r="F270">
        <f ca="1">IFERROR(__xludf.DUMMYFUNCTION("""COMPUTED_VALUE"""),7)</f>
        <v>7</v>
      </c>
      <c r="G270">
        <f ca="1">IFERROR(__xludf.DUMMYFUNCTION("""COMPUTED_VALUE"""),20)</f>
        <v>20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IFERROR(__xludf.DUMMYFUNCTION("""COMPUTED_VALUE"""),257)</f>
        <v>257</v>
      </c>
      <c r="C271" t="str">
        <f ca="1">IFERROR(__xludf.DUMMYFUNCTION("""COMPUTED_VALUE"""),"Mackenzie Hughes")</f>
        <v>Mackenzie Hughes</v>
      </c>
      <c r="D271">
        <f ca="1">IFERROR(__xludf.DUMMYFUNCTION("""COMPUTED_VALUE"""),18)</f>
        <v>18</v>
      </c>
      <c r="E271">
        <f ca="1">IFERROR(__xludf.DUMMYFUNCTION("""COMPUTED_VALUE"""),34.88)</f>
        <v>34.880000000000003</v>
      </c>
      <c r="F271">
        <f ca="1">IFERROR(__xludf.DUMMYFUNCTION("""COMPUTED_VALUE"""),15)</f>
        <v>15</v>
      </c>
      <c r="G271">
        <f ca="1">IFERROR(__xludf.DUMMYFUNCTION("""COMPUTED_VALUE"""),43)</f>
        <v>43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IFERROR(__xludf.DUMMYFUNCTION("""COMPUTED_VALUE"""),267)</f>
        <v>267</v>
      </c>
      <c r="C272" t="str">
        <f ca="1">IFERROR(__xludf.DUMMYFUNCTION("""COMPUTED_VALUE"""),"Shugo Imahira")</f>
        <v>Shugo Imahira</v>
      </c>
      <c r="D272">
        <f ca="1">IFERROR(__xludf.DUMMYFUNCTION("""COMPUTED_VALUE"""),8)</f>
        <v>8</v>
      </c>
      <c r="E272">
        <f ca="1">IFERROR(__xludf.DUMMYFUNCTION("""COMPUTED_VALUE"""),34.78)</f>
        <v>34.78</v>
      </c>
      <c r="F272">
        <f ca="1">IFERROR(__xludf.DUMMYFUNCTION("""COMPUTED_VALUE"""),8)</f>
        <v>8</v>
      </c>
      <c r="G272">
        <f ca="1">IFERROR(__xludf.DUMMYFUNCTION("""COMPUTED_VALUE"""),23)</f>
        <v>23</v>
      </c>
    </row>
    <row r="273" spans="1:7" ht="12.75">
      <c r="A273" t="str">
        <f ca="1">IFERROR(__xludf.DUMMYFUNCTION("""COMPUTED_VALUE"""),"T272")</f>
        <v>T272</v>
      </c>
      <c r="B273" t="str">
        <f ca="1">IFERROR(__xludf.DUMMYFUNCTION("""COMPUTED_VALUE"""),"T269")</f>
        <v>T269</v>
      </c>
      <c r="C273" t="str">
        <f ca="1">IFERROR(__xludf.DUMMYFUNCTION("""COMPUTED_VALUE"""),"Davis Riley")</f>
        <v>Davis Riley</v>
      </c>
      <c r="D273">
        <f ca="1">IFERROR(__xludf.DUMMYFUNCTION("""COMPUTED_VALUE"""),4)</f>
        <v>4</v>
      </c>
      <c r="E273">
        <f ca="1">IFERROR(__xludf.DUMMYFUNCTION("""COMPUTED_VALUE"""),33.33)</f>
        <v>33.33</v>
      </c>
      <c r="F273">
        <f ca="1">IFERROR(__xludf.DUMMYFUNCTION("""COMPUTED_VALUE"""),5)</f>
        <v>5</v>
      </c>
      <c r="G273">
        <f ca="1">IFERROR(__xludf.DUMMYFUNCTION("""COMPUTED_VALUE"""),15)</f>
        <v>15</v>
      </c>
    </row>
    <row r="274" spans="1:7" ht="12.75">
      <c r="A274" t="str">
        <f ca="1">IFERROR(__xludf.DUMMYFUNCTION("""COMPUTED_VALUE"""),"T272")</f>
        <v>T272</v>
      </c>
      <c r="B274" t="str">
        <f ca="1">IFERROR(__xludf.DUMMYFUNCTION("""COMPUTED_VALUE"""),"T269")</f>
        <v>T269</v>
      </c>
      <c r="C274" t="str">
        <f ca="1">IFERROR(__xludf.DUMMYFUNCTION("""COMPUTED_VALUE"""),"J.J. Henry")</f>
        <v>J.J. Henry</v>
      </c>
      <c r="D274">
        <f ca="1">IFERROR(__xludf.DUMMYFUNCTION("""COMPUTED_VALUE"""),4)</f>
        <v>4</v>
      </c>
      <c r="E274">
        <f ca="1">IFERROR(__xludf.DUMMYFUNCTION("""COMPUTED_VALUE"""),33.33)</f>
        <v>33.33</v>
      </c>
      <c r="F274">
        <f ca="1">IFERROR(__xludf.DUMMYFUNCTION("""COMPUTED_VALUE"""),1)</f>
        <v>1</v>
      </c>
      <c r="G274">
        <f ca="1">IFERROR(__xludf.DUMMYFUNCTION("""COMPUTED_VALUE"""),3)</f>
        <v>3</v>
      </c>
    </row>
    <row r="275" spans="1:7" ht="12.75">
      <c r="A275" t="str">
        <f ca="1">IFERROR(__xludf.DUMMYFUNCTION("""COMPUTED_VALUE"""),"T274")</f>
        <v>T274</v>
      </c>
      <c r="B275">
        <f ca="1">IFERROR(__xludf.DUMMYFUNCTION("""COMPUTED_VALUE"""),273)</f>
        <v>273</v>
      </c>
      <c r="C275" t="str">
        <f ca="1">IFERROR(__xludf.DUMMYFUNCTION("""COMPUTED_VALUE"""),"Thomas Detry")</f>
        <v>Thomas Detry</v>
      </c>
      <c r="D275">
        <f ca="1">IFERROR(__xludf.DUMMYFUNCTION("""COMPUTED_VALUE"""),8)</f>
        <v>8</v>
      </c>
      <c r="E275">
        <f ca="1">IFERROR(__xludf.DUMMYFUNCTION("""COMPUTED_VALUE"""),30.77)</f>
        <v>30.77</v>
      </c>
      <c r="F275">
        <f ca="1">IFERROR(__xludf.DUMMYFUNCTION("""COMPUTED_VALUE"""),8)</f>
        <v>8</v>
      </c>
      <c r="G275">
        <f ca="1">IFERROR(__xludf.DUMMYFUNCTION("""COMPUTED_VALUE"""),26)</f>
        <v>26</v>
      </c>
    </row>
    <row r="276" spans="1:7" ht="12.75">
      <c r="A276" t="str">
        <f ca="1">IFERROR(__xludf.DUMMYFUNCTION("""COMPUTED_VALUE"""),"T274")</f>
        <v>T274</v>
      </c>
      <c r="B276" t="str">
        <f ca="1">IFERROR(__xludf.DUMMYFUNCTION("""COMPUTED_VALUE"""),"T262")</f>
        <v>T262</v>
      </c>
      <c r="C276" t="str">
        <f ca="1">IFERROR(__xludf.DUMMYFUNCTION("""COMPUTED_VALUE"""),"Martin Trainer")</f>
        <v>Martin Trainer</v>
      </c>
      <c r="D276">
        <f ca="1">IFERROR(__xludf.DUMMYFUNCTION("""COMPUTED_VALUE"""),10)</f>
        <v>10</v>
      </c>
      <c r="E276">
        <f ca="1">IFERROR(__xludf.DUMMYFUNCTION("""COMPUTED_VALUE"""),30.77)</f>
        <v>30.77</v>
      </c>
      <c r="F276">
        <f ca="1">IFERROR(__xludf.DUMMYFUNCTION("""COMPUTED_VALUE"""),8)</f>
        <v>8</v>
      </c>
      <c r="G276">
        <f ca="1">IFERROR(__xludf.DUMMYFUNCTION("""COMPUTED_VALUE"""),26)</f>
        <v>26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IFERROR(__xludf.DUMMYFUNCTION("""COMPUTED_VALUE"""),274)</f>
        <v>274</v>
      </c>
      <c r="C277" t="str">
        <f ca="1">IFERROR(__xludf.DUMMYFUNCTION("""COMPUTED_VALUE"""),"J.B. Holmes")</f>
        <v>J.B. Holmes</v>
      </c>
      <c r="D277">
        <f ca="1">IFERROR(__xludf.DUMMYFUNCTION("""COMPUTED_VALUE"""),10)</f>
        <v>10</v>
      </c>
      <c r="E277">
        <f ca="1">IFERROR(__xludf.DUMMYFUNCTION("""COMPUTED_VALUE"""),30.43)</f>
        <v>30.43</v>
      </c>
      <c r="F277">
        <f ca="1">IFERROR(__xludf.DUMMYFUNCTION("""COMPUTED_VALUE"""),7)</f>
        <v>7</v>
      </c>
      <c r="G277">
        <f ca="1">IFERROR(__xludf.DUMMYFUNCTION("""COMPUTED_VALUE"""),23)</f>
        <v>23</v>
      </c>
    </row>
    <row r="278" spans="1:7" ht="12.75">
      <c r="A278" t="str">
        <f ca="1">IFERROR(__xludf.DUMMYFUNCTION("""COMPUTED_VALUE"""),"T277")</f>
        <v>T277</v>
      </c>
      <c r="B278" t="str">
        <f ca="1">IFERROR(__xludf.DUMMYFUNCTION("""COMPUTED_VALUE"""),"T275")</f>
        <v>T275</v>
      </c>
      <c r="C278" t="str">
        <f ca="1">IFERROR(__xludf.DUMMYFUNCTION("""COMPUTED_VALUE"""),"Mikumu Horikawa")</f>
        <v>Mikumu Horikawa</v>
      </c>
      <c r="D278">
        <f ca="1">IFERROR(__xludf.DUMMYFUNCTION("""COMPUTED_VALUE"""),4)</f>
        <v>4</v>
      </c>
      <c r="E278">
        <f ca="1">IFERROR(__xludf.DUMMYFUNCTION("""COMPUTED_VALUE"""),30)</f>
        <v>30</v>
      </c>
      <c r="F278">
        <f ca="1">IFERROR(__xludf.DUMMYFUNCTION("""COMPUTED_VALUE"""),3)</f>
        <v>3</v>
      </c>
      <c r="G278">
        <f ca="1">IFERROR(__xludf.DUMMYFUNCTION("""COMPUTED_VALUE"""),10)</f>
        <v>10</v>
      </c>
    </row>
    <row r="279" spans="1:7" ht="12.75">
      <c r="A279" t="str">
        <f ca="1">IFERROR(__xludf.DUMMYFUNCTION("""COMPUTED_VALUE"""),"T277")</f>
        <v>T277</v>
      </c>
      <c r="B279" t="str">
        <f ca="1">IFERROR(__xludf.DUMMYFUNCTION("""COMPUTED_VALUE"""),"T275")</f>
        <v>T275</v>
      </c>
      <c r="C279" t="str">
        <f ca="1">IFERROR(__xludf.DUMMYFUNCTION("""COMPUTED_VALUE"""),"Kurt Kitayama")</f>
        <v>Kurt Kitayama</v>
      </c>
      <c r="D279">
        <f ca="1">IFERROR(__xludf.DUMMYFUNCTION("""COMPUTED_VALUE"""),4)</f>
        <v>4</v>
      </c>
      <c r="E279">
        <f ca="1">IFERROR(__xludf.DUMMYFUNCTION("""COMPUTED_VALUE"""),30)</f>
        <v>30</v>
      </c>
      <c r="F279">
        <f ca="1">IFERROR(__xludf.DUMMYFUNCTION("""COMPUTED_VALUE"""),3)</f>
        <v>3</v>
      </c>
      <c r="G279">
        <f ca="1">IFERROR(__xludf.DUMMYFUNCTION("""COMPUTED_VALUE"""),10)</f>
        <v>10</v>
      </c>
    </row>
    <row r="280" spans="1:7" ht="12.75">
      <c r="A280">
        <f ca="1">IFERROR(__xludf.DUMMYFUNCTION("""COMPUTED_VALUE"""),279)</f>
        <v>279</v>
      </c>
      <c r="B280" t="str">
        <f ca="1">IFERROR(__xludf.DUMMYFUNCTION("""COMPUTED_VALUE"""),"T269")</f>
        <v>T269</v>
      </c>
      <c r="C280" t="str">
        <f ca="1">IFERROR(__xludf.DUMMYFUNCTION("""COMPUTED_VALUE"""),"Isaiah Salinda")</f>
        <v>Isaiah Salinda</v>
      </c>
      <c r="D280">
        <f ca="1">IFERROR(__xludf.DUMMYFUNCTION("""COMPUTED_VALUE"""),8)</f>
        <v>8</v>
      </c>
      <c r="E280">
        <f ca="1">IFERROR(__xludf.DUMMYFUNCTION("""COMPUTED_VALUE"""),28.57)</f>
        <v>28.57</v>
      </c>
      <c r="F280">
        <f ca="1">IFERROR(__xludf.DUMMYFUNCTION("""COMPUTED_VALUE"""),2)</f>
        <v>2</v>
      </c>
      <c r="G280">
        <f ca="1">IFERROR(__xludf.DUMMYFUNCTION("""COMPUTED_VALUE"""),7)</f>
        <v>7</v>
      </c>
    </row>
    <row r="281" spans="1:7" ht="12.75">
      <c r="A281" t="str">
        <f ca="1">IFERROR(__xludf.DUMMYFUNCTION("""COMPUTED_VALUE"""),"T280")</f>
        <v>T280</v>
      </c>
      <c r="B281" t="str">
        <f ca="1">IFERROR(__xludf.DUMMYFUNCTION("""COMPUTED_VALUE"""),"T278")</f>
        <v>T278</v>
      </c>
      <c r="C281" t="str">
        <f ca="1">IFERROR(__xludf.DUMMYFUNCTION("""COMPUTED_VALUE"""),"Jaekyeong Lee")</f>
        <v>Jaekyeong Lee</v>
      </c>
      <c r="D281">
        <f ca="1">IFERROR(__xludf.DUMMYFUNCTION("""COMPUTED_VALUE"""),4)</f>
        <v>4</v>
      </c>
      <c r="E281">
        <f ca="1">IFERROR(__xludf.DUMMYFUNCTION("""COMPUTED_VALUE"""),26.67)</f>
        <v>26.67</v>
      </c>
      <c r="F281">
        <f ca="1">IFERROR(__xludf.DUMMYFUNCTION("""COMPUTED_VALUE"""),4)</f>
        <v>4</v>
      </c>
      <c r="G281">
        <f ca="1">IFERROR(__xludf.DUMMYFUNCTION("""COMPUTED_VALUE"""),15)</f>
        <v>15</v>
      </c>
    </row>
    <row r="282" spans="1:7" ht="12.75">
      <c r="A282" t="str">
        <f ca="1">IFERROR(__xludf.DUMMYFUNCTION("""COMPUTED_VALUE"""),"T280")</f>
        <v>T280</v>
      </c>
      <c r="B282" t="str">
        <f ca="1">IFERROR(__xludf.DUMMYFUNCTION("""COMPUTED_VALUE"""),"T278")</f>
        <v>T278</v>
      </c>
      <c r="C282" t="str">
        <f ca="1">IFERROR(__xludf.DUMMYFUNCTION("""COMPUTED_VALUE"""),"Thomas Pieters")</f>
        <v>Thomas Pieters</v>
      </c>
      <c r="D282">
        <f ca="1">IFERROR(__xludf.DUMMYFUNCTION("""COMPUTED_VALUE"""),4)</f>
        <v>4</v>
      </c>
      <c r="E282">
        <f ca="1">IFERROR(__xludf.DUMMYFUNCTION("""COMPUTED_VALUE"""),26.67)</f>
        <v>26.67</v>
      </c>
      <c r="F282">
        <f ca="1">IFERROR(__xludf.DUMMYFUNCTION("""COMPUTED_VALUE"""),4)</f>
        <v>4</v>
      </c>
      <c r="G282">
        <f ca="1">IFERROR(__xludf.DUMMYFUNCTION("""COMPUTED_VALUE"""),15)</f>
        <v>15</v>
      </c>
    </row>
    <row r="283" spans="1:7" ht="12.75">
      <c r="A283">
        <f ca="1">IFERROR(__xludf.DUMMYFUNCTION("""COMPUTED_VALUE"""),282)</f>
        <v>282</v>
      </c>
      <c r="B283" t="str">
        <f ca="1">IFERROR(__xludf.DUMMYFUNCTION("""COMPUTED_VALUE"""),"")</f>
        <v/>
      </c>
      <c r="C283" t="str">
        <f ca="1">IFERROR(__xludf.DUMMYFUNCTION("""COMPUTED_VALUE"""),"Dawie van der Walt")</f>
        <v>Dawie van der Walt</v>
      </c>
      <c r="D283">
        <f ca="1">IFERROR(__xludf.DUMMYFUNCTION("""COMPUTED_VALUE"""),4)</f>
        <v>4</v>
      </c>
      <c r="E283">
        <f ca="1">IFERROR(__xludf.DUMMYFUNCTION("""COMPUTED_VALUE"""),25)</f>
        <v>25</v>
      </c>
      <c r="F283">
        <f ca="1">IFERROR(__xludf.DUMMYFUNCTION("""COMPUTED_VALUE"""),1)</f>
        <v>1</v>
      </c>
      <c r="G283">
        <f ca="1">IFERROR(__xludf.DUMMYFUNCTION("""COMPUTED_VALUE"""),4)</f>
        <v>4</v>
      </c>
    </row>
    <row r="284" spans="1:7" ht="12.75">
      <c r="A284" t="str">
        <f ca="1">IFERROR(__xludf.DUMMYFUNCTION("""COMPUTED_VALUE"""),"T283")</f>
        <v>T283</v>
      </c>
      <c r="B284">
        <f ca="1">IFERROR(__xludf.DUMMYFUNCTION("""COMPUTED_VALUE"""),281)</f>
        <v>281</v>
      </c>
      <c r="C284" t="str">
        <f ca="1">IFERROR(__xludf.DUMMYFUNCTION("""COMPUTED_VALUE"""),"Adam Scott")</f>
        <v>Adam Scott</v>
      </c>
      <c r="D284">
        <f ca="1">IFERROR(__xludf.DUMMYFUNCTION("""COMPUTED_VALUE"""),8)</f>
        <v>8</v>
      </c>
      <c r="E284">
        <f ca="1">IFERROR(__xludf.DUMMYFUNCTION("""COMPUTED_VALUE"""),22.22)</f>
        <v>22.22</v>
      </c>
      <c r="F284">
        <f ca="1">IFERROR(__xludf.DUMMYFUNCTION("""COMPUTED_VALUE"""),4)</f>
        <v>4</v>
      </c>
      <c r="G284">
        <f ca="1">IFERROR(__xludf.DUMMYFUNCTION("""COMPUTED_VALUE"""),18)</f>
        <v>18</v>
      </c>
    </row>
    <row r="285" spans="1:7" ht="12.75">
      <c r="A285" t="str">
        <f ca="1">IFERROR(__xludf.DUMMYFUNCTION("""COMPUTED_VALUE"""),"T283")</f>
        <v>T283</v>
      </c>
      <c r="B285">
        <f ca="1">IFERROR(__xludf.DUMMYFUNCTION("""COMPUTED_VALUE"""),280)</f>
        <v>280</v>
      </c>
      <c r="C285" t="str">
        <f ca="1">IFERROR(__xludf.DUMMYFUNCTION("""COMPUTED_VALUE"""),"Matt Wallace")</f>
        <v>Matt Wallace</v>
      </c>
      <c r="D285">
        <f ca="1">IFERROR(__xludf.DUMMYFUNCTION("""COMPUTED_VALUE"""),4)</f>
        <v>4</v>
      </c>
      <c r="E285">
        <f ca="1">IFERROR(__xludf.DUMMYFUNCTION("""COMPUTED_VALUE"""),22.22)</f>
        <v>22.22</v>
      </c>
      <c r="F285">
        <f ca="1">IFERROR(__xludf.DUMMYFUNCTION("""COMPUTED_VALUE"""),2)</f>
        <v>2</v>
      </c>
      <c r="G285">
        <f ca="1">IFERROR(__xludf.DUMMYFUNCTION("""COMPUTED_VALUE"""),9)</f>
        <v>9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IFERROR(__xludf.DUMMYFUNCTION("""COMPUTED_VALUE"""),282)</f>
        <v>282</v>
      </c>
      <c r="C286" t="str">
        <f ca="1">IFERROR(__xludf.DUMMYFUNCTION("""COMPUTED_VALUE"""),"Christiaan Bezuidenhout")</f>
        <v>Christiaan Bezuidenhout</v>
      </c>
      <c r="D286">
        <f ca="1">IFERROR(__xludf.DUMMYFUNCTION("""COMPUTED_VALUE"""),4)</f>
        <v>4</v>
      </c>
      <c r="E286">
        <f ca="1">IFERROR(__xludf.DUMMYFUNCTION("""COMPUTED_VALUE"""),18.75)</f>
        <v>18.75</v>
      </c>
      <c r="F286">
        <f ca="1">IFERROR(__xludf.DUMMYFUNCTION("""COMPUTED_VALUE"""),3)</f>
        <v>3</v>
      </c>
      <c r="G286">
        <f ca="1">IFERROR(__xludf.DUMMYFUNCTION("""COMPUTED_VALUE"""),16)</f>
        <v>16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IFERROR(__xludf.DUMMYFUNCTION("""COMPUTED_VALUE"""),283)</f>
        <v>283</v>
      </c>
      <c r="C287" t="str">
        <f ca="1">IFERROR(__xludf.DUMMYFUNCTION("""COMPUTED_VALUE"""),"John Pak")</f>
        <v>John Pak</v>
      </c>
      <c r="D287">
        <f ca="1">IFERROR(__xludf.DUMMYFUNCTION("""COMPUTED_VALUE"""),4)</f>
        <v>4</v>
      </c>
      <c r="E287">
        <f ca="1">IFERROR(__xludf.DUMMYFUNCTION("""COMPUTED_VALUE"""),18.18)</f>
        <v>18.18</v>
      </c>
      <c r="F287">
        <f ca="1">IFERROR(__xludf.DUMMYFUNCTION("""COMPUTED_VALUE"""),2)</f>
        <v>2</v>
      </c>
      <c r="G287">
        <f ca="1">IFERROR(__xludf.DUMMYFUNCTION("""COMPUTED_VALUE"""),11)</f>
        <v>11</v>
      </c>
    </row>
    <row r="288" spans="1:7" ht="12.75">
      <c r="A288">
        <f ca="1">IFERROR(__xludf.DUMMYFUNCTION("""COMPUTED_VALUE"""),287)</f>
        <v>287</v>
      </c>
      <c r="B288" t="str">
        <f ca="1">IFERROR(__xludf.DUMMYFUNCTION("""COMPUTED_VALUE"""),"")</f>
        <v/>
      </c>
      <c r="C288" t="str">
        <f ca="1">IFERROR(__xludf.DUMMYFUNCTION("""COMPUTED_VALUE"""),"Justin Harding")</f>
        <v>Justin Harding</v>
      </c>
      <c r="D288">
        <f ca="1">IFERROR(__xludf.DUMMYFUNCTION("""COMPUTED_VALUE"""),6)</f>
        <v>6</v>
      </c>
      <c r="E288">
        <f ca="1">IFERROR(__xludf.DUMMYFUNCTION("""COMPUTED_VALUE"""),15.38)</f>
        <v>15.38</v>
      </c>
      <c r="F288">
        <f ca="1">IFERROR(__xludf.DUMMYFUNCTION("""COMPUTED_VALUE"""),2)</f>
        <v>2</v>
      </c>
      <c r="G288">
        <f ca="1">IFERROR(__xludf.DUMMYFUNCTION("""COMPUTED_VALUE"""),13)</f>
        <v>13</v>
      </c>
    </row>
    <row r="289" spans="1:7" ht="12.75">
      <c r="A289" t="str">
        <f ca="1">IFERROR(__xludf.DUMMYFUNCTION("""COMPUTED_VALUE"""),"T288")</f>
        <v>T288</v>
      </c>
      <c r="B289">
        <f ca="1">IFERROR(__xludf.DUMMYFUNCTION("""COMPUTED_VALUE"""),284)</f>
        <v>284</v>
      </c>
      <c r="C289" t="str">
        <f ca="1">IFERROR(__xludf.DUMMYFUNCTION("""COMPUTED_VALUE"""),"Jazz Janewattananond")</f>
        <v>Jazz Janewattananond</v>
      </c>
      <c r="D289">
        <f ca="1">IFERROR(__xludf.DUMMYFUNCTION("""COMPUTED_VALUE"""),6)</f>
        <v>6</v>
      </c>
      <c r="E289">
        <f ca="1">IFERROR(__xludf.DUMMYFUNCTION("""COMPUTED_VALUE"""),0)</f>
        <v>0</v>
      </c>
      <c r="F289">
        <f ca="1">IFERROR(__xludf.DUMMYFUNCTION("""COMPUTED_VALUE"""),0)</f>
        <v>0</v>
      </c>
      <c r="G289">
        <f ca="1">IFERROR(__xludf.DUMMYFUNCTION("""COMPUTED_VALUE"""),8)</f>
        <v>8</v>
      </c>
    </row>
    <row r="290" spans="1:7" ht="12.75">
      <c r="A290" t="str">
        <f ca="1">IFERROR(__xludf.DUMMYFUNCTION("""COMPUTED_VALUE"""),"T288")</f>
        <v>T288</v>
      </c>
      <c r="B290" t="str">
        <f ca="1">IFERROR(__xludf.DUMMYFUNCTION("""COMPUTED_VALUE"""),"")</f>
        <v/>
      </c>
      <c r="C290" t="str">
        <f ca="1">IFERROR(__xludf.DUMMYFUNCTION("""COMPUTED_VALUE"""),"Erik Barnes")</f>
        <v>Erik Barnes</v>
      </c>
      <c r="D290">
        <f ca="1">IFERROR(__xludf.DUMMYFUNCTION("""COMPUTED_VALUE"""),4)</f>
        <v>4</v>
      </c>
      <c r="E290">
        <f ca="1">IFERROR(__xludf.DUMMYFUNCTION("""COMPUTED_VALUE"""),0)</f>
        <v>0</v>
      </c>
      <c r="F290">
        <f ca="1">IFERROR(__xludf.DUMMYFUNCTION("""COMPUTED_VALUE"""),0)</f>
        <v>0</v>
      </c>
      <c r="G290">
        <f ca="1">IFERROR(__xludf.DUMMYFUNCTION("""COMPUTED_VALUE"""),5)</f>
        <v>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G285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IFERROR(__xludf.DUMMYFUNCTION("importhtml(""http://www.pgatour.com/stats/stat.364.html"",""table"",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IFERROR(__xludf.DUMMYFUNCTION("""COMPUTED_VALUE"""),"SUCCESSES")</f>
        <v>SUCCESSES</v>
      </c>
      <c r="G1" t="str">
        <f ca="1">IFERROR(__xludf.DUMMYFUNCTION("""COMPUTED_VALUE"""),"ATTEMPTS")</f>
        <v>ATTEMPTS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IFERROR(__xludf.DUMMYFUNCTION("""COMPUTED_VALUE"""),"Tiger Woods")</f>
        <v>Tiger Woods</v>
      </c>
      <c r="D2">
        <f ca="1">IFERROR(__xludf.DUMMYFUNCTION("""COMPUTED_VALUE"""),6)</f>
        <v>6</v>
      </c>
      <c r="E2">
        <f ca="1">IFERROR(__xludf.DUMMYFUNCTION("""COMPUTED_VALUE"""),100)</f>
        <v>100</v>
      </c>
      <c r="F2">
        <f ca="1">IFERROR(__xludf.DUMMYFUNCTION("""COMPUTED_VALUE"""),1)</f>
        <v>1</v>
      </c>
      <c r="G2">
        <f ca="1">IFERROR(__xludf.DUMMYFUNCTION("""COMPUTED_VALUE"""),1)</f>
        <v>1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IFERROR(__xludf.DUMMYFUNCTION("""COMPUTED_VALUE"""),"Jim Furyk")</f>
        <v>Jim Furyk</v>
      </c>
      <c r="D3">
        <f ca="1">IFERROR(__xludf.DUMMYFUNCTION("""COMPUTED_VALUE"""),4)</f>
        <v>4</v>
      </c>
      <c r="E3">
        <f ca="1">IFERROR(__xludf.DUMMYFUNCTION("""COMPUTED_VALUE"""),100)</f>
        <v>100</v>
      </c>
      <c r="F3">
        <f ca="1">IFERROR(__xludf.DUMMYFUNCTION("""COMPUTED_VALUE"""),1)</f>
        <v>1</v>
      </c>
      <c r="G3">
        <f ca="1">IFERROR(__xludf.DUMMYFUNCTION("""COMPUTED_VALUE"""),1)</f>
        <v>1</v>
      </c>
    </row>
    <row r="4" spans="1:7" ht="15.75" customHeight="1">
      <c r="A4" t="str">
        <f ca="1">IFERROR(__xludf.DUMMYFUNCTION("""COMPUTED_VALUE"""),"T1")</f>
        <v>T1</v>
      </c>
      <c r="B4" t="str">
        <f ca="1">IFERROR(__xludf.DUMMYFUNCTION("""COMPUTED_VALUE"""),"T1")</f>
        <v>T1</v>
      </c>
      <c r="C4" t="str">
        <f ca="1">IFERROR(__xludf.DUMMYFUNCTION("""COMPUTED_VALUE"""),"Brian Gay")</f>
        <v>Brian Gay</v>
      </c>
      <c r="D4">
        <f ca="1">IFERROR(__xludf.DUMMYFUNCTION("""COMPUTED_VALUE"""),8)</f>
        <v>8</v>
      </c>
      <c r="E4">
        <f ca="1">IFERROR(__xludf.DUMMYFUNCTION("""COMPUTED_VALUE"""),100)</f>
        <v>100</v>
      </c>
      <c r="F4">
        <f ca="1">IFERROR(__xludf.DUMMYFUNCTION("""COMPUTED_VALUE"""),7)</f>
        <v>7</v>
      </c>
      <c r="G4">
        <f ca="1">IFERROR(__xludf.DUMMYFUNCTION("""COMPUTED_VALUE"""),7)</f>
        <v>7</v>
      </c>
    </row>
    <row r="5" spans="1:7" ht="15.75" customHeight="1">
      <c r="A5" t="str">
        <f ca="1">IFERROR(__xludf.DUMMYFUNCTION("""COMPUTED_VALUE"""),"T1")</f>
        <v>T1</v>
      </c>
      <c r="B5" t="str">
        <f ca="1">IFERROR(__xludf.DUMMYFUNCTION("""COMPUTED_VALUE"""),"T1")</f>
        <v>T1</v>
      </c>
      <c r="C5" t="str">
        <f ca="1">IFERROR(__xludf.DUMMYFUNCTION("""COMPUTED_VALUE"""),"Stewart Cink")</f>
        <v>Stewart Cink</v>
      </c>
      <c r="D5">
        <f ca="1">IFERROR(__xludf.DUMMYFUNCTION("""COMPUTED_VALUE"""),18)</f>
        <v>18</v>
      </c>
      <c r="E5">
        <f ca="1">IFERROR(__xludf.DUMMYFUNCTION("""COMPUTED_VALUE"""),100)</f>
        <v>100</v>
      </c>
      <c r="F5">
        <f ca="1">IFERROR(__xludf.DUMMYFUNCTION("""COMPUTED_VALUE"""),7)</f>
        <v>7</v>
      </c>
      <c r="G5">
        <f ca="1">IFERROR(__xludf.DUMMYFUNCTION("""COMPUTED_VALUE"""),7)</f>
        <v>7</v>
      </c>
    </row>
    <row r="6" spans="1:7" ht="15.75" customHeight="1">
      <c r="A6" t="str">
        <f ca="1">IFERROR(__xludf.DUMMYFUNCTION("""COMPUTED_VALUE"""),"T1")</f>
        <v>T1</v>
      </c>
      <c r="B6" t="str">
        <f ca="1">IFERROR(__xludf.DUMMYFUNCTION("""COMPUTED_VALUE"""),"T1")</f>
        <v>T1</v>
      </c>
      <c r="C6" t="str">
        <f ca="1">IFERROR(__xludf.DUMMYFUNCTION("""COMPUTED_VALUE"""),"Lee Westwood")</f>
        <v>Lee Westwood</v>
      </c>
      <c r="D6">
        <f ca="1">IFERROR(__xludf.DUMMYFUNCTION("""COMPUTED_VALUE"""),6)</f>
        <v>6</v>
      </c>
      <c r="E6">
        <f ca="1">IFERROR(__xludf.DUMMYFUNCTION("""COMPUTED_VALUE"""),100)</f>
        <v>100</v>
      </c>
      <c r="F6">
        <f ca="1">IFERROR(__xludf.DUMMYFUNCTION("""COMPUTED_VALUE"""),3)</f>
        <v>3</v>
      </c>
      <c r="G6">
        <f ca="1">IFERROR(__xludf.DUMMYFUNCTION("""COMPUTED_VALUE"""),3)</f>
        <v>3</v>
      </c>
    </row>
    <row r="7" spans="1:7" ht="15.75" customHeight="1">
      <c r="A7" t="str">
        <f ca="1">IFERROR(__xludf.DUMMYFUNCTION("""COMPUTED_VALUE"""),"T1")</f>
        <v>T1</v>
      </c>
      <c r="B7" t="str">
        <f ca="1">IFERROR(__xludf.DUMMYFUNCTION("""COMPUTED_VALUE"""),"T1")</f>
        <v>T1</v>
      </c>
      <c r="C7" t="str">
        <f ca="1">IFERROR(__xludf.DUMMYFUNCTION("""COMPUTED_VALUE"""),"Padraig Harrington")</f>
        <v>Padraig Harrington</v>
      </c>
      <c r="D7">
        <f ca="1">IFERROR(__xludf.DUMMYFUNCTION("""COMPUTED_VALUE"""),8)</f>
        <v>8</v>
      </c>
      <c r="E7">
        <f ca="1">IFERROR(__xludf.DUMMYFUNCTION("""COMPUTED_VALUE"""),100)</f>
        <v>100</v>
      </c>
      <c r="F7">
        <f ca="1">IFERROR(__xludf.DUMMYFUNCTION("""COMPUTED_VALUE"""),7)</f>
        <v>7</v>
      </c>
      <c r="G7">
        <f ca="1">IFERROR(__xludf.DUMMYFUNCTION("""COMPUTED_VALUE"""),7)</f>
        <v>7</v>
      </c>
    </row>
    <row r="8" spans="1:7" ht="15.75" customHeight="1">
      <c r="A8" t="str">
        <f ca="1">IFERROR(__xludf.DUMMYFUNCTION("""COMPUTED_VALUE"""),"T1")</f>
        <v>T1</v>
      </c>
      <c r="B8" t="str">
        <f ca="1">IFERROR(__xludf.DUMMYFUNCTION("""COMPUTED_VALUE"""),"T1")</f>
        <v>T1</v>
      </c>
      <c r="C8" t="str">
        <f ca="1">IFERROR(__xludf.DUMMYFUNCTION("""COMPUTED_VALUE"""),"Aaron Baddeley")</f>
        <v>Aaron Baddeley</v>
      </c>
      <c r="D8">
        <f ca="1">IFERROR(__xludf.DUMMYFUNCTION("""COMPUTED_VALUE"""),8)</f>
        <v>8</v>
      </c>
      <c r="E8">
        <f ca="1">IFERROR(__xludf.DUMMYFUNCTION("""COMPUTED_VALUE"""),100)</f>
        <v>100</v>
      </c>
      <c r="F8">
        <f ca="1">IFERROR(__xludf.DUMMYFUNCTION("""COMPUTED_VALUE"""),7)</f>
        <v>7</v>
      </c>
      <c r="G8">
        <f ca="1">IFERROR(__xludf.DUMMYFUNCTION("""COMPUTED_VALUE"""),7)</f>
        <v>7</v>
      </c>
    </row>
    <row r="9" spans="1:7" ht="15.75" customHeight="1">
      <c r="A9" t="str">
        <f ca="1">IFERROR(__xludf.DUMMYFUNCTION("""COMPUTED_VALUE"""),"T1")</f>
        <v>T1</v>
      </c>
      <c r="B9" t="str">
        <f ca="1">IFERROR(__xludf.DUMMYFUNCTION("""COMPUTED_VALUE"""),"T1")</f>
        <v>T1</v>
      </c>
      <c r="C9" t="str">
        <f ca="1">IFERROR(__xludf.DUMMYFUNCTION("""COMPUTED_VALUE"""),"Matt Kuchar")</f>
        <v>Matt Kuchar</v>
      </c>
      <c r="D9">
        <f ca="1">IFERROR(__xludf.DUMMYFUNCTION("""COMPUTED_VALUE"""),14)</f>
        <v>14</v>
      </c>
      <c r="E9">
        <f ca="1">IFERROR(__xludf.DUMMYFUNCTION("""COMPUTED_VALUE"""),100)</f>
        <v>100</v>
      </c>
      <c r="F9">
        <f ca="1">IFERROR(__xludf.DUMMYFUNCTION("""COMPUTED_VALUE"""),6)</f>
        <v>6</v>
      </c>
      <c r="G9">
        <f ca="1">IFERROR(__xludf.DUMMYFUNCTION("""COMPUTED_VALUE"""),6)</f>
        <v>6</v>
      </c>
    </row>
    <row r="10" spans="1:7" ht="15.75" customHeight="1">
      <c r="A10" t="str">
        <f ca="1">IFERROR(__xludf.DUMMYFUNCTION("""COMPUTED_VALUE"""),"T1")</f>
        <v>T1</v>
      </c>
      <c r="B10" t="str">
        <f ca="1">IFERROR(__xludf.DUMMYFUNCTION("""COMPUTED_VALUE"""),"T1")</f>
        <v>T1</v>
      </c>
      <c r="C10" t="str">
        <f ca="1">IFERROR(__xludf.DUMMYFUNCTION("""COMPUTED_VALUE"""),"Ryan Palmer")</f>
        <v>Ryan Palmer</v>
      </c>
      <c r="D10">
        <f ca="1">IFERROR(__xludf.DUMMYFUNCTION("""COMPUTED_VALUE"""),14)</f>
        <v>14</v>
      </c>
      <c r="E10">
        <f ca="1">IFERROR(__xludf.DUMMYFUNCTION("""COMPUTED_VALUE"""),100)</f>
        <v>100</v>
      </c>
      <c r="F10">
        <f ca="1">IFERROR(__xludf.DUMMYFUNCTION("""COMPUTED_VALUE"""),5)</f>
        <v>5</v>
      </c>
      <c r="G10">
        <f ca="1">IFERROR(__xludf.DUMMYFUNCTION("""COMPUTED_VALUE"""),5)</f>
        <v>5</v>
      </c>
    </row>
    <row r="11" spans="1:7" ht="15.75" customHeight="1">
      <c r="A11" t="str">
        <f ca="1">IFERROR(__xludf.DUMMYFUNCTION("""COMPUTED_VALUE"""),"T1")</f>
        <v>T1</v>
      </c>
      <c r="B11" t="str">
        <f ca="1">IFERROR(__xludf.DUMMYFUNCTION("""COMPUTED_VALUE"""),"T1")</f>
        <v>T1</v>
      </c>
      <c r="C11" t="str">
        <f ca="1">IFERROR(__xludf.DUMMYFUNCTION("""COMPUTED_VALUE"""),"Vaughn Taylor")</f>
        <v>Vaughn Taylor</v>
      </c>
      <c r="D11">
        <f ca="1">IFERROR(__xludf.DUMMYFUNCTION("""COMPUTED_VALUE"""),12)</f>
        <v>12</v>
      </c>
      <c r="E11">
        <f ca="1">IFERROR(__xludf.DUMMYFUNCTION("""COMPUTED_VALUE"""),100)</f>
        <v>100</v>
      </c>
      <c r="F11">
        <f ca="1">IFERROR(__xludf.DUMMYFUNCTION("""COMPUTED_VALUE"""),5)</f>
        <v>5</v>
      </c>
      <c r="G11">
        <f ca="1">IFERROR(__xludf.DUMMYFUNCTION("""COMPUTED_VALUE"""),5)</f>
        <v>5</v>
      </c>
    </row>
    <row r="12" spans="1:7" ht="15.75" customHeight="1">
      <c r="A12" t="str">
        <f ca="1">IFERROR(__xludf.DUMMYFUNCTION("""COMPUTED_VALUE"""),"T1")</f>
        <v>T1</v>
      </c>
      <c r="B12" t="str">
        <f ca="1">IFERROR(__xludf.DUMMYFUNCTION("""COMPUTED_VALUE"""),"T1")</f>
        <v>T1</v>
      </c>
      <c r="C12" t="str">
        <f ca="1">IFERROR(__xludf.DUMMYFUNCTION("""COMPUTED_VALUE"""),"Brad Kennedy")</f>
        <v>Brad Kennedy</v>
      </c>
      <c r="D12">
        <f ca="1">IFERROR(__xludf.DUMMYFUNCTION("""COMPUTED_VALUE"""),4)</f>
        <v>4</v>
      </c>
      <c r="E12">
        <f ca="1">IFERROR(__xludf.DUMMYFUNCTION("""COMPUTED_VALUE"""),100)</f>
        <v>100</v>
      </c>
      <c r="F12">
        <f ca="1">IFERROR(__xludf.DUMMYFUNCTION("""COMPUTED_VALUE"""),3)</f>
        <v>3</v>
      </c>
      <c r="G12">
        <f ca="1">IFERROR(__xludf.DUMMYFUNCTION("""COMPUTED_VALUE"""),3)</f>
        <v>3</v>
      </c>
    </row>
    <row r="13" spans="1:7" ht="15.75" customHeight="1">
      <c r="A13" t="str">
        <f ca="1">IFERROR(__xludf.DUMMYFUNCTION("""COMPUTED_VALUE"""),"T1")</f>
        <v>T1</v>
      </c>
      <c r="B13" t="str">
        <f ca="1">IFERROR(__xludf.DUMMYFUNCTION("""COMPUTED_VALUE"""),"T1")</f>
        <v>T1</v>
      </c>
      <c r="C13" t="str">
        <f ca="1">IFERROR(__xludf.DUMMYFUNCTION("""COMPUTED_VALUE"""),"Luke Donald")</f>
        <v>Luke Donald</v>
      </c>
      <c r="D13">
        <f ca="1">IFERROR(__xludf.DUMMYFUNCTION("""COMPUTED_VALUE"""),14)</f>
        <v>14</v>
      </c>
      <c r="E13">
        <f ca="1">IFERROR(__xludf.DUMMYFUNCTION("""COMPUTED_VALUE"""),100)</f>
        <v>100</v>
      </c>
      <c r="F13">
        <f ca="1">IFERROR(__xludf.DUMMYFUNCTION("""COMPUTED_VALUE"""),7)</f>
        <v>7</v>
      </c>
      <c r="G13">
        <f ca="1">IFERROR(__xludf.DUMMYFUNCTION("""COMPUTED_VALUE"""),7)</f>
        <v>7</v>
      </c>
    </row>
    <row r="14" spans="1:7" ht="15.75" customHeight="1">
      <c r="A14" t="str">
        <f ca="1">IFERROR(__xludf.DUMMYFUNCTION("""COMPUTED_VALUE"""),"T1")</f>
        <v>T1</v>
      </c>
      <c r="B14" t="str">
        <f ca="1">IFERROR(__xludf.DUMMYFUNCTION("""COMPUTED_VALUE"""),"T1")</f>
        <v>T1</v>
      </c>
      <c r="C14" t="str">
        <f ca="1">IFERROR(__xludf.DUMMYFUNCTION("""COMPUTED_VALUE"""),"Zach Johnson")</f>
        <v>Zach Johnson</v>
      </c>
      <c r="D14">
        <f ca="1">IFERROR(__xludf.DUMMYFUNCTION("""COMPUTED_VALUE"""),16)</f>
        <v>16</v>
      </c>
      <c r="E14">
        <f ca="1">IFERROR(__xludf.DUMMYFUNCTION("""COMPUTED_VALUE"""),100)</f>
        <v>100</v>
      </c>
      <c r="F14">
        <f ca="1">IFERROR(__xludf.DUMMYFUNCTION("""COMPUTED_VALUE"""),5)</f>
        <v>5</v>
      </c>
      <c r="G14">
        <f ca="1">IFERROR(__xludf.DUMMYFUNCTION("""COMPUTED_VALUE"""),5)</f>
        <v>5</v>
      </c>
    </row>
    <row r="15" spans="1:7" ht="15.75" customHeight="1">
      <c r="A15" t="str">
        <f ca="1">IFERROR(__xludf.DUMMYFUNCTION("""COMPUTED_VALUE"""),"T1")</f>
        <v>T1</v>
      </c>
      <c r="B15" t="str">
        <f ca="1">IFERROR(__xludf.DUMMYFUNCTION("""COMPUTED_VALUE"""),"T1")</f>
        <v>T1</v>
      </c>
      <c r="C15" t="str">
        <f ca="1">IFERROR(__xludf.DUMMYFUNCTION("""COMPUTED_VALUE"""),"Ian Poulter")</f>
        <v>Ian Poulter</v>
      </c>
      <c r="D15">
        <f ca="1">IFERROR(__xludf.DUMMYFUNCTION("""COMPUTED_VALUE"""),6)</f>
        <v>6</v>
      </c>
      <c r="E15">
        <f ca="1">IFERROR(__xludf.DUMMYFUNCTION("""COMPUTED_VALUE"""),100)</f>
        <v>100</v>
      </c>
      <c r="F15">
        <f ca="1">IFERROR(__xludf.DUMMYFUNCTION("""COMPUTED_VALUE"""),1)</f>
        <v>1</v>
      </c>
      <c r="G15">
        <f ca="1">IFERROR(__xludf.DUMMYFUNCTION("""COMPUTED_VALUE"""),1)</f>
        <v>1</v>
      </c>
    </row>
    <row r="16" spans="1:7" ht="15.75" customHeight="1">
      <c r="A16" t="str">
        <f ca="1">IFERROR(__xludf.DUMMYFUNCTION("""COMPUTED_VALUE"""),"T1")</f>
        <v>T1</v>
      </c>
      <c r="B16" t="str">
        <f ca="1">IFERROR(__xludf.DUMMYFUNCTION("""COMPUTED_VALUE"""),"T1")</f>
        <v>T1</v>
      </c>
      <c r="C16" t="str">
        <f ca="1">IFERROR(__xludf.DUMMYFUNCTION("""COMPUTED_VALUE"""),"K.J. Choi")</f>
        <v>K.J. Choi</v>
      </c>
      <c r="D16">
        <f ca="1">IFERROR(__xludf.DUMMYFUNCTION("""COMPUTED_VALUE"""),6)</f>
        <v>6</v>
      </c>
      <c r="E16">
        <f ca="1">IFERROR(__xludf.DUMMYFUNCTION("""COMPUTED_VALUE"""),100)</f>
        <v>100</v>
      </c>
      <c r="F16">
        <f ca="1">IFERROR(__xludf.DUMMYFUNCTION("""COMPUTED_VALUE"""),1)</f>
        <v>1</v>
      </c>
      <c r="G16">
        <f ca="1">IFERROR(__xludf.DUMMYFUNCTION("""COMPUTED_VALUE"""),1)</f>
        <v>1</v>
      </c>
    </row>
    <row r="17" spans="1:7" ht="15.75" customHeight="1">
      <c r="A17" t="str">
        <f ca="1">IFERROR(__xludf.DUMMYFUNCTION("""COMPUTED_VALUE"""),"T1")</f>
        <v>T1</v>
      </c>
      <c r="B17" t="str">
        <f ca="1">IFERROR(__xludf.DUMMYFUNCTION("""COMPUTED_VALUE"""),"")</f>
        <v/>
      </c>
      <c r="C17" t="str">
        <f ca="1">IFERROR(__xludf.DUMMYFUNCTION("""COMPUTED_VALUE"""),"Adam Scott")</f>
        <v>Adam Scott</v>
      </c>
      <c r="D17">
        <f ca="1">IFERROR(__xludf.DUMMYFUNCTION("""COMPUTED_VALUE"""),8)</f>
        <v>8</v>
      </c>
      <c r="E17">
        <f ca="1">IFERROR(__xludf.DUMMYFUNCTION("""COMPUTED_VALUE"""),100)</f>
        <v>100</v>
      </c>
      <c r="F17">
        <f ca="1">IFERROR(__xludf.DUMMYFUNCTION("""COMPUTED_VALUE"""),2)</f>
        <v>2</v>
      </c>
      <c r="G17">
        <f ca="1">IFERROR(__xludf.DUMMYFUNCTION("""COMPUTED_VALUE"""),2)</f>
        <v>2</v>
      </c>
    </row>
    <row r="18" spans="1:7" ht="15.75" customHeight="1">
      <c r="A18" t="str">
        <f ca="1">IFERROR(__xludf.DUMMYFUNCTION("""COMPUTED_VALUE"""),"T1")</f>
        <v>T1</v>
      </c>
      <c r="B18" t="str">
        <f ca="1">IFERROR(__xludf.DUMMYFUNCTION("""COMPUTED_VALUE"""),"T1")</f>
        <v>T1</v>
      </c>
      <c r="C18" t="str">
        <f ca="1">IFERROR(__xludf.DUMMYFUNCTION("""COMPUTED_VALUE"""),"Hunter Mahan")</f>
        <v>Hunter Mahan</v>
      </c>
      <c r="D18">
        <f ca="1">IFERROR(__xludf.DUMMYFUNCTION("""COMPUTED_VALUE"""),14)</f>
        <v>14</v>
      </c>
      <c r="E18">
        <f ca="1">IFERROR(__xludf.DUMMYFUNCTION("""COMPUTED_VALUE"""),100)</f>
        <v>100</v>
      </c>
      <c r="F18">
        <f ca="1">IFERROR(__xludf.DUMMYFUNCTION("""COMPUTED_VALUE"""),4)</f>
        <v>4</v>
      </c>
      <c r="G18">
        <f ca="1">IFERROR(__xludf.DUMMYFUNCTION("""COMPUTED_VALUE"""),4)</f>
        <v>4</v>
      </c>
    </row>
    <row r="19" spans="1:7" ht="15.75" customHeight="1">
      <c r="A19" t="str">
        <f ca="1">IFERROR(__xludf.DUMMYFUNCTION("""COMPUTED_VALUE"""),"T1")</f>
        <v>T1</v>
      </c>
      <c r="B19" t="str">
        <f ca="1">IFERROR(__xludf.DUMMYFUNCTION("""COMPUTED_VALUE"""),"")</f>
        <v/>
      </c>
      <c r="C19" t="str">
        <f ca="1">IFERROR(__xludf.DUMMYFUNCTION("""COMPUTED_VALUE"""),"Francesco Molinari")</f>
        <v>Francesco Molinari</v>
      </c>
      <c r="D19">
        <f ca="1">IFERROR(__xludf.DUMMYFUNCTION("""COMPUTED_VALUE"""),6)</f>
        <v>6</v>
      </c>
      <c r="E19">
        <f ca="1">IFERROR(__xludf.DUMMYFUNCTION("""COMPUTED_VALUE"""),100)</f>
        <v>100</v>
      </c>
      <c r="F19">
        <f ca="1">IFERROR(__xludf.DUMMYFUNCTION("""COMPUTED_VALUE"""),4)</f>
        <v>4</v>
      </c>
      <c r="G19">
        <f ca="1">IFERROR(__xludf.DUMMYFUNCTION("""COMPUTED_VALUE"""),4)</f>
        <v>4</v>
      </c>
    </row>
    <row r="20" spans="1:7" ht="15.75" customHeight="1">
      <c r="A20" t="str">
        <f ca="1">IFERROR(__xludf.DUMMYFUNCTION("""COMPUTED_VALUE"""),"T1")</f>
        <v>T1</v>
      </c>
      <c r="B20" t="str">
        <f ca="1">IFERROR(__xludf.DUMMYFUNCTION("""COMPUTED_VALUE"""),"T1")</f>
        <v>T1</v>
      </c>
      <c r="C20" t="str">
        <f ca="1">IFERROR(__xludf.DUMMYFUNCTION("""COMPUTED_VALUE"""),"D.A. Points")</f>
        <v>D.A. Points</v>
      </c>
      <c r="D20">
        <f ca="1">IFERROR(__xludf.DUMMYFUNCTION("""COMPUTED_VALUE"""),12)</f>
        <v>12</v>
      </c>
      <c r="E20">
        <f ca="1">IFERROR(__xludf.DUMMYFUNCTION("""COMPUTED_VALUE"""),100)</f>
        <v>100</v>
      </c>
      <c r="F20">
        <f ca="1">IFERROR(__xludf.DUMMYFUNCTION("""COMPUTED_VALUE"""),7)</f>
        <v>7</v>
      </c>
      <c r="G20">
        <f ca="1">IFERROR(__xludf.DUMMYFUNCTION("""COMPUTED_VALUE"""),7)</f>
        <v>7</v>
      </c>
    </row>
    <row r="21" spans="1:7" ht="15.75" customHeight="1">
      <c r="A21" t="str">
        <f ca="1">IFERROR(__xludf.DUMMYFUNCTION("""COMPUTED_VALUE"""),"T1")</f>
        <v>T1</v>
      </c>
      <c r="B21" t="str">
        <f ca="1">IFERROR(__xludf.DUMMYFUNCTION("""COMPUTED_VALUE"""),"T1")</f>
        <v>T1</v>
      </c>
      <c r="C21" t="str">
        <f ca="1">IFERROR(__xludf.DUMMYFUNCTION("""COMPUTED_VALUE"""),"Tim Wilkinson")</f>
        <v>Tim Wilkinson</v>
      </c>
      <c r="D21">
        <f ca="1">IFERROR(__xludf.DUMMYFUNCTION("""COMPUTED_VALUE"""),12)</f>
        <v>12</v>
      </c>
      <c r="E21">
        <f ca="1">IFERROR(__xludf.DUMMYFUNCTION("""COMPUTED_VALUE"""),100)</f>
        <v>100</v>
      </c>
      <c r="F21">
        <f ca="1">IFERROR(__xludf.DUMMYFUNCTION("""COMPUTED_VALUE"""),9)</f>
        <v>9</v>
      </c>
      <c r="G21">
        <f ca="1">IFERROR(__xludf.DUMMYFUNCTION("""COMPUTED_VALUE"""),9)</f>
        <v>9</v>
      </c>
    </row>
    <row r="22" spans="1:7" ht="15.75" customHeight="1">
      <c r="A22" t="str">
        <f ca="1">IFERROR(__xludf.DUMMYFUNCTION("""COMPUTED_VALUE"""),"T1")</f>
        <v>T1</v>
      </c>
      <c r="B22" t="str">
        <f ca="1">IFERROR(__xludf.DUMMYFUNCTION("""COMPUTED_VALUE"""),"T1")</f>
        <v>T1</v>
      </c>
      <c r="C22" t="str">
        <f ca="1">IFERROR(__xludf.DUMMYFUNCTION("""COMPUTED_VALUE"""),"Paul Casey")</f>
        <v>Paul Casey</v>
      </c>
      <c r="D22">
        <f ca="1">IFERROR(__xludf.DUMMYFUNCTION("""COMPUTED_VALUE"""),14)</f>
        <v>14</v>
      </c>
      <c r="E22">
        <f ca="1">IFERROR(__xludf.DUMMYFUNCTION("""COMPUTED_VALUE"""),100)</f>
        <v>100</v>
      </c>
      <c r="F22">
        <f ca="1">IFERROR(__xludf.DUMMYFUNCTION("""COMPUTED_VALUE"""),6)</f>
        <v>6</v>
      </c>
      <c r="G22">
        <f ca="1">IFERROR(__xludf.DUMMYFUNCTION("""COMPUTED_VALUE"""),6)</f>
        <v>6</v>
      </c>
    </row>
    <row r="23" spans="1:7" ht="15.75" customHeight="1">
      <c r="A23" t="str">
        <f ca="1">IFERROR(__xludf.DUMMYFUNCTION("""COMPUTED_VALUE"""),"T1")</f>
        <v>T1</v>
      </c>
      <c r="B23" t="str">
        <f ca="1">IFERROR(__xludf.DUMMYFUNCTION("""COMPUTED_VALUE"""),"T1")</f>
        <v>T1</v>
      </c>
      <c r="C23" t="str">
        <f ca="1">IFERROR(__xludf.DUMMYFUNCTION("""COMPUTED_VALUE"""),"Nick Taylor")</f>
        <v>Nick Taylor</v>
      </c>
      <c r="D23">
        <f ca="1">IFERROR(__xludf.DUMMYFUNCTION("""COMPUTED_VALUE"""),12)</f>
        <v>12</v>
      </c>
      <c r="E23">
        <f ca="1">IFERROR(__xludf.DUMMYFUNCTION("""COMPUTED_VALUE"""),100)</f>
        <v>100</v>
      </c>
      <c r="F23">
        <f ca="1">IFERROR(__xludf.DUMMYFUNCTION("""COMPUTED_VALUE"""),6)</f>
        <v>6</v>
      </c>
      <c r="G23">
        <f ca="1">IFERROR(__xludf.DUMMYFUNCTION("""COMPUTED_VALUE"""),6)</f>
        <v>6</v>
      </c>
    </row>
    <row r="24" spans="1:7" ht="15.75" customHeight="1">
      <c r="A24" t="str">
        <f ca="1">IFERROR(__xludf.DUMMYFUNCTION("""COMPUTED_VALUE"""),"T1")</f>
        <v>T1</v>
      </c>
      <c r="B24" t="str">
        <f ca="1">IFERROR(__xludf.DUMMYFUNCTION("""COMPUTED_VALUE"""),"T1")</f>
        <v>T1</v>
      </c>
      <c r="C24" t="str">
        <f ca="1">IFERROR(__xludf.DUMMYFUNCTION("""COMPUTED_VALUE"""),"Jimmy Walker")</f>
        <v>Jimmy Walker</v>
      </c>
      <c r="D24">
        <f ca="1">IFERROR(__xludf.DUMMYFUNCTION("""COMPUTED_VALUE"""),10)</f>
        <v>10</v>
      </c>
      <c r="E24">
        <f ca="1">IFERROR(__xludf.DUMMYFUNCTION("""COMPUTED_VALUE"""),100)</f>
        <v>100</v>
      </c>
      <c r="F24">
        <f ca="1">IFERROR(__xludf.DUMMYFUNCTION("""COMPUTED_VALUE"""),6)</f>
        <v>6</v>
      </c>
      <c r="G24">
        <f ca="1">IFERROR(__xludf.DUMMYFUNCTION("""COMPUTED_VALUE"""),6)</f>
        <v>6</v>
      </c>
    </row>
    <row r="25" spans="1:7" ht="15.75" customHeight="1">
      <c r="A25" t="str">
        <f ca="1">IFERROR(__xludf.DUMMYFUNCTION("""COMPUTED_VALUE"""),"T1")</f>
        <v>T1</v>
      </c>
      <c r="B25" t="str">
        <f ca="1">IFERROR(__xludf.DUMMYFUNCTION("""COMPUTED_VALUE"""),"T1")</f>
        <v>T1</v>
      </c>
      <c r="C25" t="str">
        <f ca="1">IFERROR(__xludf.DUMMYFUNCTION("""COMPUTED_VALUE"""),"Bubba Watson")</f>
        <v>Bubba Watson</v>
      </c>
      <c r="D25">
        <f ca="1">IFERROR(__xludf.DUMMYFUNCTION("""COMPUTED_VALUE"""),12)</f>
        <v>12</v>
      </c>
      <c r="E25">
        <f ca="1">IFERROR(__xludf.DUMMYFUNCTION("""COMPUTED_VALUE"""),100)</f>
        <v>100</v>
      </c>
      <c r="F25">
        <f ca="1">IFERROR(__xludf.DUMMYFUNCTION("""COMPUTED_VALUE"""),7)</f>
        <v>7</v>
      </c>
      <c r="G25">
        <f ca="1">IFERROR(__xludf.DUMMYFUNCTION("""COMPUTED_VALUE"""),7)</f>
        <v>7</v>
      </c>
    </row>
    <row r="26" spans="1:7" ht="15.75" customHeight="1">
      <c r="A26" t="str">
        <f ca="1">IFERROR(__xludf.DUMMYFUNCTION("""COMPUTED_VALUE"""),"T1")</f>
        <v>T1</v>
      </c>
      <c r="B26" t="str">
        <f ca="1">IFERROR(__xludf.DUMMYFUNCTION("""COMPUTED_VALUE"""),"T1")</f>
        <v>T1</v>
      </c>
      <c r="C26" t="str">
        <f ca="1">IFERROR(__xludf.DUMMYFUNCTION("""COMPUTED_VALUE"""),"Lucas Glover")</f>
        <v>Lucas Glover</v>
      </c>
      <c r="D26">
        <f ca="1">IFERROR(__xludf.DUMMYFUNCTION("""COMPUTED_VALUE"""),12)</f>
        <v>12</v>
      </c>
      <c r="E26">
        <f ca="1">IFERROR(__xludf.DUMMYFUNCTION("""COMPUTED_VALUE"""),100)</f>
        <v>100</v>
      </c>
      <c r="F26">
        <f ca="1">IFERROR(__xludf.DUMMYFUNCTION("""COMPUTED_VALUE"""),3)</f>
        <v>3</v>
      </c>
      <c r="G26">
        <f ca="1">IFERROR(__xludf.DUMMYFUNCTION("""COMPUTED_VALUE"""),3)</f>
        <v>3</v>
      </c>
    </row>
    <row r="27" spans="1:7" ht="15.75" customHeight="1">
      <c r="A27" t="str">
        <f ca="1">IFERROR(__xludf.DUMMYFUNCTION("""COMPUTED_VALUE"""),"T1")</f>
        <v>T1</v>
      </c>
      <c r="B27" t="str">
        <f ca="1">IFERROR(__xludf.DUMMYFUNCTION("""COMPUTED_VALUE"""),"T1")</f>
        <v>T1</v>
      </c>
      <c r="C27" t="str">
        <f ca="1">IFERROR(__xludf.DUMMYFUNCTION("""COMPUTED_VALUE"""),"Charl Schwartzel")</f>
        <v>Charl Schwartzel</v>
      </c>
      <c r="D27">
        <f ca="1">IFERROR(__xludf.DUMMYFUNCTION("""COMPUTED_VALUE"""),12)</f>
        <v>12</v>
      </c>
      <c r="E27">
        <f ca="1">IFERROR(__xludf.DUMMYFUNCTION("""COMPUTED_VALUE"""),100)</f>
        <v>100</v>
      </c>
      <c r="F27">
        <f ca="1">IFERROR(__xludf.DUMMYFUNCTION("""COMPUTED_VALUE"""),5)</f>
        <v>5</v>
      </c>
      <c r="G27">
        <f ca="1">IFERROR(__xludf.DUMMYFUNCTION("""COMPUTED_VALUE"""),5)</f>
        <v>5</v>
      </c>
    </row>
    <row r="28" spans="1:7" ht="15.75" customHeight="1">
      <c r="A28" t="str">
        <f ca="1">IFERROR(__xludf.DUMMYFUNCTION("""COMPUTED_VALUE"""),"T1")</f>
        <v>T1</v>
      </c>
      <c r="B28" t="str">
        <f ca="1">IFERROR(__xludf.DUMMYFUNCTION("""COMPUTED_VALUE"""),"T1")</f>
        <v>T1</v>
      </c>
      <c r="C28" t="str">
        <f ca="1">IFERROR(__xludf.DUMMYFUNCTION("""COMPUTED_VALUE"""),"Chez Reavie")</f>
        <v>Chez Reavie</v>
      </c>
      <c r="D28">
        <f ca="1">IFERROR(__xludf.DUMMYFUNCTION("""COMPUTED_VALUE"""),14)</f>
        <v>14</v>
      </c>
      <c r="E28">
        <f ca="1">IFERROR(__xludf.DUMMYFUNCTION("""COMPUTED_VALUE"""),100)</f>
        <v>100</v>
      </c>
      <c r="F28">
        <f ca="1">IFERROR(__xludf.DUMMYFUNCTION("""COMPUTED_VALUE"""),9)</f>
        <v>9</v>
      </c>
      <c r="G28">
        <f ca="1">IFERROR(__xludf.DUMMYFUNCTION("""COMPUTED_VALUE"""),9)</f>
        <v>9</v>
      </c>
    </row>
    <row r="29" spans="1:7" ht="15.75" customHeight="1">
      <c r="A29" t="str">
        <f ca="1">IFERROR(__xludf.DUMMYFUNCTION("""COMPUTED_VALUE"""),"T1")</f>
        <v>T1</v>
      </c>
      <c r="B29" t="str">
        <f ca="1">IFERROR(__xludf.DUMMYFUNCTION("""COMPUTED_VALUE"""),"T1")</f>
        <v>T1</v>
      </c>
      <c r="C29" t="str">
        <f ca="1">IFERROR(__xludf.DUMMYFUNCTION("""COMPUTED_VALUE"""),"Rafa Cabrera Bello")</f>
        <v>Rafa Cabrera Bello</v>
      </c>
      <c r="D29">
        <f ca="1">IFERROR(__xludf.DUMMYFUNCTION("""COMPUTED_VALUE"""),14)</f>
        <v>14</v>
      </c>
      <c r="E29">
        <f ca="1">IFERROR(__xludf.DUMMYFUNCTION("""COMPUTED_VALUE"""),100)</f>
        <v>100</v>
      </c>
      <c r="F29">
        <f ca="1">IFERROR(__xludf.DUMMYFUNCTION("""COMPUTED_VALUE"""),7)</f>
        <v>7</v>
      </c>
      <c r="G29">
        <f ca="1">IFERROR(__xludf.DUMMYFUNCTION("""COMPUTED_VALUE"""),7)</f>
        <v>7</v>
      </c>
    </row>
    <row r="30" spans="1:7" ht="15.75" customHeight="1">
      <c r="A30" t="str">
        <f ca="1">IFERROR(__xludf.DUMMYFUNCTION("""COMPUTED_VALUE"""),"T1")</f>
        <v>T1</v>
      </c>
      <c r="B30" t="str">
        <f ca="1">IFERROR(__xludf.DUMMYFUNCTION("""COMPUTED_VALUE"""),"T1")</f>
        <v>T1</v>
      </c>
      <c r="C30" t="str">
        <f ca="1">IFERROR(__xludf.DUMMYFUNCTION("""COMPUTED_VALUE"""),"Nick Watney")</f>
        <v>Nick Watney</v>
      </c>
      <c r="D30">
        <f ca="1">IFERROR(__xludf.DUMMYFUNCTION("""COMPUTED_VALUE"""),10)</f>
        <v>10</v>
      </c>
      <c r="E30">
        <f ca="1">IFERROR(__xludf.DUMMYFUNCTION("""COMPUTED_VALUE"""),100)</f>
        <v>100</v>
      </c>
      <c r="F30">
        <f ca="1">IFERROR(__xludf.DUMMYFUNCTION("""COMPUTED_VALUE"""),5)</f>
        <v>5</v>
      </c>
      <c r="G30">
        <f ca="1">IFERROR(__xludf.DUMMYFUNCTION("""COMPUTED_VALUE"""),5)</f>
        <v>5</v>
      </c>
    </row>
    <row r="31" spans="1:7" ht="12.75">
      <c r="A31" t="str">
        <f ca="1">IFERROR(__xludf.DUMMYFUNCTION("""COMPUTED_VALUE"""),"T1")</f>
        <v>T1</v>
      </c>
      <c r="B31" t="str">
        <f ca="1">IFERROR(__xludf.DUMMYFUNCTION("""COMPUTED_VALUE"""),"T1")</f>
        <v>T1</v>
      </c>
      <c r="C31" t="str">
        <f ca="1">IFERROR(__xludf.DUMMYFUNCTION("""COMPUTED_VALUE"""),"J.B. Holmes")</f>
        <v>J.B. Holmes</v>
      </c>
      <c r="D31">
        <f ca="1">IFERROR(__xludf.DUMMYFUNCTION("""COMPUTED_VALUE"""),10)</f>
        <v>10</v>
      </c>
      <c r="E31">
        <f ca="1">IFERROR(__xludf.DUMMYFUNCTION("""COMPUTED_VALUE"""),100)</f>
        <v>100</v>
      </c>
      <c r="F31">
        <f ca="1">IFERROR(__xludf.DUMMYFUNCTION("""COMPUTED_VALUE"""),4)</f>
        <v>4</v>
      </c>
      <c r="G31">
        <f ca="1">IFERROR(__xludf.DUMMYFUNCTION("""COMPUTED_VALUE"""),4)</f>
        <v>4</v>
      </c>
    </row>
    <row r="32" spans="1:7" ht="12.75">
      <c r="A32" t="str">
        <f ca="1">IFERROR(__xludf.DUMMYFUNCTION("""COMPUTED_VALUE"""),"T1")</f>
        <v>T1</v>
      </c>
      <c r="B32" t="str">
        <f ca="1">IFERROR(__xludf.DUMMYFUNCTION("""COMPUTED_VALUE"""),"T1")</f>
        <v>T1</v>
      </c>
      <c r="C32" t="str">
        <f ca="1">IFERROR(__xludf.DUMMYFUNCTION("""COMPUTED_VALUE"""),"Jay McLuen")</f>
        <v>Jay McLuen</v>
      </c>
      <c r="D32">
        <f ca="1">IFERROR(__xludf.DUMMYFUNCTION("""COMPUTED_VALUE"""),4)</f>
        <v>4</v>
      </c>
      <c r="E32">
        <f ca="1">IFERROR(__xludf.DUMMYFUNCTION("""COMPUTED_VALUE"""),100)</f>
        <v>100</v>
      </c>
      <c r="F32">
        <f ca="1">IFERROR(__xludf.DUMMYFUNCTION("""COMPUTED_VALUE"""),2)</f>
        <v>2</v>
      </c>
      <c r="G32">
        <f ca="1">IFERROR(__xludf.DUMMYFUNCTION("""COMPUTED_VALUE"""),2)</f>
        <v>2</v>
      </c>
    </row>
    <row r="33" spans="1:7" ht="12.75">
      <c r="A33" t="str">
        <f ca="1">IFERROR(__xludf.DUMMYFUNCTION("""COMPUTED_VALUE"""),"T1")</f>
        <v>T1</v>
      </c>
      <c r="B33" t="str">
        <f ca="1">IFERROR(__xludf.DUMMYFUNCTION("""COMPUTED_VALUE"""),"T1")</f>
        <v>T1</v>
      </c>
      <c r="C33" t="str">
        <f ca="1">IFERROR(__xludf.DUMMYFUNCTION("""COMPUTED_VALUE"""),"Ted Potter, Jr.")</f>
        <v>Ted Potter, Jr.</v>
      </c>
      <c r="D33">
        <f ca="1">IFERROR(__xludf.DUMMYFUNCTION("""COMPUTED_VALUE"""),8)</f>
        <v>8</v>
      </c>
      <c r="E33">
        <f ca="1">IFERROR(__xludf.DUMMYFUNCTION("""COMPUTED_VALUE"""),100)</f>
        <v>100</v>
      </c>
      <c r="F33">
        <f ca="1">IFERROR(__xludf.DUMMYFUNCTION("""COMPUTED_VALUE"""),4)</f>
        <v>4</v>
      </c>
      <c r="G33">
        <f ca="1">IFERROR(__xludf.DUMMYFUNCTION("""COMPUTED_VALUE"""),4)</f>
        <v>4</v>
      </c>
    </row>
    <row r="34" spans="1:7" ht="12.75">
      <c r="A34" t="str">
        <f ca="1">IFERROR(__xludf.DUMMYFUNCTION("""COMPUTED_VALUE"""),"T1")</f>
        <v>T1</v>
      </c>
      <c r="B34" t="str">
        <f ca="1">IFERROR(__xludf.DUMMYFUNCTION("""COMPUTED_VALUE"""),"T1")</f>
        <v>T1</v>
      </c>
      <c r="C34" t="str">
        <f ca="1">IFERROR(__xludf.DUMMYFUNCTION("""COMPUTED_VALUE"""),"Brian Harman")</f>
        <v>Brian Harman</v>
      </c>
      <c r="D34">
        <f ca="1">IFERROR(__xludf.DUMMYFUNCTION("""COMPUTED_VALUE"""),24)</f>
        <v>24</v>
      </c>
      <c r="E34">
        <f ca="1">IFERROR(__xludf.DUMMYFUNCTION("""COMPUTED_VALUE"""),100)</f>
        <v>100</v>
      </c>
      <c r="F34">
        <f ca="1">IFERROR(__xludf.DUMMYFUNCTION("""COMPUTED_VALUE"""),11)</f>
        <v>11</v>
      </c>
      <c r="G34">
        <f ca="1">IFERROR(__xludf.DUMMYFUNCTION("""COMPUTED_VALUE"""),11)</f>
        <v>11</v>
      </c>
    </row>
    <row r="35" spans="1:7" ht="12.75">
      <c r="A35" t="str">
        <f ca="1">IFERROR(__xludf.DUMMYFUNCTION("""COMPUTED_VALUE"""),"T1")</f>
        <v>T1</v>
      </c>
      <c r="B35" t="str">
        <f ca="1">IFERROR(__xludf.DUMMYFUNCTION("""COMPUTED_VALUE"""),"T1")</f>
        <v>T1</v>
      </c>
      <c r="C35" t="str">
        <f ca="1">IFERROR(__xludf.DUMMYFUNCTION("""COMPUTED_VALUE"""),"Camilo Villegas")</f>
        <v>Camilo Villegas</v>
      </c>
      <c r="D35">
        <f ca="1">IFERROR(__xludf.DUMMYFUNCTION("""COMPUTED_VALUE"""),14)</f>
        <v>14</v>
      </c>
      <c r="E35">
        <f ca="1">IFERROR(__xludf.DUMMYFUNCTION("""COMPUTED_VALUE"""),100)</f>
        <v>100</v>
      </c>
      <c r="F35">
        <f ca="1">IFERROR(__xludf.DUMMYFUNCTION("""COMPUTED_VALUE"""),8)</f>
        <v>8</v>
      </c>
      <c r="G35">
        <f ca="1">IFERROR(__xludf.DUMMYFUNCTION("""COMPUTED_VALUE"""),8)</f>
        <v>8</v>
      </c>
    </row>
    <row r="36" spans="1:7" ht="12.75">
      <c r="A36" t="str">
        <f ca="1">IFERROR(__xludf.DUMMYFUNCTION("""COMPUTED_VALUE"""),"T1")</f>
        <v>T1</v>
      </c>
      <c r="B36" t="str">
        <f ca="1">IFERROR(__xludf.DUMMYFUNCTION("""COMPUTED_VALUE"""),"T1")</f>
        <v>T1</v>
      </c>
      <c r="C36" t="str">
        <f ca="1">IFERROR(__xludf.DUMMYFUNCTION("""COMPUTED_VALUE"""),"Chris Stroud")</f>
        <v>Chris Stroud</v>
      </c>
      <c r="D36">
        <f ca="1">IFERROR(__xludf.DUMMYFUNCTION("""COMPUTED_VALUE"""),6)</f>
        <v>6</v>
      </c>
      <c r="E36">
        <f ca="1">IFERROR(__xludf.DUMMYFUNCTION("""COMPUTED_VALUE"""),100)</f>
        <v>100</v>
      </c>
      <c r="F36">
        <f ca="1">IFERROR(__xludf.DUMMYFUNCTION("""COMPUTED_VALUE"""),3)</f>
        <v>3</v>
      </c>
      <c r="G36">
        <f ca="1">IFERROR(__xludf.DUMMYFUNCTION("""COMPUTED_VALUE"""),3)</f>
        <v>3</v>
      </c>
    </row>
    <row r="37" spans="1:7" ht="12.75">
      <c r="A37" t="str">
        <f ca="1">IFERROR(__xludf.DUMMYFUNCTION("""COMPUTED_VALUE"""),"T1")</f>
        <v>T1</v>
      </c>
      <c r="B37" t="str">
        <f ca="1">IFERROR(__xludf.DUMMYFUNCTION("""COMPUTED_VALUE"""),"")</f>
        <v/>
      </c>
      <c r="C37" t="str">
        <f ca="1">IFERROR(__xludf.DUMMYFUNCTION("""COMPUTED_VALUE"""),"Dawie van der Walt")</f>
        <v>Dawie van der Walt</v>
      </c>
      <c r="D37">
        <f ca="1">IFERROR(__xludf.DUMMYFUNCTION("""COMPUTED_VALUE"""),4)</f>
        <v>4</v>
      </c>
      <c r="E37">
        <f ca="1">IFERROR(__xludf.DUMMYFUNCTION("""COMPUTED_VALUE"""),100)</f>
        <v>100</v>
      </c>
      <c r="F37">
        <f ca="1">IFERROR(__xludf.DUMMYFUNCTION("""COMPUTED_VALUE"""),1)</f>
        <v>1</v>
      </c>
      <c r="G37">
        <f ca="1">IFERROR(__xludf.DUMMYFUNCTION("""COMPUTED_VALUE"""),1)</f>
        <v>1</v>
      </c>
    </row>
    <row r="38" spans="1:7" ht="12.75">
      <c r="A38" t="str">
        <f ca="1">IFERROR(__xludf.DUMMYFUNCTION("""COMPUTED_VALUE"""),"T1")</f>
        <v>T1</v>
      </c>
      <c r="B38" t="str">
        <f ca="1">IFERROR(__xludf.DUMMYFUNCTION("""COMPUTED_VALUE"""),"T1")</f>
        <v>T1</v>
      </c>
      <c r="C38" t="str">
        <f ca="1">IFERROR(__xludf.DUMMYFUNCTION("""COMPUTED_VALUE"""),"Seamus Power")</f>
        <v>Seamus Power</v>
      </c>
      <c r="D38">
        <f ca="1">IFERROR(__xludf.DUMMYFUNCTION("""COMPUTED_VALUE"""),8)</f>
        <v>8</v>
      </c>
      <c r="E38">
        <f ca="1">IFERROR(__xludf.DUMMYFUNCTION("""COMPUTED_VALUE"""),100)</f>
        <v>100</v>
      </c>
      <c r="F38">
        <f ca="1">IFERROR(__xludf.DUMMYFUNCTION("""COMPUTED_VALUE"""),9)</f>
        <v>9</v>
      </c>
      <c r="G38">
        <f ca="1">IFERROR(__xludf.DUMMYFUNCTION("""COMPUTED_VALUE"""),9)</f>
        <v>9</v>
      </c>
    </row>
    <row r="39" spans="1:7" ht="12.75">
      <c r="A39" t="str">
        <f ca="1">IFERROR(__xludf.DUMMYFUNCTION("""COMPUTED_VALUE"""),"T1")</f>
        <v>T1</v>
      </c>
      <c r="B39" t="str">
        <f ca="1">IFERROR(__xludf.DUMMYFUNCTION("""COMPUTED_VALUE"""),"T1")</f>
        <v>T1</v>
      </c>
      <c r="C39" t="str">
        <f ca="1">IFERROR(__xludf.DUMMYFUNCTION("""COMPUTED_VALUE"""),"Matt Every")</f>
        <v>Matt Every</v>
      </c>
      <c r="D39">
        <f ca="1">IFERROR(__xludf.DUMMYFUNCTION("""COMPUTED_VALUE"""),8)</f>
        <v>8</v>
      </c>
      <c r="E39">
        <f ca="1">IFERROR(__xludf.DUMMYFUNCTION("""COMPUTED_VALUE"""),100)</f>
        <v>100</v>
      </c>
      <c r="F39">
        <f ca="1">IFERROR(__xludf.DUMMYFUNCTION("""COMPUTED_VALUE"""),4)</f>
        <v>4</v>
      </c>
      <c r="G39">
        <f ca="1">IFERROR(__xludf.DUMMYFUNCTION("""COMPUTED_VALUE"""),4)</f>
        <v>4</v>
      </c>
    </row>
    <row r="40" spans="1:7" ht="12.75">
      <c r="A40" t="str">
        <f ca="1">IFERROR(__xludf.DUMMYFUNCTION("""COMPUTED_VALUE"""),"T1")</f>
        <v>T1</v>
      </c>
      <c r="B40" t="str">
        <f ca="1">IFERROR(__xludf.DUMMYFUNCTION("""COMPUTED_VALUE"""),"T1")</f>
        <v>T1</v>
      </c>
      <c r="C40" t="str">
        <f ca="1">IFERROR(__xludf.DUMMYFUNCTION("""COMPUTED_VALUE"""),"Nate Lashley")</f>
        <v>Nate Lashley</v>
      </c>
      <c r="D40">
        <f ca="1">IFERROR(__xludf.DUMMYFUNCTION("""COMPUTED_VALUE"""),16)</f>
        <v>16</v>
      </c>
      <c r="E40">
        <f ca="1">IFERROR(__xludf.DUMMYFUNCTION("""COMPUTED_VALUE"""),100)</f>
        <v>100</v>
      </c>
      <c r="F40">
        <f ca="1">IFERROR(__xludf.DUMMYFUNCTION("""COMPUTED_VALUE"""),11)</f>
        <v>11</v>
      </c>
      <c r="G40">
        <f ca="1">IFERROR(__xludf.DUMMYFUNCTION("""COMPUTED_VALUE"""),11)</f>
        <v>11</v>
      </c>
    </row>
    <row r="41" spans="1:7" ht="12.75">
      <c r="A41" t="str">
        <f ca="1">IFERROR(__xludf.DUMMYFUNCTION("""COMPUTED_VALUE"""),"T1")</f>
        <v>T1</v>
      </c>
      <c r="B41" t="str">
        <f ca="1">IFERROR(__xludf.DUMMYFUNCTION("""COMPUTED_VALUE"""),"")</f>
        <v/>
      </c>
      <c r="C41" t="str">
        <f ca="1">IFERROR(__xludf.DUMMYFUNCTION("""COMPUTED_VALUE"""),"Justin Harding")</f>
        <v>Justin Harding</v>
      </c>
      <c r="D41">
        <f ca="1">IFERROR(__xludf.DUMMYFUNCTION("""COMPUTED_VALUE"""),6)</f>
        <v>6</v>
      </c>
      <c r="E41">
        <f ca="1">IFERROR(__xludf.DUMMYFUNCTION("""COMPUTED_VALUE"""),100)</f>
        <v>100</v>
      </c>
      <c r="F41">
        <f ca="1">IFERROR(__xludf.DUMMYFUNCTION("""COMPUTED_VALUE"""),3)</f>
        <v>3</v>
      </c>
      <c r="G41">
        <f ca="1">IFERROR(__xludf.DUMMYFUNCTION("""COMPUTED_VALUE"""),3)</f>
        <v>3</v>
      </c>
    </row>
    <row r="42" spans="1:7" ht="12.75">
      <c r="A42" t="str">
        <f ca="1">IFERROR(__xludf.DUMMYFUNCTION("""COMPUTED_VALUE"""),"T1")</f>
        <v>T1</v>
      </c>
      <c r="B42" t="str">
        <f ca="1">IFERROR(__xludf.DUMMYFUNCTION("""COMPUTED_VALUE"""),"T1")</f>
        <v>T1</v>
      </c>
      <c r="C42" t="str">
        <f ca="1">IFERROR(__xludf.DUMMYFUNCTION("""COMPUTED_VALUE"""),"Webb Simpson")</f>
        <v>Webb Simpson</v>
      </c>
      <c r="D42">
        <f ca="1">IFERROR(__xludf.DUMMYFUNCTION("""COMPUTED_VALUE"""),12)</f>
        <v>12</v>
      </c>
      <c r="E42">
        <f ca="1">IFERROR(__xludf.DUMMYFUNCTION("""COMPUTED_VALUE"""),100)</f>
        <v>100</v>
      </c>
      <c r="F42">
        <f ca="1">IFERROR(__xludf.DUMMYFUNCTION("""COMPUTED_VALUE"""),10)</f>
        <v>10</v>
      </c>
      <c r="G42">
        <f ca="1">IFERROR(__xludf.DUMMYFUNCTION("""COMPUTED_VALUE"""),10)</f>
        <v>10</v>
      </c>
    </row>
    <row r="43" spans="1:7" ht="12.75">
      <c r="A43" t="str">
        <f ca="1">IFERROR(__xludf.DUMMYFUNCTION("""COMPUTED_VALUE"""),"T1")</f>
        <v>T1</v>
      </c>
      <c r="B43" t="str">
        <f ca="1">IFERROR(__xludf.DUMMYFUNCTION("""COMPUTED_VALUE"""),"T1")</f>
        <v>T1</v>
      </c>
      <c r="C43" t="str">
        <f ca="1">IFERROR(__xludf.DUMMYFUNCTION("""COMPUTED_VALUE"""),"Tony Finau")</f>
        <v>Tony Finau</v>
      </c>
      <c r="D43">
        <f ca="1">IFERROR(__xludf.DUMMYFUNCTION("""COMPUTED_VALUE"""),12)</f>
        <v>12</v>
      </c>
      <c r="E43">
        <f ca="1">IFERROR(__xludf.DUMMYFUNCTION("""COMPUTED_VALUE"""),100)</f>
        <v>100</v>
      </c>
      <c r="F43">
        <f ca="1">IFERROR(__xludf.DUMMYFUNCTION("""COMPUTED_VALUE"""),1)</f>
        <v>1</v>
      </c>
      <c r="G43">
        <f ca="1">IFERROR(__xludf.DUMMYFUNCTION("""COMPUTED_VALUE"""),1)</f>
        <v>1</v>
      </c>
    </row>
    <row r="44" spans="1:7" ht="12.75">
      <c r="A44" t="str">
        <f ca="1">IFERROR(__xludf.DUMMYFUNCTION("""COMPUTED_VALUE"""),"T1")</f>
        <v>T1</v>
      </c>
      <c r="B44" t="str">
        <f ca="1">IFERROR(__xludf.DUMMYFUNCTION("""COMPUTED_VALUE"""),"T1")</f>
        <v>T1</v>
      </c>
      <c r="C44" t="str">
        <f ca="1">IFERROR(__xludf.DUMMYFUNCTION("""COMPUTED_VALUE"""),"Danny Lee")</f>
        <v>Danny Lee</v>
      </c>
      <c r="D44">
        <f ca="1">IFERROR(__xludf.DUMMYFUNCTION("""COMPUTED_VALUE"""),15)</f>
        <v>15</v>
      </c>
      <c r="E44">
        <f ca="1">IFERROR(__xludf.DUMMYFUNCTION("""COMPUTED_VALUE"""),100)</f>
        <v>100</v>
      </c>
      <c r="F44">
        <f ca="1">IFERROR(__xludf.DUMMYFUNCTION("""COMPUTED_VALUE"""),7)</f>
        <v>7</v>
      </c>
      <c r="G44">
        <f ca="1">IFERROR(__xludf.DUMMYFUNCTION("""COMPUTED_VALUE"""),7)</f>
        <v>7</v>
      </c>
    </row>
    <row r="45" spans="1:7" ht="12.75">
      <c r="A45" t="str">
        <f ca="1">IFERROR(__xludf.DUMMYFUNCTION("""COMPUTED_VALUE"""),"T1")</f>
        <v>T1</v>
      </c>
      <c r="B45" t="str">
        <f ca="1">IFERROR(__xludf.DUMMYFUNCTION("""COMPUTED_VALUE"""),"T1")</f>
        <v>T1</v>
      </c>
      <c r="C45" t="str">
        <f ca="1">IFERROR(__xludf.DUMMYFUNCTION("""COMPUTED_VALUE"""),"Dylan Frittelli")</f>
        <v>Dylan Frittelli</v>
      </c>
      <c r="D45">
        <f ca="1">IFERROR(__xludf.DUMMYFUNCTION("""COMPUTED_VALUE"""),16)</f>
        <v>16</v>
      </c>
      <c r="E45">
        <f ca="1">IFERROR(__xludf.DUMMYFUNCTION("""COMPUTED_VALUE"""),100)</f>
        <v>100</v>
      </c>
      <c r="F45">
        <f ca="1">IFERROR(__xludf.DUMMYFUNCTION("""COMPUTED_VALUE"""),7)</f>
        <v>7</v>
      </c>
      <c r="G45">
        <f ca="1">IFERROR(__xludf.DUMMYFUNCTION("""COMPUTED_VALUE"""),7)</f>
        <v>7</v>
      </c>
    </row>
    <row r="46" spans="1:7" ht="12.75">
      <c r="A46" t="str">
        <f ca="1">IFERROR(__xludf.DUMMYFUNCTION("""COMPUTED_VALUE"""),"T1")</f>
        <v>T1</v>
      </c>
      <c r="B46" t="str">
        <f ca="1">IFERROR(__xludf.DUMMYFUNCTION("""COMPUTED_VALUE"""),"T1")</f>
        <v>T1</v>
      </c>
      <c r="C46" t="str">
        <f ca="1">IFERROR(__xludf.DUMMYFUNCTION("""COMPUTED_VALUE"""),"Scott Stallings")</f>
        <v>Scott Stallings</v>
      </c>
      <c r="D46">
        <f ca="1">IFERROR(__xludf.DUMMYFUNCTION("""COMPUTED_VALUE"""),14)</f>
        <v>14</v>
      </c>
      <c r="E46">
        <f ca="1">IFERROR(__xludf.DUMMYFUNCTION("""COMPUTED_VALUE"""),100)</f>
        <v>100</v>
      </c>
      <c r="F46">
        <f ca="1">IFERROR(__xludf.DUMMYFUNCTION("""COMPUTED_VALUE"""),9)</f>
        <v>9</v>
      </c>
      <c r="G46">
        <f ca="1">IFERROR(__xludf.DUMMYFUNCTION("""COMPUTED_VALUE"""),9)</f>
        <v>9</v>
      </c>
    </row>
    <row r="47" spans="1:7" ht="12.75">
      <c r="A47" t="str">
        <f ca="1">IFERROR(__xludf.DUMMYFUNCTION("""COMPUTED_VALUE"""),"T1")</f>
        <v>T1</v>
      </c>
      <c r="B47" t="str">
        <f ca="1">IFERROR(__xludf.DUMMYFUNCTION("""COMPUTED_VALUE"""),"T1")</f>
        <v>T1</v>
      </c>
      <c r="C47" t="str">
        <f ca="1">IFERROR(__xludf.DUMMYFUNCTION("""COMPUTED_VALUE"""),"Ryo Ishikawa")</f>
        <v>Ryo Ishikawa</v>
      </c>
      <c r="D47">
        <f ca="1">IFERROR(__xludf.DUMMYFUNCTION("""COMPUTED_VALUE"""),8)</f>
        <v>8</v>
      </c>
      <c r="E47">
        <f ca="1">IFERROR(__xludf.DUMMYFUNCTION("""COMPUTED_VALUE"""),100)</f>
        <v>100</v>
      </c>
      <c r="F47">
        <f ca="1">IFERROR(__xludf.DUMMYFUNCTION("""COMPUTED_VALUE"""),5)</f>
        <v>5</v>
      </c>
      <c r="G47">
        <f ca="1">IFERROR(__xludf.DUMMYFUNCTION("""COMPUTED_VALUE"""),5)</f>
        <v>5</v>
      </c>
    </row>
    <row r="48" spans="1:7" ht="12.75">
      <c r="A48" t="str">
        <f ca="1">IFERROR(__xludf.DUMMYFUNCTION("""COMPUTED_VALUE"""),"T1")</f>
        <v>T1</v>
      </c>
      <c r="B48" t="str">
        <f ca="1">IFERROR(__xludf.DUMMYFUNCTION("""COMPUTED_VALUE"""),"T1")</f>
        <v>T1</v>
      </c>
      <c r="C48" t="str">
        <f ca="1">IFERROR(__xludf.DUMMYFUNCTION("""COMPUTED_VALUE"""),"Dustin Johnson")</f>
        <v>Dustin Johnson</v>
      </c>
      <c r="D48">
        <f ca="1">IFERROR(__xludf.DUMMYFUNCTION("""COMPUTED_VALUE"""),8)</f>
        <v>8</v>
      </c>
      <c r="E48">
        <f ca="1">IFERROR(__xludf.DUMMYFUNCTION("""COMPUTED_VALUE"""),100)</f>
        <v>100</v>
      </c>
      <c r="F48">
        <f ca="1">IFERROR(__xludf.DUMMYFUNCTION("""COMPUTED_VALUE"""),2)</f>
        <v>2</v>
      </c>
      <c r="G48">
        <f ca="1">IFERROR(__xludf.DUMMYFUNCTION("""COMPUTED_VALUE"""),2)</f>
        <v>2</v>
      </c>
    </row>
    <row r="49" spans="1:7" ht="12.75">
      <c r="A49" t="str">
        <f ca="1">IFERROR(__xludf.DUMMYFUNCTION("""COMPUTED_VALUE"""),"T1")</f>
        <v>T1</v>
      </c>
      <c r="B49" t="str">
        <f ca="1">IFERROR(__xludf.DUMMYFUNCTION("""COMPUTED_VALUE"""),"T1")</f>
        <v>T1</v>
      </c>
      <c r="C49" t="str">
        <f ca="1">IFERROR(__xludf.DUMMYFUNCTION("""COMPUTED_VALUE"""),"Chris Kirk")</f>
        <v>Chris Kirk</v>
      </c>
      <c r="D49">
        <f ca="1">IFERROR(__xludf.DUMMYFUNCTION("""COMPUTED_VALUE"""),10)</f>
        <v>10</v>
      </c>
      <c r="E49">
        <f ca="1">IFERROR(__xludf.DUMMYFUNCTION("""COMPUTED_VALUE"""),100)</f>
        <v>100</v>
      </c>
      <c r="F49">
        <f ca="1">IFERROR(__xludf.DUMMYFUNCTION("""COMPUTED_VALUE"""),4)</f>
        <v>4</v>
      </c>
      <c r="G49">
        <f ca="1">IFERROR(__xludf.DUMMYFUNCTION("""COMPUTED_VALUE"""),4)</f>
        <v>4</v>
      </c>
    </row>
    <row r="50" spans="1:7" ht="12.75">
      <c r="A50" t="str">
        <f ca="1">IFERROR(__xludf.DUMMYFUNCTION("""COMPUTED_VALUE"""),"T1")</f>
        <v>T1</v>
      </c>
      <c r="B50" t="str">
        <f ca="1">IFERROR(__xludf.DUMMYFUNCTION("""COMPUTED_VALUE"""),"T1")</f>
        <v>T1</v>
      </c>
      <c r="C50" t="str">
        <f ca="1">IFERROR(__xludf.DUMMYFUNCTION("""COMPUTED_VALUE"""),"Brendon Todd")</f>
        <v>Brendon Todd</v>
      </c>
      <c r="D50">
        <f ca="1">IFERROR(__xludf.DUMMYFUNCTION("""COMPUTED_VALUE"""),14)</f>
        <v>14</v>
      </c>
      <c r="E50">
        <f ca="1">IFERROR(__xludf.DUMMYFUNCTION("""COMPUTED_VALUE"""),100)</f>
        <v>100</v>
      </c>
      <c r="F50">
        <f ca="1">IFERROR(__xludf.DUMMYFUNCTION("""COMPUTED_VALUE"""),6)</f>
        <v>6</v>
      </c>
      <c r="G50">
        <f ca="1">IFERROR(__xludf.DUMMYFUNCTION("""COMPUTED_VALUE"""),6)</f>
        <v>6</v>
      </c>
    </row>
    <row r="51" spans="1:7" ht="12.75">
      <c r="A51" t="str">
        <f ca="1">IFERROR(__xludf.DUMMYFUNCTION("""COMPUTED_VALUE"""),"T1")</f>
        <v>T1</v>
      </c>
      <c r="B51" t="str">
        <f ca="1">IFERROR(__xludf.DUMMYFUNCTION("""COMPUTED_VALUE"""),"T1")</f>
        <v>T1</v>
      </c>
      <c r="C51" t="str">
        <f ca="1">IFERROR(__xludf.DUMMYFUNCTION("""COMPUTED_VALUE"""),"William McGirt")</f>
        <v>William McGirt</v>
      </c>
      <c r="D51">
        <f ca="1">IFERROR(__xludf.DUMMYFUNCTION("""COMPUTED_VALUE"""),6)</f>
        <v>6</v>
      </c>
      <c r="E51">
        <f ca="1">IFERROR(__xludf.DUMMYFUNCTION("""COMPUTED_VALUE"""),100)</f>
        <v>100</v>
      </c>
      <c r="F51">
        <f ca="1">IFERROR(__xludf.DUMMYFUNCTION("""COMPUTED_VALUE"""),5)</f>
        <v>5</v>
      </c>
      <c r="G51">
        <f ca="1">IFERROR(__xludf.DUMMYFUNCTION("""COMPUTED_VALUE"""),5)</f>
        <v>5</v>
      </c>
    </row>
    <row r="52" spans="1:7" ht="12.75">
      <c r="A52" t="str">
        <f ca="1">IFERROR(__xludf.DUMMYFUNCTION("""COMPUTED_VALUE"""),"T1")</f>
        <v>T1</v>
      </c>
      <c r="B52" t="str">
        <f ca="1">IFERROR(__xludf.DUMMYFUNCTION("""COMPUTED_VALUE"""),"T1")</f>
        <v>T1</v>
      </c>
      <c r="C52" t="str">
        <f ca="1">IFERROR(__xludf.DUMMYFUNCTION("""COMPUTED_VALUE"""),"Gary Woodland")</f>
        <v>Gary Woodland</v>
      </c>
      <c r="D52">
        <f ca="1">IFERROR(__xludf.DUMMYFUNCTION("""COMPUTED_VALUE"""),6)</f>
        <v>6</v>
      </c>
      <c r="E52">
        <f ca="1">IFERROR(__xludf.DUMMYFUNCTION("""COMPUTED_VALUE"""),100)</f>
        <v>100</v>
      </c>
      <c r="F52">
        <f ca="1">IFERROR(__xludf.DUMMYFUNCTION("""COMPUTED_VALUE"""),4)</f>
        <v>4</v>
      </c>
      <c r="G52">
        <f ca="1">IFERROR(__xludf.DUMMYFUNCTION("""COMPUTED_VALUE"""),4)</f>
        <v>4</v>
      </c>
    </row>
    <row r="53" spans="1:7" ht="12.75">
      <c r="A53" t="str">
        <f ca="1">IFERROR(__xludf.DUMMYFUNCTION("""COMPUTED_VALUE"""),"T1")</f>
        <v>T1</v>
      </c>
      <c r="B53" t="str">
        <f ca="1">IFERROR(__xludf.DUMMYFUNCTION("""COMPUTED_VALUE"""),"T1")</f>
        <v>T1</v>
      </c>
      <c r="C53" t="str">
        <f ca="1">IFERROR(__xludf.DUMMYFUNCTION("""COMPUTED_VALUE"""),"Jim Herman")</f>
        <v>Jim Herman</v>
      </c>
      <c r="D53">
        <f ca="1">IFERROR(__xludf.DUMMYFUNCTION("""COMPUTED_VALUE"""),12)</f>
        <v>12</v>
      </c>
      <c r="E53">
        <f ca="1">IFERROR(__xludf.DUMMYFUNCTION("""COMPUTED_VALUE"""),100)</f>
        <v>100</v>
      </c>
      <c r="F53">
        <f ca="1">IFERROR(__xludf.DUMMYFUNCTION("""COMPUTED_VALUE"""),10)</f>
        <v>10</v>
      </c>
      <c r="G53">
        <f ca="1">IFERROR(__xludf.DUMMYFUNCTION("""COMPUTED_VALUE"""),10)</f>
        <v>10</v>
      </c>
    </row>
    <row r="54" spans="1:7" ht="12.75">
      <c r="A54" t="str">
        <f ca="1">IFERROR(__xludf.DUMMYFUNCTION("""COMPUTED_VALUE"""),"T1")</f>
        <v>T1</v>
      </c>
      <c r="B54" t="str">
        <f ca="1">IFERROR(__xludf.DUMMYFUNCTION("""COMPUTED_VALUE"""),"T1")</f>
        <v>T1</v>
      </c>
      <c r="C54" t="str">
        <f ca="1">IFERROR(__xludf.DUMMYFUNCTION("""COMPUTED_VALUE"""),"Steve Lewton")</f>
        <v>Steve Lewton</v>
      </c>
      <c r="D54">
        <f ca="1">IFERROR(__xludf.DUMMYFUNCTION("""COMPUTED_VALUE"""),4)</f>
        <v>4</v>
      </c>
      <c r="E54">
        <f ca="1">IFERROR(__xludf.DUMMYFUNCTION("""COMPUTED_VALUE"""),100)</f>
        <v>100</v>
      </c>
      <c r="F54">
        <f ca="1">IFERROR(__xludf.DUMMYFUNCTION("""COMPUTED_VALUE"""),1)</f>
        <v>1</v>
      </c>
      <c r="G54">
        <f ca="1">IFERROR(__xludf.DUMMYFUNCTION("""COMPUTED_VALUE"""),1)</f>
        <v>1</v>
      </c>
    </row>
    <row r="55" spans="1:7" ht="12.75">
      <c r="A55" t="str">
        <f ca="1">IFERROR(__xludf.DUMMYFUNCTION("""COMPUTED_VALUE"""),"T1")</f>
        <v>T1</v>
      </c>
      <c r="B55" t="str">
        <f ca="1">IFERROR(__xludf.DUMMYFUNCTION("""COMPUTED_VALUE"""),"T1")</f>
        <v>T1</v>
      </c>
      <c r="C55" t="str">
        <f ca="1">IFERROR(__xludf.DUMMYFUNCTION("""COMPUTED_VALUE"""),"Rafael Campos")</f>
        <v>Rafael Campos</v>
      </c>
      <c r="D55">
        <f ca="1">IFERROR(__xludf.DUMMYFUNCTION("""COMPUTED_VALUE"""),6)</f>
        <v>6</v>
      </c>
      <c r="E55">
        <f ca="1">IFERROR(__xludf.DUMMYFUNCTION("""COMPUTED_VALUE"""),100)</f>
        <v>100</v>
      </c>
      <c r="F55">
        <f ca="1">IFERROR(__xludf.DUMMYFUNCTION("""COMPUTED_VALUE"""),4)</f>
        <v>4</v>
      </c>
      <c r="G55">
        <f ca="1">IFERROR(__xludf.DUMMYFUNCTION("""COMPUTED_VALUE"""),4)</f>
        <v>4</v>
      </c>
    </row>
    <row r="56" spans="1:7" ht="12.75">
      <c r="A56" t="str">
        <f ca="1">IFERROR(__xludf.DUMMYFUNCTION("""COMPUTED_VALUE"""),"T1")</f>
        <v>T1</v>
      </c>
      <c r="B56" t="str">
        <f ca="1">IFERROR(__xludf.DUMMYFUNCTION("""COMPUTED_VALUE"""),"T1")</f>
        <v>T1</v>
      </c>
      <c r="C56" t="str">
        <f ca="1">IFERROR(__xludf.DUMMYFUNCTION("""COMPUTED_VALUE"""),"Xinjun Zhang")</f>
        <v>Xinjun Zhang</v>
      </c>
      <c r="D56">
        <f ca="1">IFERROR(__xludf.DUMMYFUNCTION("""COMPUTED_VALUE"""),14)</f>
        <v>14</v>
      </c>
      <c r="E56">
        <f ca="1">IFERROR(__xludf.DUMMYFUNCTION("""COMPUTED_VALUE"""),100)</f>
        <v>100</v>
      </c>
      <c r="F56">
        <f ca="1">IFERROR(__xludf.DUMMYFUNCTION("""COMPUTED_VALUE"""),6)</f>
        <v>6</v>
      </c>
      <c r="G56">
        <f ca="1">IFERROR(__xludf.DUMMYFUNCTION("""COMPUTED_VALUE"""),6)</f>
        <v>6</v>
      </c>
    </row>
    <row r="57" spans="1:7" ht="12.75">
      <c r="A57" t="str">
        <f ca="1">IFERROR(__xludf.DUMMYFUNCTION("""COMPUTED_VALUE"""),"T1")</f>
        <v>T1</v>
      </c>
      <c r="B57" t="str">
        <f ca="1">IFERROR(__xludf.DUMMYFUNCTION("""COMPUTED_VALUE"""),"T1")</f>
        <v>T1</v>
      </c>
      <c r="C57" t="str">
        <f ca="1">IFERROR(__xludf.DUMMYFUNCTION("""COMPUTED_VALUE"""),"James Hahn")</f>
        <v>James Hahn</v>
      </c>
      <c r="D57">
        <f ca="1">IFERROR(__xludf.DUMMYFUNCTION("""COMPUTED_VALUE"""),16)</f>
        <v>16</v>
      </c>
      <c r="E57">
        <f ca="1">IFERROR(__xludf.DUMMYFUNCTION("""COMPUTED_VALUE"""),100)</f>
        <v>100</v>
      </c>
      <c r="F57">
        <f ca="1">IFERROR(__xludf.DUMMYFUNCTION("""COMPUTED_VALUE"""),9)</f>
        <v>9</v>
      </c>
      <c r="G57">
        <f ca="1">IFERROR(__xludf.DUMMYFUNCTION("""COMPUTED_VALUE"""),9)</f>
        <v>9</v>
      </c>
    </row>
    <row r="58" spans="1:7" ht="12.75">
      <c r="A58" t="str">
        <f ca="1">IFERROR(__xludf.DUMMYFUNCTION("""COMPUTED_VALUE"""),"T1")</f>
        <v>T1</v>
      </c>
      <c r="B58" t="str">
        <f ca="1">IFERROR(__xludf.DUMMYFUNCTION("""COMPUTED_VALUE"""),"T1")</f>
        <v>T1</v>
      </c>
      <c r="C58" t="str">
        <f ca="1">IFERROR(__xludf.DUMMYFUNCTION("""COMPUTED_VALUE"""),"Kyoung-Hoon Lee")</f>
        <v>Kyoung-Hoon Lee</v>
      </c>
      <c r="D58">
        <f ca="1">IFERROR(__xludf.DUMMYFUNCTION("""COMPUTED_VALUE"""),20)</f>
        <v>20</v>
      </c>
      <c r="E58">
        <f ca="1">IFERROR(__xludf.DUMMYFUNCTION("""COMPUTED_VALUE"""),100)</f>
        <v>100</v>
      </c>
      <c r="F58">
        <f ca="1">IFERROR(__xludf.DUMMYFUNCTION("""COMPUTED_VALUE"""),18)</f>
        <v>18</v>
      </c>
      <c r="G58">
        <f ca="1">IFERROR(__xludf.DUMMYFUNCTION("""COMPUTED_VALUE"""),18)</f>
        <v>18</v>
      </c>
    </row>
    <row r="59" spans="1:7" ht="12.75">
      <c r="A59" t="str">
        <f ca="1">IFERROR(__xludf.DUMMYFUNCTION("""COMPUTED_VALUE"""),"T1")</f>
        <v>T1</v>
      </c>
      <c r="B59" t="str">
        <f ca="1">IFERROR(__xludf.DUMMYFUNCTION("""COMPUTED_VALUE"""),"T1")</f>
        <v>T1</v>
      </c>
      <c r="C59" t="str">
        <f ca="1">IFERROR(__xludf.DUMMYFUNCTION("""COMPUTED_VALUE"""),"Satoshi Kodaira")</f>
        <v>Satoshi Kodaira</v>
      </c>
      <c r="D59">
        <f ca="1">IFERROR(__xludf.DUMMYFUNCTION("""COMPUTED_VALUE"""),12)</f>
        <v>12</v>
      </c>
      <c r="E59">
        <f ca="1">IFERROR(__xludf.DUMMYFUNCTION("""COMPUTED_VALUE"""),100)</f>
        <v>100</v>
      </c>
      <c r="F59">
        <f ca="1">IFERROR(__xludf.DUMMYFUNCTION("""COMPUTED_VALUE"""),3)</f>
        <v>3</v>
      </c>
      <c r="G59">
        <f ca="1">IFERROR(__xludf.DUMMYFUNCTION("""COMPUTED_VALUE"""),3)</f>
        <v>3</v>
      </c>
    </row>
    <row r="60" spans="1:7" ht="12.75">
      <c r="A60" t="str">
        <f ca="1">IFERROR(__xludf.DUMMYFUNCTION("""COMPUTED_VALUE"""),"T1")</f>
        <v>T1</v>
      </c>
      <c r="B60" t="str">
        <f ca="1">IFERROR(__xludf.DUMMYFUNCTION("""COMPUTED_VALUE"""),"T1")</f>
        <v>T1</v>
      </c>
      <c r="C60" t="str">
        <f ca="1">IFERROR(__xludf.DUMMYFUNCTION("""COMPUTED_VALUE"""),"Hideki Matsuyama")</f>
        <v>Hideki Matsuyama</v>
      </c>
      <c r="D60">
        <f ca="1">IFERROR(__xludf.DUMMYFUNCTION("""COMPUTED_VALUE"""),18)</f>
        <v>18</v>
      </c>
      <c r="E60">
        <f ca="1">IFERROR(__xludf.DUMMYFUNCTION("""COMPUTED_VALUE"""),100)</f>
        <v>100</v>
      </c>
      <c r="F60">
        <f ca="1">IFERROR(__xludf.DUMMYFUNCTION("""COMPUTED_VALUE"""),13)</f>
        <v>13</v>
      </c>
      <c r="G60">
        <f ca="1">IFERROR(__xludf.DUMMYFUNCTION("""COMPUTED_VALUE"""),13)</f>
        <v>13</v>
      </c>
    </row>
    <row r="61" spans="1:7" ht="12.75">
      <c r="A61" t="str">
        <f ca="1">IFERROR(__xludf.DUMMYFUNCTION("""COMPUTED_VALUE"""),"T1")</f>
        <v>T1</v>
      </c>
      <c r="B61" t="str">
        <f ca="1">IFERROR(__xludf.DUMMYFUNCTION("""COMPUTED_VALUE"""),"T1")</f>
        <v>T1</v>
      </c>
      <c r="C61" t="str">
        <f ca="1">IFERROR(__xludf.DUMMYFUNCTION("""COMPUTED_VALUE"""),"Russell Knox")</f>
        <v>Russell Knox</v>
      </c>
      <c r="D61">
        <f ca="1">IFERROR(__xludf.DUMMYFUNCTION("""COMPUTED_VALUE"""),16)</f>
        <v>16</v>
      </c>
      <c r="E61">
        <f ca="1">IFERROR(__xludf.DUMMYFUNCTION("""COMPUTED_VALUE"""),100)</f>
        <v>100</v>
      </c>
      <c r="F61">
        <f ca="1">IFERROR(__xludf.DUMMYFUNCTION("""COMPUTED_VALUE"""),6)</f>
        <v>6</v>
      </c>
      <c r="G61">
        <f ca="1">IFERROR(__xludf.DUMMYFUNCTION("""COMPUTED_VALUE"""),6)</f>
        <v>6</v>
      </c>
    </row>
    <row r="62" spans="1:7" ht="12.75">
      <c r="A62" t="str">
        <f ca="1">IFERROR(__xludf.DUMMYFUNCTION("""COMPUTED_VALUE"""),"T1")</f>
        <v>T1</v>
      </c>
      <c r="B62" t="str">
        <f ca="1">IFERROR(__xludf.DUMMYFUNCTION("""COMPUTED_VALUE"""),"T1")</f>
        <v>T1</v>
      </c>
      <c r="C62" t="str">
        <f ca="1">IFERROR(__xludf.DUMMYFUNCTION("""COMPUTED_VALUE"""),"Keegan Bradley")</f>
        <v>Keegan Bradley</v>
      </c>
      <c r="D62">
        <f ca="1">IFERROR(__xludf.DUMMYFUNCTION("""COMPUTED_VALUE"""),16)</f>
        <v>16</v>
      </c>
      <c r="E62">
        <f ca="1">IFERROR(__xludf.DUMMYFUNCTION("""COMPUTED_VALUE"""),100)</f>
        <v>100</v>
      </c>
      <c r="F62">
        <f ca="1">IFERROR(__xludf.DUMMYFUNCTION("""COMPUTED_VALUE"""),5)</f>
        <v>5</v>
      </c>
      <c r="G62">
        <f ca="1">IFERROR(__xludf.DUMMYFUNCTION("""COMPUTED_VALUE"""),5)</f>
        <v>5</v>
      </c>
    </row>
    <row r="63" spans="1:7" ht="12.75">
      <c r="A63" t="str">
        <f ca="1">IFERROR(__xludf.DUMMYFUNCTION("""COMPUTED_VALUE"""),"T1")</f>
        <v>T1</v>
      </c>
      <c r="B63" t="str">
        <f ca="1">IFERROR(__xludf.DUMMYFUNCTION("""COMPUTED_VALUE"""),"T1")</f>
        <v>T1</v>
      </c>
      <c r="C63" t="str">
        <f ca="1">IFERROR(__xludf.DUMMYFUNCTION("""COMPUTED_VALUE"""),"Shane Lowry")</f>
        <v>Shane Lowry</v>
      </c>
      <c r="D63">
        <f ca="1">IFERROR(__xludf.DUMMYFUNCTION("""COMPUTED_VALUE"""),14)</f>
        <v>14</v>
      </c>
      <c r="E63">
        <f ca="1">IFERROR(__xludf.DUMMYFUNCTION("""COMPUTED_VALUE"""),100)</f>
        <v>100</v>
      </c>
      <c r="F63">
        <f ca="1">IFERROR(__xludf.DUMMYFUNCTION("""COMPUTED_VALUE"""),10)</f>
        <v>10</v>
      </c>
      <c r="G63">
        <f ca="1">IFERROR(__xludf.DUMMYFUNCTION("""COMPUTED_VALUE"""),10)</f>
        <v>10</v>
      </c>
    </row>
    <row r="64" spans="1:7" ht="12.75">
      <c r="A64" t="str">
        <f ca="1">IFERROR(__xludf.DUMMYFUNCTION("""COMPUTED_VALUE"""),"T1")</f>
        <v>T1</v>
      </c>
      <c r="B64" t="str">
        <f ca="1">IFERROR(__xludf.DUMMYFUNCTION("""COMPUTED_VALUE"""),"T1")</f>
        <v>T1</v>
      </c>
      <c r="C64" t="str">
        <f ca="1">IFERROR(__xludf.DUMMYFUNCTION("""COMPUTED_VALUE"""),"Thomas Pieters")</f>
        <v>Thomas Pieters</v>
      </c>
      <c r="D64">
        <f ca="1">IFERROR(__xludf.DUMMYFUNCTION("""COMPUTED_VALUE"""),4)</f>
        <v>4</v>
      </c>
      <c r="E64">
        <f ca="1">IFERROR(__xludf.DUMMYFUNCTION("""COMPUTED_VALUE"""),100)</f>
        <v>100</v>
      </c>
      <c r="F64">
        <f ca="1">IFERROR(__xludf.DUMMYFUNCTION("""COMPUTED_VALUE"""),1)</f>
        <v>1</v>
      </c>
      <c r="G64">
        <f ca="1">IFERROR(__xludf.DUMMYFUNCTION("""COMPUTED_VALUE"""),1)</f>
        <v>1</v>
      </c>
    </row>
    <row r="65" spans="1:7" ht="12.75">
      <c r="A65" t="str">
        <f ca="1">IFERROR(__xludf.DUMMYFUNCTION("""COMPUTED_VALUE"""),"T1")</f>
        <v>T1</v>
      </c>
      <c r="B65" t="str">
        <f ca="1">IFERROR(__xludf.DUMMYFUNCTION("""COMPUTED_VALUE"""),"T1")</f>
        <v>T1</v>
      </c>
      <c r="C65" t="str">
        <f ca="1">IFERROR(__xludf.DUMMYFUNCTION("""COMPUTED_VALUE"""),"Chris Baker")</f>
        <v>Chris Baker</v>
      </c>
      <c r="D65">
        <f ca="1">IFERROR(__xludf.DUMMYFUNCTION("""COMPUTED_VALUE"""),8)</f>
        <v>8</v>
      </c>
      <c r="E65">
        <f ca="1">IFERROR(__xludf.DUMMYFUNCTION("""COMPUTED_VALUE"""),100)</f>
        <v>100</v>
      </c>
      <c r="F65">
        <f ca="1">IFERROR(__xludf.DUMMYFUNCTION("""COMPUTED_VALUE"""),3)</f>
        <v>3</v>
      </c>
      <c r="G65">
        <f ca="1">IFERROR(__xludf.DUMMYFUNCTION("""COMPUTED_VALUE"""),3)</f>
        <v>3</v>
      </c>
    </row>
    <row r="66" spans="1:7" ht="12.75">
      <c r="A66" t="str">
        <f ca="1">IFERROR(__xludf.DUMMYFUNCTION("""COMPUTED_VALUE"""),"T1")</f>
        <v>T1</v>
      </c>
      <c r="B66" t="str">
        <f ca="1">IFERROR(__xludf.DUMMYFUNCTION("""COMPUTED_VALUE"""),"T1")</f>
        <v>T1</v>
      </c>
      <c r="C66" t="str">
        <f ca="1">IFERROR(__xludf.DUMMYFUNCTION("""COMPUTED_VALUE"""),"Andrew Landry")</f>
        <v>Andrew Landry</v>
      </c>
      <c r="D66">
        <f ca="1">IFERROR(__xludf.DUMMYFUNCTION("""COMPUTED_VALUE"""),14)</f>
        <v>14</v>
      </c>
      <c r="E66">
        <f ca="1">IFERROR(__xludf.DUMMYFUNCTION("""COMPUTED_VALUE"""),100)</f>
        <v>100</v>
      </c>
      <c r="F66">
        <f ca="1">IFERROR(__xludf.DUMMYFUNCTION("""COMPUTED_VALUE"""),10)</f>
        <v>10</v>
      </c>
      <c r="G66">
        <f ca="1">IFERROR(__xludf.DUMMYFUNCTION("""COMPUTED_VALUE"""),10)</f>
        <v>10</v>
      </c>
    </row>
    <row r="67" spans="1:7" ht="12.75">
      <c r="A67" t="str">
        <f ca="1">IFERROR(__xludf.DUMMYFUNCTION("""COMPUTED_VALUE"""),"T1")</f>
        <v>T1</v>
      </c>
      <c r="B67" t="str">
        <f ca="1">IFERROR(__xludf.DUMMYFUNCTION("""COMPUTED_VALUE"""),"T1")</f>
        <v>T1</v>
      </c>
      <c r="C67" t="str">
        <f ca="1">IFERROR(__xludf.DUMMYFUNCTION("""COMPUTED_VALUE"""),"Shawn Stefani")</f>
        <v>Shawn Stefani</v>
      </c>
      <c r="D67">
        <f ca="1">IFERROR(__xludf.DUMMYFUNCTION("""COMPUTED_VALUE"""),5)</f>
        <v>5</v>
      </c>
      <c r="E67">
        <f ca="1">IFERROR(__xludf.DUMMYFUNCTION("""COMPUTED_VALUE"""),100)</f>
        <v>100</v>
      </c>
      <c r="F67">
        <f ca="1">IFERROR(__xludf.DUMMYFUNCTION("""COMPUTED_VALUE"""),1)</f>
        <v>1</v>
      </c>
      <c r="G67">
        <f ca="1">IFERROR(__xludf.DUMMYFUNCTION("""COMPUTED_VALUE"""),1)</f>
        <v>1</v>
      </c>
    </row>
    <row r="68" spans="1:7" ht="12.75">
      <c r="A68" t="str">
        <f ca="1">IFERROR(__xludf.DUMMYFUNCTION("""COMPUTED_VALUE"""),"T1")</f>
        <v>T1</v>
      </c>
      <c r="B68" t="str">
        <f ca="1">IFERROR(__xludf.DUMMYFUNCTION("""COMPUTED_VALUE"""),"T1")</f>
        <v>T1</v>
      </c>
      <c r="C68" t="str">
        <f ca="1">IFERROR(__xludf.DUMMYFUNCTION("""COMPUTED_VALUE"""),"Cameron Tringale")</f>
        <v>Cameron Tringale</v>
      </c>
      <c r="D68">
        <f ca="1">IFERROR(__xludf.DUMMYFUNCTION("""COMPUTED_VALUE"""),16)</f>
        <v>16</v>
      </c>
      <c r="E68">
        <f ca="1">IFERROR(__xludf.DUMMYFUNCTION("""COMPUTED_VALUE"""),100)</f>
        <v>100</v>
      </c>
      <c r="F68">
        <f ca="1">IFERROR(__xludf.DUMMYFUNCTION("""COMPUTED_VALUE"""),9)</f>
        <v>9</v>
      </c>
      <c r="G68">
        <f ca="1">IFERROR(__xludf.DUMMYFUNCTION("""COMPUTED_VALUE"""),9)</f>
        <v>9</v>
      </c>
    </row>
    <row r="69" spans="1:7" ht="12.75">
      <c r="A69" t="str">
        <f ca="1">IFERROR(__xludf.DUMMYFUNCTION("""COMPUTED_VALUE"""),"T1")</f>
        <v>T1</v>
      </c>
      <c r="B69" t="str">
        <f ca="1">IFERROR(__xludf.DUMMYFUNCTION("""COMPUTED_VALUE"""),"T1")</f>
        <v>T1</v>
      </c>
      <c r="C69" t="str">
        <f ca="1">IFERROR(__xludf.DUMMYFUNCTION("""COMPUTED_VALUE"""),"Justin Thomas")</f>
        <v>Justin Thomas</v>
      </c>
      <c r="D69">
        <f ca="1">IFERROR(__xludf.DUMMYFUNCTION("""COMPUTED_VALUE"""),12)</f>
        <v>12</v>
      </c>
      <c r="E69">
        <f ca="1">IFERROR(__xludf.DUMMYFUNCTION("""COMPUTED_VALUE"""),100)</f>
        <v>100</v>
      </c>
      <c r="F69">
        <f ca="1">IFERROR(__xludf.DUMMYFUNCTION("""COMPUTED_VALUE"""),8)</f>
        <v>8</v>
      </c>
      <c r="G69">
        <f ca="1">IFERROR(__xludf.DUMMYFUNCTION("""COMPUTED_VALUE"""),8)</f>
        <v>8</v>
      </c>
    </row>
    <row r="70" spans="1:7" ht="12.75">
      <c r="A70" t="str">
        <f ca="1">IFERROR(__xludf.DUMMYFUNCTION("""COMPUTED_VALUE"""),"T1")</f>
        <v>T1</v>
      </c>
      <c r="B70" t="str">
        <f ca="1">IFERROR(__xludf.DUMMYFUNCTION("""COMPUTED_VALUE"""),"T1")</f>
        <v>T1</v>
      </c>
      <c r="C70" t="str">
        <f ca="1">IFERROR(__xludf.DUMMYFUNCTION("""COMPUTED_VALUE"""),"Zack Sucher")</f>
        <v>Zack Sucher</v>
      </c>
      <c r="D70">
        <f ca="1">IFERROR(__xludf.DUMMYFUNCTION("""COMPUTED_VALUE"""),6)</f>
        <v>6</v>
      </c>
      <c r="E70">
        <f ca="1">IFERROR(__xludf.DUMMYFUNCTION("""COMPUTED_VALUE"""),100)</f>
        <v>100</v>
      </c>
      <c r="F70">
        <f ca="1">IFERROR(__xludf.DUMMYFUNCTION("""COMPUTED_VALUE"""),1)</f>
        <v>1</v>
      </c>
      <c r="G70">
        <f ca="1">IFERROR(__xludf.DUMMYFUNCTION("""COMPUTED_VALUE"""),1)</f>
        <v>1</v>
      </c>
    </row>
    <row r="71" spans="1:7" ht="12.75">
      <c r="A71" t="str">
        <f ca="1">IFERROR(__xludf.DUMMYFUNCTION("""COMPUTED_VALUE"""),"T1")</f>
        <v>T1</v>
      </c>
      <c r="B71" t="str">
        <f ca="1">IFERROR(__xludf.DUMMYFUNCTION("""COMPUTED_VALUE"""),"T1")</f>
        <v>T1</v>
      </c>
      <c r="C71" t="str">
        <f ca="1">IFERROR(__xludf.DUMMYFUNCTION("""COMPUTED_VALUE"""),"Roger Sloan")</f>
        <v>Roger Sloan</v>
      </c>
      <c r="D71">
        <f ca="1">IFERROR(__xludf.DUMMYFUNCTION("""COMPUTED_VALUE"""),12)</f>
        <v>12</v>
      </c>
      <c r="E71">
        <f ca="1">IFERROR(__xludf.DUMMYFUNCTION("""COMPUTED_VALUE"""),100)</f>
        <v>100</v>
      </c>
      <c r="F71">
        <f ca="1">IFERROR(__xludf.DUMMYFUNCTION("""COMPUTED_VALUE"""),10)</f>
        <v>10</v>
      </c>
      <c r="G71">
        <f ca="1">IFERROR(__xludf.DUMMYFUNCTION("""COMPUTED_VALUE"""),10)</f>
        <v>10</v>
      </c>
    </row>
    <row r="72" spans="1:7" ht="12.75">
      <c r="A72" t="str">
        <f ca="1">IFERROR(__xludf.DUMMYFUNCTION("""COMPUTED_VALUE"""),"T1")</f>
        <v>T1</v>
      </c>
      <c r="B72" t="str">
        <f ca="1">IFERROR(__xludf.DUMMYFUNCTION("""COMPUTED_VALUE"""),"T1")</f>
        <v>T1</v>
      </c>
      <c r="C72" t="str">
        <f ca="1">IFERROR(__xludf.DUMMYFUNCTION("""COMPUTED_VALUE"""),"Gunn Charoenkul")</f>
        <v>Gunn Charoenkul</v>
      </c>
      <c r="D72">
        <f ca="1">IFERROR(__xludf.DUMMYFUNCTION("""COMPUTED_VALUE"""),4)</f>
        <v>4</v>
      </c>
      <c r="E72">
        <f ca="1">IFERROR(__xludf.DUMMYFUNCTION("""COMPUTED_VALUE"""),100)</f>
        <v>100</v>
      </c>
      <c r="F72">
        <f ca="1">IFERROR(__xludf.DUMMYFUNCTION("""COMPUTED_VALUE"""),1)</f>
        <v>1</v>
      </c>
      <c r="G72">
        <f ca="1">IFERROR(__xludf.DUMMYFUNCTION("""COMPUTED_VALUE"""),1)</f>
        <v>1</v>
      </c>
    </row>
    <row r="73" spans="1:7" ht="12.75">
      <c r="A73" t="str">
        <f ca="1">IFERROR(__xludf.DUMMYFUNCTION("""COMPUTED_VALUE"""),"T1")</f>
        <v>T1</v>
      </c>
      <c r="B73" t="str">
        <f ca="1">IFERROR(__xludf.DUMMYFUNCTION("""COMPUTED_VALUE"""),"T1")</f>
        <v>T1</v>
      </c>
      <c r="C73" t="str">
        <f ca="1">IFERROR(__xludf.DUMMYFUNCTION("""COMPUTED_VALUE"""),"Thomas Detry")</f>
        <v>Thomas Detry</v>
      </c>
      <c r="D73">
        <f ca="1">IFERROR(__xludf.DUMMYFUNCTION("""COMPUTED_VALUE"""),8)</f>
        <v>8</v>
      </c>
      <c r="E73">
        <f ca="1">IFERROR(__xludf.DUMMYFUNCTION("""COMPUTED_VALUE"""),100)</f>
        <v>100</v>
      </c>
      <c r="F73">
        <f ca="1">IFERROR(__xludf.DUMMYFUNCTION("""COMPUTED_VALUE"""),9)</f>
        <v>9</v>
      </c>
      <c r="G73">
        <f ca="1">IFERROR(__xludf.DUMMYFUNCTION("""COMPUTED_VALUE"""),9)</f>
        <v>9</v>
      </c>
    </row>
    <row r="74" spans="1:7" ht="12.75">
      <c r="A74" t="str">
        <f ca="1">IFERROR(__xludf.DUMMYFUNCTION("""COMPUTED_VALUE"""),"T1")</f>
        <v>T1</v>
      </c>
      <c r="B74" t="str">
        <f ca="1">IFERROR(__xludf.DUMMYFUNCTION("""COMPUTED_VALUE"""),"T1")</f>
        <v>T1</v>
      </c>
      <c r="C74" t="str">
        <f ca="1">IFERROR(__xludf.DUMMYFUNCTION("""COMPUTED_VALUE"""),"Carlos Ortiz")</f>
        <v>Carlos Ortiz</v>
      </c>
      <c r="D74">
        <f ca="1">IFERROR(__xludf.DUMMYFUNCTION("""COMPUTED_VALUE"""),20)</f>
        <v>20</v>
      </c>
      <c r="E74">
        <f ca="1">IFERROR(__xludf.DUMMYFUNCTION("""COMPUTED_VALUE"""),100)</f>
        <v>100</v>
      </c>
      <c r="F74">
        <f ca="1">IFERROR(__xludf.DUMMYFUNCTION("""COMPUTED_VALUE"""),9)</f>
        <v>9</v>
      </c>
      <c r="G74">
        <f ca="1">IFERROR(__xludf.DUMMYFUNCTION("""COMPUTED_VALUE"""),9)</f>
        <v>9</v>
      </c>
    </row>
    <row r="75" spans="1:7" ht="12.75">
      <c r="A75" t="str">
        <f ca="1">IFERROR(__xludf.DUMMYFUNCTION("""COMPUTED_VALUE"""),"T1")</f>
        <v>T1</v>
      </c>
      <c r="B75" t="str">
        <f ca="1">IFERROR(__xludf.DUMMYFUNCTION("""COMPUTED_VALUE"""),"T1")</f>
        <v>T1</v>
      </c>
      <c r="C75" t="str">
        <f ca="1">IFERROR(__xludf.DUMMYFUNCTION("""COMPUTED_VALUE"""),"Byeong Hun An")</f>
        <v>Byeong Hun An</v>
      </c>
      <c r="D75">
        <f ca="1">IFERROR(__xludf.DUMMYFUNCTION("""COMPUTED_VALUE"""),14)</f>
        <v>14</v>
      </c>
      <c r="E75">
        <f ca="1">IFERROR(__xludf.DUMMYFUNCTION("""COMPUTED_VALUE"""),100)</f>
        <v>100</v>
      </c>
      <c r="F75">
        <f ca="1">IFERROR(__xludf.DUMMYFUNCTION("""COMPUTED_VALUE"""),11)</f>
        <v>11</v>
      </c>
      <c r="G75">
        <f ca="1">IFERROR(__xludf.DUMMYFUNCTION("""COMPUTED_VALUE"""),11)</f>
        <v>11</v>
      </c>
    </row>
    <row r="76" spans="1:7" ht="12.75">
      <c r="A76" t="str">
        <f ca="1">IFERROR(__xludf.DUMMYFUNCTION("""COMPUTED_VALUE"""),"T1")</f>
        <v>T1</v>
      </c>
      <c r="B76" t="str">
        <f ca="1">IFERROR(__xludf.DUMMYFUNCTION("""COMPUTED_VALUE"""),"T1")</f>
        <v>T1</v>
      </c>
      <c r="C76" t="str">
        <f ca="1">IFERROR(__xludf.DUMMYFUNCTION("""COMPUTED_VALUE"""),"Bud Cauley")</f>
        <v>Bud Cauley</v>
      </c>
      <c r="D76">
        <f ca="1">IFERROR(__xludf.DUMMYFUNCTION("""COMPUTED_VALUE"""),4)</f>
        <v>4</v>
      </c>
      <c r="E76">
        <f ca="1">IFERROR(__xludf.DUMMYFUNCTION("""COMPUTED_VALUE"""),100)</f>
        <v>100</v>
      </c>
      <c r="F76">
        <f ca="1">IFERROR(__xludf.DUMMYFUNCTION("""COMPUTED_VALUE"""),3)</f>
        <v>3</v>
      </c>
      <c r="G76">
        <f ca="1">IFERROR(__xludf.DUMMYFUNCTION("""COMPUTED_VALUE"""),3)</f>
        <v>3</v>
      </c>
    </row>
    <row r="77" spans="1:7" ht="12.75">
      <c r="A77" t="str">
        <f ca="1">IFERROR(__xludf.DUMMYFUNCTION("""COMPUTED_VALUE"""),"T1")</f>
        <v>T1</v>
      </c>
      <c r="B77" t="str">
        <f ca="1">IFERROR(__xludf.DUMMYFUNCTION("""COMPUTED_VALUE"""),"T1")</f>
        <v>T1</v>
      </c>
      <c r="C77" t="str">
        <f ca="1">IFERROR(__xludf.DUMMYFUNCTION("""COMPUTED_VALUE"""),"Jordan Spieth")</f>
        <v>Jordan Spieth</v>
      </c>
      <c r="D77">
        <f ca="1">IFERROR(__xludf.DUMMYFUNCTION("""COMPUTED_VALUE"""),14)</f>
        <v>14</v>
      </c>
      <c r="E77">
        <f ca="1">IFERROR(__xludf.DUMMYFUNCTION("""COMPUTED_VALUE"""),100)</f>
        <v>100</v>
      </c>
      <c r="F77">
        <f ca="1">IFERROR(__xludf.DUMMYFUNCTION("""COMPUTED_VALUE"""),5)</f>
        <v>5</v>
      </c>
      <c r="G77">
        <f ca="1">IFERROR(__xludf.DUMMYFUNCTION("""COMPUTED_VALUE"""),5)</f>
        <v>5</v>
      </c>
    </row>
    <row r="78" spans="1:7" ht="12.75">
      <c r="A78" t="str">
        <f ca="1">IFERROR(__xludf.DUMMYFUNCTION("""COMPUTED_VALUE"""),"T1")</f>
        <v>T1</v>
      </c>
      <c r="B78" t="str">
        <f ca="1">IFERROR(__xludf.DUMMYFUNCTION("""COMPUTED_VALUE"""),"T1")</f>
        <v>T1</v>
      </c>
      <c r="C78" t="str">
        <f ca="1">IFERROR(__xludf.DUMMYFUNCTION("""COMPUTED_VALUE"""),"Joel Dahmen")</f>
        <v>Joel Dahmen</v>
      </c>
      <c r="D78">
        <f ca="1">IFERROR(__xludf.DUMMYFUNCTION("""COMPUTED_VALUE"""),18)</f>
        <v>18</v>
      </c>
      <c r="E78">
        <f ca="1">IFERROR(__xludf.DUMMYFUNCTION("""COMPUTED_VALUE"""),100)</f>
        <v>100</v>
      </c>
      <c r="F78">
        <f ca="1">IFERROR(__xludf.DUMMYFUNCTION("""COMPUTED_VALUE"""),7)</f>
        <v>7</v>
      </c>
      <c r="G78">
        <f ca="1">IFERROR(__xludf.DUMMYFUNCTION("""COMPUTED_VALUE"""),7)</f>
        <v>7</v>
      </c>
    </row>
    <row r="79" spans="1:7" ht="12.75">
      <c r="A79" t="str">
        <f ca="1">IFERROR(__xludf.DUMMYFUNCTION("""COMPUTED_VALUE"""),"T1")</f>
        <v>T1</v>
      </c>
      <c r="B79" t="str">
        <f ca="1">IFERROR(__xludf.DUMMYFUNCTION("""COMPUTED_VALUE"""),"T1")</f>
        <v>T1</v>
      </c>
      <c r="C79" t="str">
        <f ca="1">IFERROR(__xludf.DUMMYFUNCTION("""COMPUTED_VALUE"""),"Harris English")</f>
        <v>Harris English</v>
      </c>
      <c r="D79">
        <f ca="1">IFERROR(__xludf.DUMMYFUNCTION("""COMPUTED_VALUE"""),14)</f>
        <v>14</v>
      </c>
      <c r="E79">
        <f ca="1">IFERROR(__xludf.DUMMYFUNCTION("""COMPUTED_VALUE"""),100)</f>
        <v>100</v>
      </c>
      <c r="F79">
        <f ca="1">IFERROR(__xludf.DUMMYFUNCTION("""COMPUTED_VALUE"""),11)</f>
        <v>11</v>
      </c>
      <c r="G79">
        <f ca="1">IFERROR(__xludf.DUMMYFUNCTION("""COMPUTED_VALUE"""),11)</f>
        <v>11</v>
      </c>
    </row>
    <row r="80" spans="1:7" ht="12.75">
      <c r="A80" t="str">
        <f ca="1">IFERROR(__xludf.DUMMYFUNCTION("""COMPUTED_VALUE"""),"T1")</f>
        <v>T1</v>
      </c>
      <c r="B80" t="str">
        <f ca="1">IFERROR(__xludf.DUMMYFUNCTION("""COMPUTED_VALUE"""),"")</f>
        <v/>
      </c>
      <c r="C80" t="str">
        <f ca="1">IFERROR(__xludf.DUMMYFUNCTION("""COMPUTED_VALUE"""),"John Huh")</f>
        <v>John Huh</v>
      </c>
      <c r="D80">
        <f ca="1">IFERROR(__xludf.DUMMYFUNCTION("""COMPUTED_VALUE"""),8)</f>
        <v>8</v>
      </c>
      <c r="E80">
        <f ca="1">IFERROR(__xludf.DUMMYFUNCTION("""COMPUTED_VALUE"""),100)</f>
        <v>100</v>
      </c>
      <c r="F80">
        <f ca="1">IFERROR(__xludf.DUMMYFUNCTION("""COMPUTED_VALUE"""),3)</f>
        <v>3</v>
      </c>
      <c r="G80">
        <f ca="1">IFERROR(__xludf.DUMMYFUNCTION("""COMPUTED_VALUE"""),3)</f>
        <v>3</v>
      </c>
    </row>
    <row r="81" spans="1:7" ht="12.75">
      <c r="A81" t="str">
        <f ca="1">IFERROR(__xludf.DUMMYFUNCTION("""COMPUTED_VALUE"""),"T1")</f>
        <v>T1</v>
      </c>
      <c r="B81" t="str">
        <f ca="1">IFERROR(__xludf.DUMMYFUNCTION("""COMPUTED_VALUE"""),"T1")</f>
        <v>T1</v>
      </c>
      <c r="C81" t="str">
        <f ca="1">IFERROR(__xludf.DUMMYFUNCTION("""COMPUTED_VALUE"""),"Hudson Swafford")</f>
        <v>Hudson Swafford</v>
      </c>
      <c r="D81">
        <f ca="1">IFERROR(__xludf.DUMMYFUNCTION("""COMPUTED_VALUE"""),18)</f>
        <v>18</v>
      </c>
      <c r="E81">
        <f ca="1">IFERROR(__xludf.DUMMYFUNCTION("""COMPUTED_VALUE"""),100)</f>
        <v>100</v>
      </c>
      <c r="F81">
        <f ca="1">IFERROR(__xludf.DUMMYFUNCTION("""COMPUTED_VALUE"""),16)</f>
        <v>16</v>
      </c>
      <c r="G81">
        <f ca="1">IFERROR(__xludf.DUMMYFUNCTION("""COMPUTED_VALUE"""),16)</f>
        <v>16</v>
      </c>
    </row>
    <row r="82" spans="1:7" ht="12.75">
      <c r="A82" t="str">
        <f ca="1">IFERROR(__xludf.DUMMYFUNCTION("""COMPUTED_VALUE"""),"T1")</f>
        <v>T1</v>
      </c>
      <c r="B82" t="str">
        <f ca="1">IFERROR(__xludf.DUMMYFUNCTION("""COMPUTED_VALUE"""),"T1")</f>
        <v>T1</v>
      </c>
      <c r="C82" t="str">
        <f ca="1">IFERROR(__xludf.DUMMYFUNCTION("""COMPUTED_VALUE"""),"Sebastian Cappelen")</f>
        <v>Sebastian Cappelen</v>
      </c>
      <c r="D82">
        <f ca="1">IFERROR(__xludf.DUMMYFUNCTION("""COMPUTED_VALUE"""),8)</f>
        <v>8</v>
      </c>
      <c r="E82">
        <f ca="1">IFERROR(__xludf.DUMMYFUNCTION("""COMPUTED_VALUE"""),100)</f>
        <v>100</v>
      </c>
      <c r="F82">
        <f ca="1">IFERROR(__xludf.DUMMYFUNCTION("""COMPUTED_VALUE"""),8)</f>
        <v>8</v>
      </c>
      <c r="G82">
        <f ca="1">IFERROR(__xludf.DUMMYFUNCTION("""COMPUTED_VALUE"""),8)</f>
        <v>8</v>
      </c>
    </row>
    <row r="83" spans="1:7" ht="12.75">
      <c r="A83" t="str">
        <f ca="1">IFERROR(__xludf.DUMMYFUNCTION("""COMPUTED_VALUE"""),"T1")</f>
        <v>T1</v>
      </c>
      <c r="B83" t="str">
        <f ca="1">IFERROR(__xludf.DUMMYFUNCTION("""COMPUTED_VALUE"""),"T1")</f>
        <v>T1</v>
      </c>
      <c r="C83" t="str">
        <f ca="1">IFERROR(__xludf.DUMMYFUNCTION("""COMPUTED_VALUE"""),"Patrick Reed")</f>
        <v>Patrick Reed</v>
      </c>
      <c r="D83">
        <f ca="1">IFERROR(__xludf.DUMMYFUNCTION("""COMPUTED_VALUE"""),8)</f>
        <v>8</v>
      </c>
      <c r="E83">
        <f ca="1">IFERROR(__xludf.DUMMYFUNCTION("""COMPUTED_VALUE"""),100)</f>
        <v>100</v>
      </c>
      <c r="F83">
        <f ca="1">IFERROR(__xludf.DUMMYFUNCTION("""COMPUTED_VALUE"""),5)</f>
        <v>5</v>
      </c>
      <c r="G83">
        <f ca="1">IFERROR(__xludf.DUMMYFUNCTION("""COMPUTED_VALUE"""),5)</f>
        <v>5</v>
      </c>
    </row>
    <row r="84" spans="1:7" ht="12.75">
      <c r="A84" t="str">
        <f ca="1">IFERROR(__xludf.DUMMYFUNCTION("""COMPUTED_VALUE"""),"T1")</f>
        <v>T1</v>
      </c>
      <c r="B84" t="str">
        <f ca="1">IFERROR(__xludf.DUMMYFUNCTION("""COMPUTED_VALUE"""),"")</f>
        <v/>
      </c>
      <c r="C84" t="str">
        <f ca="1">IFERROR(__xludf.DUMMYFUNCTION("""COMPUTED_VALUE"""),"Erik Barnes")</f>
        <v>Erik Barnes</v>
      </c>
      <c r="D84">
        <f ca="1">IFERROR(__xludf.DUMMYFUNCTION("""COMPUTED_VALUE"""),4)</f>
        <v>4</v>
      </c>
      <c r="E84">
        <f ca="1">IFERROR(__xludf.DUMMYFUNCTION("""COMPUTED_VALUE"""),100)</f>
        <v>100</v>
      </c>
      <c r="F84">
        <f ca="1">IFERROR(__xludf.DUMMYFUNCTION("""COMPUTED_VALUE"""),2)</f>
        <v>2</v>
      </c>
      <c r="G84">
        <f ca="1">IFERROR(__xludf.DUMMYFUNCTION("""COMPUTED_VALUE"""),2)</f>
        <v>2</v>
      </c>
    </row>
    <row r="85" spans="1:7" ht="12.75">
      <c r="A85" t="str">
        <f ca="1">IFERROR(__xludf.DUMMYFUNCTION("""COMPUTED_VALUE"""),"T1")</f>
        <v>T1</v>
      </c>
      <c r="B85" t="str">
        <f ca="1">IFERROR(__xludf.DUMMYFUNCTION("""COMPUTED_VALUE"""),"T1")</f>
        <v>T1</v>
      </c>
      <c r="C85" t="str">
        <f ca="1">IFERROR(__xludf.DUMMYFUNCTION("""COMPUTED_VALUE"""),"Mikumu Horikawa")</f>
        <v>Mikumu Horikawa</v>
      </c>
      <c r="D85">
        <f ca="1">IFERROR(__xludf.DUMMYFUNCTION("""COMPUTED_VALUE"""),4)</f>
        <v>4</v>
      </c>
      <c r="E85">
        <f ca="1">IFERROR(__xludf.DUMMYFUNCTION("""COMPUTED_VALUE"""),100)</f>
        <v>100</v>
      </c>
      <c r="F85">
        <f ca="1">IFERROR(__xludf.DUMMYFUNCTION("""COMPUTED_VALUE"""),4)</f>
        <v>4</v>
      </c>
      <c r="G85">
        <f ca="1">IFERROR(__xludf.DUMMYFUNCTION("""COMPUTED_VALUE"""),4)</f>
        <v>4</v>
      </c>
    </row>
    <row r="86" spans="1:7" ht="12.75">
      <c r="A86" t="str">
        <f ca="1">IFERROR(__xludf.DUMMYFUNCTION("""COMPUTED_VALUE"""),"T1")</f>
        <v>T1</v>
      </c>
      <c r="B86" t="str">
        <f ca="1">IFERROR(__xludf.DUMMYFUNCTION("""COMPUTED_VALUE"""),"T1")</f>
        <v>T1</v>
      </c>
      <c r="C86" t="str">
        <f ca="1">IFERROR(__xludf.DUMMYFUNCTION("""COMPUTED_VALUE"""),"Lanto Griffin")</f>
        <v>Lanto Griffin</v>
      </c>
      <c r="D86">
        <f ca="1">IFERROR(__xludf.DUMMYFUNCTION("""COMPUTED_VALUE"""),18)</f>
        <v>18</v>
      </c>
      <c r="E86">
        <f ca="1">IFERROR(__xludf.DUMMYFUNCTION("""COMPUTED_VALUE"""),100)</f>
        <v>100</v>
      </c>
      <c r="F86">
        <f ca="1">IFERROR(__xludf.DUMMYFUNCTION("""COMPUTED_VALUE"""),3)</f>
        <v>3</v>
      </c>
      <c r="G86">
        <f ca="1">IFERROR(__xludf.DUMMYFUNCTION("""COMPUTED_VALUE"""),3)</f>
        <v>3</v>
      </c>
    </row>
    <row r="87" spans="1:7" ht="12.75">
      <c r="A87" t="str">
        <f ca="1">IFERROR(__xludf.DUMMYFUNCTION("""COMPUTED_VALUE"""),"T1")</f>
        <v>T1</v>
      </c>
      <c r="B87" t="str">
        <f ca="1">IFERROR(__xludf.DUMMYFUNCTION("""COMPUTED_VALUE"""),"T1")</f>
        <v>T1</v>
      </c>
      <c r="C87" t="str">
        <f ca="1">IFERROR(__xludf.DUMMYFUNCTION("""COMPUTED_VALUE"""),"Martin Trainer")</f>
        <v>Martin Trainer</v>
      </c>
      <c r="D87">
        <f ca="1">IFERROR(__xludf.DUMMYFUNCTION("""COMPUTED_VALUE"""),10)</f>
        <v>10</v>
      </c>
      <c r="E87">
        <f ca="1">IFERROR(__xludf.DUMMYFUNCTION("""COMPUTED_VALUE"""),100)</f>
        <v>100</v>
      </c>
      <c r="F87">
        <f ca="1">IFERROR(__xludf.DUMMYFUNCTION("""COMPUTED_VALUE"""),8)</f>
        <v>8</v>
      </c>
      <c r="G87">
        <f ca="1">IFERROR(__xludf.DUMMYFUNCTION("""COMPUTED_VALUE"""),8)</f>
        <v>8</v>
      </c>
    </row>
    <row r="88" spans="1:7" ht="12.75">
      <c r="A88" t="str">
        <f ca="1">IFERROR(__xludf.DUMMYFUNCTION("""COMPUTED_VALUE"""),"T1")</f>
        <v>T1</v>
      </c>
      <c r="B88" t="str">
        <f ca="1">IFERROR(__xludf.DUMMYFUNCTION("""COMPUTED_VALUE"""),"T1")</f>
        <v>T1</v>
      </c>
      <c r="C88" t="str">
        <f ca="1">IFERROR(__xludf.DUMMYFUNCTION("""COMPUTED_VALUE"""),"Brooks Koepka")</f>
        <v>Brooks Koepka</v>
      </c>
      <c r="D88">
        <f ca="1">IFERROR(__xludf.DUMMYFUNCTION("""COMPUTED_VALUE"""),8)</f>
        <v>8</v>
      </c>
      <c r="E88">
        <f ca="1">IFERROR(__xludf.DUMMYFUNCTION("""COMPUTED_VALUE"""),100)</f>
        <v>100</v>
      </c>
      <c r="F88">
        <f ca="1">IFERROR(__xludf.DUMMYFUNCTION("""COMPUTED_VALUE"""),5)</f>
        <v>5</v>
      </c>
      <c r="G88">
        <f ca="1">IFERROR(__xludf.DUMMYFUNCTION("""COMPUTED_VALUE"""),5)</f>
        <v>5</v>
      </c>
    </row>
    <row r="89" spans="1:7" ht="12.75">
      <c r="A89" t="str">
        <f ca="1">IFERROR(__xludf.DUMMYFUNCTION("""COMPUTED_VALUE"""),"T1")</f>
        <v>T1</v>
      </c>
      <c r="B89" t="str">
        <f ca="1">IFERROR(__xludf.DUMMYFUNCTION("""COMPUTED_VALUE"""),"T1")</f>
        <v>T1</v>
      </c>
      <c r="C89" t="str">
        <f ca="1">IFERROR(__xludf.DUMMYFUNCTION("""COMPUTED_VALUE"""),"Romain Langasque")</f>
        <v>Romain Langasque</v>
      </c>
      <c r="D89">
        <f ca="1">IFERROR(__xludf.DUMMYFUNCTION("""COMPUTED_VALUE"""),4)</f>
        <v>4</v>
      </c>
      <c r="E89">
        <f ca="1">IFERROR(__xludf.DUMMYFUNCTION("""COMPUTED_VALUE"""),100)</f>
        <v>100</v>
      </c>
      <c r="F89">
        <f ca="1">IFERROR(__xludf.DUMMYFUNCTION("""COMPUTED_VALUE"""),3)</f>
        <v>3</v>
      </c>
      <c r="G89">
        <f ca="1">IFERROR(__xludf.DUMMYFUNCTION("""COMPUTED_VALUE"""),3)</f>
        <v>3</v>
      </c>
    </row>
    <row r="90" spans="1:7" ht="12.75">
      <c r="A90" t="str">
        <f ca="1">IFERROR(__xludf.DUMMYFUNCTION("""COMPUTED_VALUE"""),"T1")</f>
        <v>T1</v>
      </c>
      <c r="B90" t="str">
        <f ca="1">IFERROR(__xludf.DUMMYFUNCTION("""COMPUTED_VALUE"""),"T1")</f>
        <v>T1</v>
      </c>
      <c r="C90" t="str">
        <f ca="1">IFERROR(__xludf.DUMMYFUNCTION("""COMPUTED_VALUE"""),"MJ Daffue")</f>
        <v>MJ Daffue</v>
      </c>
      <c r="D90">
        <f ca="1">IFERROR(__xludf.DUMMYFUNCTION("""COMPUTED_VALUE"""),10)</f>
        <v>10</v>
      </c>
      <c r="E90">
        <f ca="1">IFERROR(__xludf.DUMMYFUNCTION("""COMPUTED_VALUE"""),100)</f>
        <v>100</v>
      </c>
      <c r="F90">
        <f ca="1">IFERROR(__xludf.DUMMYFUNCTION("""COMPUTED_VALUE"""),2)</f>
        <v>2</v>
      </c>
      <c r="G90">
        <f ca="1">IFERROR(__xludf.DUMMYFUNCTION("""COMPUTED_VALUE"""),2)</f>
        <v>2</v>
      </c>
    </row>
    <row r="91" spans="1:7" ht="12.75">
      <c r="A91" t="str">
        <f ca="1">IFERROR(__xludf.DUMMYFUNCTION("""COMPUTED_VALUE"""),"T1")</f>
        <v>T1</v>
      </c>
      <c r="B91" t="str">
        <f ca="1">IFERROR(__xludf.DUMMYFUNCTION("""COMPUTED_VALUE"""),"T1")</f>
        <v>T1</v>
      </c>
      <c r="C91" t="str">
        <f ca="1">IFERROR(__xludf.DUMMYFUNCTION("""COMPUTED_VALUE"""),"Dominic Bozzelli")</f>
        <v>Dominic Bozzelli</v>
      </c>
      <c r="D91">
        <f ca="1">IFERROR(__xludf.DUMMYFUNCTION("""COMPUTED_VALUE"""),8)</f>
        <v>8</v>
      </c>
      <c r="E91">
        <f ca="1">IFERROR(__xludf.DUMMYFUNCTION("""COMPUTED_VALUE"""),100)</f>
        <v>100</v>
      </c>
      <c r="F91">
        <f ca="1">IFERROR(__xludf.DUMMYFUNCTION("""COMPUTED_VALUE"""),6)</f>
        <v>6</v>
      </c>
      <c r="G91">
        <f ca="1">IFERROR(__xludf.DUMMYFUNCTION("""COMPUTED_VALUE"""),6)</f>
        <v>6</v>
      </c>
    </row>
    <row r="92" spans="1:7" ht="12.75">
      <c r="A92" t="str">
        <f ca="1">IFERROR(__xludf.DUMMYFUNCTION("""COMPUTED_VALUE"""),"T1")</f>
        <v>T1</v>
      </c>
      <c r="B92" t="str">
        <f ca="1">IFERROR(__xludf.DUMMYFUNCTION("""COMPUTED_VALUE"""),"T1")</f>
        <v>T1</v>
      </c>
      <c r="C92" t="str">
        <f ca="1">IFERROR(__xludf.DUMMYFUNCTION("""COMPUTED_VALUE"""),"Zac Blair")</f>
        <v>Zac Blair</v>
      </c>
      <c r="D92">
        <f ca="1">IFERROR(__xludf.DUMMYFUNCTION("""COMPUTED_VALUE"""),10)</f>
        <v>10</v>
      </c>
      <c r="E92">
        <f ca="1">IFERROR(__xludf.DUMMYFUNCTION("""COMPUTED_VALUE"""),100)</f>
        <v>100</v>
      </c>
      <c r="F92">
        <f ca="1">IFERROR(__xludf.DUMMYFUNCTION("""COMPUTED_VALUE"""),7)</f>
        <v>7</v>
      </c>
      <c r="G92">
        <f ca="1">IFERROR(__xludf.DUMMYFUNCTION("""COMPUTED_VALUE"""),7)</f>
        <v>7</v>
      </c>
    </row>
    <row r="93" spans="1:7" ht="12.75">
      <c r="A93" t="str">
        <f ca="1">IFERROR(__xludf.DUMMYFUNCTION("""COMPUTED_VALUE"""),"T1")</f>
        <v>T1</v>
      </c>
      <c r="B93" t="str">
        <f ca="1">IFERROR(__xludf.DUMMYFUNCTION("""COMPUTED_VALUE"""),"T1")</f>
        <v>T1</v>
      </c>
      <c r="C93" t="str">
        <f ca="1">IFERROR(__xludf.DUMMYFUNCTION("""COMPUTED_VALUE"""),"Christiaan Bezuidenhout")</f>
        <v>Christiaan Bezuidenhout</v>
      </c>
      <c r="D93">
        <f ca="1">IFERROR(__xludf.DUMMYFUNCTION("""COMPUTED_VALUE"""),4)</f>
        <v>4</v>
      </c>
      <c r="E93">
        <f ca="1">IFERROR(__xludf.DUMMYFUNCTION("""COMPUTED_VALUE"""),100)</f>
        <v>100</v>
      </c>
      <c r="F93">
        <f ca="1">IFERROR(__xludf.DUMMYFUNCTION("""COMPUTED_VALUE"""),5)</f>
        <v>5</v>
      </c>
      <c r="G93">
        <f ca="1">IFERROR(__xludf.DUMMYFUNCTION("""COMPUTED_VALUE"""),5)</f>
        <v>5</v>
      </c>
    </row>
    <row r="94" spans="1:7" ht="12.75">
      <c r="A94" t="str">
        <f ca="1">IFERROR(__xludf.DUMMYFUNCTION("""COMPUTED_VALUE"""),"T1")</f>
        <v>T1</v>
      </c>
      <c r="B94" t="str">
        <f ca="1">IFERROR(__xludf.DUMMYFUNCTION("""COMPUTED_VALUE"""),"T1")</f>
        <v>T1</v>
      </c>
      <c r="C94" t="str">
        <f ca="1">IFERROR(__xludf.DUMMYFUNCTION("""COMPUTED_VALUE"""),"Alex Smalley")</f>
        <v>Alex Smalley</v>
      </c>
      <c r="D94">
        <f ca="1">IFERROR(__xludf.DUMMYFUNCTION("""COMPUTED_VALUE"""),4)</f>
        <v>4</v>
      </c>
      <c r="E94">
        <f ca="1">IFERROR(__xludf.DUMMYFUNCTION("""COMPUTED_VALUE"""),100)</f>
        <v>100</v>
      </c>
      <c r="F94">
        <f ca="1">IFERROR(__xludf.DUMMYFUNCTION("""COMPUTED_VALUE"""),4)</f>
        <v>4</v>
      </c>
      <c r="G94">
        <f ca="1">IFERROR(__xludf.DUMMYFUNCTION("""COMPUTED_VALUE"""),4)</f>
        <v>4</v>
      </c>
    </row>
    <row r="95" spans="1:7" ht="12.75">
      <c r="A95" t="str">
        <f ca="1">IFERROR(__xludf.DUMMYFUNCTION("""COMPUTED_VALUE"""),"T1")</f>
        <v>T1</v>
      </c>
      <c r="B95" t="str">
        <f ca="1">IFERROR(__xludf.DUMMYFUNCTION("""COMPUTED_VALUE"""),"T1")</f>
        <v>T1</v>
      </c>
      <c r="C95" t="str">
        <f ca="1">IFERROR(__xludf.DUMMYFUNCTION("""COMPUTED_VALUE"""),"Austin Cook")</f>
        <v>Austin Cook</v>
      </c>
      <c r="D95">
        <f ca="1">IFERROR(__xludf.DUMMYFUNCTION("""COMPUTED_VALUE"""),14)</f>
        <v>14</v>
      </c>
      <c r="E95">
        <f ca="1">IFERROR(__xludf.DUMMYFUNCTION("""COMPUTED_VALUE"""),100)</f>
        <v>100</v>
      </c>
      <c r="F95">
        <f ca="1">IFERROR(__xludf.DUMMYFUNCTION("""COMPUTED_VALUE"""),7)</f>
        <v>7</v>
      </c>
      <c r="G95">
        <f ca="1">IFERROR(__xludf.DUMMYFUNCTION("""COMPUTED_VALUE"""),7)</f>
        <v>7</v>
      </c>
    </row>
    <row r="96" spans="1:7" ht="12.75">
      <c r="A96" t="str">
        <f ca="1">IFERROR(__xludf.DUMMYFUNCTION("""COMPUTED_VALUE"""),"T1")</f>
        <v>T1</v>
      </c>
      <c r="B96" t="str">
        <f ca="1">IFERROR(__xludf.DUMMYFUNCTION("""COMPUTED_VALUE"""),"T1")</f>
        <v>T1</v>
      </c>
      <c r="C96" t="str">
        <f ca="1">IFERROR(__xludf.DUMMYFUNCTION("""COMPUTED_VALUE"""),"Robby Shelton")</f>
        <v>Robby Shelton</v>
      </c>
      <c r="D96">
        <f ca="1">IFERROR(__xludf.DUMMYFUNCTION("""COMPUTED_VALUE"""),14)</f>
        <v>14</v>
      </c>
      <c r="E96">
        <f ca="1">IFERROR(__xludf.DUMMYFUNCTION("""COMPUTED_VALUE"""),100)</f>
        <v>100</v>
      </c>
      <c r="F96">
        <f ca="1">IFERROR(__xludf.DUMMYFUNCTION("""COMPUTED_VALUE"""),5)</f>
        <v>5</v>
      </c>
      <c r="G96">
        <f ca="1">IFERROR(__xludf.DUMMYFUNCTION("""COMPUTED_VALUE"""),5)</f>
        <v>5</v>
      </c>
    </row>
    <row r="97" spans="1:7" ht="12.75">
      <c r="A97" t="str">
        <f ca="1">IFERROR(__xludf.DUMMYFUNCTION("""COMPUTED_VALUE"""),"T1")</f>
        <v>T1</v>
      </c>
      <c r="B97" t="str">
        <f ca="1">IFERROR(__xludf.DUMMYFUNCTION("""COMPUTED_VALUE"""),"T1")</f>
        <v>T1</v>
      </c>
      <c r="C97" t="str">
        <f ca="1">IFERROR(__xludf.DUMMYFUNCTION("""COMPUTED_VALUE"""),"Maverick McNealy")</f>
        <v>Maverick McNealy</v>
      </c>
      <c r="D97">
        <f ca="1">IFERROR(__xludf.DUMMYFUNCTION("""COMPUTED_VALUE"""),16)</f>
        <v>16</v>
      </c>
      <c r="E97">
        <f ca="1">IFERROR(__xludf.DUMMYFUNCTION("""COMPUTED_VALUE"""),100)</f>
        <v>100</v>
      </c>
      <c r="F97">
        <f ca="1">IFERROR(__xludf.DUMMYFUNCTION("""COMPUTED_VALUE"""),12)</f>
        <v>12</v>
      </c>
      <c r="G97">
        <f ca="1">IFERROR(__xludf.DUMMYFUNCTION("""COMPUTED_VALUE"""),12)</f>
        <v>12</v>
      </c>
    </row>
    <row r="98" spans="1:7" ht="12.75">
      <c r="A98" t="str">
        <f ca="1">IFERROR(__xludf.DUMMYFUNCTION("""COMPUTED_VALUE"""),"T1")</f>
        <v>T1</v>
      </c>
      <c r="B98" t="str">
        <f ca="1">IFERROR(__xludf.DUMMYFUNCTION("""COMPUTED_VALUE"""),"T1")</f>
        <v>T1</v>
      </c>
      <c r="C98" t="str">
        <f ca="1">IFERROR(__xludf.DUMMYFUNCTION("""COMPUTED_VALUE"""),"Viktor Hovland")</f>
        <v>Viktor Hovland</v>
      </c>
      <c r="D98">
        <f ca="1">IFERROR(__xludf.DUMMYFUNCTION("""COMPUTED_VALUE"""),16)</f>
        <v>16</v>
      </c>
      <c r="E98">
        <f ca="1">IFERROR(__xludf.DUMMYFUNCTION("""COMPUTED_VALUE"""),100)</f>
        <v>100</v>
      </c>
      <c r="F98">
        <f ca="1">IFERROR(__xludf.DUMMYFUNCTION("""COMPUTED_VALUE"""),6)</f>
        <v>6</v>
      </c>
      <c r="G98">
        <f ca="1">IFERROR(__xludf.DUMMYFUNCTION("""COMPUTED_VALUE"""),6)</f>
        <v>6</v>
      </c>
    </row>
    <row r="99" spans="1:7" ht="12.75">
      <c r="A99" t="str">
        <f ca="1">IFERROR(__xludf.DUMMYFUNCTION("""COMPUTED_VALUE"""),"T1")</f>
        <v>T1</v>
      </c>
      <c r="B99" t="str">
        <f ca="1">IFERROR(__xludf.DUMMYFUNCTION("""COMPUTED_VALUE"""),"T1")</f>
        <v>T1</v>
      </c>
      <c r="C99" t="str">
        <f ca="1">IFERROR(__xludf.DUMMYFUNCTION("""COMPUTED_VALUE"""),"Jeongwoo Ham")</f>
        <v>Jeongwoo Ham</v>
      </c>
      <c r="D99">
        <f ca="1">IFERROR(__xludf.DUMMYFUNCTION("""COMPUTED_VALUE"""),4)</f>
        <v>4</v>
      </c>
      <c r="E99">
        <f ca="1">IFERROR(__xludf.DUMMYFUNCTION("""COMPUTED_VALUE"""),100)</f>
        <v>100</v>
      </c>
      <c r="F99">
        <f ca="1">IFERROR(__xludf.DUMMYFUNCTION("""COMPUTED_VALUE"""),1)</f>
        <v>1</v>
      </c>
      <c r="G99">
        <f ca="1">IFERROR(__xludf.DUMMYFUNCTION("""COMPUTED_VALUE"""),1)</f>
        <v>1</v>
      </c>
    </row>
    <row r="100" spans="1:7" ht="12.75">
      <c r="A100" t="str">
        <f ca="1">IFERROR(__xludf.DUMMYFUNCTION("""COMPUTED_VALUE"""),"T1")</f>
        <v>T1</v>
      </c>
      <c r="B100" t="str">
        <f ca="1">IFERROR(__xludf.DUMMYFUNCTION("""COMPUTED_VALUE"""),"T1")</f>
        <v>T1</v>
      </c>
      <c r="C100" t="str">
        <f ca="1">IFERROR(__xludf.DUMMYFUNCTION("""COMPUTED_VALUE"""),"Jaekyeong Lee")</f>
        <v>Jaekyeong Lee</v>
      </c>
      <c r="D100">
        <f ca="1">IFERROR(__xludf.DUMMYFUNCTION("""COMPUTED_VALUE"""),4)</f>
        <v>4</v>
      </c>
      <c r="E100">
        <f ca="1">IFERROR(__xludf.DUMMYFUNCTION("""COMPUTED_VALUE"""),100)</f>
        <v>100</v>
      </c>
      <c r="F100">
        <f ca="1">IFERROR(__xludf.DUMMYFUNCTION("""COMPUTED_VALUE"""),2)</f>
        <v>2</v>
      </c>
      <c r="G100">
        <f ca="1">IFERROR(__xludf.DUMMYFUNCTION("""COMPUTED_VALUE"""),2)</f>
        <v>2</v>
      </c>
    </row>
    <row r="101" spans="1:7" ht="12.75">
      <c r="A101" t="str">
        <f ca="1">IFERROR(__xludf.DUMMYFUNCTION("""COMPUTED_VALUE"""),"T1")</f>
        <v>T1</v>
      </c>
      <c r="B101" t="str">
        <f ca="1">IFERROR(__xludf.DUMMYFUNCTION("""COMPUTED_VALUE"""),"T1")</f>
        <v>T1</v>
      </c>
      <c r="C101" t="str">
        <f ca="1">IFERROR(__xludf.DUMMYFUNCTION("""COMPUTED_VALUE"""),"Rikuya Hoshino")</f>
        <v>Rikuya Hoshino</v>
      </c>
      <c r="D101">
        <f ca="1">IFERROR(__xludf.DUMMYFUNCTION("""COMPUTED_VALUE"""),4)</f>
        <v>4</v>
      </c>
      <c r="E101">
        <f ca="1">IFERROR(__xludf.DUMMYFUNCTION("""COMPUTED_VALUE"""),100)</f>
        <v>100</v>
      </c>
      <c r="F101">
        <f ca="1">IFERROR(__xludf.DUMMYFUNCTION("""COMPUTED_VALUE"""),4)</f>
        <v>4</v>
      </c>
      <c r="G101">
        <f ca="1">IFERROR(__xludf.DUMMYFUNCTION("""COMPUTED_VALUE"""),4)</f>
        <v>4</v>
      </c>
    </row>
    <row r="102" spans="1:7" ht="12.75">
      <c r="A102" t="str">
        <f ca="1">IFERROR(__xludf.DUMMYFUNCTION("""COMPUTED_VALUE"""),"T1")</f>
        <v>T1</v>
      </c>
      <c r="B102" t="str">
        <f ca="1">IFERROR(__xludf.DUMMYFUNCTION("""COMPUTED_VALUE"""),"T1")</f>
        <v>T1</v>
      </c>
      <c r="C102" t="str">
        <f ca="1">IFERROR(__xludf.DUMMYFUNCTION("""COMPUTED_VALUE"""),"Richy Werenski")</f>
        <v>Richy Werenski</v>
      </c>
      <c r="D102">
        <f ca="1">IFERROR(__xludf.DUMMYFUNCTION("""COMPUTED_VALUE"""),16)</f>
        <v>16</v>
      </c>
      <c r="E102">
        <f ca="1">IFERROR(__xludf.DUMMYFUNCTION("""COMPUTED_VALUE"""),100)</f>
        <v>100</v>
      </c>
      <c r="F102">
        <f ca="1">IFERROR(__xludf.DUMMYFUNCTION("""COMPUTED_VALUE"""),9)</f>
        <v>9</v>
      </c>
      <c r="G102">
        <f ca="1">IFERROR(__xludf.DUMMYFUNCTION("""COMPUTED_VALUE"""),9)</f>
        <v>9</v>
      </c>
    </row>
    <row r="103" spans="1:7" ht="12.75">
      <c r="A103" t="str">
        <f ca="1">IFERROR(__xludf.DUMMYFUNCTION("""COMPUTED_VALUE"""),"T1")</f>
        <v>T1</v>
      </c>
      <c r="B103" t="str">
        <f ca="1">IFERROR(__xludf.DUMMYFUNCTION("""COMPUTED_VALUE"""),"T1")</f>
        <v>T1</v>
      </c>
      <c r="C103" t="str">
        <f ca="1">IFERROR(__xludf.DUMMYFUNCTION("""COMPUTED_VALUE"""),"Jazz Janewattananond")</f>
        <v>Jazz Janewattananond</v>
      </c>
      <c r="D103">
        <f ca="1">IFERROR(__xludf.DUMMYFUNCTION("""COMPUTED_VALUE"""),6)</f>
        <v>6</v>
      </c>
      <c r="E103">
        <f ca="1">IFERROR(__xludf.DUMMYFUNCTION("""COMPUTED_VALUE"""),100)</f>
        <v>100</v>
      </c>
      <c r="F103">
        <f ca="1">IFERROR(__xludf.DUMMYFUNCTION("""COMPUTED_VALUE"""),2)</f>
        <v>2</v>
      </c>
      <c r="G103">
        <f ca="1">IFERROR(__xludf.DUMMYFUNCTION("""COMPUTED_VALUE"""),2)</f>
        <v>2</v>
      </c>
    </row>
    <row r="104" spans="1:7" ht="12.75">
      <c r="A104" t="str">
        <f ca="1">IFERROR(__xludf.DUMMYFUNCTION("""COMPUTED_VALUE"""),"T1")</f>
        <v>T1</v>
      </c>
      <c r="B104" t="str">
        <f ca="1">IFERROR(__xludf.DUMMYFUNCTION("""COMPUTED_VALUE"""),"T1")</f>
        <v>T1</v>
      </c>
      <c r="C104" t="str">
        <f ca="1">IFERROR(__xludf.DUMMYFUNCTION("""COMPUTED_VALUE"""),"Hanbyeol Kim")</f>
        <v>Hanbyeol Kim</v>
      </c>
      <c r="D104">
        <f ca="1">IFERROR(__xludf.DUMMYFUNCTION("""COMPUTED_VALUE"""),4)</f>
        <v>4</v>
      </c>
      <c r="E104">
        <f ca="1">IFERROR(__xludf.DUMMYFUNCTION("""COMPUTED_VALUE"""),100)</f>
        <v>100</v>
      </c>
      <c r="F104">
        <f ca="1">IFERROR(__xludf.DUMMYFUNCTION("""COMPUTED_VALUE"""),1)</f>
        <v>1</v>
      </c>
      <c r="G104">
        <f ca="1">IFERROR(__xludf.DUMMYFUNCTION("""COMPUTED_VALUE"""),1)</f>
        <v>1</v>
      </c>
    </row>
    <row r="105" spans="1:7" ht="12.75">
      <c r="A105" t="str">
        <f ca="1">IFERROR(__xludf.DUMMYFUNCTION("""COMPUTED_VALUE"""),"T1")</f>
        <v>T1</v>
      </c>
      <c r="B105" t="str">
        <f ca="1">IFERROR(__xludf.DUMMYFUNCTION("""COMPUTED_VALUE"""),"T1")</f>
        <v>T1</v>
      </c>
      <c r="C105" t="str">
        <f ca="1">IFERROR(__xludf.DUMMYFUNCTION("""COMPUTED_VALUE"""),"Naoki Sekito")</f>
        <v>Naoki Sekito</v>
      </c>
      <c r="D105">
        <f ca="1">IFERROR(__xludf.DUMMYFUNCTION("""COMPUTED_VALUE"""),4)</f>
        <v>4</v>
      </c>
      <c r="E105">
        <f ca="1">IFERROR(__xludf.DUMMYFUNCTION("""COMPUTED_VALUE"""),100)</f>
        <v>100</v>
      </c>
      <c r="F105">
        <f ca="1">IFERROR(__xludf.DUMMYFUNCTION("""COMPUTED_VALUE"""),1)</f>
        <v>1</v>
      </c>
      <c r="G105">
        <f ca="1">IFERROR(__xludf.DUMMYFUNCTION("""COMPUTED_VALUE"""),1)</f>
        <v>1</v>
      </c>
    </row>
    <row r="106" spans="1:7" ht="12.75">
      <c r="A106" t="str">
        <f ca="1">IFERROR(__xludf.DUMMYFUNCTION("""COMPUTED_VALUE"""),"T1")</f>
        <v>T1</v>
      </c>
      <c r="B106" t="str">
        <f ca="1">IFERROR(__xludf.DUMMYFUNCTION("""COMPUTED_VALUE"""),"T1")</f>
        <v>T1</v>
      </c>
      <c r="C106" t="str">
        <f ca="1">IFERROR(__xludf.DUMMYFUNCTION("""COMPUTED_VALUE"""),"Wesley Bryan")</f>
        <v>Wesley Bryan</v>
      </c>
      <c r="D106">
        <f ca="1">IFERROR(__xludf.DUMMYFUNCTION("""COMPUTED_VALUE"""),8)</f>
        <v>8</v>
      </c>
      <c r="E106">
        <f ca="1">IFERROR(__xludf.DUMMYFUNCTION("""COMPUTED_VALUE"""),100)</f>
        <v>100</v>
      </c>
      <c r="F106">
        <f ca="1">IFERROR(__xludf.DUMMYFUNCTION("""COMPUTED_VALUE"""),4)</f>
        <v>4</v>
      </c>
      <c r="G106">
        <f ca="1">IFERROR(__xludf.DUMMYFUNCTION("""COMPUTED_VALUE"""),4)</f>
        <v>4</v>
      </c>
    </row>
    <row r="107" spans="1:7" ht="12.75">
      <c r="A107" t="str">
        <f ca="1">IFERROR(__xludf.DUMMYFUNCTION("""COMPUTED_VALUE"""),"T1")</f>
        <v>T1</v>
      </c>
      <c r="B107" t="str">
        <f ca="1">IFERROR(__xludf.DUMMYFUNCTION("""COMPUTED_VALUE"""),"T1")</f>
        <v>T1</v>
      </c>
      <c r="C107" t="str">
        <f ca="1">IFERROR(__xludf.DUMMYFUNCTION("""COMPUTED_VALUE"""),"Kurt Kitayama")</f>
        <v>Kurt Kitayama</v>
      </c>
      <c r="D107">
        <f ca="1">IFERROR(__xludf.DUMMYFUNCTION("""COMPUTED_VALUE"""),4)</f>
        <v>4</v>
      </c>
      <c r="E107">
        <f ca="1">IFERROR(__xludf.DUMMYFUNCTION("""COMPUTED_VALUE"""),100)</f>
        <v>100</v>
      </c>
      <c r="F107">
        <f ca="1">IFERROR(__xludf.DUMMYFUNCTION("""COMPUTED_VALUE"""),2)</f>
        <v>2</v>
      </c>
      <c r="G107">
        <f ca="1">IFERROR(__xludf.DUMMYFUNCTION("""COMPUTED_VALUE"""),2)</f>
        <v>2</v>
      </c>
    </row>
    <row r="108" spans="1:7" ht="12.75">
      <c r="A108" t="str">
        <f ca="1">IFERROR(__xludf.DUMMYFUNCTION("""COMPUTED_VALUE"""),"T1")</f>
        <v>T1</v>
      </c>
      <c r="B108" t="str">
        <f ca="1">IFERROR(__xludf.DUMMYFUNCTION("""COMPUTED_VALUE"""),"T1")</f>
        <v>T1</v>
      </c>
      <c r="C108" t="str">
        <f ca="1">IFERROR(__xludf.DUMMYFUNCTION("""COMPUTED_VALUE"""),"Ben Taylor")</f>
        <v>Ben Taylor</v>
      </c>
      <c r="D108">
        <f ca="1">IFERROR(__xludf.DUMMYFUNCTION("""COMPUTED_VALUE"""),10)</f>
        <v>10</v>
      </c>
      <c r="E108">
        <f ca="1">IFERROR(__xludf.DUMMYFUNCTION("""COMPUTED_VALUE"""),100)</f>
        <v>100</v>
      </c>
      <c r="F108">
        <f ca="1">IFERROR(__xludf.DUMMYFUNCTION("""COMPUTED_VALUE"""),9)</f>
        <v>9</v>
      </c>
      <c r="G108">
        <f ca="1">IFERROR(__xludf.DUMMYFUNCTION("""COMPUTED_VALUE"""),9)</f>
        <v>9</v>
      </c>
    </row>
    <row r="109" spans="1:7" ht="12.75">
      <c r="A109" t="str">
        <f ca="1">IFERROR(__xludf.DUMMYFUNCTION("""COMPUTED_VALUE"""),"T1")</f>
        <v>T1</v>
      </c>
      <c r="B109" t="str">
        <f ca="1">IFERROR(__xludf.DUMMYFUNCTION("""COMPUTED_VALUE"""),"T1")</f>
        <v>T1</v>
      </c>
      <c r="C109" t="str">
        <f ca="1">IFERROR(__xludf.DUMMYFUNCTION("""COMPUTED_VALUE"""),"Sebastián Muñoz")</f>
        <v>Sebastián Muñoz</v>
      </c>
      <c r="D109">
        <f ca="1">IFERROR(__xludf.DUMMYFUNCTION("""COMPUTED_VALUE"""),20)</f>
        <v>20</v>
      </c>
      <c r="E109">
        <f ca="1">IFERROR(__xludf.DUMMYFUNCTION("""COMPUTED_VALUE"""),100)</f>
        <v>100</v>
      </c>
      <c r="F109">
        <f ca="1">IFERROR(__xludf.DUMMYFUNCTION("""COMPUTED_VALUE"""),10)</f>
        <v>10</v>
      </c>
      <c r="G109">
        <f ca="1">IFERROR(__xludf.DUMMYFUNCTION("""COMPUTED_VALUE"""),10)</f>
        <v>10</v>
      </c>
    </row>
    <row r="110" spans="1:7" ht="12.75">
      <c r="A110" t="str">
        <f ca="1">IFERROR(__xludf.DUMMYFUNCTION("""COMPUTED_VALUE"""),"T1")</f>
        <v>T1</v>
      </c>
      <c r="B110" t="str">
        <f ca="1">IFERROR(__xludf.DUMMYFUNCTION("""COMPUTED_VALUE"""),"T1")</f>
        <v>T1</v>
      </c>
      <c r="C110" t="str">
        <f ca="1">IFERROR(__xludf.DUMMYFUNCTION("""COMPUTED_VALUE"""),"Matt Wallace")</f>
        <v>Matt Wallace</v>
      </c>
      <c r="D110">
        <f ca="1">IFERROR(__xludf.DUMMYFUNCTION("""COMPUTED_VALUE"""),4)</f>
        <v>4</v>
      </c>
      <c r="E110">
        <f ca="1">IFERROR(__xludf.DUMMYFUNCTION("""COMPUTED_VALUE"""),100)</f>
        <v>100</v>
      </c>
      <c r="F110">
        <f ca="1">IFERROR(__xludf.DUMMYFUNCTION("""COMPUTED_VALUE"""),3)</f>
        <v>3</v>
      </c>
      <c r="G110">
        <f ca="1">IFERROR(__xludf.DUMMYFUNCTION("""COMPUTED_VALUE"""),3)</f>
        <v>3</v>
      </c>
    </row>
    <row r="111" spans="1:7" ht="12.75">
      <c r="A111" t="str">
        <f ca="1">IFERROR(__xludf.DUMMYFUNCTION("""COMPUTED_VALUE"""),"T1")</f>
        <v>T1</v>
      </c>
      <c r="B111" t="str">
        <f ca="1">IFERROR(__xludf.DUMMYFUNCTION("""COMPUTED_VALUE"""),"T1")</f>
        <v>T1</v>
      </c>
      <c r="C111" t="str">
        <f ca="1">IFERROR(__xludf.DUMMYFUNCTION("""COMPUTED_VALUE"""),"Tae Hee Lee")</f>
        <v>Tae Hee Lee</v>
      </c>
      <c r="D111">
        <f ca="1">IFERROR(__xludf.DUMMYFUNCTION("""COMPUTED_VALUE"""),4)</f>
        <v>4</v>
      </c>
      <c r="E111">
        <f ca="1">IFERROR(__xludf.DUMMYFUNCTION("""COMPUTED_VALUE"""),100)</f>
        <v>100</v>
      </c>
      <c r="F111">
        <f ca="1">IFERROR(__xludf.DUMMYFUNCTION("""COMPUTED_VALUE"""),5)</f>
        <v>5</v>
      </c>
      <c r="G111">
        <f ca="1">IFERROR(__xludf.DUMMYFUNCTION("""COMPUTED_VALUE"""),5)</f>
        <v>5</v>
      </c>
    </row>
    <row r="112" spans="1:7" ht="12.75">
      <c r="A112" t="str">
        <f ca="1">IFERROR(__xludf.DUMMYFUNCTION("""COMPUTED_VALUE"""),"T1")</f>
        <v>T1</v>
      </c>
      <c r="B112" t="str">
        <f ca="1">IFERROR(__xludf.DUMMYFUNCTION("""COMPUTED_VALUE"""),"T1")</f>
        <v>T1</v>
      </c>
      <c r="C112" t="str">
        <f ca="1">IFERROR(__xludf.DUMMYFUNCTION("""COMPUTED_VALUE"""),"J.T. Poston")</f>
        <v>J.T. Poston</v>
      </c>
      <c r="D112">
        <f ca="1">IFERROR(__xludf.DUMMYFUNCTION("""COMPUTED_VALUE"""),18)</f>
        <v>18</v>
      </c>
      <c r="E112">
        <f ca="1">IFERROR(__xludf.DUMMYFUNCTION("""COMPUTED_VALUE"""),100)</f>
        <v>100</v>
      </c>
      <c r="F112">
        <f ca="1">IFERROR(__xludf.DUMMYFUNCTION("""COMPUTED_VALUE"""),6)</f>
        <v>6</v>
      </c>
      <c r="G112">
        <f ca="1">IFERROR(__xludf.DUMMYFUNCTION("""COMPUTED_VALUE"""),6)</f>
        <v>6</v>
      </c>
    </row>
    <row r="113" spans="1:7" ht="12.75">
      <c r="A113" t="str">
        <f ca="1">IFERROR(__xludf.DUMMYFUNCTION("""COMPUTED_VALUE"""),"T1")</f>
        <v>T1</v>
      </c>
      <c r="B113" t="str">
        <f ca="1">IFERROR(__xludf.DUMMYFUNCTION("""COMPUTED_VALUE"""),"T1")</f>
        <v>T1</v>
      </c>
      <c r="C113" t="str">
        <f ca="1">IFERROR(__xludf.DUMMYFUNCTION("""COMPUTED_VALUE"""),"Aaron Wise")</f>
        <v>Aaron Wise</v>
      </c>
      <c r="D113">
        <f ca="1">IFERROR(__xludf.DUMMYFUNCTION("""COMPUTED_VALUE"""),16)</f>
        <v>16</v>
      </c>
      <c r="E113">
        <f ca="1">IFERROR(__xludf.DUMMYFUNCTION("""COMPUTED_VALUE"""),100)</f>
        <v>100</v>
      </c>
      <c r="F113">
        <f ca="1">IFERROR(__xludf.DUMMYFUNCTION("""COMPUTED_VALUE"""),6)</f>
        <v>6</v>
      </c>
      <c r="G113">
        <f ca="1">IFERROR(__xludf.DUMMYFUNCTION("""COMPUTED_VALUE"""),6)</f>
        <v>6</v>
      </c>
    </row>
    <row r="114" spans="1:7" ht="12.75">
      <c r="A114" t="str">
        <f ca="1">IFERROR(__xludf.DUMMYFUNCTION("""COMPUTED_VALUE"""),"T1")</f>
        <v>T1</v>
      </c>
      <c r="B114" t="str">
        <f ca="1">IFERROR(__xludf.DUMMYFUNCTION("""COMPUTED_VALUE"""),"T1")</f>
        <v>T1</v>
      </c>
      <c r="C114" t="str">
        <f ca="1">IFERROR(__xludf.DUMMYFUNCTION("""COMPUTED_VALUE"""),"Seonghyeon Kim")</f>
        <v>Seonghyeon Kim</v>
      </c>
      <c r="D114">
        <f ca="1">IFERROR(__xludf.DUMMYFUNCTION("""COMPUTED_VALUE"""),4)</f>
        <v>4</v>
      </c>
      <c r="E114">
        <f ca="1">IFERROR(__xludf.DUMMYFUNCTION("""COMPUTED_VALUE"""),100)</f>
        <v>100</v>
      </c>
      <c r="F114">
        <f ca="1">IFERROR(__xludf.DUMMYFUNCTION("""COMPUTED_VALUE"""),3)</f>
        <v>3</v>
      </c>
      <c r="G114">
        <f ca="1">IFERROR(__xludf.DUMMYFUNCTION("""COMPUTED_VALUE"""),3)</f>
        <v>3</v>
      </c>
    </row>
    <row r="115" spans="1:7" ht="12.75">
      <c r="A115" t="str">
        <f ca="1">IFERROR(__xludf.DUMMYFUNCTION("""COMPUTED_VALUE"""),"T1")</f>
        <v>T1</v>
      </c>
      <c r="B115" t="str">
        <f ca="1">IFERROR(__xludf.DUMMYFUNCTION("""COMPUTED_VALUE"""),"T1")</f>
        <v>T1</v>
      </c>
      <c r="C115" t="str">
        <f ca="1">IFERROR(__xludf.DUMMYFUNCTION("""COMPUTED_VALUE"""),"Sahith Theegala")</f>
        <v>Sahith Theegala</v>
      </c>
      <c r="D115">
        <f ca="1">IFERROR(__xludf.DUMMYFUNCTION("""COMPUTED_VALUE"""),6)</f>
        <v>6</v>
      </c>
      <c r="E115">
        <f ca="1">IFERROR(__xludf.DUMMYFUNCTION("""COMPUTED_VALUE"""),100)</f>
        <v>100</v>
      </c>
      <c r="F115">
        <f ca="1">IFERROR(__xludf.DUMMYFUNCTION("""COMPUTED_VALUE"""),5)</f>
        <v>5</v>
      </c>
      <c r="G115">
        <f ca="1">IFERROR(__xludf.DUMMYFUNCTION("""COMPUTED_VALUE"""),5)</f>
        <v>5</v>
      </c>
    </row>
    <row r="116" spans="1:7" ht="12.75">
      <c r="A116" t="str">
        <f ca="1">IFERROR(__xludf.DUMMYFUNCTION("""COMPUTED_VALUE"""),"T1")</f>
        <v>T1</v>
      </c>
      <c r="B116" t="str">
        <f ca="1">IFERROR(__xludf.DUMMYFUNCTION("""COMPUTED_VALUE"""),"T1")</f>
        <v>T1</v>
      </c>
      <c r="C116" t="str">
        <f ca="1">IFERROR(__xludf.DUMMYFUNCTION("""COMPUTED_VALUE"""),"Vincent Whaley")</f>
        <v>Vincent Whaley</v>
      </c>
      <c r="D116">
        <f ca="1">IFERROR(__xludf.DUMMYFUNCTION("""COMPUTED_VALUE"""),14)</f>
        <v>14</v>
      </c>
      <c r="E116">
        <f ca="1">IFERROR(__xludf.DUMMYFUNCTION("""COMPUTED_VALUE"""),100)</f>
        <v>100</v>
      </c>
      <c r="F116">
        <f ca="1">IFERROR(__xludf.DUMMYFUNCTION("""COMPUTED_VALUE"""),14)</f>
        <v>14</v>
      </c>
      <c r="G116">
        <f ca="1">IFERROR(__xludf.DUMMYFUNCTION("""COMPUTED_VALUE"""),14)</f>
        <v>14</v>
      </c>
    </row>
    <row r="117" spans="1:7" ht="12.75">
      <c r="A117" t="str">
        <f ca="1">IFERROR(__xludf.DUMMYFUNCTION("""COMPUTED_VALUE"""),"T1")</f>
        <v>T1</v>
      </c>
      <c r="B117" t="str">
        <f ca="1">IFERROR(__xludf.DUMMYFUNCTION("""COMPUTED_VALUE"""),"T1")</f>
        <v>T1</v>
      </c>
      <c r="C117" t="str">
        <f ca="1">IFERROR(__xludf.DUMMYFUNCTION("""COMPUTED_VALUE"""),"Doc Redman")</f>
        <v>Doc Redman</v>
      </c>
      <c r="D117">
        <f ca="1">IFERROR(__xludf.DUMMYFUNCTION("""COMPUTED_VALUE"""),18)</f>
        <v>18</v>
      </c>
      <c r="E117">
        <f ca="1">IFERROR(__xludf.DUMMYFUNCTION("""COMPUTED_VALUE"""),100)</f>
        <v>100</v>
      </c>
      <c r="F117">
        <f ca="1">IFERROR(__xludf.DUMMYFUNCTION("""COMPUTED_VALUE"""),16)</f>
        <v>16</v>
      </c>
      <c r="G117">
        <f ca="1">IFERROR(__xludf.DUMMYFUNCTION("""COMPUTED_VALUE"""),16)</f>
        <v>16</v>
      </c>
    </row>
    <row r="118" spans="1:7" ht="12.75">
      <c r="A118" t="str">
        <f ca="1">IFERROR(__xludf.DUMMYFUNCTION("""COMPUTED_VALUE"""),"T1")</f>
        <v>T1</v>
      </c>
      <c r="B118" t="str">
        <f ca="1">IFERROR(__xludf.DUMMYFUNCTION("""COMPUTED_VALUE"""),"T1")</f>
        <v>T1</v>
      </c>
      <c r="C118" t="str">
        <f ca="1">IFERROR(__xludf.DUMMYFUNCTION("""COMPUTED_VALUE"""),"Akshay Bhatia")</f>
        <v>Akshay Bhatia</v>
      </c>
      <c r="D118">
        <f ca="1">IFERROR(__xludf.DUMMYFUNCTION("""COMPUTED_VALUE"""),6)</f>
        <v>6</v>
      </c>
      <c r="E118">
        <f ca="1">IFERROR(__xludf.DUMMYFUNCTION("""COMPUTED_VALUE"""),100)</f>
        <v>100</v>
      </c>
      <c r="F118">
        <f ca="1">IFERROR(__xludf.DUMMYFUNCTION("""COMPUTED_VALUE"""),5)</f>
        <v>5</v>
      </c>
      <c r="G118">
        <f ca="1">IFERROR(__xludf.DUMMYFUNCTION("""COMPUTED_VALUE"""),5)</f>
        <v>5</v>
      </c>
    </row>
    <row r="119" spans="1:7" ht="12.75">
      <c r="A119" t="str">
        <f ca="1">IFERROR(__xludf.DUMMYFUNCTION("""COMPUTED_VALUE"""),"T1")</f>
        <v>T1</v>
      </c>
      <c r="B119" t="str">
        <f ca="1">IFERROR(__xludf.DUMMYFUNCTION("""COMPUTED_VALUE"""),"T1")</f>
        <v>T1</v>
      </c>
      <c r="C119" t="str">
        <f ca="1">IFERROR(__xludf.DUMMYFUNCTION("""COMPUTED_VALUE"""),"Isaiah Salinda")</f>
        <v>Isaiah Salinda</v>
      </c>
      <c r="D119">
        <f ca="1">IFERROR(__xludf.DUMMYFUNCTION("""COMPUTED_VALUE"""),8)</f>
        <v>8</v>
      </c>
      <c r="E119">
        <f ca="1">IFERROR(__xludf.DUMMYFUNCTION("""COMPUTED_VALUE"""),100)</f>
        <v>100</v>
      </c>
      <c r="F119">
        <f ca="1">IFERROR(__xludf.DUMMYFUNCTION("""COMPUTED_VALUE"""),1)</f>
        <v>1</v>
      </c>
      <c r="G119">
        <f ca="1">IFERROR(__xludf.DUMMYFUNCTION("""COMPUTED_VALUE"""),1)</f>
        <v>1</v>
      </c>
    </row>
    <row r="120" spans="1:7" ht="12.75">
      <c r="A120" t="str">
        <f ca="1">IFERROR(__xludf.DUMMYFUNCTION("""COMPUTED_VALUE"""),"T1")</f>
        <v>T1</v>
      </c>
      <c r="B120" t="str">
        <f ca="1">IFERROR(__xludf.DUMMYFUNCTION("""COMPUTED_VALUE"""),"T1")</f>
        <v>T1</v>
      </c>
      <c r="C120" t="str">
        <f ca="1">IFERROR(__xludf.DUMMYFUNCTION("""COMPUTED_VALUE"""),"George Markham")</f>
        <v>George Markham</v>
      </c>
      <c r="D120">
        <f ca="1">IFERROR(__xludf.DUMMYFUNCTION("""COMPUTED_VALUE"""),4)</f>
        <v>4</v>
      </c>
      <c r="E120">
        <f ca="1">IFERROR(__xludf.DUMMYFUNCTION("""COMPUTED_VALUE"""),100)</f>
        <v>100</v>
      </c>
      <c r="F120">
        <f ca="1">IFERROR(__xludf.DUMMYFUNCTION("""COMPUTED_VALUE"""),2)</f>
        <v>2</v>
      </c>
      <c r="G120">
        <f ca="1">IFERROR(__xludf.DUMMYFUNCTION("""COMPUTED_VALUE"""),2)</f>
        <v>2</v>
      </c>
    </row>
    <row r="121" spans="1:7" ht="12.75">
      <c r="A121" t="str">
        <f ca="1">IFERROR(__xludf.DUMMYFUNCTION("""COMPUTED_VALUE"""),"T1")</f>
        <v>T1</v>
      </c>
      <c r="B121" t="str">
        <f ca="1">IFERROR(__xludf.DUMMYFUNCTION("""COMPUTED_VALUE"""),"T1")</f>
        <v>T1</v>
      </c>
      <c r="C121" t="str">
        <f ca="1">IFERROR(__xludf.DUMMYFUNCTION("""COMPUTED_VALUE"""),"Luke Schniederjans")</f>
        <v>Luke Schniederjans</v>
      </c>
      <c r="D121">
        <f ca="1">IFERROR(__xludf.DUMMYFUNCTION("""COMPUTED_VALUE"""),4)</f>
        <v>4</v>
      </c>
      <c r="E121">
        <f ca="1">IFERROR(__xludf.DUMMYFUNCTION("""COMPUTED_VALUE"""),100)</f>
        <v>100</v>
      </c>
      <c r="F121">
        <f ca="1">IFERROR(__xludf.DUMMYFUNCTION("""COMPUTED_VALUE"""),4)</f>
        <v>4</v>
      </c>
      <c r="G121">
        <f ca="1">IFERROR(__xludf.DUMMYFUNCTION("""COMPUTED_VALUE"""),4)</f>
        <v>4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IFERROR(__xludf.DUMMYFUNCTION("""COMPUTED_VALUE"""),121)</f>
        <v>121</v>
      </c>
      <c r="C122" t="str">
        <f ca="1">IFERROR(__xludf.DUMMYFUNCTION("""COMPUTED_VALUE"""),"Tyler McCumber")</f>
        <v>Tyler McCumber</v>
      </c>
      <c r="D122">
        <f ca="1">IFERROR(__xludf.DUMMYFUNCTION("""COMPUTED_VALUE"""),14)</f>
        <v>14</v>
      </c>
      <c r="E122">
        <f ca="1">IFERROR(__xludf.DUMMYFUNCTION("""COMPUTED_VALUE"""),94.12)</f>
        <v>94.12</v>
      </c>
      <c r="F122">
        <f ca="1">IFERROR(__xludf.DUMMYFUNCTION("""COMPUTED_VALUE"""),16)</f>
        <v>16</v>
      </c>
      <c r="G122">
        <f ca="1">IFERROR(__xludf.DUMMYFUNCTION("""COMPUTED_VALUE"""),17)</f>
        <v>17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IFERROR(__xludf.DUMMYFUNCTION("""COMPUTED_VALUE"""),122)</f>
        <v>122</v>
      </c>
      <c r="C123" t="str">
        <f ca="1">IFERROR(__xludf.DUMMYFUNCTION("""COMPUTED_VALUE"""),"Kiradech Aphibarnrat")</f>
        <v>Kiradech Aphibarnrat</v>
      </c>
      <c r="D123">
        <f ca="1">IFERROR(__xludf.DUMMYFUNCTION("""COMPUTED_VALUE"""),12)</f>
        <v>12</v>
      </c>
      <c r="E123">
        <f ca="1">IFERROR(__xludf.DUMMYFUNCTION("""COMPUTED_VALUE"""),93.75)</f>
        <v>93.75</v>
      </c>
      <c r="F123">
        <f ca="1">IFERROR(__xludf.DUMMYFUNCTION("""COMPUTED_VALUE"""),15)</f>
        <v>15</v>
      </c>
      <c r="G123">
        <f ca="1">IFERROR(__xludf.DUMMYFUNCTION("""COMPUTED_VALUE"""),16)</f>
        <v>16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IFERROR(__xludf.DUMMYFUNCTION("""COMPUTED_VALUE"""),123)</f>
        <v>123</v>
      </c>
      <c r="C124" t="str">
        <f ca="1">IFERROR(__xludf.DUMMYFUNCTION("""COMPUTED_VALUE"""),"Hank Lebioda")</f>
        <v>Hank Lebioda</v>
      </c>
      <c r="D124">
        <f ca="1">IFERROR(__xludf.DUMMYFUNCTION("""COMPUTED_VALUE"""),14)</f>
        <v>14</v>
      </c>
      <c r="E124">
        <f ca="1">IFERROR(__xludf.DUMMYFUNCTION("""COMPUTED_VALUE"""),93.33)</f>
        <v>93.33</v>
      </c>
      <c r="F124">
        <f ca="1">IFERROR(__xludf.DUMMYFUNCTION("""COMPUTED_VALUE"""),14)</f>
        <v>14</v>
      </c>
      <c r="G124">
        <f ca="1">IFERROR(__xludf.DUMMYFUNCTION("""COMPUTED_VALUE"""),15)</f>
        <v>15</v>
      </c>
    </row>
    <row r="125" spans="1:7" ht="12.75">
      <c r="A125" t="str">
        <f ca="1">IFERROR(__xludf.DUMMYFUNCTION("""COMPUTED_VALUE"""),"T124")</f>
        <v>T124</v>
      </c>
      <c r="B125" t="str">
        <f ca="1">IFERROR(__xludf.DUMMYFUNCTION("""COMPUTED_VALUE"""),"T128")</f>
        <v>T128</v>
      </c>
      <c r="C125" t="str">
        <f ca="1">IFERROR(__xludf.DUMMYFUNCTION("""COMPUTED_VALUE"""),"Pat Perez")</f>
        <v>Pat Perez</v>
      </c>
      <c r="D125">
        <f ca="1">IFERROR(__xludf.DUMMYFUNCTION("""COMPUTED_VALUE"""),16)</f>
        <v>16</v>
      </c>
      <c r="E125">
        <f ca="1">IFERROR(__xludf.DUMMYFUNCTION("""COMPUTED_VALUE"""),92.86)</f>
        <v>92.86</v>
      </c>
      <c r="F125">
        <f ca="1">IFERROR(__xludf.DUMMYFUNCTION("""COMPUTED_VALUE"""),13)</f>
        <v>13</v>
      </c>
      <c r="G125">
        <f ca="1">IFERROR(__xludf.DUMMYFUNCTION("""COMPUTED_VALUE"""),14)</f>
        <v>14</v>
      </c>
    </row>
    <row r="126" spans="1:7" ht="12.75">
      <c r="A126" t="str">
        <f ca="1">IFERROR(__xludf.DUMMYFUNCTION("""COMPUTED_VALUE"""),"T124")</f>
        <v>T124</v>
      </c>
      <c r="B126" t="str">
        <f ca="1">IFERROR(__xludf.DUMMYFUNCTION("""COMPUTED_VALUE"""),"T1")</f>
        <v>T1</v>
      </c>
      <c r="C126" t="str">
        <f ca="1">IFERROR(__xludf.DUMMYFUNCTION("""COMPUTED_VALUE"""),"Jhonattan Vegas")</f>
        <v>Jhonattan Vegas</v>
      </c>
      <c r="D126">
        <f ca="1">IFERROR(__xludf.DUMMYFUNCTION("""COMPUTED_VALUE"""),16)</f>
        <v>16</v>
      </c>
      <c r="E126">
        <f ca="1">IFERROR(__xludf.DUMMYFUNCTION("""COMPUTED_VALUE"""),92.86)</f>
        <v>92.86</v>
      </c>
      <c r="F126">
        <f ca="1">IFERROR(__xludf.DUMMYFUNCTION("""COMPUTED_VALUE"""),13)</f>
        <v>13</v>
      </c>
      <c r="G126">
        <f ca="1">IFERROR(__xludf.DUMMYFUNCTION("""COMPUTED_VALUE"""),14)</f>
        <v>14</v>
      </c>
    </row>
    <row r="127" spans="1:7" ht="12.75">
      <c r="A127" t="str">
        <f ca="1">IFERROR(__xludf.DUMMYFUNCTION("""COMPUTED_VALUE"""),"T124")</f>
        <v>T124</v>
      </c>
      <c r="B127" t="str">
        <f ca="1">IFERROR(__xludf.DUMMYFUNCTION("""COMPUTED_VALUE"""),"T124")</f>
        <v>T124</v>
      </c>
      <c r="C127" t="str">
        <f ca="1">IFERROR(__xludf.DUMMYFUNCTION("""COMPUTED_VALUE"""),"Michael Gligic")</f>
        <v>Michael Gligic</v>
      </c>
      <c r="D127">
        <f ca="1">IFERROR(__xludf.DUMMYFUNCTION("""COMPUTED_VALUE"""),18)</f>
        <v>18</v>
      </c>
      <c r="E127">
        <f ca="1">IFERROR(__xludf.DUMMYFUNCTION("""COMPUTED_VALUE"""),92.86)</f>
        <v>92.86</v>
      </c>
      <c r="F127">
        <f ca="1">IFERROR(__xludf.DUMMYFUNCTION("""COMPUTED_VALUE"""),13)</f>
        <v>13</v>
      </c>
      <c r="G127">
        <f ca="1">IFERROR(__xludf.DUMMYFUNCTION("""COMPUTED_VALUE"""),14)</f>
        <v>14</v>
      </c>
    </row>
    <row r="128" spans="1:7" ht="12.75">
      <c r="A128" t="str">
        <f ca="1">IFERROR(__xludf.DUMMYFUNCTION("""COMPUTED_VALUE"""),"T124")</f>
        <v>T124</v>
      </c>
      <c r="B128" t="str">
        <f ca="1">IFERROR(__xludf.DUMMYFUNCTION("""COMPUTED_VALUE"""),"T124")</f>
        <v>T124</v>
      </c>
      <c r="C128" t="str">
        <f ca="1">IFERROR(__xludf.DUMMYFUNCTION("""COMPUTED_VALUE"""),"Robert Streb")</f>
        <v>Robert Streb</v>
      </c>
      <c r="D128">
        <f ca="1">IFERROR(__xludf.DUMMYFUNCTION("""COMPUTED_VALUE"""),12)</f>
        <v>12</v>
      </c>
      <c r="E128">
        <f ca="1">IFERROR(__xludf.DUMMYFUNCTION("""COMPUTED_VALUE"""),92.86)</f>
        <v>92.86</v>
      </c>
      <c r="F128">
        <f ca="1">IFERROR(__xludf.DUMMYFUNCTION("""COMPUTED_VALUE"""),13)</f>
        <v>13</v>
      </c>
      <c r="G128">
        <f ca="1">IFERROR(__xludf.DUMMYFUNCTION("""COMPUTED_VALUE"""),14)</f>
        <v>14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IFERROR(__xludf.DUMMYFUNCTION("""COMPUTED_VALUE"""),"T126")</f>
        <v>T126</v>
      </c>
      <c r="C129" t="str">
        <f ca="1">IFERROR(__xludf.DUMMYFUNCTION("""COMPUTED_VALUE"""),"David Hearn")</f>
        <v>David Hearn</v>
      </c>
      <c r="D129">
        <f ca="1">IFERROR(__xludf.DUMMYFUNCTION("""COMPUTED_VALUE"""),16)</f>
        <v>16</v>
      </c>
      <c r="E129">
        <f ca="1">IFERROR(__xludf.DUMMYFUNCTION("""COMPUTED_VALUE"""),92.31)</f>
        <v>92.31</v>
      </c>
      <c r="F129">
        <f ca="1">IFERROR(__xludf.DUMMYFUNCTION("""COMPUTED_VALUE"""),12)</f>
        <v>12</v>
      </c>
      <c r="G129">
        <f ca="1">IFERROR(__xludf.DUMMYFUNCTION("""COMPUTED_VALUE"""),13)</f>
        <v>13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IFERROR(__xludf.DUMMYFUNCTION("""COMPUTED_VALUE"""),"T126")</f>
        <v>T126</v>
      </c>
      <c r="C130" t="str">
        <f ca="1">IFERROR(__xludf.DUMMYFUNCTION("""COMPUTED_VALUE"""),"Kevin Streelman")</f>
        <v>Kevin Streelman</v>
      </c>
      <c r="D130">
        <f ca="1">IFERROR(__xludf.DUMMYFUNCTION("""COMPUTED_VALUE"""),18)</f>
        <v>18</v>
      </c>
      <c r="E130">
        <f ca="1">IFERROR(__xludf.DUMMYFUNCTION("""COMPUTED_VALUE"""),92.31)</f>
        <v>92.31</v>
      </c>
      <c r="F130">
        <f ca="1">IFERROR(__xludf.DUMMYFUNCTION("""COMPUTED_VALUE"""),12)</f>
        <v>12</v>
      </c>
      <c r="G130">
        <f ca="1">IFERROR(__xludf.DUMMYFUNCTION("""COMPUTED_VALUE"""),13)</f>
        <v>13</v>
      </c>
    </row>
    <row r="131" spans="1:7" ht="12.75">
      <c r="A131" t="str">
        <f ca="1">IFERROR(__xludf.DUMMYFUNCTION("""COMPUTED_VALUE"""),"T130")</f>
        <v>T130</v>
      </c>
      <c r="B131" t="str">
        <f ca="1">IFERROR(__xludf.DUMMYFUNCTION("""COMPUTED_VALUE"""),"T128")</f>
        <v>T128</v>
      </c>
      <c r="C131" t="str">
        <f ca="1">IFERROR(__xludf.DUMMYFUNCTION("""COMPUTED_VALUE"""),"Arjun Atwal")</f>
        <v>Arjun Atwal</v>
      </c>
      <c r="D131">
        <f ca="1">IFERROR(__xludf.DUMMYFUNCTION("""COMPUTED_VALUE"""),6)</f>
        <v>6</v>
      </c>
      <c r="E131">
        <f ca="1">IFERROR(__xludf.DUMMYFUNCTION("""COMPUTED_VALUE"""),91.67)</f>
        <v>91.67</v>
      </c>
      <c r="F131">
        <f ca="1">IFERROR(__xludf.DUMMYFUNCTION("""COMPUTED_VALUE"""),11)</f>
        <v>11</v>
      </c>
      <c r="G131">
        <f ca="1">IFERROR(__xludf.DUMMYFUNCTION("""COMPUTED_VALUE"""),12)</f>
        <v>12</v>
      </c>
    </row>
    <row r="132" spans="1:7" ht="12.75">
      <c r="A132" t="str">
        <f ca="1">IFERROR(__xludf.DUMMYFUNCTION("""COMPUTED_VALUE"""),"T130")</f>
        <v>T130</v>
      </c>
      <c r="B132" t="str">
        <f ca="1">IFERROR(__xludf.DUMMYFUNCTION("""COMPUTED_VALUE"""),"T136")</f>
        <v>T136</v>
      </c>
      <c r="C132" t="str">
        <f ca="1">IFERROR(__xludf.DUMMYFUNCTION("""COMPUTED_VALUE"""),"Scott Brown")</f>
        <v>Scott Brown</v>
      </c>
      <c r="D132">
        <f ca="1">IFERROR(__xludf.DUMMYFUNCTION("""COMPUTED_VALUE"""),14)</f>
        <v>14</v>
      </c>
      <c r="E132">
        <f ca="1">IFERROR(__xludf.DUMMYFUNCTION("""COMPUTED_VALUE"""),91.67)</f>
        <v>91.67</v>
      </c>
      <c r="F132">
        <f ca="1">IFERROR(__xludf.DUMMYFUNCTION("""COMPUTED_VALUE"""),11)</f>
        <v>11</v>
      </c>
      <c r="G132">
        <f ca="1">IFERROR(__xludf.DUMMYFUNCTION("""COMPUTED_VALUE"""),12)</f>
        <v>12</v>
      </c>
    </row>
    <row r="133" spans="1:7" ht="12.75">
      <c r="A133" t="str">
        <f ca="1">IFERROR(__xludf.DUMMYFUNCTION("""COMPUTED_VALUE"""),"T130")</f>
        <v>T130</v>
      </c>
      <c r="B133" t="str">
        <f ca="1">IFERROR(__xludf.DUMMYFUNCTION("""COMPUTED_VALUE"""),"T128")</f>
        <v>T128</v>
      </c>
      <c r="C133" t="str">
        <f ca="1">IFERROR(__xludf.DUMMYFUNCTION("""COMPUTED_VALUE"""),"Kevin Tway")</f>
        <v>Kevin Tway</v>
      </c>
      <c r="D133">
        <f ca="1">IFERROR(__xludf.DUMMYFUNCTION("""COMPUTED_VALUE"""),16)</f>
        <v>16</v>
      </c>
      <c r="E133">
        <f ca="1">IFERROR(__xludf.DUMMYFUNCTION("""COMPUTED_VALUE"""),91.67)</f>
        <v>91.67</v>
      </c>
      <c r="F133">
        <f ca="1">IFERROR(__xludf.DUMMYFUNCTION("""COMPUTED_VALUE"""),11)</f>
        <v>11</v>
      </c>
      <c r="G133">
        <f ca="1">IFERROR(__xludf.DUMMYFUNCTION("""COMPUTED_VALUE"""),12)</f>
        <v>12</v>
      </c>
    </row>
    <row r="134" spans="1:7" ht="12.75">
      <c r="A134" t="str">
        <f ca="1">IFERROR(__xludf.DUMMYFUNCTION("""COMPUTED_VALUE"""),"T130")</f>
        <v>T130</v>
      </c>
      <c r="B134" t="str">
        <f ca="1">IFERROR(__xludf.DUMMYFUNCTION("""COMPUTED_VALUE"""),"T136")</f>
        <v>T136</v>
      </c>
      <c r="C134" t="str">
        <f ca="1">IFERROR(__xludf.DUMMYFUNCTION("""COMPUTED_VALUE"""),"Beau Hossler")</f>
        <v>Beau Hossler</v>
      </c>
      <c r="D134">
        <f ca="1">IFERROR(__xludf.DUMMYFUNCTION("""COMPUTED_VALUE"""),22)</f>
        <v>22</v>
      </c>
      <c r="E134">
        <f ca="1">IFERROR(__xludf.DUMMYFUNCTION("""COMPUTED_VALUE"""),91.67)</f>
        <v>91.67</v>
      </c>
      <c r="F134">
        <f ca="1">IFERROR(__xludf.DUMMYFUNCTION("""COMPUTED_VALUE"""),11)</f>
        <v>11</v>
      </c>
      <c r="G134">
        <f ca="1">IFERROR(__xludf.DUMMYFUNCTION("""COMPUTED_VALUE"""),12)</f>
        <v>12</v>
      </c>
    </row>
    <row r="135" spans="1:7" ht="12.75">
      <c r="A135" t="str">
        <f ca="1">IFERROR(__xludf.DUMMYFUNCTION("""COMPUTED_VALUE"""),"T130")</f>
        <v>T130</v>
      </c>
      <c r="B135" t="str">
        <f ca="1">IFERROR(__xludf.DUMMYFUNCTION("""COMPUTED_VALUE"""),"T128")</f>
        <v>T128</v>
      </c>
      <c r="C135" t="str">
        <f ca="1">IFERROR(__xludf.DUMMYFUNCTION("""COMPUTED_VALUE"""),"Mark Hubbard")</f>
        <v>Mark Hubbard</v>
      </c>
      <c r="D135">
        <f ca="1">IFERROR(__xludf.DUMMYFUNCTION("""COMPUTED_VALUE"""),20)</f>
        <v>20</v>
      </c>
      <c r="E135">
        <f ca="1">IFERROR(__xludf.DUMMYFUNCTION("""COMPUTED_VALUE"""),91.67)</f>
        <v>91.67</v>
      </c>
      <c r="F135">
        <f ca="1">IFERROR(__xludf.DUMMYFUNCTION("""COMPUTED_VALUE"""),11)</f>
        <v>11</v>
      </c>
      <c r="G135">
        <f ca="1">IFERROR(__xludf.DUMMYFUNCTION("""COMPUTED_VALUE"""),12)</f>
        <v>12</v>
      </c>
    </row>
    <row r="136" spans="1:7" ht="12.75">
      <c r="A136" t="str">
        <f ca="1">IFERROR(__xludf.DUMMYFUNCTION("""COMPUTED_VALUE"""),"T130")</f>
        <v>T130</v>
      </c>
      <c r="B136" t="str">
        <f ca="1">IFERROR(__xludf.DUMMYFUNCTION("""COMPUTED_VALUE"""),"T128")</f>
        <v>T128</v>
      </c>
      <c r="C136" t="str">
        <f ca="1">IFERROR(__xludf.DUMMYFUNCTION("""COMPUTED_VALUE"""),"Harold Varner III")</f>
        <v>Harold Varner III</v>
      </c>
      <c r="D136">
        <f ca="1">IFERROR(__xludf.DUMMYFUNCTION("""COMPUTED_VALUE"""),14)</f>
        <v>14</v>
      </c>
      <c r="E136">
        <f ca="1">IFERROR(__xludf.DUMMYFUNCTION("""COMPUTED_VALUE"""),91.67)</f>
        <v>91.67</v>
      </c>
      <c r="F136">
        <f ca="1">IFERROR(__xludf.DUMMYFUNCTION("""COMPUTED_VALUE"""),11)</f>
        <v>11</v>
      </c>
      <c r="G136">
        <f ca="1">IFERROR(__xludf.DUMMYFUNCTION("""COMPUTED_VALUE"""),12)</f>
        <v>12</v>
      </c>
    </row>
    <row r="137" spans="1:7" ht="12.75">
      <c r="A137" t="str">
        <f ca="1">IFERROR(__xludf.DUMMYFUNCTION("""COMPUTED_VALUE"""),"T130")</f>
        <v>T130</v>
      </c>
      <c r="B137" t="str">
        <f ca="1">IFERROR(__xludf.DUMMYFUNCTION("""COMPUTED_VALUE"""),"T128")</f>
        <v>T128</v>
      </c>
      <c r="C137" t="str">
        <f ca="1">IFERROR(__xludf.DUMMYFUNCTION("""COMPUTED_VALUE"""),"Tyler Duncan")</f>
        <v>Tyler Duncan</v>
      </c>
      <c r="D137">
        <f ca="1">IFERROR(__xludf.DUMMYFUNCTION("""COMPUTED_VALUE"""),18)</f>
        <v>18</v>
      </c>
      <c r="E137">
        <f ca="1">IFERROR(__xludf.DUMMYFUNCTION("""COMPUTED_VALUE"""),91.67)</f>
        <v>91.67</v>
      </c>
      <c r="F137">
        <f ca="1">IFERROR(__xludf.DUMMYFUNCTION("""COMPUTED_VALUE"""),11)</f>
        <v>11</v>
      </c>
      <c r="G137">
        <f ca="1">IFERROR(__xludf.DUMMYFUNCTION("""COMPUTED_VALUE"""),12)</f>
        <v>12</v>
      </c>
    </row>
    <row r="138" spans="1:7" ht="12.75">
      <c r="A138" t="str">
        <f ca="1">IFERROR(__xludf.DUMMYFUNCTION("""COMPUTED_VALUE"""),"T137")</f>
        <v>T137</v>
      </c>
      <c r="B138" t="str">
        <f ca="1">IFERROR(__xludf.DUMMYFUNCTION("""COMPUTED_VALUE"""),"T134")</f>
        <v>T134</v>
      </c>
      <c r="C138" t="str">
        <f ca="1">IFERROR(__xludf.DUMMYFUNCTION("""COMPUTED_VALUE"""),"Ricky Barnes")</f>
        <v>Ricky Barnes</v>
      </c>
      <c r="D138">
        <f ca="1">IFERROR(__xludf.DUMMYFUNCTION("""COMPUTED_VALUE"""),12)</f>
        <v>12</v>
      </c>
      <c r="E138">
        <f ca="1">IFERROR(__xludf.DUMMYFUNCTION("""COMPUTED_VALUE"""),90.91)</f>
        <v>90.91</v>
      </c>
      <c r="F138">
        <f ca="1">IFERROR(__xludf.DUMMYFUNCTION("""COMPUTED_VALUE"""),10)</f>
        <v>10</v>
      </c>
      <c r="G138">
        <f ca="1">IFERROR(__xludf.DUMMYFUNCTION("""COMPUTED_VALUE"""),11)</f>
        <v>11</v>
      </c>
    </row>
    <row r="139" spans="1:7" ht="12.75">
      <c r="A139" t="str">
        <f ca="1">IFERROR(__xludf.DUMMYFUNCTION("""COMPUTED_VALUE"""),"T137")</f>
        <v>T137</v>
      </c>
      <c r="B139" t="str">
        <f ca="1">IFERROR(__xludf.DUMMYFUNCTION("""COMPUTED_VALUE"""),"T142")</f>
        <v>T142</v>
      </c>
      <c r="C139" t="str">
        <f ca="1">IFERROR(__xludf.DUMMYFUNCTION("""COMPUTED_VALUE"""),"Patton Kizzire")</f>
        <v>Patton Kizzire</v>
      </c>
      <c r="D139">
        <f ca="1">IFERROR(__xludf.DUMMYFUNCTION("""COMPUTED_VALUE"""),18)</f>
        <v>18</v>
      </c>
      <c r="E139">
        <f ca="1">IFERROR(__xludf.DUMMYFUNCTION("""COMPUTED_VALUE"""),90.91)</f>
        <v>90.91</v>
      </c>
      <c r="F139">
        <f ca="1">IFERROR(__xludf.DUMMYFUNCTION("""COMPUTED_VALUE"""),10)</f>
        <v>10</v>
      </c>
      <c r="G139">
        <f ca="1">IFERROR(__xludf.DUMMYFUNCTION("""COMPUTED_VALUE"""),11)</f>
        <v>11</v>
      </c>
    </row>
    <row r="140" spans="1:7" ht="12.75">
      <c r="A140" t="str">
        <f ca="1">IFERROR(__xludf.DUMMYFUNCTION("""COMPUTED_VALUE"""),"T137")</f>
        <v>T137</v>
      </c>
      <c r="B140" t="str">
        <f ca="1">IFERROR(__xludf.DUMMYFUNCTION("""COMPUTED_VALUE"""),"T134")</f>
        <v>T134</v>
      </c>
      <c r="C140" t="str">
        <f ca="1">IFERROR(__xludf.DUMMYFUNCTION("""COMPUTED_VALUE"""),"Patrick Cantlay")</f>
        <v>Patrick Cantlay</v>
      </c>
      <c r="D140">
        <f ca="1">IFERROR(__xludf.DUMMYFUNCTION("""COMPUTED_VALUE"""),16)</f>
        <v>16</v>
      </c>
      <c r="E140">
        <f ca="1">IFERROR(__xludf.DUMMYFUNCTION("""COMPUTED_VALUE"""),90.91)</f>
        <v>90.91</v>
      </c>
      <c r="F140">
        <f ca="1">IFERROR(__xludf.DUMMYFUNCTION("""COMPUTED_VALUE"""),10)</f>
        <v>10</v>
      </c>
      <c r="G140">
        <f ca="1">IFERROR(__xludf.DUMMYFUNCTION("""COMPUTED_VALUE"""),11)</f>
        <v>11</v>
      </c>
    </row>
    <row r="141" spans="1:7" ht="12.75">
      <c r="A141" t="str">
        <f ca="1">IFERROR(__xludf.DUMMYFUNCTION("""COMPUTED_VALUE"""),"T137")</f>
        <v>T137</v>
      </c>
      <c r="B141" t="str">
        <f ca="1">IFERROR(__xludf.DUMMYFUNCTION("""COMPUTED_VALUE"""),"T1")</f>
        <v>T1</v>
      </c>
      <c r="C141" t="str">
        <f ca="1">IFERROR(__xludf.DUMMYFUNCTION("""COMPUTED_VALUE"""),"Mackenzie Hughes")</f>
        <v>Mackenzie Hughes</v>
      </c>
      <c r="D141">
        <f ca="1">IFERROR(__xludf.DUMMYFUNCTION("""COMPUTED_VALUE"""),18)</f>
        <v>18</v>
      </c>
      <c r="E141">
        <f ca="1">IFERROR(__xludf.DUMMYFUNCTION("""COMPUTED_VALUE"""),90.91)</f>
        <v>90.91</v>
      </c>
      <c r="F141">
        <f ca="1">IFERROR(__xludf.DUMMYFUNCTION("""COMPUTED_VALUE"""),10)</f>
        <v>10</v>
      </c>
      <c r="G141">
        <f ca="1">IFERROR(__xludf.DUMMYFUNCTION("""COMPUTED_VALUE"""),11)</f>
        <v>11</v>
      </c>
    </row>
    <row r="142" spans="1:7" ht="12.75">
      <c r="A142" t="str">
        <f ca="1">IFERROR(__xludf.DUMMYFUNCTION("""COMPUTED_VALUE"""),"T137")</f>
        <v>T137</v>
      </c>
      <c r="B142" t="str">
        <f ca="1">IFERROR(__xludf.DUMMYFUNCTION("""COMPUTED_VALUE"""),"T136")</f>
        <v>T136</v>
      </c>
      <c r="C142" t="str">
        <f ca="1">IFERROR(__xludf.DUMMYFUNCTION("""COMPUTED_VALUE"""),"Sam Ryder")</f>
        <v>Sam Ryder</v>
      </c>
      <c r="D142">
        <f ca="1">IFERROR(__xludf.DUMMYFUNCTION("""COMPUTED_VALUE"""),12)</f>
        <v>12</v>
      </c>
      <c r="E142">
        <f ca="1">IFERROR(__xludf.DUMMYFUNCTION("""COMPUTED_VALUE"""),90.91)</f>
        <v>90.91</v>
      </c>
      <c r="F142">
        <f ca="1">IFERROR(__xludf.DUMMYFUNCTION("""COMPUTED_VALUE"""),10)</f>
        <v>10</v>
      </c>
      <c r="G142">
        <f ca="1">IFERROR(__xludf.DUMMYFUNCTION("""COMPUTED_VALUE"""),11)</f>
        <v>11</v>
      </c>
    </row>
    <row r="143" spans="1:7" ht="12.75">
      <c r="A143" t="str">
        <f ca="1">IFERROR(__xludf.DUMMYFUNCTION("""COMPUTED_VALUE"""),"T137")</f>
        <v>T137</v>
      </c>
      <c r="B143" t="str">
        <f ca="1">IFERROR(__xludf.DUMMYFUNCTION("""COMPUTED_VALUE"""),"T142")</f>
        <v>T142</v>
      </c>
      <c r="C143" t="str">
        <f ca="1">IFERROR(__xludf.DUMMYFUNCTION("""COMPUTED_VALUE"""),"Talor Gooch")</f>
        <v>Talor Gooch</v>
      </c>
      <c r="D143">
        <f ca="1">IFERROR(__xludf.DUMMYFUNCTION("""COMPUTED_VALUE"""),20)</f>
        <v>20</v>
      </c>
      <c r="E143">
        <f ca="1">IFERROR(__xludf.DUMMYFUNCTION("""COMPUTED_VALUE"""),90.91)</f>
        <v>90.91</v>
      </c>
      <c r="F143">
        <f ca="1">IFERROR(__xludf.DUMMYFUNCTION("""COMPUTED_VALUE"""),10)</f>
        <v>10</v>
      </c>
      <c r="G143">
        <f ca="1">IFERROR(__xludf.DUMMYFUNCTION("""COMPUTED_VALUE"""),11)</f>
        <v>11</v>
      </c>
    </row>
    <row r="144" spans="1:7" ht="12.75">
      <c r="A144" t="str">
        <f ca="1">IFERROR(__xludf.DUMMYFUNCTION("""COMPUTED_VALUE"""),"T143")</f>
        <v>T143</v>
      </c>
      <c r="B144" t="str">
        <f ca="1">IFERROR(__xludf.DUMMYFUNCTION("""COMPUTED_VALUE"""),"T155")</f>
        <v>T155</v>
      </c>
      <c r="C144" t="str">
        <f ca="1">IFERROR(__xludf.DUMMYFUNCTION("""COMPUTED_VALUE"""),"Ryan Armour")</f>
        <v>Ryan Armour</v>
      </c>
      <c r="D144">
        <f ca="1">IFERROR(__xludf.DUMMYFUNCTION("""COMPUTED_VALUE"""),16)</f>
        <v>16</v>
      </c>
      <c r="E144">
        <f ca="1">IFERROR(__xludf.DUMMYFUNCTION("""COMPUTED_VALUE"""),90)</f>
        <v>90</v>
      </c>
      <c r="F144">
        <f ca="1">IFERROR(__xludf.DUMMYFUNCTION("""COMPUTED_VALUE"""),9)</f>
        <v>9</v>
      </c>
      <c r="G144">
        <f ca="1">IFERROR(__xludf.DUMMYFUNCTION("""COMPUTED_VALUE"""),10)</f>
        <v>10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IFERROR(__xludf.DUMMYFUNCTION("""COMPUTED_VALUE"""),"T142")</f>
        <v>T142</v>
      </c>
      <c r="C145" t="str">
        <f ca="1">IFERROR(__xludf.DUMMYFUNCTION("""COMPUTED_VALUE"""),"Sean O'Hair")</f>
        <v>Sean O'Hair</v>
      </c>
      <c r="D145">
        <f ca="1">IFERROR(__xludf.DUMMYFUNCTION("""COMPUTED_VALUE"""),14)</f>
        <v>14</v>
      </c>
      <c r="E145">
        <f ca="1">IFERROR(__xludf.DUMMYFUNCTION("""COMPUTED_VALUE"""),90)</f>
        <v>90</v>
      </c>
      <c r="F145">
        <f ca="1">IFERROR(__xludf.DUMMYFUNCTION("""COMPUTED_VALUE"""),9)</f>
        <v>9</v>
      </c>
      <c r="G145">
        <f ca="1">IFERROR(__xludf.DUMMYFUNCTION("""COMPUTED_VALUE"""),10)</f>
        <v>10</v>
      </c>
    </row>
    <row r="146" spans="1:7" ht="12.75">
      <c r="A146" t="str">
        <f ca="1">IFERROR(__xludf.DUMMYFUNCTION("""COMPUTED_VALUE"""),"T143")</f>
        <v>T143</v>
      </c>
      <c r="B146" t="str">
        <f ca="1">IFERROR(__xludf.DUMMYFUNCTION("""COMPUTED_VALUE"""),"T136")</f>
        <v>T136</v>
      </c>
      <c r="C146" t="str">
        <f ca="1">IFERROR(__xludf.DUMMYFUNCTION("""COMPUTED_VALUE"""),"Martin Laird")</f>
        <v>Martin Laird</v>
      </c>
      <c r="D146">
        <f ca="1">IFERROR(__xludf.DUMMYFUNCTION("""COMPUTED_VALUE"""),16)</f>
        <v>16</v>
      </c>
      <c r="E146">
        <f ca="1">IFERROR(__xludf.DUMMYFUNCTION("""COMPUTED_VALUE"""),90)</f>
        <v>90</v>
      </c>
      <c r="F146">
        <f ca="1">IFERROR(__xludf.DUMMYFUNCTION("""COMPUTED_VALUE"""),9)</f>
        <v>9</v>
      </c>
      <c r="G146">
        <f ca="1">IFERROR(__xludf.DUMMYFUNCTION("""COMPUTED_VALUE"""),10)</f>
        <v>10</v>
      </c>
    </row>
    <row r="147" spans="1:7" ht="12.75">
      <c r="A147" t="str">
        <f ca="1">IFERROR(__xludf.DUMMYFUNCTION("""COMPUTED_VALUE"""),"T143")</f>
        <v>T143</v>
      </c>
      <c r="B147" t="str">
        <f ca="1">IFERROR(__xludf.DUMMYFUNCTION("""COMPUTED_VALUE"""),"T136")</f>
        <v>T136</v>
      </c>
      <c r="C147" t="str">
        <f ca="1">IFERROR(__xludf.DUMMYFUNCTION("""COMPUTED_VALUE"""),"Rhein Gibson")</f>
        <v>Rhein Gibson</v>
      </c>
      <c r="D147">
        <f ca="1">IFERROR(__xludf.DUMMYFUNCTION("""COMPUTED_VALUE"""),10)</f>
        <v>10</v>
      </c>
      <c r="E147">
        <f ca="1">IFERROR(__xludf.DUMMYFUNCTION("""COMPUTED_VALUE"""),90)</f>
        <v>90</v>
      </c>
      <c r="F147">
        <f ca="1">IFERROR(__xludf.DUMMYFUNCTION("""COMPUTED_VALUE"""),9)</f>
        <v>9</v>
      </c>
      <c r="G147">
        <f ca="1">IFERROR(__xludf.DUMMYFUNCTION("""COMPUTED_VALUE"""),10)</f>
        <v>10</v>
      </c>
    </row>
    <row r="148" spans="1:7" ht="12.75">
      <c r="A148" t="str">
        <f ca="1">IFERROR(__xludf.DUMMYFUNCTION("""COMPUTED_VALUE"""),"T143")</f>
        <v>T143</v>
      </c>
      <c r="B148" t="str">
        <f ca="1">IFERROR(__xludf.DUMMYFUNCTION("""COMPUTED_VALUE"""),"T136")</f>
        <v>T136</v>
      </c>
      <c r="C148" t="str">
        <f ca="1">IFERROR(__xludf.DUMMYFUNCTION("""COMPUTED_VALUE"""),"Sepp Straka")</f>
        <v>Sepp Straka</v>
      </c>
      <c r="D148">
        <f ca="1">IFERROR(__xludf.DUMMYFUNCTION("""COMPUTED_VALUE"""),22)</f>
        <v>22</v>
      </c>
      <c r="E148">
        <f ca="1">IFERROR(__xludf.DUMMYFUNCTION("""COMPUTED_VALUE"""),90)</f>
        <v>90</v>
      </c>
      <c r="F148">
        <f ca="1">IFERROR(__xludf.DUMMYFUNCTION("""COMPUTED_VALUE"""),18)</f>
        <v>18</v>
      </c>
      <c r="G148">
        <f ca="1">IFERROR(__xludf.DUMMYFUNCTION("""COMPUTED_VALUE"""),20)</f>
        <v>20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IFERROR(__xludf.DUMMYFUNCTION("""COMPUTED_VALUE"""),"T142")</f>
        <v>T142</v>
      </c>
      <c r="C149" t="str">
        <f ca="1">IFERROR(__xludf.DUMMYFUNCTION("""COMPUTED_VALUE"""),"Fred Funk")</f>
        <v>Fred Funk</v>
      </c>
      <c r="D149">
        <f ca="1">IFERROR(__xludf.DUMMYFUNCTION("""COMPUTED_VALUE"""),4)</f>
        <v>4</v>
      </c>
      <c r="E149">
        <f ca="1">IFERROR(__xludf.DUMMYFUNCTION("""COMPUTED_VALUE"""),88.89)</f>
        <v>88.89</v>
      </c>
      <c r="F149">
        <f ca="1">IFERROR(__xludf.DUMMYFUNCTION("""COMPUTED_VALUE"""),8)</f>
        <v>8</v>
      </c>
      <c r="G149">
        <f ca="1">IFERROR(__xludf.DUMMYFUNCTION("""COMPUTED_VALUE"""),9)</f>
        <v>9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IFERROR(__xludf.DUMMYFUNCTION("""COMPUTED_VALUE"""),"T153")</f>
        <v>T153</v>
      </c>
      <c r="C150" t="str">
        <f ca="1">IFERROR(__xludf.DUMMYFUNCTION("""COMPUTED_VALUE"""),"Charley Hoffman")</f>
        <v>Charley Hoffman</v>
      </c>
      <c r="D150">
        <f ca="1">IFERROR(__xludf.DUMMYFUNCTION("""COMPUTED_VALUE"""),20)</f>
        <v>20</v>
      </c>
      <c r="E150">
        <f ca="1">IFERROR(__xludf.DUMMYFUNCTION("""COMPUTED_VALUE"""),88.89)</f>
        <v>88.89</v>
      </c>
      <c r="F150">
        <f ca="1">IFERROR(__xludf.DUMMYFUNCTION("""COMPUTED_VALUE"""),16)</f>
        <v>16</v>
      </c>
      <c r="G150">
        <f ca="1">IFERROR(__xludf.DUMMYFUNCTION("""COMPUTED_VALUE"""),18)</f>
        <v>18</v>
      </c>
    </row>
    <row r="151" spans="1:7" ht="12.75">
      <c r="A151" t="str">
        <f ca="1">IFERROR(__xludf.DUMMYFUNCTION("""COMPUTED_VALUE"""),"T148")</f>
        <v>T148</v>
      </c>
      <c r="B151" t="str">
        <f ca="1">IFERROR(__xludf.DUMMYFUNCTION("""COMPUTED_VALUE"""),"T142")</f>
        <v>T142</v>
      </c>
      <c r="C151" t="str">
        <f ca="1">IFERROR(__xludf.DUMMYFUNCTION("""COMPUTED_VALUE"""),"Alex Cejka")</f>
        <v>Alex Cejka</v>
      </c>
      <c r="D151">
        <f ca="1">IFERROR(__xludf.DUMMYFUNCTION("""COMPUTED_VALUE"""),6)</f>
        <v>6</v>
      </c>
      <c r="E151">
        <f ca="1">IFERROR(__xludf.DUMMYFUNCTION("""COMPUTED_VALUE"""),88.89)</f>
        <v>88.89</v>
      </c>
      <c r="F151">
        <f ca="1">IFERROR(__xludf.DUMMYFUNCTION("""COMPUTED_VALUE"""),8)</f>
        <v>8</v>
      </c>
      <c r="G151">
        <f ca="1">IFERROR(__xludf.DUMMYFUNCTION("""COMPUTED_VALUE"""),9)</f>
        <v>9</v>
      </c>
    </row>
    <row r="152" spans="1:7" ht="12.75">
      <c r="A152" t="str">
        <f ca="1">IFERROR(__xludf.DUMMYFUNCTION("""COMPUTED_VALUE"""),"T148")</f>
        <v>T148</v>
      </c>
      <c r="B152" t="str">
        <f ca="1">IFERROR(__xludf.DUMMYFUNCTION("""COMPUTED_VALUE"""),"T1")</f>
        <v>T1</v>
      </c>
      <c r="C152" t="str">
        <f ca="1">IFERROR(__xludf.DUMMYFUNCTION("""COMPUTED_VALUE"""),"Henrik Stenson")</f>
        <v>Henrik Stenson</v>
      </c>
      <c r="D152">
        <f ca="1">IFERROR(__xludf.DUMMYFUNCTION("""COMPUTED_VALUE"""),11)</f>
        <v>11</v>
      </c>
      <c r="E152">
        <f ca="1">IFERROR(__xludf.DUMMYFUNCTION("""COMPUTED_VALUE"""),88.89)</f>
        <v>88.89</v>
      </c>
      <c r="F152">
        <f ca="1">IFERROR(__xludf.DUMMYFUNCTION("""COMPUTED_VALUE"""),8)</f>
        <v>8</v>
      </c>
      <c r="G152">
        <f ca="1">IFERROR(__xludf.DUMMYFUNCTION("""COMPUTED_VALUE"""),9)</f>
        <v>9</v>
      </c>
    </row>
    <row r="153" spans="1:7" ht="12.75">
      <c r="A153" t="str">
        <f ca="1">IFERROR(__xludf.DUMMYFUNCTION("""COMPUTED_VALUE"""),"T148")</f>
        <v>T148</v>
      </c>
      <c r="B153" t="str">
        <f ca="1">IFERROR(__xludf.DUMMYFUNCTION("""COMPUTED_VALUE"""),"T142")</f>
        <v>T142</v>
      </c>
      <c r="C153" t="str">
        <f ca="1">IFERROR(__xludf.DUMMYFUNCTION("""COMPUTED_VALUE"""),"Johnson Wagner")</f>
        <v>Johnson Wagner</v>
      </c>
      <c r="D153">
        <f ca="1">IFERROR(__xludf.DUMMYFUNCTION("""COMPUTED_VALUE"""),8)</f>
        <v>8</v>
      </c>
      <c r="E153">
        <f ca="1">IFERROR(__xludf.DUMMYFUNCTION("""COMPUTED_VALUE"""),88.89)</f>
        <v>88.89</v>
      </c>
      <c r="F153">
        <f ca="1">IFERROR(__xludf.DUMMYFUNCTION("""COMPUTED_VALUE"""),8)</f>
        <v>8</v>
      </c>
      <c r="G153">
        <f ca="1">IFERROR(__xludf.DUMMYFUNCTION("""COMPUTED_VALUE"""),9)</f>
        <v>9</v>
      </c>
    </row>
    <row r="154" spans="1:7" ht="12.75">
      <c r="A154" t="str">
        <f ca="1">IFERROR(__xludf.DUMMYFUNCTION("""COMPUTED_VALUE"""),"T148")</f>
        <v>T148</v>
      </c>
      <c r="B154" t="str">
        <f ca="1">IFERROR(__xludf.DUMMYFUNCTION("""COMPUTED_VALUE"""),"T155")</f>
        <v>T155</v>
      </c>
      <c r="C154" t="str">
        <f ca="1">IFERROR(__xludf.DUMMYFUNCTION("""COMPUTED_VALUE"""),"Luke List")</f>
        <v>Luke List</v>
      </c>
      <c r="D154">
        <f ca="1">IFERROR(__xludf.DUMMYFUNCTION("""COMPUTED_VALUE"""),18)</f>
        <v>18</v>
      </c>
      <c r="E154">
        <f ca="1">IFERROR(__xludf.DUMMYFUNCTION("""COMPUTED_VALUE"""),88.89)</f>
        <v>88.89</v>
      </c>
      <c r="F154">
        <f ca="1">IFERROR(__xludf.DUMMYFUNCTION("""COMPUTED_VALUE"""),8)</f>
        <v>8</v>
      </c>
      <c r="G154">
        <f ca="1">IFERROR(__xludf.DUMMYFUNCTION("""COMPUTED_VALUE"""),9)</f>
        <v>9</v>
      </c>
    </row>
    <row r="155" spans="1:7" ht="12.75">
      <c r="A155" t="str">
        <f ca="1">IFERROR(__xludf.DUMMYFUNCTION("""COMPUTED_VALUE"""),"T148")</f>
        <v>T148</v>
      </c>
      <c r="B155" t="str">
        <f ca="1">IFERROR(__xludf.DUMMYFUNCTION("""COMPUTED_VALUE"""),"T1")</f>
        <v>T1</v>
      </c>
      <c r="C155" t="str">
        <f ca="1">IFERROR(__xludf.DUMMYFUNCTION("""COMPUTED_VALUE"""),"Scott Harrington")</f>
        <v>Scott Harrington</v>
      </c>
      <c r="D155">
        <f ca="1">IFERROR(__xludf.DUMMYFUNCTION("""COMPUTED_VALUE"""),18)</f>
        <v>18</v>
      </c>
      <c r="E155">
        <f ca="1">IFERROR(__xludf.DUMMYFUNCTION("""COMPUTED_VALUE"""),88.89)</f>
        <v>88.89</v>
      </c>
      <c r="F155">
        <f ca="1">IFERROR(__xludf.DUMMYFUNCTION("""COMPUTED_VALUE"""),8)</f>
        <v>8</v>
      </c>
      <c r="G155">
        <f ca="1">IFERROR(__xludf.DUMMYFUNCTION("""COMPUTED_VALUE"""),9)</f>
        <v>9</v>
      </c>
    </row>
    <row r="156" spans="1:7" ht="12.75">
      <c r="A156" t="str">
        <f ca="1">IFERROR(__xludf.DUMMYFUNCTION("""COMPUTED_VALUE"""),"T148")</f>
        <v>T148</v>
      </c>
      <c r="B156" t="str">
        <f ca="1">IFERROR(__xludf.DUMMYFUNCTION("""COMPUTED_VALUE"""),"T142")</f>
        <v>T142</v>
      </c>
      <c r="C156" t="str">
        <f ca="1">IFERROR(__xludf.DUMMYFUNCTION("""COMPUTED_VALUE"""),"Rob Oppenheim")</f>
        <v>Rob Oppenheim</v>
      </c>
      <c r="D156">
        <f ca="1">IFERROR(__xludf.DUMMYFUNCTION("""COMPUTED_VALUE"""),16)</f>
        <v>16</v>
      </c>
      <c r="E156">
        <f ca="1">IFERROR(__xludf.DUMMYFUNCTION("""COMPUTED_VALUE"""),88.89)</f>
        <v>88.89</v>
      </c>
      <c r="F156">
        <f ca="1">IFERROR(__xludf.DUMMYFUNCTION("""COMPUTED_VALUE"""),8)</f>
        <v>8</v>
      </c>
      <c r="G156">
        <f ca="1">IFERROR(__xludf.DUMMYFUNCTION("""COMPUTED_VALUE"""),9)</f>
        <v>9</v>
      </c>
    </row>
    <row r="157" spans="1:7" ht="12.75">
      <c r="A157" t="str">
        <f ca="1">IFERROR(__xludf.DUMMYFUNCTION("""COMPUTED_VALUE"""),"T148")</f>
        <v>T148</v>
      </c>
      <c r="B157" t="str">
        <f ca="1">IFERROR(__xludf.DUMMYFUNCTION("""COMPUTED_VALUE"""),"T142")</f>
        <v>T142</v>
      </c>
      <c r="C157" t="str">
        <f ca="1">IFERROR(__xludf.DUMMYFUNCTION("""COMPUTED_VALUE"""),"Kyle Stanley")</f>
        <v>Kyle Stanley</v>
      </c>
      <c r="D157">
        <f ca="1">IFERROR(__xludf.DUMMYFUNCTION("""COMPUTED_VALUE"""),16)</f>
        <v>16</v>
      </c>
      <c r="E157">
        <f ca="1">IFERROR(__xludf.DUMMYFUNCTION("""COMPUTED_VALUE"""),88.89)</f>
        <v>88.89</v>
      </c>
      <c r="F157">
        <f ca="1">IFERROR(__xludf.DUMMYFUNCTION("""COMPUTED_VALUE"""),16)</f>
        <v>16</v>
      </c>
      <c r="G157">
        <f ca="1">IFERROR(__xludf.DUMMYFUNCTION("""COMPUTED_VALUE"""),18)</f>
        <v>18</v>
      </c>
    </row>
    <row r="158" spans="1:7" ht="12.75">
      <c r="A158" t="str">
        <f ca="1">IFERROR(__xludf.DUMMYFUNCTION("""COMPUTED_VALUE"""),"T148")</f>
        <v>T148</v>
      </c>
      <c r="B158" t="str">
        <f ca="1">IFERROR(__xludf.DUMMYFUNCTION("""COMPUTED_VALUE"""),"T142")</f>
        <v>T142</v>
      </c>
      <c r="C158" t="str">
        <f ca="1">IFERROR(__xludf.DUMMYFUNCTION("""COMPUTED_VALUE"""),"Roberto Díaz")</f>
        <v>Roberto Díaz</v>
      </c>
      <c r="D158">
        <f ca="1">IFERROR(__xludf.DUMMYFUNCTION("""COMPUTED_VALUE"""),4)</f>
        <v>4</v>
      </c>
      <c r="E158">
        <f ca="1">IFERROR(__xludf.DUMMYFUNCTION("""COMPUTED_VALUE"""),88.89)</f>
        <v>88.89</v>
      </c>
      <c r="F158">
        <f ca="1">IFERROR(__xludf.DUMMYFUNCTION("""COMPUTED_VALUE"""),8)</f>
        <v>8</v>
      </c>
      <c r="G158">
        <f ca="1">IFERROR(__xludf.DUMMYFUNCTION("""COMPUTED_VALUE"""),9)</f>
        <v>9</v>
      </c>
    </row>
    <row r="159" spans="1:7" ht="12.75">
      <c r="A159" t="str">
        <f ca="1">IFERROR(__xludf.DUMMYFUNCTION("""COMPUTED_VALUE"""),"T148")</f>
        <v>T148</v>
      </c>
      <c r="B159" t="str">
        <f ca="1">IFERROR(__xludf.DUMMYFUNCTION("""COMPUTED_VALUE"""),"T142")</f>
        <v>T142</v>
      </c>
      <c r="C159" t="str">
        <f ca="1">IFERROR(__xludf.DUMMYFUNCTION("""COMPUTED_VALUE"""),"Keith Mitchell")</f>
        <v>Keith Mitchell</v>
      </c>
      <c r="D159">
        <f ca="1">IFERROR(__xludf.DUMMYFUNCTION("""COMPUTED_VALUE"""),14)</f>
        <v>14</v>
      </c>
      <c r="E159">
        <f ca="1">IFERROR(__xludf.DUMMYFUNCTION("""COMPUTED_VALUE"""),88.89)</f>
        <v>88.89</v>
      </c>
      <c r="F159">
        <f ca="1">IFERROR(__xludf.DUMMYFUNCTION("""COMPUTED_VALUE"""),16)</f>
        <v>16</v>
      </c>
      <c r="G159">
        <f ca="1">IFERROR(__xludf.DUMMYFUNCTION("""COMPUTED_VALUE"""),18)</f>
        <v>18</v>
      </c>
    </row>
    <row r="160" spans="1:7" ht="12.75">
      <c r="A160" t="str">
        <f ca="1">IFERROR(__xludf.DUMMYFUNCTION("""COMPUTED_VALUE"""),"T148")</f>
        <v>T148</v>
      </c>
      <c r="B160" t="str">
        <f ca="1">IFERROR(__xludf.DUMMYFUNCTION("""COMPUTED_VALUE"""),"T142")</f>
        <v>T142</v>
      </c>
      <c r="C160" t="str">
        <f ca="1">IFERROR(__xludf.DUMMYFUNCTION("""COMPUTED_VALUE"""),"Cameron Champ")</f>
        <v>Cameron Champ</v>
      </c>
      <c r="D160">
        <f ca="1">IFERROR(__xludf.DUMMYFUNCTION("""COMPUTED_VALUE"""),12)</f>
        <v>12</v>
      </c>
      <c r="E160">
        <f ca="1">IFERROR(__xludf.DUMMYFUNCTION("""COMPUTED_VALUE"""),88.89)</f>
        <v>88.89</v>
      </c>
      <c r="F160">
        <f ca="1">IFERROR(__xludf.DUMMYFUNCTION("""COMPUTED_VALUE"""),8)</f>
        <v>8</v>
      </c>
      <c r="G160">
        <f ca="1">IFERROR(__xludf.DUMMYFUNCTION("""COMPUTED_VALUE"""),9)</f>
        <v>9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IFERROR(__xludf.DUMMYFUNCTION("""COMPUTED_VALUE"""),163)</f>
        <v>163</v>
      </c>
      <c r="C161" t="str">
        <f ca="1">IFERROR(__xludf.DUMMYFUNCTION("""COMPUTED_VALUE"""),"Adam Schenk")</f>
        <v>Adam Schenk</v>
      </c>
      <c r="D161">
        <f ca="1">IFERROR(__xludf.DUMMYFUNCTION("""COMPUTED_VALUE"""),22)</f>
        <v>22</v>
      </c>
      <c r="E161">
        <f ca="1">IFERROR(__xludf.DUMMYFUNCTION("""COMPUTED_VALUE"""),88.46)</f>
        <v>88.46</v>
      </c>
      <c r="F161">
        <f ca="1">IFERROR(__xludf.DUMMYFUNCTION("""COMPUTED_VALUE"""),23)</f>
        <v>23</v>
      </c>
      <c r="G161">
        <f ca="1">IFERROR(__xludf.DUMMYFUNCTION("""COMPUTED_VALUE"""),26)</f>
        <v>26</v>
      </c>
    </row>
    <row r="162" spans="1:7" ht="12.75">
      <c r="A162">
        <f ca="1">IFERROR(__xludf.DUMMYFUNCTION("""COMPUTED_VALUE"""),161)</f>
        <v>161</v>
      </c>
      <c r="B162" t="str">
        <f ca="1">IFERROR(__xludf.DUMMYFUNCTION("""COMPUTED_VALUE"""),"T164")</f>
        <v>T164</v>
      </c>
      <c r="C162" t="str">
        <f ca="1">IFERROR(__xludf.DUMMYFUNCTION("""COMPUTED_VALUE"""),"Brice Garnett")</f>
        <v>Brice Garnett</v>
      </c>
      <c r="D162">
        <f ca="1">IFERROR(__xludf.DUMMYFUNCTION("""COMPUTED_VALUE"""),22)</f>
        <v>22</v>
      </c>
      <c r="E162">
        <f ca="1">IFERROR(__xludf.DUMMYFUNCTION("""COMPUTED_VALUE"""),88.24)</f>
        <v>88.24</v>
      </c>
      <c r="F162">
        <f ca="1">IFERROR(__xludf.DUMMYFUNCTION("""COMPUTED_VALUE"""),15)</f>
        <v>15</v>
      </c>
      <c r="G162">
        <f ca="1">IFERROR(__xludf.DUMMYFUNCTION("""COMPUTED_VALUE"""),17)</f>
        <v>17</v>
      </c>
    </row>
    <row r="163" spans="1:7" ht="12.75">
      <c r="A163" t="str">
        <f ca="1">IFERROR(__xludf.DUMMYFUNCTION("""COMPUTED_VALUE"""),"T162")</f>
        <v>T162</v>
      </c>
      <c r="B163" t="str">
        <f ca="1">IFERROR(__xludf.DUMMYFUNCTION("""COMPUTED_VALUE"""),"T155")</f>
        <v>T155</v>
      </c>
      <c r="C163" t="str">
        <f ca="1">IFERROR(__xludf.DUMMYFUNCTION("""COMPUTED_VALUE"""),"Rory McIlroy")</f>
        <v>Rory McIlroy</v>
      </c>
      <c r="D163">
        <f ca="1">IFERROR(__xludf.DUMMYFUNCTION("""COMPUTED_VALUE"""),12)</f>
        <v>12</v>
      </c>
      <c r="E163">
        <f ca="1">IFERROR(__xludf.DUMMYFUNCTION("""COMPUTED_VALUE"""),87.5)</f>
        <v>87.5</v>
      </c>
      <c r="F163">
        <f ca="1">IFERROR(__xludf.DUMMYFUNCTION("""COMPUTED_VALUE"""),7)</f>
        <v>7</v>
      </c>
      <c r="G163">
        <f ca="1">IFERROR(__xludf.DUMMYFUNCTION("""COMPUTED_VALUE"""),8)</f>
        <v>8</v>
      </c>
    </row>
    <row r="164" spans="1:7" ht="12.75">
      <c r="A164" t="str">
        <f ca="1">IFERROR(__xludf.DUMMYFUNCTION("""COMPUTED_VALUE"""),"T162")</f>
        <v>T162</v>
      </c>
      <c r="B164" t="str">
        <f ca="1">IFERROR(__xludf.DUMMYFUNCTION("""COMPUTED_VALUE"""),"T155")</f>
        <v>T155</v>
      </c>
      <c r="C164" t="str">
        <f ca="1">IFERROR(__xludf.DUMMYFUNCTION("""COMPUTED_VALUE"""),"Billy Horschel")</f>
        <v>Billy Horschel</v>
      </c>
      <c r="D164">
        <f ca="1">IFERROR(__xludf.DUMMYFUNCTION("""COMPUTED_VALUE"""),12)</f>
        <v>12</v>
      </c>
      <c r="E164">
        <f ca="1">IFERROR(__xludf.DUMMYFUNCTION("""COMPUTED_VALUE"""),87.5)</f>
        <v>87.5</v>
      </c>
      <c r="F164">
        <f ca="1">IFERROR(__xludf.DUMMYFUNCTION("""COMPUTED_VALUE"""),7)</f>
        <v>7</v>
      </c>
      <c r="G164">
        <f ca="1">IFERROR(__xludf.DUMMYFUNCTION("""COMPUTED_VALUE"""),8)</f>
        <v>8</v>
      </c>
    </row>
    <row r="165" spans="1:7" ht="12.75">
      <c r="A165" t="str">
        <f ca="1">IFERROR(__xludf.DUMMYFUNCTION("""COMPUTED_VALUE"""),"T162")</f>
        <v>T162</v>
      </c>
      <c r="B165" t="str">
        <f ca="1">IFERROR(__xludf.DUMMYFUNCTION("""COMPUTED_VALUE"""),"T155")</f>
        <v>T155</v>
      </c>
      <c r="C165" t="str">
        <f ca="1">IFERROR(__xludf.DUMMYFUNCTION("""COMPUTED_VALUE"""),"Joseph Bramlett")</f>
        <v>Joseph Bramlett</v>
      </c>
      <c r="D165">
        <f ca="1">IFERROR(__xludf.DUMMYFUNCTION("""COMPUTED_VALUE"""),18)</f>
        <v>18</v>
      </c>
      <c r="E165">
        <f ca="1">IFERROR(__xludf.DUMMYFUNCTION("""COMPUTED_VALUE"""),87.5)</f>
        <v>87.5</v>
      </c>
      <c r="F165">
        <f ca="1">IFERROR(__xludf.DUMMYFUNCTION("""COMPUTED_VALUE"""),14)</f>
        <v>14</v>
      </c>
      <c r="G165">
        <f ca="1">IFERROR(__xludf.DUMMYFUNCTION("""COMPUTED_VALUE"""),16)</f>
        <v>16</v>
      </c>
    </row>
    <row r="166" spans="1:7" ht="12.75">
      <c r="A166" t="str">
        <f ca="1">IFERROR(__xludf.DUMMYFUNCTION("""COMPUTED_VALUE"""),"T162")</f>
        <v>T162</v>
      </c>
      <c r="B166" t="str">
        <f ca="1">IFERROR(__xludf.DUMMYFUNCTION("""COMPUTED_VALUE"""),"T155")</f>
        <v>T155</v>
      </c>
      <c r="C166" t="str">
        <f ca="1">IFERROR(__xludf.DUMMYFUNCTION("""COMPUTED_VALUE"""),"Tom Hoge")</f>
        <v>Tom Hoge</v>
      </c>
      <c r="D166">
        <f ca="1">IFERROR(__xludf.DUMMYFUNCTION("""COMPUTED_VALUE"""),22)</f>
        <v>22</v>
      </c>
      <c r="E166">
        <f ca="1">IFERROR(__xludf.DUMMYFUNCTION("""COMPUTED_VALUE"""),87.5)</f>
        <v>87.5</v>
      </c>
      <c r="F166">
        <f ca="1">IFERROR(__xludf.DUMMYFUNCTION("""COMPUTED_VALUE"""),14)</f>
        <v>14</v>
      </c>
      <c r="G166">
        <f ca="1">IFERROR(__xludf.DUMMYFUNCTION("""COMPUTED_VALUE"""),16)</f>
        <v>16</v>
      </c>
    </row>
    <row r="167" spans="1:7" ht="12.75">
      <c r="A167" t="str">
        <f ca="1">IFERROR(__xludf.DUMMYFUNCTION("""COMPUTED_VALUE"""),"T162")</f>
        <v>T162</v>
      </c>
      <c r="B167" t="str">
        <f ca="1">IFERROR(__xludf.DUMMYFUNCTION("""COMPUTED_VALUE"""),"T166")</f>
        <v>T166</v>
      </c>
      <c r="C167" t="str">
        <f ca="1">IFERROR(__xludf.DUMMYFUNCTION("""COMPUTED_VALUE"""),"Patrick Rodgers")</f>
        <v>Patrick Rodgers</v>
      </c>
      <c r="D167">
        <f ca="1">IFERROR(__xludf.DUMMYFUNCTION("""COMPUTED_VALUE"""),18)</f>
        <v>18</v>
      </c>
      <c r="E167">
        <f ca="1">IFERROR(__xludf.DUMMYFUNCTION("""COMPUTED_VALUE"""),87.5)</f>
        <v>87.5</v>
      </c>
      <c r="F167">
        <f ca="1">IFERROR(__xludf.DUMMYFUNCTION("""COMPUTED_VALUE"""),7)</f>
        <v>7</v>
      </c>
      <c r="G167">
        <f ca="1">IFERROR(__xludf.DUMMYFUNCTION("""COMPUTED_VALUE"""),8)</f>
        <v>8</v>
      </c>
    </row>
    <row r="168" spans="1:7" ht="12.75">
      <c r="A168" t="str">
        <f ca="1">IFERROR(__xludf.DUMMYFUNCTION("""COMPUTED_VALUE"""),"T162")</f>
        <v>T162</v>
      </c>
      <c r="B168" t="str">
        <f ca="1">IFERROR(__xludf.DUMMYFUNCTION("""COMPUTED_VALUE"""),"T155")</f>
        <v>T155</v>
      </c>
      <c r="C168" t="str">
        <f ca="1">IFERROR(__xludf.DUMMYFUNCTION("""COMPUTED_VALUE"""),"Cameron Davis")</f>
        <v>Cameron Davis</v>
      </c>
      <c r="D168">
        <f ca="1">IFERROR(__xludf.DUMMYFUNCTION("""COMPUTED_VALUE"""),16)</f>
        <v>16</v>
      </c>
      <c r="E168">
        <f ca="1">IFERROR(__xludf.DUMMYFUNCTION("""COMPUTED_VALUE"""),87.5)</f>
        <v>87.5</v>
      </c>
      <c r="F168">
        <f ca="1">IFERROR(__xludf.DUMMYFUNCTION("""COMPUTED_VALUE"""),7)</f>
        <v>7</v>
      </c>
      <c r="G168">
        <f ca="1">IFERROR(__xludf.DUMMYFUNCTION("""COMPUTED_VALUE"""),8)</f>
        <v>8</v>
      </c>
    </row>
    <row r="169" spans="1:7" ht="12.75">
      <c r="A169" t="str">
        <f ca="1">IFERROR(__xludf.DUMMYFUNCTION("""COMPUTED_VALUE"""),"T162")</f>
        <v>T162</v>
      </c>
      <c r="B169" t="str">
        <f ca="1">IFERROR(__xludf.DUMMYFUNCTION("""COMPUTED_VALUE"""),"T197")</f>
        <v>T197</v>
      </c>
      <c r="C169" t="str">
        <f ca="1">IFERROR(__xludf.DUMMYFUNCTION("""COMPUTED_VALUE"""),"Wyndham Clark")</f>
        <v>Wyndham Clark</v>
      </c>
      <c r="D169">
        <f ca="1">IFERROR(__xludf.DUMMYFUNCTION("""COMPUTED_VALUE"""),16)</f>
        <v>16</v>
      </c>
      <c r="E169">
        <f ca="1">IFERROR(__xludf.DUMMYFUNCTION("""COMPUTED_VALUE"""),87.5)</f>
        <v>87.5</v>
      </c>
      <c r="F169">
        <f ca="1">IFERROR(__xludf.DUMMYFUNCTION("""COMPUTED_VALUE"""),7)</f>
        <v>7</v>
      </c>
      <c r="G169">
        <f ca="1">IFERROR(__xludf.DUMMYFUNCTION("""COMPUTED_VALUE"""),8)</f>
        <v>8</v>
      </c>
    </row>
    <row r="170" spans="1:7" ht="12.75">
      <c r="A170" t="str">
        <f ca="1">IFERROR(__xludf.DUMMYFUNCTION("""COMPUTED_VALUE"""),"T162")</f>
        <v>T162</v>
      </c>
      <c r="B170" t="str">
        <f ca="1">IFERROR(__xludf.DUMMYFUNCTION("""COMPUTED_VALUE"""),"T155")</f>
        <v>T155</v>
      </c>
      <c r="C170" t="str">
        <f ca="1">IFERROR(__xludf.DUMMYFUNCTION("""COMPUTED_VALUE"""),"Joohyung Kim")</f>
        <v>Joohyung Kim</v>
      </c>
      <c r="D170">
        <f ca="1">IFERROR(__xludf.DUMMYFUNCTION("""COMPUTED_VALUE"""),12)</f>
        <v>12</v>
      </c>
      <c r="E170">
        <f ca="1">IFERROR(__xludf.DUMMYFUNCTION("""COMPUTED_VALUE"""),87.5)</f>
        <v>87.5</v>
      </c>
      <c r="F170">
        <f ca="1">IFERROR(__xludf.DUMMYFUNCTION("""COMPUTED_VALUE"""),7)</f>
        <v>7</v>
      </c>
      <c r="G170">
        <f ca="1">IFERROR(__xludf.DUMMYFUNCTION("""COMPUTED_VALUE"""),8)</f>
        <v>8</v>
      </c>
    </row>
    <row r="171" spans="1:7" ht="12.75">
      <c r="A171">
        <f ca="1">IFERROR(__xludf.DUMMYFUNCTION("""COMPUTED_VALUE"""),170)</f>
        <v>170</v>
      </c>
      <c r="B171" t="str">
        <f ca="1">IFERROR(__xludf.DUMMYFUNCTION("""COMPUTED_VALUE"""),"T164")</f>
        <v>T164</v>
      </c>
      <c r="C171" t="str">
        <f ca="1">IFERROR(__xludf.DUMMYFUNCTION("""COMPUTED_VALUE"""),"Bill Haas")</f>
        <v>Bill Haas</v>
      </c>
      <c r="D171">
        <f ca="1">IFERROR(__xludf.DUMMYFUNCTION("""COMPUTED_VALUE"""),10)</f>
        <v>10</v>
      </c>
      <c r="E171">
        <f ca="1">IFERROR(__xludf.DUMMYFUNCTION("""COMPUTED_VALUE"""),86.67)</f>
        <v>86.67</v>
      </c>
      <c r="F171">
        <f ca="1">IFERROR(__xludf.DUMMYFUNCTION("""COMPUTED_VALUE"""),13)</f>
        <v>13</v>
      </c>
      <c r="G171">
        <f ca="1">IFERROR(__xludf.DUMMYFUNCTION("""COMPUTED_VALUE"""),15)</f>
        <v>15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IFERROR(__xludf.DUMMYFUNCTION("""COMPUTED_VALUE"""),"T166")</f>
        <v>T166</v>
      </c>
      <c r="C172" t="str">
        <f ca="1">IFERROR(__xludf.DUMMYFUNCTION("""COMPUTED_VALUE"""),"Phil Mickelson")</f>
        <v>Phil Mickelson</v>
      </c>
      <c r="D172">
        <f ca="1">IFERROR(__xludf.DUMMYFUNCTION("""COMPUTED_VALUE"""),12)</f>
        <v>12</v>
      </c>
      <c r="E172">
        <f ca="1">IFERROR(__xludf.DUMMYFUNCTION("""COMPUTED_VALUE"""),85.71)</f>
        <v>85.71</v>
      </c>
      <c r="F172">
        <f ca="1">IFERROR(__xludf.DUMMYFUNCTION("""COMPUTED_VALUE"""),6)</f>
        <v>6</v>
      </c>
      <c r="G172">
        <f ca="1">IFERROR(__xludf.DUMMYFUNCTION("""COMPUTED_VALUE"""),7)</f>
        <v>7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IFERROR(__xludf.DUMMYFUNCTION("""COMPUTED_VALUE"""),"T1")</f>
        <v>T1</v>
      </c>
      <c r="C173" t="str">
        <f ca="1">IFERROR(__xludf.DUMMYFUNCTION("""COMPUTED_VALUE"""),"Jason Day")</f>
        <v>Jason Day</v>
      </c>
      <c r="D173">
        <f ca="1">IFERROR(__xludf.DUMMYFUNCTION("""COMPUTED_VALUE"""),17)</f>
        <v>17</v>
      </c>
      <c r="E173">
        <f ca="1">IFERROR(__xludf.DUMMYFUNCTION("""COMPUTED_VALUE"""),85.71)</f>
        <v>85.71</v>
      </c>
      <c r="F173">
        <f ca="1">IFERROR(__xludf.DUMMYFUNCTION("""COMPUTED_VALUE"""),6)</f>
        <v>6</v>
      </c>
      <c r="G173">
        <f ca="1">IFERROR(__xludf.DUMMYFUNCTION("""COMPUTED_VALUE"""),7)</f>
        <v>7</v>
      </c>
    </row>
    <row r="174" spans="1:7" ht="12.75">
      <c r="A174" t="str">
        <f ca="1">IFERROR(__xludf.DUMMYFUNCTION("""COMPUTED_VALUE"""),"T171")</f>
        <v>T171</v>
      </c>
      <c r="B174" t="str">
        <f ca="1">IFERROR(__xludf.DUMMYFUNCTION("""COMPUTED_VALUE"""),"T192")</f>
        <v>T192</v>
      </c>
      <c r="C174" t="str">
        <f ca="1">IFERROR(__xludf.DUMMYFUNCTION("""COMPUTED_VALUE"""),"Troy Merritt")</f>
        <v>Troy Merritt</v>
      </c>
      <c r="D174">
        <f ca="1">IFERROR(__xludf.DUMMYFUNCTION("""COMPUTED_VALUE"""),20)</f>
        <v>20</v>
      </c>
      <c r="E174">
        <f ca="1">IFERROR(__xludf.DUMMYFUNCTION("""COMPUTED_VALUE"""),85.71)</f>
        <v>85.71</v>
      </c>
      <c r="F174">
        <f ca="1">IFERROR(__xludf.DUMMYFUNCTION("""COMPUTED_VALUE"""),12)</f>
        <v>12</v>
      </c>
      <c r="G174">
        <f ca="1">IFERROR(__xludf.DUMMYFUNCTION("""COMPUTED_VALUE"""),14)</f>
        <v>14</v>
      </c>
    </row>
    <row r="175" spans="1:7" ht="12.75">
      <c r="A175" t="str">
        <f ca="1">IFERROR(__xludf.DUMMYFUNCTION("""COMPUTED_VALUE"""),"T171")</f>
        <v>T171</v>
      </c>
      <c r="B175" t="str">
        <f ca="1">IFERROR(__xludf.DUMMYFUNCTION("""COMPUTED_VALUE"""),"T166")</f>
        <v>T166</v>
      </c>
      <c r="C175" t="str">
        <f ca="1">IFERROR(__xludf.DUMMYFUNCTION("""COMPUTED_VALUE"""),"Mark Anderson")</f>
        <v>Mark Anderson</v>
      </c>
      <c r="D175">
        <f ca="1">IFERROR(__xludf.DUMMYFUNCTION("""COMPUTED_VALUE"""),14)</f>
        <v>14</v>
      </c>
      <c r="E175">
        <f ca="1">IFERROR(__xludf.DUMMYFUNCTION("""COMPUTED_VALUE"""),85.71)</f>
        <v>85.71</v>
      </c>
      <c r="F175">
        <f ca="1">IFERROR(__xludf.DUMMYFUNCTION("""COMPUTED_VALUE"""),12)</f>
        <v>12</v>
      </c>
      <c r="G175">
        <f ca="1">IFERROR(__xludf.DUMMYFUNCTION("""COMPUTED_VALUE"""),14)</f>
        <v>14</v>
      </c>
    </row>
    <row r="176" spans="1:7" ht="12.75">
      <c r="A176" t="str">
        <f ca="1">IFERROR(__xludf.DUMMYFUNCTION("""COMPUTED_VALUE"""),"T171")</f>
        <v>T171</v>
      </c>
      <c r="B176" t="str">
        <f ca="1">IFERROR(__xludf.DUMMYFUNCTION("""COMPUTED_VALUE"""),"T166")</f>
        <v>T166</v>
      </c>
      <c r="C176" t="str">
        <f ca="1">IFERROR(__xludf.DUMMYFUNCTION("""COMPUTED_VALUE"""),"Renato Paratore")</f>
        <v>Renato Paratore</v>
      </c>
      <c r="D176">
        <f ca="1">IFERROR(__xludf.DUMMYFUNCTION("""COMPUTED_VALUE"""),4)</f>
        <v>4</v>
      </c>
      <c r="E176">
        <f ca="1">IFERROR(__xludf.DUMMYFUNCTION("""COMPUTED_VALUE"""),85.71)</f>
        <v>85.71</v>
      </c>
      <c r="F176">
        <f ca="1">IFERROR(__xludf.DUMMYFUNCTION("""COMPUTED_VALUE"""),6)</f>
        <v>6</v>
      </c>
      <c r="G176">
        <f ca="1">IFERROR(__xludf.DUMMYFUNCTION("""COMPUTED_VALUE"""),7)</f>
        <v>7</v>
      </c>
    </row>
    <row r="177" spans="1:7" ht="12.75">
      <c r="A177" t="str">
        <f ca="1">IFERROR(__xludf.DUMMYFUNCTION("""COMPUTED_VALUE"""),"T171")</f>
        <v>T171</v>
      </c>
      <c r="B177" t="str">
        <f ca="1">IFERROR(__xludf.DUMMYFUNCTION("""COMPUTED_VALUE"""),"T166")</f>
        <v>T166</v>
      </c>
      <c r="C177" t="str">
        <f ca="1">IFERROR(__xludf.DUMMYFUNCTION("""COMPUTED_VALUE"""),"Si Woo Kim")</f>
        <v>Si Woo Kim</v>
      </c>
      <c r="D177">
        <f ca="1">IFERROR(__xludf.DUMMYFUNCTION("""COMPUTED_VALUE"""),20)</f>
        <v>20</v>
      </c>
      <c r="E177">
        <f ca="1">IFERROR(__xludf.DUMMYFUNCTION("""COMPUTED_VALUE"""),85.71)</f>
        <v>85.71</v>
      </c>
      <c r="F177">
        <f ca="1">IFERROR(__xludf.DUMMYFUNCTION("""COMPUTED_VALUE"""),6)</f>
        <v>6</v>
      </c>
      <c r="G177">
        <f ca="1">IFERROR(__xludf.DUMMYFUNCTION("""COMPUTED_VALUE"""),7)</f>
        <v>7</v>
      </c>
    </row>
    <row r="178" spans="1:7" ht="12.75">
      <c r="A178" t="str">
        <f ca="1">IFERROR(__xludf.DUMMYFUNCTION("""COMPUTED_VALUE"""),"T171")</f>
        <v>T171</v>
      </c>
      <c r="B178" t="str">
        <f ca="1">IFERROR(__xludf.DUMMYFUNCTION("""COMPUTED_VALUE"""),"T166")</f>
        <v>T166</v>
      </c>
      <c r="C178" t="str">
        <f ca="1">IFERROR(__xludf.DUMMYFUNCTION("""COMPUTED_VALUE"""),"Max Homa")</f>
        <v>Max Homa</v>
      </c>
      <c r="D178">
        <f ca="1">IFERROR(__xludf.DUMMYFUNCTION("""COMPUTED_VALUE"""),12)</f>
        <v>12</v>
      </c>
      <c r="E178">
        <f ca="1">IFERROR(__xludf.DUMMYFUNCTION("""COMPUTED_VALUE"""),85.71)</f>
        <v>85.71</v>
      </c>
      <c r="F178">
        <f ca="1">IFERROR(__xludf.DUMMYFUNCTION("""COMPUTED_VALUE"""),6)</f>
        <v>6</v>
      </c>
      <c r="G178">
        <f ca="1">IFERROR(__xludf.DUMMYFUNCTION("""COMPUTED_VALUE"""),7)</f>
        <v>7</v>
      </c>
    </row>
    <row r="179" spans="1:7" ht="12.75">
      <c r="A179" t="str">
        <f ca="1">IFERROR(__xludf.DUMMYFUNCTION("""COMPUTED_VALUE"""),"T171")</f>
        <v>T171</v>
      </c>
      <c r="B179" t="str">
        <f ca="1">IFERROR(__xludf.DUMMYFUNCTION("""COMPUTED_VALUE"""),"T166")</f>
        <v>T166</v>
      </c>
      <c r="C179" t="str">
        <f ca="1">IFERROR(__xludf.DUMMYFUNCTION("""COMPUTED_VALUE"""),"Joaquin Niemann")</f>
        <v>Joaquin Niemann</v>
      </c>
      <c r="D179">
        <f ca="1">IFERROR(__xludf.DUMMYFUNCTION("""COMPUTED_VALUE"""),16)</f>
        <v>16</v>
      </c>
      <c r="E179">
        <f ca="1">IFERROR(__xludf.DUMMYFUNCTION("""COMPUTED_VALUE"""),85.71)</f>
        <v>85.71</v>
      </c>
      <c r="F179">
        <f ca="1">IFERROR(__xludf.DUMMYFUNCTION("""COMPUTED_VALUE"""),6)</f>
        <v>6</v>
      </c>
      <c r="G179">
        <f ca="1">IFERROR(__xludf.DUMMYFUNCTION("""COMPUTED_VALUE"""),7)</f>
        <v>7</v>
      </c>
    </row>
    <row r="180" spans="1:7" ht="12.75">
      <c r="A180" t="str">
        <f ca="1">IFERROR(__xludf.DUMMYFUNCTION("""COMPUTED_VALUE"""),"T171")</f>
        <v>T171</v>
      </c>
      <c r="B180" t="str">
        <f ca="1">IFERROR(__xludf.DUMMYFUNCTION("""COMPUTED_VALUE"""),"T166")</f>
        <v>T166</v>
      </c>
      <c r="C180" t="str">
        <f ca="1">IFERROR(__xludf.DUMMYFUNCTION("""COMPUTED_VALUE"""),"Jon Rahm")</f>
        <v>Jon Rahm</v>
      </c>
      <c r="D180">
        <f ca="1">IFERROR(__xludf.DUMMYFUNCTION("""COMPUTED_VALUE"""),12)</f>
        <v>12</v>
      </c>
      <c r="E180">
        <f ca="1">IFERROR(__xludf.DUMMYFUNCTION("""COMPUTED_VALUE"""),85.71)</f>
        <v>85.71</v>
      </c>
      <c r="F180">
        <f ca="1">IFERROR(__xludf.DUMMYFUNCTION("""COMPUTED_VALUE"""),6)</f>
        <v>6</v>
      </c>
      <c r="G180">
        <f ca="1">IFERROR(__xludf.DUMMYFUNCTION("""COMPUTED_VALUE"""),7)</f>
        <v>7</v>
      </c>
    </row>
    <row r="181" spans="1:7" ht="12.75">
      <c r="A181" t="str">
        <f ca="1">IFERROR(__xludf.DUMMYFUNCTION("""COMPUTED_VALUE"""),"T171")</f>
        <v>T171</v>
      </c>
      <c r="B181" t="str">
        <f ca="1">IFERROR(__xludf.DUMMYFUNCTION("""COMPUTED_VALUE"""),"T166")</f>
        <v>T166</v>
      </c>
      <c r="C181" t="str">
        <f ca="1">IFERROR(__xludf.DUMMYFUNCTION("""COMPUTED_VALUE"""),"Bryson DeChambeau")</f>
        <v>Bryson DeChambeau</v>
      </c>
      <c r="D181">
        <f ca="1">IFERROR(__xludf.DUMMYFUNCTION("""COMPUTED_VALUE"""),8)</f>
        <v>8</v>
      </c>
      <c r="E181">
        <f ca="1">IFERROR(__xludf.DUMMYFUNCTION("""COMPUTED_VALUE"""),85.71)</f>
        <v>85.71</v>
      </c>
      <c r="F181">
        <f ca="1">IFERROR(__xludf.DUMMYFUNCTION("""COMPUTED_VALUE"""),6)</f>
        <v>6</v>
      </c>
      <c r="G181">
        <f ca="1">IFERROR(__xludf.DUMMYFUNCTION("""COMPUTED_VALUE"""),7)</f>
        <v>7</v>
      </c>
    </row>
    <row r="182" spans="1:7" ht="12.75">
      <c r="A182" t="str">
        <f ca="1">IFERROR(__xludf.DUMMYFUNCTION("""COMPUTED_VALUE"""),"T171")</f>
        <v>T171</v>
      </c>
      <c r="B182" t="str">
        <f ca="1">IFERROR(__xludf.DUMMYFUNCTION("""COMPUTED_VALUE"""),"T166")</f>
        <v>T166</v>
      </c>
      <c r="C182" t="str">
        <f ca="1">IFERROR(__xludf.DUMMYFUNCTION("""COMPUTED_VALUE"""),"Justin Suh")</f>
        <v>Justin Suh</v>
      </c>
      <c r="D182">
        <f ca="1">IFERROR(__xludf.DUMMYFUNCTION("""COMPUTED_VALUE"""),10)</f>
        <v>10</v>
      </c>
      <c r="E182">
        <f ca="1">IFERROR(__xludf.DUMMYFUNCTION("""COMPUTED_VALUE"""),85.71)</f>
        <v>85.71</v>
      </c>
      <c r="F182">
        <f ca="1">IFERROR(__xludf.DUMMYFUNCTION("""COMPUTED_VALUE"""),6)</f>
        <v>6</v>
      </c>
      <c r="G182">
        <f ca="1">IFERROR(__xludf.DUMMYFUNCTION("""COMPUTED_VALUE"""),7)</f>
        <v>7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IFERROR(__xludf.DUMMYFUNCTION("""COMPUTED_VALUE"""),191)</f>
        <v>191</v>
      </c>
      <c r="C183" t="str">
        <f ca="1">IFERROR(__xludf.DUMMYFUNCTION("""COMPUTED_VALUE"""),"Fabián Gómez")</f>
        <v>Fabián Gómez</v>
      </c>
      <c r="D183">
        <f ca="1">IFERROR(__xludf.DUMMYFUNCTION("""COMPUTED_VALUE"""),16)</f>
        <v>16</v>
      </c>
      <c r="E183">
        <f ca="1">IFERROR(__xludf.DUMMYFUNCTION("""COMPUTED_VALUE"""),85)</f>
        <v>85</v>
      </c>
      <c r="F183">
        <f ca="1">IFERROR(__xludf.DUMMYFUNCTION("""COMPUTED_VALUE"""),17)</f>
        <v>17</v>
      </c>
      <c r="G183">
        <f ca="1">IFERROR(__xludf.DUMMYFUNCTION("""COMPUTED_VALUE"""),20)</f>
        <v>20</v>
      </c>
    </row>
    <row r="184" spans="1:7" ht="12.75">
      <c r="A184" t="str">
        <f ca="1">IFERROR(__xludf.DUMMYFUNCTION("""COMPUTED_VALUE"""),"T183")</f>
        <v>T183</v>
      </c>
      <c r="B184" t="str">
        <f ca="1">IFERROR(__xludf.DUMMYFUNCTION("""COMPUTED_VALUE"""),"T179")</f>
        <v>T179</v>
      </c>
      <c r="C184" t="str">
        <f ca="1">IFERROR(__xludf.DUMMYFUNCTION("""COMPUTED_VALUE"""),"Jamie Lovemark")</f>
        <v>Jamie Lovemark</v>
      </c>
      <c r="D184">
        <f ca="1">IFERROR(__xludf.DUMMYFUNCTION("""COMPUTED_VALUE"""),18)</f>
        <v>18</v>
      </c>
      <c r="E184">
        <f ca="1">IFERROR(__xludf.DUMMYFUNCTION("""COMPUTED_VALUE"""),84.62)</f>
        <v>84.62</v>
      </c>
      <c r="F184">
        <f ca="1">IFERROR(__xludf.DUMMYFUNCTION("""COMPUTED_VALUE"""),11)</f>
        <v>11</v>
      </c>
      <c r="G184">
        <f ca="1">IFERROR(__xludf.DUMMYFUNCTION("""COMPUTED_VALUE"""),13)</f>
        <v>13</v>
      </c>
    </row>
    <row r="185" spans="1:7" ht="12.75">
      <c r="A185" t="str">
        <f ca="1">IFERROR(__xludf.DUMMYFUNCTION("""COMPUTED_VALUE"""),"T183")</f>
        <v>T183</v>
      </c>
      <c r="B185" t="str">
        <f ca="1">IFERROR(__xludf.DUMMYFUNCTION("""COMPUTED_VALUE"""),"T214")</f>
        <v>T214</v>
      </c>
      <c r="C185" t="str">
        <f ca="1">IFERROR(__xludf.DUMMYFUNCTION("""COMPUTED_VALUE"""),"Kristoffer Ventura")</f>
        <v>Kristoffer Ventura</v>
      </c>
      <c r="D185">
        <f ca="1">IFERROR(__xludf.DUMMYFUNCTION("""COMPUTED_VALUE"""),20)</f>
        <v>20</v>
      </c>
      <c r="E185">
        <f ca="1">IFERROR(__xludf.DUMMYFUNCTION("""COMPUTED_VALUE"""),84.62)</f>
        <v>84.62</v>
      </c>
      <c r="F185">
        <f ca="1">IFERROR(__xludf.DUMMYFUNCTION("""COMPUTED_VALUE"""),11)</f>
        <v>11</v>
      </c>
      <c r="G185">
        <f ca="1">IFERROR(__xludf.DUMMYFUNCTION("""COMPUTED_VALUE"""),13)</f>
        <v>13</v>
      </c>
    </row>
    <row r="186" spans="1:7" ht="12.75">
      <c r="A186" t="str">
        <f ca="1">IFERROR(__xludf.DUMMYFUNCTION("""COMPUTED_VALUE"""),"T183")</f>
        <v>T183</v>
      </c>
      <c r="B186" t="str">
        <f ca="1">IFERROR(__xludf.DUMMYFUNCTION("""COMPUTED_VALUE"""),"T177")</f>
        <v>T177</v>
      </c>
      <c r="C186" t="str">
        <f ca="1">IFERROR(__xludf.DUMMYFUNCTION("""COMPUTED_VALUE"""),"Corey Conners")</f>
        <v>Corey Conners</v>
      </c>
      <c r="D186">
        <f ca="1">IFERROR(__xludf.DUMMYFUNCTION("""COMPUTED_VALUE"""),20)</f>
        <v>20</v>
      </c>
      <c r="E186">
        <f ca="1">IFERROR(__xludf.DUMMYFUNCTION("""COMPUTED_VALUE"""),84.62)</f>
        <v>84.62</v>
      </c>
      <c r="F186">
        <f ca="1">IFERROR(__xludf.DUMMYFUNCTION("""COMPUTED_VALUE"""),11)</f>
        <v>11</v>
      </c>
      <c r="G186">
        <f ca="1">IFERROR(__xludf.DUMMYFUNCTION("""COMPUTED_VALUE"""),13)</f>
        <v>13</v>
      </c>
    </row>
    <row r="187" spans="1:7" ht="12.75">
      <c r="A187" t="str">
        <f ca="1">IFERROR(__xludf.DUMMYFUNCTION("""COMPUTED_VALUE"""),"T183")</f>
        <v>T183</v>
      </c>
      <c r="B187" t="str">
        <f ca="1">IFERROR(__xludf.DUMMYFUNCTION("""COMPUTED_VALUE"""),"T177")</f>
        <v>T177</v>
      </c>
      <c r="C187" t="str">
        <f ca="1">IFERROR(__xludf.DUMMYFUNCTION("""COMPUTED_VALUE"""),"Doug Ghim")</f>
        <v>Doug Ghim</v>
      </c>
      <c r="D187">
        <f ca="1">IFERROR(__xludf.DUMMYFUNCTION("""COMPUTED_VALUE"""),14)</f>
        <v>14</v>
      </c>
      <c r="E187">
        <f ca="1">IFERROR(__xludf.DUMMYFUNCTION("""COMPUTED_VALUE"""),84.62)</f>
        <v>84.62</v>
      </c>
      <c r="F187">
        <f ca="1">IFERROR(__xludf.DUMMYFUNCTION("""COMPUTED_VALUE"""),11)</f>
        <v>11</v>
      </c>
      <c r="G187">
        <f ca="1">IFERROR(__xludf.DUMMYFUNCTION("""COMPUTED_VALUE"""),13)</f>
        <v>13</v>
      </c>
    </row>
    <row r="188" spans="1:7" ht="12.75">
      <c r="A188" t="str">
        <f ca="1">IFERROR(__xludf.DUMMYFUNCTION("""COMPUTED_VALUE"""),"T187")</f>
        <v>T187</v>
      </c>
      <c r="B188" t="str">
        <f ca="1">IFERROR(__xludf.DUMMYFUNCTION("""COMPUTED_VALUE"""),"T197")</f>
        <v>T197</v>
      </c>
      <c r="C188" t="str">
        <f ca="1">IFERROR(__xludf.DUMMYFUNCTION("""COMPUTED_VALUE"""),"Sergio Garcia")</f>
        <v>Sergio Garcia</v>
      </c>
      <c r="D188">
        <f ca="1">IFERROR(__xludf.DUMMYFUNCTION("""COMPUTED_VALUE"""),18)</f>
        <v>18</v>
      </c>
      <c r="E188">
        <f ca="1">IFERROR(__xludf.DUMMYFUNCTION("""COMPUTED_VALUE"""),83.33)</f>
        <v>83.33</v>
      </c>
      <c r="F188">
        <f ca="1">IFERROR(__xludf.DUMMYFUNCTION("""COMPUTED_VALUE"""),5)</f>
        <v>5</v>
      </c>
      <c r="G188">
        <f ca="1">IFERROR(__xludf.DUMMYFUNCTION("""COMPUTED_VALUE"""),6)</f>
        <v>6</v>
      </c>
    </row>
    <row r="189" spans="1:7" ht="12.75">
      <c r="A189" t="str">
        <f ca="1">IFERROR(__xludf.DUMMYFUNCTION("""COMPUTED_VALUE"""),"T187")</f>
        <v>T187</v>
      </c>
      <c r="B189" t="str">
        <f ca="1">IFERROR(__xludf.DUMMYFUNCTION("""COMPUTED_VALUE"""),"T197")</f>
        <v>T197</v>
      </c>
      <c r="C189" t="str">
        <f ca="1">IFERROR(__xludf.DUMMYFUNCTION("""COMPUTED_VALUE"""),"Scott Piercy")</f>
        <v>Scott Piercy</v>
      </c>
      <c r="D189">
        <f ca="1">IFERROR(__xludf.DUMMYFUNCTION("""COMPUTED_VALUE"""),18)</f>
        <v>18</v>
      </c>
      <c r="E189">
        <f ca="1">IFERROR(__xludf.DUMMYFUNCTION("""COMPUTED_VALUE"""),83.33)</f>
        <v>83.33</v>
      </c>
      <c r="F189">
        <f ca="1">IFERROR(__xludf.DUMMYFUNCTION("""COMPUTED_VALUE"""),5)</f>
        <v>5</v>
      </c>
      <c r="G189">
        <f ca="1">IFERROR(__xludf.DUMMYFUNCTION("""COMPUTED_VALUE"""),6)</f>
        <v>6</v>
      </c>
    </row>
    <row r="190" spans="1:7" ht="12.75">
      <c r="A190" t="str">
        <f ca="1">IFERROR(__xludf.DUMMYFUNCTION("""COMPUTED_VALUE"""),"T187")</f>
        <v>T187</v>
      </c>
      <c r="B190" t="str">
        <f ca="1">IFERROR(__xludf.DUMMYFUNCTION("""COMPUTED_VALUE"""),"T179")</f>
        <v>T179</v>
      </c>
      <c r="C190" t="str">
        <f ca="1">IFERROR(__xludf.DUMMYFUNCTION("""COMPUTED_VALUE"""),"Louis Oosthuizen")</f>
        <v>Louis Oosthuizen</v>
      </c>
      <c r="D190">
        <f ca="1">IFERROR(__xludf.DUMMYFUNCTION("""COMPUTED_VALUE"""),12)</f>
        <v>12</v>
      </c>
      <c r="E190">
        <f ca="1">IFERROR(__xludf.DUMMYFUNCTION("""COMPUTED_VALUE"""),83.33)</f>
        <v>83.33</v>
      </c>
      <c r="F190">
        <f ca="1">IFERROR(__xludf.DUMMYFUNCTION("""COMPUTED_VALUE"""),5)</f>
        <v>5</v>
      </c>
      <c r="G190">
        <f ca="1">IFERROR(__xludf.DUMMYFUNCTION("""COMPUTED_VALUE"""),6)</f>
        <v>6</v>
      </c>
    </row>
    <row r="191" spans="1:7" ht="12.75">
      <c r="A191" t="str">
        <f ca="1">IFERROR(__xludf.DUMMYFUNCTION("""COMPUTED_VALUE"""),"T187")</f>
        <v>T187</v>
      </c>
      <c r="B191" t="str">
        <f ca="1">IFERROR(__xludf.DUMMYFUNCTION("""COMPUTED_VALUE"""),"T197")</f>
        <v>T197</v>
      </c>
      <c r="C191" t="str">
        <f ca="1">IFERROR(__xludf.DUMMYFUNCTION("""COMPUTED_VALUE"""),"Brandt Snedeker")</f>
        <v>Brandt Snedeker</v>
      </c>
      <c r="D191">
        <f ca="1">IFERROR(__xludf.DUMMYFUNCTION("""COMPUTED_VALUE"""),16)</f>
        <v>16</v>
      </c>
      <c r="E191">
        <f ca="1">IFERROR(__xludf.DUMMYFUNCTION("""COMPUTED_VALUE"""),83.33)</f>
        <v>83.33</v>
      </c>
      <c r="F191">
        <f ca="1">IFERROR(__xludf.DUMMYFUNCTION("""COMPUTED_VALUE"""),5)</f>
        <v>5</v>
      </c>
      <c r="G191">
        <f ca="1">IFERROR(__xludf.DUMMYFUNCTION("""COMPUTED_VALUE"""),6)</f>
        <v>6</v>
      </c>
    </row>
    <row r="192" spans="1:7" ht="12.75">
      <c r="A192" t="str">
        <f ca="1">IFERROR(__xludf.DUMMYFUNCTION("""COMPUTED_VALUE"""),"T187")</f>
        <v>T187</v>
      </c>
      <c r="B192" t="str">
        <f ca="1">IFERROR(__xludf.DUMMYFUNCTION("""COMPUTED_VALUE"""),"T179")</f>
        <v>T179</v>
      </c>
      <c r="C192" t="str">
        <f ca="1">IFERROR(__xludf.DUMMYFUNCTION("""COMPUTED_VALUE"""),"Henrik Norlander")</f>
        <v>Henrik Norlander</v>
      </c>
      <c r="D192">
        <f ca="1">IFERROR(__xludf.DUMMYFUNCTION("""COMPUTED_VALUE"""),16)</f>
        <v>16</v>
      </c>
      <c r="E192">
        <f ca="1">IFERROR(__xludf.DUMMYFUNCTION("""COMPUTED_VALUE"""),83.33)</f>
        <v>83.33</v>
      </c>
      <c r="F192">
        <f ca="1">IFERROR(__xludf.DUMMYFUNCTION("""COMPUTED_VALUE"""),10)</f>
        <v>10</v>
      </c>
      <c r="G192">
        <f ca="1">IFERROR(__xludf.DUMMYFUNCTION("""COMPUTED_VALUE"""),12)</f>
        <v>12</v>
      </c>
    </row>
    <row r="193" spans="1:7" ht="12.75">
      <c r="A193" t="str">
        <f ca="1">IFERROR(__xludf.DUMMYFUNCTION("""COMPUTED_VALUE"""),"T187")</f>
        <v>T187</v>
      </c>
      <c r="B193" t="str">
        <f ca="1">IFERROR(__xludf.DUMMYFUNCTION("""COMPUTED_VALUE"""),"T153")</f>
        <v>T153</v>
      </c>
      <c r="C193" t="str">
        <f ca="1">IFERROR(__xludf.DUMMYFUNCTION("""COMPUTED_VALUE"""),"Brian Stuard")</f>
        <v>Brian Stuard</v>
      </c>
      <c r="D193">
        <f ca="1">IFERROR(__xludf.DUMMYFUNCTION("""COMPUTED_VALUE"""),18)</f>
        <v>18</v>
      </c>
      <c r="E193">
        <f ca="1">IFERROR(__xludf.DUMMYFUNCTION("""COMPUTED_VALUE"""),83.33)</f>
        <v>83.33</v>
      </c>
      <c r="F193">
        <f ca="1">IFERROR(__xludf.DUMMYFUNCTION("""COMPUTED_VALUE"""),15)</f>
        <v>15</v>
      </c>
      <c r="G193">
        <f ca="1">IFERROR(__xludf.DUMMYFUNCTION("""COMPUTED_VALUE"""),18)</f>
        <v>18</v>
      </c>
    </row>
    <row r="194" spans="1:7" ht="12.75">
      <c r="A194" t="str">
        <f ca="1">IFERROR(__xludf.DUMMYFUNCTION("""COMPUTED_VALUE"""),"T187")</f>
        <v>T187</v>
      </c>
      <c r="B194" t="str">
        <f ca="1">IFERROR(__xludf.DUMMYFUNCTION("""COMPUTED_VALUE"""),"T179")</f>
        <v>T179</v>
      </c>
      <c r="C194" t="str">
        <f ca="1">IFERROR(__xludf.DUMMYFUNCTION("""COMPUTED_VALUE"""),"Kevin Chappell")</f>
        <v>Kevin Chappell</v>
      </c>
      <c r="D194">
        <f ca="1">IFERROR(__xludf.DUMMYFUNCTION("""COMPUTED_VALUE"""),16)</f>
        <v>16</v>
      </c>
      <c r="E194">
        <f ca="1">IFERROR(__xludf.DUMMYFUNCTION("""COMPUTED_VALUE"""),83.33)</f>
        <v>83.33</v>
      </c>
      <c r="F194">
        <f ca="1">IFERROR(__xludf.DUMMYFUNCTION("""COMPUTED_VALUE"""),5)</f>
        <v>5</v>
      </c>
      <c r="G194">
        <f ca="1">IFERROR(__xludf.DUMMYFUNCTION("""COMPUTED_VALUE"""),6)</f>
        <v>6</v>
      </c>
    </row>
    <row r="195" spans="1:7" ht="12.75">
      <c r="A195" t="str">
        <f ca="1">IFERROR(__xludf.DUMMYFUNCTION("""COMPUTED_VALUE"""),"T187")</f>
        <v>T187</v>
      </c>
      <c r="B195" t="str">
        <f ca="1">IFERROR(__xludf.DUMMYFUNCTION("""COMPUTED_VALUE"""),"T179")</f>
        <v>T179</v>
      </c>
      <c r="C195" t="str">
        <f ca="1">IFERROR(__xludf.DUMMYFUNCTION("""COMPUTED_VALUE"""),"Bo Hoag")</f>
        <v>Bo Hoag</v>
      </c>
      <c r="D195">
        <f ca="1">IFERROR(__xludf.DUMMYFUNCTION("""COMPUTED_VALUE"""),14)</f>
        <v>14</v>
      </c>
      <c r="E195">
        <f ca="1">IFERROR(__xludf.DUMMYFUNCTION("""COMPUTED_VALUE"""),83.33)</f>
        <v>83.33</v>
      </c>
      <c r="F195">
        <f ca="1">IFERROR(__xludf.DUMMYFUNCTION("""COMPUTED_VALUE"""),5)</f>
        <v>5</v>
      </c>
      <c r="G195">
        <f ca="1">IFERROR(__xludf.DUMMYFUNCTION("""COMPUTED_VALUE"""),6)</f>
        <v>6</v>
      </c>
    </row>
    <row r="196" spans="1:7" ht="12.75">
      <c r="A196" t="str">
        <f ca="1">IFERROR(__xludf.DUMMYFUNCTION("""COMPUTED_VALUE"""),"T187")</f>
        <v>T187</v>
      </c>
      <c r="B196" t="str">
        <f ca="1">IFERROR(__xludf.DUMMYFUNCTION("""COMPUTED_VALUE"""),"T179")</f>
        <v>T179</v>
      </c>
      <c r="C196" t="str">
        <f ca="1">IFERROR(__xludf.DUMMYFUNCTION("""COMPUTED_VALUE"""),"Chesson Hadley")</f>
        <v>Chesson Hadley</v>
      </c>
      <c r="D196">
        <f ca="1">IFERROR(__xludf.DUMMYFUNCTION("""COMPUTED_VALUE"""),16)</f>
        <v>16</v>
      </c>
      <c r="E196">
        <f ca="1">IFERROR(__xludf.DUMMYFUNCTION("""COMPUTED_VALUE"""),83.33)</f>
        <v>83.33</v>
      </c>
      <c r="F196">
        <f ca="1">IFERROR(__xludf.DUMMYFUNCTION("""COMPUTED_VALUE"""),5)</f>
        <v>5</v>
      </c>
      <c r="G196">
        <f ca="1">IFERROR(__xludf.DUMMYFUNCTION("""COMPUTED_VALUE"""),6)</f>
        <v>6</v>
      </c>
    </row>
    <row r="197" spans="1:7" ht="12.75">
      <c r="A197" t="str">
        <f ca="1">IFERROR(__xludf.DUMMYFUNCTION("""COMPUTED_VALUE"""),"T187")</f>
        <v>T187</v>
      </c>
      <c r="B197" t="str">
        <f ca="1">IFERROR(__xludf.DUMMYFUNCTION("""COMPUTED_VALUE"""),"T179")</f>
        <v>T179</v>
      </c>
      <c r="C197" t="str">
        <f ca="1">IFERROR(__xludf.DUMMYFUNCTION("""COMPUTED_VALUE"""),"J.J. Spaun")</f>
        <v>J.J. Spaun</v>
      </c>
      <c r="D197">
        <f ca="1">IFERROR(__xludf.DUMMYFUNCTION("""COMPUTED_VALUE"""),10)</f>
        <v>10</v>
      </c>
      <c r="E197">
        <f ca="1">IFERROR(__xludf.DUMMYFUNCTION("""COMPUTED_VALUE"""),83.33)</f>
        <v>83.33</v>
      </c>
      <c r="F197">
        <f ca="1">IFERROR(__xludf.DUMMYFUNCTION("""COMPUTED_VALUE"""),5)</f>
        <v>5</v>
      </c>
      <c r="G197">
        <f ca="1">IFERROR(__xludf.DUMMYFUNCTION("""COMPUTED_VALUE"""),6)</f>
        <v>6</v>
      </c>
    </row>
    <row r="198" spans="1:7" ht="12.75">
      <c r="A198" t="str">
        <f ca="1">IFERROR(__xludf.DUMMYFUNCTION("""COMPUTED_VALUE"""),"T187")</f>
        <v>T187</v>
      </c>
      <c r="B198" t="str">
        <f ca="1">IFERROR(__xludf.DUMMYFUNCTION("""COMPUTED_VALUE"""),"T179")</f>
        <v>T179</v>
      </c>
      <c r="C198" t="str">
        <f ca="1">IFERROR(__xludf.DUMMYFUNCTION("""COMPUTED_VALUE"""),"Chase Seiffert")</f>
        <v>Chase Seiffert</v>
      </c>
      <c r="D198">
        <f ca="1">IFERROR(__xludf.DUMMYFUNCTION("""COMPUTED_VALUE"""),14)</f>
        <v>14</v>
      </c>
      <c r="E198">
        <f ca="1">IFERROR(__xludf.DUMMYFUNCTION("""COMPUTED_VALUE"""),83.33)</f>
        <v>83.33</v>
      </c>
      <c r="F198">
        <f ca="1">IFERROR(__xludf.DUMMYFUNCTION("""COMPUTED_VALUE"""),10)</f>
        <v>10</v>
      </c>
      <c r="G198">
        <f ca="1">IFERROR(__xludf.DUMMYFUNCTION("""COMPUTED_VALUE"""),12)</f>
        <v>12</v>
      </c>
    </row>
    <row r="199" spans="1:7" ht="12.75">
      <c r="A199" t="str">
        <f ca="1">IFERROR(__xludf.DUMMYFUNCTION("""COMPUTED_VALUE"""),"T187")</f>
        <v>T187</v>
      </c>
      <c r="B199" t="str">
        <f ca="1">IFERROR(__xludf.DUMMYFUNCTION("""COMPUTED_VALUE"""),"T179")</f>
        <v>T179</v>
      </c>
      <c r="C199" t="str">
        <f ca="1">IFERROR(__xludf.DUMMYFUNCTION("""COMPUTED_VALUE"""),"Sam Burns")</f>
        <v>Sam Burns</v>
      </c>
      <c r="D199">
        <f ca="1">IFERROR(__xludf.DUMMYFUNCTION("""COMPUTED_VALUE"""),18)</f>
        <v>18</v>
      </c>
      <c r="E199">
        <f ca="1">IFERROR(__xludf.DUMMYFUNCTION("""COMPUTED_VALUE"""),83.33)</f>
        <v>83.33</v>
      </c>
      <c r="F199">
        <f ca="1">IFERROR(__xludf.DUMMYFUNCTION("""COMPUTED_VALUE"""),5)</f>
        <v>5</v>
      </c>
      <c r="G199">
        <f ca="1">IFERROR(__xludf.DUMMYFUNCTION("""COMPUTED_VALUE"""),6)</f>
        <v>6</v>
      </c>
    </row>
    <row r="200" spans="1:7" ht="12.75">
      <c r="A200" t="str">
        <f ca="1">IFERROR(__xludf.DUMMYFUNCTION("""COMPUTED_VALUE"""),"T187")</f>
        <v>T187</v>
      </c>
      <c r="B200" t="str">
        <f ca="1">IFERROR(__xludf.DUMMYFUNCTION("""COMPUTED_VALUE"""),"T179")</f>
        <v>T179</v>
      </c>
      <c r="C200" t="str">
        <f ca="1">IFERROR(__xludf.DUMMYFUNCTION("""COMPUTED_VALUE"""),"Rasmus Hojgaard")</f>
        <v>Rasmus Hojgaard</v>
      </c>
      <c r="D200">
        <f ca="1">IFERROR(__xludf.DUMMYFUNCTION("""COMPUTED_VALUE"""),6)</f>
        <v>6</v>
      </c>
      <c r="E200">
        <f ca="1">IFERROR(__xludf.DUMMYFUNCTION("""COMPUTED_VALUE"""),83.33)</f>
        <v>83.33</v>
      </c>
      <c r="F200">
        <f ca="1">IFERROR(__xludf.DUMMYFUNCTION("""COMPUTED_VALUE"""),5)</f>
        <v>5</v>
      </c>
      <c r="G200">
        <f ca="1">IFERROR(__xludf.DUMMYFUNCTION("""COMPUTED_VALUE"""),6)</f>
        <v>6</v>
      </c>
    </row>
    <row r="201" spans="1:7" ht="12.75">
      <c r="A201" t="str">
        <f ca="1">IFERROR(__xludf.DUMMYFUNCTION("""COMPUTED_VALUE"""),"T187")</f>
        <v>T187</v>
      </c>
      <c r="B201" t="str">
        <f ca="1">IFERROR(__xludf.DUMMYFUNCTION("""COMPUTED_VALUE"""),"T179")</f>
        <v>T179</v>
      </c>
      <c r="C201" t="str">
        <f ca="1">IFERROR(__xludf.DUMMYFUNCTION("""COMPUTED_VALUE"""),"John Pak")</f>
        <v>John Pak</v>
      </c>
      <c r="D201">
        <f ca="1">IFERROR(__xludf.DUMMYFUNCTION("""COMPUTED_VALUE"""),4)</f>
        <v>4</v>
      </c>
      <c r="E201">
        <f ca="1">IFERROR(__xludf.DUMMYFUNCTION("""COMPUTED_VALUE"""),83.33)</f>
        <v>83.33</v>
      </c>
      <c r="F201">
        <f ca="1">IFERROR(__xludf.DUMMYFUNCTION("""COMPUTED_VALUE"""),5)</f>
        <v>5</v>
      </c>
      <c r="G201">
        <f ca="1">IFERROR(__xludf.DUMMYFUNCTION("""COMPUTED_VALUE"""),6)</f>
        <v>6</v>
      </c>
    </row>
    <row r="202" spans="1:7" ht="12.75">
      <c r="A202" t="str">
        <f ca="1">IFERROR(__xludf.DUMMYFUNCTION("""COMPUTED_VALUE"""),"T201")</f>
        <v>T201</v>
      </c>
      <c r="B202" t="str">
        <f ca="1">IFERROR(__xludf.DUMMYFUNCTION("""COMPUTED_VALUE"""),"T197")</f>
        <v>T197</v>
      </c>
      <c r="C202" t="str">
        <f ca="1">IFERROR(__xludf.DUMMYFUNCTION("""COMPUTED_VALUE"""),"Michael Thompson")</f>
        <v>Michael Thompson</v>
      </c>
      <c r="D202">
        <f ca="1">IFERROR(__xludf.DUMMYFUNCTION("""COMPUTED_VALUE"""),16)</f>
        <v>16</v>
      </c>
      <c r="E202">
        <f ca="1">IFERROR(__xludf.DUMMYFUNCTION("""COMPUTED_VALUE"""),81.82)</f>
        <v>81.819999999999993</v>
      </c>
      <c r="F202">
        <f ca="1">IFERROR(__xludf.DUMMYFUNCTION("""COMPUTED_VALUE"""),9)</f>
        <v>9</v>
      </c>
      <c r="G202">
        <f ca="1">IFERROR(__xludf.DUMMYFUNCTION("""COMPUTED_VALUE"""),11)</f>
        <v>11</v>
      </c>
    </row>
    <row r="203" spans="1:7" ht="12.75">
      <c r="A203" t="str">
        <f ca="1">IFERROR(__xludf.DUMMYFUNCTION("""COMPUTED_VALUE"""),"T201")</f>
        <v>T201</v>
      </c>
      <c r="B203" t="str">
        <f ca="1">IFERROR(__xludf.DUMMYFUNCTION("""COMPUTED_VALUE"""),"T192")</f>
        <v>T192</v>
      </c>
      <c r="C203" t="str">
        <f ca="1">IFERROR(__xludf.DUMMYFUNCTION("""COMPUTED_VALUE"""),"Kramer Hickok")</f>
        <v>Kramer Hickok</v>
      </c>
      <c r="D203">
        <f ca="1">IFERROR(__xludf.DUMMYFUNCTION("""COMPUTED_VALUE"""),16)</f>
        <v>16</v>
      </c>
      <c r="E203">
        <f ca="1">IFERROR(__xludf.DUMMYFUNCTION("""COMPUTED_VALUE"""),81.82)</f>
        <v>81.819999999999993</v>
      </c>
      <c r="F203">
        <f ca="1">IFERROR(__xludf.DUMMYFUNCTION("""COMPUTED_VALUE"""),9)</f>
        <v>9</v>
      </c>
      <c r="G203">
        <f ca="1">IFERROR(__xludf.DUMMYFUNCTION("""COMPUTED_VALUE"""),11)</f>
        <v>11</v>
      </c>
    </row>
    <row r="204" spans="1:7" ht="12.75">
      <c r="A204" t="str">
        <f ca="1">IFERROR(__xludf.DUMMYFUNCTION("""COMPUTED_VALUE"""),"T201")</f>
        <v>T201</v>
      </c>
      <c r="B204" t="str">
        <f ca="1">IFERROR(__xludf.DUMMYFUNCTION("""COMPUTED_VALUE"""),"T192")</f>
        <v>T192</v>
      </c>
      <c r="C204" t="str">
        <f ca="1">IFERROR(__xludf.DUMMYFUNCTION("""COMPUTED_VALUE"""),"Matthew Wolff")</f>
        <v>Matthew Wolff</v>
      </c>
      <c r="D204">
        <f ca="1">IFERROR(__xludf.DUMMYFUNCTION("""COMPUTED_VALUE"""),16)</f>
        <v>16</v>
      </c>
      <c r="E204">
        <f ca="1">IFERROR(__xludf.DUMMYFUNCTION("""COMPUTED_VALUE"""),81.82)</f>
        <v>81.819999999999993</v>
      </c>
      <c r="F204">
        <f ca="1">IFERROR(__xludf.DUMMYFUNCTION("""COMPUTED_VALUE"""),9)</f>
        <v>9</v>
      </c>
      <c r="G204">
        <f ca="1">IFERROR(__xludf.DUMMYFUNCTION("""COMPUTED_VALUE"""),11)</f>
        <v>11</v>
      </c>
    </row>
    <row r="205" spans="1:7" ht="12.75">
      <c r="A205" t="str">
        <f ca="1">IFERROR(__xludf.DUMMYFUNCTION("""COMPUTED_VALUE"""),"T204")</f>
        <v>T204</v>
      </c>
      <c r="B205" t="str">
        <f ca="1">IFERROR(__xludf.DUMMYFUNCTION("""COMPUTED_VALUE"""),"T195")</f>
        <v>T195</v>
      </c>
      <c r="C205" t="str">
        <f ca="1">IFERROR(__xludf.DUMMYFUNCTION("""COMPUTED_VALUE"""),"Cameron Percy")</f>
        <v>Cameron Percy</v>
      </c>
      <c r="D205">
        <f ca="1">IFERROR(__xludf.DUMMYFUNCTION("""COMPUTED_VALUE"""),16)</f>
        <v>16</v>
      </c>
      <c r="E205">
        <f ca="1">IFERROR(__xludf.DUMMYFUNCTION("""COMPUTED_VALUE"""),81.25)</f>
        <v>81.25</v>
      </c>
      <c r="F205">
        <f ca="1">IFERROR(__xludf.DUMMYFUNCTION("""COMPUTED_VALUE"""),13)</f>
        <v>13</v>
      </c>
      <c r="G205">
        <f ca="1">IFERROR(__xludf.DUMMYFUNCTION("""COMPUTED_VALUE"""),16)</f>
        <v>16</v>
      </c>
    </row>
    <row r="206" spans="1:7" ht="12.75">
      <c r="A206" t="str">
        <f ca="1">IFERROR(__xludf.DUMMYFUNCTION("""COMPUTED_VALUE"""),"T204")</f>
        <v>T204</v>
      </c>
      <c r="B206" t="str">
        <f ca="1">IFERROR(__xludf.DUMMYFUNCTION("""COMPUTED_VALUE"""),"T195")</f>
        <v>T195</v>
      </c>
      <c r="C206" t="str">
        <f ca="1">IFERROR(__xludf.DUMMYFUNCTION("""COMPUTED_VALUE"""),"Anirban Lahiri")</f>
        <v>Anirban Lahiri</v>
      </c>
      <c r="D206">
        <f ca="1">IFERROR(__xludf.DUMMYFUNCTION("""COMPUTED_VALUE"""),16)</f>
        <v>16</v>
      </c>
      <c r="E206">
        <f ca="1">IFERROR(__xludf.DUMMYFUNCTION("""COMPUTED_VALUE"""),81.25)</f>
        <v>81.25</v>
      </c>
      <c r="F206">
        <f ca="1">IFERROR(__xludf.DUMMYFUNCTION("""COMPUTED_VALUE"""),13)</f>
        <v>13</v>
      </c>
      <c r="G206">
        <f ca="1">IFERROR(__xludf.DUMMYFUNCTION("""COMPUTED_VALUE"""),16)</f>
        <v>16</v>
      </c>
    </row>
    <row r="207" spans="1:7" ht="12.75">
      <c r="A207" t="str">
        <f ca="1">IFERROR(__xludf.DUMMYFUNCTION("""COMPUTED_VALUE"""),"T204")</f>
        <v>T204</v>
      </c>
      <c r="B207" t="str">
        <f ca="1">IFERROR(__xludf.DUMMYFUNCTION("""COMPUTED_VALUE"""),"T219")</f>
        <v>T219</v>
      </c>
      <c r="C207" t="str">
        <f ca="1">IFERROR(__xludf.DUMMYFUNCTION("""COMPUTED_VALUE"""),"Will Gordon")</f>
        <v>Will Gordon</v>
      </c>
      <c r="D207">
        <f ca="1">IFERROR(__xludf.DUMMYFUNCTION("""COMPUTED_VALUE"""),20)</f>
        <v>20</v>
      </c>
      <c r="E207">
        <f ca="1">IFERROR(__xludf.DUMMYFUNCTION("""COMPUTED_VALUE"""),81.25)</f>
        <v>81.25</v>
      </c>
      <c r="F207">
        <f ca="1">IFERROR(__xludf.DUMMYFUNCTION("""COMPUTED_VALUE"""),13)</f>
        <v>13</v>
      </c>
      <c r="G207">
        <f ca="1">IFERROR(__xludf.DUMMYFUNCTION("""COMPUTED_VALUE"""),16)</f>
        <v>16</v>
      </c>
    </row>
    <row r="208" spans="1:7" ht="12.75">
      <c r="A208" t="str">
        <f ca="1">IFERROR(__xludf.DUMMYFUNCTION("""COMPUTED_VALUE"""),"T207")</f>
        <v>T207</v>
      </c>
      <c r="B208" t="str">
        <f ca="1">IFERROR(__xludf.DUMMYFUNCTION("""COMPUTED_VALUE"""),"T197")</f>
        <v>T197</v>
      </c>
      <c r="C208" t="str">
        <f ca="1">IFERROR(__xludf.DUMMYFUNCTION("""COMPUTED_VALUE"""),"John Senden")</f>
        <v>John Senden</v>
      </c>
      <c r="D208">
        <f ca="1">IFERROR(__xludf.DUMMYFUNCTION("""COMPUTED_VALUE"""),8)</f>
        <v>8</v>
      </c>
      <c r="E208">
        <f ca="1">IFERROR(__xludf.DUMMYFUNCTION("""COMPUTED_VALUE"""),80)</f>
        <v>80</v>
      </c>
      <c r="F208">
        <f ca="1">IFERROR(__xludf.DUMMYFUNCTION("""COMPUTED_VALUE"""),8)</f>
        <v>8</v>
      </c>
      <c r="G208">
        <f ca="1">IFERROR(__xludf.DUMMYFUNCTION("""COMPUTED_VALUE"""),10)</f>
        <v>10</v>
      </c>
    </row>
    <row r="209" spans="1:7" ht="12.75">
      <c r="A209" t="str">
        <f ca="1">IFERROR(__xludf.DUMMYFUNCTION("""COMPUTED_VALUE"""),"T207")</f>
        <v>T207</v>
      </c>
      <c r="B209" t="str">
        <f ca="1">IFERROR(__xludf.DUMMYFUNCTION("""COMPUTED_VALUE"""),"T197")</f>
        <v>T197</v>
      </c>
      <c r="C209" t="str">
        <f ca="1">IFERROR(__xludf.DUMMYFUNCTION("""COMPUTED_VALUE"""),"Charles Howell III")</f>
        <v>Charles Howell III</v>
      </c>
      <c r="D209">
        <f ca="1">IFERROR(__xludf.DUMMYFUNCTION("""COMPUTED_VALUE"""),10)</f>
        <v>10</v>
      </c>
      <c r="E209">
        <f ca="1">IFERROR(__xludf.DUMMYFUNCTION("""COMPUTED_VALUE"""),80)</f>
        <v>80</v>
      </c>
      <c r="F209">
        <f ca="1">IFERROR(__xludf.DUMMYFUNCTION("""COMPUTED_VALUE"""),8)</f>
        <v>8</v>
      </c>
      <c r="G209">
        <f ca="1">IFERROR(__xludf.DUMMYFUNCTION("""COMPUTED_VALUE"""),10)</f>
        <v>10</v>
      </c>
    </row>
    <row r="210" spans="1:7" ht="12.75">
      <c r="A210" t="str">
        <f ca="1">IFERROR(__xludf.DUMMYFUNCTION("""COMPUTED_VALUE"""),"T207")</f>
        <v>T207</v>
      </c>
      <c r="B210" t="str">
        <f ca="1">IFERROR(__xludf.DUMMYFUNCTION("""COMPUTED_VALUE"""),"T197")</f>
        <v>T197</v>
      </c>
      <c r="C210" t="str">
        <f ca="1">IFERROR(__xludf.DUMMYFUNCTION("""COMPUTED_VALUE"""),"Justin Rose")</f>
        <v>Justin Rose</v>
      </c>
      <c r="D210">
        <f ca="1">IFERROR(__xludf.DUMMYFUNCTION("""COMPUTED_VALUE"""),10)</f>
        <v>10</v>
      </c>
      <c r="E210">
        <f ca="1">IFERROR(__xludf.DUMMYFUNCTION("""COMPUTED_VALUE"""),80)</f>
        <v>80</v>
      </c>
      <c r="F210">
        <f ca="1">IFERROR(__xludf.DUMMYFUNCTION("""COMPUTED_VALUE"""),4)</f>
        <v>4</v>
      </c>
      <c r="G210">
        <f ca="1">IFERROR(__xludf.DUMMYFUNCTION("""COMPUTED_VALUE"""),5)</f>
        <v>5</v>
      </c>
    </row>
    <row r="211" spans="1:7" ht="12.75">
      <c r="A211" t="str">
        <f ca="1">IFERROR(__xludf.DUMMYFUNCTION("""COMPUTED_VALUE"""),"T207")</f>
        <v>T207</v>
      </c>
      <c r="B211" t="str">
        <f ca="1">IFERROR(__xludf.DUMMYFUNCTION("""COMPUTED_VALUE"""),"T222")</f>
        <v>T222</v>
      </c>
      <c r="C211" t="str">
        <f ca="1">IFERROR(__xludf.DUMMYFUNCTION("""COMPUTED_VALUE"""),"Graeme McDowell")</f>
        <v>Graeme McDowell</v>
      </c>
      <c r="D211">
        <f ca="1">IFERROR(__xludf.DUMMYFUNCTION("""COMPUTED_VALUE"""),8)</f>
        <v>8</v>
      </c>
      <c r="E211">
        <f ca="1">IFERROR(__xludf.DUMMYFUNCTION("""COMPUTED_VALUE"""),80)</f>
        <v>80</v>
      </c>
      <c r="F211">
        <f ca="1">IFERROR(__xludf.DUMMYFUNCTION("""COMPUTED_VALUE"""),4)</f>
        <v>4</v>
      </c>
      <c r="G211">
        <f ca="1">IFERROR(__xludf.DUMMYFUNCTION("""COMPUTED_VALUE"""),5)</f>
        <v>5</v>
      </c>
    </row>
    <row r="212" spans="1:7" ht="12.75">
      <c r="A212" t="str">
        <f ca="1">IFERROR(__xludf.DUMMYFUNCTION("""COMPUTED_VALUE"""),"T207")</f>
        <v>T207</v>
      </c>
      <c r="B212" t="str">
        <f ca="1">IFERROR(__xludf.DUMMYFUNCTION("""COMPUTED_VALUE"""),"T197")</f>
        <v>T197</v>
      </c>
      <c r="C212" t="str">
        <f ca="1">IFERROR(__xludf.DUMMYFUNCTION("""COMPUTED_VALUE"""),"Marc Leishman")</f>
        <v>Marc Leishman</v>
      </c>
      <c r="D212">
        <f ca="1">IFERROR(__xludf.DUMMYFUNCTION("""COMPUTED_VALUE"""),10)</f>
        <v>10</v>
      </c>
      <c r="E212">
        <f ca="1">IFERROR(__xludf.DUMMYFUNCTION("""COMPUTED_VALUE"""),80)</f>
        <v>80</v>
      </c>
      <c r="F212">
        <f ca="1">IFERROR(__xludf.DUMMYFUNCTION("""COMPUTED_VALUE"""),4)</f>
        <v>4</v>
      </c>
      <c r="G212">
        <f ca="1">IFERROR(__xludf.DUMMYFUNCTION("""COMPUTED_VALUE"""),5)</f>
        <v>5</v>
      </c>
    </row>
    <row r="213" spans="1:7" ht="12.75">
      <c r="A213" t="str">
        <f ca="1">IFERROR(__xludf.DUMMYFUNCTION("""COMPUTED_VALUE"""),"T207")</f>
        <v>T207</v>
      </c>
      <c r="B213" t="str">
        <f ca="1">IFERROR(__xludf.DUMMYFUNCTION("""COMPUTED_VALUE"""),"T197")</f>
        <v>T197</v>
      </c>
      <c r="C213" t="str">
        <f ca="1">IFERROR(__xludf.DUMMYFUNCTION("""COMPUTED_VALUE"""),"Sangmoon Bae")</f>
        <v>Sangmoon Bae</v>
      </c>
      <c r="D213">
        <f ca="1">IFERROR(__xludf.DUMMYFUNCTION("""COMPUTED_VALUE"""),8)</f>
        <v>8</v>
      </c>
      <c r="E213">
        <f ca="1">IFERROR(__xludf.DUMMYFUNCTION("""COMPUTED_VALUE"""),80)</f>
        <v>80</v>
      </c>
      <c r="F213">
        <f ca="1">IFERROR(__xludf.DUMMYFUNCTION("""COMPUTED_VALUE"""),12)</f>
        <v>12</v>
      </c>
      <c r="G213">
        <f ca="1">IFERROR(__xludf.DUMMYFUNCTION("""COMPUTED_VALUE"""),15)</f>
        <v>15</v>
      </c>
    </row>
    <row r="214" spans="1:7" ht="12.75">
      <c r="A214" t="str">
        <f ca="1">IFERROR(__xludf.DUMMYFUNCTION("""COMPUTED_VALUE"""),"T207")</f>
        <v>T207</v>
      </c>
      <c r="B214" t="str">
        <f ca="1">IFERROR(__xludf.DUMMYFUNCTION("""COMPUTED_VALUE"""),"T197")</f>
        <v>T197</v>
      </c>
      <c r="C214" t="str">
        <f ca="1">IFERROR(__xludf.DUMMYFUNCTION("""COMPUTED_VALUE"""),"Rickie Fowler")</f>
        <v>Rickie Fowler</v>
      </c>
      <c r="D214">
        <f ca="1">IFERROR(__xludf.DUMMYFUNCTION("""COMPUTED_VALUE"""),14)</f>
        <v>14</v>
      </c>
      <c r="E214">
        <f ca="1">IFERROR(__xludf.DUMMYFUNCTION("""COMPUTED_VALUE"""),80)</f>
        <v>80</v>
      </c>
      <c r="F214">
        <f ca="1">IFERROR(__xludf.DUMMYFUNCTION("""COMPUTED_VALUE"""),4)</f>
        <v>4</v>
      </c>
      <c r="G214">
        <f ca="1">IFERROR(__xludf.DUMMYFUNCTION("""COMPUTED_VALUE"""),5)</f>
        <v>5</v>
      </c>
    </row>
    <row r="215" spans="1:7" ht="12.75">
      <c r="A215" t="str">
        <f ca="1">IFERROR(__xludf.DUMMYFUNCTION("""COMPUTED_VALUE"""),"T207")</f>
        <v>T207</v>
      </c>
      <c r="B215" t="str">
        <f ca="1">IFERROR(__xludf.DUMMYFUNCTION("""COMPUTED_VALUE"""),"T197")</f>
        <v>T197</v>
      </c>
      <c r="C215" t="str">
        <f ca="1">IFERROR(__xludf.DUMMYFUNCTION("""COMPUTED_VALUE"""),"Harry Higgs")</f>
        <v>Harry Higgs</v>
      </c>
      <c r="D215">
        <f ca="1">IFERROR(__xludf.DUMMYFUNCTION("""COMPUTED_VALUE"""),14)</f>
        <v>14</v>
      </c>
      <c r="E215">
        <f ca="1">IFERROR(__xludf.DUMMYFUNCTION("""COMPUTED_VALUE"""),80)</f>
        <v>80</v>
      </c>
      <c r="F215">
        <f ca="1">IFERROR(__xludf.DUMMYFUNCTION("""COMPUTED_VALUE"""),4)</f>
        <v>4</v>
      </c>
      <c r="G215">
        <f ca="1">IFERROR(__xludf.DUMMYFUNCTION("""COMPUTED_VALUE"""),5)</f>
        <v>5</v>
      </c>
    </row>
    <row r="216" spans="1:7" ht="12.75">
      <c r="A216" t="str">
        <f ca="1">IFERROR(__xludf.DUMMYFUNCTION("""COMPUTED_VALUE"""),"T207")</f>
        <v>T207</v>
      </c>
      <c r="B216" t="str">
        <f ca="1">IFERROR(__xludf.DUMMYFUNCTION("""COMPUTED_VALUE"""),"T222")</f>
        <v>T222</v>
      </c>
      <c r="C216" t="str">
        <f ca="1">IFERROR(__xludf.DUMMYFUNCTION("""COMPUTED_VALUE"""),"Tyrrell Hatton")</f>
        <v>Tyrrell Hatton</v>
      </c>
      <c r="D216">
        <f ca="1">IFERROR(__xludf.DUMMYFUNCTION("""COMPUTED_VALUE"""),14)</f>
        <v>14</v>
      </c>
      <c r="E216">
        <f ca="1">IFERROR(__xludf.DUMMYFUNCTION("""COMPUTED_VALUE"""),80)</f>
        <v>80</v>
      </c>
      <c r="F216">
        <f ca="1">IFERROR(__xludf.DUMMYFUNCTION("""COMPUTED_VALUE"""),4)</f>
        <v>4</v>
      </c>
      <c r="G216">
        <f ca="1">IFERROR(__xludf.DUMMYFUNCTION("""COMPUTED_VALUE"""),5)</f>
        <v>5</v>
      </c>
    </row>
    <row r="217" spans="1:7" ht="12.75">
      <c r="A217" t="str">
        <f ca="1">IFERROR(__xludf.DUMMYFUNCTION("""COMPUTED_VALUE"""),"T207")</f>
        <v>T207</v>
      </c>
      <c r="B217" t="str">
        <f ca="1">IFERROR(__xludf.DUMMYFUNCTION("""COMPUTED_VALUE"""),"T197")</f>
        <v>T197</v>
      </c>
      <c r="C217" t="str">
        <f ca="1">IFERROR(__xludf.DUMMYFUNCTION("""COMPUTED_VALUE"""),"Chan Kim")</f>
        <v>Chan Kim</v>
      </c>
      <c r="D217">
        <f ca="1">IFERROR(__xludf.DUMMYFUNCTION("""COMPUTED_VALUE"""),6)</f>
        <v>6</v>
      </c>
      <c r="E217">
        <f ca="1">IFERROR(__xludf.DUMMYFUNCTION("""COMPUTED_VALUE"""),80)</f>
        <v>80</v>
      </c>
      <c r="F217">
        <f ca="1">IFERROR(__xludf.DUMMYFUNCTION("""COMPUTED_VALUE"""),4)</f>
        <v>4</v>
      </c>
      <c r="G217">
        <f ca="1">IFERROR(__xludf.DUMMYFUNCTION("""COMPUTED_VALUE"""),5)</f>
        <v>5</v>
      </c>
    </row>
    <row r="218" spans="1:7" ht="12.75">
      <c r="A218" t="str">
        <f ca="1">IFERROR(__xludf.DUMMYFUNCTION("""COMPUTED_VALUE"""),"T207")</f>
        <v>T207</v>
      </c>
      <c r="B218" t="str">
        <f ca="1">IFERROR(__xludf.DUMMYFUNCTION("""COMPUTED_VALUE"""),"T197")</f>
        <v>T197</v>
      </c>
      <c r="C218" t="str">
        <f ca="1">IFERROR(__xludf.DUMMYFUNCTION("""COMPUTED_VALUE"""),"Matthias Schwab")</f>
        <v>Matthias Schwab</v>
      </c>
      <c r="D218">
        <f ca="1">IFERROR(__xludf.DUMMYFUNCTION("""COMPUTED_VALUE"""),8)</f>
        <v>8</v>
      </c>
      <c r="E218">
        <f ca="1">IFERROR(__xludf.DUMMYFUNCTION("""COMPUTED_VALUE"""),80)</f>
        <v>80</v>
      </c>
      <c r="F218">
        <f ca="1">IFERROR(__xludf.DUMMYFUNCTION("""COMPUTED_VALUE"""),8)</f>
        <v>8</v>
      </c>
      <c r="G218">
        <f ca="1">IFERROR(__xludf.DUMMYFUNCTION("""COMPUTED_VALUE"""),10)</f>
        <v>10</v>
      </c>
    </row>
    <row r="219" spans="1:7" ht="12.75">
      <c r="A219" t="str">
        <f ca="1">IFERROR(__xludf.DUMMYFUNCTION("""COMPUTED_VALUE"""),"T207")</f>
        <v>T207</v>
      </c>
      <c r="B219" t="str">
        <f ca="1">IFERROR(__xludf.DUMMYFUNCTION("""COMPUTED_VALUE"""),"T222")</f>
        <v>T222</v>
      </c>
      <c r="C219" t="str">
        <f ca="1">IFERROR(__xludf.DUMMYFUNCTION("""COMPUTED_VALUE"""),"Erik van Rooyen")</f>
        <v>Erik van Rooyen</v>
      </c>
      <c r="D219">
        <f ca="1">IFERROR(__xludf.DUMMYFUNCTION("""COMPUTED_VALUE"""),10)</f>
        <v>10</v>
      </c>
      <c r="E219">
        <f ca="1">IFERROR(__xludf.DUMMYFUNCTION("""COMPUTED_VALUE"""),80)</f>
        <v>80</v>
      </c>
      <c r="F219">
        <f ca="1">IFERROR(__xludf.DUMMYFUNCTION("""COMPUTED_VALUE"""),4)</f>
        <v>4</v>
      </c>
      <c r="G219">
        <f ca="1">IFERROR(__xludf.DUMMYFUNCTION("""COMPUTED_VALUE"""),5)</f>
        <v>5</v>
      </c>
    </row>
    <row r="220" spans="1:7" ht="12.75">
      <c r="A220" t="str">
        <f ca="1">IFERROR(__xludf.DUMMYFUNCTION("""COMPUTED_VALUE"""),"T207")</f>
        <v>T207</v>
      </c>
      <c r="B220" t="str">
        <f ca="1">IFERROR(__xludf.DUMMYFUNCTION("""COMPUTED_VALUE"""),"T197")</f>
        <v>T197</v>
      </c>
      <c r="C220" t="str">
        <f ca="1">IFERROR(__xludf.DUMMYFUNCTION("""COMPUTED_VALUE"""),"Brandon Hagy")</f>
        <v>Brandon Hagy</v>
      </c>
      <c r="D220">
        <f ca="1">IFERROR(__xludf.DUMMYFUNCTION("""COMPUTED_VALUE"""),10)</f>
        <v>10</v>
      </c>
      <c r="E220">
        <f ca="1">IFERROR(__xludf.DUMMYFUNCTION("""COMPUTED_VALUE"""),80)</f>
        <v>80</v>
      </c>
      <c r="F220">
        <f ca="1">IFERROR(__xludf.DUMMYFUNCTION("""COMPUTED_VALUE"""),4)</f>
        <v>4</v>
      </c>
      <c r="G220">
        <f ca="1">IFERROR(__xludf.DUMMYFUNCTION("""COMPUTED_VALUE"""),5)</f>
        <v>5</v>
      </c>
    </row>
    <row r="221" spans="1:7" ht="12.75">
      <c r="A221" t="str">
        <f ca="1">IFERROR(__xludf.DUMMYFUNCTION("""COMPUTED_VALUE"""),"T207")</f>
        <v>T207</v>
      </c>
      <c r="B221" t="str">
        <f ca="1">IFERROR(__xludf.DUMMYFUNCTION("""COMPUTED_VALUE"""),"T197")</f>
        <v>T197</v>
      </c>
      <c r="C221" t="str">
        <f ca="1">IFERROR(__xludf.DUMMYFUNCTION("""COMPUTED_VALUE"""),"Stephen Stallings Jr.")</f>
        <v>Stephen Stallings Jr.</v>
      </c>
      <c r="D221">
        <f ca="1">IFERROR(__xludf.DUMMYFUNCTION("""COMPUTED_VALUE"""),4)</f>
        <v>4</v>
      </c>
      <c r="E221">
        <f ca="1">IFERROR(__xludf.DUMMYFUNCTION("""COMPUTED_VALUE"""),80)</f>
        <v>80</v>
      </c>
      <c r="F221">
        <f ca="1">IFERROR(__xludf.DUMMYFUNCTION("""COMPUTED_VALUE"""),4)</f>
        <v>4</v>
      </c>
      <c r="G221">
        <f ca="1">IFERROR(__xludf.DUMMYFUNCTION("""COMPUTED_VALUE"""),5)</f>
        <v>5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IFERROR(__xludf.DUMMYFUNCTION("""COMPUTED_VALUE"""),213)</f>
        <v>213</v>
      </c>
      <c r="C222" t="str">
        <f ca="1">IFERROR(__xludf.DUMMYFUNCTION("""COMPUTED_VALUE"""),"Jonathan Byrd")</f>
        <v>Jonathan Byrd</v>
      </c>
      <c r="D222">
        <f ca="1">IFERROR(__xludf.DUMMYFUNCTION("""COMPUTED_VALUE"""),14)</f>
        <v>14</v>
      </c>
      <c r="E222">
        <f ca="1">IFERROR(__xludf.DUMMYFUNCTION("""COMPUTED_VALUE"""),78.57)</f>
        <v>78.569999999999993</v>
      </c>
      <c r="F222">
        <f ca="1">IFERROR(__xludf.DUMMYFUNCTION("""COMPUTED_VALUE"""),11)</f>
        <v>11</v>
      </c>
      <c r="G222">
        <f ca="1">IFERROR(__xludf.DUMMYFUNCTION("""COMPUTED_VALUE"""),14)</f>
        <v>14</v>
      </c>
    </row>
    <row r="223" spans="1:7" ht="12.75">
      <c r="A223" t="str">
        <f ca="1">IFERROR(__xludf.DUMMYFUNCTION("""COMPUTED_VALUE"""),"T222")</f>
        <v>T222</v>
      </c>
      <c r="B223" t="str">
        <f ca="1">IFERROR(__xludf.DUMMYFUNCTION("""COMPUTED_VALUE"""),"T214")</f>
        <v>T214</v>
      </c>
      <c r="C223" t="str">
        <f ca="1">IFERROR(__xludf.DUMMYFUNCTION("""COMPUTED_VALUE"""),"D.J. Trahan")</f>
        <v>D.J. Trahan</v>
      </c>
      <c r="D223">
        <f ca="1">IFERROR(__xludf.DUMMYFUNCTION("""COMPUTED_VALUE"""),16)</f>
        <v>16</v>
      </c>
      <c r="E223">
        <f ca="1">IFERROR(__xludf.DUMMYFUNCTION("""COMPUTED_VALUE"""),77.78)</f>
        <v>77.78</v>
      </c>
      <c r="F223">
        <f ca="1">IFERROR(__xludf.DUMMYFUNCTION("""COMPUTED_VALUE"""),14)</f>
        <v>14</v>
      </c>
      <c r="G223">
        <f ca="1">IFERROR(__xludf.DUMMYFUNCTION("""COMPUTED_VALUE"""),18)</f>
        <v>18</v>
      </c>
    </row>
    <row r="224" spans="1:7" ht="12.75">
      <c r="A224" t="str">
        <f ca="1">IFERROR(__xludf.DUMMYFUNCTION("""COMPUTED_VALUE"""),"T222")</f>
        <v>T222</v>
      </c>
      <c r="B224" t="str">
        <f ca="1">IFERROR(__xludf.DUMMYFUNCTION("""COMPUTED_VALUE"""),"T214")</f>
        <v>T214</v>
      </c>
      <c r="C224" t="str">
        <f ca="1">IFERROR(__xludf.DUMMYFUNCTION("""COMPUTED_VALUE"""),"Ryan Blaum")</f>
        <v>Ryan Blaum</v>
      </c>
      <c r="D224">
        <f ca="1">IFERROR(__xludf.DUMMYFUNCTION("""COMPUTED_VALUE"""),8)</f>
        <v>8</v>
      </c>
      <c r="E224">
        <f ca="1">IFERROR(__xludf.DUMMYFUNCTION("""COMPUTED_VALUE"""),77.78)</f>
        <v>77.78</v>
      </c>
      <c r="F224">
        <f ca="1">IFERROR(__xludf.DUMMYFUNCTION("""COMPUTED_VALUE"""),7)</f>
        <v>7</v>
      </c>
      <c r="G224">
        <f ca="1">IFERROR(__xludf.DUMMYFUNCTION("""COMPUTED_VALUE"""),9)</f>
        <v>9</v>
      </c>
    </row>
    <row r="225" spans="1:7" ht="12.75">
      <c r="A225" t="str">
        <f ca="1">IFERROR(__xludf.DUMMYFUNCTION("""COMPUTED_VALUE"""),"T222")</f>
        <v>T222</v>
      </c>
      <c r="B225" t="str">
        <f ca="1">IFERROR(__xludf.DUMMYFUNCTION("""COMPUTED_VALUE"""),"T166")</f>
        <v>T166</v>
      </c>
      <c r="C225" t="str">
        <f ca="1">IFERROR(__xludf.DUMMYFUNCTION("""COMPUTED_VALUE"""),"Andrew Putnam")</f>
        <v>Andrew Putnam</v>
      </c>
      <c r="D225">
        <f ca="1">IFERROR(__xludf.DUMMYFUNCTION("""COMPUTED_VALUE"""),19)</f>
        <v>19</v>
      </c>
      <c r="E225">
        <f ca="1">IFERROR(__xludf.DUMMYFUNCTION("""COMPUTED_VALUE"""),77.78)</f>
        <v>77.78</v>
      </c>
      <c r="F225">
        <f ca="1">IFERROR(__xludf.DUMMYFUNCTION("""COMPUTED_VALUE"""),7)</f>
        <v>7</v>
      </c>
      <c r="G225">
        <f ca="1">IFERROR(__xludf.DUMMYFUNCTION("""COMPUTED_VALUE"""),9)</f>
        <v>9</v>
      </c>
    </row>
    <row r="226" spans="1:7" ht="12.75">
      <c r="A226" t="str">
        <f ca="1">IFERROR(__xludf.DUMMYFUNCTION("""COMPUTED_VALUE"""),"T222")</f>
        <v>T222</v>
      </c>
      <c r="B226" t="str">
        <f ca="1">IFERROR(__xludf.DUMMYFUNCTION("""COMPUTED_VALUE"""),"T214")</f>
        <v>T214</v>
      </c>
      <c r="C226" t="str">
        <f ca="1">IFERROR(__xludf.DUMMYFUNCTION("""COMPUTED_VALUE"""),"Peter Malnati")</f>
        <v>Peter Malnati</v>
      </c>
      <c r="D226">
        <f ca="1">IFERROR(__xludf.DUMMYFUNCTION("""COMPUTED_VALUE"""),18)</f>
        <v>18</v>
      </c>
      <c r="E226">
        <f ca="1">IFERROR(__xludf.DUMMYFUNCTION("""COMPUTED_VALUE"""),77.78)</f>
        <v>77.78</v>
      </c>
      <c r="F226">
        <f ca="1">IFERROR(__xludf.DUMMYFUNCTION("""COMPUTED_VALUE"""),7)</f>
        <v>7</v>
      </c>
      <c r="G226">
        <f ca="1">IFERROR(__xludf.DUMMYFUNCTION("""COMPUTED_VALUE"""),9)</f>
        <v>9</v>
      </c>
    </row>
    <row r="227" spans="1:7" ht="12.75">
      <c r="A227" t="str">
        <f ca="1">IFERROR(__xludf.DUMMYFUNCTION("""COMPUTED_VALUE"""),"T222")</f>
        <v>T222</v>
      </c>
      <c r="B227" t="str">
        <f ca="1">IFERROR(__xludf.DUMMYFUNCTION("""COMPUTED_VALUE"""),"T214")</f>
        <v>T214</v>
      </c>
      <c r="C227" t="str">
        <f ca="1">IFERROR(__xludf.DUMMYFUNCTION("""COMPUTED_VALUE"""),"Nelson Ledesma")</f>
        <v>Nelson Ledesma</v>
      </c>
      <c r="D227">
        <f ca="1">IFERROR(__xludf.DUMMYFUNCTION("""COMPUTED_VALUE"""),8)</f>
        <v>8</v>
      </c>
      <c r="E227">
        <f ca="1">IFERROR(__xludf.DUMMYFUNCTION("""COMPUTED_VALUE"""),77.78)</f>
        <v>77.78</v>
      </c>
      <c r="F227">
        <f ca="1">IFERROR(__xludf.DUMMYFUNCTION("""COMPUTED_VALUE"""),7)</f>
        <v>7</v>
      </c>
      <c r="G227">
        <f ca="1">IFERROR(__xludf.DUMMYFUNCTION("""COMPUTED_VALUE"""),9)</f>
        <v>9</v>
      </c>
    </row>
    <row r="228" spans="1:7" ht="12.75">
      <c r="A228">
        <f ca="1">IFERROR(__xludf.DUMMYFUNCTION("""COMPUTED_VALUE"""),227)</f>
        <v>227</v>
      </c>
      <c r="B228" t="str">
        <f ca="1">IFERROR(__xludf.DUMMYFUNCTION("""COMPUTED_VALUE"""),"T219")</f>
        <v>T219</v>
      </c>
      <c r="C228" t="str">
        <f ca="1">IFERROR(__xludf.DUMMYFUNCTION("""COMPUTED_VALUE"""),"Jason Dufner")</f>
        <v>Jason Dufner</v>
      </c>
      <c r="D228">
        <f ca="1">IFERROR(__xludf.DUMMYFUNCTION("""COMPUTED_VALUE"""),14)</f>
        <v>14</v>
      </c>
      <c r="E228">
        <f ca="1">IFERROR(__xludf.DUMMYFUNCTION("""COMPUTED_VALUE"""),76.92)</f>
        <v>76.92</v>
      </c>
      <c r="F228">
        <f ca="1">IFERROR(__xludf.DUMMYFUNCTION("""COMPUTED_VALUE"""),10)</f>
        <v>10</v>
      </c>
      <c r="G228">
        <f ca="1">IFERROR(__xludf.DUMMYFUNCTION("""COMPUTED_VALUE"""),13)</f>
        <v>13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IFERROR(__xludf.DUMMYFUNCTION("""COMPUTED_VALUE"""),221)</f>
        <v>221</v>
      </c>
      <c r="C229" t="str">
        <f ca="1">IFERROR(__xludf.DUMMYFUNCTION("""COMPUTED_VALUE"""),"Denny McCarthy")</f>
        <v>Denny McCarthy</v>
      </c>
      <c r="D229">
        <f ca="1">IFERROR(__xludf.DUMMYFUNCTION("""COMPUTED_VALUE"""),22)</f>
        <v>22</v>
      </c>
      <c r="E229">
        <f ca="1">IFERROR(__xludf.DUMMYFUNCTION("""COMPUTED_VALUE"""),76.47)</f>
        <v>76.47</v>
      </c>
      <c r="F229">
        <f ca="1">IFERROR(__xludf.DUMMYFUNCTION("""COMPUTED_VALUE"""),13)</f>
        <v>13</v>
      </c>
      <c r="G229">
        <f ca="1">IFERROR(__xludf.DUMMYFUNCTION("""COMPUTED_VALUE"""),17)</f>
        <v>17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IFERROR(__xludf.DUMMYFUNCTION("""COMPUTED_VALUE"""),"T222")</f>
        <v>T222</v>
      </c>
      <c r="C230" t="str">
        <f ca="1">IFERROR(__xludf.DUMMYFUNCTION("""COMPUTED_VALUE"""),"Shaun Norris")</f>
        <v>Shaun Norris</v>
      </c>
      <c r="D230">
        <f ca="1">IFERROR(__xludf.DUMMYFUNCTION("""COMPUTED_VALUE"""),6)</f>
        <v>6</v>
      </c>
      <c r="E230">
        <f ca="1">IFERROR(__xludf.DUMMYFUNCTION("""COMPUTED_VALUE"""),75)</f>
        <v>75</v>
      </c>
      <c r="F230">
        <f ca="1">IFERROR(__xludf.DUMMYFUNCTION("""COMPUTED_VALUE"""),3)</f>
        <v>3</v>
      </c>
      <c r="G230">
        <f ca="1">IFERROR(__xludf.DUMMYFUNCTION("""COMPUTED_VALUE"""),4)</f>
        <v>4</v>
      </c>
    </row>
    <row r="231" spans="1:7" ht="12.75">
      <c r="A231" t="str">
        <f ca="1">IFERROR(__xludf.DUMMYFUNCTION("""COMPUTED_VALUE"""),"T229")</f>
        <v>T229</v>
      </c>
      <c r="B231" t="str">
        <f ca="1">IFERROR(__xludf.DUMMYFUNCTION("""COMPUTED_VALUE"""),"T222")</f>
        <v>T222</v>
      </c>
      <c r="C231" t="str">
        <f ca="1">IFERROR(__xludf.DUMMYFUNCTION("""COMPUTED_VALUE"""),"Kevin Stadler")</f>
        <v>Kevin Stadler</v>
      </c>
      <c r="D231">
        <f ca="1">IFERROR(__xludf.DUMMYFUNCTION("""COMPUTED_VALUE"""),8)</f>
        <v>8</v>
      </c>
      <c r="E231">
        <f ca="1">IFERROR(__xludf.DUMMYFUNCTION("""COMPUTED_VALUE"""),75)</f>
        <v>75</v>
      </c>
      <c r="F231">
        <f ca="1">IFERROR(__xludf.DUMMYFUNCTION("""COMPUTED_VALUE"""),3)</f>
        <v>3</v>
      </c>
      <c r="G231">
        <f ca="1">IFERROR(__xludf.DUMMYFUNCTION("""COMPUTED_VALUE"""),4)</f>
        <v>4</v>
      </c>
    </row>
    <row r="232" spans="1:7" ht="12.75">
      <c r="A232" t="str">
        <f ca="1">IFERROR(__xludf.DUMMYFUNCTION("""COMPUTED_VALUE"""),"T229")</f>
        <v>T229</v>
      </c>
      <c r="B232" t="str">
        <f ca="1">IFERROR(__xludf.DUMMYFUNCTION("""COMPUTED_VALUE"""),"T222")</f>
        <v>T222</v>
      </c>
      <c r="C232" t="str">
        <f ca="1">IFERROR(__xludf.DUMMYFUNCTION("""COMPUTED_VALUE"""),"Brendan Steele")</f>
        <v>Brendan Steele</v>
      </c>
      <c r="D232">
        <f ca="1">IFERROR(__xludf.DUMMYFUNCTION("""COMPUTED_VALUE"""),14)</f>
        <v>14</v>
      </c>
      <c r="E232">
        <f ca="1">IFERROR(__xludf.DUMMYFUNCTION("""COMPUTED_VALUE"""),75)</f>
        <v>75</v>
      </c>
      <c r="F232">
        <f ca="1">IFERROR(__xludf.DUMMYFUNCTION("""COMPUTED_VALUE"""),6)</f>
        <v>6</v>
      </c>
      <c r="G232">
        <f ca="1">IFERROR(__xludf.DUMMYFUNCTION("""COMPUTED_VALUE"""),8)</f>
        <v>8</v>
      </c>
    </row>
    <row r="233" spans="1:7" ht="12.75">
      <c r="A233" t="str">
        <f ca="1">IFERROR(__xludf.DUMMYFUNCTION("""COMPUTED_VALUE"""),"T229")</f>
        <v>T229</v>
      </c>
      <c r="B233" t="str">
        <f ca="1">IFERROR(__xludf.DUMMYFUNCTION("""COMPUTED_VALUE"""),"T222")</f>
        <v>T222</v>
      </c>
      <c r="C233" t="str">
        <f ca="1">IFERROR(__xludf.DUMMYFUNCTION("""COMPUTED_VALUE"""),"Danny Willett")</f>
        <v>Danny Willett</v>
      </c>
      <c r="D233">
        <f ca="1">IFERROR(__xludf.DUMMYFUNCTION("""COMPUTED_VALUE"""),7)</f>
        <v>7</v>
      </c>
      <c r="E233">
        <f ca="1">IFERROR(__xludf.DUMMYFUNCTION("""COMPUTED_VALUE"""),75)</f>
        <v>75</v>
      </c>
      <c r="F233">
        <f ca="1">IFERROR(__xludf.DUMMYFUNCTION("""COMPUTED_VALUE"""),3)</f>
        <v>3</v>
      </c>
      <c r="G233">
        <f ca="1">IFERROR(__xludf.DUMMYFUNCTION("""COMPUTED_VALUE"""),4)</f>
        <v>4</v>
      </c>
    </row>
    <row r="234" spans="1:7" ht="12.75">
      <c r="A234" t="str">
        <f ca="1">IFERROR(__xludf.DUMMYFUNCTION("""COMPUTED_VALUE"""),"T229")</f>
        <v>T229</v>
      </c>
      <c r="B234" t="str">
        <f ca="1">IFERROR(__xludf.DUMMYFUNCTION("""COMPUTED_VALUE"""),"T267")</f>
        <v>T267</v>
      </c>
      <c r="C234" t="str">
        <f ca="1">IFERROR(__xludf.DUMMYFUNCTION("""COMPUTED_VALUE"""),"Russell Henley")</f>
        <v>Russell Henley</v>
      </c>
      <c r="D234">
        <f ca="1">IFERROR(__xludf.DUMMYFUNCTION("""COMPUTED_VALUE"""),16)</f>
        <v>16</v>
      </c>
      <c r="E234">
        <f ca="1">IFERROR(__xludf.DUMMYFUNCTION("""COMPUTED_VALUE"""),75)</f>
        <v>75</v>
      </c>
      <c r="F234">
        <f ca="1">IFERROR(__xludf.DUMMYFUNCTION("""COMPUTED_VALUE"""),3)</f>
        <v>3</v>
      </c>
      <c r="G234">
        <f ca="1">IFERROR(__xludf.DUMMYFUNCTION("""COMPUTED_VALUE"""),4)</f>
        <v>4</v>
      </c>
    </row>
    <row r="235" spans="1:7" ht="12.75">
      <c r="A235" t="str">
        <f ca="1">IFERROR(__xludf.DUMMYFUNCTION("""COMPUTED_VALUE"""),"T229")</f>
        <v>T229</v>
      </c>
      <c r="B235" t="str">
        <f ca="1">IFERROR(__xludf.DUMMYFUNCTION("""COMPUTED_VALUE"""),"T222")</f>
        <v>T222</v>
      </c>
      <c r="C235" t="str">
        <f ca="1">IFERROR(__xludf.DUMMYFUNCTION("""COMPUTED_VALUE"""),"Wes Roach")</f>
        <v>Wes Roach</v>
      </c>
      <c r="D235">
        <f ca="1">IFERROR(__xludf.DUMMYFUNCTION("""COMPUTED_VALUE"""),6)</f>
        <v>6</v>
      </c>
      <c r="E235">
        <f ca="1">IFERROR(__xludf.DUMMYFUNCTION("""COMPUTED_VALUE"""),75)</f>
        <v>75</v>
      </c>
      <c r="F235">
        <f ca="1">IFERROR(__xludf.DUMMYFUNCTION("""COMPUTED_VALUE"""),6)</f>
        <v>6</v>
      </c>
      <c r="G235">
        <f ca="1">IFERROR(__xludf.DUMMYFUNCTION("""COMPUTED_VALUE"""),8)</f>
        <v>8</v>
      </c>
    </row>
    <row r="236" spans="1:7" ht="12.75">
      <c r="A236" t="str">
        <f ca="1">IFERROR(__xludf.DUMMYFUNCTION("""COMPUTED_VALUE"""),"T229")</f>
        <v>T229</v>
      </c>
      <c r="B236" t="str">
        <f ca="1">IFERROR(__xludf.DUMMYFUNCTION("""COMPUTED_VALUE"""),"T222")</f>
        <v>T222</v>
      </c>
      <c r="C236" t="str">
        <f ca="1">IFERROR(__xludf.DUMMYFUNCTION("""COMPUTED_VALUE"""),"Kelly Kraft")</f>
        <v>Kelly Kraft</v>
      </c>
      <c r="D236">
        <f ca="1">IFERROR(__xludf.DUMMYFUNCTION("""COMPUTED_VALUE"""),14)</f>
        <v>14</v>
      </c>
      <c r="E236">
        <f ca="1">IFERROR(__xludf.DUMMYFUNCTION("""COMPUTED_VALUE"""),75)</f>
        <v>75</v>
      </c>
      <c r="F236">
        <f ca="1">IFERROR(__xludf.DUMMYFUNCTION("""COMPUTED_VALUE"""),6)</f>
        <v>6</v>
      </c>
      <c r="G236">
        <f ca="1">IFERROR(__xludf.DUMMYFUNCTION("""COMPUTED_VALUE"""),8)</f>
        <v>8</v>
      </c>
    </row>
    <row r="237" spans="1:7" ht="12.75">
      <c r="A237" t="str">
        <f ca="1">IFERROR(__xludf.DUMMYFUNCTION("""COMPUTED_VALUE"""),"T229")</f>
        <v>T229</v>
      </c>
      <c r="B237" t="str">
        <f ca="1">IFERROR(__xludf.DUMMYFUNCTION("""COMPUTED_VALUE"""),"T222")</f>
        <v>T222</v>
      </c>
      <c r="C237" t="str">
        <f ca="1">IFERROR(__xludf.DUMMYFUNCTION("""COMPUTED_VALUE"""),"Cameron Smith")</f>
        <v>Cameron Smith</v>
      </c>
      <c r="D237">
        <f ca="1">IFERROR(__xludf.DUMMYFUNCTION("""COMPUTED_VALUE"""),16)</f>
        <v>16</v>
      </c>
      <c r="E237">
        <f ca="1">IFERROR(__xludf.DUMMYFUNCTION("""COMPUTED_VALUE"""),75)</f>
        <v>75</v>
      </c>
      <c r="F237">
        <f ca="1">IFERROR(__xludf.DUMMYFUNCTION("""COMPUTED_VALUE"""),3)</f>
        <v>3</v>
      </c>
      <c r="G237">
        <f ca="1">IFERROR(__xludf.DUMMYFUNCTION("""COMPUTED_VALUE"""),4)</f>
        <v>4</v>
      </c>
    </row>
    <row r="238" spans="1:7" ht="12.75">
      <c r="A238" t="str">
        <f ca="1">IFERROR(__xludf.DUMMYFUNCTION("""COMPUTED_VALUE"""),"T229")</f>
        <v>T229</v>
      </c>
      <c r="B238" t="str">
        <f ca="1">IFERROR(__xludf.DUMMYFUNCTION("""COMPUTED_VALUE"""),"T238")</f>
        <v>T238</v>
      </c>
      <c r="C238" t="str">
        <f ca="1">IFERROR(__xludf.DUMMYFUNCTION("""COMPUTED_VALUE"""),"Matthew NeSmith")</f>
        <v>Matthew NeSmith</v>
      </c>
      <c r="D238">
        <f ca="1">IFERROR(__xludf.DUMMYFUNCTION("""COMPUTED_VALUE"""),16)</f>
        <v>16</v>
      </c>
      <c r="E238">
        <f ca="1">IFERROR(__xludf.DUMMYFUNCTION("""COMPUTED_VALUE"""),75)</f>
        <v>75</v>
      </c>
      <c r="F238">
        <f ca="1">IFERROR(__xludf.DUMMYFUNCTION("""COMPUTED_VALUE"""),6)</f>
        <v>6</v>
      </c>
      <c r="G238">
        <f ca="1">IFERROR(__xludf.DUMMYFUNCTION("""COMPUTED_VALUE"""),8)</f>
        <v>8</v>
      </c>
    </row>
    <row r="239" spans="1:7" ht="12.75">
      <c r="A239" t="str">
        <f ca="1">IFERROR(__xludf.DUMMYFUNCTION("""COMPUTED_VALUE"""),"T229")</f>
        <v>T229</v>
      </c>
      <c r="B239" t="str">
        <f ca="1">IFERROR(__xludf.DUMMYFUNCTION("""COMPUTED_VALUE"""),"T222")</f>
        <v>T222</v>
      </c>
      <c r="C239" t="str">
        <f ca="1">IFERROR(__xludf.DUMMYFUNCTION("""COMPUTED_VALUE"""),"Will Zalatoris")</f>
        <v>Will Zalatoris</v>
      </c>
      <c r="D239">
        <f ca="1">IFERROR(__xludf.DUMMYFUNCTION("""COMPUTED_VALUE"""),18)</f>
        <v>18</v>
      </c>
      <c r="E239">
        <f ca="1">IFERROR(__xludf.DUMMYFUNCTION("""COMPUTED_VALUE"""),75)</f>
        <v>75</v>
      </c>
      <c r="F239">
        <f ca="1">IFERROR(__xludf.DUMMYFUNCTION("""COMPUTED_VALUE"""),18)</f>
        <v>18</v>
      </c>
      <c r="G239">
        <f ca="1">IFERROR(__xludf.DUMMYFUNCTION("""COMPUTED_VALUE"""),24)</f>
        <v>24</v>
      </c>
    </row>
    <row r="240" spans="1:7" ht="12.75">
      <c r="A240" t="str">
        <f ca="1">IFERROR(__xludf.DUMMYFUNCTION("""COMPUTED_VALUE"""),"T229")</f>
        <v>T229</v>
      </c>
      <c r="B240" t="str">
        <f ca="1">IFERROR(__xludf.DUMMYFUNCTION("""COMPUTED_VALUE"""),"T222")</f>
        <v>T222</v>
      </c>
      <c r="C240" t="str">
        <f ca="1">IFERROR(__xludf.DUMMYFUNCTION("""COMPUTED_VALUE"""),"Collin Morikawa")</f>
        <v>Collin Morikawa</v>
      </c>
      <c r="D240">
        <f ca="1">IFERROR(__xludf.DUMMYFUNCTION("""COMPUTED_VALUE"""),12)</f>
        <v>12</v>
      </c>
      <c r="E240">
        <f ca="1">IFERROR(__xludf.DUMMYFUNCTION("""COMPUTED_VALUE"""),75)</f>
        <v>75</v>
      </c>
      <c r="F240">
        <f ca="1">IFERROR(__xludf.DUMMYFUNCTION("""COMPUTED_VALUE"""),6)</f>
        <v>6</v>
      </c>
      <c r="G240">
        <f ca="1">IFERROR(__xludf.DUMMYFUNCTION("""COMPUTED_VALUE"""),8)</f>
        <v>8</v>
      </c>
    </row>
    <row r="241" spans="1:7" ht="12.75">
      <c r="A241" t="str">
        <f ca="1">IFERROR(__xludf.DUMMYFUNCTION("""COMPUTED_VALUE"""),"T240")</f>
        <v>T240</v>
      </c>
      <c r="B241" t="str">
        <f ca="1">IFERROR(__xludf.DUMMYFUNCTION("""COMPUTED_VALUE"""),"T245")</f>
        <v>T245</v>
      </c>
      <c r="C241" t="str">
        <f ca="1">IFERROR(__xludf.DUMMYFUNCTION("""COMPUTED_VALUE"""),"Bo Van Pelt")</f>
        <v>Bo Van Pelt</v>
      </c>
      <c r="D241">
        <f ca="1">IFERROR(__xludf.DUMMYFUNCTION("""COMPUTED_VALUE"""),10)</f>
        <v>10</v>
      </c>
      <c r="E241">
        <f ca="1">IFERROR(__xludf.DUMMYFUNCTION("""COMPUTED_VALUE"""),72.73)</f>
        <v>72.73</v>
      </c>
      <c r="F241">
        <f ca="1">IFERROR(__xludf.DUMMYFUNCTION("""COMPUTED_VALUE"""),8)</f>
        <v>8</v>
      </c>
      <c r="G241">
        <f ca="1">IFERROR(__xludf.DUMMYFUNCTION("""COMPUTED_VALUE"""),11)</f>
        <v>11</v>
      </c>
    </row>
    <row r="242" spans="1:7" ht="12.75">
      <c r="A242" t="str">
        <f ca="1">IFERROR(__xludf.DUMMYFUNCTION("""COMPUTED_VALUE"""),"T240")</f>
        <v>T240</v>
      </c>
      <c r="B242" t="str">
        <f ca="1">IFERROR(__xludf.DUMMYFUNCTION("""COMPUTED_VALUE"""),"T235")</f>
        <v>T235</v>
      </c>
      <c r="C242" t="str">
        <f ca="1">IFERROR(__xludf.DUMMYFUNCTION("""COMPUTED_VALUE"""),"Graham DeLaet")</f>
        <v>Graham DeLaet</v>
      </c>
      <c r="D242">
        <f ca="1">IFERROR(__xludf.DUMMYFUNCTION("""COMPUTED_VALUE"""),9)</f>
        <v>9</v>
      </c>
      <c r="E242">
        <f ca="1">IFERROR(__xludf.DUMMYFUNCTION("""COMPUTED_VALUE"""),72.73)</f>
        <v>72.73</v>
      </c>
      <c r="F242">
        <f ca="1">IFERROR(__xludf.DUMMYFUNCTION("""COMPUTED_VALUE"""),8)</f>
        <v>8</v>
      </c>
      <c r="G242">
        <f ca="1">IFERROR(__xludf.DUMMYFUNCTION("""COMPUTED_VALUE"""),11)</f>
        <v>11</v>
      </c>
    </row>
    <row r="243" spans="1:7" ht="12.75">
      <c r="A243" t="str">
        <f ca="1">IFERROR(__xludf.DUMMYFUNCTION("""COMPUTED_VALUE"""),"T240")</f>
        <v>T240</v>
      </c>
      <c r="B243" t="str">
        <f ca="1">IFERROR(__xludf.DUMMYFUNCTION("""COMPUTED_VALUE"""),"T235")</f>
        <v>T235</v>
      </c>
      <c r="C243" t="str">
        <f ca="1">IFERROR(__xludf.DUMMYFUNCTION("""COMPUTED_VALUE"""),"Adam Long")</f>
        <v>Adam Long</v>
      </c>
      <c r="D243">
        <f ca="1">IFERROR(__xludf.DUMMYFUNCTION("""COMPUTED_VALUE"""),22)</f>
        <v>22</v>
      </c>
      <c r="E243">
        <f ca="1">IFERROR(__xludf.DUMMYFUNCTION("""COMPUTED_VALUE"""),72.73)</f>
        <v>72.73</v>
      </c>
      <c r="F243">
        <f ca="1">IFERROR(__xludf.DUMMYFUNCTION("""COMPUTED_VALUE"""),8)</f>
        <v>8</v>
      </c>
      <c r="G243">
        <f ca="1">IFERROR(__xludf.DUMMYFUNCTION("""COMPUTED_VALUE"""),11)</f>
        <v>11</v>
      </c>
    </row>
    <row r="244" spans="1:7" ht="12.75">
      <c r="A244" t="str">
        <f ca="1">IFERROR(__xludf.DUMMYFUNCTION("""COMPUTED_VALUE"""),"T243")</f>
        <v>T243</v>
      </c>
      <c r="B244" t="str">
        <f ca="1">IFERROR(__xludf.DUMMYFUNCTION("""COMPUTED_VALUE"""),"T238")</f>
        <v>T238</v>
      </c>
      <c r="C244" t="str">
        <f ca="1">IFERROR(__xludf.DUMMYFUNCTION("""COMPUTED_VALUE"""),"J.J. Henry")</f>
        <v>J.J. Henry</v>
      </c>
      <c r="D244">
        <f ca="1">IFERROR(__xludf.DUMMYFUNCTION("""COMPUTED_VALUE"""),4)</f>
        <v>4</v>
      </c>
      <c r="E244">
        <f ca="1">IFERROR(__xludf.DUMMYFUNCTION("""COMPUTED_VALUE"""),71.43)</f>
        <v>71.430000000000007</v>
      </c>
      <c r="F244">
        <f ca="1">IFERROR(__xludf.DUMMYFUNCTION("""COMPUTED_VALUE"""),5)</f>
        <v>5</v>
      </c>
      <c r="G244">
        <f ca="1">IFERROR(__xludf.DUMMYFUNCTION("""COMPUTED_VALUE"""),7)</f>
        <v>7</v>
      </c>
    </row>
    <row r="245" spans="1:7" ht="12.75">
      <c r="A245" t="str">
        <f ca="1">IFERROR(__xludf.DUMMYFUNCTION("""COMPUTED_VALUE"""),"T243")</f>
        <v>T243</v>
      </c>
      <c r="B245" t="str">
        <f ca="1">IFERROR(__xludf.DUMMYFUNCTION("""COMPUTED_VALUE"""),"T179")</f>
        <v>T179</v>
      </c>
      <c r="C245" t="str">
        <f ca="1">IFERROR(__xludf.DUMMYFUNCTION("""COMPUTED_VALUE"""),"Alex Noren")</f>
        <v>Alex Noren</v>
      </c>
      <c r="D245">
        <f ca="1">IFERROR(__xludf.DUMMYFUNCTION("""COMPUTED_VALUE"""),14)</f>
        <v>14</v>
      </c>
      <c r="E245">
        <f ca="1">IFERROR(__xludf.DUMMYFUNCTION("""COMPUTED_VALUE"""),71.43)</f>
        <v>71.430000000000007</v>
      </c>
      <c r="F245">
        <f ca="1">IFERROR(__xludf.DUMMYFUNCTION("""COMPUTED_VALUE"""),5)</f>
        <v>5</v>
      </c>
      <c r="G245">
        <f ca="1">IFERROR(__xludf.DUMMYFUNCTION("""COMPUTED_VALUE"""),7)</f>
        <v>7</v>
      </c>
    </row>
    <row r="246" spans="1:7" ht="12.75">
      <c r="A246" t="str">
        <f ca="1">IFERROR(__xludf.DUMMYFUNCTION("""COMPUTED_VALUE"""),"T243")</f>
        <v>T243</v>
      </c>
      <c r="B246" t="str">
        <f ca="1">IFERROR(__xludf.DUMMYFUNCTION("""COMPUTED_VALUE"""),"T238")</f>
        <v>T238</v>
      </c>
      <c r="C246" t="str">
        <f ca="1">IFERROR(__xludf.DUMMYFUNCTION("""COMPUTED_VALUE"""),"Sung Kang")</f>
        <v>Sung Kang</v>
      </c>
      <c r="D246">
        <f ca="1">IFERROR(__xludf.DUMMYFUNCTION("""COMPUTED_VALUE"""),14)</f>
        <v>14</v>
      </c>
      <c r="E246">
        <f ca="1">IFERROR(__xludf.DUMMYFUNCTION("""COMPUTED_VALUE"""),71.43)</f>
        <v>71.430000000000007</v>
      </c>
      <c r="F246">
        <f ca="1">IFERROR(__xludf.DUMMYFUNCTION("""COMPUTED_VALUE"""),5)</f>
        <v>5</v>
      </c>
      <c r="G246">
        <f ca="1">IFERROR(__xludf.DUMMYFUNCTION("""COMPUTED_VALUE"""),7)</f>
        <v>7</v>
      </c>
    </row>
    <row r="247" spans="1:7" ht="12.75">
      <c r="A247" t="str">
        <f ca="1">IFERROR(__xludf.DUMMYFUNCTION("""COMPUTED_VALUE"""),"T243")</f>
        <v>T243</v>
      </c>
      <c r="B247" t="str">
        <f ca="1">IFERROR(__xludf.DUMMYFUNCTION("""COMPUTED_VALUE"""),"T1")</f>
        <v>T1</v>
      </c>
      <c r="C247" t="str">
        <f ca="1">IFERROR(__xludf.DUMMYFUNCTION("""COMPUTED_VALUE"""),"Bronson Burgoon")</f>
        <v>Bronson Burgoon</v>
      </c>
      <c r="D247">
        <f ca="1">IFERROR(__xludf.DUMMYFUNCTION("""COMPUTED_VALUE"""),10)</f>
        <v>10</v>
      </c>
      <c r="E247">
        <f ca="1">IFERROR(__xludf.DUMMYFUNCTION("""COMPUTED_VALUE"""),71.43)</f>
        <v>71.430000000000007</v>
      </c>
      <c r="F247">
        <f ca="1">IFERROR(__xludf.DUMMYFUNCTION("""COMPUTED_VALUE"""),5)</f>
        <v>5</v>
      </c>
      <c r="G247">
        <f ca="1">IFERROR(__xludf.DUMMYFUNCTION("""COMPUTED_VALUE"""),7)</f>
        <v>7</v>
      </c>
    </row>
    <row r="248" spans="1:7" ht="12.75">
      <c r="A248" t="str">
        <f ca="1">IFERROR(__xludf.DUMMYFUNCTION("""COMPUTED_VALUE"""),"T243")</f>
        <v>T243</v>
      </c>
      <c r="B248" t="str">
        <f ca="1">IFERROR(__xludf.DUMMYFUNCTION("""COMPUTED_VALUE"""),"T238")</f>
        <v>T238</v>
      </c>
      <c r="C248" t="str">
        <f ca="1">IFERROR(__xludf.DUMMYFUNCTION("""COMPUTED_VALUE"""),"Tommy Gainey")</f>
        <v>Tommy Gainey</v>
      </c>
      <c r="D248">
        <f ca="1">IFERROR(__xludf.DUMMYFUNCTION("""COMPUTED_VALUE"""),6)</f>
        <v>6</v>
      </c>
      <c r="E248">
        <f ca="1">IFERROR(__xludf.DUMMYFUNCTION("""COMPUTED_VALUE"""),71.43)</f>
        <v>71.430000000000007</v>
      </c>
      <c r="F248">
        <f ca="1">IFERROR(__xludf.DUMMYFUNCTION("""COMPUTED_VALUE"""),10)</f>
        <v>10</v>
      </c>
      <c r="G248">
        <f ca="1">IFERROR(__xludf.DUMMYFUNCTION("""COMPUTED_VALUE"""),14)</f>
        <v>14</v>
      </c>
    </row>
    <row r="249" spans="1:7" ht="12.75">
      <c r="A249" t="str">
        <f ca="1">IFERROR(__xludf.DUMMYFUNCTION("""COMPUTED_VALUE"""),"T243")</f>
        <v>T243</v>
      </c>
      <c r="B249" t="str">
        <f ca="1">IFERROR(__xludf.DUMMYFUNCTION("""COMPUTED_VALUE"""),"T238")</f>
        <v>T238</v>
      </c>
      <c r="C249" t="str">
        <f ca="1">IFERROR(__xludf.DUMMYFUNCTION("""COMPUTED_VALUE"""),"Michael Kim")</f>
        <v>Michael Kim</v>
      </c>
      <c r="D249">
        <f ca="1">IFERROR(__xludf.DUMMYFUNCTION("""COMPUTED_VALUE"""),12)</f>
        <v>12</v>
      </c>
      <c r="E249">
        <f ca="1">IFERROR(__xludf.DUMMYFUNCTION("""COMPUTED_VALUE"""),71.43)</f>
        <v>71.430000000000007</v>
      </c>
      <c r="F249">
        <f ca="1">IFERROR(__xludf.DUMMYFUNCTION("""COMPUTED_VALUE"""),5)</f>
        <v>5</v>
      </c>
      <c r="G249">
        <f ca="1">IFERROR(__xludf.DUMMYFUNCTION("""COMPUTED_VALUE"""),7)</f>
        <v>7</v>
      </c>
    </row>
    <row r="250" spans="1:7" ht="12.75">
      <c r="A250" t="str">
        <f ca="1">IFERROR(__xludf.DUMMYFUNCTION("""COMPUTED_VALUE"""),"T243")</f>
        <v>T243</v>
      </c>
      <c r="B250" t="str">
        <f ca="1">IFERROR(__xludf.DUMMYFUNCTION("""COMPUTED_VALUE"""),"T238")</f>
        <v>T238</v>
      </c>
      <c r="C250" t="str">
        <f ca="1">IFERROR(__xludf.DUMMYFUNCTION("""COMPUTED_VALUE"""),"Matthew Fitzpatrick")</f>
        <v>Matthew Fitzpatrick</v>
      </c>
      <c r="D250">
        <f ca="1">IFERROR(__xludf.DUMMYFUNCTION("""COMPUTED_VALUE"""),10)</f>
        <v>10</v>
      </c>
      <c r="E250">
        <f ca="1">IFERROR(__xludf.DUMMYFUNCTION("""COMPUTED_VALUE"""),71.43)</f>
        <v>71.430000000000007</v>
      </c>
      <c r="F250">
        <f ca="1">IFERROR(__xludf.DUMMYFUNCTION("""COMPUTED_VALUE"""),5)</f>
        <v>5</v>
      </c>
      <c r="G250">
        <f ca="1">IFERROR(__xludf.DUMMYFUNCTION("""COMPUTED_VALUE"""),7)</f>
        <v>7</v>
      </c>
    </row>
    <row r="251" spans="1:7" ht="12.75">
      <c r="A251" t="str">
        <f ca="1">IFERROR(__xludf.DUMMYFUNCTION("""COMPUTED_VALUE"""),"T243")</f>
        <v>T243</v>
      </c>
      <c r="B251" t="str">
        <f ca="1">IFERROR(__xludf.DUMMYFUNCTION("""COMPUTED_VALUE"""),"T238")</f>
        <v>T238</v>
      </c>
      <c r="C251" t="str">
        <f ca="1">IFERROR(__xludf.DUMMYFUNCTION("""COMPUTED_VALUE"""),"Abraham Ancer")</f>
        <v>Abraham Ancer</v>
      </c>
      <c r="D251">
        <f ca="1">IFERROR(__xludf.DUMMYFUNCTION("""COMPUTED_VALUE"""),16)</f>
        <v>16</v>
      </c>
      <c r="E251">
        <f ca="1">IFERROR(__xludf.DUMMYFUNCTION("""COMPUTED_VALUE"""),71.43)</f>
        <v>71.430000000000007</v>
      </c>
      <c r="F251">
        <f ca="1">IFERROR(__xludf.DUMMYFUNCTION("""COMPUTED_VALUE"""),5)</f>
        <v>5</v>
      </c>
      <c r="G251">
        <f ca="1">IFERROR(__xludf.DUMMYFUNCTION("""COMPUTED_VALUE"""),7)</f>
        <v>7</v>
      </c>
    </row>
    <row r="252" spans="1:7" ht="12.75">
      <c r="A252" t="str">
        <f ca="1">IFERROR(__xludf.DUMMYFUNCTION("""COMPUTED_VALUE"""),"T243")</f>
        <v>T243</v>
      </c>
      <c r="B252" t="str">
        <f ca="1">IFERROR(__xludf.DUMMYFUNCTION("""COMPUTED_VALUE"""),"T259")</f>
        <v>T259</v>
      </c>
      <c r="C252" t="str">
        <f ca="1">IFERROR(__xludf.DUMMYFUNCTION("""COMPUTED_VALUE"""),"Scottie Scheffler")</f>
        <v>Scottie Scheffler</v>
      </c>
      <c r="D252">
        <f ca="1">IFERROR(__xludf.DUMMYFUNCTION("""COMPUTED_VALUE"""),18)</f>
        <v>18</v>
      </c>
      <c r="E252">
        <f ca="1">IFERROR(__xludf.DUMMYFUNCTION("""COMPUTED_VALUE"""),71.43)</f>
        <v>71.430000000000007</v>
      </c>
      <c r="F252">
        <f ca="1">IFERROR(__xludf.DUMMYFUNCTION("""COMPUTED_VALUE"""),5)</f>
        <v>5</v>
      </c>
      <c r="G252">
        <f ca="1">IFERROR(__xludf.DUMMYFUNCTION("""COMPUTED_VALUE"""),7)</f>
        <v>7</v>
      </c>
    </row>
    <row r="253" spans="1:7" ht="12.75">
      <c r="A253">
        <f ca="1">IFERROR(__xludf.DUMMYFUNCTION("""COMPUTED_VALUE"""),252)</f>
        <v>252</v>
      </c>
      <c r="B253" t="str">
        <f ca="1">IFERROR(__xludf.DUMMYFUNCTION("""COMPUTED_VALUE"""),"T245")</f>
        <v>T245</v>
      </c>
      <c r="C253" t="str">
        <f ca="1">IFERROR(__xludf.DUMMYFUNCTION("""COMPUTED_VALUE"""),"Jason Kokrak")</f>
        <v>Jason Kokrak</v>
      </c>
      <c r="D253">
        <f ca="1">IFERROR(__xludf.DUMMYFUNCTION("""COMPUTED_VALUE"""),14)</f>
        <v>14</v>
      </c>
      <c r="E253">
        <f ca="1">IFERROR(__xludf.DUMMYFUNCTION("""COMPUTED_VALUE"""),70)</f>
        <v>70</v>
      </c>
      <c r="F253">
        <f ca="1">IFERROR(__xludf.DUMMYFUNCTION("""COMPUTED_VALUE"""),7)</f>
        <v>7</v>
      </c>
      <c r="G253">
        <f ca="1">IFERROR(__xludf.DUMMYFUNCTION("""COMPUTED_VALUE"""),10)</f>
        <v>10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IFERROR(__xludf.DUMMYFUNCTION("""COMPUTED_VALUE"""),"Ryan Brehm")</f>
        <v>Ryan Brehm</v>
      </c>
      <c r="D254">
        <f ca="1">IFERROR(__xludf.DUMMYFUNCTION("""COMPUTED_VALUE"""),10)</f>
        <v>10</v>
      </c>
      <c r="E254">
        <f ca="1">IFERROR(__xludf.DUMMYFUNCTION("""COMPUTED_VALUE"""),69.23)</f>
        <v>69.23</v>
      </c>
      <c r="F254">
        <f ca="1">IFERROR(__xludf.DUMMYFUNCTION("""COMPUTED_VALUE"""),9)</f>
        <v>9</v>
      </c>
      <c r="G254">
        <f ca="1">IFERROR(__xludf.DUMMYFUNCTION("""COMPUTED_VALUE"""),13)</f>
        <v>13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IFERROR(__xludf.DUMMYFUNCTION("""COMPUTED_VALUE"""),248)</f>
        <v>248</v>
      </c>
      <c r="C255" t="str">
        <f ca="1">IFERROR(__xludf.DUMMYFUNCTION("""COMPUTED_VALUE"""),"Josh Teater")</f>
        <v>Josh Teater</v>
      </c>
      <c r="D255">
        <f ca="1">IFERROR(__xludf.DUMMYFUNCTION("""COMPUTED_VALUE"""),6)</f>
        <v>6</v>
      </c>
      <c r="E255">
        <f ca="1">IFERROR(__xludf.DUMMYFUNCTION("""COMPUTED_VALUE"""),68.75)</f>
        <v>68.75</v>
      </c>
      <c r="F255">
        <f ca="1">IFERROR(__xludf.DUMMYFUNCTION("""COMPUTED_VALUE"""),11)</f>
        <v>11</v>
      </c>
      <c r="G255">
        <f ca="1">IFERROR(__xludf.DUMMYFUNCTION("""COMPUTED_VALUE"""),16)</f>
        <v>16</v>
      </c>
    </row>
    <row r="256" spans="1:7" ht="12.75">
      <c r="A256">
        <f ca="1">IFERROR(__xludf.DUMMYFUNCTION("""COMPUTED_VALUE"""),255)</f>
        <v>255</v>
      </c>
      <c r="B256" t="str">
        <f ca="1">IFERROR(__xludf.DUMMYFUNCTION("""COMPUTED_VALUE"""),"T222")</f>
        <v>T222</v>
      </c>
      <c r="C256" t="str">
        <f ca="1">IFERROR(__xludf.DUMMYFUNCTION("""COMPUTED_VALUE"""),"C.T. Pan")</f>
        <v>C.T. Pan</v>
      </c>
      <c r="D256">
        <f ca="1">IFERROR(__xludf.DUMMYFUNCTION("""COMPUTED_VALUE"""),20)</f>
        <v>20</v>
      </c>
      <c r="E256">
        <f ca="1">IFERROR(__xludf.DUMMYFUNCTION("""COMPUTED_VALUE"""),68.18)</f>
        <v>68.180000000000007</v>
      </c>
      <c r="F256">
        <f ca="1">IFERROR(__xludf.DUMMYFUNCTION("""COMPUTED_VALUE"""),15)</f>
        <v>15</v>
      </c>
      <c r="G256">
        <f ca="1">IFERROR(__xludf.DUMMYFUNCTION("""COMPUTED_VALUE"""),22)</f>
        <v>22</v>
      </c>
    </row>
    <row r="257" spans="1:7" ht="12.75">
      <c r="A257" t="str">
        <f ca="1">IFERROR(__xludf.DUMMYFUNCTION("""COMPUTED_VALUE"""),"T256")</f>
        <v>T256</v>
      </c>
      <c r="B257" t="str">
        <f ca="1">IFERROR(__xludf.DUMMYFUNCTION("""COMPUTED_VALUE"""),"T249")</f>
        <v>T249</v>
      </c>
      <c r="C257" t="str">
        <f ca="1">IFERROR(__xludf.DUMMYFUNCTION("""COMPUTED_VALUE"""),"Robert Garrigus")</f>
        <v>Robert Garrigus</v>
      </c>
      <c r="D257">
        <f ca="1">IFERROR(__xludf.DUMMYFUNCTION("""COMPUTED_VALUE"""),3)</f>
        <v>3</v>
      </c>
      <c r="E257">
        <f ca="1">IFERROR(__xludf.DUMMYFUNCTION("""COMPUTED_VALUE"""),66.67)</f>
        <v>66.67</v>
      </c>
      <c r="F257">
        <f ca="1">IFERROR(__xludf.DUMMYFUNCTION("""COMPUTED_VALUE"""),2)</f>
        <v>2</v>
      </c>
      <c r="G257">
        <f ca="1">IFERROR(__xludf.DUMMYFUNCTION("""COMPUTED_VALUE"""),3)</f>
        <v>3</v>
      </c>
    </row>
    <row r="258" spans="1:7" ht="12.75">
      <c r="A258" t="str">
        <f ca="1">IFERROR(__xludf.DUMMYFUNCTION("""COMPUTED_VALUE"""),"T256")</f>
        <v>T256</v>
      </c>
      <c r="B258" t="str">
        <f ca="1">IFERROR(__xludf.DUMMYFUNCTION("""COMPUTED_VALUE"""),"T235")</f>
        <v>T235</v>
      </c>
      <c r="C258" t="str">
        <f ca="1">IFERROR(__xludf.DUMMYFUNCTION("""COMPUTED_VALUE"""),"Matt Jones")</f>
        <v>Matt Jones</v>
      </c>
      <c r="D258">
        <f ca="1">IFERROR(__xludf.DUMMYFUNCTION("""COMPUTED_VALUE"""),20)</f>
        <v>20</v>
      </c>
      <c r="E258">
        <f ca="1">IFERROR(__xludf.DUMMYFUNCTION("""COMPUTED_VALUE"""),66.67)</f>
        <v>66.67</v>
      </c>
      <c r="F258">
        <f ca="1">IFERROR(__xludf.DUMMYFUNCTION("""COMPUTED_VALUE"""),8)</f>
        <v>8</v>
      </c>
      <c r="G258">
        <f ca="1">IFERROR(__xludf.DUMMYFUNCTION("""COMPUTED_VALUE"""),12)</f>
        <v>12</v>
      </c>
    </row>
    <row r="259" spans="1:7" ht="12.75">
      <c r="A259" t="str">
        <f ca="1">IFERROR(__xludf.DUMMYFUNCTION("""COMPUTED_VALUE"""),"T256")</f>
        <v>T256</v>
      </c>
      <c r="B259" t="str">
        <f ca="1">IFERROR(__xludf.DUMMYFUNCTION("""COMPUTED_VALUE"""),"T249")</f>
        <v>T249</v>
      </c>
      <c r="C259" t="str">
        <f ca="1">IFERROR(__xludf.DUMMYFUNCTION("""COMPUTED_VALUE"""),"Peter Uihlein")</f>
        <v>Peter Uihlein</v>
      </c>
      <c r="D259">
        <f ca="1">IFERROR(__xludf.DUMMYFUNCTION("""COMPUTED_VALUE"""),8)</f>
        <v>8</v>
      </c>
      <c r="E259">
        <f ca="1">IFERROR(__xludf.DUMMYFUNCTION("""COMPUTED_VALUE"""),66.67)</f>
        <v>66.67</v>
      </c>
      <c r="F259">
        <f ca="1">IFERROR(__xludf.DUMMYFUNCTION("""COMPUTED_VALUE"""),4)</f>
        <v>4</v>
      </c>
      <c r="G259">
        <f ca="1">IFERROR(__xludf.DUMMYFUNCTION("""COMPUTED_VALUE"""),6)</f>
        <v>6</v>
      </c>
    </row>
    <row r="260" spans="1:7" ht="12.75">
      <c r="A260" t="str">
        <f ca="1">IFERROR(__xludf.DUMMYFUNCTION("""COMPUTED_VALUE"""),"T256")</f>
        <v>T256</v>
      </c>
      <c r="B260">
        <f ca="1">IFERROR(__xludf.DUMMYFUNCTION("""COMPUTED_VALUE"""),258)</f>
        <v>258</v>
      </c>
      <c r="C260" t="str">
        <f ca="1">IFERROR(__xludf.DUMMYFUNCTION("""COMPUTED_VALUE"""),"Emiliano Grillo")</f>
        <v>Emiliano Grillo</v>
      </c>
      <c r="D260">
        <f ca="1">IFERROR(__xludf.DUMMYFUNCTION("""COMPUTED_VALUE"""),22)</f>
        <v>22</v>
      </c>
      <c r="E260">
        <f ca="1">IFERROR(__xludf.DUMMYFUNCTION("""COMPUTED_VALUE"""),66.67)</f>
        <v>66.67</v>
      </c>
      <c r="F260">
        <f ca="1">IFERROR(__xludf.DUMMYFUNCTION("""COMPUTED_VALUE"""),10)</f>
        <v>10</v>
      </c>
      <c r="G260">
        <f ca="1">IFERROR(__xludf.DUMMYFUNCTION("""COMPUTED_VALUE"""),15)</f>
        <v>15</v>
      </c>
    </row>
    <row r="261" spans="1:7" ht="12.75">
      <c r="A261" t="str">
        <f ca="1">IFERROR(__xludf.DUMMYFUNCTION("""COMPUTED_VALUE"""),"T256")</f>
        <v>T256</v>
      </c>
      <c r="B261" t="str">
        <f ca="1">IFERROR(__xludf.DUMMYFUNCTION("""COMPUTED_VALUE"""),"T249")</f>
        <v>T249</v>
      </c>
      <c r="C261" t="str">
        <f ca="1">IFERROR(__xludf.DUMMYFUNCTION("""COMPUTED_VALUE"""),"Ben Martin")</f>
        <v>Ben Martin</v>
      </c>
      <c r="D261">
        <f ca="1">IFERROR(__xludf.DUMMYFUNCTION("""COMPUTED_VALUE"""),6)</f>
        <v>6</v>
      </c>
      <c r="E261">
        <f ca="1">IFERROR(__xludf.DUMMYFUNCTION("""COMPUTED_VALUE"""),66.67)</f>
        <v>66.67</v>
      </c>
      <c r="F261">
        <f ca="1">IFERROR(__xludf.DUMMYFUNCTION("""COMPUTED_VALUE"""),2)</f>
        <v>2</v>
      </c>
      <c r="G261">
        <f ca="1">IFERROR(__xludf.DUMMYFUNCTION("""COMPUTED_VALUE"""),3)</f>
        <v>3</v>
      </c>
    </row>
    <row r="262" spans="1:7" ht="12.75">
      <c r="A262" t="str">
        <f ca="1">IFERROR(__xludf.DUMMYFUNCTION("""COMPUTED_VALUE"""),"T256")</f>
        <v>T256</v>
      </c>
      <c r="B262" t="str">
        <f ca="1">IFERROR(__xludf.DUMMYFUNCTION("""COMPUTED_VALUE"""),"T249")</f>
        <v>T249</v>
      </c>
      <c r="C262" t="str">
        <f ca="1">IFERROR(__xludf.DUMMYFUNCTION("""COMPUTED_VALUE"""),"Lucas Herbert")</f>
        <v>Lucas Herbert</v>
      </c>
      <c r="D262">
        <f ca="1">IFERROR(__xludf.DUMMYFUNCTION("""COMPUTED_VALUE"""),4)</f>
        <v>4</v>
      </c>
      <c r="E262">
        <f ca="1">IFERROR(__xludf.DUMMYFUNCTION("""COMPUTED_VALUE"""),66.67)</f>
        <v>66.67</v>
      </c>
      <c r="F262">
        <f ca="1">IFERROR(__xludf.DUMMYFUNCTION("""COMPUTED_VALUE"""),2)</f>
        <v>2</v>
      </c>
      <c r="G262">
        <f ca="1">IFERROR(__xludf.DUMMYFUNCTION("""COMPUTED_VALUE"""),3)</f>
        <v>3</v>
      </c>
    </row>
    <row r="263" spans="1:7" ht="12.75">
      <c r="A263" t="str">
        <f ca="1">IFERROR(__xludf.DUMMYFUNCTION("""COMPUTED_VALUE"""),"T256")</f>
        <v>T256</v>
      </c>
      <c r="B263" t="str">
        <f ca="1">IFERROR(__xludf.DUMMYFUNCTION("""COMPUTED_VALUE"""),"T249")</f>
        <v>T249</v>
      </c>
      <c r="C263" t="str">
        <f ca="1">IFERROR(__xludf.DUMMYFUNCTION("""COMPUTED_VALUE"""),"Daniel Berger")</f>
        <v>Daniel Berger</v>
      </c>
      <c r="D263">
        <f ca="1">IFERROR(__xludf.DUMMYFUNCTION("""COMPUTED_VALUE"""),12)</f>
        <v>12</v>
      </c>
      <c r="E263">
        <f ca="1">IFERROR(__xludf.DUMMYFUNCTION("""COMPUTED_VALUE"""),66.67)</f>
        <v>66.67</v>
      </c>
      <c r="F263">
        <f ca="1">IFERROR(__xludf.DUMMYFUNCTION("""COMPUTED_VALUE"""),6)</f>
        <v>6</v>
      </c>
      <c r="G263">
        <f ca="1">IFERROR(__xludf.DUMMYFUNCTION("""COMPUTED_VALUE"""),9)</f>
        <v>9</v>
      </c>
    </row>
    <row r="264" spans="1:7" ht="12.75">
      <c r="A264" t="str">
        <f ca="1">IFERROR(__xludf.DUMMYFUNCTION("""COMPUTED_VALUE"""),"T256")</f>
        <v>T256</v>
      </c>
      <c r="B264" t="str">
        <f ca="1">IFERROR(__xludf.DUMMYFUNCTION("""COMPUTED_VALUE"""),"T249")</f>
        <v>T249</v>
      </c>
      <c r="C264" t="str">
        <f ca="1">IFERROR(__xludf.DUMMYFUNCTION("""COMPUTED_VALUE"""),"Ollie Schniederjans")</f>
        <v>Ollie Schniederjans</v>
      </c>
      <c r="D264">
        <f ca="1">IFERROR(__xludf.DUMMYFUNCTION("""COMPUTED_VALUE"""),6)</f>
        <v>6</v>
      </c>
      <c r="E264">
        <f ca="1">IFERROR(__xludf.DUMMYFUNCTION("""COMPUTED_VALUE"""),66.67)</f>
        <v>66.67</v>
      </c>
      <c r="F264">
        <f ca="1">IFERROR(__xludf.DUMMYFUNCTION("""COMPUTED_VALUE"""),2)</f>
        <v>2</v>
      </c>
      <c r="G264">
        <f ca="1">IFERROR(__xludf.DUMMYFUNCTION("""COMPUTED_VALUE"""),3)</f>
        <v>3</v>
      </c>
    </row>
    <row r="265" spans="1:7" ht="12.75">
      <c r="A265" t="str">
        <f ca="1">IFERROR(__xludf.DUMMYFUNCTION("""COMPUTED_VALUE"""),"T256")</f>
        <v>T256</v>
      </c>
      <c r="B265" t="str">
        <f ca="1">IFERROR(__xludf.DUMMYFUNCTION("""COMPUTED_VALUE"""),"T249")</f>
        <v>T249</v>
      </c>
      <c r="C265" t="str">
        <f ca="1">IFERROR(__xludf.DUMMYFUNCTION("""COMPUTED_VALUE"""),"Takumi Kanaya")</f>
        <v>Takumi Kanaya</v>
      </c>
      <c r="D265">
        <f ca="1">IFERROR(__xludf.DUMMYFUNCTION("""COMPUTED_VALUE"""),6)</f>
        <v>6</v>
      </c>
      <c r="E265">
        <f ca="1">IFERROR(__xludf.DUMMYFUNCTION("""COMPUTED_VALUE"""),66.67)</f>
        <v>66.67</v>
      </c>
      <c r="F265">
        <f ca="1">IFERROR(__xludf.DUMMYFUNCTION("""COMPUTED_VALUE"""),2)</f>
        <v>2</v>
      </c>
      <c r="G265">
        <f ca="1">IFERROR(__xludf.DUMMYFUNCTION("""COMPUTED_VALUE"""),3)</f>
        <v>3</v>
      </c>
    </row>
    <row r="266" spans="1:7" ht="12.75">
      <c r="A266" t="str">
        <f ca="1">IFERROR(__xludf.DUMMYFUNCTION("""COMPUTED_VALUE"""),"T256")</f>
        <v>T256</v>
      </c>
      <c r="B266" t="str">
        <f ca="1">IFERROR(__xludf.DUMMYFUNCTION("""COMPUTED_VALUE"""),"T249")</f>
        <v>T249</v>
      </c>
      <c r="C266" t="str">
        <f ca="1">IFERROR(__xludf.DUMMYFUNCTION("""COMPUTED_VALUE"""),"Davis Riley")</f>
        <v>Davis Riley</v>
      </c>
      <c r="D266">
        <f ca="1">IFERROR(__xludf.DUMMYFUNCTION("""COMPUTED_VALUE"""),4)</f>
        <v>4</v>
      </c>
      <c r="E266">
        <f ca="1">IFERROR(__xludf.DUMMYFUNCTION("""COMPUTED_VALUE"""),66.67)</f>
        <v>66.67</v>
      </c>
      <c r="F266">
        <f ca="1">IFERROR(__xludf.DUMMYFUNCTION("""COMPUTED_VALUE"""),2)</f>
        <v>2</v>
      </c>
      <c r="G266">
        <f ca="1">IFERROR(__xludf.DUMMYFUNCTION("""COMPUTED_VALUE"""),3)</f>
        <v>3</v>
      </c>
    </row>
    <row r="267" spans="1:7" ht="12.75">
      <c r="A267" t="str">
        <f ca="1">IFERROR(__xludf.DUMMYFUNCTION("""COMPUTED_VALUE"""),"T256")</f>
        <v>T256</v>
      </c>
      <c r="B267" t="str">
        <f ca="1">IFERROR(__xludf.DUMMYFUNCTION("""COMPUTED_VALUE"""),"T249")</f>
        <v>T249</v>
      </c>
      <c r="C267" t="str">
        <f ca="1">IFERROR(__xludf.DUMMYFUNCTION("""COMPUTED_VALUE"""),"Robert MacIntyre")</f>
        <v>Robert MacIntyre</v>
      </c>
      <c r="D267">
        <f ca="1">IFERROR(__xludf.DUMMYFUNCTION("""COMPUTED_VALUE"""),4)</f>
        <v>4</v>
      </c>
      <c r="E267">
        <f ca="1">IFERROR(__xludf.DUMMYFUNCTION("""COMPUTED_VALUE"""),66.67)</f>
        <v>66.67</v>
      </c>
      <c r="F267">
        <f ca="1">IFERROR(__xludf.DUMMYFUNCTION("""COMPUTED_VALUE"""),2)</f>
        <v>2</v>
      </c>
      <c r="G267">
        <f ca="1">IFERROR(__xludf.DUMMYFUNCTION("""COMPUTED_VALUE"""),3)</f>
        <v>3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IFERROR(__xludf.DUMMYFUNCTION("""COMPUTED_VALUE"""),266)</f>
        <v>266</v>
      </c>
      <c r="C268" t="str">
        <f ca="1">IFERROR(__xludf.DUMMYFUNCTION("""COMPUTED_VALUE"""),"Grayson Murray")</f>
        <v>Grayson Murray</v>
      </c>
      <c r="D268">
        <f ca="1">IFERROR(__xludf.DUMMYFUNCTION("""COMPUTED_VALUE"""),10)</f>
        <v>10</v>
      </c>
      <c r="E268">
        <f ca="1">IFERROR(__xludf.DUMMYFUNCTION("""COMPUTED_VALUE"""),63.64)</f>
        <v>63.64</v>
      </c>
      <c r="F268">
        <f ca="1">IFERROR(__xludf.DUMMYFUNCTION("""COMPUTED_VALUE"""),7)</f>
        <v>7</v>
      </c>
      <c r="G268">
        <f ca="1">IFERROR(__xludf.DUMMYFUNCTION("""COMPUTED_VALUE"""),11)</f>
        <v>11</v>
      </c>
    </row>
    <row r="269" spans="1:7" ht="12.75">
      <c r="A269" t="str">
        <f ca="1">IFERROR(__xludf.DUMMYFUNCTION("""COMPUTED_VALUE"""),"T268")</f>
        <v>T268</v>
      </c>
      <c r="B269" t="str">
        <f ca="1">IFERROR(__xludf.DUMMYFUNCTION("""COMPUTED_VALUE"""),"T259")</f>
        <v>T259</v>
      </c>
      <c r="C269" t="str">
        <f ca="1">IFERROR(__xludf.DUMMYFUNCTION("""COMPUTED_VALUE"""),"George McNeill")</f>
        <v>George McNeill</v>
      </c>
      <c r="D269">
        <f ca="1">IFERROR(__xludf.DUMMYFUNCTION("""COMPUTED_VALUE"""),8)</f>
        <v>8</v>
      </c>
      <c r="E269">
        <f ca="1">IFERROR(__xludf.DUMMYFUNCTION("""COMPUTED_VALUE"""),60)</f>
        <v>60</v>
      </c>
      <c r="F269">
        <f ca="1">IFERROR(__xludf.DUMMYFUNCTION("""COMPUTED_VALUE"""),6)</f>
        <v>6</v>
      </c>
      <c r="G269">
        <f ca="1">IFERROR(__xludf.DUMMYFUNCTION("""COMPUTED_VALUE"""),10)</f>
        <v>10</v>
      </c>
    </row>
    <row r="270" spans="1:7" ht="12.75">
      <c r="A270" t="str">
        <f ca="1">IFERROR(__xludf.DUMMYFUNCTION("""COMPUTED_VALUE"""),"T268")</f>
        <v>T268</v>
      </c>
      <c r="B270" t="str">
        <f ca="1">IFERROR(__xludf.DUMMYFUNCTION("""COMPUTED_VALUE"""),"T259")</f>
        <v>T259</v>
      </c>
      <c r="C270" t="str">
        <f ca="1">IFERROR(__xludf.DUMMYFUNCTION("""COMPUTED_VALUE"""),"Branden Grace")</f>
        <v>Branden Grace</v>
      </c>
      <c r="D270">
        <f ca="1">IFERROR(__xludf.DUMMYFUNCTION("""COMPUTED_VALUE"""),16)</f>
        <v>16</v>
      </c>
      <c r="E270">
        <f ca="1">IFERROR(__xludf.DUMMYFUNCTION("""COMPUTED_VALUE"""),60)</f>
        <v>60</v>
      </c>
      <c r="F270">
        <f ca="1">IFERROR(__xludf.DUMMYFUNCTION("""COMPUTED_VALUE"""),6)</f>
        <v>6</v>
      </c>
      <c r="G270">
        <f ca="1">IFERROR(__xludf.DUMMYFUNCTION("""COMPUTED_VALUE"""),10)</f>
        <v>10</v>
      </c>
    </row>
    <row r="271" spans="1:7" ht="12.75">
      <c r="A271" t="str">
        <f ca="1">IFERROR(__xludf.DUMMYFUNCTION("""COMPUTED_VALUE"""),"T268")</f>
        <v>T268</v>
      </c>
      <c r="B271" t="str">
        <f ca="1">IFERROR(__xludf.DUMMYFUNCTION("""COMPUTED_VALUE"""),"T259")</f>
        <v>T259</v>
      </c>
      <c r="C271" t="str">
        <f ca="1">IFERROR(__xludf.DUMMYFUNCTION("""COMPUTED_VALUE"""),"Tom Lewis")</f>
        <v>Tom Lewis</v>
      </c>
      <c r="D271">
        <f ca="1">IFERROR(__xludf.DUMMYFUNCTION("""COMPUTED_VALUE"""),12)</f>
        <v>12</v>
      </c>
      <c r="E271">
        <f ca="1">IFERROR(__xludf.DUMMYFUNCTION("""COMPUTED_VALUE"""),60)</f>
        <v>60</v>
      </c>
      <c r="F271">
        <f ca="1">IFERROR(__xludf.DUMMYFUNCTION("""COMPUTED_VALUE"""),3)</f>
        <v>3</v>
      </c>
      <c r="G271">
        <f ca="1">IFERROR(__xludf.DUMMYFUNCTION("""COMPUTED_VALUE"""),5)</f>
        <v>5</v>
      </c>
    </row>
    <row r="272" spans="1:7" ht="12.75">
      <c r="A272" t="str">
        <f ca="1">IFERROR(__xludf.DUMMYFUNCTION("""COMPUTED_VALUE"""),"T268")</f>
        <v>T268</v>
      </c>
      <c r="B272" t="str">
        <f ca="1">IFERROR(__xludf.DUMMYFUNCTION("""COMPUTED_VALUE"""),"T259")</f>
        <v>T259</v>
      </c>
      <c r="C272" t="str">
        <f ca="1">IFERROR(__xludf.DUMMYFUNCTION("""COMPUTED_VALUE"""),"Xander Schauffele")</f>
        <v>Xander Schauffele</v>
      </c>
      <c r="D272">
        <f ca="1">IFERROR(__xludf.DUMMYFUNCTION("""COMPUTED_VALUE"""),12)</f>
        <v>12</v>
      </c>
      <c r="E272">
        <f ca="1">IFERROR(__xludf.DUMMYFUNCTION("""COMPUTED_VALUE"""),60)</f>
        <v>60</v>
      </c>
      <c r="F272">
        <f ca="1">IFERROR(__xludf.DUMMYFUNCTION("""COMPUTED_VALUE"""),3)</f>
        <v>3</v>
      </c>
      <c r="G272">
        <f ca="1">IFERROR(__xludf.DUMMYFUNCTION("""COMPUTED_VALUE"""),5)</f>
        <v>5</v>
      </c>
    </row>
    <row r="273" spans="1:7" ht="12.75">
      <c r="A273" t="str">
        <f ca="1">IFERROR(__xludf.DUMMYFUNCTION("""COMPUTED_VALUE"""),"T272")</f>
        <v>T272</v>
      </c>
      <c r="B273" t="str">
        <f ca="1">IFERROR(__xludf.DUMMYFUNCTION("""COMPUTED_VALUE"""),"T264")</f>
        <v>T264</v>
      </c>
      <c r="C273" t="str">
        <f ca="1">IFERROR(__xludf.DUMMYFUNCTION("""COMPUTED_VALUE"""),"Adam Hadwin")</f>
        <v>Adam Hadwin</v>
      </c>
      <c r="D273">
        <f ca="1">IFERROR(__xludf.DUMMYFUNCTION("""COMPUTED_VALUE"""),16)</f>
        <v>16</v>
      </c>
      <c r="E273">
        <f ca="1">IFERROR(__xludf.DUMMYFUNCTION("""COMPUTED_VALUE"""),57.14)</f>
        <v>57.14</v>
      </c>
      <c r="F273">
        <f ca="1">IFERROR(__xludf.DUMMYFUNCTION("""COMPUTED_VALUE"""),4)</f>
        <v>4</v>
      </c>
      <c r="G273">
        <f ca="1">IFERROR(__xludf.DUMMYFUNCTION("""COMPUTED_VALUE"""),7)</f>
        <v>7</v>
      </c>
    </row>
    <row r="274" spans="1:7" ht="12.75">
      <c r="A274" t="str">
        <f ca="1">IFERROR(__xludf.DUMMYFUNCTION("""COMPUTED_VALUE"""),"T272")</f>
        <v>T272</v>
      </c>
      <c r="B274" t="str">
        <f ca="1">IFERROR(__xludf.DUMMYFUNCTION("""COMPUTED_VALUE"""),"T264")</f>
        <v>T264</v>
      </c>
      <c r="C274" t="str">
        <f ca="1">IFERROR(__xludf.DUMMYFUNCTION("""COMPUTED_VALUE"""),"Michael Gellerman")</f>
        <v>Michael Gellerman</v>
      </c>
      <c r="D274">
        <f ca="1">IFERROR(__xludf.DUMMYFUNCTION("""COMPUTED_VALUE"""),5)</f>
        <v>5</v>
      </c>
      <c r="E274">
        <f ca="1">IFERROR(__xludf.DUMMYFUNCTION("""COMPUTED_VALUE"""),57.14)</f>
        <v>57.14</v>
      </c>
      <c r="F274">
        <f ca="1">IFERROR(__xludf.DUMMYFUNCTION("""COMPUTED_VALUE"""),4)</f>
        <v>4</v>
      </c>
      <c r="G274">
        <f ca="1">IFERROR(__xludf.DUMMYFUNCTION("""COMPUTED_VALUE"""),7)</f>
        <v>7</v>
      </c>
    </row>
    <row r="275" spans="1:7" ht="12.75">
      <c r="A275" t="str">
        <f ca="1">IFERROR(__xludf.DUMMYFUNCTION("""COMPUTED_VALUE"""),"T274")</f>
        <v>T274</v>
      </c>
      <c r="B275" t="str">
        <f ca="1">IFERROR(__xludf.DUMMYFUNCTION("""COMPUTED_VALUE"""),"T267")</f>
        <v>T267</v>
      </c>
      <c r="C275" t="str">
        <f ca="1">IFERROR(__xludf.DUMMYFUNCTION("""COMPUTED_VALUE"""),"Rory Sabbatini")</f>
        <v>Rory Sabbatini</v>
      </c>
      <c r="D275">
        <f ca="1">IFERROR(__xludf.DUMMYFUNCTION("""COMPUTED_VALUE"""),13)</f>
        <v>13</v>
      </c>
      <c r="E275">
        <f ca="1">IFERROR(__xludf.DUMMYFUNCTION("""COMPUTED_VALUE"""),50)</f>
        <v>50</v>
      </c>
      <c r="F275">
        <f ca="1">IFERROR(__xludf.DUMMYFUNCTION("""COMPUTED_VALUE"""),2)</f>
        <v>2</v>
      </c>
      <c r="G275">
        <f ca="1">IFERROR(__xludf.DUMMYFUNCTION("""COMPUTED_VALUE"""),4)</f>
        <v>4</v>
      </c>
    </row>
    <row r="276" spans="1:7" ht="12.75">
      <c r="A276" t="str">
        <f ca="1">IFERROR(__xludf.DUMMYFUNCTION("""COMPUTED_VALUE"""),"T274")</f>
        <v>T274</v>
      </c>
      <c r="B276" t="str">
        <f ca="1">IFERROR(__xludf.DUMMYFUNCTION("""COMPUTED_VALUE"""),"T267")</f>
        <v>T267</v>
      </c>
      <c r="C276" t="str">
        <f ca="1">IFERROR(__xludf.DUMMYFUNCTION("""COMPUTED_VALUE"""),"Parker McLachlin")</f>
        <v>Parker McLachlin</v>
      </c>
      <c r="D276">
        <f ca="1">IFERROR(__xludf.DUMMYFUNCTION("""COMPUTED_VALUE"""),4)</f>
        <v>4</v>
      </c>
      <c r="E276">
        <f ca="1">IFERROR(__xludf.DUMMYFUNCTION("""COMPUTED_VALUE"""),50)</f>
        <v>50</v>
      </c>
      <c r="F276">
        <f ca="1">IFERROR(__xludf.DUMMYFUNCTION("""COMPUTED_VALUE"""),1)</f>
        <v>1</v>
      </c>
      <c r="G276">
        <f ca="1">IFERROR(__xludf.DUMMYFUNCTION("""COMPUTED_VALUE"""),2)</f>
        <v>2</v>
      </c>
    </row>
    <row r="277" spans="1:7" ht="12.75">
      <c r="A277" t="str">
        <f ca="1">IFERROR(__xludf.DUMMYFUNCTION("""COMPUTED_VALUE"""),"T274")</f>
        <v>T274</v>
      </c>
      <c r="B277" t="str">
        <f ca="1">IFERROR(__xludf.DUMMYFUNCTION("""COMPUTED_VALUE"""),"T267")</f>
        <v>T267</v>
      </c>
      <c r="C277" t="str">
        <f ca="1">IFERROR(__xludf.DUMMYFUNCTION("""COMPUTED_VALUE"""),"Kevin Na")</f>
        <v>Kevin Na</v>
      </c>
      <c r="D277">
        <f ca="1">IFERROR(__xludf.DUMMYFUNCTION("""COMPUTED_VALUE"""),14)</f>
        <v>14</v>
      </c>
      <c r="E277">
        <f ca="1">IFERROR(__xludf.DUMMYFUNCTION("""COMPUTED_VALUE"""),50)</f>
        <v>50</v>
      </c>
      <c r="F277">
        <f ca="1">IFERROR(__xludf.DUMMYFUNCTION("""COMPUTED_VALUE"""),2)</f>
        <v>2</v>
      </c>
      <c r="G277">
        <f ca="1">IFERROR(__xludf.DUMMYFUNCTION("""COMPUTED_VALUE"""),4)</f>
        <v>4</v>
      </c>
    </row>
    <row r="278" spans="1:7" ht="12.75">
      <c r="A278" t="str">
        <f ca="1">IFERROR(__xludf.DUMMYFUNCTION("""COMPUTED_VALUE"""),"T274")</f>
        <v>T274</v>
      </c>
      <c r="B278" t="str">
        <f ca="1">IFERROR(__xludf.DUMMYFUNCTION("""COMPUTED_VALUE"""),"T267")</f>
        <v>T267</v>
      </c>
      <c r="C278" t="str">
        <f ca="1">IFERROR(__xludf.DUMMYFUNCTION("""COMPUTED_VALUE"""),"Tommy Fleetwood")</f>
        <v>Tommy Fleetwood</v>
      </c>
      <c r="D278">
        <f ca="1">IFERROR(__xludf.DUMMYFUNCTION("""COMPUTED_VALUE"""),10)</f>
        <v>10</v>
      </c>
      <c r="E278">
        <f ca="1">IFERROR(__xludf.DUMMYFUNCTION("""COMPUTED_VALUE"""),50)</f>
        <v>50</v>
      </c>
      <c r="F278">
        <f ca="1">IFERROR(__xludf.DUMMYFUNCTION("""COMPUTED_VALUE"""),3)</f>
        <v>3</v>
      </c>
      <c r="G278">
        <f ca="1">IFERROR(__xludf.DUMMYFUNCTION("""COMPUTED_VALUE"""),6)</f>
        <v>6</v>
      </c>
    </row>
    <row r="279" spans="1:7" ht="12.75">
      <c r="A279" t="str">
        <f ca="1">IFERROR(__xludf.DUMMYFUNCTION("""COMPUTED_VALUE"""),"T274")</f>
        <v>T274</v>
      </c>
      <c r="B279" t="str">
        <f ca="1">IFERROR(__xludf.DUMMYFUNCTION("""COMPUTED_VALUE"""),"T267")</f>
        <v>T267</v>
      </c>
      <c r="C279" t="str">
        <f ca="1">IFERROR(__xludf.DUMMYFUNCTION("""COMPUTED_VALUE"""),"Matthew Borchert")</f>
        <v>Matthew Borchert</v>
      </c>
      <c r="D279">
        <f ca="1">IFERROR(__xludf.DUMMYFUNCTION("""COMPUTED_VALUE"""),4)</f>
        <v>4</v>
      </c>
      <c r="E279">
        <f ca="1">IFERROR(__xludf.DUMMYFUNCTION("""COMPUTED_VALUE"""),50)</f>
        <v>50</v>
      </c>
      <c r="F279">
        <f ca="1">IFERROR(__xludf.DUMMYFUNCTION("""COMPUTED_VALUE"""),3)</f>
        <v>3</v>
      </c>
      <c r="G279">
        <f ca="1">IFERROR(__xludf.DUMMYFUNCTION("""COMPUTED_VALUE"""),6)</f>
        <v>6</v>
      </c>
    </row>
    <row r="280" spans="1:7" ht="12.75">
      <c r="A280" t="str">
        <f ca="1">IFERROR(__xludf.DUMMYFUNCTION("""COMPUTED_VALUE"""),"T274")</f>
        <v>T274</v>
      </c>
      <c r="B280" t="str">
        <f ca="1">IFERROR(__xludf.DUMMYFUNCTION("""COMPUTED_VALUE"""),"T267")</f>
        <v>T267</v>
      </c>
      <c r="C280" t="str">
        <f ca="1">IFERROR(__xludf.DUMMYFUNCTION("""COMPUTED_VALUE"""),"Eric Dugas")</f>
        <v>Eric Dugas</v>
      </c>
      <c r="D280">
        <f ca="1">IFERROR(__xludf.DUMMYFUNCTION("""COMPUTED_VALUE"""),4)</f>
        <v>4</v>
      </c>
      <c r="E280">
        <f ca="1">IFERROR(__xludf.DUMMYFUNCTION("""COMPUTED_VALUE"""),50)</f>
        <v>50</v>
      </c>
      <c r="F280">
        <f ca="1">IFERROR(__xludf.DUMMYFUNCTION("""COMPUTED_VALUE"""),2)</f>
        <v>2</v>
      </c>
      <c r="G280">
        <f ca="1">IFERROR(__xludf.DUMMYFUNCTION("""COMPUTED_VALUE"""),4)</f>
        <v>4</v>
      </c>
    </row>
    <row r="281" spans="1:7" ht="12.75">
      <c r="A281" t="str">
        <f ca="1">IFERROR(__xludf.DUMMYFUNCTION("""COMPUTED_VALUE"""),"T274")</f>
        <v>T274</v>
      </c>
      <c r="B281" t="str">
        <f ca="1">IFERROR(__xludf.DUMMYFUNCTION("""COMPUTED_VALUE"""),"T267")</f>
        <v>T267</v>
      </c>
      <c r="C281" t="str">
        <f ca="1">IFERROR(__xludf.DUMMYFUNCTION("""COMPUTED_VALUE"""),"Shugo Imahira")</f>
        <v>Shugo Imahira</v>
      </c>
      <c r="D281">
        <f ca="1">IFERROR(__xludf.DUMMYFUNCTION("""COMPUTED_VALUE"""),8)</f>
        <v>8</v>
      </c>
      <c r="E281">
        <f ca="1">IFERROR(__xludf.DUMMYFUNCTION("""COMPUTED_VALUE"""),50)</f>
        <v>50</v>
      </c>
      <c r="F281">
        <f ca="1">IFERROR(__xludf.DUMMYFUNCTION("""COMPUTED_VALUE"""),5)</f>
        <v>5</v>
      </c>
      <c r="G281">
        <f ca="1">IFERROR(__xludf.DUMMYFUNCTION("""COMPUTED_VALUE"""),10)</f>
        <v>10</v>
      </c>
    </row>
    <row r="282" spans="1:7" ht="12.75">
      <c r="A282" t="str">
        <f ca="1">IFERROR(__xludf.DUMMYFUNCTION("""COMPUTED_VALUE"""),"T274")</f>
        <v>T274</v>
      </c>
      <c r="B282" t="str">
        <f ca="1">IFERROR(__xludf.DUMMYFUNCTION("""COMPUTED_VALUE"""),"T267")</f>
        <v>T267</v>
      </c>
      <c r="C282" t="str">
        <f ca="1">IFERROR(__xludf.DUMMYFUNCTION("""COMPUTED_VALUE"""),"Willy Pumarol")</f>
        <v>Willy Pumarol</v>
      </c>
      <c r="D282">
        <f ca="1">IFERROR(__xludf.DUMMYFUNCTION("""COMPUTED_VALUE"""),4)</f>
        <v>4</v>
      </c>
      <c r="E282">
        <f ca="1">IFERROR(__xludf.DUMMYFUNCTION("""COMPUTED_VALUE"""),50)</f>
        <v>50</v>
      </c>
      <c r="F282">
        <f ca="1">IFERROR(__xludf.DUMMYFUNCTION("""COMPUTED_VALUE"""),2)</f>
        <v>2</v>
      </c>
      <c r="G282">
        <f ca="1">IFERROR(__xludf.DUMMYFUNCTION("""COMPUTED_VALUE"""),4)</f>
        <v>4</v>
      </c>
    </row>
    <row r="283" spans="1:7" ht="12.75">
      <c r="A283" t="str">
        <f ca="1">IFERROR(__xludf.DUMMYFUNCTION("""COMPUTED_VALUE"""),"T274")</f>
        <v>T274</v>
      </c>
      <c r="B283" t="str">
        <f ca="1">IFERROR(__xludf.DUMMYFUNCTION("""COMPUTED_VALUE"""),"T267")</f>
        <v>T267</v>
      </c>
      <c r="C283" t="str">
        <f ca="1">IFERROR(__xludf.DUMMYFUNCTION("""COMPUTED_VALUE"""),"Sungjae Im")</f>
        <v>Sungjae Im</v>
      </c>
      <c r="D283">
        <f ca="1">IFERROR(__xludf.DUMMYFUNCTION("""COMPUTED_VALUE"""),24)</f>
        <v>24</v>
      </c>
      <c r="E283">
        <f ca="1">IFERROR(__xludf.DUMMYFUNCTION("""COMPUTED_VALUE"""),50)</f>
        <v>50</v>
      </c>
      <c r="F283">
        <f ca="1">IFERROR(__xludf.DUMMYFUNCTION("""COMPUTED_VALUE"""),3)</f>
        <v>3</v>
      </c>
      <c r="G283">
        <f ca="1">IFERROR(__xludf.DUMMYFUNCTION("""COMPUTED_VALUE"""),6)</f>
        <v>6</v>
      </c>
    </row>
    <row r="284" spans="1:7" ht="12.75">
      <c r="A284" t="str">
        <f ca="1">IFERROR(__xludf.DUMMYFUNCTION("""COMPUTED_VALUE"""),"T283")</f>
        <v>T283</v>
      </c>
      <c r="B284" t="str">
        <f ca="1">IFERROR(__xludf.DUMMYFUNCTION("""COMPUTED_VALUE"""),"T277")</f>
        <v>T277</v>
      </c>
      <c r="C284" t="str">
        <f ca="1">IFERROR(__xludf.DUMMYFUNCTION("""COMPUTED_VALUE"""),"Bernd Wiesberger")</f>
        <v>Bernd Wiesberger</v>
      </c>
      <c r="D284">
        <f ca="1">IFERROR(__xludf.DUMMYFUNCTION("""COMPUTED_VALUE"""),4)</f>
        <v>4</v>
      </c>
      <c r="E284">
        <f ca="1">IFERROR(__xludf.DUMMYFUNCTION("""COMPUTED_VALUE"""),33.33)</f>
        <v>33.33</v>
      </c>
      <c r="F284">
        <f ca="1">IFERROR(__xludf.DUMMYFUNCTION("""COMPUTED_VALUE"""),1)</f>
        <v>1</v>
      </c>
      <c r="G284">
        <f ca="1">IFERROR(__xludf.DUMMYFUNCTION("""COMPUTED_VALUE"""),3)</f>
        <v>3</v>
      </c>
    </row>
    <row r="285" spans="1:7" ht="12.75">
      <c r="A285" t="str">
        <f ca="1">IFERROR(__xludf.DUMMYFUNCTION("""COMPUTED_VALUE"""),"T283")</f>
        <v>T283</v>
      </c>
      <c r="B285" t="str">
        <f ca="1">IFERROR(__xludf.DUMMYFUNCTION("""COMPUTED_VALUE"""),"T277")</f>
        <v>T277</v>
      </c>
      <c r="C285" t="str">
        <f ca="1">IFERROR(__xludf.DUMMYFUNCTION("""COMPUTED_VALUE"""),"Taylor Pendrith")</f>
        <v>Taylor Pendrith</v>
      </c>
      <c r="D285">
        <f ca="1">IFERROR(__xludf.DUMMYFUNCTION("""COMPUTED_VALUE"""),4)</f>
        <v>4</v>
      </c>
      <c r="E285">
        <f ca="1">IFERROR(__xludf.DUMMYFUNCTION("""COMPUTED_VALUE"""),33.33)</f>
        <v>33.33</v>
      </c>
      <c r="F285">
        <f ca="1">IFERROR(__xludf.DUMMYFUNCTION("""COMPUTED_VALUE"""),1)</f>
        <v>1</v>
      </c>
      <c r="G285">
        <f ca="1">IFERROR(__xludf.DUMMYFUNCTION("""COMPUTED_VALUE"""),3)</f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G289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IFERROR(__xludf.DUMMYFUNCTION("importhtml(""http://www.pgatour.com/stats/stat.365.html"",""table"",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IFERROR(__xludf.DUMMYFUNCTION("""COMPUTED_VALUE"""),"SUCCESSES")</f>
        <v>SUCCESSES</v>
      </c>
      <c r="G1" t="str">
        <f ca="1">IFERROR(__xludf.DUMMYFUNCTION("""COMPUTED_VALUE"""),"ATTEMPTS")</f>
        <v>ATTEMPTS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IFERROR(__xludf.DUMMYFUNCTION("""COMPUTED_VALUE"""),"Akshay Bhatia")</f>
        <v>Akshay Bhatia</v>
      </c>
      <c r="D2">
        <f ca="1">IFERROR(__xludf.DUMMYFUNCTION("""COMPUTED_VALUE"""),6)</f>
        <v>6</v>
      </c>
      <c r="E2">
        <f ca="1">IFERROR(__xludf.DUMMYFUNCTION("""COMPUTED_VALUE"""),100)</f>
        <v>100</v>
      </c>
      <c r="F2">
        <f ca="1">IFERROR(__xludf.DUMMYFUNCTION("""COMPUTED_VALUE"""),5)</f>
        <v>5</v>
      </c>
      <c r="G2">
        <f ca="1">IFERROR(__xludf.DUMMYFUNCTION("""COMPUTED_VALUE"""),5)</f>
        <v>5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IFERROR(__xludf.DUMMYFUNCTION("""COMPUTED_VALUE"""),"Bud Cauley")</f>
        <v>Bud Cauley</v>
      </c>
      <c r="D3">
        <f ca="1">IFERROR(__xludf.DUMMYFUNCTION("""COMPUTED_VALUE"""),4)</f>
        <v>4</v>
      </c>
      <c r="E3">
        <f ca="1">IFERROR(__xludf.DUMMYFUNCTION("""COMPUTED_VALUE"""),100)</f>
        <v>100</v>
      </c>
      <c r="F3">
        <f ca="1">IFERROR(__xludf.DUMMYFUNCTION("""COMPUTED_VALUE"""),4)</f>
        <v>4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IFERROR(__xludf.DUMMYFUNCTION("""COMPUTED_VALUE"""),4)</f>
        <v>4</v>
      </c>
      <c r="C4" t="str">
        <f ca="1">IFERROR(__xludf.DUMMYFUNCTION("""COMPUTED_VALUE"""),"Ian Poulter")</f>
        <v>Ian Poulter</v>
      </c>
      <c r="D4">
        <f ca="1">IFERROR(__xludf.DUMMYFUNCTION("""COMPUTED_VALUE"""),6)</f>
        <v>6</v>
      </c>
      <c r="E4">
        <f ca="1">IFERROR(__xludf.DUMMYFUNCTION("""COMPUTED_VALUE"""),90)</f>
        <v>90</v>
      </c>
      <c r="F4">
        <f ca="1">IFERROR(__xludf.DUMMYFUNCTION("""COMPUTED_VALUE"""),9)</f>
        <v>9</v>
      </c>
      <c r="G4">
        <f ca="1">IFERROR(__xludf.DUMMYFUNCTION("""COMPUTED_VALUE"""),10)</f>
        <v>10</v>
      </c>
    </row>
    <row r="5" spans="1:7" ht="15.75" customHeight="1">
      <c r="A5" t="str">
        <f ca="1">IFERROR(__xludf.DUMMYFUNCTION("""COMPUTED_VALUE"""),"T4")</f>
        <v>T4</v>
      </c>
      <c r="B5" t="str">
        <f ca="1">IFERROR(__xludf.DUMMYFUNCTION("""COMPUTED_VALUE"""),"T9")</f>
        <v>T9</v>
      </c>
      <c r="C5" t="str">
        <f ca="1">IFERROR(__xludf.DUMMYFUNCTION("""COMPUTED_VALUE"""),"Fred Funk")</f>
        <v>Fred Funk</v>
      </c>
      <c r="D5">
        <f ca="1">IFERROR(__xludf.DUMMYFUNCTION("""COMPUTED_VALUE"""),4)</f>
        <v>4</v>
      </c>
      <c r="E5">
        <f ca="1">IFERROR(__xludf.DUMMYFUNCTION("""COMPUTED_VALUE"""),80)</f>
        <v>80</v>
      </c>
      <c r="F5">
        <f ca="1">IFERROR(__xludf.DUMMYFUNCTION("""COMPUTED_VALUE"""),4)</f>
        <v>4</v>
      </c>
      <c r="G5">
        <f ca="1">IFERROR(__xludf.DUMMYFUNCTION("""COMPUTED_VALUE"""),5)</f>
        <v>5</v>
      </c>
    </row>
    <row r="6" spans="1:7" ht="15.75" customHeight="1">
      <c r="A6" t="str">
        <f ca="1">IFERROR(__xludf.DUMMYFUNCTION("""COMPUTED_VALUE"""),"T4")</f>
        <v>T4</v>
      </c>
      <c r="B6">
        <f ca="1">IFERROR(__xludf.DUMMYFUNCTION("""COMPUTED_VALUE"""),7)</f>
        <v>7</v>
      </c>
      <c r="C6" t="str">
        <f ca="1">IFERROR(__xludf.DUMMYFUNCTION("""COMPUTED_VALUE"""),"Bo Hoag")</f>
        <v>Bo Hoag</v>
      </c>
      <c r="D6">
        <f ca="1">IFERROR(__xludf.DUMMYFUNCTION("""COMPUTED_VALUE"""),14)</f>
        <v>14</v>
      </c>
      <c r="E6">
        <f ca="1">IFERROR(__xludf.DUMMYFUNCTION("""COMPUTED_VALUE"""),80)</f>
        <v>80</v>
      </c>
      <c r="F6">
        <f ca="1">IFERROR(__xludf.DUMMYFUNCTION("""COMPUTED_VALUE"""),28)</f>
        <v>28</v>
      </c>
      <c r="G6">
        <f ca="1">IFERROR(__xludf.DUMMYFUNCTION("""COMPUTED_VALUE"""),35)</f>
        <v>35</v>
      </c>
    </row>
    <row r="7" spans="1:7" ht="15.75" customHeight="1">
      <c r="A7" t="str">
        <f ca="1">IFERROR(__xludf.DUMMYFUNCTION("""COMPUTED_VALUE"""),"T4")</f>
        <v>T4</v>
      </c>
      <c r="B7" t="str">
        <f ca="1">IFERROR(__xludf.DUMMYFUNCTION("""COMPUTED_VALUE"""),"T9")</f>
        <v>T9</v>
      </c>
      <c r="C7" t="str">
        <f ca="1">IFERROR(__xludf.DUMMYFUNCTION("""COMPUTED_VALUE"""),"Sahith Theegala")</f>
        <v>Sahith Theegala</v>
      </c>
      <c r="D7">
        <f ca="1">IFERROR(__xludf.DUMMYFUNCTION("""COMPUTED_VALUE"""),6)</f>
        <v>6</v>
      </c>
      <c r="E7">
        <f ca="1">IFERROR(__xludf.DUMMYFUNCTION("""COMPUTED_VALUE"""),80)</f>
        <v>80</v>
      </c>
      <c r="F7">
        <f ca="1">IFERROR(__xludf.DUMMYFUNCTION("""COMPUTED_VALUE"""),4)</f>
        <v>4</v>
      </c>
      <c r="G7">
        <f ca="1">IFERROR(__xludf.DUMMYFUNCTION("""COMPUTED_VALUE"""),5)</f>
        <v>5</v>
      </c>
    </row>
    <row r="8" spans="1:7" ht="15.75" customHeight="1">
      <c r="A8">
        <f ca="1">IFERROR(__xludf.DUMMYFUNCTION("""COMPUTED_VALUE"""),7)</f>
        <v>7</v>
      </c>
      <c r="B8" t="str">
        <f ca="1">IFERROR(__xludf.DUMMYFUNCTION("""COMPUTED_VALUE"""),"T5")</f>
        <v>T5</v>
      </c>
      <c r="C8" t="str">
        <f ca="1">IFERROR(__xludf.DUMMYFUNCTION("""COMPUTED_VALUE"""),"Russell Henley")</f>
        <v>Russell Henley</v>
      </c>
      <c r="D8">
        <f ca="1">IFERROR(__xludf.DUMMYFUNCTION("""COMPUTED_VALUE"""),16)</f>
        <v>16</v>
      </c>
      <c r="E8">
        <f ca="1">IFERROR(__xludf.DUMMYFUNCTION("""COMPUTED_VALUE"""),78.79)</f>
        <v>78.790000000000006</v>
      </c>
      <c r="F8">
        <f ca="1">IFERROR(__xludf.DUMMYFUNCTION("""COMPUTED_VALUE"""),26)</f>
        <v>26</v>
      </c>
      <c r="G8">
        <f ca="1">IFERROR(__xludf.DUMMYFUNCTION("""COMPUTED_VALUE"""),33)</f>
        <v>33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IFERROR(__xludf.DUMMYFUNCTION("""COMPUTED_VALUE"""),14)</f>
        <v>14</v>
      </c>
      <c r="C9" t="str">
        <f ca="1">IFERROR(__xludf.DUMMYFUNCTION("""COMPUTED_VALUE"""),"Tim Wilkinson")</f>
        <v>Tim Wilkinson</v>
      </c>
      <c r="D9">
        <f ca="1">IFERROR(__xludf.DUMMYFUNCTION("""COMPUTED_VALUE"""),12)</f>
        <v>12</v>
      </c>
      <c r="E9">
        <f ca="1">IFERROR(__xludf.DUMMYFUNCTION("""COMPUTED_VALUE"""),77.78)</f>
        <v>77.78</v>
      </c>
      <c r="F9">
        <f ca="1">IFERROR(__xludf.DUMMYFUNCTION("""COMPUTED_VALUE"""),21)</f>
        <v>21</v>
      </c>
      <c r="G9">
        <f ca="1">IFERROR(__xludf.DUMMYFUNCTION("""COMPUTED_VALUE"""),27)</f>
        <v>27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IFERROR(__xludf.DUMMYFUNCTION("""COMPUTED_VALUE"""),45)</f>
        <v>45</v>
      </c>
      <c r="C10" t="str">
        <f ca="1">IFERROR(__xludf.DUMMYFUNCTION("""COMPUTED_VALUE"""),"Talor Gooch")</f>
        <v>Talor Gooch</v>
      </c>
      <c r="D10">
        <f ca="1">IFERROR(__xludf.DUMMYFUNCTION("""COMPUTED_VALUE"""),20)</f>
        <v>20</v>
      </c>
      <c r="E10">
        <f ca="1">IFERROR(__xludf.DUMMYFUNCTION("""COMPUTED_VALUE"""),77.08)</f>
        <v>77.08</v>
      </c>
      <c r="F10">
        <f ca="1">IFERROR(__xludf.DUMMYFUNCTION("""COMPUTED_VALUE"""),37)</f>
        <v>37</v>
      </c>
      <c r="G10">
        <f ca="1">IFERROR(__xludf.DUMMYFUNCTION("""COMPUTED_VALUE"""),48)</f>
        <v>48</v>
      </c>
    </row>
    <row r="11" spans="1:7" ht="15.75" customHeight="1">
      <c r="A11" t="str">
        <f ca="1">IFERROR(__xludf.DUMMYFUNCTION("""COMPUTED_VALUE"""),"T10")</f>
        <v>T10</v>
      </c>
      <c r="B11" t="str">
        <f ca="1">IFERROR(__xludf.DUMMYFUNCTION("""COMPUTED_VALUE"""),"T16")</f>
        <v>T16</v>
      </c>
      <c r="C11" t="str">
        <f ca="1">IFERROR(__xludf.DUMMYFUNCTION("""COMPUTED_VALUE"""),"Dominic Bozzelli")</f>
        <v>Dominic Bozzelli</v>
      </c>
      <c r="D11">
        <f ca="1">IFERROR(__xludf.DUMMYFUNCTION("""COMPUTED_VALUE"""),8)</f>
        <v>8</v>
      </c>
      <c r="E11">
        <f ca="1">IFERROR(__xludf.DUMMYFUNCTION("""COMPUTED_VALUE"""),76.92)</f>
        <v>76.92</v>
      </c>
      <c r="F11">
        <f ca="1">IFERROR(__xludf.DUMMYFUNCTION("""COMPUTED_VALUE"""),10)</f>
        <v>10</v>
      </c>
      <c r="G11">
        <f ca="1">IFERROR(__xludf.DUMMYFUNCTION("""COMPUTED_VALUE"""),13)</f>
        <v>13</v>
      </c>
    </row>
    <row r="12" spans="1:7" ht="15.75" customHeight="1">
      <c r="A12" t="str">
        <f ca="1">IFERROR(__xludf.DUMMYFUNCTION("""COMPUTED_VALUE"""),"T10")</f>
        <v>T10</v>
      </c>
      <c r="B12" t="str">
        <f ca="1">IFERROR(__xludf.DUMMYFUNCTION("""COMPUTED_VALUE"""),"T16")</f>
        <v>T16</v>
      </c>
      <c r="C12" t="str">
        <f ca="1">IFERROR(__xludf.DUMMYFUNCTION("""COMPUTED_VALUE"""),"Brad Kennedy")</f>
        <v>Brad Kennedy</v>
      </c>
      <c r="D12">
        <f ca="1">IFERROR(__xludf.DUMMYFUNCTION("""COMPUTED_VALUE"""),4)</f>
        <v>4</v>
      </c>
      <c r="E12">
        <f ca="1">IFERROR(__xludf.DUMMYFUNCTION("""COMPUTED_VALUE"""),76.92)</f>
        <v>76.92</v>
      </c>
      <c r="F12">
        <f ca="1">IFERROR(__xludf.DUMMYFUNCTION("""COMPUTED_VALUE"""),10)</f>
        <v>10</v>
      </c>
      <c r="G12">
        <f ca="1">IFERROR(__xludf.DUMMYFUNCTION("""COMPUTED_VALUE"""),13)</f>
        <v>13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IFERROR(__xludf.DUMMYFUNCTION("""COMPUTED_VALUE"""),18)</f>
        <v>18</v>
      </c>
      <c r="C13" t="str">
        <f ca="1">IFERROR(__xludf.DUMMYFUNCTION("""COMPUTED_VALUE"""),"J.J. Spaun")</f>
        <v>J.J. Spaun</v>
      </c>
      <c r="D13">
        <f ca="1">IFERROR(__xludf.DUMMYFUNCTION("""COMPUTED_VALUE"""),10)</f>
        <v>10</v>
      </c>
      <c r="E13">
        <f ca="1">IFERROR(__xludf.DUMMYFUNCTION("""COMPUTED_VALUE"""),76.47)</f>
        <v>76.47</v>
      </c>
      <c r="F13">
        <f ca="1">IFERROR(__xludf.DUMMYFUNCTION("""COMPUTED_VALUE"""),13)</f>
        <v>13</v>
      </c>
      <c r="G13">
        <f ca="1">IFERROR(__xludf.DUMMYFUNCTION("""COMPUTED_VALUE"""),17)</f>
        <v>17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IFERROR(__xludf.DUMMYFUNCTION("""COMPUTED_VALUE"""),"T19")</f>
        <v>T19</v>
      </c>
      <c r="C14" t="str">
        <f ca="1">IFERROR(__xludf.DUMMYFUNCTION("""COMPUTED_VALUE"""),"Ryan Palmer")</f>
        <v>Ryan Palmer</v>
      </c>
      <c r="D14">
        <f ca="1">IFERROR(__xludf.DUMMYFUNCTION("""COMPUTED_VALUE"""),14)</f>
        <v>14</v>
      </c>
      <c r="E14">
        <f ca="1">IFERROR(__xludf.DUMMYFUNCTION("""COMPUTED_VALUE"""),76.19)</f>
        <v>76.19</v>
      </c>
      <c r="F14">
        <f ca="1">IFERROR(__xludf.DUMMYFUNCTION("""COMPUTED_VALUE"""),16)</f>
        <v>16</v>
      </c>
      <c r="G14">
        <f ca="1">IFERROR(__xludf.DUMMYFUNCTION("""COMPUTED_VALUE"""),21)</f>
        <v>21</v>
      </c>
    </row>
    <row r="15" spans="1:7" ht="15.75" customHeight="1">
      <c r="A15">
        <f ca="1">IFERROR(__xludf.DUMMYFUNCTION("""COMPUTED_VALUE"""),14)</f>
        <v>14</v>
      </c>
      <c r="B15" t="str">
        <f ca="1">IFERROR(__xludf.DUMMYFUNCTION("""COMPUTED_VALUE"""),"T9")</f>
        <v>T9</v>
      </c>
      <c r="C15" t="str">
        <f ca="1">IFERROR(__xludf.DUMMYFUNCTION("""COMPUTED_VALUE"""),"Graeme McDowell")</f>
        <v>Graeme McDowell</v>
      </c>
      <c r="D15">
        <f ca="1">IFERROR(__xludf.DUMMYFUNCTION("""COMPUTED_VALUE"""),8)</f>
        <v>8</v>
      </c>
      <c r="E15">
        <f ca="1">IFERROR(__xludf.DUMMYFUNCTION("""COMPUTED_VALUE"""),75.86)</f>
        <v>75.86</v>
      </c>
      <c r="F15">
        <f ca="1">IFERROR(__xludf.DUMMYFUNCTION("""COMPUTED_VALUE"""),22)</f>
        <v>22</v>
      </c>
      <c r="G15">
        <f ca="1">IFERROR(__xludf.DUMMYFUNCTION("""COMPUTED_VALUE"""),29)</f>
        <v>29</v>
      </c>
    </row>
    <row r="16" spans="1:7" ht="15.75" customHeight="1">
      <c r="A16" t="str">
        <f ca="1">IFERROR(__xludf.DUMMYFUNCTION("""COMPUTED_VALUE"""),"T15")</f>
        <v>T15</v>
      </c>
      <c r="B16" t="str">
        <f ca="1">IFERROR(__xludf.DUMMYFUNCTION("""COMPUTED_VALUE"""),"T21")</f>
        <v>T21</v>
      </c>
      <c r="C16" t="str">
        <f ca="1">IFERROR(__xludf.DUMMYFUNCTION("""COMPUTED_VALUE"""),"Charles Howell III")</f>
        <v>Charles Howell III</v>
      </c>
      <c r="D16">
        <f ca="1">IFERROR(__xludf.DUMMYFUNCTION("""COMPUTED_VALUE"""),10)</f>
        <v>10</v>
      </c>
      <c r="E16">
        <f ca="1">IFERROR(__xludf.DUMMYFUNCTION("""COMPUTED_VALUE"""),75)</f>
        <v>75</v>
      </c>
      <c r="F16">
        <f ca="1">IFERROR(__xludf.DUMMYFUNCTION("""COMPUTED_VALUE"""),18)</f>
        <v>18</v>
      </c>
      <c r="G16">
        <f ca="1">IFERROR(__xludf.DUMMYFUNCTION("""COMPUTED_VALUE"""),24)</f>
        <v>24</v>
      </c>
    </row>
    <row r="17" spans="1:7" ht="15.75" customHeight="1">
      <c r="A17" t="str">
        <f ca="1">IFERROR(__xludf.DUMMYFUNCTION("""COMPUTED_VALUE"""),"T15")</f>
        <v>T15</v>
      </c>
      <c r="B17" t="str">
        <f ca="1">IFERROR(__xludf.DUMMYFUNCTION("""COMPUTED_VALUE"""),"T21")</f>
        <v>T21</v>
      </c>
      <c r="C17" t="str">
        <f ca="1">IFERROR(__xludf.DUMMYFUNCTION("""COMPUTED_VALUE"""),"Chris Stroud")</f>
        <v>Chris Stroud</v>
      </c>
      <c r="D17">
        <f ca="1">IFERROR(__xludf.DUMMYFUNCTION("""COMPUTED_VALUE"""),6)</f>
        <v>6</v>
      </c>
      <c r="E17">
        <f ca="1">IFERROR(__xludf.DUMMYFUNCTION("""COMPUTED_VALUE"""),75)</f>
        <v>75</v>
      </c>
      <c r="F17">
        <f ca="1">IFERROR(__xludf.DUMMYFUNCTION("""COMPUTED_VALUE"""),12)</f>
        <v>12</v>
      </c>
      <c r="G17">
        <f ca="1">IFERROR(__xludf.DUMMYFUNCTION("""COMPUTED_VALUE"""),16)</f>
        <v>16</v>
      </c>
    </row>
    <row r="18" spans="1:7" ht="15.75" customHeight="1">
      <c r="A18" t="str">
        <f ca="1">IFERROR(__xludf.DUMMYFUNCTION("""COMPUTED_VALUE"""),"T15")</f>
        <v>T15</v>
      </c>
      <c r="B18" t="str">
        <f ca="1">IFERROR(__xludf.DUMMYFUNCTION("""COMPUTED_VALUE"""),"")</f>
        <v/>
      </c>
      <c r="C18" t="str">
        <f ca="1">IFERROR(__xludf.DUMMYFUNCTION("""COMPUTED_VALUE"""),"Erik Barnes")</f>
        <v>Erik Barnes</v>
      </c>
      <c r="D18">
        <f ca="1">IFERROR(__xludf.DUMMYFUNCTION("""COMPUTED_VALUE"""),4)</f>
        <v>4</v>
      </c>
      <c r="E18">
        <f ca="1">IFERROR(__xludf.DUMMYFUNCTION("""COMPUTED_VALUE"""),75)</f>
        <v>75</v>
      </c>
      <c r="F18">
        <f ca="1">IFERROR(__xludf.DUMMYFUNCTION("""COMPUTED_VALUE"""),15)</f>
        <v>15</v>
      </c>
      <c r="G18">
        <f ca="1">IFERROR(__xludf.DUMMYFUNCTION("""COMPUTED_VALUE"""),20)</f>
        <v>20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IFERROR(__xludf.DUMMYFUNCTION("""COMPUTED_VALUE"""),25)</f>
        <v>25</v>
      </c>
      <c r="C19" t="str">
        <f ca="1">IFERROR(__xludf.DUMMYFUNCTION("""COMPUTED_VALUE"""),"Anirban Lahiri")</f>
        <v>Anirban Lahiri</v>
      </c>
      <c r="D19">
        <f ca="1">IFERROR(__xludf.DUMMYFUNCTION("""COMPUTED_VALUE"""),16)</f>
        <v>16</v>
      </c>
      <c r="E19">
        <f ca="1">IFERROR(__xludf.DUMMYFUNCTION("""COMPUTED_VALUE"""),73.91)</f>
        <v>73.91</v>
      </c>
      <c r="F19">
        <f ca="1">IFERROR(__xludf.DUMMYFUNCTION("""COMPUTED_VALUE"""),17)</f>
        <v>17</v>
      </c>
      <c r="G19">
        <f ca="1">IFERROR(__xludf.DUMMYFUNCTION("""COMPUTED_VALUE"""),23)</f>
        <v>23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IFERROR(__xludf.DUMMYFUNCTION("""COMPUTED_VALUE"""),3)</f>
        <v>3</v>
      </c>
      <c r="C20" t="str">
        <f ca="1">IFERROR(__xludf.DUMMYFUNCTION("""COMPUTED_VALUE"""),"David Hearn")</f>
        <v>David Hearn</v>
      </c>
      <c r="D20">
        <f ca="1">IFERROR(__xludf.DUMMYFUNCTION("""COMPUTED_VALUE"""),16)</f>
        <v>16</v>
      </c>
      <c r="E20">
        <f ca="1">IFERROR(__xludf.DUMMYFUNCTION("""COMPUTED_VALUE"""),73.53)</f>
        <v>73.53</v>
      </c>
      <c r="F20">
        <f ca="1">IFERROR(__xludf.DUMMYFUNCTION("""COMPUTED_VALUE"""),25)</f>
        <v>25</v>
      </c>
      <c r="G20">
        <f ca="1">IFERROR(__xludf.DUMMYFUNCTION("""COMPUTED_VALUE"""),34)</f>
        <v>34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IFERROR(__xludf.DUMMYFUNCTION("""COMPUTED_VALUE"""),"T21")</f>
        <v>T21</v>
      </c>
      <c r="C21" t="str">
        <f ca="1">IFERROR(__xludf.DUMMYFUNCTION("""COMPUTED_VALUE"""),"Si Woo Kim")</f>
        <v>Si Woo Kim</v>
      </c>
      <c r="D21">
        <f ca="1">IFERROR(__xludf.DUMMYFUNCTION("""COMPUTED_VALUE"""),20)</f>
        <v>20</v>
      </c>
      <c r="E21">
        <f ca="1">IFERROR(__xludf.DUMMYFUNCTION("""COMPUTED_VALUE"""),73.47)</f>
        <v>73.47</v>
      </c>
      <c r="F21">
        <f ca="1">IFERROR(__xludf.DUMMYFUNCTION("""COMPUTED_VALUE"""),36)</f>
        <v>36</v>
      </c>
      <c r="G21">
        <f ca="1">IFERROR(__xludf.DUMMYFUNCTION("""COMPUTED_VALUE"""),49)</f>
        <v>49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IFERROR(__xludf.DUMMYFUNCTION("""COMPUTED_VALUE"""),"T27")</f>
        <v>T27</v>
      </c>
      <c r="C22" t="str">
        <f ca="1">IFERROR(__xludf.DUMMYFUNCTION("""COMPUTED_VALUE"""),"Doug Ghim")</f>
        <v>Doug Ghim</v>
      </c>
      <c r="D22">
        <f ca="1">IFERROR(__xludf.DUMMYFUNCTION("""COMPUTED_VALUE"""),14)</f>
        <v>14</v>
      </c>
      <c r="E22">
        <f ca="1">IFERROR(__xludf.DUMMYFUNCTION("""COMPUTED_VALUE"""),73.33)</f>
        <v>73.33</v>
      </c>
      <c r="F22">
        <f ca="1">IFERROR(__xludf.DUMMYFUNCTION("""COMPUTED_VALUE"""),11)</f>
        <v>11</v>
      </c>
      <c r="G22">
        <f ca="1">IFERROR(__xludf.DUMMYFUNCTION("""COMPUTED_VALUE"""),15)</f>
        <v>15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IFERROR(__xludf.DUMMYFUNCTION("""COMPUTED_VALUE"""),"T27")</f>
        <v>T27</v>
      </c>
      <c r="C23" t="str">
        <f ca="1">IFERROR(__xludf.DUMMYFUNCTION("""COMPUTED_VALUE"""),"Michael Gligic")</f>
        <v>Michael Gligic</v>
      </c>
      <c r="D23">
        <f ca="1">IFERROR(__xludf.DUMMYFUNCTION("""COMPUTED_VALUE"""),18)</f>
        <v>18</v>
      </c>
      <c r="E23">
        <f ca="1">IFERROR(__xludf.DUMMYFUNCTION("""COMPUTED_VALUE"""),73.33)</f>
        <v>73.33</v>
      </c>
      <c r="F23">
        <f ca="1">IFERROR(__xludf.DUMMYFUNCTION("""COMPUTED_VALUE"""),22)</f>
        <v>22</v>
      </c>
      <c r="G23">
        <f ca="1">IFERROR(__xludf.DUMMYFUNCTION("""COMPUTED_VALUE"""),30)</f>
        <v>30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IFERROR(__xludf.DUMMYFUNCTION("""COMPUTED_VALUE"""),12)</f>
        <v>12</v>
      </c>
      <c r="C24" t="str">
        <f ca="1">IFERROR(__xludf.DUMMYFUNCTION("""COMPUTED_VALUE"""),"Scott Stallings")</f>
        <v>Scott Stallings</v>
      </c>
      <c r="D24">
        <f ca="1">IFERROR(__xludf.DUMMYFUNCTION("""COMPUTED_VALUE"""),14)</f>
        <v>14</v>
      </c>
      <c r="E24">
        <f ca="1">IFERROR(__xludf.DUMMYFUNCTION("""COMPUTED_VALUE"""),73.08)</f>
        <v>73.08</v>
      </c>
      <c r="F24">
        <f ca="1">IFERROR(__xludf.DUMMYFUNCTION("""COMPUTED_VALUE"""),19)</f>
        <v>19</v>
      </c>
      <c r="G24">
        <f ca="1">IFERROR(__xludf.DUMMYFUNCTION("""COMPUTED_VALUE"""),26)</f>
        <v>26</v>
      </c>
    </row>
    <row r="25" spans="1:7" ht="15.75" customHeight="1">
      <c r="A25" t="str">
        <f ca="1">IFERROR(__xludf.DUMMYFUNCTION("""COMPUTED_VALUE"""),"T24")</f>
        <v>T24</v>
      </c>
      <c r="B25" t="str">
        <f ca="1">IFERROR(__xludf.DUMMYFUNCTION("""COMPUTED_VALUE"""),"T19")</f>
        <v>T19</v>
      </c>
      <c r="C25" t="str">
        <f ca="1">IFERROR(__xludf.DUMMYFUNCTION("""COMPUTED_VALUE"""),"Xinjun Zhang")</f>
        <v>Xinjun Zhang</v>
      </c>
      <c r="D25">
        <f ca="1">IFERROR(__xludf.DUMMYFUNCTION("""COMPUTED_VALUE"""),14)</f>
        <v>14</v>
      </c>
      <c r="E25">
        <f ca="1">IFERROR(__xludf.DUMMYFUNCTION("""COMPUTED_VALUE"""),72.73)</f>
        <v>72.73</v>
      </c>
      <c r="F25">
        <f ca="1">IFERROR(__xludf.DUMMYFUNCTION("""COMPUTED_VALUE"""),24)</f>
        <v>24</v>
      </c>
      <c r="G25">
        <f ca="1">IFERROR(__xludf.DUMMYFUNCTION("""COMPUTED_VALUE"""),33)</f>
        <v>33</v>
      </c>
    </row>
    <row r="26" spans="1:7" ht="15.75" customHeight="1">
      <c r="A26" t="str">
        <f ca="1">IFERROR(__xludf.DUMMYFUNCTION("""COMPUTED_VALUE"""),"T24")</f>
        <v>T24</v>
      </c>
      <c r="B26">
        <f ca="1">IFERROR(__xludf.DUMMYFUNCTION("""COMPUTED_VALUE"""),29)</f>
        <v>29</v>
      </c>
      <c r="C26" t="str">
        <f ca="1">IFERROR(__xludf.DUMMYFUNCTION("""COMPUTED_VALUE"""),"Jay McLuen")</f>
        <v>Jay McLuen</v>
      </c>
      <c r="D26">
        <f ca="1">IFERROR(__xludf.DUMMYFUNCTION("""COMPUTED_VALUE"""),4)</f>
        <v>4</v>
      </c>
      <c r="E26">
        <f ca="1">IFERROR(__xludf.DUMMYFUNCTION("""COMPUTED_VALUE"""),72.73)</f>
        <v>72.73</v>
      </c>
      <c r="F26">
        <f ca="1">IFERROR(__xludf.DUMMYFUNCTION("""COMPUTED_VALUE"""),8)</f>
        <v>8</v>
      </c>
      <c r="G26">
        <f ca="1">IFERROR(__xludf.DUMMYFUNCTION("""COMPUTED_VALUE"""),11)</f>
        <v>11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IFERROR(__xludf.DUMMYFUNCTION("""COMPUTED_VALUE"""),13)</f>
        <v>13</v>
      </c>
      <c r="C27" t="str">
        <f ca="1">IFERROR(__xludf.DUMMYFUNCTION("""COMPUTED_VALUE"""),"Adam Schenk")</f>
        <v>Adam Schenk</v>
      </c>
      <c r="D27">
        <f ca="1">IFERROR(__xludf.DUMMYFUNCTION("""COMPUTED_VALUE"""),22)</f>
        <v>22</v>
      </c>
      <c r="E27">
        <f ca="1">IFERROR(__xludf.DUMMYFUNCTION("""COMPUTED_VALUE"""),72.22)</f>
        <v>72.22</v>
      </c>
      <c r="F27">
        <f ca="1">IFERROR(__xludf.DUMMYFUNCTION("""COMPUTED_VALUE"""),26)</f>
        <v>26</v>
      </c>
      <c r="G27">
        <f ca="1">IFERROR(__xludf.DUMMYFUNCTION("""COMPUTED_VALUE"""),36)</f>
        <v>36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IFERROR(__xludf.DUMMYFUNCTION("""COMPUTED_VALUE"""),"T49")</f>
        <v>T49</v>
      </c>
      <c r="C28" t="str">
        <f ca="1">IFERROR(__xludf.DUMMYFUNCTION("""COMPUTED_VALUE"""),"Fabián Gómez")</f>
        <v>Fabián Gómez</v>
      </c>
      <c r="D28">
        <f ca="1">IFERROR(__xludf.DUMMYFUNCTION("""COMPUTED_VALUE"""),16)</f>
        <v>16</v>
      </c>
      <c r="E28">
        <f ca="1">IFERROR(__xludf.DUMMYFUNCTION("""COMPUTED_VALUE"""),71.79)</f>
        <v>71.790000000000006</v>
      </c>
      <c r="F28">
        <f ca="1">IFERROR(__xludf.DUMMYFUNCTION("""COMPUTED_VALUE"""),28)</f>
        <v>28</v>
      </c>
      <c r="G28">
        <f ca="1">IFERROR(__xludf.DUMMYFUNCTION("""COMPUTED_VALUE"""),39)</f>
        <v>39</v>
      </c>
    </row>
    <row r="29" spans="1:7" ht="15.75" customHeight="1">
      <c r="A29" t="str">
        <f ca="1">IFERROR(__xludf.DUMMYFUNCTION("""COMPUTED_VALUE"""),"T28")</f>
        <v>T28</v>
      </c>
      <c r="B29" t="str">
        <f ca="1">IFERROR(__xludf.DUMMYFUNCTION("""COMPUTED_VALUE"""),"T32")</f>
        <v>T32</v>
      </c>
      <c r="C29" t="str">
        <f ca="1">IFERROR(__xludf.DUMMYFUNCTION("""COMPUTED_VALUE"""),"Webb Simpson")</f>
        <v>Webb Simpson</v>
      </c>
      <c r="D29">
        <f ca="1">IFERROR(__xludf.DUMMYFUNCTION("""COMPUTED_VALUE"""),12)</f>
        <v>12</v>
      </c>
      <c r="E29">
        <f ca="1">IFERROR(__xludf.DUMMYFUNCTION("""COMPUTED_VALUE"""),71.43)</f>
        <v>71.430000000000007</v>
      </c>
      <c r="F29">
        <f ca="1">IFERROR(__xludf.DUMMYFUNCTION("""COMPUTED_VALUE"""),15)</f>
        <v>15</v>
      </c>
      <c r="G29">
        <f ca="1">IFERROR(__xludf.DUMMYFUNCTION("""COMPUTED_VALUE"""),21)</f>
        <v>21</v>
      </c>
    </row>
    <row r="30" spans="1:7" ht="15.75" customHeight="1">
      <c r="A30" t="str">
        <f ca="1">IFERROR(__xludf.DUMMYFUNCTION("""COMPUTED_VALUE"""),"T28")</f>
        <v>T28</v>
      </c>
      <c r="B30" t="str">
        <f ca="1">IFERROR(__xludf.DUMMYFUNCTION("""COMPUTED_VALUE"""),"T32")</f>
        <v>T32</v>
      </c>
      <c r="C30" t="str">
        <f ca="1">IFERROR(__xludf.DUMMYFUNCTION("""COMPUTED_VALUE"""),"Chase Seiffert")</f>
        <v>Chase Seiffert</v>
      </c>
      <c r="D30">
        <f ca="1">IFERROR(__xludf.DUMMYFUNCTION("""COMPUTED_VALUE"""),14)</f>
        <v>14</v>
      </c>
      <c r="E30">
        <f ca="1">IFERROR(__xludf.DUMMYFUNCTION("""COMPUTED_VALUE"""),71.43)</f>
        <v>71.430000000000007</v>
      </c>
      <c r="F30">
        <f ca="1">IFERROR(__xludf.DUMMYFUNCTION("""COMPUTED_VALUE"""),15)</f>
        <v>15</v>
      </c>
      <c r="G30">
        <f ca="1">IFERROR(__xludf.DUMMYFUNCTION("""COMPUTED_VALUE"""),21)</f>
        <v>21</v>
      </c>
    </row>
    <row r="31" spans="1:7" ht="12.75">
      <c r="A31">
        <f ca="1">IFERROR(__xludf.DUMMYFUNCTION("""COMPUTED_VALUE"""),30)</f>
        <v>30</v>
      </c>
      <c r="B31" t="str">
        <f ca="1">IFERROR(__xludf.DUMMYFUNCTION("""COMPUTED_VALUE"""),"T99")</f>
        <v>T99</v>
      </c>
      <c r="C31" t="str">
        <f ca="1">IFERROR(__xludf.DUMMYFUNCTION("""COMPUTED_VALUE"""),"Lee Westwood")</f>
        <v>Lee Westwood</v>
      </c>
      <c r="D31">
        <f ca="1">IFERROR(__xludf.DUMMYFUNCTION("""COMPUTED_VALUE"""),6)</f>
        <v>6</v>
      </c>
      <c r="E31">
        <f ca="1">IFERROR(__xludf.DUMMYFUNCTION("""COMPUTED_VALUE"""),70.83)</f>
        <v>70.83</v>
      </c>
      <c r="F31">
        <f ca="1">IFERROR(__xludf.DUMMYFUNCTION("""COMPUTED_VALUE"""),17)</f>
        <v>17</v>
      </c>
      <c r="G31">
        <f ca="1">IFERROR(__xludf.DUMMYFUNCTION("""COMPUTED_VALUE"""),24)</f>
        <v>24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IFERROR(__xludf.DUMMYFUNCTION("""COMPUTED_VALUE"""),35)</f>
        <v>35</v>
      </c>
      <c r="C32" t="str">
        <f ca="1">IFERROR(__xludf.DUMMYFUNCTION("""COMPUTED_VALUE"""),"Jonathan Byrd")</f>
        <v>Jonathan Byrd</v>
      </c>
      <c r="D32">
        <f ca="1">IFERROR(__xludf.DUMMYFUNCTION("""COMPUTED_VALUE"""),14)</f>
        <v>14</v>
      </c>
      <c r="E32">
        <f ca="1">IFERROR(__xludf.DUMMYFUNCTION("""COMPUTED_VALUE"""),70.59)</f>
        <v>70.59</v>
      </c>
      <c r="F32">
        <f ca="1">IFERROR(__xludf.DUMMYFUNCTION("""COMPUTED_VALUE"""),12)</f>
        <v>12</v>
      </c>
      <c r="G32">
        <f ca="1">IFERROR(__xludf.DUMMYFUNCTION("""COMPUTED_VALUE"""),17)</f>
        <v>17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IFERROR(__xludf.DUMMYFUNCTION("""COMPUTED_VALUE"""),53)</f>
        <v>53</v>
      </c>
      <c r="C33" t="str">
        <f ca="1">IFERROR(__xludf.DUMMYFUNCTION("""COMPUTED_VALUE"""),"Matt Jones")</f>
        <v>Matt Jones</v>
      </c>
      <c r="D33">
        <f ca="1">IFERROR(__xludf.DUMMYFUNCTION("""COMPUTED_VALUE"""),20)</f>
        <v>20</v>
      </c>
      <c r="E33">
        <f ca="1">IFERROR(__xludf.DUMMYFUNCTION("""COMPUTED_VALUE"""),70.45)</f>
        <v>70.45</v>
      </c>
      <c r="F33">
        <f ca="1">IFERROR(__xludf.DUMMYFUNCTION("""COMPUTED_VALUE"""),31)</f>
        <v>31</v>
      </c>
      <c r="G33">
        <f ca="1">IFERROR(__xludf.DUMMYFUNCTION("""COMPUTED_VALUE"""),44)</f>
        <v>44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IFERROR(__xludf.DUMMYFUNCTION("""COMPUTED_VALUE"""),37)</f>
        <v>37</v>
      </c>
      <c r="C34" t="str">
        <f ca="1">IFERROR(__xludf.DUMMYFUNCTION("""COMPUTED_VALUE"""),"Joaquin Niemann")</f>
        <v>Joaquin Niemann</v>
      </c>
      <c r="D34">
        <f ca="1">IFERROR(__xludf.DUMMYFUNCTION("""COMPUTED_VALUE"""),16)</f>
        <v>16</v>
      </c>
      <c r="E34">
        <f ca="1">IFERROR(__xludf.DUMMYFUNCTION("""COMPUTED_VALUE"""),70.27)</f>
        <v>70.27</v>
      </c>
      <c r="F34">
        <f ca="1">IFERROR(__xludf.DUMMYFUNCTION("""COMPUTED_VALUE"""),26)</f>
        <v>26</v>
      </c>
      <c r="G34">
        <f ca="1">IFERROR(__xludf.DUMMYFUNCTION("""COMPUTED_VALUE"""),37)</f>
        <v>37</v>
      </c>
    </row>
    <row r="35" spans="1:7" ht="12.75">
      <c r="A35" t="str">
        <f ca="1">IFERROR(__xludf.DUMMYFUNCTION("""COMPUTED_VALUE"""),"T34")</f>
        <v>T34</v>
      </c>
      <c r="B35" t="str">
        <f ca="1">IFERROR(__xludf.DUMMYFUNCTION("""COMPUTED_VALUE"""),"T38")</f>
        <v>T38</v>
      </c>
      <c r="C35" t="str">
        <f ca="1">IFERROR(__xludf.DUMMYFUNCTION("""COMPUTED_VALUE"""),"Robert MacIntyre")</f>
        <v>Robert MacIntyre</v>
      </c>
      <c r="D35">
        <f ca="1">IFERROR(__xludf.DUMMYFUNCTION("""COMPUTED_VALUE"""),4)</f>
        <v>4</v>
      </c>
      <c r="E35">
        <f ca="1">IFERROR(__xludf.DUMMYFUNCTION("""COMPUTED_VALUE"""),70)</f>
        <v>70</v>
      </c>
      <c r="F35">
        <f ca="1">IFERROR(__xludf.DUMMYFUNCTION("""COMPUTED_VALUE"""),7)</f>
        <v>7</v>
      </c>
      <c r="G35">
        <f ca="1">IFERROR(__xludf.DUMMYFUNCTION("""COMPUTED_VALUE"""),10)</f>
        <v>10</v>
      </c>
    </row>
    <row r="36" spans="1:7" ht="12.75">
      <c r="A36" t="str">
        <f ca="1">IFERROR(__xludf.DUMMYFUNCTION("""COMPUTED_VALUE"""),"T34")</f>
        <v>T34</v>
      </c>
      <c r="B36" t="str">
        <f ca="1">IFERROR(__xludf.DUMMYFUNCTION("""COMPUTED_VALUE"""),"T38")</f>
        <v>T38</v>
      </c>
      <c r="C36" t="str">
        <f ca="1">IFERROR(__xludf.DUMMYFUNCTION("""COMPUTED_VALUE"""),"Peter Malnati")</f>
        <v>Peter Malnati</v>
      </c>
      <c r="D36">
        <f ca="1">IFERROR(__xludf.DUMMYFUNCTION("""COMPUTED_VALUE"""),18)</f>
        <v>18</v>
      </c>
      <c r="E36">
        <f ca="1">IFERROR(__xludf.DUMMYFUNCTION("""COMPUTED_VALUE"""),70)</f>
        <v>70</v>
      </c>
      <c r="F36">
        <f ca="1">IFERROR(__xludf.DUMMYFUNCTION("""COMPUTED_VALUE"""),21)</f>
        <v>21</v>
      </c>
      <c r="G36">
        <f ca="1">IFERROR(__xludf.DUMMYFUNCTION("""COMPUTED_VALUE"""),30)</f>
        <v>30</v>
      </c>
    </row>
    <row r="37" spans="1:7" ht="12.75">
      <c r="A37" t="str">
        <f ca="1">IFERROR(__xludf.DUMMYFUNCTION("""COMPUTED_VALUE"""),"T34")</f>
        <v>T34</v>
      </c>
      <c r="B37">
        <f ca="1">IFERROR(__xludf.DUMMYFUNCTION("""COMPUTED_VALUE"""),26)</f>
        <v>26</v>
      </c>
      <c r="C37" t="str">
        <f ca="1">IFERROR(__xludf.DUMMYFUNCTION("""COMPUTED_VALUE"""),"Beau Hossler")</f>
        <v>Beau Hossler</v>
      </c>
      <c r="D37">
        <f ca="1">IFERROR(__xludf.DUMMYFUNCTION("""COMPUTED_VALUE"""),22)</f>
        <v>22</v>
      </c>
      <c r="E37">
        <f ca="1">IFERROR(__xludf.DUMMYFUNCTION("""COMPUTED_VALUE"""),70)</f>
        <v>70</v>
      </c>
      <c r="F37">
        <f ca="1">IFERROR(__xludf.DUMMYFUNCTION("""COMPUTED_VALUE"""),28)</f>
        <v>28</v>
      </c>
      <c r="G37">
        <f ca="1">IFERROR(__xludf.DUMMYFUNCTION("""COMPUTED_VALUE"""),40)</f>
        <v>40</v>
      </c>
    </row>
    <row r="38" spans="1:7" ht="12.75">
      <c r="A38" t="str">
        <f ca="1">IFERROR(__xludf.DUMMYFUNCTION("""COMPUTED_VALUE"""),"T34")</f>
        <v>T34</v>
      </c>
      <c r="B38" t="str">
        <f ca="1">IFERROR(__xludf.DUMMYFUNCTION("""COMPUTED_VALUE"""),"T38")</f>
        <v>T38</v>
      </c>
      <c r="C38" t="str">
        <f ca="1">IFERROR(__xludf.DUMMYFUNCTION("""COMPUTED_VALUE"""),"Gunn Charoenkul")</f>
        <v>Gunn Charoenkul</v>
      </c>
      <c r="D38">
        <f ca="1">IFERROR(__xludf.DUMMYFUNCTION("""COMPUTED_VALUE"""),4)</f>
        <v>4</v>
      </c>
      <c r="E38">
        <f ca="1">IFERROR(__xludf.DUMMYFUNCTION("""COMPUTED_VALUE"""),70)</f>
        <v>70</v>
      </c>
      <c r="F38">
        <f ca="1">IFERROR(__xludf.DUMMYFUNCTION("""COMPUTED_VALUE"""),7)</f>
        <v>7</v>
      </c>
      <c r="G38">
        <f ca="1">IFERROR(__xludf.DUMMYFUNCTION("""COMPUTED_VALUE"""),10)</f>
        <v>10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IFERROR(__xludf.DUMMYFUNCTION("""COMPUTED_VALUE"""),8)</f>
        <v>8</v>
      </c>
      <c r="C39" t="str">
        <f ca="1">IFERROR(__xludf.DUMMYFUNCTION("""COMPUTED_VALUE"""),"Cameron Davis")</f>
        <v>Cameron Davis</v>
      </c>
      <c r="D39">
        <f ca="1">IFERROR(__xludf.DUMMYFUNCTION("""COMPUTED_VALUE"""),16)</f>
        <v>16</v>
      </c>
      <c r="E39">
        <f ca="1">IFERROR(__xludf.DUMMYFUNCTION("""COMPUTED_VALUE"""),69.77)</f>
        <v>69.77</v>
      </c>
      <c r="F39">
        <f ca="1">IFERROR(__xludf.DUMMYFUNCTION("""COMPUTED_VALUE"""),30)</f>
        <v>30</v>
      </c>
      <c r="G39">
        <f ca="1">IFERROR(__xludf.DUMMYFUNCTION("""COMPUTED_VALUE"""),43)</f>
        <v>43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IFERROR(__xludf.DUMMYFUNCTION("""COMPUTED_VALUE"""),42)</f>
        <v>42</v>
      </c>
      <c r="C40" t="str">
        <f ca="1">IFERROR(__xludf.DUMMYFUNCTION("""COMPUTED_VALUE"""),"Roger Sloan")</f>
        <v>Roger Sloan</v>
      </c>
      <c r="D40">
        <f ca="1">IFERROR(__xludf.DUMMYFUNCTION("""COMPUTED_VALUE"""),12)</f>
        <v>12</v>
      </c>
      <c r="E40">
        <f ca="1">IFERROR(__xludf.DUMMYFUNCTION("""COMPUTED_VALUE"""),69.57)</f>
        <v>69.569999999999993</v>
      </c>
      <c r="F40">
        <f ca="1">IFERROR(__xludf.DUMMYFUNCTION("""COMPUTED_VALUE"""),16)</f>
        <v>16</v>
      </c>
      <c r="G40">
        <f ca="1">IFERROR(__xludf.DUMMYFUNCTION("""COMPUTED_VALUE"""),23)</f>
        <v>23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IFERROR(__xludf.DUMMYFUNCTION("""COMPUTED_VALUE"""),"T43")</f>
        <v>T43</v>
      </c>
      <c r="C41" t="str">
        <f ca="1">IFERROR(__xludf.DUMMYFUNCTION("""COMPUTED_VALUE"""),"Mark Anderson")</f>
        <v>Mark Anderson</v>
      </c>
      <c r="D41">
        <f ca="1">IFERROR(__xludf.DUMMYFUNCTION("""COMPUTED_VALUE"""),14)</f>
        <v>14</v>
      </c>
      <c r="E41">
        <f ca="1">IFERROR(__xludf.DUMMYFUNCTION("""COMPUTED_VALUE"""),69.23)</f>
        <v>69.23</v>
      </c>
      <c r="F41">
        <f ca="1">IFERROR(__xludf.DUMMYFUNCTION("""COMPUTED_VALUE"""),9)</f>
        <v>9</v>
      </c>
      <c r="G41">
        <f ca="1">IFERROR(__xludf.DUMMYFUNCTION("""COMPUTED_VALUE"""),13)</f>
        <v>13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IFERROR(__xludf.DUMMYFUNCTION("""COMPUTED_VALUE"""),36)</f>
        <v>36</v>
      </c>
      <c r="C42" t="str">
        <f ca="1">IFERROR(__xludf.DUMMYFUNCTION("""COMPUTED_VALUE"""),"Jamie Lovemark")</f>
        <v>Jamie Lovemark</v>
      </c>
      <c r="D42">
        <f ca="1">IFERROR(__xludf.DUMMYFUNCTION("""COMPUTED_VALUE"""),18)</f>
        <v>18</v>
      </c>
      <c r="E42">
        <f ca="1">IFERROR(__xludf.DUMMYFUNCTION("""COMPUTED_VALUE"""),68.89)</f>
        <v>68.89</v>
      </c>
      <c r="F42">
        <f ca="1">IFERROR(__xludf.DUMMYFUNCTION("""COMPUTED_VALUE"""),31)</f>
        <v>31</v>
      </c>
      <c r="G42">
        <f ca="1">IFERROR(__xludf.DUMMYFUNCTION("""COMPUTED_VALUE"""),45)</f>
        <v>45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IFERROR(__xludf.DUMMYFUNCTION("""COMPUTED_VALUE"""),"T46")</f>
        <v>T46</v>
      </c>
      <c r="C43" t="str">
        <f ca="1">IFERROR(__xludf.DUMMYFUNCTION("""COMPUTED_VALUE"""),"Collin Morikawa")</f>
        <v>Collin Morikawa</v>
      </c>
      <c r="D43">
        <f ca="1">IFERROR(__xludf.DUMMYFUNCTION("""COMPUTED_VALUE"""),12)</f>
        <v>12</v>
      </c>
      <c r="E43">
        <f ca="1">IFERROR(__xludf.DUMMYFUNCTION("""COMPUTED_VALUE"""),68.75)</f>
        <v>68.75</v>
      </c>
      <c r="F43">
        <f ca="1">IFERROR(__xludf.DUMMYFUNCTION("""COMPUTED_VALUE"""),11)</f>
        <v>11</v>
      </c>
      <c r="G43">
        <f ca="1">IFERROR(__xludf.DUMMYFUNCTION("""COMPUTED_VALUE"""),16)</f>
        <v>16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IFERROR(__xludf.DUMMYFUNCTION("""COMPUTED_VALUE"""),"T172")</f>
        <v>T172</v>
      </c>
      <c r="C44" t="str">
        <f ca="1">IFERROR(__xludf.DUMMYFUNCTION("""COMPUTED_VALUE"""),"Russell Knox")</f>
        <v>Russell Knox</v>
      </c>
      <c r="D44">
        <f ca="1">IFERROR(__xludf.DUMMYFUNCTION("""COMPUTED_VALUE"""),16)</f>
        <v>16</v>
      </c>
      <c r="E44">
        <f ca="1">IFERROR(__xludf.DUMMYFUNCTION("""COMPUTED_VALUE"""),67.86)</f>
        <v>67.86</v>
      </c>
      <c r="F44">
        <f ca="1">IFERROR(__xludf.DUMMYFUNCTION("""COMPUTED_VALUE"""),19)</f>
        <v>19</v>
      </c>
      <c r="G44">
        <f ca="1">IFERROR(__xludf.DUMMYFUNCTION("""COMPUTED_VALUE"""),28)</f>
        <v>28</v>
      </c>
    </row>
    <row r="45" spans="1:7" ht="12.75">
      <c r="A45" t="str">
        <f ca="1">IFERROR(__xludf.DUMMYFUNCTION("""COMPUTED_VALUE"""),"T43")</f>
        <v>T43</v>
      </c>
      <c r="B45">
        <f ca="1">IFERROR(__xludf.DUMMYFUNCTION("""COMPUTED_VALUE"""),31)</f>
        <v>31</v>
      </c>
      <c r="C45" t="str">
        <f ca="1">IFERROR(__xludf.DUMMYFUNCTION("""COMPUTED_VALUE"""),"Tom Hoge")</f>
        <v>Tom Hoge</v>
      </c>
      <c r="D45">
        <f ca="1">IFERROR(__xludf.DUMMYFUNCTION("""COMPUTED_VALUE"""),22)</f>
        <v>22</v>
      </c>
      <c r="E45">
        <f ca="1">IFERROR(__xludf.DUMMYFUNCTION("""COMPUTED_VALUE"""),67.86)</f>
        <v>67.86</v>
      </c>
      <c r="F45">
        <f ca="1">IFERROR(__xludf.DUMMYFUNCTION("""COMPUTED_VALUE"""),38)</f>
        <v>38</v>
      </c>
      <c r="G45">
        <f ca="1">IFERROR(__xludf.DUMMYFUNCTION("""COMPUTED_VALUE"""),56)</f>
        <v>56</v>
      </c>
    </row>
    <row r="46" spans="1:7" ht="12.75">
      <c r="A46">
        <f ca="1">IFERROR(__xludf.DUMMYFUNCTION("""COMPUTED_VALUE"""),45)</f>
        <v>45</v>
      </c>
      <c r="B46" t="str">
        <f ca="1">IFERROR(__xludf.DUMMYFUNCTION("""COMPUTED_VALUE"""),"T85")</f>
        <v>T85</v>
      </c>
      <c r="C46" t="str">
        <f ca="1">IFERROR(__xludf.DUMMYFUNCTION("""COMPUTED_VALUE"""),"Scott Piercy")</f>
        <v>Scott Piercy</v>
      </c>
      <c r="D46">
        <f ca="1">IFERROR(__xludf.DUMMYFUNCTION("""COMPUTED_VALUE"""),18)</f>
        <v>18</v>
      </c>
      <c r="E46">
        <f ca="1">IFERROR(__xludf.DUMMYFUNCTION("""COMPUTED_VALUE"""),67.57)</f>
        <v>67.569999999999993</v>
      </c>
      <c r="F46">
        <f ca="1">IFERROR(__xludf.DUMMYFUNCTION("""COMPUTED_VALUE"""),25)</f>
        <v>25</v>
      </c>
      <c r="G46">
        <f ca="1">IFERROR(__xludf.DUMMYFUNCTION("""COMPUTED_VALUE"""),37)</f>
        <v>37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IFERROR(__xludf.DUMMYFUNCTION("""COMPUTED_VALUE"""),30)</f>
        <v>30</v>
      </c>
      <c r="C47" t="str">
        <f ca="1">IFERROR(__xludf.DUMMYFUNCTION("""COMPUTED_VALUE"""),"Andrew Putnam")</f>
        <v>Andrew Putnam</v>
      </c>
      <c r="D47">
        <f ca="1">IFERROR(__xludf.DUMMYFUNCTION("""COMPUTED_VALUE"""),19)</f>
        <v>19</v>
      </c>
      <c r="E47">
        <f ca="1">IFERROR(__xludf.DUMMYFUNCTION("""COMPUTED_VALUE"""),67.5)</f>
        <v>67.5</v>
      </c>
      <c r="F47">
        <f ca="1">IFERROR(__xludf.DUMMYFUNCTION("""COMPUTED_VALUE"""),27)</f>
        <v>27</v>
      </c>
      <c r="G47">
        <f ca="1">IFERROR(__xludf.DUMMYFUNCTION("""COMPUTED_VALUE"""),40)</f>
        <v>40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IFERROR(__xludf.DUMMYFUNCTION("""COMPUTED_VALUE"""),"T55")</f>
        <v>T55</v>
      </c>
      <c r="C48" t="str">
        <f ca="1">IFERROR(__xludf.DUMMYFUNCTION("""COMPUTED_VALUE"""),"Thomas Pieters")</f>
        <v>Thomas Pieters</v>
      </c>
      <c r="D48">
        <f ca="1">IFERROR(__xludf.DUMMYFUNCTION("""COMPUTED_VALUE"""),4)</f>
        <v>4</v>
      </c>
      <c r="E48">
        <f ca="1">IFERROR(__xludf.DUMMYFUNCTION("""COMPUTED_VALUE"""),66.67)</f>
        <v>66.67</v>
      </c>
      <c r="F48">
        <f ca="1">IFERROR(__xludf.DUMMYFUNCTION("""COMPUTED_VALUE"""),2)</f>
        <v>2</v>
      </c>
      <c r="G48">
        <f ca="1">IFERROR(__xludf.DUMMYFUNCTION("""COMPUTED_VALUE"""),3)</f>
        <v>3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IFERROR(__xludf.DUMMYFUNCTION("""COMPUTED_VALUE"""),"T55")</f>
        <v>T55</v>
      </c>
      <c r="C49" t="str">
        <f ca="1">IFERROR(__xludf.DUMMYFUNCTION("""COMPUTED_VALUE"""),"Cameron Smith")</f>
        <v>Cameron Smith</v>
      </c>
      <c r="D49">
        <f ca="1">IFERROR(__xludf.DUMMYFUNCTION("""COMPUTED_VALUE"""),16)</f>
        <v>16</v>
      </c>
      <c r="E49">
        <f ca="1">IFERROR(__xludf.DUMMYFUNCTION("""COMPUTED_VALUE"""),66.67)</f>
        <v>66.67</v>
      </c>
      <c r="F49">
        <f ca="1">IFERROR(__xludf.DUMMYFUNCTION("""COMPUTED_VALUE"""),18)</f>
        <v>18</v>
      </c>
      <c r="G49">
        <f ca="1">IFERROR(__xludf.DUMMYFUNCTION("""COMPUTED_VALUE"""),27)</f>
        <v>27</v>
      </c>
    </row>
    <row r="50" spans="1:7" ht="12.75">
      <c r="A50" t="str">
        <f ca="1">IFERROR(__xludf.DUMMYFUNCTION("""COMPUTED_VALUE"""),"T47")</f>
        <v>T47</v>
      </c>
      <c r="B50" t="str">
        <f ca="1">IFERROR(__xludf.DUMMYFUNCTION("""COMPUTED_VALUE"""),"T55")</f>
        <v>T55</v>
      </c>
      <c r="C50" t="str">
        <f ca="1">IFERROR(__xludf.DUMMYFUNCTION("""COMPUTED_VALUE"""),"Bryson DeChambeau")</f>
        <v>Bryson DeChambeau</v>
      </c>
      <c r="D50">
        <f ca="1">IFERROR(__xludf.DUMMYFUNCTION("""COMPUTED_VALUE"""),8)</f>
        <v>8</v>
      </c>
      <c r="E50">
        <f ca="1">IFERROR(__xludf.DUMMYFUNCTION("""COMPUTED_VALUE"""),66.67)</f>
        <v>66.67</v>
      </c>
      <c r="F50">
        <f ca="1">IFERROR(__xludf.DUMMYFUNCTION("""COMPUTED_VALUE"""),8)</f>
        <v>8</v>
      </c>
      <c r="G50">
        <f ca="1">IFERROR(__xludf.DUMMYFUNCTION("""COMPUTED_VALUE"""),12)</f>
        <v>12</v>
      </c>
    </row>
    <row r="51" spans="1:7" ht="12.75">
      <c r="A51" t="str">
        <f ca="1">IFERROR(__xludf.DUMMYFUNCTION("""COMPUTED_VALUE"""),"T47")</f>
        <v>T47</v>
      </c>
      <c r="B51" t="str">
        <f ca="1">IFERROR(__xludf.DUMMYFUNCTION("""COMPUTED_VALUE"""),"T38")</f>
        <v>T38</v>
      </c>
      <c r="C51" t="str">
        <f ca="1">IFERROR(__xludf.DUMMYFUNCTION("""COMPUTED_VALUE"""),"D.A. Points")</f>
        <v>D.A. Points</v>
      </c>
      <c r="D51">
        <f ca="1">IFERROR(__xludf.DUMMYFUNCTION("""COMPUTED_VALUE"""),12)</f>
        <v>12</v>
      </c>
      <c r="E51">
        <f ca="1">IFERROR(__xludf.DUMMYFUNCTION("""COMPUTED_VALUE"""),66.67)</f>
        <v>66.67</v>
      </c>
      <c r="F51">
        <f ca="1">IFERROR(__xludf.DUMMYFUNCTION("""COMPUTED_VALUE"""),24)</f>
        <v>24</v>
      </c>
      <c r="G51">
        <f ca="1">IFERROR(__xludf.DUMMYFUNCTION("""COMPUTED_VALUE"""),36)</f>
        <v>36</v>
      </c>
    </row>
    <row r="52" spans="1:7" ht="12.75">
      <c r="A52" t="str">
        <f ca="1">IFERROR(__xludf.DUMMYFUNCTION("""COMPUTED_VALUE"""),"T47")</f>
        <v>T47</v>
      </c>
      <c r="B52">
        <f ca="1">IFERROR(__xludf.DUMMYFUNCTION("""COMPUTED_VALUE"""),15)</f>
        <v>15</v>
      </c>
      <c r="C52" t="str">
        <f ca="1">IFERROR(__xludf.DUMMYFUNCTION("""COMPUTED_VALUE"""),"Zach Johnson")</f>
        <v>Zach Johnson</v>
      </c>
      <c r="D52">
        <f ca="1">IFERROR(__xludf.DUMMYFUNCTION("""COMPUTED_VALUE"""),16)</f>
        <v>16</v>
      </c>
      <c r="E52">
        <f ca="1">IFERROR(__xludf.DUMMYFUNCTION("""COMPUTED_VALUE"""),66.67)</f>
        <v>66.67</v>
      </c>
      <c r="F52">
        <f ca="1">IFERROR(__xludf.DUMMYFUNCTION("""COMPUTED_VALUE"""),24)</f>
        <v>24</v>
      </c>
      <c r="G52">
        <f ca="1">IFERROR(__xludf.DUMMYFUNCTION("""COMPUTED_VALUE"""),36)</f>
        <v>36</v>
      </c>
    </row>
    <row r="53" spans="1:7" ht="12.75">
      <c r="A53" t="str">
        <f ca="1">IFERROR(__xludf.DUMMYFUNCTION("""COMPUTED_VALUE"""),"T47")</f>
        <v>T47</v>
      </c>
      <c r="B53" t="str">
        <f ca="1">IFERROR(__xludf.DUMMYFUNCTION("""COMPUTED_VALUE"""),"T55")</f>
        <v>T55</v>
      </c>
      <c r="C53" t="str">
        <f ca="1">IFERROR(__xludf.DUMMYFUNCTION("""COMPUTED_VALUE"""),"K.J. Choi")</f>
        <v>K.J. Choi</v>
      </c>
      <c r="D53">
        <f ca="1">IFERROR(__xludf.DUMMYFUNCTION("""COMPUTED_VALUE"""),6)</f>
        <v>6</v>
      </c>
      <c r="E53">
        <f ca="1">IFERROR(__xludf.DUMMYFUNCTION("""COMPUTED_VALUE"""),66.67)</f>
        <v>66.67</v>
      </c>
      <c r="F53">
        <f ca="1">IFERROR(__xludf.DUMMYFUNCTION("""COMPUTED_VALUE"""),8)</f>
        <v>8</v>
      </c>
      <c r="G53">
        <f ca="1">IFERROR(__xludf.DUMMYFUNCTION("""COMPUTED_VALUE"""),12)</f>
        <v>12</v>
      </c>
    </row>
    <row r="54" spans="1:7" ht="12.75">
      <c r="A54" t="str">
        <f ca="1">IFERROR(__xludf.DUMMYFUNCTION("""COMPUTED_VALUE"""),"T47")</f>
        <v>T47</v>
      </c>
      <c r="B54" t="str">
        <f ca="1">IFERROR(__xludf.DUMMYFUNCTION("""COMPUTED_VALUE"""),"T55")</f>
        <v>T55</v>
      </c>
      <c r="C54" t="str">
        <f ca="1">IFERROR(__xludf.DUMMYFUNCTION("""COMPUTED_VALUE"""),"Nate Lashley")</f>
        <v>Nate Lashley</v>
      </c>
      <c r="D54">
        <f ca="1">IFERROR(__xludf.DUMMYFUNCTION("""COMPUTED_VALUE"""),16)</f>
        <v>16</v>
      </c>
      <c r="E54">
        <f ca="1">IFERROR(__xludf.DUMMYFUNCTION("""COMPUTED_VALUE"""),66.67)</f>
        <v>66.67</v>
      </c>
      <c r="F54">
        <f ca="1">IFERROR(__xludf.DUMMYFUNCTION("""COMPUTED_VALUE"""),28)</f>
        <v>28</v>
      </c>
      <c r="G54">
        <f ca="1">IFERROR(__xludf.DUMMYFUNCTION("""COMPUTED_VALUE"""),42)</f>
        <v>42</v>
      </c>
    </row>
    <row r="55" spans="1:7" ht="12.75">
      <c r="A55" t="str">
        <f ca="1">IFERROR(__xludf.DUMMYFUNCTION("""COMPUTED_VALUE"""),"T47")</f>
        <v>T47</v>
      </c>
      <c r="B55" t="str">
        <f ca="1">IFERROR(__xludf.DUMMYFUNCTION("""COMPUTED_VALUE"""),"")</f>
        <v/>
      </c>
      <c r="C55" t="str">
        <f ca="1">IFERROR(__xludf.DUMMYFUNCTION("""COMPUTED_VALUE"""),"Dawie van der Walt")</f>
        <v>Dawie van der Walt</v>
      </c>
      <c r="D55">
        <f ca="1">IFERROR(__xludf.DUMMYFUNCTION("""COMPUTED_VALUE"""),4)</f>
        <v>4</v>
      </c>
      <c r="E55">
        <f ca="1">IFERROR(__xludf.DUMMYFUNCTION("""COMPUTED_VALUE"""),66.67)</f>
        <v>66.67</v>
      </c>
      <c r="F55">
        <f ca="1">IFERROR(__xludf.DUMMYFUNCTION("""COMPUTED_VALUE"""),10)</f>
        <v>10</v>
      </c>
      <c r="G55">
        <f ca="1">IFERROR(__xludf.DUMMYFUNCTION("""COMPUTED_VALUE"""),15)</f>
        <v>15</v>
      </c>
    </row>
    <row r="56" spans="1:7" ht="12.75">
      <c r="A56" t="str">
        <f ca="1">IFERROR(__xludf.DUMMYFUNCTION("""COMPUTED_VALUE"""),"T47")</f>
        <v>T47</v>
      </c>
      <c r="B56" t="str">
        <f ca="1">IFERROR(__xludf.DUMMYFUNCTION("""COMPUTED_VALUE"""),"T55")</f>
        <v>T55</v>
      </c>
      <c r="C56" t="str">
        <f ca="1">IFERROR(__xludf.DUMMYFUNCTION("""COMPUTED_VALUE"""),"Ryan Blaum")</f>
        <v>Ryan Blaum</v>
      </c>
      <c r="D56">
        <f ca="1">IFERROR(__xludf.DUMMYFUNCTION("""COMPUTED_VALUE"""),8)</f>
        <v>8</v>
      </c>
      <c r="E56">
        <f ca="1">IFERROR(__xludf.DUMMYFUNCTION("""COMPUTED_VALUE"""),66.67)</f>
        <v>66.67</v>
      </c>
      <c r="F56">
        <f ca="1">IFERROR(__xludf.DUMMYFUNCTION("""COMPUTED_VALUE"""),6)</f>
        <v>6</v>
      </c>
      <c r="G56">
        <f ca="1">IFERROR(__xludf.DUMMYFUNCTION("""COMPUTED_VALUE"""),9)</f>
        <v>9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IFERROR(__xludf.DUMMYFUNCTION("""COMPUTED_VALUE"""),181)</f>
        <v>181</v>
      </c>
      <c r="C57" t="str">
        <f ca="1">IFERROR(__xludf.DUMMYFUNCTION("""COMPUTED_VALUE"""),"Mackenzie Hughes")</f>
        <v>Mackenzie Hughes</v>
      </c>
      <c r="D57">
        <f ca="1">IFERROR(__xludf.DUMMYFUNCTION("""COMPUTED_VALUE"""),18)</f>
        <v>18</v>
      </c>
      <c r="E57">
        <f ca="1">IFERROR(__xludf.DUMMYFUNCTION("""COMPUTED_VALUE"""),65.91)</f>
        <v>65.91</v>
      </c>
      <c r="F57">
        <f ca="1">IFERROR(__xludf.DUMMYFUNCTION("""COMPUTED_VALUE"""),29)</f>
        <v>29</v>
      </c>
      <c r="G57">
        <f ca="1">IFERROR(__xludf.DUMMYFUNCTION("""COMPUTED_VALUE"""),44)</f>
        <v>44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IFERROR(__xludf.DUMMYFUNCTION("""COMPUTED_VALUE"""),"T170")</f>
        <v>T170</v>
      </c>
      <c r="C58" t="str">
        <f ca="1">IFERROR(__xludf.DUMMYFUNCTION("""COMPUTED_VALUE"""),"Carlos Ortiz")</f>
        <v>Carlos Ortiz</v>
      </c>
      <c r="D58">
        <f ca="1">IFERROR(__xludf.DUMMYFUNCTION("""COMPUTED_VALUE"""),20)</f>
        <v>20</v>
      </c>
      <c r="E58">
        <f ca="1">IFERROR(__xludf.DUMMYFUNCTION("""COMPUTED_VALUE"""),65.85)</f>
        <v>65.849999999999994</v>
      </c>
      <c r="F58">
        <f ca="1">IFERROR(__xludf.DUMMYFUNCTION("""COMPUTED_VALUE"""),27)</f>
        <v>27</v>
      </c>
      <c r="G58">
        <f ca="1">IFERROR(__xludf.DUMMYFUNCTION("""COMPUTED_VALUE"""),41)</f>
        <v>41</v>
      </c>
    </row>
    <row r="59" spans="1:7" ht="12.75">
      <c r="A59">
        <f ca="1">IFERROR(__xludf.DUMMYFUNCTION("""COMPUTED_VALUE"""),58)</f>
        <v>58</v>
      </c>
      <c r="B59" t="str">
        <f ca="1">IFERROR(__xludf.DUMMYFUNCTION("""COMPUTED_VALUE"""),"T21")</f>
        <v>T21</v>
      </c>
      <c r="C59" t="str">
        <f ca="1">IFERROR(__xludf.DUMMYFUNCTION("""COMPUTED_VALUE"""),"Kevin Tway")</f>
        <v>Kevin Tway</v>
      </c>
      <c r="D59">
        <f ca="1">IFERROR(__xludf.DUMMYFUNCTION("""COMPUTED_VALUE"""),16)</f>
        <v>16</v>
      </c>
      <c r="E59">
        <f ca="1">IFERROR(__xludf.DUMMYFUNCTION("""COMPUTED_VALUE"""),65.52)</f>
        <v>65.52</v>
      </c>
      <c r="F59">
        <f ca="1">IFERROR(__xludf.DUMMYFUNCTION("""COMPUTED_VALUE"""),19)</f>
        <v>19</v>
      </c>
      <c r="G59">
        <f ca="1">IFERROR(__xludf.DUMMYFUNCTION("""COMPUTED_VALUE"""),29)</f>
        <v>29</v>
      </c>
    </row>
    <row r="60" spans="1:7" ht="12.75">
      <c r="A60" t="str">
        <f ca="1">IFERROR(__xludf.DUMMYFUNCTION("""COMPUTED_VALUE"""),"T59")</f>
        <v>T59</v>
      </c>
      <c r="B60" t="str">
        <f ca="1">IFERROR(__xludf.DUMMYFUNCTION("""COMPUTED_VALUE"""),"T49")</f>
        <v>T49</v>
      </c>
      <c r="C60" t="str">
        <f ca="1">IFERROR(__xludf.DUMMYFUNCTION("""COMPUTED_VALUE"""),"Charl Schwartzel")</f>
        <v>Charl Schwartzel</v>
      </c>
      <c r="D60">
        <f ca="1">IFERROR(__xludf.DUMMYFUNCTION("""COMPUTED_VALUE"""),12)</f>
        <v>12</v>
      </c>
      <c r="E60">
        <f ca="1">IFERROR(__xludf.DUMMYFUNCTION("""COMPUTED_VALUE"""),65.38)</f>
        <v>65.38</v>
      </c>
      <c r="F60">
        <f ca="1">IFERROR(__xludf.DUMMYFUNCTION("""COMPUTED_VALUE"""),17)</f>
        <v>17</v>
      </c>
      <c r="G60">
        <f ca="1">IFERROR(__xludf.DUMMYFUNCTION("""COMPUTED_VALUE"""),26)</f>
        <v>26</v>
      </c>
    </row>
    <row r="61" spans="1:7" ht="12.75">
      <c r="A61" t="str">
        <f ca="1">IFERROR(__xludf.DUMMYFUNCTION("""COMPUTED_VALUE"""),"T59")</f>
        <v>T59</v>
      </c>
      <c r="B61">
        <f ca="1">IFERROR(__xludf.DUMMYFUNCTION("""COMPUTED_VALUE"""),69)</f>
        <v>69</v>
      </c>
      <c r="C61" t="str">
        <f ca="1">IFERROR(__xludf.DUMMYFUNCTION("""COMPUTED_VALUE"""),"Byeong Hun An")</f>
        <v>Byeong Hun An</v>
      </c>
      <c r="D61">
        <f ca="1">IFERROR(__xludf.DUMMYFUNCTION("""COMPUTED_VALUE"""),14)</f>
        <v>14</v>
      </c>
      <c r="E61">
        <f ca="1">IFERROR(__xludf.DUMMYFUNCTION("""COMPUTED_VALUE"""),65.38)</f>
        <v>65.38</v>
      </c>
      <c r="F61">
        <f ca="1">IFERROR(__xludf.DUMMYFUNCTION("""COMPUTED_VALUE"""),17)</f>
        <v>17</v>
      </c>
      <c r="G61">
        <f ca="1">IFERROR(__xludf.DUMMYFUNCTION("""COMPUTED_VALUE"""),26)</f>
        <v>26</v>
      </c>
    </row>
    <row r="62" spans="1:7" ht="12.75">
      <c r="A62">
        <f ca="1">IFERROR(__xludf.DUMMYFUNCTION("""COMPUTED_VALUE"""),61)</f>
        <v>61</v>
      </c>
      <c r="B62" t="str">
        <f ca="1">IFERROR(__xludf.DUMMYFUNCTION("""COMPUTED_VALUE"""),"T46")</f>
        <v>T46</v>
      </c>
      <c r="C62" t="str">
        <f ca="1">IFERROR(__xludf.DUMMYFUNCTION("""COMPUTED_VALUE"""),"Denny McCarthy")</f>
        <v>Denny McCarthy</v>
      </c>
      <c r="D62">
        <f ca="1">IFERROR(__xludf.DUMMYFUNCTION("""COMPUTED_VALUE"""),22)</f>
        <v>22</v>
      </c>
      <c r="E62">
        <f ca="1">IFERROR(__xludf.DUMMYFUNCTION("""COMPUTED_VALUE"""),65.31)</f>
        <v>65.31</v>
      </c>
      <c r="F62">
        <f ca="1">IFERROR(__xludf.DUMMYFUNCTION("""COMPUTED_VALUE"""),32)</f>
        <v>32</v>
      </c>
      <c r="G62">
        <f ca="1">IFERROR(__xludf.DUMMYFUNCTION("""COMPUTED_VALUE"""),49)</f>
        <v>49</v>
      </c>
    </row>
    <row r="63" spans="1:7" ht="12.75">
      <c r="A63">
        <f ca="1">IFERROR(__xludf.DUMMYFUNCTION("""COMPUTED_VALUE"""),62)</f>
        <v>62</v>
      </c>
      <c r="B63" t="str">
        <f ca="1">IFERROR(__xludf.DUMMYFUNCTION("""COMPUTED_VALUE"""),"T70")</f>
        <v>T70</v>
      </c>
      <c r="C63" t="str">
        <f ca="1">IFERROR(__xludf.DUMMYFUNCTION("""COMPUTED_VALUE"""),"Vincent Whaley")</f>
        <v>Vincent Whaley</v>
      </c>
      <c r="D63">
        <f ca="1">IFERROR(__xludf.DUMMYFUNCTION("""COMPUTED_VALUE"""),14)</f>
        <v>14</v>
      </c>
      <c r="E63">
        <f ca="1">IFERROR(__xludf.DUMMYFUNCTION("""COMPUTED_VALUE"""),65.22)</f>
        <v>65.22</v>
      </c>
      <c r="F63">
        <f ca="1">IFERROR(__xludf.DUMMYFUNCTION("""COMPUTED_VALUE"""),15)</f>
        <v>15</v>
      </c>
      <c r="G63">
        <f ca="1">IFERROR(__xludf.DUMMYFUNCTION("""COMPUTED_VALUE"""),23)</f>
        <v>23</v>
      </c>
    </row>
    <row r="64" spans="1:7" ht="12.75">
      <c r="A64">
        <f ca="1">IFERROR(__xludf.DUMMYFUNCTION("""COMPUTED_VALUE"""),63)</f>
        <v>63</v>
      </c>
      <c r="B64" t="str">
        <f ca="1">IFERROR(__xludf.DUMMYFUNCTION("""COMPUTED_VALUE"""),"T55")</f>
        <v>T55</v>
      </c>
      <c r="C64" t="str">
        <f ca="1">IFERROR(__xludf.DUMMYFUNCTION("""COMPUTED_VALUE"""),"Dylan Frittelli")</f>
        <v>Dylan Frittelli</v>
      </c>
      <c r="D64">
        <f ca="1">IFERROR(__xludf.DUMMYFUNCTION("""COMPUTED_VALUE"""),16)</f>
        <v>16</v>
      </c>
      <c r="E64">
        <f ca="1">IFERROR(__xludf.DUMMYFUNCTION("""COMPUTED_VALUE"""),65.12)</f>
        <v>65.12</v>
      </c>
      <c r="F64">
        <f ca="1">IFERROR(__xludf.DUMMYFUNCTION("""COMPUTED_VALUE"""),28)</f>
        <v>28</v>
      </c>
      <c r="G64">
        <f ca="1">IFERROR(__xludf.DUMMYFUNCTION("""COMPUTED_VALUE"""),43)</f>
        <v>43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IFERROR(__xludf.DUMMYFUNCTION("""COMPUTED_VALUE"""),"T72")</f>
        <v>T72</v>
      </c>
      <c r="C65" t="str">
        <f ca="1">IFERROR(__xludf.DUMMYFUNCTION("""COMPUTED_VALUE"""),"Kevin Kisner")</f>
        <v>Kevin Kisner</v>
      </c>
      <c r="D65">
        <f ca="1">IFERROR(__xludf.DUMMYFUNCTION("""COMPUTED_VALUE"""),10)</f>
        <v>10</v>
      </c>
      <c r="E65">
        <f ca="1">IFERROR(__xludf.DUMMYFUNCTION("""COMPUTED_VALUE"""),65)</f>
        <v>65</v>
      </c>
      <c r="F65">
        <f ca="1">IFERROR(__xludf.DUMMYFUNCTION("""COMPUTED_VALUE"""),13)</f>
        <v>13</v>
      </c>
      <c r="G65">
        <f ca="1">IFERROR(__xludf.DUMMYFUNCTION("""COMPUTED_VALUE"""),20)</f>
        <v>20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IFERROR(__xludf.DUMMYFUNCTION("""COMPUTED_VALUE"""),"T72")</f>
        <v>T72</v>
      </c>
      <c r="C66" t="str">
        <f ca="1">IFERROR(__xludf.DUMMYFUNCTION("""COMPUTED_VALUE"""),"Nick Watney")</f>
        <v>Nick Watney</v>
      </c>
      <c r="D66">
        <f ca="1">IFERROR(__xludf.DUMMYFUNCTION("""COMPUTED_VALUE"""),10)</f>
        <v>10</v>
      </c>
      <c r="E66">
        <f ca="1">IFERROR(__xludf.DUMMYFUNCTION("""COMPUTED_VALUE"""),65)</f>
        <v>65</v>
      </c>
      <c r="F66">
        <f ca="1">IFERROR(__xludf.DUMMYFUNCTION("""COMPUTED_VALUE"""),13)</f>
        <v>13</v>
      </c>
      <c r="G66">
        <f ca="1">IFERROR(__xludf.DUMMYFUNCTION("""COMPUTED_VALUE"""),20)</f>
        <v>20</v>
      </c>
    </row>
    <row r="67" spans="1:7" ht="12.75">
      <c r="A67" t="str">
        <f ca="1">IFERROR(__xludf.DUMMYFUNCTION("""COMPUTED_VALUE"""),"T64")</f>
        <v>T64</v>
      </c>
      <c r="B67" t="str">
        <f ca="1">IFERROR(__xludf.DUMMYFUNCTION("""COMPUTED_VALUE"""),"T72")</f>
        <v>T72</v>
      </c>
      <c r="C67" t="str">
        <f ca="1">IFERROR(__xludf.DUMMYFUNCTION("""COMPUTED_VALUE"""),"Nick Taylor")</f>
        <v>Nick Taylor</v>
      </c>
      <c r="D67">
        <f ca="1">IFERROR(__xludf.DUMMYFUNCTION("""COMPUTED_VALUE"""),12)</f>
        <v>12</v>
      </c>
      <c r="E67">
        <f ca="1">IFERROR(__xludf.DUMMYFUNCTION("""COMPUTED_VALUE"""),65)</f>
        <v>65</v>
      </c>
      <c r="F67">
        <f ca="1">IFERROR(__xludf.DUMMYFUNCTION("""COMPUTED_VALUE"""),13)</f>
        <v>13</v>
      </c>
      <c r="G67">
        <f ca="1">IFERROR(__xludf.DUMMYFUNCTION("""COMPUTED_VALUE"""),20)</f>
        <v>20</v>
      </c>
    </row>
    <row r="68" spans="1:7" ht="12.75">
      <c r="A68" t="str">
        <f ca="1">IFERROR(__xludf.DUMMYFUNCTION("""COMPUTED_VALUE"""),"T64")</f>
        <v>T64</v>
      </c>
      <c r="B68" t="str">
        <f ca="1">IFERROR(__xludf.DUMMYFUNCTION("""COMPUTED_VALUE"""),"T72")</f>
        <v>T72</v>
      </c>
      <c r="C68" t="str">
        <f ca="1">IFERROR(__xludf.DUMMYFUNCTION("""COMPUTED_VALUE"""),"D.J. Trahan")</f>
        <v>D.J. Trahan</v>
      </c>
      <c r="D68">
        <f ca="1">IFERROR(__xludf.DUMMYFUNCTION("""COMPUTED_VALUE"""),16)</f>
        <v>16</v>
      </c>
      <c r="E68">
        <f ca="1">IFERROR(__xludf.DUMMYFUNCTION("""COMPUTED_VALUE"""),65)</f>
        <v>65</v>
      </c>
      <c r="F68">
        <f ca="1">IFERROR(__xludf.DUMMYFUNCTION("""COMPUTED_VALUE"""),13)</f>
        <v>13</v>
      </c>
      <c r="G68">
        <f ca="1">IFERROR(__xludf.DUMMYFUNCTION("""COMPUTED_VALUE"""),20)</f>
        <v>20</v>
      </c>
    </row>
    <row r="69" spans="1:7" ht="12.75">
      <c r="A69" t="str">
        <f ca="1">IFERROR(__xludf.DUMMYFUNCTION("""COMPUTED_VALUE"""),"T64")</f>
        <v>T64</v>
      </c>
      <c r="B69" t="str">
        <f ca="1">IFERROR(__xludf.DUMMYFUNCTION("""COMPUTED_VALUE"""),"T72")</f>
        <v>T72</v>
      </c>
      <c r="C69" t="str">
        <f ca="1">IFERROR(__xludf.DUMMYFUNCTION("""COMPUTED_VALUE"""),"Hank Lebioda")</f>
        <v>Hank Lebioda</v>
      </c>
      <c r="D69">
        <f ca="1">IFERROR(__xludf.DUMMYFUNCTION("""COMPUTED_VALUE"""),14)</f>
        <v>14</v>
      </c>
      <c r="E69">
        <f ca="1">IFERROR(__xludf.DUMMYFUNCTION("""COMPUTED_VALUE"""),65)</f>
        <v>65</v>
      </c>
      <c r="F69">
        <f ca="1">IFERROR(__xludf.DUMMYFUNCTION("""COMPUTED_VALUE"""),13)</f>
        <v>13</v>
      </c>
      <c r="G69">
        <f ca="1">IFERROR(__xludf.DUMMYFUNCTION("""COMPUTED_VALUE"""),20)</f>
        <v>20</v>
      </c>
    </row>
    <row r="70" spans="1:7" ht="12.75">
      <c r="A70">
        <f ca="1">IFERROR(__xludf.DUMMYFUNCTION("""COMPUTED_VALUE"""),69)</f>
        <v>69</v>
      </c>
      <c r="B70" t="str">
        <f ca="1">IFERROR(__xludf.DUMMYFUNCTION("""COMPUTED_VALUE"""),"T129")</f>
        <v>T129</v>
      </c>
      <c r="C70" t="str">
        <f ca="1">IFERROR(__xludf.DUMMYFUNCTION("""COMPUTED_VALUE"""),"J.T. Poston")</f>
        <v>J.T. Poston</v>
      </c>
      <c r="D70">
        <f ca="1">IFERROR(__xludf.DUMMYFUNCTION("""COMPUTED_VALUE"""),18)</f>
        <v>18</v>
      </c>
      <c r="E70">
        <f ca="1">IFERROR(__xludf.DUMMYFUNCTION("""COMPUTED_VALUE"""),64.58)</f>
        <v>64.58</v>
      </c>
      <c r="F70">
        <f ca="1">IFERROR(__xludf.DUMMYFUNCTION("""COMPUTED_VALUE"""),31)</f>
        <v>31</v>
      </c>
      <c r="G70">
        <f ca="1">IFERROR(__xludf.DUMMYFUNCTION("""COMPUTED_VALUE"""),48)</f>
        <v>48</v>
      </c>
    </row>
    <row r="71" spans="1:7" ht="12.75">
      <c r="A71" t="str">
        <f ca="1">IFERROR(__xludf.DUMMYFUNCTION("""COMPUTED_VALUE"""),"T70")</f>
        <v>T70</v>
      </c>
      <c r="B71" t="str">
        <f ca="1">IFERROR(__xludf.DUMMYFUNCTION("""COMPUTED_VALUE"""),"T70")</f>
        <v>T70</v>
      </c>
      <c r="C71" t="str">
        <f ca="1">IFERROR(__xludf.DUMMYFUNCTION("""COMPUTED_VALUE"""),"Robby Shelton")</f>
        <v>Robby Shelton</v>
      </c>
      <c r="D71">
        <f ca="1">IFERROR(__xludf.DUMMYFUNCTION("""COMPUTED_VALUE"""),14)</f>
        <v>14</v>
      </c>
      <c r="E71">
        <f ca="1">IFERROR(__xludf.DUMMYFUNCTION("""COMPUTED_VALUE"""),64.52)</f>
        <v>64.52</v>
      </c>
      <c r="F71">
        <f ca="1">IFERROR(__xludf.DUMMYFUNCTION("""COMPUTED_VALUE"""),20)</f>
        <v>20</v>
      </c>
      <c r="G71">
        <f ca="1">IFERROR(__xludf.DUMMYFUNCTION("""COMPUTED_VALUE"""),31)</f>
        <v>31</v>
      </c>
    </row>
    <row r="72" spans="1:7" ht="12.75">
      <c r="A72" t="str">
        <f ca="1">IFERROR(__xludf.DUMMYFUNCTION("""COMPUTED_VALUE"""),"T70")</f>
        <v>T70</v>
      </c>
      <c r="B72">
        <f ca="1">IFERROR(__xludf.DUMMYFUNCTION("""COMPUTED_VALUE"""),79)</f>
        <v>79</v>
      </c>
      <c r="C72" t="str">
        <f ca="1">IFERROR(__xludf.DUMMYFUNCTION("""COMPUTED_VALUE"""),"Harris English")</f>
        <v>Harris English</v>
      </c>
      <c r="D72">
        <f ca="1">IFERROR(__xludf.DUMMYFUNCTION("""COMPUTED_VALUE"""),14)</f>
        <v>14</v>
      </c>
      <c r="E72">
        <f ca="1">IFERROR(__xludf.DUMMYFUNCTION("""COMPUTED_VALUE"""),64.52)</f>
        <v>64.52</v>
      </c>
      <c r="F72">
        <f ca="1">IFERROR(__xludf.DUMMYFUNCTION("""COMPUTED_VALUE"""),20)</f>
        <v>20</v>
      </c>
      <c r="G72">
        <f ca="1">IFERROR(__xludf.DUMMYFUNCTION("""COMPUTED_VALUE"""),31)</f>
        <v>31</v>
      </c>
    </row>
    <row r="73" spans="1:7" ht="12.75">
      <c r="A73">
        <f ca="1">IFERROR(__xludf.DUMMYFUNCTION("""COMPUTED_VALUE"""),72)</f>
        <v>72</v>
      </c>
      <c r="B73" t="str">
        <f ca="1">IFERROR(__xludf.DUMMYFUNCTION("""COMPUTED_VALUE"""),"T150")</f>
        <v>T150</v>
      </c>
      <c r="C73" t="str">
        <f ca="1">IFERROR(__xludf.DUMMYFUNCTION("""COMPUTED_VALUE"""),"Sungjae Im")</f>
        <v>Sungjae Im</v>
      </c>
      <c r="D73">
        <f ca="1">IFERROR(__xludf.DUMMYFUNCTION("""COMPUTED_VALUE"""),24)</f>
        <v>24</v>
      </c>
      <c r="E73">
        <f ca="1">IFERROR(__xludf.DUMMYFUNCTION("""COMPUTED_VALUE"""),64.44)</f>
        <v>64.44</v>
      </c>
      <c r="F73">
        <f ca="1">IFERROR(__xludf.DUMMYFUNCTION("""COMPUTED_VALUE"""),29)</f>
        <v>29</v>
      </c>
      <c r="G73">
        <f ca="1">IFERROR(__xludf.DUMMYFUNCTION("""COMPUTED_VALUE"""),45)</f>
        <v>45</v>
      </c>
    </row>
    <row r="74" spans="1:7" ht="12.75">
      <c r="A74" t="str">
        <f ca="1">IFERROR(__xludf.DUMMYFUNCTION("""COMPUTED_VALUE"""),"T73")</f>
        <v>T73</v>
      </c>
      <c r="B74" t="str">
        <f ca="1">IFERROR(__xludf.DUMMYFUNCTION("""COMPUTED_VALUE"""),"T80")</f>
        <v>T80</v>
      </c>
      <c r="C74" t="str">
        <f ca="1">IFERROR(__xludf.DUMMYFUNCTION("""COMPUTED_VALUE"""),"Ben Martin")</f>
        <v>Ben Martin</v>
      </c>
      <c r="D74">
        <f ca="1">IFERROR(__xludf.DUMMYFUNCTION("""COMPUTED_VALUE"""),6)</f>
        <v>6</v>
      </c>
      <c r="E74">
        <f ca="1">IFERROR(__xludf.DUMMYFUNCTION("""COMPUTED_VALUE"""),64.29)</f>
        <v>64.290000000000006</v>
      </c>
      <c r="F74">
        <f ca="1">IFERROR(__xludf.DUMMYFUNCTION("""COMPUTED_VALUE"""),9)</f>
        <v>9</v>
      </c>
      <c r="G74">
        <f ca="1">IFERROR(__xludf.DUMMYFUNCTION("""COMPUTED_VALUE"""),14)</f>
        <v>14</v>
      </c>
    </row>
    <row r="75" spans="1:7" ht="12.75">
      <c r="A75" t="str">
        <f ca="1">IFERROR(__xludf.DUMMYFUNCTION("""COMPUTED_VALUE"""),"T73")</f>
        <v>T73</v>
      </c>
      <c r="B75" t="str">
        <f ca="1">IFERROR(__xludf.DUMMYFUNCTION("""COMPUTED_VALUE"""),"T80")</f>
        <v>T80</v>
      </c>
      <c r="C75" t="str">
        <f ca="1">IFERROR(__xludf.DUMMYFUNCTION("""COMPUTED_VALUE"""),"Patrick Cantlay")</f>
        <v>Patrick Cantlay</v>
      </c>
      <c r="D75">
        <f ca="1">IFERROR(__xludf.DUMMYFUNCTION("""COMPUTED_VALUE"""),16)</f>
        <v>16</v>
      </c>
      <c r="E75">
        <f ca="1">IFERROR(__xludf.DUMMYFUNCTION("""COMPUTED_VALUE"""),64.29)</f>
        <v>64.290000000000006</v>
      </c>
      <c r="F75">
        <f ca="1">IFERROR(__xludf.DUMMYFUNCTION("""COMPUTED_VALUE"""),18)</f>
        <v>18</v>
      </c>
      <c r="G75">
        <f ca="1">IFERROR(__xludf.DUMMYFUNCTION("""COMPUTED_VALUE"""),28)</f>
        <v>28</v>
      </c>
    </row>
    <row r="76" spans="1:7" ht="12.75">
      <c r="A76" t="str">
        <f ca="1">IFERROR(__xludf.DUMMYFUNCTION("""COMPUTED_VALUE"""),"T73")</f>
        <v>T73</v>
      </c>
      <c r="B76" t="str">
        <f ca="1">IFERROR(__xludf.DUMMYFUNCTION("""COMPUTED_VALUE"""),"T80")</f>
        <v>T80</v>
      </c>
      <c r="C76" t="str">
        <f ca="1">IFERROR(__xludf.DUMMYFUNCTION("""COMPUTED_VALUE"""),"Matt Every")</f>
        <v>Matt Every</v>
      </c>
      <c r="D76">
        <f ca="1">IFERROR(__xludf.DUMMYFUNCTION("""COMPUTED_VALUE"""),8)</f>
        <v>8</v>
      </c>
      <c r="E76">
        <f ca="1">IFERROR(__xludf.DUMMYFUNCTION("""COMPUTED_VALUE"""),64.29)</f>
        <v>64.290000000000006</v>
      </c>
      <c r="F76">
        <f ca="1">IFERROR(__xludf.DUMMYFUNCTION("""COMPUTED_VALUE"""),9)</f>
        <v>9</v>
      </c>
      <c r="G76">
        <f ca="1">IFERROR(__xludf.DUMMYFUNCTION("""COMPUTED_VALUE"""),14)</f>
        <v>14</v>
      </c>
    </row>
    <row r="77" spans="1:7" ht="12.75">
      <c r="A77">
        <f ca="1">IFERROR(__xludf.DUMMYFUNCTION("""COMPUTED_VALUE"""),76)</f>
        <v>76</v>
      </c>
      <c r="B77" t="str">
        <f ca="1">IFERROR(__xludf.DUMMYFUNCTION("""COMPUTED_VALUE"""),"T108")</f>
        <v>T108</v>
      </c>
      <c r="C77" t="str">
        <f ca="1">IFERROR(__xludf.DUMMYFUNCTION("""COMPUTED_VALUE"""),"Hideki Matsuyama")</f>
        <v>Hideki Matsuyama</v>
      </c>
      <c r="D77">
        <f ca="1">IFERROR(__xludf.DUMMYFUNCTION("""COMPUTED_VALUE"""),18)</f>
        <v>18</v>
      </c>
      <c r="E77">
        <f ca="1">IFERROR(__xludf.DUMMYFUNCTION("""COMPUTED_VALUE"""),64.1)</f>
        <v>64.099999999999994</v>
      </c>
      <c r="F77">
        <f ca="1">IFERROR(__xludf.DUMMYFUNCTION("""COMPUTED_VALUE"""),25)</f>
        <v>25</v>
      </c>
      <c r="G77">
        <f ca="1">IFERROR(__xludf.DUMMYFUNCTION("""COMPUTED_VALUE"""),39)</f>
        <v>39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IFERROR(__xludf.DUMMYFUNCTION("""COMPUTED_VALUE"""),"T55")</f>
        <v>T55</v>
      </c>
      <c r="C78" t="str">
        <f ca="1">IFERROR(__xludf.DUMMYFUNCTION("""COMPUTED_VALUE"""),"Wyndham Clark")</f>
        <v>Wyndham Clark</v>
      </c>
      <c r="D78">
        <f ca="1">IFERROR(__xludf.DUMMYFUNCTION("""COMPUTED_VALUE"""),16)</f>
        <v>16</v>
      </c>
      <c r="E78">
        <f ca="1">IFERROR(__xludf.DUMMYFUNCTION("""COMPUTED_VALUE"""),64)</f>
        <v>64</v>
      </c>
      <c r="F78">
        <f ca="1">IFERROR(__xludf.DUMMYFUNCTION("""COMPUTED_VALUE"""),16)</f>
        <v>16</v>
      </c>
      <c r="G78">
        <f ca="1">IFERROR(__xludf.DUMMYFUNCTION("""COMPUTED_VALUE"""),25)</f>
        <v>25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IFERROR(__xludf.DUMMYFUNCTION("""COMPUTED_VALUE"""),212)</f>
        <v>212</v>
      </c>
      <c r="C79" t="str">
        <f ca="1">IFERROR(__xludf.DUMMYFUNCTION("""COMPUTED_VALUE"""),"Scott Brown")</f>
        <v>Scott Brown</v>
      </c>
      <c r="D79">
        <f ca="1">IFERROR(__xludf.DUMMYFUNCTION("""COMPUTED_VALUE"""),14)</f>
        <v>14</v>
      </c>
      <c r="E79">
        <f ca="1">IFERROR(__xludf.DUMMYFUNCTION("""COMPUTED_VALUE"""),63.89)</f>
        <v>63.89</v>
      </c>
      <c r="F79">
        <f ca="1">IFERROR(__xludf.DUMMYFUNCTION("""COMPUTED_VALUE"""),23)</f>
        <v>23</v>
      </c>
      <c r="G79">
        <f ca="1">IFERROR(__xludf.DUMMYFUNCTION("""COMPUTED_VALUE"""),36)</f>
        <v>36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IFERROR(__xludf.DUMMYFUNCTION("""COMPUTED_VALUE"""),"T83")</f>
        <v>T83</v>
      </c>
      <c r="C80" t="str">
        <f ca="1">IFERROR(__xludf.DUMMYFUNCTION("""COMPUTED_VALUE"""),"Will Zalatoris")</f>
        <v>Will Zalatoris</v>
      </c>
      <c r="D80">
        <f ca="1">IFERROR(__xludf.DUMMYFUNCTION("""COMPUTED_VALUE"""),18)</f>
        <v>18</v>
      </c>
      <c r="E80">
        <f ca="1">IFERROR(__xludf.DUMMYFUNCTION("""COMPUTED_VALUE"""),63.64)</f>
        <v>63.64</v>
      </c>
      <c r="F80">
        <f ca="1">IFERROR(__xludf.DUMMYFUNCTION("""COMPUTED_VALUE"""),14)</f>
        <v>14</v>
      </c>
      <c r="G80">
        <f ca="1">IFERROR(__xludf.DUMMYFUNCTION("""COMPUTED_VALUE"""),22)</f>
        <v>22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IFERROR(__xludf.DUMMYFUNCTION("""COMPUTED_VALUE"""),"T55")</f>
        <v>T55</v>
      </c>
      <c r="C81" t="str">
        <f ca="1">IFERROR(__xludf.DUMMYFUNCTION("""COMPUTED_VALUE"""),"Maverick McNealy")</f>
        <v>Maverick McNealy</v>
      </c>
      <c r="D81">
        <f ca="1">IFERROR(__xludf.DUMMYFUNCTION("""COMPUTED_VALUE"""),16)</f>
        <v>16</v>
      </c>
      <c r="E81">
        <f ca="1">IFERROR(__xludf.DUMMYFUNCTION("""COMPUTED_VALUE"""),63.64)</f>
        <v>63.64</v>
      </c>
      <c r="F81">
        <f ca="1">IFERROR(__xludf.DUMMYFUNCTION("""COMPUTED_VALUE"""),21)</f>
        <v>21</v>
      </c>
      <c r="G81">
        <f ca="1">IFERROR(__xludf.DUMMYFUNCTION("""COMPUTED_VALUE"""),33)</f>
        <v>33</v>
      </c>
    </row>
    <row r="82" spans="1:7" ht="12.75">
      <c r="A82" t="str">
        <f ca="1">IFERROR(__xludf.DUMMYFUNCTION("""COMPUTED_VALUE"""),"T79")</f>
        <v>T79</v>
      </c>
      <c r="B82" t="str">
        <f ca="1">IFERROR(__xludf.DUMMYFUNCTION("""COMPUTED_VALUE"""),"T83")</f>
        <v>T83</v>
      </c>
      <c r="C82" t="str">
        <f ca="1">IFERROR(__xludf.DUMMYFUNCTION("""COMPUTED_VALUE"""),"Mikumu Horikawa")</f>
        <v>Mikumu Horikawa</v>
      </c>
      <c r="D82">
        <f ca="1">IFERROR(__xludf.DUMMYFUNCTION("""COMPUTED_VALUE"""),4)</f>
        <v>4</v>
      </c>
      <c r="E82">
        <f ca="1">IFERROR(__xludf.DUMMYFUNCTION("""COMPUTED_VALUE"""),63.64)</f>
        <v>63.64</v>
      </c>
      <c r="F82">
        <f ca="1">IFERROR(__xludf.DUMMYFUNCTION("""COMPUTED_VALUE"""),7)</f>
        <v>7</v>
      </c>
      <c r="G82">
        <f ca="1">IFERROR(__xludf.DUMMYFUNCTION("""COMPUTED_VALUE"""),11)</f>
        <v>11</v>
      </c>
    </row>
    <row r="83" spans="1:7" ht="12.75">
      <c r="A83">
        <f ca="1">IFERROR(__xludf.DUMMYFUNCTION("""COMPUTED_VALUE"""),82)</f>
        <v>82</v>
      </c>
      <c r="B83" t="str">
        <f ca="1">IFERROR(__xludf.DUMMYFUNCTION("""COMPUTED_VALUE"""),"T46")</f>
        <v>T46</v>
      </c>
      <c r="C83" t="str">
        <f ca="1">IFERROR(__xludf.DUMMYFUNCTION("""COMPUTED_VALUE"""),"Sergio Garcia")</f>
        <v>Sergio Garcia</v>
      </c>
      <c r="D83">
        <f ca="1">IFERROR(__xludf.DUMMYFUNCTION("""COMPUTED_VALUE"""),18)</f>
        <v>18</v>
      </c>
      <c r="E83">
        <f ca="1">IFERROR(__xludf.DUMMYFUNCTION("""COMPUTED_VALUE"""),63.41)</f>
        <v>63.41</v>
      </c>
      <c r="F83">
        <f ca="1">IFERROR(__xludf.DUMMYFUNCTION("""COMPUTED_VALUE"""),26)</f>
        <v>26</v>
      </c>
      <c r="G83">
        <f ca="1">IFERROR(__xludf.DUMMYFUNCTION("""COMPUTED_VALUE"""),41)</f>
        <v>41</v>
      </c>
    </row>
    <row r="84" spans="1:7" ht="12.75">
      <c r="A84">
        <f ca="1">IFERROR(__xludf.DUMMYFUNCTION("""COMPUTED_VALUE"""),83)</f>
        <v>83</v>
      </c>
      <c r="B84" t="str">
        <f ca="1">IFERROR(__xludf.DUMMYFUNCTION("""COMPUTED_VALUE"""),"T108")</f>
        <v>T108</v>
      </c>
      <c r="C84" t="str">
        <f ca="1">IFERROR(__xludf.DUMMYFUNCTION("""COMPUTED_VALUE"""),"Henrik Stenson")</f>
        <v>Henrik Stenson</v>
      </c>
      <c r="D84">
        <f ca="1">IFERROR(__xludf.DUMMYFUNCTION("""COMPUTED_VALUE"""),11)</f>
        <v>11</v>
      </c>
      <c r="E84">
        <f ca="1">IFERROR(__xludf.DUMMYFUNCTION("""COMPUTED_VALUE"""),63.33)</f>
        <v>63.33</v>
      </c>
      <c r="F84">
        <f ca="1">IFERROR(__xludf.DUMMYFUNCTION("""COMPUTED_VALUE"""),19)</f>
        <v>19</v>
      </c>
      <c r="G84">
        <f ca="1">IFERROR(__xludf.DUMMYFUNCTION("""COMPUTED_VALUE"""),30)</f>
        <v>30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IFERROR(__xludf.DUMMYFUNCTION("""COMPUTED_VALUE"""),54)</f>
        <v>54</v>
      </c>
      <c r="C85" t="str">
        <f ca="1">IFERROR(__xludf.DUMMYFUNCTION("""COMPUTED_VALUE"""),"C.T. Pan")</f>
        <v>C.T. Pan</v>
      </c>
      <c r="D85">
        <f ca="1">IFERROR(__xludf.DUMMYFUNCTION("""COMPUTED_VALUE"""),20)</f>
        <v>20</v>
      </c>
      <c r="E85">
        <f ca="1">IFERROR(__xludf.DUMMYFUNCTION("""COMPUTED_VALUE"""),63.27)</f>
        <v>63.27</v>
      </c>
      <c r="F85">
        <f ca="1">IFERROR(__xludf.DUMMYFUNCTION("""COMPUTED_VALUE"""),31)</f>
        <v>31</v>
      </c>
      <c r="G85">
        <f ca="1">IFERROR(__xludf.DUMMYFUNCTION("""COMPUTED_VALUE"""),49)</f>
        <v>49</v>
      </c>
    </row>
    <row r="86" spans="1:7" ht="12.75">
      <c r="A86">
        <f ca="1">IFERROR(__xludf.DUMMYFUNCTION("""COMPUTED_VALUE"""),85)</f>
        <v>85</v>
      </c>
      <c r="B86" t="str">
        <f ca="1">IFERROR(__xludf.DUMMYFUNCTION("""COMPUTED_VALUE"""),"T85")</f>
        <v>T85</v>
      </c>
      <c r="C86" t="str">
        <f ca="1">IFERROR(__xludf.DUMMYFUNCTION("""COMPUTED_VALUE"""),"Ryo Ishikawa")</f>
        <v>Ryo Ishikawa</v>
      </c>
      <c r="D86">
        <f ca="1">IFERROR(__xludf.DUMMYFUNCTION("""COMPUTED_VALUE"""),8)</f>
        <v>8</v>
      </c>
      <c r="E86">
        <f ca="1">IFERROR(__xludf.DUMMYFUNCTION("""COMPUTED_VALUE"""),63.16)</f>
        <v>63.16</v>
      </c>
      <c r="F86">
        <f ca="1">IFERROR(__xludf.DUMMYFUNCTION("""COMPUTED_VALUE"""),12)</f>
        <v>12</v>
      </c>
      <c r="G86">
        <f ca="1">IFERROR(__xludf.DUMMYFUNCTION("""COMPUTED_VALUE"""),19)</f>
        <v>19</v>
      </c>
    </row>
    <row r="87" spans="1:7" ht="12.75">
      <c r="A87">
        <f ca="1">IFERROR(__xludf.DUMMYFUNCTION("""COMPUTED_VALUE"""),86)</f>
        <v>86</v>
      </c>
      <c r="B87" t="str">
        <f ca="1">IFERROR(__xludf.DUMMYFUNCTION("""COMPUTED_VALUE"""),"T88")</f>
        <v>T88</v>
      </c>
      <c r="C87" t="str">
        <f ca="1">IFERROR(__xludf.DUMMYFUNCTION("""COMPUTED_VALUE"""),"Kevin Stadler")</f>
        <v>Kevin Stadler</v>
      </c>
      <c r="D87">
        <f ca="1">IFERROR(__xludf.DUMMYFUNCTION("""COMPUTED_VALUE"""),8)</f>
        <v>8</v>
      </c>
      <c r="E87">
        <f ca="1">IFERROR(__xludf.DUMMYFUNCTION("""COMPUTED_VALUE"""),62.96)</f>
        <v>62.96</v>
      </c>
      <c r="F87">
        <f ca="1">IFERROR(__xludf.DUMMYFUNCTION("""COMPUTED_VALUE"""),17)</f>
        <v>17</v>
      </c>
      <c r="G87">
        <f ca="1">IFERROR(__xludf.DUMMYFUNCTION("""COMPUTED_VALUE"""),27)</f>
        <v>27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IFERROR(__xludf.DUMMYFUNCTION("""COMPUTED_VALUE"""),52)</f>
        <v>52</v>
      </c>
      <c r="C88" t="str">
        <f ca="1">IFERROR(__xludf.DUMMYFUNCTION("""COMPUTED_VALUE"""),"Scottie Scheffler")</f>
        <v>Scottie Scheffler</v>
      </c>
      <c r="D88">
        <f ca="1">IFERROR(__xludf.DUMMYFUNCTION("""COMPUTED_VALUE"""),18)</f>
        <v>18</v>
      </c>
      <c r="E88">
        <f ca="1">IFERROR(__xludf.DUMMYFUNCTION("""COMPUTED_VALUE"""),62.79)</f>
        <v>62.79</v>
      </c>
      <c r="F88">
        <f ca="1">IFERROR(__xludf.DUMMYFUNCTION("""COMPUTED_VALUE"""),27)</f>
        <v>27</v>
      </c>
      <c r="G88">
        <f ca="1">IFERROR(__xludf.DUMMYFUNCTION("""COMPUTED_VALUE"""),43)</f>
        <v>43</v>
      </c>
    </row>
    <row r="89" spans="1:7" ht="12.75">
      <c r="A89" t="str">
        <f ca="1">IFERROR(__xludf.DUMMYFUNCTION("""COMPUTED_VALUE"""),"T88")</f>
        <v>T88</v>
      </c>
      <c r="B89" t="str">
        <f ca="1">IFERROR(__xludf.DUMMYFUNCTION("""COMPUTED_VALUE"""),"T88")</f>
        <v>T88</v>
      </c>
      <c r="C89" t="str">
        <f ca="1">IFERROR(__xludf.DUMMYFUNCTION("""COMPUTED_VALUE"""),"Rikuya Hoshino")</f>
        <v>Rikuya Hoshino</v>
      </c>
      <c r="D89">
        <f ca="1">IFERROR(__xludf.DUMMYFUNCTION("""COMPUTED_VALUE"""),4)</f>
        <v>4</v>
      </c>
      <c r="E89">
        <f ca="1">IFERROR(__xludf.DUMMYFUNCTION("""COMPUTED_VALUE"""),62.5)</f>
        <v>62.5</v>
      </c>
      <c r="F89">
        <f ca="1">IFERROR(__xludf.DUMMYFUNCTION("""COMPUTED_VALUE"""),5)</f>
        <v>5</v>
      </c>
      <c r="G89">
        <f ca="1">IFERROR(__xludf.DUMMYFUNCTION("""COMPUTED_VALUE"""),8)</f>
        <v>8</v>
      </c>
    </row>
    <row r="90" spans="1:7" ht="12.75">
      <c r="A90" t="str">
        <f ca="1">IFERROR(__xludf.DUMMYFUNCTION("""COMPUTED_VALUE"""),"T88")</f>
        <v>T88</v>
      </c>
      <c r="B90" t="str">
        <f ca="1">IFERROR(__xludf.DUMMYFUNCTION("""COMPUTED_VALUE"""),"T88")</f>
        <v>T88</v>
      </c>
      <c r="C90" t="str">
        <f ca="1">IFERROR(__xludf.DUMMYFUNCTION("""COMPUTED_VALUE"""),"Harry Higgs")</f>
        <v>Harry Higgs</v>
      </c>
      <c r="D90">
        <f ca="1">IFERROR(__xludf.DUMMYFUNCTION("""COMPUTED_VALUE"""),14)</f>
        <v>14</v>
      </c>
      <c r="E90">
        <f ca="1">IFERROR(__xludf.DUMMYFUNCTION("""COMPUTED_VALUE"""),62.5)</f>
        <v>62.5</v>
      </c>
      <c r="F90">
        <f ca="1">IFERROR(__xludf.DUMMYFUNCTION("""COMPUTED_VALUE"""),15)</f>
        <v>15</v>
      </c>
      <c r="G90">
        <f ca="1">IFERROR(__xludf.DUMMYFUNCTION("""COMPUTED_VALUE"""),24)</f>
        <v>24</v>
      </c>
    </row>
    <row r="91" spans="1:7" ht="12.75">
      <c r="A91" t="str">
        <f ca="1">IFERROR(__xludf.DUMMYFUNCTION("""COMPUTED_VALUE"""),"T88")</f>
        <v>T88</v>
      </c>
      <c r="B91" t="str">
        <f ca="1">IFERROR(__xludf.DUMMYFUNCTION("""COMPUTED_VALUE"""),"")</f>
        <v/>
      </c>
      <c r="C91" t="str">
        <f ca="1">IFERROR(__xludf.DUMMYFUNCTION("""COMPUTED_VALUE"""),"Francesco Molinari")</f>
        <v>Francesco Molinari</v>
      </c>
      <c r="D91">
        <f ca="1">IFERROR(__xludf.DUMMYFUNCTION("""COMPUTED_VALUE"""),6)</f>
        <v>6</v>
      </c>
      <c r="E91">
        <f ca="1">IFERROR(__xludf.DUMMYFUNCTION("""COMPUTED_VALUE"""),62.5)</f>
        <v>62.5</v>
      </c>
      <c r="F91">
        <f ca="1">IFERROR(__xludf.DUMMYFUNCTION("""COMPUTED_VALUE"""),15)</f>
        <v>15</v>
      </c>
      <c r="G91">
        <f ca="1">IFERROR(__xludf.DUMMYFUNCTION("""COMPUTED_VALUE"""),24)</f>
        <v>24</v>
      </c>
    </row>
    <row r="92" spans="1:7" ht="12.75">
      <c r="A92" t="str">
        <f ca="1">IFERROR(__xludf.DUMMYFUNCTION("""COMPUTED_VALUE"""),"T88")</f>
        <v>T88</v>
      </c>
      <c r="B92" t="str">
        <f ca="1">IFERROR(__xludf.DUMMYFUNCTION("""COMPUTED_VALUE"""),"T88")</f>
        <v>T88</v>
      </c>
      <c r="C92" t="str">
        <f ca="1">IFERROR(__xludf.DUMMYFUNCTION("""COMPUTED_VALUE"""),"J.J. Henry")</f>
        <v>J.J. Henry</v>
      </c>
      <c r="D92">
        <f ca="1">IFERROR(__xludf.DUMMYFUNCTION("""COMPUTED_VALUE"""),4)</f>
        <v>4</v>
      </c>
      <c r="E92">
        <f ca="1">IFERROR(__xludf.DUMMYFUNCTION("""COMPUTED_VALUE"""),62.5)</f>
        <v>62.5</v>
      </c>
      <c r="F92">
        <f ca="1">IFERROR(__xludf.DUMMYFUNCTION("""COMPUTED_VALUE"""),5)</f>
        <v>5</v>
      </c>
      <c r="G92">
        <f ca="1">IFERROR(__xludf.DUMMYFUNCTION("""COMPUTED_VALUE"""),8)</f>
        <v>8</v>
      </c>
    </row>
    <row r="93" spans="1:7" ht="12.75">
      <c r="A93" t="str">
        <f ca="1">IFERROR(__xludf.DUMMYFUNCTION("""COMPUTED_VALUE"""),"T88")</f>
        <v>T88</v>
      </c>
      <c r="B93" t="str">
        <f ca="1">IFERROR(__xludf.DUMMYFUNCTION("""COMPUTED_VALUE"""),"T88")</f>
        <v>T88</v>
      </c>
      <c r="C93" t="str">
        <f ca="1">IFERROR(__xludf.DUMMYFUNCTION("""COMPUTED_VALUE"""),"Alex Cejka")</f>
        <v>Alex Cejka</v>
      </c>
      <c r="D93">
        <f ca="1">IFERROR(__xludf.DUMMYFUNCTION("""COMPUTED_VALUE"""),6)</f>
        <v>6</v>
      </c>
      <c r="E93">
        <f ca="1">IFERROR(__xludf.DUMMYFUNCTION("""COMPUTED_VALUE"""),62.5)</f>
        <v>62.5</v>
      </c>
      <c r="F93">
        <f ca="1">IFERROR(__xludf.DUMMYFUNCTION("""COMPUTED_VALUE"""),5)</f>
        <v>5</v>
      </c>
      <c r="G93">
        <f ca="1">IFERROR(__xludf.DUMMYFUNCTION("""COMPUTED_VALUE"""),8)</f>
        <v>8</v>
      </c>
    </row>
    <row r="94" spans="1:7" ht="12.75">
      <c r="A94" t="str">
        <f ca="1">IFERROR(__xludf.DUMMYFUNCTION("""COMPUTED_VALUE"""),"T88")</f>
        <v>T88</v>
      </c>
      <c r="B94" t="str">
        <f ca="1">IFERROR(__xludf.DUMMYFUNCTION("""COMPUTED_VALUE"""),"")</f>
        <v/>
      </c>
      <c r="C94" t="str">
        <f ca="1">IFERROR(__xludf.DUMMYFUNCTION("""COMPUTED_VALUE"""),"Greg Chalmers")</f>
        <v>Greg Chalmers</v>
      </c>
      <c r="D94">
        <f ca="1">IFERROR(__xludf.DUMMYFUNCTION("""COMPUTED_VALUE"""),6)</f>
        <v>6</v>
      </c>
      <c r="E94">
        <f ca="1">IFERROR(__xludf.DUMMYFUNCTION("""COMPUTED_VALUE"""),62.5)</f>
        <v>62.5</v>
      </c>
      <c r="F94">
        <f ca="1">IFERROR(__xludf.DUMMYFUNCTION("""COMPUTED_VALUE"""),15)</f>
        <v>15</v>
      </c>
      <c r="G94">
        <f ca="1">IFERROR(__xludf.DUMMYFUNCTION("""COMPUTED_VALUE"""),24)</f>
        <v>24</v>
      </c>
    </row>
    <row r="95" spans="1:7" ht="12.75">
      <c r="A95">
        <f ca="1">IFERROR(__xludf.DUMMYFUNCTION("""COMPUTED_VALUE"""),94)</f>
        <v>94</v>
      </c>
      <c r="B95">
        <f ca="1">IFERROR(__xludf.DUMMYFUNCTION("""COMPUTED_VALUE"""),51)</f>
        <v>51</v>
      </c>
      <c r="C95" t="str">
        <f ca="1">IFERROR(__xludf.DUMMYFUNCTION("""COMPUTED_VALUE"""),"Kramer Hickok")</f>
        <v>Kramer Hickok</v>
      </c>
      <c r="D95">
        <f ca="1">IFERROR(__xludf.DUMMYFUNCTION("""COMPUTED_VALUE"""),16)</f>
        <v>16</v>
      </c>
      <c r="E95">
        <f ca="1">IFERROR(__xludf.DUMMYFUNCTION("""COMPUTED_VALUE"""),62.16)</f>
        <v>62.16</v>
      </c>
      <c r="F95">
        <f ca="1">IFERROR(__xludf.DUMMYFUNCTION("""COMPUTED_VALUE"""),23)</f>
        <v>23</v>
      </c>
      <c r="G95">
        <f ca="1">IFERROR(__xludf.DUMMYFUNCTION("""COMPUTED_VALUE"""),37)</f>
        <v>37</v>
      </c>
    </row>
    <row r="96" spans="1:7" ht="12.75">
      <c r="A96">
        <f ca="1">IFERROR(__xludf.DUMMYFUNCTION("""COMPUTED_VALUE"""),95)</f>
        <v>95</v>
      </c>
      <c r="B96" t="str">
        <f ca="1">IFERROR(__xludf.DUMMYFUNCTION("""COMPUTED_VALUE"""),"T43")</f>
        <v>T43</v>
      </c>
      <c r="C96" t="str">
        <f ca="1">IFERROR(__xludf.DUMMYFUNCTION("""COMPUTED_VALUE"""),"Chris Kirk")</f>
        <v>Chris Kirk</v>
      </c>
      <c r="D96">
        <f ca="1">IFERROR(__xludf.DUMMYFUNCTION("""COMPUTED_VALUE"""),10)</f>
        <v>10</v>
      </c>
      <c r="E96">
        <f ca="1">IFERROR(__xludf.DUMMYFUNCTION("""COMPUTED_VALUE"""),62.07)</f>
        <v>62.07</v>
      </c>
      <c r="F96">
        <f ca="1">IFERROR(__xludf.DUMMYFUNCTION("""COMPUTED_VALUE"""),18)</f>
        <v>18</v>
      </c>
      <c r="G96">
        <f ca="1">IFERROR(__xludf.DUMMYFUNCTION("""COMPUTED_VALUE"""),29)</f>
        <v>29</v>
      </c>
    </row>
    <row r="97" spans="1:7" ht="12.75">
      <c r="A97" t="str">
        <f ca="1">IFERROR(__xludf.DUMMYFUNCTION("""COMPUTED_VALUE"""),"T96")</f>
        <v>T96</v>
      </c>
      <c r="B97" t="str">
        <f ca="1">IFERROR(__xludf.DUMMYFUNCTION("""COMPUTED_VALUE"""),"T5")</f>
        <v>T5</v>
      </c>
      <c r="C97" t="str">
        <f ca="1">IFERROR(__xludf.DUMMYFUNCTION("""COMPUTED_VALUE"""),"Isaiah Salinda")</f>
        <v>Isaiah Salinda</v>
      </c>
      <c r="D97">
        <f ca="1">IFERROR(__xludf.DUMMYFUNCTION("""COMPUTED_VALUE"""),8)</f>
        <v>8</v>
      </c>
      <c r="E97">
        <f ca="1">IFERROR(__xludf.DUMMYFUNCTION("""COMPUTED_VALUE"""),61.9)</f>
        <v>61.9</v>
      </c>
      <c r="F97">
        <f ca="1">IFERROR(__xludf.DUMMYFUNCTION("""COMPUTED_VALUE"""),13)</f>
        <v>13</v>
      </c>
      <c r="G97">
        <f ca="1">IFERROR(__xludf.DUMMYFUNCTION("""COMPUTED_VALUE"""),21)</f>
        <v>21</v>
      </c>
    </row>
    <row r="98" spans="1:7" ht="12.75">
      <c r="A98" t="str">
        <f ca="1">IFERROR(__xludf.DUMMYFUNCTION("""COMPUTED_VALUE"""),"T96")</f>
        <v>T96</v>
      </c>
      <c r="B98" t="str">
        <f ca="1">IFERROR(__xludf.DUMMYFUNCTION("""COMPUTED_VALUE"""),"T236")</f>
        <v>T236</v>
      </c>
      <c r="C98" t="str">
        <f ca="1">IFERROR(__xludf.DUMMYFUNCTION("""COMPUTED_VALUE"""),"Brooks Koepka")</f>
        <v>Brooks Koepka</v>
      </c>
      <c r="D98">
        <f ca="1">IFERROR(__xludf.DUMMYFUNCTION("""COMPUTED_VALUE"""),8)</f>
        <v>8</v>
      </c>
      <c r="E98">
        <f ca="1">IFERROR(__xludf.DUMMYFUNCTION("""COMPUTED_VALUE"""),61.9)</f>
        <v>61.9</v>
      </c>
      <c r="F98">
        <f ca="1">IFERROR(__xludf.DUMMYFUNCTION("""COMPUTED_VALUE"""),13)</f>
        <v>13</v>
      </c>
      <c r="G98">
        <f ca="1">IFERROR(__xludf.DUMMYFUNCTION("""COMPUTED_VALUE"""),21)</f>
        <v>21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IFERROR(__xludf.DUMMYFUNCTION("""COMPUTED_VALUE"""),98)</f>
        <v>98</v>
      </c>
      <c r="C99" t="str">
        <f ca="1">IFERROR(__xludf.DUMMYFUNCTION("""COMPUTED_VALUE"""),"Kevin Na")</f>
        <v>Kevin Na</v>
      </c>
      <c r="D99">
        <f ca="1">IFERROR(__xludf.DUMMYFUNCTION("""COMPUTED_VALUE"""),14)</f>
        <v>14</v>
      </c>
      <c r="E99">
        <f ca="1">IFERROR(__xludf.DUMMYFUNCTION("""COMPUTED_VALUE"""),61.76)</f>
        <v>61.76</v>
      </c>
      <c r="F99">
        <f ca="1">IFERROR(__xludf.DUMMYFUNCTION("""COMPUTED_VALUE"""),21)</f>
        <v>21</v>
      </c>
      <c r="G99">
        <f ca="1">IFERROR(__xludf.DUMMYFUNCTION("""COMPUTED_VALUE"""),34)</f>
        <v>34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IFERROR(__xludf.DUMMYFUNCTION("""COMPUTED_VALUE"""),182)</f>
        <v>182</v>
      </c>
      <c r="C100" t="str">
        <f ca="1">IFERROR(__xludf.DUMMYFUNCTION("""COMPUTED_VALUE"""),"Troy Merritt")</f>
        <v>Troy Merritt</v>
      </c>
      <c r="D100">
        <f ca="1">IFERROR(__xludf.DUMMYFUNCTION("""COMPUTED_VALUE"""),20)</f>
        <v>20</v>
      </c>
      <c r="E100">
        <f ca="1">IFERROR(__xludf.DUMMYFUNCTION("""COMPUTED_VALUE"""),61.7)</f>
        <v>61.7</v>
      </c>
      <c r="F100">
        <f ca="1">IFERROR(__xludf.DUMMYFUNCTION("""COMPUTED_VALUE"""),29)</f>
        <v>29</v>
      </c>
      <c r="G100">
        <f ca="1">IFERROR(__xludf.DUMMYFUNCTION("""COMPUTED_VALUE"""),47)</f>
        <v>47</v>
      </c>
    </row>
    <row r="101" spans="1:7" ht="12.75">
      <c r="A101" t="str">
        <f ca="1">IFERROR(__xludf.DUMMYFUNCTION("""COMPUTED_VALUE"""),"T100")</f>
        <v>T100</v>
      </c>
      <c r="B101" t="str">
        <f ca="1">IFERROR(__xludf.DUMMYFUNCTION("""COMPUTED_VALUE"""),"T108")</f>
        <v>T108</v>
      </c>
      <c r="C101" t="str">
        <f ca="1">IFERROR(__xludf.DUMMYFUNCTION("""COMPUTED_VALUE"""),"Brian Stuard")</f>
        <v>Brian Stuard</v>
      </c>
      <c r="D101">
        <f ca="1">IFERROR(__xludf.DUMMYFUNCTION("""COMPUTED_VALUE"""),18)</f>
        <v>18</v>
      </c>
      <c r="E101">
        <f ca="1">IFERROR(__xludf.DUMMYFUNCTION("""COMPUTED_VALUE"""),61.54)</f>
        <v>61.54</v>
      </c>
      <c r="F101">
        <f ca="1">IFERROR(__xludf.DUMMYFUNCTION("""COMPUTED_VALUE"""),24)</f>
        <v>24</v>
      </c>
      <c r="G101">
        <f ca="1">IFERROR(__xludf.DUMMYFUNCTION("""COMPUTED_VALUE"""),39)</f>
        <v>39</v>
      </c>
    </row>
    <row r="102" spans="1:7" ht="12.75">
      <c r="A102" t="str">
        <f ca="1">IFERROR(__xludf.DUMMYFUNCTION("""COMPUTED_VALUE"""),"T100")</f>
        <v>T100</v>
      </c>
      <c r="B102" t="str">
        <f ca="1">IFERROR(__xludf.DUMMYFUNCTION("""COMPUTED_VALUE"""),"T99")</f>
        <v>T99</v>
      </c>
      <c r="C102" t="str">
        <f ca="1">IFERROR(__xludf.DUMMYFUNCTION("""COMPUTED_VALUE"""),"Wesley Bryan")</f>
        <v>Wesley Bryan</v>
      </c>
      <c r="D102">
        <f ca="1">IFERROR(__xludf.DUMMYFUNCTION("""COMPUTED_VALUE"""),8)</f>
        <v>8</v>
      </c>
      <c r="E102">
        <f ca="1">IFERROR(__xludf.DUMMYFUNCTION("""COMPUTED_VALUE"""),61.54)</f>
        <v>61.54</v>
      </c>
      <c r="F102">
        <f ca="1">IFERROR(__xludf.DUMMYFUNCTION("""COMPUTED_VALUE"""),8)</f>
        <v>8</v>
      </c>
      <c r="G102">
        <f ca="1">IFERROR(__xludf.DUMMYFUNCTION("""COMPUTED_VALUE"""),13)</f>
        <v>13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IFERROR(__xludf.DUMMYFUNCTION("""COMPUTED_VALUE"""),"T108")</f>
        <v>T108</v>
      </c>
      <c r="C103" t="str">
        <f ca="1">IFERROR(__xludf.DUMMYFUNCTION("""COMPUTED_VALUE"""),"Jimmy Walker")</f>
        <v>Jimmy Walker</v>
      </c>
      <c r="D103">
        <f ca="1">IFERROR(__xludf.DUMMYFUNCTION("""COMPUTED_VALUE"""),10)</f>
        <v>10</v>
      </c>
      <c r="E103">
        <f ca="1">IFERROR(__xludf.DUMMYFUNCTION("""COMPUTED_VALUE"""),61.29)</f>
        <v>61.29</v>
      </c>
      <c r="F103">
        <f ca="1">IFERROR(__xludf.DUMMYFUNCTION("""COMPUTED_VALUE"""),19)</f>
        <v>19</v>
      </c>
      <c r="G103">
        <f ca="1">IFERROR(__xludf.DUMMYFUNCTION("""COMPUTED_VALUE"""),31)</f>
        <v>31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IFERROR(__xludf.DUMMYFUNCTION("""COMPUTED_VALUE"""),"T164")</f>
        <v>T164</v>
      </c>
      <c r="C104" t="str">
        <f ca="1">IFERROR(__xludf.DUMMYFUNCTION("""COMPUTED_VALUE"""),"Kyoung-Hoon Lee")</f>
        <v>Kyoung-Hoon Lee</v>
      </c>
      <c r="D104">
        <f ca="1">IFERROR(__xludf.DUMMYFUNCTION("""COMPUTED_VALUE"""),20)</f>
        <v>20</v>
      </c>
      <c r="E104">
        <f ca="1">IFERROR(__xludf.DUMMYFUNCTION("""COMPUTED_VALUE"""),61.11)</f>
        <v>61.11</v>
      </c>
      <c r="F104">
        <f ca="1">IFERROR(__xludf.DUMMYFUNCTION("""COMPUTED_VALUE"""),22)</f>
        <v>22</v>
      </c>
      <c r="G104">
        <f ca="1">IFERROR(__xludf.DUMMYFUNCTION("""COMPUTED_VALUE"""),36)</f>
        <v>36</v>
      </c>
    </row>
    <row r="105" spans="1:7" ht="12.75">
      <c r="A105" t="str">
        <f ca="1">IFERROR(__xludf.DUMMYFUNCTION("""COMPUTED_VALUE"""),"T103")</f>
        <v>T103</v>
      </c>
      <c r="B105">
        <f ca="1">IFERROR(__xludf.DUMMYFUNCTION("""COMPUTED_VALUE"""),77)</f>
        <v>77</v>
      </c>
      <c r="C105" t="str">
        <f ca="1">IFERROR(__xludf.DUMMYFUNCTION("""COMPUTED_VALUE"""),"Scott Harrington")</f>
        <v>Scott Harrington</v>
      </c>
      <c r="D105">
        <f ca="1">IFERROR(__xludf.DUMMYFUNCTION("""COMPUTED_VALUE"""),18)</f>
        <v>18</v>
      </c>
      <c r="E105">
        <f ca="1">IFERROR(__xludf.DUMMYFUNCTION("""COMPUTED_VALUE"""),61.11)</f>
        <v>61.11</v>
      </c>
      <c r="F105">
        <f ca="1">IFERROR(__xludf.DUMMYFUNCTION("""COMPUTED_VALUE"""),33)</f>
        <v>33</v>
      </c>
      <c r="G105">
        <f ca="1">IFERROR(__xludf.DUMMYFUNCTION("""COMPUTED_VALUE"""),54)</f>
        <v>54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IFERROR(__xludf.DUMMYFUNCTION("""COMPUTED_VALUE"""),"T103")</f>
        <v>T103</v>
      </c>
      <c r="C106" t="str">
        <f ca="1">IFERROR(__xludf.DUMMYFUNCTION("""COMPUTED_VALUE"""),"Rhein Gibson")</f>
        <v>Rhein Gibson</v>
      </c>
      <c r="D106">
        <f ca="1">IFERROR(__xludf.DUMMYFUNCTION("""COMPUTED_VALUE"""),10)</f>
        <v>10</v>
      </c>
      <c r="E106">
        <f ca="1">IFERROR(__xludf.DUMMYFUNCTION("""COMPUTED_VALUE"""),60.87)</f>
        <v>60.87</v>
      </c>
      <c r="F106">
        <f ca="1">IFERROR(__xludf.DUMMYFUNCTION("""COMPUTED_VALUE"""),14)</f>
        <v>14</v>
      </c>
      <c r="G106">
        <f ca="1">IFERROR(__xludf.DUMMYFUNCTION("""COMPUTED_VALUE"""),23)</f>
        <v>23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IFERROR(__xludf.DUMMYFUNCTION("""COMPUTED_VALUE"""),95)</f>
        <v>95</v>
      </c>
      <c r="C107" t="str">
        <f ca="1">IFERROR(__xludf.DUMMYFUNCTION("""COMPUTED_VALUE"""),"Brian Harman")</f>
        <v>Brian Harman</v>
      </c>
      <c r="D107">
        <f ca="1">IFERROR(__xludf.DUMMYFUNCTION("""COMPUTED_VALUE"""),24)</f>
        <v>24</v>
      </c>
      <c r="E107">
        <f ca="1">IFERROR(__xludf.DUMMYFUNCTION("""COMPUTED_VALUE"""),60.66)</f>
        <v>60.66</v>
      </c>
      <c r="F107">
        <f ca="1">IFERROR(__xludf.DUMMYFUNCTION("""COMPUTED_VALUE"""),37)</f>
        <v>37</v>
      </c>
      <c r="G107">
        <f ca="1">IFERROR(__xludf.DUMMYFUNCTION("""COMPUTED_VALUE"""),61)</f>
        <v>61</v>
      </c>
    </row>
    <row r="108" spans="1:7" ht="12.75">
      <c r="A108">
        <f ca="1">IFERROR(__xludf.DUMMYFUNCTION("""COMPUTED_VALUE"""),107)</f>
        <v>107</v>
      </c>
      <c r="B108" t="str">
        <f ca="1">IFERROR(__xludf.DUMMYFUNCTION("""COMPUTED_VALUE"""),"T138")</f>
        <v>T138</v>
      </c>
      <c r="C108" t="str">
        <f ca="1">IFERROR(__xludf.DUMMYFUNCTION("""COMPUTED_VALUE"""),"Kevin Streelman")</f>
        <v>Kevin Streelman</v>
      </c>
      <c r="D108">
        <f ca="1">IFERROR(__xludf.DUMMYFUNCTION("""COMPUTED_VALUE"""),18)</f>
        <v>18</v>
      </c>
      <c r="E108">
        <f ca="1">IFERROR(__xludf.DUMMYFUNCTION("""COMPUTED_VALUE"""),60.61)</f>
        <v>60.61</v>
      </c>
      <c r="F108">
        <f ca="1">IFERROR(__xludf.DUMMYFUNCTION("""COMPUTED_VALUE"""),20)</f>
        <v>20</v>
      </c>
      <c r="G108">
        <f ca="1">IFERROR(__xludf.DUMMYFUNCTION("""COMPUTED_VALUE"""),33)</f>
        <v>33</v>
      </c>
    </row>
    <row r="109" spans="1:7" ht="12.75">
      <c r="A109" t="str">
        <f ca="1">IFERROR(__xludf.DUMMYFUNCTION("""COMPUTED_VALUE"""),"T108")</f>
        <v>T108</v>
      </c>
      <c r="B109" t="str">
        <f ca="1">IFERROR(__xludf.DUMMYFUNCTION("""COMPUTED_VALUE"""),"T141")</f>
        <v>T141</v>
      </c>
      <c r="C109" t="str">
        <f ca="1">IFERROR(__xludf.DUMMYFUNCTION("""COMPUTED_VALUE"""),"Jason Day")</f>
        <v>Jason Day</v>
      </c>
      <c r="D109">
        <f ca="1">IFERROR(__xludf.DUMMYFUNCTION("""COMPUTED_VALUE"""),17)</f>
        <v>17</v>
      </c>
      <c r="E109">
        <f ca="1">IFERROR(__xludf.DUMMYFUNCTION("""COMPUTED_VALUE"""),60.53)</f>
        <v>60.53</v>
      </c>
      <c r="F109">
        <f ca="1">IFERROR(__xludf.DUMMYFUNCTION("""COMPUTED_VALUE"""),23)</f>
        <v>23</v>
      </c>
      <c r="G109">
        <f ca="1">IFERROR(__xludf.DUMMYFUNCTION("""COMPUTED_VALUE"""),38)</f>
        <v>38</v>
      </c>
    </row>
    <row r="110" spans="1:7" ht="12.75">
      <c r="A110" t="str">
        <f ca="1">IFERROR(__xludf.DUMMYFUNCTION("""COMPUTED_VALUE"""),"T108")</f>
        <v>T108</v>
      </c>
      <c r="B110" t="str">
        <f ca="1">IFERROR(__xludf.DUMMYFUNCTION("""COMPUTED_VALUE"""),"T55")</f>
        <v>T55</v>
      </c>
      <c r="C110" t="str">
        <f ca="1">IFERROR(__xludf.DUMMYFUNCTION("""COMPUTED_VALUE"""),"Emiliano Grillo")</f>
        <v>Emiliano Grillo</v>
      </c>
      <c r="D110">
        <f ca="1">IFERROR(__xludf.DUMMYFUNCTION("""COMPUTED_VALUE"""),22)</f>
        <v>22</v>
      </c>
      <c r="E110">
        <f ca="1">IFERROR(__xludf.DUMMYFUNCTION("""COMPUTED_VALUE"""),60.53)</f>
        <v>60.53</v>
      </c>
      <c r="F110">
        <f ca="1">IFERROR(__xludf.DUMMYFUNCTION("""COMPUTED_VALUE"""),23)</f>
        <v>23</v>
      </c>
      <c r="G110">
        <f ca="1">IFERROR(__xludf.DUMMYFUNCTION("""COMPUTED_VALUE"""),38)</f>
        <v>38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IFERROR(__xludf.DUMMYFUNCTION("""COMPUTED_VALUE"""),"T138")</f>
        <v>T138</v>
      </c>
      <c r="C111" t="str">
        <f ca="1">IFERROR(__xludf.DUMMYFUNCTION("""COMPUTED_VALUE"""),"Kristoffer Ventura")</f>
        <v>Kristoffer Ventura</v>
      </c>
      <c r="D111">
        <f ca="1">IFERROR(__xludf.DUMMYFUNCTION("""COMPUTED_VALUE"""),20)</f>
        <v>20</v>
      </c>
      <c r="E111">
        <f ca="1">IFERROR(__xludf.DUMMYFUNCTION("""COMPUTED_VALUE"""),60.47)</f>
        <v>60.47</v>
      </c>
      <c r="F111">
        <f ca="1">IFERROR(__xludf.DUMMYFUNCTION("""COMPUTED_VALUE"""),26)</f>
        <v>26</v>
      </c>
      <c r="G111">
        <f ca="1">IFERROR(__xludf.DUMMYFUNCTION("""COMPUTED_VALUE"""),43)</f>
        <v>43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IFERROR(__xludf.DUMMYFUNCTION("""COMPUTED_VALUE"""),"T108")</f>
        <v>T108</v>
      </c>
      <c r="C112" t="str">
        <f ca="1">IFERROR(__xludf.DUMMYFUNCTION("""COMPUTED_VALUE"""),"Joohyung Kim")</f>
        <v>Joohyung Kim</v>
      </c>
      <c r="D112">
        <f ca="1">IFERROR(__xludf.DUMMYFUNCTION("""COMPUTED_VALUE"""),12)</f>
        <v>12</v>
      </c>
      <c r="E112">
        <f ca="1">IFERROR(__xludf.DUMMYFUNCTION("""COMPUTED_VALUE"""),60)</f>
        <v>60</v>
      </c>
      <c r="F112">
        <f ca="1">IFERROR(__xludf.DUMMYFUNCTION("""COMPUTED_VALUE"""),12)</f>
        <v>12</v>
      </c>
      <c r="G112">
        <f ca="1">IFERROR(__xludf.DUMMYFUNCTION("""COMPUTED_VALUE"""),20)</f>
        <v>20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IFERROR(__xludf.DUMMYFUNCTION("""COMPUTED_VALUE"""),"T106")</f>
        <v>T106</v>
      </c>
      <c r="C113" t="str">
        <f ca="1">IFERROR(__xludf.DUMMYFUNCTION("""COMPUTED_VALUE"""),"Lanto Griffin")</f>
        <v>Lanto Griffin</v>
      </c>
      <c r="D113">
        <f ca="1">IFERROR(__xludf.DUMMYFUNCTION("""COMPUTED_VALUE"""),18)</f>
        <v>18</v>
      </c>
      <c r="E113">
        <f ca="1">IFERROR(__xludf.DUMMYFUNCTION("""COMPUTED_VALUE"""),60)</f>
        <v>60</v>
      </c>
      <c r="F113">
        <f ca="1">IFERROR(__xludf.DUMMYFUNCTION("""COMPUTED_VALUE"""),21)</f>
        <v>21</v>
      </c>
      <c r="G113">
        <f ca="1">IFERROR(__xludf.DUMMYFUNCTION("""COMPUTED_VALUE"""),35)</f>
        <v>35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IFERROR(__xludf.DUMMYFUNCTION("""COMPUTED_VALUE"""),"T108")</f>
        <v>T108</v>
      </c>
      <c r="C114" t="str">
        <f ca="1">IFERROR(__xludf.DUMMYFUNCTION("""COMPUTED_VALUE"""),"Willy Pumarol")</f>
        <v>Willy Pumarol</v>
      </c>
      <c r="D114">
        <f ca="1">IFERROR(__xludf.DUMMYFUNCTION("""COMPUTED_VALUE"""),4)</f>
        <v>4</v>
      </c>
      <c r="E114">
        <f ca="1">IFERROR(__xludf.DUMMYFUNCTION("""COMPUTED_VALUE"""),60)</f>
        <v>60</v>
      </c>
      <c r="F114">
        <f ca="1">IFERROR(__xludf.DUMMYFUNCTION("""COMPUTED_VALUE"""),3)</f>
        <v>3</v>
      </c>
      <c r="G114">
        <f ca="1">IFERROR(__xludf.DUMMYFUNCTION("""COMPUTED_VALUE"""),5)</f>
        <v>5</v>
      </c>
    </row>
    <row r="115" spans="1:7" ht="12.75">
      <c r="A115" t="str">
        <f ca="1">IFERROR(__xludf.DUMMYFUNCTION("""COMPUTED_VALUE"""),"T111")</f>
        <v>T111</v>
      </c>
      <c r="B115" t="str">
        <f ca="1">IFERROR(__xludf.DUMMYFUNCTION("""COMPUTED_VALUE"""),"T108")</f>
        <v>T108</v>
      </c>
      <c r="C115" t="str">
        <f ca="1">IFERROR(__xludf.DUMMYFUNCTION("""COMPUTED_VALUE"""),"Joel Dahmen")</f>
        <v>Joel Dahmen</v>
      </c>
      <c r="D115">
        <f ca="1">IFERROR(__xludf.DUMMYFUNCTION("""COMPUTED_VALUE"""),18)</f>
        <v>18</v>
      </c>
      <c r="E115">
        <f ca="1">IFERROR(__xludf.DUMMYFUNCTION("""COMPUTED_VALUE"""),60)</f>
        <v>60</v>
      </c>
      <c r="F115">
        <f ca="1">IFERROR(__xludf.DUMMYFUNCTION("""COMPUTED_VALUE"""),21)</f>
        <v>21</v>
      </c>
      <c r="G115">
        <f ca="1">IFERROR(__xludf.DUMMYFUNCTION("""COMPUTED_VALUE"""),35)</f>
        <v>35</v>
      </c>
    </row>
    <row r="116" spans="1:7" ht="12.75">
      <c r="A116" t="str">
        <f ca="1">IFERROR(__xludf.DUMMYFUNCTION("""COMPUTED_VALUE"""),"T111")</f>
        <v>T111</v>
      </c>
      <c r="B116" t="str">
        <f ca="1">IFERROR(__xludf.DUMMYFUNCTION("""COMPUTED_VALUE"""),"T108")</f>
        <v>T108</v>
      </c>
      <c r="C116" t="str">
        <f ca="1">IFERROR(__xludf.DUMMYFUNCTION("""COMPUTED_VALUE"""),"Sebastian Cappelen")</f>
        <v>Sebastian Cappelen</v>
      </c>
      <c r="D116">
        <f ca="1">IFERROR(__xludf.DUMMYFUNCTION("""COMPUTED_VALUE"""),8)</f>
        <v>8</v>
      </c>
      <c r="E116">
        <f ca="1">IFERROR(__xludf.DUMMYFUNCTION("""COMPUTED_VALUE"""),60)</f>
        <v>60</v>
      </c>
      <c r="F116">
        <f ca="1">IFERROR(__xludf.DUMMYFUNCTION("""COMPUTED_VALUE"""),6)</f>
        <v>6</v>
      </c>
      <c r="G116">
        <f ca="1">IFERROR(__xludf.DUMMYFUNCTION("""COMPUTED_VALUE"""),10)</f>
        <v>10</v>
      </c>
    </row>
    <row r="117" spans="1:7" ht="12.75">
      <c r="A117" t="str">
        <f ca="1">IFERROR(__xludf.DUMMYFUNCTION("""COMPUTED_VALUE"""),"T111")</f>
        <v>T111</v>
      </c>
      <c r="B117" t="str">
        <f ca="1">IFERROR(__xludf.DUMMYFUNCTION("""COMPUTED_VALUE"""),"T108")</f>
        <v>T108</v>
      </c>
      <c r="C117" t="str">
        <f ca="1">IFERROR(__xludf.DUMMYFUNCTION("""COMPUTED_VALUE"""),"Kurt Kitayama")</f>
        <v>Kurt Kitayama</v>
      </c>
      <c r="D117">
        <f ca="1">IFERROR(__xludf.DUMMYFUNCTION("""COMPUTED_VALUE"""),4)</f>
        <v>4</v>
      </c>
      <c r="E117">
        <f ca="1">IFERROR(__xludf.DUMMYFUNCTION("""COMPUTED_VALUE"""),60)</f>
        <v>60</v>
      </c>
      <c r="F117">
        <f ca="1">IFERROR(__xludf.DUMMYFUNCTION("""COMPUTED_VALUE"""),9)</f>
        <v>9</v>
      </c>
      <c r="G117">
        <f ca="1">IFERROR(__xludf.DUMMYFUNCTION("""COMPUTED_VALUE"""),15)</f>
        <v>15</v>
      </c>
    </row>
    <row r="118" spans="1:7" ht="12.75">
      <c r="A118" t="str">
        <f ca="1">IFERROR(__xludf.DUMMYFUNCTION("""COMPUTED_VALUE"""),"T111")</f>
        <v>T111</v>
      </c>
      <c r="B118" t="str">
        <f ca="1">IFERROR(__xludf.DUMMYFUNCTION("""COMPUTED_VALUE"""),"T108")</f>
        <v>T108</v>
      </c>
      <c r="C118" t="str">
        <f ca="1">IFERROR(__xludf.DUMMYFUNCTION("""COMPUTED_VALUE"""),"Takumi Kanaya")</f>
        <v>Takumi Kanaya</v>
      </c>
      <c r="D118">
        <f ca="1">IFERROR(__xludf.DUMMYFUNCTION("""COMPUTED_VALUE"""),6)</f>
        <v>6</v>
      </c>
      <c r="E118">
        <f ca="1">IFERROR(__xludf.DUMMYFUNCTION("""COMPUTED_VALUE"""),60)</f>
        <v>60</v>
      </c>
      <c r="F118">
        <f ca="1">IFERROR(__xludf.DUMMYFUNCTION("""COMPUTED_VALUE"""),3)</f>
        <v>3</v>
      </c>
      <c r="G118">
        <f ca="1">IFERROR(__xludf.DUMMYFUNCTION("""COMPUTED_VALUE"""),5)</f>
        <v>5</v>
      </c>
    </row>
    <row r="119" spans="1:7" ht="12.75">
      <c r="A119" t="str">
        <f ca="1">IFERROR(__xludf.DUMMYFUNCTION("""COMPUTED_VALUE"""),"T111")</f>
        <v>T111</v>
      </c>
      <c r="B119" t="str">
        <f ca="1">IFERROR(__xludf.DUMMYFUNCTION("""COMPUTED_VALUE"""),"T125")</f>
        <v>T125</v>
      </c>
      <c r="C119" t="str">
        <f ca="1">IFERROR(__xludf.DUMMYFUNCTION("""COMPUTED_VALUE"""),"Aaron Wise")</f>
        <v>Aaron Wise</v>
      </c>
      <c r="D119">
        <f ca="1">IFERROR(__xludf.DUMMYFUNCTION("""COMPUTED_VALUE"""),16)</f>
        <v>16</v>
      </c>
      <c r="E119">
        <f ca="1">IFERROR(__xludf.DUMMYFUNCTION("""COMPUTED_VALUE"""),60)</f>
        <v>60</v>
      </c>
      <c r="F119">
        <f ca="1">IFERROR(__xludf.DUMMYFUNCTION("""COMPUTED_VALUE"""),15)</f>
        <v>15</v>
      </c>
      <c r="G119">
        <f ca="1">IFERROR(__xludf.DUMMYFUNCTION("""COMPUTED_VALUE"""),25)</f>
        <v>25</v>
      </c>
    </row>
    <row r="120" spans="1:7" ht="12.75">
      <c r="A120" t="str">
        <f ca="1">IFERROR(__xludf.DUMMYFUNCTION("""COMPUTED_VALUE"""),"T111")</f>
        <v>T111</v>
      </c>
      <c r="B120" t="str">
        <f ca="1">IFERROR(__xludf.DUMMYFUNCTION("""COMPUTED_VALUE"""),"T108")</f>
        <v>T108</v>
      </c>
      <c r="C120" t="str">
        <f ca="1">IFERROR(__xludf.DUMMYFUNCTION("""COMPUTED_VALUE"""),"Bill Haas")</f>
        <v>Bill Haas</v>
      </c>
      <c r="D120">
        <f ca="1">IFERROR(__xludf.DUMMYFUNCTION("""COMPUTED_VALUE"""),10)</f>
        <v>10</v>
      </c>
      <c r="E120">
        <f ca="1">IFERROR(__xludf.DUMMYFUNCTION("""COMPUTED_VALUE"""),60)</f>
        <v>60</v>
      </c>
      <c r="F120">
        <f ca="1">IFERROR(__xludf.DUMMYFUNCTION("""COMPUTED_VALUE"""),12)</f>
        <v>12</v>
      </c>
      <c r="G120">
        <f ca="1">IFERROR(__xludf.DUMMYFUNCTION("""COMPUTED_VALUE"""),20)</f>
        <v>20</v>
      </c>
    </row>
    <row r="121" spans="1:7" ht="12.75">
      <c r="A121" t="str">
        <f ca="1">IFERROR(__xludf.DUMMYFUNCTION("""COMPUTED_VALUE"""),"T111")</f>
        <v>T111</v>
      </c>
      <c r="B121" t="str">
        <f ca="1">IFERROR(__xludf.DUMMYFUNCTION("""COMPUTED_VALUE"""),"T108")</f>
        <v>T108</v>
      </c>
      <c r="C121" t="str">
        <f ca="1">IFERROR(__xludf.DUMMYFUNCTION("""COMPUTED_VALUE"""),"Matt Kuchar")</f>
        <v>Matt Kuchar</v>
      </c>
      <c r="D121">
        <f ca="1">IFERROR(__xludf.DUMMYFUNCTION("""COMPUTED_VALUE"""),14)</f>
        <v>14</v>
      </c>
      <c r="E121">
        <f ca="1">IFERROR(__xludf.DUMMYFUNCTION("""COMPUTED_VALUE"""),60)</f>
        <v>60</v>
      </c>
      <c r="F121">
        <f ca="1">IFERROR(__xludf.DUMMYFUNCTION("""COMPUTED_VALUE"""),18)</f>
        <v>18</v>
      </c>
      <c r="G121">
        <f ca="1">IFERROR(__xludf.DUMMYFUNCTION("""COMPUTED_VALUE"""),30)</f>
        <v>30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IFERROR(__xludf.DUMMYFUNCTION("""COMPUTED_VALUE"""),68)</f>
        <v>68</v>
      </c>
      <c r="C122" t="str">
        <f ca="1">IFERROR(__xludf.DUMMYFUNCTION("""COMPUTED_VALUE"""),"Brice Garnett")</f>
        <v>Brice Garnett</v>
      </c>
      <c r="D122">
        <f ca="1">IFERROR(__xludf.DUMMYFUNCTION("""COMPUTED_VALUE"""),22)</f>
        <v>22</v>
      </c>
      <c r="E122">
        <f ca="1">IFERROR(__xludf.DUMMYFUNCTION("""COMPUTED_VALUE"""),59.62)</f>
        <v>59.62</v>
      </c>
      <c r="F122">
        <f ca="1">IFERROR(__xludf.DUMMYFUNCTION("""COMPUTED_VALUE"""),31)</f>
        <v>31</v>
      </c>
      <c r="G122">
        <f ca="1">IFERROR(__xludf.DUMMYFUNCTION("""COMPUTED_VALUE"""),52)</f>
        <v>52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IFERROR(__xludf.DUMMYFUNCTION("""COMPUTED_VALUE"""),205)</f>
        <v>205</v>
      </c>
      <c r="C123" t="str">
        <f ca="1">IFERROR(__xludf.DUMMYFUNCTION("""COMPUTED_VALUE"""),"Corey Conners")</f>
        <v>Corey Conners</v>
      </c>
      <c r="D123">
        <f ca="1">IFERROR(__xludf.DUMMYFUNCTION("""COMPUTED_VALUE"""),20)</f>
        <v>20</v>
      </c>
      <c r="E123">
        <f ca="1">IFERROR(__xludf.DUMMYFUNCTION("""COMPUTED_VALUE"""),59.57)</f>
        <v>59.57</v>
      </c>
      <c r="F123">
        <f ca="1">IFERROR(__xludf.DUMMYFUNCTION("""COMPUTED_VALUE"""),28)</f>
        <v>28</v>
      </c>
      <c r="G123">
        <f ca="1">IFERROR(__xludf.DUMMYFUNCTION("""COMPUTED_VALUE"""),47)</f>
        <v>47</v>
      </c>
    </row>
    <row r="124" spans="1:7" ht="12.75">
      <c r="A124">
        <f ca="1">IFERROR(__xludf.DUMMYFUNCTION("""COMPUTED_VALUE"""),123)</f>
        <v>123</v>
      </c>
      <c r="B124" t="str">
        <f ca="1">IFERROR(__xludf.DUMMYFUNCTION("""COMPUTED_VALUE"""),"T103")</f>
        <v>T103</v>
      </c>
      <c r="C124" t="str">
        <f ca="1">IFERROR(__xludf.DUMMYFUNCTION("""COMPUTED_VALUE"""),"Andrew Landry")</f>
        <v>Andrew Landry</v>
      </c>
      <c r="D124">
        <f ca="1">IFERROR(__xludf.DUMMYFUNCTION("""COMPUTED_VALUE"""),14)</f>
        <v>14</v>
      </c>
      <c r="E124">
        <f ca="1">IFERROR(__xludf.DUMMYFUNCTION("""COMPUTED_VALUE"""),59.46)</f>
        <v>59.46</v>
      </c>
      <c r="F124">
        <f ca="1">IFERROR(__xludf.DUMMYFUNCTION("""COMPUTED_VALUE"""),22)</f>
        <v>22</v>
      </c>
      <c r="G124">
        <f ca="1">IFERROR(__xludf.DUMMYFUNCTION("""COMPUTED_VALUE"""),37)</f>
        <v>37</v>
      </c>
    </row>
    <row r="125" spans="1:7" ht="12.75">
      <c r="A125" t="str">
        <f ca="1">IFERROR(__xludf.DUMMYFUNCTION("""COMPUTED_VALUE"""),"T124")</f>
        <v>T124</v>
      </c>
      <c r="B125" t="str">
        <f ca="1">IFERROR(__xludf.DUMMYFUNCTION("""COMPUTED_VALUE"""),"T96")</f>
        <v>T96</v>
      </c>
      <c r="C125" t="str">
        <f ca="1">IFERROR(__xludf.DUMMYFUNCTION("""COMPUTED_VALUE"""),"Tom Lewis")</f>
        <v>Tom Lewis</v>
      </c>
      <c r="D125">
        <f ca="1">IFERROR(__xludf.DUMMYFUNCTION("""COMPUTED_VALUE"""),12)</f>
        <v>12</v>
      </c>
      <c r="E125">
        <f ca="1">IFERROR(__xludf.DUMMYFUNCTION("""COMPUTED_VALUE"""),59.38)</f>
        <v>59.38</v>
      </c>
      <c r="F125">
        <f ca="1">IFERROR(__xludf.DUMMYFUNCTION("""COMPUTED_VALUE"""),19)</f>
        <v>19</v>
      </c>
      <c r="G125">
        <f ca="1">IFERROR(__xludf.DUMMYFUNCTION("""COMPUTED_VALUE"""),32)</f>
        <v>32</v>
      </c>
    </row>
    <row r="126" spans="1:7" ht="12.75">
      <c r="A126" t="str">
        <f ca="1">IFERROR(__xludf.DUMMYFUNCTION("""COMPUTED_VALUE"""),"T124")</f>
        <v>T124</v>
      </c>
      <c r="B126">
        <f ca="1">IFERROR(__xludf.DUMMYFUNCTION("""COMPUTED_VALUE"""),121)</f>
        <v>121</v>
      </c>
      <c r="C126" t="str">
        <f ca="1">IFERROR(__xludf.DUMMYFUNCTION("""COMPUTED_VALUE"""),"Rob Oppenheim")</f>
        <v>Rob Oppenheim</v>
      </c>
      <c r="D126">
        <f ca="1">IFERROR(__xludf.DUMMYFUNCTION("""COMPUTED_VALUE"""),16)</f>
        <v>16</v>
      </c>
      <c r="E126">
        <f ca="1">IFERROR(__xludf.DUMMYFUNCTION("""COMPUTED_VALUE"""),59.38)</f>
        <v>59.38</v>
      </c>
      <c r="F126">
        <f ca="1">IFERROR(__xludf.DUMMYFUNCTION("""COMPUTED_VALUE"""),19)</f>
        <v>19</v>
      </c>
      <c r="G126">
        <f ca="1">IFERROR(__xludf.DUMMYFUNCTION("""COMPUTED_VALUE"""),32)</f>
        <v>32</v>
      </c>
    </row>
    <row r="127" spans="1:7" ht="12.75">
      <c r="A127" t="str">
        <f ca="1">IFERROR(__xludf.DUMMYFUNCTION("""COMPUTED_VALUE"""),"T126")</f>
        <v>T126</v>
      </c>
      <c r="B127">
        <f ca="1">IFERROR(__xludf.DUMMYFUNCTION("""COMPUTED_VALUE"""),122)</f>
        <v>122</v>
      </c>
      <c r="C127" t="str">
        <f ca="1">IFERROR(__xludf.DUMMYFUNCTION("""COMPUTED_VALUE"""),"Jason Kokrak")</f>
        <v>Jason Kokrak</v>
      </c>
      <c r="D127">
        <f ca="1">IFERROR(__xludf.DUMMYFUNCTION("""COMPUTED_VALUE"""),14)</f>
        <v>14</v>
      </c>
      <c r="E127">
        <f ca="1">IFERROR(__xludf.DUMMYFUNCTION("""COMPUTED_VALUE"""),59.26)</f>
        <v>59.26</v>
      </c>
      <c r="F127">
        <f ca="1">IFERROR(__xludf.DUMMYFUNCTION("""COMPUTED_VALUE"""),16)</f>
        <v>16</v>
      </c>
      <c r="G127">
        <f ca="1">IFERROR(__xludf.DUMMYFUNCTION("""COMPUTED_VALUE"""),27)</f>
        <v>27</v>
      </c>
    </row>
    <row r="128" spans="1:7" ht="12.75">
      <c r="A128" t="str">
        <f ca="1">IFERROR(__xludf.DUMMYFUNCTION("""COMPUTED_VALUE"""),"T126")</f>
        <v>T126</v>
      </c>
      <c r="B128" t="str">
        <f ca="1">IFERROR(__xludf.DUMMYFUNCTION("""COMPUTED_VALUE"""),"T148")</f>
        <v>T148</v>
      </c>
      <c r="C128" t="str">
        <f ca="1">IFERROR(__xludf.DUMMYFUNCTION("""COMPUTED_VALUE"""),"Lucas Glover")</f>
        <v>Lucas Glover</v>
      </c>
      <c r="D128">
        <f ca="1">IFERROR(__xludf.DUMMYFUNCTION("""COMPUTED_VALUE"""),12)</f>
        <v>12</v>
      </c>
      <c r="E128">
        <f ca="1">IFERROR(__xludf.DUMMYFUNCTION("""COMPUTED_VALUE"""),59.26)</f>
        <v>59.26</v>
      </c>
      <c r="F128">
        <f ca="1">IFERROR(__xludf.DUMMYFUNCTION("""COMPUTED_VALUE"""),16)</f>
        <v>16</v>
      </c>
      <c r="G128">
        <f ca="1">IFERROR(__xludf.DUMMYFUNCTION("""COMPUTED_VALUE"""),27)</f>
        <v>27</v>
      </c>
    </row>
    <row r="129" spans="1:7" ht="12.75">
      <c r="A129">
        <f ca="1">IFERROR(__xludf.DUMMYFUNCTION("""COMPUTED_VALUE"""),128)</f>
        <v>128</v>
      </c>
      <c r="B129" t="str">
        <f ca="1">IFERROR(__xludf.DUMMYFUNCTION("""COMPUTED_VALUE"""),"T123")</f>
        <v>T123</v>
      </c>
      <c r="C129" t="str">
        <f ca="1">IFERROR(__xludf.DUMMYFUNCTION("""COMPUTED_VALUE"""),"Tyler McCumber")</f>
        <v>Tyler McCumber</v>
      </c>
      <c r="D129">
        <f ca="1">IFERROR(__xludf.DUMMYFUNCTION("""COMPUTED_VALUE"""),14)</f>
        <v>14</v>
      </c>
      <c r="E129">
        <f ca="1">IFERROR(__xludf.DUMMYFUNCTION("""COMPUTED_VALUE"""),59.09)</f>
        <v>59.09</v>
      </c>
      <c r="F129">
        <f ca="1">IFERROR(__xludf.DUMMYFUNCTION("""COMPUTED_VALUE"""),13)</f>
        <v>13</v>
      </c>
      <c r="G129">
        <f ca="1">IFERROR(__xludf.DUMMYFUNCTION("""COMPUTED_VALUE"""),22)</f>
        <v>22</v>
      </c>
    </row>
    <row r="130" spans="1:7" ht="12.75">
      <c r="A130" t="str">
        <f ca="1">IFERROR(__xludf.DUMMYFUNCTION("""COMPUTED_VALUE"""),"T129")</f>
        <v>T129</v>
      </c>
      <c r="B130" t="str">
        <f ca="1">IFERROR(__xludf.DUMMYFUNCTION("""COMPUTED_VALUE"""),"T150")</f>
        <v>T150</v>
      </c>
      <c r="C130" t="str">
        <f ca="1">IFERROR(__xludf.DUMMYFUNCTION("""COMPUTED_VALUE"""),"Dustin Johnson")</f>
        <v>Dustin Johnson</v>
      </c>
      <c r="D130">
        <f ca="1">IFERROR(__xludf.DUMMYFUNCTION("""COMPUTED_VALUE"""),8)</f>
        <v>8</v>
      </c>
      <c r="E130">
        <f ca="1">IFERROR(__xludf.DUMMYFUNCTION("""COMPUTED_VALUE"""),58.82)</f>
        <v>58.82</v>
      </c>
      <c r="F130">
        <f ca="1">IFERROR(__xludf.DUMMYFUNCTION("""COMPUTED_VALUE"""),10)</f>
        <v>10</v>
      </c>
      <c r="G130">
        <f ca="1">IFERROR(__xludf.DUMMYFUNCTION("""COMPUTED_VALUE"""),17)</f>
        <v>17</v>
      </c>
    </row>
    <row r="131" spans="1:7" ht="12.75">
      <c r="A131" t="str">
        <f ca="1">IFERROR(__xludf.DUMMYFUNCTION("""COMPUTED_VALUE"""),"T129")</f>
        <v>T129</v>
      </c>
      <c r="B131" t="str">
        <f ca="1">IFERROR(__xludf.DUMMYFUNCTION("""COMPUTED_VALUE"""),"T125")</f>
        <v>T125</v>
      </c>
      <c r="C131" t="str">
        <f ca="1">IFERROR(__xludf.DUMMYFUNCTION("""COMPUTED_VALUE"""),"J.B. Holmes")</f>
        <v>J.B. Holmes</v>
      </c>
      <c r="D131">
        <f ca="1">IFERROR(__xludf.DUMMYFUNCTION("""COMPUTED_VALUE"""),10)</f>
        <v>10</v>
      </c>
      <c r="E131">
        <f ca="1">IFERROR(__xludf.DUMMYFUNCTION("""COMPUTED_VALUE"""),58.82)</f>
        <v>58.82</v>
      </c>
      <c r="F131">
        <f ca="1">IFERROR(__xludf.DUMMYFUNCTION("""COMPUTED_VALUE"""),10)</f>
        <v>10</v>
      </c>
      <c r="G131">
        <f ca="1">IFERROR(__xludf.DUMMYFUNCTION("""COMPUTED_VALUE"""),17)</f>
        <v>17</v>
      </c>
    </row>
    <row r="132" spans="1:7" ht="12.75">
      <c r="A132">
        <f ca="1">IFERROR(__xludf.DUMMYFUNCTION("""COMPUTED_VALUE"""),131)</f>
        <v>131</v>
      </c>
      <c r="B132" t="str">
        <f ca="1">IFERROR(__xludf.DUMMYFUNCTION("""COMPUTED_VALUE"""),"T127")</f>
        <v>T127</v>
      </c>
      <c r="C132" t="str">
        <f ca="1">IFERROR(__xludf.DUMMYFUNCTION("""COMPUTED_VALUE"""),"Kelly Kraft")</f>
        <v>Kelly Kraft</v>
      </c>
      <c r="D132">
        <f ca="1">IFERROR(__xludf.DUMMYFUNCTION("""COMPUTED_VALUE"""),14)</f>
        <v>14</v>
      </c>
      <c r="E132">
        <f ca="1">IFERROR(__xludf.DUMMYFUNCTION("""COMPUTED_VALUE"""),58.7)</f>
        <v>58.7</v>
      </c>
      <c r="F132">
        <f ca="1">IFERROR(__xludf.DUMMYFUNCTION("""COMPUTED_VALUE"""),27)</f>
        <v>27</v>
      </c>
      <c r="G132">
        <f ca="1">IFERROR(__xludf.DUMMYFUNCTION("""COMPUTED_VALUE"""),46)</f>
        <v>46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IFERROR(__xludf.DUMMYFUNCTION("""COMPUTED_VALUE"""),102)</f>
        <v>102</v>
      </c>
      <c r="C133" t="str">
        <f ca="1">IFERROR(__xludf.DUMMYFUNCTION("""COMPUTED_VALUE"""),"Tyler Duncan")</f>
        <v>Tyler Duncan</v>
      </c>
      <c r="D133">
        <f ca="1">IFERROR(__xludf.DUMMYFUNCTION("""COMPUTED_VALUE"""),18)</f>
        <v>18</v>
      </c>
      <c r="E133">
        <f ca="1">IFERROR(__xludf.DUMMYFUNCTION("""COMPUTED_VALUE"""),58.62)</f>
        <v>58.62</v>
      </c>
      <c r="F133">
        <f ca="1">IFERROR(__xludf.DUMMYFUNCTION("""COMPUTED_VALUE"""),17)</f>
        <v>17</v>
      </c>
      <c r="G133">
        <f ca="1">IFERROR(__xludf.DUMMYFUNCTION("""COMPUTED_VALUE"""),29)</f>
        <v>29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IFERROR(__xludf.DUMMYFUNCTION("""COMPUTED_VALUE"""),"T183")</f>
        <v>T183</v>
      </c>
      <c r="C134" t="str">
        <f ca="1">IFERROR(__xludf.DUMMYFUNCTION("""COMPUTED_VALUE"""),"Satoshi Kodaira")</f>
        <v>Satoshi Kodaira</v>
      </c>
      <c r="D134">
        <f ca="1">IFERROR(__xludf.DUMMYFUNCTION("""COMPUTED_VALUE"""),12)</f>
        <v>12</v>
      </c>
      <c r="E134">
        <f ca="1">IFERROR(__xludf.DUMMYFUNCTION("""COMPUTED_VALUE"""),58.54)</f>
        <v>58.54</v>
      </c>
      <c r="F134">
        <f ca="1">IFERROR(__xludf.DUMMYFUNCTION("""COMPUTED_VALUE"""),24)</f>
        <v>24</v>
      </c>
      <c r="G134">
        <f ca="1">IFERROR(__xludf.DUMMYFUNCTION("""COMPUTED_VALUE"""),41)</f>
        <v>41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IFERROR(__xludf.DUMMYFUNCTION("""COMPUTED_VALUE"""),"T129")</f>
        <v>T129</v>
      </c>
      <c r="C135" t="str">
        <f ca="1">IFERROR(__xludf.DUMMYFUNCTION("""COMPUTED_VALUE"""),"Ryan Brehm")</f>
        <v>Ryan Brehm</v>
      </c>
      <c r="D135">
        <f ca="1">IFERROR(__xludf.DUMMYFUNCTION("""COMPUTED_VALUE"""),10)</f>
        <v>10</v>
      </c>
      <c r="E135">
        <f ca="1">IFERROR(__xludf.DUMMYFUNCTION("""COMPUTED_VALUE"""),58.33)</f>
        <v>58.33</v>
      </c>
      <c r="F135">
        <f ca="1">IFERROR(__xludf.DUMMYFUNCTION("""COMPUTED_VALUE"""),7)</f>
        <v>7</v>
      </c>
      <c r="G135">
        <f ca="1">IFERROR(__xludf.DUMMYFUNCTION("""COMPUTED_VALUE"""),12)</f>
        <v>12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IFERROR(__xludf.DUMMYFUNCTION("""COMPUTED_VALUE"""),"T129")</f>
        <v>T129</v>
      </c>
      <c r="C136" t="str">
        <f ca="1">IFERROR(__xludf.DUMMYFUNCTION("""COMPUTED_VALUE"""),"Parker McLachlin")</f>
        <v>Parker McLachlin</v>
      </c>
      <c r="D136">
        <f ca="1">IFERROR(__xludf.DUMMYFUNCTION("""COMPUTED_VALUE"""),4)</f>
        <v>4</v>
      </c>
      <c r="E136">
        <f ca="1">IFERROR(__xludf.DUMMYFUNCTION("""COMPUTED_VALUE"""),58.33)</f>
        <v>58.33</v>
      </c>
      <c r="F136">
        <f ca="1">IFERROR(__xludf.DUMMYFUNCTION("""COMPUTED_VALUE"""),7)</f>
        <v>7</v>
      </c>
      <c r="G136">
        <f ca="1">IFERROR(__xludf.DUMMYFUNCTION("""COMPUTED_VALUE"""),12)</f>
        <v>12</v>
      </c>
    </row>
    <row r="137" spans="1:7" ht="12.75">
      <c r="A137" t="str">
        <f ca="1">IFERROR(__xludf.DUMMYFUNCTION("""COMPUTED_VALUE"""),"T134")</f>
        <v>T134</v>
      </c>
      <c r="B137" t="str">
        <f ca="1">IFERROR(__xludf.DUMMYFUNCTION("""COMPUTED_VALUE"""),"T129")</f>
        <v>T129</v>
      </c>
      <c r="C137" t="str">
        <f ca="1">IFERROR(__xludf.DUMMYFUNCTION("""COMPUTED_VALUE"""),"Johnson Wagner")</f>
        <v>Johnson Wagner</v>
      </c>
      <c r="D137">
        <f ca="1">IFERROR(__xludf.DUMMYFUNCTION("""COMPUTED_VALUE"""),8)</f>
        <v>8</v>
      </c>
      <c r="E137">
        <f ca="1">IFERROR(__xludf.DUMMYFUNCTION("""COMPUTED_VALUE"""),58.33)</f>
        <v>58.33</v>
      </c>
      <c r="F137">
        <f ca="1">IFERROR(__xludf.DUMMYFUNCTION("""COMPUTED_VALUE"""),7)</f>
        <v>7</v>
      </c>
      <c r="G137">
        <f ca="1">IFERROR(__xludf.DUMMYFUNCTION("""COMPUTED_VALUE"""),12)</f>
        <v>12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IFERROR(__xludf.DUMMYFUNCTION("""COMPUTED_VALUE"""),133)</f>
        <v>133</v>
      </c>
      <c r="C138" t="str">
        <f ca="1">IFERROR(__xludf.DUMMYFUNCTION("""COMPUTED_VALUE"""),"Richy Werenski")</f>
        <v>Richy Werenski</v>
      </c>
      <c r="D138">
        <f ca="1">IFERROR(__xludf.DUMMYFUNCTION("""COMPUTED_VALUE"""),16)</f>
        <v>16</v>
      </c>
      <c r="E138">
        <f ca="1">IFERROR(__xludf.DUMMYFUNCTION("""COMPUTED_VALUE"""),58.14)</f>
        <v>58.14</v>
      </c>
      <c r="F138">
        <f ca="1">IFERROR(__xludf.DUMMYFUNCTION("""COMPUTED_VALUE"""),25)</f>
        <v>25</v>
      </c>
      <c r="G138">
        <f ca="1">IFERROR(__xludf.DUMMYFUNCTION("""COMPUTED_VALUE"""),43)</f>
        <v>43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IFERROR(__xludf.DUMMYFUNCTION("""COMPUTED_VALUE"""),"T135")</f>
        <v>T135</v>
      </c>
      <c r="C139" t="str">
        <f ca="1">IFERROR(__xludf.DUMMYFUNCTION("""COMPUTED_VALUE"""),"MJ Daffue")</f>
        <v>MJ Daffue</v>
      </c>
      <c r="D139">
        <f ca="1">IFERROR(__xludf.DUMMYFUNCTION("""COMPUTED_VALUE"""),10)</f>
        <v>10</v>
      </c>
      <c r="E139">
        <f ca="1">IFERROR(__xludf.DUMMYFUNCTION("""COMPUTED_VALUE"""),57.89)</f>
        <v>57.89</v>
      </c>
      <c r="F139">
        <f ca="1">IFERROR(__xludf.DUMMYFUNCTION("""COMPUTED_VALUE"""),11)</f>
        <v>11</v>
      </c>
      <c r="G139">
        <f ca="1">IFERROR(__xludf.DUMMYFUNCTION("""COMPUTED_VALUE"""),19)</f>
        <v>19</v>
      </c>
    </row>
    <row r="140" spans="1:7" ht="12.75">
      <c r="A140" t="str">
        <f ca="1">IFERROR(__xludf.DUMMYFUNCTION("""COMPUTED_VALUE"""),"T138")</f>
        <v>T138</v>
      </c>
      <c r="B140" t="str">
        <f ca="1">IFERROR(__xludf.DUMMYFUNCTION("""COMPUTED_VALUE"""),"T135")</f>
        <v>T135</v>
      </c>
      <c r="C140" t="str">
        <f ca="1">IFERROR(__xludf.DUMMYFUNCTION("""COMPUTED_VALUE"""),"Matthias Schwab")</f>
        <v>Matthias Schwab</v>
      </c>
      <c r="D140">
        <f ca="1">IFERROR(__xludf.DUMMYFUNCTION("""COMPUTED_VALUE"""),8)</f>
        <v>8</v>
      </c>
      <c r="E140">
        <f ca="1">IFERROR(__xludf.DUMMYFUNCTION("""COMPUTED_VALUE"""),57.89)</f>
        <v>57.89</v>
      </c>
      <c r="F140">
        <f ca="1">IFERROR(__xludf.DUMMYFUNCTION("""COMPUTED_VALUE"""),11)</f>
        <v>11</v>
      </c>
      <c r="G140">
        <f ca="1">IFERROR(__xludf.DUMMYFUNCTION("""COMPUTED_VALUE"""),19)</f>
        <v>19</v>
      </c>
    </row>
    <row r="141" spans="1:7" ht="12.75">
      <c r="A141" t="str">
        <f ca="1">IFERROR(__xludf.DUMMYFUNCTION("""COMPUTED_VALUE"""),"T138")</f>
        <v>T138</v>
      </c>
      <c r="B141" t="str">
        <f ca="1">IFERROR(__xludf.DUMMYFUNCTION("""COMPUTED_VALUE"""),"T135")</f>
        <v>T135</v>
      </c>
      <c r="C141" t="str">
        <f ca="1">IFERROR(__xludf.DUMMYFUNCTION("""COMPUTED_VALUE"""),"Justin Thomas")</f>
        <v>Justin Thomas</v>
      </c>
      <c r="D141">
        <f ca="1">IFERROR(__xludf.DUMMYFUNCTION("""COMPUTED_VALUE"""),12)</f>
        <v>12</v>
      </c>
      <c r="E141">
        <f ca="1">IFERROR(__xludf.DUMMYFUNCTION("""COMPUTED_VALUE"""),57.89)</f>
        <v>57.89</v>
      </c>
      <c r="F141">
        <f ca="1">IFERROR(__xludf.DUMMYFUNCTION("""COMPUTED_VALUE"""),11)</f>
        <v>11</v>
      </c>
      <c r="G141">
        <f ca="1">IFERROR(__xludf.DUMMYFUNCTION("""COMPUTED_VALUE"""),19)</f>
        <v>19</v>
      </c>
    </row>
    <row r="142" spans="1:7" ht="12.75">
      <c r="A142" t="str">
        <f ca="1">IFERROR(__xludf.DUMMYFUNCTION("""COMPUTED_VALUE"""),"T138")</f>
        <v>T138</v>
      </c>
      <c r="B142" t="str">
        <f ca="1">IFERROR(__xludf.DUMMYFUNCTION("""COMPUTED_VALUE"""),"")</f>
        <v/>
      </c>
      <c r="C142" t="str">
        <f ca="1">IFERROR(__xludf.DUMMYFUNCTION("""COMPUTED_VALUE"""),"Justin Harding")</f>
        <v>Justin Harding</v>
      </c>
      <c r="D142">
        <f ca="1">IFERROR(__xludf.DUMMYFUNCTION("""COMPUTED_VALUE"""),6)</f>
        <v>6</v>
      </c>
      <c r="E142">
        <f ca="1">IFERROR(__xludf.DUMMYFUNCTION("""COMPUTED_VALUE"""),57.89)</f>
        <v>57.89</v>
      </c>
      <c r="F142">
        <f ca="1">IFERROR(__xludf.DUMMYFUNCTION("""COMPUTED_VALUE"""),11)</f>
        <v>11</v>
      </c>
      <c r="G142">
        <f ca="1">IFERROR(__xludf.DUMMYFUNCTION("""COMPUTED_VALUE"""),19)</f>
        <v>19</v>
      </c>
    </row>
    <row r="143" spans="1:7" ht="12.75">
      <c r="A143">
        <f ca="1">IFERROR(__xludf.DUMMYFUNCTION("""COMPUTED_VALUE"""),142)</f>
        <v>142</v>
      </c>
      <c r="B143" t="str">
        <f ca="1">IFERROR(__xludf.DUMMYFUNCTION("""COMPUTED_VALUE"""),"T55")</f>
        <v>T55</v>
      </c>
      <c r="C143" t="str">
        <f ca="1">IFERROR(__xludf.DUMMYFUNCTION("""COMPUTED_VALUE"""),"Martin Laird")</f>
        <v>Martin Laird</v>
      </c>
      <c r="D143">
        <f ca="1">IFERROR(__xludf.DUMMYFUNCTION("""COMPUTED_VALUE"""),16)</f>
        <v>16</v>
      </c>
      <c r="E143">
        <f ca="1">IFERROR(__xludf.DUMMYFUNCTION("""COMPUTED_VALUE"""),57.69)</f>
        <v>57.69</v>
      </c>
      <c r="F143">
        <f ca="1">IFERROR(__xludf.DUMMYFUNCTION("""COMPUTED_VALUE"""),15)</f>
        <v>15</v>
      </c>
      <c r="G143">
        <f ca="1">IFERROR(__xludf.DUMMYFUNCTION("""COMPUTED_VALUE"""),26)</f>
        <v>26</v>
      </c>
    </row>
    <row r="144" spans="1:7" ht="12.75">
      <c r="A144" t="str">
        <f ca="1">IFERROR(__xludf.DUMMYFUNCTION("""COMPUTED_VALUE"""),"T143")</f>
        <v>T143</v>
      </c>
      <c r="B144" t="str">
        <f ca="1">IFERROR(__xludf.DUMMYFUNCTION("""COMPUTED_VALUE"""),"T138")</f>
        <v>T138</v>
      </c>
      <c r="C144" t="str">
        <f ca="1">IFERROR(__xludf.DUMMYFUNCTION("""COMPUTED_VALUE"""),"Brandt Snedeker")</f>
        <v>Brandt Snedeker</v>
      </c>
      <c r="D144">
        <f ca="1">IFERROR(__xludf.DUMMYFUNCTION("""COMPUTED_VALUE"""),16)</f>
        <v>16</v>
      </c>
      <c r="E144">
        <f ca="1">IFERROR(__xludf.DUMMYFUNCTION("""COMPUTED_VALUE"""),57.14)</f>
        <v>57.14</v>
      </c>
      <c r="F144">
        <f ca="1">IFERROR(__xludf.DUMMYFUNCTION("""COMPUTED_VALUE"""),24)</f>
        <v>24</v>
      </c>
      <c r="G144">
        <f ca="1">IFERROR(__xludf.DUMMYFUNCTION("""COMPUTED_VALUE"""),42)</f>
        <v>42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IFERROR(__xludf.DUMMYFUNCTION("""COMPUTED_VALUE"""),"T141")</f>
        <v>T141</v>
      </c>
      <c r="C145" t="str">
        <f ca="1">IFERROR(__xludf.DUMMYFUNCTION("""COMPUTED_VALUE"""),"William McGirt")</f>
        <v>William McGirt</v>
      </c>
      <c r="D145">
        <f ca="1">IFERROR(__xludf.DUMMYFUNCTION("""COMPUTED_VALUE"""),6)</f>
        <v>6</v>
      </c>
      <c r="E145">
        <f ca="1">IFERROR(__xludf.DUMMYFUNCTION("""COMPUTED_VALUE"""),57.14)</f>
        <v>57.14</v>
      </c>
      <c r="F145">
        <f ca="1">IFERROR(__xludf.DUMMYFUNCTION("""COMPUTED_VALUE"""),4)</f>
        <v>4</v>
      </c>
      <c r="G145">
        <f ca="1">IFERROR(__xludf.DUMMYFUNCTION("""COMPUTED_VALUE"""),7)</f>
        <v>7</v>
      </c>
    </row>
    <row r="146" spans="1:7" ht="12.75">
      <c r="A146" t="str">
        <f ca="1">IFERROR(__xludf.DUMMYFUNCTION("""COMPUTED_VALUE"""),"T143")</f>
        <v>T143</v>
      </c>
      <c r="B146" t="str">
        <f ca="1">IFERROR(__xludf.DUMMYFUNCTION("""COMPUTED_VALUE"""),"T141")</f>
        <v>T141</v>
      </c>
      <c r="C146" t="str">
        <f ca="1">IFERROR(__xludf.DUMMYFUNCTION("""COMPUTED_VALUE"""),"Matthew Fitzpatrick")</f>
        <v>Matthew Fitzpatrick</v>
      </c>
      <c r="D146">
        <f ca="1">IFERROR(__xludf.DUMMYFUNCTION("""COMPUTED_VALUE"""),10)</f>
        <v>10</v>
      </c>
      <c r="E146">
        <f ca="1">IFERROR(__xludf.DUMMYFUNCTION("""COMPUTED_VALUE"""),57.14)</f>
        <v>57.14</v>
      </c>
      <c r="F146">
        <f ca="1">IFERROR(__xludf.DUMMYFUNCTION("""COMPUTED_VALUE"""),8)</f>
        <v>8</v>
      </c>
      <c r="G146">
        <f ca="1">IFERROR(__xludf.DUMMYFUNCTION("""COMPUTED_VALUE"""),14)</f>
        <v>14</v>
      </c>
    </row>
    <row r="147" spans="1:7" ht="12.75">
      <c r="A147" t="str">
        <f ca="1">IFERROR(__xludf.DUMMYFUNCTION("""COMPUTED_VALUE"""),"T143")</f>
        <v>T143</v>
      </c>
      <c r="B147" t="str">
        <f ca="1">IFERROR(__xludf.DUMMYFUNCTION("""COMPUTED_VALUE"""),"T141")</f>
        <v>T141</v>
      </c>
      <c r="C147" t="str">
        <f ca="1">IFERROR(__xludf.DUMMYFUNCTION("""COMPUTED_VALUE"""),"Jazz Janewattananond")</f>
        <v>Jazz Janewattananond</v>
      </c>
      <c r="D147">
        <f ca="1">IFERROR(__xludf.DUMMYFUNCTION("""COMPUTED_VALUE"""),6)</f>
        <v>6</v>
      </c>
      <c r="E147">
        <f ca="1">IFERROR(__xludf.DUMMYFUNCTION("""COMPUTED_VALUE"""),57.14)</f>
        <v>57.14</v>
      </c>
      <c r="F147">
        <f ca="1">IFERROR(__xludf.DUMMYFUNCTION("""COMPUTED_VALUE"""),8)</f>
        <v>8</v>
      </c>
      <c r="G147">
        <f ca="1">IFERROR(__xludf.DUMMYFUNCTION("""COMPUTED_VALUE"""),14)</f>
        <v>14</v>
      </c>
    </row>
    <row r="148" spans="1:7" ht="12.75">
      <c r="A148" t="str">
        <f ca="1">IFERROR(__xludf.DUMMYFUNCTION("""COMPUTED_VALUE"""),"T143")</f>
        <v>T143</v>
      </c>
      <c r="B148" t="str">
        <f ca="1">IFERROR(__xludf.DUMMYFUNCTION("""COMPUTED_VALUE"""),"T141")</f>
        <v>T141</v>
      </c>
      <c r="C148" t="str">
        <f ca="1">IFERROR(__xludf.DUMMYFUNCTION("""COMPUTED_VALUE"""),"Cameron Champ")</f>
        <v>Cameron Champ</v>
      </c>
      <c r="D148">
        <f ca="1">IFERROR(__xludf.DUMMYFUNCTION("""COMPUTED_VALUE"""),12)</f>
        <v>12</v>
      </c>
      <c r="E148">
        <f ca="1">IFERROR(__xludf.DUMMYFUNCTION("""COMPUTED_VALUE"""),57.14)</f>
        <v>57.14</v>
      </c>
      <c r="F148">
        <f ca="1">IFERROR(__xludf.DUMMYFUNCTION("""COMPUTED_VALUE"""),16)</f>
        <v>16</v>
      </c>
      <c r="G148">
        <f ca="1">IFERROR(__xludf.DUMMYFUNCTION("""COMPUTED_VALUE"""),28)</f>
        <v>28</v>
      </c>
    </row>
    <row r="149" spans="1:7" ht="12.75">
      <c r="A149">
        <f ca="1">IFERROR(__xludf.DUMMYFUNCTION("""COMPUTED_VALUE"""),148)</f>
        <v>148</v>
      </c>
      <c r="B149">
        <f ca="1">IFERROR(__xludf.DUMMYFUNCTION("""COMPUTED_VALUE"""),203)</f>
        <v>203</v>
      </c>
      <c r="C149" t="str">
        <f ca="1">IFERROR(__xludf.DUMMYFUNCTION("""COMPUTED_VALUE"""),"Adam Long")</f>
        <v>Adam Long</v>
      </c>
      <c r="D149">
        <f ca="1">IFERROR(__xludf.DUMMYFUNCTION("""COMPUTED_VALUE"""),22)</f>
        <v>22</v>
      </c>
      <c r="E149">
        <f ca="1">IFERROR(__xludf.DUMMYFUNCTION("""COMPUTED_VALUE"""),56.9)</f>
        <v>56.9</v>
      </c>
      <c r="F149">
        <f ca="1">IFERROR(__xludf.DUMMYFUNCTION("""COMPUTED_VALUE"""),33)</f>
        <v>33</v>
      </c>
      <c r="G149">
        <f ca="1">IFERROR(__xludf.DUMMYFUNCTION("""COMPUTED_VALUE"""),58)</f>
        <v>58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IFERROR(__xludf.DUMMYFUNCTION("""COMPUTED_VALUE"""),101)</f>
        <v>101</v>
      </c>
      <c r="C150" t="str">
        <f ca="1">IFERROR(__xludf.DUMMYFUNCTION("""COMPUTED_VALUE"""),"Alex Noren")</f>
        <v>Alex Noren</v>
      </c>
      <c r="D150">
        <f ca="1">IFERROR(__xludf.DUMMYFUNCTION("""COMPUTED_VALUE"""),14)</f>
        <v>14</v>
      </c>
      <c r="E150">
        <f ca="1">IFERROR(__xludf.DUMMYFUNCTION("""COMPUTED_VALUE"""),56.82)</f>
        <v>56.82</v>
      </c>
      <c r="F150">
        <f ca="1">IFERROR(__xludf.DUMMYFUNCTION("""COMPUTED_VALUE"""),25)</f>
        <v>25</v>
      </c>
      <c r="G150">
        <f ca="1">IFERROR(__xludf.DUMMYFUNCTION("""COMPUTED_VALUE"""),44)</f>
        <v>44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IFERROR(__xludf.DUMMYFUNCTION("""COMPUTED_VALUE"""),146)</f>
        <v>146</v>
      </c>
      <c r="C151" t="str">
        <f ca="1">IFERROR(__xludf.DUMMYFUNCTION("""COMPUTED_VALUE"""),"Joseph Bramlett")</f>
        <v>Joseph Bramlett</v>
      </c>
      <c r="D151">
        <f ca="1">IFERROR(__xludf.DUMMYFUNCTION("""COMPUTED_VALUE"""),18)</f>
        <v>18</v>
      </c>
      <c r="E151">
        <f ca="1">IFERROR(__xludf.DUMMYFUNCTION("""COMPUTED_VALUE"""),56.67)</f>
        <v>56.67</v>
      </c>
      <c r="F151">
        <f ca="1">IFERROR(__xludf.DUMMYFUNCTION("""COMPUTED_VALUE"""),17)</f>
        <v>17</v>
      </c>
      <c r="G151">
        <f ca="1">IFERROR(__xludf.DUMMYFUNCTION("""COMPUTED_VALUE"""),30)</f>
        <v>30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IFERROR(__xludf.DUMMYFUNCTION("""COMPUTED_VALUE"""),147)</f>
        <v>147</v>
      </c>
      <c r="C152" t="str">
        <f ca="1">IFERROR(__xludf.DUMMYFUNCTION("""COMPUTED_VALUE"""),"Sebastián Muñoz")</f>
        <v>Sebastián Muñoz</v>
      </c>
      <c r="D152">
        <f ca="1">IFERROR(__xludf.DUMMYFUNCTION("""COMPUTED_VALUE"""),20)</f>
        <v>20</v>
      </c>
      <c r="E152">
        <f ca="1">IFERROR(__xludf.DUMMYFUNCTION("""COMPUTED_VALUE"""),56.6)</f>
        <v>56.6</v>
      </c>
      <c r="F152">
        <f ca="1">IFERROR(__xludf.DUMMYFUNCTION("""COMPUTED_VALUE"""),30)</f>
        <v>30</v>
      </c>
      <c r="G152">
        <f ca="1">IFERROR(__xludf.DUMMYFUNCTION("""COMPUTED_VALUE"""),53)</f>
        <v>53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IFERROR(__xludf.DUMMYFUNCTION("""COMPUTED_VALUE"""),"T148")</f>
        <v>T148</v>
      </c>
      <c r="C153" t="str">
        <f ca="1">IFERROR(__xludf.DUMMYFUNCTION("""COMPUTED_VALUE"""),"Ben Taylor")</f>
        <v>Ben Taylor</v>
      </c>
      <c r="D153">
        <f ca="1">IFERROR(__xludf.DUMMYFUNCTION("""COMPUTED_VALUE"""),10)</f>
        <v>10</v>
      </c>
      <c r="E153">
        <f ca="1">IFERROR(__xludf.DUMMYFUNCTION("""COMPUTED_VALUE"""),56.25)</f>
        <v>56.25</v>
      </c>
      <c r="F153">
        <f ca="1">IFERROR(__xludf.DUMMYFUNCTION("""COMPUTED_VALUE"""),9)</f>
        <v>9</v>
      </c>
      <c r="G153">
        <f ca="1">IFERROR(__xludf.DUMMYFUNCTION("""COMPUTED_VALUE"""),16)</f>
        <v>16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IFERROR(__xludf.DUMMYFUNCTION("""COMPUTED_VALUE"""),"T88")</f>
        <v>T88</v>
      </c>
      <c r="C154" t="str">
        <f ca="1">IFERROR(__xludf.DUMMYFUNCTION("""COMPUTED_VALUE"""),"Max Homa")</f>
        <v>Max Homa</v>
      </c>
      <c r="D154">
        <f ca="1">IFERROR(__xludf.DUMMYFUNCTION("""COMPUTED_VALUE"""),12)</f>
        <v>12</v>
      </c>
      <c r="E154">
        <f ca="1">IFERROR(__xludf.DUMMYFUNCTION("""COMPUTED_VALUE"""),56.25)</f>
        <v>56.25</v>
      </c>
      <c r="F154">
        <f ca="1">IFERROR(__xludf.DUMMYFUNCTION("""COMPUTED_VALUE"""),18)</f>
        <v>18</v>
      </c>
      <c r="G154">
        <f ca="1">IFERROR(__xludf.DUMMYFUNCTION("""COMPUTED_VALUE"""),32)</f>
        <v>32</v>
      </c>
    </row>
    <row r="155" spans="1:7" ht="12.75">
      <c r="A155" t="str">
        <f ca="1">IFERROR(__xludf.DUMMYFUNCTION("""COMPUTED_VALUE"""),"T154")</f>
        <v>T154</v>
      </c>
      <c r="B155">
        <f ca="1">IFERROR(__xludf.DUMMYFUNCTION("""COMPUTED_VALUE"""),219)</f>
        <v>219</v>
      </c>
      <c r="C155" t="str">
        <f ca="1">IFERROR(__xludf.DUMMYFUNCTION("""COMPUTED_VALUE"""),"Jordan Spieth")</f>
        <v>Jordan Spieth</v>
      </c>
      <c r="D155">
        <f ca="1">IFERROR(__xludf.DUMMYFUNCTION("""COMPUTED_VALUE"""),14)</f>
        <v>14</v>
      </c>
      <c r="E155">
        <f ca="1">IFERROR(__xludf.DUMMYFUNCTION("""COMPUTED_VALUE"""),56.1)</f>
        <v>56.1</v>
      </c>
      <c r="F155">
        <f ca="1">IFERROR(__xludf.DUMMYFUNCTION("""COMPUTED_VALUE"""),23)</f>
        <v>23</v>
      </c>
      <c r="G155">
        <f ca="1">IFERROR(__xludf.DUMMYFUNCTION("""COMPUTED_VALUE"""),41)</f>
        <v>41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IFERROR(__xludf.DUMMYFUNCTION("""COMPUTED_VALUE"""),"T88")</f>
        <v>T88</v>
      </c>
      <c r="C156" t="str">
        <f ca="1">IFERROR(__xludf.DUMMYFUNCTION("""COMPUTED_VALUE"""),"Luke List")</f>
        <v>Luke List</v>
      </c>
      <c r="D156">
        <f ca="1">IFERROR(__xludf.DUMMYFUNCTION("""COMPUTED_VALUE"""),18)</f>
        <v>18</v>
      </c>
      <c r="E156">
        <f ca="1">IFERROR(__xludf.DUMMYFUNCTION("""COMPUTED_VALUE"""),56.1)</f>
        <v>56.1</v>
      </c>
      <c r="F156">
        <f ca="1">IFERROR(__xludf.DUMMYFUNCTION("""COMPUTED_VALUE"""),23)</f>
        <v>23</v>
      </c>
      <c r="G156">
        <f ca="1">IFERROR(__xludf.DUMMYFUNCTION("""COMPUTED_VALUE"""),41)</f>
        <v>41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IFERROR(__xludf.DUMMYFUNCTION("""COMPUTED_VALUE"""),"T150")</f>
        <v>T150</v>
      </c>
      <c r="C157" t="str">
        <f ca="1">IFERROR(__xludf.DUMMYFUNCTION("""COMPUTED_VALUE"""),"George McNeill")</f>
        <v>George McNeill</v>
      </c>
      <c r="D157">
        <f ca="1">IFERROR(__xludf.DUMMYFUNCTION("""COMPUTED_VALUE"""),8)</f>
        <v>8</v>
      </c>
      <c r="E157">
        <f ca="1">IFERROR(__xludf.DUMMYFUNCTION("""COMPUTED_VALUE"""),55.56)</f>
        <v>55.56</v>
      </c>
      <c r="F157">
        <f ca="1">IFERROR(__xludf.DUMMYFUNCTION("""COMPUTED_VALUE"""),5)</f>
        <v>5</v>
      </c>
      <c r="G157">
        <f ca="1">IFERROR(__xludf.DUMMYFUNCTION("""COMPUTED_VALUE"""),9)</f>
        <v>9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IFERROR(__xludf.DUMMYFUNCTION("""COMPUTED_VALUE"""),"T150")</f>
        <v>T150</v>
      </c>
      <c r="C158" t="str">
        <f ca="1">IFERROR(__xludf.DUMMYFUNCTION("""COMPUTED_VALUE"""),"Ricky Barnes")</f>
        <v>Ricky Barnes</v>
      </c>
      <c r="D158">
        <f ca="1">IFERROR(__xludf.DUMMYFUNCTION("""COMPUTED_VALUE"""),12)</f>
        <v>12</v>
      </c>
      <c r="E158">
        <f ca="1">IFERROR(__xludf.DUMMYFUNCTION("""COMPUTED_VALUE"""),55.56)</f>
        <v>55.56</v>
      </c>
      <c r="F158">
        <f ca="1">IFERROR(__xludf.DUMMYFUNCTION("""COMPUTED_VALUE"""),10)</f>
        <v>10</v>
      </c>
      <c r="G158">
        <f ca="1">IFERROR(__xludf.DUMMYFUNCTION("""COMPUTED_VALUE"""),18)</f>
        <v>18</v>
      </c>
    </row>
    <row r="159" spans="1:7" ht="12.75">
      <c r="A159" t="str">
        <f ca="1">IFERROR(__xludf.DUMMYFUNCTION("""COMPUTED_VALUE"""),"T156")</f>
        <v>T156</v>
      </c>
      <c r="B159" t="str">
        <f ca="1">IFERROR(__xludf.DUMMYFUNCTION("""COMPUTED_VALUE"""),"T150")</f>
        <v>T150</v>
      </c>
      <c r="C159" t="str">
        <f ca="1">IFERROR(__xludf.DUMMYFUNCTION("""COMPUTED_VALUE"""),"Aaron Baddeley")</f>
        <v>Aaron Baddeley</v>
      </c>
      <c r="D159">
        <f ca="1">IFERROR(__xludf.DUMMYFUNCTION("""COMPUTED_VALUE"""),8)</f>
        <v>8</v>
      </c>
      <c r="E159">
        <f ca="1">IFERROR(__xludf.DUMMYFUNCTION("""COMPUTED_VALUE"""),55.56)</f>
        <v>55.56</v>
      </c>
      <c r="F159">
        <f ca="1">IFERROR(__xludf.DUMMYFUNCTION("""COMPUTED_VALUE"""),5)</f>
        <v>5</v>
      </c>
      <c r="G159">
        <f ca="1">IFERROR(__xludf.DUMMYFUNCTION("""COMPUTED_VALUE"""),9)</f>
        <v>9</v>
      </c>
    </row>
    <row r="160" spans="1:7" ht="12.75">
      <c r="A160" t="str">
        <f ca="1">IFERROR(__xludf.DUMMYFUNCTION("""COMPUTED_VALUE"""),"T156")</f>
        <v>T156</v>
      </c>
      <c r="B160" t="str">
        <f ca="1">IFERROR(__xludf.DUMMYFUNCTION("""COMPUTED_VALUE"""),"T150")</f>
        <v>T150</v>
      </c>
      <c r="C160" t="str">
        <f ca="1">IFERROR(__xludf.DUMMYFUNCTION("""COMPUTED_VALUE"""),"Brendan Steele")</f>
        <v>Brendan Steele</v>
      </c>
      <c r="D160">
        <f ca="1">IFERROR(__xludf.DUMMYFUNCTION("""COMPUTED_VALUE"""),14)</f>
        <v>14</v>
      </c>
      <c r="E160">
        <f ca="1">IFERROR(__xludf.DUMMYFUNCTION("""COMPUTED_VALUE"""),55.56)</f>
        <v>55.56</v>
      </c>
      <c r="F160">
        <f ca="1">IFERROR(__xludf.DUMMYFUNCTION("""COMPUTED_VALUE"""),10)</f>
        <v>10</v>
      </c>
      <c r="G160">
        <f ca="1">IFERROR(__xludf.DUMMYFUNCTION("""COMPUTED_VALUE"""),18)</f>
        <v>18</v>
      </c>
    </row>
    <row r="161" spans="1:7" ht="12.75">
      <c r="A161" t="str">
        <f ca="1">IFERROR(__xludf.DUMMYFUNCTION("""COMPUTED_VALUE"""),"T156")</f>
        <v>T156</v>
      </c>
      <c r="B161" t="str">
        <f ca="1">IFERROR(__xludf.DUMMYFUNCTION("""COMPUTED_VALUE"""),"T96")</f>
        <v>T96</v>
      </c>
      <c r="C161" t="str">
        <f ca="1">IFERROR(__xludf.DUMMYFUNCTION("""COMPUTED_VALUE"""),"Ted Potter, Jr.")</f>
        <v>Ted Potter, Jr.</v>
      </c>
      <c r="D161">
        <f ca="1">IFERROR(__xludf.DUMMYFUNCTION("""COMPUTED_VALUE"""),8)</f>
        <v>8</v>
      </c>
      <c r="E161">
        <f ca="1">IFERROR(__xludf.DUMMYFUNCTION("""COMPUTED_VALUE"""),55.56)</f>
        <v>55.56</v>
      </c>
      <c r="F161">
        <f ca="1">IFERROR(__xludf.DUMMYFUNCTION("""COMPUTED_VALUE"""),15)</f>
        <v>15</v>
      </c>
      <c r="G161">
        <f ca="1">IFERROR(__xludf.DUMMYFUNCTION("""COMPUTED_VALUE"""),27)</f>
        <v>27</v>
      </c>
    </row>
    <row r="162" spans="1:7" ht="12.75">
      <c r="A162" t="str">
        <f ca="1">IFERROR(__xludf.DUMMYFUNCTION("""COMPUTED_VALUE"""),"T156")</f>
        <v>T156</v>
      </c>
      <c r="B162" t="str">
        <f ca="1">IFERROR(__xludf.DUMMYFUNCTION("""COMPUTED_VALUE"""),"T150")</f>
        <v>T150</v>
      </c>
      <c r="C162" t="str">
        <f ca="1">IFERROR(__xludf.DUMMYFUNCTION("""COMPUTED_VALUE"""),"Roberto Díaz")</f>
        <v>Roberto Díaz</v>
      </c>
      <c r="D162">
        <f ca="1">IFERROR(__xludf.DUMMYFUNCTION("""COMPUTED_VALUE"""),4)</f>
        <v>4</v>
      </c>
      <c r="E162">
        <f ca="1">IFERROR(__xludf.DUMMYFUNCTION("""COMPUTED_VALUE"""),55.56)</f>
        <v>55.56</v>
      </c>
      <c r="F162">
        <f ca="1">IFERROR(__xludf.DUMMYFUNCTION("""COMPUTED_VALUE"""),5)</f>
        <v>5</v>
      </c>
      <c r="G162">
        <f ca="1">IFERROR(__xludf.DUMMYFUNCTION("""COMPUTED_VALUE"""),9)</f>
        <v>9</v>
      </c>
    </row>
    <row r="163" spans="1:7" ht="12.75">
      <c r="A163" t="str">
        <f ca="1">IFERROR(__xludf.DUMMYFUNCTION("""COMPUTED_VALUE"""),"T156")</f>
        <v>T156</v>
      </c>
      <c r="B163">
        <f ca="1">IFERROR(__xludf.DUMMYFUNCTION("""COMPUTED_VALUE"""),217)</f>
        <v>217</v>
      </c>
      <c r="C163" t="str">
        <f ca="1">IFERROR(__xludf.DUMMYFUNCTION("""COMPUTED_VALUE"""),"Sepp Straka")</f>
        <v>Sepp Straka</v>
      </c>
      <c r="D163">
        <f ca="1">IFERROR(__xludf.DUMMYFUNCTION("""COMPUTED_VALUE"""),22)</f>
        <v>22</v>
      </c>
      <c r="E163">
        <f ca="1">IFERROR(__xludf.DUMMYFUNCTION("""COMPUTED_VALUE"""),55.56)</f>
        <v>55.56</v>
      </c>
      <c r="F163">
        <f ca="1">IFERROR(__xludf.DUMMYFUNCTION("""COMPUTED_VALUE"""),25)</f>
        <v>25</v>
      </c>
      <c r="G163">
        <f ca="1">IFERROR(__xludf.DUMMYFUNCTION("""COMPUTED_VALUE"""),45)</f>
        <v>45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IFERROR(__xludf.DUMMYFUNCTION("""COMPUTED_VALUE"""),"T108")</f>
        <v>T108</v>
      </c>
      <c r="C164" t="str">
        <f ca="1">IFERROR(__xludf.DUMMYFUNCTION("""COMPUTED_VALUE"""),"Michael Kim")</f>
        <v>Michael Kim</v>
      </c>
      <c r="D164">
        <f ca="1">IFERROR(__xludf.DUMMYFUNCTION("""COMPUTED_VALUE"""),12)</f>
        <v>12</v>
      </c>
      <c r="E164">
        <f ca="1">IFERROR(__xludf.DUMMYFUNCTION("""COMPUTED_VALUE"""),55.17)</f>
        <v>55.17</v>
      </c>
      <c r="F164">
        <f ca="1">IFERROR(__xludf.DUMMYFUNCTION("""COMPUTED_VALUE"""),16)</f>
        <v>16</v>
      </c>
      <c r="G164">
        <f ca="1">IFERROR(__xludf.DUMMYFUNCTION("""COMPUTED_VALUE"""),29)</f>
        <v>29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IFERROR(__xludf.DUMMYFUNCTION("""COMPUTED_VALUE"""),"T267")</f>
        <v>T267</v>
      </c>
      <c r="C165" t="str">
        <f ca="1">IFERROR(__xludf.DUMMYFUNCTION("""COMPUTED_VALUE"""),"Tony Finau")</f>
        <v>Tony Finau</v>
      </c>
      <c r="D165">
        <f ca="1">IFERROR(__xludf.DUMMYFUNCTION("""COMPUTED_VALUE"""),12)</f>
        <v>12</v>
      </c>
      <c r="E165">
        <f ca="1">IFERROR(__xludf.DUMMYFUNCTION("""COMPUTED_VALUE"""),55.17)</f>
        <v>55.17</v>
      </c>
      <c r="F165">
        <f ca="1">IFERROR(__xludf.DUMMYFUNCTION("""COMPUTED_VALUE"""),16)</f>
        <v>16</v>
      </c>
      <c r="G165">
        <f ca="1">IFERROR(__xludf.DUMMYFUNCTION("""COMPUTED_VALUE"""),29)</f>
        <v>29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IFERROR(__xludf.DUMMYFUNCTION("""COMPUTED_VALUE"""),158)</f>
        <v>158</v>
      </c>
      <c r="C166" t="str">
        <f ca="1">IFERROR(__xludf.DUMMYFUNCTION("""COMPUTED_VALUE"""),"Adam Hadwin")</f>
        <v>Adam Hadwin</v>
      </c>
      <c r="D166">
        <f ca="1">IFERROR(__xludf.DUMMYFUNCTION("""COMPUTED_VALUE"""),16)</f>
        <v>16</v>
      </c>
      <c r="E166">
        <f ca="1">IFERROR(__xludf.DUMMYFUNCTION("""COMPUTED_VALUE"""),54.76)</f>
        <v>54.76</v>
      </c>
      <c r="F166">
        <f ca="1">IFERROR(__xludf.DUMMYFUNCTION("""COMPUTED_VALUE"""),23)</f>
        <v>23</v>
      </c>
      <c r="G166">
        <f ca="1">IFERROR(__xludf.DUMMYFUNCTION("""COMPUTED_VALUE"""),42)</f>
        <v>42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IFERROR(__xludf.DUMMYFUNCTION("""COMPUTED_VALUE"""),"T159")</f>
        <v>T159</v>
      </c>
      <c r="C167" t="str">
        <f ca="1">IFERROR(__xludf.DUMMYFUNCTION("""COMPUTED_VALUE"""),"Nelson Ledesma")</f>
        <v>Nelson Ledesma</v>
      </c>
      <c r="D167">
        <f ca="1">IFERROR(__xludf.DUMMYFUNCTION("""COMPUTED_VALUE"""),8)</f>
        <v>8</v>
      </c>
      <c r="E167">
        <f ca="1">IFERROR(__xludf.DUMMYFUNCTION("""COMPUTED_VALUE"""),54.55)</f>
        <v>54.55</v>
      </c>
      <c r="F167">
        <f ca="1">IFERROR(__xludf.DUMMYFUNCTION("""COMPUTED_VALUE"""),6)</f>
        <v>6</v>
      </c>
      <c r="G167">
        <f ca="1">IFERROR(__xludf.DUMMYFUNCTION("""COMPUTED_VALUE"""),11)</f>
        <v>11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IFERROR(__xludf.DUMMYFUNCTION("""COMPUTED_VALUE"""),"T159")</f>
        <v>T159</v>
      </c>
      <c r="C168" t="str">
        <f ca="1">IFERROR(__xludf.DUMMYFUNCTION("""COMPUTED_VALUE"""),"Michael Gellerman")</f>
        <v>Michael Gellerman</v>
      </c>
      <c r="D168">
        <f ca="1">IFERROR(__xludf.DUMMYFUNCTION("""COMPUTED_VALUE"""),5)</f>
        <v>5</v>
      </c>
      <c r="E168">
        <f ca="1">IFERROR(__xludf.DUMMYFUNCTION("""COMPUTED_VALUE"""),54.55)</f>
        <v>54.55</v>
      </c>
      <c r="F168">
        <f ca="1">IFERROR(__xludf.DUMMYFUNCTION("""COMPUTED_VALUE"""),6)</f>
        <v>6</v>
      </c>
      <c r="G168">
        <f ca="1">IFERROR(__xludf.DUMMYFUNCTION("""COMPUTED_VALUE"""),11)</f>
        <v>11</v>
      </c>
    </row>
    <row r="169" spans="1:7" ht="12.75">
      <c r="A169" t="str">
        <f ca="1">IFERROR(__xludf.DUMMYFUNCTION("""COMPUTED_VALUE"""),"T166")</f>
        <v>T166</v>
      </c>
      <c r="B169" t="str">
        <f ca="1">IFERROR(__xludf.DUMMYFUNCTION("""COMPUTED_VALUE"""),"T159")</f>
        <v>T159</v>
      </c>
      <c r="C169" t="str">
        <f ca="1">IFERROR(__xludf.DUMMYFUNCTION("""COMPUTED_VALUE"""),"Naoki Sekito")</f>
        <v>Naoki Sekito</v>
      </c>
      <c r="D169">
        <f ca="1">IFERROR(__xludf.DUMMYFUNCTION("""COMPUTED_VALUE"""),4)</f>
        <v>4</v>
      </c>
      <c r="E169">
        <f ca="1">IFERROR(__xludf.DUMMYFUNCTION("""COMPUTED_VALUE"""),54.55)</f>
        <v>54.55</v>
      </c>
      <c r="F169">
        <f ca="1">IFERROR(__xludf.DUMMYFUNCTION("""COMPUTED_VALUE"""),6)</f>
        <v>6</v>
      </c>
      <c r="G169">
        <f ca="1">IFERROR(__xludf.DUMMYFUNCTION("""COMPUTED_VALUE"""),11)</f>
        <v>11</v>
      </c>
    </row>
    <row r="170" spans="1:7" ht="12.75">
      <c r="A170" t="str">
        <f ca="1">IFERROR(__xludf.DUMMYFUNCTION("""COMPUTED_VALUE"""),"T166")</f>
        <v>T166</v>
      </c>
      <c r="B170" t="str">
        <f ca="1">IFERROR(__xludf.DUMMYFUNCTION("""COMPUTED_VALUE"""),"T159")</f>
        <v>T159</v>
      </c>
      <c r="C170" t="str">
        <f ca="1">IFERROR(__xludf.DUMMYFUNCTION("""COMPUTED_VALUE"""),"Billy Horschel")</f>
        <v>Billy Horschel</v>
      </c>
      <c r="D170">
        <f ca="1">IFERROR(__xludf.DUMMYFUNCTION("""COMPUTED_VALUE"""),12)</f>
        <v>12</v>
      </c>
      <c r="E170">
        <f ca="1">IFERROR(__xludf.DUMMYFUNCTION("""COMPUTED_VALUE"""),54.55)</f>
        <v>54.55</v>
      </c>
      <c r="F170">
        <f ca="1">IFERROR(__xludf.DUMMYFUNCTION("""COMPUTED_VALUE"""),12)</f>
        <v>12</v>
      </c>
      <c r="G170">
        <f ca="1">IFERROR(__xludf.DUMMYFUNCTION("""COMPUTED_VALUE"""),22)</f>
        <v>22</v>
      </c>
    </row>
    <row r="171" spans="1:7" ht="12.75">
      <c r="A171">
        <f ca="1">IFERROR(__xludf.DUMMYFUNCTION("""COMPUTED_VALUE"""),170)</f>
        <v>170</v>
      </c>
      <c r="B171" t="str">
        <f ca="1">IFERROR(__xludf.DUMMYFUNCTION("""COMPUTED_VALUE"""),"T150")</f>
        <v>T150</v>
      </c>
      <c r="C171" t="str">
        <f ca="1">IFERROR(__xludf.DUMMYFUNCTION("""COMPUTED_VALUE"""),"Kevin Chappell")</f>
        <v>Kevin Chappell</v>
      </c>
      <c r="D171">
        <f ca="1">IFERROR(__xludf.DUMMYFUNCTION("""COMPUTED_VALUE"""),16)</f>
        <v>16</v>
      </c>
      <c r="E171">
        <f ca="1">IFERROR(__xludf.DUMMYFUNCTION("""COMPUTED_VALUE"""),54.35)</f>
        <v>54.35</v>
      </c>
      <c r="F171">
        <f ca="1">IFERROR(__xludf.DUMMYFUNCTION("""COMPUTED_VALUE"""),25)</f>
        <v>25</v>
      </c>
      <c r="G171">
        <f ca="1">IFERROR(__xludf.DUMMYFUNCTION("""COMPUTED_VALUE"""),46)</f>
        <v>46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IFERROR(__xludf.DUMMYFUNCTION("""COMPUTED_VALUE"""),"T183")</f>
        <v>T183</v>
      </c>
      <c r="C172" t="str">
        <f ca="1">IFERROR(__xludf.DUMMYFUNCTION("""COMPUTED_VALUE"""),"Hunter Mahan")</f>
        <v>Hunter Mahan</v>
      </c>
      <c r="D172">
        <f ca="1">IFERROR(__xludf.DUMMYFUNCTION("""COMPUTED_VALUE"""),14)</f>
        <v>14</v>
      </c>
      <c r="E172">
        <f ca="1">IFERROR(__xludf.DUMMYFUNCTION("""COMPUTED_VALUE"""),54.05)</f>
        <v>54.05</v>
      </c>
      <c r="F172">
        <f ca="1">IFERROR(__xludf.DUMMYFUNCTION("""COMPUTED_VALUE"""),20)</f>
        <v>20</v>
      </c>
      <c r="G172">
        <f ca="1">IFERROR(__xludf.DUMMYFUNCTION("""COMPUTED_VALUE"""),37)</f>
        <v>37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IFERROR(__xludf.DUMMYFUNCTION("""COMPUTED_VALUE"""),"T248")</f>
        <v>T248</v>
      </c>
      <c r="C173" t="str">
        <f ca="1">IFERROR(__xludf.DUMMYFUNCTION("""COMPUTED_VALUE"""),"Tyrrell Hatton")</f>
        <v>Tyrrell Hatton</v>
      </c>
      <c r="D173">
        <f ca="1">IFERROR(__xludf.DUMMYFUNCTION("""COMPUTED_VALUE"""),14)</f>
        <v>14</v>
      </c>
      <c r="E173">
        <f ca="1">IFERROR(__xludf.DUMMYFUNCTION("""COMPUTED_VALUE"""),54.05)</f>
        <v>54.05</v>
      </c>
      <c r="F173">
        <f ca="1">IFERROR(__xludf.DUMMYFUNCTION("""COMPUTED_VALUE"""),20)</f>
        <v>20</v>
      </c>
      <c r="G173">
        <f ca="1">IFERROR(__xludf.DUMMYFUNCTION("""COMPUTED_VALUE"""),37)</f>
        <v>37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IFERROR(__xludf.DUMMYFUNCTION("""COMPUTED_VALUE"""),"T164")</f>
        <v>T164</v>
      </c>
      <c r="C174" t="str">
        <f ca="1">IFERROR(__xludf.DUMMYFUNCTION("""COMPUTED_VALUE"""),"Shugo Imahira")</f>
        <v>Shugo Imahira</v>
      </c>
      <c r="D174">
        <f ca="1">IFERROR(__xludf.DUMMYFUNCTION("""COMPUTED_VALUE"""),8)</f>
        <v>8</v>
      </c>
      <c r="E174">
        <f ca="1">IFERROR(__xludf.DUMMYFUNCTION("""COMPUTED_VALUE"""),53.85)</f>
        <v>53.85</v>
      </c>
      <c r="F174">
        <f ca="1">IFERROR(__xludf.DUMMYFUNCTION("""COMPUTED_VALUE"""),14)</f>
        <v>14</v>
      </c>
      <c r="G174">
        <f ca="1">IFERROR(__xludf.DUMMYFUNCTION("""COMPUTED_VALUE"""),26)</f>
        <v>26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IFERROR(__xludf.DUMMYFUNCTION("""COMPUTED_VALUE"""),"T164")</f>
        <v>T164</v>
      </c>
      <c r="C175" t="str">
        <f ca="1">IFERROR(__xludf.DUMMYFUNCTION("""COMPUTED_VALUE"""),"Zac Blair")</f>
        <v>Zac Blair</v>
      </c>
      <c r="D175">
        <f ca="1">IFERROR(__xludf.DUMMYFUNCTION("""COMPUTED_VALUE"""),10)</f>
        <v>10</v>
      </c>
      <c r="E175">
        <f ca="1">IFERROR(__xludf.DUMMYFUNCTION("""COMPUTED_VALUE"""),53.85)</f>
        <v>53.85</v>
      </c>
      <c r="F175">
        <f ca="1">IFERROR(__xludf.DUMMYFUNCTION("""COMPUTED_VALUE"""),14)</f>
        <v>14</v>
      </c>
      <c r="G175">
        <f ca="1">IFERROR(__xludf.DUMMYFUNCTION("""COMPUTED_VALUE"""),26)</f>
        <v>26</v>
      </c>
    </row>
    <row r="176" spans="1:7" ht="12.75">
      <c r="A176" t="str">
        <f ca="1">IFERROR(__xludf.DUMMYFUNCTION("""COMPUTED_VALUE"""),"T173")</f>
        <v>T173</v>
      </c>
      <c r="B176" t="str">
        <f ca="1">IFERROR(__xludf.DUMMYFUNCTION("""COMPUTED_VALUE"""),"T164")</f>
        <v>T164</v>
      </c>
      <c r="C176" t="str">
        <f ca="1">IFERROR(__xludf.DUMMYFUNCTION("""COMPUTED_VALUE"""),"Shaun Norris")</f>
        <v>Shaun Norris</v>
      </c>
      <c r="D176">
        <f ca="1">IFERROR(__xludf.DUMMYFUNCTION("""COMPUTED_VALUE"""),6)</f>
        <v>6</v>
      </c>
      <c r="E176">
        <f ca="1">IFERROR(__xludf.DUMMYFUNCTION("""COMPUTED_VALUE"""),53.85)</f>
        <v>53.85</v>
      </c>
      <c r="F176">
        <f ca="1">IFERROR(__xludf.DUMMYFUNCTION("""COMPUTED_VALUE"""),7)</f>
        <v>7</v>
      </c>
      <c r="G176">
        <f ca="1">IFERROR(__xludf.DUMMYFUNCTION("""COMPUTED_VALUE"""),13)</f>
        <v>13</v>
      </c>
    </row>
    <row r="177" spans="1:7" ht="12.75">
      <c r="A177" t="str">
        <f ca="1">IFERROR(__xludf.DUMMYFUNCTION("""COMPUTED_VALUE"""),"T173")</f>
        <v>T173</v>
      </c>
      <c r="B177" t="str">
        <f ca="1">IFERROR(__xludf.DUMMYFUNCTION("""COMPUTED_VALUE"""),"T164")</f>
        <v>T164</v>
      </c>
      <c r="C177" t="str">
        <f ca="1">IFERROR(__xludf.DUMMYFUNCTION("""COMPUTED_VALUE"""),"Tommy Fleetwood")</f>
        <v>Tommy Fleetwood</v>
      </c>
      <c r="D177">
        <f ca="1">IFERROR(__xludf.DUMMYFUNCTION("""COMPUTED_VALUE"""),10)</f>
        <v>10</v>
      </c>
      <c r="E177">
        <f ca="1">IFERROR(__xludf.DUMMYFUNCTION("""COMPUTED_VALUE"""),53.85)</f>
        <v>53.85</v>
      </c>
      <c r="F177">
        <f ca="1">IFERROR(__xludf.DUMMYFUNCTION("""COMPUTED_VALUE"""),14)</f>
        <v>14</v>
      </c>
      <c r="G177">
        <f ca="1">IFERROR(__xludf.DUMMYFUNCTION("""COMPUTED_VALUE"""),26)</f>
        <v>26</v>
      </c>
    </row>
    <row r="178" spans="1:7" ht="12.75">
      <c r="A178" t="str">
        <f ca="1">IFERROR(__xludf.DUMMYFUNCTION("""COMPUTED_VALUE"""),"T173")</f>
        <v>T173</v>
      </c>
      <c r="B178" t="str">
        <f ca="1">IFERROR(__xludf.DUMMYFUNCTION("""COMPUTED_VALUE"""),"T164")</f>
        <v>T164</v>
      </c>
      <c r="C178" t="str">
        <f ca="1">IFERROR(__xludf.DUMMYFUNCTION("""COMPUTED_VALUE"""),"Sangmoon Bae")</f>
        <v>Sangmoon Bae</v>
      </c>
      <c r="D178">
        <f ca="1">IFERROR(__xludf.DUMMYFUNCTION("""COMPUTED_VALUE"""),8)</f>
        <v>8</v>
      </c>
      <c r="E178">
        <f ca="1">IFERROR(__xludf.DUMMYFUNCTION("""COMPUTED_VALUE"""),53.85)</f>
        <v>53.85</v>
      </c>
      <c r="F178">
        <f ca="1">IFERROR(__xludf.DUMMYFUNCTION("""COMPUTED_VALUE"""),7)</f>
        <v>7</v>
      </c>
      <c r="G178">
        <f ca="1">IFERROR(__xludf.DUMMYFUNCTION("""COMPUTED_VALUE"""),13)</f>
        <v>13</v>
      </c>
    </row>
    <row r="179" spans="1:7" ht="12.75">
      <c r="A179" t="str">
        <f ca="1">IFERROR(__xludf.DUMMYFUNCTION("""COMPUTED_VALUE"""),"T178")</f>
        <v>T178</v>
      </c>
      <c r="B179" t="str">
        <f ca="1">IFERROR(__xludf.DUMMYFUNCTION("""COMPUTED_VALUE"""),"T172")</f>
        <v>T172</v>
      </c>
      <c r="C179" t="str">
        <f ca="1">IFERROR(__xludf.DUMMYFUNCTION("""COMPUTED_VALUE"""),"Kiradech Aphibarnrat")</f>
        <v>Kiradech Aphibarnrat</v>
      </c>
      <c r="D179">
        <f ca="1">IFERROR(__xludf.DUMMYFUNCTION("""COMPUTED_VALUE"""),12)</f>
        <v>12</v>
      </c>
      <c r="E179">
        <f ca="1">IFERROR(__xludf.DUMMYFUNCTION("""COMPUTED_VALUE"""),53.33)</f>
        <v>53.33</v>
      </c>
      <c r="F179">
        <f ca="1">IFERROR(__xludf.DUMMYFUNCTION("""COMPUTED_VALUE"""),8)</f>
        <v>8</v>
      </c>
      <c r="G179">
        <f ca="1">IFERROR(__xludf.DUMMYFUNCTION("""COMPUTED_VALUE"""),15)</f>
        <v>15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IFERROR(__xludf.DUMMYFUNCTION("""COMPUTED_VALUE"""),"T172")</f>
        <v>T172</v>
      </c>
      <c r="C180" t="str">
        <f ca="1">IFERROR(__xludf.DUMMYFUNCTION("""COMPUTED_VALUE"""),"Stephan Jaeger")</f>
        <v>Stephan Jaeger</v>
      </c>
      <c r="D180">
        <f ca="1">IFERROR(__xludf.DUMMYFUNCTION("""COMPUTED_VALUE"""),4)</f>
        <v>4</v>
      </c>
      <c r="E180">
        <f ca="1">IFERROR(__xludf.DUMMYFUNCTION("""COMPUTED_VALUE"""),53.33)</f>
        <v>53.33</v>
      </c>
      <c r="F180">
        <f ca="1">IFERROR(__xludf.DUMMYFUNCTION("""COMPUTED_VALUE"""),8)</f>
        <v>8</v>
      </c>
      <c r="G180">
        <f ca="1">IFERROR(__xludf.DUMMYFUNCTION("""COMPUTED_VALUE"""),15)</f>
        <v>15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IFERROR(__xludf.DUMMYFUNCTION("""COMPUTED_VALUE"""),"T106")</f>
        <v>T106</v>
      </c>
      <c r="C181" t="str">
        <f ca="1">IFERROR(__xludf.DUMMYFUNCTION("""COMPUTED_VALUE"""),"Stewart Cink")</f>
        <v>Stewart Cink</v>
      </c>
      <c r="D181">
        <f ca="1">IFERROR(__xludf.DUMMYFUNCTION("""COMPUTED_VALUE"""),18)</f>
        <v>18</v>
      </c>
      <c r="E181">
        <f ca="1">IFERROR(__xludf.DUMMYFUNCTION("""COMPUTED_VALUE"""),52.78)</f>
        <v>52.78</v>
      </c>
      <c r="F181">
        <f ca="1">IFERROR(__xludf.DUMMYFUNCTION("""COMPUTED_VALUE"""),19)</f>
        <v>19</v>
      </c>
      <c r="G181">
        <f ca="1">IFERROR(__xludf.DUMMYFUNCTION("""COMPUTED_VALUE"""),36)</f>
        <v>36</v>
      </c>
    </row>
    <row r="182" spans="1:7" ht="12.75">
      <c r="A182">
        <f ca="1">IFERROR(__xludf.DUMMYFUNCTION("""COMPUTED_VALUE"""),181)</f>
        <v>181</v>
      </c>
      <c r="B182" t="str">
        <f ca="1">IFERROR(__xludf.DUMMYFUNCTION("""COMPUTED_VALUE"""),"T55")</f>
        <v>T55</v>
      </c>
      <c r="C182" t="str">
        <f ca="1">IFERROR(__xludf.DUMMYFUNCTION("""COMPUTED_VALUE"""),"Padraig Harrington")</f>
        <v>Padraig Harrington</v>
      </c>
      <c r="D182">
        <f ca="1">IFERROR(__xludf.DUMMYFUNCTION("""COMPUTED_VALUE"""),8)</f>
        <v>8</v>
      </c>
      <c r="E182">
        <f ca="1">IFERROR(__xludf.DUMMYFUNCTION("""COMPUTED_VALUE"""),52.38)</f>
        <v>52.38</v>
      </c>
      <c r="F182">
        <f ca="1">IFERROR(__xludf.DUMMYFUNCTION("""COMPUTED_VALUE"""),11)</f>
        <v>11</v>
      </c>
      <c r="G182">
        <f ca="1">IFERROR(__xludf.DUMMYFUNCTION("""COMPUTED_VALUE"""),21)</f>
        <v>21</v>
      </c>
    </row>
    <row r="183" spans="1:7" ht="12.75">
      <c r="A183">
        <f ca="1">IFERROR(__xludf.DUMMYFUNCTION("""COMPUTED_VALUE"""),182)</f>
        <v>182</v>
      </c>
      <c r="B183" t="str">
        <f ca="1">IFERROR(__xludf.DUMMYFUNCTION("""COMPUTED_VALUE"""),"T172")</f>
        <v>T172</v>
      </c>
      <c r="C183" t="str">
        <f ca="1">IFERROR(__xludf.DUMMYFUNCTION("""COMPUTED_VALUE"""),"Austin Cook")</f>
        <v>Austin Cook</v>
      </c>
      <c r="D183">
        <f ca="1">IFERROR(__xludf.DUMMYFUNCTION("""COMPUTED_VALUE"""),14)</f>
        <v>14</v>
      </c>
      <c r="E183">
        <f ca="1">IFERROR(__xludf.DUMMYFUNCTION("""COMPUTED_VALUE"""),51.85)</f>
        <v>51.85</v>
      </c>
      <c r="F183">
        <f ca="1">IFERROR(__xludf.DUMMYFUNCTION("""COMPUTED_VALUE"""),14)</f>
        <v>14</v>
      </c>
      <c r="G183">
        <f ca="1">IFERROR(__xludf.DUMMYFUNCTION("""COMPUTED_VALUE"""),27)</f>
        <v>27</v>
      </c>
    </row>
    <row r="184" spans="1:7" ht="12.75">
      <c r="A184">
        <f ca="1">IFERROR(__xludf.DUMMYFUNCTION("""COMPUTED_VALUE"""),183)</f>
        <v>183</v>
      </c>
      <c r="B184" t="str">
        <f ca="1">IFERROR(__xludf.DUMMYFUNCTION("""COMPUTED_VALUE"""),"T103")</f>
        <v>T103</v>
      </c>
      <c r="C184" t="str">
        <f ca="1">IFERROR(__xludf.DUMMYFUNCTION("""COMPUTED_VALUE"""),"Matthew NeSmith")</f>
        <v>Matthew NeSmith</v>
      </c>
      <c r="D184">
        <f ca="1">IFERROR(__xludf.DUMMYFUNCTION("""COMPUTED_VALUE"""),16)</f>
        <v>16</v>
      </c>
      <c r="E184">
        <f ca="1">IFERROR(__xludf.DUMMYFUNCTION("""COMPUTED_VALUE"""),51.52)</f>
        <v>51.52</v>
      </c>
      <c r="F184">
        <f ca="1">IFERROR(__xludf.DUMMYFUNCTION("""COMPUTED_VALUE"""),17)</f>
        <v>17</v>
      </c>
      <c r="G184">
        <f ca="1">IFERROR(__xludf.DUMMYFUNCTION("""COMPUTED_VALUE"""),33)</f>
        <v>33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IFERROR(__xludf.DUMMYFUNCTION("""COMPUTED_VALUE"""),78)</f>
        <v>78</v>
      </c>
      <c r="C185" t="str">
        <f ca="1">IFERROR(__xludf.DUMMYFUNCTION("""COMPUTED_VALUE"""),"Doc Redman")</f>
        <v>Doc Redman</v>
      </c>
      <c r="D185">
        <f ca="1">IFERROR(__xludf.DUMMYFUNCTION("""COMPUTED_VALUE"""),18)</f>
        <v>18</v>
      </c>
      <c r="E185">
        <f ca="1">IFERROR(__xludf.DUMMYFUNCTION("""COMPUTED_VALUE"""),51.43)</f>
        <v>51.43</v>
      </c>
      <c r="F185">
        <f ca="1">IFERROR(__xludf.DUMMYFUNCTION("""COMPUTED_VALUE"""),18)</f>
        <v>18</v>
      </c>
      <c r="G185">
        <f ca="1">IFERROR(__xludf.DUMMYFUNCTION("""COMPUTED_VALUE"""),35)</f>
        <v>35</v>
      </c>
    </row>
    <row r="186" spans="1:7" ht="12.75">
      <c r="A186">
        <f ca="1">IFERROR(__xludf.DUMMYFUNCTION("""COMPUTED_VALUE"""),185)</f>
        <v>185</v>
      </c>
      <c r="B186">
        <f ca="1">IFERROR(__xludf.DUMMYFUNCTION("""COMPUTED_VALUE"""),176)</f>
        <v>176</v>
      </c>
      <c r="C186" t="str">
        <f ca="1">IFERROR(__xludf.DUMMYFUNCTION("""COMPUTED_VALUE"""),"Rory Sabbatini")</f>
        <v>Rory Sabbatini</v>
      </c>
      <c r="D186">
        <f ca="1">IFERROR(__xludf.DUMMYFUNCTION("""COMPUTED_VALUE"""),13)</f>
        <v>13</v>
      </c>
      <c r="E186">
        <f ca="1">IFERROR(__xludf.DUMMYFUNCTION("""COMPUTED_VALUE"""),51.28)</f>
        <v>51.28</v>
      </c>
      <c r="F186">
        <f ca="1">IFERROR(__xludf.DUMMYFUNCTION("""COMPUTED_VALUE"""),20)</f>
        <v>20</v>
      </c>
      <c r="G186">
        <f ca="1">IFERROR(__xludf.DUMMYFUNCTION("""COMPUTED_VALUE"""),39)</f>
        <v>39</v>
      </c>
    </row>
    <row r="187" spans="1:7" ht="12.75">
      <c r="A187" t="str">
        <f ca="1">IFERROR(__xludf.DUMMYFUNCTION("""COMPUTED_VALUE"""),"T186")</f>
        <v>T186</v>
      </c>
      <c r="B187" t="str">
        <f ca="1">IFERROR(__xludf.DUMMYFUNCTION("""COMPUTED_VALUE"""),"T183")</f>
        <v>T183</v>
      </c>
      <c r="C187" t="str">
        <f ca="1">IFERROR(__xludf.DUMMYFUNCTION("""COMPUTED_VALUE"""),"Robert Garrigus")</f>
        <v>Robert Garrigus</v>
      </c>
      <c r="D187">
        <f ca="1">IFERROR(__xludf.DUMMYFUNCTION("""COMPUTED_VALUE"""),3)</f>
        <v>3</v>
      </c>
      <c r="E187">
        <f ca="1">IFERROR(__xludf.DUMMYFUNCTION("""COMPUTED_VALUE"""),50)</f>
        <v>50</v>
      </c>
      <c r="F187">
        <f ca="1">IFERROR(__xludf.DUMMYFUNCTION("""COMPUTED_VALUE"""),2)</f>
        <v>2</v>
      </c>
      <c r="G187">
        <f ca="1">IFERROR(__xludf.DUMMYFUNCTION("""COMPUTED_VALUE"""),4)</f>
        <v>4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IFERROR(__xludf.DUMMYFUNCTION("""COMPUTED_VALUE"""),"T183")</f>
        <v>T183</v>
      </c>
      <c r="C188" t="str">
        <f ca="1">IFERROR(__xludf.DUMMYFUNCTION("""COMPUTED_VALUE"""),"Jim Furyk")</f>
        <v>Jim Furyk</v>
      </c>
      <c r="D188">
        <f ca="1">IFERROR(__xludf.DUMMYFUNCTION("""COMPUTED_VALUE"""),4)</f>
        <v>4</v>
      </c>
      <c r="E188">
        <f ca="1">IFERROR(__xludf.DUMMYFUNCTION("""COMPUTED_VALUE"""),50)</f>
        <v>50</v>
      </c>
      <c r="F188">
        <f ca="1">IFERROR(__xludf.DUMMYFUNCTION("""COMPUTED_VALUE"""),2)</f>
        <v>2</v>
      </c>
      <c r="G188">
        <f ca="1">IFERROR(__xludf.DUMMYFUNCTION("""COMPUTED_VALUE"""),4)</f>
        <v>4</v>
      </c>
    </row>
    <row r="189" spans="1:7" ht="12.75">
      <c r="A189" t="str">
        <f ca="1">IFERROR(__xludf.DUMMYFUNCTION("""COMPUTED_VALUE"""),"T186")</f>
        <v>T186</v>
      </c>
      <c r="B189" t="str">
        <f ca="1">IFERROR(__xludf.DUMMYFUNCTION("""COMPUTED_VALUE"""),"T183")</f>
        <v>T183</v>
      </c>
      <c r="C189" t="str">
        <f ca="1">IFERROR(__xludf.DUMMYFUNCTION("""COMPUTED_VALUE"""),"Chez Reavie")</f>
        <v>Chez Reavie</v>
      </c>
      <c r="D189">
        <f ca="1">IFERROR(__xludf.DUMMYFUNCTION("""COMPUTED_VALUE"""),14)</f>
        <v>14</v>
      </c>
      <c r="E189">
        <f ca="1">IFERROR(__xludf.DUMMYFUNCTION("""COMPUTED_VALUE"""),50)</f>
        <v>50</v>
      </c>
      <c r="F189">
        <f ca="1">IFERROR(__xludf.DUMMYFUNCTION("""COMPUTED_VALUE"""),14)</f>
        <v>14</v>
      </c>
      <c r="G189">
        <f ca="1">IFERROR(__xludf.DUMMYFUNCTION("""COMPUTED_VALUE"""),28)</f>
        <v>28</v>
      </c>
    </row>
    <row r="190" spans="1:7" ht="12.75">
      <c r="A190" t="str">
        <f ca="1">IFERROR(__xludf.DUMMYFUNCTION("""COMPUTED_VALUE"""),"T186")</f>
        <v>T186</v>
      </c>
      <c r="B190" t="str">
        <f ca="1">IFERROR(__xludf.DUMMYFUNCTION("""COMPUTED_VALUE"""),"T183")</f>
        <v>T183</v>
      </c>
      <c r="C190" t="str">
        <f ca="1">IFERROR(__xludf.DUMMYFUNCTION("""COMPUTED_VALUE"""),"Rafa Cabrera Bello")</f>
        <v>Rafa Cabrera Bello</v>
      </c>
      <c r="D190">
        <f ca="1">IFERROR(__xludf.DUMMYFUNCTION("""COMPUTED_VALUE"""),14)</f>
        <v>14</v>
      </c>
      <c r="E190">
        <f ca="1">IFERROR(__xludf.DUMMYFUNCTION("""COMPUTED_VALUE"""),50)</f>
        <v>50</v>
      </c>
      <c r="F190">
        <f ca="1">IFERROR(__xludf.DUMMYFUNCTION("""COMPUTED_VALUE"""),18)</f>
        <v>18</v>
      </c>
      <c r="G190">
        <f ca="1">IFERROR(__xludf.DUMMYFUNCTION("""COMPUTED_VALUE"""),36)</f>
        <v>36</v>
      </c>
    </row>
    <row r="191" spans="1:7" ht="12.75">
      <c r="A191" t="str">
        <f ca="1">IFERROR(__xludf.DUMMYFUNCTION("""COMPUTED_VALUE"""),"T186")</f>
        <v>T186</v>
      </c>
      <c r="B191" t="str">
        <f ca="1">IFERROR(__xludf.DUMMYFUNCTION("""COMPUTED_VALUE"""),"T183")</f>
        <v>T183</v>
      </c>
      <c r="C191" t="str">
        <f ca="1">IFERROR(__xludf.DUMMYFUNCTION("""COMPUTED_VALUE"""),"Josh Teater")</f>
        <v>Josh Teater</v>
      </c>
      <c r="D191">
        <f ca="1">IFERROR(__xludf.DUMMYFUNCTION("""COMPUTED_VALUE"""),6)</f>
        <v>6</v>
      </c>
      <c r="E191">
        <f ca="1">IFERROR(__xludf.DUMMYFUNCTION("""COMPUTED_VALUE"""),50)</f>
        <v>50</v>
      </c>
      <c r="F191">
        <f ca="1">IFERROR(__xludf.DUMMYFUNCTION("""COMPUTED_VALUE"""),3)</f>
        <v>3</v>
      </c>
      <c r="G191">
        <f ca="1">IFERROR(__xludf.DUMMYFUNCTION("""COMPUTED_VALUE"""),6)</f>
        <v>6</v>
      </c>
    </row>
    <row r="192" spans="1:7" ht="12.75">
      <c r="A192" t="str">
        <f ca="1">IFERROR(__xludf.DUMMYFUNCTION("""COMPUTED_VALUE"""),"T186")</f>
        <v>T186</v>
      </c>
      <c r="B192" t="str">
        <f ca="1">IFERROR(__xludf.DUMMYFUNCTION("""COMPUTED_VALUE"""),"T177")</f>
        <v>T177</v>
      </c>
      <c r="C192" t="str">
        <f ca="1">IFERROR(__xludf.DUMMYFUNCTION("""COMPUTED_VALUE"""),"James Hahn")</f>
        <v>James Hahn</v>
      </c>
      <c r="D192">
        <f ca="1">IFERROR(__xludf.DUMMYFUNCTION("""COMPUTED_VALUE"""),16)</f>
        <v>16</v>
      </c>
      <c r="E192">
        <f ca="1">IFERROR(__xludf.DUMMYFUNCTION("""COMPUTED_VALUE"""),50)</f>
        <v>50</v>
      </c>
      <c r="F192">
        <f ca="1">IFERROR(__xludf.DUMMYFUNCTION("""COMPUTED_VALUE"""),14)</f>
        <v>14</v>
      </c>
      <c r="G192">
        <f ca="1">IFERROR(__xludf.DUMMYFUNCTION("""COMPUTED_VALUE"""),28)</f>
        <v>28</v>
      </c>
    </row>
    <row r="193" spans="1:7" ht="12.75">
      <c r="A193" t="str">
        <f ca="1">IFERROR(__xludf.DUMMYFUNCTION("""COMPUTED_VALUE"""),"T186")</f>
        <v>T186</v>
      </c>
      <c r="B193" t="str">
        <f ca="1">IFERROR(__xludf.DUMMYFUNCTION("""COMPUTED_VALUE"""),"T183")</f>
        <v>T183</v>
      </c>
      <c r="C193" t="str">
        <f ca="1">IFERROR(__xludf.DUMMYFUNCTION("""COMPUTED_VALUE"""),"Bernd Wiesberger")</f>
        <v>Bernd Wiesberger</v>
      </c>
      <c r="D193">
        <f ca="1">IFERROR(__xludf.DUMMYFUNCTION("""COMPUTED_VALUE"""),4)</f>
        <v>4</v>
      </c>
      <c r="E193">
        <f ca="1">IFERROR(__xludf.DUMMYFUNCTION("""COMPUTED_VALUE"""),50)</f>
        <v>50</v>
      </c>
      <c r="F193">
        <f ca="1">IFERROR(__xludf.DUMMYFUNCTION("""COMPUTED_VALUE"""),5)</f>
        <v>5</v>
      </c>
      <c r="G193">
        <f ca="1">IFERROR(__xludf.DUMMYFUNCTION("""COMPUTED_VALUE"""),10)</f>
        <v>10</v>
      </c>
    </row>
    <row r="194" spans="1:7" ht="12.75">
      <c r="A194" t="str">
        <f ca="1">IFERROR(__xludf.DUMMYFUNCTION("""COMPUTED_VALUE"""),"T186")</f>
        <v>T186</v>
      </c>
      <c r="B194" t="str">
        <f ca="1">IFERROR(__xludf.DUMMYFUNCTION("""COMPUTED_VALUE"""),"T183")</f>
        <v>T183</v>
      </c>
      <c r="C194" t="str">
        <f ca="1">IFERROR(__xludf.DUMMYFUNCTION("""COMPUTED_VALUE"""),"Stephen Stallings Jr.")</f>
        <v>Stephen Stallings Jr.</v>
      </c>
      <c r="D194">
        <f ca="1">IFERROR(__xludf.DUMMYFUNCTION("""COMPUTED_VALUE"""),4)</f>
        <v>4</v>
      </c>
      <c r="E194">
        <f ca="1">IFERROR(__xludf.DUMMYFUNCTION("""COMPUTED_VALUE"""),50)</f>
        <v>50</v>
      </c>
      <c r="F194">
        <f ca="1">IFERROR(__xludf.DUMMYFUNCTION("""COMPUTED_VALUE"""),4)</f>
        <v>4</v>
      </c>
      <c r="G194">
        <f ca="1">IFERROR(__xludf.DUMMYFUNCTION("""COMPUTED_VALUE"""),8)</f>
        <v>8</v>
      </c>
    </row>
    <row r="195" spans="1:7" ht="12.75">
      <c r="A195" t="str">
        <f ca="1">IFERROR(__xludf.DUMMYFUNCTION("""COMPUTED_VALUE"""),"T186")</f>
        <v>T186</v>
      </c>
      <c r="B195" t="str">
        <f ca="1">IFERROR(__xludf.DUMMYFUNCTION("""COMPUTED_VALUE"""),"T183")</f>
        <v>T183</v>
      </c>
      <c r="C195" t="str">
        <f ca="1">IFERROR(__xludf.DUMMYFUNCTION("""COMPUTED_VALUE"""),"Seonghyeon Kim")</f>
        <v>Seonghyeon Kim</v>
      </c>
      <c r="D195">
        <f ca="1">IFERROR(__xludf.DUMMYFUNCTION("""COMPUTED_VALUE"""),4)</f>
        <v>4</v>
      </c>
      <c r="E195">
        <f ca="1">IFERROR(__xludf.DUMMYFUNCTION("""COMPUTED_VALUE"""),50)</f>
        <v>50</v>
      </c>
      <c r="F195">
        <f ca="1">IFERROR(__xludf.DUMMYFUNCTION("""COMPUTED_VALUE"""),5)</f>
        <v>5</v>
      </c>
      <c r="G195">
        <f ca="1">IFERROR(__xludf.DUMMYFUNCTION("""COMPUTED_VALUE"""),10)</f>
        <v>10</v>
      </c>
    </row>
    <row r="196" spans="1:7" ht="12.75">
      <c r="A196" t="str">
        <f ca="1">IFERROR(__xludf.DUMMYFUNCTION("""COMPUTED_VALUE"""),"T186")</f>
        <v>T186</v>
      </c>
      <c r="B196" t="str">
        <f ca="1">IFERROR(__xludf.DUMMYFUNCTION("""COMPUTED_VALUE"""),"T183")</f>
        <v>T183</v>
      </c>
      <c r="C196" t="str">
        <f ca="1">IFERROR(__xludf.DUMMYFUNCTION("""COMPUTED_VALUE"""),"Jeongwoo Ham")</f>
        <v>Jeongwoo Ham</v>
      </c>
      <c r="D196">
        <f ca="1">IFERROR(__xludf.DUMMYFUNCTION("""COMPUTED_VALUE"""),4)</f>
        <v>4</v>
      </c>
      <c r="E196">
        <f ca="1">IFERROR(__xludf.DUMMYFUNCTION("""COMPUTED_VALUE"""),50)</f>
        <v>50</v>
      </c>
      <c r="F196">
        <f ca="1">IFERROR(__xludf.DUMMYFUNCTION("""COMPUTED_VALUE"""),2)</f>
        <v>2</v>
      </c>
      <c r="G196">
        <f ca="1">IFERROR(__xludf.DUMMYFUNCTION("""COMPUTED_VALUE"""),4)</f>
        <v>4</v>
      </c>
    </row>
    <row r="197" spans="1:7" ht="12.75">
      <c r="A197" t="str">
        <f ca="1">IFERROR(__xludf.DUMMYFUNCTION("""COMPUTED_VALUE"""),"T186")</f>
        <v>T186</v>
      </c>
      <c r="B197" t="str">
        <f ca="1">IFERROR(__xludf.DUMMYFUNCTION("""COMPUTED_VALUE"""),"T183")</f>
        <v>T183</v>
      </c>
      <c r="C197" t="str">
        <f ca="1">IFERROR(__xludf.DUMMYFUNCTION("""COMPUTED_VALUE"""),"Alex Smalley")</f>
        <v>Alex Smalley</v>
      </c>
      <c r="D197">
        <f ca="1">IFERROR(__xludf.DUMMYFUNCTION("""COMPUTED_VALUE"""),4)</f>
        <v>4</v>
      </c>
      <c r="E197">
        <f ca="1">IFERROR(__xludf.DUMMYFUNCTION("""COMPUTED_VALUE"""),50)</f>
        <v>50</v>
      </c>
      <c r="F197">
        <f ca="1">IFERROR(__xludf.DUMMYFUNCTION("""COMPUTED_VALUE"""),2)</f>
        <v>2</v>
      </c>
      <c r="G197">
        <f ca="1">IFERROR(__xludf.DUMMYFUNCTION("""COMPUTED_VALUE"""),4)</f>
        <v>4</v>
      </c>
    </row>
    <row r="198" spans="1:7" ht="12.75">
      <c r="A198" t="str">
        <f ca="1">IFERROR(__xludf.DUMMYFUNCTION("""COMPUTED_VALUE"""),"T186")</f>
        <v>T186</v>
      </c>
      <c r="B198" t="str">
        <f ca="1">IFERROR(__xludf.DUMMYFUNCTION("""COMPUTED_VALUE"""),"T32")</f>
        <v>T32</v>
      </c>
      <c r="C198" t="str">
        <f ca="1">IFERROR(__xludf.DUMMYFUNCTION("""COMPUTED_VALUE"""),"Ollie Schniederjans")</f>
        <v>Ollie Schniederjans</v>
      </c>
      <c r="D198">
        <f ca="1">IFERROR(__xludf.DUMMYFUNCTION("""COMPUTED_VALUE"""),6)</f>
        <v>6</v>
      </c>
      <c r="E198">
        <f ca="1">IFERROR(__xludf.DUMMYFUNCTION("""COMPUTED_VALUE"""),50)</f>
        <v>50</v>
      </c>
      <c r="F198">
        <f ca="1">IFERROR(__xludf.DUMMYFUNCTION("""COMPUTED_VALUE"""),6)</f>
        <v>6</v>
      </c>
      <c r="G198">
        <f ca="1">IFERROR(__xludf.DUMMYFUNCTION("""COMPUTED_VALUE"""),12)</f>
        <v>12</v>
      </c>
    </row>
    <row r="199" spans="1:7" ht="12.75">
      <c r="A199" t="str">
        <f ca="1">IFERROR(__xludf.DUMMYFUNCTION("""COMPUTED_VALUE"""),"T186")</f>
        <v>T186</v>
      </c>
      <c r="B199" t="str">
        <f ca="1">IFERROR(__xludf.DUMMYFUNCTION("""COMPUTED_VALUE"""),"T183")</f>
        <v>T183</v>
      </c>
      <c r="C199" t="str">
        <f ca="1">IFERROR(__xludf.DUMMYFUNCTION("""COMPUTED_VALUE"""),"Christiaan Bezuidenhout")</f>
        <v>Christiaan Bezuidenhout</v>
      </c>
      <c r="D199">
        <f ca="1">IFERROR(__xludf.DUMMYFUNCTION("""COMPUTED_VALUE"""),4)</f>
        <v>4</v>
      </c>
      <c r="E199">
        <f ca="1">IFERROR(__xludf.DUMMYFUNCTION("""COMPUTED_VALUE"""),50)</f>
        <v>50</v>
      </c>
      <c r="F199">
        <f ca="1">IFERROR(__xludf.DUMMYFUNCTION("""COMPUTED_VALUE"""),6)</f>
        <v>6</v>
      </c>
      <c r="G199">
        <f ca="1">IFERROR(__xludf.DUMMYFUNCTION("""COMPUTED_VALUE"""),12)</f>
        <v>12</v>
      </c>
    </row>
    <row r="200" spans="1:7" ht="12.75">
      <c r="A200" t="str">
        <f ca="1">IFERROR(__xludf.DUMMYFUNCTION("""COMPUTED_VALUE"""),"T186")</f>
        <v>T186</v>
      </c>
      <c r="B200" t="str">
        <f ca="1">IFERROR(__xludf.DUMMYFUNCTION("""COMPUTED_VALUE"""),"T85")</f>
        <v>T85</v>
      </c>
      <c r="C200" t="str">
        <f ca="1">IFERROR(__xludf.DUMMYFUNCTION("""COMPUTED_VALUE"""),"Keith Mitchell")</f>
        <v>Keith Mitchell</v>
      </c>
      <c r="D200">
        <f ca="1">IFERROR(__xludf.DUMMYFUNCTION("""COMPUTED_VALUE"""),14)</f>
        <v>14</v>
      </c>
      <c r="E200">
        <f ca="1">IFERROR(__xludf.DUMMYFUNCTION("""COMPUTED_VALUE"""),50)</f>
        <v>50</v>
      </c>
      <c r="F200">
        <f ca="1">IFERROR(__xludf.DUMMYFUNCTION("""COMPUTED_VALUE"""),16)</f>
        <v>16</v>
      </c>
      <c r="G200">
        <f ca="1">IFERROR(__xludf.DUMMYFUNCTION("""COMPUTED_VALUE"""),32)</f>
        <v>32</v>
      </c>
    </row>
    <row r="201" spans="1:7" ht="12.75">
      <c r="A201" t="str">
        <f ca="1">IFERROR(__xludf.DUMMYFUNCTION("""COMPUTED_VALUE"""),"T186")</f>
        <v>T186</v>
      </c>
      <c r="B201" t="str">
        <f ca="1">IFERROR(__xludf.DUMMYFUNCTION("""COMPUTED_VALUE"""),"T183")</f>
        <v>T183</v>
      </c>
      <c r="C201" t="str">
        <f ca="1">IFERROR(__xludf.DUMMYFUNCTION("""COMPUTED_VALUE"""),"Chesson Hadley")</f>
        <v>Chesson Hadley</v>
      </c>
      <c r="D201">
        <f ca="1">IFERROR(__xludf.DUMMYFUNCTION("""COMPUTED_VALUE"""),16)</f>
        <v>16</v>
      </c>
      <c r="E201">
        <f ca="1">IFERROR(__xludf.DUMMYFUNCTION("""COMPUTED_VALUE"""),50)</f>
        <v>50</v>
      </c>
      <c r="F201">
        <f ca="1">IFERROR(__xludf.DUMMYFUNCTION("""COMPUTED_VALUE"""),12)</f>
        <v>12</v>
      </c>
      <c r="G201">
        <f ca="1">IFERROR(__xludf.DUMMYFUNCTION("""COMPUTED_VALUE"""),24)</f>
        <v>24</v>
      </c>
    </row>
    <row r="202" spans="1:7" ht="12.75">
      <c r="A202" t="str">
        <f ca="1">IFERROR(__xludf.DUMMYFUNCTION("""COMPUTED_VALUE"""),"T186")</f>
        <v>T186</v>
      </c>
      <c r="B202" t="str">
        <f ca="1">IFERROR(__xludf.DUMMYFUNCTION("""COMPUTED_VALUE"""),"T183")</f>
        <v>T183</v>
      </c>
      <c r="C202" t="str">
        <f ca="1">IFERROR(__xludf.DUMMYFUNCTION("""COMPUTED_VALUE"""),"Chan Kim")</f>
        <v>Chan Kim</v>
      </c>
      <c r="D202">
        <f ca="1">IFERROR(__xludf.DUMMYFUNCTION("""COMPUTED_VALUE"""),6)</f>
        <v>6</v>
      </c>
      <c r="E202">
        <f ca="1">IFERROR(__xludf.DUMMYFUNCTION("""COMPUTED_VALUE"""),50)</f>
        <v>50</v>
      </c>
      <c r="F202">
        <f ca="1">IFERROR(__xludf.DUMMYFUNCTION("""COMPUTED_VALUE"""),6)</f>
        <v>6</v>
      </c>
      <c r="G202">
        <f ca="1">IFERROR(__xludf.DUMMYFUNCTION("""COMPUTED_VALUE"""),12)</f>
        <v>12</v>
      </c>
    </row>
    <row r="203" spans="1:7" ht="12.75">
      <c r="A203" t="str">
        <f ca="1">IFERROR(__xludf.DUMMYFUNCTION("""COMPUTED_VALUE"""),"T186")</f>
        <v>T186</v>
      </c>
      <c r="B203" t="str">
        <f ca="1">IFERROR(__xludf.DUMMYFUNCTION("""COMPUTED_VALUE"""),"T123")</f>
        <v>T123</v>
      </c>
      <c r="C203" t="str">
        <f ca="1">IFERROR(__xludf.DUMMYFUNCTION("""COMPUTED_VALUE"""),"Martin Trainer")</f>
        <v>Martin Trainer</v>
      </c>
      <c r="D203">
        <f ca="1">IFERROR(__xludf.DUMMYFUNCTION("""COMPUTED_VALUE"""),10)</f>
        <v>10</v>
      </c>
      <c r="E203">
        <f ca="1">IFERROR(__xludf.DUMMYFUNCTION("""COMPUTED_VALUE"""),50)</f>
        <v>50</v>
      </c>
      <c r="F203">
        <f ca="1">IFERROR(__xludf.DUMMYFUNCTION("""COMPUTED_VALUE"""),18)</f>
        <v>18</v>
      </c>
      <c r="G203">
        <f ca="1">IFERROR(__xludf.DUMMYFUNCTION("""COMPUTED_VALUE"""),36)</f>
        <v>36</v>
      </c>
    </row>
    <row r="204" spans="1:7" ht="12.75">
      <c r="A204" t="str">
        <f ca="1">IFERROR(__xludf.DUMMYFUNCTION("""COMPUTED_VALUE"""),"T186")</f>
        <v>T186</v>
      </c>
      <c r="B204" t="str">
        <f ca="1">IFERROR(__xludf.DUMMYFUNCTION("""COMPUTED_VALUE"""),"T183")</f>
        <v>T183</v>
      </c>
      <c r="C204" t="str">
        <f ca="1">IFERROR(__xludf.DUMMYFUNCTION("""COMPUTED_VALUE"""),"Chris Baker")</f>
        <v>Chris Baker</v>
      </c>
      <c r="D204">
        <f ca="1">IFERROR(__xludf.DUMMYFUNCTION("""COMPUTED_VALUE"""),8)</f>
        <v>8</v>
      </c>
      <c r="E204">
        <f ca="1">IFERROR(__xludf.DUMMYFUNCTION("""COMPUTED_VALUE"""),50)</f>
        <v>50</v>
      </c>
      <c r="F204">
        <f ca="1">IFERROR(__xludf.DUMMYFUNCTION("""COMPUTED_VALUE"""),10)</f>
        <v>10</v>
      </c>
      <c r="G204">
        <f ca="1">IFERROR(__xludf.DUMMYFUNCTION("""COMPUTED_VALUE"""),20)</f>
        <v>20</v>
      </c>
    </row>
    <row r="205" spans="1:7" ht="12.75">
      <c r="A205" t="str">
        <f ca="1">IFERROR(__xludf.DUMMYFUNCTION("""COMPUTED_VALUE"""),"T186")</f>
        <v>T186</v>
      </c>
      <c r="B205">
        <f ca="1">IFERROR(__xludf.DUMMYFUNCTION("""COMPUTED_VALUE"""),134)</f>
        <v>134</v>
      </c>
      <c r="C205" t="str">
        <f ca="1">IFERROR(__xludf.DUMMYFUNCTION("""COMPUTED_VALUE"""),"Keegan Bradley")</f>
        <v>Keegan Bradley</v>
      </c>
      <c r="D205">
        <f ca="1">IFERROR(__xludf.DUMMYFUNCTION("""COMPUTED_VALUE"""),16)</f>
        <v>16</v>
      </c>
      <c r="E205">
        <f ca="1">IFERROR(__xludf.DUMMYFUNCTION("""COMPUTED_VALUE"""),50)</f>
        <v>50</v>
      </c>
      <c r="F205">
        <f ca="1">IFERROR(__xludf.DUMMYFUNCTION("""COMPUTED_VALUE"""),21)</f>
        <v>21</v>
      </c>
      <c r="G205">
        <f ca="1">IFERROR(__xludf.DUMMYFUNCTION("""COMPUTED_VALUE"""),42)</f>
        <v>42</v>
      </c>
    </row>
    <row r="206" spans="1:7" ht="12.75">
      <c r="A206" t="str">
        <f ca="1">IFERROR(__xludf.DUMMYFUNCTION("""COMPUTED_VALUE"""),"T186")</f>
        <v>T186</v>
      </c>
      <c r="B206" t="str">
        <f ca="1">IFERROR(__xludf.DUMMYFUNCTION("""COMPUTED_VALUE"""),"T183")</f>
        <v>T183</v>
      </c>
      <c r="C206" t="str">
        <f ca="1">IFERROR(__xludf.DUMMYFUNCTION("""COMPUTED_VALUE"""),"Shawn Stefani")</f>
        <v>Shawn Stefani</v>
      </c>
      <c r="D206">
        <f ca="1">IFERROR(__xludf.DUMMYFUNCTION("""COMPUTED_VALUE"""),5)</f>
        <v>5</v>
      </c>
      <c r="E206">
        <f ca="1">IFERROR(__xludf.DUMMYFUNCTION("""COMPUTED_VALUE"""),50)</f>
        <v>50</v>
      </c>
      <c r="F206">
        <f ca="1">IFERROR(__xludf.DUMMYFUNCTION("""COMPUTED_VALUE"""),5)</f>
        <v>5</v>
      </c>
      <c r="G206">
        <f ca="1">IFERROR(__xludf.DUMMYFUNCTION("""COMPUTED_VALUE"""),10)</f>
        <v>10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IFERROR(__xludf.DUMMYFUNCTION("""COMPUTED_VALUE"""),180)</f>
        <v>180</v>
      </c>
      <c r="C207" t="str">
        <f ca="1">IFERROR(__xludf.DUMMYFUNCTION("""COMPUTED_VALUE"""),"Mark Hubbard")</f>
        <v>Mark Hubbard</v>
      </c>
      <c r="D207">
        <f ca="1">IFERROR(__xludf.DUMMYFUNCTION("""COMPUTED_VALUE"""),20)</f>
        <v>20</v>
      </c>
      <c r="E207">
        <f ca="1">IFERROR(__xludf.DUMMYFUNCTION("""COMPUTED_VALUE"""),49.02)</f>
        <v>49.02</v>
      </c>
      <c r="F207">
        <f ca="1">IFERROR(__xludf.DUMMYFUNCTION("""COMPUTED_VALUE"""),25)</f>
        <v>25</v>
      </c>
      <c r="G207">
        <f ca="1">IFERROR(__xludf.DUMMYFUNCTION("""COMPUTED_VALUE"""),51)</f>
        <v>51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IFERROR(__xludf.DUMMYFUNCTION("""COMPUTED_VALUE"""),240)</f>
        <v>240</v>
      </c>
      <c r="C208" t="str">
        <f ca="1">IFERROR(__xludf.DUMMYFUNCTION("""COMPUTED_VALUE"""),"Michael Thompson")</f>
        <v>Michael Thompson</v>
      </c>
      <c r="D208">
        <f ca="1">IFERROR(__xludf.DUMMYFUNCTION("""COMPUTED_VALUE"""),16)</f>
        <v>16</v>
      </c>
      <c r="E208">
        <f ca="1">IFERROR(__xludf.DUMMYFUNCTION("""COMPUTED_VALUE"""),48.94)</f>
        <v>48.94</v>
      </c>
      <c r="F208">
        <f ca="1">IFERROR(__xludf.DUMMYFUNCTION("""COMPUTED_VALUE"""),23)</f>
        <v>23</v>
      </c>
      <c r="G208">
        <f ca="1">IFERROR(__xludf.DUMMYFUNCTION("""COMPUTED_VALUE"""),47)</f>
        <v>47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IFERROR(__xludf.DUMMYFUNCTION("""COMPUTED_VALUE"""),"T127")</f>
        <v>T127</v>
      </c>
      <c r="C209" t="str">
        <f ca="1">IFERROR(__xludf.DUMMYFUNCTION("""COMPUTED_VALUE"""),"Sean O'Hair")</f>
        <v>Sean O'Hair</v>
      </c>
      <c r="D209">
        <f ca="1">IFERROR(__xludf.DUMMYFUNCTION("""COMPUTED_VALUE"""),14)</f>
        <v>14</v>
      </c>
      <c r="E209">
        <f ca="1">IFERROR(__xludf.DUMMYFUNCTION("""COMPUTED_VALUE"""),48.89)</f>
        <v>48.89</v>
      </c>
      <c r="F209">
        <f ca="1">IFERROR(__xludf.DUMMYFUNCTION("""COMPUTED_VALUE"""),22)</f>
        <v>22</v>
      </c>
      <c r="G209">
        <f ca="1">IFERROR(__xludf.DUMMYFUNCTION("""COMPUTED_VALUE"""),45)</f>
        <v>45</v>
      </c>
    </row>
    <row r="210" spans="1:7" ht="12.75">
      <c r="A210">
        <f ca="1">IFERROR(__xludf.DUMMYFUNCTION("""COMPUTED_VALUE"""),209)</f>
        <v>209</v>
      </c>
      <c r="B210" t="str">
        <f ca="1">IFERROR(__xludf.DUMMYFUNCTION("""COMPUTED_VALUE"""),"T229")</f>
        <v>T229</v>
      </c>
      <c r="C210" t="str">
        <f ca="1">IFERROR(__xludf.DUMMYFUNCTION("""COMPUTED_VALUE"""),"Patton Kizzire")</f>
        <v>Patton Kizzire</v>
      </c>
      <c r="D210">
        <f ca="1">IFERROR(__xludf.DUMMYFUNCTION("""COMPUTED_VALUE"""),18)</f>
        <v>18</v>
      </c>
      <c r="E210">
        <f ca="1">IFERROR(__xludf.DUMMYFUNCTION("""COMPUTED_VALUE"""),48.84)</f>
        <v>48.84</v>
      </c>
      <c r="F210">
        <f ca="1">IFERROR(__xludf.DUMMYFUNCTION("""COMPUTED_VALUE"""),21)</f>
        <v>21</v>
      </c>
      <c r="G210">
        <f ca="1">IFERROR(__xludf.DUMMYFUNCTION("""COMPUTED_VALUE"""),43)</f>
        <v>43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IFERROR(__xludf.DUMMYFUNCTION("""COMPUTED_VALUE"""),"T229")</f>
        <v>T229</v>
      </c>
      <c r="C211" t="str">
        <f ca="1">IFERROR(__xludf.DUMMYFUNCTION("""COMPUTED_VALUE"""),"Charley Hoffman")</f>
        <v>Charley Hoffman</v>
      </c>
      <c r="D211">
        <f ca="1">IFERROR(__xludf.DUMMYFUNCTION("""COMPUTED_VALUE"""),20)</f>
        <v>20</v>
      </c>
      <c r="E211">
        <f ca="1">IFERROR(__xludf.DUMMYFUNCTION("""COMPUTED_VALUE"""),48.78)</f>
        <v>48.78</v>
      </c>
      <c r="F211">
        <f ca="1">IFERROR(__xludf.DUMMYFUNCTION("""COMPUTED_VALUE"""),20)</f>
        <v>20</v>
      </c>
      <c r="G211">
        <f ca="1">IFERROR(__xludf.DUMMYFUNCTION("""COMPUTED_VALUE"""),41)</f>
        <v>41</v>
      </c>
    </row>
    <row r="212" spans="1:7" ht="12.75">
      <c r="A212" t="str">
        <f ca="1">IFERROR(__xludf.DUMMYFUNCTION("""COMPUTED_VALUE"""),"T211")</f>
        <v>T211</v>
      </c>
      <c r="B212">
        <f ca="1">IFERROR(__xludf.DUMMYFUNCTION("""COMPUTED_VALUE"""),234)</f>
        <v>234</v>
      </c>
      <c r="C212" t="str">
        <f ca="1">IFERROR(__xludf.DUMMYFUNCTION("""COMPUTED_VALUE"""),"Phil Mickelson")</f>
        <v>Phil Mickelson</v>
      </c>
      <c r="D212">
        <f ca="1">IFERROR(__xludf.DUMMYFUNCTION("""COMPUTED_VALUE"""),12)</f>
        <v>12</v>
      </c>
      <c r="E212">
        <f ca="1">IFERROR(__xludf.DUMMYFUNCTION("""COMPUTED_VALUE"""),48.48)</f>
        <v>48.48</v>
      </c>
      <c r="F212">
        <f ca="1">IFERROR(__xludf.DUMMYFUNCTION("""COMPUTED_VALUE"""),16)</f>
        <v>16</v>
      </c>
      <c r="G212">
        <f ca="1">IFERROR(__xludf.DUMMYFUNCTION("""COMPUTED_VALUE"""),33)</f>
        <v>33</v>
      </c>
    </row>
    <row r="213" spans="1:7" ht="12.75">
      <c r="A213" t="str">
        <f ca="1">IFERROR(__xludf.DUMMYFUNCTION("""COMPUTED_VALUE"""),"T211")</f>
        <v>T211</v>
      </c>
      <c r="B213">
        <f ca="1">IFERROR(__xludf.DUMMYFUNCTION("""COMPUTED_VALUE"""),204)</f>
        <v>204</v>
      </c>
      <c r="C213" t="str">
        <f ca="1">IFERROR(__xludf.DUMMYFUNCTION("""COMPUTED_VALUE"""),"Brendon Todd")</f>
        <v>Brendon Todd</v>
      </c>
      <c r="D213">
        <f ca="1">IFERROR(__xludf.DUMMYFUNCTION("""COMPUTED_VALUE"""),14)</f>
        <v>14</v>
      </c>
      <c r="E213">
        <f ca="1">IFERROR(__xludf.DUMMYFUNCTION("""COMPUTED_VALUE"""),48.48)</f>
        <v>48.48</v>
      </c>
      <c r="F213">
        <f ca="1">IFERROR(__xludf.DUMMYFUNCTION("""COMPUTED_VALUE"""),16)</f>
        <v>16</v>
      </c>
      <c r="G213">
        <f ca="1">IFERROR(__xludf.DUMMYFUNCTION("""COMPUTED_VALUE"""),33)</f>
        <v>33</v>
      </c>
    </row>
    <row r="214" spans="1:7" ht="12.75">
      <c r="A214" t="str">
        <f ca="1">IFERROR(__xludf.DUMMYFUNCTION("""COMPUTED_VALUE"""),"T211")</f>
        <v>T211</v>
      </c>
      <c r="B214">
        <f ca="1">IFERROR(__xludf.DUMMYFUNCTION("""COMPUTED_VALUE"""),251)</f>
        <v>251</v>
      </c>
      <c r="C214" t="str">
        <f ca="1">IFERROR(__xludf.DUMMYFUNCTION("""COMPUTED_VALUE"""),"Sam Burns")</f>
        <v>Sam Burns</v>
      </c>
      <c r="D214">
        <f ca="1">IFERROR(__xludf.DUMMYFUNCTION("""COMPUTED_VALUE"""),18)</f>
        <v>18</v>
      </c>
      <c r="E214">
        <f ca="1">IFERROR(__xludf.DUMMYFUNCTION("""COMPUTED_VALUE"""),48.48)</f>
        <v>48.48</v>
      </c>
      <c r="F214">
        <f ca="1">IFERROR(__xludf.DUMMYFUNCTION("""COMPUTED_VALUE"""),16)</f>
        <v>16</v>
      </c>
      <c r="G214">
        <f ca="1">IFERROR(__xludf.DUMMYFUNCTION("""COMPUTED_VALUE"""),33)</f>
        <v>33</v>
      </c>
    </row>
    <row r="215" spans="1:7" ht="12.75">
      <c r="A215" t="str">
        <f ca="1">IFERROR(__xludf.DUMMYFUNCTION("""COMPUTED_VALUE"""),"T214")</f>
        <v>T214</v>
      </c>
      <c r="B215" t="str">
        <f ca="1">IFERROR(__xludf.DUMMYFUNCTION("""COMPUTED_VALUE"""),"T206")</f>
        <v>T206</v>
      </c>
      <c r="C215" t="str">
        <f ca="1">IFERROR(__xludf.DUMMYFUNCTION("""COMPUTED_VALUE"""),"Jim Herman")</f>
        <v>Jim Herman</v>
      </c>
      <c r="D215">
        <f ca="1">IFERROR(__xludf.DUMMYFUNCTION("""COMPUTED_VALUE"""),12)</f>
        <v>12</v>
      </c>
      <c r="E215">
        <f ca="1">IFERROR(__xludf.DUMMYFUNCTION("""COMPUTED_VALUE"""),48.28)</f>
        <v>48.28</v>
      </c>
      <c r="F215">
        <f ca="1">IFERROR(__xludf.DUMMYFUNCTION("""COMPUTED_VALUE"""),14)</f>
        <v>14</v>
      </c>
      <c r="G215">
        <f ca="1">IFERROR(__xludf.DUMMYFUNCTION("""COMPUTED_VALUE"""),29)</f>
        <v>29</v>
      </c>
    </row>
    <row r="216" spans="1:7" ht="12.75">
      <c r="A216" t="str">
        <f ca="1">IFERROR(__xludf.DUMMYFUNCTION("""COMPUTED_VALUE"""),"T214")</f>
        <v>T214</v>
      </c>
      <c r="B216" t="str">
        <f ca="1">IFERROR(__xludf.DUMMYFUNCTION("""COMPUTED_VALUE"""),"T206")</f>
        <v>T206</v>
      </c>
      <c r="C216" t="str">
        <f ca="1">IFERROR(__xludf.DUMMYFUNCTION("""COMPUTED_VALUE"""),"Rickie Fowler")</f>
        <v>Rickie Fowler</v>
      </c>
      <c r="D216">
        <f ca="1">IFERROR(__xludf.DUMMYFUNCTION("""COMPUTED_VALUE"""),14)</f>
        <v>14</v>
      </c>
      <c r="E216">
        <f ca="1">IFERROR(__xludf.DUMMYFUNCTION("""COMPUTED_VALUE"""),48.28)</f>
        <v>48.28</v>
      </c>
      <c r="F216">
        <f ca="1">IFERROR(__xludf.DUMMYFUNCTION("""COMPUTED_VALUE"""),14)</f>
        <v>14</v>
      </c>
      <c r="G216">
        <f ca="1">IFERROR(__xludf.DUMMYFUNCTION("""COMPUTED_VALUE"""),29)</f>
        <v>29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IFERROR(__xludf.DUMMYFUNCTION("""COMPUTED_VALUE"""),208)</f>
        <v>208</v>
      </c>
      <c r="C217" t="str">
        <f ca="1">IFERROR(__xludf.DUMMYFUNCTION("""COMPUTED_VALUE"""),"Rory McIlroy")</f>
        <v>Rory McIlroy</v>
      </c>
      <c r="D217">
        <f ca="1">IFERROR(__xludf.DUMMYFUNCTION("""COMPUTED_VALUE"""),12)</f>
        <v>12</v>
      </c>
      <c r="E217">
        <f ca="1">IFERROR(__xludf.DUMMYFUNCTION("""COMPUTED_VALUE"""),48.15)</f>
        <v>48.15</v>
      </c>
      <c r="F217">
        <f ca="1">IFERROR(__xludf.DUMMYFUNCTION("""COMPUTED_VALUE"""),13)</f>
        <v>13</v>
      </c>
      <c r="G217">
        <f ca="1">IFERROR(__xludf.DUMMYFUNCTION("""COMPUTED_VALUE"""),27)</f>
        <v>27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IFERROR(__xludf.DUMMYFUNCTION("""COMPUTED_VALUE"""),218)</f>
        <v>218</v>
      </c>
      <c r="C218" t="str">
        <f ca="1">IFERROR(__xludf.DUMMYFUNCTION("""COMPUTED_VALUE"""),"Harold Varner III")</f>
        <v>Harold Varner III</v>
      </c>
      <c r="D218">
        <f ca="1">IFERROR(__xludf.DUMMYFUNCTION("""COMPUTED_VALUE"""),14)</f>
        <v>14</v>
      </c>
      <c r="E218">
        <f ca="1">IFERROR(__xludf.DUMMYFUNCTION("""COMPUTED_VALUE"""),48)</f>
        <v>48</v>
      </c>
      <c r="F218">
        <f ca="1">IFERROR(__xludf.DUMMYFUNCTION("""COMPUTED_VALUE"""),12)</f>
        <v>12</v>
      </c>
      <c r="G218">
        <f ca="1">IFERROR(__xludf.DUMMYFUNCTION("""COMPUTED_VALUE"""),25)</f>
        <v>25</v>
      </c>
    </row>
    <row r="219" spans="1:7" ht="12.75">
      <c r="A219" t="str">
        <f ca="1">IFERROR(__xludf.DUMMYFUNCTION("""COMPUTED_VALUE"""),"T218")</f>
        <v>T218</v>
      </c>
      <c r="B219" t="str">
        <f ca="1">IFERROR(__xludf.DUMMYFUNCTION("""COMPUTED_VALUE"""),"T183")</f>
        <v>T183</v>
      </c>
      <c r="C219" t="str">
        <f ca="1">IFERROR(__xludf.DUMMYFUNCTION("""COMPUTED_VALUE"""),"Camilo Villegas")</f>
        <v>Camilo Villegas</v>
      </c>
      <c r="D219">
        <f ca="1">IFERROR(__xludf.DUMMYFUNCTION("""COMPUTED_VALUE"""),14)</f>
        <v>14</v>
      </c>
      <c r="E219">
        <f ca="1">IFERROR(__xludf.DUMMYFUNCTION("""COMPUTED_VALUE"""),47.83)</f>
        <v>47.83</v>
      </c>
      <c r="F219">
        <f ca="1">IFERROR(__xludf.DUMMYFUNCTION("""COMPUTED_VALUE"""),11)</f>
        <v>11</v>
      </c>
      <c r="G219">
        <f ca="1">IFERROR(__xludf.DUMMYFUNCTION("""COMPUTED_VALUE"""),23)</f>
        <v>23</v>
      </c>
    </row>
    <row r="220" spans="1:7" ht="12.75">
      <c r="A220" t="str">
        <f ca="1">IFERROR(__xludf.DUMMYFUNCTION("""COMPUTED_VALUE"""),"T218")</f>
        <v>T218</v>
      </c>
      <c r="B220">
        <f ca="1">IFERROR(__xludf.DUMMYFUNCTION("""COMPUTED_VALUE"""),209)</f>
        <v>209</v>
      </c>
      <c r="C220" t="str">
        <f ca="1">IFERROR(__xludf.DUMMYFUNCTION("""COMPUTED_VALUE"""),"Cameron Percy")</f>
        <v>Cameron Percy</v>
      </c>
      <c r="D220">
        <f ca="1">IFERROR(__xludf.DUMMYFUNCTION("""COMPUTED_VALUE"""),16)</f>
        <v>16</v>
      </c>
      <c r="E220">
        <f ca="1">IFERROR(__xludf.DUMMYFUNCTION("""COMPUTED_VALUE"""),47.83)</f>
        <v>47.83</v>
      </c>
      <c r="F220">
        <f ca="1">IFERROR(__xludf.DUMMYFUNCTION("""COMPUTED_VALUE"""),11)</f>
        <v>11</v>
      </c>
      <c r="G220">
        <f ca="1">IFERROR(__xludf.DUMMYFUNCTION("""COMPUTED_VALUE"""),23)</f>
        <v>23</v>
      </c>
    </row>
    <row r="221" spans="1:7" ht="12.75">
      <c r="A221" t="str">
        <f ca="1">IFERROR(__xludf.DUMMYFUNCTION("""COMPUTED_VALUE"""),"T220")</f>
        <v>T220</v>
      </c>
      <c r="B221" t="str">
        <f ca="1">IFERROR(__xludf.DUMMYFUNCTION("""COMPUTED_VALUE"""),"T210")</f>
        <v>T210</v>
      </c>
      <c r="C221" t="str">
        <f ca="1">IFERROR(__xludf.DUMMYFUNCTION("""COMPUTED_VALUE"""),"Louis Oosthuizen")</f>
        <v>Louis Oosthuizen</v>
      </c>
      <c r="D221">
        <f ca="1">IFERROR(__xludf.DUMMYFUNCTION("""COMPUTED_VALUE"""),12)</f>
        <v>12</v>
      </c>
      <c r="E221">
        <f ca="1">IFERROR(__xludf.DUMMYFUNCTION("""COMPUTED_VALUE"""),47.62)</f>
        <v>47.62</v>
      </c>
      <c r="F221">
        <f ca="1">IFERROR(__xludf.DUMMYFUNCTION("""COMPUTED_VALUE"""),10)</f>
        <v>10</v>
      </c>
      <c r="G221">
        <f ca="1">IFERROR(__xludf.DUMMYFUNCTION("""COMPUTED_VALUE"""),21)</f>
        <v>21</v>
      </c>
    </row>
    <row r="222" spans="1:7" ht="12.75">
      <c r="A222" t="str">
        <f ca="1">IFERROR(__xludf.DUMMYFUNCTION("""COMPUTED_VALUE"""),"T220")</f>
        <v>T220</v>
      </c>
      <c r="B222" t="str">
        <f ca="1">IFERROR(__xludf.DUMMYFUNCTION("""COMPUTED_VALUE"""),"T210")</f>
        <v>T210</v>
      </c>
      <c r="C222" t="str">
        <f ca="1">IFERROR(__xludf.DUMMYFUNCTION("""COMPUTED_VALUE"""),"Marc Leishman")</f>
        <v>Marc Leishman</v>
      </c>
      <c r="D222">
        <f ca="1">IFERROR(__xludf.DUMMYFUNCTION("""COMPUTED_VALUE"""),10)</f>
        <v>10</v>
      </c>
      <c r="E222">
        <f ca="1">IFERROR(__xludf.DUMMYFUNCTION("""COMPUTED_VALUE"""),47.62)</f>
        <v>47.62</v>
      </c>
      <c r="F222">
        <f ca="1">IFERROR(__xludf.DUMMYFUNCTION("""COMPUTED_VALUE"""),10)</f>
        <v>10</v>
      </c>
      <c r="G222">
        <f ca="1">IFERROR(__xludf.DUMMYFUNCTION("""COMPUTED_VALUE"""),21)</f>
        <v>21</v>
      </c>
    </row>
    <row r="223" spans="1:7" ht="12.75">
      <c r="A223" t="str">
        <f ca="1">IFERROR(__xludf.DUMMYFUNCTION("""COMPUTED_VALUE"""),"T222")</f>
        <v>T222</v>
      </c>
      <c r="B223" t="str">
        <f ca="1">IFERROR(__xludf.DUMMYFUNCTION("""COMPUTED_VALUE"""),"T213")</f>
        <v>T213</v>
      </c>
      <c r="C223" t="str">
        <f ca="1">IFERROR(__xludf.DUMMYFUNCTION("""COMPUTED_VALUE"""),"Justin Rose")</f>
        <v>Justin Rose</v>
      </c>
      <c r="D223">
        <f ca="1">IFERROR(__xludf.DUMMYFUNCTION("""COMPUTED_VALUE"""),10)</f>
        <v>10</v>
      </c>
      <c r="E223">
        <f ca="1">IFERROR(__xludf.DUMMYFUNCTION("""COMPUTED_VALUE"""),47.06)</f>
        <v>47.06</v>
      </c>
      <c r="F223">
        <f ca="1">IFERROR(__xludf.DUMMYFUNCTION("""COMPUTED_VALUE"""),8)</f>
        <v>8</v>
      </c>
      <c r="G223">
        <f ca="1">IFERROR(__xludf.DUMMYFUNCTION("""COMPUTED_VALUE"""),17)</f>
        <v>17</v>
      </c>
    </row>
    <row r="224" spans="1:7" ht="12.75">
      <c r="A224" t="str">
        <f ca="1">IFERROR(__xludf.DUMMYFUNCTION("""COMPUTED_VALUE"""),"T222")</f>
        <v>T222</v>
      </c>
      <c r="B224" t="str">
        <f ca="1">IFERROR(__xludf.DUMMYFUNCTION("""COMPUTED_VALUE"""),"T213")</f>
        <v>T213</v>
      </c>
      <c r="C224" t="str">
        <f ca="1">IFERROR(__xludf.DUMMYFUNCTION("""COMPUTED_VALUE"""),"Jon Rahm")</f>
        <v>Jon Rahm</v>
      </c>
      <c r="D224">
        <f ca="1">IFERROR(__xludf.DUMMYFUNCTION("""COMPUTED_VALUE"""),12)</f>
        <v>12</v>
      </c>
      <c r="E224">
        <f ca="1">IFERROR(__xludf.DUMMYFUNCTION("""COMPUTED_VALUE"""),47.06)</f>
        <v>47.06</v>
      </c>
      <c r="F224">
        <f ca="1">IFERROR(__xludf.DUMMYFUNCTION("""COMPUTED_VALUE"""),8)</f>
        <v>8</v>
      </c>
      <c r="G224">
        <f ca="1">IFERROR(__xludf.DUMMYFUNCTION("""COMPUTED_VALUE"""),17)</f>
        <v>17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IFERROR(__xludf.DUMMYFUNCTION("""COMPUTED_VALUE"""),235)</f>
        <v>235</v>
      </c>
      <c r="C225" t="str">
        <f ca="1">IFERROR(__xludf.DUMMYFUNCTION("""COMPUTED_VALUE"""),"Branden Grace")</f>
        <v>Branden Grace</v>
      </c>
      <c r="D225">
        <f ca="1">IFERROR(__xludf.DUMMYFUNCTION("""COMPUTED_VALUE"""),16)</f>
        <v>16</v>
      </c>
      <c r="E225">
        <f ca="1">IFERROR(__xludf.DUMMYFUNCTION("""COMPUTED_VALUE"""),46.67)</f>
        <v>46.67</v>
      </c>
      <c r="F225">
        <f ca="1">IFERROR(__xludf.DUMMYFUNCTION("""COMPUTED_VALUE"""),14)</f>
        <v>14</v>
      </c>
      <c r="G225">
        <f ca="1">IFERROR(__xludf.DUMMYFUNCTION("""COMPUTED_VALUE"""),30)</f>
        <v>30</v>
      </c>
    </row>
    <row r="226" spans="1:7" ht="12.75">
      <c r="A226">
        <f ca="1">IFERROR(__xludf.DUMMYFUNCTION("""COMPUTED_VALUE"""),225)</f>
        <v>225</v>
      </c>
      <c r="B226" t="str">
        <f ca="1">IFERROR(__xludf.DUMMYFUNCTION("""COMPUTED_VALUE"""),"T213")</f>
        <v>T213</v>
      </c>
      <c r="C226" t="str">
        <f ca="1">IFERROR(__xludf.DUMMYFUNCTION("""COMPUTED_VALUE"""),"Grayson Murray")</f>
        <v>Grayson Murray</v>
      </c>
      <c r="D226">
        <f ca="1">IFERROR(__xludf.DUMMYFUNCTION("""COMPUTED_VALUE"""),10)</f>
        <v>10</v>
      </c>
      <c r="E226">
        <f ca="1">IFERROR(__xludf.DUMMYFUNCTION("""COMPUTED_VALUE"""),46.43)</f>
        <v>46.43</v>
      </c>
      <c r="F226">
        <f ca="1">IFERROR(__xludf.DUMMYFUNCTION("""COMPUTED_VALUE"""),13)</f>
        <v>13</v>
      </c>
      <c r="G226">
        <f ca="1">IFERROR(__xludf.DUMMYFUNCTION("""COMPUTED_VALUE"""),28)</f>
        <v>28</v>
      </c>
    </row>
    <row r="227" spans="1:7" ht="12.75">
      <c r="A227" t="str">
        <f ca="1">IFERROR(__xludf.DUMMYFUNCTION("""COMPUTED_VALUE"""),"T226")</f>
        <v>T226</v>
      </c>
      <c r="B227">
        <f ca="1">IFERROR(__xludf.DUMMYFUNCTION("""COMPUTED_VALUE"""),220)</f>
        <v>220</v>
      </c>
      <c r="C227" t="str">
        <f ca="1">IFERROR(__xludf.DUMMYFUNCTION("""COMPUTED_VALUE"""),"John Pak")</f>
        <v>John Pak</v>
      </c>
      <c r="D227">
        <f ca="1">IFERROR(__xludf.DUMMYFUNCTION("""COMPUTED_VALUE"""),4)</f>
        <v>4</v>
      </c>
      <c r="E227">
        <f ca="1">IFERROR(__xludf.DUMMYFUNCTION("""COMPUTED_VALUE"""),46.15)</f>
        <v>46.15</v>
      </c>
      <c r="F227">
        <f ca="1">IFERROR(__xludf.DUMMYFUNCTION("""COMPUTED_VALUE"""),6)</f>
        <v>6</v>
      </c>
      <c r="G227">
        <f ca="1">IFERROR(__xludf.DUMMYFUNCTION("""COMPUTED_VALUE"""),13)</f>
        <v>13</v>
      </c>
    </row>
    <row r="228" spans="1:7" ht="12.75">
      <c r="A228" t="str">
        <f ca="1">IFERROR(__xludf.DUMMYFUNCTION("""COMPUTED_VALUE"""),"T226")</f>
        <v>T226</v>
      </c>
      <c r="B228" t="str">
        <f ca="1">IFERROR(__xludf.DUMMYFUNCTION("""COMPUTED_VALUE"""),"T55")</f>
        <v>T55</v>
      </c>
      <c r="C228" t="str">
        <f ca="1">IFERROR(__xludf.DUMMYFUNCTION("""COMPUTED_VALUE"""),"John Huh")</f>
        <v>John Huh</v>
      </c>
      <c r="D228">
        <f ca="1">IFERROR(__xludf.DUMMYFUNCTION("""COMPUTED_VALUE"""),8)</f>
        <v>8</v>
      </c>
      <c r="E228">
        <f ca="1">IFERROR(__xludf.DUMMYFUNCTION("""COMPUTED_VALUE"""),46.15)</f>
        <v>46.15</v>
      </c>
      <c r="F228">
        <f ca="1">IFERROR(__xludf.DUMMYFUNCTION("""COMPUTED_VALUE"""),12)</f>
        <v>12</v>
      </c>
      <c r="G228">
        <f ca="1">IFERROR(__xludf.DUMMYFUNCTION("""COMPUTED_VALUE"""),26)</f>
        <v>26</v>
      </c>
    </row>
    <row r="229" spans="1:7" ht="12.75">
      <c r="A229" t="str">
        <f ca="1">IFERROR(__xludf.DUMMYFUNCTION("""COMPUTED_VALUE"""),"T226")</f>
        <v>T226</v>
      </c>
      <c r="B229" t="str">
        <f ca="1">IFERROR(__xludf.DUMMYFUNCTION("""COMPUTED_VALUE"""),"T177")</f>
        <v>T177</v>
      </c>
      <c r="C229" t="str">
        <f ca="1">IFERROR(__xludf.DUMMYFUNCTION("""COMPUTED_VALUE"""),"Sam Ryder")</f>
        <v>Sam Ryder</v>
      </c>
      <c r="D229">
        <f ca="1">IFERROR(__xludf.DUMMYFUNCTION("""COMPUTED_VALUE"""),12)</f>
        <v>12</v>
      </c>
      <c r="E229">
        <f ca="1">IFERROR(__xludf.DUMMYFUNCTION("""COMPUTED_VALUE"""),46.15)</f>
        <v>46.15</v>
      </c>
      <c r="F229">
        <f ca="1">IFERROR(__xludf.DUMMYFUNCTION("""COMPUTED_VALUE"""),12)</f>
        <v>12</v>
      </c>
      <c r="G229">
        <f ca="1">IFERROR(__xludf.DUMMYFUNCTION("""COMPUTED_VALUE"""),26)</f>
        <v>26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IFERROR(__xludf.DUMMYFUNCTION("""COMPUTED_VALUE"""),"T170")</f>
        <v>T170</v>
      </c>
      <c r="C230" t="str">
        <f ca="1">IFERROR(__xludf.DUMMYFUNCTION("""COMPUTED_VALUE"""),"Patrick Rodgers")</f>
        <v>Patrick Rodgers</v>
      </c>
      <c r="D230">
        <f ca="1">IFERROR(__xludf.DUMMYFUNCTION("""COMPUTED_VALUE"""),18)</f>
        <v>18</v>
      </c>
      <c r="E230">
        <f ca="1">IFERROR(__xludf.DUMMYFUNCTION("""COMPUTED_VALUE"""),45.45)</f>
        <v>45.45</v>
      </c>
      <c r="F230">
        <f ca="1">IFERROR(__xludf.DUMMYFUNCTION("""COMPUTED_VALUE"""),15)</f>
        <v>15</v>
      </c>
      <c r="G230">
        <f ca="1">IFERROR(__xludf.DUMMYFUNCTION("""COMPUTED_VALUE"""),33)</f>
        <v>33</v>
      </c>
    </row>
    <row r="231" spans="1:7" ht="12.75">
      <c r="A231" t="str">
        <f ca="1">IFERROR(__xludf.DUMMYFUNCTION("""COMPUTED_VALUE"""),"T229")</f>
        <v>T229</v>
      </c>
      <c r="B231" t="str">
        <f ca="1">IFERROR(__xludf.DUMMYFUNCTION("""COMPUTED_VALUE"""),"T222")</f>
        <v>T222</v>
      </c>
      <c r="C231" t="str">
        <f ca="1">IFERROR(__xludf.DUMMYFUNCTION("""COMPUTED_VALUE"""),"Renato Paratore")</f>
        <v>Renato Paratore</v>
      </c>
      <c r="D231">
        <f ca="1">IFERROR(__xludf.DUMMYFUNCTION("""COMPUTED_VALUE"""),4)</f>
        <v>4</v>
      </c>
      <c r="E231">
        <f ca="1">IFERROR(__xludf.DUMMYFUNCTION("""COMPUTED_VALUE"""),45.45)</f>
        <v>45.45</v>
      </c>
      <c r="F231">
        <f ca="1">IFERROR(__xludf.DUMMYFUNCTION("""COMPUTED_VALUE"""),5)</f>
        <v>5</v>
      </c>
      <c r="G231">
        <f ca="1">IFERROR(__xludf.DUMMYFUNCTION("""COMPUTED_VALUE"""),11)</f>
        <v>11</v>
      </c>
    </row>
    <row r="232" spans="1:7" ht="12.75">
      <c r="A232" t="str">
        <f ca="1">IFERROR(__xludf.DUMMYFUNCTION("""COMPUTED_VALUE"""),"T229")</f>
        <v>T229</v>
      </c>
      <c r="B232" t="str">
        <f ca="1">IFERROR(__xludf.DUMMYFUNCTION("""COMPUTED_VALUE"""),"T222")</f>
        <v>T222</v>
      </c>
      <c r="C232" t="str">
        <f ca="1">IFERROR(__xludf.DUMMYFUNCTION("""COMPUTED_VALUE"""),"Jaekyeong Lee")</f>
        <v>Jaekyeong Lee</v>
      </c>
      <c r="D232">
        <f ca="1">IFERROR(__xludf.DUMMYFUNCTION("""COMPUTED_VALUE"""),4)</f>
        <v>4</v>
      </c>
      <c r="E232">
        <f ca="1">IFERROR(__xludf.DUMMYFUNCTION("""COMPUTED_VALUE"""),45.45)</f>
        <v>45.45</v>
      </c>
      <c r="F232">
        <f ca="1">IFERROR(__xludf.DUMMYFUNCTION("""COMPUTED_VALUE"""),5)</f>
        <v>5</v>
      </c>
      <c r="G232">
        <f ca="1">IFERROR(__xludf.DUMMYFUNCTION("""COMPUTED_VALUE"""),11)</f>
        <v>11</v>
      </c>
    </row>
    <row r="233" spans="1:7" ht="12.75">
      <c r="A233" t="str">
        <f ca="1">IFERROR(__xludf.DUMMYFUNCTION("""COMPUTED_VALUE"""),"T229")</f>
        <v>T229</v>
      </c>
      <c r="B233" t="str">
        <f ca="1">IFERROR(__xludf.DUMMYFUNCTION("""COMPUTED_VALUE"""),"T222")</f>
        <v>T222</v>
      </c>
      <c r="C233" t="str">
        <f ca="1">IFERROR(__xludf.DUMMYFUNCTION("""COMPUTED_VALUE"""),"Taylor Pendrith")</f>
        <v>Taylor Pendrith</v>
      </c>
      <c r="D233">
        <f ca="1">IFERROR(__xludf.DUMMYFUNCTION("""COMPUTED_VALUE"""),4)</f>
        <v>4</v>
      </c>
      <c r="E233">
        <f ca="1">IFERROR(__xludf.DUMMYFUNCTION("""COMPUTED_VALUE"""),45.45)</f>
        <v>45.45</v>
      </c>
      <c r="F233">
        <f ca="1">IFERROR(__xludf.DUMMYFUNCTION("""COMPUTED_VALUE"""),5)</f>
        <v>5</v>
      </c>
      <c r="G233">
        <f ca="1">IFERROR(__xludf.DUMMYFUNCTION("""COMPUTED_VALUE"""),11)</f>
        <v>11</v>
      </c>
    </row>
    <row r="234" spans="1:7" ht="12.75">
      <c r="A234" t="str">
        <f ca="1">IFERROR(__xludf.DUMMYFUNCTION("""COMPUTED_VALUE"""),"T229")</f>
        <v>T229</v>
      </c>
      <c r="B234" t="str">
        <f ca="1">IFERROR(__xludf.DUMMYFUNCTION("""COMPUTED_VALUE"""),"T222")</f>
        <v>T222</v>
      </c>
      <c r="C234" t="str">
        <f ca="1">IFERROR(__xludf.DUMMYFUNCTION("""COMPUTED_VALUE"""),"Paul Casey")</f>
        <v>Paul Casey</v>
      </c>
      <c r="D234">
        <f ca="1">IFERROR(__xludf.DUMMYFUNCTION("""COMPUTED_VALUE"""),14)</f>
        <v>14</v>
      </c>
      <c r="E234">
        <f ca="1">IFERROR(__xludf.DUMMYFUNCTION("""COMPUTED_VALUE"""),45.45)</f>
        <v>45.45</v>
      </c>
      <c r="F234">
        <f ca="1">IFERROR(__xludf.DUMMYFUNCTION("""COMPUTED_VALUE"""),15)</f>
        <v>15</v>
      </c>
      <c r="G234">
        <f ca="1">IFERROR(__xludf.DUMMYFUNCTION("""COMPUTED_VALUE"""),33)</f>
        <v>33</v>
      </c>
    </row>
    <row r="235" spans="1:7" ht="12.75">
      <c r="A235" t="str">
        <f ca="1">IFERROR(__xludf.DUMMYFUNCTION("""COMPUTED_VALUE"""),"T234")</f>
        <v>T234</v>
      </c>
      <c r="B235" t="str">
        <f ca="1">IFERROR(__xludf.DUMMYFUNCTION("""COMPUTED_VALUE"""),"T183")</f>
        <v>T183</v>
      </c>
      <c r="C235" t="str">
        <f ca="1">IFERROR(__xludf.DUMMYFUNCTION("""COMPUTED_VALUE"""),"Vaughn Taylor")</f>
        <v>Vaughn Taylor</v>
      </c>
      <c r="D235">
        <f ca="1">IFERROR(__xludf.DUMMYFUNCTION("""COMPUTED_VALUE"""),12)</f>
        <v>12</v>
      </c>
      <c r="E235">
        <f ca="1">IFERROR(__xludf.DUMMYFUNCTION("""COMPUTED_VALUE"""),45.16)</f>
        <v>45.16</v>
      </c>
      <c r="F235">
        <f ca="1">IFERROR(__xludf.DUMMYFUNCTION("""COMPUTED_VALUE"""),14)</f>
        <v>14</v>
      </c>
      <c r="G235">
        <f ca="1">IFERROR(__xludf.DUMMYFUNCTION("""COMPUTED_VALUE"""),31)</f>
        <v>31</v>
      </c>
    </row>
    <row r="236" spans="1:7" ht="12.75">
      <c r="A236" t="str">
        <f ca="1">IFERROR(__xludf.DUMMYFUNCTION("""COMPUTED_VALUE"""),"T234")</f>
        <v>T234</v>
      </c>
      <c r="B236" t="str">
        <f ca="1">IFERROR(__xludf.DUMMYFUNCTION("""COMPUTED_VALUE"""),"T241")</f>
        <v>T241</v>
      </c>
      <c r="C236" t="str">
        <f ca="1">IFERROR(__xludf.DUMMYFUNCTION("""COMPUTED_VALUE"""),"Ryan Armour")</f>
        <v>Ryan Armour</v>
      </c>
      <c r="D236">
        <f ca="1">IFERROR(__xludf.DUMMYFUNCTION("""COMPUTED_VALUE"""),16)</f>
        <v>16</v>
      </c>
      <c r="E236">
        <f ca="1">IFERROR(__xludf.DUMMYFUNCTION("""COMPUTED_VALUE"""),45.16)</f>
        <v>45.16</v>
      </c>
      <c r="F236">
        <f ca="1">IFERROR(__xludf.DUMMYFUNCTION("""COMPUTED_VALUE"""),14)</f>
        <v>14</v>
      </c>
      <c r="G236">
        <f ca="1">IFERROR(__xludf.DUMMYFUNCTION("""COMPUTED_VALUE"""),31)</f>
        <v>31</v>
      </c>
    </row>
    <row r="237" spans="1:7" ht="12.75">
      <c r="A237" t="str">
        <f ca="1">IFERROR(__xludf.DUMMYFUNCTION("""COMPUTED_VALUE"""),"T234")</f>
        <v>T234</v>
      </c>
      <c r="B237" t="str">
        <f ca="1">IFERROR(__xludf.DUMMYFUNCTION("""COMPUTED_VALUE"""),"T226")</f>
        <v>T226</v>
      </c>
      <c r="C237" t="str">
        <f ca="1">IFERROR(__xludf.DUMMYFUNCTION("""COMPUTED_VALUE"""),"Cameron Tringale")</f>
        <v>Cameron Tringale</v>
      </c>
      <c r="D237">
        <f ca="1">IFERROR(__xludf.DUMMYFUNCTION("""COMPUTED_VALUE"""),16)</f>
        <v>16</v>
      </c>
      <c r="E237">
        <f ca="1">IFERROR(__xludf.DUMMYFUNCTION("""COMPUTED_VALUE"""),45.16)</f>
        <v>45.16</v>
      </c>
      <c r="F237">
        <f ca="1">IFERROR(__xludf.DUMMYFUNCTION("""COMPUTED_VALUE"""),14)</f>
        <v>14</v>
      </c>
      <c r="G237">
        <f ca="1">IFERROR(__xludf.DUMMYFUNCTION("""COMPUTED_VALUE"""),31)</f>
        <v>31</v>
      </c>
    </row>
    <row r="238" spans="1:7" ht="12.75">
      <c r="A238" t="str">
        <f ca="1">IFERROR(__xludf.DUMMYFUNCTION("""COMPUTED_VALUE"""),"T237")</f>
        <v>T237</v>
      </c>
      <c r="B238" t="str">
        <f ca="1">IFERROR(__xludf.DUMMYFUNCTION("""COMPUTED_VALUE"""),"T241")</f>
        <v>T241</v>
      </c>
      <c r="C238" t="str">
        <f ca="1">IFERROR(__xludf.DUMMYFUNCTION("""COMPUTED_VALUE"""),"Will Gordon")</f>
        <v>Will Gordon</v>
      </c>
      <c r="D238">
        <f ca="1">IFERROR(__xludf.DUMMYFUNCTION("""COMPUTED_VALUE"""),20)</f>
        <v>20</v>
      </c>
      <c r="E238">
        <f ca="1">IFERROR(__xludf.DUMMYFUNCTION("""COMPUTED_VALUE"""),45)</f>
        <v>45</v>
      </c>
      <c r="F238">
        <f ca="1">IFERROR(__xludf.DUMMYFUNCTION("""COMPUTED_VALUE"""),18)</f>
        <v>18</v>
      </c>
      <c r="G238">
        <f ca="1">IFERROR(__xludf.DUMMYFUNCTION("""COMPUTED_VALUE"""),40)</f>
        <v>40</v>
      </c>
    </row>
    <row r="239" spans="1:7" ht="12.75">
      <c r="A239" t="str">
        <f ca="1">IFERROR(__xludf.DUMMYFUNCTION("""COMPUTED_VALUE"""),"T237")</f>
        <v>T237</v>
      </c>
      <c r="B239" t="str">
        <f ca="1">IFERROR(__xludf.DUMMYFUNCTION("""COMPUTED_VALUE"""),"T226")</f>
        <v>T226</v>
      </c>
      <c r="C239" t="str">
        <f ca="1">IFERROR(__xludf.DUMMYFUNCTION("""COMPUTED_VALUE"""),"Thomas Detry")</f>
        <v>Thomas Detry</v>
      </c>
      <c r="D239">
        <f ca="1">IFERROR(__xludf.DUMMYFUNCTION("""COMPUTED_VALUE"""),8)</f>
        <v>8</v>
      </c>
      <c r="E239">
        <f ca="1">IFERROR(__xludf.DUMMYFUNCTION("""COMPUTED_VALUE"""),45)</f>
        <v>45</v>
      </c>
      <c r="F239">
        <f ca="1">IFERROR(__xludf.DUMMYFUNCTION("""COMPUTED_VALUE"""),9)</f>
        <v>9</v>
      </c>
      <c r="G239">
        <f ca="1">IFERROR(__xludf.DUMMYFUNCTION("""COMPUTED_VALUE"""),20)</f>
        <v>20</v>
      </c>
    </row>
    <row r="240" spans="1:7" ht="12.75">
      <c r="A240" t="str">
        <f ca="1">IFERROR(__xludf.DUMMYFUNCTION("""COMPUTED_VALUE"""),"T239")</f>
        <v>T239</v>
      </c>
      <c r="B240" t="str">
        <f ca="1">IFERROR(__xludf.DUMMYFUNCTION("""COMPUTED_VALUE"""),"T231")</f>
        <v>T231</v>
      </c>
      <c r="C240" t="str">
        <f ca="1">IFERROR(__xludf.DUMMYFUNCTION("""COMPUTED_VALUE"""),"George Markham")</f>
        <v>George Markham</v>
      </c>
      <c r="D240">
        <f ca="1">IFERROR(__xludf.DUMMYFUNCTION("""COMPUTED_VALUE"""),4)</f>
        <v>4</v>
      </c>
      <c r="E240">
        <f ca="1">IFERROR(__xludf.DUMMYFUNCTION("""COMPUTED_VALUE"""),44.44)</f>
        <v>44.44</v>
      </c>
      <c r="F240">
        <f ca="1">IFERROR(__xludf.DUMMYFUNCTION("""COMPUTED_VALUE"""),4)</f>
        <v>4</v>
      </c>
      <c r="G240">
        <f ca="1">IFERROR(__xludf.DUMMYFUNCTION("""COMPUTED_VALUE"""),9)</f>
        <v>9</v>
      </c>
    </row>
    <row r="241" spans="1:7" ht="12.75">
      <c r="A241" t="str">
        <f ca="1">IFERROR(__xludf.DUMMYFUNCTION("""COMPUTED_VALUE"""),"T239")</f>
        <v>T239</v>
      </c>
      <c r="B241" t="str">
        <f ca="1">IFERROR(__xludf.DUMMYFUNCTION("""COMPUTED_VALUE"""),"T231")</f>
        <v>T231</v>
      </c>
      <c r="C241" t="str">
        <f ca="1">IFERROR(__xludf.DUMMYFUNCTION("""COMPUTED_VALUE"""),"Bubba Watson")</f>
        <v>Bubba Watson</v>
      </c>
      <c r="D241">
        <f ca="1">IFERROR(__xludf.DUMMYFUNCTION("""COMPUTED_VALUE"""),12)</f>
        <v>12</v>
      </c>
      <c r="E241">
        <f ca="1">IFERROR(__xludf.DUMMYFUNCTION("""COMPUTED_VALUE"""),44.44)</f>
        <v>44.44</v>
      </c>
      <c r="F241">
        <f ca="1">IFERROR(__xludf.DUMMYFUNCTION("""COMPUTED_VALUE"""),8)</f>
        <v>8</v>
      </c>
      <c r="G241">
        <f ca="1">IFERROR(__xludf.DUMMYFUNCTION("""COMPUTED_VALUE"""),18)</f>
        <v>18</v>
      </c>
    </row>
    <row r="242" spans="1:7" ht="12.75">
      <c r="A242" t="str">
        <f ca="1">IFERROR(__xludf.DUMMYFUNCTION("""COMPUTED_VALUE"""),"T239")</f>
        <v>T239</v>
      </c>
      <c r="B242" t="str">
        <f ca="1">IFERROR(__xludf.DUMMYFUNCTION("""COMPUTED_VALUE"""),"T226")</f>
        <v>T226</v>
      </c>
      <c r="C242" t="str">
        <f ca="1">IFERROR(__xludf.DUMMYFUNCTION("""COMPUTED_VALUE"""),"Henrik Norlander")</f>
        <v>Henrik Norlander</v>
      </c>
      <c r="D242">
        <f ca="1">IFERROR(__xludf.DUMMYFUNCTION("""COMPUTED_VALUE"""),16)</f>
        <v>16</v>
      </c>
      <c r="E242">
        <f ca="1">IFERROR(__xludf.DUMMYFUNCTION("""COMPUTED_VALUE"""),44.44)</f>
        <v>44.44</v>
      </c>
      <c r="F242">
        <f ca="1">IFERROR(__xludf.DUMMYFUNCTION("""COMPUTED_VALUE"""),12)</f>
        <v>12</v>
      </c>
      <c r="G242">
        <f ca="1">IFERROR(__xludf.DUMMYFUNCTION("""COMPUTED_VALUE"""),27)</f>
        <v>27</v>
      </c>
    </row>
    <row r="243" spans="1:7" ht="12.75">
      <c r="A243" t="str">
        <f ca="1">IFERROR(__xludf.DUMMYFUNCTION("""COMPUTED_VALUE"""),"T239")</f>
        <v>T239</v>
      </c>
      <c r="B243" t="str">
        <f ca="1">IFERROR(__xludf.DUMMYFUNCTION("""COMPUTED_VALUE"""),"T231")</f>
        <v>T231</v>
      </c>
      <c r="C243" t="str">
        <f ca="1">IFERROR(__xludf.DUMMYFUNCTION("""COMPUTED_VALUE"""),"Steve Lewton")</f>
        <v>Steve Lewton</v>
      </c>
      <c r="D243">
        <f ca="1">IFERROR(__xludf.DUMMYFUNCTION("""COMPUTED_VALUE"""),4)</f>
        <v>4</v>
      </c>
      <c r="E243">
        <f ca="1">IFERROR(__xludf.DUMMYFUNCTION("""COMPUTED_VALUE"""),44.44)</f>
        <v>44.44</v>
      </c>
      <c r="F243">
        <f ca="1">IFERROR(__xludf.DUMMYFUNCTION("""COMPUTED_VALUE"""),4)</f>
        <v>4</v>
      </c>
      <c r="G243">
        <f ca="1">IFERROR(__xludf.DUMMYFUNCTION("""COMPUTED_VALUE"""),9)</f>
        <v>9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IFERROR(__xludf.DUMMYFUNCTION("""COMPUTED_VALUE"""),"T257")</f>
        <v>T257</v>
      </c>
      <c r="C244" t="str">
        <f ca="1">IFERROR(__xludf.DUMMYFUNCTION("""COMPUTED_VALUE"""),"Erik van Rooyen")</f>
        <v>Erik van Rooyen</v>
      </c>
      <c r="D244">
        <f ca="1">IFERROR(__xludf.DUMMYFUNCTION("""COMPUTED_VALUE"""),10)</f>
        <v>10</v>
      </c>
      <c r="E244">
        <f ca="1">IFERROR(__xludf.DUMMYFUNCTION("""COMPUTED_VALUE"""),44)</f>
        <v>44</v>
      </c>
      <c r="F244">
        <f ca="1">IFERROR(__xludf.DUMMYFUNCTION("""COMPUTED_VALUE"""),11)</f>
        <v>11</v>
      </c>
      <c r="G244">
        <f ca="1">IFERROR(__xludf.DUMMYFUNCTION("""COMPUTED_VALUE"""),25)</f>
        <v>25</v>
      </c>
    </row>
    <row r="245" spans="1:7" ht="12.75">
      <c r="A245" t="str">
        <f ca="1">IFERROR(__xludf.DUMMYFUNCTION("""COMPUTED_VALUE"""),"T244")</f>
        <v>T244</v>
      </c>
      <c r="B245" t="str">
        <f ca="1">IFERROR(__xludf.DUMMYFUNCTION("""COMPUTED_VALUE"""),"T159")</f>
        <v>T159</v>
      </c>
      <c r="C245" t="str">
        <f ca="1">IFERROR(__xludf.DUMMYFUNCTION("""COMPUTED_VALUE"""),"Graham DeLaet")</f>
        <v>Graham DeLaet</v>
      </c>
      <c r="D245">
        <f ca="1">IFERROR(__xludf.DUMMYFUNCTION("""COMPUTED_VALUE"""),9)</f>
        <v>9</v>
      </c>
      <c r="E245">
        <f ca="1">IFERROR(__xludf.DUMMYFUNCTION("""COMPUTED_VALUE"""),43.75)</f>
        <v>43.75</v>
      </c>
      <c r="F245">
        <f ca="1">IFERROR(__xludf.DUMMYFUNCTION("""COMPUTED_VALUE"""),7)</f>
        <v>7</v>
      </c>
      <c r="G245">
        <f ca="1">IFERROR(__xludf.DUMMYFUNCTION("""COMPUTED_VALUE"""),16)</f>
        <v>16</v>
      </c>
    </row>
    <row r="246" spans="1:7" ht="12.75">
      <c r="A246" t="str">
        <f ca="1">IFERROR(__xludf.DUMMYFUNCTION("""COMPUTED_VALUE"""),"T244")</f>
        <v>T244</v>
      </c>
      <c r="B246" t="str">
        <f ca="1">IFERROR(__xludf.DUMMYFUNCTION("""COMPUTED_VALUE"""),"T177")</f>
        <v>T177</v>
      </c>
      <c r="C246" t="str">
        <f ca="1">IFERROR(__xludf.DUMMYFUNCTION("""COMPUTED_VALUE"""),"Jason Dufner")</f>
        <v>Jason Dufner</v>
      </c>
      <c r="D246">
        <f ca="1">IFERROR(__xludf.DUMMYFUNCTION("""COMPUTED_VALUE"""),14)</f>
        <v>14</v>
      </c>
      <c r="E246">
        <f ca="1">IFERROR(__xludf.DUMMYFUNCTION("""COMPUTED_VALUE"""),43.75)</f>
        <v>43.75</v>
      </c>
      <c r="F246">
        <f ca="1">IFERROR(__xludf.DUMMYFUNCTION("""COMPUTED_VALUE"""),14)</f>
        <v>14</v>
      </c>
      <c r="G246">
        <f ca="1">IFERROR(__xludf.DUMMYFUNCTION("""COMPUTED_VALUE"""),32)</f>
        <v>32</v>
      </c>
    </row>
    <row r="247" spans="1:7" ht="12.75">
      <c r="A247" t="str">
        <f ca="1">IFERROR(__xludf.DUMMYFUNCTION("""COMPUTED_VALUE"""),"T246")</f>
        <v>T246</v>
      </c>
      <c r="B247" t="str">
        <f ca="1">IFERROR(__xludf.DUMMYFUNCTION("""COMPUTED_VALUE"""),"T236")</f>
        <v>T236</v>
      </c>
      <c r="C247" t="str">
        <f ca="1">IFERROR(__xludf.DUMMYFUNCTION("""COMPUTED_VALUE"""),"Luke Schniederjans")</f>
        <v>Luke Schniederjans</v>
      </c>
      <c r="D247">
        <f ca="1">IFERROR(__xludf.DUMMYFUNCTION("""COMPUTED_VALUE"""),4)</f>
        <v>4</v>
      </c>
      <c r="E247">
        <f ca="1">IFERROR(__xludf.DUMMYFUNCTION("""COMPUTED_VALUE"""),42.86)</f>
        <v>42.86</v>
      </c>
      <c r="F247">
        <f ca="1">IFERROR(__xludf.DUMMYFUNCTION("""COMPUTED_VALUE"""),3)</f>
        <v>3</v>
      </c>
      <c r="G247">
        <f ca="1">IFERROR(__xludf.DUMMYFUNCTION("""COMPUTED_VALUE"""),7)</f>
        <v>7</v>
      </c>
    </row>
    <row r="248" spans="1:7" ht="12.75">
      <c r="A248" t="str">
        <f ca="1">IFERROR(__xludf.DUMMYFUNCTION("""COMPUTED_VALUE"""),"T246")</f>
        <v>T246</v>
      </c>
      <c r="B248" t="str">
        <f ca="1">IFERROR(__xludf.DUMMYFUNCTION("""COMPUTED_VALUE"""),"T236")</f>
        <v>T236</v>
      </c>
      <c r="C248" t="str">
        <f ca="1">IFERROR(__xludf.DUMMYFUNCTION("""COMPUTED_VALUE"""),"Brandon Hagy")</f>
        <v>Brandon Hagy</v>
      </c>
      <c r="D248">
        <f ca="1">IFERROR(__xludf.DUMMYFUNCTION("""COMPUTED_VALUE"""),10)</f>
        <v>10</v>
      </c>
      <c r="E248">
        <f ca="1">IFERROR(__xludf.DUMMYFUNCTION("""COMPUTED_VALUE"""),42.86)</f>
        <v>42.86</v>
      </c>
      <c r="F248">
        <f ca="1">IFERROR(__xludf.DUMMYFUNCTION("""COMPUTED_VALUE"""),6)</f>
        <v>6</v>
      </c>
      <c r="G248">
        <f ca="1">IFERROR(__xludf.DUMMYFUNCTION("""COMPUTED_VALUE"""),14)</f>
        <v>14</v>
      </c>
    </row>
    <row r="249" spans="1:7" ht="12.75">
      <c r="A249" t="str">
        <f ca="1">IFERROR(__xludf.DUMMYFUNCTION("""COMPUTED_VALUE"""),"T246")</f>
        <v>T246</v>
      </c>
      <c r="B249" t="str">
        <f ca="1">IFERROR(__xludf.DUMMYFUNCTION("""COMPUTED_VALUE"""),"T236")</f>
        <v>T236</v>
      </c>
      <c r="C249" t="str">
        <f ca="1">IFERROR(__xludf.DUMMYFUNCTION("""COMPUTED_VALUE"""),"Andy Zhang")</f>
        <v>Andy Zhang</v>
      </c>
      <c r="D249">
        <f ca="1">IFERROR(__xludf.DUMMYFUNCTION("""COMPUTED_VALUE"""),4)</f>
        <v>4</v>
      </c>
      <c r="E249">
        <f ca="1">IFERROR(__xludf.DUMMYFUNCTION("""COMPUTED_VALUE"""),42.86)</f>
        <v>42.86</v>
      </c>
      <c r="F249">
        <f ca="1">IFERROR(__xludf.DUMMYFUNCTION("""COMPUTED_VALUE"""),3)</f>
        <v>3</v>
      </c>
      <c r="G249">
        <f ca="1">IFERROR(__xludf.DUMMYFUNCTION("""COMPUTED_VALUE"""),7)</f>
        <v>7</v>
      </c>
    </row>
    <row r="250" spans="1:7" ht="12.75">
      <c r="A250" t="str">
        <f ca="1">IFERROR(__xludf.DUMMYFUNCTION("""COMPUTED_VALUE"""),"T249")</f>
        <v>T249</v>
      </c>
      <c r="B250" t="str">
        <f ca="1">IFERROR(__xludf.DUMMYFUNCTION("""COMPUTED_VALUE"""),"T241")</f>
        <v>T241</v>
      </c>
      <c r="C250" t="str">
        <f ca="1">IFERROR(__xludf.DUMMYFUNCTION("""COMPUTED_VALUE"""),"Romain Langasque")</f>
        <v>Romain Langasque</v>
      </c>
      <c r="D250">
        <f ca="1">IFERROR(__xludf.DUMMYFUNCTION("""COMPUTED_VALUE"""),4)</f>
        <v>4</v>
      </c>
      <c r="E250">
        <f ca="1">IFERROR(__xludf.DUMMYFUNCTION("""COMPUTED_VALUE"""),41.67)</f>
        <v>41.67</v>
      </c>
      <c r="F250">
        <f ca="1">IFERROR(__xludf.DUMMYFUNCTION("""COMPUTED_VALUE"""),5)</f>
        <v>5</v>
      </c>
      <c r="G250">
        <f ca="1">IFERROR(__xludf.DUMMYFUNCTION("""COMPUTED_VALUE"""),12)</f>
        <v>12</v>
      </c>
    </row>
    <row r="251" spans="1:7" ht="12.75">
      <c r="A251" t="str">
        <f ca="1">IFERROR(__xludf.DUMMYFUNCTION("""COMPUTED_VALUE"""),"T249")</f>
        <v>T249</v>
      </c>
      <c r="B251">
        <f ca="1">IFERROR(__xludf.DUMMYFUNCTION("""COMPUTED_VALUE"""),250)</f>
        <v>250</v>
      </c>
      <c r="C251" t="str">
        <f ca="1">IFERROR(__xludf.DUMMYFUNCTION("""COMPUTED_VALUE"""),"Hudson Swafford")</f>
        <v>Hudson Swafford</v>
      </c>
      <c r="D251">
        <f ca="1">IFERROR(__xludf.DUMMYFUNCTION("""COMPUTED_VALUE"""),18)</f>
        <v>18</v>
      </c>
      <c r="E251">
        <f ca="1">IFERROR(__xludf.DUMMYFUNCTION("""COMPUTED_VALUE"""),41.67)</f>
        <v>41.67</v>
      </c>
      <c r="F251">
        <f ca="1">IFERROR(__xludf.DUMMYFUNCTION("""COMPUTED_VALUE"""),15)</f>
        <v>15</v>
      </c>
      <c r="G251">
        <f ca="1">IFERROR(__xludf.DUMMYFUNCTION("""COMPUTED_VALUE"""),36)</f>
        <v>36</v>
      </c>
    </row>
    <row r="252" spans="1:7" ht="12.75">
      <c r="A252" t="str">
        <f ca="1">IFERROR(__xludf.DUMMYFUNCTION("""COMPUTED_VALUE"""),"T251")</f>
        <v>T251</v>
      </c>
      <c r="B252" t="str">
        <f ca="1">IFERROR(__xludf.DUMMYFUNCTION("""COMPUTED_VALUE"""),"T244")</f>
        <v>T244</v>
      </c>
      <c r="C252" t="str">
        <f ca="1">IFERROR(__xludf.DUMMYFUNCTION("""COMPUTED_VALUE"""),"Abraham Ancer")</f>
        <v>Abraham Ancer</v>
      </c>
      <c r="D252">
        <f ca="1">IFERROR(__xludf.DUMMYFUNCTION("""COMPUTED_VALUE"""),16)</f>
        <v>16</v>
      </c>
      <c r="E252">
        <f ca="1">IFERROR(__xludf.DUMMYFUNCTION("""COMPUTED_VALUE"""),41.38)</f>
        <v>41.38</v>
      </c>
      <c r="F252">
        <f ca="1">IFERROR(__xludf.DUMMYFUNCTION("""COMPUTED_VALUE"""),12)</f>
        <v>12</v>
      </c>
      <c r="G252">
        <f ca="1">IFERROR(__xludf.DUMMYFUNCTION("""COMPUTED_VALUE"""),29)</f>
        <v>29</v>
      </c>
    </row>
    <row r="253" spans="1:7" ht="12.75">
      <c r="A253" t="str">
        <f ca="1">IFERROR(__xludf.DUMMYFUNCTION("""COMPUTED_VALUE"""),"T251")</f>
        <v>T251</v>
      </c>
      <c r="B253" t="str">
        <f ca="1">IFERROR(__xludf.DUMMYFUNCTION("""COMPUTED_VALUE"""),"T213")</f>
        <v>T213</v>
      </c>
      <c r="C253" t="str">
        <f ca="1">IFERROR(__xludf.DUMMYFUNCTION("""COMPUTED_VALUE"""),"Pat Perez")</f>
        <v>Pat Perez</v>
      </c>
      <c r="D253">
        <f ca="1">IFERROR(__xludf.DUMMYFUNCTION("""COMPUTED_VALUE"""),16)</f>
        <v>16</v>
      </c>
      <c r="E253">
        <f ca="1">IFERROR(__xludf.DUMMYFUNCTION("""COMPUTED_VALUE"""),41.38)</f>
        <v>41.38</v>
      </c>
      <c r="F253">
        <f ca="1">IFERROR(__xludf.DUMMYFUNCTION("""COMPUTED_VALUE"""),12)</f>
        <v>12</v>
      </c>
      <c r="G253">
        <f ca="1">IFERROR(__xludf.DUMMYFUNCTION("""COMPUTED_VALUE"""),29)</f>
        <v>29</v>
      </c>
    </row>
    <row r="254" spans="1:7" ht="12.75">
      <c r="A254" t="str">
        <f ca="1">IFERROR(__xludf.DUMMYFUNCTION("""COMPUTED_VALUE"""),"T251")</f>
        <v>T251</v>
      </c>
      <c r="B254" t="str">
        <f ca="1">IFERROR(__xludf.DUMMYFUNCTION("""COMPUTED_VALUE"""),"T244")</f>
        <v>T244</v>
      </c>
      <c r="C254" t="str">
        <f ca="1">IFERROR(__xludf.DUMMYFUNCTION("""COMPUTED_VALUE"""),"Kyle Stanley")</f>
        <v>Kyle Stanley</v>
      </c>
      <c r="D254">
        <f ca="1">IFERROR(__xludf.DUMMYFUNCTION("""COMPUTED_VALUE"""),16)</f>
        <v>16</v>
      </c>
      <c r="E254">
        <f ca="1">IFERROR(__xludf.DUMMYFUNCTION("""COMPUTED_VALUE"""),41.38)</f>
        <v>41.38</v>
      </c>
      <c r="F254">
        <f ca="1">IFERROR(__xludf.DUMMYFUNCTION("""COMPUTED_VALUE"""),12)</f>
        <v>12</v>
      </c>
      <c r="G254">
        <f ca="1">IFERROR(__xludf.DUMMYFUNCTION("""COMPUTED_VALUE"""),29)</f>
        <v>29</v>
      </c>
    </row>
    <row r="255" spans="1:7" ht="12.75">
      <c r="A255" t="str">
        <f ca="1">IFERROR(__xludf.DUMMYFUNCTION("""COMPUTED_VALUE"""),"T251")</f>
        <v>T251</v>
      </c>
      <c r="B255" t="str">
        <f ca="1">IFERROR(__xludf.DUMMYFUNCTION("""COMPUTED_VALUE"""),"T183")</f>
        <v>T183</v>
      </c>
      <c r="C255" t="str">
        <f ca="1">IFERROR(__xludf.DUMMYFUNCTION("""COMPUTED_VALUE"""),"Bronson Burgoon")</f>
        <v>Bronson Burgoon</v>
      </c>
      <c r="D255">
        <f ca="1">IFERROR(__xludf.DUMMYFUNCTION("""COMPUTED_VALUE"""),10)</f>
        <v>10</v>
      </c>
      <c r="E255">
        <f ca="1">IFERROR(__xludf.DUMMYFUNCTION("""COMPUTED_VALUE"""),41.38)</f>
        <v>41.38</v>
      </c>
      <c r="F255">
        <f ca="1">IFERROR(__xludf.DUMMYFUNCTION("""COMPUTED_VALUE"""),12)</f>
        <v>12</v>
      </c>
      <c r="G255">
        <f ca="1">IFERROR(__xludf.DUMMYFUNCTION("""COMPUTED_VALUE"""),29)</f>
        <v>29</v>
      </c>
    </row>
    <row r="256" spans="1:7" ht="12.75">
      <c r="A256" t="str">
        <f ca="1">IFERROR(__xludf.DUMMYFUNCTION("""COMPUTED_VALUE"""),"T255")</f>
        <v>T255</v>
      </c>
      <c r="B256" t="str">
        <f ca="1">IFERROR(__xludf.DUMMYFUNCTION("""COMPUTED_VALUE"""),"T252")</f>
        <v>T252</v>
      </c>
      <c r="C256" t="str">
        <f ca="1">IFERROR(__xludf.DUMMYFUNCTION("""COMPUTED_VALUE"""),"Danny Willett")</f>
        <v>Danny Willett</v>
      </c>
      <c r="D256">
        <f ca="1">IFERROR(__xludf.DUMMYFUNCTION("""COMPUTED_VALUE"""),7)</f>
        <v>7</v>
      </c>
      <c r="E256">
        <f ca="1">IFERROR(__xludf.DUMMYFUNCTION("""COMPUTED_VALUE"""),41.18)</f>
        <v>41.18</v>
      </c>
      <c r="F256">
        <f ca="1">IFERROR(__xludf.DUMMYFUNCTION("""COMPUTED_VALUE"""),7)</f>
        <v>7</v>
      </c>
      <c r="G256">
        <f ca="1">IFERROR(__xludf.DUMMYFUNCTION("""COMPUTED_VALUE"""),17)</f>
        <v>17</v>
      </c>
    </row>
    <row r="257" spans="1:7" ht="12.75">
      <c r="A257" t="str">
        <f ca="1">IFERROR(__xludf.DUMMYFUNCTION("""COMPUTED_VALUE"""),"T255")</f>
        <v>T255</v>
      </c>
      <c r="B257" t="str">
        <f ca="1">IFERROR(__xludf.DUMMYFUNCTION("""COMPUTED_VALUE"""),"T246")</f>
        <v>T246</v>
      </c>
      <c r="C257" t="str">
        <f ca="1">IFERROR(__xludf.DUMMYFUNCTION("""COMPUTED_VALUE"""),"Patrick Reed")</f>
        <v>Patrick Reed</v>
      </c>
      <c r="D257">
        <f ca="1">IFERROR(__xludf.DUMMYFUNCTION("""COMPUTED_VALUE"""),8)</f>
        <v>8</v>
      </c>
      <c r="E257">
        <f ca="1">IFERROR(__xludf.DUMMYFUNCTION("""COMPUTED_VALUE"""),41.18)</f>
        <v>41.18</v>
      </c>
      <c r="F257">
        <f ca="1">IFERROR(__xludf.DUMMYFUNCTION("""COMPUTED_VALUE"""),7)</f>
        <v>7</v>
      </c>
      <c r="G257">
        <f ca="1">IFERROR(__xludf.DUMMYFUNCTION("""COMPUTED_VALUE"""),17)</f>
        <v>17</v>
      </c>
    </row>
    <row r="258" spans="1:7" ht="12.75">
      <c r="A258" t="str">
        <f ca="1">IFERROR(__xludf.DUMMYFUNCTION("""COMPUTED_VALUE"""),"T255")</f>
        <v>T255</v>
      </c>
      <c r="B258" t="str">
        <f ca="1">IFERROR(__xludf.DUMMYFUNCTION("""COMPUTED_VALUE"""),"T246")</f>
        <v>T246</v>
      </c>
      <c r="C258" t="str">
        <f ca="1">IFERROR(__xludf.DUMMYFUNCTION("""COMPUTED_VALUE"""),"Robert Streb")</f>
        <v>Robert Streb</v>
      </c>
      <c r="D258">
        <f ca="1">IFERROR(__xludf.DUMMYFUNCTION("""COMPUTED_VALUE"""),12)</f>
        <v>12</v>
      </c>
      <c r="E258">
        <f ca="1">IFERROR(__xludf.DUMMYFUNCTION("""COMPUTED_VALUE"""),41.18)</f>
        <v>41.18</v>
      </c>
      <c r="F258">
        <f ca="1">IFERROR(__xludf.DUMMYFUNCTION("""COMPUTED_VALUE"""),7)</f>
        <v>7</v>
      </c>
      <c r="G258">
        <f ca="1">IFERROR(__xludf.DUMMYFUNCTION("""COMPUTED_VALUE"""),17)</f>
        <v>17</v>
      </c>
    </row>
    <row r="259" spans="1:7" ht="12.75">
      <c r="A259">
        <f ca="1">IFERROR(__xludf.DUMMYFUNCTION("""COMPUTED_VALUE"""),258)</f>
        <v>258</v>
      </c>
      <c r="B259" t="str">
        <f ca="1">IFERROR(__xludf.DUMMYFUNCTION("""COMPUTED_VALUE"""),"T254")</f>
        <v>T254</v>
      </c>
      <c r="C259" t="str">
        <f ca="1">IFERROR(__xludf.DUMMYFUNCTION("""COMPUTED_VALUE"""),"Shane Lowry")</f>
        <v>Shane Lowry</v>
      </c>
      <c r="D259">
        <f ca="1">IFERROR(__xludf.DUMMYFUNCTION("""COMPUTED_VALUE"""),14)</f>
        <v>14</v>
      </c>
      <c r="E259">
        <f ca="1">IFERROR(__xludf.DUMMYFUNCTION("""COMPUTED_VALUE"""),40.63)</f>
        <v>40.630000000000003</v>
      </c>
      <c r="F259">
        <f ca="1">IFERROR(__xludf.DUMMYFUNCTION("""COMPUTED_VALUE"""),13)</f>
        <v>13</v>
      </c>
      <c r="G259">
        <f ca="1">IFERROR(__xludf.DUMMYFUNCTION("""COMPUTED_VALUE"""),32)</f>
        <v>32</v>
      </c>
    </row>
    <row r="260" spans="1:7" ht="12.75">
      <c r="A260">
        <f ca="1">IFERROR(__xludf.DUMMYFUNCTION("""COMPUTED_VALUE"""),259)</f>
        <v>259</v>
      </c>
      <c r="B260" t="str">
        <f ca="1">IFERROR(__xludf.DUMMYFUNCTION("""COMPUTED_VALUE"""),"T248")</f>
        <v>T248</v>
      </c>
      <c r="C260" t="str">
        <f ca="1">IFERROR(__xludf.DUMMYFUNCTION("""COMPUTED_VALUE"""),"Xander Schauffele")</f>
        <v>Xander Schauffele</v>
      </c>
      <c r="D260">
        <f ca="1">IFERROR(__xludf.DUMMYFUNCTION("""COMPUTED_VALUE"""),12)</f>
        <v>12</v>
      </c>
      <c r="E260">
        <f ca="1">IFERROR(__xludf.DUMMYFUNCTION("""COMPUTED_VALUE"""),40)</f>
        <v>40</v>
      </c>
      <c r="F260">
        <f ca="1">IFERROR(__xludf.DUMMYFUNCTION("""COMPUTED_VALUE"""),10)</f>
        <v>10</v>
      </c>
      <c r="G260">
        <f ca="1">IFERROR(__xludf.DUMMYFUNCTION("""COMPUTED_VALUE"""),25)</f>
        <v>25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IFERROR(__xludf.DUMMYFUNCTION("""COMPUTED_VALUE"""),221)</f>
        <v>221</v>
      </c>
      <c r="C261" t="str">
        <f ca="1">IFERROR(__xludf.DUMMYFUNCTION("""COMPUTED_VALUE"""),"Luke Donald")</f>
        <v>Luke Donald</v>
      </c>
      <c r="D261">
        <f ca="1">IFERROR(__xludf.DUMMYFUNCTION("""COMPUTED_VALUE"""),14)</f>
        <v>14</v>
      </c>
      <c r="E261">
        <f ca="1">IFERROR(__xludf.DUMMYFUNCTION("""COMPUTED_VALUE"""),39.39)</f>
        <v>39.39</v>
      </c>
      <c r="F261">
        <f ca="1">IFERROR(__xludf.DUMMYFUNCTION("""COMPUTED_VALUE"""),13)</f>
        <v>13</v>
      </c>
      <c r="G261">
        <f ca="1">IFERROR(__xludf.DUMMYFUNCTION("""COMPUTED_VALUE"""),33)</f>
        <v>33</v>
      </c>
    </row>
    <row r="262" spans="1:7" ht="12.75">
      <c r="A262">
        <f ca="1">IFERROR(__xludf.DUMMYFUNCTION("""COMPUTED_VALUE"""),261)</f>
        <v>261</v>
      </c>
      <c r="B262" t="str">
        <f ca="1">IFERROR(__xludf.DUMMYFUNCTION("""COMPUTED_VALUE"""),"T252")</f>
        <v>T252</v>
      </c>
      <c r="C262" t="str">
        <f ca="1">IFERROR(__xludf.DUMMYFUNCTION("""COMPUTED_VALUE"""),"Seamus Power")</f>
        <v>Seamus Power</v>
      </c>
      <c r="D262">
        <f ca="1">IFERROR(__xludf.DUMMYFUNCTION("""COMPUTED_VALUE"""),8)</f>
        <v>8</v>
      </c>
      <c r="E262">
        <f ca="1">IFERROR(__xludf.DUMMYFUNCTION("""COMPUTED_VALUE"""),38.46)</f>
        <v>38.46</v>
      </c>
      <c r="F262">
        <f ca="1">IFERROR(__xludf.DUMMYFUNCTION("""COMPUTED_VALUE"""),5)</f>
        <v>5</v>
      </c>
      <c r="G262">
        <f ca="1">IFERROR(__xludf.DUMMYFUNCTION("""COMPUTED_VALUE"""),13)</f>
        <v>13</v>
      </c>
    </row>
    <row r="263" spans="1:7" ht="12.75">
      <c r="A263" t="str">
        <f ca="1">IFERROR(__xludf.DUMMYFUNCTION("""COMPUTED_VALUE"""),"T262")</f>
        <v>T262</v>
      </c>
      <c r="B263" t="str">
        <f ca="1">IFERROR(__xludf.DUMMYFUNCTION("""COMPUTED_VALUE"""),"T254")</f>
        <v>T254</v>
      </c>
      <c r="C263" t="str">
        <f ca="1">IFERROR(__xludf.DUMMYFUNCTION("""COMPUTED_VALUE"""),"Matthew Wolff")</f>
        <v>Matthew Wolff</v>
      </c>
      <c r="D263">
        <f ca="1">IFERROR(__xludf.DUMMYFUNCTION("""COMPUTED_VALUE"""),16)</f>
        <v>16</v>
      </c>
      <c r="E263">
        <f ca="1">IFERROR(__xludf.DUMMYFUNCTION("""COMPUTED_VALUE"""),37.5)</f>
        <v>37.5</v>
      </c>
      <c r="F263">
        <f ca="1">IFERROR(__xludf.DUMMYFUNCTION("""COMPUTED_VALUE"""),12)</f>
        <v>12</v>
      </c>
      <c r="G263">
        <f ca="1">IFERROR(__xludf.DUMMYFUNCTION("""COMPUTED_VALUE"""),32)</f>
        <v>32</v>
      </c>
    </row>
    <row r="264" spans="1:7" ht="12.75">
      <c r="A264" t="str">
        <f ca="1">IFERROR(__xludf.DUMMYFUNCTION("""COMPUTED_VALUE"""),"T262")</f>
        <v>T262</v>
      </c>
      <c r="B264" t="str">
        <f ca="1">IFERROR(__xludf.DUMMYFUNCTION("""COMPUTED_VALUE"""),"T254")</f>
        <v>T254</v>
      </c>
      <c r="C264" t="str">
        <f ca="1">IFERROR(__xludf.DUMMYFUNCTION("""COMPUTED_VALUE"""),"Daniel Berger")</f>
        <v>Daniel Berger</v>
      </c>
      <c r="D264">
        <f ca="1">IFERROR(__xludf.DUMMYFUNCTION("""COMPUTED_VALUE"""),12)</f>
        <v>12</v>
      </c>
      <c r="E264">
        <f ca="1">IFERROR(__xludf.DUMMYFUNCTION("""COMPUTED_VALUE"""),37.5)</f>
        <v>37.5</v>
      </c>
      <c r="F264">
        <f ca="1">IFERROR(__xludf.DUMMYFUNCTION("""COMPUTED_VALUE"""),9)</f>
        <v>9</v>
      </c>
      <c r="G264">
        <f ca="1">IFERROR(__xludf.DUMMYFUNCTION("""COMPUTED_VALUE"""),24)</f>
        <v>24</v>
      </c>
    </row>
    <row r="265" spans="1:7" ht="12.75">
      <c r="A265" t="str">
        <f ca="1">IFERROR(__xludf.DUMMYFUNCTION("""COMPUTED_VALUE"""),"T264")</f>
        <v>T264</v>
      </c>
      <c r="B265" t="str">
        <f ca="1">IFERROR(__xludf.DUMMYFUNCTION("""COMPUTED_VALUE"""),"T257")</f>
        <v>T257</v>
      </c>
      <c r="C265" t="str">
        <f ca="1">IFERROR(__xludf.DUMMYFUNCTION("""COMPUTED_VALUE"""),"Davis Riley")</f>
        <v>Davis Riley</v>
      </c>
      <c r="D265">
        <f ca="1">IFERROR(__xludf.DUMMYFUNCTION("""COMPUTED_VALUE"""),4)</f>
        <v>4</v>
      </c>
      <c r="E265">
        <f ca="1">IFERROR(__xludf.DUMMYFUNCTION("""COMPUTED_VALUE"""),36.36)</f>
        <v>36.36</v>
      </c>
      <c r="F265">
        <f ca="1">IFERROR(__xludf.DUMMYFUNCTION("""COMPUTED_VALUE"""),4)</f>
        <v>4</v>
      </c>
      <c r="G265">
        <f ca="1">IFERROR(__xludf.DUMMYFUNCTION("""COMPUTED_VALUE"""),11)</f>
        <v>11</v>
      </c>
    </row>
    <row r="266" spans="1:7" ht="12.75">
      <c r="A266" t="str">
        <f ca="1">IFERROR(__xludf.DUMMYFUNCTION("""COMPUTED_VALUE"""),"T264")</f>
        <v>T264</v>
      </c>
      <c r="B266">
        <f ca="1">IFERROR(__xludf.DUMMYFUNCTION("""COMPUTED_VALUE"""),273)</f>
        <v>273</v>
      </c>
      <c r="C266" t="str">
        <f ca="1">IFERROR(__xludf.DUMMYFUNCTION("""COMPUTED_VALUE"""),"Jhonattan Vegas")</f>
        <v>Jhonattan Vegas</v>
      </c>
      <c r="D266">
        <f ca="1">IFERROR(__xludf.DUMMYFUNCTION("""COMPUTED_VALUE"""),16)</f>
        <v>16</v>
      </c>
      <c r="E266">
        <f ca="1">IFERROR(__xludf.DUMMYFUNCTION("""COMPUTED_VALUE"""),36.36)</f>
        <v>36.36</v>
      </c>
      <c r="F266">
        <f ca="1">IFERROR(__xludf.DUMMYFUNCTION("""COMPUTED_VALUE"""),12)</f>
        <v>12</v>
      </c>
      <c r="G266">
        <f ca="1">IFERROR(__xludf.DUMMYFUNCTION("""COMPUTED_VALUE"""),33)</f>
        <v>33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IFERROR(__xludf.DUMMYFUNCTION("""COMPUTED_VALUE"""),279)</f>
        <v>279</v>
      </c>
      <c r="C267" t="str">
        <f ca="1">IFERROR(__xludf.DUMMYFUNCTION("""COMPUTED_VALUE"""),"Adam Scott")</f>
        <v>Adam Scott</v>
      </c>
      <c r="D267">
        <f ca="1">IFERROR(__xludf.DUMMYFUNCTION("""COMPUTED_VALUE"""),8)</f>
        <v>8</v>
      </c>
      <c r="E267">
        <f ca="1">IFERROR(__xludf.DUMMYFUNCTION("""COMPUTED_VALUE"""),35.71)</f>
        <v>35.71</v>
      </c>
      <c r="F267">
        <f ca="1">IFERROR(__xludf.DUMMYFUNCTION("""COMPUTED_VALUE"""),10)</f>
        <v>10</v>
      </c>
      <c r="G267">
        <f ca="1">IFERROR(__xludf.DUMMYFUNCTION("""COMPUTED_VALUE"""),28)</f>
        <v>28</v>
      </c>
    </row>
    <row r="268" spans="1:7" ht="12.75">
      <c r="A268" t="str">
        <f ca="1">IFERROR(__xludf.DUMMYFUNCTION("""COMPUTED_VALUE"""),"T267")</f>
        <v>T267</v>
      </c>
      <c r="B268">
        <f ca="1">IFERROR(__xludf.DUMMYFUNCTION("""COMPUTED_VALUE"""),281)</f>
        <v>281</v>
      </c>
      <c r="C268" t="str">
        <f ca="1">IFERROR(__xludf.DUMMYFUNCTION("""COMPUTED_VALUE"""),"Bo Van Pelt")</f>
        <v>Bo Van Pelt</v>
      </c>
      <c r="D268">
        <f ca="1">IFERROR(__xludf.DUMMYFUNCTION("""COMPUTED_VALUE"""),10)</f>
        <v>10</v>
      </c>
      <c r="E268">
        <f ca="1">IFERROR(__xludf.DUMMYFUNCTION("""COMPUTED_VALUE"""),33.33)</f>
        <v>33.33</v>
      </c>
      <c r="F268">
        <f ca="1">IFERROR(__xludf.DUMMYFUNCTION("""COMPUTED_VALUE"""),7)</f>
        <v>7</v>
      </c>
      <c r="G268">
        <f ca="1">IFERROR(__xludf.DUMMYFUNCTION("""COMPUTED_VALUE"""),21)</f>
        <v>21</v>
      </c>
    </row>
    <row r="269" spans="1:7" ht="12.75">
      <c r="A269" t="str">
        <f ca="1">IFERROR(__xludf.DUMMYFUNCTION("""COMPUTED_VALUE"""),"T267")</f>
        <v>T267</v>
      </c>
      <c r="B269" t="str">
        <f ca="1">IFERROR(__xludf.DUMMYFUNCTION("""COMPUTED_VALUE"""),"T259")</f>
        <v>T259</v>
      </c>
      <c r="C269" t="str">
        <f ca="1">IFERROR(__xludf.DUMMYFUNCTION("""COMPUTED_VALUE"""),"Brian Gay")</f>
        <v>Brian Gay</v>
      </c>
      <c r="D269">
        <f ca="1">IFERROR(__xludf.DUMMYFUNCTION("""COMPUTED_VALUE"""),8)</f>
        <v>8</v>
      </c>
      <c r="E269">
        <f ca="1">IFERROR(__xludf.DUMMYFUNCTION("""COMPUTED_VALUE"""),33.33)</f>
        <v>33.33</v>
      </c>
      <c r="F269">
        <f ca="1">IFERROR(__xludf.DUMMYFUNCTION("""COMPUTED_VALUE"""),6)</f>
        <v>6</v>
      </c>
      <c r="G269">
        <f ca="1">IFERROR(__xludf.DUMMYFUNCTION("""COMPUTED_VALUE"""),18)</f>
        <v>18</v>
      </c>
    </row>
    <row r="270" spans="1:7" ht="12.75">
      <c r="A270" t="str">
        <f ca="1">IFERROR(__xludf.DUMMYFUNCTION("""COMPUTED_VALUE"""),"T267")</f>
        <v>T267</v>
      </c>
      <c r="B270" t="str">
        <f ca="1">IFERROR(__xludf.DUMMYFUNCTION("""COMPUTED_VALUE"""),"T259")</f>
        <v>T259</v>
      </c>
      <c r="C270" t="str">
        <f ca="1">IFERROR(__xludf.DUMMYFUNCTION("""COMPUTED_VALUE"""),"John Senden")</f>
        <v>John Senden</v>
      </c>
      <c r="D270">
        <f ca="1">IFERROR(__xludf.DUMMYFUNCTION("""COMPUTED_VALUE"""),8)</f>
        <v>8</v>
      </c>
      <c r="E270">
        <f ca="1">IFERROR(__xludf.DUMMYFUNCTION("""COMPUTED_VALUE"""),33.33)</f>
        <v>33.33</v>
      </c>
      <c r="F270">
        <f ca="1">IFERROR(__xludf.DUMMYFUNCTION("""COMPUTED_VALUE"""),4)</f>
        <v>4</v>
      </c>
      <c r="G270">
        <f ca="1">IFERROR(__xludf.DUMMYFUNCTION("""COMPUTED_VALUE"""),12)</f>
        <v>12</v>
      </c>
    </row>
    <row r="271" spans="1:7" ht="12.75">
      <c r="A271" t="str">
        <f ca="1">IFERROR(__xludf.DUMMYFUNCTION("""COMPUTED_VALUE"""),"T267")</f>
        <v>T267</v>
      </c>
      <c r="B271" t="str">
        <f ca="1">IFERROR(__xludf.DUMMYFUNCTION("""COMPUTED_VALUE"""),"T259")</f>
        <v>T259</v>
      </c>
      <c r="C271" t="str">
        <f ca="1">IFERROR(__xludf.DUMMYFUNCTION("""COMPUTED_VALUE"""),"Arjun Atwal")</f>
        <v>Arjun Atwal</v>
      </c>
      <c r="D271">
        <f ca="1">IFERROR(__xludf.DUMMYFUNCTION("""COMPUTED_VALUE"""),6)</f>
        <v>6</v>
      </c>
      <c r="E271">
        <f ca="1">IFERROR(__xludf.DUMMYFUNCTION("""COMPUTED_VALUE"""),33.33)</f>
        <v>33.33</v>
      </c>
      <c r="F271">
        <f ca="1">IFERROR(__xludf.DUMMYFUNCTION("""COMPUTED_VALUE"""),3)</f>
        <v>3</v>
      </c>
      <c r="G271">
        <f ca="1">IFERROR(__xludf.DUMMYFUNCTION("""COMPUTED_VALUE"""),9)</f>
        <v>9</v>
      </c>
    </row>
    <row r="272" spans="1:7" ht="12.75">
      <c r="A272" t="str">
        <f ca="1">IFERROR(__xludf.DUMMYFUNCTION("""COMPUTED_VALUE"""),"T267")</f>
        <v>T267</v>
      </c>
      <c r="B272" t="str">
        <f ca="1">IFERROR(__xludf.DUMMYFUNCTION("""COMPUTED_VALUE"""),"T259")</f>
        <v>T259</v>
      </c>
      <c r="C272" t="str">
        <f ca="1">IFERROR(__xludf.DUMMYFUNCTION("""COMPUTED_VALUE"""),"Peter Uihlein")</f>
        <v>Peter Uihlein</v>
      </c>
      <c r="D272">
        <f ca="1">IFERROR(__xludf.DUMMYFUNCTION("""COMPUTED_VALUE"""),8)</f>
        <v>8</v>
      </c>
      <c r="E272">
        <f ca="1">IFERROR(__xludf.DUMMYFUNCTION("""COMPUTED_VALUE"""),33.33)</f>
        <v>33.33</v>
      </c>
      <c r="F272">
        <f ca="1">IFERROR(__xludf.DUMMYFUNCTION("""COMPUTED_VALUE"""),4)</f>
        <v>4</v>
      </c>
      <c r="G272">
        <f ca="1">IFERROR(__xludf.DUMMYFUNCTION("""COMPUTED_VALUE"""),12)</f>
        <v>12</v>
      </c>
    </row>
    <row r="273" spans="1:7" ht="12.75">
      <c r="A273" t="str">
        <f ca="1">IFERROR(__xludf.DUMMYFUNCTION("""COMPUTED_VALUE"""),"T267")</f>
        <v>T267</v>
      </c>
      <c r="B273" t="str">
        <f ca="1">IFERROR(__xludf.DUMMYFUNCTION("""COMPUTED_VALUE"""),"T259")</f>
        <v>T259</v>
      </c>
      <c r="C273" t="str">
        <f ca="1">IFERROR(__xludf.DUMMYFUNCTION("""COMPUTED_VALUE"""),"Danny Lee")</f>
        <v>Danny Lee</v>
      </c>
      <c r="D273">
        <f ca="1">IFERROR(__xludf.DUMMYFUNCTION("""COMPUTED_VALUE"""),15)</f>
        <v>15</v>
      </c>
      <c r="E273">
        <f ca="1">IFERROR(__xludf.DUMMYFUNCTION("""COMPUTED_VALUE"""),33.33)</f>
        <v>33.33</v>
      </c>
      <c r="F273">
        <f ca="1">IFERROR(__xludf.DUMMYFUNCTION("""COMPUTED_VALUE"""),11)</f>
        <v>11</v>
      </c>
      <c r="G273">
        <f ca="1">IFERROR(__xludf.DUMMYFUNCTION("""COMPUTED_VALUE"""),33)</f>
        <v>33</v>
      </c>
    </row>
    <row r="274" spans="1:7" ht="12.75">
      <c r="A274" t="str">
        <f ca="1">IFERROR(__xludf.DUMMYFUNCTION("""COMPUTED_VALUE"""),"T267")</f>
        <v>T267</v>
      </c>
      <c r="B274" t="str">
        <f ca="1">IFERROR(__xludf.DUMMYFUNCTION("""COMPUTED_VALUE"""),"T259")</f>
        <v>T259</v>
      </c>
      <c r="C274" t="str">
        <f ca="1">IFERROR(__xludf.DUMMYFUNCTION("""COMPUTED_VALUE"""),"Tommy Gainey")</f>
        <v>Tommy Gainey</v>
      </c>
      <c r="D274">
        <f ca="1">IFERROR(__xludf.DUMMYFUNCTION("""COMPUTED_VALUE"""),6)</f>
        <v>6</v>
      </c>
      <c r="E274">
        <f ca="1">IFERROR(__xludf.DUMMYFUNCTION("""COMPUTED_VALUE"""),33.33)</f>
        <v>33.33</v>
      </c>
      <c r="F274">
        <f ca="1">IFERROR(__xludf.DUMMYFUNCTION("""COMPUTED_VALUE"""),3)</f>
        <v>3</v>
      </c>
      <c r="G274">
        <f ca="1">IFERROR(__xludf.DUMMYFUNCTION("""COMPUTED_VALUE"""),9)</f>
        <v>9</v>
      </c>
    </row>
    <row r="275" spans="1:7" ht="12.75">
      <c r="A275" t="str">
        <f ca="1">IFERROR(__xludf.DUMMYFUNCTION("""COMPUTED_VALUE"""),"T267")</f>
        <v>T267</v>
      </c>
      <c r="B275" t="str">
        <f ca="1">IFERROR(__xludf.DUMMYFUNCTION("""COMPUTED_VALUE"""),"T259")</f>
        <v>T259</v>
      </c>
      <c r="C275" t="str">
        <f ca="1">IFERROR(__xludf.DUMMYFUNCTION("""COMPUTED_VALUE"""),"Matt Wallace")</f>
        <v>Matt Wallace</v>
      </c>
      <c r="D275">
        <f ca="1">IFERROR(__xludf.DUMMYFUNCTION("""COMPUTED_VALUE"""),4)</f>
        <v>4</v>
      </c>
      <c r="E275">
        <f ca="1">IFERROR(__xludf.DUMMYFUNCTION("""COMPUTED_VALUE"""),33.33)</f>
        <v>33.33</v>
      </c>
      <c r="F275">
        <f ca="1">IFERROR(__xludf.DUMMYFUNCTION("""COMPUTED_VALUE"""),3)</f>
        <v>3</v>
      </c>
      <c r="G275">
        <f ca="1">IFERROR(__xludf.DUMMYFUNCTION("""COMPUTED_VALUE"""),9)</f>
        <v>9</v>
      </c>
    </row>
    <row r="276" spans="1:7" ht="12.75">
      <c r="A276" t="str">
        <f ca="1">IFERROR(__xludf.DUMMYFUNCTION("""COMPUTED_VALUE"""),"T267")</f>
        <v>T267</v>
      </c>
      <c r="B276" t="str">
        <f ca="1">IFERROR(__xludf.DUMMYFUNCTION("""COMPUTED_VALUE"""),"T259")</f>
        <v>T259</v>
      </c>
      <c r="C276" t="str">
        <f ca="1">IFERROR(__xludf.DUMMYFUNCTION("""COMPUTED_VALUE"""),"Justin Suh")</f>
        <v>Justin Suh</v>
      </c>
      <c r="D276">
        <f ca="1">IFERROR(__xludf.DUMMYFUNCTION("""COMPUTED_VALUE"""),10)</f>
        <v>10</v>
      </c>
      <c r="E276">
        <f ca="1">IFERROR(__xludf.DUMMYFUNCTION("""COMPUTED_VALUE"""),33.33)</f>
        <v>33.33</v>
      </c>
      <c r="F276">
        <f ca="1">IFERROR(__xludf.DUMMYFUNCTION("""COMPUTED_VALUE"""),5)</f>
        <v>5</v>
      </c>
      <c r="G276">
        <f ca="1">IFERROR(__xludf.DUMMYFUNCTION("""COMPUTED_VALUE"""),15)</f>
        <v>15</v>
      </c>
    </row>
    <row r="277" spans="1:7" ht="12.75">
      <c r="A277">
        <f ca="1">IFERROR(__xludf.DUMMYFUNCTION("""COMPUTED_VALUE"""),276)</f>
        <v>276</v>
      </c>
      <c r="B277" t="str">
        <f ca="1">IFERROR(__xludf.DUMMYFUNCTION("""COMPUTED_VALUE"""),"T267")</f>
        <v>T267</v>
      </c>
      <c r="C277" t="str">
        <f ca="1">IFERROR(__xludf.DUMMYFUNCTION("""COMPUTED_VALUE"""),"Wes Roach")</f>
        <v>Wes Roach</v>
      </c>
      <c r="D277">
        <f ca="1">IFERROR(__xludf.DUMMYFUNCTION("""COMPUTED_VALUE"""),6)</f>
        <v>6</v>
      </c>
      <c r="E277">
        <f ca="1">IFERROR(__xludf.DUMMYFUNCTION("""COMPUTED_VALUE"""),30.77)</f>
        <v>30.77</v>
      </c>
      <c r="F277">
        <f ca="1">IFERROR(__xludf.DUMMYFUNCTION("""COMPUTED_VALUE"""),4)</f>
        <v>4</v>
      </c>
      <c r="G277">
        <f ca="1">IFERROR(__xludf.DUMMYFUNCTION("""COMPUTED_VALUE"""),13)</f>
        <v>13</v>
      </c>
    </row>
    <row r="278" spans="1:7" ht="12.75">
      <c r="A278">
        <f ca="1">IFERROR(__xludf.DUMMYFUNCTION("""COMPUTED_VALUE"""),277)</f>
        <v>277</v>
      </c>
      <c r="B278">
        <f ca="1">IFERROR(__xludf.DUMMYFUNCTION("""COMPUTED_VALUE"""),269)</f>
        <v>269</v>
      </c>
      <c r="C278" t="str">
        <f ca="1">IFERROR(__xludf.DUMMYFUNCTION("""COMPUTED_VALUE"""),"Hanbyeol Kim")</f>
        <v>Hanbyeol Kim</v>
      </c>
      <c r="D278">
        <f ca="1">IFERROR(__xludf.DUMMYFUNCTION("""COMPUTED_VALUE"""),4)</f>
        <v>4</v>
      </c>
      <c r="E278">
        <f ca="1">IFERROR(__xludf.DUMMYFUNCTION("""COMPUTED_VALUE"""),30)</f>
        <v>30</v>
      </c>
      <c r="F278">
        <f ca="1">IFERROR(__xludf.DUMMYFUNCTION("""COMPUTED_VALUE"""),3)</f>
        <v>3</v>
      </c>
      <c r="G278">
        <f ca="1">IFERROR(__xludf.DUMMYFUNCTION("""COMPUTED_VALUE"""),10)</f>
        <v>10</v>
      </c>
    </row>
    <row r="279" spans="1:7" ht="12.75">
      <c r="A279">
        <f ca="1">IFERROR(__xludf.DUMMYFUNCTION("""COMPUTED_VALUE"""),278)</f>
        <v>278</v>
      </c>
      <c r="B279">
        <f ca="1">IFERROR(__xludf.DUMMYFUNCTION("""COMPUTED_VALUE"""),270)</f>
        <v>270</v>
      </c>
      <c r="C279" t="str">
        <f ca="1">IFERROR(__xludf.DUMMYFUNCTION("""COMPUTED_VALUE"""),"Tiger Woods")</f>
        <v>Tiger Woods</v>
      </c>
      <c r="D279">
        <f ca="1">IFERROR(__xludf.DUMMYFUNCTION("""COMPUTED_VALUE"""),6)</f>
        <v>6</v>
      </c>
      <c r="E279">
        <f ca="1">IFERROR(__xludf.DUMMYFUNCTION("""COMPUTED_VALUE"""),29.41)</f>
        <v>29.41</v>
      </c>
      <c r="F279">
        <f ca="1">IFERROR(__xludf.DUMMYFUNCTION("""COMPUTED_VALUE"""),5)</f>
        <v>5</v>
      </c>
      <c r="G279">
        <f ca="1">IFERROR(__xludf.DUMMYFUNCTION("""COMPUTED_VALUE"""),17)</f>
        <v>17</v>
      </c>
    </row>
    <row r="280" spans="1:7" ht="12.75">
      <c r="A280" t="str">
        <f ca="1">IFERROR(__xludf.DUMMYFUNCTION("""COMPUTED_VALUE"""),"T279")</f>
        <v>T279</v>
      </c>
      <c r="B280" t="str">
        <f ca="1">IFERROR(__xludf.DUMMYFUNCTION("""COMPUTED_VALUE"""),"T271")</f>
        <v>T271</v>
      </c>
      <c r="C280" t="str">
        <f ca="1">IFERROR(__xludf.DUMMYFUNCTION("""COMPUTED_VALUE"""),"Eric Dugas")</f>
        <v>Eric Dugas</v>
      </c>
      <c r="D280">
        <f ca="1">IFERROR(__xludf.DUMMYFUNCTION("""COMPUTED_VALUE"""),4)</f>
        <v>4</v>
      </c>
      <c r="E280">
        <f ca="1">IFERROR(__xludf.DUMMYFUNCTION("""COMPUTED_VALUE"""),28.57)</f>
        <v>28.57</v>
      </c>
      <c r="F280">
        <f ca="1">IFERROR(__xludf.DUMMYFUNCTION("""COMPUTED_VALUE"""),2)</f>
        <v>2</v>
      </c>
      <c r="G280">
        <f ca="1">IFERROR(__xludf.DUMMYFUNCTION("""COMPUTED_VALUE"""),7)</f>
        <v>7</v>
      </c>
    </row>
    <row r="281" spans="1:7" ht="12.75">
      <c r="A281" t="str">
        <f ca="1">IFERROR(__xludf.DUMMYFUNCTION("""COMPUTED_VALUE"""),"T279")</f>
        <v>T279</v>
      </c>
      <c r="B281" t="str">
        <f ca="1">IFERROR(__xludf.DUMMYFUNCTION("""COMPUTED_VALUE"""),"T271")</f>
        <v>T271</v>
      </c>
      <c r="C281" t="str">
        <f ca="1">IFERROR(__xludf.DUMMYFUNCTION("""COMPUTED_VALUE"""),"Tae Hee Lee")</f>
        <v>Tae Hee Lee</v>
      </c>
      <c r="D281">
        <f ca="1">IFERROR(__xludf.DUMMYFUNCTION("""COMPUTED_VALUE"""),4)</f>
        <v>4</v>
      </c>
      <c r="E281">
        <f ca="1">IFERROR(__xludf.DUMMYFUNCTION("""COMPUTED_VALUE"""),28.57)</f>
        <v>28.57</v>
      </c>
      <c r="F281">
        <f ca="1">IFERROR(__xludf.DUMMYFUNCTION("""COMPUTED_VALUE"""),2)</f>
        <v>2</v>
      </c>
      <c r="G281">
        <f ca="1">IFERROR(__xludf.DUMMYFUNCTION("""COMPUTED_VALUE"""),7)</f>
        <v>7</v>
      </c>
    </row>
    <row r="282" spans="1:7" ht="12.75">
      <c r="A282">
        <f ca="1">IFERROR(__xludf.DUMMYFUNCTION("""COMPUTED_VALUE"""),281)</f>
        <v>281</v>
      </c>
      <c r="B282">
        <f ca="1">IFERROR(__xludf.DUMMYFUNCTION("""COMPUTED_VALUE"""),278)</f>
        <v>278</v>
      </c>
      <c r="C282" t="str">
        <f ca="1">IFERROR(__xludf.DUMMYFUNCTION("""COMPUTED_VALUE"""),"Sung Kang")</f>
        <v>Sung Kang</v>
      </c>
      <c r="D282">
        <f ca="1">IFERROR(__xludf.DUMMYFUNCTION("""COMPUTED_VALUE"""),14)</f>
        <v>14</v>
      </c>
      <c r="E282">
        <f ca="1">IFERROR(__xludf.DUMMYFUNCTION("""COMPUTED_VALUE"""),28)</f>
        <v>28</v>
      </c>
      <c r="F282">
        <f ca="1">IFERROR(__xludf.DUMMYFUNCTION("""COMPUTED_VALUE"""),7)</f>
        <v>7</v>
      </c>
      <c r="G282">
        <f ca="1">IFERROR(__xludf.DUMMYFUNCTION("""COMPUTED_VALUE"""),25)</f>
        <v>25</v>
      </c>
    </row>
    <row r="283" spans="1:7" ht="12.75">
      <c r="A283" t="str">
        <f ca="1">IFERROR(__xludf.DUMMYFUNCTION("""COMPUTED_VALUE"""),"T282")</f>
        <v>T282</v>
      </c>
      <c r="B283">
        <f ca="1">IFERROR(__xludf.DUMMYFUNCTION("""COMPUTED_VALUE"""),274)</f>
        <v>274</v>
      </c>
      <c r="C283" t="str">
        <f ca="1">IFERROR(__xludf.DUMMYFUNCTION("""COMPUTED_VALUE"""),"Viktor Hovland")</f>
        <v>Viktor Hovland</v>
      </c>
      <c r="D283">
        <f ca="1">IFERROR(__xludf.DUMMYFUNCTION("""COMPUTED_VALUE"""),16)</f>
        <v>16</v>
      </c>
      <c r="E283">
        <f ca="1">IFERROR(__xludf.DUMMYFUNCTION("""COMPUTED_VALUE"""),25)</f>
        <v>25</v>
      </c>
      <c r="F283">
        <f ca="1">IFERROR(__xludf.DUMMYFUNCTION("""COMPUTED_VALUE"""),6)</f>
        <v>6</v>
      </c>
      <c r="G283">
        <f ca="1">IFERROR(__xludf.DUMMYFUNCTION("""COMPUTED_VALUE"""),24)</f>
        <v>24</v>
      </c>
    </row>
    <row r="284" spans="1:7" ht="12.75">
      <c r="A284" t="str">
        <f ca="1">IFERROR(__xludf.DUMMYFUNCTION("""COMPUTED_VALUE"""),"T282")</f>
        <v>T282</v>
      </c>
      <c r="B284" t="str">
        <f ca="1">IFERROR(__xludf.DUMMYFUNCTION("""COMPUTED_VALUE"""),"T275")</f>
        <v>T275</v>
      </c>
      <c r="C284" t="str">
        <f ca="1">IFERROR(__xludf.DUMMYFUNCTION("""COMPUTED_VALUE"""),"Michael Miller")</f>
        <v>Michael Miller</v>
      </c>
      <c r="D284">
        <f ca="1">IFERROR(__xludf.DUMMYFUNCTION("""COMPUTED_VALUE"""),4)</f>
        <v>4</v>
      </c>
      <c r="E284">
        <f ca="1">IFERROR(__xludf.DUMMYFUNCTION("""COMPUTED_VALUE"""),25)</f>
        <v>25</v>
      </c>
      <c r="F284">
        <f ca="1">IFERROR(__xludf.DUMMYFUNCTION("""COMPUTED_VALUE"""),1)</f>
        <v>1</v>
      </c>
      <c r="G284">
        <f ca="1">IFERROR(__xludf.DUMMYFUNCTION("""COMPUTED_VALUE"""),4)</f>
        <v>4</v>
      </c>
    </row>
    <row r="285" spans="1:7" ht="12.75">
      <c r="A285" t="str">
        <f ca="1">IFERROR(__xludf.DUMMYFUNCTION("""COMPUTED_VALUE"""),"T282")</f>
        <v>T282</v>
      </c>
      <c r="B285" t="str">
        <f ca="1">IFERROR(__xludf.DUMMYFUNCTION("""COMPUTED_VALUE"""),"T275")</f>
        <v>T275</v>
      </c>
      <c r="C285" t="str">
        <f ca="1">IFERROR(__xludf.DUMMYFUNCTION("""COMPUTED_VALUE"""),"Lucas Herbert")</f>
        <v>Lucas Herbert</v>
      </c>
      <c r="D285">
        <f ca="1">IFERROR(__xludf.DUMMYFUNCTION("""COMPUTED_VALUE"""),4)</f>
        <v>4</v>
      </c>
      <c r="E285">
        <f ca="1">IFERROR(__xludf.DUMMYFUNCTION("""COMPUTED_VALUE"""),25)</f>
        <v>25</v>
      </c>
      <c r="F285">
        <f ca="1">IFERROR(__xludf.DUMMYFUNCTION("""COMPUTED_VALUE"""),2)</f>
        <v>2</v>
      </c>
      <c r="G285">
        <f ca="1">IFERROR(__xludf.DUMMYFUNCTION("""COMPUTED_VALUE"""),8)</f>
        <v>8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IFERROR(__xludf.DUMMYFUNCTION("""COMPUTED_VALUE"""),277)</f>
        <v>277</v>
      </c>
      <c r="C286" t="str">
        <f ca="1">IFERROR(__xludf.DUMMYFUNCTION("""COMPUTED_VALUE"""),"Gary Woodland")</f>
        <v>Gary Woodland</v>
      </c>
      <c r="D286">
        <f ca="1">IFERROR(__xludf.DUMMYFUNCTION("""COMPUTED_VALUE"""),6)</f>
        <v>6</v>
      </c>
      <c r="E286">
        <f ca="1">IFERROR(__xludf.DUMMYFUNCTION("""COMPUTED_VALUE"""),23.81)</f>
        <v>23.81</v>
      </c>
      <c r="F286">
        <f ca="1">IFERROR(__xludf.DUMMYFUNCTION("""COMPUTED_VALUE"""),5)</f>
        <v>5</v>
      </c>
      <c r="G286">
        <f ca="1">IFERROR(__xludf.DUMMYFUNCTION("""COMPUTED_VALUE"""),21)</f>
        <v>21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IFERROR(__xludf.DUMMYFUNCTION("""COMPUTED_VALUE"""),280)</f>
        <v>280</v>
      </c>
      <c r="C287" t="str">
        <f ca="1">IFERROR(__xludf.DUMMYFUNCTION("""COMPUTED_VALUE"""),"Zack Sucher")</f>
        <v>Zack Sucher</v>
      </c>
      <c r="D287">
        <f ca="1">IFERROR(__xludf.DUMMYFUNCTION("""COMPUTED_VALUE"""),6)</f>
        <v>6</v>
      </c>
      <c r="E287">
        <f ca="1">IFERROR(__xludf.DUMMYFUNCTION("""COMPUTED_VALUE"""),22.22)</f>
        <v>22.22</v>
      </c>
      <c r="F287">
        <f ca="1">IFERROR(__xludf.DUMMYFUNCTION("""COMPUTED_VALUE"""),2)</f>
        <v>2</v>
      </c>
      <c r="G287">
        <f ca="1">IFERROR(__xludf.DUMMYFUNCTION("""COMPUTED_VALUE"""),9)</f>
        <v>9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IFERROR(__xludf.DUMMYFUNCTION("""COMPUTED_VALUE"""),282)</f>
        <v>282</v>
      </c>
      <c r="C288" t="str">
        <f ca="1">IFERROR(__xludf.DUMMYFUNCTION("""COMPUTED_VALUE"""),"Rasmus Hojgaard")</f>
        <v>Rasmus Hojgaard</v>
      </c>
      <c r="D288">
        <f ca="1">IFERROR(__xludf.DUMMYFUNCTION("""COMPUTED_VALUE"""),6)</f>
        <v>6</v>
      </c>
      <c r="E288">
        <f ca="1">IFERROR(__xludf.DUMMYFUNCTION("""COMPUTED_VALUE"""),14.29)</f>
        <v>14.29</v>
      </c>
      <c r="F288">
        <f ca="1">IFERROR(__xludf.DUMMYFUNCTION("""COMPUTED_VALUE"""),1)</f>
        <v>1</v>
      </c>
      <c r="G288">
        <f ca="1">IFERROR(__xludf.DUMMYFUNCTION("""COMPUTED_VALUE"""),7)</f>
        <v>7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IFERROR(__xludf.DUMMYFUNCTION("""COMPUTED_VALUE"""),"Rafael Campos")</f>
        <v>Rafael Campos</v>
      </c>
      <c r="D289">
        <f ca="1">IFERROR(__xludf.DUMMYFUNCTION("""COMPUTED_VALUE"""),6)</f>
        <v>6</v>
      </c>
      <c r="E289">
        <f ca="1">IFERROR(__xludf.DUMMYFUNCTION("""COMPUTED_VALUE"""),12.5)</f>
        <v>12.5</v>
      </c>
      <c r="F289">
        <f ca="1">IFERROR(__xludf.DUMMYFUNCTION("""COMPUTED_VALUE"""),1)</f>
        <v>1</v>
      </c>
      <c r="G289">
        <f ca="1">IFERROR(__xludf.DUMMYFUNCTION("""COMPUTED_VALUE"""),8)</f>
        <v>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IFERROR(__xludf.DUMMYFUNCTION("importhtml(""http://www.pgatour.com/stats/stat.374.html"",""table"",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DTP")</f>
        <v>AVG DTP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SHOTS")</f>
        <v># OF SHOTS</v>
      </c>
      <c r="H1" t="str">
        <f ca="1">IFERROR(__xludf.DUMMYFUNCTION("""COMPUTED_VALUE"""),"SCRAMBLING RANK")</f>
        <v>SCRAMBLING RANK</v>
      </c>
    </row>
    <row r="2" spans="1:8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IFERROR(__xludf.DUMMYFUNCTION("""COMPUTED_VALUE"""),"Anirban Lahiri")</f>
        <v>Anirban Lahiri</v>
      </c>
      <c r="D2">
        <f ca="1">IFERROR(__xludf.DUMMYFUNCTION("""COMPUTED_VALUE"""),16)</f>
        <v>16</v>
      </c>
      <c r="E2" t="str">
        <f ca="1">IFERROR(__xludf.DUMMYFUNCTION("""COMPUTED_VALUE"""),"4' 10""")</f>
        <v>4' 10"</v>
      </c>
      <c r="F2">
        <f ca="1">IFERROR(__xludf.DUMMYFUNCTION("""COMPUTED_VALUE"""),227.167)</f>
        <v>227.167</v>
      </c>
      <c r="G2">
        <f ca="1">IFERROR(__xludf.DUMMYFUNCTION("""COMPUTED_VALUE"""),47)</f>
        <v>47</v>
      </c>
      <c r="H2">
        <f ca="1">IFERROR(__xludf.DUMMYFUNCTION("""COMPUTED_VALUE"""),17)</f>
        <v>17</v>
      </c>
    </row>
    <row r="3" spans="1:8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IFERROR(__xludf.DUMMYFUNCTION("""COMPUTED_VALUE"""),"Rafael Campos")</f>
        <v>Rafael Campos</v>
      </c>
      <c r="D3">
        <f ca="1">IFERROR(__xludf.DUMMYFUNCTION("""COMPUTED_VALUE"""),6)</f>
        <v>6</v>
      </c>
      <c r="E3" t="str">
        <f ca="1">IFERROR(__xludf.DUMMYFUNCTION("""COMPUTED_VALUE"""),"4' 10""")</f>
        <v>4' 10"</v>
      </c>
      <c r="F3">
        <f ca="1">IFERROR(__xludf.DUMMYFUNCTION("""COMPUTED_VALUE"""),58.333)</f>
        <v>58.332999999999998</v>
      </c>
      <c r="G3">
        <f ca="1">IFERROR(__xludf.DUMMYFUNCTION("""COMPUTED_VALUE"""),12)</f>
        <v>12</v>
      </c>
      <c r="H3">
        <f ca="1">IFERROR(__xludf.DUMMYFUNCTION("""COMPUTED_VALUE"""),179)</f>
        <v>179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IFERROR(__xludf.DUMMYFUNCTION("""COMPUTED_VALUE"""),"Wes Roach")</f>
        <v>Wes Roach</v>
      </c>
      <c r="D4">
        <f ca="1">IFERROR(__xludf.DUMMYFUNCTION("""COMPUTED_VALUE"""),6)</f>
        <v>6</v>
      </c>
      <c r="E4" t="str">
        <f ca="1">IFERROR(__xludf.DUMMYFUNCTION("""COMPUTED_VALUE"""),"5' 2""")</f>
        <v>5' 2"</v>
      </c>
      <c r="F4">
        <f ca="1">IFERROR(__xludf.DUMMYFUNCTION("""COMPUTED_VALUE"""),56.667)</f>
        <v>56.667000000000002</v>
      </c>
      <c r="G4">
        <f ca="1">IFERROR(__xludf.DUMMYFUNCTION("""COMPUTED_VALUE"""),11)</f>
        <v>11</v>
      </c>
      <c r="H4">
        <f ca="1">IFERROR(__xludf.DUMMYFUNCTION("""COMPUTED_VALUE"""),235)</f>
        <v>235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IFERROR(__xludf.DUMMYFUNCTION("""COMPUTED_VALUE"""),"Hank Lebioda")</f>
        <v>Hank Lebioda</v>
      </c>
      <c r="D5">
        <f ca="1">IFERROR(__xludf.DUMMYFUNCTION("""COMPUTED_VALUE"""),14)</f>
        <v>14</v>
      </c>
      <c r="E5" t="str">
        <f ca="1">IFERROR(__xludf.DUMMYFUNCTION("""COMPUTED_VALUE"""),"5' 4""")</f>
        <v>5' 4"</v>
      </c>
      <c r="F5">
        <f ca="1">IFERROR(__xludf.DUMMYFUNCTION("""COMPUTED_VALUE"""),202.917)</f>
        <v>202.917</v>
      </c>
      <c r="G5">
        <f ca="1">IFERROR(__xludf.DUMMYFUNCTION("""COMPUTED_VALUE"""),38)</f>
        <v>38</v>
      </c>
      <c r="H5">
        <f ca="1">IFERROR(__xludf.DUMMYFUNCTION("""COMPUTED_VALUE"""),7)</f>
        <v>7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IFERROR(__xludf.DUMMYFUNCTION("""COMPUTED_VALUE"""),"Bud Cauley")</f>
        <v>Bud Cauley</v>
      </c>
      <c r="D6">
        <f ca="1">IFERROR(__xludf.DUMMYFUNCTION("""COMPUTED_VALUE"""),4)</f>
        <v>4</v>
      </c>
      <c r="E6" t="str">
        <f ca="1">IFERROR(__xludf.DUMMYFUNCTION("""COMPUTED_VALUE"""),"5' 5""")</f>
        <v>5' 5"</v>
      </c>
      <c r="F6">
        <f ca="1">IFERROR(__xludf.DUMMYFUNCTION("""COMPUTED_VALUE"""),125.167)</f>
        <v>125.167</v>
      </c>
      <c r="G6">
        <f ca="1">IFERROR(__xludf.DUMMYFUNCTION("""COMPUTED_VALUE"""),23)</f>
        <v>23</v>
      </c>
      <c r="H6">
        <f ca="1">IFERROR(__xludf.DUMMYFUNCTION("""COMPUTED_VALUE"""),1)</f>
        <v>1</v>
      </c>
    </row>
    <row r="7" spans="1:8" ht="15.75" customHeight="1">
      <c r="A7">
        <f ca="1">IFERROR(__xludf.DUMMYFUNCTION("""COMPUTED_VALUE"""),6)</f>
        <v>6</v>
      </c>
      <c r="B7" t="str">
        <f ca="1">IFERROR(__xludf.DUMMYFUNCTION("""COMPUTED_VALUE"""),"T6")</f>
        <v>T6</v>
      </c>
      <c r="C7" t="str">
        <f ca="1">IFERROR(__xludf.DUMMYFUNCTION("""COMPUTED_VALUE"""),"Josh Teater")</f>
        <v>Josh Teater</v>
      </c>
      <c r="D7">
        <f ca="1">IFERROR(__xludf.DUMMYFUNCTION("""COMPUTED_VALUE"""),6)</f>
        <v>6</v>
      </c>
      <c r="E7" t="str">
        <f ca="1">IFERROR(__xludf.DUMMYFUNCTION("""COMPUTED_VALUE"""),"5' 7""")</f>
        <v>5' 7"</v>
      </c>
      <c r="F7">
        <f ca="1">IFERROR(__xludf.DUMMYFUNCTION("""COMPUTED_VALUE"""),61.417)</f>
        <v>61.417000000000002</v>
      </c>
      <c r="G7">
        <f ca="1">IFERROR(__xludf.DUMMYFUNCTION("""COMPUTED_VALUE"""),11)</f>
        <v>11</v>
      </c>
      <c r="H7">
        <f ca="1">IFERROR(__xludf.DUMMYFUNCTION("""COMPUTED_VALUE"""),211)</f>
        <v>211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IFERROR(__xludf.DUMMYFUNCTION("""COMPUTED_VALUE"""),8)</f>
        <v>8</v>
      </c>
      <c r="C8" t="str">
        <f ca="1">IFERROR(__xludf.DUMMYFUNCTION("""COMPUTED_VALUE"""),"Brad Kennedy")</f>
        <v>Brad Kennedy</v>
      </c>
      <c r="D8">
        <f ca="1">IFERROR(__xludf.DUMMYFUNCTION("""COMPUTED_VALUE"""),4)</f>
        <v>4</v>
      </c>
      <c r="E8" t="str">
        <f ca="1">IFERROR(__xludf.DUMMYFUNCTION("""COMPUTED_VALUE"""),"5' 8""")</f>
        <v>5' 8"</v>
      </c>
      <c r="F8">
        <f ca="1">IFERROR(__xludf.DUMMYFUNCTION("""COMPUTED_VALUE"""),136.5)</f>
        <v>136.5</v>
      </c>
      <c r="G8">
        <f ca="1">IFERROR(__xludf.DUMMYFUNCTION("""COMPUTED_VALUE"""),24)</f>
        <v>24</v>
      </c>
      <c r="H8">
        <f ca="1">IFERROR(__xludf.DUMMYFUNCTION("""COMPUTED_VALUE"""),5)</f>
        <v>5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IFERROR(__xludf.DUMMYFUNCTION("""COMPUTED_VALUE"""),9)</f>
        <v>9</v>
      </c>
      <c r="C9" t="str">
        <f ca="1">IFERROR(__xludf.DUMMYFUNCTION("""COMPUTED_VALUE"""),"Ricky Barnes")</f>
        <v>Ricky Barnes</v>
      </c>
      <c r="D9">
        <f ca="1">IFERROR(__xludf.DUMMYFUNCTION("""COMPUTED_VALUE"""),12)</f>
        <v>12</v>
      </c>
      <c r="E9" t="str">
        <f ca="1">IFERROR(__xludf.DUMMYFUNCTION("""COMPUTED_VALUE"""),"5' 9""")</f>
        <v>5' 9"</v>
      </c>
      <c r="F9">
        <f ca="1">IFERROR(__xludf.DUMMYFUNCTION("""COMPUTED_VALUE"""),80.167)</f>
        <v>80.167000000000002</v>
      </c>
      <c r="G9">
        <f ca="1">IFERROR(__xludf.DUMMYFUNCTION("""COMPUTED_VALUE"""),14)</f>
        <v>14</v>
      </c>
      <c r="H9">
        <f ca="1">IFERROR(__xludf.DUMMYFUNCTION("""COMPUTED_VALUE"""),144)</f>
        <v>144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IFERROR(__xludf.DUMMYFUNCTION("""COMPUTED_VALUE"""),"Mark Anderson")</f>
        <v>Mark Anderson</v>
      </c>
      <c r="D10">
        <f ca="1">IFERROR(__xludf.DUMMYFUNCTION("""COMPUTED_VALUE"""),14)</f>
        <v>14</v>
      </c>
      <c r="E10" t="str">
        <f ca="1">IFERROR(__xludf.DUMMYFUNCTION("""COMPUTED_VALUE"""),"5' 10""")</f>
        <v>5' 10"</v>
      </c>
      <c r="F10">
        <f ca="1">IFERROR(__xludf.DUMMYFUNCTION("""COMPUTED_VALUE"""),163.5)</f>
        <v>163.5</v>
      </c>
      <c r="G10">
        <f ca="1">IFERROR(__xludf.DUMMYFUNCTION("""COMPUTED_VALUE"""),28)</f>
        <v>28</v>
      </c>
      <c r="H10">
        <f ca="1">IFERROR(__xludf.DUMMYFUNCTION("""COMPUTED_VALUE"""),28)</f>
        <v>28</v>
      </c>
    </row>
    <row r="11" spans="1:8" ht="15.75" customHeight="1">
      <c r="A11" t="str">
        <f ca="1">IFERROR(__xludf.DUMMYFUNCTION("""COMPUTED_VALUE"""),"T10")</f>
        <v>T10</v>
      </c>
      <c r="B11" t="str">
        <f ca="1">IFERROR(__xludf.DUMMYFUNCTION("""COMPUTED_VALUE"""),"T18")</f>
        <v>T18</v>
      </c>
      <c r="C11" t="str">
        <f ca="1">IFERROR(__xludf.DUMMYFUNCTION("""COMPUTED_VALUE"""),"Fabián Gómez")</f>
        <v>Fabián Gómez</v>
      </c>
      <c r="D11">
        <f ca="1">IFERROR(__xludf.DUMMYFUNCTION("""COMPUTED_VALUE"""),16)</f>
        <v>16</v>
      </c>
      <c r="E11" t="str">
        <f ca="1">IFERROR(__xludf.DUMMYFUNCTION("""COMPUTED_VALUE"""),"5' 11""")</f>
        <v>5' 11"</v>
      </c>
      <c r="F11">
        <f ca="1">IFERROR(__xludf.DUMMYFUNCTION("""COMPUTED_VALUE"""),405.5)</f>
        <v>405.5</v>
      </c>
      <c r="G11">
        <f ca="1">IFERROR(__xludf.DUMMYFUNCTION("""COMPUTED_VALUE"""),69)</f>
        <v>69</v>
      </c>
      <c r="H11">
        <f ca="1">IFERROR(__xludf.DUMMYFUNCTION("""COMPUTED_VALUE"""),24)</f>
        <v>24</v>
      </c>
    </row>
    <row r="12" spans="1:8" ht="15.75" customHeight="1">
      <c r="A12" t="str">
        <f ca="1">IFERROR(__xludf.DUMMYFUNCTION("""COMPUTED_VALUE"""),"T10")</f>
        <v>T10</v>
      </c>
      <c r="B12">
        <f ca="1">IFERROR(__xludf.DUMMYFUNCTION("""COMPUTED_VALUE"""),11)</f>
        <v>11</v>
      </c>
      <c r="C12" t="str">
        <f ca="1">IFERROR(__xludf.DUMMYFUNCTION("""COMPUTED_VALUE"""),"Ben Taylor")</f>
        <v>Ben Taylor</v>
      </c>
      <c r="D12">
        <f ca="1">IFERROR(__xludf.DUMMYFUNCTION("""COMPUTED_VALUE"""),10)</f>
        <v>10</v>
      </c>
      <c r="E12" t="str">
        <f ca="1">IFERROR(__xludf.DUMMYFUNCTION("""COMPUTED_VALUE"""),"5' 11""")</f>
        <v>5' 11"</v>
      </c>
      <c r="F12">
        <f ca="1">IFERROR(__xludf.DUMMYFUNCTION("""COMPUTED_VALUE"""),100)</f>
        <v>100</v>
      </c>
      <c r="G12">
        <f ca="1">IFERROR(__xludf.DUMMYFUNCTION("""COMPUTED_VALUE"""),17)</f>
        <v>17</v>
      </c>
      <c r="H12">
        <f ca="1">IFERROR(__xludf.DUMMYFUNCTION("""COMPUTED_VALUE"""),19)</f>
        <v>19</v>
      </c>
    </row>
    <row r="13" spans="1:8" ht="15.75" customHeight="1">
      <c r="A13" t="str">
        <f ca="1">IFERROR(__xludf.DUMMYFUNCTION("""COMPUTED_VALUE"""),"T12")</f>
        <v>T12</v>
      </c>
      <c r="B13">
        <f ca="1">IFERROR(__xludf.DUMMYFUNCTION("""COMPUTED_VALUE"""),12)</f>
        <v>12</v>
      </c>
      <c r="C13" t="str">
        <f ca="1">IFERROR(__xludf.DUMMYFUNCTION("""COMPUTED_VALUE"""),"Gunn Charoenkul")</f>
        <v>Gunn Charoenkul</v>
      </c>
      <c r="D13">
        <f ca="1">IFERROR(__xludf.DUMMYFUNCTION("""COMPUTED_VALUE"""),4)</f>
        <v>4</v>
      </c>
      <c r="E13" t="str">
        <f ca="1">IFERROR(__xludf.DUMMYFUNCTION("""COMPUTED_VALUE"""),"6' 0""")</f>
        <v>6' 0"</v>
      </c>
      <c r="F13">
        <f ca="1">IFERROR(__xludf.DUMMYFUNCTION("""COMPUTED_VALUE"""),126)</f>
        <v>126</v>
      </c>
      <c r="G13">
        <f ca="1">IFERROR(__xludf.DUMMYFUNCTION("""COMPUTED_VALUE"""),21)</f>
        <v>21</v>
      </c>
      <c r="H13">
        <f ca="1">IFERROR(__xludf.DUMMYFUNCTION("""COMPUTED_VALUE"""),18)</f>
        <v>18</v>
      </c>
    </row>
    <row r="14" spans="1:8" ht="15.75" customHeight="1">
      <c r="A14" t="str">
        <f ca="1">IFERROR(__xludf.DUMMYFUNCTION("""COMPUTED_VALUE"""),"T12")</f>
        <v>T12</v>
      </c>
      <c r="B14" t="str">
        <f ca="1">IFERROR(__xludf.DUMMYFUNCTION("""COMPUTED_VALUE"""),"T6")</f>
        <v>T6</v>
      </c>
      <c r="C14" t="str">
        <f ca="1">IFERROR(__xludf.DUMMYFUNCTION("""COMPUTED_VALUE"""),"Graham DeLaet")</f>
        <v>Graham DeLaet</v>
      </c>
      <c r="D14">
        <f ca="1">IFERROR(__xludf.DUMMYFUNCTION("""COMPUTED_VALUE"""),9)</f>
        <v>9</v>
      </c>
      <c r="E14" t="str">
        <f ca="1">IFERROR(__xludf.DUMMYFUNCTION("""COMPUTED_VALUE"""),"6' 0""")</f>
        <v>6' 0"</v>
      </c>
      <c r="F14">
        <f ca="1">IFERROR(__xludf.DUMMYFUNCTION("""COMPUTED_VALUE"""),162.417)</f>
        <v>162.417</v>
      </c>
      <c r="G14">
        <f ca="1">IFERROR(__xludf.DUMMYFUNCTION("""COMPUTED_VALUE"""),27)</f>
        <v>27</v>
      </c>
      <c r="H14">
        <f ca="1">IFERROR(__xludf.DUMMYFUNCTION("""COMPUTED_VALUE"""),267)</f>
        <v>267</v>
      </c>
    </row>
    <row r="15" spans="1:8" ht="15.75" customHeight="1">
      <c r="A15" t="str">
        <f ca="1">IFERROR(__xludf.DUMMYFUNCTION("""COMPUTED_VALUE"""),"T14")</f>
        <v>T14</v>
      </c>
      <c r="B15" t="str">
        <f ca="1">IFERROR(__xludf.DUMMYFUNCTION("""COMPUTED_VALUE"""),"T26")</f>
        <v>T26</v>
      </c>
      <c r="C15" t="str">
        <f ca="1">IFERROR(__xludf.DUMMYFUNCTION("""COMPUTED_VALUE"""),"Nate Lashley")</f>
        <v>Nate Lashley</v>
      </c>
      <c r="D15">
        <f ca="1">IFERROR(__xludf.DUMMYFUNCTION("""COMPUTED_VALUE"""),16)</f>
        <v>16</v>
      </c>
      <c r="E15" t="str">
        <f ca="1">IFERROR(__xludf.DUMMYFUNCTION("""COMPUTED_VALUE"""),"6' 2""")</f>
        <v>6' 2"</v>
      </c>
      <c r="F15">
        <f ca="1">IFERROR(__xludf.DUMMYFUNCTION("""COMPUTED_VALUE"""),401.583)</f>
        <v>401.58300000000003</v>
      </c>
      <c r="G15">
        <f ca="1">IFERROR(__xludf.DUMMYFUNCTION("""COMPUTED_VALUE"""),65)</f>
        <v>65</v>
      </c>
      <c r="H15">
        <f ca="1">IFERROR(__xludf.DUMMYFUNCTION("""COMPUTED_VALUE"""),40)</f>
        <v>40</v>
      </c>
    </row>
    <row r="16" spans="1:8" ht="15.75" customHeight="1">
      <c r="A16" t="str">
        <f ca="1">IFERROR(__xludf.DUMMYFUNCTION("""COMPUTED_VALUE"""),"T14")</f>
        <v>T14</v>
      </c>
      <c r="B16" t="str">
        <f ca="1">IFERROR(__xludf.DUMMYFUNCTION("""COMPUTED_VALUE"""),"T14")</f>
        <v>T14</v>
      </c>
      <c r="C16" t="str">
        <f ca="1">IFERROR(__xludf.DUMMYFUNCTION("""COMPUTED_VALUE"""),"Rhein Gibson")</f>
        <v>Rhein Gibson</v>
      </c>
      <c r="D16">
        <f ca="1">IFERROR(__xludf.DUMMYFUNCTION("""COMPUTED_VALUE"""),10)</f>
        <v>10</v>
      </c>
      <c r="E16" t="str">
        <f ca="1">IFERROR(__xludf.DUMMYFUNCTION("""COMPUTED_VALUE"""),"6' 2""")</f>
        <v>6' 2"</v>
      </c>
      <c r="F16">
        <f ca="1">IFERROR(__xludf.DUMMYFUNCTION("""COMPUTED_VALUE"""),165.917)</f>
        <v>165.917</v>
      </c>
      <c r="G16">
        <f ca="1">IFERROR(__xludf.DUMMYFUNCTION("""COMPUTED_VALUE"""),27)</f>
        <v>27</v>
      </c>
      <c r="H16">
        <f ca="1">IFERROR(__xludf.DUMMYFUNCTION("""COMPUTED_VALUE"""),108)</f>
        <v>108</v>
      </c>
    </row>
    <row r="17" spans="1:8" ht="15.75" customHeight="1">
      <c r="A17" t="str">
        <f ca="1">IFERROR(__xludf.DUMMYFUNCTION("""COMPUTED_VALUE"""),"T14")</f>
        <v>T14</v>
      </c>
      <c r="B17" t="str">
        <f ca="1">IFERROR(__xludf.DUMMYFUNCTION("""COMPUTED_VALUE"""),"T14")</f>
        <v>T14</v>
      </c>
      <c r="C17" t="str">
        <f ca="1">IFERROR(__xludf.DUMMYFUNCTION("""COMPUTED_VALUE"""),"Joseph Bramlett")</f>
        <v>Joseph Bramlett</v>
      </c>
      <c r="D17">
        <f ca="1">IFERROR(__xludf.DUMMYFUNCTION("""COMPUTED_VALUE"""),18)</f>
        <v>18</v>
      </c>
      <c r="E17" t="str">
        <f ca="1">IFERROR(__xludf.DUMMYFUNCTION("""COMPUTED_VALUE"""),"6' 2""")</f>
        <v>6' 2"</v>
      </c>
      <c r="F17">
        <f ca="1">IFERROR(__xludf.DUMMYFUNCTION("""COMPUTED_VALUE"""),344.167)</f>
        <v>344.16699999999997</v>
      </c>
      <c r="G17">
        <f ca="1">IFERROR(__xludf.DUMMYFUNCTION("""COMPUTED_VALUE"""),56)</f>
        <v>56</v>
      </c>
      <c r="H17">
        <f ca="1">IFERROR(__xludf.DUMMYFUNCTION("""COMPUTED_VALUE"""),127)</f>
        <v>127</v>
      </c>
    </row>
    <row r="18" spans="1:8" ht="15.75" customHeight="1">
      <c r="A18" t="str">
        <f ca="1">IFERROR(__xludf.DUMMYFUNCTION("""COMPUTED_VALUE"""),"T17")</f>
        <v>T17</v>
      </c>
      <c r="B18" t="str">
        <f ca="1">IFERROR(__xludf.DUMMYFUNCTION("""COMPUTED_VALUE"""),"T18")</f>
        <v>T18</v>
      </c>
      <c r="C18" t="str">
        <f ca="1">IFERROR(__xludf.DUMMYFUNCTION("""COMPUTED_VALUE"""),"Byeong Hun An")</f>
        <v>Byeong Hun An</v>
      </c>
      <c r="D18">
        <f ca="1">IFERROR(__xludf.DUMMYFUNCTION("""COMPUTED_VALUE"""),14)</f>
        <v>14</v>
      </c>
      <c r="E18" t="str">
        <f ca="1">IFERROR(__xludf.DUMMYFUNCTION("""COMPUTED_VALUE"""),"6' 3""")</f>
        <v>6' 3"</v>
      </c>
      <c r="F18">
        <f ca="1">IFERROR(__xludf.DUMMYFUNCTION("""COMPUTED_VALUE"""),594.083)</f>
        <v>594.08299999999997</v>
      </c>
      <c r="G18">
        <f ca="1">IFERROR(__xludf.DUMMYFUNCTION("""COMPUTED_VALUE"""),95)</f>
        <v>95</v>
      </c>
      <c r="H18">
        <f ca="1">IFERROR(__xludf.DUMMYFUNCTION("""COMPUTED_VALUE"""),67)</f>
        <v>67</v>
      </c>
    </row>
    <row r="19" spans="1:8" ht="15.75" customHeight="1">
      <c r="A19" t="str">
        <f ca="1">IFERROR(__xludf.DUMMYFUNCTION("""COMPUTED_VALUE"""),"T17")</f>
        <v>T17</v>
      </c>
      <c r="B19" t="str">
        <f ca="1">IFERROR(__xludf.DUMMYFUNCTION("""COMPUTED_VALUE"""),"T18")</f>
        <v>T18</v>
      </c>
      <c r="C19" t="str">
        <f ca="1">IFERROR(__xludf.DUMMYFUNCTION("""COMPUTED_VALUE"""),"Chris Baker")</f>
        <v>Chris Baker</v>
      </c>
      <c r="D19">
        <f ca="1">IFERROR(__xludf.DUMMYFUNCTION("""COMPUTED_VALUE"""),8)</f>
        <v>8</v>
      </c>
      <c r="E19" t="str">
        <f ca="1">IFERROR(__xludf.DUMMYFUNCTION("""COMPUTED_VALUE"""),"6' 3""")</f>
        <v>6' 3"</v>
      </c>
      <c r="F19">
        <f ca="1">IFERROR(__xludf.DUMMYFUNCTION("""COMPUTED_VALUE"""),142.833)</f>
        <v>142.833</v>
      </c>
      <c r="G19">
        <f ca="1">IFERROR(__xludf.DUMMYFUNCTION("""COMPUTED_VALUE"""),23)</f>
        <v>23</v>
      </c>
      <c r="H19">
        <f ca="1">IFERROR(__xludf.DUMMYFUNCTION("""COMPUTED_VALUE"""),138)</f>
        <v>138</v>
      </c>
    </row>
    <row r="20" spans="1:8" ht="15.75" customHeight="1">
      <c r="A20" t="str">
        <f ca="1">IFERROR(__xludf.DUMMYFUNCTION("""COMPUTED_VALUE"""),"T17")</f>
        <v>T17</v>
      </c>
      <c r="B20" t="str">
        <f ca="1">IFERROR(__xludf.DUMMYFUNCTION("""COMPUTED_VALUE"""),"T18")</f>
        <v>T18</v>
      </c>
      <c r="C20" t="str">
        <f ca="1">IFERROR(__xludf.DUMMYFUNCTION("""COMPUTED_VALUE"""),"Webb Simpson")</f>
        <v>Webb Simpson</v>
      </c>
      <c r="D20">
        <f ca="1">IFERROR(__xludf.DUMMYFUNCTION("""COMPUTED_VALUE"""),12)</f>
        <v>12</v>
      </c>
      <c r="E20" t="str">
        <f ca="1">IFERROR(__xludf.DUMMYFUNCTION("""COMPUTED_VALUE"""),"6' 3""")</f>
        <v>6' 3"</v>
      </c>
      <c r="F20">
        <f ca="1">IFERROR(__xludf.DUMMYFUNCTION("""COMPUTED_VALUE"""),487.167)</f>
        <v>487.16699999999997</v>
      </c>
      <c r="G20">
        <f ca="1">IFERROR(__xludf.DUMMYFUNCTION("""COMPUTED_VALUE"""),78)</f>
        <v>78</v>
      </c>
      <c r="H20">
        <f ca="1">IFERROR(__xludf.DUMMYFUNCTION("""COMPUTED_VALUE"""),12)</f>
        <v>12</v>
      </c>
    </row>
    <row r="21" spans="1:8" ht="15.75" customHeight="1">
      <c r="A21" t="str">
        <f ca="1">IFERROR(__xludf.DUMMYFUNCTION("""COMPUTED_VALUE"""),"T17")</f>
        <v>T17</v>
      </c>
      <c r="B21" t="str">
        <f ca="1">IFERROR(__xludf.DUMMYFUNCTION("""COMPUTED_VALUE"""),"T18")</f>
        <v>T18</v>
      </c>
      <c r="C21" t="str">
        <f ca="1">IFERROR(__xludf.DUMMYFUNCTION("""COMPUTED_VALUE"""),"Tim Wilkinson")</f>
        <v>Tim Wilkinson</v>
      </c>
      <c r="D21">
        <f ca="1">IFERROR(__xludf.DUMMYFUNCTION("""COMPUTED_VALUE"""),12)</f>
        <v>12</v>
      </c>
      <c r="E21" t="str">
        <f ca="1">IFERROR(__xludf.DUMMYFUNCTION("""COMPUTED_VALUE"""),"6' 3""")</f>
        <v>6' 3"</v>
      </c>
      <c r="F21">
        <f ca="1">IFERROR(__xludf.DUMMYFUNCTION("""COMPUTED_VALUE"""),174)</f>
        <v>174</v>
      </c>
      <c r="G21">
        <f ca="1">IFERROR(__xludf.DUMMYFUNCTION("""COMPUTED_VALUE"""),28)</f>
        <v>28</v>
      </c>
      <c r="H21">
        <f ca="1">IFERROR(__xludf.DUMMYFUNCTION("""COMPUTED_VALUE"""),27)</f>
        <v>27</v>
      </c>
    </row>
    <row r="22" spans="1:8" ht="15.75" customHeight="1">
      <c r="A22" t="str">
        <f ca="1">IFERROR(__xludf.DUMMYFUNCTION("""COMPUTED_VALUE"""),"T17")</f>
        <v>T17</v>
      </c>
      <c r="B22" t="str">
        <f ca="1">IFERROR(__xludf.DUMMYFUNCTION("""COMPUTED_VALUE"""),"T18")</f>
        <v>T18</v>
      </c>
      <c r="C22" t="str">
        <f ca="1">IFERROR(__xludf.DUMMYFUNCTION("""COMPUTED_VALUE"""),"Alex Cejka")</f>
        <v>Alex Cejka</v>
      </c>
      <c r="D22">
        <f ca="1">IFERROR(__xludf.DUMMYFUNCTION("""COMPUTED_VALUE"""),6)</f>
        <v>6</v>
      </c>
      <c r="E22" t="str">
        <f ca="1">IFERROR(__xludf.DUMMYFUNCTION("""COMPUTED_VALUE"""),"6' 3""")</f>
        <v>6' 3"</v>
      </c>
      <c r="F22">
        <f ca="1">IFERROR(__xludf.DUMMYFUNCTION("""COMPUTED_VALUE"""),94.333)</f>
        <v>94.332999999999998</v>
      </c>
      <c r="G22">
        <f ca="1">IFERROR(__xludf.DUMMYFUNCTION("""COMPUTED_VALUE"""),15)</f>
        <v>15</v>
      </c>
      <c r="H22">
        <f ca="1">IFERROR(__xludf.DUMMYFUNCTION("""COMPUTED_VALUE"""),112)</f>
        <v>112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IFERROR(__xludf.DUMMYFUNCTION("""COMPUTED_VALUE"""),"T31")</f>
        <v>T31</v>
      </c>
      <c r="C23" t="str">
        <f ca="1">IFERROR(__xludf.DUMMYFUNCTION("""COMPUTED_VALUE"""),"Vaughn Taylor")</f>
        <v>Vaughn Taylor</v>
      </c>
      <c r="D23">
        <f ca="1">IFERROR(__xludf.DUMMYFUNCTION("""COMPUTED_VALUE"""),12)</f>
        <v>12</v>
      </c>
      <c r="E23" t="str">
        <f ca="1">IFERROR(__xludf.DUMMYFUNCTION("""COMPUTED_VALUE"""),"6' 6""")</f>
        <v>6' 6"</v>
      </c>
      <c r="F23">
        <f ca="1">IFERROR(__xludf.DUMMYFUNCTION("""COMPUTED_VALUE"""),201.917)</f>
        <v>201.917</v>
      </c>
      <c r="G23">
        <f ca="1">IFERROR(__xludf.DUMMYFUNCTION("""COMPUTED_VALUE"""),31)</f>
        <v>31</v>
      </c>
      <c r="H23">
        <f ca="1">IFERROR(__xludf.DUMMYFUNCTION("""COMPUTED_VALUE"""),135)</f>
        <v>135</v>
      </c>
    </row>
    <row r="24" spans="1:8" ht="15.75" customHeight="1">
      <c r="A24" t="str">
        <f ca="1">IFERROR(__xludf.DUMMYFUNCTION("""COMPUTED_VALUE"""),"T22")</f>
        <v>T22</v>
      </c>
      <c r="B24">
        <f ca="1">IFERROR(__xludf.DUMMYFUNCTION("""COMPUTED_VALUE"""),13)</f>
        <v>13</v>
      </c>
      <c r="C24" t="str">
        <f ca="1">IFERROR(__xludf.DUMMYFUNCTION("""COMPUTED_VALUE"""),"Brian Stuard")</f>
        <v>Brian Stuard</v>
      </c>
      <c r="D24">
        <f ca="1">IFERROR(__xludf.DUMMYFUNCTION("""COMPUTED_VALUE"""),18)</f>
        <v>18</v>
      </c>
      <c r="E24" t="str">
        <f ca="1">IFERROR(__xludf.DUMMYFUNCTION("""COMPUTED_VALUE"""),"6' 6""")</f>
        <v>6' 6"</v>
      </c>
      <c r="F24">
        <f ca="1">IFERROR(__xludf.DUMMYFUNCTION("""COMPUTED_VALUE"""),417.083)</f>
        <v>417.08300000000003</v>
      </c>
      <c r="G24">
        <f ca="1">IFERROR(__xludf.DUMMYFUNCTION("""COMPUTED_VALUE"""),64)</f>
        <v>64</v>
      </c>
      <c r="H24">
        <f ca="1">IFERROR(__xludf.DUMMYFUNCTION("""COMPUTED_VALUE"""),60)</f>
        <v>60</v>
      </c>
    </row>
    <row r="25" spans="1:8" ht="15.75" customHeight="1">
      <c r="A25" t="str">
        <f ca="1">IFERROR(__xludf.DUMMYFUNCTION("""COMPUTED_VALUE"""),"T22")</f>
        <v>T22</v>
      </c>
      <c r="B25" t="str">
        <f ca="1">IFERROR(__xludf.DUMMYFUNCTION("""COMPUTED_VALUE"""),"T18")</f>
        <v>T18</v>
      </c>
      <c r="C25" t="str">
        <f ca="1">IFERROR(__xludf.DUMMYFUNCTION("""COMPUTED_VALUE"""),"Bo Hoag")</f>
        <v>Bo Hoag</v>
      </c>
      <c r="D25">
        <f ca="1">IFERROR(__xludf.DUMMYFUNCTION("""COMPUTED_VALUE"""),14)</f>
        <v>14</v>
      </c>
      <c r="E25" t="str">
        <f ca="1">IFERROR(__xludf.DUMMYFUNCTION("""COMPUTED_VALUE"""),"6' 6""")</f>
        <v>6' 6"</v>
      </c>
      <c r="F25">
        <f ca="1">IFERROR(__xludf.DUMMYFUNCTION("""COMPUTED_VALUE"""),391.667)</f>
        <v>391.66699999999997</v>
      </c>
      <c r="G25">
        <f ca="1">IFERROR(__xludf.DUMMYFUNCTION("""COMPUTED_VALUE"""),60)</f>
        <v>60</v>
      </c>
      <c r="H25">
        <f ca="1">IFERROR(__xludf.DUMMYFUNCTION("""COMPUTED_VALUE"""),83)</f>
        <v>83</v>
      </c>
    </row>
    <row r="26" spans="1:8" ht="15.75" customHeight="1">
      <c r="A26" t="str">
        <f ca="1">IFERROR(__xludf.DUMMYFUNCTION("""COMPUTED_VALUE"""),"T25")</f>
        <v>T25</v>
      </c>
      <c r="B26" t="str">
        <f ca="1">IFERROR(__xludf.DUMMYFUNCTION("""COMPUTED_VALUE"""),"T18")</f>
        <v>T18</v>
      </c>
      <c r="C26" t="str">
        <f ca="1">IFERROR(__xludf.DUMMYFUNCTION("""COMPUTED_VALUE"""),"Tom Hoge")</f>
        <v>Tom Hoge</v>
      </c>
      <c r="D26">
        <f ca="1">IFERROR(__xludf.DUMMYFUNCTION("""COMPUTED_VALUE"""),22)</f>
        <v>22</v>
      </c>
      <c r="E26" t="str">
        <f ca="1">IFERROR(__xludf.DUMMYFUNCTION("""COMPUTED_VALUE"""),"6' 7""")</f>
        <v>6' 7"</v>
      </c>
      <c r="F26">
        <f ca="1">IFERROR(__xludf.DUMMYFUNCTION("""COMPUTED_VALUE"""),906)</f>
        <v>906</v>
      </c>
      <c r="G26">
        <f ca="1">IFERROR(__xludf.DUMMYFUNCTION("""COMPUTED_VALUE"""),137)</f>
        <v>137</v>
      </c>
      <c r="H26">
        <f ca="1">IFERROR(__xludf.DUMMYFUNCTION("""COMPUTED_VALUE"""),102)</f>
        <v>102</v>
      </c>
    </row>
    <row r="27" spans="1:8" ht="15.75" customHeight="1">
      <c r="A27" t="str">
        <f ca="1">IFERROR(__xludf.DUMMYFUNCTION("""COMPUTED_VALUE"""),"T25")</f>
        <v>T25</v>
      </c>
      <c r="B27" t="str">
        <f ca="1">IFERROR(__xludf.DUMMYFUNCTION("""COMPUTED_VALUE"""),"T33")</f>
        <v>T33</v>
      </c>
      <c r="C27" t="str">
        <f ca="1">IFERROR(__xludf.DUMMYFUNCTION("""COMPUTED_VALUE"""),"Jonathan Byrd")</f>
        <v>Jonathan Byrd</v>
      </c>
      <c r="D27">
        <f ca="1">IFERROR(__xludf.DUMMYFUNCTION("""COMPUTED_VALUE"""),14)</f>
        <v>14</v>
      </c>
      <c r="E27" t="str">
        <f ca="1">IFERROR(__xludf.DUMMYFUNCTION("""COMPUTED_VALUE"""),"6' 7""")</f>
        <v>6' 7"</v>
      </c>
      <c r="F27">
        <f ca="1">IFERROR(__xludf.DUMMYFUNCTION("""COMPUTED_VALUE"""),217.75)</f>
        <v>217.75</v>
      </c>
      <c r="G27">
        <f ca="1">IFERROR(__xludf.DUMMYFUNCTION("""COMPUTED_VALUE"""),33)</f>
        <v>33</v>
      </c>
      <c r="H27">
        <f ca="1">IFERROR(__xludf.DUMMYFUNCTION("""COMPUTED_VALUE"""),23)</f>
        <v>23</v>
      </c>
    </row>
    <row r="28" spans="1:8" ht="15.75" customHeight="1">
      <c r="A28" t="str">
        <f ca="1">IFERROR(__xludf.DUMMYFUNCTION("""COMPUTED_VALUE"""),"T25")</f>
        <v>T25</v>
      </c>
      <c r="B28" t="str">
        <f ca="1">IFERROR(__xludf.DUMMYFUNCTION("""COMPUTED_VALUE"""),"T26")</f>
        <v>T26</v>
      </c>
      <c r="C28" t="str">
        <f ca="1">IFERROR(__xludf.DUMMYFUNCTION("""COMPUTED_VALUE"""),"David Hearn")</f>
        <v>David Hearn</v>
      </c>
      <c r="D28">
        <f ca="1">IFERROR(__xludf.DUMMYFUNCTION("""COMPUTED_VALUE"""),16)</f>
        <v>16</v>
      </c>
      <c r="E28" t="str">
        <f ca="1">IFERROR(__xludf.DUMMYFUNCTION("""COMPUTED_VALUE"""),"6' 7""")</f>
        <v>6' 7"</v>
      </c>
      <c r="F28">
        <f ca="1">IFERROR(__xludf.DUMMYFUNCTION("""COMPUTED_VALUE"""),242.083)</f>
        <v>242.083</v>
      </c>
      <c r="G28">
        <f ca="1">IFERROR(__xludf.DUMMYFUNCTION("""COMPUTED_VALUE"""),37)</f>
        <v>37</v>
      </c>
      <c r="H28">
        <f ca="1">IFERROR(__xludf.DUMMYFUNCTION("""COMPUTED_VALUE"""),71)</f>
        <v>71</v>
      </c>
    </row>
    <row r="29" spans="1:8" ht="15.75" customHeight="1">
      <c r="A29" t="str">
        <f ca="1">IFERROR(__xludf.DUMMYFUNCTION("""COMPUTED_VALUE"""),"T28")</f>
        <v>T28</v>
      </c>
      <c r="B29" t="str">
        <f ca="1">IFERROR(__xludf.DUMMYFUNCTION("""COMPUTED_VALUE"""),"T29")</f>
        <v>T29</v>
      </c>
      <c r="C29" t="str">
        <f ca="1">IFERROR(__xludf.DUMMYFUNCTION("""COMPUTED_VALUE"""),"Scott Brown")</f>
        <v>Scott Brown</v>
      </c>
      <c r="D29">
        <f ca="1">IFERROR(__xludf.DUMMYFUNCTION("""COMPUTED_VALUE"""),14)</f>
        <v>14</v>
      </c>
      <c r="E29" t="str">
        <f ca="1">IFERROR(__xludf.DUMMYFUNCTION("""COMPUTED_VALUE"""),"6' 8""")</f>
        <v>6' 8"</v>
      </c>
      <c r="F29">
        <f ca="1">IFERROR(__xludf.DUMMYFUNCTION("""COMPUTED_VALUE"""),435)</f>
        <v>435</v>
      </c>
      <c r="G29">
        <f ca="1">IFERROR(__xludf.DUMMYFUNCTION("""COMPUTED_VALUE"""),65)</f>
        <v>65</v>
      </c>
      <c r="H29">
        <f ca="1">IFERROR(__xludf.DUMMYFUNCTION("""COMPUTED_VALUE"""),89)</f>
        <v>89</v>
      </c>
    </row>
    <row r="30" spans="1:8" ht="15.75" customHeight="1">
      <c r="A30" t="str">
        <f ca="1">IFERROR(__xludf.DUMMYFUNCTION("""COMPUTED_VALUE"""),"T28")</f>
        <v>T28</v>
      </c>
      <c r="B30">
        <f ca="1">IFERROR(__xludf.DUMMYFUNCTION("""COMPUTED_VALUE"""),35)</f>
        <v>35</v>
      </c>
      <c r="C30" t="str">
        <f ca="1">IFERROR(__xludf.DUMMYFUNCTION("""COMPUTED_VALUE"""),"Naoki Sekito")</f>
        <v>Naoki Sekito</v>
      </c>
      <c r="D30">
        <f ca="1">IFERROR(__xludf.DUMMYFUNCTION("""COMPUTED_VALUE"""),4)</f>
        <v>4</v>
      </c>
      <c r="E30" t="str">
        <f ca="1">IFERROR(__xludf.DUMMYFUNCTION("""COMPUTED_VALUE"""),"6' 8""")</f>
        <v>6' 8"</v>
      </c>
      <c r="F30">
        <f ca="1">IFERROR(__xludf.DUMMYFUNCTION("""COMPUTED_VALUE"""),159.917)</f>
        <v>159.917</v>
      </c>
      <c r="G30">
        <f ca="1">IFERROR(__xludf.DUMMYFUNCTION("""COMPUTED_VALUE"""),24)</f>
        <v>24</v>
      </c>
      <c r="H30">
        <f ca="1">IFERROR(__xludf.DUMMYFUNCTION("""COMPUTED_VALUE"""),259)</f>
        <v>259</v>
      </c>
    </row>
    <row r="31" spans="1:8" ht="12.75">
      <c r="A31" t="str">
        <f ca="1">IFERROR(__xludf.DUMMYFUNCTION("""COMPUTED_VALUE"""),"T30")</f>
        <v>T30</v>
      </c>
      <c r="B31" t="str">
        <f ca="1">IFERROR(__xludf.DUMMYFUNCTION("""COMPUTED_VALUE"""),"T36")</f>
        <v>T36</v>
      </c>
      <c r="C31" t="str">
        <f ca="1">IFERROR(__xludf.DUMMYFUNCTION("""COMPUTED_VALUE"""),"Renato Paratore")</f>
        <v>Renato Paratore</v>
      </c>
      <c r="D31">
        <f ca="1">IFERROR(__xludf.DUMMYFUNCTION("""COMPUTED_VALUE"""),4)</f>
        <v>4</v>
      </c>
      <c r="E31" t="str">
        <f ca="1">IFERROR(__xludf.DUMMYFUNCTION("""COMPUTED_VALUE"""),"6' 9""")</f>
        <v>6' 9"</v>
      </c>
      <c r="F31">
        <f ca="1">IFERROR(__xludf.DUMMYFUNCTION("""COMPUTED_VALUE"""),223.5)</f>
        <v>223.5</v>
      </c>
      <c r="G31">
        <f ca="1">IFERROR(__xludf.DUMMYFUNCTION("""COMPUTED_VALUE"""),33)</f>
        <v>33</v>
      </c>
      <c r="H31">
        <f ca="1">IFERROR(__xludf.DUMMYFUNCTION("""COMPUTED_VALUE"""),122)</f>
        <v>122</v>
      </c>
    </row>
    <row r="32" spans="1:8" ht="12.75">
      <c r="A32" t="str">
        <f ca="1">IFERROR(__xludf.DUMMYFUNCTION("""COMPUTED_VALUE"""),"T30")</f>
        <v>T30</v>
      </c>
      <c r="B32" t="str">
        <f ca="1">IFERROR(__xludf.DUMMYFUNCTION("""COMPUTED_VALUE"""),"T41")</f>
        <v>T41</v>
      </c>
      <c r="C32" t="str">
        <f ca="1">IFERROR(__xludf.DUMMYFUNCTION("""COMPUTED_VALUE"""),"Pat Perez")</f>
        <v>Pat Perez</v>
      </c>
      <c r="D32">
        <f ca="1">IFERROR(__xludf.DUMMYFUNCTION("""COMPUTED_VALUE"""),16)</f>
        <v>16</v>
      </c>
      <c r="E32" t="str">
        <f ca="1">IFERROR(__xludf.DUMMYFUNCTION("""COMPUTED_VALUE"""),"6' 9""")</f>
        <v>6' 9"</v>
      </c>
      <c r="F32">
        <f ca="1">IFERROR(__xludf.DUMMYFUNCTION("""COMPUTED_VALUE"""),378.417)</f>
        <v>378.41699999999997</v>
      </c>
      <c r="G32">
        <f ca="1">IFERROR(__xludf.DUMMYFUNCTION("""COMPUTED_VALUE"""),56)</f>
        <v>56</v>
      </c>
      <c r="H32">
        <f ca="1">IFERROR(__xludf.DUMMYFUNCTION("""COMPUTED_VALUE"""),100)</f>
        <v>100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IFERROR(__xludf.DUMMYFUNCTION("""COMPUTED_VALUE"""),"T38")</f>
        <v>T38</v>
      </c>
      <c r="C33" t="str">
        <f ca="1">IFERROR(__xludf.DUMMYFUNCTION("""COMPUTED_VALUE"""),"Jim Furyk")</f>
        <v>Jim Furyk</v>
      </c>
      <c r="D33">
        <f ca="1">IFERROR(__xludf.DUMMYFUNCTION("""COMPUTED_VALUE"""),4)</f>
        <v>4</v>
      </c>
      <c r="E33" t="str">
        <f ca="1">IFERROR(__xludf.DUMMYFUNCTION("""COMPUTED_VALUE"""),"6' 10""")</f>
        <v>6' 10"</v>
      </c>
      <c r="F33">
        <f ca="1">IFERROR(__xludf.DUMMYFUNCTION("""COMPUTED_VALUE"""),81.5)</f>
        <v>81.5</v>
      </c>
      <c r="G33">
        <f ca="1">IFERROR(__xludf.DUMMYFUNCTION("""COMPUTED_VALUE"""),12)</f>
        <v>12</v>
      </c>
      <c r="H33">
        <f ca="1">IFERROR(__xludf.DUMMYFUNCTION("""COMPUTED_VALUE"""),2)</f>
        <v>2</v>
      </c>
    </row>
    <row r="34" spans="1:8" ht="12.75">
      <c r="A34" t="str">
        <f ca="1">IFERROR(__xludf.DUMMYFUNCTION("""COMPUTED_VALUE"""),"T32")</f>
        <v>T32</v>
      </c>
      <c r="B34" t="str">
        <f ca="1">IFERROR(__xludf.DUMMYFUNCTION("""COMPUTED_VALUE"""),"T38")</f>
        <v>T38</v>
      </c>
      <c r="C34" t="str">
        <f ca="1">IFERROR(__xludf.DUMMYFUNCTION("""COMPUTED_VALUE"""),"Akshay Bhatia")</f>
        <v>Akshay Bhatia</v>
      </c>
      <c r="D34">
        <f ca="1">IFERROR(__xludf.DUMMYFUNCTION("""COMPUTED_VALUE"""),6)</f>
        <v>6</v>
      </c>
      <c r="E34" t="str">
        <f ca="1">IFERROR(__xludf.DUMMYFUNCTION("""COMPUTED_VALUE"""),"6' 10""")</f>
        <v>6' 10"</v>
      </c>
      <c r="F34">
        <f ca="1">IFERROR(__xludf.DUMMYFUNCTION("""COMPUTED_VALUE"""),137.083)</f>
        <v>137.083</v>
      </c>
      <c r="G34">
        <f ca="1">IFERROR(__xludf.DUMMYFUNCTION("""COMPUTED_VALUE"""),20)</f>
        <v>20</v>
      </c>
      <c r="H34">
        <f ca="1">IFERROR(__xludf.DUMMYFUNCTION("""COMPUTED_VALUE"""),6)</f>
        <v>6</v>
      </c>
    </row>
    <row r="35" spans="1:8" ht="12.75">
      <c r="A35" t="str">
        <f ca="1">IFERROR(__xludf.DUMMYFUNCTION("""COMPUTED_VALUE"""),"T34")</f>
        <v>T34</v>
      </c>
      <c r="B35" t="str">
        <f ca="1">IFERROR(__xludf.DUMMYFUNCTION("""COMPUTED_VALUE"""),"T41")</f>
        <v>T41</v>
      </c>
      <c r="C35" t="str">
        <f ca="1">IFERROR(__xludf.DUMMYFUNCTION("""COMPUTED_VALUE"""),"Wesley Bryan")</f>
        <v>Wesley Bryan</v>
      </c>
      <c r="D35">
        <f ca="1">IFERROR(__xludf.DUMMYFUNCTION("""COMPUTED_VALUE"""),8)</f>
        <v>8</v>
      </c>
      <c r="E35" t="str">
        <f ca="1">IFERROR(__xludf.DUMMYFUNCTION("""COMPUTED_VALUE"""),"6' 11""")</f>
        <v>6' 11"</v>
      </c>
      <c r="F35">
        <f ca="1">IFERROR(__xludf.DUMMYFUNCTION("""COMPUTED_VALUE"""),193.667)</f>
        <v>193.667</v>
      </c>
      <c r="G35">
        <f ca="1">IFERROR(__xludf.DUMMYFUNCTION("""COMPUTED_VALUE"""),28)</f>
        <v>28</v>
      </c>
      <c r="H35">
        <f ca="1">IFERROR(__xludf.DUMMYFUNCTION("""COMPUTED_VALUE"""),174)</f>
        <v>174</v>
      </c>
    </row>
    <row r="36" spans="1:8" ht="12.75">
      <c r="A36" t="str">
        <f ca="1">IFERROR(__xludf.DUMMYFUNCTION("""COMPUTED_VALUE"""),"T34")</f>
        <v>T34</v>
      </c>
      <c r="B36" t="str">
        <f ca="1">IFERROR(__xludf.DUMMYFUNCTION("""COMPUTED_VALUE"""),"T41")</f>
        <v>T41</v>
      </c>
      <c r="C36" t="str">
        <f ca="1">IFERROR(__xludf.DUMMYFUNCTION("""COMPUTED_VALUE"""),"Patrick Cantlay")</f>
        <v>Patrick Cantlay</v>
      </c>
      <c r="D36">
        <f ca="1">IFERROR(__xludf.DUMMYFUNCTION("""COMPUTED_VALUE"""),16)</f>
        <v>16</v>
      </c>
      <c r="E36" t="str">
        <f ca="1">IFERROR(__xludf.DUMMYFUNCTION("""COMPUTED_VALUE"""),"6' 11""")</f>
        <v>6' 11"</v>
      </c>
      <c r="F36">
        <f ca="1">IFERROR(__xludf.DUMMYFUNCTION("""COMPUTED_VALUE"""),756.333)</f>
        <v>756.33299999999997</v>
      </c>
      <c r="G36">
        <f ca="1">IFERROR(__xludf.DUMMYFUNCTION("""COMPUTED_VALUE"""),110)</f>
        <v>110</v>
      </c>
      <c r="H36">
        <f ca="1">IFERROR(__xludf.DUMMYFUNCTION("""COMPUTED_VALUE"""),21)</f>
        <v>21</v>
      </c>
    </row>
    <row r="37" spans="1:8" ht="12.75">
      <c r="A37" t="str">
        <f ca="1">IFERROR(__xludf.DUMMYFUNCTION("""COMPUTED_VALUE"""),"T34")</f>
        <v>T34</v>
      </c>
      <c r="B37" t="str">
        <f ca="1">IFERROR(__xludf.DUMMYFUNCTION("""COMPUTED_VALUE"""),"T41")</f>
        <v>T41</v>
      </c>
      <c r="C37" t="str">
        <f ca="1">IFERROR(__xludf.DUMMYFUNCTION("""COMPUTED_VALUE"""),"Cameron Percy")</f>
        <v>Cameron Percy</v>
      </c>
      <c r="D37">
        <f ca="1">IFERROR(__xludf.DUMMYFUNCTION("""COMPUTED_VALUE"""),16)</f>
        <v>16</v>
      </c>
      <c r="E37" t="str">
        <f ca="1">IFERROR(__xludf.DUMMYFUNCTION("""COMPUTED_VALUE"""),"6' 11""")</f>
        <v>6' 11"</v>
      </c>
      <c r="F37">
        <f ca="1">IFERROR(__xludf.DUMMYFUNCTION("""COMPUTED_VALUE"""),243.417)</f>
        <v>243.417</v>
      </c>
      <c r="G37">
        <f ca="1">IFERROR(__xludf.DUMMYFUNCTION("""COMPUTED_VALUE"""),35)</f>
        <v>35</v>
      </c>
      <c r="H37">
        <f ca="1">IFERROR(__xludf.DUMMYFUNCTION("""COMPUTED_VALUE"""),96)</f>
        <v>96</v>
      </c>
    </row>
    <row r="38" spans="1:8" ht="12.75">
      <c r="A38" t="str">
        <f ca="1">IFERROR(__xludf.DUMMYFUNCTION("""COMPUTED_VALUE"""),"T34")</f>
        <v>T34</v>
      </c>
      <c r="B38" t="str">
        <f ca="1">IFERROR(__xludf.DUMMYFUNCTION("""COMPUTED_VALUE"""),"T41")</f>
        <v>T41</v>
      </c>
      <c r="C38" t="str">
        <f ca="1">IFERROR(__xludf.DUMMYFUNCTION("""COMPUTED_VALUE"""),"Aaron Baddeley")</f>
        <v>Aaron Baddeley</v>
      </c>
      <c r="D38">
        <f ca="1">IFERROR(__xludf.DUMMYFUNCTION("""COMPUTED_VALUE"""),8)</f>
        <v>8</v>
      </c>
      <c r="E38" t="str">
        <f ca="1">IFERROR(__xludf.DUMMYFUNCTION("""COMPUTED_VALUE"""),"6' 11""")</f>
        <v>6' 11"</v>
      </c>
      <c r="F38">
        <f ca="1">IFERROR(__xludf.DUMMYFUNCTION("""COMPUTED_VALUE"""),165.167)</f>
        <v>165.167</v>
      </c>
      <c r="G38">
        <f ca="1">IFERROR(__xludf.DUMMYFUNCTION("""COMPUTED_VALUE"""),24)</f>
        <v>24</v>
      </c>
      <c r="H38">
        <f ca="1">IFERROR(__xludf.DUMMYFUNCTION("""COMPUTED_VALUE"""),84)</f>
        <v>84</v>
      </c>
    </row>
    <row r="39" spans="1:8" ht="12.75">
      <c r="A39" t="str">
        <f ca="1">IFERROR(__xludf.DUMMYFUNCTION("""COMPUTED_VALUE"""),"T38")</f>
        <v>T38</v>
      </c>
      <c r="B39" t="str">
        <f ca="1">IFERROR(__xludf.DUMMYFUNCTION("""COMPUTED_VALUE"""),"T41")</f>
        <v>T41</v>
      </c>
      <c r="C39" t="str">
        <f ca="1">IFERROR(__xludf.DUMMYFUNCTION("""COMPUTED_VALUE"""),"Stewart Cink")</f>
        <v>Stewart Cink</v>
      </c>
      <c r="D39">
        <f ca="1">IFERROR(__xludf.DUMMYFUNCTION("""COMPUTED_VALUE"""),18)</f>
        <v>18</v>
      </c>
      <c r="E39" t="str">
        <f ca="1">IFERROR(__xludf.DUMMYFUNCTION("""COMPUTED_VALUE"""),"7' 0""")</f>
        <v>7' 0"</v>
      </c>
      <c r="F39">
        <f ca="1">IFERROR(__xludf.DUMMYFUNCTION("""COMPUTED_VALUE"""),517.917)</f>
        <v>517.91700000000003</v>
      </c>
      <c r="G39">
        <f ca="1">IFERROR(__xludf.DUMMYFUNCTION("""COMPUTED_VALUE"""),74)</f>
        <v>74</v>
      </c>
      <c r="H39">
        <f ca="1">IFERROR(__xludf.DUMMYFUNCTION("""COMPUTED_VALUE"""),99)</f>
        <v>99</v>
      </c>
    </row>
    <row r="40" spans="1:8" ht="12.75">
      <c r="A40" t="str">
        <f ca="1">IFERROR(__xludf.DUMMYFUNCTION("""COMPUTED_VALUE"""),"T38")</f>
        <v>T38</v>
      </c>
      <c r="B40" t="str">
        <f ca="1">IFERROR(__xludf.DUMMYFUNCTION("""COMPUTED_VALUE"""),"T48")</f>
        <v>T48</v>
      </c>
      <c r="C40" t="str">
        <f ca="1">IFERROR(__xludf.DUMMYFUNCTION("""COMPUTED_VALUE"""),"Brendan Steele")</f>
        <v>Brendan Steele</v>
      </c>
      <c r="D40">
        <f ca="1">IFERROR(__xludf.DUMMYFUNCTION("""COMPUTED_VALUE"""),14)</f>
        <v>14</v>
      </c>
      <c r="E40" t="str">
        <f ca="1">IFERROR(__xludf.DUMMYFUNCTION("""COMPUTED_VALUE"""),"7' 0""")</f>
        <v>7' 0"</v>
      </c>
      <c r="F40">
        <f ca="1">IFERROR(__xludf.DUMMYFUNCTION("""COMPUTED_VALUE"""),563.75)</f>
        <v>563.75</v>
      </c>
      <c r="G40">
        <f ca="1">IFERROR(__xludf.DUMMYFUNCTION("""COMPUTED_VALUE"""),81)</f>
        <v>81</v>
      </c>
      <c r="H40">
        <f ca="1">IFERROR(__xludf.DUMMYFUNCTION("""COMPUTED_VALUE"""),157)</f>
        <v>157</v>
      </c>
    </row>
    <row r="41" spans="1:8" ht="12.75">
      <c r="A41" t="str">
        <f ca="1">IFERROR(__xludf.DUMMYFUNCTION("""COMPUTED_VALUE"""),"T38")</f>
        <v>T38</v>
      </c>
      <c r="B41" t="str">
        <f ca="1">IFERROR(__xludf.DUMMYFUNCTION("""COMPUTED_VALUE"""),"T48")</f>
        <v>T48</v>
      </c>
      <c r="C41" t="str">
        <f ca="1">IFERROR(__xludf.DUMMYFUNCTION("""COMPUTED_VALUE"""),"Kyle Stanley")</f>
        <v>Kyle Stanley</v>
      </c>
      <c r="D41">
        <f ca="1">IFERROR(__xludf.DUMMYFUNCTION("""COMPUTED_VALUE"""),16)</f>
        <v>16</v>
      </c>
      <c r="E41" t="str">
        <f ca="1">IFERROR(__xludf.DUMMYFUNCTION("""COMPUTED_VALUE"""),"7' 0""")</f>
        <v>7' 0"</v>
      </c>
      <c r="F41">
        <f ca="1">IFERROR(__xludf.DUMMYFUNCTION("""COMPUTED_VALUE"""),314.167)</f>
        <v>314.16699999999997</v>
      </c>
      <c r="G41">
        <f ca="1">IFERROR(__xludf.DUMMYFUNCTION("""COMPUTED_VALUE"""),45)</f>
        <v>45</v>
      </c>
      <c r="H41">
        <f ca="1">IFERROR(__xludf.DUMMYFUNCTION("""COMPUTED_VALUE"""),122)</f>
        <v>122</v>
      </c>
    </row>
    <row r="42" spans="1:8" ht="12.75">
      <c r="A42" t="str">
        <f ca="1">IFERROR(__xludf.DUMMYFUNCTION("""COMPUTED_VALUE"""),"T38")</f>
        <v>T38</v>
      </c>
      <c r="B42" t="str">
        <f ca="1">IFERROR(__xludf.DUMMYFUNCTION("""COMPUTED_VALUE"""),"T29")</f>
        <v>T29</v>
      </c>
      <c r="C42" t="str">
        <f ca="1">IFERROR(__xludf.DUMMYFUNCTION("""COMPUTED_VALUE"""),"Mark Hubbard")</f>
        <v>Mark Hubbard</v>
      </c>
      <c r="D42">
        <f ca="1">IFERROR(__xludf.DUMMYFUNCTION("""COMPUTED_VALUE"""),20)</f>
        <v>20</v>
      </c>
      <c r="E42" t="str">
        <f ca="1">IFERROR(__xludf.DUMMYFUNCTION("""COMPUTED_VALUE"""),"7' 0""")</f>
        <v>7' 0"</v>
      </c>
      <c r="F42">
        <f ca="1">IFERROR(__xludf.DUMMYFUNCTION("""COMPUTED_VALUE"""),987.833)</f>
        <v>987.83299999999997</v>
      </c>
      <c r="G42">
        <f ca="1">IFERROR(__xludf.DUMMYFUNCTION("""COMPUTED_VALUE"""),141)</f>
        <v>141</v>
      </c>
      <c r="H42">
        <f ca="1">IFERROR(__xludf.DUMMYFUNCTION("""COMPUTED_VALUE"""),156)</f>
        <v>156</v>
      </c>
    </row>
    <row r="43" spans="1:8" ht="12.75">
      <c r="A43" t="str">
        <f ca="1">IFERROR(__xludf.DUMMYFUNCTION("""COMPUTED_VALUE"""),"T38")</f>
        <v>T38</v>
      </c>
      <c r="B43" t="str">
        <f ca="1">IFERROR(__xludf.DUMMYFUNCTION("""COMPUTED_VALUE"""),"T48")</f>
        <v>T48</v>
      </c>
      <c r="C43" t="str">
        <f ca="1">IFERROR(__xludf.DUMMYFUNCTION("""COMPUTED_VALUE"""),"Harry Higgs")</f>
        <v>Harry Higgs</v>
      </c>
      <c r="D43">
        <f ca="1">IFERROR(__xludf.DUMMYFUNCTION("""COMPUTED_VALUE"""),14)</f>
        <v>14</v>
      </c>
      <c r="E43" t="str">
        <f ca="1">IFERROR(__xludf.DUMMYFUNCTION("""COMPUTED_VALUE"""),"7' 0""")</f>
        <v>7' 0"</v>
      </c>
      <c r="F43">
        <f ca="1">IFERROR(__xludf.DUMMYFUNCTION("""COMPUTED_VALUE"""),612.583)</f>
        <v>612.58299999999997</v>
      </c>
      <c r="G43">
        <f ca="1">IFERROR(__xludf.DUMMYFUNCTION("""COMPUTED_VALUE"""),87)</f>
        <v>87</v>
      </c>
      <c r="H43">
        <f ca="1">IFERROR(__xludf.DUMMYFUNCTION("""COMPUTED_VALUE"""),69)</f>
        <v>69</v>
      </c>
    </row>
    <row r="44" spans="1:8" ht="12.75">
      <c r="A44" t="str">
        <f ca="1">IFERROR(__xludf.DUMMYFUNCTION("""COMPUTED_VALUE"""),"T38")</f>
        <v>T38</v>
      </c>
      <c r="B44" t="str">
        <f ca="1">IFERROR(__xludf.DUMMYFUNCTION("""COMPUTED_VALUE"""),"T48")</f>
        <v>T48</v>
      </c>
      <c r="C44" t="str">
        <f ca="1">IFERROR(__xludf.DUMMYFUNCTION("""COMPUTED_VALUE"""),"Doug Ghim")</f>
        <v>Doug Ghim</v>
      </c>
      <c r="D44">
        <f ca="1">IFERROR(__xludf.DUMMYFUNCTION("""COMPUTED_VALUE"""),14)</f>
        <v>14</v>
      </c>
      <c r="E44" t="str">
        <f ca="1">IFERROR(__xludf.DUMMYFUNCTION("""COMPUTED_VALUE"""),"7' 0""")</f>
        <v>7' 0"</v>
      </c>
      <c r="F44">
        <f ca="1">IFERROR(__xludf.DUMMYFUNCTION("""COMPUTED_VALUE"""),329.25)</f>
        <v>329.25</v>
      </c>
      <c r="G44">
        <f ca="1">IFERROR(__xludf.DUMMYFUNCTION("""COMPUTED_VALUE"""),47)</f>
        <v>47</v>
      </c>
      <c r="H44">
        <f ca="1">IFERROR(__xludf.DUMMYFUNCTION("""COMPUTED_VALUE"""),15)</f>
        <v>15</v>
      </c>
    </row>
    <row r="45" spans="1:8" ht="12.75">
      <c r="A45" t="str">
        <f ca="1">IFERROR(__xludf.DUMMYFUNCTION("""COMPUTED_VALUE"""),"T44")</f>
        <v>T44</v>
      </c>
      <c r="B45" t="str">
        <f ca="1">IFERROR(__xludf.DUMMYFUNCTION("""COMPUTED_VALUE"""),"T75")</f>
        <v>T75</v>
      </c>
      <c r="C45" t="str">
        <f ca="1">IFERROR(__xludf.DUMMYFUNCTION("""COMPUTED_VALUE"""),"Carlos Ortiz")</f>
        <v>Carlos Ortiz</v>
      </c>
      <c r="D45">
        <f ca="1">IFERROR(__xludf.DUMMYFUNCTION("""COMPUTED_VALUE"""),20)</f>
        <v>20</v>
      </c>
      <c r="E45" t="str">
        <f ca="1">IFERROR(__xludf.DUMMYFUNCTION("""COMPUTED_VALUE"""),"7' 1""")</f>
        <v>7' 1"</v>
      </c>
      <c r="F45">
        <f ca="1">IFERROR(__xludf.DUMMYFUNCTION("""COMPUTED_VALUE"""),770.667)</f>
        <v>770.66700000000003</v>
      </c>
      <c r="G45">
        <f ca="1">IFERROR(__xludf.DUMMYFUNCTION("""COMPUTED_VALUE"""),109)</f>
        <v>109</v>
      </c>
      <c r="H45">
        <f ca="1">IFERROR(__xludf.DUMMYFUNCTION("""COMPUTED_VALUE"""),54)</f>
        <v>54</v>
      </c>
    </row>
    <row r="46" spans="1:8" ht="12.75">
      <c r="A46" t="str">
        <f ca="1">IFERROR(__xludf.DUMMYFUNCTION("""COMPUTED_VALUE"""),"T44")</f>
        <v>T44</v>
      </c>
      <c r="B46" t="str">
        <f ca="1">IFERROR(__xludf.DUMMYFUNCTION("""COMPUTED_VALUE"""),"T53")</f>
        <v>T53</v>
      </c>
      <c r="C46" t="str">
        <f ca="1">IFERROR(__xludf.DUMMYFUNCTION("""COMPUTED_VALUE"""),"Peter Malnati")</f>
        <v>Peter Malnati</v>
      </c>
      <c r="D46">
        <f ca="1">IFERROR(__xludf.DUMMYFUNCTION("""COMPUTED_VALUE"""),18)</f>
        <v>18</v>
      </c>
      <c r="E46" t="str">
        <f ca="1">IFERROR(__xludf.DUMMYFUNCTION("""COMPUTED_VALUE"""),"7' 1""")</f>
        <v>7' 1"</v>
      </c>
      <c r="F46">
        <f ca="1">IFERROR(__xludf.DUMMYFUNCTION("""COMPUTED_VALUE"""),453.333)</f>
        <v>453.33300000000003</v>
      </c>
      <c r="G46">
        <f ca="1">IFERROR(__xludf.DUMMYFUNCTION("""COMPUTED_VALUE"""),64)</f>
        <v>64</v>
      </c>
      <c r="H46">
        <f ca="1">IFERROR(__xludf.DUMMYFUNCTION("""COMPUTED_VALUE"""),70)</f>
        <v>70</v>
      </c>
    </row>
    <row r="47" spans="1:8" ht="12.75">
      <c r="A47" t="str">
        <f ca="1">IFERROR(__xludf.DUMMYFUNCTION("""COMPUTED_VALUE"""),"T44")</f>
        <v>T44</v>
      </c>
      <c r="B47" t="str">
        <f ca="1">IFERROR(__xludf.DUMMYFUNCTION("""COMPUTED_VALUE"""),"T53")</f>
        <v>T53</v>
      </c>
      <c r="C47" t="str">
        <f ca="1">IFERROR(__xludf.DUMMYFUNCTION("""COMPUTED_VALUE"""),"Tyler McCumber")</f>
        <v>Tyler McCumber</v>
      </c>
      <c r="D47">
        <f ca="1">IFERROR(__xludf.DUMMYFUNCTION("""COMPUTED_VALUE"""),14)</f>
        <v>14</v>
      </c>
      <c r="E47" t="str">
        <f ca="1">IFERROR(__xludf.DUMMYFUNCTION("""COMPUTED_VALUE"""),"7' 1""")</f>
        <v>7' 1"</v>
      </c>
      <c r="F47">
        <f ca="1">IFERROR(__xludf.DUMMYFUNCTION("""COMPUTED_VALUE"""),359.333)</f>
        <v>359.33300000000003</v>
      </c>
      <c r="G47">
        <f ca="1">IFERROR(__xludf.DUMMYFUNCTION("""COMPUTED_VALUE"""),51)</f>
        <v>51</v>
      </c>
      <c r="H47">
        <f ca="1">IFERROR(__xludf.DUMMYFUNCTION("""COMPUTED_VALUE"""),75)</f>
        <v>75</v>
      </c>
    </row>
    <row r="48" spans="1:8" ht="12.75">
      <c r="A48" t="str">
        <f ca="1">IFERROR(__xludf.DUMMYFUNCTION("""COMPUTED_VALUE"""),"T44")</f>
        <v>T44</v>
      </c>
      <c r="B48" t="str">
        <f ca="1">IFERROR(__xludf.DUMMYFUNCTION("""COMPUTED_VALUE"""),"T48")</f>
        <v>T48</v>
      </c>
      <c r="C48" t="str">
        <f ca="1">IFERROR(__xludf.DUMMYFUNCTION("""COMPUTED_VALUE"""),"C.T. Pan")</f>
        <v>C.T. Pan</v>
      </c>
      <c r="D48">
        <f ca="1">IFERROR(__xludf.DUMMYFUNCTION("""COMPUTED_VALUE"""),20)</f>
        <v>20</v>
      </c>
      <c r="E48" t="str">
        <f ca="1">IFERROR(__xludf.DUMMYFUNCTION("""COMPUTED_VALUE"""),"7' 1""")</f>
        <v>7' 1"</v>
      </c>
      <c r="F48">
        <f ca="1">IFERROR(__xludf.DUMMYFUNCTION("""COMPUTED_VALUE"""),648.333)</f>
        <v>648.33299999999997</v>
      </c>
      <c r="G48">
        <f ca="1">IFERROR(__xludf.DUMMYFUNCTION("""COMPUTED_VALUE"""),91)</f>
        <v>91</v>
      </c>
      <c r="H48">
        <f ca="1">IFERROR(__xludf.DUMMYFUNCTION("""COMPUTED_VALUE"""),66)</f>
        <v>66</v>
      </c>
    </row>
    <row r="49" spans="1:8" ht="12.75">
      <c r="A49" t="str">
        <f ca="1">IFERROR(__xludf.DUMMYFUNCTION("""COMPUTED_VALUE"""),"T44")</f>
        <v>T44</v>
      </c>
      <c r="B49" t="str">
        <f ca="1">IFERROR(__xludf.DUMMYFUNCTION("""COMPUTED_VALUE"""),"T53")</f>
        <v>T53</v>
      </c>
      <c r="C49" t="str">
        <f ca="1">IFERROR(__xludf.DUMMYFUNCTION("""COMPUTED_VALUE"""),"Jamie Lovemark")</f>
        <v>Jamie Lovemark</v>
      </c>
      <c r="D49">
        <f ca="1">IFERROR(__xludf.DUMMYFUNCTION("""COMPUTED_VALUE"""),18)</f>
        <v>18</v>
      </c>
      <c r="E49" t="str">
        <f ca="1">IFERROR(__xludf.DUMMYFUNCTION("""COMPUTED_VALUE"""),"7' 1""")</f>
        <v>7' 1"</v>
      </c>
      <c r="F49">
        <f ca="1">IFERROR(__xludf.DUMMYFUNCTION("""COMPUTED_VALUE"""),567.917)</f>
        <v>567.91700000000003</v>
      </c>
      <c r="G49">
        <f ca="1">IFERROR(__xludf.DUMMYFUNCTION("""COMPUTED_VALUE"""),80)</f>
        <v>80</v>
      </c>
      <c r="H49">
        <f ca="1">IFERROR(__xludf.DUMMYFUNCTION("""COMPUTED_VALUE"""),114)</f>
        <v>114</v>
      </c>
    </row>
    <row r="50" spans="1:8" ht="12.75">
      <c r="A50" t="str">
        <f ca="1">IFERROR(__xludf.DUMMYFUNCTION("""COMPUTED_VALUE"""),"T44")</f>
        <v>T44</v>
      </c>
      <c r="B50" t="str">
        <f ca="1">IFERROR(__xludf.DUMMYFUNCTION("""COMPUTED_VALUE"""),"T53")</f>
        <v>T53</v>
      </c>
      <c r="C50" t="str">
        <f ca="1">IFERROR(__xludf.DUMMYFUNCTION("""COMPUTED_VALUE"""),"D.J. Trahan")</f>
        <v>D.J. Trahan</v>
      </c>
      <c r="D50">
        <f ca="1">IFERROR(__xludf.DUMMYFUNCTION("""COMPUTED_VALUE"""),16)</f>
        <v>16</v>
      </c>
      <c r="E50" t="str">
        <f ca="1">IFERROR(__xludf.DUMMYFUNCTION("""COMPUTED_VALUE"""),"7' 1""")</f>
        <v>7' 1"</v>
      </c>
      <c r="F50">
        <f ca="1">IFERROR(__xludf.DUMMYFUNCTION("""COMPUTED_VALUE"""),381.833)</f>
        <v>381.83300000000003</v>
      </c>
      <c r="G50">
        <f ca="1">IFERROR(__xludf.DUMMYFUNCTION("""COMPUTED_VALUE"""),54)</f>
        <v>54</v>
      </c>
      <c r="H50">
        <f ca="1">IFERROR(__xludf.DUMMYFUNCTION("""COMPUTED_VALUE"""),44)</f>
        <v>44</v>
      </c>
    </row>
    <row r="51" spans="1:8" ht="12.75">
      <c r="A51" t="str">
        <f ca="1">IFERROR(__xludf.DUMMYFUNCTION("""COMPUTED_VALUE"""),"T44")</f>
        <v>T44</v>
      </c>
      <c r="B51" t="str">
        <f ca="1">IFERROR(__xludf.DUMMYFUNCTION("""COMPUTED_VALUE"""),"T38")</f>
        <v>T38</v>
      </c>
      <c r="C51" t="str">
        <f ca="1">IFERROR(__xludf.DUMMYFUNCTION("""COMPUTED_VALUE"""),"Luke List")</f>
        <v>Luke List</v>
      </c>
      <c r="D51">
        <f ca="1">IFERROR(__xludf.DUMMYFUNCTION("""COMPUTED_VALUE"""),18)</f>
        <v>18</v>
      </c>
      <c r="E51" t="str">
        <f ca="1">IFERROR(__xludf.DUMMYFUNCTION("""COMPUTED_VALUE"""),"7' 1""")</f>
        <v>7' 1"</v>
      </c>
      <c r="F51">
        <f ca="1">IFERROR(__xludf.DUMMYFUNCTION("""COMPUTED_VALUE"""),452.667)</f>
        <v>452.66699999999997</v>
      </c>
      <c r="G51">
        <f ca="1">IFERROR(__xludf.DUMMYFUNCTION("""COMPUTED_VALUE"""),64)</f>
        <v>64</v>
      </c>
      <c r="H51">
        <f ca="1">IFERROR(__xludf.DUMMYFUNCTION("""COMPUTED_VALUE"""),126)</f>
        <v>126</v>
      </c>
    </row>
    <row r="52" spans="1:8" ht="12.75">
      <c r="A52" t="str">
        <f ca="1">IFERROR(__xludf.DUMMYFUNCTION("""COMPUTED_VALUE"""),"T44")</f>
        <v>T44</v>
      </c>
      <c r="B52" t="str">
        <f ca="1">IFERROR(__xludf.DUMMYFUNCTION("""COMPUTED_VALUE"""),"T66")</f>
        <v>T66</v>
      </c>
      <c r="C52" t="str">
        <f ca="1">IFERROR(__xludf.DUMMYFUNCTION("""COMPUTED_VALUE"""),"Jason Dufner")</f>
        <v>Jason Dufner</v>
      </c>
      <c r="D52">
        <f ca="1">IFERROR(__xludf.DUMMYFUNCTION("""COMPUTED_VALUE"""),14)</f>
        <v>14</v>
      </c>
      <c r="E52" t="str">
        <f ca="1">IFERROR(__xludf.DUMMYFUNCTION("""COMPUTED_VALUE"""),"7' 1""")</f>
        <v>7' 1"</v>
      </c>
      <c r="F52">
        <f ca="1">IFERROR(__xludf.DUMMYFUNCTION("""COMPUTED_VALUE"""),334)</f>
        <v>334</v>
      </c>
      <c r="G52">
        <f ca="1">IFERROR(__xludf.DUMMYFUNCTION("""COMPUTED_VALUE"""),47)</f>
        <v>47</v>
      </c>
      <c r="H52">
        <f ca="1">IFERROR(__xludf.DUMMYFUNCTION("""COMPUTED_VALUE"""),166)</f>
        <v>166</v>
      </c>
    </row>
    <row r="53" spans="1:8" ht="12.75">
      <c r="A53" t="str">
        <f ca="1">IFERROR(__xludf.DUMMYFUNCTION("""COMPUTED_VALUE"""),"T52")</f>
        <v>T52</v>
      </c>
      <c r="B53" t="str">
        <f ca="1">IFERROR(__xludf.DUMMYFUNCTION("""COMPUTED_VALUE"""),"T58")</f>
        <v>T58</v>
      </c>
      <c r="C53" t="str">
        <f ca="1">IFERROR(__xludf.DUMMYFUNCTION("""COMPUTED_VALUE"""),"D.A. Points")</f>
        <v>D.A. Points</v>
      </c>
      <c r="D53">
        <f ca="1">IFERROR(__xludf.DUMMYFUNCTION("""COMPUTED_VALUE"""),12)</f>
        <v>12</v>
      </c>
      <c r="E53" t="str">
        <f ca="1">IFERROR(__xludf.DUMMYFUNCTION("""COMPUTED_VALUE"""),"7' 2""")</f>
        <v>7' 2"</v>
      </c>
      <c r="F53">
        <f ca="1">IFERROR(__xludf.DUMMYFUNCTION("""COMPUTED_VALUE"""),414.917)</f>
        <v>414.91699999999997</v>
      </c>
      <c r="G53">
        <f ca="1">IFERROR(__xludf.DUMMYFUNCTION("""COMPUTED_VALUE"""),58)</f>
        <v>58</v>
      </c>
      <c r="H53">
        <f ca="1">IFERROR(__xludf.DUMMYFUNCTION("""COMPUTED_VALUE"""),39)</f>
        <v>39</v>
      </c>
    </row>
    <row r="54" spans="1:8" ht="12.75">
      <c r="A54" t="str">
        <f ca="1">IFERROR(__xludf.DUMMYFUNCTION("""COMPUTED_VALUE"""),"T52")</f>
        <v>T52</v>
      </c>
      <c r="B54" t="str">
        <f ca="1">IFERROR(__xludf.DUMMYFUNCTION("""COMPUTED_VALUE"""),"T58")</f>
        <v>T58</v>
      </c>
      <c r="C54" t="str">
        <f ca="1">IFERROR(__xludf.DUMMYFUNCTION("""COMPUTED_VALUE"""),"Johnson Wagner")</f>
        <v>Johnson Wagner</v>
      </c>
      <c r="D54">
        <f ca="1">IFERROR(__xludf.DUMMYFUNCTION("""COMPUTED_VALUE"""),8)</f>
        <v>8</v>
      </c>
      <c r="E54" t="str">
        <f ca="1">IFERROR(__xludf.DUMMYFUNCTION("""COMPUTED_VALUE"""),"7' 2""")</f>
        <v>7' 2"</v>
      </c>
      <c r="F54">
        <f ca="1">IFERROR(__xludf.DUMMYFUNCTION("""COMPUTED_VALUE"""),85.667)</f>
        <v>85.667000000000002</v>
      </c>
      <c r="G54">
        <f ca="1">IFERROR(__xludf.DUMMYFUNCTION("""COMPUTED_VALUE"""),12)</f>
        <v>12</v>
      </c>
      <c r="H54">
        <f ca="1">IFERROR(__xludf.DUMMYFUNCTION("""COMPUTED_VALUE"""),158)</f>
        <v>158</v>
      </c>
    </row>
    <row r="55" spans="1:8" ht="12.75">
      <c r="A55" t="str">
        <f ca="1">IFERROR(__xludf.DUMMYFUNCTION("""COMPUTED_VALUE"""),"T52")</f>
        <v>T52</v>
      </c>
      <c r="B55" t="str">
        <f ca="1">IFERROR(__xludf.DUMMYFUNCTION("""COMPUTED_VALUE"""),"T14")</f>
        <v>T14</v>
      </c>
      <c r="C55" t="str">
        <f ca="1">IFERROR(__xludf.DUMMYFUNCTION("""COMPUTED_VALUE"""),"Camilo Villegas")</f>
        <v>Camilo Villegas</v>
      </c>
      <c r="D55">
        <f ca="1">IFERROR(__xludf.DUMMYFUNCTION("""COMPUTED_VALUE"""),14)</f>
        <v>14</v>
      </c>
      <c r="E55" t="str">
        <f ca="1">IFERROR(__xludf.DUMMYFUNCTION("""COMPUTED_VALUE"""),"7' 2""")</f>
        <v>7' 2"</v>
      </c>
      <c r="F55">
        <f ca="1">IFERROR(__xludf.DUMMYFUNCTION("""COMPUTED_VALUE"""),421.5)</f>
        <v>421.5</v>
      </c>
      <c r="G55">
        <f ca="1">IFERROR(__xludf.DUMMYFUNCTION("""COMPUTED_VALUE"""),59)</f>
        <v>59</v>
      </c>
      <c r="H55">
        <f ca="1">IFERROR(__xludf.DUMMYFUNCTION("""COMPUTED_VALUE"""),180)</f>
        <v>180</v>
      </c>
    </row>
    <row r="56" spans="1:8" ht="12.75">
      <c r="A56" t="str">
        <f ca="1">IFERROR(__xludf.DUMMYFUNCTION("""COMPUTED_VALUE"""),"T52")</f>
        <v>T52</v>
      </c>
      <c r="B56" t="str">
        <f ca="1">IFERROR(__xludf.DUMMYFUNCTION("""COMPUTED_VALUE"""),"T53")</f>
        <v>T53</v>
      </c>
      <c r="C56" t="str">
        <f ca="1">IFERROR(__xludf.DUMMYFUNCTION("""COMPUTED_VALUE"""),"Chris Kirk")</f>
        <v>Chris Kirk</v>
      </c>
      <c r="D56">
        <f ca="1">IFERROR(__xludf.DUMMYFUNCTION("""COMPUTED_VALUE"""),10)</f>
        <v>10</v>
      </c>
      <c r="E56" t="str">
        <f ca="1">IFERROR(__xludf.DUMMYFUNCTION("""COMPUTED_VALUE"""),"7' 2""")</f>
        <v>7' 2"</v>
      </c>
      <c r="F56">
        <f ca="1">IFERROR(__xludf.DUMMYFUNCTION("""COMPUTED_VALUE"""),357.083)</f>
        <v>357.08300000000003</v>
      </c>
      <c r="G56">
        <f ca="1">IFERROR(__xludf.DUMMYFUNCTION("""COMPUTED_VALUE"""),50)</f>
        <v>50</v>
      </c>
      <c r="H56">
        <f ca="1">IFERROR(__xludf.DUMMYFUNCTION("""COMPUTED_VALUE"""),144)</f>
        <v>144</v>
      </c>
    </row>
    <row r="57" spans="1:8" ht="12.75">
      <c r="A57" t="str">
        <f ca="1">IFERROR(__xludf.DUMMYFUNCTION("""COMPUTED_VALUE"""),"T52")</f>
        <v>T52</v>
      </c>
      <c r="B57" t="str">
        <f ca="1">IFERROR(__xludf.DUMMYFUNCTION("""COMPUTED_VALUE"""),"T36")</f>
        <v>T36</v>
      </c>
      <c r="C57" t="str">
        <f ca="1">IFERROR(__xludf.DUMMYFUNCTION("""COMPUTED_VALUE"""),"Michael Kim")</f>
        <v>Michael Kim</v>
      </c>
      <c r="D57">
        <f ca="1">IFERROR(__xludf.DUMMYFUNCTION("""COMPUTED_VALUE"""),12)</f>
        <v>12</v>
      </c>
      <c r="E57" t="str">
        <f ca="1">IFERROR(__xludf.DUMMYFUNCTION("""COMPUTED_VALUE"""),"7' 2""")</f>
        <v>7' 2"</v>
      </c>
      <c r="F57">
        <f ca="1">IFERROR(__xludf.DUMMYFUNCTION("""COMPUTED_VALUE"""),385.083)</f>
        <v>385.08300000000003</v>
      </c>
      <c r="G57">
        <f ca="1">IFERROR(__xludf.DUMMYFUNCTION("""COMPUTED_VALUE"""),54)</f>
        <v>54</v>
      </c>
      <c r="H57">
        <f ca="1">IFERROR(__xludf.DUMMYFUNCTION("""COMPUTED_VALUE"""),137)</f>
        <v>137</v>
      </c>
    </row>
    <row r="58" spans="1:8" ht="12.75">
      <c r="A58" t="str">
        <f ca="1">IFERROR(__xludf.DUMMYFUNCTION("""COMPUTED_VALUE"""),"T52")</f>
        <v>T52</v>
      </c>
      <c r="B58" t="str">
        <f ca="1">IFERROR(__xludf.DUMMYFUNCTION("""COMPUTED_VALUE"""),"T14")</f>
        <v>T14</v>
      </c>
      <c r="C58" t="str">
        <f ca="1">IFERROR(__xludf.DUMMYFUNCTION("""COMPUTED_VALUE"""),"Grayson Murray")</f>
        <v>Grayson Murray</v>
      </c>
      <c r="D58">
        <f ca="1">IFERROR(__xludf.DUMMYFUNCTION("""COMPUTED_VALUE"""),10)</f>
        <v>10</v>
      </c>
      <c r="E58" t="str">
        <f ca="1">IFERROR(__xludf.DUMMYFUNCTION("""COMPUTED_VALUE"""),"7' 2""")</f>
        <v>7' 2"</v>
      </c>
      <c r="F58">
        <f ca="1">IFERROR(__xludf.DUMMYFUNCTION("""COMPUTED_VALUE"""),335)</f>
        <v>335</v>
      </c>
      <c r="G58">
        <f ca="1">IFERROR(__xludf.DUMMYFUNCTION("""COMPUTED_VALUE"""),47)</f>
        <v>47</v>
      </c>
      <c r="H58">
        <f ca="1">IFERROR(__xludf.DUMMYFUNCTION("""COMPUTED_VALUE"""),270)</f>
        <v>270</v>
      </c>
    </row>
    <row r="59" spans="1:8" ht="12.75">
      <c r="A59" t="str">
        <f ca="1">IFERROR(__xludf.DUMMYFUNCTION("""COMPUTED_VALUE"""),"T52")</f>
        <v>T52</v>
      </c>
      <c r="B59" t="str">
        <f ca="1">IFERROR(__xludf.DUMMYFUNCTION("""COMPUTED_VALUE"""),"T58")</f>
        <v>T58</v>
      </c>
      <c r="C59" t="str">
        <f ca="1">IFERROR(__xludf.DUMMYFUNCTION("""COMPUTED_VALUE"""),"Andrew Landry")</f>
        <v>Andrew Landry</v>
      </c>
      <c r="D59">
        <f ca="1">IFERROR(__xludf.DUMMYFUNCTION("""COMPUTED_VALUE"""),14)</f>
        <v>14</v>
      </c>
      <c r="E59" t="str">
        <f ca="1">IFERROR(__xludf.DUMMYFUNCTION("""COMPUTED_VALUE"""),"7' 2""")</f>
        <v>7' 2"</v>
      </c>
      <c r="F59">
        <f ca="1">IFERROR(__xludf.DUMMYFUNCTION("""COMPUTED_VALUE"""),715.083)</f>
        <v>715.08299999999997</v>
      </c>
      <c r="G59">
        <f ca="1">IFERROR(__xludf.DUMMYFUNCTION("""COMPUTED_VALUE"""),100)</f>
        <v>100</v>
      </c>
      <c r="H59">
        <f ca="1">IFERROR(__xludf.DUMMYFUNCTION("""COMPUTED_VALUE"""),91)</f>
        <v>91</v>
      </c>
    </row>
    <row r="60" spans="1:8" ht="12.75">
      <c r="A60" t="str">
        <f ca="1">IFERROR(__xludf.DUMMYFUNCTION("""COMPUTED_VALUE"""),"T59")</f>
        <v>T59</v>
      </c>
      <c r="B60" t="str">
        <f ca="1">IFERROR(__xludf.DUMMYFUNCTION("""COMPUTED_VALUE"""),"T66")</f>
        <v>T66</v>
      </c>
      <c r="C60" t="str">
        <f ca="1">IFERROR(__xludf.DUMMYFUNCTION("""COMPUTED_VALUE"""),"Roger Sloan")</f>
        <v>Roger Sloan</v>
      </c>
      <c r="D60">
        <f ca="1">IFERROR(__xludf.DUMMYFUNCTION("""COMPUTED_VALUE"""),12)</f>
        <v>12</v>
      </c>
      <c r="E60" t="str">
        <f ca="1">IFERROR(__xludf.DUMMYFUNCTION("""COMPUTED_VALUE"""),"7' 3""")</f>
        <v>7' 3"</v>
      </c>
      <c r="F60">
        <f ca="1">IFERROR(__xludf.DUMMYFUNCTION("""COMPUTED_VALUE"""),298.25)</f>
        <v>298.25</v>
      </c>
      <c r="G60">
        <f ca="1">IFERROR(__xludf.DUMMYFUNCTION("""COMPUTED_VALUE"""),41)</f>
        <v>41</v>
      </c>
      <c r="H60">
        <f ca="1">IFERROR(__xludf.DUMMYFUNCTION("""COMPUTED_VALUE"""),16)</f>
        <v>16</v>
      </c>
    </row>
    <row r="61" spans="1:8" ht="12.75">
      <c r="A61" t="str">
        <f ca="1">IFERROR(__xludf.DUMMYFUNCTION("""COMPUTED_VALUE"""),"T59")</f>
        <v>T59</v>
      </c>
      <c r="B61" t="str">
        <f ca="1">IFERROR(__xludf.DUMMYFUNCTION("""COMPUTED_VALUE"""),"T66")</f>
        <v>T66</v>
      </c>
      <c r="C61" t="str">
        <f ca="1">IFERROR(__xludf.DUMMYFUNCTION("""COMPUTED_VALUE"""),"Dominic Bozzelli")</f>
        <v>Dominic Bozzelli</v>
      </c>
      <c r="D61">
        <f ca="1">IFERROR(__xludf.DUMMYFUNCTION("""COMPUTED_VALUE"""),8)</f>
        <v>8</v>
      </c>
      <c r="E61" t="str">
        <f ca="1">IFERROR(__xludf.DUMMYFUNCTION("""COMPUTED_VALUE"""),"7' 3""")</f>
        <v>7' 3"</v>
      </c>
      <c r="F61">
        <f ca="1">IFERROR(__xludf.DUMMYFUNCTION("""COMPUTED_VALUE"""),87.167)</f>
        <v>87.167000000000002</v>
      </c>
      <c r="G61">
        <f ca="1">IFERROR(__xludf.DUMMYFUNCTION("""COMPUTED_VALUE"""),12)</f>
        <v>12</v>
      </c>
      <c r="H61">
        <f ca="1">IFERROR(__xludf.DUMMYFUNCTION("""COMPUTED_VALUE"""),31)</f>
        <v>31</v>
      </c>
    </row>
    <row r="62" spans="1:8" ht="12.75">
      <c r="A62" t="str">
        <f ca="1">IFERROR(__xludf.DUMMYFUNCTION("""COMPUTED_VALUE"""),"T59")</f>
        <v>T59</v>
      </c>
      <c r="B62" t="str">
        <f ca="1">IFERROR(__xludf.DUMMYFUNCTION("""COMPUTED_VALUE"""),"T66")</f>
        <v>T66</v>
      </c>
      <c r="C62" t="str">
        <f ca="1">IFERROR(__xludf.DUMMYFUNCTION("""COMPUTED_VALUE"""),"Ryo Ishikawa")</f>
        <v>Ryo Ishikawa</v>
      </c>
      <c r="D62">
        <f ca="1">IFERROR(__xludf.DUMMYFUNCTION("""COMPUTED_VALUE"""),8)</f>
        <v>8</v>
      </c>
      <c r="E62" t="str">
        <f ca="1">IFERROR(__xludf.DUMMYFUNCTION("""COMPUTED_VALUE"""),"7' 3""")</f>
        <v>7' 3"</v>
      </c>
      <c r="F62">
        <f ca="1">IFERROR(__xludf.DUMMYFUNCTION("""COMPUTED_VALUE"""),459)</f>
        <v>459</v>
      </c>
      <c r="G62">
        <f ca="1">IFERROR(__xludf.DUMMYFUNCTION("""COMPUTED_VALUE"""),63)</f>
        <v>63</v>
      </c>
      <c r="H62">
        <f ca="1">IFERROR(__xludf.DUMMYFUNCTION("""COMPUTED_VALUE"""),81)</f>
        <v>81</v>
      </c>
    </row>
    <row r="63" spans="1:8" ht="12.75">
      <c r="A63" t="str">
        <f ca="1">IFERROR(__xludf.DUMMYFUNCTION("""COMPUTED_VALUE"""),"T59")</f>
        <v>T59</v>
      </c>
      <c r="B63" t="str">
        <f ca="1">IFERROR(__xludf.DUMMYFUNCTION("""COMPUTED_VALUE"""),"T66")</f>
        <v>T66</v>
      </c>
      <c r="C63" t="str">
        <f ca="1">IFERROR(__xludf.DUMMYFUNCTION("""COMPUTED_VALUE"""),"Rob Oppenheim")</f>
        <v>Rob Oppenheim</v>
      </c>
      <c r="D63">
        <f ca="1">IFERROR(__xludf.DUMMYFUNCTION("""COMPUTED_VALUE"""),16)</f>
        <v>16</v>
      </c>
      <c r="E63" t="str">
        <f ca="1">IFERROR(__xludf.DUMMYFUNCTION("""COMPUTED_VALUE"""),"7' 3""")</f>
        <v>7' 3"</v>
      </c>
      <c r="F63">
        <f ca="1">IFERROR(__xludf.DUMMYFUNCTION("""COMPUTED_VALUE"""),444.083)</f>
        <v>444.08300000000003</v>
      </c>
      <c r="G63">
        <f ca="1">IFERROR(__xludf.DUMMYFUNCTION("""COMPUTED_VALUE"""),61)</f>
        <v>61</v>
      </c>
      <c r="H63">
        <f ca="1">IFERROR(__xludf.DUMMYFUNCTION("""COMPUTED_VALUE"""),58)</f>
        <v>58</v>
      </c>
    </row>
    <row r="64" spans="1:8" ht="12.75">
      <c r="A64" t="str">
        <f ca="1">IFERROR(__xludf.DUMMYFUNCTION("""COMPUTED_VALUE"""),"T59")</f>
        <v>T59</v>
      </c>
      <c r="B64" t="str">
        <f ca="1">IFERROR(__xludf.DUMMYFUNCTION("""COMPUTED_VALUE"""),"T31")</f>
        <v>T31</v>
      </c>
      <c r="C64" t="str">
        <f ca="1">IFERROR(__xludf.DUMMYFUNCTION("""COMPUTED_VALUE"""),"Ted Potter, Jr.")</f>
        <v>Ted Potter, Jr.</v>
      </c>
      <c r="D64">
        <f ca="1">IFERROR(__xludf.DUMMYFUNCTION("""COMPUTED_VALUE"""),8)</f>
        <v>8</v>
      </c>
      <c r="E64" t="str">
        <f ca="1">IFERROR(__xludf.DUMMYFUNCTION("""COMPUTED_VALUE"""),"7' 3""")</f>
        <v>7' 3"</v>
      </c>
      <c r="F64">
        <f ca="1">IFERROR(__xludf.DUMMYFUNCTION("""COMPUTED_VALUE"""),382.583)</f>
        <v>382.58300000000003</v>
      </c>
      <c r="G64">
        <f ca="1">IFERROR(__xludf.DUMMYFUNCTION("""COMPUTED_VALUE"""),53)</f>
        <v>53</v>
      </c>
      <c r="H64">
        <f ca="1">IFERROR(__xludf.DUMMYFUNCTION("""COMPUTED_VALUE"""),133)</f>
        <v>133</v>
      </c>
    </row>
    <row r="65" spans="1:8" ht="12.75">
      <c r="A65" t="str">
        <f ca="1">IFERROR(__xludf.DUMMYFUNCTION("""COMPUTED_VALUE"""),"T59")</f>
        <v>T59</v>
      </c>
      <c r="B65" t="str">
        <f ca="1">IFERROR(__xludf.DUMMYFUNCTION("""COMPUTED_VALUE"""),"")</f>
        <v/>
      </c>
      <c r="C65" t="str">
        <f ca="1">IFERROR(__xludf.DUMMYFUNCTION("""COMPUTED_VALUE"""),"Francesco Molinari")</f>
        <v>Francesco Molinari</v>
      </c>
      <c r="D65">
        <f ca="1">IFERROR(__xludf.DUMMYFUNCTION("""COMPUTED_VALUE"""),6)</f>
        <v>6</v>
      </c>
      <c r="E65" t="str">
        <f ca="1">IFERROR(__xludf.DUMMYFUNCTION("""COMPUTED_VALUE"""),"7' 3""")</f>
        <v>7' 3"</v>
      </c>
      <c r="F65">
        <f ca="1">IFERROR(__xludf.DUMMYFUNCTION("""COMPUTED_VALUE"""),305.917)</f>
        <v>305.91699999999997</v>
      </c>
      <c r="G65">
        <f ca="1">IFERROR(__xludf.DUMMYFUNCTION("""COMPUTED_VALUE"""),42)</f>
        <v>42</v>
      </c>
      <c r="H65">
        <f ca="1">IFERROR(__xludf.DUMMYFUNCTION("""COMPUTED_VALUE"""),29)</f>
        <v>29</v>
      </c>
    </row>
    <row r="66" spans="1:8" ht="12.75">
      <c r="A66" t="str">
        <f ca="1">IFERROR(__xludf.DUMMYFUNCTION("""COMPUTED_VALUE"""),"T59")</f>
        <v>T59</v>
      </c>
      <c r="B66" t="str">
        <f ca="1">IFERROR(__xludf.DUMMYFUNCTION("""COMPUTED_VALUE"""),"T66")</f>
        <v>T66</v>
      </c>
      <c r="C66" t="str">
        <f ca="1">IFERROR(__xludf.DUMMYFUNCTION("""COMPUTED_VALUE"""),"Justin Rose")</f>
        <v>Justin Rose</v>
      </c>
      <c r="D66">
        <f ca="1">IFERROR(__xludf.DUMMYFUNCTION("""COMPUTED_VALUE"""),10)</f>
        <v>10</v>
      </c>
      <c r="E66" t="str">
        <f ca="1">IFERROR(__xludf.DUMMYFUNCTION("""COMPUTED_VALUE"""),"7' 3""")</f>
        <v>7' 3"</v>
      </c>
      <c r="F66">
        <f ca="1">IFERROR(__xludf.DUMMYFUNCTION("""COMPUTED_VALUE"""),464.5)</f>
        <v>464.5</v>
      </c>
      <c r="G66">
        <f ca="1">IFERROR(__xludf.DUMMYFUNCTION("""COMPUTED_VALUE"""),64)</f>
        <v>64</v>
      </c>
      <c r="H66">
        <f ca="1">IFERROR(__xludf.DUMMYFUNCTION("""COMPUTED_VALUE"""),235)</f>
        <v>235</v>
      </c>
    </row>
    <row r="67" spans="1:8" ht="12.75">
      <c r="A67" t="str">
        <f ca="1">IFERROR(__xludf.DUMMYFUNCTION("""COMPUTED_VALUE"""),"T59")</f>
        <v>T59</v>
      </c>
      <c r="B67" t="str">
        <f ca="1">IFERROR(__xludf.DUMMYFUNCTION("""COMPUTED_VALUE"""),"T66")</f>
        <v>T66</v>
      </c>
      <c r="C67" t="str">
        <f ca="1">IFERROR(__xludf.DUMMYFUNCTION("""COMPUTED_VALUE"""),"Brian Gay")</f>
        <v>Brian Gay</v>
      </c>
      <c r="D67">
        <f ca="1">IFERROR(__xludf.DUMMYFUNCTION("""COMPUTED_VALUE"""),8)</f>
        <v>8</v>
      </c>
      <c r="E67" t="str">
        <f ca="1">IFERROR(__xludf.DUMMYFUNCTION("""COMPUTED_VALUE"""),"7' 3""")</f>
        <v>7' 3"</v>
      </c>
      <c r="F67">
        <f ca="1">IFERROR(__xludf.DUMMYFUNCTION("""COMPUTED_VALUE"""),137.5)</f>
        <v>137.5</v>
      </c>
      <c r="G67">
        <f ca="1">IFERROR(__xludf.DUMMYFUNCTION("""COMPUTED_VALUE"""),19)</f>
        <v>19</v>
      </c>
      <c r="H67">
        <f ca="1">IFERROR(__xludf.DUMMYFUNCTION("""COMPUTED_VALUE"""),181)</f>
        <v>181</v>
      </c>
    </row>
    <row r="68" spans="1:8" ht="12.75">
      <c r="A68">
        <f ca="1">IFERROR(__xludf.DUMMYFUNCTION("""COMPUTED_VALUE"""),67)</f>
        <v>67</v>
      </c>
      <c r="B68" t="str">
        <f ca="1">IFERROR(__xludf.DUMMYFUNCTION("""COMPUTED_VALUE"""),"T41")</f>
        <v>T41</v>
      </c>
      <c r="C68" t="str">
        <f ca="1">IFERROR(__xludf.DUMMYFUNCTION("""COMPUTED_VALUE"""),"Scottie Scheffler")</f>
        <v>Scottie Scheffler</v>
      </c>
      <c r="D68">
        <f ca="1">IFERROR(__xludf.DUMMYFUNCTION("""COMPUTED_VALUE"""),18)</f>
        <v>18</v>
      </c>
      <c r="E68" t="str">
        <f ca="1">IFERROR(__xludf.DUMMYFUNCTION("""COMPUTED_VALUE"""),"7' 4""")</f>
        <v>7' 4"</v>
      </c>
      <c r="F68">
        <f ca="1">IFERROR(__xludf.DUMMYFUNCTION("""COMPUTED_VALUE"""),903.25)</f>
        <v>903.25</v>
      </c>
      <c r="G68">
        <f ca="1">IFERROR(__xludf.DUMMYFUNCTION("""COMPUTED_VALUE"""),123)</f>
        <v>123</v>
      </c>
      <c r="H68">
        <f ca="1">IFERROR(__xludf.DUMMYFUNCTION("""COMPUTED_VALUE"""),168)</f>
        <v>168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IFERROR(__xludf.DUMMYFUNCTION("""COMPUTED_VALUE"""),"T75")</f>
        <v>T75</v>
      </c>
      <c r="C69" t="str">
        <f ca="1">IFERROR(__xludf.DUMMYFUNCTION("""COMPUTED_VALUE"""),"Rikuya Hoshino")</f>
        <v>Rikuya Hoshino</v>
      </c>
      <c r="D69">
        <f ca="1">IFERROR(__xludf.DUMMYFUNCTION("""COMPUTED_VALUE"""),4)</f>
        <v>4</v>
      </c>
      <c r="E69" t="str">
        <f ca="1">IFERROR(__xludf.DUMMYFUNCTION("""COMPUTED_VALUE"""),"7' 5""")</f>
        <v>7' 5"</v>
      </c>
      <c r="F69">
        <f ca="1">IFERROR(__xludf.DUMMYFUNCTION("""COMPUTED_VALUE"""),260.333)</f>
        <v>260.33300000000003</v>
      </c>
      <c r="G69">
        <f ca="1">IFERROR(__xludf.DUMMYFUNCTION("""COMPUTED_VALUE"""),35)</f>
        <v>35</v>
      </c>
      <c r="H69">
        <f ca="1">IFERROR(__xludf.DUMMYFUNCTION("""COMPUTED_VALUE"""),13)</f>
        <v>13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IFERROR(__xludf.DUMMYFUNCTION("""COMPUTED_VALUE"""),"T75")</f>
        <v>T75</v>
      </c>
      <c r="C70" t="str">
        <f ca="1">IFERROR(__xludf.DUMMYFUNCTION("""COMPUTED_VALUE"""),"Collin Morikawa")</f>
        <v>Collin Morikawa</v>
      </c>
      <c r="D70">
        <f ca="1">IFERROR(__xludf.DUMMYFUNCTION("""COMPUTED_VALUE"""),12)</f>
        <v>12</v>
      </c>
      <c r="E70" t="str">
        <f ca="1">IFERROR(__xludf.DUMMYFUNCTION("""COMPUTED_VALUE"""),"7' 5""")</f>
        <v>7' 5"</v>
      </c>
      <c r="F70">
        <f ca="1">IFERROR(__xludf.DUMMYFUNCTION("""COMPUTED_VALUE"""),538.75)</f>
        <v>538.75</v>
      </c>
      <c r="G70">
        <f ca="1">IFERROR(__xludf.DUMMYFUNCTION("""COMPUTED_VALUE"""),73)</f>
        <v>73</v>
      </c>
      <c r="H70">
        <f ca="1">IFERROR(__xludf.DUMMYFUNCTION("""COMPUTED_VALUE"""),141)</f>
        <v>141</v>
      </c>
    </row>
    <row r="71" spans="1:8" ht="12.75">
      <c r="A71" t="str">
        <f ca="1">IFERROR(__xludf.DUMMYFUNCTION("""COMPUTED_VALUE"""),"T68")</f>
        <v>T68</v>
      </c>
      <c r="B71" t="str">
        <f ca="1">IFERROR(__xludf.DUMMYFUNCTION("""COMPUTED_VALUE"""),"T75")</f>
        <v>T75</v>
      </c>
      <c r="C71" t="str">
        <f ca="1">IFERROR(__xludf.DUMMYFUNCTION("""COMPUTED_VALUE"""),"Joel Dahmen")</f>
        <v>Joel Dahmen</v>
      </c>
      <c r="D71">
        <f ca="1">IFERROR(__xludf.DUMMYFUNCTION("""COMPUTED_VALUE"""),18)</f>
        <v>18</v>
      </c>
      <c r="E71" t="str">
        <f ca="1">IFERROR(__xludf.DUMMYFUNCTION("""COMPUTED_VALUE"""),"7' 5""")</f>
        <v>7' 5"</v>
      </c>
      <c r="F71">
        <f ca="1">IFERROR(__xludf.DUMMYFUNCTION("""COMPUTED_VALUE"""),746)</f>
        <v>746</v>
      </c>
      <c r="G71">
        <f ca="1">IFERROR(__xludf.DUMMYFUNCTION("""COMPUTED_VALUE"""),101)</f>
        <v>101</v>
      </c>
      <c r="H71">
        <f ca="1">IFERROR(__xludf.DUMMYFUNCTION("""COMPUTED_VALUE"""),74)</f>
        <v>74</v>
      </c>
    </row>
    <row r="72" spans="1:8" ht="12.75">
      <c r="A72" t="str">
        <f ca="1">IFERROR(__xludf.DUMMYFUNCTION("""COMPUTED_VALUE"""),"T68")</f>
        <v>T68</v>
      </c>
      <c r="B72" t="str">
        <f ca="1">IFERROR(__xludf.DUMMYFUNCTION("""COMPUTED_VALUE"""),"T75")</f>
        <v>T75</v>
      </c>
      <c r="C72" t="str">
        <f ca="1">IFERROR(__xludf.DUMMYFUNCTION("""COMPUTED_VALUE"""),"J.B. Holmes")</f>
        <v>J.B. Holmes</v>
      </c>
      <c r="D72">
        <f ca="1">IFERROR(__xludf.DUMMYFUNCTION("""COMPUTED_VALUE"""),10)</f>
        <v>10</v>
      </c>
      <c r="E72" t="str">
        <f ca="1">IFERROR(__xludf.DUMMYFUNCTION("""COMPUTED_VALUE"""),"7' 5""")</f>
        <v>7' 5"</v>
      </c>
      <c r="F72">
        <f ca="1">IFERROR(__xludf.DUMMYFUNCTION("""COMPUTED_VALUE"""),421.5)</f>
        <v>421.5</v>
      </c>
      <c r="G72">
        <f ca="1">IFERROR(__xludf.DUMMYFUNCTION("""COMPUTED_VALUE"""),57)</f>
        <v>57</v>
      </c>
      <c r="H72">
        <f ca="1">IFERROR(__xludf.DUMMYFUNCTION("""COMPUTED_VALUE"""),272)</f>
        <v>272</v>
      </c>
    </row>
    <row r="73" spans="1:8" ht="12.75">
      <c r="A73" t="str">
        <f ca="1">IFERROR(__xludf.DUMMYFUNCTION("""COMPUTED_VALUE"""),"T68")</f>
        <v>T68</v>
      </c>
      <c r="B73" t="str">
        <f ca="1">IFERROR(__xludf.DUMMYFUNCTION("""COMPUTED_VALUE"""),"T33")</f>
        <v>T33</v>
      </c>
      <c r="C73" t="str">
        <f ca="1">IFERROR(__xludf.DUMMYFUNCTION("""COMPUTED_VALUE"""),"Tony Finau")</f>
        <v>Tony Finau</v>
      </c>
      <c r="D73">
        <f ca="1">IFERROR(__xludf.DUMMYFUNCTION("""COMPUTED_VALUE"""),12)</f>
        <v>12</v>
      </c>
      <c r="E73" t="str">
        <f ca="1">IFERROR(__xludf.DUMMYFUNCTION("""COMPUTED_VALUE"""),"7' 5""")</f>
        <v>7' 5"</v>
      </c>
      <c r="F73">
        <f ca="1">IFERROR(__xludf.DUMMYFUNCTION("""COMPUTED_VALUE"""),496.75)</f>
        <v>496.75</v>
      </c>
      <c r="G73">
        <f ca="1">IFERROR(__xludf.DUMMYFUNCTION("""COMPUTED_VALUE"""),67)</f>
        <v>67</v>
      </c>
      <c r="H73">
        <f ca="1">IFERROR(__xludf.DUMMYFUNCTION("""COMPUTED_VALUE"""),227)</f>
        <v>227</v>
      </c>
    </row>
    <row r="74" spans="1:8" ht="12.75">
      <c r="A74" t="str">
        <f ca="1">IFERROR(__xludf.DUMMYFUNCTION("""COMPUTED_VALUE"""),"T68")</f>
        <v>T68</v>
      </c>
      <c r="B74" t="str">
        <f ca="1">IFERROR(__xludf.DUMMYFUNCTION("""COMPUTED_VALUE"""),"T106")</f>
        <v>T106</v>
      </c>
      <c r="C74" t="str">
        <f ca="1">IFERROR(__xludf.DUMMYFUNCTION("""COMPUTED_VALUE"""),"Xinjun Zhang")</f>
        <v>Xinjun Zhang</v>
      </c>
      <c r="D74">
        <f ca="1">IFERROR(__xludf.DUMMYFUNCTION("""COMPUTED_VALUE"""),14)</f>
        <v>14</v>
      </c>
      <c r="E74" t="str">
        <f ca="1">IFERROR(__xludf.DUMMYFUNCTION("""COMPUTED_VALUE"""),"7' 5""")</f>
        <v>7' 5"</v>
      </c>
      <c r="F74">
        <f ca="1">IFERROR(__xludf.DUMMYFUNCTION("""COMPUTED_VALUE"""),451.417)</f>
        <v>451.41699999999997</v>
      </c>
      <c r="G74">
        <f ca="1">IFERROR(__xludf.DUMMYFUNCTION("""COMPUTED_VALUE"""),61)</f>
        <v>61</v>
      </c>
      <c r="H74">
        <f ca="1">IFERROR(__xludf.DUMMYFUNCTION("""COMPUTED_VALUE"""),31)</f>
        <v>31</v>
      </c>
    </row>
    <row r="75" spans="1:8" ht="12.75">
      <c r="A75" t="str">
        <f ca="1">IFERROR(__xludf.DUMMYFUNCTION("""COMPUTED_VALUE"""),"T68")</f>
        <v>T68</v>
      </c>
      <c r="B75" t="str">
        <f ca="1">IFERROR(__xludf.DUMMYFUNCTION("""COMPUTED_VALUE"""),"T26")</f>
        <v>T26</v>
      </c>
      <c r="C75" t="str">
        <f ca="1">IFERROR(__xludf.DUMMYFUNCTION("""COMPUTED_VALUE"""),"Kevin Tway")</f>
        <v>Kevin Tway</v>
      </c>
      <c r="D75">
        <f ca="1">IFERROR(__xludf.DUMMYFUNCTION("""COMPUTED_VALUE"""),16)</f>
        <v>16</v>
      </c>
      <c r="E75" t="str">
        <f ca="1">IFERROR(__xludf.DUMMYFUNCTION("""COMPUTED_VALUE"""),"7' 5""")</f>
        <v>7' 5"</v>
      </c>
      <c r="F75">
        <f ca="1">IFERROR(__xludf.DUMMYFUNCTION("""COMPUTED_VALUE"""),377.083)</f>
        <v>377.08300000000003</v>
      </c>
      <c r="G75">
        <f ca="1">IFERROR(__xludf.DUMMYFUNCTION("""COMPUTED_VALUE"""),51)</f>
        <v>51</v>
      </c>
      <c r="H75">
        <f ca="1">IFERROR(__xludf.DUMMYFUNCTION("""COMPUTED_VALUE"""),107)</f>
        <v>107</v>
      </c>
    </row>
    <row r="76" spans="1:8" ht="12.75">
      <c r="A76" t="str">
        <f ca="1">IFERROR(__xludf.DUMMYFUNCTION("""COMPUTED_VALUE"""),"T75")</f>
        <v>T75</v>
      </c>
      <c r="B76" t="str">
        <f ca="1">IFERROR(__xludf.DUMMYFUNCTION("""COMPUTED_VALUE"""),"T128")</f>
        <v>T128</v>
      </c>
      <c r="C76" t="str">
        <f ca="1">IFERROR(__xludf.DUMMYFUNCTION("""COMPUTED_VALUE"""),"Russell Knox")</f>
        <v>Russell Knox</v>
      </c>
      <c r="D76">
        <f ca="1">IFERROR(__xludf.DUMMYFUNCTION("""COMPUTED_VALUE"""),16)</f>
        <v>16</v>
      </c>
      <c r="E76" t="str">
        <f ca="1">IFERROR(__xludf.DUMMYFUNCTION("""COMPUTED_VALUE"""),"7' 6""")</f>
        <v>7' 6"</v>
      </c>
      <c r="F76">
        <f ca="1">IFERROR(__xludf.DUMMYFUNCTION("""COMPUTED_VALUE"""),412.75)</f>
        <v>412.75</v>
      </c>
      <c r="G76">
        <f ca="1">IFERROR(__xludf.DUMMYFUNCTION("""COMPUTED_VALUE"""),55)</f>
        <v>55</v>
      </c>
      <c r="H76">
        <f ca="1">IFERROR(__xludf.DUMMYFUNCTION("""COMPUTED_VALUE"""),42)</f>
        <v>42</v>
      </c>
    </row>
    <row r="77" spans="1:8" ht="12.75">
      <c r="A77" t="str">
        <f ca="1">IFERROR(__xludf.DUMMYFUNCTION("""COMPUTED_VALUE"""),"T75")</f>
        <v>T75</v>
      </c>
      <c r="B77" t="str">
        <f ca="1">IFERROR(__xludf.DUMMYFUNCTION("""COMPUTED_VALUE"""),"T83")</f>
        <v>T83</v>
      </c>
      <c r="C77" t="str">
        <f ca="1">IFERROR(__xludf.DUMMYFUNCTION("""COMPUTED_VALUE"""),"Chris Stroud")</f>
        <v>Chris Stroud</v>
      </c>
      <c r="D77">
        <f ca="1">IFERROR(__xludf.DUMMYFUNCTION("""COMPUTED_VALUE"""),6)</f>
        <v>6</v>
      </c>
      <c r="E77" t="str">
        <f ca="1">IFERROR(__xludf.DUMMYFUNCTION("""COMPUTED_VALUE"""),"7' 6""")</f>
        <v>7' 6"</v>
      </c>
      <c r="F77">
        <f ca="1">IFERROR(__xludf.DUMMYFUNCTION("""COMPUTED_VALUE"""),232.583)</f>
        <v>232.583</v>
      </c>
      <c r="G77">
        <f ca="1">IFERROR(__xludf.DUMMYFUNCTION("""COMPUTED_VALUE"""),31)</f>
        <v>31</v>
      </c>
      <c r="H77">
        <f ca="1">IFERROR(__xludf.DUMMYFUNCTION("""COMPUTED_VALUE"""),22)</f>
        <v>22</v>
      </c>
    </row>
    <row r="78" spans="1:8" ht="12.75">
      <c r="A78" t="str">
        <f ca="1">IFERROR(__xludf.DUMMYFUNCTION("""COMPUTED_VALUE"""),"T75")</f>
        <v>T75</v>
      </c>
      <c r="B78" t="str">
        <f ca="1">IFERROR(__xludf.DUMMYFUNCTION("""COMPUTED_VALUE"""),"T83")</f>
        <v>T83</v>
      </c>
      <c r="C78" t="str">
        <f ca="1">IFERROR(__xludf.DUMMYFUNCTION("""COMPUTED_VALUE"""),"J.J. Spaun")</f>
        <v>J.J. Spaun</v>
      </c>
      <c r="D78">
        <f ca="1">IFERROR(__xludf.DUMMYFUNCTION("""COMPUTED_VALUE"""),10)</f>
        <v>10</v>
      </c>
      <c r="E78" t="str">
        <f ca="1">IFERROR(__xludf.DUMMYFUNCTION("""COMPUTED_VALUE"""),"7' 6""")</f>
        <v>7' 6"</v>
      </c>
      <c r="F78">
        <f ca="1">IFERROR(__xludf.DUMMYFUNCTION("""COMPUTED_VALUE"""),194.083)</f>
        <v>194.083</v>
      </c>
      <c r="G78">
        <f ca="1">IFERROR(__xludf.DUMMYFUNCTION("""COMPUTED_VALUE"""),26)</f>
        <v>26</v>
      </c>
      <c r="H78">
        <f ca="1">IFERROR(__xludf.DUMMYFUNCTION("""COMPUTED_VALUE"""),47)</f>
        <v>47</v>
      </c>
    </row>
    <row r="79" spans="1:8" ht="12.75">
      <c r="A79" t="str">
        <f ca="1">IFERROR(__xludf.DUMMYFUNCTION("""COMPUTED_VALUE"""),"T75")</f>
        <v>T75</v>
      </c>
      <c r="B79" t="str">
        <f ca="1">IFERROR(__xludf.DUMMYFUNCTION("""COMPUTED_VALUE"""),"T83")</f>
        <v>T83</v>
      </c>
      <c r="C79" t="str">
        <f ca="1">IFERROR(__xludf.DUMMYFUNCTION("""COMPUTED_VALUE"""),"Joohyung Kim")</f>
        <v>Joohyung Kim</v>
      </c>
      <c r="D79">
        <f ca="1">IFERROR(__xludf.DUMMYFUNCTION("""COMPUTED_VALUE"""),12)</f>
        <v>12</v>
      </c>
      <c r="E79" t="str">
        <f ca="1">IFERROR(__xludf.DUMMYFUNCTION("""COMPUTED_VALUE"""),"7' 6""")</f>
        <v>7' 6"</v>
      </c>
      <c r="F79">
        <f ca="1">IFERROR(__xludf.DUMMYFUNCTION("""COMPUTED_VALUE"""),345.083)</f>
        <v>345.08300000000003</v>
      </c>
      <c r="G79">
        <f ca="1">IFERROR(__xludf.DUMMYFUNCTION("""COMPUTED_VALUE"""),46)</f>
        <v>46</v>
      </c>
      <c r="H79">
        <f ca="1">IFERROR(__xludf.DUMMYFUNCTION("""COMPUTED_VALUE"""),151)</f>
        <v>151</v>
      </c>
    </row>
    <row r="80" spans="1:8" ht="12.75">
      <c r="A80" t="str">
        <f ca="1">IFERROR(__xludf.DUMMYFUNCTION("""COMPUTED_VALUE"""),"T75")</f>
        <v>T75</v>
      </c>
      <c r="B80" t="str">
        <f ca="1">IFERROR(__xludf.DUMMYFUNCTION("""COMPUTED_VALUE"""),"T93")</f>
        <v>T93</v>
      </c>
      <c r="C80" t="str">
        <f ca="1">IFERROR(__xludf.DUMMYFUNCTION("""COMPUTED_VALUE"""),"Robby Shelton")</f>
        <v>Robby Shelton</v>
      </c>
      <c r="D80">
        <f ca="1">IFERROR(__xludf.DUMMYFUNCTION("""COMPUTED_VALUE"""),14)</f>
        <v>14</v>
      </c>
      <c r="E80" t="str">
        <f ca="1">IFERROR(__xludf.DUMMYFUNCTION("""COMPUTED_VALUE"""),"7' 6""")</f>
        <v>7' 6"</v>
      </c>
      <c r="F80">
        <f ca="1">IFERROR(__xludf.DUMMYFUNCTION("""COMPUTED_VALUE"""),673.417)</f>
        <v>673.41700000000003</v>
      </c>
      <c r="G80">
        <f ca="1">IFERROR(__xludf.DUMMYFUNCTION("""COMPUTED_VALUE"""),90)</f>
        <v>90</v>
      </c>
      <c r="H80">
        <f ca="1">IFERROR(__xludf.DUMMYFUNCTION("""COMPUTED_VALUE"""),46)</f>
        <v>46</v>
      </c>
    </row>
    <row r="81" spans="1:8" ht="12.75">
      <c r="A81" t="str">
        <f ca="1">IFERROR(__xludf.DUMMYFUNCTION("""COMPUTED_VALUE"""),"T75")</f>
        <v>T75</v>
      </c>
      <c r="B81" t="str">
        <f ca="1">IFERROR(__xludf.DUMMYFUNCTION("""COMPUTED_VALUE"""),"T83")</f>
        <v>T83</v>
      </c>
      <c r="C81" t="str">
        <f ca="1">IFERROR(__xludf.DUMMYFUNCTION("""COMPUTED_VALUE"""),"Brandon Hagy")</f>
        <v>Brandon Hagy</v>
      </c>
      <c r="D81">
        <f ca="1">IFERROR(__xludf.DUMMYFUNCTION("""COMPUTED_VALUE"""),10)</f>
        <v>10</v>
      </c>
      <c r="E81" t="str">
        <f ca="1">IFERROR(__xludf.DUMMYFUNCTION("""COMPUTED_VALUE"""),"7' 6""")</f>
        <v>7' 6"</v>
      </c>
      <c r="F81">
        <f ca="1">IFERROR(__xludf.DUMMYFUNCTION("""COMPUTED_VALUE"""),253.833)</f>
        <v>253.833</v>
      </c>
      <c r="G81">
        <f ca="1">IFERROR(__xludf.DUMMYFUNCTION("""COMPUTED_VALUE"""),34)</f>
        <v>34</v>
      </c>
      <c r="H81">
        <f ca="1">IFERROR(__xludf.DUMMYFUNCTION("""COMPUTED_VALUE"""),194)</f>
        <v>194</v>
      </c>
    </row>
    <row r="82" spans="1:8" ht="12.75">
      <c r="A82" t="str">
        <f ca="1">IFERROR(__xludf.DUMMYFUNCTION("""COMPUTED_VALUE"""),"T75")</f>
        <v>T75</v>
      </c>
      <c r="B82" t="str">
        <f ca="1">IFERROR(__xludf.DUMMYFUNCTION("""COMPUTED_VALUE"""),"T83")</f>
        <v>T83</v>
      </c>
      <c r="C82" t="str">
        <f ca="1">IFERROR(__xludf.DUMMYFUNCTION("""COMPUTED_VALUE"""),"Talor Gooch")</f>
        <v>Talor Gooch</v>
      </c>
      <c r="D82">
        <f ca="1">IFERROR(__xludf.DUMMYFUNCTION("""COMPUTED_VALUE"""),20)</f>
        <v>20</v>
      </c>
      <c r="E82" t="str">
        <f ca="1">IFERROR(__xludf.DUMMYFUNCTION("""COMPUTED_VALUE"""),"7' 6""")</f>
        <v>7' 6"</v>
      </c>
      <c r="F82">
        <f ca="1">IFERROR(__xludf.DUMMYFUNCTION("""COMPUTED_VALUE"""),917.667)</f>
        <v>917.66700000000003</v>
      </c>
      <c r="G82">
        <f ca="1">IFERROR(__xludf.DUMMYFUNCTION("""COMPUTED_VALUE"""),123)</f>
        <v>123</v>
      </c>
      <c r="H82">
        <f ca="1">IFERROR(__xludf.DUMMYFUNCTION("""COMPUTED_VALUE"""),9)</f>
        <v>9</v>
      </c>
    </row>
    <row r="83" spans="1:8" ht="12.75">
      <c r="A83" t="str">
        <f ca="1">IFERROR(__xludf.DUMMYFUNCTION("""COMPUTED_VALUE"""),"T75")</f>
        <v>T75</v>
      </c>
      <c r="B83" t="str">
        <f ca="1">IFERROR(__xludf.DUMMYFUNCTION("""COMPUTED_VALUE"""),"T83")</f>
        <v>T83</v>
      </c>
      <c r="C83" t="str">
        <f ca="1">IFERROR(__xludf.DUMMYFUNCTION("""COMPUTED_VALUE"""),"Christiaan Bezuidenhout")</f>
        <v>Christiaan Bezuidenhout</v>
      </c>
      <c r="D83">
        <f ca="1">IFERROR(__xludf.DUMMYFUNCTION("""COMPUTED_VALUE"""),4)</f>
        <v>4</v>
      </c>
      <c r="E83" t="str">
        <f ca="1">IFERROR(__xludf.DUMMYFUNCTION("""COMPUTED_VALUE"""),"7' 6""")</f>
        <v>7' 6"</v>
      </c>
      <c r="F83">
        <f ca="1">IFERROR(__xludf.DUMMYFUNCTION("""COMPUTED_VALUE"""),233.167)</f>
        <v>233.167</v>
      </c>
      <c r="G83">
        <f ca="1">IFERROR(__xludf.DUMMYFUNCTION("""COMPUTED_VALUE"""),31)</f>
        <v>31</v>
      </c>
      <c r="H83">
        <f ca="1">IFERROR(__xludf.DUMMYFUNCTION("""COMPUTED_VALUE"""),252)</f>
        <v>252</v>
      </c>
    </row>
    <row r="84" spans="1:8" ht="12.75">
      <c r="A84" t="str">
        <f ca="1">IFERROR(__xludf.DUMMYFUNCTION("""COMPUTED_VALUE"""),"T83")</f>
        <v>T83</v>
      </c>
      <c r="B84" t="str">
        <f ca="1">IFERROR(__xludf.DUMMYFUNCTION("""COMPUTED_VALUE"""),"T58")</f>
        <v>T58</v>
      </c>
      <c r="C84" t="str">
        <f ca="1">IFERROR(__xludf.DUMMYFUNCTION("""COMPUTED_VALUE"""),"Austin Cook")</f>
        <v>Austin Cook</v>
      </c>
      <c r="D84">
        <f ca="1">IFERROR(__xludf.DUMMYFUNCTION("""COMPUTED_VALUE"""),14)</f>
        <v>14</v>
      </c>
      <c r="E84" t="str">
        <f ca="1">IFERROR(__xludf.DUMMYFUNCTION("""COMPUTED_VALUE"""),"7' 7""")</f>
        <v>7' 7"</v>
      </c>
      <c r="F84">
        <f ca="1">IFERROR(__xludf.DUMMYFUNCTION("""COMPUTED_VALUE"""),551.5)</f>
        <v>551.5</v>
      </c>
      <c r="G84">
        <f ca="1">IFERROR(__xludf.DUMMYFUNCTION("""COMPUTED_VALUE"""),73)</f>
        <v>73</v>
      </c>
      <c r="H84">
        <f ca="1">IFERROR(__xludf.DUMMYFUNCTION("""COMPUTED_VALUE"""),56)</f>
        <v>56</v>
      </c>
    </row>
    <row r="85" spans="1:8" ht="12.75">
      <c r="A85" t="str">
        <f ca="1">IFERROR(__xludf.DUMMYFUNCTION("""COMPUTED_VALUE"""),"T83")</f>
        <v>T83</v>
      </c>
      <c r="B85" t="str">
        <f ca="1">IFERROR(__xludf.DUMMYFUNCTION("""COMPUTED_VALUE"""),"T75")</f>
        <v>T75</v>
      </c>
      <c r="C85" t="str">
        <f ca="1">IFERROR(__xludf.DUMMYFUNCTION("""COMPUTED_VALUE"""),"Erik van Rooyen")</f>
        <v>Erik van Rooyen</v>
      </c>
      <c r="D85">
        <f ca="1">IFERROR(__xludf.DUMMYFUNCTION("""COMPUTED_VALUE"""),10)</f>
        <v>10</v>
      </c>
      <c r="E85" t="str">
        <f ca="1">IFERROR(__xludf.DUMMYFUNCTION("""COMPUTED_VALUE"""),"7' 7""")</f>
        <v>7' 7"</v>
      </c>
      <c r="F85">
        <f ca="1">IFERROR(__xludf.DUMMYFUNCTION("""COMPUTED_VALUE"""),487.5)</f>
        <v>487.5</v>
      </c>
      <c r="G85">
        <f ca="1">IFERROR(__xludf.DUMMYFUNCTION("""COMPUTED_VALUE"""),64)</f>
        <v>64</v>
      </c>
      <c r="H85">
        <f ca="1">IFERROR(__xludf.DUMMYFUNCTION("""COMPUTED_VALUE"""),235)</f>
        <v>235</v>
      </c>
    </row>
    <row r="86" spans="1:8" ht="12.75">
      <c r="A86" t="str">
        <f ca="1">IFERROR(__xludf.DUMMYFUNCTION("""COMPUTED_VALUE"""),"T83")</f>
        <v>T83</v>
      </c>
      <c r="B86" t="str">
        <f ca="1">IFERROR(__xludf.DUMMYFUNCTION("""COMPUTED_VALUE"""),"T93")</f>
        <v>T93</v>
      </c>
      <c r="C86" t="str">
        <f ca="1">IFERROR(__xludf.DUMMYFUNCTION("""COMPUTED_VALUE"""),"Xander Schauffele")</f>
        <v>Xander Schauffele</v>
      </c>
      <c r="D86">
        <f ca="1">IFERROR(__xludf.DUMMYFUNCTION("""COMPUTED_VALUE"""),12)</f>
        <v>12</v>
      </c>
      <c r="E86" t="str">
        <f ca="1">IFERROR(__xludf.DUMMYFUNCTION("""COMPUTED_VALUE"""),"7' 7""")</f>
        <v>7' 7"</v>
      </c>
      <c r="F86">
        <f ca="1">IFERROR(__xludf.DUMMYFUNCTION("""COMPUTED_VALUE"""),571.667)</f>
        <v>571.66700000000003</v>
      </c>
      <c r="G86">
        <f ca="1">IFERROR(__xludf.DUMMYFUNCTION("""COMPUTED_VALUE"""),75)</f>
        <v>75</v>
      </c>
      <c r="H86">
        <f ca="1">IFERROR(__xludf.DUMMYFUNCTION("""COMPUTED_VALUE"""),135)</f>
        <v>135</v>
      </c>
    </row>
    <row r="87" spans="1:8" ht="12.75">
      <c r="A87" t="str">
        <f ca="1">IFERROR(__xludf.DUMMYFUNCTION("""COMPUTED_VALUE"""),"T83")</f>
        <v>T83</v>
      </c>
      <c r="B87" t="str">
        <f ca="1">IFERROR(__xludf.DUMMYFUNCTION("""COMPUTED_VALUE"""),"T106")</f>
        <v>T106</v>
      </c>
      <c r="C87" t="str">
        <f ca="1">IFERROR(__xludf.DUMMYFUNCTION("""COMPUTED_VALUE"""),"Charley Hoffman")</f>
        <v>Charley Hoffman</v>
      </c>
      <c r="D87">
        <f ca="1">IFERROR(__xludf.DUMMYFUNCTION("""COMPUTED_VALUE"""),20)</f>
        <v>20</v>
      </c>
      <c r="E87" t="str">
        <f ca="1">IFERROR(__xludf.DUMMYFUNCTION("""COMPUTED_VALUE"""),"7' 7""")</f>
        <v>7' 7"</v>
      </c>
      <c r="F87">
        <f ca="1">IFERROR(__xludf.DUMMYFUNCTION("""COMPUTED_VALUE"""),646)</f>
        <v>646</v>
      </c>
      <c r="G87">
        <f ca="1">IFERROR(__xludf.DUMMYFUNCTION("""COMPUTED_VALUE"""),85)</f>
        <v>85</v>
      </c>
      <c r="H87">
        <f ca="1">IFERROR(__xludf.DUMMYFUNCTION("""COMPUTED_VALUE"""),68)</f>
        <v>68</v>
      </c>
    </row>
    <row r="88" spans="1:8" ht="12.75">
      <c r="A88" t="str">
        <f ca="1">IFERROR(__xludf.DUMMYFUNCTION("""COMPUTED_VALUE"""),"T87")</f>
        <v>T87</v>
      </c>
      <c r="B88" t="str">
        <f ca="1">IFERROR(__xludf.DUMMYFUNCTION("""COMPUTED_VALUE"""),"T99")</f>
        <v>T99</v>
      </c>
      <c r="C88" t="str">
        <f ca="1">IFERROR(__xludf.DUMMYFUNCTION("""COMPUTED_VALUE"""),"K.J. Choi")</f>
        <v>K.J. Choi</v>
      </c>
      <c r="D88">
        <f ca="1">IFERROR(__xludf.DUMMYFUNCTION("""COMPUTED_VALUE"""),6)</f>
        <v>6</v>
      </c>
      <c r="E88" t="str">
        <f ca="1">IFERROR(__xludf.DUMMYFUNCTION("""COMPUTED_VALUE"""),"7' 8""")</f>
        <v>7' 8"</v>
      </c>
      <c r="F88">
        <f ca="1">IFERROR(__xludf.DUMMYFUNCTION("""COMPUTED_VALUE"""),252.833)</f>
        <v>252.833</v>
      </c>
      <c r="G88">
        <f ca="1">IFERROR(__xludf.DUMMYFUNCTION("""COMPUTED_VALUE"""),33)</f>
        <v>33</v>
      </c>
      <c r="H88">
        <f ca="1">IFERROR(__xludf.DUMMYFUNCTION("""COMPUTED_VALUE"""),160)</f>
        <v>160</v>
      </c>
    </row>
    <row r="89" spans="1:8" ht="12.75">
      <c r="A89" t="str">
        <f ca="1">IFERROR(__xludf.DUMMYFUNCTION("""COMPUTED_VALUE"""),"T87")</f>
        <v>T87</v>
      </c>
      <c r="B89" t="str">
        <f ca="1">IFERROR(__xludf.DUMMYFUNCTION("""COMPUTED_VALUE"""),"T99")</f>
        <v>T99</v>
      </c>
      <c r="C89" t="str">
        <f ca="1">IFERROR(__xludf.DUMMYFUNCTION("""COMPUTED_VALUE"""),"Bubba Watson")</f>
        <v>Bubba Watson</v>
      </c>
      <c r="D89">
        <f ca="1">IFERROR(__xludf.DUMMYFUNCTION("""COMPUTED_VALUE"""),12)</f>
        <v>12</v>
      </c>
      <c r="E89" t="str">
        <f ca="1">IFERROR(__xludf.DUMMYFUNCTION("""COMPUTED_VALUE"""),"7' 8""")</f>
        <v>7' 8"</v>
      </c>
      <c r="F89">
        <f ca="1">IFERROR(__xludf.DUMMYFUNCTION("""COMPUTED_VALUE"""),514.583)</f>
        <v>514.58299999999997</v>
      </c>
      <c r="G89">
        <f ca="1">IFERROR(__xludf.DUMMYFUNCTION("""COMPUTED_VALUE"""),67)</f>
        <v>67</v>
      </c>
      <c r="H89">
        <f ca="1">IFERROR(__xludf.DUMMYFUNCTION("""COMPUTED_VALUE"""),131)</f>
        <v>131</v>
      </c>
    </row>
    <row r="90" spans="1:8" ht="12.75">
      <c r="A90" t="str">
        <f ca="1">IFERROR(__xludf.DUMMYFUNCTION("""COMPUTED_VALUE"""),"T87")</f>
        <v>T87</v>
      </c>
      <c r="B90" t="str">
        <f ca="1">IFERROR(__xludf.DUMMYFUNCTION("""COMPUTED_VALUE"""),"T99")</f>
        <v>T99</v>
      </c>
      <c r="C90" t="str">
        <f ca="1">IFERROR(__xludf.DUMMYFUNCTION("""COMPUTED_VALUE"""),"Brandt Snedeker")</f>
        <v>Brandt Snedeker</v>
      </c>
      <c r="D90">
        <f ca="1">IFERROR(__xludf.DUMMYFUNCTION("""COMPUTED_VALUE"""),16)</f>
        <v>16</v>
      </c>
      <c r="E90" t="str">
        <f ca="1">IFERROR(__xludf.DUMMYFUNCTION("""COMPUTED_VALUE"""),"7' 8""")</f>
        <v>7' 8"</v>
      </c>
      <c r="F90">
        <f ca="1">IFERROR(__xludf.DUMMYFUNCTION("""COMPUTED_VALUE"""),804.167)</f>
        <v>804.16700000000003</v>
      </c>
      <c r="G90">
        <f ca="1">IFERROR(__xludf.DUMMYFUNCTION("""COMPUTED_VALUE"""),105)</f>
        <v>105</v>
      </c>
      <c r="H90">
        <f ca="1">IFERROR(__xludf.DUMMYFUNCTION("""COMPUTED_VALUE"""),191)</f>
        <v>191</v>
      </c>
    </row>
    <row r="91" spans="1:8" ht="12.75">
      <c r="A91" t="str">
        <f ca="1">IFERROR(__xludf.DUMMYFUNCTION("""COMPUTED_VALUE"""),"T87")</f>
        <v>T87</v>
      </c>
      <c r="B91" t="str">
        <f ca="1">IFERROR(__xludf.DUMMYFUNCTION("""COMPUTED_VALUE"""),"T99")</f>
        <v>T99</v>
      </c>
      <c r="C91" t="str">
        <f ca="1">IFERROR(__xludf.DUMMYFUNCTION("""COMPUTED_VALUE"""),"Dylan Frittelli")</f>
        <v>Dylan Frittelli</v>
      </c>
      <c r="D91">
        <f ca="1">IFERROR(__xludf.DUMMYFUNCTION("""COMPUTED_VALUE"""),16)</f>
        <v>16</v>
      </c>
      <c r="E91" t="str">
        <f ca="1">IFERROR(__xludf.DUMMYFUNCTION("""COMPUTED_VALUE"""),"7' 8""")</f>
        <v>7' 8"</v>
      </c>
      <c r="F91">
        <f ca="1">IFERROR(__xludf.DUMMYFUNCTION("""COMPUTED_VALUE"""),801.833)</f>
        <v>801.83299999999997</v>
      </c>
      <c r="G91">
        <f ca="1">IFERROR(__xludf.DUMMYFUNCTION("""COMPUTED_VALUE"""),105)</f>
        <v>105</v>
      </c>
      <c r="H91">
        <f ca="1">IFERROR(__xludf.DUMMYFUNCTION("""COMPUTED_VALUE"""),72)</f>
        <v>72</v>
      </c>
    </row>
    <row r="92" spans="1:8" ht="12.75">
      <c r="A92" t="str">
        <f ca="1">IFERROR(__xludf.DUMMYFUNCTION("""COMPUTED_VALUE"""),"T87")</f>
        <v>T87</v>
      </c>
      <c r="B92" t="str">
        <f ca="1">IFERROR(__xludf.DUMMYFUNCTION("""COMPUTED_VALUE"""),"T121")</f>
        <v>T121</v>
      </c>
      <c r="C92" t="str">
        <f ca="1">IFERROR(__xludf.DUMMYFUNCTION("""COMPUTED_VALUE"""),"Wyndham Clark")</f>
        <v>Wyndham Clark</v>
      </c>
      <c r="D92">
        <f ca="1">IFERROR(__xludf.DUMMYFUNCTION("""COMPUTED_VALUE"""),16)</f>
        <v>16</v>
      </c>
      <c r="E92" t="str">
        <f ca="1">IFERROR(__xludf.DUMMYFUNCTION("""COMPUTED_VALUE"""),"7' 8""")</f>
        <v>7' 8"</v>
      </c>
      <c r="F92">
        <f ca="1">IFERROR(__xludf.DUMMYFUNCTION("""COMPUTED_VALUE"""),619.917)</f>
        <v>619.91700000000003</v>
      </c>
      <c r="G92">
        <f ca="1">IFERROR(__xludf.DUMMYFUNCTION("""COMPUTED_VALUE"""),81)</f>
        <v>81</v>
      </c>
      <c r="H92">
        <f ca="1">IFERROR(__xludf.DUMMYFUNCTION("""COMPUTED_VALUE"""),50)</f>
        <v>50</v>
      </c>
    </row>
    <row r="93" spans="1:8" ht="12.75">
      <c r="A93" t="str">
        <f ca="1">IFERROR(__xludf.DUMMYFUNCTION("""COMPUTED_VALUE"""),"T87")</f>
        <v>T87</v>
      </c>
      <c r="B93" t="str">
        <f ca="1">IFERROR(__xludf.DUMMYFUNCTION("""COMPUTED_VALUE"""),"T58")</f>
        <v>T58</v>
      </c>
      <c r="C93" t="str">
        <f ca="1">IFERROR(__xludf.DUMMYFUNCTION("""COMPUTED_VALUE"""),"Sam Ryder")</f>
        <v>Sam Ryder</v>
      </c>
      <c r="D93">
        <f ca="1">IFERROR(__xludf.DUMMYFUNCTION("""COMPUTED_VALUE"""),12)</f>
        <v>12</v>
      </c>
      <c r="E93" t="str">
        <f ca="1">IFERROR(__xludf.DUMMYFUNCTION("""COMPUTED_VALUE"""),"7' 8""")</f>
        <v>7' 8"</v>
      </c>
      <c r="F93">
        <f ca="1">IFERROR(__xludf.DUMMYFUNCTION("""COMPUTED_VALUE"""),291.25)</f>
        <v>291.25</v>
      </c>
      <c r="G93">
        <f ca="1">IFERROR(__xludf.DUMMYFUNCTION("""COMPUTED_VALUE"""),38)</f>
        <v>38</v>
      </c>
      <c r="H93">
        <f ca="1">IFERROR(__xludf.DUMMYFUNCTION("""COMPUTED_VALUE"""),129)</f>
        <v>129</v>
      </c>
    </row>
    <row r="94" spans="1:8" ht="12.75">
      <c r="A94" t="str">
        <f ca="1">IFERROR(__xludf.DUMMYFUNCTION("""COMPUTED_VALUE"""),"T87")</f>
        <v>T87</v>
      </c>
      <c r="B94" t="str">
        <f ca="1">IFERROR(__xludf.DUMMYFUNCTION("""COMPUTED_VALUE"""),"T128")</f>
        <v>T128</v>
      </c>
      <c r="C94" t="str">
        <f ca="1">IFERROR(__xludf.DUMMYFUNCTION("""COMPUTED_VALUE"""),"Jordan Spieth")</f>
        <v>Jordan Spieth</v>
      </c>
      <c r="D94">
        <f ca="1">IFERROR(__xludf.DUMMYFUNCTION("""COMPUTED_VALUE"""),14)</f>
        <v>14</v>
      </c>
      <c r="E94" t="str">
        <f ca="1">IFERROR(__xludf.DUMMYFUNCTION("""COMPUTED_VALUE"""),"7' 8""")</f>
        <v>7' 8"</v>
      </c>
      <c r="F94">
        <f ca="1">IFERROR(__xludf.DUMMYFUNCTION("""COMPUTED_VALUE"""),745.417)</f>
        <v>745.41700000000003</v>
      </c>
      <c r="G94">
        <f ca="1">IFERROR(__xludf.DUMMYFUNCTION("""COMPUTED_VALUE"""),97)</f>
        <v>97</v>
      </c>
      <c r="H94">
        <f ca="1">IFERROR(__xludf.DUMMYFUNCTION("""COMPUTED_VALUE"""),177)</f>
        <v>177</v>
      </c>
    </row>
    <row r="95" spans="1:8" ht="12.75">
      <c r="A95" t="str">
        <f ca="1">IFERROR(__xludf.DUMMYFUNCTION("""COMPUTED_VALUE"""),"T87")</f>
        <v>T87</v>
      </c>
      <c r="B95" t="str">
        <f ca="1">IFERROR(__xludf.DUMMYFUNCTION("""COMPUTED_VALUE"""),"T99")</f>
        <v>T99</v>
      </c>
      <c r="C95" t="str">
        <f ca="1">IFERROR(__xludf.DUMMYFUNCTION("""COMPUTED_VALUE"""),"Patrick Reed")</f>
        <v>Patrick Reed</v>
      </c>
      <c r="D95">
        <f ca="1">IFERROR(__xludf.DUMMYFUNCTION("""COMPUTED_VALUE"""),8)</f>
        <v>8</v>
      </c>
      <c r="E95" t="str">
        <f ca="1">IFERROR(__xludf.DUMMYFUNCTION("""COMPUTED_VALUE"""),"7' 8""")</f>
        <v>7' 8"</v>
      </c>
      <c r="F95">
        <f ca="1">IFERROR(__xludf.DUMMYFUNCTION("""COMPUTED_VALUE"""),444.917)</f>
        <v>444.91699999999997</v>
      </c>
      <c r="G95">
        <f ca="1">IFERROR(__xludf.DUMMYFUNCTION("""COMPUTED_VALUE"""),58)</f>
        <v>58</v>
      </c>
      <c r="H95">
        <f ca="1">IFERROR(__xludf.DUMMYFUNCTION("""COMPUTED_VALUE"""),210)</f>
        <v>210</v>
      </c>
    </row>
    <row r="96" spans="1:8" ht="12.75">
      <c r="A96" t="str">
        <f ca="1">IFERROR(__xludf.DUMMYFUNCTION("""COMPUTED_VALUE"""),"T95")</f>
        <v>T95</v>
      </c>
      <c r="B96" t="str">
        <f ca="1">IFERROR(__xludf.DUMMYFUNCTION("""COMPUTED_VALUE"""),"T106")</f>
        <v>T106</v>
      </c>
      <c r="C96" t="str">
        <f ca="1">IFERROR(__xludf.DUMMYFUNCTION("""COMPUTED_VALUE"""),"Harris English")</f>
        <v>Harris English</v>
      </c>
      <c r="D96">
        <f ca="1">IFERROR(__xludf.DUMMYFUNCTION("""COMPUTED_VALUE"""),14)</f>
        <v>14</v>
      </c>
      <c r="E96" t="str">
        <f ca="1">IFERROR(__xludf.DUMMYFUNCTION("""COMPUTED_VALUE"""),"7' 9""")</f>
        <v>7' 9"</v>
      </c>
      <c r="F96">
        <f ca="1">IFERROR(__xludf.DUMMYFUNCTION("""COMPUTED_VALUE"""),701.833)</f>
        <v>701.83299999999997</v>
      </c>
      <c r="G96">
        <f ca="1">IFERROR(__xludf.DUMMYFUNCTION("""COMPUTED_VALUE"""),91)</f>
        <v>91</v>
      </c>
      <c r="H96">
        <f ca="1">IFERROR(__xludf.DUMMYFUNCTION("""COMPUTED_VALUE"""),49)</f>
        <v>49</v>
      </c>
    </row>
    <row r="97" spans="1:8" ht="12.75">
      <c r="A97" t="str">
        <f ca="1">IFERROR(__xludf.DUMMYFUNCTION("""COMPUTED_VALUE"""),"T95")</f>
        <v>T95</v>
      </c>
      <c r="B97" t="str">
        <f ca="1">IFERROR(__xludf.DUMMYFUNCTION("""COMPUTED_VALUE"""),"T99")</f>
        <v>T99</v>
      </c>
      <c r="C97" t="str">
        <f ca="1">IFERROR(__xludf.DUMMYFUNCTION("""COMPUTED_VALUE"""),"Si Woo Kim")</f>
        <v>Si Woo Kim</v>
      </c>
      <c r="D97">
        <f ca="1">IFERROR(__xludf.DUMMYFUNCTION("""COMPUTED_VALUE"""),20)</f>
        <v>20</v>
      </c>
      <c r="E97" t="str">
        <f ca="1">IFERROR(__xludf.DUMMYFUNCTION("""COMPUTED_VALUE"""),"7' 9""")</f>
        <v>7' 9"</v>
      </c>
      <c r="F97" s="2">
        <f ca="1">IFERROR(__xludf.DUMMYFUNCTION("""COMPUTED_VALUE"""),1077.5)</f>
        <v>1077.5</v>
      </c>
      <c r="G97">
        <f ca="1">IFERROR(__xludf.DUMMYFUNCTION("""COMPUTED_VALUE"""),139)</f>
        <v>139</v>
      </c>
      <c r="H97">
        <f ca="1">IFERROR(__xludf.DUMMYFUNCTION("""COMPUTED_VALUE"""),38)</f>
        <v>38</v>
      </c>
    </row>
    <row r="98" spans="1:8" ht="12.75">
      <c r="A98" t="str">
        <f ca="1">IFERROR(__xludf.DUMMYFUNCTION("""COMPUTED_VALUE"""),"T95")</f>
        <v>T95</v>
      </c>
      <c r="B98" t="str">
        <f ca="1">IFERROR(__xludf.DUMMYFUNCTION("""COMPUTED_VALUE"""),"T106")</f>
        <v>T106</v>
      </c>
      <c r="C98" t="str">
        <f ca="1">IFERROR(__xludf.DUMMYFUNCTION("""COMPUTED_VALUE"""),"Vincent Whaley")</f>
        <v>Vincent Whaley</v>
      </c>
      <c r="D98">
        <f ca="1">IFERROR(__xludf.DUMMYFUNCTION("""COMPUTED_VALUE"""),14)</f>
        <v>14</v>
      </c>
      <c r="E98" t="str">
        <f ca="1">IFERROR(__xludf.DUMMYFUNCTION("""COMPUTED_VALUE"""),"7' 9""")</f>
        <v>7' 9"</v>
      </c>
      <c r="F98">
        <f ca="1">IFERROR(__xludf.DUMMYFUNCTION("""COMPUTED_VALUE"""),443.917)</f>
        <v>443.91699999999997</v>
      </c>
      <c r="G98">
        <f ca="1">IFERROR(__xludf.DUMMYFUNCTION("""COMPUTED_VALUE"""),57)</f>
        <v>57</v>
      </c>
      <c r="H98">
        <f ca="1">IFERROR(__xludf.DUMMYFUNCTION("""COMPUTED_VALUE"""),31)</f>
        <v>31</v>
      </c>
    </row>
    <row r="99" spans="1:8" ht="12.75">
      <c r="A99" t="str">
        <f ca="1">IFERROR(__xludf.DUMMYFUNCTION("""COMPUTED_VALUE"""),"T95")</f>
        <v>T95</v>
      </c>
      <c r="B99" t="str">
        <f ca="1">IFERROR(__xludf.DUMMYFUNCTION("""COMPUTED_VALUE"""),"T75")</f>
        <v>T75</v>
      </c>
      <c r="C99" t="str">
        <f ca="1">IFERROR(__xludf.DUMMYFUNCTION("""COMPUTED_VALUE"""),"Aaron Wise")</f>
        <v>Aaron Wise</v>
      </c>
      <c r="D99">
        <f ca="1">IFERROR(__xludf.DUMMYFUNCTION("""COMPUTED_VALUE"""),16)</f>
        <v>16</v>
      </c>
      <c r="E99" t="str">
        <f ca="1">IFERROR(__xludf.DUMMYFUNCTION("""COMPUTED_VALUE"""),"7' 9""")</f>
        <v>7' 9"</v>
      </c>
      <c r="F99">
        <f ca="1">IFERROR(__xludf.DUMMYFUNCTION("""COMPUTED_VALUE"""),486.833)</f>
        <v>486.83300000000003</v>
      </c>
      <c r="G99">
        <f ca="1">IFERROR(__xludf.DUMMYFUNCTION("""COMPUTED_VALUE"""),63)</f>
        <v>63</v>
      </c>
      <c r="H99">
        <f ca="1">IFERROR(__xludf.DUMMYFUNCTION("""COMPUTED_VALUE"""),82)</f>
        <v>82</v>
      </c>
    </row>
    <row r="100" spans="1:8" ht="12.75">
      <c r="A100" t="str">
        <f ca="1">IFERROR(__xludf.DUMMYFUNCTION("""COMPUTED_VALUE"""),"T95")</f>
        <v>T95</v>
      </c>
      <c r="B100" t="str">
        <f ca="1">IFERROR(__xludf.DUMMYFUNCTION("""COMPUTED_VALUE"""),"T106")</f>
        <v>T106</v>
      </c>
      <c r="C100" t="str">
        <f ca="1">IFERROR(__xludf.DUMMYFUNCTION("""COMPUTED_VALUE"""),"Sebastián Muñoz")</f>
        <v>Sebastián Muñoz</v>
      </c>
      <c r="D100">
        <f ca="1">IFERROR(__xludf.DUMMYFUNCTION("""COMPUTED_VALUE"""),20)</f>
        <v>20</v>
      </c>
      <c r="E100" t="str">
        <f ca="1">IFERROR(__xludf.DUMMYFUNCTION("""COMPUTED_VALUE"""),"7' 9""")</f>
        <v>7' 9"</v>
      </c>
      <c r="F100">
        <f ca="1">IFERROR(__xludf.DUMMYFUNCTION("""COMPUTED_VALUE"""),987.917)</f>
        <v>987.91700000000003</v>
      </c>
      <c r="G100">
        <f ca="1">IFERROR(__xludf.DUMMYFUNCTION("""COMPUTED_VALUE"""),127)</f>
        <v>127</v>
      </c>
      <c r="H100">
        <f ca="1">IFERROR(__xludf.DUMMYFUNCTION("""COMPUTED_VALUE"""),110)</f>
        <v>110</v>
      </c>
    </row>
    <row r="101" spans="1:8" ht="12.75">
      <c r="A101" t="str">
        <f ca="1">IFERROR(__xludf.DUMMYFUNCTION("""COMPUTED_VALUE"""),"T95")</f>
        <v>T95</v>
      </c>
      <c r="B101" t="str">
        <f ca="1">IFERROR(__xludf.DUMMYFUNCTION("""COMPUTED_VALUE"""),"T142")</f>
        <v>T142</v>
      </c>
      <c r="C101" t="str">
        <f ca="1">IFERROR(__xludf.DUMMYFUNCTION("""COMPUTED_VALUE"""),"Patton Kizzire")</f>
        <v>Patton Kizzire</v>
      </c>
      <c r="D101">
        <f ca="1">IFERROR(__xludf.DUMMYFUNCTION("""COMPUTED_VALUE"""),18)</f>
        <v>18</v>
      </c>
      <c r="E101" t="str">
        <f ca="1">IFERROR(__xludf.DUMMYFUNCTION("""COMPUTED_VALUE"""),"7' 9""")</f>
        <v>7' 9"</v>
      </c>
      <c r="F101">
        <f ca="1">IFERROR(__xludf.DUMMYFUNCTION("""COMPUTED_VALUE"""),643.75)</f>
        <v>643.75</v>
      </c>
      <c r="G101">
        <f ca="1">IFERROR(__xludf.DUMMYFUNCTION("""COMPUTED_VALUE"""),83)</f>
        <v>83</v>
      </c>
      <c r="H101">
        <f ca="1">IFERROR(__xludf.DUMMYFUNCTION("""COMPUTED_VALUE"""),177)</f>
        <v>177</v>
      </c>
    </row>
    <row r="102" spans="1:8" ht="12.75">
      <c r="A102" t="str">
        <f ca="1">IFERROR(__xludf.DUMMYFUNCTION("""COMPUTED_VALUE"""),"T95")</f>
        <v>T95</v>
      </c>
      <c r="B102" t="str">
        <f ca="1">IFERROR(__xludf.DUMMYFUNCTION("""COMPUTED_VALUE"""),"T112")</f>
        <v>T112</v>
      </c>
      <c r="C102" t="str">
        <f ca="1">IFERROR(__xludf.DUMMYFUNCTION("""COMPUTED_VALUE"""),"Zach Johnson")</f>
        <v>Zach Johnson</v>
      </c>
      <c r="D102">
        <f ca="1">IFERROR(__xludf.DUMMYFUNCTION("""COMPUTED_VALUE"""),16)</f>
        <v>16</v>
      </c>
      <c r="E102" t="str">
        <f ca="1">IFERROR(__xludf.DUMMYFUNCTION("""COMPUTED_VALUE"""),"7' 9""")</f>
        <v>7' 9"</v>
      </c>
      <c r="F102">
        <f ca="1">IFERROR(__xludf.DUMMYFUNCTION("""COMPUTED_VALUE"""),548.75)</f>
        <v>548.75</v>
      </c>
      <c r="G102">
        <f ca="1">IFERROR(__xludf.DUMMYFUNCTION("""COMPUTED_VALUE"""),71)</f>
        <v>71</v>
      </c>
      <c r="H102">
        <f ca="1">IFERROR(__xludf.DUMMYFUNCTION("""COMPUTED_VALUE"""),122)</f>
        <v>122</v>
      </c>
    </row>
    <row r="103" spans="1:8" ht="12.75">
      <c r="A103" t="str">
        <f ca="1">IFERROR(__xludf.DUMMYFUNCTION("""COMPUTED_VALUE"""),"T102")</f>
        <v>T102</v>
      </c>
      <c r="B103" t="str">
        <f ca="1">IFERROR(__xludf.DUMMYFUNCTION("""COMPUTED_VALUE"""),"T135")</f>
        <v>T135</v>
      </c>
      <c r="C103" t="str">
        <f ca="1">IFERROR(__xludf.DUMMYFUNCTION("""COMPUTED_VALUE"""),"Matt Jones")</f>
        <v>Matt Jones</v>
      </c>
      <c r="D103">
        <f ca="1">IFERROR(__xludf.DUMMYFUNCTION("""COMPUTED_VALUE"""),20)</f>
        <v>20</v>
      </c>
      <c r="E103" t="str">
        <f ca="1">IFERROR(__xludf.DUMMYFUNCTION("""COMPUTED_VALUE"""),"7' 10""")</f>
        <v>7' 10"</v>
      </c>
      <c r="F103">
        <f ca="1">IFERROR(__xludf.DUMMYFUNCTION("""COMPUTED_VALUE"""),605.75)</f>
        <v>605.75</v>
      </c>
      <c r="G103">
        <f ca="1">IFERROR(__xludf.DUMMYFUNCTION("""COMPUTED_VALUE"""),77)</f>
        <v>77</v>
      </c>
      <c r="H103">
        <f ca="1">IFERROR(__xludf.DUMMYFUNCTION("""COMPUTED_VALUE"""),30)</f>
        <v>30</v>
      </c>
    </row>
    <row r="104" spans="1:8" ht="12.75">
      <c r="A104" t="str">
        <f ca="1">IFERROR(__xludf.DUMMYFUNCTION("""COMPUTED_VALUE"""),"T102")</f>
        <v>T102</v>
      </c>
      <c r="B104" t="str">
        <f ca="1">IFERROR(__xludf.DUMMYFUNCTION("""COMPUTED_VALUE"""),"T112")</f>
        <v>T112</v>
      </c>
      <c r="C104" t="str">
        <f ca="1">IFERROR(__xludf.DUMMYFUNCTION("""COMPUTED_VALUE"""),"Shugo Imahira")</f>
        <v>Shugo Imahira</v>
      </c>
      <c r="D104">
        <f ca="1">IFERROR(__xludf.DUMMYFUNCTION("""COMPUTED_VALUE"""),8)</f>
        <v>8</v>
      </c>
      <c r="E104" t="str">
        <f ca="1">IFERROR(__xludf.DUMMYFUNCTION("""COMPUTED_VALUE"""),"7' 10""")</f>
        <v>7' 10"</v>
      </c>
      <c r="F104">
        <f ca="1">IFERROR(__xludf.DUMMYFUNCTION("""COMPUTED_VALUE"""),483.25)</f>
        <v>483.25</v>
      </c>
      <c r="G104">
        <f ca="1">IFERROR(__xludf.DUMMYFUNCTION("""COMPUTED_VALUE"""),62)</f>
        <v>62</v>
      </c>
      <c r="H104">
        <f ca="1">IFERROR(__xludf.DUMMYFUNCTION("""COMPUTED_VALUE"""),274)</f>
        <v>274</v>
      </c>
    </row>
    <row r="105" spans="1:8" ht="12.75">
      <c r="A105" t="str">
        <f ca="1">IFERROR(__xludf.DUMMYFUNCTION("""COMPUTED_VALUE"""),"T102")</f>
        <v>T102</v>
      </c>
      <c r="B105" t="str">
        <f ca="1">IFERROR(__xludf.DUMMYFUNCTION("""COMPUTED_VALUE"""),"T66")</f>
        <v>T66</v>
      </c>
      <c r="C105" t="str">
        <f ca="1">IFERROR(__xludf.DUMMYFUNCTION("""COMPUTED_VALUE"""),"Bronson Burgoon")</f>
        <v>Bronson Burgoon</v>
      </c>
      <c r="D105">
        <f ca="1">IFERROR(__xludf.DUMMYFUNCTION("""COMPUTED_VALUE"""),10)</f>
        <v>10</v>
      </c>
      <c r="E105" t="str">
        <f ca="1">IFERROR(__xludf.DUMMYFUNCTION("""COMPUTED_VALUE"""),"7' 10""")</f>
        <v>7' 10"</v>
      </c>
      <c r="F105">
        <f ca="1">IFERROR(__xludf.DUMMYFUNCTION("""COMPUTED_VALUE"""),421.75)</f>
        <v>421.75</v>
      </c>
      <c r="G105">
        <f ca="1">IFERROR(__xludf.DUMMYFUNCTION("""COMPUTED_VALUE"""),54)</f>
        <v>54</v>
      </c>
      <c r="H105">
        <f ca="1">IFERROR(__xludf.DUMMYFUNCTION("""COMPUTED_VALUE"""),232)</f>
        <v>232</v>
      </c>
    </row>
    <row r="106" spans="1:8" ht="12.75">
      <c r="A106" t="str">
        <f ca="1">IFERROR(__xludf.DUMMYFUNCTION("""COMPUTED_VALUE"""),"T102")</f>
        <v>T102</v>
      </c>
      <c r="B106" t="str">
        <f ca="1">IFERROR(__xludf.DUMMYFUNCTION("""COMPUTED_VALUE"""),"T112")</f>
        <v>T112</v>
      </c>
      <c r="C106" t="str">
        <f ca="1">IFERROR(__xludf.DUMMYFUNCTION("""COMPUTED_VALUE"""),"Sangmoon Bae")</f>
        <v>Sangmoon Bae</v>
      </c>
      <c r="D106">
        <f ca="1">IFERROR(__xludf.DUMMYFUNCTION("""COMPUTED_VALUE"""),8)</f>
        <v>8</v>
      </c>
      <c r="E106" t="str">
        <f ca="1">IFERROR(__xludf.DUMMYFUNCTION("""COMPUTED_VALUE"""),"7' 10""")</f>
        <v>7' 10"</v>
      </c>
      <c r="F106">
        <f ca="1">IFERROR(__xludf.DUMMYFUNCTION("""COMPUTED_VALUE"""),70.417)</f>
        <v>70.417000000000002</v>
      </c>
      <c r="G106">
        <f ca="1">IFERROR(__xludf.DUMMYFUNCTION("""COMPUTED_VALUE"""),9)</f>
        <v>9</v>
      </c>
      <c r="H106">
        <f ca="1">IFERROR(__xludf.DUMMYFUNCTION("""COMPUTED_VALUE"""),147)</f>
        <v>147</v>
      </c>
    </row>
    <row r="107" spans="1:8" ht="12.75">
      <c r="A107" t="str">
        <f ca="1">IFERROR(__xludf.DUMMYFUNCTION("""COMPUTED_VALUE"""),"T102")</f>
        <v>T102</v>
      </c>
      <c r="B107" t="str">
        <f ca="1">IFERROR(__xludf.DUMMYFUNCTION("""COMPUTED_VALUE"""),"T112")</f>
        <v>T112</v>
      </c>
      <c r="C107" t="str">
        <f ca="1">IFERROR(__xludf.DUMMYFUNCTION("""COMPUTED_VALUE"""),"Bryson DeChambeau")</f>
        <v>Bryson DeChambeau</v>
      </c>
      <c r="D107">
        <f ca="1">IFERROR(__xludf.DUMMYFUNCTION("""COMPUTED_VALUE"""),8)</f>
        <v>8</v>
      </c>
      <c r="E107" t="str">
        <f ca="1">IFERROR(__xludf.DUMMYFUNCTION("""COMPUTED_VALUE"""),"7' 10""")</f>
        <v>7' 10"</v>
      </c>
      <c r="F107">
        <f ca="1">IFERROR(__xludf.DUMMYFUNCTION("""COMPUTED_VALUE"""),344.833)</f>
        <v>344.83300000000003</v>
      </c>
      <c r="G107">
        <f ca="1">IFERROR(__xludf.DUMMYFUNCTION("""COMPUTED_VALUE"""),44)</f>
        <v>44</v>
      </c>
      <c r="H107">
        <f ca="1">IFERROR(__xludf.DUMMYFUNCTION("""COMPUTED_VALUE"""),92)</f>
        <v>92</v>
      </c>
    </row>
    <row r="108" spans="1:8" ht="12.75">
      <c r="A108" t="str">
        <f ca="1">IFERROR(__xludf.DUMMYFUNCTION("""COMPUTED_VALUE"""),"T102")</f>
        <v>T102</v>
      </c>
      <c r="B108" t="str">
        <f ca="1">IFERROR(__xludf.DUMMYFUNCTION("""COMPUTED_VALUE"""),"T112")</f>
        <v>T112</v>
      </c>
      <c r="C108" t="str">
        <f ca="1">IFERROR(__xludf.DUMMYFUNCTION("""COMPUTED_VALUE"""),"George Markham")</f>
        <v>George Markham</v>
      </c>
      <c r="D108">
        <f ca="1">IFERROR(__xludf.DUMMYFUNCTION("""COMPUTED_VALUE"""),4)</f>
        <v>4</v>
      </c>
      <c r="E108" t="str">
        <f ca="1">IFERROR(__xludf.DUMMYFUNCTION("""COMPUTED_VALUE"""),"7' 10""")</f>
        <v>7' 10"</v>
      </c>
      <c r="F108">
        <f ca="1">IFERROR(__xludf.DUMMYFUNCTION("""COMPUTED_VALUE"""),203.417)</f>
        <v>203.417</v>
      </c>
      <c r="G108">
        <f ca="1">IFERROR(__xludf.DUMMYFUNCTION("""COMPUTED_VALUE"""),26)</f>
        <v>26</v>
      </c>
      <c r="H108">
        <f ca="1">IFERROR(__xludf.DUMMYFUNCTION("""COMPUTED_VALUE"""),168)</f>
        <v>168</v>
      </c>
    </row>
    <row r="109" spans="1:8" ht="12.75">
      <c r="A109" t="str">
        <f ca="1">IFERROR(__xludf.DUMMYFUNCTION("""COMPUTED_VALUE"""),"T102")</f>
        <v>T102</v>
      </c>
      <c r="B109" t="str">
        <f ca="1">IFERROR(__xludf.DUMMYFUNCTION("""COMPUTED_VALUE"""),"T93")</f>
        <v>T93</v>
      </c>
      <c r="C109" t="str">
        <f ca="1">IFERROR(__xludf.DUMMYFUNCTION("""COMPUTED_VALUE"""),"Adam Long")</f>
        <v>Adam Long</v>
      </c>
      <c r="D109">
        <f ca="1">IFERROR(__xludf.DUMMYFUNCTION("""COMPUTED_VALUE"""),22)</f>
        <v>22</v>
      </c>
      <c r="E109" t="str">
        <f ca="1">IFERROR(__xludf.DUMMYFUNCTION("""COMPUTED_VALUE"""),"7' 10""")</f>
        <v>7' 10"</v>
      </c>
      <c r="F109">
        <f ca="1">IFERROR(__xludf.DUMMYFUNCTION("""COMPUTED_VALUE"""),852.5)</f>
        <v>852.5</v>
      </c>
      <c r="G109">
        <f ca="1">IFERROR(__xludf.DUMMYFUNCTION("""COMPUTED_VALUE"""),109)</f>
        <v>109</v>
      </c>
      <c r="H109">
        <f ca="1">IFERROR(__xludf.DUMMYFUNCTION("""COMPUTED_VALUE"""),115)</f>
        <v>115</v>
      </c>
    </row>
    <row r="110" spans="1:8" ht="12.75">
      <c r="A110" t="str">
        <f ca="1">IFERROR(__xludf.DUMMYFUNCTION("""COMPUTED_VALUE"""),"T102")</f>
        <v>T102</v>
      </c>
      <c r="B110" t="str">
        <f ca="1">IFERROR(__xludf.DUMMYFUNCTION("""COMPUTED_VALUE"""),"T112")</f>
        <v>T112</v>
      </c>
      <c r="C110" t="str">
        <f ca="1">IFERROR(__xludf.DUMMYFUNCTION("""COMPUTED_VALUE"""),"Sebastian Cappelen")</f>
        <v>Sebastian Cappelen</v>
      </c>
      <c r="D110">
        <f ca="1">IFERROR(__xludf.DUMMYFUNCTION("""COMPUTED_VALUE"""),8)</f>
        <v>8</v>
      </c>
      <c r="E110" t="str">
        <f ca="1">IFERROR(__xludf.DUMMYFUNCTION("""COMPUTED_VALUE"""),"7' 10""")</f>
        <v>7' 10"</v>
      </c>
      <c r="F110">
        <f ca="1">IFERROR(__xludf.DUMMYFUNCTION("""COMPUTED_VALUE"""),196.083)</f>
        <v>196.083</v>
      </c>
      <c r="G110">
        <f ca="1">IFERROR(__xludf.DUMMYFUNCTION("""COMPUTED_VALUE"""),25)</f>
        <v>25</v>
      </c>
      <c r="H110">
        <f ca="1">IFERROR(__xludf.DUMMYFUNCTION("""COMPUTED_VALUE"""),76)</f>
        <v>76</v>
      </c>
    </row>
    <row r="111" spans="1:8" ht="12.75">
      <c r="A111" t="str">
        <f ca="1">IFERROR(__xludf.DUMMYFUNCTION("""COMPUTED_VALUE"""),"T102")</f>
        <v>T102</v>
      </c>
      <c r="B111" t="str">
        <f ca="1">IFERROR(__xludf.DUMMYFUNCTION("""COMPUTED_VALUE"""),"T83")</f>
        <v>T83</v>
      </c>
      <c r="C111" t="str">
        <f ca="1">IFERROR(__xludf.DUMMYFUNCTION("""COMPUTED_VALUE"""),"Russell Henley")</f>
        <v>Russell Henley</v>
      </c>
      <c r="D111">
        <f ca="1">IFERROR(__xludf.DUMMYFUNCTION("""COMPUTED_VALUE"""),16)</f>
        <v>16</v>
      </c>
      <c r="E111" t="str">
        <f ca="1">IFERROR(__xludf.DUMMYFUNCTION("""COMPUTED_VALUE"""),"7' 10""")</f>
        <v>7' 10"</v>
      </c>
      <c r="F111">
        <f ca="1">IFERROR(__xludf.DUMMYFUNCTION("""COMPUTED_VALUE"""),676.5)</f>
        <v>676.5</v>
      </c>
      <c r="G111">
        <f ca="1">IFERROR(__xludf.DUMMYFUNCTION("""COMPUTED_VALUE"""),86)</f>
        <v>86</v>
      </c>
      <c r="H111">
        <f ca="1">IFERROR(__xludf.DUMMYFUNCTION("""COMPUTED_VALUE"""),4)</f>
        <v>4</v>
      </c>
    </row>
    <row r="112" spans="1:8" ht="12.75">
      <c r="A112" t="str">
        <f ca="1">IFERROR(__xludf.DUMMYFUNCTION("""COMPUTED_VALUE"""),"T111")</f>
        <v>T111</v>
      </c>
      <c r="B112" t="str">
        <f ca="1">IFERROR(__xludf.DUMMYFUNCTION("""COMPUTED_VALUE"""),"T121")</f>
        <v>T121</v>
      </c>
      <c r="C112" t="str">
        <f ca="1">IFERROR(__xludf.DUMMYFUNCTION("""COMPUTED_VALUE"""),"Shawn Stefani")</f>
        <v>Shawn Stefani</v>
      </c>
      <c r="D112">
        <f ca="1">IFERROR(__xludf.DUMMYFUNCTION("""COMPUTED_VALUE"""),5)</f>
        <v>5</v>
      </c>
      <c r="E112" t="str">
        <f ca="1">IFERROR(__xludf.DUMMYFUNCTION("""COMPUTED_VALUE"""),"7' 11""")</f>
        <v>7' 11"</v>
      </c>
      <c r="F112">
        <f ca="1">IFERROR(__xludf.DUMMYFUNCTION("""COMPUTED_VALUE"""),95.167)</f>
        <v>95.167000000000002</v>
      </c>
      <c r="G112">
        <f ca="1">IFERROR(__xludf.DUMMYFUNCTION("""COMPUTED_VALUE"""),12)</f>
        <v>12</v>
      </c>
      <c r="H112">
        <f ca="1">IFERROR(__xludf.DUMMYFUNCTION("""COMPUTED_VALUE"""),255)</f>
        <v>255</v>
      </c>
    </row>
    <row r="113" spans="1:8" ht="12.75">
      <c r="A113" t="str">
        <f ca="1">IFERROR(__xludf.DUMMYFUNCTION("""COMPUTED_VALUE"""),"T111")</f>
        <v>T111</v>
      </c>
      <c r="B113" t="str">
        <f ca="1">IFERROR(__xludf.DUMMYFUNCTION("""COMPUTED_VALUE"""),"T128")</f>
        <v>T128</v>
      </c>
      <c r="C113" t="str">
        <f ca="1">IFERROR(__xludf.DUMMYFUNCTION("""COMPUTED_VALUE"""),"Charl Schwartzel")</f>
        <v>Charl Schwartzel</v>
      </c>
      <c r="D113">
        <f ca="1">IFERROR(__xludf.DUMMYFUNCTION("""COMPUTED_VALUE"""),12)</f>
        <v>12</v>
      </c>
      <c r="E113" t="str">
        <f ca="1">IFERROR(__xludf.DUMMYFUNCTION("""COMPUTED_VALUE"""),"7' 11""")</f>
        <v>7' 11"</v>
      </c>
      <c r="F113">
        <f ca="1">IFERROR(__xludf.DUMMYFUNCTION("""COMPUTED_VALUE"""),520.667)</f>
        <v>520.66700000000003</v>
      </c>
      <c r="G113">
        <f ca="1">IFERROR(__xludf.DUMMYFUNCTION("""COMPUTED_VALUE"""),66)</f>
        <v>66</v>
      </c>
      <c r="H113">
        <f ca="1">IFERROR(__xludf.DUMMYFUNCTION("""COMPUTED_VALUE"""),31)</f>
        <v>31</v>
      </c>
    </row>
    <row r="114" spans="1:8" ht="12.75">
      <c r="A114" t="str">
        <f ca="1">IFERROR(__xludf.DUMMYFUNCTION("""COMPUTED_VALUE"""),"T113")</f>
        <v>T113</v>
      </c>
      <c r="B114" t="str">
        <f ca="1">IFERROR(__xludf.DUMMYFUNCTION("""COMPUTED_VALUE"""),"T124")</f>
        <v>T124</v>
      </c>
      <c r="C114" t="str">
        <f ca="1">IFERROR(__xludf.DUMMYFUNCTION("""COMPUTED_VALUE"""),"Ian Poulter")</f>
        <v>Ian Poulter</v>
      </c>
      <c r="D114">
        <f ca="1">IFERROR(__xludf.DUMMYFUNCTION("""COMPUTED_VALUE"""),6)</f>
        <v>6</v>
      </c>
      <c r="E114" t="str">
        <f ca="1">IFERROR(__xludf.DUMMYFUNCTION("""COMPUTED_VALUE"""),"8' 0""")</f>
        <v>8' 0"</v>
      </c>
      <c r="F114">
        <f ca="1">IFERROR(__xludf.DUMMYFUNCTION("""COMPUTED_VALUE"""),343)</f>
        <v>343</v>
      </c>
      <c r="G114">
        <f ca="1">IFERROR(__xludf.DUMMYFUNCTION("""COMPUTED_VALUE"""),43)</f>
        <v>43</v>
      </c>
      <c r="H114">
        <f ca="1">IFERROR(__xludf.DUMMYFUNCTION("""COMPUTED_VALUE"""),25)</f>
        <v>25</v>
      </c>
    </row>
    <row r="115" spans="1:8" ht="12.75">
      <c r="A115" t="str">
        <f ca="1">IFERROR(__xludf.DUMMYFUNCTION("""COMPUTED_VALUE"""),"T113")</f>
        <v>T113</v>
      </c>
      <c r="B115" t="str">
        <f ca="1">IFERROR(__xludf.DUMMYFUNCTION("""COMPUTED_VALUE"""),"T124")</f>
        <v>T124</v>
      </c>
      <c r="C115" t="str">
        <f ca="1">IFERROR(__xludf.DUMMYFUNCTION("""COMPUTED_VALUE"""),"Michael Gligic")</f>
        <v>Michael Gligic</v>
      </c>
      <c r="D115">
        <f ca="1">IFERROR(__xludf.DUMMYFUNCTION("""COMPUTED_VALUE"""),18)</f>
        <v>18</v>
      </c>
      <c r="E115" t="str">
        <f ca="1">IFERROR(__xludf.DUMMYFUNCTION("""COMPUTED_VALUE"""),"8' 0""")</f>
        <v>8' 0"</v>
      </c>
      <c r="F115">
        <f ca="1">IFERROR(__xludf.DUMMYFUNCTION("""COMPUTED_VALUE"""),530.5)</f>
        <v>530.5</v>
      </c>
      <c r="G115">
        <f ca="1">IFERROR(__xludf.DUMMYFUNCTION("""COMPUTED_VALUE"""),66)</f>
        <v>66</v>
      </c>
      <c r="H115">
        <f ca="1">IFERROR(__xludf.DUMMYFUNCTION("""COMPUTED_VALUE"""),14)</f>
        <v>14</v>
      </c>
    </row>
    <row r="116" spans="1:8" ht="12.75">
      <c r="A116" t="str">
        <f ca="1">IFERROR(__xludf.DUMMYFUNCTION("""COMPUTED_VALUE"""),"T115")</f>
        <v>T115</v>
      </c>
      <c r="B116" t="str">
        <f ca="1">IFERROR(__xludf.DUMMYFUNCTION("""COMPUTED_VALUE"""),"T112")</f>
        <v>T112</v>
      </c>
      <c r="C116" t="str">
        <f ca="1">IFERROR(__xludf.DUMMYFUNCTION("""COMPUTED_VALUE"""),"Kyoung-Hoon Lee")</f>
        <v>Kyoung-Hoon Lee</v>
      </c>
      <c r="D116">
        <f ca="1">IFERROR(__xludf.DUMMYFUNCTION("""COMPUTED_VALUE"""),20)</f>
        <v>20</v>
      </c>
      <c r="E116" t="str">
        <f ca="1">IFERROR(__xludf.DUMMYFUNCTION("""COMPUTED_VALUE"""),"8' 1""")</f>
        <v>8' 1"</v>
      </c>
      <c r="F116">
        <f ca="1">IFERROR(__xludf.DUMMYFUNCTION("""COMPUTED_VALUE"""),852.583)</f>
        <v>852.58299999999997</v>
      </c>
      <c r="G116">
        <f ca="1">IFERROR(__xludf.DUMMYFUNCTION("""COMPUTED_VALUE"""),105)</f>
        <v>105</v>
      </c>
      <c r="H116">
        <f ca="1">IFERROR(__xludf.DUMMYFUNCTION("""COMPUTED_VALUE"""),119)</f>
        <v>119</v>
      </c>
    </row>
    <row r="117" spans="1:8" ht="12.75">
      <c r="A117" t="str">
        <f ca="1">IFERROR(__xludf.DUMMYFUNCTION("""COMPUTED_VALUE"""),"T115")</f>
        <v>T115</v>
      </c>
      <c r="B117" t="str">
        <f ca="1">IFERROR(__xludf.DUMMYFUNCTION("""COMPUTED_VALUE"""),"T128")</f>
        <v>T128</v>
      </c>
      <c r="C117" t="str">
        <f ca="1">IFERROR(__xludf.DUMMYFUNCTION("""COMPUTED_VALUE"""),"Paul Casey")</f>
        <v>Paul Casey</v>
      </c>
      <c r="D117">
        <f ca="1">IFERROR(__xludf.DUMMYFUNCTION("""COMPUTED_VALUE"""),14)</f>
        <v>14</v>
      </c>
      <c r="E117" t="str">
        <f ca="1">IFERROR(__xludf.DUMMYFUNCTION("""COMPUTED_VALUE"""),"8' 1""")</f>
        <v>8' 1"</v>
      </c>
      <c r="F117">
        <f ca="1">IFERROR(__xludf.DUMMYFUNCTION("""COMPUTED_VALUE"""),744.333)</f>
        <v>744.33299999999997</v>
      </c>
      <c r="G117">
        <f ca="1">IFERROR(__xludf.DUMMYFUNCTION("""COMPUTED_VALUE"""),92)</f>
        <v>92</v>
      </c>
      <c r="H117">
        <f ca="1">IFERROR(__xludf.DUMMYFUNCTION("""COMPUTED_VALUE"""),163)</f>
        <v>163</v>
      </c>
    </row>
    <row r="118" spans="1:8" ht="12.75">
      <c r="A118" t="str">
        <f ca="1">IFERROR(__xludf.DUMMYFUNCTION("""COMPUTED_VALUE"""),"T115")</f>
        <v>T115</v>
      </c>
      <c r="B118" t="str">
        <f ca="1">IFERROR(__xludf.DUMMYFUNCTION("""COMPUTED_VALUE"""),"T124")</f>
        <v>T124</v>
      </c>
      <c r="C118" t="str">
        <f ca="1">IFERROR(__xludf.DUMMYFUNCTION("""COMPUTED_VALUE"""),"Kristoffer Ventura")</f>
        <v>Kristoffer Ventura</v>
      </c>
      <c r="D118">
        <f ca="1">IFERROR(__xludf.DUMMYFUNCTION("""COMPUTED_VALUE"""),20)</f>
        <v>20</v>
      </c>
      <c r="E118" t="str">
        <f ca="1">IFERROR(__xludf.DUMMYFUNCTION("""COMPUTED_VALUE"""),"8' 1""")</f>
        <v>8' 1"</v>
      </c>
      <c r="F118">
        <f ca="1">IFERROR(__xludf.DUMMYFUNCTION("""COMPUTED_VALUE"""),694.417)</f>
        <v>694.41700000000003</v>
      </c>
      <c r="G118">
        <f ca="1">IFERROR(__xludf.DUMMYFUNCTION("""COMPUTED_VALUE"""),86)</f>
        <v>86</v>
      </c>
      <c r="H118">
        <f ca="1">IFERROR(__xludf.DUMMYFUNCTION("""COMPUTED_VALUE"""),116)</f>
        <v>116</v>
      </c>
    </row>
    <row r="119" spans="1:8" ht="12.75">
      <c r="A119" t="str">
        <f ca="1">IFERROR(__xludf.DUMMYFUNCTION("""COMPUTED_VALUE"""),"T115")</f>
        <v>T115</v>
      </c>
      <c r="B119" t="str">
        <f ca="1">IFERROR(__xludf.DUMMYFUNCTION("""COMPUTED_VALUE"""),"T93")</f>
        <v>T93</v>
      </c>
      <c r="C119" t="str">
        <f ca="1">IFERROR(__xludf.DUMMYFUNCTION("""COMPUTED_VALUE"""),"Sepp Straka")</f>
        <v>Sepp Straka</v>
      </c>
      <c r="D119">
        <f ca="1">IFERROR(__xludf.DUMMYFUNCTION("""COMPUTED_VALUE"""),22)</f>
        <v>22</v>
      </c>
      <c r="E119" t="str">
        <f ca="1">IFERROR(__xludf.DUMMYFUNCTION("""COMPUTED_VALUE"""),"8' 1""")</f>
        <v>8' 1"</v>
      </c>
      <c r="F119">
        <f ca="1">IFERROR(__xludf.DUMMYFUNCTION("""COMPUTED_VALUE"""),697.667)</f>
        <v>697.66700000000003</v>
      </c>
      <c r="G119">
        <f ca="1">IFERROR(__xludf.DUMMYFUNCTION("""COMPUTED_VALUE"""),86)</f>
        <v>86</v>
      </c>
      <c r="H119">
        <f ca="1">IFERROR(__xludf.DUMMYFUNCTION("""COMPUTED_VALUE"""),31)</f>
        <v>31</v>
      </c>
    </row>
    <row r="120" spans="1:8" ht="12.75">
      <c r="A120" t="str">
        <f ca="1">IFERROR(__xludf.DUMMYFUNCTION("""COMPUTED_VALUE"""),"T119")</f>
        <v>T119</v>
      </c>
      <c r="B120" t="str">
        <f ca="1">IFERROR(__xludf.DUMMYFUNCTION("""COMPUTED_VALUE"""),"T135")</f>
        <v>T135</v>
      </c>
      <c r="C120" t="str">
        <f ca="1">IFERROR(__xludf.DUMMYFUNCTION("""COMPUTED_VALUE"""),"Abraham Ancer")</f>
        <v>Abraham Ancer</v>
      </c>
      <c r="D120">
        <f ca="1">IFERROR(__xludf.DUMMYFUNCTION("""COMPUTED_VALUE"""),16)</f>
        <v>16</v>
      </c>
      <c r="E120" t="str">
        <f ca="1">IFERROR(__xludf.DUMMYFUNCTION("""COMPUTED_VALUE"""),"8' 2""")</f>
        <v>8' 2"</v>
      </c>
      <c r="F120">
        <f ca="1">IFERROR(__xludf.DUMMYFUNCTION("""COMPUTED_VALUE"""),855.583)</f>
        <v>855.58299999999997</v>
      </c>
      <c r="G120">
        <f ca="1">IFERROR(__xludf.DUMMYFUNCTION("""COMPUTED_VALUE"""),105)</f>
        <v>105</v>
      </c>
      <c r="H120">
        <f ca="1">IFERROR(__xludf.DUMMYFUNCTION("""COMPUTED_VALUE"""),218)</f>
        <v>218</v>
      </c>
    </row>
    <row r="121" spans="1:8" ht="12.75">
      <c r="A121" t="str">
        <f ca="1">IFERROR(__xludf.DUMMYFUNCTION("""COMPUTED_VALUE"""),"T119")</f>
        <v>T119</v>
      </c>
      <c r="B121" t="str">
        <f ca="1">IFERROR(__xludf.DUMMYFUNCTION("""COMPUTED_VALUE"""),"T124")</f>
        <v>T124</v>
      </c>
      <c r="C121" t="str">
        <f ca="1">IFERROR(__xludf.DUMMYFUNCTION("""COMPUTED_VALUE"""),"Tyler Duncan")</f>
        <v>Tyler Duncan</v>
      </c>
      <c r="D121">
        <f ca="1">IFERROR(__xludf.DUMMYFUNCTION("""COMPUTED_VALUE"""),18)</f>
        <v>18</v>
      </c>
      <c r="E121" t="str">
        <f ca="1">IFERROR(__xludf.DUMMYFUNCTION("""COMPUTED_VALUE"""),"8' 2""")</f>
        <v>8' 2"</v>
      </c>
      <c r="F121" s="2">
        <f ca="1">IFERROR(__xludf.DUMMYFUNCTION("""COMPUTED_VALUE"""),1016.917)</f>
        <v>1016.917</v>
      </c>
      <c r="G121">
        <f ca="1">IFERROR(__xludf.DUMMYFUNCTION("""COMPUTED_VALUE"""),125)</f>
        <v>125</v>
      </c>
      <c r="H121">
        <f ca="1">IFERROR(__xludf.DUMMYFUNCTION("""COMPUTED_VALUE"""),94)</f>
        <v>94</v>
      </c>
    </row>
    <row r="122" spans="1:8" ht="12.75">
      <c r="A122" t="str">
        <f ca="1">IFERROR(__xludf.DUMMYFUNCTION("""COMPUTED_VALUE"""),"T119")</f>
        <v>T119</v>
      </c>
      <c r="B122" t="str">
        <f ca="1">IFERROR(__xludf.DUMMYFUNCTION("""COMPUTED_VALUE"""),"T112")</f>
        <v>T112</v>
      </c>
      <c r="C122" t="str">
        <f ca="1">IFERROR(__xludf.DUMMYFUNCTION("""COMPUTED_VALUE"""),"Beau Hossler")</f>
        <v>Beau Hossler</v>
      </c>
      <c r="D122">
        <f ca="1">IFERROR(__xludf.DUMMYFUNCTION("""COMPUTED_VALUE"""),22)</f>
        <v>22</v>
      </c>
      <c r="E122" t="str">
        <f ca="1">IFERROR(__xludf.DUMMYFUNCTION("""COMPUTED_VALUE"""),"8' 2""")</f>
        <v>8' 2"</v>
      </c>
      <c r="F122">
        <f ca="1">IFERROR(__xludf.DUMMYFUNCTION("""COMPUTED_VALUE"""),801.083)</f>
        <v>801.08299999999997</v>
      </c>
      <c r="G122">
        <f ca="1">IFERROR(__xludf.DUMMYFUNCTION("""COMPUTED_VALUE"""),98)</f>
        <v>98</v>
      </c>
      <c r="H122">
        <f ca="1">IFERROR(__xludf.DUMMYFUNCTION("""COMPUTED_VALUE"""),101)</f>
        <v>101</v>
      </c>
    </row>
    <row r="123" spans="1:8" ht="12.75">
      <c r="A123" t="str">
        <f ca="1">IFERROR(__xludf.DUMMYFUNCTION("""COMPUTED_VALUE"""),"T119")</f>
        <v>T119</v>
      </c>
      <c r="B123" t="str">
        <f ca="1">IFERROR(__xludf.DUMMYFUNCTION("""COMPUTED_VALUE"""),"T135")</f>
        <v>T135</v>
      </c>
      <c r="C123" t="str">
        <f ca="1">IFERROR(__xludf.DUMMYFUNCTION("""COMPUTED_VALUE"""),"Kevin Na")</f>
        <v>Kevin Na</v>
      </c>
      <c r="D123">
        <f ca="1">IFERROR(__xludf.DUMMYFUNCTION("""COMPUTED_VALUE"""),14)</f>
        <v>14</v>
      </c>
      <c r="E123" t="str">
        <f ca="1">IFERROR(__xludf.DUMMYFUNCTION("""COMPUTED_VALUE"""),"8' 2""")</f>
        <v>8' 2"</v>
      </c>
      <c r="F123">
        <f ca="1">IFERROR(__xludf.DUMMYFUNCTION("""COMPUTED_VALUE"""),749.917)</f>
        <v>749.91700000000003</v>
      </c>
      <c r="G123">
        <f ca="1">IFERROR(__xludf.DUMMYFUNCTION("""COMPUTED_VALUE"""),92)</f>
        <v>92</v>
      </c>
      <c r="H123">
        <f ca="1">IFERROR(__xludf.DUMMYFUNCTION("""COMPUTED_VALUE"""),197)</f>
        <v>197</v>
      </c>
    </row>
    <row r="124" spans="1:8" ht="12.75">
      <c r="A124" t="str">
        <f ca="1">IFERROR(__xludf.DUMMYFUNCTION("""COMPUTED_VALUE"""),"T119")</f>
        <v>T119</v>
      </c>
      <c r="B124" t="str">
        <f ca="1">IFERROR(__xludf.DUMMYFUNCTION("""COMPUTED_VALUE"""),"T150")</f>
        <v>T150</v>
      </c>
      <c r="C124" t="str">
        <f ca="1">IFERROR(__xludf.DUMMYFUNCTION("""COMPUTED_VALUE"""),"Phil Mickelson")</f>
        <v>Phil Mickelson</v>
      </c>
      <c r="D124">
        <f ca="1">IFERROR(__xludf.DUMMYFUNCTION("""COMPUTED_VALUE"""),12)</f>
        <v>12</v>
      </c>
      <c r="E124" t="str">
        <f ca="1">IFERROR(__xludf.DUMMYFUNCTION("""COMPUTED_VALUE"""),"8' 2""")</f>
        <v>8' 2"</v>
      </c>
      <c r="F124">
        <f ca="1">IFERROR(__xludf.DUMMYFUNCTION("""COMPUTED_VALUE"""),675.667)</f>
        <v>675.66700000000003</v>
      </c>
      <c r="G124">
        <f ca="1">IFERROR(__xludf.DUMMYFUNCTION("""COMPUTED_VALUE"""),83)</f>
        <v>83</v>
      </c>
      <c r="H124">
        <f ca="1">IFERROR(__xludf.DUMMYFUNCTION("""COMPUTED_VALUE"""),220)</f>
        <v>220</v>
      </c>
    </row>
    <row r="125" spans="1:8" ht="12.75">
      <c r="A125" t="str">
        <f ca="1">IFERROR(__xludf.DUMMYFUNCTION("""COMPUTED_VALUE"""),"T119")</f>
        <v>T119</v>
      </c>
      <c r="B125" t="str">
        <f ca="1">IFERROR(__xludf.DUMMYFUNCTION("""COMPUTED_VALUE"""),"T83")</f>
        <v>T83</v>
      </c>
      <c r="C125" t="str">
        <f ca="1">IFERROR(__xludf.DUMMYFUNCTION("""COMPUTED_VALUE"""),"Keegan Bradley")</f>
        <v>Keegan Bradley</v>
      </c>
      <c r="D125">
        <f ca="1">IFERROR(__xludf.DUMMYFUNCTION("""COMPUTED_VALUE"""),16)</f>
        <v>16</v>
      </c>
      <c r="E125" t="str">
        <f ca="1">IFERROR(__xludf.DUMMYFUNCTION("""COMPUTED_VALUE"""),"8' 2""")</f>
        <v>8' 2"</v>
      </c>
      <c r="F125">
        <f ca="1">IFERROR(__xludf.DUMMYFUNCTION("""COMPUTED_VALUE"""),751.417)</f>
        <v>751.41700000000003</v>
      </c>
      <c r="G125">
        <f ca="1">IFERROR(__xludf.DUMMYFUNCTION("""COMPUTED_VALUE"""),92)</f>
        <v>92</v>
      </c>
      <c r="H125">
        <f ca="1">IFERROR(__xludf.DUMMYFUNCTION("""COMPUTED_VALUE"""),194)</f>
        <v>194</v>
      </c>
    </row>
    <row r="126" spans="1:8" ht="12.75">
      <c r="A126" t="str">
        <f ca="1">IFERROR(__xludf.DUMMYFUNCTION("""COMPUTED_VALUE"""),"T125")</f>
        <v>T125</v>
      </c>
      <c r="B126" t="str">
        <f ca="1">IFERROR(__xludf.DUMMYFUNCTION("""COMPUTED_VALUE"""),"T154")</f>
        <v>T154</v>
      </c>
      <c r="C126" t="str">
        <f ca="1">IFERROR(__xludf.DUMMYFUNCTION("""COMPUTED_VALUE"""),"Hideki Matsuyama")</f>
        <v>Hideki Matsuyama</v>
      </c>
      <c r="D126">
        <f ca="1">IFERROR(__xludf.DUMMYFUNCTION("""COMPUTED_VALUE"""),18)</f>
        <v>18</v>
      </c>
      <c r="E126" t="str">
        <f ca="1">IFERROR(__xludf.DUMMYFUNCTION("""COMPUTED_VALUE"""),"8' 3""")</f>
        <v>8' 3"</v>
      </c>
      <c r="F126" s="2">
        <f ca="1">IFERROR(__xludf.DUMMYFUNCTION("""COMPUTED_VALUE"""),1023.917)</f>
        <v>1023.917</v>
      </c>
      <c r="G126">
        <f ca="1">IFERROR(__xludf.DUMMYFUNCTION("""COMPUTED_VALUE"""),124)</f>
        <v>124</v>
      </c>
      <c r="H126">
        <f ca="1">IFERROR(__xludf.DUMMYFUNCTION("""COMPUTED_VALUE"""),78)</f>
        <v>78</v>
      </c>
    </row>
    <row r="127" spans="1:8" ht="12.75">
      <c r="A127" t="str">
        <f ca="1">IFERROR(__xludf.DUMMYFUNCTION("""COMPUTED_VALUE"""),"T125")</f>
        <v>T125</v>
      </c>
      <c r="B127" t="str">
        <f ca="1">IFERROR(__xludf.DUMMYFUNCTION("""COMPUTED_VALUE"""),"T140")</f>
        <v>T140</v>
      </c>
      <c r="C127" t="str">
        <f ca="1">IFERROR(__xludf.DUMMYFUNCTION("""COMPUTED_VALUE"""),"Adam Hadwin")</f>
        <v>Adam Hadwin</v>
      </c>
      <c r="D127">
        <f ca="1">IFERROR(__xludf.DUMMYFUNCTION("""COMPUTED_VALUE"""),16)</f>
        <v>16</v>
      </c>
      <c r="E127" t="str">
        <f ca="1">IFERROR(__xludf.DUMMYFUNCTION("""COMPUTED_VALUE"""),"8' 3""")</f>
        <v>8' 3"</v>
      </c>
      <c r="F127">
        <f ca="1">IFERROR(__xludf.DUMMYFUNCTION("""COMPUTED_VALUE"""),936.583)</f>
        <v>936.58299999999997</v>
      </c>
      <c r="G127">
        <f ca="1">IFERROR(__xludf.DUMMYFUNCTION("""COMPUTED_VALUE"""),113)</f>
        <v>113</v>
      </c>
      <c r="H127">
        <f ca="1">IFERROR(__xludf.DUMMYFUNCTION("""COMPUTED_VALUE"""),165)</f>
        <v>165</v>
      </c>
    </row>
    <row r="128" spans="1:8" ht="12.75">
      <c r="A128" t="str">
        <f ca="1">IFERROR(__xludf.DUMMYFUNCTION("""COMPUTED_VALUE"""),"T125")</f>
        <v>T125</v>
      </c>
      <c r="B128" t="str">
        <f ca="1">IFERROR(__xludf.DUMMYFUNCTION("""COMPUTED_VALUE"""),"T159")</f>
        <v>T159</v>
      </c>
      <c r="C128" t="str">
        <f ca="1">IFERROR(__xludf.DUMMYFUNCTION("""COMPUTED_VALUE"""),"Troy Merritt")</f>
        <v>Troy Merritt</v>
      </c>
      <c r="D128">
        <f ca="1">IFERROR(__xludf.DUMMYFUNCTION("""COMPUTED_VALUE"""),20)</f>
        <v>20</v>
      </c>
      <c r="E128" t="str">
        <f ca="1">IFERROR(__xludf.DUMMYFUNCTION("""COMPUTED_VALUE"""),"8' 3""")</f>
        <v>8' 3"</v>
      </c>
      <c r="F128">
        <f ca="1">IFERROR(__xludf.DUMMYFUNCTION("""COMPUTED_VALUE"""),888.5)</f>
        <v>888.5</v>
      </c>
      <c r="G128">
        <f ca="1">IFERROR(__xludf.DUMMYFUNCTION("""COMPUTED_VALUE"""),108)</f>
        <v>108</v>
      </c>
      <c r="H128">
        <f ca="1">IFERROR(__xludf.DUMMYFUNCTION("""COMPUTED_VALUE"""),90)</f>
        <v>90</v>
      </c>
    </row>
    <row r="129" spans="1:8" ht="12.75">
      <c r="A129" t="str">
        <f ca="1">IFERROR(__xludf.DUMMYFUNCTION("""COMPUTED_VALUE"""),"T125")</f>
        <v>T125</v>
      </c>
      <c r="B129" t="str">
        <f ca="1">IFERROR(__xludf.DUMMYFUNCTION("""COMPUTED_VALUE"""),"T121")</f>
        <v>T121</v>
      </c>
      <c r="C129" t="str">
        <f ca="1">IFERROR(__xludf.DUMMYFUNCTION("""COMPUTED_VALUE"""),"Patrick Rodgers")</f>
        <v>Patrick Rodgers</v>
      </c>
      <c r="D129">
        <f ca="1">IFERROR(__xludf.DUMMYFUNCTION("""COMPUTED_VALUE"""),18)</f>
        <v>18</v>
      </c>
      <c r="E129" t="str">
        <f ca="1">IFERROR(__xludf.DUMMYFUNCTION("""COMPUTED_VALUE"""),"8' 3""")</f>
        <v>8' 3"</v>
      </c>
      <c r="F129">
        <f ca="1">IFERROR(__xludf.DUMMYFUNCTION("""COMPUTED_VALUE"""),471.5)</f>
        <v>471.5</v>
      </c>
      <c r="G129">
        <f ca="1">IFERROR(__xludf.DUMMYFUNCTION("""COMPUTED_VALUE"""),57)</f>
        <v>57</v>
      </c>
      <c r="H129">
        <f ca="1">IFERROR(__xludf.DUMMYFUNCTION("""COMPUTED_VALUE"""),205)</f>
        <v>205</v>
      </c>
    </row>
    <row r="130" spans="1:8" ht="12.75">
      <c r="A130" t="str">
        <f ca="1">IFERROR(__xludf.DUMMYFUNCTION("""COMPUTED_VALUE"""),"T125")</f>
        <v>T125</v>
      </c>
      <c r="B130" t="str">
        <f ca="1">IFERROR(__xludf.DUMMYFUNCTION("""COMPUTED_VALUE"""),"T99")</f>
        <v>T99</v>
      </c>
      <c r="C130" t="str">
        <f ca="1">IFERROR(__xludf.DUMMYFUNCTION("""COMPUTED_VALUE"""),"Kelly Kraft")</f>
        <v>Kelly Kraft</v>
      </c>
      <c r="D130">
        <f ca="1">IFERROR(__xludf.DUMMYFUNCTION("""COMPUTED_VALUE"""),14)</f>
        <v>14</v>
      </c>
      <c r="E130" t="str">
        <f ca="1">IFERROR(__xludf.DUMMYFUNCTION("""COMPUTED_VALUE"""),"8' 3""")</f>
        <v>8' 3"</v>
      </c>
      <c r="F130">
        <f ca="1">IFERROR(__xludf.DUMMYFUNCTION("""COMPUTED_VALUE"""),460.167)</f>
        <v>460.16699999999997</v>
      </c>
      <c r="G130">
        <f ca="1">IFERROR(__xludf.DUMMYFUNCTION("""COMPUTED_VALUE"""),56)</f>
        <v>56</v>
      </c>
      <c r="H130">
        <f ca="1">IFERROR(__xludf.DUMMYFUNCTION("""COMPUTED_VALUE"""),201)</f>
        <v>201</v>
      </c>
    </row>
    <row r="131" spans="1:8" ht="12.75">
      <c r="A131" t="str">
        <f ca="1">IFERROR(__xludf.DUMMYFUNCTION("""COMPUTED_VALUE"""),"T125")</f>
        <v>T125</v>
      </c>
      <c r="B131" t="str">
        <f ca="1">IFERROR(__xludf.DUMMYFUNCTION("""COMPUTED_VALUE"""),"T93")</f>
        <v>T93</v>
      </c>
      <c r="C131" t="str">
        <f ca="1">IFERROR(__xludf.DUMMYFUNCTION("""COMPUTED_VALUE"""),"Denny McCarthy")</f>
        <v>Denny McCarthy</v>
      </c>
      <c r="D131">
        <f ca="1">IFERROR(__xludf.DUMMYFUNCTION("""COMPUTED_VALUE"""),22)</f>
        <v>22</v>
      </c>
      <c r="E131" t="str">
        <f ca="1">IFERROR(__xludf.DUMMYFUNCTION("""COMPUTED_VALUE"""),"8' 3""")</f>
        <v>8' 3"</v>
      </c>
      <c r="F131">
        <f ca="1">IFERROR(__xludf.DUMMYFUNCTION("""COMPUTED_VALUE"""),732.417)</f>
        <v>732.41700000000003</v>
      </c>
      <c r="G131">
        <f ca="1">IFERROR(__xludf.DUMMYFUNCTION("""COMPUTED_VALUE"""),89)</f>
        <v>89</v>
      </c>
      <c r="H131">
        <f ca="1">IFERROR(__xludf.DUMMYFUNCTION("""COMPUTED_VALUE"""),42)</f>
        <v>42</v>
      </c>
    </row>
    <row r="132" spans="1:8" ht="12.75">
      <c r="A132" t="str">
        <f ca="1">IFERROR(__xludf.DUMMYFUNCTION("""COMPUTED_VALUE"""),"T131")</f>
        <v>T131</v>
      </c>
      <c r="B132" t="str">
        <f ca="1">IFERROR(__xludf.DUMMYFUNCTION("""COMPUTED_VALUE"""),"T142")</f>
        <v>T142</v>
      </c>
      <c r="C132" t="str">
        <f ca="1">IFERROR(__xludf.DUMMYFUNCTION("""COMPUTED_VALUE"""),"Justin Thomas")</f>
        <v>Justin Thomas</v>
      </c>
      <c r="D132">
        <f ca="1">IFERROR(__xludf.DUMMYFUNCTION("""COMPUTED_VALUE"""),12)</f>
        <v>12</v>
      </c>
      <c r="E132" t="str">
        <f ca="1">IFERROR(__xludf.DUMMYFUNCTION("""COMPUTED_VALUE"""),"8' 4""")</f>
        <v>8' 4"</v>
      </c>
      <c r="F132">
        <f ca="1">IFERROR(__xludf.DUMMYFUNCTION("""COMPUTED_VALUE"""),642.333)</f>
        <v>642.33299999999997</v>
      </c>
      <c r="G132">
        <f ca="1">IFERROR(__xludf.DUMMYFUNCTION("""COMPUTED_VALUE"""),77)</f>
        <v>77</v>
      </c>
      <c r="H132">
        <f ca="1">IFERROR(__xludf.DUMMYFUNCTION("""COMPUTED_VALUE"""),79)</f>
        <v>79</v>
      </c>
    </row>
    <row r="133" spans="1:8" ht="12.75">
      <c r="A133" t="str">
        <f ca="1">IFERROR(__xludf.DUMMYFUNCTION("""COMPUTED_VALUE"""),"T131")</f>
        <v>T131</v>
      </c>
      <c r="B133" t="str">
        <f ca="1">IFERROR(__xludf.DUMMYFUNCTION("""COMPUTED_VALUE"""),"T142")</f>
        <v>T142</v>
      </c>
      <c r="C133" t="str">
        <f ca="1">IFERROR(__xludf.DUMMYFUNCTION("""COMPUTED_VALUE"""),"Kiradech Aphibarnrat")</f>
        <v>Kiradech Aphibarnrat</v>
      </c>
      <c r="D133">
        <f ca="1">IFERROR(__xludf.DUMMYFUNCTION("""COMPUTED_VALUE"""),12)</f>
        <v>12</v>
      </c>
      <c r="E133" t="str">
        <f ca="1">IFERROR(__xludf.DUMMYFUNCTION("""COMPUTED_VALUE"""),"8' 4""")</f>
        <v>8' 4"</v>
      </c>
      <c r="F133">
        <f ca="1">IFERROR(__xludf.DUMMYFUNCTION("""COMPUTED_VALUE"""),249.417)</f>
        <v>249.417</v>
      </c>
      <c r="G133">
        <f ca="1">IFERROR(__xludf.DUMMYFUNCTION("""COMPUTED_VALUE"""),30)</f>
        <v>30</v>
      </c>
      <c r="H133">
        <f ca="1">IFERROR(__xludf.DUMMYFUNCTION("""COMPUTED_VALUE"""),37)</f>
        <v>37</v>
      </c>
    </row>
    <row r="134" spans="1:8" ht="12.75">
      <c r="A134" t="str">
        <f ca="1">IFERROR(__xludf.DUMMYFUNCTION("""COMPUTED_VALUE"""),"T131")</f>
        <v>T131</v>
      </c>
      <c r="B134" t="str">
        <f ca="1">IFERROR(__xludf.DUMMYFUNCTION("""COMPUTED_VALUE"""),"T142")</f>
        <v>T142</v>
      </c>
      <c r="C134" t="str">
        <f ca="1">IFERROR(__xludf.DUMMYFUNCTION("""COMPUTED_VALUE"""),"Matt Every")</f>
        <v>Matt Every</v>
      </c>
      <c r="D134">
        <f ca="1">IFERROR(__xludf.DUMMYFUNCTION("""COMPUTED_VALUE"""),8)</f>
        <v>8</v>
      </c>
      <c r="E134" t="str">
        <f ca="1">IFERROR(__xludf.DUMMYFUNCTION("""COMPUTED_VALUE"""),"8' 4""")</f>
        <v>8' 4"</v>
      </c>
      <c r="F134">
        <f ca="1">IFERROR(__xludf.DUMMYFUNCTION("""COMPUTED_VALUE"""),216.25)</f>
        <v>216.25</v>
      </c>
      <c r="G134">
        <f ca="1">IFERROR(__xludf.DUMMYFUNCTION("""COMPUTED_VALUE"""),26)</f>
        <v>26</v>
      </c>
      <c r="H134">
        <f ca="1">IFERROR(__xludf.DUMMYFUNCTION("""COMPUTED_VALUE"""),262)</f>
        <v>262</v>
      </c>
    </row>
    <row r="135" spans="1:8" ht="12.75">
      <c r="A135" t="str">
        <f ca="1">IFERROR(__xludf.DUMMYFUNCTION("""COMPUTED_VALUE"""),"T131")</f>
        <v>T131</v>
      </c>
      <c r="B135" t="str">
        <f ca="1">IFERROR(__xludf.DUMMYFUNCTION("""COMPUTED_VALUE"""),"T140")</f>
        <v>T140</v>
      </c>
      <c r="C135" t="str">
        <f ca="1">IFERROR(__xludf.DUMMYFUNCTION("""COMPUTED_VALUE"""),"Martin Laird")</f>
        <v>Martin Laird</v>
      </c>
      <c r="D135">
        <f ca="1">IFERROR(__xludf.DUMMYFUNCTION("""COMPUTED_VALUE"""),16)</f>
        <v>16</v>
      </c>
      <c r="E135" t="str">
        <f ca="1">IFERROR(__xludf.DUMMYFUNCTION("""COMPUTED_VALUE"""),"8' 4""")</f>
        <v>8' 4"</v>
      </c>
      <c r="F135">
        <f ca="1">IFERROR(__xludf.DUMMYFUNCTION("""COMPUTED_VALUE"""),481.5)</f>
        <v>481.5</v>
      </c>
      <c r="G135">
        <f ca="1">IFERROR(__xludf.DUMMYFUNCTION("""COMPUTED_VALUE"""),58)</f>
        <v>58</v>
      </c>
      <c r="H135">
        <f ca="1">IFERROR(__xludf.DUMMYFUNCTION("""COMPUTED_VALUE"""),225)</f>
        <v>225</v>
      </c>
    </row>
    <row r="136" spans="1:8" ht="12.75">
      <c r="A136" t="str">
        <f ca="1">IFERROR(__xludf.DUMMYFUNCTION("""COMPUTED_VALUE"""),"T131")</f>
        <v>T131</v>
      </c>
      <c r="B136" t="str">
        <f ca="1">IFERROR(__xludf.DUMMYFUNCTION("""COMPUTED_VALUE"""),"T142")</f>
        <v>T142</v>
      </c>
      <c r="C136" t="str">
        <f ca="1">IFERROR(__xludf.DUMMYFUNCTION("""COMPUTED_VALUE"""),"George McNeill")</f>
        <v>George McNeill</v>
      </c>
      <c r="D136">
        <f ca="1">IFERROR(__xludf.DUMMYFUNCTION("""COMPUTED_VALUE"""),8)</f>
        <v>8</v>
      </c>
      <c r="E136" t="str">
        <f ca="1">IFERROR(__xludf.DUMMYFUNCTION("""COMPUTED_VALUE"""),"8' 4""")</f>
        <v>8' 4"</v>
      </c>
      <c r="F136">
        <f ca="1">IFERROR(__xludf.DUMMYFUNCTION("""COMPUTED_VALUE"""),83.667)</f>
        <v>83.667000000000002</v>
      </c>
      <c r="G136">
        <f ca="1">IFERROR(__xludf.DUMMYFUNCTION("""COMPUTED_VALUE"""),10)</f>
        <v>10</v>
      </c>
      <c r="H136">
        <f ca="1">IFERROR(__xludf.DUMMYFUNCTION("""COMPUTED_VALUE"""),251)</f>
        <v>251</v>
      </c>
    </row>
    <row r="137" spans="1:8" ht="12.75">
      <c r="A137" t="str">
        <f ca="1">IFERROR(__xludf.DUMMYFUNCTION("""COMPUTED_VALUE"""),"T131")</f>
        <v>T131</v>
      </c>
      <c r="B137" t="str">
        <f ca="1">IFERROR(__xludf.DUMMYFUNCTION("""COMPUTED_VALUE"""),"T135")</f>
        <v>T135</v>
      </c>
      <c r="C137" t="str">
        <f ca="1">IFERROR(__xludf.DUMMYFUNCTION("""COMPUTED_VALUE"""),"Jimmy Walker")</f>
        <v>Jimmy Walker</v>
      </c>
      <c r="D137">
        <f ca="1">IFERROR(__xludf.DUMMYFUNCTION("""COMPUTED_VALUE"""),10)</f>
        <v>10</v>
      </c>
      <c r="E137" t="str">
        <f ca="1">IFERROR(__xludf.DUMMYFUNCTION("""COMPUTED_VALUE"""),"8' 4""")</f>
        <v>8' 4"</v>
      </c>
      <c r="F137">
        <f ca="1">IFERROR(__xludf.DUMMYFUNCTION("""COMPUTED_VALUE"""),640.167)</f>
        <v>640.16700000000003</v>
      </c>
      <c r="G137">
        <f ca="1">IFERROR(__xludf.DUMMYFUNCTION("""COMPUTED_VALUE"""),77)</f>
        <v>77</v>
      </c>
      <c r="H137">
        <f ca="1">IFERROR(__xludf.DUMMYFUNCTION("""COMPUTED_VALUE"""),233)</f>
        <v>233</v>
      </c>
    </row>
    <row r="138" spans="1:8" ht="12.75">
      <c r="A138" t="str">
        <f ca="1">IFERROR(__xludf.DUMMYFUNCTION("""COMPUTED_VALUE"""),"T131")</f>
        <v>T131</v>
      </c>
      <c r="B138" t="str">
        <f ca="1">IFERROR(__xludf.DUMMYFUNCTION("""COMPUTED_VALUE"""),"T142")</f>
        <v>T142</v>
      </c>
      <c r="C138" t="str">
        <f ca="1">IFERROR(__xludf.DUMMYFUNCTION("""COMPUTED_VALUE"""),"Chez Reavie")</f>
        <v>Chez Reavie</v>
      </c>
      <c r="D138">
        <f ca="1">IFERROR(__xludf.DUMMYFUNCTION("""COMPUTED_VALUE"""),14)</f>
        <v>14</v>
      </c>
      <c r="E138" t="str">
        <f ca="1">IFERROR(__xludf.DUMMYFUNCTION("""COMPUTED_VALUE"""),"8' 4""")</f>
        <v>8' 4"</v>
      </c>
      <c r="F138">
        <f ca="1">IFERROR(__xludf.DUMMYFUNCTION("""COMPUTED_VALUE"""),625.167)</f>
        <v>625.16700000000003</v>
      </c>
      <c r="G138">
        <f ca="1">IFERROR(__xludf.DUMMYFUNCTION("""COMPUTED_VALUE"""),75)</f>
        <v>75</v>
      </c>
      <c r="H138">
        <f ca="1">IFERROR(__xludf.DUMMYFUNCTION("""COMPUTED_VALUE"""),80)</f>
        <v>80</v>
      </c>
    </row>
    <row r="139" spans="1:8" ht="12.75">
      <c r="A139" t="str">
        <f ca="1">IFERROR(__xludf.DUMMYFUNCTION("""COMPUTED_VALUE"""),"T138")</f>
        <v>T138</v>
      </c>
      <c r="B139" t="str">
        <f ca="1">IFERROR(__xludf.DUMMYFUNCTION("""COMPUTED_VALUE"""),"T128")</f>
        <v>T128</v>
      </c>
      <c r="C139" t="str">
        <f ca="1">IFERROR(__xludf.DUMMYFUNCTION("""COMPUTED_VALUE"""),"Kevin Streelman")</f>
        <v>Kevin Streelman</v>
      </c>
      <c r="D139">
        <f ca="1">IFERROR(__xludf.DUMMYFUNCTION("""COMPUTED_VALUE"""),18)</f>
        <v>18</v>
      </c>
      <c r="E139" t="str">
        <f ca="1">IFERROR(__xludf.DUMMYFUNCTION("""COMPUTED_VALUE"""),"8' 5""")</f>
        <v>8' 5"</v>
      </c>
      <c r="F139">
        <f ca="1">IFERROR(__xludf.DUMMYFUNCTION("""COMPUTED_VALUE"""),784)</f>
        <v>784</v>
      </c>
      <c r="G139">
        <f ca="1">IFERROR(__xludf.DUMMYFUNCTION("""COMPUTED_VALUE"""),93)</f>
        <v>93</v>
      </c>
      <c r="H139">
        <f ca="1">IFERROR(__xludf.DUMMYFUNCTION("""COMPUTED_VALUE"""),121)</f>
        <v>121</v>
      </c>
    </row>
    <row r="140" spans="1:8" ht="12.75">
      <c r="A140" t="str">
        <f ca="1">IFERROR(__xludf.DUMMYFUNCTION("""COMPUTED_VALUE"""),"T138")</f>
        <v>T138</v>
      </c>
      <c r="B140" t="str">
        <f ca="1">IFERROR(__xludf.DUMMYFUNCTION("""COMPUTED_VALUE"""),"T150")</f>
        <v>T150</v>
      </c>
      <c r="C140" t="str">
        <f ca="1">IFERROR(__xludf.DUMMYFUNCTION("""COMPUTED_VALUE"""),"Cameron Tringale")</f>
        <v>Cameron Tringale</v>
      </c>
      <c r="D140">
        <f ca="1">IFERROR(__xludf.DUMMYFUNCTION("""COMPUTED_VALUE"""),16)</f>
        <v>16</v>
      </c>
      <c r="E140" t="str">
        <f ca="1">IFERROR(__xludf.DUMMYFUNCTION("""COMPUTED_VALUE"""),"8' 5""")</f>
        <v>8' 5"</v>
      </c>
      <c r="F140">
        <f ca="1">IFERROR(__xludf.DUMMYFUNCTION("""COMPUTED_VALUE"""),632.417)</f>
        <v>632.41700000000003</v>
      </c>
      <c r="G140">
        <f ca="1">IFERROR(__xludf.DUMMYFUNCTION("""COMPUTED_VALUE"""),75)</f>
        <v>75</v>
      </c>
      <c r="H140">
        <f ca="1">IFERROR(__xludf.DUMMYFUNCTION("""COMPUTED_VALUE"""),192)</f>
        <v>192</v>
      </c>
    </row>
    <row r="141" spans="1:8" ht="12.75">
      <c r="A141" t="str">
        <f ca="1">IFERROR(__xludf.DUMMYFUNCTION("""COMPUTED_VALUE"""),"T140")</f>
        <v>T140</v>
      </c>
      <c r="B141" t="str">
        <f ca="1">IFERROR(__xludf.DUMMYFUNCTION("""COMPUTED_VALUE"""),"T167")</f>
        <v>T167</v>
      </c>
      <c r="C141" t="str">
        <f ca="1">IFERROR(__xludf.DUMMYFUNCTION("""COMPUTED_VALUE"""),"Corey Conners")</f>
        <v>Corey Conners</v>
      </c>
      <c r="D141">
        <f ca="1">IFERROR(__xludf.DUMMYFUNCTION("""COMPUTED_VALUE"""),20)</f>
        <v>20</v>
      </c>
      <c r="E141" t="str">
        <f ca="1">IFERROR(__xludf.DUMMYFUNCTION("""COMPUTED_VALUE"""),"8' 6""")</f>
        <v>8' 6"</v>
      </c>
      <c r="F141">
        <f ca="1">IFERROR(__xludf.DUMMYFUNCTION("""COMPUTED_VALUE"""),947.833)</f>
        <v>947.83299999999997</v>
      </c>
      <c r="G141">
        <f ca="1">IFERROR(__xludf.DUMMYFUNCTION("""COMPUTED_VALUE"""),112)</f>
        <v>112</v>
      </c>
      <c r="H141">
        <f ca="1">IFERROR(__xludf.DUMMYFUNCTION("""COMPUTED_VALUE"""),151)</f>
        <v>151</v>
      </c>
    </row>
    <row r="142" spans="1:8" ht="12.75">
      <c r="A142" t="str">
        <f ca="1">IFERROR(__xludf.DUMMYFUNCTION("""COMPUTED_VALUE"""),"T140")</f>
        <v>T140</v>
      </c>
      <c r="B142" t="str">
        <f ca="1">IFERROR(__xludf.DUMMYFUNCTION("""COMPUTED_VALUE"""),"T58")</f>
        <v>T58</v>
      </c>
      <c r="C142" t="str">
        <f ca="1">IFERROR(__xludf.DUMMYFUNCTION("""COMPUTED_VALUE"""),"Cameron Davis")</f>
        <v>Cameron Davis</v>
      </c>
      <c r="D142">
        <f ca="1">IFERROR(__xludf.DUMMYFUNCTION("""COMPUTED_VALUE"""),16)</f>
        <v>16</v>
      </c>
      <c r="E142" t="str">
        <f ca="1">IFERROR(__xludf.DUMMYFUNCTION("""COMPUTED_VALUE"""),"8' 6""")</f>
        <v>8' 6"</v>
      </c>
      <c r="F142">
        <f ca="1">IFERROR(__xludf.DUMMYFUNCTION("""COMPUTED_VALUE"""),830)</f>
        <v>830</v>
      </c>
      <c r="G142">
        <f ca="1">IFERROR(__xludf.DUMMYFUNCTION("""COMPUTED_VALUE"""),98)</f>
        <v>98</v>
      </c>
      <c r="H142">
        <f ca="1">IFERROR(__xludf.DUMMYFUNCTION("""COMPUTED_VALUE"""),95)</f>
        <v>95</v>
      </c>
    </row>
    <row r="143" spans="1:8" ht="12.75">
      <c r="A143" t="str">
        <f ca="1">IFERROR(__xludf.DUMMYFUNCTION("""COMPUTED_VALUE"""),"T140")</f>
        <v>T140</v>
      </c>
      <c r="B143" t="str">
        <f ca="1">IFERROR(__xludf.DUMMYFUNCTION("""COMPUTED_VALUE"""),"T167")</f>
        <v>T167</v>
      </c>
      <c r="C143" t="str">
        <f ca="1">IFERROR(__xludf.DUMMYFUNCTION("""COMPUTED_VALUE"""),"Brian Harman")</f>
        <v>Brian Harman</v>
      </c>
      <c r="D143">
        <f ca="1">IFERROR(__xludf.DUMMYFUNCTION("""COMPUTED_VALUE"""),24)</f>
        <v>24</v>
      </c>
      <c r="E143" t="str">
        <f ca="1">IFERROR(__xludf.DUMMYFUNCTION("""COMPUTED_VALUE"""),"8' 6""")</f>
        <v>8' 6"</v>
      </c>
      <c r="F143" s="2">
        <f ca="1">IFERROR(__xludf.DUMMYFUNCTION("""COMPUTED_VALUE"""),1262.833)</f>
        <v>1262.8330000000001</v>
      </c>
      <c r="G143">
        <f ca="1">IFERROR(__xludf.DUMMYFUNCTION("""COMPUTED_VALUE"""),148)</f>
        <v>148</v>
      </c>
      <c r="H143">
        <f ca="1">IFERROR(__xludf.DUMMYFUNCTION("""COMPUTED_VALUE"""),97)</f>
        <v>97</v>
      </c>
    </row>
    <row r="144" spans="1:8" ht="12.75">
      <c r="A144" t="str">
        <f ca="1">IFERROR(__xludf.DUMMYFUNCTION("""COMPUTED_VALUE"""),"T140")</f>
        <v>T140</v>
      </c>
      <c r="B144" t="str">
        <f ca="1">IFERROR(__xludf.DUMMYFUNCTION("""COMPUTED_VALUE"""),"T159")</f>
        <v>T159</v>
      </c>
      <c r="C144" t="str">
        <f ca="1">IFERROR(__xludf.DUMMYFUNCTION("""COMPUTED_VALUE"""),"Scott Harrington")</f>
        <v>Scott Harrington</v>
      </c>
      <c r="D144">
        <f ca="1">IFERROR(__xludf.DUMMYFUNCTION("""COMPUTED_VALUE"""),18)</f>
        <v>18</v>
      </c>
      <c r="E144" t="str">
        <f ca="1">IFERROR(__xludf.DUMMYFUNCTION("""COMPUTED_VALUE"""),"8' 6""")</f>
        <v>8' 6"</v>
      </c>
      <c r="F144">
        <f ca="1">IFERROR(__xludf.DUMMYFUNCTION("""COMPUTED_VALUE"""),720.5)</f>
        <v>720.5</v>
      </c>
      <c r="G144">
        <f ca="1">IFERROR(__xludf.DUMMYFUNCTION("""COMPUTED_VALUE"""),85)</f>
        <v>85</v>
      </c>
      <c r="H144">
        <f ca="1">IFERROR(__xludf.DUMMYFUNCTION("""COMPUTED_VALUE"""),128)</f>
        <v>128</v>
      </c>
    </row>
    <row r="145" spans="1:8" ht="12.75">
      <c r="A145" t="str">
        <f ca="1">IFERROR(__xludf.DUMMYFUNCTION("""COMPUTED_VALUE"""),"T140")</f>
        <v>T140</v>
      </c>
      <c r="B145">
        <f ca="1">IFERROR(__xludf.DUMMYFUNCTION("""COMPUTED_VALUE"""),153)</f>
        <v>153</v>
      </c>
      <c r="C145" t="str">
        <f ca="1">IFERROR(__xludf.DUMMYFUNCTION("""COMPUTED_VALUE"""),"Bill Haas")</f>
        <v>Bill Haas</v>
      </c>
      <c r="D145">
        <f ca="1">IFERROR(__xludf.DUMMYFUNCTION("""COMPUTED_VALUE"""),10)</f>
        <v>10</v>
      </c>
      <c r="E145" t="str">
        <f ca="1">IFERROR(__xludf.DUMMYFUNCTION("""COMPUTED_VALUE"""),"8' 6""")</f>
        <v>8' 6"</v>
      </c>
      <c r="F145">
        <f ca="1">IFERROR(__xludf.DUMMYFUNCTION("""COMPUTED_VALUE"""),381.917)</f>
        <v>381.91699999999997</v>
      </c>
      <c r="G145">
        <f ca="1">IFERROR(__xludf.DUMMYFUNCTION("""COMPUTED_VALUE"""),45)</f>
        <v>45</v>
      </c>
      <c r="H145">
        <f ca="1">IFERROR(__xludf.DUMMYFUNCTION("""COMPUTED_VALUE"""),19)</f>
        <v>19</v>
      </c>
    </row>
    <row r="146" spans="1:8" ht="12.75">
      <c r="A146" t="str">
        <f ca="1">IFERROR(__xludf.DUMMYFUNCTION("""COMPUTED_VALUE"""),"T145")</f>
        <v>T145</v>
      </c>
      <c r="B146" t="str">
        <f ca="1">IFERROR(__xludf.DUMMYFUNCTION("""COMPUTED_VALUE"""),"T154")</f>
        <v>T154</v>
      </c>
      <c r="C146" t="str">
        <f ca="1">IFERROR(__xludf.DUMMYFUNCTION("""COMPUTED_VALUE"""),"Zac Blair")</f>
        <v>Zac Blair</v>
      </c>
      <c r="D146">
        <f ca="1">IFERROR(__xludf.DUMMYFUNCTION("""COMPUTED_VALUE"""),10)</f>
        <v>10</v>
      </c>
      <c r="E146" t="str">
        <f ca="1">IFERROR(__xludf.DUMMYFUNCTION("""COMPUTED_VALUE"""),"8' 7""")</f>
        <v>8' 7"</v>
      </c>
      <c r="F146">
        <f ca="1">IFERROR(__xludf.DUMMYFUNCTION("""COMPUTED_VALUE"""),266.75)</f>
        <v>266.75</v>
      </c>
      <c r="G146">
        <f ca="1">IFERROR(__xludf.DUMMYFUNCTION("""COMPUTED_VALUE"""),31)</f>
        <v>31</v>
      </c>
      <c r="H146">
        <f ca="1">IFERROR(__xludf.DUMMYFUNCTION("""COMPUTED_VALUE"""),230)</f>
        <v>230</v>
      </c>
    </row>
    <row r="147" spans="1:8" ht="12.75">
      <c r="A147" t="str">
        <f ca="1">IFERROR(__xludf.DUMMYFUNCTION("""COMPUTED_VALUE"""),"T145")</f>
        <v>T145</v>
      </c>
      <c r="B147" t="str">
        <f ca="1">IFERROR(__xludf.DUMMYFUNCTION("""COMPUTED_VALUE"""),"T154")</f>
        <v>T154</v>
      </c>
      <c r="C147" t="str">
        <f ca="1">IFERROR(__xludf.DUMMYFUNCTION("""COMPUTED_VALUE"""),"Cameron Smith")</f>
        <v>Cameron Smith</v>
      </c>
      <c r="D147">
        <f ca="1">IFERROR(__xludf.DUMMYFUNCTION("""COMPUTED_VALUE"""),16)</f>
        <v>16</v>
      </c>
      <c r="E147" t="str">
        <f ca="1">IFERROR(__xludf.DUMMYFUNCTION("""COMPUTED_VALUE"""),"8' 7""")</f>
        <v>8' 7"</v>
      </c>
      <c r="F147">
        <f ca="1">IFERROR(__xludf.DUMMYFUNCTION("""COMPUTED_VALUE"""),848.75)</f>
        <v>848.75</v>
      </c>
      <c r="G147">
        <f ca="1">IFERROR(__xludf.DUMMYFUNCTION("""COMPUTED_VALUE"""),99)</f>
        <v>99</v>
      </c>
      <c r="H147">
        <f ca="1">IFERROR(__xludf.DUMMYFUNCTION("""COMPUTED_VALUE"""),117)</f>
        <v>117</v>
      </c>
    </row>
    <row r="148" spans="1:8" ht="12.75">
      <c r="A148" t="str">
        <f ca="1">IFERROR(__xludf.DUMMYFUNCTION("""COMPUTED_VALUE"""),"T145")</f>
        <v>T145</v>
      </c>
      <c r="B148" t="str">
        <f ca="1">IFERROR(__xludf.DUMMYFUNCTION("""COMPUTED_VALUE"""),"T106")</f>
        <v>T106</v>
      </c>
      <c r="C148" t="str">
        <f ca="1">IFERROR(__xludf.DUMMYFUNCTION("""COMPUTED_VALUE"""),"Brooks Koepka")</f>
        <v>Brooks Koepka</v>
      </c>
      <c r="D148">
        <f ca="1">IFERROR(__xludf.DUMMYFUNCTION("""COMPUTED_VALUE"""),8)</f>
        <v>8</v>
      </c>
      <c r="E148" t="str">
        <f ca="1">IFERROR(__xludf.DUMMYFUNCTION("""COMPUTED_VALUE"""),"8' 7""")</f>
        <v>8' 7"</v>
      </c>
      <c r="F148">
        <f ca="1">IFERROR(__xludf.DUMMYFUNCTION("""COMPUTED_VALUE"""),396.583)</f>
        <v>396.58300000000003</v>
      </c>
      <c r="G148">
        <f ca="1">IFERROR(__xludf.DUMMYFUNCTION("""COMPUTED_VALUE"""),46)</f>
        <v>46</v>
      </c>
      <c r="H148">
        <f ca="1">IFERROR(__xludf.DUMMYFUNCTION("""COMPUTED_VALUE"""),120)</f>
        <v>120</v>
      </c>
    </row>
    <row r="149" spans="1:8" ht="12.75">
      <c r="A149" t="str">
        <f ca="1">IFERROR(__xludf.DUMMYFUNCTION("""COMPUTED_VALUE"""),"T145")</f>
        <v>T145</v>
      </c>
      <c r="B149" t="str">
        <f ca="1">IFERROR(__xludf.DUMMYFUNCTION("""COMPUTED_VALUE"""),"T154")</f>
        <v>T154</v>
      </c>
      <c r="C149" t="str">
        <f ca="1">IFERROR(__xludf.DUMMYFUNCTION("""COMPUTED_VALUE"""),"Robert Streb")</f>
        <v>Robert Streb</v>
      </c>
      <c r="D149">
        <f ca="1">IFERROR(__xludf.DUMMYFUNCTION("""COMPUTED_VALUE"""),12)</f>
        <v>12</v>
      </c>
      <c r="E149" t="str">
        <f ca="1">IFERROR(__xludf.DUMMYFUNCTION("""COMPUTED_VALUE"""),"8' 7""")</f>
        <v>8' 7"</v>
      </c>
      <c r="F149">
        <f ca="1">IFERROR(__xludf.DUMMYFUNCTION("""COMPUTED_VALUE"""),231.5)</f>
        <v>231.5</v>
      </c>
      <c r="G149">
        <f ca="1">IFERROR(__xludf.DUMMYFUNCTION("""COMPUTED_VALUE"""),27)</f>
        <v>27</v>
      </c>
      <c r="H149">
        <f ca="1">IFERROR(__xludf.DUMMYFUNCTION("""COMPUTED_VALUE"""),158)</f>
        <v>158</v>
      </c>
    </row>
    <row r="150" spans="1:8" ht="12.75">
      <c r="A150" t="str">
        <f ca="1">IFERROR(__xludf.DUMMYFUNCTION("""COMPUTED_VALUE"""),"T145")</f>
        <v>T145</v>
      </c>
      <c r="B150" t="str">
        <f ca="1">IFERROR(__xludf.DUMMYFUNCTION("""COMPUTED_VALUE"""),"T142")</f>
        <v>T142</v>
      </c>
      <c r="C150" t="str">
        <f ca="1">IFERROR(__xludf.DUMMYFUNCTION("""COMPUTED_VALUE"""),"Andrew Putnam")</f>
        <v>Andrew Putnam</v>
      </c>
      <c r="D150">
        <f ca="1">IFERROR(__xludf.DUMMYFUNCTION("""COMPUTED_VALUE"""),19)</f>
        <v>19</v>
      </c>
      <c r="E150" t="str">
        <f ca="1">IFERROR(__xludf.DUMMYFUNCTION("""COMPUTED_VALUE"""),"8' 7""")</f>
        <v>8' 7"</v>
      </c>
      <c r="F150">
        <f ca="1">IFERROR(__xludf.DUMMYFUNCTION("""COMPUTED_VALUE"""),823.667)</f>
        <v>823.66700000000003</v>
      </c>
      <c r="G150">
        <f ca="1">IFERROR(__xludf.DUMMYFUNCTION("""COMPUTED_VALUE"""),96)</f>
        <v>96</v>
      </c>
      <c r="H150">
        <f ca="1">IFERROR(__xludf.DUMMYFUNCTION("""COMPUTED_VALUE"""),65)</f>
        <v>65</v>
      </c>
    </row>
    <row r="151" spans="1:8" ht="12.75">
      <c r="A151" t="str">
        <f ca="1">IFERROR(__xludf.DUMMYFUNCTION("""COMPUTED_VALUE"""),"T150")</f>
        <v>T150</v>
      </c>
      <c r="B151" t="str">
        <f ca="1">IFERROR(__xludf.DUMMYFUNCTION("""COMPUTED_VALUE"""),"T159")</f>
        <v>T159</v>
      </c>
      <c r="C151" t="str">
        <f ca="1">IFERROR(__xludf.DUMMYFUNCTION("""COMPUTED_VALUE"""),"Daniel Berger")</f>
        <v>Daniel Berger</v>
      </c>
      <c r="D151">
        <f ca="1">IFERROR(__xludf.DUMMYFUNCTION("""COMPUTED_VALUE"""),12)</f>
        <v>12</v>
      </c>
      <c r="E151" t="str">
        <f ca="1">IFERROR(__xludf.DUMMYFUNCTION("""COMPUTED_VALUE"""),"8' 8""")</f>
        <v>8' 8"</v>
      </c>
      <c r="F151">
        <f ca="1">IFERROR(__xludf.DUMMYFUNCTION("""COMPUTED_VALUE"""),622.833)</f>
        <v>622.83299999999997</v>
      </c>
      <c r="G151">
        <f ca="1">IFERROR(__xludf.DUMMYFUNCTION("""COMPUTED_VALUE"""),72)</f>
        <v>72</v>
      </c>
      <c r="H151">
        <f ca="1">IFERROR(__xludf.DUMMYFUNCTION("""COMPUTED_VALUE"""),138)</f>
        <v>138</v>
      </c>
    </row>
    <row r="152" spans="1:8" ht="12.75">
      <c r="A152" t="str">
        <f ca="1">IFERROR(__xludf.DUMMYFUNCTION("""COMPUTED_VALUE"""),"T150")</f>
        <v>T150</v>
      </c>
      <c r="B152">
        <f ca="1">IFERROR(__xludf.DUMMYFUNCTION("""COMPUTED_VALUE"""),264)</f>
        <v>264</v>
      </c>
      <c r="C152" t="str">
        <f ca="1">IFERROR(__xludf.DUMMYFUNCTION("""COMPUTED_VALUE"""),"Graeme McDowell")</f>
        <v>Graeme McDowell</v>
      </c>
      <c r="D152">
        <f ca="1">IFERROR(__xludf.DUMMYFUNCTION("""COMPUTED_VALUE"""),8)</f>
        <v>8</v>
      </c>
      <c r="E152" t="str">
        <f ca="1">IFERROR(__xludf.DUMMYFUNCTION("""COMPUTED_VALUE"""),"8' 8""")</f>
        <v>8' 8"</v>
      </c>
      <c r="F152">
        <f ca="1">IFERROR(__xludf.DUMMYFUNCTION("""COMPUTED_VALUE"""),328.667)</f>
        <v>328.66699999999997</v>
      </c>
      <c r="G152">
        <f ca="1">IFERROR(__xludf.DUMMYFUNCTION("""COMPUTED_VALUE"""),38)</f>
        <v>38</v>
      </c>
      <c r="H152">
        <f ca="1">IFERROR(__xludf.DUMMYFUNCTION("""COMPUTED_VALUE"""),172)</f>
        <v>172</v>
      </c>
    </row>
    <row r="153" spans="1:8" ht="12.75">
      <c r="A153" t="str">
        <f ca="1">IFERROR(__xludf.DUMMYFUNCTION("""COMPUTED_VALUE"""),"T150")</f>
        <v>T150</v>
      </c>
      <c r="B153" t="str">
        <f ca="1">IFERROR(__xludf.DUMMYFUNCTION("""COMPUTED_VALUE"""),"T150")</f>
        <v>T150</v>
      </c>
      <c r="C153" t="str">
        <f ca="1">IFERROR(__xludf.DUMMYFUNCTION("""COMPUTED_VALUE"""),"Danny Lee")</f>
        <v>Danny Lee</v>
      </c>
      <c r="D153">
        <f ca="1">IFERROR(__xludf.DUMMYFUNCTION("""COMPUTED_VALUE"""),15)</f>
        <v>15</v>
      </c>
      <c r="E153" t="str">
        <f ca="1">IFERROR(__xludf.DUMMYFUNCTION("""COMPUTED_VALUE"""),"8' 8""")</f>
        <v>8' 8"</v>
      </c>
      <c r="F153">
        <f ca="1">IFERROR(__xludf.DUMMYFUNCTION("""COMPUTED_VALUE"""),893.583)</f>
        <v>893.58299999999997</v>
      </c>
      <c r="G153">
        <f ca="1">IFERROR(__xludf.DUMMYFUNCTION("""COMPUTED_VALUE"""),103)</f>
        <v>103</v>
      </c>
      <c r="H153">
        <f ca="1">IFERROR(__xludf.DUMMYFUNCTION("""COMPUTED_VALUE"""),271)</f>
        <v>271</v>
      </c>
    </row>
    <row r="154" spans="1:8" ht="12.75">
      <c r="A154" t="str">
        <f ca="1">IFERROR(__xludf.DUMMYFUNCTION("""COMPUTED_VALUE"""),"T150")</f>
        <v>T150</v>
      </c>
      <c r="B154" t="str">
        <f ca="1">IFERROR(__xludf.DUMMYFUNCTION("""COMPUTED_VALUE"""),"T159")</f>
        <v>T159</v>
      </c>
      <c r="C154" t="str">
        <f ca="1">IFERROR(__xludf.DUMMYFUNCTION("""COMPUTED_VALUE"""),"Tommy Fleetwood")</f>
        <v>Tommy Fleetwood</v>
      </c>
      <c r="D154">
        <f ca="1">IFERROR(__xludf.DUMMYFUNCTION("""COMPUTED_VALUE"""),10)</f>
        <v>10</v>
      </c>
      <c r="E154" t="str">
        <f ca="1">IFERROR(__xludf.DUMMYFUNCTION("""COMPUTED_VALUE"""),"8' 8""")</f>
        <v>8' 8"</v>
      </c>
      <c r="F154">
        <f ca="1">IFERROR(__xludf.DUMMYFUNCTION("""COMPUTED_VALUE"""),606.667)</f>
        <v>606.66700000000003</v>
      </c>
      <c r="G154">
        <f ca="1">IFERROR(__xludf.DUMMYFUNCTION("""COMPUTED_VALUE"""),70)</f>
        <v>70</v>
      </c>
      <c r="H154">
        <f ca="1">IFERROR(__xludf.DUMMYFUNCTION("""COMPUTED_VALUE"""),248)</f>
        <v>248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IFERROR(__xludf.DUMMYFUNCTION("""COMPUTED_VALUE"""),"T135")</f>
        <v>T135</v>
      </c>
      <c r="C155" t="str">
        <f ca="1">IFERROR(__xludf.DUMMYFUNCTION("""COMPUTED_VALUE"""),"Emiliano Grillo")</f>
        <v>Emiliano Grillo</v>
      </c>
      <c r="D155">
        <f ca="1">IFERROR(__xludf.DUMMYFUNCTION("""COMPUTED_VALUE"""),22)</f>
        <v>22</v>
      </c>
      <c r="E155" t="str">
        <f ca="1">IFERROR(__xludf.DUMMYFUNCTION("""COMPUTED_VALUE"""),"8' 9""")</f>
        <v>8' 9"</v>
      </c>
      <c r="F155">
        <f ca="1">IFERROR(__xludf.DUMMYFUNCTION("""COMPUTED_VALUE"""),589)</f>
        <v>589</v>
      </c>
      <c r="G155">
        <f ca="1">IFERROR(__xludf.DUMMYFUNCTION("""COMPUTED_VALUE"""),67)</f>
        <v>67</v>
      </c>
      <c r="H155">
        <f ca="1">IFERROR(__xludf.DUMMYFUNCTION("""COMPUTED_VALUE"""),64)</f>
        <v>64</v>
      </c>
    </row>
    <row r="156" spans="1:8" ht="12.75">
      <c r="A156" t="str">
        <f ca="1">IFERROR(__xludf.DUMMYFUNCTION("""COMPUTED_VALUE"""),"T154")</f>
        <v>T154</v>
      </c>
      <c r="B156">
        <f ca="1">IFERROR(__xludf.DUMMYFUNCTION("""COMPUTED_VALUE"""),74)</f>
        <v>74</v>
      </c>
      <c r="C156" t="str">
        <f ca="1">IFERROR(__xludf.DUMMYFUNCTION("""COMPUTED_VALUE"""),"James Hahn")</f>
        <v>James Hahn</v>
      </c>
      <c r="D156">
        <f ca="1">IFERROR(__xludf.DUMMYFUNCTION("""COMPUTED_VALUE"""),16)</f>
        <v>16</v>
      </c>
      <c r="E156" t="str">
        <f ca="1">IFERROR(__xludf.DUMMYFUNCTION("""COMPUTED_VALUE"""),"8' 9""")</f>
        <v>8' 9"</v>
      </c>
      <c r="F156">
        <f ca="1">IFERROR(__xludf.DUMMYFUNCTION("""COMPUTED_VALUE"""),562.333)</f>
        <v>562.33299999999997</v>
      </c>
      <c r="G156">
        <f ca="1">IFERROR(__xludf.DUMMYFUNCTION("""COMPUTED_VALUE"""),64)</f>
        <v>64</v>
      </c>
      <c r="H156">
        <f ca="1">IFERROR(__xludf.DUMMYFUNCTION("""COMPUTED_VALUE"""),87)</f>
        <v>87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IFERROR(__xludf.DUMMYFUNCTION("""COMPUTED_VALUE"""),"T128")</f>
        <v>T128</v>
      </c>
      <c r="C157" t="str">
        <f ca="1">IFERROR(__xludf.DUMMYFUNCTION("""COMPUTED_VALUE"""),"Sean O'Hair")</f>
        <v>Sean O'Hair</v>
      </c>
      <c r="D157">
        <f ca="1">IFERROR(__xludf.DUMMYFUNCTION("""COMPUTED_VALUE"""),14)</f>
        <v>14</v>
      </c>
      <c r="E157" t="str">
        <f ca="1">IFERROR(__xludf.DUMMYFUNCTION("""COMPUTED_VALUE"""),"8' 9""")</f>
        <v>8' 9"</v>
      </c>
      <c r="F157">
        <f ca="1">IFERROR(__xludf.DUMMYFUNCTION("""COMPUTED_VALUE"""),535.5)</f>
        <v>535.5</v>
      </c>
      <c r="G157">
        <f ca="1">IFERROR(__xludf.DUMMYFUNCTION("""COMPUTED_VALUE"""),61)</f>
        <v>61</v>
      </c>
      <c r="H157">
        <f ca="1">IFERROR(__xludf.DUMMYFUNCTION("""COMPUTED_VALUE"""),219)</f>
        <v>219</v>
      </c>
    </row>
    <row r="158" spans="1:8" ht="12.75">
      <c r="A158" t="str">
        <f ca="1">IFERROR(__xludf.DUMMYFUNCTION("""COMPUTED_VALUE"""),"T154")</f>
        <v>T154</v>
      </c>
      <c r="B158" t="str">
        <f ca="1">IFERROR(__xludf.DUMMYFUNCTION("""COMPUTED_VALUE"""),"T163")</f>
        <v>T163</v>
      </c>
      <c r="C158" t="str">
        <f ca="1">IFERROR(__xludf.DUMMYFUNCTION("""COMPUTED_VALUE"""),"Tiger Woods")</f>
        <v>Tiger Woods</v>
      </c>
      <c r="D158">
        <f ca="1">IFERROR(__xludf.DUMMYFUNCTION("""COMPUTED_VALUE"""),6)</f>
        <v>6</v>
      </c>
      <c r="E158" t="str">
        <f ca="1">IFERROR(__xludf.DUMMYFUNCTION("""COMPUTED_VALUE"""),"8' 9""")</f>
        <v>8' 9"</v>
      </c>
      <c r="F158">
        <f ca="1">IFERROR(__xludf.DUMMYFUNCTION("""COMPUTED_VALUE"""),351.333)</f>
        <v>351.33300000000003</v>
      </c>
      <c r="G158">
        <f ca="1">IFERROR(__xludf.DUMMYFUNCTION("""COMPUTED_VALUE"""),40)</f>
        <v>40</v>
      </c>
      <c r="H158">
        <f ca="1">IFERROR(__xludf.DUMMYFUNCTION("""COMPUTED_VALUE"""),276)</f>
        <v>276</v>
      </c>
    </row>
    <row r="159" spans="1:8" ht="12.75">
      <c r="A159" t="str">
        <f ca="1">IFERROR(__xludf.DUMMYFUNCTION("""COMPUTED_VALUE"""),"T154")</f>
        <v>T154</v>
      </c>
      <c r="B159" t="str">
        <f ca="1">IFERROR(__xludf.DUMMYFUNCTION("""COMPUTED_VALUE"""),"T167")</f>
        <v>T167</v>
      </c>
      <c r="C159" t="str">
        <f ca="1">IFERROR(__xludf.DUMMYFUNCTION("""COMPUTED_VALUE"""),"Ryan Armour")</f>
        <v>Ryan Armour</v>
      </c>
      <c r="D159">
        <f ca="1">IFERROR(__xludf.DUMMYFUNCTION("""COMPUTED_VALUE"""),16)</f>
        <v>16</v>
      </c>
      <c r="E159" t="str">
        <f ca="1">IFERROR(__xludf.DUMMYFUNCTION("""COMPUTED_VALUE"""),"8' 9""")</f>
        <v>8' 9"</v>
      </c>
      <c r="F159">
        <f ca="1">IFERROR(__xludf.DUMMYFUNCTION("""COMPUTED_VALUE"""),557.583)</f>
        <v>557.58299999999997</v>
      </c>
      <c r="G159">
        <f ca="1">IFERROR(__xludf.DUMMYFUNCTION("""COMPUTED_VALUE"""),64)</f>
        <v>64</v>
      </c>
      <c r="H159">
        <f ca="1">IFERROR(__xludf.DUMMYFUNCTION("""COMPUTED_VALUE"""),118)</f>
        <v>118</v>
      </c>
    </row>
    <row r="160" spans="1:8" ht="12.75">
      <c r="A160" t="str">
        <f ca="1">IFERROR(__xludf.DUMMYFUNCTION("""COMPUTED_VALUE"""),"T154")</f>
        <v>T154</v>
      </c>
      <c r="B160" t="str">
        <f ca="1">IFERROR(__xludf.DUMMYFUNCTION("""COMPUTED_VALUE"""),"T163")</f>
        <v>T163</v>
      </c>
      <c r="C160" t="str">
        <f ca="1">IFERROR(__xludf.DUMMYFUNCTION("""COMPUTED_VALUE"""),"Martin Trainer")</f>
        <v>Martin Trainer</v>
      </c>
      <c r="D160">
        <f ca="1">IFERROR(__xludf.DUMMYFUNCTION("""COMPUTED_VALUE"""),10)</f>
        <v>10</v>
      </c>
      <c r="E160" t="str">
        <f ca="1">IFERROR(__xludf.DUMMYFUNCTION("""COMPUTED_VALUE"""),"8' 9""")</f>
        <v>8' 9"</v>
      </c>
      <c r="F160">
        <f ca="1">IFERROR(__xludf.DUMMYFUNCTION("""COMPUTED_VALUE"""),523.833)</f>
        <v>523.83299999999997</v>
      </c>
      <c r="G160">
        <f ca="1">IFERROR(__xludf.DUMMYFUNCTION("""COMPUTED_VALUE"""),60)</f>
        <v>60</v>
      </c>
      <c r="H160">
        <f ca="1">IFERROR(__xludf.DUMMYFUNCTION("""COMPUTED_VALUE"""),247)</f>
        <v>247</v>
      </c>
    </row>
    <row r="161" spans="1:8" ht="12.75">
      <c r="A161" t="str">
        <f ca="1">IFERROR(__xludf.DUMMYFUNCTION("""COMPUTED_VALUE"""),"T154")</f>
        <v>T154</v>
      </c>
      <c r="B161" t="str">
        <f ca="1">IFERROR(__xludf.DUMMYFUNCTION("""COMPUTED_VALUE"""),"T93")</f>
        <v>T93</v>
      </c>
      <c r="C161" t="str">
        <f ca="1">IFERROR(__xludf.DUMMYFUNCTION("""COMPUTED_VALUE"""),"John Huh")</f>
        <v>John Huh</v>
      </c>
      <c r="D161">
        <f ca="1">IFERROR(__xludf.DUMMYFUNCTION("""COMPUTED_VALUE"""),8)</f>
        <v>8</v>
      </c>
      <c r="E161" t="str">
        <f ca="1">IFERROR(__xludf.DUMMYFUNCTION("""COMPUTED_VALUE"""),"8' 9""")</f>
        <v>8' 9"</v>
      </c>
      <c r="F161">
        <f ca="1">IFERROR(__xludf.DUMMYFUNCTION("""COMPUTED_VALUE"""),445.75)</f>
        <v>445.75</v>
      </c>
      <c r="G161">
        <f ca="1">IFERROR(__xludf.DUMMYFUNCTION("""COMPUTED_VALUE"""),51)</f>
        <v>51</v>
      </c>
      <c r="H161">
        <f ca="1">IFERROR(__xludf.DUMMYFUNCTION("""COMPUTED_VALUE"""),214)</f>
        <v>214</v>
      </c>
    </row>
    <row r="162" spans="1:8" ht="12.75">
      <c r="A162" t="str">
        <f ca="1">IFERROR(__xludf.DUMMYFUNCTION("""COMPUTED_VALUE"""),"T154")</f>
        <v>T154</v>
      </c>
      <c r="B162" t="str">
        <f ca="1">IFERROR(__xludf.DUMMYFUNCTION("""COMPUTED_VALUE"""),"T167")</f>
        <v>T167</v>
      </c>
      <c r="C162" t="str">
        <f ca="1">IFERROR(__xludf.DUMMYFUNCTION("""COMPUTED_VALUE"""),"Kramer Hickok")</f>
        <v>Kramer Hickok</v>
      </c>
      <c r="D162">
        <f ca="1">IFERROR(__xludf.DUMMYFUNCTION("""COMPUTED_VALUE"""),16)</f>
        <v>16</v>
      </c>
      <c r="E162" t="str">
        <f ca="1">IFERROR(__xludf.DUMMYFUNCTION("""COMPUTED_VALUE"""),"8' 9""")</f>
        <v>8' 9"</v>
      </c>
      <c r="F162">
        <f ca="1">IFERROR(__xludf.DUMMYFUNCTION("""COMPUTED_VALUE"""),429.917)</f>
        <v>429.91699999999997</v>
      </c>
      <c r="G162">
        <f ca="1">IFERROR(__xludf.DUMMYFUNCTION("""COMPUTED_VALUE"""),49)</f>
        <v>49</v>
      </c>
      <c r="H162">
        <f ca="1">IFERROR(__xludf.DUMMYFUNCTION("""COMPUTED_VALUE"""),174)</f>
        <v>174</v>
      </c>
    </row>
    <row r="163" spans="1:8" ht="12.75">
      <c r="A163" t="str">
        <f ca="1">IFERROR(__xludf.DUMMYFUNCTION("""COMPUTED_VALUE"""),"T154")</f>
        <v>T154</v>
      </c>
      <c r="B163" t="str">
        <f ca="1">IFERROR(__xludf.DUMMYFUNCTION("""COMPUTED_VALUE"""),"T163")</f>
        <v>T163</v>
      </c>
      <c r="C163" t="str">
        <f ca="1">IFERROR(__xludf.DUMMYFUNCTION("""COMPUTED_VALUE"""),"Sahith Theegala")</f>
        <v>Sahith Theegala</v>
      </c>
      <c r="D163">
        <f ca="1">IFERROR(__xludf.DUMMYFUNCTION("""COMPUTED_VALUE"""),6)</f>
        <v>6</v>
      </c>
      <c r="E163" t="str">
        <f ca="1">IFERROR(__xludf.DUMMYFUNCTION("""COMPUTED_VALUE"""),"8' 9""")</f>
        <v>8' 9"</v>
      </c>
      <c r="F163">
        <f ca="1">IFERROR(__xludf.DUMMYFUNCTION("""COMPUTED_VALUE"""),349.667)</f>
        <v>349.66699999999997</v>
      </c>
      <c r="G163">
        <f ca="1">IFERROR(__xludf.DUMMYFUNCTION("""COMPUTED_VALUE"""),40)</f>
        <v>40</v>
      </c>
      <c r="H163">
        <f ca="1">IFERROR(__xludf.DUMMYFUNCTION("""COMPUTED_VALUE"""),10)</f>
        <v>10</v>
      </c>
    </row>
    <row r="164" spans="1:8" ht="12.75">
      <c r="A164" t="str">
        <f ca="1">IFERROR(__xludf.DUMMYFUNCTION("""COMPUTED_VALUE"""),"T163")</f>
        <v>T163</v>
      </c>
      <c r="B164" t="str">
        <f ca="1">IFERROR(__xludf.DUMMYFUNCTION("""COMPUTED_VALUE"""),"T218")</f>
        <v>T218</v>
      </c>
      <c r="C164" t="str">
        <f ca="1">IFERROR(__xludf.DUMMYFUNCTION("""COMPUTED_VALUE"""),"Mackenzie Hughes")</f>
        <v>Mackenzie Hughes</v>
      </c>
      <c r="D164">
        <f ca="1">IFERROR(__xludf.DUMMYFUNCTION("""COMPUTED_VALUE"""),18)</f>
        <v>18</v>
      </c>
      <c r="E164" t="str">
        <f ca="1">IFERROR(__xludf.DUMMYFUNCTION("""COMPUTED_VALUE"""),"8' 10""")</f>
        <v>8' 10"</v>
      </c>
      <c r="F164">
        <f ca="1">IFERROR(__xludf.DUMMYFUNCTION("""COMPUTED_VALUE"""),875.833)</f>
        <v>875.83299999999997</v>
      </c>
      <c r="G164">
        <f ca="1">IFERROR(__xludf.DUMMYFUNCTION("""COMPUTED_VALUE"""),99)</f>
        <v>99</v>
      </c>
      <c r="H164">
        <f ca="1">IFERROR(__xludf.DUMMYFUNCTION("""COMPUTED_VALUE"""),189)</f>
        <v>189</v>
      </c>
    </row>
    <row r="165" spans="1:8" ht="12.75">
      <c r="A165" t="str">
        <f ca="1">IFERROR(__xludf.DUMMYFUNCTION("""COMPUTED_VALUE"""),"T163")</f>
        <v>T163</v>
      </c>
      <c r="B165" t="str">
        <f ca="1">IFERROR(__xludf.DUMMYFUNCTION("""COMPUTED_VALUE"""),"T112")</f>
        <v>T112</v>
      </c>
      <c r="C165" t="str">
        <f ca="1">IFERROR(__xludf.DUMMYFUNCTION("""COMPUTED_VALUE"""),"Harold Varner III")</f>
        <v>Harold Varner III</v>
      </c>
      <c r="D165">
        <f ca="1">IFERROR(__xludf.DUMMYFUNCTION("""COMPUTED_VALUE"""),14)</f>
        <v>14</v>
      </c>
      <c r="E165" t="str">
        <f ca="1">IFERROR(__xludf.DUMMYFUNCTION("""COMPUTED_VALUE"""),"8' 10""")</f>
        <v>8' 10"</v>
      </c>
      <c r="F165">
        <f ca="1">IFERROR(__xludf.DUMMYFUNCTION("""COMPUTED_VALUE"""),593.333)</f>
        <v>593.33299999999997</v>
      </c>
      <c r="G165">
        <f ca="1">IFERROR(__xludf.DUMMYFUNCTION("""COMPUTED_VALUE"""),67)</f>
        <v>67</v>
      </c>
      <c r="H165">
        <f ca="1">IFERROR(__xludf.DUMMYFUNCTION("""COMPUTED_VALUE"""),111)</f>
        <v>111</v>
      </c>
    </row>
    <row r="166" spans="1:8" ht="12.75">
      <c r="A166" t="str">
        <f ca="1">IFERROR(__xludf.DUMMYFUNCTION("""COMPUTED_VALUE"""),"T163")</f>
        <v>T163</v>
      </c>
      <c r="B166">
        <f ca="1">IFERROR(__xludf.DUMMYFUNCTION("""COMPUTED_VALUE"""),225)</f>
        <v>225</v>
      </c>
      <c r="C166" t="str">
        <f ca="1">IFERROR(__xludf.DUMMYFUNCTION("""COMPUTED_VALUE"""),"Adam Scott")</f>
        <v>Adam Scott</v>
      </c>
      <c r="D166">
        <f ca="1">IFERROR(__xludf.DUMMYFUNCTION("""COMPUTED_VALUE"""),8)</f>
        <v>8</v>
      </c>
      <c r="E166" t="str">
        <f ca="1">IFERROR(__xludf.DUMMYFUNCTION("""COMPUTED_VALUE"""),"8' 10""")</f>
        <v>8' 10"</v>
      </c>
      <c r="F166">
        <f ca="1">IFERROR(__xludf.DUMMYFUNCTION("""COMPUTED_VALUE"""),450.833)</f>
        <v>450.83300000000003</v>
      </c>
      <c r="G166">
        <f ca="1">IFERROR(__xludf.DUMMYFUNCTION("""COMPUTED_VALUE"""),51)</f>
        <v>51</v>
      </c>
      <c r="H166">
        <f ca="1">IFERROR(__xludf.DUMMYFUNCTION("""COMPUTED_VALUE"""),287)</f>
        <v>287</v>
      </c>
    </row>
    <row r="167" spans="1:8" ht="12.75">
      <c r="A167" t="str">
        <f ca="1">IFERROR(__xludf.DUMMYFUNCTION("""COMPUTED_VALUE"""),"T163")</f>
        <v>T163</v>
      </c>
      <c r="B167" t="str">
        <f ca="1">IFERROR(__xludf.DUMMYFUNCTION("""COMPUTED_VALUE"""),"T75")</f>
        <v>T75</v>
      </c>
      <c r="C167" t="str">
        <f ca="1">IFERROR(__xludf.DUMMYFUNCTION("""COMPUTED_VALUE"""),"Jhonattan Vegas")</f>
        <v>Jhonattan Vegas</v>
      </c>
      <c r="D167">
        <f ca="1">IFERROR(__xludf.DUMMYFUNCTION("""COMPUTED_VALUE"""),16)</f>
        <v>16</v>
      </c>
      <c r="E167" t="str">
        <f ca="1">IFERROR(__xludf.DUMMYFUNCTION("""COMPUTED_VALUE"""),"8' 10""")</f>
        <v>8' 10"</v>
      </c>
      <c r="F167">
        <f ca="1">IFERROR(__xludf.DUMMYFUNCTION("""COMPUTED_VALUE"""),546.167)</f>
        <v>546.16700000000003</v>
      </c>
      <c r="G167">
        <f ca="1">IFERROR(__xludf.DUMMYFUNCTION("""COMPUTED_VALUE"""),62)</f>
        <v>62</v>
      </c>
      <c r="H167">
        <f ca="1">IFERROR(__xludf.DUMMYFUNCTION("""COMPUTED_VALUE"""),245)</f>
        <v>245</v>
      </c>
    </row>
    <row r="168" spans="1:8" ht="12.75">
      <c r="A168" t="str">
        <f ca="1">IFERROR(__xludf.DUMMYFUNCTION("""COMPUTED_VALUE"""),"T163")</f>
        <v>T163</v>
      </c>
      <c r="B168" t="str">
        <f ca="1">IFERROR(__xludf.DUMMYFUNCTION("""COMPUTED_VALUE"""),"T163")</f>
        <v>T163</v>
      </c>
      <c r="C168" t="str">
        <f ca="1">IFERROR(__xludf.DUMMYFUNCTION("""COMPUTED_VALUE"""),"Scott Stallings")</f>
        <v>Scott Stallings</v>
      </c>
      <c r="D168">
        <f ca="1">IFERROR(__xludf.DUMMYFUNCTION("""COMPUTED_VALUE"""),14)</f>
        <v>14</v>
      </c>
      <c r="E168" t="str">
        <f ca="1">IFERROR(__xludf.DUMMYFUNCTION("""COMPUTED_VALUE"""),"8' 10""")</f>
        <v>8' 10"</v>
      </c>
      <c r="F168">
        <f ca="1">IFERROR(__xludf.DUMMYFUNCTION("""COMPUTED_VALUE"""),504.167)</f>
        <v>504.16699999999997</v>
      </c>
      <c r="G168">
        <f ca="1">IFERROR(__xludf.DUMMYFUNCTION("""COMPUTED_VALUE"""),57)</f>
        <v>57</v>
      </c>
      <c r="H168">
        <f ca="1">IFERROR(__xludf.DUMMYFUNCTION("""COMPUTED_VALUE"""),8)</f>
        <v>8</v>
      </c>
    </row>
    <row r="169" spans="1:8" ht="12.75">
      <c r="A169" t="str">
        <f ca="1">IFERROR(__xludf.DUMMYFUNCTION("""COMPUTED_VALUE"""),"T163")</f>
        <v>T163</v>
      </c>
      <c r="B169" t="str">
        <f ca="1">IFERROR(__xludf.DUMMYFUNCTION("""COMPUTED_VALUE"""),"T207")</f>
        <v>T207</v>
      </c>
      <c r="C169" t="str">
        <f ca="1">IFERROR(__xludf.DUMMYFUNCTION("""COMPUTED_VALUE"""),"Jason Day")</f>
        <v>Jason Day</v>
      </c>
      <c r="D169">
        <f ca="1">IFERROR(__xludf.DUMMYFUNCTION("""COMPUTED_VALUE"""),17)</f>
        <v>17</v>
      </c>
      <c r="E169" t="str">
        <f ca="1">IFERROR(__xludf.DUMMYFUNCTION("""COMPUTED_VALUE"""),"8' 10""")</f>
        <v>8' 10"</v>
      </c>
      <c r="F169">
        <f ca="1">IFERROR(__xludf.DUMMYFUNCTION("""COMPUTED_VALUE"""),929.75)</f>
        <v>929.75</v>
      </c>
      <c r="G169">
        <f ca="1">IFERROR(__xludf.DUMMYFUNCTION("""COMPUTED_VALUE"""),105)</f>
        <v>105</v>
      </c>
      <c r="H169">
        <f ca="1">IFERROR(__xludf.DUMMYFUNCTION("""COMPUTED_VALUE"""),109)</f>
        <v>109</v>
      </c>
    </row>
    <row r="170" spans="1:8" ht="12.75">
      <c r="A170" t="str">
        <f ca="1">IFERROR(__xludf.DUMMYFUNCTION("""COMPUTED_VALUE"""),"T163")</f>
        <v>T163</v>
      </c>
      <c r="B170" t="str">
        <f ca="1">IFERROR(__xludf.DUMMYFUNCTION("""COMPUTED_VALUE"""),"T167")</f>
        <v>T167</v>
      </c>
      <c r="C170" t="str">
        <f ca="1">IFERROR(__xludf.DUMMYFUNCTION("""COMPUTED_VALUE"""),"Ryan Brehm")</f>
        <v>Ryan Brehm</v>
      </c>
      <c r="D170">
        <f ca="1">IFERROR(__xludf.DUMMYFUNCTION("""COMPUTED_VALUE"""),10)</f>
        <v>10</v>
      </c>
      <c r="E170" t="str">
        <f ca="1">IFERROR(__xludf.DUMMYFUNCTION("""COMPUTED_VALUE"""),"8' 10""")</f>
        <v>8' 10"</v>
      </c>
      <c r="F170">
        <f ca="1">IFERROR(__xludf.DUMMYFUNCTION("""COMPUTED_VALUE"""),70.583)</f>
        <v>70.582999999999998</v>
      </c>
      <c r="G170">
        <f ca="1">IFERROR(__xludf.DUMMYFUNCTION("""COMPUTED_VALUE"""),8)</f>
        <v>8</v>
      </c>
      <c r="H170">
        <f ca="1">IFERROR(__xludf.DUMMYFUNCTION("""COMPUTED_VALUE"""),147)</f>
        <v>147</v>
      </c>
    </row>
    <row r="171" spans="1:8" ht="12.75">
      <c r="A171" t="str">
        <f ca="1">IFERROR(__xludf.DUMMYFUNCTION("""COMPUTED_VALUE"""),"T163")</f>
        <v>T163</v>
      </c>
      <c r="B171" t="str">
        <f ca="1">IFERROR(__xludf.DUMMYFUNCTION("""COMPUTED_VALUE"""),"T167")</f>
        <v>T167</v>
      </c>
      <c r="C171" t="str">
        <f ca="1">IFERROR(__xludf.DUMMYFUNCTION("""COMPUTED_VALUE"""),"Rory McIlroy")</f>
        <v>Rory McIlroy</v>
      </c>
      <c r="D171">
        <f ca="1">IFERROR(__xludf.DUMMYFUNCTION("""COMPUTED_VALUE"""),12)</f>
        <v>12</v>
      </c>
      <c r="E171" t="str">
        <f ca="1">IFERROR(__xludf.DUMMYFUNCTION("""COMPUTED_VALUE"""),"8' 10""")</f>
        <v>8' 10"</v>
      </c>
      <c r="F171">
        <f ca="1">IFERROR(__xludf.DUMMYFUNCTION("""COMPUTED_VALUE"""),722.417)</f>
        <v>722.41700000000003</v>
      </c>
      <c r="G171">
        <f ca="1">IFERROR(__xludf.DUMMYFUNCTION("""COMPUTED_VALUE"""),82)</f>
        <v>82</v>
      </c>
      <c r="H171">
        <f ca="1">IFERROR(__xludf.DUMMYFUNCTION("""COMPUTED_VALUE"""),228)</f>
        <v>228</v>
      </c>
    </row>
    <row r="172" spans="1:8" ht="12.75">
      <c r="A172" t="str">
        <f ca="1">IFERROR(__xludf.DUMMYFUNCTION("""COMPUTED_VALUE"""),"T171")</f>
        <v>T171</v>
      </c>
      <c r="B172" t="str">
        <f ca="1">IFERROR(__xludf.DUMMYFUNCTION("""COMPUTED_VALUE"""),"")</f>
        <v/>
      </c>
      <c r="C172" t="str">
        <f ca="1">IFERROR(__xludf.DUMMYFUNCTION("""COMPUTED_VALUE"""),"Dawie van der Walt")</f>
        <v>Dawie van der Walt</v>
      </c>
      <c r="D172">
        <f ca="1">IFERROR(__xludf.DUMMYFUNCTION("""COMPUTED_VALUE"""),4)</f>
        <v>4</v>
      </c>
      <c r="E172" t="str">
        <f ca="1">IFERROR(__xludf.DUMMYFUNCTION("""COMPUTED_VALUE"""),"8' 11""")</f>
        <v>8' 11"</v>
      </c>
      <c r="F172">
        <f ca="1">IFERROR(__xludf.DUMMYFUNCTION("""COMPUTED_VALUE"""),205.667)</f>
        <v>205.667</v>
      </c>
      <c r="G172">
        <f ca="1">IFERROR(__xludf.DUMMYFUNCTION("""COMPUTED_VALUE"""),23)</f>
        <v>23</v>
      </c>
      <c r="H172">
        <f ca="1">IFERROR(__xludf.DUMMYFUNCTION("""COMPUTED_VALUE"""),102)</f>
        <v>102</v>
      </c>
    </row>
    <row r="173" spans="1:8" ht="12.75">
      <c r="A173" t="str">
        <f ca="1">IFERROR(__xludf.DUMMYFUNCTION("""COMPUTED_VALUE"""),"T171")</f>
        <v>T171</v>
      </c>
      <c r="B173" t="str">
        <f ca="1">IFERROR(__xludf.DUMMYFUNCTION("""COMPUTED_VALUE"""),"T173")</f>
        <v>T173</v>
      </c>
      <c r="C173" t="str">
        <f ca="1">IFERROR(__xludf.DUMMYFUNCTION("""COMPUTED_VALUE"""),"Nelson Ledesma")</f>
        <v>Nelson Ledesma</v>
      </c>
      <c r="D173">
        <f ca="1">IFERROR(__xludf.DUMMYFUNCTION("""COMPUTED_VALUE"""),8)</f>
        <v>8</v>
      </c>
      <c r="E173" t="str">
        <f ca="1">IFERROR(__xludf.DUMMYFUNCTION("""COMPUTED_VALUE"""),"8' 11""")</f>
        <v>8' 11"</v>
      </c>
      <c r="F173">
        <f ca="1">IFERROR(__xludf.DUMMYFUNCTION("""COMPUTED_VALUE"""),205.25)</f>
        <v>205.25</v>
      </c>
      <c r="G173">
        <f ca="1">IFERROR(__xludf.DUMMYFUNCTION("""COMPUTED_VALUE"""),23)</f>
        <v>23</v>
      </c>
      <c r="H173">
        <f ca="1">IFERROR(__xludf.DUMMYFUNCTION("""COMPUTED_VALUE"""),201)</f>
        <v>201</v>
      </c>
    </row>
    <row r="174" spans="1:8" ht="12.75">
      <c r="A174" t="str">
        <f ca="1">IFERROR(__xludf.DUMMYFUNCTION("""COMPUTED_VALUE"""),"T171")</f>
        <v>T171</v>
      </c>
      <c r="B174" t="str">
        <f ca="1">IFERROR(__xludf.DUMMYFUNCTION("""COMPUTED_VALUE"""),"T173")</f>
        <v>T173</v>
      </c>
      <c r="C174" t="str">
        <f ca="1">IFERROR(__xludf.DUMMYFUNCTION("""COMPUTED_VALUE"""),"Andy Zhang")</f>
        <v>Andy Zhang</v>
      </c>
      <c r="D174">
        <f ca="1">IFERROR(__xludf.DUMMYFUNCTION("""COMPUTED_VALUE"""),4)</f>
        <v>4</v>
      </c>
      <c r="E174" t="str">
        <f ca="1">IFERROR(__xludf.DUMMYFUNCTION("""COMPUTED_VALUE"""),"8' 11""")</f>
        <v>8' 11"</v>
      </c>
      <c r="F174">
        <f ca="1">IFERROR(__xludf.DUMMYFUNCTION("""COMPUTED_VALUE"""),178.167)</f>
        <v>178.167</v>
      </c>
      <c r="G174">
        <f ca="1">IFERROR(__xludf.DUMMYFUNCTION("""COMPUTED_VALUE"""),20)</f>
        <v>20</v>
      </c>
      <c r="H174">
        <f ca="1">IFERROR(__xludf.DUMMYFUNCTION("""COMPUTED_VALUE"""),235)</f>
        <v>235</v>
      </c>
    </row>
    <row r="175" spans="1:8" ht="12.75">
      <c r="A175" t="str">
        <f ca="1">IFERROR(__xludf.DUMMYFUNCTION("""COMPUTED_VALUE"""),"T171")</f>
        <v>T171</v>
      </c>
      <c r="B175" t="str">
        <f ca="1">IFERROR(__xludf.DUMMYFUNCTION("""COMPUTED_VALUE"""),"T185")</f>
        <v>T185</v>
      </c>
      <c r="C175" t="str">
        <f ca="1">IFERROR(__xludf.DUMMYFUNCTION("""COMPUTED_VALUE"""),"Sam Burns")</f>
        <v>Sam Burns</v>
      </c>
      <c r="D175">
        <f ca="1">IFERROR(__xludf.DUMMYFUNCTION("""COMPUTED_VALUE"""),18)</f>
        <v>18</v>
      </c>
      <c r="E175" t="str">
        <f ca="1">IFERROR(__xludf.DUMMYFUNCTION("""COMPUTED_VALUE"""),"8' 11""")</f>
        <v>8' 11"</v>
      </c>
      <c r="F175">
        <f ca="1">IFERROR(__xludf.DUMMYFUNCTION("""COMPUTED_VALUE"""),697.5)</f>
        <v>697.5</v>
      </c>
      <c r="G175">
        <f ca="1">IFERROR(__xludf.DUMMYFUNCTION("""COMPUTED_VALUE"""),78)</f>
        <v>78</v>
      </c>
      <c r="H175">
        <f ca="1">IFERROR(__xludf.DUMMYFUNCTION("""COMPUTED_VALUE"""),229)</f>
        <v>229</v>
      </c>
    </row>
    <row r="176" spans="1:8" ht="12.75">
      <c r="A176" t="str">
        <f ca="1">IFERROR(__xludf.DUMMYFUNCTION("""COMPUTED_VALUE"""),"T175")</f>
        <v>T175</v>
      </c>
      <c r="B176" t="str">
        <f ca="1">IFERROR(__xludf.DUMMYFUNCTION("""COMPUTED_VALUE"""),"T175")</f>
        <v>T175</v>
      </c>
      <c r="C176" t="str">
        <f ca="1">IFERROR(__xludf.DUMMYFUNCTION("""COMPUTED_VALUE"""),"Justin Suh")</f>
        <v>Justin Suh</v>
      </c>
      <c r="D176">
        <f ca="1">IFERROR(__xludf.DUMMYFUNCTION("""COMPUTED_VALUE"""),10)</f>
        <v>10</v>
      </c>
      <c r="E176" t="str">
        <f ca="1">IFERROR(__xludf.DUMMYFUNCTION("""COMPUTED_VALUE"""),"9' 0""")</f>
        <v>9' 0"</v>
      </c>
      <c r="F176">
        <f ca="1">IFERROR(__xludf.DUMMYFUNCTION("""COMPUTED_VALUE"""),98.917)</f>
        <v>98.917000000000002</v>
      </c>
      <c r="G176">
        <f ca="1">IFERROR(__xludf.DUMMYFUNCTION("""COMPUTED_VALUE"""),11)</f>
        <v>11</v>
      </c>
      <c r="H176">
        <f ca="1">IFERROR(__xludf.DUMMYFUNCTION("""COMPUTED_VALUE"""),215)</f>
        <v>215</v>
      </c>
    </row>
    <row r="177" spans="1:8" ht="12.75">
      <c r="A177" t="str">
        <f ca="1">IFERROR(__xludf.DUMMYFUNCTION("""COMPUTED_VALUE"""),"T175")</f>
        <v>T175</v>
      </c>
      <c r="B177" t="str">
        <f ca="1">IFERROR(__xludf.DUMMYFUNCTION("""COMPUTED_VALUE"""),"T179")</f>
        <v>T179</v>
      </c>
      <c r="C177" t="str">
        <f ca="1">IFERROR(__xludf.DUMMYFUNCTION("""COMPUTED_VALUE"""),"Tyrrell Hatton")</f>
        <v>Tyrrell Hatton</v>
      </c>
      <c r="D177">
        <f ca="1">IFERROR(__xludf.DUMMYFUNCTION("""COMPUTED_VALUE"""),14)</f>
        <v>14</v>
      </c>
      <c r="E177" t="str">
        <f ca="1">IFERROR(__xludf.DUMMYFUNCTION("""COMPUTED_VALUE"""),"9' 0""")</f>
        <v>9' 0"</v>
      </c>
      <c r="F177">
        <f ca="1">IFERROR(__xludf.DUMMYFUNCTION("""COMPUTED_VALUE"""),703)</f>
        <v>703</v>
      </c>
      <c r="G177">
        <f ca="1">IFERROR(__xludf.DUMMYFUNCTION("""COMPUTED_VALUE"""),78)</f>
        <v>78</v>
      </c>
      <c r="H177">
        <f ca="1">IFERROR(__xludf.DUMMYFUNCTION("""COMPUTED_VALUE"""),189)</f>
        <v>189</v>
      </c>
    </row>
    <row r="178" spans="1:8" ht="12.75">
      <c r="A178" t="str">
        <f ca="1">IFERROR(__xludf.DUMMYFUNCTION("""COMPUTED_VALUE"""),"T175")</f>
        <v>T175</v>
      </c>
      <c r="B178" t="str">
        <f ca="1">IFERROR(__xludf.DUMMYFUNCTION("""COMPUTED_VALUE"""),"T194")</f>
        <v>T194</v>
      </c>
      <c r="C178" t="str">
        <f ca="1">IFERROR(__xludf.DUMMYFUNCTION("""COMPUTED_VALUE"""),"Branden Grace")</f>
        <v>Branden Grace</v>
      </c>
      <c r="D178">
        <f ca="1">IFERROR(__xludf.DUMMYFUNCTION("""COMPUTED_VALUE"""),16)</f>
        <v>16</v>
      </c>
      <c r="E178" t="str">
        <f ca="1">IFERROR(__xludf.DUMMYFUNCTION("""COMPUTED_VALUE"""),"9' 0""")</f>
        <v>9' 0"</v>
      </c>
      <c r="F178">
        <f ca="1">IFERROR(__xludf.DUMMYFUNCTION("""COMPUTED_VALUE"""),567.25)</f>
        <v>567.25</v>
      </c>
      <c r="G178">
        <f ca="1">IFERROR(__xludf.DUMMYFUNCTION("""COMPUTED_VALUE"""),63)</f>
        <v>63</v>
      </c>
      <c r="H178">
        <f ca="1">IFERROR(__xludf.DUMMYFUNCTION("""COMPUTED_VALUE"""),246)</f>
        <v>246</v>
      </c>
    </row>
    <row r="179" spans="1:8" ht="12.75">
      <c r="A179" t="str">
        <f ca="1">IFERROR(__xludf.DUMMYFUNCTION("""COMPUTED_VALUE"""),"T175")</f>
        <v>T175</v>
      </c>
      <c r="B179" t="str">
        <f ca="1">IFERROR(__xludf.DUMMYFUNCTION("""COMPUTED_VALUE"""),"T58")</f>
        <v>T58</v>
      </c>
      <c r="C179" t="str">
        <f ca="1">IFERROR(__xludf.DUMMYFUNCTION("""COMPUTED_VALUE"""),"Kevin Chappell")</f>
        <v>Kevin Chappell</v>
      </c>
      <c r="D179">
        <f ca="1">IFERROR(__xludf.DUMMYFUNCTION("""COMPUTED_VALUE"""),16)</f>
        <v>16</v>
      </c>
      <c r="E179" t="str">
        <f ca="1">IFERROR(__xludf.DUMMYFUNCTION("""COMPUTED_VALUE"""),"9' 0""")</f>
        <v>9' 0"</v>
      </c>
      <c r="F179">
        <f ca="1">IFERROR(__xludf.DUMMYFUNCTION("""COMPUTED_VALUE"""),722.75)</f>
        <v>722.75</v>
      </c>
      <c r="G179">
        <f ca="1">IFERROR(__xludf.DUMMYFUNCTION("""COMPUTED_VALUE"""),80)</f>
        <v>80</v>
      </c>
      <c r="H179">
        <f ca="1">IFERROR(__xludf.DUMMYFUNCTION("""COMPUTED_VALUE"""),106)</f>
        <v>106</v>
      </c>
    </row>
    <row r="180" spans="1:8" ht="12.75">
      <c r="A180" t="str">
        <f ca="1">IFERROR(__xludf.DUMMYFUNCTION("""COMPUTED_VALUE"""),"T175")</f>
        <v>T175</v>
      </c>
      <c r="B180" t="str">
        <f ca="1">IFERROR(__xludf.DUMMYFUNCTION("""COMPUTED_VALUE"""),"T185")</f>
        <v>T185</v>
      </c>
      <c r="C180" t="str">
        <f ca="1">IFERROR(__xludf.DUMMYFUNCTION("""COMPUTED_VALUE"""),"Michael Thompson")</f>
        <v>Michael Thompson</v>
      </c>
      <c r="D180">
        <f ca="1">IFERROR(__xludf.DUMMYFUNCTION("""COMPUTED_VALUE"""),16)</f>
        <v>16</v>
      </c>
      <c r="E180" t="str">
        <f ca="1">IFERROR(__xludf.DUMMYFUNCTION("""COMPUTED_VALUE"""),"9' 0""")</f>
        <v>9' 0"</v>
      </c>
      <c r="F180" s="2">
        <f ca="1">IFERROR(__xludf.DUMMYFUNCTION("""COMPUTED_VALUE"""),1066.5)</f>
        <v>1066.5</v>
      </c>
      <c r="G180">
        <f ca="1">IFERROR(__xludf.DUMMYFUNCTION("""COMPUTED_VALUE"""),119)</f>
        <v>119</v>
      </c>
      <c r="H180">
        <f ca="1">IFERROR(__xludf.DUMMYFUNCTION("""COMPUTED_VALUE"""),244)</f>
        <v>244</v>
      </c>
    </row>
    <row r="181" spans="1:8" ht="12.75">
      <c r="A181" t="str">
        <f ca="1">IFERROR(__xludf.DUMMYFUNCTION("""COMPUTED_VALUE"""),"T175")</f>
        <v>T175</v>
      </c>
      <c r="B181" t="str">
        <f ca="1">IFERROR(__xludf.DUMMYFUNCTION("""COMPUTED_VALUE"""),"T175")</f>
        <v>T175</v>
      </c>
      <c r="C181" t="str">
        <f ca="1">IFERROR(__xludf.DUMMYFUNCTION("""COMPUTED_VALUE"""),"Nick Watney")</f>
        <v>Nick Watney</v>
      </c>
      <c r="D181">
        <f ca="1">IFERROR(__xludf.DUMMYFUNCTION("""COMPUTED_VALUE"""),10)</f>
        <v>10</v>
      </c>
      <c r="E181" t="str">
        <f ca="1">IFERROR(__xludf.DUMMYFUNCTION("""COMPUTED_VALUE"""),"9' 0""")</f>
        <v>9' 0"</v>
      </c>
      <c r="F181">
        <f ca="1">IFERROR(__xludf.DUMMYFUNCTION("""COMPUTED_VALUE"""),385.333)</f>
        <v>385.33300000000003</v>
      </c>
      <c r="G181">
        <f ca="1">IFERROR(__xludf.DUMMYFUNCTION("""COMPUTED_VALUE"""),43)</f>
        <v>43</v>
      </c>
      <c r="H181">
        <f ca="1">IFERROR(__xludf.DUMMYFUNCTION("""COMPUTED_VALUE"""),41)</f>
        <v>41</v>
      </c>
    </row>
    <row r="182" spans="1:8" ht="12.75">
      <c r="A182" t="str">
        <f ca="1">IFERROR(__xludf.DUMMYFUNCTION("""COMPUTED_VALUE"""),"T175")</f>
        <v>T175</v>
      </c>
      <c r="B182" t="str">
        <f ca="1">IFERROR(__xludf.DUMMYFUNCTION("""COMPUTED_VALUE"""),"T83")</f>
        <v>T83</v>
      </c>
      <c r="C182" t="str">
        <f ca="1">IFERROR(__xludf.DUMMYFUNCTION("""COMPUTED_VALUE"""),"Luke Donald")</f>
        <v>Luke Donald</v>
      </c>
      <c r="D182">
        <f ca="1">IFERROR(__xludf.DUMMYFUNCTION("""COMPUTED_VALUE"""),14)</f>
        <v>14</v>
      </c>
      <c r="E182" t="str">
        <f ca="1">IFERROR(__xludf.DUMMYFUNCTION("""COMPUTED_VALUE"""),"9' 0""")</f>
        <v>9' 0"</v>
      </c>
      <c r="F182">
        <f ca="1">IFERROR(__xludf.DUMMYFUNCTION("""COMPUTED_VALUE"""),538.417)</f>
        <v>538.41700000000003</v>
      </c>
      <c r="G182">
        <f ca="1">IFERROR(__xludf.DUMMYFUNCTION("""COMPUTED_VALUE"""),60)</f>
        <v>60</v>
      </c>
      <c r="H182">
        <f ca="1">IFERROR(__xludf.DUMMYFUNCTION("""COMPUTED_VALUE"""),254)</f>
        <v>254</v>
      </c>
    </row>
    <row r="183" spans="1:8" ht="12.75">
      <c r="A183" t="str">
        <f ca="1">IFERROR(__xludf.DUMMYFUNCTION("""COMPUTED_VALUE"""),"T175")</f>
        <v>T175</v>
      </c>
      <c r="B183" t="str">
        <f ca="1">IFERROR(__xludf.DUMMYFUNCTION("""COMPUTED_VALUE"""),"T179")</f>
        <v>T179</v>
      </c>
      <c r="C183" t="str">
        <f ca="1">IFERROR(__xludf.DUMMYFUNCTION("""COMPUTED_VALUE"""),"Henrik Stenson")</f>
        <v>Henrik Stenson</v>
      </c>
      <c r="D183">
        <f ca="1">IFERROR(__xludf.DUMMYFUNCTION("""COMPUTED_VALUE"""),11)</f>
        <v>11</v>
      </c>
      <c r="E183" t="str">
        <f ca="1">IFERROR(__xludf.DUMMYFUNCTION("""COMPUTED_VALUE"""),"9' 0""")</f>
        <v>9' 0"</v>
      </c>
      <c r="F183">
        <f ca="1">IFERROR(__xludf.DUMMYFUNCTION("""COMPUTED_VALUE"""),350.75)</f>
        <v>350.75</v>
      </c>
      <c r="G183">
        <f ca="1">IFERROR(__xludf.DUMMYFUNCTION("""COMPUTED_VALUE"""),39)</f>
        <v>39</v>
      </c>
      <c r="H183">
        <f ca="1">IFERROR(__xludf.DUMMYFUNCTION("""COMPUTED_VALUE"""),26)</f>
        <v>26</v>
      </c>
    </row>
    <row r="184" spans="1:8" ht="12.75">
      <c r="A184" t="str">
        <f ca="1">IFERROR(__xludf.DUMMYFUNCTION("""COMPUTED_VALUE"""),"T183")</f>
        <v>T183</v>
      </c>
      <c r="B184" t="str">
        <f ca="1">IFERROR(__xludf.DUMMYFUNCTION("""COMPUTED_VALUE"""),"T179")</f>
        <v>T179</v>
      </c>
      <c r="C184" t="str">
        <f ca="1">IFERROR(__xludf.DUMMYFUNCTION("""COMPUTED_VALUE"""),"Ryan Palmer")</f>
        <v>Ryan Palmer</v>
      </c>
      <c r="D184">
        <f ca="1">IFERROR(__xludf.DUMMYFUNCTION("""COMPUTED_VALUE"""),14)</f>
        <v>14</v>
      </c>
      <c r="E184" t="str">
        <f ca="1">IFERROR(__xludf.DUMMYFUNCTION("""COMPUTED_VALUE"""),"9' 1""")</f>
        <v>9' 1"</v>
      </c>
      <c r="F184">
        <f ca="1">IFERROR(__xludf.DUMMYFUNCTION("""COMPUTED_VALUE"""),753)</f>
        <v>753</v>
      </c>
      <c r="G184">
        <f ca="1">IFERROR(__xludf.DUMMYFUNCTION("""COMPUTED_VALUE"""),83)</f>
        <v>83</v>
      </c>
      <c r="H184">
        <f ca="1">IFERROR(__xludf.DUMMYFUNCTION("""COMPUTED_VALUE"""),171)</f>
        <v>171</v>
      </c>
    </row>
    <row r="185" spans="1:8" ht="12.75">
      <c r="A185" t="str">
        <f ca="1">IFERROR(__xludf.DUMMYFUNCTION("""COMPUTED_VALUE"""),"T183")</f>
        <v>T183</v>
      </c>
      <c r="B185" t="str">
        <f ca="1">IFERROR(__xludf.DUMMYFUNCTION("""COMPUTED_VALUE"""),"T194")</f>
        <v>T194</v>
      </c>
      <c r="C185" t="str">
        <f ca="1">IFERROR(__xludf.DUMMYFUNCTION("""COMPUTED_VALUE"""),"Alex Noren")</f>
        <v>Alex Noren</v>
      </c>
      <c r="D185">
        <f ca="1">IFERROR(__xludf.DUMMYFUNCTION("""COMPUTED_VALUE"""),14)</f>
        <v>14</v>
      </c>
      <c r="E185" t="str">
        <f ca="1">IFERROR(__xludf.DUMMYFUNCTION("""COMPUTED_VALUE"""),"9' 1""")</f>
        <v>9' 1"</v>
      </c>
      <c r="F185">
        <f ca="1">IFERROR(__xludf.DUMMYFUNCTION("""COMPUTED_VALUE"""),908.333)</f>
        <v>908.33299999999997</v>
      </c>
      <c r="G185">
        <f ca="1">IFERROR(__xludf.DUMMYFUNCTION("""COMPUTED_VALUE"""),100)</f>
        <v>100</v>
      </c>
      <c r="H185">
        <f ca="1">IFERROR(__xludf.DUMMYFUNCTION("""COMPUTED_VALUE"""),206)</f>
        <v>206</v>
      </c>
    </row>
    <row r="186" spans="1:8" ht="12.75">
      <c r="A186" t="str">
        <f ca="1">IFERROR(__xludf.DUMMYFUNCTION("""COMPUTED_VALUE"""),"T183")</f>
        <v>T183</v>
      </c>
      <c r="B186" t="str">
        <f ca="1">IFERROR(__xludf.DUMMYFUNCTION("""COMPUTED_VALUE"""),"T175")</f>
        <v>T175</v>
      </c>
      <c r="C186" t="str">
        <f ca="1">IFERROR(__xludf.DUMMYFUNCTION("""COMPUTED_VALUE"""),"Scott Piercy")</f>
        <v>Scott Piercy</v>
      </c>
      <c r="D186">
        <f ca="1">IFERROR(__xludf.DUMMYFUNCTION("""COMPUTED_VALUE"""),18)</f>
        <v>18</v>
      </c>
      <c r="E186" t="str">
        <f ca="1">IFERROR(__xludf.DUMMYFUNCTION("""COMPUTED_VALUE"""),"9' 1""")</f>
        <v>9' 1"</v>
      </c>
      <c r="F186">
        <f ca="1">IFERROR(__xludf.DUMMYFUNCTION("""COMPUTED_VALUE"""),819.667)</f>
        <v>819.66700000000003</v>
      </c>
      <c r="G186">
        <f ca="1">IFERROR(__xludf.DUMMYFUNCTION("""COMPUTED_VALUE"""),90)</f>
        <v>90</v>
      </c>
      <c r="H186">
        <f ca="1">IFERROR(__xludf.DUMMYFUNCTION("""COMPUTED_VALUE"""),62)</f>
        <v>62</v>
      </c>
    </row>
    <row r="187" spans="1:8" ht="12.75">
      <c r="A187" t="str">
        <f ca="1">IFERROR(__xludf.DUMMYFUNCTION("""COMPUTED_VALUE"""),"T183")</f>
        <v>T183</v>
      </c>
      <c r="B187" t="str">
        <f ca="1">IFERROR(__xludf.DUMMYFUNCTION("""COMPUTED_VALUE"""),"T83")</f>
        <v>T83</v>
      </c>
      <c r="C187" t="str">
        <f ca="1">IFERROR(__xludf.DUMMYFUNCTION("""COMPUTED_VALUE"""),"Doc Redman")</f>
        <v>Doc Redman</v>
      </c>
      <c r="D187">
        <f ca="1">IFERROR(__xludf.DUMMYFUNCTION("""COMPUTED_VALUE"""),18)</f>
        <v>18</v>
      </c>
      <c r="E187" t="str">
        <f ca="1">IFERROR(__xludf.DUMMYFUNCTION("""COMPUTED_VALUE"""),"9' 1""")</f>
        <v>9' 1"</v>
      </c>
      <c r="F187">
        <f ca="1">IFERROR(__xludf.DUMMYFUNCTION("""COMPUTED_VALUE"""),753.75)</f>
        <v>753.75</v>
      </c>
      <c r="G187">
        <f ca="1">IFERROR(__xludf.DUMMYFUNCTION("""COMPUTED_VALUE"""),83)</f>
        <v>83</v>
      </c>
      <c r="H187">
        <f ca="1">IFERROR(__xludf.DUMMYFUNCTION("""COMPUTED_VALUE"""),55)</f>
        <v>55</v>
      </c>
    </row>
    <row r="188" spans="1:8" ht="12.75">
      <c r="A188" t="str">
        <f ca="1">IFERROR(__xludf.DUMMYFUNCTION("""COMPUTED_VALUE"""),"T183")</f>
        <v>T183</v>
      </c>
      <c r="B188" t="str">
        <f ca="1">IFERROR(__xludf.DUMMYFUNCTION("""COMPUTED_VALUE"""),"T128")</f>
        <v>T128</v>
      </c>
      <c r="C188" t="str">
        <f ca="1">IFERROR(__xludf.DUMMYFUNCTION("""COMPUTED_VALUE"""),"Adam Schenk")</f>
        <v>Adam Schenk</v>
      </c>
      <c r="D188">
        <f ca="1">IFERROR(__xludf.DUMMYFUNCTION("""COMPUTED_VALUE"""),22)</f>
        <v>22</v>
      </c>
      <c r="E188" t="str">
        <f ca="1">IFERROR(__xludf.DUMMYFUNCTION("""COMPUTED_VALUE"""),"9' 1""")</f>
        <v>9' 1"</v>
      </c>
      <c r="F188">
        <f ca="1">IFERROR(__xludf.DUMMYFUNCTION("""COMPUTED_VALUE"""),869)</f>
        <v>869</v>
      </c>
      <c r="G188">
        <f ca="1">IFERROR(__xludf.DUMMYFUNCTION("""COMPUTED_VALUE"""),96)</f>
        <v>96</v>
      </c>
      <c r="H188">
        <f ca="1">IFERROR(__xludf.DUMMYFUNCTION("""COMPUTED_VALUE"""),53)</f>
        <v>53</v>
      </c>
    </row>
    <row r="189" spans="1:8" ht="12.75">
      <c r="A189" t="str">
        <f ca="1">IFERROR(__xludf.DUMMYFUNCTION("""COMPUTED_VALUE"""),"T183")</f>
        <v>T183</v>
      </c>
      <c r="B189" t="str">
        <f ca="1">IFERROR(__xludf.DUMMYFUNCTION("""COMPUTED_VALUE"""),"T179")</f>
        <v>T179</v>
      </c>
      <c r="C189" t="str">
        <f ca="1">IFERROR(__xludf.DUMMYFUNCTION("""COMPUTED_VALUE"""),"Taylor Pendrith")</f>
        <v>Taylor Pendrith</v>
      </c>
      <c r="D189">
        <f ca="1">IFERROR(__xludf.DUMMYFUNCTION("""COMPUTED_VALUE"""),4)</f>
        <v>4</v>
      </c>
      <c r="E189" t="str">
        <f ca="1">IFERROR(__xludf.DUMMYFUNCTION("""COMPUTED_VALUE"""),"9' 1""")</f>
        <v>9' 1"</v>
      </c>
      <c r="F189">
        <f ca="1">IFERROR(__xludf.DUMMYFUNCTION("""COMPUTED_VALUE"""),273.417)</f>
        <v>273.41699999999997</v>
      </c>
      <c r="G189">
        <f ca="1">IFERROR(__xludf.DUMMYFUNCTION("""COMPUTED_VALUE"""),30)</f>
        <v>30</v>
      </c>
      <c r="H189">
        <f ca="1">IFERROR(__xludf.DUMMYFUNCTION("""COMPUTED_VALUE"""),235)</f>
        <v>235</v>
      </c>
    </row>
    <row r="190" spans="1:8" ht="12.75">
      <c r="A190" t="str">
        <f ca="1">IFERROR(__xludf.DUMMYFUNCTION("""COMPUTED_VALUE"""),"T183")</f>
        <v>T183</v>
      </c>
      <c r="B190" t="str">
        <f ca="1">IFERROR(__xludf.DUMMYFUNCTION("""COMPUTED_VALUE"""),"T179")</f>
        <v>T179</v>
      </c>
      <c r="C190" t="str">
        <f ca="1">IFERROR(__xludf.DUMMYFUNCTION("""COMPUTED_VALUE"""),"Richy Werenski")</f>
        <v>Richy Werenski</v>
      </c>
      <c r="D190">
        <f ca="1">IFERROR(__xludf.DUMMYFUNCTION("""COMPUTED_VALUE"""),16)</f>
        <v>16</v>
      </c>
      <c r="E190" t="str">
        <f ca="1">IFERROR(__xludf.DUMMYFUNCTION("""COMPUTED_VALUE"""),"9' 1""")</f>
        <v>9' 1"</v>
      </c>
      <c r="F190" s="2">
        <f ca="1">IFERROR(__xludf.DUMMYFUNCTION("""COMPUTED_VALUE"""),1012.333)</f>
        <v>1012.333</v>
      </c>
      <c r="G190">
        <f ca="1">IFERROR(__xludf.DUMMYFUNCTION("""COMPUTED_VALUE"""),111)</f>
        <v>111</v>
      </c>
      <c r="H190">
        <f ca="1">IFERROR(__xludf.DUMMYFUNCTION("""COMPUTED_VALUE"""),112)</f>
        <v>112</v>
      </c>
    </row>
    <row r="191" spans="1:8" ht="12.75">
      <c r="A191" t="str">
        <f ca="1">IFERROR(__xludf.DUMMYFUNCTION("""COMPUTED_VALUE"""),"T190")</f>
        <v>T190</v>
      </c>
      <c r="B191" t="str">
        <f ca="1">IFERROR(__xludf.DUMMYFUNCTION("""COMPUTED_VALUE"""),"")</f>
        <v/>
      </c>
      <c r="C191" t="str">
        <f ca="1">IFERROR(__xludf.DUMMYFUNCTION("""COMPUTED_VALUE"""),"Erik Barnes")</f>
        <v>Erik Barnes</v>
      </c>
      <c r="D191">
        <f ca="1">IFERROR(__xludf.DUMMYFUNCTION("""COMPUTED_VALUE"""),4)</f>
        <v>4</v>
      </c>
      <c r="E191" t="str">
        <f ca="1">IFERROR(__xludf.DUMMYFUNCTION("""COMPUTED_VALUE"""),"9' 2""")</f>
        <v>9' 2"</v>
      </c>
      <c r="F191">
        <f ca="1">IFERROR(__xludf.DUMMYFUNCTION("""COMPUTED_VALUE"""),283.917)</f>
        <v>283.91699999999997</v>
      </c>
      <c r="G191">
        <f ca="1">IFERROR(__xludf.DUMMYFUNCTION("""COMPUTED_VALUE"""),31)</f>
        <v>31</v>
      </c>
      <c r="H191">
        <f ca="1">IFERROR(__xludf.DUMMYFUNCTION("""COMPUTED_VALUE"""),51)</f>
        <v>51</v>
      </c>
    </row>
    <row r="192" spans="1:8" ht="12.75">
      <c r="A192" t="str">
        <f ca="1">IFERROR(__xludf.DUMMYFUNCTION("""COMPUTED_VALUE"""),"T190")</f>
        <v>T190</v>
      </c>
      <c r="B192" t="str">
        <f ca="1">IFERROR(__xludf.DUMMYFUNCTION("""COMPUTED_VALUE"""),"T207")</f>
        <v>T207</v>
      </c>
      <c r="C192" t="str">
        <f ca="1">IFERROR(__xludf.DUMMYFUNCTION("""COMPUTED_VALUE"""),"Kevin Stadler")</f>
        <v>Kevin Stadler</v>
      </c>
      <c r="D192">
        <f ca="1">IFERROR(__xludf.DUMMYFUNCTION("""COMPUTED_VALUE"""),8)</f>
        <v>8</v>
      </c>
      <c r="E192" t="str">
        <f ca="1">IFERROR(__xludf.DUMMYFUNCTION("""COMPUTED_VALUE"""),"9' 2""")</f>
        <v>9' 2"</v>
      </c>
      <c r="F192">
        <f ca="1">IFERROR(__xludf.DUMMYFUNCTION("""COMPUTED_VALUE"""),440.167)</f>
        <v>440.16699999999997</v>
      </c>
      <c r="G192">
        <f ca="1">IFERROR(__xludf.DUMMYFUNCTION("""COMPUTED_VALUE"""),48)</f>
        <v>48</v>
      </c>
      <c r="H192">
        <f ca="1">IFERROR(__xludf.DUMMYFUNCTION("""COMPUTED_VALUE"""),250)</f>
        <v>250</v>
      </c>
    </row>
    <row r="193" spans="1:8" ht="12.75">
      <c r="A193" t="str">
        <f ca="1">IFERROR(__xludf.DUMMYFUNCTION("""COMPUTED_VALUE"""),"T190")</f>
        <v>T190</v>
      </c>
      <c r="B193" t="str">
        <f ca="1">IFERROR(__xludf.DUMMYFUNCTION("""COMPUTED_VALUE"""),"T194")</f>
        <v>T194</v>
      </c>
      <c r="C193" t="str">
        <f ca="1">IFERROR(__xludf.DUMMYFUNCTION("""COMPUTED_VALUE"""),"Sergio Garcia")</f>
        <v>Sergio Garcia</v>
      </c>
      <c r="D193">
        <f ca="1">IFERROR(__xludf.DUMMYFUNCTION("""COMPUTED_VALUE"""),18)</f>
        <v>18</v>
      </c>
      <c r="E193" t="str">
        <f ca="1">IFERROR(__xludf.DUMMYFUNCTION("""COMPUTED_VALUE"""),"9' 2""")</f>
        <v>9' 2"</v>
      </c>
      <c r="F193" s="2">
        <f ca="1">IFERROR(__xludf.DUMMYFUNCTION("""COMPUTED_VALUE"""),1015.917)</f>
        <v>1015.917</v>
      </c>
      <c r="G193">
        <f ca="1">IFERROR(__xludf.DUMMYFUNCTION("""COMPUTED_VALUE"""),111)</f>
        <v>111</v>
      </c>
      <c r="H193">
        <f ca="1">IFERROR(__xludf.DUMMYFUNCTION("""COMPUTED_VALUE"""),88)</f>
        <v>88</v>
      </c>
    </row>
    <row r="194" spans="1:8" ht="12.75">
      <c r="A194" t="str">
        <f ca="1">IFERROR(__xludf.DUMMYFUNCTION("""COMPUTED_VALUE"""),"T190")</f>
        <v>T190</v>
      </c>
      <c r="B194" t="str">
        <f ca="1">IFERROR(__xludf.DUMMYFUNCTION("""COMPUTED_VALUE"""),"T185")</f>
        <v>T185</v>
      </c>
      <c r="C194" t="str">
        <f ca="1">IFERROR(__xludf.DUMMYFUNCTION("""COMPUTED_VALUE"""),"Gary Woodland")</f>
        <v>Gary Woodland</v>
      </c>
      <c r="D194">
        <f ca="1">IFERROR(__xludf.DUMMYFUNCTION("""COMPUTED_VALUE"""),6)</f>
        <v>6</v>
      </c>
      <c r="E194" t="str">
        <f ca="1">IFERROR(__xludf.DUMMYFUNCTION("""COMPUTED_VALUE"""),"9' 2""")</f>
        <v>9' 2"</v>
      </c>
      <c r="F194">
        <f ca="1">IFERROR(__xludf.DUMMYFUNCTION("""COMPUTED_VALUE"""),431.25)</f>
        <v>431.25</v>
      </c>
      <c r="G194">
        <f ca="1">IFERROR(__xludf.DUMMYFUNCTION("""COMPUTED_VALUE"""),47)</f>
        <v>47</v>
      </c>
      <c r="H194">
        <f ca="1">IFERROR(__xludf.DUMMYFUNCTION("""COMPUTED_VALUE"""),278)</f>
        <v>278</v>
      </c>
    </row>
    <row r="195" spans="1:8" ht="12.75">
      <c r="A195" t="str">
        <f ca="1">IFERROR(__xludf.DUMMYFUNCTION("""COMPUTED_VALUE"""),"T190")</f>
        <v>T190</v>
      </c>
      <c r="B195" t="str">
        <f ca="1">IFERROR(__xludf.DUMMYFUNCTION("""COMPUTED_VALUE"""),"T188")</f>
        <v>T188</v>
      </c>
      <c r="C195" t="str">
        <f ca="1">IFERROR(__xludf.DUMMYFUNCTION("""COMPUTED_VALUE"""),"Sung Kang")</f>
        <v>Sung Kang</v>
      </c>
      <c r="D195">
        <f ca="1">IFERROR(__xludf.DUMMYFUNCTION("""COMPUTED_VALUE"""),14)</f>
        <v>14</v>
      </c>
      <c r="E195" t="str">
        <f ca="1">IFERROR(__xludf.DUMMYFUNCTION("""COMPUTED_VALUE"""),"9' 2""")</f>
        <v>9' 2"</v>
      </c>
      <c r="F195">
        <f ca="1">IFERROR(__xludf.DUMMYFUNCTION("""COMPUTED_VALUE"""),874)</f>
        <v>874</v>
      </c>
      <c r="G195">
        <f ca="1">IFERROR(__xludf.DUMMYFUNCTION("""COMPUTED_VALUE"""),95)</f>
        <v>95</v>
      </c>
      <c r="H195">
        <f ca="1">IFERROR(__xludf.DUMMYFUNCTION("""COMPUTED_VALUE"""),281)</f>
        <v>281</v>
      </c>
    </row>
    <row r="196" spans="1:8" ht="12.75">
      <c r="A196" t="str">
        <f ca="1">IFERROR(__xludf.DUMMYFUNCTION("""COMPUTED_VALUE"""),"T195")</f>
        <v>T195</v>
      </c>
      <c r="B196" t="str">
        <f ca="1">IFERROR(__xludf.DUMMYFUNCTION("""COMPUTED_VALUE"""),"T142")</f>
        <v>T142</v>
      </c>
      <c r="C196" t="str">
        <f ca="1">IFERROR(__xludf.DUMMYFUNCTION("""COMPUTED_VALUE"""),"Henrik Norlander")</f>
        <v>Henrik Norlander</v>
      </c>
      <c r="D196">
        <f ca="1">IFERROR(__xludf.DUMMYFUNCTION("""COMPUTED_VALUE"""),16)</f>
        <v>16</v>
      </c>
      <c r="E196" t="str">
        <f ca="1">IFERROR(__xludf.DUMMYFUNCTION("""COMPUTED_VALUE"""),"9' 3""")</f>
        <v>9' 3"</v>
      </c>
      <c r="F196">
        <f ca="1">IFERROR(__xludf.DUMMYFUNCTION("""COMPUTED_VALUE"""),561.75)</f>
        <v>561.75</v>
      </c>
      <c r="G196">
        <f ca="1">IFERROR(__xludf.DUMMYFUNCTION("""COMPUTED_VALUE"""),61)</f>
        <v>61</v>
      </c>
      <c r="H196">
        <f ca="1">IFERROR(__xludf.DUMMYFUNCTION("""COMPUTED_VALUE"""),256)</f>
        <v>256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IFERROR(__xludf.DUMMYFUNCTION("""COMPUTED_VALUE"""),"T188")</f>
        <v>T188</v>
      </c>
      <c r="C197" t="str">
        <f ca="1">IFERROR(__xludf.DUMMYFUNCTION("""COMPUTED_VALUE"""),"Nick Taylor")</f>
        <v>Nick Taylor</v>
      </c>
      <c r="D197">
        <f ca="1">IFERROR(__xludf.DUMMYFUNCTION("""COMPUTED_VALUE"""),12)</f>
        <v>12</v>
      </c>
      <c r="E197" t="str">
        <f ca="1">IFERROR(__xludf.DUMMYFUNCTION("""COMPUTED_VALUE"""),"9' 3""")</f>
        <v>9' 3"</v>
      </c>
      <c r="F197">
        <f ca="1">IFERROR(__xludf.DUMMYFUNCTION("""COMPUTED_VALUE"""),733.417)</f>
        <v>733.41700000000003</v>
      </c>
      <c r="G197">
        <f ca="1">IFERROR(__xludf.DUMMYFUNCTION("""COMPUTED_VALUE"""),79)</f>
        <v>79</v>
      </c>
      <c r="H197">
        <f ca="1">IFERROR(__xludf.DUMMYFUNCTION("""COMPUTED_VALUE"""),188)</f>
        <v>188</v>
      </c>
    </row>
    <row r="198" spans="1:8" ht="12.75">
      <c r="A198" t="str">
        <f ca="1">IFERROR(__xludf.DUMMYFUNCTION("""COMPUTED_VALUE"""),"T195")</f>
        <v>T195</v>
      </c>
      <c r="B198" t="str">
        <f ca="1">IFERROR(__xludf.DUMMYFUNCTION("""COMPUTED_VALUE"""),"T188")</f>
        <v>T188</v>
      </c>
      <c r="C198" t="str">
        <f ca="1">IFERROR(__xludf.DUMMYFUNCTION("""COMPUTED_VALUE"""),"Chan Kim")</f>
        <v>Chan Kim</v>
      </c>
      <c r="D198">
        <f ca="1">IFERROR(__xludf.DUMMYFUNCTION("""COMPUTED_VALUE"""),6)</f>
        <v>6</v>
      </c>
      <c r="E198" t="str">
        <f ca="1">IFERROR(__xludf.DUMMYFUNCTION("""COMPUTED_VALUE"""),"9' 3""")</f>
        <v>9' 3"</v>
      </c>
      <c r="F198">
        <f ca="1">IFERROR(__xludf.DUMMYFUNCTION("""COMPUTED_VALUE"""),352.333)</f>
        <v>352.33300000000003</v>
      </c>
      <c r="G198">
        <f ca="1">IFERROR(__xludf.DUMMYFUNCTION("""COMPUTED_VALUE"""),38)</f>
        <v>38</v>
      </c>
      <c r="H198">
        <f ca="1">IFERROR(__xludf.DUMMYFUNCTION("""COMPUTED_VALUE"""),185)</f>
        <v>185</v>
      </c>
    </row>
    <row r="199" spans="1:8" ht="12.75">
      <c r="A199" t="str">
        <f ca="1">IFERROR(__xludf.DUMMYFUNCTION("""COMPUTED_VALUE"""),"T195")</f>
        <v>T195</v>
      </c>
      <c r="B199" t="str">
        <f ca="1">IFERROR(__xludf.DUMMYFUNCTION("""COMPUTED_VALUE"""),"T188")</f>
        <v>T188</v>
      </c>
      <c r="C199" t="str">
        <f ca="1">IFERROR(__xludf.DUMMYFUNCTION("""COMPUTED_VALUE"""),"Jon Rahm")</f>
        <v>Jon Rahm</v>
      </c>
      <c r="D199">
        <f ca="1">IFERROR(__xludf.DUMMYFUNCTION("""COMPUTED_VALUE"""),12)</f>
        <v>12</v>
      </c>
      <c r="E199" t="str">
        <f ca="1">IFERROR(__xludf.DUMMYFUNCTION("""COMPUTED_VALUE"""),"9' 3""")</f>
        <v>9' 3"</v>
      </c>
      <c r="F199">
        <f ca="1">IFERROR(__xludf.DUMMYFUNCTION("""COMPUTED_VALUE"""),686.333)</f>
        <v>686.33299999999997</v>
      </c>
      <c r="G199">
        <f ca="1">IFERROR(__xludf.DUMMYFUNCTION("""COMPUTED_VALUE"""),74)</f>
        <v>74</v>
      </c>
      <c r="H199">
        <f ca="1">IFERROR(__xludf.DUMMYFUNCTION("""COMPUTED_VALUE"""),154)</f>
        <v>154</v>
      </c>
    </row>
    <row r="200" spans="1:8" ht="12.75">
      <c r="A200" t="str">
        <f ca="1">IFERROR(__xludf.DUMMYFUNCTION("""COMPUTED_VALUE"""),"T195")</f>
        <v>T195</v>
      </c>
      <c r="B200" t="str">
        <f ca="1">IFERROR(__xludf.DUMMYFUNCTION("""COMPUTED_VALUE"""),"T194")</f>
        <v>T194</v>
      </c>
      <c r="C200" t="str">
        <f ca="1">IFERROR(__xludf.DUMMYFUNCTION("""COMPUTED_VALUE"""),"Maverick McNealy")</f>
        <v>Maverick McNealy</v>
      </c>
      <c r="D200">
        <f ca="1">IFERROR(__xludf.DUMMYFUNCTION("""COMPUTED_VALUE"""),16)</f>
        <v>16</v>
      </c>
      <c r="E200" t="str">
        <f ca="1">IFERROR(__xludf.DUMMYFUNCTION("""COMPUTED_VALUE"""),"9' 3""")</f>
        <v>9' 3"</v>
      </c>
      <c r="F200">
        <f ca="1">IFERROR(__xludf.DUMMYFUNCTION("""COMPUTED_VALUE"""),622)</f>
        <v>622</v>
      </c>
      <c r="G200">
        <f ca="1">IFERROR(__xludf.DUMMYFUNCTION("""COMPUTED_VALUE"""),67)</f>
        <v>67</v>
      </c>
      <c r="H200">
        <f ca="1">IFERROR(__xludf.DUMMYFUNCTION("""COMPUTED_VALUE"""),36)</f>
        <v>36</v>
      </c>
    </row>
    <row r="201" spans="1:8" ht="12.75">
      <c r="A201" t="str">
        <f ca="1">IFERROR(__xludf.DUMMYFUNCTION("""COMPUTED_VALUE"""),"T195")</f>
        <v>T195</v>
      </c>
      <c r="B201" t="str">
        <f ca="1">IFERROR(__xludf.DUMMYFUNCTION("""COMPUTED_VALUE"""),"T188")</f>
        <v>T188</v>
      </c>
      <c r="C201" t="str">
        <f ca="1">IFERROR(__xludf.DUMMYFUNCTION("""COMPUTED_VALUE"""),"Luke Schniederjans")</f>
        <v>Luke Schniederjans</v>
      </c>
      <c r="D201">
        <f ca="1">IFERROR(__xludf.DUMMYFUNCTION("""COMPUTED_VALUE"""),4)</f>
        <v>4</v>
      </c>
      <c r="E201" t="str">
        <f ca="1">IFERROR(__xludf.DUMMYFUNCTION("""COMPUTED_VALUE"""),"9' 3""")</f>
        <v>9' 3"</v>
      </c>
      <c r="F201">
        <f ca="1">IFERROR(__xludf.DUMMYFUNCTION("""COMPUTED_VALUE"""),120.75)</f>
        <v>120.75</v>
      </c>
      <c r="G201">
        <f ca="1">IFERROR(__xludf.DUMMYFUNCTION("""COMPUTED_VALUE"""),13)</f>
        <v>13</v>
      </c>
      <c r="H201">
        <f ca="1">IFERROR(__xludf.DUMMYFUNCTION("""COMPUTED_VALUE"""),209)</f>
        <v>209</v>
      </c>
    </row>
    <row r="202" spans="1:8" ht="12.75">
      <c r="A202" t="str">
        <f ca="1">IFERROR(__xludf.DUMMYFUNCTION("""COMPUTED_VALUE"""),"T195")</f>
        <v>T195</v>
      </c>
      <c r="B202" t="str">
        <f ca="1">IFERROR(__xludf.DUMMYFUNCTION("""COMPUTED_VALUE"""),"T175")</f>
        <v>T175</v>
      </c>
      <c r="C202" t="str">
        <f ca="1">IFERROR(__xludf.DUMMYFUNCTION("""COMPUTED_VALUE"""),"Will Gordon")</f>
        <v>Will Gordon</v>
      </c>
      <c r="D202">
        <f ca="1">IFERROR(__xludf.DUMMYFUNCTION("""COMPUTED_VALUE"""),20)</f>
        <v>20</v>
      </c>
      <c r="E202" t="str">
        <f ca="1">IFERROR(__xludf.DUMMYFUNCTION("""COMPUTED_VALUE"""),"9' 3""")</f>
        <v>9' 3"</v>
      </c>
      <c r="F202">
        <f ca="1">IFERROR(__xludf.DUMMYFUNCTION("""COMPUTED_VALUE"""),732.333)</f>
        <v>732.33299999999997</v>
      </c>
      <c r="G202">
        <f ca="1">IFERROR(__xludf.DUMMYFUNCTION("""COMPUTED_VALUE"""),79)</f>
        <v>79</v>
      </c>
      <c r="H202">
        <f ca="1">IFERROR(__xludf.DUMMYFUNCTION("""COMPUTED_VALUE"""),222)</f>
        <v>222</v>
      </c>
    </row>
    <row r="203" spans="1:8" ht="12.75">
      <c r="A203" t="str">
        <f ca="1">IFERROR(__xludf.DUMMYFUNCTION("""COMPUTED_VALUE"""),"T195")</f>
        <v>T195</v>
      </c>
      <c r="B203" t="str">
        <f ca="1">IFERROR(__xludf.DUMMYFUNCTION("""COMPUTED_VALUE"""),"T179")</f>
        <v>T179</v>
      </c>
      <c r="C203" t="str">
        <f ca="1">IFERROR(__xludf.DUMMYFUNCTION("""COMPUTED_VALUE"""),"Isaiah Salinda")</f>
        <v>Isaiah Salinda</v>
      </c>
      <c r="D203">
        <f ca="1">IFERROR(__xludf.DUMMYFUNCTION("""COMPUTED_VALUE"""),8)</f>
        <v>8</v>
      </c>
      <c r="E203" t="str">
        <f ca="1">IFERROR(__xludf.DUMMYFUNCTION("""COMPUTED_VALUE"""),"9' 3""")</f>
        <v>9' 3"</v>
      </c>
      <c r="F203">
        <f ca="1">IFERROR(__xludf.DUMMYFUNCTION("""COMPUTED_VALUE"""),333.667)</f>
        <v>333.66699999999997</v>
      </c>
      <c r="G203">
        <f ca="1">IFERROR(__xludf.DUMMYFUNCTION("""COMPUTED_VALUE"""),36)</f>
        <v>36</v>
      </c>
      <c r="H203">
        <f ca="1">IFERROR(__xludf.DUMMYFUNCTION("""COMPUTED_VALUE"""),143)</f>
        <v>143</v>
      </c>
    </row>
    <row r="204" spans="1:8" ht="12.75">
      <c r="A204" t="str">
        <f ca="1">IFERROR(__xludf.DUMMYFUNCTION("""COMPUTED_VALUE"""),"T203")</f>
        <v>T203</v>
      </c>
      <c r="B204" t="str">
        <f ca="1">IFERROR(__xludf.DUMMYFUNCTION("""COMPUTED_VALUE"""),"T194")</f>
        <v>T194</v>
      </c>
      <c r="C204" t="str">
        <f ca="1">IFERROR(__xludf.DUMMYFUNCTION("""COMPUTED_VALUE"""),"Will Zalatoris")</f>
        <v>Will Zalatoris</v>
      </c>
      <c r="D204">
        <f ca="1">IFERROR(__xludf.DUMMYFUNCTION("""COMPUTED_VALUE"""),18)</f>
        <v>18</v>
      </c>
      <c r="E204" t="str">
        <f ca="1">IFERROR(__xludf.DUMMYFUNCTION("""COMPUTED_VALUE"""),"9' 4""")</f>
        <v>9' 4"</v>
      </c>
      <c r="F204">
        <f ca="1">IFERROR(__xludf.DUMMYFUNCTION("""COMPUTED_VALUE"""),595.917)</f>
        <v>595.91700000000003</v>
      </c>
      <c r="G204">
        <f ca="1">IFERROR(__xludf.DUMMYFUNCTION("""COMPUTED_VALUE"""),64)</f>
        <v>64</v>
      </c>
      <c r="H204">
        <f ca="1">IFERROR(__xludf.DUMMYFUNCTION("""COMPUTED_VALUE"""),48)</f>
        <v>48</v>
      </c>
    </row>
    <row r="205" spans="1:8" ht="12.75">
      <c r="A205" t="str">
        <f ca="1">IFERROR(__xludf.DUMMYFUNCTION("""COMPUTED_VALUE"""),"T203")</f>
        <v>T203</v>
      </c>
      <c r="B205" t="str">
        <f ca="1">IFERROR(__xludf.DUMMYFUNCTION("""COMPUTED_VALUE"""),"T194")</f>
        <v>T194</v>
      </c>
      <c r="C205" t="str">
        <f ca="1">IFERROR(__xludf.DUMMYFUNCTION("""COMPUTED_VALUE"""),"Matt Kuchar")</f>
        <v>Matt Kuchar</v>
      </c>
      <c r="D205">
        <f ca="1">IFERROR(__xludf.DUMMYFUNCTION("""COMPUTED_VALUE"""),14)</f>
        <v>14</v>
      </c>
      <c r="E205" t="str">
        <f ca="1">IFERROR(__xludf.DUMMYFUNCTION("""COMPUTED_VALUE"""),"9' 4""")</f>
        <v>9' 4"</v>
      </c>
      <c r="F205">
        <f ca="1">IFERROR(__xludf.DUMMYFUNCTION("""COMPUTED_VALUE"""),792.083)</f>
        <v>792.08299999999997</v>
      </c>
      <c r="G205">
        <f ca="1">IFERROR(__xludf.DUMMYFUNCTION("""COMPUTED_VALUE"""),85)</f>
        <v>85</v>
      </c>
      <c r="H205">
        <f ca="1">IFERROR(__xludf.DUMMYFUNCTION("""COMPUTED_VALUE"""),200)</f>
        <v>200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IFERROR(__xludf.DUMMYFUNCTION("""COMPUTED_VALUE"""),"T233")</f>
        <v>T233</v>
      </c>
      <c r="C206" t="str">
        <f ca="1">IFERROR(__xludf.DUMMYFUNCTION("""COMPUTED_VALUE"""),"Satoshi Kodaira")</f>
        <v>Satoshi Kodaira</v>
      </c>
      <c r="D206">
        <f ca="1">IFERROR(__xludf.DUMMYFUNCTION("""COMPUTED_VALUE"""),12)</f>
        <v>12</v>
      </c>
      <c r="E206" t="str">
        <f ca="1">IFERROR(__xludf.DUMMYFUNCTION("""COMPUTED_VALUE"""),"9' 5""")</f>
        <v>9' 5"</v>
      </c>
      <c r="F206">
        <f ca="1">IFERROR(__xludf.DUMMYFUNCTION("""COMPUTED_VALUE"""),771.583)</f>
        <v>771.58299999999997</v>
      </c>
      <c r="G206">
        <f ca="1">IFERROR(__xludf.DUMMYFUNCTION("""COMPUTED_VALUE"""),82)</f>
        <v>82</v>
      </c>
      <c r="H206">
        <f ca="1">IFERROR(__xludf.DUMMYFUNCTION("""COMPUTED_VALUE"""),138)</f>
        <v>138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IFERROR(__xludf.DUMMYFUNCTION("""COMPUTED_VALUE"""),"T188")</f>
        <v>T188</v>
      </c>
      <c r="C207" t="str">
        <f ca="1">IFERROR(__xludf.DUMMYFUNCTION("""COMPUTED_VALUE"""),"Viktor Hovland")</f>
        <v>Viktor Hovland</v>
      </c>
      <c r="D207">
        <f ca="1">IFERROR(__xludf.DUMMYFUNCTION("""COMPUTED_VALUE"""),16)</f>
        <v>16</v>
      </c>
      <c r="E207" t="str">
        <f ca="1">IFERROR(__xludf.DUMMYFUNCTION("""COMPUTED_VALUE"""),"9' 5""")</f>
        <v>9' 5"</v>
      </c>
      <c r="F207" s="2">
        <f ca="1">IFERROR(__xludf.DUMMYFUNCTION("""COMPUTED_VALUE"""),1007.25)</f>
        <v>1007.25</v>
      </c>
      <c r="G207">
        <f ca="1">IFERROR(__xludf.DUMMYFUNCTION("""COMPUTED_VALUE"""),107)</f>
        <v>107</v>
      </c>
      <c r="H207">
        <f ca="1">IFERROR(__xludf.DUMMYFUNCTION("""COMPUTED_VALUE"""),183)</f>
        <v>183</v>
      </c>
    </row>
    <row r="208" spans="1:8" ht="12.75">
      <c r="A208" t="str">
        <f ca="1">IFERROR(__xludf.DUMMYFUNCTION("""COMPUTED_VALUE"""),"T205")</f>
        <v>T205</v>
      </c>
      <c r="B208" t="str">
        <f ca="1">IFERROR(__xludf.DUMMYFUNCTION("""COMPUTED_VALUE"""),"T201")</f>
        <v>T201</v>
      </c>
      <c r="C208" t="str">
        <f ca="1">IFERROR(__xludf.DUMMYFUNCTION("""COMPUTED_VALUE"""),"Matthew Wolff")</f>
        <v>Matthew Wolff</v>
      </c>
      <c r="D208">
        <f ca="1">IFERROR(__xludf.DUMMYFUNCTION("""COMPUTED_VALUE"""),16)</f>
        <v>16</v>
      </c>
      <c r="E208" t="str">
        <f ca="1">IFERROR(__xludf.DUMMYFUNCTION("""COMPUTED_VALUE"""),"9' 5""")</f>
        <v>9' 5"</v>
      </c>
      <c r="F208">
        <f ca="1">IFERROR(__xludf.DUMMYFUNCTION("""COMPUTED_VALUE"""),940.917)</f>
        <v>940.91700000000003</v>
      </c>
      <c r="G208">
        <f ca="1">IFERROR(__xludf.DUMMYFUNCTION("""COMPUTED_VALUE"""),100)</f>
        <v>100</v>
      </c>
      <c r="H208">
        <f ca="1">IFERROR(__xludf.DUMMYFUNCTION("""COMPUTED_VALUE"""),260)</f>
        <v>260</v>
      </c>
    </row>
    <row r="209" spans="1:8" ht="12.75">
      <c r="A209" t="str">
        <f ca="1">IFERROR(__xludf.DUMMYFUNCTION("""COMPUTED_VALUE"""),"T205")</f>
        <v>T205</v>
      </c>
      <c r="B209" t="str">
        <f ca="1">IFERROR(__xludf.DUMMYFUNCTION("""COMPUTED_VALUE"""),"T201")</f>
        <v>T201</v>
      </c>
      <c r="C209" t="str">
        <f ca="1">IFERROR(__xludf.DUMMYFUNCTION("""COMPUTED_VALUE"""),"Chase Seiffert")</f>
        <v>Chase Seiffert</v>
      </c>
      <c r="D209">
        <f ca="1">IFERROR(__xludf.DUMMYFUNCTION("""COMPUTED_VALUE"""),14)</f>
        <v>14</v>
      </c>
      <c r="E209" t="str">
        <f ca="1">IFERROR(__xludf.DUMMYFUNCTION("""COMPUTED_VALUE"""),"9' 5""")</f>
        <v>9' 5"</v>
      </c>
      <c r="F209">
        <f ca="1">IFERROR(__xludf.DUMMYFUNCTION("""COMPUTED_VALUE"""),480.75)</f>
        <v>480.75</v>
      </c>
      <c r="G209">
        <f ca="1">IFERROR(__xludf.DUMMYFUNCTION("""COMPUTED_VALUE"""),51)</f>
        <v>51</v>
      </c>
      <c r="H209">
        <f ca="1">IFERROR(__xludf.DUMMYFUNCTION("""COMPUTED_VALUE"""),85)</f>
        <v>85</v>
      </c>
    </row>
    <row r="210" spans="1:8" ht="12.75">
      <c r="A210" t="str">
        <f ca="1">IFERROR(__xludf.DUMMYFUNCTION("""COMPUTED_VALUE"""),"T209")</f>
        <v>T209</v>
      </c>
      <c r="B210" t="str">
        <f ca="1">IFERROR(__xludf.DUMMYFUNCTION("""COMPUTED_VALUE"""),"T203")</f>
        <v>T203</v>
      </c>
      <c r="C210" t="str">
        <f ca="1">IFERROR(__xludf.DUMMYFUNCTION("""COMPUTED_VALUE"""),"Rasmus Hojgaard")</f>
        <v>Rasmus Hojgaard</v>
      </c>
      <c r="D210">
        <f ca="1">IFERROR(__xludf.DUMMYFUNCTION("""COMPUTED_VALUE"""),6)</f>
        <v>6</v>
      </c>
      <c r="E210" t="str">
        <f ca="1">IFERROR(__xludf.DUMMYFUNCTION("""COMPUTED_VALUE"""),"9' 6""")</f>
        <v>9' 6"</v>
      </c>
      <c r="F210">
        <f ca="1">IFERROR(__xludf.DUMMYFUNCTION("""COMPUTED_VALUE"""),133.083)</f>
        <v>133.083</v>
      </c>
      <c r="G210">
        <f ca="1">IFERROR(__xludf.DUMMYFUNCTION("""COMPUTED_VALUE"""),14)</f>
        <v>14</v>
      </c>
      <c r="H210">
        <f ca="1">IFERROR(__xludf.DUMMYFUNCTION("""COMPUTED_VALUE"""),286)</f>
        <v>286</v>
      </c>
    </row>
    <row r="211" spans="1:8" ht="12.75">
      <c r="A211" t="str">
        <f ca="1">IFERROR(__xludf.DUMMYFUNCTION("""COMPUTED_VALUE"""),"T209")</f>
        <v>T209</v>
      </c>
      <c r="B211" t="str">
        <f ca="1">IFERROR(__xludf.DUMMYFUNCTION("""COMPUTED_VALUE"""),"T203")</f>
        <v>T203</v>
      </c>
      <c r="C211" t="str">
        <f ca="1">IFERROR(__xludf.DUMMYFUNCTION("""COMPUTED_VALUE"""),"Michael Gellerman")</f>
        <v>Michael Gellerman</v>
      </c>
      <c r="D211">
        <f ca="1">IFERROR(__xludf.DUMMYFUNCTION("""COMPUTED_VALUE"""),5)</f>
        <v>5</v>
      </c>
      <c r="E211" t="str">
        <f ca="1">IFERROR(__xludf.DUMMYFUNCTION("""COMPUTED_VALUE"""),"9' 6""")</f>
        <v>9' 6"</v>
      </c>
      <c r="F211">
        <f ca="1">IFERROR(__xludf.DUMMYFUNCTION("""COMPUTED_VALUE"""),113.917)</f>
        <v>113.917</v>
      </c>
      <c r="G211">
        <f ca="1">IFERROR(__xludf.DUMMYFUNCTION("""COMPUTED_VALUE"""),12)</f>
        <v>12</v>
      </c>
      <c r="H211">
        <f ca="1">IFERROR(__xludf.DUMMYFUNCTION("""COMPUTED_VALUE"""),225)</f>
        <v>225</v>
      </c>
    </row>
    <row r="212" spans="1:8" ht="12.75">
      <c r="A212" t="str">
        <f ca="1">IFERROR(__xludf.DUMMYFUNCTION("""COMPUTED_VALUE"""),"T209")</f>
        <v>T209</v>
      </c>
      <c r="B212" t="str">
        <f ca="1">IFERROR(__xludf.DUMMYFUNCTION("""COMPUTED_VALUE"""),"T154")</f>
        <v>T154</v>
      </c>
      <c r="C212" t="str">
        <f ca="1">IFERROR(__xludf.DUMMYFUNCTION("""COMPUTED_VALUE"""),"Dustin Johnson")</f>
        <v>Dustin Johnson</v>
      </c>
      <c r="D212">
        <f ca="1">IFERROR(__xludf.DUMMYFUNCTION("""COMPUTED_VALUE"""),8)</f>
        <v>8</v>
      </c>
      <c r="E212" t="str">
        <f ca="1">IFERROR(__xludf.DUMMYFUNCTION("""COMPUTED_VALUE"""),"9' 6""")</f>
        <v>9' 6"</v>
      </c>
      <c r="F212">
        <f ca="1">IFERROR(__xludf.DUMMYFUNCTION("""COMPUTED_VALUE"""),493.833)</f>
        <v>493.83300000000003</v>
      </c>
      <c r="G212">
        <f ca="1">IFERROR(__xludf.DUMMYFUNCTION("""COMPUTED_VALUE"""),52)</f>
        <v>52</v>
      </c>
      <c r="H212">
        <f ca="1">IFERROR(__xludf.DUMMYFUNCTION("""COMPUTED_VALUE"""),198)</f>
        <v>198</v>
      </c>
    </row>
    <row r="213" spans="1:8" ht="12.75">
      <c r="A213" t="str">
        <f ca="1">IFERROR(__xludf.DUMMYFUNCTION("""COMPUTED_VALUE"""),"T209")</f>
        <v>T209</v>
      </c>
      <c r="B213" t="str">
        <f ca="1">IFERROR(__xludf.DUMMYFUNCTION("""COMPUTED_VALUE"""),"T203")</f>
        <v>T203</v>
      </c>
      <c r="C213" t="str">
        <f ca="1">IFERROR(__xludf.DUMMYFUNCTION("""COMPUTED_VALUE"""),"Brendon Todd")</f>
        <v>Brendon Todd</v>
      </c>
      <c r="D213">
        <f ca="1">IFERROR(__xludf.DUMMYFUNCTION("""COMPUTED_VALUE"""),14)</f>
        <v>14</v>
      </c>
      <c r="E213" t="str">
        <f ca="1">IFERROR(__xludf.DUMMYFUNCTION("""COMPUTED_VALUE"""),"9' 6""")</f>
        <v>9' 6"</v>
      </c>
      <c r="F213">
        <f ca="1">IFERROR(__xludf.DUMMYFUNCTION("""COMPUTED_VALUE"""),791.417)</f>
        <v>791.41700000000003</v>
      </c>
      <c r="G213">
        <f ca="1">IFERROR(__xludf.DUMMYFUNCTION("""COMPUTED_VALUE"""),83)</f>
        <v>83</v>
      </c>
      <c r="H213">
        <f ca="1">IFERROR(__xludf.DUMMYFUNCTION("""COMPUTED_VALUE"""),206)</f>
        <v>206</v>
      </c>
    </row>
    <row r="214" spans="1:8" ht="12.75">
      <c r="A214">
        <f ca="1">IFERROR(__xludf.DUMMYFUNCTION("""COMPUTED_VALUE"""),213)</f>
        <v>213</v>
      </c>
      <c r="B214" t="str">
        <f ca="1">IFERROR(__xludf.DUMMYFUNCTION("""COMPUTED_VALUE"""),"T194")</f>
        <v>T194</v>
      </c>
      <c r="C214" t="str">
        <f ca="1">IFERROR(__xludf.DUMMYFUNCTION("""COMPUTED_VALUE"""),"Sungjae Im")</f>
        <v>Sungjae Im</v>
      </c>
      <c r="D214">
        <f ca="1">IFERROR(__xludf.DUMMYFUNCTION("""COMPUTED_VALUE"""),24)</f>
        <v>24</v>
      </c>
      <c r="E214" t="str">
        <f ca="1">IFERROR(__xludf.DUMMYFUNCTION("""COMPUTED_VALUE"""),"9' 7""")</f>
        <v>9' 7"</v>
      </c>
      <c r="F214" s="2">
        <f ca="1">IFERROR(__xludf.DUMMYFUNCTION("""COMPUTED_VALUE"""),1262.333)</f>
        <v>1262.3330000000001</v>
      </c>
      <c r="G214">
        <f ca="1">IFERROR(__xludf.DUMMYFUNCTION("""COMPUTED_VALUE"""),132)</f>
        <v>132</v>
      </c>
      <c r="H214">
        <f ca="1">IFERROR(__xludf.DUMMYFUNCTION("""COMPUTED_VALUE"""),181)</f>
        <v>181</v>
      </c>
    </row>
    <row r="215" spans="1:8" ht="12.75">
      <c r="A215" t="str">
        <f ca="1">IFERROR(__xludf.DUMMYFUNCTION("""COMPUTED_VALUE"""),"T214")</f>
        <v>T214</v>
      </c>
      <c r="B215" t="str">
        <f ca="1">IFERROR(__xludf.DUMMYFUNCTION("""COMPUTED_VALUE"""),"T210")</f>
        <v>T210</v>
      </c>
      <c r="C215" t="str">
        <f ca="1">IFERROR(__xludf.DUMMYFUNCTION("""COMPUTED_VALUE"""),"MJ Daffue")</f>
        <v>MJ Daffue</v>
      </c>
      <c r="D215">
        <f ca="1">IFERROR(__xludf.DUMMYFUNCTION("""COMPUTED_VALUE"""),10)</f>
        <v>10</v>
      </c>
      <c r="E215" t="str">
        <f ca="1">IFERROR(__xludf.DUMMYFUNCTION("""COMPUTED_VALUE"""),"9' 8""")</f>
        <v>9' 8"</v>
      </c>
      <c r="F215">
        <f ca="1">IFERROR(__xludf.DUMMYFUNCTION("""COMPUTED_VALUE"""),481.5)</f>
        <v>481.5</v>
      </c>
      <c r="G215">
        <f ca="1">IFERROR(__xludf.DUMMYFUNCTION("""COMPUTED_VALUE"""),50)</f>
        <v>50</v>
      </c>
      <c r="H215">
        <f ca="1">IFERROR(__xludf.DUMMYFUNCTION("""COMPUTED_VALUE"""),142)</f>
        <v>142</v>
      </c>
    </row>
    <row r="216" spans="1:8" ht="12.75">
      <c r="A216" t="str">
        <f ca="1">IFERROR(__xludf.DUMMYFUNCTION("""COMPUTED_VALUE"""),"T214")</f>
        <v>T214</v>
      </c>
      <c r="B216" t="str">
        <f ca="1">IFERROR(__xludf.DUMMYFUNCTION("""COMPUTED_VALUE"""),"T254")</f>
        <v>T254</v>
      </c>
      <c r="C216" t="str">
        <f ca="1">IFERROR(__xludf.DUMMYFUNCTION("""COMPUTED_VALUE"""),"Max Homa")</f>
        <v>Max Homa</v>
      </c>
      <c r="D216">
        <f ca="1">IFERROR(__xludf.DUMMYFUNCTION("""COMPUTED_VALUE"""),12)</f>
        <v>12</v>
      </c>
      <c r="E216" t="str">
        <f ca="1">IFERROR(__xludf.DUMMYFUNCTION("""COMPUTED_VALUE"""),"9' 8""")</f>
        <v>9' 8"</v>
      </c>
      <c r="F216">
        <f ca="1">IFERROR(__xludf.DUMMYFUNCTION("""COMPUTED_VALUE"""),521.5)</f>
        <v>521.5</v>
      </c>
      <c r="G216">
        <f ca="1">IFERROR(__xludf.DUMMYFUNCTION("""COMPUTED_VALUE"""),54)</f>
        <v>54</v>
      </c>
      <c r="H216">
        <f ca="1">IFERROR(__xludf.DUMMYFUNCTION("""COMPUTED_VALUE"""),162)</f>
        <v>162</v>
      </c>
    </row>
    <row r="217" spans="1:8" ht="12.75">
      <c r="A217" t="str">
        <f ca="1">IFERROR(__xludf.DUMMYFUNCTION("""COMPUTED_VALUE"""),"T214")</f>
        <v>T214</v>
      </c>
      <c r="B217" t="str">
        <f ca="1">IFERROR(__xludf.DUMMYFUNCTION("""COMPUTED_VALUE"""),"T207")</f>
        <v>T207</v>
      </c>
      <c r="C217" t="str">
        <f ca="1">IFERROR(__xludf.DUMMYFUNCTION("""COMPUTED_VALUE"""),"Matthew NeSmith")</f>
        <v>Matthew NeSmith</v>
      </c>
      <c r="D217">
        <f ca="1">IFERROR(__xludf.DUMMYFUNCTION("""COMPUTED_VALUE"""),16)</f>
        <v>16</v>
      </c>
      <c r="E217" t="str">
        <f ca="1">IFERROR(__xludf.DUMMYFUNCTION("""COMPUTED_VALUE"""),"9' 8""")</f>
        <v>9' 8"</v>
      </c>
      <c r="F217">
        <f ca="1">IFERROR(__xludf.DUMMYFUNCTION("""COMPUTED_VALUE"""),590.583)</f>
        <v>590.58299999999997</v>
      </c>
      <c r="G217">
        <f ca="1">IFERROR(__xludf.DUMMYFUNCTION("""COMPUTED_VALUE"""),61)</f>
        <v>61</v>
      </c>
      <c r="H217">
        <f ca="1">IFERROR(__xludf.DUMMYFUNCTION("""COMPUTED_VALUE"""),211)</f>
        <v>211</v>
      </c>
    </row>
    <row r="218" spans="1:8" ht="12.75">
      <c r="A218" t="str">
        <f ca="1">IFERROR(__xludf.DUMMYFUNCTION("""COMPUTED_VALUE"""),"T214")</f>
        <v>T214</v>
      </c>
      <c r="B218" t="str">
        <f ca="1">IFERROR(__xludf.DUMMYFUNCTION("""COMPUTED_VALUE"""),"T203")</f>
        <v>T203</v>
      </c>
      <c r="C218" t="str">
        <f ca="1">IFERROR(__xludf.DUMMYFUNCTION("""COMPUTED_VALUE"""),"Lanto Griffin")</f>
        <v>Lanto Griffin</v>
      </c>
      <c r="D218">
        <f ca="1">IFERROR(__xludf.DUMMYFUNCTION("""COMPUTED_VALUE"""),18)</f>
        <v>18</v>
      </c>
      <c r="E218" t="str">
        <f ca="1">IFERROR(__xludf.DUMMYFUNCTION("""COMPUTED_VALUE"""),"9' 8""")</f>
        <v>9' 8"</v>
      </c>
      <c r="F218">
        <f ca="1">IFERROR(__xludf.DUMMYFUNCTION("""COMPUTED_VALUE"""),920.75)</f>
        <v>920.75</v>
      </c>
      <c r="G218">
        <f ca="1">IFERROR(__xludf.DUMMYFUNCTION("""COMPUTED_VALUE"""),95)</f>
        <v>95</v>
      </c>
      <c r="H218">
        <f ca="1">IFERROR(__xludf.DUMMYFUNCTION("""COMPUTED_VALUE"""),199)</f>
        <v>199</v>
      </c>
    </row>
    <row r="219" spans="1:8" ht="12.75">
      <c r="A219" t="str">
        <f ca="1">IFERROR(__xludf.DUMMYFUNCTION("""COMPUTED_VALUE"""),"T214")</f>
        <v>T214</v>
      </c>
      <c r="B219" t="str">
        <f ca="1">IFERROR(__xludf.DUMMYFUNCTION("""COMPUTED_VALUE"""),"T210")</f>
        <v>T210</v>
      </c>
      <c r="C219" t="str">
        <f ca="1">IFERROR(__xludf.DUMMYFUNCTION("""COMPUTED_VALUE"""),"Joaquin Niemann")</f>
        <v>Joaquin Niemann</v>
      </c>
      <c r="D219">
        <f ca="1">IFERROR(__xludf.DUMMYFUNCTION("""COMPUTED_VALUE"""),16)</f>
        <v>16</v>
      </c>
      <c r="E219" t="str">
        <f ca="1">IFERROR(__xludf.DUMMYFUNCTION("""COMPUTED_VALUE"""),"9' 8""")</f>
        <v>9' 8"</v>
      </c>
      <c r="F219">
        <f ca="1">IFERROR(__xludf.DUMMYFUNCTION("""COMPUTED_VALUE"""),892.417)</f>
        <v>892.41700000000003</v>
      </c>
      <c r="G219">
        <f ca="1">IFERROR(__xludf.DUMMYFUNCTION("""COMPUTED_VALUE"""),92)</f>
        <v>92</v>
      </c>
      <c r="H219">
        <f ca="1">IFERROR(__xludf.DUMMYFUNCTION("""COMPUTED_VALUE"""),59)</f>
        <v>59</v>
      </c>
    </row>
    <row r="220" spans="1:8" ht="12.75">
      <c r="A220" t="str">
        <f ca="1">IFERROR(__xludf.DUMMYFUNCTION("""COMPUTED_VALUE"""),"T214")</f>
        <v>T214</v>
      </c>
      <c r="B220" t="str">
        <f ca="1">IFERROR(__xludf.DUMMYFUNCTION("""COMPUTED_VALUE"""),"T210")</f>
        <v>T210</v>
      </c>
      <c r="C220" t="str">
        <f ca="1">IFERROR(__xludf.DUMMYFUNCTION("""COMPUTED_VALUE"""),"Steve Lewton")</f>
        <v>Steve Lewton</v>
      </c>
      <c r="D220">
        <f ca="1">IFERROR(__xludf.DUMMYFUNCTION("""COMPUTED_VALUE"""),4)</f>
        <v>4</v>
      </c>
      <c r="E220" t="str">
        <f ca="1">IFERROR(__xludf.DUMMYFUNCTION("""COMPUTED_VALUE"""),"9' 8""")</f>
        <v>9' 8"</v>
      </c>
      <c r="F220">
        <f ca="1">IFERROR(__xludf.DUMMYFUNCTION("""COMPUTED_VALUE"""),299.417)</f>
        <v>299.41699999999997</v>
      </c>
      <c r="G220">
        <f ca="1">IFERROR(__xludf.DUMMYFUNCTION("""COMPUTED_VALUE"""),31)</f>
        <v>31</v>
      </c>
      <c r="H220">
        <f ca="1">IFERROR(__xludf.DUMMYFUNCTION("""COMPUTED_VALUE"""),215)</f>
        <v>215</v>
      </c>
    </row>
    <row r="221" spans="1:8" ht="12.75">
      <c r="A221" t="str">
        <f ca="1">IFERROR(__xludf.DUMMYFUNCTION("""COMPUTED_VALUE"""),"T214")</f>
        <v>T214</v>
      </c>
      <c r="B221" t="str">
        <f ca="1">IFERROR(__xludf.DUMMYFUNCTION("""COMPUTED_VALUE"""),"T210")</f>
        <v>T210</v>
      </c>
      <c r="C221" t="str">
        <f ca="1">IFERROR(__xludf.DUMMYFUNCTION("""COMPUTED_VALUE"""),"Ryan Blaum")</f>
        <v>Ryan Blaum</v>
      </c>
      <c r="D221">
        <f ca="1">IFERROR(__xludf.DUMMYFUNCTION("""COMPUTED_VALUE"""),8)</f>
        <v>8</v>
      </c>
      <c r="E221" t="str">
        <f ca="1">IFERROR(__xludf.DUMMYFUNCTION("""COMPUTED_VALUE"""),"9' 8""")</f>
        <v>9' 8"</v>
      </c>
      <c r="F221">
        <f ca="1">IFERROR(__xludf.DUMMYFUNCTION("""COMPUTED_VALUE"""),213.083)</f>
        <v>213.083</v>
      </c>
      <c r="G221">
        <f ca="1">IFERROR(__xludf.DUMMYFUNCTION("""COMPUTED_VALUE"""),22)</f>
        <v>22</v>
      </c>
      <c r="H221">
        <f ca="1">IFERROR(__xludf.DUMMYFUNCTION("""COMPUTED_VALUE"""),97)</f>
        <v>97</v>
      </c>
    </row>
    <row r="222" spans="1:8" ht="12.75">
      <c r="A222" t="str">
        <f ca="1">IFERROR(__xludf.DUMMYFUNCTION("""COMPUTED_VALUE"""),"T221")</f>
        <v>T221</v>
      </c>
      <c r="B222" t="str">
        <f ca="1">IFERROR(__xludf.DUMMYFUNCTION("""COMPUTED_VALUE"""),"T214")</f>
        <v>T214</v>
      </c>
      <c r="C222" t="str">
        <f ca="1">IFERROR(__xludf.DUMMYFUNCTION("""COMPUTED_VALUE"""),"Kevin Kisner")</f>
        <v>Kevin Kisner</v>
      </c>
      <c r="D222">
        <f ca="1">IFERROR(__xludf.DUMMYFUNCTION("""COMPUTED_VALUE"""),10)</f>
        <v>10</v>
      </c>
      <c r="E222" t="str">
        <f ca="1">IFERROR(__xludf.DUMMYFUNCTION("""COMPUTED_VALUE"""),"9' 9""")</f>
        <v>9' 9"</v>
      </c>
      <c r="F222">
        <f ca="1">IFERROR(__xludf.DUMMYFUNCTION("""COMPUTED_VALUE"""),664.25)</f>
        <v>664.25</v>
      </c>
      <c r="G222">
        <f ca="1">IFERROR(__xludf.DUMMYFUNCTION("""COMPUTED_VALUE"""),68)</f>
        <v>68</v>
      </c>
      <c r="H222">
        <f ca="1">IFERROR(__xludf.DUMMYFUNCTION("""COMPUTED_VALUE"""),187)</f>
        <v>187</v>
      </c>
    </row>
    <row r="223" spans="1:8" ht="12.75">
      <c r="A223" t="str">
        <f ca="1">IFERROR(__xludf.DUMMYFUNCTION("""COMPUTED_VALUE"""),"T221")</f>
        <v>T221</v>
      </c>
      <c r="B223" t="str">
        <f ca="1">IFERROR(__xludf.DUMMYFUNCTION("""COMPUTED_VALUE"""),"T214")</f>
        <v>T214</v>
      </c>
      <c r="C223" t="str">
        <f ca="1">IFERROR(__xludf.DUMMYFUNCTION("""COMPUTED_VALUE"""),"Jason Kokrak")</f>
        <v>Jason Kokrak</v>
      </c>
      <c r="D223">
        <f ca="1">IFERROR(__xludf.DUMMYFUNCTION("""COMPUTED_VALUE"""),14)</f>
        <v>14</v>
      </c>
      <c r="E223" t="str">
        <f ca="1">IFERROR(__xludf.DUMMYFUNCTION("""COMPUTED_VALUE"""),"9' 9""")</f>
        <v>9' 9"</v>
      </c>
      <c r="F223">
        <f ca="1">IFERROR(__xludf.DUMMYFUNCTION("""COMPUTED_VALUE"""),819.083)</f>
        <v>819.08299999999997</v>
      </c>
      <c r="G223">
        <f ca="1">IFERROR(__xludf.DUMMYFUNCTION("""COMPUTED_VALUE"""),84)</f>
        <v>84</v>
      </c>
      <c r="H223">
        <f ca="1">IFERROR(__xludf.DUMMYFUNCTION("""COMPUTED_VALUE"""),93)</f>
        <v>93</v>
      </c>
    </row>
    <row r="224" spans="1:8" ht="12.75">
      <c r="A224" t="str">
        <f ca="1">IFERROR(__xludf.DUMMYFUNCTION("""COMPUTED_VALUE"""),"T221")</f>
        <v>T221</v>
      </c>
      <c r="B224" t="str">
        <f ca="1">IFERROR(__xludf.DUMMYFUNCTION("""COMPUTED_VALUE"""),"")</f>
        <v/>
      </c>
      <c r="C224" t="str">
        <f ca="1">IFERROR(__xludf.DUMMYFUNCTION("""COMPUTED_VALUE"""),"Padraig Harrington")</f>
        <v>Padraig Harrington</v>
      </c>
      <c r="D224">
        <f ca="1">IFERROR(__xludf.DUMMYFUNCTION("""COMPUTED_VALUE"""),8)</f>
        <v>8</v>
      </c>
      <c r="E224" t="str">
        <f ca="1">IFERROR(__xludf.DUMMYFUNCTION("""COMPUTED_VALUE"""),"9' 9""")</f>
        <v>9' 9"</v>
      </c>
      <c r="F224">
        <f ca="1">IFERROR(__xludf.DUMMYFUNCTION("""COMPUTED_VALUE"""),233.5)</f>
        <v>233.5</v>
      </c>
      <c r="G224">
        <f ca="1">IFERROR(__xludf.DUMMYFUNCTION("""COMPUTED_VALUE"""),24)</f>
        <v>24</v>
      </c>
      <c r="H224">
        <f ca="1">IFERROR(__xludf.DUMMYFUNCTION("""COMPUTED_VALUE"""),102)</f>
        <v>102</v>
      </c>
    </row>
    <row r="225" spans="1:8" ht="12.75">
      <c r="A225" t="str">
        <f ca="1">IFERROR(__xludf.DUMMYFUNCTION("""COMPUTED_VALUE"""),"T221")</f>
        <v>T221</v>
      </c>
      <c r="B225" t="str">
        <f ca="1">IFERROR(__xludf.DUMMYFUNCTION("""COMPUTED_VALUE"""),"T214")</f>
        <v>T214</v>
      </c>
      <c r="C225" t="str">
        <f ca="1">IFERROR(__xludf.DUMMYFUNCTION("""COMPUTED_VALUE"""),"Cameron Champ")</f>
        <v>Cameron Champ</v>
      </c>
      <c r="D225">
        <f ca="1">IFERROR(__xludf.DUMMYFUNCTION("""COMPUTED_VALUE"""),12)</f>
        <v>12</v>
      </c>
      <c r="E225" t="str">
        <f ca="1">IFERROR(__xludf.DUMMYFUNCTION("""COMPUTED_VALUE"""),"9' 9""")</f>
        <v>9' 9"</v>
      </c>
      <c r="F225">
        <f ca="1">IFERROR(__xludf.DUMMYFUNCTION("""COMPUTED_VALUE"""),779.583)</f>
        <v>779.58299999999997</v>
      </c>
      <c r="G225">
        <f ca="1">IFERROR(__xludf.DUMMYFUNCTION("""COMPUTED_VALUE"""),80)</f>
        <v>80</v>
      </c>
      <c r="H225">
        <f ca="1">IFERROR(__xludf.DUMMYFUNCTION("""COMPUTED_VALUE"""),150)</f>
        <v>150</v>
      </c>
    </row>
    <row r="226" spans="1:8" ht="12.75">
      <c r="A226" t="str">
        <f ca="1">IFERROR(__xludf.DUMMYFUNCTION("""COMPUTED_VALUE"""),"T221")</f>
        <v>T221</v>
      </c>
      <c r="B226" t="str">
        <f ca="1">IFERROR(__xludf.DUMMYFUNCTION("""COMPUTED_VALUE"""),"T214")</f>
        <v>T214</v>
      </c>
      <c r="C226" t="str">
        <f ca="1">IFERROR(__xludf.DUMMYFUNCTION("""COMPUTED_VALUE"""),"Seonghyeon Kim")</f>
        <v>Seonghyeon Kim</v>
      </c>
      <c r="D226">
        <f ca="1">IFERROR(__xludf.DUMMYFUNCTION("""COMPUTED_VALUE"""),4)</f>
        <v>4</v>
      </c>
      <c r="E226" t="str">
        <f ca="1">IFERROR(__xludf.DUMMYFUNCTION("""COMPUTED_VALUE"""),"9' 9""")</f>
        <v>9' 9"</v>
      </c>
      <c r="F226">
        <f ca="1">IFERROR(__xludf.DUMMYFUNCTION("""COMPUTED_VALUE"""),233.5)</f>
        <v>233.5</v>
      </c>
      <c r="G226">
        <f ca="1">IFERROR(__xludf.DUMMYFUNCTION("""COMPUTED_VALUE"""),24)</f>
        <v>24</v>
      </c>
      <c r="H226">
        <f ca="1">IFERROR(__xludf.DUMMYFUNCTION("""COMPUTED_VALUE"""),144)</f>
        <v>144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IFERROR(__xludf.DUMMYFUNCTION("""COMPUTED_VALUE"""),"T218")</f>
        <v>T218</v>
      </c>
      <c r="C227" t="str">
        <f ca="1">IFERROR(__xludf.DUMMYFUNCTION("""COMPUTED_VALUE"""),"Tae Hee Lee")</f>
        <v>Tae Hee Lee</v>
      </c>
      <c r="D227">
        <f ca="1">IFERROR(__xludf.DUMMYFUNCTION("""COMPUTED_VALUE"""),4)</f>
        <v>4</v>
      </c>
      <c r="E227" t="str">
        <f ca="1">IFERROR(__xludf.DUMMYFUNCTION("""COMPUTED_VALUE"""),"9' 10""")</f>
        <v>9' 10"</v>
      </c>
      <c r="F227">
        <f ca="1">IFERROR(__xludf.DUMMYFUNCTION("""COMPUTED_VALUE"""),342.75)</f>
        <v>342.75</v>
      </c>
      <c r="G227">
        <f ca="1">IFERROR(__xludf.DUMMYFUNCTION("""COMPUTED_VALUE"""),35)</f>
        <v>35</v>
      </c>
      <c r="H227">
        <f ca="1">IFERROR(__xludf.DUMMYFUNCTION("""COMPUTED_VALUE"""),192)</f>
        <v>192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IFERROR(__xludf.DUMMYFUNCTION("""COMPUTED_VALUE"""),"T218")</f>
        <v>T218</v>
      </c>
      <c r="C228" t="str">
        <f ca="1">IFERROR(__xludf.DUMMYFUNCTION("""COMPUTED_VALUE"""),"Mikumu Horikawa")</f>
        <v>Mikumu Horikawa</v>
      </c>
      <c r="D228">
        <f ca="1">IFERROR(__xludf.DUMMYFUNCTION("""COMPUTED_VALUE"""),4)</f>
        <v>4</v>
      </c>
      <c r="E228" t="str">
        <f ca="1">IFERROR(__xludf.DUMMYFUNCTION("""COMPUTED_VALUE"""),"9' 10""")</f>
        <v>9' 10"</v>
      </c>
      <c r="F228">
        <f ca="1">IFERROR(__xludf.DUMMYFUNCTION("""COMPUTED_VALUE"""),246.583)</f>
        <v>246.583</v>
      </c>
      <c r="G228">
        <f ca="1">IFERROR(__xludf.DUMMYFUNCTION("""COMPUTED_VALUE"""),25)</f>
        <v>25</v>
      </c>
      <c r="H228">
        <f ca="1">IFERROR(__xludf.DUMMYFUNCTION("""COMPUTED_VALUE"""),194)</f>
        <v>194</v>
      </c>
    </row>
    <row r="229" spans="1:8" ht="12.75">
      <c r="A229" t="str">
        <f ca="1">IFERROR(__xludf.DUMMYFUNCTION("""COMPUTED_VALUE"""),"T226")</f>
        <v>T226</v>
      </c>
      <c r="B229" t="str">
        <f ca="1">IFERROR(__xludf.DUMMYFUNCTION("""COMPUTED_VALUE"""),"T226")</f>
        <v>T226</v>
      </c>
      <c r="C229" t="str">
        <f ca="1">IFERROR(__xludf.DUMMYFUNCTION("""COMPUTED_VALUE"""),"Hudson Swafford")</f>
        <v>Hudson Swafford</v>
      </c>
      <c r="D229">
        <f ca="1">IFERROR(__xludf.DUMMYFUNCTION("""COMPUTED_VALUE"""),18)</f>
        <v>18</v>
      </c>
      <c r="E229" t="str">
        <f ca="1">IFERROR(__xludf.DUMMYFUNCTION("""COMPUTED_VALUE"""),"9' 10""")</f>
        <v>9' 10"</v>
      </c>
      <c r="F229">
        <f ca="1">IFERROR(__xludf.DUMMYFUNCTION("""COMPUTED_VALUE"""),502)</f>
        <v>502</v>
      </c>
      <c r="G229">
        <f ca="1">IFERROR(__xludf.DUMMYFUNCTION("""COMPUTED_VALUE"""),51)</f>
        <v>51</v>
      </c>
      <c r="H229">
        <f ca="1">IFERROR(__xludf.DUMMYFUNCTION("""COMPUTED_VALUE"""),160)</f>
        <v>160</v>
      </c>
    </row>
    <row r="230" spans="1:8" ht="12.75">
      <c r="A230" t="str">
        <f ca="1">IFERROR(__xludf.DUMMYFUNCTION("""COMPUTED_VALUE"""),"T226")</f>
        <v>T226</v>
      </c>
      <c r="B230" t="str">
        <f ca="1">IFERROR(__xludf.DUMMYFUNCTION("""COMPUTED_VALUE"""),"T218")</f>
        <v>T218</v>
      </c>
      <c r="C230" t="str">
        <f ca="1">IFERROR(__xludf.DUMMYFUNCTION("""COMPUTED_VALUE"""),"William McGirt")</f>
        <v>William McGirt</v>
      </c>
      <c r="D230">
        <f ca="1">IFERROR(__xludf.DUMMYFUNCTION("""COMPUTED_VALUE"""),6)</f>
        <v>6</v>
      </c>
      <c r="E230" t="str">
        <f ca="1">IFERROR(__xludf.DUMMYFUNCTION("""COMPUTED_VALUE"""),"9' 10""")</f>
        <v>9' 10"</v>
      </c>
      <c r="F230">
        <f ca="1">IFERROR(__xludf.DUMMYFUNCTION("""COMPUTED_VALUE"""),325.583)</f>
        <v>325.58300000000003</v>
      </c>
      <c r="G230">
        <f ca="1">IFERROR(__xludf.DUMMYFUNCTION("""COMPUTED_VALUE"""),33)</f>
        <v>33</v>
      </c>
      <c r="H230">
        <f ca="1">IFERROR(__xludf.DUMMYFUNCTION("""COMPUTED_VALUE"""),203)</f>
        <v>203</v>
      </c>
    </row>
    <row r="231" spans="1:8" ht="12.75">
      <c r="A231" t="str">
        <f ca="1">IFERROR(__xludf.DUMMYFUNCTION("""COMPUTED_VALUE"""),"T226")</f>
        <v>T226</v>
      </c>
      <c r="B231" t="str">
        <f ca="1">IFERROR(__xludf.DUMMYFUNCTION("""COMPUTED_VALUE"""),"T218")</f>
        <v>T218</v>
      </c>
      <c r="C231" t="str">
        <f ca="1">IFERROR(__xludf.DUMMYFUNCTION("""COMPUTED_VALUE"""),"Thomas Pieters")</f>
        <v>Thomas Pieters</v>
      </c>
      <c r="D231">
        <f ca="1">IFERROR(__xludf.DUMMYFUNCTION("""COMPUTED_VALUE"""),4)</f>
        <v>4</v>
      </c>
      <c r="E231" t="str">
        <f ca="1">IFERROR(__xludf.DUMMYFUNCTION("""COMPUTED_VALUE"""),"9' 10""")</f>
        <v>9' 10"</v>
      </c>
      <c r="F231">
        <f ca="1">IFERROR(__xludf.DUMMYFUNCTION("""COMPUTED_VALUE"""),226.083)</f>
        <v>226.083</v>
      </c>
      <c r="G231">
        <f ca="1">IFERROR(__xludf.DUMMYFUNCTION("""COMPUTED_VALUE"""),23)</f>
        <v>23</v>
      </c>
      <c r="H231">
        <f ca="1">IFERROR(__xludf.DUMMYFUNCTION("""COMPUTED_VALUE"""),235)</f>
        <v>235</v>
      </c>
    </row>
    <row r="232" spans="1:8" ht="12.75">
      <c r="A232" t="str">
        <f ca="1">IFERROR(__xludf.DUMMYFUNCTION("""COMPUTED_VALUE"""),"T226")</f>
        <v>T226</v>
      </c>
      <c r="B232" t="str">
        <f ca="1">IFERROR(__xludf.DUMMYFUNCTION("""COMPUTED_VALUE"""),"T218")</f>
        <v>T218</v>
      </c>
      <c r="C232" t="str">
        <f ca="1">IFERROR(__xludf.DUMMYFUNCTION("""COMPUTED_VALUE"""),"Seamus Power")</f>
        <v>Seamus Power</v>
      </c>
      <c r="D232">
        <f ca="1">IFERROR(__xludf.DUMMYFUNCTION("""COMPUTED_VALUE"""),8)</f>
        <v>8</v>
      </c>
      <c r="E232" t="str">
        <f ca="1">IFERROR(__xludf.DUMMYFUNCTION("""COMPUTED_VALUE"""),"9' 10""")</f>
        <v>9' 10"</v>
      </c>
      <c r="F232">
        <f ca="1">IFERROR(__xludf.DUMMYFUNCTION("""COMPUTED_VALUE"""),138.167)</f>
        <v>138.167</v>
      </c>
      <c r="G232">
        <f ca="1">IFERROR(__xludf.DUMMYFUNCTION("""COMPUTED_VALUE"""),14)</f>
        <v>14</v>
      </c>
      <c r="H232">
        <f ca="1">IFERROR(__xludf.DUMMYFUNCTION("""COMPUTED_VALUE"""),60)</f>
        <v>60</v>
      </c>
    </row>
    <row r="233" spans="1:8" ht="12.75">
      <c r="A233" t="str">
        <f ca="1">IFERROR(__xludf.DUMMYFUNCTION("""COMPUTED_VALUE"""),"T226")</f>
        <v>T226</v>
      </c>
      <c r="B233" t="str">
        <f ca="1">IFERROR(__xludf.DUMMYFUNCTION("""COMPUTED_VALUE"""),"T218")</f>
        <v>T218</v>
      </c>
      <c r="C233" t="str">
        <f ca="1">IFERROR(__xludf.DUMMYFUNCTION("""COMPUTED_VALUE"""),"Billy Horschel")</f>
        <v>Billy Horschel</v>
      </c>
      <c r="D233">
        <f ca="1">IFERROR(__xludf.DUMMYFUNCTION("""COMPUTED_VALUE"""),12)</f>
        <v>12</v>
      </c>
      <c r="E233" t="str">
        <f ca="1">IFERROR(__xludf.DUMMYFUNCTION("""COMPUTED_VALUE"""),"9' 10""")</f>
        <v>9' 10"</v>
      </c>
      <c r="F233">
        <f ca="1">IFERROR(__xludf.DUMMYFUNCTION("""COMPUTED_VALUE"""),823.083)</f>
        <v>823.08299999999997</v>
      </c>
      <c r="G233">
        <f ca="1">IFERROR(__xludf.DUMMYFUNCTION("""COMPUTED_VALUE"""),84)</f>
        <v>84</v>
      </c>
      <c r="H233">
        <f ca="1">IFERROR(__xludf.DUMMYFUNCTION("""COMPUTED_VALUE"""),183)</f>
        <v>183</v>
      </c>
    </row>
    <row r="234" spans="1:8" ht="12.75">
      <c r="A234" t="str">
        <f ca="1">IFERROR(__xludf.DUMMYFUNCTION("""COMPUTED_VALUE"""),"T233")</f>
        <v>T233</v>
      </c>
      <c r="B234">
        <f ca="1">IFERROR(__xludf.DUMMYFUNCTION("""COMPUTED_VALUE"""),232)</f>
        <v>232</v>
      </c>
      <c r="C234" t="str">
        <f ca="1">IFERROR(__xludf.DUMMYFUNCTION("""COMPUTED_VALUE"""),"Brice Garnett")</f>
        <v>Brice Garnett</v>
      </c>
      <c r="D234">
        <f ca="1">IFERROR(__xludf.DUMMYFUNCTION("""COMPUTED_VALUE"""),22)</f>
        <v>22</v>
      </c>
      <c r="E234" t="str">
        <f ca="1">IFERROR(__xludf.DUMMYFUNCTION("""COMPUTED_VALUE"""),"10' 1""")</f>
        <v>10' 1"</v>
      </c>
      <c r="F234">
        <f ca="1">IFERROR(__xludf.DUMMYFUNCTION("""COMPUTED_VALUE"""),870.5)</f>
        <v>870.5</v>
      </c>
      <c r="G234">
        <f ca="1">IFERROR(__xludf.DUMMYFUNCTION("""COMPUTED_VALUE"""),86)</f>
        <v>86</v>
      </c>
      <c r="H234">
        <f ca="1">IFERROR(__xludf.DUMMYFUNCTION("""COMPUTED_VALUE"""),77)</f>
        <v>77</v>
      </c>
    </row>
    <row r="235" spans="1:8" ht="12.75">
      <c r="A235" t="str">
        <f ca="1">IFERROR(__xludf.DUMMYFUNCTION("""COMPUTED_VALUE"""),"T233")</f>
        <v>T233</v>
      </c>
      <c r="B235" t="str">
        <f ca="1">IFERROR(__xludf.DUMMYFUNCTION("""COMPUTED_VALUE"""),"T228")</f>
        <v>T228</v>
      </c>
      <c r="C235" t="str">
        <f ca="1">IFERROR(__xludf.DUMMYFUNCTION("""COMPUTED_VALUE"""),"Rickie Fowler")</f>
        <v>Rickie Fowler</v>
      </c>
      <c r="D235">
        <f ca="1">IFERROR(__xludf.DUMMYFUNCTION("""COMPUTED_VALUE"""),14)</f>
        <v>14</v>
      </c>
      <c r="E235" t="str">
        <f ca="1">IFERROR(__xludf.DUMMYFUNCTION("""COMPUTED_VALUE"""),"10' 1""")</f>
        <v>10' 1"</v>
      </c>
      <c r="F235">
        <f ca="1">IFERROR(__xludf.DUMMYFUNCTION("""COMPUTED_VALUE"""),753.75)</f>
        <v>753.75</v>
      </c>
      <c r="G235">
        <f ca="1">IFERROR(__xludf.DUMMYFUNCTION("""COMPUTED_VALUE"""),75)</f>
        <v>75</v>
      </c>
      <c r="H235">
        <f ca="1">IFERROR(__xludf.DUMMYFUNCTION("""COMPUTED_VALUE"""),268)</f>
        <v>268</v>
      </c>
    </row>
    <row r="236" spans="1:8" ht="12.75">
      <c r="A236" t="str">
        <f ca="1">IFERROR(__xludf.DUMMYFUNCTION("""COMPUTED_VALUE"""),"T233")</f>
        <v>T233</v>
      </c>
      <c r="B236" t="str">
        <f ca="1">IFERROR(__xludf.DUMMYFUNCTION("""COMPUTED_VALUE"""),"T228")</f>
        <v>T228</v>
      </c>
      <c r="C236" t="str">
        <f ca="1">IFERROR(__xludf.DUMMYFUNCTION("""COMPUTED_VALUE"""),"Louis Oosthuizen")</f>
        <v>Louis Oosthuizen</v>
      </c>
      <c r="D236">
        <f ca="1">IFERROR(__xludf.DUMMYFUNCTION("""COMPUTED_VALUE"""),12)</f>
        <v>12</v>
      </c>
      <c r="E236" t="str">
        <f ca="1">IFERROR(__xludf.DUMMYFUNCTION("""COMPUTED_VALUE"""),"10' 1""")</f>
        <v>10' 1"</v>
      </c>
      <c r="F236">
        <f ca="1">IFERROR(__xludf.DUMMYFUNCTION("""COMPUTED_VALUE"""),860)</f>
        <v>860</v>
      </c>
      <c r="G236">
        <f ca="1">IFERROR(__xludf.DUMMYFUNCTION("""COMPUTED_VALUE"""),85)</f>
        <v>85</v>
      </c>
      <c r="H236">
        <f ca="1">IFERROR(__xludf.DUMMYFUNCTION("""COMPUTED_VALUE"""),63)</f>
        <v>63</v>
      </c>
    </row>
    <row r="237" spans="1:8" ht="12.75">
      <c r="A237" t="str">
        <f ca="1">IFERROR(__xludf.DUMMYFUNCTION("""COMPUTED_VALUE"""),"T233")</f>
        <v>T233</v>
      </c>
      <c r="B237" t="str">
        <f ca="1">IFERROR(__xludf.DUMMYFUNCTION("""COMPUTED_VALUE"""),"T228")</f>
        <v>T228</v>
      </c>
      <c r="C237" t="str">
        <f ca="1">IFERROR(__xludf.DUMMYFUNCTION("""COMPUTED_VALUE"""),"Jay McLuen")</f>
        <v>Jay McLuen</v>
      </c>
      <c r="D237">
        <f ca="1">IFERROR(__xludf.DUMMYFUNCTION("""COMPUTED_VALUE"""),4)</f>
        <v>4</v>
      </c>
      <c r="E237" t="str">
        <f ca="1">IFERROR(__xludf.DUMMYFUNCTION("""COMPUTED_VALUE"""),"10' 1""")</f>
        <v>10' 1"</v>
      </c>
      <c r="F237">
        <f ca="1">IFERROR(__xludf.DUMMYFUNCTION("""COMPUTED_VALUE"""),242.667)</f>
        <v>242.667</v>
      </c>
      <c r="G237">
        <f ca="1">IFERROR(__xludf.DUMMYFUNCTION("""COMPUTED_VALUE"""),24)</f>
        <v>24</v>
      </c>
      <c r="H237">
        <f ca="1">IFERROR(__xludf.DUMMYFUNCTION("""COMPUTED_VALUE"""),130)</f>
        <v>130</v>
      </c>
    </row>
    <row r="238" spans="1:8" ht="12.75">
      <c r="A238" t="str">
        <f ca="1">IFERROR(__xludf.DUMMYFUNCTION("""COMPUTED_VALUE"""),"T233")</f>
        <v>T233</v>
      </c>
      <c r="B238" t="str">
        <f ca="1">IFERROR(__xludf.DUMMYFUNCTION("""COMPUTED_VALUE"""),"T228")</f>
        <v>T228</v>
      </c>
      <c r="C238" t="str">
        <f ca="1">IFERROR(__xludf.DUMMYFUNCTION("""COMPUTED_VALUE"""),"Thomas Detry")</f>
        <v>Thomas Detry</v>
      </c>
      <c r="D238">
        <f ca="1">IFERROR(__xludf.DUMMYFUNCTION("""COMPUTED_VALUE"""),8)</f>
        <v>8</v>
      </c>
      <c r="E238" t="str">
        <f ca="1">IFERROR(__xludf.DUMMYFUNCTION("""COMPUTED_VALUE"""),"10' 1""")</f>
        <v>10' 1"</v>
      </c>
      <c r="F238">
        <f ca="1">IFERROR(__xludf.DUMMYFUNCTION("""COMPUTED_VALUE"""),303.667)</f>
        <v>303.66699999999997</v>
      </c>
      <c r="G238">
        <f ca="1">IFERROR(__xludf.DUMMYFUNCTION("""COMPUTED_VALUE"""),30)</f>
        <v>30</v>
      </c>
      <c r="H238">
        <f ca="1">IFERROR(__xludf.DUMMYFUNCTION("""COMPUTED_VALUE"""),262)</f>
        <v>262</v>
      </c>
    </row>
    <row r="239" spans="1:8" ht="12.75">
      <c r="A239" t="str">
        <f ca="1">IFERROR(__xludf.DUMMYFUNCTION("""COMPUTED_VALUE"""),"T238")</f>
        <v>T238</v>
      </c>
      <c r="B239" t="str">
        <f ca="1">IFERROR(__xludf.DUMMYFUNCTION("""COMPUTED_VALUE"""),"T245")</f>
        <v>T245</v>
      </c>
      <c r="C239" t="str">
        <f ca="1">IFERROR(__xludf.DUMMYFUNCTION("""COMPUTED_VALUE"""),"Tom Lewis")</f>
        <v>Tom Lewis</v>
      </c>
      <c r="D239">
        <f ca="1">IFERROR(__xludf.DUMMYFUNCTION("""COMPUTED_VALUE"""),12)</f>
        <v>12</v>
      </c>
      <c r="E239" t="str">
        <f ca="1">IFERROR(__xludf.DUMMYFUNCTION("""COMPUTED_VALUE"""),"10' 2""")</f>
        <v>10' 2"</v>
      </c>
      <c r="F239">
        <f ca="1">IFERROR(__xludf.DUMMYFUNCTION("""COMPUTED_VALUE"""),670.25)</f>
        <v>670.25</v>
      </c>
      <c r="G239">
        <f ca="1">IFERROR(__xludf.DUMMYFUNCTION("""COMPUTED_VALUE"""),66)</f>
        <v>66</v>
      </c>
      <c r="H239">
        <f ca="1">IFERROR(__xludf.DUMMYFUNCTION("""COMPUTED_VALUE"""),223)</f>
        <v>223</v>
      </c>
    </row>
    <row r="240" spans="1:8" ht="12.75">
      <c r="A240" t="str">
        <f ca="1">IFERROR(__xludf.DUMMYFUNCTION("""COMPUTED_VALUE"""),"T238")</f>
        <v>T238</v>
      </c>
      <c r="B240" t="str">
        <f ca="1">IFERROR(__xludf.DUMMYFUNCTION("""COMPUTED_VALUE"""),"T254")</f>
        <v>T254</v>
      </c>
      <c r="C240" t="str">
        <f ca="1">IFERROR(__xludf.DUMMYFUNCTION("""COMPUTED_VALUE"""),"Danny Willett")</f>
        <v>Danny Willett</v>
      </c>
      <c r="D240">
        <f ca="1">IFERROR(__xludf.DUMMYFUNCTION("""COMPUTED_VALUE"""),7)</f>
        <v>7</v>
      </c>
      <c r="E240" t="str">
        <f ca="1">IFERROR(__xludf.DUMMYFUNCTION("""COMPUTED_VALUE"""),"10' 2""")</f>
        <v>10' 2"</v>
      </c>
      <c r="F240">
        <f ca="1">IFERROR(__xludf.DUMMYFUNCTION("""COMPUTED_VALUE"""),223.583)</f>
        <v>223.583</v>
      </c>
      <c r="G240">
        <f ca="1">IFERROR(__xludf.DUMMYFUNCTION("""COMPUTED_VALUE"""),22)</f>
        <v>22</v>
      </c>
      <c r="H240">
        <f ca="1">IFERROR(__xludf.DUMMYFUNCTION("""COMPUTED_VALUE"""),269)</f>
        <v>269</v>
      </c>
    </row>
    <row r="241" spans="1:8" ht="12.75">
      <c r="A241" t="str">
        <f ca="1">IFERROR(__xludf.DUMMYFUNCTION("""COMPUTED_VALUE"""),"T240")</f>
        <v>T240</v>
      </c>
      <c r="B241" t="str">
        <f ca="1">IFERROR(__xludf.DUMMYFUNCTION("""COMPUTED_VALUE"""),"T233")</f>
        <v>T233</v>
      </c>
      <c r="C241" t="str">
        <f ca="1">IFERROR(__xludf.DUMMYFUNCTION("""COMPUTED_VALUE"""),"Jim Herman")</f>
        <v>Jim Herman</v>
      </c>
      <c r="D241">
        <f ca="1">IFERROR(__xludf.DUMMYFUNCTION("""COMPUTED_VALUE"""),12)</f>
        <v>12</v>
      </c>
      <c r="E241" t="str">
        <f ca="1">IFERROR(__xludf.DUMMYFUNCTION("""COMPUTED_VALUE"""),"10' 3""")</f>
        <v>10' 3"</v>
      </c>
      <c r="F241">
        <f ca="1">IFERROR(__xludf.DUMMYFUNCTION("""COMPUTED_VALUE"""),790.833)</f>
        <v>790.83299999999997</v>
      </c>
      <c r="G241">
        <f ca="1">IFERROR(__xludf.DUMMYFUNCTION("""COMPUTED_VALUE"""),77)</f>
        <v>77</v>
      </c>
      <c r="H241">
        <f ca="1">IFERROR(__xludf.DUMMYFUNCTION("""COMPUTED_VALUE"""),155)</f>
        <v>155</v>
      </c>
    </row>
    <row r="242" spans="1:8" ht="12.75">
      <c r="A242" t="str">
        <f ca="1">IFERROR(__xludf.DUMMYFUNCTION("""COMPUTED_VALUE"""),"T240")</f>
        <v>T240</v>
      </c>
      <c r="B242" t="str">
        <f ca="1">IFERROR(__xludf.DUMMYFUNCTION("""COMPUTED_VALUE"""),"T245")</f>
        <v>T245</v>
      </c>
      <c r="C242" t="str">
        <f ca="1">IFERROR(__xludf.DUMMYFUNCTION("""COMPUTED_VALUE"""),"Lee Westwood")</f>
        <v>Lee Westwood</v>
      </c>
      <c r="D242">
        <f ca="1">IFERROR(__xludf.DUMMYFUNCTION("""COMPUTED_VALUE"""),6)</f>
        <v>6</v>
      </c>
      <c r="E242" t="str">
        <f ca="1">IFERROR(__xludf.DUMMYFUNCTION("""COMPUTED_VALUE"""),"10' 3""")</f>
        <v>10' 3"</v>
      </c>
      <c r="F242">
        <f ca="1">IFERROR(__xludf.DUMMYFUNCTION("""COMPUTED_VALUE"""),481)</f>
        <v>481</v>
      </c>
      <c r="G242">
        <f ca="1">IFERROR(__xludf.DUMMYFUNCTION("""COMPUTED_VALUE"""),47)</f>
        <v>47</v>
      </c>
      <c r="H242">
        <f ca="1">IFERROR(__xludf.DUMMYFUNCTION("""COMPUTED_VALUE"""),147)</f>
        <v>147</v>
      </c>
    </row>
    <row r="243" spans="1:8" ht="12.75">
      <c r="A243" t="str">
        <f ca="1">IFERROR(__xludf.DUMMYFUNCTION("""COMPUTED_VALUE"""),"T240")</f>
        <v>T240</v>
      </c>
      <c r="B243" t="str">
        <f ca="1">IFERROR(__xludf.DUMMYFUNCTION("""COMPUTED_VALUE"""),"T242")</f>
        <v>T242</v>
      </c>
      <c r="C243" t="str">
        <f ca="1">IFERROR(__xludf.DUMMYFUNCTION("""COMPUTED_VALUE"""),"Hunter Mahan")</f>
        <v>Hunter Mahan</v>
      </c>
      <c r="D243">
        <f ca="1">IFERROR(__xludf.DUMMYFUNCTION("""COMPUTED_VALUE"""),14)</f>
        <v>14</v>
      </c>
      <c r="E243" t="str">
        <f ca="1">IFERROR(__xludf.DUMMYFUNCTION("""COMPUTED_VALUE"""),"10' 3""")</f>
        <v>10' 3"</v>
      </c>
      <c r="F243">
        <f ca="1">IFERROR(__xludf.DUMMYFUNCTION("""COMPUTED_VALUE"""),605)</f>
        <v>605</v>
      </c>
      <c r="G243">
        <f ca="1">IFERROR(__xludf.DUMMYFUNCTION("""COMPUTED_VALUE"""),59)</f>
        <v>59</v>
      </c>
      <c r="H243">
        <f ca="1">IFERROR(__xludf.DUMMYFUNCTION("""COMPUTED_VALUE"""),168)</f>
        <v>168</v>
      </c>
    </row>
    <row r="244" spans="1:8" ht="12.75">
      <c r="A244" t="str">
        <f ca="1">IFERROR(__xludf.DUMMYFUNCTION("""COMPUTED_VALUE"""),"T243")</f>
        <v>T243</v>
      </c>
      <c r="B244" t="str">
        <f ca="1">IFERROR(__xludf.DUMMYFUNCTION("""COMPUTED_VALUE"""),"T226")</f>
        <v>T226</v>
      </c>
      <c r="C244" t="str">
        <f ca="1">IFERROR(__xludf.DUMMYFUNCTION("""COMPUTED_VALUE"""),"Rory Sabbatini")</f>
        <v>Rory Sabbatini</v>
      </c>
      <c r="D244">
        <f ca="1">IFERROR(__xludf.DUMMYFUNCTION("""COMPUTED_VALUE"""),13)</f>
        <v>13</v>
      </c>
      <c r="E244" t="str">
        <f ca="1">IFERROR(__xludf.DUMMYFUNCTION("""COMPUTED_VALUE"""),"10' 4""")</f>
        <v>10' 4"</v>
      </c>
      <c r="F244">
        <f ca="1">IFERROR(__xludf.DUMMYFUNCTION("""COMPUTED_VALUE"""),959.083)</f>
        <v>959.08299999999997</v>
      </c>
      <c r="G244">
        <f ca="1">IFERROR(__xludf.DUMMYFUNCTION("""COMPUTED_VALUE"""),93)</f>
        <v>93</v>
      </c>
      <c r="H244">
        <f ca="1">IFERROR(__xludf.DUMMYFUNCTION("""COMPUTED_VALUE"""),275)</f>
        <v>275</v>
      </c>
    </row>
    <row r="245" spans="1:8" ht="12.75">
      <c r="A245" t="str">
        <f ca="1">IFERROR(__xludf.DUMMYFUNCTION("""COMPUTED_VALUE"""),"T243")</f>
        <v>T243</v>
      </c>
      <c r="B245" t="str">
        <f ca="1">IFERROR(__xludf.DUMMYFUNCTION("""COMPUTED_VALUE"""),"T254")</f>
        <v>T254</v>
      </c>
      <c r="C245" t="str">
        <f ca="1">IFERROR(__xludf.DUMMYFUNCTION("""COMPUTED_VALUE"""),"Lucas Glover")</f>
        <v>Lucas Glover</v>
      </c>
      <c r="D245">
        <f ca="1">IFERROR(__xludf.DUMMYFUNCTION("""COMPUTED_VALUE"""),12)</f>
        <v>12</v>
      </c>
      <c r="E245" t="str">
        <f ca="1">IFERROR(__xludf.DUMMYFUNCTION("""COMPUTED_VALUE"""),"10' 4""")</f>
        <v>10' 4"</v>
      </c>
      <c r="F245">
        <f ca="1">IFERROR(__xludf.DUMMYFUNCTION("""COMPUTED_VALUE"""),825.5)</f>
        <v>825.5</v>
      </c>
      <c r="G245">
        <f ca="1">IFERROR(__xludf.DUMMYFUNCTION("""COMPUTED_VALUE"""),80)</f>
        <v>80</v>
      </c>
      <c r="H245">
        <f ca="1">IFERROR(__xludf.DUMMYFUNCTION("""COMPUTED_VALUE"""),249)</f>
        <v>249</v>
      </c>
    </row>
    <row r="246" spans="1:8" ht="12.75">
      <c r="A246" t="str">
        <f ca="1">IFERROR(__xludf.DUMMYFUNCTION("""COMPUTED_VALUE"""),"T245")</f>
        <v>T245</v>
      </c>
      <c r="B246" t="str">
        <f ca="1">IFERROR(__xludf.DUMMYFUNCTION("""COMPUTED_VALUE"""),"T235")</f>
        <v>T235</v>
      </c>
      <c r="C246" t="str">
        <f ca="1">IFERROR(__xludf.DUMMYFUNCTION("""COMPUTED_VALUE"""),"Peter Uihlein")</f>
        <v>Peter Uihlein</v>
      </c>
      <c r="D246">
        <f ca="1">IFERROR(__xludf.DUMMYFUNCTION("""COMPUTED_VALUE"""),8)</f>
        <v>8</v>
      </c>
      <c r="E246" t="str">
        <f ca="1">IFERROR(__xludf.DUMMYFUNCTION("""COMPUTED_VALUE"""),"10' 5""")</f>
        <v>10' 5"</v>
      </c>
      <c r="F246">
        <f ca="1">IFERROR(__xludf.DUMMYFUNCTION("""COMPUTED_VALUE"""),135.333)</f>
        <v>135.333</v>
      </c>
      <c r="G246">
        <f ca="1">IFERROR(__xludf.DUMMYFUNCTION("""COMPUTED_VALUE"""),13)</f>
        <v>13</v>
      </c>
      <c r="H246">
        <f ca="1">IFERROR(__xludf.DUMMYFUNCTION("""COMPUTED_VALUE"""),258)</f>
        <v>258</v>
      </c>
    </row>
    <row r="247" spans="1:8" ht="12.75">
      <c r="A247" t="str">
        <f ca="1">IFERROR(__xludf.DUMMYFUNCTION("""COMPUTED_VALUE"""),"T245")</f>
        <v>T245</v>
      </c>
      <c r="B247" t="str">
        <f ca="1">IFERROR(__xludf.DUMMYFUNCTION("""COMPUTED_VALUE"""),"T235")</f>
        <v>T235</v>
      </c>
      <c r="C247" t="str">
        <f ca="1">IFERROR(__xludf.DUMMYFUNCTION("""COMPUTED_VALUE"""),"Davis Riley")</f>
        <v>Davis Riley</v>
      </c>
      <c r="D247">
        <f ca="1">IFERROR(__xludf.DUMMYFUNCTION("""COMPUTED_VALUE"""),4)</f>
        <v>4</v>
      </c>
      <c r="E247" t="str">
        <f ca="1">IFERROR(__xludf.DUMMYFUNCTION("""COMPUTED_VALUE"""),"10' 5""")</f>
        <v>10' 5"</v>
      </c>
      <c r="F247">
        <f ca="1">IFERROR(__xludf.DUMMYFUNCTION("""COMPUTED_VALUE"""),290.667)</f>
        <v>290.66699999999997</v>
      </c>
      <c r="G247">
        <f ca="1">IFERROR(__xludf.DUMMYFUNCTION("""COMPUTED_VALUE"""),28)</f>
        <v>28</v>
      </c>
      <c r="H247">
        <f ca="1">IFERROR(__xludf.DUMMYFUNCTION("""COMPUTED_VALUE"""),289)</f>
        <v>289</v>
      </c>
    </row>
    <row r="248" spans="1:8" ht="12.75">
      <c r="A248" t="str">
        <f ca="1">IFERROR(__xludf.DUMMYFUNCTION("""COMPUTED_VALUE"""),"T245")</f>
        <v>T245</v>
      </c>
      <c r="B248" t="str">
        <f ca="1">IFERROR(__xludf.DUMMYFUNCTION("""COMPUTED_VALUE"""),"T235")</f>
        <v>T235</v>
      </c>
      <c r="C248" t="str">
        <f ca="1">IFERROR(__xludf.DUMMYFUNCTION("""COMPUTED_VALUE"""),"Jaekyeong Lee")</f>
        <v>Jaekyeong Lee</v>
      </c>
      <c r="D248">
        <f ca="1">IFERROR(__xludf.DUMMYFUNCTION("""COMPUTED_VALUE"""),4)</f>
        <v>4</v>
      </c>
      <c r="E248" t="str">
        <f ca="1">IFERROR(__xludf.DUMMYFUNCTION("""COMPUTED_VALUE"""),"10' 5""")</f>
        <v>10' 5"</v>
      </c>
      <c r="F248">
        <f ca="1">IFERROR(__xludf.DUMMYFUNCTION("""COMPUTED_VALUE"""),292.167)</f>
        <v>292.16699999999997</v>
      </c>
      <c r="G248">
        <f ca="1">IFERROR(__xludf.DUMMYFUNCTION("""COMPUTED_VALUE"""),28)</f>
        <v>28</v>
      </c>
      <c r="H248">
        <f ca="1">IFERROR(__xludf.DUMMYFUNCTION("""COMPUTED_VALUE"""),282)</f>
        <v>282</v>
      </c>
    </row>
    <row r="249" spans="1:8" ht="12.75">
      <c r="A249" t="str">
        <f ca="1">IFERROR(__xludf.DUMMYFUNCTION("""COMPUTED_VALUE"""),"T248")</f>
        <v>T248</v>
      </c>
      <c r="B249">
        <f ca="1">IFERROR(__xludf.DUMMYFUNCTION("""COMPUTED_VALUE"""),251)</f>
        <v>251</v>
      </c>
      <c r="C249" t="str">
        <f ca="1">IFERROR(__xludf.DUMMYFUNCTION("""COMPUTED_VALUE"""),"J.T. Poston")</f>
        <v>J.T. Poston</v>
      </c>
      <c r="D249">
        <f ca="1">IFERROR(__xludf.DUMMYFUNCTION("""COMPUTED_VALUE"""),18)</f>
        <v>18</v>
      </c>
      <c r="E249" t="str">
        <f ca="1">IFERROR(__xludf.DUMMYFUNCTION("""COMPUTED_VALUE"""),"10' 6""")</f>
        <v>10' 6"</v>
      </c>
      <c r="F249" s="2">
        <f ca="1">IFERROR(__xludf.DUMMYFUNCTION("""COMPUTED_VALUE"""),1210.083)</f>
        <v>1210.0830000000001</v>
      </c>
      <c r="G249">
        <f ca="1">IFERROR(__xludf.DUMMYFUNCTION("""COMPUTED_VALUE"""),115)</f>
        <v>115</v>
      </c>
      <c r="H249">
        <f ca="1">IFERROR(__xludf.DUMMYFUNCTION("""COMPUTED_VALUE"""),132)</f>
        <v>132</v>
      </c>
    </row>
    <row r="250" spans="1:8" ht="12.75">
      <c r="A250" t="str">
        <f ca="1">IFERROR(__xludf.DUMMYFUNCTION("""COMPUTED_VALUE"""),"T248")</f>
        <v>T248</v>
      </c>
      <c r="B250" t="str">
        <f ca="1">IFERROR(__xludf.DUMMYFUNCTION("""COMPUTED_VALUE"""),"T238")</f>
        <v>T238</v>
      </c>
      <c r="C250" t="str">
        <f ca="1">IFERROR(__xludf.DUMMYFUNCTION("""COMPUTED_VALUE"""),"Chesson Hadley")</f>
        <v>Chesson Hadley</v>
      </c>
      <c r="D250">
        <f ca="1">IFERROR(__xludf.DUMMYFUNCTION("""COMPUTED_VALUE"""),16)</f>
        <v>16</v>
      </c>
      <c r="E250" t="str">
        <f ca="1">IFERROR(__xludf.DUMMYFUNCTION("""COMPUTED_VALUE"""),"10' 6""")</f>
        <v>10' 6"</v>
      </c>
      <c r="F250">
        <f ca="1">IFERROR(__xludf.DUMMYFUNCTION("""COMPUTED_VALUE"""),734.333)</f>
        <v>734.33299999999997</v>
      </c>
      <c r="G250">
        <f ca="1">IFERROR(__xludf.DUMMYFUNCTION("""COMPUTED_VALUE"""),70)</f>
        <v>70</v>
      </c>
      <c r="H250">
        <f ca="1">IFERROR(__xludf.DUMMYFUNCTION("""COMPUTED_VALUE"""),203)</f>
        <v>203</v>
      </c>
    </row>
    <row r="251" spans="1:8" ht="12.75">
      <c r="A251" t="str">
        <f ca="1">IFERROR(__xludf.DUMMYFUNCTION("""COMPUTED_VALUE"""),"T248")</f>
        <v>T248</v>
      </c>
      <c r="B251" t="str">
        <f ca="1">IFERROR(__xludf.DUMMYFUNCTION("""COMPUTED_VALUE"""),"")</f>
        <v/>
      </c>
      <c r="C251" t="str">
        <f ca="1">IFERROR(__xludf.DUMMYFUNCTION("""COMPUTED_VALUE"""),"Greg Chalmers")</f>
        <v>Greg Chalmers</v>
      </c>
      <c r="D251">
        <f ca="1">IFERROR(__xludf.DUMMYFUNCTION("""COMPUTED_VALUE"""),6)</f>
        <v>6</v>
      </c>
      <c r="E251" t="str">
        <f ca="1">IFERROR(__xludf.DUMMYFUNCTION("""COMPUTED_VALUE"""),"10' 6""")</f>
        <v>10' 6"</v>
      </c>
      <c r="F251">
        <f ca="1">IFERROR(__xludf.DUMMYFUNCTION("""COMPUTED_VALUE"""),442.333)</f>
        <v>442.33300000000003</v>
      </c>
      <c r="G251">
        <f ca="1">IFERROR(__xludf.DUMMYFUNCTION("""COMPUTED_VALUE"""),42)</f>
        <v>42</v>
      </c>
      <c r="H251">
        <f ca="1">IFERROR(__xludf.DUMMYFUNCTION("""COMPUTED_VALUE"""),211)</f>
        <v>211</v>
      </c>
    </row>
    <row r="252" spans="1:8" ht="12.75">
      <c r="A252" t="str">
        <f ca="1">IFERROR(__xludf.DUMMYFUNCTION("""COMPUTED_VALUE"""),"T248")</f>
        <v>T248</v>
      </c>
      <c r="B252" t="str">
        <f ca="1">IFERROR(__xludf.DUMMYFUNCTION("""COMPUTED_VALUE"""),"T238")</f>
        <v>T238</v>
      </c>
      <c r="C252" t="str">
        <f ca="1">IFERROR(__xludf.DUMMYFUNCTION("""COMPUTED_VALUE"""),"Charles Howell III")</f>
        <v>Charles Howell III</v>
      </c>
      <c r="D252">
        <f ca="1">IFERROR(__xludf.DUMMYFUNCTION("""COMPUTED_VALUE"""),10)</f>
        <v>10</v>
      </c>
      <c r="E252" t="str">
        <f ca="1">IFERROR(__xludf.DUMMYFUNCTION("""COMPUTED_VALUE"""),"10' 6""")</f>
        <v>10' 6"</v>
      </c>
      <c r="F252">
        <f ca="1">IFERROR(__xludf.DUMMYFUNCTION("""COMPUTED_VALUE"""),724.5)</f>
        <v>724.5</v>
      </c>
      <c r="G252">
        <f ca="1">IFERROR(__xludf.DUMMYFUNCTION("""COMPUTED_VALUE"""),69)</f>
        <v>69</v>
      </c>
      <c r="H252">
        <f ca="1">IFERROR(__xludf.DUMMYFUNCTION("""COMPUTED_VALUE"""),51)</f>
        <v>51</v>
      </c>
    </row>
    <row r="253" spans="1:8" ht="12.75">
      <c r="A253" t="str">
        <f ca="1">IFERROR(__xludf.DUMMYFUNCTION("""COMPUTED_VALUE"""),"T252")</f>
        <v>T252</v>
      </c>
      <c r="B253" t="str">
        <f ca="1">IFERROR(__xludf.DUMMYFUNCTION("""COMPUTED_VALUE"""),"T240")</f>
        <v>T240</v>
      </c>
      <c r="C253" t="str">
        <f ca="1">IFERROR(__xludf.DUMMYFUNCTION("""COMPUTED_VALUE"""),"Marc Leishman")</f>
        <v>Marc Leishman</v>
      </c>
      <c r="D253">
        <f ca="1">IFERROR(__xludf.DUMMYFUNCTION("""COMPUTED_VALUE"""),10)</f>
        <v>10</v>
      </c>
      <c r="E253" t="str">
        <f ca="1">IFERROR(__xludf.DUMMYFUNCTION("""COMPUTED_VALUE"""),"10' 7""")</f>
        <v>10' 7"</v>
      </c>
      <c r="F253">
        <f ca="1">IFERROR(__xludf.DUMMYFUNCTION("""COMPUTED_VALUE"""),633.167)</f>
        <v>633.16700000000003</v>
      </c>
      <c r="G253">
        <f ca="1">IFERROR(__xludf.DUMMYFUNCTION("""COMPUTED_VALUE"""),60)</f>
        <v>60</v>
      </c>
      <c r="H253">
        <f ca="1">IFERROR(__xludf.DUMMYFUNCTION("""COMPUTED_VALUE"""),235)</f>
        <v>235</v>
      </c>
    </row>
    <row r="254" spans="1:8" ht="12.75">
      <c r="A254" t="str">
        <f ca="1">IFERROR(__xludf.DUMMYFUNCTION("""COMPUTED_VALUE"""),"T252")</f>
        <v>T252</v>
      </c>
      <c r="B254" t="str">
        <f ca="1">IFERROR(__xludf.DUMMYFUNCTION("""COMPUTED_VALUE"""),"T240")</f>
        <v>T240</v>
      </c>
      <c r="C254" t="str">
        <f ca="1">IFERROR(__xludf.DUMMYFUNCTION("""COMPUTED_VALUE"""),"Zack Sucher")</f>
        <v>Zack Sucher</v>
      </c>
      <c r="D254">
        <f ca="1">IFERROR(__xludf.DUMMYFUNCTION("""COMPUTED_VALUE"""),6)</f>
        <v>6</v>
      </c>
      <c r="E254" t="str">
        <f ca="1">IFERROR(__xludf.DUMMYFUNCTION("""COMPUTED_VALUE"""),"10' 7""")</f>
        <v>10' 7"</v>
      </c>
      <c r="F254">
        <f ca="1">IFERROR(__xludf.DUMMYFUNCTION("""COMPUTED_VALUE"""),95.417)</f>
        <v>95.417000000000002</v>
      </c>
      <c r="G254">
        <f ca="1">IFERROR(__xludf.DUMMYFUNCTION("""COMPUTED_VALUE"""),9)</f>
        <v>9</v>
      </c>
      <c r="H254">
        <f ca="1">IFERROR(__xludf.DUMMYFUNCTION("""COMPUTED_VALUE"""),257)</f>
        <v>257</v>
      </c>
    </row>
    <row r="255" spans="1:8" ht="12.75">
      <c r="A255" t="str">
        <f ca="1">IFERROR(__xludf.DUMMYFUNCTION("""COMPUTED_VALUE"""),"T254")</f>
        <v>T254</v>
      </c>
      <c r="B255" t="str">
        <f ca="1">IFERROR(__xludf.DUMMYFUNCTION("""COMPUTED_VALUE"""),"T242")</f>
        <v>T242</v>
      </c>
      <c r="C255" t="str">
        <f ca="1">IFERROR(__xludf.DUMMYFUNCTION("""COMPUTED_VALUE"""),"Jeongwoo Ham")</f>
        <v>Jeongwoo Ham</v>
      </c>
      <c r="D255">
        <f ca="1">IFERROR(__xludf.DUMMYFUNCTION("""COMPUTED_VALUE"""),4)</f>
        <v>4</v>
      </c>
      <c r="E255" t="str">
        <f ca="1">IFERROR(__xludf.DUMMYFUNCTION("""COMPUTED_VALUE"""),"10' 8""")</f>
        <v>10' 8"</v>
      </c>
      <c r="F255">
        <f ca="1">IFERROR(__xludf.DUMMYFUNCTION("""COMPUTED_VALUE"""),353.333)</f>
        <v>353.33300000000003</v>
      </c>
      <c r="G255">
        <f ca="1">IFERROR(__xludf.DUMMYFUNCTION("""COMPUTED_VALUE"""),33)</f>
        <v>33</v>
      </c>
      <c r="H255">
        <f ca="1">IFERROR(__xludf.DUMMYFUNCTION("""COMPUTED_VALUE"""),273)</f>
        <v>273</v>
      </c>
    </row>
    <row r="256" spans="1:8" ht="12.75">
      <c r="A256" t="str">
        <f ca="1">IFERROR(__xludf.DUMMYFUNCTION("""COMPUTED_VALUE"""),"T254")</f>
        <v>T254</v>
      </c>
      <c r="B256" t="str">
        <f ca="1">IFERROR(__xludf.DUMMYFUNCTION("""COMPUTED_VALUE"""),"T254")</f>
        <v>T254</v>
      </c>
      <c r="C256" t="str">
        <f ca="1">IFERROR(__xludf.DUMMYFUNCTION("""COMPUTED_VALUE"""),"Shane Lowry")</f>
        <v>Shane Lowry</v>
      </c>
      <c r="D256">
        <f ca="1">IFERROR(__xludf.DUMMYFUNCTION("""COMPUTED_VALUE"""),14)</f>
        <v>14</v>
      </c>
      <c r="E256" t="str">
        <f ca="1">IFERROR(__xludf.DUMMYFUNCTION("""COMPUTED_VALUE"""),"10' 8""")</f>
        <v>10' 8"</v>
      </c>
      <c r="F256">
        <f ca="1">IFERROR(__xludf.DUMMYFUNCTION("""COMPUTED_VALUE"""),797.75)</f>
        <v>797.75</v>
      </c>
      <c r="G256">
        <f ca="1">IFERROR(__xludf.DUMMYFUNCTION("""COMPUTED_VALUE"""),75)</f>
        <v>75</v>
      </c>
      <c r="H256">
        <f ca="1">IFERROR(__xludf.DUMMYFUNCTION("""COMPUTED_VALUE"""),221)</f>
        <v>221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IFERROR(__xludf.DUMMYFUNCTION("""COMPUTED_VALUE"""),244)</f>
        <v>244</v>
      </c>
      <c r="C257" t="str">
        <f ca="1">IFERROR(__xludf.DUMMYFUNCTION("""COMPUTED_VALUE"""),"Rafa Cabrera Bello")</f>
        <v>Rafa Cabrera Bello</v>
      </c>
      <c r="D257">
        <f ca="1">IFERROR(__xludf.DUMMYFUNCTION("""COMPUTED_VALUE"""),14)</f>
        <v>14</v>
      </c>
      <c r="E257" t="str">
        <f ca="1">IFERROR(__xludf.DUMMYFUNCTION("""COMPUTED_VALUE"""),"10' 9""")</f>
        <v>10' 9"</v>
      </c>
      <c r="F257">
        <f ca="1">IFERROR(__xludf.DUMMYFUNCTION("""COMPUTED_VALUE"""),915.083)</f>
        <v>915.08299999999997</v>
      </c>
      <c r="G257">
        <f ca="1">IFERROR(__xludf.DUMMYFUNCTION("""COMPUTED_VALUE"""),85)</f>
        <v>85</v>
      </c>
      <c r="H257">
        <f ca="1">IFERROR(__xludf.DUMMYFUNCTION("""COMPUTED_VALUE"""),234)</f>
        <v>234</v>
      </c>
    </row>
    <row r="258" spans="1:8" ht="12.75">
      <c r="A258" t="str">
        <f ca="1">IFERROR(__xludf.DUMMYFUNCTION("""COMPUTED_VALUE"""),"T257")</f>
        <v>T257</v>
      </c>
      <c r="B258" t="str">
        <f ca="1">IFERROR(__xludf.DUMMYFUNCTION("""COMPUTED_VALUE"""),"T245")</f>
        <v>T245</v>
      </c>
      <c r="C258" t="str">
        <f ca="1">IFERROR(__xludf.DUMMYFUNCTION("""COMPUTED_VALUE"""),"Matthias Schwab")</f>
        <v>Matthias Schwab</v>
      </c>
      <c r="D258">
        <f ca="1">IFERROR(__xludf.DUMMYFUNCTION("""COMPUTED_VALUE"""),8)</f>
        <v>8</v>
      </c>
      <c r="E258" t="str">
        <f ca="1">IFERROR(__xludf.DUMMYFUNCTION("""COMPUTED_VALUE"""),"10' 10""")</f>
        <v>10' 10"</v>
      </c>
      <c r="F258">
        <f ca="1">IFERROR(__xludf.DUMMYFUNCTION("""COMPUTED_VALUE"""),379.417)</f>
        <v>379.41699999999997</v>
      </c>
      <c r="G258">
        <f ca="1">IFERROR(__xludf.DUMMYFUNCTION("""COMPUTED_VALUE"""),35)</f>
        <v>35</v>
      </c>
      <c r="H258">
        <f ca="1">IFERROR(__xludf.DUMMYFUNCTION("""COMPUTED_VALUE"""),133)</f>
        <v>133</v>
      </c>
    </row>
    <row r="259" spans="1:8" ht="12.75">
      <c r="A259" t="str">
        <f ca="1">IFERROR(__xludf.DUMMYFUNCTION("""COMPUTED_VALUE"""),"T257")</f>
        <v>T257</v>
      </c>
      <c r="B259" t="str">
        <f ca="1">IFERROR(__xludf.DUMMYFUNCTION("""COMPUTED_VALUE"""),"T245")</f>
        <v>T245</v>
      </c>
      <c r="C259" t="str">
        <f ca="1">IFERROR(__xludf.DUMMYFUNCTION("""COMPUTED_VALUE"""),"Stephan Jaeger")</f>
        <v>Stephan Jaeger</v>
      </c>
      <c r="D259">
        <f ca="1">IFERROR(__xludf.DUMMYFUNCTION("""COMPUTED_VALUE"""),4)</f>
        <v>4</v>
      </c>
      <c r="E259" t="str">
        <f ca="1">IFERROR(__xludf.DUMMYFUNCTION("""COMPUTED_VALUE"""),"10' 10""")</f>
        <v>10' 10"</v>
      </c>
      <c r="F259">
        <f ca="1">IFERROR(__xludf.DUMMYFUNCTION("""COMPUTED_VALUE"""),336.417)</f>
        <v>336.41699999999997</v>
      </c>
      <c r="G259">
        <f ca="1">IFERROR(__xludf.DUMMYFUNCTION("""COMPUTED_VALUE"""),31)</f>
        <v>31</v>
      </c>
      <c r="H259">
        <f ca="1">IFERROR(__xludf.DUMMYFUNCTION("""COMPUTED_VALUE"""),185)</f>
        <v>185</v>
      </c>
    </row>
    <row r="260" spans="1:8" ht="12.75">
      <c r="A260" t="str">
        <f ca="1">IFERROR(__xludf.DUMMYFUNCTION("""COMPUTED_VALUE"""),"T259")</f>
        <v>T259</v>
      </c>
      <c r="B260" t="str">
        <f ca="1">IFERROR(__xludf.DUMMYFUNCTION("""COMPUTED_VALUE"""),"")</f>
        <v/>
      </c>
      <c r="C260" t="str">
        <f ca="1">IFERROR(__xludf.DUMMYFUNCTION("""COMPUTED_VALUE"""),"Ollie Schniederjans")</f>
        <v>Ollie Schniederjans</v>
      </c>
      <c r="D260">
        <f ca="1">IFERROR(__xludf.DUMMYFUNCTION("""COMPUTED_VALUE"""),6)</f>
        <v>6</v>
      </c>
      <c r="E260" t="str">
        <f ca="1">IFERROR(__xludf.DUMMYFUNCTION("""COMPUTED_VALUE"""),"10' 11""")</f>
        <v>10' 11"</v>
      </c>
      <c r="F260">
        <f ca="1">IFERROR(__xludf.DUMMYFUNCTION("""COMPUTED_VALUE"""),152.833)</f>
        <v>152.833</v>
      </c>
      <c r="G260">
        <f ca="1">IFERROR(__xludf.DUMMYFUNCTION("""COMPUTED_VALUE"""),14)</f>
        <v>14</v>
      </c>
      <c r="H260">
        <f ca="1">IFERROR(__xludf.DUMMYFUNCTION("""COMPUTED_VALUE"""),85)</f>
        <v>85</v>
      </c>
    </row>
    <row r="261" spans="1:8" ht="12.75">
      <c r="A261" t="str">
        <f ca="1">IFERROR(__xludf.DUMMYFUNCTION("""COMPUTED_VALUE"""),"T259")</f>
        <v>T259</v>
      </c>
      <c r="B261" t="str">
        <f ca="1">IFERROR(__xludf.DUMMYFUNCTION("""COMPUTED_VALUE"""),"")</f>
        <v/>
      </c>
      <c r="C261" t="str">
        <f ca="1">IFERROR(__xludf.DUMMYFUNCTION("""COMPUTED_VALUE"""),"Justin Harding")</f>
        <v>Justin Harding</v>
      </c>
      <c r="D261">
        <f ca="1">IFERROR(__xludf.DUMMYFUNCTION("""COMPUTED_VALUE"""),6)</f>
        <v>6</v>
      </c>
      <c r="E261" t="str">
        <f ca="1">IFERROR(__xludf.DUMMYFUNCTION("""COMPUTED_VALUE"""),"10' 11""")</f>
        <v>10' 11"</v>
      </c>
      <c r="F261">
        <f ca="1">IFERROR(__xludf.DUMMYFUNCTION("""COMPUTED_VALUE"""),458.25)</f>
        <v>458.25</v>
      </c>
      <c r="G261">
        <f ca="1">IFERROR(__xludf.DUMMYFUNCTION("""COMPUTED_VALUE"""),42)</f>
        <v>42</v>
      </c>
      <c r="H261">
        <f ca="1">IFERROR(__xludf.DUMMYFUNCTION("""COMPUTED_VALUE"""),279)</f>
        <v>279</v>
      </c>
    </row>
    <row r="262" spans="1:8" ht="12.75">
      <c r="A262" t="str">
        <f ca="1">IFERROR(__xludf.DUMMYFUNCTION("""COMPUTED_VALUE"""),"T259")</f>
        <v>T259</v>
      </c>
      <c r="B262">
        <f ca="1">IFERROR(__xludf.DUMMYFUNCTION("""COMPUTED_VALUE"""),249)</f>
        <v>249</v>
      </c>
      <c r="C262" t="str">
        <f ca="1">IFERROR(__xludf.DUMMYFUNCTION("""COMPUTED_VALUE"""),"Bernd Wiesberger")</f>
        <v>Bernd Wiesberger</v>
      </c>
      <c r="D262">
        <f ca="1">IFERROR(__xludf.DUMMYFUNCTION("""COMPUTED_VALUE"""),4)</f>
        <v>4</v>
      </c>
      <c r="E262" t="str">
        <f ca="1">IFERROR(__xludf.DUMMYFUNCTION("""COMPUTED_VALUE"""),"10' 11""")</f>
        <v>10' 11"</v>
      </c>
      <c r="F262">
        <f ca="1">IFERROR(__xludf.DUMMYFUNCTION("""COMPUTED_VALUE"""),293.833)</f>
        <v>293.83300000000003</v>
      </c>
      <c r="G262">
        <f ca="1">IFERROR(__xludf.DUMMYFUNCTION("""COMPUTED_VALUE"""),27)</f>
        <v>27</v>
      </c>
      <c r="H262">
        <f ca="1">IFERROR(__xludf.DUMMYFUNCTION("""COMPUTED_VALUE"""),283)</f>
        <v>283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IFERROR(__xludf.DUMMYFUNCTION("""COMPUTED_VALUE"""),250)</f>
        <v>250</v>
      </c>
      <c r="C263" t="str">
        <f ca="1">IFERROR(__xludf.DUMMYFUNCTION("""COMPUTED_VALUE"""),"Matthew Fitzpatrick")</f>
        <v>Matthew Fitzpatrick</v>
      </c>
      <c r="D263">
        <f ca="1">IFERROR(__xludf.DUMMYFUNCTION("""COMPUTED_VALUE"""),10)</f>
        <v>10</v>
      </c>
      <c r="E263" t="str">
        <f ca="1">IFERROR(__xludf.DUMMYFUNCTION("""COMPUTED_VALUE"""),"11' 0""")</f>
        <v>11' 0"</v>
      </c>
      <c r="F263">
        <f ca="1">IFERROR(__xludf.DUMMYFUNCTION("""COMPUTED_VALUE"""),672.083)</f>
        <v>672.08299999999997</v>
      </c>
      <c r="G263">
        <f ca="1">IFERROR(__xludf.DUMMYFUNCTION("""COMPUTED_VALUE"""),61)</f>
        <v>61</v>
      </c>
      <c r="H263">
        <f ca="1">IFERROR(__xludf.DUMMYFUNCTION("""COMPUTED_VALUE"""),230)</f>
        <v>230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IFERROR(__xludf.DUMMYFUNCTION("""COMPUTED_VALUE"""),252)</f>
        <v>252</v>
      </c>
      <c r="C264" t="str">
        <f ca="1">IFERROR(__xludf.DUMMYFUNCTION("""COMPUTED_VALUE"""),"Robert MacIntyre")</f>
        <v>Robert MacIntyre</v>
      </c>
      <c r="D264">
        <f ca="1">IFERROR(__xludf.DUMMYFUNCTION("""COMPUTED_VALUE"""),4)</f>
        <v>4</v>
      </c>
      <c r="E264" t="str">
        <f ca="1">IFERROR(__xludf.DUMMYFUNCTION("""COMPUTED_VALUE"""),"11' 3""")</f>
        <v>11' 3"</v>
      </c>
      <c r="F264">
        <f ca="1">IFERROR(__xludf.DUMMYFUNCTION("""COMPUTED_VALUE"""),325.167)</f>
        <v>325.16699999999997</v>
      </c>
      <c r="G264">
        <f ca="1">IFERROR(__xludf.DUMMYFUNCTION("""COMPUTED_VALUE"""),29)</f>
        <v>29</v>
      </c>
      <c r="H264">
        <f ca="1">IFERROR(__xludf.DUMMYFUNCTION("""COMPUTED_VALUE"""),261)</f>
        <v>261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IFERROR(__xludf.DUMMYFUNCTION("""COMPUTED_VALUE"""),253)</f>
        <v>253</v>
      </c>
      <c r="C265" t="str">
        <f ca="1">IFERROR(__xludf.DUMMYFUNCTION("""COMPUTED_VALUE"""),"Parker McLachlin")</f>
        <v>Parker McLachlin</v>
      </c>
      <c r="D265">
        <f ca="1">IFERROR(__xludf.DUMMYFUNCTION("""COMPUTED_VALUE"""),4)</f>
        <v>4</v>
      </c>
      <c r="E265" t="str">
        <f ca="1">IFERROR(__xludf.DUMMYFUNCTION("""COMPUTED_VALUE"""),"11' 5""")</f>
        <v>11' 5"</v>
      </c>
      <c r="F265">
        <f ca="1">IFERROR(__xludf.DUMMYFUNCTION("""COMPUTED_VALUE"""),239.167)</f>
        <v>239.167</v>
      </c>
      <c r="G265">
        <f ca="1">IFERROR(__xludf.DUMMYFUNCTION("""COMPUTED_VALUE"""),21)</f>
        <v>21</v>
      </c>
      <c r="H265">
        <f ca="1">IFERROR(__xludf.DUMMYFUNCTION("""COMPUTED_VALUE"""),167)</f>
        <v>167</v>
      </c>
    </row>
    <row r="266" spans="1:8" ht="12.75">
      <c r="A266" t="str">
        <f ca="1">IFERROR(__xludf.DUMMYFUNCTION("""COMPUTED_VALUE"""),"T265")</f>
        <v>T265</v>
      </c>
      <c r="B266" t="str">
        <f ca="1">IFERROR(__xludf.DUMMYFUNCTION("""COMPUTED_VALUE"""),"T258")</f>
        <v>T258</v>
      </c>
      <c r="C266" t="str">
        <f ca="1">IFERROR(__xludf.DUMMYFUNCTION("""COMPUTED_VALUE"""),"Hanbyeol Kim")</f>
        <v>Hanbyeol Kim</v>
      </c>
      <c r="D266">
        <f ca="1">IFERROR(__xludf.DUMMYFUNCTION("""COMPUTED_VALUE"""),4)</f>
        <v>4</v>
      </c>
      <c r="E266" t="str">
        <f ca="1">IFERROR(__xludf.DUMMYFUNCTION("""COMPUTED_VALUE"""),"11' 9""")</f>
        <v>11' 9"</v>
      </c>
      <c r="F266">
        <f ca="1">IFERROR(__xludf.DUMMYFUNCTION("""COMPUTED_VALUE"""),235.5)</f>
        <v>235.5</v>
      </c>
      <c r="G266">
        <f ca="1">IFERROR(__xludf.DUMMYFUNCTION("""COMPUTED_VALUE"""),20)</f>
        <v>20</v>
      </c>
      <c r="H266">
        <f ca="1">IFERROR(__xludf.DUMMYFUNCTION("""COMPUTED_VALUE"""),280)</f>
        <v>280</v>
      </c>
    </row>
    <row r="267" spans="1:8" ht="12.75">
      <c r="A267" t="str">
        <f ca="1">IFERROR(__xludf.DUMMYFUNCTION("""COMPUTED_VALUE"""),"T265")</f>
        <v>T265</v>
      </c>
      <c r="B267" t="str">
        <f ca="1">IFERROR(__xludf.DUMMYFUNCTION("""COMPUTED_VALUE"""),"T258")</f>
        <v>T258</v>
      </c>
      <c r="C267" t="str">
        <f ca="1">IFERROR(__xludf.DUMMYFUNCTION("""COMPUTED_VALUE"""),"Takumi Kanaya")</f>
        <v>Takumi Kanaya</v>
      </c>
      <c r="D267">
        <f ca="1">IFERROR(__xludf.DUMMYFUNCTION("""COMPUTED_VALUE"""),6)</f>
        <v>6</v>
      </c>
      <c r="E267" t="str">
        <f ca="1">IFERROR(__xludf.DUMMYFUNCTION("""COMPUTED_VALUE"""),"11' 9""")</f>
        <v>11' 9"</v>
      </c>
      <c r="F267">
        <f ca="1">IFERROR(__xludf.DUMMYFUNCTION("""COMPUTED_VALUE"""),424.083)</f>
        <v>424.08300000000003</v>
      </c>
      <c r="G267">
        <f ca="1">IFERROR(__xludf.DUMMYFUNCTION("""COMPUTED_VALUE"""),36)</f>
        <v>36</v>
      </c>
      <c r="H267">
        <f ca="1">IFERROR(__xludf.DUMMYFUNCTION("""COMPUTED_VALUE"""),235)</f>
        <v>235</v>
      </c>
    </row>
    <row r="268" spans="1:8" ht="12.75">
      <c r="A268" t="str">
        <f ca="1">IFERROR(__xludf.DUMMYFUNCTION("""COMPUTED_VALUE"""),"T267")</f>
        <v>T267</v>
      </c>
      <c r="B268">
        <f ca="1">IFERROR(__xludf.DUMMYFUNCTION("""COMPUTED_VALUE"""),260)</f>
        <v>260</v>
      </c>
      <c r="C268" t="str">
        <f ca="1">IFERROR(__xludf.DUMMYFUNCTION("""COMPUTED_VALUE"""),"Kurt Kitayama")</f>
        <v>Kurt Kitayama</v>
      </c>
      <c r="D268">
        <f ca="1">IFERROR(__xludf.DUMMYFUNCTION("""COMPUTED_VALUE"""),4)</f>
        <v>4</v>
      </c>
      <c r="E268" t="str">
        <f ca="1">IFERROR(__xludf.DUMMYFUNCTION("""COMPUTED_VALUE"""),"12' 1""")</f>
        <v>12' 1"</v>
      </c>
      <c r="F268">
        <f ca="1">IFERROR(__xludf.DUMMYFUNCTION("""COMPUTED_VALUE"""),229.667)</f>
        <v>229.667</v>
      </c>
      <c r="G268">
        <f ca="1">IFERROR(__xludf.DUMMYFUNCTION("""COMPUTED_VALUE"""),19)</f>
        <v>19</v>
      </c>
      <c r="H268">
        <f ca="1">IFERROR(__xludf.DUMMYFUNCTION("""COMPUTED_VALUE"""),172)</f>
        <v>172</v>
      </c>
    </row>
    <row r="269" spans="1:8" ht="12.75">
      <c r="A269" t="str">
        <f ca="1">IFERROR(__xludf.DUMMYFUNCTION("""COMPUTED_VALUE"""),"T267")</f>
        <v>T267</v>
      </c>
      <c r="B269">
        <f ca="1">IFERROR(__xludf.DUMMYFUNCTION("""COMPUTED_VALUE"""),267)</f>
        <v>267</v>
      </c>
      <c r="C269" t="str">
        <f ca="1">IFERROR(__xludf.DUMMYFUNCTION("""COMPUTED_VALUE"""),"Bo Van Pelt")</f>
        <v>Bo Van Pelt</v>
      </c>
      <c r="D269">
        <f ca="1">IFERROR(__xludf.DUMMYFUNCTION("""COMPUTED_VALUE"""),10)</f>
        <v>10</v>
      </c>
      <c r="E269" t="str">
        <f ca="1">IFERROR(__xludf.DUMMYFUNCTION("""COMPUTED_VALUE"""),"12' 1""")</f>
        <v>12' 1"</v>
      </c>
      <c r="F269">
        <f ca="1">IFERROR(__xludf.DUMMYFUNCTION("""COMPUTED_VALUE"""),373.667)</f>
        <v>373.66699999999997</v>
      </c>
      <c r="G269">
        <f ca="1">IFERROR(__xludf.DUMMYFUNCTION("""COMPUTED_VALUE"""),31)</f>
        <v>31</v>
      </c>
      <c r="H269">
        <f ca="1">IFERROR(__xludf.DUMMYFUNCTION("""COMPUTED_VALUE"""),265)</f>
        <v>265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IFERROR(__xludf.DUMMYFUNCTION("""COMPUTED_VALUE"""),261)</f>
        <v>261</v>
      </c>
      <c r="C270" t="str">
        <f ca="1">IFERROR(__xludf.DUMMYFUNCTION("""COMPUTED_VALUE"""),"Romain Langasque")</f>
        <v>Romain Langasque</v>
      </c>
      <c r="D270">
        <f ca="1">IFERROR(__xludf.DUMMYFUNCTION("""COMPUTED_VALUE"""),4)</f>
        <v>4</v>
      </c>
      <c r="E270" t="str">
        <f ca="1">IFERROR(__xludf.DUMMYFUNCTION("""COMPUTED_VALUE"""),"12' 5""")</f>
        <v>12' 5"</v>
      </c>
      <c r="F270">
        <f ca="1">IFERROR(__xludf.DUMMYFUNCTION("""COMPUTED_VALUE"""),297.583)</f>
        <v>297.58300000000003</v>
      </c>
      <c r="G270">
        <f ca="1">IFERROR(__xludf.DUMMYFUNCTION("""COMPUTED_VALUE"""),24)</f>
        <v>24</v>
      </c>
      <c r="H270">
        <f ca="1">IFERROR(__xludf.DUMMYFUNCTION("""COMPUTED_VALUE"""),224)</f>
        <v>224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IFERROR(__xludf.DUMMYFUNCTION("""COMPUTED_VALUE"""),262)</f>
        <v>262</v>
      </c>
      <c r="C271" t="str">
        <f ca="1">IFERROR(__xludf.DUMMYFUNCTION("""COMPUTED_VALUE"""),"Lucas Herbert")</f>
        <v>Lucas Herbert</v>
      </c>
      <c r="D271">
        <f ca="1">IFERROR(__xludf.DUMMYFUNCTION("""COMPUTED_VALUE"""),4)</f>
        <v>4</v>
      </c>
      <c r="E271" t="str">
        <f ca="1">IFERROR(__xludf.DUMMYFUNCTION("""COMPUTED_VALUE"""),"12' 6""")</f>
        <v>12' 6"</v>
      </c>
      <c r="F271">
        <f ca="1">IFERROR(__xludf.DUMMYFUNCTION("""COMPUTED_VALUE"""),373.917)</f>
        <v>373.91699999999997</v>
      </c>
      <c r="G271">
        <f ca="1">IFERROR(__xludf.DUMMYFUNCTION("""COMPUTED_VALUE"""),30)</f>
        <v>30</v>
      </c>
      <c r="H271">
        <f ca="1">IFERROR(__xludf.DUMMYFUNCTION("""COMPUTED_VALUE"""),235)</f>
        <v>235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IFERROR(__xludf.DUMMYFUNCTION("""COMPUTED_VALUE"""),"John Pak")</f>
        <v>John Pak</v>
      </c>
      <c r="D272">
        <f ca="1">IFERROR(__xludf.DUMMYFUNCTION("""COMPUTED_VALUE"""),4)</f>
        <v>4</v>
      </c>
      <c r="E272" t="str">
        <f ca="1">IFERROR(__xludf.DUMMYFUNCTION("""COMPUTED_VALUE"""),"12' 9""")</f>
        <v>12' 9"</v>
      </c>
      <c r="F272">
        <f ca="1">IFERROR(__xludf.DUMMYFUNCTION("""COMPUTED_VALUE"""),381.75)</f>
        <v>381.75</v>
      </c>
      <c r="G272">
        <f ca="1">IFERROR(__xludf.DUMMYFUNCTION("""COMPUTED_VALUE"""),30)</f>
        <v>30</v>
      </c>
      <c r="H272">
        <f ca="1">IFERROR(__xludf.DUMMYFUNCTION("""COMPUTED_VALUE"""),277)</f>
        <v>277</v>
      </c>
    </row>
    <row r="273" spans="1:8" ht="12.75">
      <c r="A273">
        <f ca="1">IFERROR(__xludf.DUMMYFUNCTION("""COMPUTED_VALUE"""),272)</f>
        <v>272</v>
      </c>
      <c r="B273" t="str">
        <f ca="1">IFERROR(__xludf.DUMMYFUNCTION("""COMPUTED_VALUE"""),"T58")</f>
        <v>T58</v>
      </c>
      <c r="C273" t="str">
        <f ca="1">IFERROR(__xludf.DUMMYFUNCTION("""COMPUTED_VALUE"""),"Keith Mitchell")</f>
        <v>Keith Mitchell</v>
      </c>
      <c r="D273">
        <f ca="1">IFERROR(__xludf.DUMMYFUNCTION("""COMPUTED_VALUE"""),14)</f>
        <v>14</v>
      </c>
      <c r="E273" t="str">
        <f ca="1">IFERROR(__xludf.DUMMYFUNCTION("""COMPUTED_VALUE"""),"12' 10""")</f>
        <v>12' 10"</v>
      </c>
      <c r="F273">
        <f ca="1">IFERROR(__xludf.DUMMYFUNCTION("""COMPUTED_VALUE"""),462.417)</f>
        <v>462.41699999999997</v>
      </c>
      <c r="G273">
        <f ca="1">IFERROR(__xludf.DUMMYFUNCTION("""COMPUTED_VALUE"""),36)</f>
        <v>36</v>
      </c>
      <c r="H273">
        <f ca="1">IFERROR(__xludf.DUMMYFUNCTION("""COMPUTED_VALUE"""),176)</f>
        <v>176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IFERROR(__xludf.DUMMYFUNCTION("""COMPUTED_VALUE"""),"Jazz Janewattananond")</f>
        <v>Jazz Janewattananond</v>
      </c>
      <c r="D274">
        <f ca="1">IFERROR(__xludf.DUMMYFUNCTION("""COMPUTED_VALUE"""),6)</f>
        <v>6</v>
      </c>
      <c r="E274" t="str">
        <f ca="1">IFERROR(__xludf.DUMMYFUNCTION("""COMPUTED_VALUE"""),"13' 6""")</f>
        <v>13' 6"</v>
      </c>
      <c r="F274">
        <f ca="1">IFERROR(__xludf.DUMMYFUNCTION("""COMPUTED_VALUE"""),446.5)</f>
        <v>446.5</v>
      </c>
      <c r="G274">
        <f ca="1">IFERROR(__xludf.DUMMYFUNCTION("""COMPUTED_VALUE"""),33)</f>
        <v>33</v>
      </c>
      <c r="H274">
        <f ca="1">IFERROR(__xludf.DUMMYFUNCTION("""COMPUTED_VALUE"""),288)</f>
        <v>288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IFERROR(__xludf.DUMMYFUNCTION("""COMPUTED_VALUE"""),266)</f>
        <v>266</v>
      </c>
      <c r="C275" t="str">
        <f ca="1">IFERROR(__xludf.DUMMYFUNCTION("""COMPUTED_VALUE"""),"Shaun Norris")</f>
        <v>Shaun Norris</v>
      </c>
      <c r="D275">
        <f ca="1">IFERROR(__xludf.DUMMYFUNCTION("""COMPUTED_VALUE"""),6)</f>
        <v>6</v>
      </c>
      <c r="E275" t="str">
        <f ca="1">IFERROR(__xludf.DUMMYFUNCTION("""COMPUTED_VALUE"""),"13' 10""")</f>
        <v>13' 10"</v>
      </c>
      <c r="F275">
        <f ca="1">IFERROR(__xludf.DUMMYFUNCTION("""COMPUTED_VALUE"""),470.833)</f>
        <v>470.83300000000003</v>
      </c>
      <c r="G275">
        <f ca="1">IFERROR(__xludf.DUMMYFUNCTION("""COMPUTED_VALUE"""),34)</f>
        <v>34</v>
      </c>
      <c r="H275">
        <f ca="1">IFERROR(__xludf.DUMMYFUNCTION("""COMPUTED_VALUE"""),264)</f>
        <v>264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IFERROR(__xludf.DUMMYFUNCTION("""COMPUTED_VALUE"""),"Matt Wallace")</f>
        <v>Matt Wallace</v>
      </c>
      <c r="D276">
        <f ca="1">IFERROR(__xludf.DUMMYFUNCTION("""COMPUTED_VALUE"""),4)</f>
        <v>4</v>
      </c>
      <c r="E276" t="str">
        <f ca="1">IFERROR(__xludf.DUMMYFUNCTION("""COMPUTED_VALUE"""),"14' 5""")</f>
        <v>14' 5"</v>
      </c>
      <c r="F276">
        <f ca="1">IFERROR(__xludf.DUMMYFUNCTION("""COMPUTED_VALUE"""),346.333)</f>
        <v>346.33300000000003</v>
      </c>
      <c r="G276">
        <f ca="1">IFERROR(__xludf.DUMMYFUNCTION("""COMPUTED_VALUE"""),24)</f>
        <v>24</v>
      </c>
      <c r="H276">
        <f ca="1">IFERROR(__xludf.DUMMYFUNCTION("""COMPUTED_VALUE"""),284)</f>
        <v>284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IFERROR(__xludf.DUMMYFUNCTION("""COMPUTED_VALUE"""),"John Senden")</f>
        <v>John Senden</v>
      </c>
      <c r="D277">
        <f ca="1">IFERROR(__xludf.DUMMYFUNCTION("""COMPUTED_VALUE"""),8)</f>
        <v>8</v>
      </c>
      <c r="E277" t="str">
        <f ca="1">IFERROR(__xludf.DUMMYFUNCTION("""COMPUTED_VALUE"""),"15' 2""")</f>
        <v>15' 2"</v>
      </c>
      <c r="F277">
        <f ca="1">IFERROR(__xludf.DUMMYFUNCTION("""COMPUTED_VALUE"""),166.583)</f>
        <v>166.583</v>
      </c>
      <c r="G277">
        <f ca="1">IFERROR(__xludf.DUMMYFUNCTION("""COMPUTED_VALUE"""),11)</f>
        <v>11</v>
      </c>
      <c r="H277">
        <f ca="1">IFERROR(__xludf.DUMMYFUNCTION("""COMPUTED_VALUE"""),206)</f>
        <v>206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H276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IFERROR(__xludf.DUMMYFUNCTION("importhtml(""http://www.pgatour.com/stats/stat.375.html"",""table"",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DTP")</f>
        <v>AVG DTP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SHOTS")</f>
        <v># OF SHOTS</v>
      </c>
      <c r="H1" t="str">
        <f ca="1">IFERROR(__xludf.DUMMYFUNCTION("""COMPUTED_VALUE"""),"SCRAMBLING RANK")</f>
        <v>SCRAMBLING RANK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IFERROR(__xludf.DUMMYFUNCTION("""COMPUTED_VALUE"""),5)</f>
        <v>5</v>
      </c>
      <c r="C2" t="str">
        <f ca="1">IFERROR(__xludf.DUMMYFUNCTION("""COMPUTED_VALUE"""),"Henrik Stenson")</f>
        <v>Henrik Stenson</v>
      </c>
      <c r="D2">
        <f ca="1">IFERROR(__xludf.DUMMYFUNCTION("""COMPUTED_VALUE"""),11)</f>
        <v>11</v>
      </c>
      <c r="E2" t="str">
        <f ca="1">IFERROR(__xludf.DUMMYFUNCTION("""COMPUTED_VALUE"""),"3' 2""")</f>
        <v>3' 2"</v>
      </c>
      <c r="F2">
        <f ca="1">IFERROR(__xludf.DUMMYFUNCTION("""COMPUTED_VALUE"""),6.25)</f>
        <v>6.25</v>
      </c>
      <c r="G2">
        <f ca="1">IFERROR(__xludf.DUMMYFUNCTION("""COMPUTED_VALUE"""),2)</f>
        <v>2</v>
      </c>
      <c r="H2">
        <f ca="1">IFERROR(__xludf.DUMMYFUNCTION("""COMPUTED_VALUE"""),26)</f>
        <v>26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IFERROR(__xludf.DUMMYFUNCTION("""COMPUTED_VALUE"""),1)</f>
        <v>1</v>
      </c>
      <c r="C3" t="str">
        <f ca="1">IFERROR(__xludf.DUMMYFUNCTION("""COMPUTED_VALUE"""),"Rasmus Hojgaard")</f>
        <v>Rasmus Hojgaard</v>
      </c>
      <c r="D3">
        <f ca="1">IFERROR(__xludf.DUMMYFUNCTION("""COMPUTED_VALUE"""),6)</f>
        <v>6</v>
      </c>
      <c r="E3" t="str">
        <f ca="1">IFERROR(__xludf.DUMMYFUNCTION("""COMPUTED_VALUE"""),"3' 4""")</f>
        <v>3' 4"</v>
      </c>
      <c r="F3">
        <f ca="1">IFERROR(__xludf.DUMMYFUNCTION("""COMPUTED_VALUE"""),6.667)</f>
        <v>6.6669999999999998</v>
      </c>
      <c r="G3">
        <f ca="1">IFERROR(__xludf.DUMMYFUNCTION("""COMPUTED_VALUE"""),2)</f>
        <v>2</v>
      </c>
      <c r="H3">
        <f ca="1">IFERROR(__xludf.DUMMYFUNCTION("""COMPUTED_VALUE"""),286)</f>
        <v>286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IFERROR(__xludf.DUMMYFUNCTION("""COMPUTED_VALUE"""),"Rafael Campos")</f>
        <v>Rafael Campos</v>
      </c>
      <c r="D4">
        <f ca="1">IFERROR(__xludf.DUMMYFUNCTION("""COMPUTED_VALUE"""),6)</f>
        <v>6</v>
      </c>
      <c r="E4" t="str">
        <f ca="1">IFERROR(__xludf.DUMMYFUNCTION("""COMPUTED_VALUE"""),"3' 7""")</f>
        <v>3' 7"</v>
      </c>
      <c r="F4">
        <f ca="1">IFERROR(__xludf.DUMMYFUNCTION("""COMPUTED_VALUE"""),10.667)</f>
        <v>10.667</v>
      </c>
      <c r="G4">
        <f ca="1">IFERROR(__xludf.DUMMYFUNCTION("""COMPUTED_VALUE"""),3)</f>
        <v>3</v>
      </c>
      <c r="H4">
        <f ca="1">IFERROR(__xludf.DUMMYFUNCTION("""COMPUTED_VALUE"""),179)</f>
        <v>179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IFERROR(__xludf.DUMMYFUNCTION("""COMPUTED_VALUE"""),"Alex Cejka")</f>
        <v>Alex Cejka</v>
      </c>
      <c r="D5">
        <f ca="1">IFERROR(__xludf.DUMMYFUNCTION("""COMPUTED_VALUE"""),6)</f>
        <v>6</v>
      </c>
      <c r="E5" t="str">
        <f ca="1">IFERROR(__xludf.DUMMYFUNCTION("""COMPUTED_VALUE"""),"3' 8""")</f>
        <v>3' 8"</v>
      </c>
      <c r="F5">
        <f ca="1">IFERROR(__xludf.DUMMYFUNCTION("""COMPUTED_VALUE"""),10.917)</f>
        <v>10.917</v>
      </c>
      <c r="G5">
        <f ca="1">IFERROR(__xludf.DUMMYFUNCTION("""COMPUTED_VALUE"""),3)</f>
        <v>3</v>
      </c>
      <c r="H5">
        <f ca="1">IFERROR(__xludf.DUMMYFUNCTION("""COMPUTED_VALUE"""),112)</f>
        <v>112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IFERROR(__xludf.DUMMYFUNCTION("""COMPUTED_VALUE"""),"Akshay Bhatia")</f>
        <v>Akshay Bhatia</v>
      </c>
      <c r="D6">
        <f ca="1">IFERROR(__xludf.DUMMYFUNCTION("""COMPUTED_VALUE"""),6)</f>
        <v>6</v>
      </c>
      <c r="E6" t="str">
        <f ca="1">IFERROR(__xludf.DUMMYFUNCTION("""COMPUTED_VALUE"""),"4' 0""")</f>
        <v>4' 0"</v>
      </c>
      <c r="F6">
        <f ca="1">IFERROR(__xludf.DUMMYFUNCTION("""COMPUTED_VALUE"""),20.083)</f>
        <v>20.082999999999998</v>
      </c>
      <c r="G6">
        <f ca="1">IFERROR(__xludf.DUMMYFUNCTION("""COMPUTED_VALUE"""),5)</f>
        <v>5</v>
      </c>
      <c r="H6">
        <f ca="1">IFERROR(__xludf.DUMMYFUNCTION("""COMPUTED_VALUE"""),6)</f>
        <v>6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IFERROR(__xludf.DUMMYFUNCTION("""COMPUTED_VALUE"""),"Thomas Detry")</f>
        <v>Thomas Detry</v>
      </c>
      <c r="D7">
        <f ca="1">IFERROR(__xludf.DUMMYFUNCTION("""COMPUTED_VALUE"""),8)</f>
        <v>8</v>
      </c>
      <c r="E7" t="str">
        <f ca="1">IFERROR(__xludf.DUMMYFUNCTION("""COMPUTED_VALUE"""),"4' 2""")</f>
        <v>4' 2"</v>
      </c>
      <c r="F7">
        <f ca="1">IFERROR(__xludf.DUMMYFUNCTION("""COMPUTED_VALUE"""),16.667)</f>
        <v>16.667000000000002</v>
      </c>
      <c r="G7">
        <f ca="1">IFERROR(__xludf.DUMMYFUNCTION("""COMPUTED_VALUE"""),4)</f>
        <v>4</v>
      </c>
      <c r="H7">
        <f ca="1">IFERROR(__xludf.DUMMYFUNCTION("""COMPUTED_VALUE"""),262)</f>
        <v>262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IFERROR(__xludf.DUMMYFUNCTION("""COMPUTED_VALUE"""),"Kurt Kitayama")</f>
        <v>Kurt Kitayama</v>
      </c>
      <c r="D8">
        <f ca="1">IFERROR(__xludf.DUMMYFUNCTION("""COMPUTED_VALUE"""),4)</f>
        <v>4</v>
      </c>
      <c r="E8" t="str">
        <f ca="1">IFERROR(__xludf.DUMMYFUNCTION("""COMPUTED_VALUE"""),"4' 4""")</f>
        <v>4' 4"</v>
      </c>
      <c r="F8">
        <f ca="1">IFERROR(__xludf.DUMMYFUNCTION("""COMPUTED_VALUE"""),8.667)</f>
        <v>8.6669999999999998</v>
      </c>
      <c r="G8">
        <f ca="1">IFERROR(__xludf.DUMMYFUNCTION("""COMPUTED_VALUE"""),2)</f>
        <v>2</v>
      </c>
      <c r="H8">
        <f ca="1">IFERROR(__xludf.DUMMYFUNCTION("""COMPUTED_VALUE"""),172)</f>
        <v>172</v>
      </c>
    </row>
    <row r="9" spans="1:8" ht="15.75" customHeight="1">
      <c r="A9" t="str">
        <f ca="1">IFERROR(__xludf.DUMMYFUNCTION("""COMPUTED_VALUE"""),"T8")</f>
        <v>T8</v>
      </c>
      <c r="B9">
        <f ca="1">IFERROR(__xludf.DUMMYFUNCTION("""COMPUTED_VALUE"""),8)</f>
        <v>8</v>
      </c>
      <c r="C9" t="str">
        <f ca="1">IFERROR(__xludf.DUMMYFUNCTION("""COMPUTED_VALUE"""),"Gunn Charoenkul")</f>
        <v>Gunn Charoenkul</v>
      </c>
      <c r="D9">
        <f ca="1">IFERROR(__xludf.DUMMYFUNCTION("""COMPUTED_VALUE"""),4)</f>
        <v>4</v>
      </c>
      <c r="E9" t="str">
        <f ca="1">IFERROR(__xludf.DUMMYFUNCTION("""COMPUTED_VALUE"""),"4' 6""")</f>
        <v>4' 6"</v>
      </c>
      <c r="F9">
        <f ca="1">IFERROR(__xludf.DUMMYFUNCTION("""COMPUTED_VALUE"""),17.917)</f>
        <v>17.917000000000002</v>
      </c>
      <c r="G9">
        <f ca="1">IFERROR(__xludf.DUMMYFUNCTION("""COMPUTED_VALUE"""),4)</f>
        <v>4</v>
      </c>
      <c r="H9">
        <f ca="1">IFERROR(__xludf.DUMMYFUNCTION("""COMPUTED_VALUE"""),18)</f>
        <v>18</v>
      </c>
    </row>
    <row r="10" spans="1:8" ht="15.75" customHeight="1">
      <c r="A10" t="str">
        <f ca="1">IFERROR(__xludf.DUMMYFUNCTION("""COMPUTED_VALUE"""),"T8")</f>
        <v>T8</v>
      </c>
      <c r="B10" t="str">
        <f ca="1">IFERROR(__xludf.DUMMYFUNCTION("""COMPUTED_VALUE"""),"T35")</f>
        <v>T35</v>
      </c>
      <c r="C10" t="str">
        <f ca="1">IFERROR(__xludf.DUMMYFUNCTION("""COMPUTED_VALUE"""),"Sam Ryder")</f>
        <v>Sam Ryder</v>
      </c>
      <c r="D10">
        <f ca="1">IFERROR(__xludf.DUMMYFUNCTION("""COMPUTED_VALUE"""),12)</f>
        <v>12</v>
      </c>
      <c r="E10" t="str">
        <f ca="1">IFERROR(__xludf.DUMMYFUNCTION("""COMPUTED_VALUE"""),"4' 6""")</f>
        <v>4' 6"</v>
      </c>
      <c r="F10">
        <f ca="1">IFERROR(__xludf.DUMMYFUNCTION("""COMPUTED_VALUE"""),22.667)</f>
        <v>22.667000000000002</v>
      </c>
      <c r="G10">
        <f ca="1">IFERROR(__xludf.DUMMYFUNCTION("""COMPUTED_VALUE"""),5)</f>
        <v>5</v>
      </c>
      <c r="H10">
        <f ca="1">IFERROR(__xludf.DUMMYFUNCTION("""COMPUTED_VALUE"""),129)</f>
        <v>129</v>
      </c>
    </row>
    <row r="11" spans="1:8" ht="15.75" customHeight="1">
      <c r="A11" t="str">
        <f ca="1">IFERROR(__xludf.DUMMYFUNCTION("""COMPUTED_VALUE"""),"T10")</f>
        <v>T10</v>
      </c>
      <c r="B11" t="str">
        <f ca="1">IFERROR(__xludf.DUMMYFUNCTION("""COMPUTED_VALUE"""),"T9")</f>
        <v>T9</v>
      </c>
      <c r="C11" t="str">
        <f ca="1">IFERROR(__xludf.DUMMYFUNCTION("""COMPUTED_VALUE"""),"Anirban Lahiri")</f>
        <v>Anirban Lahiri</v>
      </c>
      <c r="D11">
        <f ca="1">IFERROR(__xludf.DUMMYFUNCTION("""COMPUTED_VALUE"""),16)</f>
        <v>16</v>
      </c>
      <c r="E11" t="str">
        <f ca="1">IFERROR(__xludf.DUMMYFUNCTION("""COMPUTED_VALUE"""),"4' 7""")</f>
        <v>4' 7"</v>
      </c>
      <c r="F11">
        <f ca="1">IFERROR(__xludf.DUMMYFUNCTION("""COMPUTED_VALUE"""),27.417)</f>
        <v>27.417000000000002</v>
      </c>
      <c r="G11">
        <f ca="1">IFERROR(__xludf.DUMMYFUNCTION("""COMPUTED_VALUE"""),6)</f>
        <v>6</v>
      </c>
      <c r="H11">
        <f ca="1">IFERROR(__xludf.DUMMYFUNCTION("""COMPUTED_VALUE"""),17)</f>
        <v>17</v>
      </c>
    </row>
    <row r="12" spans="1:8" ht="15.75" customHeight="1">
      <c r="A12" t="str">
        <f ca="1">IFERROR(__xludf.DUMMYFUNCTION("""COMPUTED_VALUE"""),"T10")</f>
        <v>T10</v>
      </c>
      <c r="B12" t="str">
        <f ca="1">IFERROR(__xludf.DUMMYFUNCTION("""COMPUTED_VALUE"""),"T9")</f>
        <v>T9</v>
      </c>
      <c r="C12" t="str">
        <f ca="1">IFERROR(__xludf.DUMMYFUNCTION("""COMPUTED_VALUE"""),"Brendan Steele")</f>
        <v>Brendan Steele</v>
      </c>
      <c r="D12">
        <f ca="1">IFERROR(__xludf.DUMMYFUNCTION("""COMPUTED_VALUE"""),14)</f>
        <v>14</v>
      </c>
      <c r="E12" t="str">
        <f ca="1">IFERROR(__xludf.DUMMYFUNCTION("""COMPUTED_VALUE"""),"4' 7""")</f>
        <v>4' 7"</v>
      </c>
      <c r="F12">
        <f ca="1">IFERROR(__xludf.DUMMYFUNCTION("""COMPUTED_VALUE"""),50.75)</f>
        <v>50.75</v>
      </c>
      <c r="G12">
        <f ca="1">IFERROR(__xludf.DUMMYFUNCTION("""COMPUTED_VALUE"""),11)</f>
        <v>11</v>
      </c>
      <c r="H12">
        <f ca="1">IFERROR(__xludf.DUMMYFUNCTION("""COMPUTED_VALUE"""),157)</f>
        <v>157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IFERROR(__xludf.DUMMYFUNCTION("""COMPUTED_VALUE"""),"Bud Cauley")</f>
        <v>Bud Cauley</v>
      </c>
      <c r="D13">
        <f ca="1">IFERROR(__xludf.DUMMYFUNCTION("""COMPUTED_VALUE"""),4)</f>
        <v>4</v>
      </c>
      <c r="E13" t="str">
        <f ca="1">IFERROR(__xludf.DUMMYFUNCTION("""COMPUTED_VALUE"""),"4' 8""")</f>
        <v>4' 8"</v>
      </c>
      <c r="F13">
        <f ca="1">IFERROR(__xludf.DUMMYFUNCTION("""COMPUTED_VALUE"""),28.083)</f>
        <v>28.082999999999998</v>
      </c>
      <c r="G13">
        <f ca="1">IFERROR(__xludf.DUMMYFUNCTION("""COMPUTED_VALUE"""),6)</f>
        <v>6</v>
      </c>
      <c r="H13">
        <f ca="1">IFERROR(__xludf.DUMMYFUNCTION("""COMPUTED_VALUE"""),1)</f>
        <v>1</v>
      </c>
    </row>
    <row r="14" spans="1:8" ht="15.75" customHeight="1">
      <c r="A14">
        <f ca="1">IFERROR(__xludf.DUMMYFUNCTION("""COMPUTED_VALUE"""),13)</f>
        <v>13</v>
      </c>
      <c r="B14">
        <f ca="1">IFERROR(__xludf.DUMMYFUNCTION("""COMPUTED_VALUE"""),14)</f>
        <v>14</v>
      </c>
      <c r="C14" t="str">
        <f ca="1">IFERROR(__xludf.DUMMYFUNCTION("""COMPUTED_VALUE"""),"Tim Wilkinson")</f>
        <v>Tim Wilkinson</v>
      </c>
      <c r="D14">
        <f ca="1">IFERROR(__xludf.DUMMYFUNCTION("""COMPUTED_VALUE"""),12)</f>
        <v>12</v>
      </c>
      <c r="E14" t="str">
        <f ca="1">IFERROR(__xludf.DUMMYFUNCTION("""COMPUTED_VALUE"""),"5' 2""")</f>
        <v>5' 2"</v>
      </c>
      <c r="F14">
        <f ca="1">IFERROR(__xludf.DUMMYFUNCTION("""COMPUTED_VALUE"""),51.833)</f>
        <v>51.832999999999998</v>
      </c>
      <c r="G14">
        <f ca="1">IFERROR(__xludf.DUMMYFUNCTION("""COMPUTED_VALUE"""),10)</f>
        <v>10</v>
      </c>
      <c r="H14">
        <f ca="1">IFERROR(__xludf.DUMMYFUNCTION("""COMPUTED_VALUE"""),27)</f>
        <v>27</v>
      </c>
    </row>
    <row r="15" spans="1:8" ht="15.75" customHeight="1">
      <c r="A15" t="str">
        <f ca="1">IFERROR(__xludf.DUMMYFUNCTION("""COMPUTED_VALUE"""),"T14")</f>
        <v>T14</v>
      </c>
      <c r="B15" t="str">
        <f ca="1">IFERROR(__xludf.DUMMYFUNCTION("""COMPUTED_VALUE"""),"T15")</f>
        <v>T15</v>
      </c>
      <c r="C15" t="str">
        <f ca="1">IFERROR(__xludf.DUMMYFUNCTION("""COMPUTED_VALUE"""),"Andy Zhang")</f>
        <v>Andy Zhang</v>
      </c>
      <c r="D15">
        <f ca="1">IFERROR(__xludf.DUMMYFUNCTION("""COMPUTED_VALUE"""),4)</f>
        <v>4</v>
      </c>
      <c r="E15" t="str">
        <f ca="1">IFERROR(__xludf.DUMMYFUNCTION("""COMPUTED_VALUE"""),"5' 3""")</f>
        <v>5' 3"</v>
      </c>
      <c r="F15">
        <f ca="1">IFERROR(__xludf.DUMMYFUNCTION("""COMPUTED_VALUE"""),26.333)</f>
        <v>26.332999999999998</v>
      </c>
      <c r="G15">
        <f ca="1">IFERROR(__xludf.DUMMYFUNCTION("""COMPUTED_VALUE"""),5)</f>
        <v>5</v>
      </c>
      <c r="H15">
        <f ca="1">IFERROR(__xludf.DUMMYFUNCTION("""COMPUTED_VALUE"""),235)</f>
        <v>235</v>
      </c>
    </row>
    <row r="16" spans="1:8" ht="15.75" customHeight="1">
      <c r="A16" t="str">
        <f ca="1">IFERROR(__xludf.DUMMYFUNCTION("""COMPUTED_VALUE"""),"T14")</f>
        <v>T14</v>
      </c>
      <c r="B16" t="str">
        <f ca="1">IFERROR(__xludf.DUMMYFUNCTION("""COMPUTED_VALUE"""),"T15")</f>
        <v>T15</v>
      </c>
      <c r="C16" t="str">
        <f ca="1">IFERROR(__xludf.DUMMYFUNCTION("""COMPUTED_VALUE"""),"Christiaan Bezuidenhout")</f>
        <v>Christiaan Bezuidenhout</v>
      </c>
      <c r="D16">
        <f ca="1">IFERROR(__xludf.DUMMYFUNCTION("""COMPUTED_VALUE"""),4)</f>
        <v>4</v>
      </c>
      <c r="E16" t="str">
        <f ca="1">IFERROR(__xludf.DUMMYFUNCTION("""COMPUTED_VALUE"""),"5' 3""")</f>
        <v>5' 3"</v>
      </c>
      <c r="F16">
        <f ca="1">IFERROR(__xludf.DUMMYFUNCTION("""COMPUTED_VALUE"""),47.083)</f>
        <v>47.082999999999998</v>
      </c>
      <c r="G16">
        <f ca="1">IFERROR(__xludf.DUMMYFUNCTION("""COMPUTED_VALUE"""),9)</f>
        <v>9</v>
      </c>
      <c r="H16">
        <f ca="1">IFERROR(__xludf.DUMMYFUNCTION("""COMPUTED_VALUE"""),252)</f>
        <v>252</v>
      </c>
    </row>
    <row r="17" spans="1:8" ht="15.75" customHeight="1">
      <c r="A17" t="str">
        <f ca="1">IFERROR(__xludf.DUMMYFUNCTION("""COMPUTED_VALUE"""),"T16")</f>
        <v>T16</v>
      </c>
      <c r="B17" t="str">
        <f ca="1">IFERROR(__xludf.DUMMYFUNCTION("""COMPUTED_VALUE"""),"")</f>
        <v/>
      </c>
      <c r="C17" t="str">
        <f ca="1">IFERROR(__xludf.DUMMYFUNCTION("""COMPUTED_VALUE"""),"Padraig Harrington")</f>
        <v>Padraig Harrington</v>
      </c>
      <c r="D17">
        <f ca="1">IFERROR(__xludf.DUMMYFUNCTION("""COMPUTED_VALUE"""),8)</f>
        <v>8</v>
      </c>
      <c r="E17" t="str">
        <f ca="1">IFERROR(__xludf.DUMMYFUNCTION("""COMPUTED_VALUE"""),"5' 4""")</f>
        <v>5' 4"</v>
      </c>
      <c r="F17">
        <f ca="1">IFERROR(__xludf.DUMMYFUNCTION("""COMPUTED_VALUE"""),10.583)</f>
        <v>10.583</v>
      </c>
      <c r="G17">
        <f ca="1">IFERROR(__xludf.DUMMYFUNCTION("""COMPUTED_VALUE"""),2)</f>
        <v>2</v>
      </c>
      <c r="H17">
        <f ca="1">IFERROR(__xludf.DUMMYFUNCTION("""COMPUTED_VALUE"""),102)</f>
        <v>102</v>
      </c>
    </row>
    <row r="18" spans="1:8" ht="15.75" customHeight="1">
      <c r="A18" t="str">
        <f ca="1">IFERROR(__xludf.DUMMYFUNCTION("""COMPUTED_VALUE"""),"T16")</f>
        <v>T16</v>
      </c>
      <c r="B18">
        <f ca="1">IFERROR(__xludf.DUMMYFUNCTION("""COMPUTED_VALUE"""),18)</f>
        <v>18</v>
      </c>
      <c r="C18" t="str">
        <f ca="1">IFERROR(__xludf.DUMMYFUNCTION("""COMPUTED_VALUE"""),"Thomas Pieters")</f>
        <v>Thomas Pieters</v>
      </c>
      <c r="D18">
        <f ca="1">IFERROR(__xludf.DUMMYFUNCTION("""COMPUTED_VALUE"""),4)</f>
        <v>4</v>
      </c>
      <c r="E18" t="str">
        <f ca="1">IFERROR(__xludf.DUMMYFUNCTION("""COMPUTED_VALUE"""),"5' 4""")</f>
        <v>5' 4"</v>
      </c>
      <c r="F18">
        <f ca="1">IFERROR(__xludf.DUMMYFUNCTION("""COMPUTED_VALUE"""),31.833)</f>
        <v>31.832999999999998</v>
      </c>
      <c r="G18">
        <f ca="1">IFERROR(__xludf.DUMMYFUNCTION("""COMPUTED_VALUE"""),6)</f>
        <v>6</v>
      </c>
      <c r="H18">
        <f ca="1">IFERROR(__xludf.DUMMYFUNCTION("""COMPUTED_VALUE"""),235)</f>
        <v>235</v>
      </c>
    </row>
    <row r="19" spans="1:8" ht="15.75" customHeight="1">
      <c r="A19">
        <f ca="1">IFERROR(__xludf.DUMMYFUNCTION("""COMPUTED_VALUE"""),18)</f>
        <v>18</v>
      </c>
      <c r="B19" t="str">
        <f ca="1">IFERROR(__xludf.DUMMYFUNCTION("""COMPUTED_VALUE"""),"T20")</f>
        <v>T20</v>
      </c>
      <c r="C19" t="str">
        <f ca="1">IFERROR(__xludf.DUMMYFUNCTION("""COMPUTED_VALUE"""),"Sangmoon Bae")</f>
        <v>Sangmoon Bae</v>
      </c>
      <c r="D19">
        <f ca="1">IFERROR(__xludf.DUMMYFUNCTION("""COMPUTED_VALUE"""),8)</f>
        <v>8</v>
      </c>
      <c r="E19" t="str">
        <f ca="1">IFERROR(__xludf.DUMMYFUNCTION("""COMPUTED_VALUE"""),"5' 6""")</f>
        <v>5' 6"</v>
      </c>
      <c r="F19">
        <f ca="1">IFERROR(__xludf.DUMMYFUNCTION("""COMPUTED_VALUE"""),5.5)</f>
        <v>5.5</v>
      </c>
      <c r="G19">
        <f ca="1">IFERROR(__xludf.DUMMYFUNCTION("""COMPUTED_VALUE"""),1)</f>
        <v>1</v>
      </c>
      <c r="H19">
        <f ca="1">IFERROR(__xludf.DUMMYFUNCTION("""COMPUTED_VALUE"""),147)</f>
        <v>147</v>
      </c>
    </row>
    <row r="20" spans="1:8" ht="15.75" customHeight="1">
      <c r="A20">
        <f ca="1">IFERROR(__xludf.DUMMYFUNCTION("""COMPUTED_VALUE"""),19)</f>
        <v>19</v>
      </c>
      <c r="B20">
        <f ca="1">IFERROR(__xludf.DUMMYFUNCTION("""COMPUTED_VALUE"""),26)</f>
        <v>26</v>
      </c>
      <c r="C20" t="str">
        <f ca="1">IFERROR(__xludf.DUMMYFUNCTION("""COMPUTED_VALUE"""),"Fabián Gómez")</f>
        <v>Fabián Gómez</v>
      </c>
      <c r="D20">
        <f ca="1">IFERROR(__xludf.DUMMYFUNCTION("""COMPUTED_VALUE"""),16)</f>
        <v>16</v>
      </c>
      <c r="E20" t="str">
        <f ca="1">IFERROR(__xludf.DUMMYFUNCTION("""COMPUTED_VALUE"""),"5' 7""")</f>
        <v>5' 7"</v>
      </c>
      <c r="F20">
        <f ca="1">IFERROR(__xludf.DUMMYFUNCTION("""COMPUTED_VALUE"""),78.167)</f>
        <v>78.167000000000002</v>
      </c>
      <c r="G20">
        <f ca="1">IFERROR(__xludf.DUMMYFUNCTION("""COMPUTED_VALUE"""),14)</f>
        <v>14</v>
      </c>
      <c r="H20">
        <f ca="1">IFERROR(__xludf.DUMMYFUNCTION("""COMPUTED_VALUE"""),24)</f>
        <v>24</v>
      </c>
    </row>
    <row r="21" spans="1:8" ht="15.75" customHeight="1">
      <c r="A21">
        <f ca="1">IFERROR(__xludf.DUMMYFUNCTION("""COMPUTED_VALUE"""),20)</f>
        <v>20</v>
      </c>
      <c r="B21">
        <f ca="1">IFERROR(__xludf.DUMMYFUNCTION("""COMPUTED_VALUE"""),22)</f>
        <v>22</v>
      </c>
      <c r="C21" t="str">
        <f ca="1">IFERROR(__xludf.DUMMYFUNCTION("""COMPUTED_VALUE"""),"Jim Furyk")</f>
        <v>Jim Furyk</v>
      </c>
      <c r="D21">
        <f ca="1">IFERROR(__xludf.DUMMYFUNCTION("""COMPUTED_VALUE"""),4)</f>
        <v>4</v>
      </c>
      <c r="E21" t="str">
        <f ca="1">IFERROR(__xludf.DUMMYFUNCTION("""COMPUTED_VALUE"""),"5' 8""")</f>
        <v>5' 8"</v>
      </c>
      <c r="F21">
        <f ca="1">IFERROR(__xludf.DUMMYFUNCTION("""COMPUTED_VALUE"""),16.917)</f>
        <v>16.917000000000002</v>
      </c>
      <c r="G21">
        <f ca="1">IFERROR(__xludf.DUMMYFUNCTION("""COMPUTED_VALUE"""),3)</f>
        <v>3</v>
      </c>
      <c r="H21">
        <f ca="1">IFERROR(__xludf.DUMMYFUNCTION("""COMPUTED_VALUE"""),2)</f>
        <v>2</v>
      </c>
    </row>
    <row r="22" spans="1:8" ht="15.75" customHeight="1">
      <c r="A22" t="str">
        <f ca="1">IFERROR(__xludf.DUMMYFUNCTION("""COMPUTED_VALUE"""),"T21")</f>
        <v>T21</v>
      </c>
      <c r="B22" t="str">
        <f ca="1">IFERROR(__xludf.DUMMYFUNCTION("""COMPUTED_VALUE"""),"T27")</f>
        <v>T27</v>
      </c>
      <c r="C22" t="str">
        <f ca="1">IFERROR(__xludf.DUMMYFUNCTION("""COMPUTED_VALUE"""),"C.T. Pan")</f>
        <v>C.T. Pan</v>
      </c>
      <c r="D22">
        <f ca="1">IFERROR(__xludf.DUMMYFUNCTION("""COMPUTED_VALUE"""),20)</f>
        <v>20</v>
      </c>
      <c r="E22" t="str">
        <f ca="1">IFERROR(__xludf.DUMMYFUNCTION("""COMPUTED_VALUE"""),"5' 9""")</f>
        <v>5' 9"</v>
      </c>
      <c r="F22">
        <f ca="1">IFERROR(__xludf.DUMMYFUNCTION("""COMPUTED_VALUE"""),92.5)</f>
        <v>92.5</v>
      </c>
      <c r="G22">
        <f ca="1">IFERROR(__xludf.DUMMYFUNCTION("""COMPUTED_VALUE"""),16)</f>
        <v>16</v>
      </c>
      <c r="H22">
        <f ca="1">IFERROR(__xludf.DUMMYFUNCTION("""COMPUTED_VALUE"""),66)</f>
        <v>66</v>
      </c>
    </row>
    <row r="23" spans="1:8" ht="15.75" customHeight="1">
      <c r="A23" t="str">
        <f ca="1">IFERROR(__xludf.DUMMYFUNCTION("""COMPUTED_VALUE"""),"T21")</f>
        <v>T21</v>
      </c>
      <c r="B23" t="str">
        <f ca="1">IFERROR(__xludf.DUMMYFUNCTION("""COMPUTED_VALUE"""),"T23")</f>
        <v>T23</v>
      </c>
      <c r="C23" t="str">
        <f ca="1">IFERROR(__xludf.DUMMYFUNCTION("""COMPUTED_VALUE"""),"Matthias Schwab")</f>
        <v>Matthias Schwab</v>
      </c>
      <c r="D23">
        <f ca="1">IFERROR(__xludf.DUMMYFUNCTION("""COMPUTED_VALUE"""),8)</f>
        <v>8</v>
      </c>
      <c r="E23" t="str">
        <f ca="1">IFERROR(__xludf.DUMMYFUNCTION("""COMPUTED_VALUE"""),"5' 9""")</f>
        <v>5' 9"</v>
      </c>
      <c r="F23">
        <f ca="1">IFERROR(__xludf.DUMMYFUNCTION("""COMPUTED_VALUE"""),28.667)</f>
        <v>28.667000000000002</v>
      </c>
      <c r="G23">
        <f ca="1">IFERROR(__xludf.DUMMYFUNCTION("""COMPUTED_VALUE"""),5)</f>
        <v>5</v>
      </c>
      <c r="H23">
        <f ca="1">IFERROR(__xludf.DUMMYFUNCTION("""COMPUTED_VALUE"""),133)</f>
        <v>133</v>
      </c>
    </row>
    <row r="24" spans="1:8" ht="15.75" customHeight="1">
      <c r="A24">
        <f ca="1">IFERROR(__xludf.DUMMYFUNCTION("""COMPUTED_VALUE"""),23)</f>
        <v>23</v>
      </c>
      <c r="B24" t="str">
        <f ca="1">IFERROR(__xludf.DUMMYFUNCTION("""COMPUTED_VALUE"""),"T27")</f>
        <v>T27</v>
      </c>
      <c r="C24" t="str">
        <f ca="1">IFERROR(__xludf.DUMMYFUNCTION("""COMPUTED_VALUE"""),"John Senden")</f>
        <v>John Senden</v>
      </c>
      <c r="D24">
        <f ca="1">IFERROR(__xludf.DUMMYFUNCTION("""COMPUTED_VALUE"""),8)</f>
        <v>8</v>
      </c>
      <c r="E24" t="str">
        <f ca="1">IFERROR(__xludf.DUMMYFUNCTION("""COMPUTED_VALUE"""),"6' 0""")</f>
        <v>6' 0"</v>
      </c>
      <c r="F24">
        <f ca="1">IFERROR(__xludf.DUMMYFUNCTION("""COMPUTED_VALUE"""),6)</f>
        <v>6</v>
      </c>
      <c r="G24">
        <f ca="1">IFERROR(__xludf.DUMMYFUNCTION("""COMPUTED_VALUE"""),1)</f>
        <v>1</v>
      </c>
      <c r="H24">
        <f ca="1">IFERROR(__xludf.DUMMYFUNCTION("""COMPUTED_VALUE"""),206)</f>
        <v>206</v>
      </c>
    </row>
    <row r="25" spans="1:8" ht="15.75" customHeight="1">
      <c r="A25" t="str">
        <f ca="1">IFERROR(__xludf.DUMMYFUNCTION("""COMPUTED_VALUE"""),"T24")</f>
        <v>T24</v>
      </c>
      <c r="B25" t="str">
        <f ca="1">IFERROR(__xludf.DUMMYFUNCTION("""COMPUTED_VALUE"""),"")</f>
        <v/>
      </c>
      <c r="C25" t="str">
        <f ca="1">IFERROR(__xludf.DUMMYFUNCTION("""COMPUTED_VALUE"""),"Brooks Koepka")</f>
        <v>Brooks Koepka</v>
      </c>
      <c r="D25">
        <f ca="1">IFERROR(__xludf.DUMMYFUNCTION("""COMPUTED_VALUE"""),8)</f>
        <v>8</v>
      </c>
      <c r="E25" t="str">
        <f ca="1">IFERROR(__xludf.DUMMYFUNCTION("""COMPUTED_VALUE"""),"6' 1""")</f>
        <v>6' 1"</v>
      </c>
      <c r="F25">
        <f ca="1">IFERROR(__xludf.DUMMYFUNCTION("""COMPUTED_VALUE"""),30.583)</f>
        <v>30.582999999999998</v>
      </c>
      <c r="G25">
        <f ca="1">IFERROR(__xludf.DUMMYFUNCTION("""COMPUTED_VALUE"""),5)</f>
        <v>5</v>
      </c>
      <c r="H25">
        <f ca="1">IFERROR(__xludf.DUMMYFUNCTION("""COMPUTED_VALUE"""),120)</f>
        <v>120</v>
      </c>
    </row>
    <row r="26" spans="1:8" ht="15.75" customHeight="1">
      <c r="A26" t="str">
        <f ca="1">IFERROR(__xludf.DUMMYFUNCTION("""COMPUTED_VALUE"""),"T24")</f>
        <v>T24</v>
      </c>
      <c r="B26" t="str">
        <f ca="1">IFERROR(__xludf.DUMMYFUNCTION("""COMPUTED_VALUE"""),"T29")</f>
        <v>T29</v>
      </c>
      <c r="C26" t="str">
        <f ca="1">IFERROR(__xludf.DUMMYFUNCTION("""COMPUTED_VALUE"""),"Jaekyeong Lee")</f>
        <v>Jaekyeong Lee</v>
      </c>
      <c r="D26">
        <f ca="1">IFERROR(__xludf.DUMMYFUNCTION("""COMPUTED_VALUE"""),4)</f>
        <v>4</v>
      </c>
      <c r="E26" t="str">
        <f ca="1">IFERROR(__xludf.DUMMYFUNCTION("""COMPUTED_VALUE"""),"6' 1""")</f>
        <v>6' 1"</v>
      </c>
      <c r="F26">
        <f ca="1">IFERROR(__xludf.DUMMYFUNCTION("""COMPUTED_VALUE"""),24.333)</f>
        <v>24.332999999999998</v>
      </c>
      <c r="G26">
        <f ca="1">IFERROR(__xludf.DUMMYFUNCTION("""COMPUTED_VALUE"""),4)</f>
        <v>4</v>
      </c>
      <c r="H26">
        <f ca="1">IFERROR(__xludf.DUMMYFUNCTION("""COMPUTED_VALUE"""),282)</f>
        <v>282</v>
      </c>
    </row>
    <row r="27" spans="1:8" ht="15.75" customHeight="1">
      <c r="A27" t="str">
        <f ca="1">IFERROR(__xludf.DUMMYFUNCTION("""COMPUTED_VALUE"""),"T24")</f>
        <v>T24</v>
      </c>
      <c r="B27" t="str">
        <f ca="1">IFERROR(__xludf.DUMMYFUNCTION("""COMPUTED_VALUE"""),"T29")</f>
        <v>T29</v>
      </c>
      <c r="C27" t="str">
        <f ca="1">IFERROR(__xludf.DUMMYFUNCTION("""COMPUTED_VALUE"""),"Tae Hee Lee")</f>
        <v>Tae Hee Lee</v>
      </c>
      <c r="D27">
        <f ca="1">IFERROR(__xludf.DUMMYFUNCTION("""COMPUTED_VALUE"""),4)</f>
        <v>4</v>
      </c>
      <c r="E27" t="str">
        <f ca="1">IFERROR(__xludf.DUMMYFUNCTION("""COMPUTED_VALUE"""),"6' 1""")</f>
        <v>6' 1"</v>
      </c>
      <c r="F27">
        <f ca="1">IFERROR(__xludf.DUMMYFUNCTION("""COMPUTED_VALUE"""),18.167)</f>
        <v>18.167000000000002</v>
      </c>
      <c r="G27">
        <f ca="1">IFERROR(__xludf.DUMMYFUNCTION("""COMPUTED_VALUE"""),3)</f>
        <v>3</v>
      </c>
      <c r="H27">
        <f ca="1">IFERROR(__xludf.DUMMYFUNCTION("""COMPUTED_VALUE"""),192)</f>
        <v>192</v>
      </c>
    </row>
    <row r="28" spans="1:8" ht="15.75" customHeight="1">
      <c r="A28">
        <f ca="1">IFERROR(__xludf.DUMMYFUNCTION("""COMPUTED_VALUE"""),27)</f>
        <v>27</v>
      </c>
      <c r="B28" t="str">
        <f ca="1">IFERROR(__xludf.DUMMYFUNCTION("""COMPUTED_VALUE"""),"T32")</f>
        <v>T32</v>
      </c>
      <c r="C28" t="str">
        <f ca="1">IFERROR(__xludf.DUMMYFUNCTION("""COMPUTED_VALUE"""),"David Hearn")</f>
        <v>David Hearn</v>
      </c>
      <c r="D28">
        <f ca="1">IFERROR(__xludf.DUMMYFUNCTION("""COMPUTED_VALUE"""),16)</f>
        <v>16</v>
      </c>
      <c r="E28" t="str">
        <f ca="1">IFERROR(__xludf.DUMMYFUNCTION("""COMPUTED_VALUE"""),"6' 3""")</f>
        <v>6' 3"</v>
      </c>
      <c r="F28">
        <f ca="1">IFERROR(__xludf.DUMMYFUNCTION("""COMPUTED_VALUE"""),31.25)</f>
        <v>31.25</v>
      </c>
      <c r="G28">
        <f ca="1">IFERROR(__xludf.DUMMYFUNCTION("""COMPUTED_VALUE"""),5)</f>
        <v>5</v>
      </c>
      <c r="H28">
        <f ca="1">IFERROR(__xludf.DUMMYFUNCTION("""COMPUTED_VALUE"""),71)</f>
        <v>71</v>
      </c>
    </row>
    <row r="29" spans="1:8" ht="15.75" customHeight="1">
      <c r="A29">
        <f ca="1">IFERROR(__xludf.DUMMYFUNCTION("""COMPUTED_VALUE"""),28)</f>
        <v>28</v>
      </c>
      <c r="B29">
        <f ca="1">IFERROR(__xludf.DUMMYFUNCTION("""COMPUTED_VALUE"""),34)</f>
        <v>34</v>
      </c>
      <c r="C29" t="str">
        <f ca="1">IFERROR(__xludf.DUMMYFUNCTION("""COMPUTED_VALUE"""),"Ben Taylor")</f>
        <v>Ben Taylor</v>
      </c>
      <c r="D29">
        <f ca="1">IFERROR(__xludf.DUMMYFUNCTION("""COMPUTED_VALUE"""),10)</f>
        <v>10</v>
      </c>
      <c r="E29" t="str">
        <f ca="1">IFERROR(__xludf.DUMMYFUNCTION("""COMPUTED_VALUE"""),"6' 4""")</f>
        <v>6' 4"</v>
      </c>
      <c r="F29">
        <f ca="1">IFERROR(__xludf.DUMMYFUNCTION("""COMPUTED_VALUE"""),31.583)</f>
        <v>31.582999999999998</v>
      </c>
      <c r="G29">
        <f ca="1">IFERROR(__xludf.DUMMYFUNCTION("""COMPUTED_VALUE"""),5)</f>
        <v>5</v>
      </c>
      <c r="H29">
        <f ca="1">IFERROR(__xludf.DUMMYFUNCTION("""COMPUTED_VALUE"""),19)</f>
        <v>19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IFERROR(__xludf.DUMMYFUNCTION("""COMPUTED_VALUE"""),"T42")</f>
        <v>T42</v>
      </c>
      <c r="C30" t="str">
        <f ca="1">IFERROR(__xludf.DUMMYFUNCTION("""COMPUTED_VALUE"""),"Maverick McNealy")</f>
        <v>Maverick McNealy</v>
      </c>
      <c r="D30">
        <f ca="1">IFERROR(__xludf.DUMMYFUNCTION("""COMPUTED_VALUE"""),16)</f>
        <v>16</v>
      </c>
      <c r="E30" t="str">
        <f ca="1">IFERROR(__xludf.DUMMYFUNCTION("""COMPUTED_VALUE"""),"6' 5""")</f>
        <v>6' 5"</v>
      </c>
      <c r="F30">
        <f ca="1">IFERROR(__xludf.DUMMYFUNCTION("""COMPUTED_VALUE"""),96.167)</f>
        <v>96.167000000000002</v>
      </c>
      <c r="G30">
        <f ca="1">IFERROR(__xludf.DUMMYFUNCTION("""COMPUTED_VALUE"""),15)</f>
        <v>15</v>
      </c>
      <c r="H30">
        <f ca="1">IFERROR(__xludf.DUMMYFUNCTION("""COMPUTED_VALUE"""),36)</f>
        <v>36</v>
      </c>
    </row>
    <row r="31" spans="1:8" ht="12.75">
      <c r="A31" t="str">
        <f ca="1">IFERROR(__xludf.DUMMYFUNCTION("""COMPUTED_VALUE"""),"T29")</f>
        <v>T29</v>
      </c>
      <c r="B31" t="str">
        <f ca="1">IFERROR(__xludf.DUMMYFUNCTION("""COMPUTED_VALUE"""),"T15")</f>
        <v>T15</v>
      </c>
      <c r="C31" t="str">
        <f ca="1">IFERROR(__xludf.DUMMYFUNCTION("""COMPUTED_VALUE"""),"Danny Lee")</f>
        <v>Danny Lee</v>
      </c>
      <c r="D31">
        <f ca="1">IFERROR(__xludf.DUMMYFUNCTION("""COMPUTED_VALUE"""),15)</f>
        <v>15</v>
      </c>
      <c r="E31" t="str">
        <f ca="1">IFERROR(__xludf.DUMMYFUNCTION("""COMPUTED_VALUE"""),"6' 5""")</f>
        <v>6' 5"</v>
      </c>
      <c r="F31">
        <f ca="1">IFERROR(__xludf.DUMMYFUNCTION("""COMPUTED_VALUE"""),134.5)</f>
        <v>134.5</v>
      </c>
      <c r="G31">
        <f ca="1">IFERROR(__xludf.DUMMYFUNCTION("""COMPUTED_VALUE"""),21)</f>
        <v>21</v>
      </c>
      <c r="H31">
        <f ca="1">IFERROR(__xludf.DUMMYFUNCTION("""COMPUTED_VALUE"""),271)</f>
        <v>271</v>
      </c>
    </row>
    <row r="32" spans="1:8" ht="12.75">
      <c r="A32">
        <f ca="1">IFERROR(__xludf.DUMMYFUNCTION("""COMPUTED_VALUE"""),31)</f>
        <v>31</v>
      </c>
      <c r="B32" t="str">
        <f ca="1">IFERROR(__xludf.DUMMYFUNCTION("""COMPUTED_VALUE"""),"T32")</f>
        <v>T32</v>
      </c>
      <c r="C32" t="str">
        <f ca="1">IFERROR(__xludf.DUMMYFUNCTION("""COMPUTED_VALUE"""),"Tony Finau")</f>
        <v>Tony Finau</v>
      </c>
      <c r="D32">
        <f ca="1">IFERROR(__xludf.DUMMYFUNCTION("""COMPUTED_VALUE"""),12)</f>
        <v>12</v>
      </c>
      <c r="E32" t="str">
        <f ca="1">IFERROR(__xludf.DUMMYFUNCTION("""COMPUTED_VALUE"""),"6' 6""")</f>
        <v>6' 6"</v>
      </c>
      <c r="F32">
        <f ca="1">IFERROR(__xludf.DUMMYFUNCTION("""COMPUTED_VALUE"""),84.917)</f>
        <v>84.917000000000002</v>
      </c>
      <c r="G32">
        <f ca="1">IFERROR(__xludf.DUMMYFUNCTION("""COMPUTED_VALUE"""),13)</f>
        <v>13</v>
      </c>
      <c r="H32">
        <f ca="1">IFERROR(__xludf.DUMMYFUNCTION("""COMPUTED_VALUE"""),227)</f>
        <v>227</v>
      </c>
    </row>
    <row r="33" spans="1:8" ht="12.75">
      <c r="A33" t="str">
        <f ca="1">IFERROR(__xludf.DUMMYFUNCTION("""COMPUTED_VALUE"""),"T32")</f>
        <v>T32</v>
      </c>
      <c r="B33" t="str">
        <f ca="1">IFERROR(__xludf.DUMMYFUNCTION("""COMPUTED_VALUE"""),"T35")</f>
        <v>T35</v>
      </c>
      <c r="C33" t="str">
        <f ca="1">IFERROR(__xludf.DUMMYFUNCTION("""COMPUTED_VALUE"""),"Webb Simpson")</f>
        <v>Webb Simpson</v>
      </c>
      <c r="D33">
        <f ca="1">IFERROR(__xludf.DUMMYFUNCTION("""COMPUTED_VALUE"""),12)</f>
        <v>12</v>
      </c>
      <c r="E33" t="str">
        <f ca="1">IFERROR(__xludf.DUMMYFUNCTION("""COMPUTED_VALUE"""),"6' 7""")</f>
        <v>6' 7"</v>
      </c>
      <c r="F33">
        <f ca="1">IFERROR(__xludf.DUMMYFUNCTION("""COMPUTED_VALUE"""),117.833)</f>
        <v>117.833</v>
      </c>
      <c r="G33">
        <f ca="1">IFERROR(__xludf.DUMMYFUNCTION("""COMPUTED_VALUE"""),18)</f>
        <v>18</v>
      </c>
      <c r="H33">
        <f ca="1">IFERROR(__xludf.DUMMYFUNCTION("""COMPUTED_VALUE"""),12)</f>
        <v>12</v>
      </c>
    </row>
    <row r="34" spans="1:8" ht="12.75">
      <c r="A34" t="str">
        <f ca="1">IFERROR(__xludf.DUMMYFUNCTION("""COMPUTED_VALUE"""),"T32")</f>
        <v>T32</v>
      </c>
      <c r="B34" t="str">
        <f ca="1">IFERROR(__xludf.DUMMYFUNCTION("""COMPUTED_VALUE"""),"T35")</f>
        <v>T35</v>
      </c>
      <c r="C34" t="str">
        <f ca="1">IFERROR(__xludf.DUMMYFUNCTION("""COMPUTED_VALUE"""),"Chesson Hadley")</f>
        <v>Chesson Hadley</v>
      </c>
      <c r="D34">
        <f ca="1">IFERROR(__xludf.DUMMYFUNCTION("""COMPUTED_VALUE"""),16)</f>
        <v>16</v>
      </c>
      <c r="E34" t="str">
        <f ca="1">IFERROR(__xludf.DUMMYFUNCTION("""COMPUTED_VALUE"""),"6' 7""")</f>
        <v>6' 7"</v>
      </c>
      <c r="F34">
        <f ca="1">IFERROR(__xludf.DUMMYFUNCTION("""COMPUTED_VALUE"""),125)</f>
        <v>125</v>
      </c>
      <c r="G34">
        <f ca="1">IFERROR(__xludf.DUMMYFUNCTION("""COMPUTED_VALUE"""),19)</f>
        <v>19</v>
      </c>
      <c r="H34">
        <f ca="1">IFERROR(__xludf.DUMMYFUNCTION("""COMPUTED_VALUE"""),203)</f>
        <v>203</v>
      </c>
    </row>
    <row r="35" spans="1:8" ht="12.75">
      <c r="A35" t="str">
        <f ca="1">IFERROR(__xludf.DUMMYFUNCTION("""COMPUTED_VALUE"""),"T34")</f>
        <v>T34</v>
      </c>
      <c r="B35" t="str">
        <f ca="1">IFERROR(__xludf.DUMMYFUNCTION("""COMPUTED_VALUE"""),"T38")</f>
        <v>T38</v>
      </c>
      <c r="C35" t="str">
        <f ca="1">IFERROR(__xludf.DUMMYFUNCTION("""COMPUTED_VALUE"""),"Renato Paratore")</f>
        <v>Renato Paratore</v>
      </c>
      <c r="D35">
        <f ca="1">IFERROR(__xludf.DUMMYFUNCTION("""COMPUTED_VALUE"""),4)</f>
        <v>4</v>
      </c>
      <c r="E35" t="str">
        <f ca="1">IFERROR(__xludf.DUMMYFUNCTION("""COMPUTED_VALUE"""),"6' 8""")</f>
        <v>6' 8"</v>
      </c>
      <c r="F35">
        <f ca="1">IFERROR(__xludf.DUMMYFUNCTION("""COMPUTED_VALUE"""),53.167)</f>
        <v>53.167000000000002</v>
      </c>
      <c r="G35">
        <f ca="1">IFERROR(__xludf.DUMMYFUNCTION("""COMPUTED_VALUE"""),8)</f>
        <v>8</v>
      </c>
      <c r="H35">
        <f ca="1">IFERROR(__xludf.DUMMYFUNCTION("""COMPUTED_VALUE"""),122)</f>
        <v>122</v>
      </c>
    </row>
    <row r="36" spans="1:8" ht="12.75">
      <c r="A36" t="str">
        <f ca="1">IFERROR(__xludf.DUMMYFUNCTION("""COMPUTED_VALUE"""),"T34")</f>
        <v>T34</v>
      </c>
      <c r="B36" t="str">
        <f ca="1">IFERROR(__xludf.DUMMYFUNCTION("""COMPUTED_VALUE"""),"T38")</f>
        <v>T38</v>
      </c>
      <c r="C36" t="str">
        <f ca="1">IFERROR(__xludf.DUMMYFUNCTION("""COMPUTED_VALUE"""),"Hank Lebioda")</f>
        <v>Hank Lebioda</v>
      </c>
      <c r="D36">
        <f ca="1">IFERROR(__xludf.DUMMYFUNCTION("""COMPUTED_VALUE"""),14)</f>
        <v>14</v>
      </c>
      <c r="E36" t="str">
        <f ca="1">IFERROR(__xludf.DUMMYFUNCTION("""COMPUTED_VALUE"""),"6' 8""")</f>
        <v>6' 8"</v>
      </c>
      <c r="F36">
        <f ca="1">IFERROR(__xludf.DUMMYFUNCTION("""COMPUTED_VALUE"""),53.167)</f>
        <v>53.167000000000002</v>
      </c>
      <c r="G36">
        <f ca="1">IFERROR(__xludf.DUMMYFUNCTION("""COMPUTED_VALUE"""),8)</f>
        <v>8</v>
      </c>
      <c r="H36">
        <f ca="1">IFERROR(__xludf.DUMMYFUNCTION("""COMPUTED_VALUE"""),7)</f>
        <v>7</v>
      </c>
    </row>
    <row r="37" spans="1:8" ht="12.75">
      <c r="A37" t="str">
        <f ca="1">IFERROR(__xludf.DUMMYFUNCTION("""COMPUTED_VALUE"""),"T34")</f>
        <v>T34</v>
      </c>
      <c r="B37" t="str">
        <f ca="1">IFERROR(__xludf.DUMMYFUNCTION("""COMPUTED_VALUE"""),"T38")</f>
        <v>T38</v>
      </c>
      <c r="C37" t="str">
        <f ca="1">IFERROR(__xludf.DUMMYFUNCTION("""COMPUTED_VALUE"""),"Wesley Bryan")</f>
        <v>Wesley Bryan</v>
      </c>
      <c r="D37">
        <f ca="1">IFERROR(__xludf.DUMMYFUNCTION("""COMPUTED_VALUE"""),8)</f>
        <v>8</v>
      </c>
      <c r="E37" t="str">
        <f ca="1">IFERROR(__xludf.DUMMYFUNCTION("""COMPUTED_VALUE"""),"6' 8""")</f>
        <v>6' 8"</v>
      </c>
      <c r="F37">
        <f ca="1">IFERROR(__xludf.DUMMYFUNCTION("""COMPUTED_VALUE"""),40)</f>
        <v>40</v>
      </c>
      <c r="G37">
        <f ca="1">IFERROR(__xludf.DUMMYFUNCTION("""COMPUTED_VALUE"""),6)</f>
        <v>6</v>
      </c>
      <c r="H37">
        <f ca="1">IFERROR(__xludf.DUMMYFUNCTION("""COMPUTED_VALUE"""),174)</f>
        <v>174</v>
      </c>
    </row>
    <row r="38" spans="1:8" ht="12.75">
      <c r="A38">
        <f ca="1">IFERROR(__xludf.DUMMYFUNCTION("""COMPUTED_VALUE"""),37)</f>
        <v>37</v>
      </c>
      <c r="B38" t="str">
        <f ca="1">IFERROR(__xludf.DUMMYFUNCTION("""COMPUTED_VALUE"""),"T42")</f>
        <v>T42</v>
      </c>
      <c r="C38" t="str">
        <f ca="1">IFERROR(__xludf.DUMMYFUNCTION("""COMPUTED_VALUE"""),"Doug Ghim")</f>
        <v>Doug Ghim</v>
      </c>
      <c r="D38">
        <f ca="1">IFERROR(__xludf.DUMMYFUNCTION("""COMPUTED_VALUE"""),14)</f>
        <v>14</v>
      </c>
      <c r="E38" t="str">
        <f ca="1">IFERROR(__xludf.DUMMYFUNCTION("""COMPUTED_VALUE"""),"6' 10""")</f>
        <v>6' 10"</v>
      </c>
      <c r="F38">
        <f ca="1">IFERROR(__xludf.DUMMYFUNCTION("""COMPUTED_VALUE"""),54.583)</f>
        <v>54.582999999999998</v>
      </c>
      <c r="G38">
        <f ca="1">IFERROR(__xludf.DUMMYFUNCTION("""COMPUTED_VALUE"""),8)</f>
        <v>8</v>
      </c>
      <c r="H38">
        <f ca="1">IFERROR(__xludf.DUMMYFUNCTION("""COMPUTED_VALUE"""),15)</f>
        <v>15</v>
      </c>
    </row>
    <row r="39" spans="1:8" ht="12.75">
      <c r="A39" t="str">
        <f ca="1">IFERROR(__xludf.DUMMYFUNCTION("""COMPUTED_VALUE"""),"T38")</f>
        <v>T38</v>
      </c>
      <c r="B39" t="str">
        <f ca="1">IFERROR(__xludf.DUMMYFUNCTION("""COMPUTED_VALUE"""),"T55")</f>
        <v>T55</v>
      </c>
      <c r="C39" t="str">
        <f ca="1">IFERROR(__xludf.DUMMYFUNCTION("""COMPUTED_VALUE"""),"Carlos Ortiz")</f>
        <v>Carlos Ortiz</v>
      </c>
      <c r="D39">
        <f ca="1">IFERROR(__xludf.DUMMYFUNCTION("""COMPUTED_VALUE"""),20)</f>
        <v>20</v>
      </c>
      <c r="E39" t="str">
        <f ca="1">IFERROR(__xludf.DUMMYFUNCTION("""COMPUTED_VALUE"""),"7' 0""")</f>
        <v>7' 0"</v>
      </c>
      <c r="F39">
        <f ca="1">IFERROR(__xludf.DUMMYFUNCTION("""COMPUTED_VALUE"""),105.167)</f>
        <v>105.167</v>
      </c>
      <c r="G39">
        <f ca="1">IFERROR(__xludf.DUMMYFUNCTION("""COMPUTED_VALUE"""),15)</f>
        <v>15</v>
      </c>
      <c r="H39">
        <f ca="1">IFERROR(__xludf.DUMMYFUNCTION("""COMPUTED_VALUE"""),54)</f>
        <v>54</v>
      </c>
    </row>
    <row r="40" spans="1:8" ht="12.75">
      <c r="A40" t="str">
        <f ca="1">IFERROR(__xludf.DUMMYFUNCTION("""COMPUTED_VALUE"""),"T38")</f>
        <v>T38</v>
      </c>
      <c r="B40" t="str">
        <f ca="1">IFERROR(__xludf.DUMMYFUNCTION("""COMPUTED_VALUE"""),"T53")</f>
        <v>T53</v>
      </c>
      <c r="C40" t="str">
        <f ca="1">IFERROR(__xludf.DUMMYFUNCTION("""COMPUTED_VALUE"""),"Dylan Frittelli")</f>
        <v>Dylan Frittelli</v>
      </c>
      <c r="D40">
        <f ca="1">IFERROR(__xludf.DUMMYFUNCTION("""COMPUTED_VALUE"""),16)</f>
        <v>16</v>
      </c>
      <c r="E40" t="str">
        <f ca="1">IFERROR(__xludf.DUMMYFUNCTION("""COMPUTED_VALUE"""),"7' 0""")</f>
        <v>7' 0"</v>
      </c>
      <c r="F40">
        <f ca="1">IFERROR(__xludf.DUMMYFUNCTION("""COMPUTED_VALUE"""),111.583)</f>
        <v>111.583</v>
      </c>
      <c r="G40">
        <f ca="1">IFERROR(__xludf.DUMMYFUNCTION("""COMPUTED_VALUE"""),16)</f>
        <v>16</v>
      </c>
      <c r="H40">
        <f ca="1">IFERROR(__xludf.DUMMYFUNCTION("""COMPUTED_VALUE"""),72)</f>
        <v>72</v>
      </c>
    </row>
    <row r="41" spans="1:8" ht="12.75">
      <c r="A41" t="str">
        <f ca="1">IFERROR(__xludf.DUMMYFUNCTION("""COMPUTED_VALUE"""),"T40")</f>
        <v>T40</v>
      </c>
      <c r="B41" t="str">
        <f ca="1">IFERROR(__xludf.DUMMYFUNCTION("""COMPUTED_VALUE"""),"T55")</f>
        <v>T55</v>
      </c>
      <c r="C41" t="str">
        <f ca="1">IFERROR(__xludf.DUMMYFUNCTION("""COMPUTED_VALUE"""),"Bronson Burgoon")</f>
        <v>Bronson Burgoon</v>
      </c>
      <c r="D41">
        <f ca="1">IFERROR(__xludf.DUMMYFUNCTION("""COMPUTED_VALUE"""),10)</f>
        <v>10</v>
      </c>
      <c r="E41" t="str">
        <f ca="1">IFERROR(__xludf.DUMMYFUNCTION("""COMPUTED_VALUE"""),"7' 1""")</f>
        <v>7' 1"</v>
      </c>
      <c r="F41">
        <f ca="1">IFERROR(__xludf.DUMMYFUNCTION("""COMPUTED_VALUE"""),106.75)</f>
        <v>106.75</v>
      </c>
      <c r="G41">
        <f ca="1">IFERROR(__xludf.DUMMYFUNCTION("""COMPUTED_VALUE"""),15)</f>
        <v>15</v>
      </c>
      <c r="H41">
        <f ca="1">IFERROR(__xludf.DUMMYFUNCTION("""COMPUTED_VALUE"""),232)</f>
        <v>232</v>
      </c>
    </row>
    <row r="42" spans="1:8" ht="12.75">
      <c r="A42" t="str">
        <f ca="1">IFERROR(__xludf.DUMMYFUNCTION("""COMPUTED_VALUE"""),"T40")</f>
        <v>T40</v>
      </c>
      <c r="B42">
        <f ca="1">IFERROR(__xludf.DUMMYFUNCTION("""COMPUTED_VALUE"""),19)</f>
        <v>19</v>
      </c>
      <c r="C42" t="str">
        <f ca="1">IFERROR(__xludf.DUMMYFUNCTION("""COMPUTED_VALUE"""),"Alex Noren")</f>
        <v>Alex Noren</v>
      </c>
      <c r="D42">
        <f ca="1">IFERROR(__xludf.DUMMYFUNCTION("""COMPUTED_VALUE"""),14)</f>
        <v>14</v>
      </c>
      <c r="E42" t="str">
        <f ca="1">IFERROR(__xludf.DUMMYFUNCTION("""COMPUTED_VALUE"""),"7' 1""")</f>
        <v>7' 1"</v>
      </c>
      <c r="F42">
        <f ca="1">IFERROR(__xludf.DUMMYFUNCTION("""COMPUTED_VALUE"""),99.5)</f>
        <v>99.5</v>
      </c>
      <c r="G42">
        <f ca="1">IFERROR(__xludf.DUMMYFUNCTION("""COMPUTED_VALUE"""),14)</f>
        <v>14</v>
      </c>
      <c r="H42">
        <f ca="1">IFERROR(__xludf.DUMMYFUNCTION("""COMPUTED_VALUE"""),206)</f>
        <v>206</v>
      </c>
    </row>
    <row r="43" spans="1:8" ht="12.75">
      <c r="A43" t="str">
        <f ca="1">IFERROR(__xludf.DUMMYFUNCTION("""COMPUTED_VALUE"""),"T40")</f>
        <v>T40</v>
      </c>
      <c r="B43" t="str">
        <f ca="1">IFERROR(__xludf.DUMMYFUNCTION("""COMPUTED_VALUE"""),"T29")</f>
        <v>T29</v>
      </c>
      <c r="C43" t="str">
        <f ca="1">IFERROR(__xludf.DUMMYFUNCTION("""COMPUTED_VALUE"""),"Jason Dufner")</f>
        <v>Jason Dufner</v>
      </c>
      <c r="D43">
        <f ca="1">IFERROR(__xludf.DUMMYFUNCTION("""COMPUTED_VALUE"""),14)</f>
        <v>14</v>
      </c>
      <c r="E43" t="str">
        <f ca="1">IFERROR(__xludf.DUMMYFUNCTION("""COMPUTED_VALUE"""),"7' 1""")</f>
        <v>7' 1"</v>
      </c>
      <c r="F43">
        <f ca="1">IFERROR(__xludf.DUMMYFUNCTION("""COMPUTED_VALUE"""),78.083)</f>
        <v>78.082999999999998</v>
      </c>
      <c r="G43">
        <f ca="1">IFERROR(__xludf.DUMMYFUNCTION("""COMPUTED_VALUE"""),11)</f>
        <v>11</v>
      </c>
      <c r="H43">
        <f ca="1">IFERROR(__xludf.DUMMYFUNCTION("""COMPUTED_VALUE"""),166)</f>
        <v>166</v>
      </c>
    </row>
    <row r="44" spans="1:8" ht="12.75">
      <c r="A44" t="str">
        <f ca="1">IFERROR(__xludf.DUMMYFUNCTION("""COMPUTED_VALUE"""),"T40")</f>
        <v>T40</v>
      </c>
      <c r="B44" t="str">
        <f ca="1">IFERROR(__xludf.DUMMYFUNCTION("""COMPUTED_VALUE"""),"T46")</f>
        <v>T46</v>
      </c>
      <c r="C44" t="str">
        <f ca="1">IFERROR(__xludf.DUMMYFUNCTION("""COMPUTED_VALUE"""),"Ian Poulter")</f>
        <v>Ian Poulter</v>
      </c>
      <c r="D44">
        <f ca="1">IFERROR(__xludf.DUMMYFUNCTION("""COMPUTED_VALUE"""),6)</f>
        <v>6</v>
      </c>
      <c r="E44" t="str">
        <f ca="1">IFERROR(__xludf.DUMMYFUNCTION("""COMPUTED_VALUE"""),"7' 1""")</f>
        <v>7' 1"</v>
      </c>
      <c r="F44">
        <f ca="1">IFERROR(__xludf.DUMMYFUNCTION("""COMPUTED_VALUE"""),56.583)</f>
        <v>56.582999999999998</v>
      </c>
      <c r="G44">
        <f ca="1">IFERROR(__xludf.DUMMYFUNCTION("""COMPUTED_VALUE"""),8)</f>
        <v>8</v>
      </c>
      <c r="H44">
        <f ca="1">IFERROR(__xludf.DUMMYFUNCTION("""COMPUTED_VALUE"""),25)</f>
        <v>25</v>
      </c>
    </row>
    <row r="45" spans="1:8" ht="12.75">
      <c r="A45" t="str">
        <f ca="1">IFERROR(__xludf.DUMMYFUNCTION("""COMPUTED_VALUE"""),"T40")</f>
        <v>T40</v>
      </c>
      <c r="B45" t="str">
        <f ca="1">IFERROR(__xludf.DUMMYFUNCTION("""COMPUTED_VALUE"""),"T46")</f>
        <v>T46</v>
      </c>
      <c r="C45" t="str">
        <f ca="1">IFERROR(__xludf.DUMMYFUNCTION("""COMPUTED_VALUE"""),"Joseph Bramlett")</f>
        <v>Joseph Bramlett</v>
      </c>
      <c r="D45">
        <f ca="1">IFERROR(__xludf.DUMMYFUNCTION("""COMPUTED_VALUE"""),18)</f>
        <v>18</v>
      </c>
      <c r="E45" t="str">
        <f ca="1">IFERROR(__xludf.DUMMYFUNCTION("""COMPUTED_VALUE"""),"7' 1""")</f>
        <v>7' 1"</v>
      </c>
      <c r="F45">
        <f ca="1">IFERROR(__xludf.DUMMYFUNCTION("""COMPUTED_VALUE"""),105.667)</f>
        <v>105.667</v>
      </c>
      <c r="G45">
        <f ca="1">IFERROR(__xludf.DUMMYFUNCTION("""COMPUTED_VALUE"""),15)</f>
        <v>15</v>
      </c>
      <c r="H45">
        <f ca="1">IFERROR(__xludf.DUMMYFUNCTION("""COMPUTED_VALUE"""),127)</f>
        <v>127</v>
      </c>
    </row>
    <row r="46" spans="1:8" ht="12.75">
      <c r="A46" t="str">
        <f ca="1">IFERROR(__xludf.DUMMYFUNCTION("""COMPUTED_VALUE"""),"T40")</f>
        <v>T40</v>
      </c>
      <c r="B46" t="str">
        <f ca="1">IFERROR(__xludf.DUMMYFUNCTION("""COMPUTED_VALUE"""),"T46")</f>
        <v>T46</v>
      </c>
      <c r="C46" t="str">
        <f ca="1">IFERROR(__xludf.DUMMYFUNCTION("""COMPUTED_VALUE"""),"Will Gordon")</f>
        <v>Will Gordon</v>
      </c>
      <c r="D46">
        <f ca="1">IFERROR(__xludf.DUMMYFUNCTION("""COMPUTED_VALUE"""),20)</f>
        <v>20</v>
      </c>
      <c r="E46" t="str">
        <f ca="1">IFERROR(__xludf.DUMMYFUNCTION("""COMPUTED_VALUE"""),"7' 1""")</f>
        <v>7' 1"</v>
      </c>
      <c r="F46">
        <f ca="1">IFERROR(__xludf.DUMMYFUNCTION("""COMPUTED_VALUE"""),70.833)</f>
        <v>70.832999999999998</v>
      </c>
      <c r="G46">
        <f ca="1">IFERROR(__xludf.DUMMYFUNCTION("""COMPUTED_VALUE"""),10)</f>
        <v>10</v>
      </c>
      <c r="H46">
        <f ca="1">IFERROR(__xludf.DUMMYFUNCTION("""COMPUTED_VALUE"""),222)</f>
        <v>222</v>
      </c>
    </row>
    <row r="47" spans="1:8" ht="12.75">
      <c r="A47" t="str">
        <f ca="1">IFERROR(__xludf.DUMMYFUNCTION("""COMPUTED_VALUE"""),"T40")</f>
        <v>T40</v>
      </c>
      <c r="B47">
        <f ca="1">IFERROR(__xludf.DUMMYFUNCTION("""COMPUTED_VALUE"""),105)</f>
        <v>105</v>
      </c>
      <c r="C47" t="str">
        <f ca="1">IFERROR(__xludf.DUMMYFUNCTION("""COMPUTED_VALUE"""),"Isaiah Salinda")</f>
        <v>Isaiah Salinda</v>
      </c>
      <c r="D47">
        <f ca="1">IFERROR(__xludf.DUMMYFUNCTION("""COMPUTED_VALUE"""),8)</f>
        <v>8</v>
      </c>
      <c r="E47" t="str">
        <f ca="1">IFERROR(__xludf.DUMMYFUNCTION("""COMPUTED_VALUE"""),"7' 1""")</f>
        <v>7' 1"</v>
      </c>
      <c r="F47">
        <f ca="1">IFERROR(__xludf.DUMMYFUNCTION("""COMPUTED_VALUE"""),71.167)</f>
        <v>71.167000000000002</v>
      </c>
      <c r="G47">
        <f ca="1">IFERROR(__xludf.DUMMYFUNCTION("""COMPUTED_VALUE"""),10)</f>
        <v>10</v>
      </c>
      <c r="H47">
        <f ca="1">IFERROR(__xludf.DUMMYFUNCTION("""COMPUTED_VALUE"""),143)</f>
        <v>143</v>
      </c>
    </row>
    <row r="48" spans="1:8" ht="12.75">
      <c r="A48" t="str">
        <f ca="1">IFERROR(__xludf.DUMMYFUNCTION("""COMPUTED_VALUE"""),"T47")</f>
        <v>T47</v>
      </c>
      <c r="B48" t="str">
        <f ca="1">IFERROR(__xludf.DUMMYFUNCTION("""COMPUTED_VALUE"""),"T38")</f>
        <v>T38</v>
      </c>
      <c r="C48" t="str">
        <f ca="1">IFERROR(__xludf.DUMMYFUNCTION("""COMPUTED_VALUE"""),"Martin Laird")</f>
        <v>Martin Laird</v>
      </c>
      <c r="D48">
        <f ca="1">IFERROR(__xludf.DUMMYFUNCTION("""COMPUTED_VALUE"""),16)</f>
        <v>16</v>
      </c>
      <c r="E48" t="str">
        <f ca="1">IFERROR(__xludf.DUMMYFUNCTION("""COMPUTED_VALUE"""),"7' 2""")</f>
        <v>7' 2"</v>
      </c>
      <c r="F48">
        <f ca="1">IFERROR(__xludf.DUMMYFUNCTION("""COMPUTED_VALUE"""),86.083)</f>
        <v>86.082999999999998</v>
      </c>
      <c r="G48">
        <f ca="1">IFERROR(__xludf.DUMMYFUNCTION("""COMPUTED_VALUE"""),12)</f>
        <v>12</v>
      </c>
      <c r="H48">
        <f ca="1">IFERROR(__xludf.DUMMYFUNCTION("""COMPUTED_VALUE"""),225)</f>
        <v>225</v>
      </c>
    </row>
    <row r="49" spans="1:8" ht="12.75">
      <c r="A49" t="str">
        <f ca="1">IFERROR(__xludf.DUMMYFUNCTION("""COMPUTED_VALUE"""),"T47")</f>
        <v>T47</v>
      </c>
      <c r="B49" t="str">
        <f ca="1">IFERROR(__xludf.DUMMYFUNCTION("""COMPUTED_VALUE"""),"T49")</f>
        <v>T49</v>
      </c>
      <c r="C49" t="str">
        <f ca="1">IFERROR(__xludf.DUMMYFUNCTION("""COMPUTED_VALUE"""),"Rory McIlroy")</f>
        <v>Rory McIlroy</v>
      </c>
      <c r="D49">
        <f ca="1">IFERROR(__xludf.DUMMYFUNCTION("""COMPUTED_VALUE"""),12)</f>
        <v>12</v>
      </c>
      <c r="E49" t="str">
        <f ca="1">IFERROR(__xludf.DUMMYFUNCTION("""COMPUTED_VALUE"""),"7' 2""")</f>
        <v>7' 2"</v>
      </c>
      <c r="F49">
        <f ca="1">IFERROR(__xludf.DUMMYFUNCTION("""COMPUTED_VALUE"""),92.917)</f>
        <v>92.917000000000002</v>
      </c>
      <c r="G49">
        <f ca="1">IFERROR(__xludf.DUMMYFUNCTION("""COMPUTED_VALUE"""),13)</f>
        <v>13</v>
      </c>
      <c r="H49">
        <f ca="1">IFERROR(__xludf.DUMMYFUNCTION("""COMPUTED_VALUE"""),228)</f>
        <v>228</v>
      </c>
    </row>
    <row r="50" spans="1:8" ht="12.75">
      <c r="A50" t="str">
        <f ca="1">IFERROR(__xludf.DUMMYFUNCTION("""COMPUTED_VALUE"""),"T49")</f>
        <v>T49</v>
      </c>
      <c r="B50" t="str">
        <f ca="1">IFERROR(__xludf.DUMMYFUNCTION("""COMPUTED_VALUE"""),"T55")</f>
        <v>T55</v>
      </c>
      <c r="C50" t="str">
        <f ca="1">IFERROR(__xludf.DUMMYFUNCTION("""COMPUTED_VALUE"""),"Jamie Lovemark")</f>
        <v>Jamie Lovemark</v>
      </c>
      <c r="D50">
        <f ca="1">IFERROR(__xludf.DUMMYFUNCTION("""COMPUTED_VALUE"""),18)</f>
        <v>18</v>
      </c>
      <c r="E50" t="str">
        <f ca="1">IFERROR(__xludf.DUMMYFUNCTION("""COMPUTED_VALUE"""),"7' 3""")</f>
        <v>7' 3"</v>
      </c>
      <c r="F50">
        <f ca="1">IFERROR(__xludf.DUMMYFUNCTION("""COMPUTED_VALUE"""),137.25)</f>
        <v>137.25</v>
      </c>
      <c r="G50">
        <f ca="1">IFERROR(__xludf.DUMMYFUNCTION("""COMPUTED_VALUE"""),19)</f>
        <v>19</v>
      </c>
      <c r="H50">
        <f ca="1">IFERROR(__xludf.DUMMYFUNCTION("""COMPUTED_VALUE"""),114)</f>
        <v>114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IFERROR(__xludf.DUMMYFUNCTION("""COMPUTED_VALUE"""),"T49")</f>
        <v>T49</v>
      </c>
      <c r="C51" t="str">
        <f ca="1">IFERROR(__xludf.DUMMYFUNCTION("""COMPUTED_VALUE"""),"Brandt Snedeker")</f>
        <v>Brandt Snedeker</v>
      </c>
      <c r="D51">
        <f ca="1">IFERROR(__xludf.DUMMYFUNCTION("""COMPUTED_VALUE"""),16)</f>
        <v>16</v>
      </c>
      <c r="E51" t="str">
        <f ca="1">IFERROR(__xludf.DUMMYFUNCTION("""COMPUTED_VALUE"""),"7' 3""")</f>
        <v>7' 3"</v>
      </c>
      <c r="F51">
        <f ca="1">IFERROR(__xludf.DUMMYFUNCTION("""COMPUTED_VALUE"""),123.333)</f>
        <v>123.333</v>
      </c>
      <c r="G51">
        <f ca="1">IFERROR(__xludf.DUMMYFUNCTION("""COMPUTED_VALUE"""),17)</f>
        <v>17</v>
      </c>
      <c r="H51">
        <f ca="1">IFERROR(__xludf.DUMMYFUNCTION("""COMPUTED_VALUE"""),191)</f>
        <v>191</v>
      </c>
    </row>
    <row r="52" spans="1:8" ht="12.75">
      <c r="A52" t="str">
        <f ca="1">IFERROR(__xludf.DUMMYFUNCTION("""COMPUTED_VALUE"""),"T49")</f>
        <v>T49</v>
      </c>
      <c r="B52" t="str">
        <f ca="1">IFERROR(__xludf.DUMMYFUNCTION("""COMPUTED_VALUE"""),"T53")</f>
        <v>T53</v>
      </c>
      <c r="C52" t="str">
        <f ca="1">IFERROR(__xludf.DUMMYFUNCTION("""COMPUTED_VALUE"""),"Rikuya Hoshino")</f>
        <v>Rikuya Hoshino</v>
      </c>
      <c r="D52">
        <f ca="1">IFERROR(__xludf.DUMMYFUNCTION("""COMPUTED_VALUE"""),4)</f>
        <v>4</v>
      </c>
      <c r="E52" t="str">
        <f ca="1">IFERROR(__xludf.DUMMYFUNCTION("""COMPUTED_VALUE"""),"7' 3""")</f>
        <v>7' 3"</v>
      </c>
      <c r="F52">
        <f ca="1">IFERROR(__xludf.DUMMYFUNCTION("""COMPUTED_VALUE"""),50.833)</f>
        <v>50.832999999999998</v>
      </c>
      <c r="G52">
        <f ca="1">IFERROR(__xludf.DUMMYFUNCTION("""COMPUTED_VALUE"""),7)</f>
        <v>7</v>
      </c>
      <c r="H52">
        <f ca="1">IFERROR(__xludf.DUMMYFUNCTION("""COMPUTED_VALUE"""),13)</f>
        <v>13</v>
      </c>
    </row>
    <row r="53" spans="1:8" ht="12.75">
      <c r="A53" t="str">
        <f ca="1">IFERROR(__xludf.DUMMYFUNCTION("""COMPUTED_VALUE"""),"T52")</f>
        <v>T52</v>
      </c>
      <c r="B53" t="str">
        <f ca="1">IFERROR(__xludf.DUMMYFUNCTION("""COMPUTED_VALUE"""),"T23")</f>
        <v>T23</v>
      </c>
      <c r="C53" t="str">
        <f ca="1">IFERROR(__xludf.DUMMYFUNCTION("""COMPUTED_VALUE"""),"Graham DeLaet")</f>
        <v>Graham DeLaet</v>
      </c>
      <c r="D53">
        <f ca="1">IFERROR(__xludf.DUMMYFUNCTION("""COMPUTED_VALUE"""),9)</f>
        <v>9</v>
      </c>
      <c r="E53" t="str">
        <f ca="1">IFERROR(__xludf.DUMMYFUNCTION("""COMPUTED_VALUE"""),"7' 4""")</f>
        <v>7' 4"</v>
      </c>
      <c r="F53">
        <f ca="1">IFERROR(__xludf.DUMMYFUNCTION("""COMPUTED_VALUE"""),36.583)</f>
        <v>36.582999999999998</v>
      </c>
      <c r="G53">
        <f ca="1">IFERROR(__xludf.DUMMYFUNCTION("""COMPUTED_VALUE"""),5)</f>
        <v>5</v>
      </c>
      <c r="H53">
        <f ca="1">IFERROR(__xludf.DUMMYFUNCTION("""COMPUTED_VALUE"""),267)</f>
        <v>267</v>
      </c>
    </row>
    <row r="54" spans="1:8" ht="12.75">
      <c r="A54" t="str">
        <f ca="1">IFERROR(__xludf.DUMMYFUNCTION("""COMPUTED_VALUE"""),"T52")</f>
        <v>T52</v>
      </c>
      <c r="B54" t="str">
        <f ca="1">IFERROR(__xludf.DUMMYFUNCTION("""COMPUTED_VALUE"""),"T59")</f>
        <v>T59</v>
      </c>
      <c r="C54" t="str">
        <f ca="1">IFERROR(__xludf.DUMMYFUNCTION("""COMPUTED_VALUE"""),"Scott Brown")</f>
        <v>Scott Brown</v>
      </c>
      <c r="D54">
        <f ca="1">IFERROR(__xludf.DUMMYFUNCTION("""COMPUTED_VALUE"""),14)</f>
        <v>14</v>
      </c>
      <c r="E54" t="str">
        <f ca="1">IFERROR(__xludf.DUMMYFUNCTION("""COMPUTED_VALUE"""),"7' 4""")</f>
        <v>7' 4"</v>
      </c>
      <c r="F54">
        <f ca="1">IFERROR(__xludf.DUMMYFUNCTION("""COMPUTED_VALUE"""),73.583)</f>
        <v>73.582999999999998</v>
      </c>
      <c r="G54">
        <f ca="1">IFERROR(__xludf.DUMMYFUNCTION("""COMPUTED_VALUE"""),10)</f>
        <v>10</v>
      </c>
      <c r="H54">
        <f ca="1">IFERROR(__xludf.DUMMYFUNCTION("""COMPUTED_VALUE"""),89)</f>
        <v>89</v>
      </c>
    </row>
    <row r="55" spans="1:8" ht="12.75">
      <c r="A55" t="str">
        <f ca="1">IFERROR(__xludf.DUMMYFUNCTION("""COMPUTED_VALUE"""),"T52")</f>
        <v>T52</v>
      </c>
      <c r="B55" t="str">
        <f ca="1">IFERROR(__xludf.DUMMYFUNCTION("""COMPUTED_VALUE"""),"T55")</f>
        <v>T55</v>
      </c>
      <c r="C55" t="str">
        <f ca="1">IFERROR(__xludf.DUMMYFUNCTION("""COMPUTED_VALUE"""),"Matt Every")</f>
        <v>Matt Every</v>
      </c>
      <c r="D55">
        <f ca="1">IFERROR(__xludf.DUMMYFUNCTION("""COMPUTED_VALUE"""),8)</f>
        <v>8</v>
      </c>
      <c r="E55" t="str">
        <f ca="1">IFERROR(__xludf.DUMMYFUNCTION("""COMPUTED_VALUE"""),"7' 4""")</f>
        <v>7' 4"</v>
      </c>
      <c r="F55">
        <f ca="1">IFERROR(__xludf.DUMMYFUNCTION("""COMPUTED_VALUE"""),44.083)</f>
        <v>44.082999999999998</v>
      </c>
      <c r="G55">
        <f ca="1">IFERROR(__xludf.DUMMYFUNCTION("""COMPUTED_VALUE"""),6)</f>
        <v>6</v>
      </c>
      <c r="H55">
        <f ca="1">IFERROR(__xludf.DUMMYFUNCTION("""COMPUTED_VALUE"""),262)</f>
        <v>262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IFERROR(__xludf.DUMMYFUNCTION("""COMPUTED_VALUE"""),"T78")</f>
        <v>T78</v>
      </c>
      <c r="C56" t="str">
        <f ca="1">IFERROR(__xludf.DUMMYFUNCTION("""COMPUTED_VALUE"""),"Matt Jones")</f>
        <v>Matt Jones</v>
      </c>
      <c r="D56">
        <f ca="1">IFERROR(__xludf.DUMMYFUNCTION("""COMPUTED_VALUE"""),20)</f>
        <v>20</v>
      </c>
      <c r="E56" t="str">
        <f ca="1">IFERROR(__xludf.DUMMYFUNCTION("""COMPUTED_VALUE"""),"7' 6""")</f>
        <v>7' 6"</v>
      </c>
      <c r="F56">
        <f ca="1">IFERROR(__xludf.DUMMYFUNCTION("""COMPUTED_VALUE"""),105)</f>
        <v>105</v>
      </c>
      <c r="G56">
        <f ca="1">IFERROR(__xludf.DUMMYFUNCTION("""COMPUTED_VALUE"""),14)</f>
        <v>14</v>
      </c>
      <c r="H56">
        <f ca="1">IFERROR(__xludf.DUMMYFUNCTION("""COMPUTED_VALUE"""),30)</f>
        <v>30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IFERROR(__xludf.DUMMYFUNCTION("""COMPUTED_VALUE"""),"T98")</f>
        <v>T98</v>
      </c>
      <c r="C57" t="str">
        <f ca="1">IFERROR(__xludf.DUMMYFUNCTION("""COMPUTED_VALUE"""),"Denny McCarthy")</f>
        <v>Denny McCarthy</v>
      </c>
      <c r="D57">
        <f ca="1">IFERROR(__xludf.DUMMYFUNCTION("""COMPUTED_VALUE"""),22)</f>
        <v>22</v>
      </c>
      <c r="E57" t="str">
        <f ca="1">IFERROR(__xludf.DUMMYFUNCTION("""COMPUTED_VALUE"""),"7' 6""")</f>
        <v>7' 6"</v>
      </c>
      <c r="F57">
        <f ca="1">IFERROR(__xludf.DUMMYFUNCTION("""COMPUTED_VALUE"""),97.833)</f>
        <v>97.832999999999998</v>
      </c>
      <c r="G57">
        <f ca="1">IFERROR(__xludf.DUMMYFUNCTION("""COMPUTED_VALUE"""),13)</f>
        <v>13</v>
      </c>
      <c r="H57">
        <f ca="1">IFERROR(__xludf.DUMMYFUNCTION("""COMPUTED_VALUE"""),42)</f>
        <v>42</v>
      </c>
    </row>
    <row r="58" spans="1:8" ht="12.75">
      <c r="A58">
        <f ca="1">IFERROR(__xludf.DUMMYFUNCTION("""COMPUTED_VALUE"""),57)</f>
        <v>57</v>
      </c>
      <c r="B58" t="str">
        <f ca="1">IFERROR(__xludf.DUMMYFUNCTION("""COMPUTED_VALUE"""),"T59")</f>
        <v>T59</v>
      </c>
      <c r="C58" t="str">
        <f ca="1">IFERROR(__xludf.DUMMYFUNCTION("""COMPUTED_VALUE"""),"Michael Gellerman")</f>
        <v>Michael Gellerman</v>
      </c>
      <c r="D58">
        <f ca="1">IFERROR(__xludf.DUMMYFUNCTION("""COMPUTED_VALUE"""),5)</f>
        <v>5</v>
      </c>
      <c r="E58" t="str">
        <f ca="1">IFERROR(__xludf.DUMMYFUNCTION("""COMPUTED_VALUE"""),"7' 7""")</f>
        <v>7' 7"</v>
      </c>
      <c r="F58">
        <f ca="1">IFERROR(__xludf.DUMMYFUNCTION("""COMPUTED_VALUE"""),38)</f>
        <v>38</v>
      </c>
      <c r="G58">
        <f ca="1">IFERROR(__xludf.DUMMYFUNCTION("""COMPUTED_VALUE"""),5)</f>
        <v>5</v>
      </c>
      <c r="H58">
        <f ca="1">IFERROR(__xludf.DUMMYFUNCTION("""COMPUTED_VALUE"""),225)</f>
        <v>225</v>
      </c>
    </row>
    <row r="59" spans="1:8" ht="12.75">
      <c r="A59">
        <f ca="1">IFERROR(__xludf.DUMMYFUNCTION("""COMPUTED_VALUE"""),58)</f>
        <v>58</v>
      </c>
      <c r="B59" t="str">
        <f ca="1">IFERROR(__xludf.DUMMYFUNCTION("""COMPUTED_VALUE"""),"T67")</f>
        <v>T67</v>
      </c>
      <c r="C59" t="str">
        <f ca="1">IFERROR(__xludf.DUMMYFUNCTION("""COMPUTED_VALUE"""),"Luke List")</f>
        <v>Luke List</v>
      </c>
      <c r="D59">
        <f ca="1">IFERROR(__xludf.DUMMYFUNCTION("""COMPUTED_VALUE"""),18)</f>
        <v>18</v>
      </c>
      <c r="E59" t="str">
        <f ca="1">IFERROR(__xludf.DUMMYFUNCTION("""COMPUTED_VALUE"""),"7' 8""")</f>
        <v>7' 8"</v>
      </c>
      <c r="F59">
        <f ca="1">IFERROR(__xludf.DUMMYFUNCTION("""COMPUTED_VALUE"""),91.583)</f>
        <v>91.582999999999998</v>
      </c>
      <c r="G59">
        <f ca="1">IFERROR(__xludf.DUMMYFUNCTION("""COMPUTED_VALUE"""),12)</f>
        <v>12</v>
      </c>
      <c r="H59">
        <f ca="1">IFERROR(__xludf.DUMMYFUNCTION("""COMPUTED_VALUE"""),126)</f>
        <v>126</v>
      </c>
    </row>
    <row r="60" spans="1:8" ht="12.75">
      <c r="A60" t="str">
        <f ca="1">IFERROR(__xludf.DUMMYFUNCTION("""COMPUTED_VALUE"""),"T59")</f>
        <v>T59</v>
      </c>
      <c r="B60">
        <f ca="1">IFERROR(__xludf.DUMMYFUNCTION("""COMPUTED_VALUE"""),25)</f>
        <v>25</v>
      </c>
      <c r="C60" t="str">
        <f ca="1">IFERROR(__xludf.DUMMYFUNCTION("""COMPUTED_VALUE"""),"Camilo Villegas")</f>
        <v>Camilo Villegas</v>
      </c>
      <c r="D60">
        <f ca="1">IFERROR(__xludf.DUMMYFUNCTION("""COMPUTED_VALUE"""),14)</f>
        <v>14</v>
      </c>
      <c r="E60" t="str">
        <f ca="1">IFERROR(__xludf.DUMMYFUNCTION("""COMPUTED_VALUE"""),"7' 9""")</f>
        <v>7' 9"</v>
      </c>
      <c r="F60">
        <f ca="1">IFERROR(__xludf.DUMMYFUNCTION("""COMPUTED_VALUE"""),115.917)</f>
        <v>115.917</v>
      </c>
      <c r="G60">
        <f ca="1">IFERROR(__xludf.DUMMYFUNCTION("""COMPUTED_VALUE"""),15)</f>
        <v>15</v>
      </c>
      <c r="H60">
        <f ca="1">IFERROR(__xludf.DUMMYFUNCTION("""COMPUTED_VALUE"""),180)</f>
        <v>180</v>
      </c>
    </row>
    <row r="61" spans="1:8" ht="12.75">
      <c r="A61" t="str">
        <f ca="1">IFERROR(__xludf.DUMMYFUNCTION("""COMPUTED_VALUE"""),"T59")</f>
        <v>T59</v>
      </c>
      <c r="B61" t="str">
        <f ca="1">IFERROR(__xludf.DUMMYFUNCTION("""COMPUTED_VALUE"""),"T71")</f>
        <v>T71</v>
      </c>
      <c r="C61" t="str">
        <f ca="1">IFERROR(__xludf.DUMMYFUNCTION("""COMPUTED_VALUE"""),"Jimmy Walker")</f>
        <v>Jimmy Walker</v>
      </c>
      <c r="D61">
        <f ca="1">IFERROR(__xludf.DUMMYFUNCTION("""COMPUTED_VALUE"""),10)</f>
        <v>10</v>
      </c>
      <c r="E61" t="str">
        <f ca="1">IFERROR(__xludf.DUMMYFUNCTION("""COMPUTED_VALUE"""),"7' 9""")</f>
        <v>7' 9"</v>
      </c>
      <c r="F61">
        <f ca="1">IFERROR(__xludf.DUMMYFUNCTION("""COMPUTED_VALUE"""),85.667)</f>
        <v>85.667000000000002</v>
      </c>
      <c r="G61">
        <f ca="1">IFERROR(__xludf.DUMMYFUNCTION("""COMPUTED_VALUE"""),11)</f>
        <v>11</v>
      </c>
      <c r="H61">
        <f ca="1">IFERROR(__xludf.DUMMYFUNCTION("""COMPUTED_VALUE"""),233)</f>
        <v>233</v>
      </c>
    </row>
    <row r="62" spans="1:8" ht="12.75">
      <c r="A62" t="str">
        <f ca="1">IFERROR(__xludf.DUMMYFUNCTION("""COMPUTED_VALUE"""),"T59")</f>
        <v>T59</v>
      </c>
      <c r="B62" t="str">
        <f ca="1">IFERROR(__xludf.DUMMYFUNCTION("""COMPUTED_VALUE"""),"T64")</f>
        <v>T64</v>
      </c>
      <c r="C62" t="str">
        <f ca="1">IFERROR(__xludf.DUMMYFUNCTION("""COMPUTED_VALUE"""),"Bernd Wiesberger")</f>
        <v>Bernd Wiesberger</v>
      </c>
      <c r="D62">
        <f ca="1">IFERROR(__xludf.DUMMYFUNCTION("""COMPUTED_VALUE"""),4)</f>
        <v>4</v>
      </c>
      <c r="E62" t="str">
        <f ca="1">IFERROR(__xludf.DUMMYFUNCTION("""COMPUTED_VALUE"""),"7' 9""")</f>
        <v>7' 9"</v>
      </c>
      <c r="F62">
        <f ca="1">IFERROR(__xludf.DUMMYFUNCTION("""COMPUTED_VALUE"""),61.75)</f>
        <v>61.75</v>
      </c>
      <c r="G62">
        <f ca="1">IFERROR(__xludf.DUMMYFUNCTION("""COMPUTED_VALUE"""),8)</f>
        <v>8</v>
      </c>
      <c r="H62">
        <f ca="1">IFERROR(__xludf.DUMMYFUNCTION("""COMPUTED_VALUE"""),283)</f>
        <v>283</v>
      </c>
    </row>
    <row r="63" spans="1:8" ht="12.75">
      <c r="A63" t="str">
        <f ca="1">IFERROR(__xludf.DUMMYFUNCTION("""COMPUTED_VALUE"""),"T59")</f>
        <v>T59</v>
      </c>
      <c r="B63" t="str">
        <f ca="1">IFERROR(__xludf.DUMMYFUNCTION("""COMPUTED_VALUE"""),"T78")</f>
        <v>T78</v>
      </c>
      <c r="C63" t="str">
        <f ca="1">IFERROR(__xludf.DUMMYFUNCTION("""COMPUTED_VALUE"""),"Keegan Bradley")</f>
        <v>Keegan Bradley</v>
      </c>
      <c r="D63">
        <f ca="1">IFERROR(__xludf.DUMMYFUNCTION("""COMPUTED_VALUE"""),16)</f>
        <v>16</v>
      </c>
      <c r="E63" t="str">
        <f ca="1">IFERROR(__xludf.DUMMYFUNCTION("""COMPUTED_VALUE"""),"7' 9""")</f>
        <v>7' 9"</v>
      </c>
      <c r="F63">
        <f ca="1">IFERROR(__xludf.DUMMYFUNCTION("""COMPUTED_VALUE"""),77.25)</f>
        <v>77.25</v>
      </c>
      <c r="G63">
        <f ca="1">IFERROR(__xludf.DUMMYFUNCTION("""COMPUTED_VALUE"""),10)</f>
        <v>10</v>
      </c>
      <c r="H63">
        <f ca="1">IFERROR(__xludf.DUMMYFUNCTION("""COMPUTED_VALUE"""),194)</f>
        <v>194</v>
      </c>
    </row>
    <row r="64" spans="1:8" ht="12.75">
      <c r="A64" t="str">
        <f ca="1">IFERROR(__xludf.DUMMYFUNCTION("""COMPUTED_VALUE"""),"T63")</f>
        <v>T63</v>
      </c>
      <c r="B64" t="str">
        <f ca="1">IFERROR(__xludf.DUMMYFUNCTION("""COMPUTED_VALUE"""),"T67")</f>
        <v>T67</v>
      </c>
      <c r="C64" t="str">
        <f ca="1">IFERROR(__xludf.DUMMYFUNCTION("""COMPUTED_VALUE"""),"Pat Perez")</f>
        <v>Pat Perez</v>
      </c>
      <c r="D64">
        <f ca="1">IFERROR(__xludf.DUMMYFUNCTION("""COMPUTED_VALUE"""),16)</f>
        <v>16</v>
      </c>
      <c r="E64" t="str">
        <f ca="1">IFERROR(__xludf.DUMMYFUNCTION("""COMPUTED_VALUE"""),"7' 10""")</f>
        <v>7' 10"</v>
      </c>
      <c r="F64">
        <f ca="1">IFERROR(__xludf.DUMMYFUNCTION("""COMPUTED_VALUE"""),62.917)</f>
        <v>62.917000000000002</v>
      </c>
      <c r="G64">
        <f ca="1">IFERROR(__xludf.DUMMYFUNCTION("""COMPUTED_VALUE"""),8)</f>
        <v>8</v>
      </c>
      <c r="H64">
        <f ca="1">IFERROR(__xludf.DUMMYFUNCTION("""COMPUTED_VALUE"""),100)</f>
        <v>100</v>
      </c>
    </row>
    <row r="65" spans="1:8" ht="12.75">
      <c r="A65" t="str">
        <f ca="1">IFERROR(__xludf.DUMMYFUNCTION("""COMPUTED_VALUE"""),"T63")</f>
        <v>T63</v>
      </c>
      <c r="B65" t="str">
        <f ca="1">IFERROR(__xludf.DUMMYFUNCTION("""COMPUTED_VALUE"""),"T67")</f>
        <v>T67</v>
      </c>
      <c r="C65" t="str">
        <f ca="1">IFERROR(__xludf.DUMMYFUNCTION("""COMPUTED_VALUE"""),"Brian Gay")</f>
        <v>Brian Gay</v>
      </c>
      <c r="D65">
        <f ca="1">IFERROR(__xludf.DUMMYFUNCTION("""COMPUTED_VALUE"""),8)</f>
        <v>8</v>
      </c>
      <c r="E65" t="str">
        <f ca="1">IFERROR(__xludf.DUMMYFUNCTION("""COMPUTED_VALUE"""),"7' 10""")</f>
        <v>7' 10"</v>
      </c>
      <c r="F65">
        <f ca="1">IFERROR(__xludf.DUMMYFUNCTION("""COMPUTED_VALUE"""),39.167)</f>
        <v>39.167000000000002</v>
      </c>
      <c r="G65">
        <f ca="1">IFERROR(__xludf.DUMMYFUNCTION("""COMPUTED_VALUE"""),5)</f>
        <v>5</v>
      </c>
      <c r="H65">
        <f ca="1">IFERROR(__xludf.DUMMYFUNCTION("""COMPUTED_VALUE"""),181)</f>
        <v>181</v>
      </c>
    </row>
    <row r="66" spans="1:8" ht="12.75">
      <c r="A66" t="str">
        <f ca="1">IFERROR(__xludf.DUMMYFUNCTION("""COMPUTED_VALUE"""),"T63")</f>
        <v>T63</v>
      </c>
      <c r="B66" t="str">
        <f ca="1">IFERROR(__xludf.DUMMYFUNCTION("""COMPUTED_VALUE"""),"T67")</f>
        <v>T67</v>
      </c>
      <c r="C66" t="str">
        <f ca="1">IFERROR(__xludf.DUMMYFUNCTION("""COMPUTED_VALUE"""),"Harry Higgs")</f>
        <v>Harry Higgs</v>
      </c>
      <c r="D66">
        <f ca="1">IFERROR(__xludf.DUMMYFUNCTION("""COMPUTED_VALUE"""),14)</f>
        <v>14</v>
      </c>
      <c r="E66" t="str">
        <f ca="1">IFERROR(__xludf.DUMMYFUNCTION("""COMPUTED_VALUE"""),"7' 10""")</f>
        <v>7' 10"</v>
      </c>
      <c r="F66">
        <f ca="1">IFERROR(__xludf.DUMMYFUNCTION("""COMPUTED_VALUE"""),149.083)</f>
        <v>149.083</v>
      </c>
      <c r="G66">
        <f ca="1">IFERROR(__xludf.DUMMYFUNCTION("""COMPUTED_VALUE"""),19)</f>
        <v>19</v>
      </c>
      <c r="H66">
        <f ca="1">IFERROR(__xludf.DUMMYFUNCTION("""COMPUTED_VALUE"""),69)</f>
        <v>69</v>
      </c>
    </row>
    <row r="67" spans="1:8" ht="12.75">
      <c r="A67" t="str">
        <f ca="1">IFERROR(__xludf.DUMMYFUNCTION("""COMPUTED_VALUE"""),"T63")</f>
        <v>T63</v>
      </c>
      <c r="B67" t="str">
        <f ca="1">IFERROR(__xludf.DUMMYFUNCTION("""COMPUTED_VALUE"""),"T137")</f>
        <v>T137</v>
      </c>
      <c r="C67" t="str">
        <f ca="1">IFERROR(__xludf.DUMMYFUNCTION("""COMPUTED_VALUE"""),"Harold Varner III")</f>
        <v>Harold Varner III</v>
      </c>
      <c r="D67">
        <f ca="1">IFERROR(__xludf.DUMMYFUNCTION("""COMPUTED_VALUE"""),14)</f>
        <v>14</v>
      </c>
      <c r="E67" t="str">
        <f ca="1">IFERROR(__xludf.DUMMYFUNCTION("""COMPUTED_VALUE"""),"7' 10""")</f>
        <v>7' 10"</v>
      </c>
      <c r="F67">
        <f ca="1">IFERROR(__xludf.DUMMYFUNCTION("""COMPUTED_VALUE"""),101.333)</f>
        <v>101.333</v>
      </c>
      <c r="G67">
        <f ca="1">IFERROR(__xludf.DUMMYFUNCTION("""COMPUTED_VALUE"""),13)</f>
        <v>13</v>
      </c>
      <c r="H67">
        <f ca="1">IFERROR(__xludf.DUMMYFUNCTION("""COMPUTED_VALUE"""),111)</f>
        <v>111</v>
      </c>
    </row>
    <row r="68" spans="1:8" ht="12.75">
      <c r="A68" t="str">
        <f ca="1">IFERROR(__xludf.DUMMYFUNCTION("""COMPUTED_VALUE"""),"T63")</f>
        <v>T63</v>
      </c>
      <c r="B68" t="str">
        <f ca="1">IFERROR(__xludf.DUMMYFUNCTION("""COMPUTED_VALUE"""),"T49")</f>
        <v>T49</v>
      </c>
      <c r="C68" t="str">
        <f ca="1">IFERROR(__xludf.DUMMYFUNCTION("""COMPUTED_VALUE"""),"Cameron Davis")</f>
        <v>Cameron Davis</v>
      </c>
      <c r="D68">
        <f ca="1">IFERROR(__xludf.DUMMYFUNCTION("""COMPUTED_VALUE"""),16)</f>
        <v>16</v>
      </c>
      <c r="E68" t="str">
        <f ca="1">IFERROR(__xludf.DUMMYFUNCTION("""COMPUTED_VALUE"""),"7' 10""")</f>
        <v>7' 10"</v>
      </c>
      <c r="F68">
        <f ca="1">IFERROR(__xludf.DUMMYFUNCTION("""COMPUTED_VALUE"""),109.5)</f>
        <v>109.5</v>
      </c>
      <c r="G68">
        <f ca="1">IFERROR(__xludf.DUMMYFUNCTION("""COMPUTED_VALUE"""),14)</f>
        <v>14</v>
      </c>
      <c r="H68">
        <f ca="1">IFERROR(__xludf.DUMMYFUNCTION("""COMPUTED_VALUE"""),95)</f>
        <v>95</v>
      </c>
    </row>
    <row r="69" spans="1:8" ht="12.75">
      <c r="A69" t="str">
        <f ca="1">IFERROR(__xludf.DUMMYFUNCTION("""COMPUTED_VALUE"""),"T68")</f>
        <v>T68</v>
      </c>
      <c r="B69" t="str">
        <f ca="1">IFERROR(__xludf.DUMMYFUNCTION("""COMPUTED_VALUE"""),"T71")</f>
        <v>T71</v>
      </c>
      <c r="C69" t="str">
        <f ca="1">IFERROR(__xludf.DUMMYFUNCTION("""COMPUTED_VALUE"""),"Brandon Hagy")</f>
        <v>Brandon Hagy</v>
      </c>
      <c r="D69">
        <f ca="1">IFERROR(__xludf.DUMMYFUNCTION("""COMPUTED_VALUE"""),10)</f>
        <v>10</v>
      </c>
      <c r="E69" t="str">
        <f ca="1">IFERROR(__xludf.DUMMYFUNCTION("""COMPUTED_VALUE"""),"7' 11""")</f>
        <v>7' 11"</v>
      </c>
      <c r="F69">
        <f ca="1">IFERROR(__xludf.DUMMYFUNCTION("""COMPUTED_VALUE"""),86.917)</f>
        <v>86.917000000000002</v>
      </c>
      <c r="G69">
        <f ca="1">IFERROR(__xludf.DUMMYFUNCTION("""COMPUTED_VALUE"""),11)</f>
        <v>11</v>
      </c>
      <c r="H69">
        <f ca="1">IFERROR(__xludf.DUMMYFUNCTION("""COMPUTED_VALUE"""),194)</f>
        <v>194</v>
      </c>
    </row>
    <row r="70" spans="1:8" ht="12.75">
      <c r="A70" t="str">
        <f ca="1">IFERROR(__xludf.DUMMYFUNCTION("""COMPUTED_VALUE"""),"T68")</f>
        <v>T68</v>
      </c>
      <c r="B70" t="str">
        <f ca="1">IFERROR(__xludf.DUMMYFUNCTION("""COMPUTED_VALUE"""),"T71")</f>
        <v>T71</v>
      </c>
      <c r="C70" t="str">
        <f ca="1">IFERROR(__xludf.DUMMYFUNCTION("""COMPUTED_VALUE"""),"J.B. Holmes")</f>
        <v>J.B. Holmes</v>
      </c>
      <c r="D70">
        <f ca="1">IFERROR(__xludf.DUMMYFUNCTION("""COMPUTED_VALUE"""),10)</f>
        <v>10</v>
      </c>
      <c r="E70" t="str">
        <f ca="1">IFERROR(__xludf.DUMMYFUNCTION("""COMPUTED_VALUE"""),"7' 11""")</f>
        <v>7' 11"</v>
      </c>
      <c r="F70">
        <f ca="1">IFERROR(__xludf.DUMMYFUNCTION("""COMPUTED_VALUE"""),102.583)</f>
        <v>102.583</v>
      </c>
      <c r="G70">
        <f ca="1">IFERROR(__xludf.DUMMYFUNCTION("""COMPUTED_VALUE"""),13)</f>
        <v>13</v>
      </c>
      <c r="H70">
        <f ca="1">IFERROR(__xludf.DUMMYFUNCTION("""COMPUTED_VALUE"""),272)</f>
        <v>272</v>
      </c>
    </row>
    <row r="71" spans="1:8" ht="12.75">
      <c r="A71" t="str">
        <f ca="1">IFERROR(__xludf.DUMMYFUNCTION("""COMPUTED_VALUE"""),"T70")</f>
        <v>T70</v>
      </c>
      <c r="B71" t="str">
        <f ca="1">IFERROR(__xludf.DUMMYFUNCTION("""COMPUTED_VALUE"""),"T76")</f>
        <v>T76</v>
      </c>
      <c r="C71" t="str">
        <f ca="1">IFERROR(__xludf.DUMMYFUNCTION("""COMPUTED_VALUE"""),"Bubba Watson")</f>
        <v>Bubba Watson</v>
      </c>
      <c r="D71">
        <f ca="1">IFERROR(__xludf.DUMMYFUNCTION("""COMPUTED_VALUE"""),12)</f>
        <v>12</v>
      </c>
      <c r="E71" t="str">
        <f ca="1">IFERROR(__xludf.DUMMYFUNCTION("""COMPUTED_VALUE"""),"8' 0""")</f>
        <v>8' 0"</v>
      </c>
      <c r="F71">
        <f ca="1">IFERROR(__xludf.DUMMYFUNCTION("""COMPUTED_VALUE"""),56.167)</f>
        <v>56.167000000000002</v>
      </c>
      <c r="G71">
        <f ca="1">IFERROR(__xludf.DUMMYFUNCTION("""COMPUTED_VALUE"""),7)</f>
        <v>7</v>
      </c>
      <c r="H71">
        <f ca="1">IFERROR(__xludf.DUMMYFUNCTION("""COMPUTED_VALUE"""),131)</f>
        <v>131</v>
      </c>
    </row>
    <row r="72" spans="1:8" ht="12.75">
      <c r="A72" t="str">
        <f ca="1">IFERROR(__xludf.DUMMYFUNCTION("""COMPUTED_VALUE"""),"T70")</f>
        <v>T70</v>
      </c>
      <c r="B72">
        <f ca="1">IFERROR(__xludf.DUMMYFUNCTION("""COMPUTED_VALUE"""),13)</f>
        <v>13</v>
      </c>
      <c r="C72" t="str">
        <f ca="1">IFERROR(__xludf.DUMMYFUNCTION("""COMPUTED_VALUE"""),"Sean O'Hair")</f>
        <v>Sean O'Hair</v>
      </c>
      <c r="D72">
        <f ca="1">IFERROR(__xludf.DUMMYFUNCTION("""COMPUTED_VALUE"""),14)</f>
        <v>14</v>
      </c>
      <c r="E72" t="str">
        <f ca="1">IFERROR(__xludf.DUMMYFUNCTION("""COMPUTED_VALUE"""),"8' 0""")</f>
        <v>8' 0"</v>
      </c>
      <c r="F72">
        <f ca="1">IFERROR(__xludf.DUMMYFUNCTION("""COMPUTED_VALUE"""),64.25)</f>
        <v>64.25</v>
      </c>
      <c r="G72">
        <f ca="1">IFERROR(__xludf.DUMMYFUNCTION("""COMPUTED_VALUE"""),8)</f>
        <v>8</v>
      </c>
      <c r="H72">
        <f ca="1">IFERROR(__xludf.DUMMYFUNCTION("""COMPUTED_VALUE"""),219)</f>
        <v>219</v>
      </c>
    </row>
    <row r="73" spans="1:8" ht="12.75">
      <c r="A73" t="str">
        <f ca="1">IFERROR(__xludf.DUMMYFUNCTION("""COMPUTED_VALUE"""),"T70")</f>
        <v>T70</v>
      </c>
      <c r="B73" t="str">
        <f ca="1">IFERROR(__xludf.DUMMYFUNCTION("""COMPUTED_VALUE"""),"T64")</f>
        <v>T64</v>
      </c>
      <c r="C73" t="str">
        <f ca="1">IFERROR(__xludf.DUMMYFUNCTION("""COMPUTED_VALUE"""),"Brian Stuard")</f>
        <v>Brian Stuard</v>
      </c>
      <c r="D73">
        <f ca="1">IFERROR(__xludf.DUMMYFUNCTION("""COMPUTED_VALUE"""),18)</f>
        <v>18</v>
      </c>
      <c r="E73" t="str">
        <f ca="1">IFERROR(__xludf.DUMMYFUNCTION("""COMPUTED_VALUE"""),"8' 0""")</f>
        <v>8' 0"</v>
      </c>
      <c r="F73">
        <f ca="1">IFERROR(__xludf.DUMMYFUNCTION("""COMPUTED_VALUE"""),40.167)</f>
        <v>40.167000000000002</v>
      </c>
      <c r="G73">
        <f ca="1">IFERROR(__xludf.DUMMYFUNCTION("""COMPUTED_VALUE"""),5)</f>
        <v>5</v>
      </c>
      <c r="H73">
        <f ca="1">IFERROR(__xludf.DUMMYFUNCTION("""COMPUTED_VALUE"""),60)</f>
        <v>60</v>
      </c>
    </row>
    <row r="74" spans="1:8" ht="12.75">
      <c r="A74" t="str">
        <f ca="1">IFERROR(__xludf.DUMMYFUNCTION("""COMPUTED_VALUE"""),"T70")</f>
        <v>T70</v>
      </c>
      <c r="B74" t="str">
        <f ca="1">IFERROR(__xludf.DUMMYFUNCTION("""COMPUTED_VALUE"""),"T71")</f>
        <v>T71</v>
      </c>
      <c r="C74" t="str">
        <f ca="1">IFERROR(__xludf.DUMMYFUNCTION("""COMPUTED_VALUE"""),"Tyrrell Hatton")</f>
        <v>Tyrrell Hatton</v>
      </c>
      <c r="D74">
        <f ca="1">IFERROR(__xludf.DUMMYFUNCTION("""COMPUTED_VALUE"""),14)</f>
        <v>14</v>
      </c>
      <c r="E74" t="str">
        <f ca="1">IFERROR(__xludf.DUMMYFUNCTION("""COMPUTED_VALUE"""),"8' 0""")</f>
        <v>8' 0"</v>
      </c>
      <c r="F74">
        <f ca="1">IFERROR(__xludf.DUMMYFUNCTION("""COMPUTED_VALUE"""),79.917)</f>
        <v>79.917000000000002</v>
      </c>
      <c r="G74">
        <f ca="1">IFERROR(__xludf.DUMMYFUNCTION("""COMPUTED_VALUE"""),10)</f>
        <v>10</v>
      </c>
      <c r="H74">
        <f ca="1">IFERROR(__xludf.DUMMYFUNCTION("""COMPUTED_VALUE"""),189)</f>
        <v>189</v>
      </c>
    </row>
    <row r="75" spans="1:8" ht="12.75">
      <c r="A75">
        <f ca="1">IFERROR(__xludf.DUMMYFUNCTION("""COMPUTED_VALUE"""),74)</f>
        <v>74</v>
      </c>
      <c r="B75" t="str">
        <f ca="1">IFERROR(__xludf.DUMMYFUNCTION("""COMPUTED_VALUE"""),"T91")</f>
        <v>T91</v>
      </c>
      <c r="C75" t="str">
        <f ca="1">IFERROR(__xludf.DUMMYFUNCTION("""COMPUTED_VALUE"""),"Patrick Rodgers")</f>
        <v>Patrick Rodgers</v>
      </c>
      <c r="D75">
        <f ca="1">IFERROR(__xludf.DUMMYFUNCTION("""COMPUTED_VALUE"""),18)</f>
        <v>18</v>
      </c>
      <c r="E75" t="str">
        <f ca="1">IFERROR(__xludf.DUMMYFUNCTION("""COMPUTED_VALUE"""),"8' 1""")</f>
        <v>8' 1"</v>
      </c>
      <c r="F75">
        <f ca="1">IFERROR(__xludf.DUMMYFUNCTION("""COMPUTED_VALUE"""),32.417)</f>
        <v>32.417000000000002</v>
      </c>
      <c r="G75">
        <f ca="1">IFERROR(__xludf.DUMMYFUNCTION("""COMPUTED_VALUE"""),4)</f>
        <v>4</v>
      </c>
      <c r="H75">
        <f ca="1">IFERROR(__xludf.DUMMYFUNCTION("""COMPUTED_VALUE"""),205)</f>
        <v>205</v>
      </c>
    </row>
    <row r="76" spans="1:8" ht="12.75">
      <c r="A76" t="str">
        <f ca="1">IFERROR(__xludf.DUMMYFUNCTION("""COMPUTED_VALUE"""),"T75")</f>
        <v>T75</v>
      </c>
      <c r="B76" t="str">
        <f ca="1">IFERROR(__xludf.DUMMYFUNCTION("""COMPUTED_VALUE"""),"T59")</f>
        <v>T59</v>
      </c>
      <c r="C76" t="str">
        <f ca="1">IFERROR(__xludf.DUMMYFUNCTION("""COMPUTED_VALUE"""),"Beau Hossler")</f>
        <v>Beau Hossler</v>
      </c>
      <c r="D76">
        <f ca="1">IFERROR(__xludf.DUMMYFUNCTION("""COMPUTED_VALUE"""),22)</f>
        <v>22</v>
      </c>
      <c r="E76" t="str">
        <f ca="1">IFERROR(__xludf.DUMMYFUNCTION("""COMPUTED_VALUE"""),"8' 2""")</f>
        <v>8' 2"</v>
      </c>
      <c r="F76">
        <f ca="1">IFERROR(__xludf.DUMMYFUNCTION("""COMPUTED_VALUE"""),131.083)</f>
        <v>131.083</v>
      </c>
      <c r="G76">
        <f ca="1">IFERROR(__xludf.DUMMYFUNCTION("""COMPUTED_VALUE"""),16)</f>
        <v>16</v>
      </c>
      <c r="H76">
        <f ca="1">IFERROR(__xludf.DUMMYFUNCTION("""COMPUTED_VALUE"""),101)</f>
        <v>101</v>
      </c>
    </row>
    <row r="77" spans="1:8" ht="12.75">
      <c r="A77" t="str">
        <f ca="1">IFERROR(__xludf.DUMMYFUNCTION("""COMPUTED_VALUE"""),"T75")</f>
        <v>T75</v>
      </c>
      <c r="B77" t="str">
        <f ca="1">IFERROR(__xludf.DUMMYFUNCTION("""COMPUTED_VALUE"""),"T83")</f>
        <v>T83</v>
      </c>
      <c r="C77" t="str">
        <f ca="1">IFERROR(__xludf.DUMMYFUNCTION("""COMPUTED_VALUE"""),"Cameron Smith")</f>
        <v>Cameron Smith</v>
      </c>
      <c r="D77">
        <f ca="1">IFERROR(__xludf.DUMMYFUNCTION("""COMPUTED_VALUE"""),16)</f>
        <v>16</v>
      </c>
      <c r="E77" t="str">
        <f ca="1">IFERROR(__xludf.DUMMYFUNCTION("""COMPUTED_VALUE"""),"8' 2""")</f>
        <v>8' 2"</v>
      </c>
      <c r="F77">
        <f ca="1">IFERROR(__xludf.DUMMYFUNCTION("""COMPUTED_VALUE"""),205.167)</f>
        <v>205.167</v>
      </c>
      <c r="G77">
        <f ca="1">IFERROR(__xludf.DUMMYFUNCTION("""COMPUTED_VALUE"""),25)</f>
        <v>25</v>
      </c>
      <c r="H77">
        <f ca="1">IFERROR(__xludf.DUMMYFUNCTION("""COMPUTED_VALUE"""),117)</f>
        <v>117</v>
      </c>
    </row>
    <row r="78" spans="1:8" ht="12.75">
      <c r="A78" t="str">
        <f ca="1">IFERROR(__xludf.DUMMYFUNCTION("""COMPUTED_VALUE"""),"T75")</f>
        <v>T75</v>
      </c>
      <c r="B78" t="str">
        <f ca="1">IFERROR(__xludf.DUMMYFUNCTION("""COMPUTED_VALUE"""),"T83")</f>
        <v>T83</v>
      </c>
      <c r="C78" t="str">
        <f ca="1">IFERROR(__xludf.DUMMYFUNCTION("""COMPUTED_VALUE"""),"Robert Streb")</f>
        <v>Robert Streb</v>
      </c>
      <c r="D78">
        <f ca="1">IFERROR(__xludf.DUMMYFUNCTION("""COMPUTED_VALUE"""),12)</f>
        <v>12</v>
      </c>
      <c r="E78" t="str">
        <f ca="1">IFERROR(__xludf.DUMMYFUNCTION("""COMPUTED_VALUE"""),"8' 2""")</f>
        <v>8' 2"</v>
      </c>
      <c r="F78">
        <f ca="1">IFERROR(__xludf.DUMMYFUNCTION("""COMPUTED_VALUE"""),24.583)</f>
        <v>24.582999999999998</v>
      </c>
      <c r="G78">
        <f ca="1">IFERROR(__xludf.DUMMYFUNCTION("""COMPUTED_VALUE"""),3)</f>
        <v>3</v>
      </c>
      <c r="H78">
        <f ca="1">IFERROR(__xludf.DUMMYFUNCTION("""COMPUTED_VALUE"""),158)</f>
        <v>158</v>
      </c>
    </row>
    <row r="79" spans="1:8" ht="12.75">
      <c r="A79" t="str">
        <f ca="1">IFERROR(__xludf.DUMMYFUNCTION("""COMPUTED_VALUE"""),"T75")</f>
        <v>T75</v>
      </c>
      <c r="B79">
        <f ca="1">IFERROR(__xludf.DUMMYFUNCTION("""COMPUTED_VALUE"""),12)</f>
        <v>12</v>
      </c>
      <c r="C79" t="str">
        <f ca="1">IFERROR(__xludf.DUMMYFUNCTION("""COMPUTED_VALUE"""),"Chris Kirk")</f>
        <v>Chris Kirk</v>
      </c>
      <c r="D79">
        <f ca="1">IFERROR(__xludf.DUMMYFUNCTION("""COMPUTED_VALUE"""),10)</f>
        <v>10</v>
      </c>
      <c r="E79" t="str">
        <f ca="1">IFERROR(__xludf.DUMMYFUNCTION("""COMPUTED_VALUE"""),"8' 2""")</f>
        <v>8' 2"</v>
      </c>
      <c r="F79">
        <f ca="1">IFERROR(__xludf.DUMMYFUNCTION("""COMPUTED_VALUE"""),65)</f>
        <v>65</v>
      </c>
      <c r="G79">
        <f ca="1">IFERROR(__xludf.DUMMYFUNCTION("""COMPUTED_VALUE"""),8)</f>
        <v>8</v>
      </c>
      <c r="H79">
        <f ca="1">IFERROR(__xludf.DUMMYFUNCTION("""COMPUTED_VALUE"""),144)</f>
        <v>144</v>
      </c>
    </row>
    <row r="80" spans="1:8" ht="12.75">
      <c r="A80" t="str">
        <f ca="1">IFERROR(__xludf.DUMMYFUNCTION("""COMPUTED_VALUE"""),"T79")</f>
        <v>T79</v>
      </c>
      <c r="B80">
        <f ca="1">IFERROR(__xludf.DUMMYFUNCTION("""COMPUTED_VALUE"""),45)</f>
        <v>45</v>
      </c>
      <c r="C80" t="str">
        <f ca="1">IFERROR(__xludf.DUMMYFUNCTION("""COMPUTED_VALUE"""),"Dustin Johnson")</f>
        <v>Dustin Johnson</v>
      </c>
      <c r="D80">
        <f ca="1">IFERROR(__xludf.DUMMYFUNCTION("""COMPUTED_VALUE"""),8)</f>
        <v>8</v>
      </c>
      <c r="E80" t="str">
        <f ca="1">IFERROR(__xludf.DUMMYFUNCTION("""COMPUTED_VALUE"""),"8' 3""")</f>
        <v>8' 3"</v>
      </c>
      <c r="F80">
        <f ca="1">IFERROR(__xludf.DUMMYFUNCTION("""COMPUTED_VALUE"""),58)</f>
        <v>58</v>
      </c>
      <c r="G80">
        <f ca="1">IFERROR(__xludf.DUMMYFUNCTION("""COMPUTED_VALUE"""),7)</f>
        <v>7</v>
      </c>
      <c r="H80">
        <f ca="1">IFERROR(__xludf.DUMMYFUNCTION("""COMPUTED_VALUE"""),198)</f>
        <v>198</v>
      </c>
    </row>
    <row r="81" spans="1:8" ht="12.75">
      <c r="A81" t="str">
        <f ca="1">IFERROR(__xludf.DUMMYFUNCTION("""COMPUTED_VALUE"""),"T79")</f>
        <v>T79</v>
      </c>
      <c r="B81">
        <f ca="1">IFERROR(__xludf.DUMMYFUNCTION("""COMPUTED_VALUE"""),86)</f>
        <v>86</v>
      </c>
      <c r="C81" t="str">
        <f ca="1">IFERROR(__xludf.DUMMYFUNCTION("""COMPUTED_VALUE"""),"Phil Mickelson")</f>
        <v>Phil Mickelson</v>
      </c>
      <c r="D81">
        <f ca="1">IFERROR(__xludf.DUMMYFUNCTION("""COMPUTED_VALUE"""),12)</f>
        <v>12</v>
      </c>
      <c r="E81" t="str">
        <f ca="1">IFERROR(__xludf.DUMMYFUNCTION("""COMPUTED_VALUE"""),"8' 3""")</f>
        <v>8' 3"</v>
      </c>
      <c r="F81">
        <f ca="1">IFERROR(__xludf.DUMMYFUNCTION("""COMPUTED_VALUE"""),165.5)</f>
        <v>165.5</v>
      </c>
      <c r="G81">
        <f ca="1">IFERROR(__xludf.DUMMYFUNCTION("""COMPUTED_VALUE"""),20)</f>
        <v>20</v>
      </c>
      <c r="H81">
        <f ca="1">IFERROR(__xludf.DUMMYFUNCTION("""COMPUTED_VALUE"""),220)</f>
        <v>220</v>
      </c>
    </row>
    <row r="82" spans="1:8" ht="12.75">
      <c r="A82" t="str">
        <f ca="1">IFERROR(__xludf.DUMMYFUNCTION("""COMPUTED_VALUE"""),"T79")</f>
        <v>T79</v>
      </c>
      <c r="B82" t="str">
        <f ca="1">IFERROR(__xludf.DUMMYFUNCTION("""COMPUTED_VALUE"""),"")</f>
        <v/>
      </c>
      <c r="C82" t="str">
        <f ca="1">IFERROR(__xludf.DUMMYFUNCTION("""COMPUTED_VALUE"""),"Francesco Molinari")</f>
        <v>Francesco Molinari</v>
      </c>
      <c r="D82">
        <f ca="1">IFERROR(__xludf.DUMMYFUNCTION("""COMPUTED_VALUE"""),6)</f>
        <v>6</v>
      </c>
      <c r="E82" t="str">
        <f ca="1">IFERROR(__xludf.DUMMYFUNCTION("""COMPUTED_VALUE"""),"8' 3""")</f>
        <v>8' 3"</v>
      </c>
      <c r="F82">
        <f ca="1">IFERROR(__xludf.DUMMYFUNCTION("""COMPUTED_VALUE"""),49.583)</f>
        <v>49.582999999999998</v>
      </c>
      <c r="G82">
        <f ca="1">IFERROR(__xludf.DUMMYFUNCTION("""COMPUTED_VALUE"""),6)</f>
        <v>6</v>
      </c>
      <c r="H82">
        <f ca="1">IFERROR(__xludf.DUMMYFUNCTION("""COMPUTED_VALUE"""),29)</f>
        <v>29</v>
      </c>
    </row>
    <row r="83" spans="1:8" ht="12.75">
      <c r="A83" t="str">
        <f ca="1">IFERROR(__xludf.DUMMYFUNCTION("""COMPUTED_VALUE"""),"T79")</f>
        <v>T79</v>
      </c>
      <c r="B83" t="str">
        <f ca="1">IFERROR(__xludf.DUMMYFUNCTION("""COMPUTED_VALUE"""),"T112")</f>
        <v>T112</v>
      </c>
      <c r="C83" t="str">
        <f ca="1">IFERROR(__xludf.DUMMYFUNCTION("""COMPUTED_VALUE"""),"D.A. Points")</f>
        <v>D.A. Points</v>
      </c>
      <c r="D83">
        <f ca="1">IFERROR(__xludf.DUMMYFUNCTION("""COMPUTED_VALUE"""),12)</f>
        <v>12</v>
      </c>
      <c r="E83" t="str">
        <f ca="1">IFERROR(__xludf.DUMMYFUNCTION("""COMPUTED_VALUE"""),"8' 3""")</f>
        <v>8' 3"</v>
      </c>
      <c r="F83">
        <f ca="1">IFERROR(__xludf.DUMMYFUNCTION("""COMPUTED_VALUE"""),74.583)</f>
        <v>74.582999999999998</v>
      </c>
      <c r="G83">
        <f ca="1">IFERROR(__xludf.DUMMYFUNCTION("""COMPUTED_VALUE"""),9)</f>
        <v>9</v>
      </c>
      <c r="H83">
        <f ca="1">IFERROR(__xludf.DUMMYFUNCTION("""COMPUTED_VALUE"""),39)</f>
        <v>39</v>
      </c>
    </row>
    <row r="84" spans="1:8" ht="12.75">
      <c r="A84" t="str">
        <f ca="1">IFERROR(__xludf.DUMMYFUNCTION("""COMPUTED_VALUE"""),"T83")</f>
        <v>T83</v>
      </c>
      <c r="B84" t="str">
        <f ca="1">IFERROR(__xludf.DUMMYFUNCTION("""COMPUTED_VALUE"""),"T87")</f>
        <v>T87</v>
      </c>
      <c r="C84" t="str">
        <f ca="1">IFERROR(__xludf.DUMMYFUNCTION("""COMPUTED_VALUE"""),"Aaron Baddeley")</f>
        <v>Aaron Baddeley</v>
      </c>
      <c r="D84">
        <f ca="1">IFERROR(__xludf.DUMMYFUNCTION("""COMPUTED_VALUE"""),8)</f>
        <v>8</v>
      </c>
      <c r="E84" t="str">
        <f ca="1">IFERROR(__xludf.DUMMYFUNCTION("""COMPUTED_VALUE"""),"8' 4""")</f>
        <v>8' 4"</v>
      </c>
      <c r="F84">
        <f ca="1">IFERROR(__xludf.DUMMYFUNCTION("""COMPUTED_VALUE"""),91.5)</f>
        <v>91.5</v>
      </c>
      <c r="G84">
        <f ca="1">IFERROR(__xludf.DUMMYFUNCTION("""COMPUTED_VALUE"""),11)</f>
        <v>11</v>
      </c>
      <c r="H84">
        <f ca="1">IFERROR(__xludf.DUMMYFUNCTION("""COMPUTED_VALUE"""),84)</f>
        <v>84</v>
      </c>
    </row>
    <row r="85" spans="1:8" ht="12.75">
      <c r="A85" t="str">
        <f ca="1">IFERROR(__xludf.DUMMYFUNCTION("""COMPUTED_VALUE"""),"T83")</f>
        <v>T83</v>
      </c>
      <c r="B85" t="str">
        <f ca="1">IFERROR(__xludf.DUMMYFUNCTION("""COMPUTED_VALUE"""),"T87")</f>
        <v>T87</v>
      </c>
      <c r="C85" t="str">
        <f ca="1">IFERROR(__xludf.DUMMYFUNCTION("""COMPUTED_VALUE"""),"Rhein Gibson")</f>
        <v>Rhein Gibson</v>
      </c>
      <c r="D85">
        <f ca="1">IFERROR(__xludf.DUMMYFUNCTION("""COMPUTED_VALUE"""),10)</f>
        <v>10</v>
      </c>
      <c r="E85" t="str">
        <f ca="1">IFERROR(__xludf.DUMMYFUNCTION("""COMPUTED_VALUE"""),"8' 4""")</f>
        <v>8' 4"</v>
      </c>
      <c r="F85">
        <f ca="1">IFERROR(__xludf.DUMMYFUNCTION("""COMPUTED_VALUE"""),41.75)</f>
        <v>41.75</v>
      </c>
      <c r="G85">
        <f ca="1">IFERROR(__xludf.DUMMYFUNCTION("""COMPUTED_VALUE"""),5)</f>
        <v>5</v>
      </c>
      <c r="H85">
        <f ca="1">IFERROR(__xludf.DUMMYFUNCTION("""COMPUTED_VALUE"""),108)</f>
        <v>108</v>
      </c>
    </row>
    <row r="86" spans="1:8" ht="12.75">
      <c r="A86" t="str">
        <f ca="1">IFERROR(__xludf.DUMMYFUNCTION("""COMPUTED_VALUE"""),"T83")</f>
        <v>T83</v>
      </c>
      <c r="B86" t="str">
        <f ca="1">IFERROR(__xludf.DUMMYFUNCTION("""COMPUTED_VALUE"""),"T98")</f>
        <v>T98</v>
      </c>
      <c r="C86" t="str">
        <f ca="1">IFERROR(__xludf.DUMMYFUNCTION("""COMPUTED_VALUE"""),"Kyoung-Hoon Lee")</f>
        <v>Kyoung-Hoon Lee</v>
      </c>
      <c r="D86">
        <f ca="1">IFERROR(__xludf.DUMMYFUNCTION("""COMPUTED_VALUE"""),20)</f>
        <v>20</v>
      </c>
      <c r="E86" t="str">
        <f ca="1">IFERROR(__xludf.DUMMYFUNCTION("""COMPUTED_VALUE"""),"8' 4""")</f>
        <v>8' 4"</v>
      </c>
      <c r="F86">
        <f ca="1">IFERROR(__xludf.DUMMYFUNCTION("""COMPUTED_VALUE"""),158.167)</f>
        <v>158.167</v>
      </c>
      <c r="G86">
        <f ca="1">IFERROR(__xludf.DUMMYFUNCTION("""COMPUTED_VALUE"""),19)</f>
        <v>19</v>
      </c>
      <c r="H86">
        <f ca="1">IFERROR(__xludf.DUMMYFUNCTION("""COMPUTED_VALUE"""),119)</f>
        <v>119</v>
      </c>
    </row>
    <row r="87" spans="1:8" ht="12.75">
      <c r="A87" t="str">
        <f ca="1">IFERROR(__xludf.DUMMYFUNCTION("""COMPUTED_VALUE"""),"T83")</f>
        <v>T83</v>
      </c>
      <c r="B87" t="str">
        <f ca="1">IFERROR(__xludf.DUMMYFUNCTION("""COMPUTED_VALUE"""),"T87")</f>
        <v>T87</v>
      </c>
      <c r="C87" t="str">
        <f ca="1">IFERROR(__xludf.DUMMYFUNCTION("""COMPUTED_VALUE"""),"Patrick Cantlay")</f>
        <v>Patrick Cantlay</v>
      </c>
      <c r="D87">
        <f ca="1">IFERROR(__xludf.DUMMYFUNCTION("""COMPUTED_VALUE"""),16)</f>
        <v>16</v>
      </c>
      <c r="E87" t="str">
        <f ca="1">IFERROR(__xludf.DUMMYFUNCTION("""COMPUTED_VALUE"""),"8' 4""")</f>
        <v>8' 4"</v>
      </c>
      <c r="F87">
        <f ca="1">IFERROR(__xludf.DUMMYFUNCTION("""COMPUTED_VALUE"""),175.75)</f>
        <v>175.75</v>
      </c>
      <c r="G87">
        <f ca="1">IFERROR(__xludf.DUMMYFUNCTION("""COMPUTED_VALUE"""),21)</f>
        <v>21</v>
      </c>
      <c r="H87">
        <f ca="1">IFERROR(__xludf.DUMMYFUNCTION("""COMPUTED_VALUE"""),21)</f>
        <v>21</v>
      </c>
    </row>
    <row r="88" spans="1:8" ht="12.75">
      <c r="A88" t="str">
        <f ca="1">IFERROR(__xludf.DUMMYFUNCTION("""COMPUTED_VALUE"""),"T83")</f>
        <v>T83</v>
      </c>
      <c r="B88" t="str">
        <f ca="1">IFERROR(__xludf.DUMMYFUNCTION("""COMPUTED_VALUE"""),"T59")</f>
        <v>T59</v>
      </c>
      <c r="C88" t="str">
        <f ca="1">IFERROR(__xludf.DUMMYFUNCTION("""COMPUTED_VALUE"""),"Mark Hubbard")</f>
        <v>Mark Hubbard</v>
      </c>
      <c r="D88">
        <f ca="1">IFERROR(__xludf.DUMMYFUNCTION("""COMPUTED_VALUE"""),20)</f>
        <v>20</v>
      </c>
      <c r="E88" t="str">
        <f ca="1">IFERROR(__xludf.DUMMYFUNCTION("""COMPUTED_VALUE"""),"8' 4""")</f>
        <v>8' 4"</v>
      </c>
      <c r="F88">
        <f ca="1">IFERROR(__xludf.DUMMYFUNCTION("""COMPUTED_VALUE"""),233.083)</f>
        <v>233.083</v>
      </c>
      <c r="G88">
        <f ca="1">IFERROR(__xludf.DUMMYFUNCTION("""COMPUTED_VALUE"""),28)</f>
        <v>28</v>
      </c>
      <c r="H88">
        <f ca="1">IFERROR(__xludf.DUMMYFUNCTION("""COMPUTED_VALUE"""),156)</f>
        <v>156</v>
      </c>
    </row>
    <row r="89" spans="1:8" ht="12.75">
      <c r="A89" t="str">
        <f ca="1">IFERROR(__xludf.DUMMYFUNCTION("""COMPUTED_VALUE"""),"T83")</f>
        <v>T83</v>
      </c>
      <c r="B89" t="str">
        <f ca="1">IFERROR(__xludf.DUMMYFUNCTION("""COMPUTED_VALUE"""),"T83")</f>
        <v>T83</v>
      </c>
      <c r="C89" t="str">
        <f ca="1">IFERROR(__xludf.DUMMYFUNCTION("""COMPUTED_VALUE"""),"Tyler Duncan")</f>
        <v>Tyler Duncan</v>
      </c>
      <c r="D89">
        <f ca="1">IFERROR(__xludf.DUMMYFUNCTION("""COMPUTED_VALUE"""),18)</f>
        <v>18</v>
      </c>
      <c r="E89" t="str">
        <f ca="1">IFERROR(__xludf.DUMMYFUNCTION("""COMPUTED_VALUE"""),"8' 4""")</f>
        <v>8' 4"</v>
      </c>
      <c r="F89">
        <f ca="1">IFERROR(__xludf.DUMMYFUNCTION("""COMPUTED_VALUE"""),217.583)</f>
        <v>217.583</v>
      </c>
      <c r="G89">
        <f ca="1">IFERROR(__xludf.DUMMYFUNCTION("""COMPUTED_VALUE"""),26)</f>
        <v>26</v>
      </c>
      <c r="H89">
        <f ca="1">IFERROR(__xludf.DUMMYFUNCTION("""COMPUTED_VALUE"""),94)</f>
        <v>94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IFERROR(__xludf.DUMMYFUNCTION("""COMPUTED_VALUE"""),"T151")</f>
        <v>T151</v>
      </c>
      <c r="C90" t="str">
        <f ca="1">IFERROR(__xludf.DUMMYFUNCTION("""COMPUTED_VALUE"""),"Viktor Hovland")</f>
        <v>Viktor Hovland</v>
      </c>
      <c r="D90">
        <f ca="1">IFERROR(__xludf.DUMMYFUNCTION("""COMPUTED_VALUE"""),16)</f>
        <v>16</v>
      </c>
      <c r="E90" t="str">
        <f ca="1">IFERROR(__xludf.DUMMYFUNCTION("""COMPUTED_VALUE"""),"8' 5""")</f>
        <v>8' 5"</v>
      </c>
      <c r="F90">
        <f ca="1">IFERROR(__xludf.DUMMYFUNCTION("""COMPUTED_VALUE"""),152)</f>
        <v>152</v>
      </c>
      <c r="G90">
        <f ca="1">IFERROR(__xludf.DUMMYFUNCTION("""COMPUTED_VALUE"""),18)</f>
        <v>18</v>
      </c>
      <c r="H90">
        <f ca="1">IFERROR(__xludf.DUMMYFUNCTION("""COMPUTED_VALUE"""),183)</f>
        <v>183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IFERROR(__xludf.DUMMYFUNCTION("""COMPUTED_VALUE"""),"T91")</f>
        <v>T91</v>
      </c>
      <c r="C91" t="str">
        <f ca="1">IFERROR(__xludf.DUMMYFUNCTION("""COMPUTED_VALUE"""),"Kyle Stanley")</f>
        <v>Kyle Stanley</v>
      </c>
      <c r="D91">
        <f ca="1">IFERROR(__xludf.DUMMYFUNCTION("""COMPUTED_VALUE"""),16)</f>
        <v>16</v>
      </c>
      <c r="E91" t="str">
        <f ca="1">IFERROR(__xludf.DUMMYFUNCTION("""COMPUTED_VALUE"""),"8' 5""")</f>
        <v>8' 5"</v>
      </c>
      <c r="F91">
        <f ca="1">IFERROR(__xludf.DUMMYFUNCTION("""COMPUTED_VALUE"""),83.833)</f>
        <v>83.832999999999998</v>
      </c>
      <c r="G91">
        <f ca="1">IFERROR(__xludf.DUMMYFUNCTION("""COMPUTED_VALUE"""),10)</f>
        <v>10</v>
      </c>
      <c r="H91">
        <f ca="1">IFERROR(__xludf.DUMMYFUNCTION("""COMPUTED_VALUE"""),122)</f>
        <v>122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IFERROR(__xludf.DUMMYFUNCTION("""COMPUTED_VALUE"""),"T121")</f>
        <v>T121</v>
      </c>
      <c r="C92" t="str">
        <f ca="1">IFERROR(__xludf.DUMMYFUNCTION("""COMPUTED_VALUE"""),"Brian Harman")</f>
        <v>Brian Harman</v>
      </c>
      <c r="D92">
        <f ca="1">IFERROR(__xludf.DUMMYFUNCTION("""COMPUTED_VALUE"""),24)</f>
        <v>24</v>
      </c>
      <c r="E92" t="str">
        <f ca="1">IFERROR(__xludf.DUMMYFUNCTION("""COMPUTED_VALUE"""),"8' 5""")</f>
        <v>8' 5"</v>
      </c>
      <c r="F92">
        <f ca="1">IFERROR(__xludf.DUMMYFUNCTION("""COMPUTED_VALUE"""),176.917)</f>
        <v>176.917</v>
      </c>
      <c r="G92">
        <f ca="1">IFERROR(__xludf.DUMMYFUNCTION("""COMPUTED_VALUE"""),21)</f>
        <v>21</v>
      </c>
      <c r="H92">
        <f ca="1">IFERROR(__xludf.DUMMYFUNCTION("""COMPUTED_VALUE"""),97)</f>
        <v>97</v>
      </c>
    </row>
    <row r="93" spans="1:8" ht="12.75">
      <c r="A93" t="str">
        <f ca="1">IFERROR(__xludf.DUMMYFUNCTION("""COMPUTED_VALUE"""),"T92")</f>
        <v>T92</v>
      </c>
      <c r="B93" t="str">
        <f ca="1">IFERROR(__xludf.DUMMYFUNCTION("""COMPUTED_VALUE"""),"T128")</f>
        <v>T128</v>
      </c>
      <c r="C93" t="str">
        <f ca="1">IFERROR(__xludf.DUMMYFUNCTION("""COMPUTED_VALUE"""),"Nate Lashley")</f>
        <v>Nate Lashley</v>
      </c>
      <c r="D93">
        <f ca="1">IFERROR(__xludf.DUMMYFUNCTION("""COMPUTED_VALUE"""),16)</f>
        <v>16</v>
      </c>
      <c r="E93" t="str">
        <f ca="1">IFERROR(__xludf.DUMMYFUNCTION("""COMPUTED_VALUE"""),"8' 6""")</f>
        <v>8' 6"</v>
      </c>
      <c r="F93">
        <f ca="1">IFERROR(__xludf.DUMMYFUNCTION("""COMPUTED_VALUE"""),85.167)</f>
        <v>85.167000000000002</v>
      </c>
      <c r="G93">
        <f ca="1">IFERROR(__xludf.DUMMYFUNCTION("""COMPUTED_VALUE"""),10)</f>
        <v>10</v>
      </c>
      <c r="H93">
        <f ca="1">IFERROR(__xludf.DUMMYFUNCTION("""COMPUTED_VALUE"""),40)</f>
        <v>40</v>
      </c>
    </row>
    <row r="94" spans="1:8" ht="12.75">
      <c r="A94" t="str">
        <f ca="1">IFERROR(__xludf.DUMMYFUNCTION("""COMPUTED_VALUE"""),"T92")</f>
        <v>T92</v>
      </c>
      <c r="B94" t="str">
        <f ca="1">IFERROR(__xludf.DUMMYFUNCTION("""COMPUTED_VALUE"""),"T94")</f>
        <v>T94</v>
      </c>
      <c r="C94" t="str">
        <f ca="1">IFERROR(__xludf.DUMMYFUNCTION("""COMPUTED_VALUE"""),"Rob Oppenheim")</f>
        <v>Rob Oppenheim</v>
      </c>
      <c r="D94">
        <f ca="1">IFERROR(__xludf.DUMMYFUNCTION("""COMPUTED_VALUE"""),16)</f>
        <v>16</v>
      </c>
      <c r="E94" t="str">
        <f ca="1">IFERROR(__xludf.DUMMYFUNCTION("""COMPUTED_VALUE"""),"8' 6""")</f>
        <v>8' 6"</v>
      </c>
      <c r="F94">
        <f ca="1">IFERROR(__xludf.DUMMYFUNCTION("""COMPUTED_VALUE"""),136.167)</f>
        <v>136.167</v>
      </c>
      <c r="G94">
        <f ca="1">IFERROR(__xludf.DUMMYFUNCTION("""COMPUTED_VALUE"""),16)</f>
        <v>16</v>
      </c>
      <c r="H94">
        <f ca="1">IFERROR(__xludf.DUMMYFUNCTION("""COMPUTED_VALUE"""),58)</f>
        <v>58</v>
      </c>
    </row>
    <row r="95" spans="1:8" ht="12.75">
      <c r="A95" t="str">
        <f ca="1">IFERROR(__xludf.DUMMYFUNCTION("""COMPUTED_VALUE"""),"T92")</f>
        <v>T92</v>
      </c>
      <c r="B95" t="str">
        <f ca="1">IFERROR(__xludf.DUMMYFUNCTION("""COMPUTED_VALUE"""),"T94")</f>
        <v>T94</v>
      </c>
      <c r="C95" t="str">
        <f ca="1">IFERROR(__xludf.DUMMYFUNCTION("""COMPUTED_VALUE"""),"Tommy Fleetwood")</f>
        <v>Tommy Fleetwood</v>
      </c>
      <c r="D95">
        <f ca="1">IFERROR(__xludf.DUMMYFUNCTION("""COMPUTED_VALUE"""),10)</f>
        <v>10</v>
      </c>
      <c r="E95" t="str">
        <f ca="1">IFERROR(__xludf.DUMMYFUNCTION("""COMPUTED_VALUE"""),"8' 6""")</f>
        <v>8' 6"</v>
      </c>
      <c r="F95">
        <f ca="1">IFERROR(__xludf.DUMMYFUNCTION("""COMPUTED_VALUE"""),93.417)</f>
        <v>93.417000000000002</v>
      </c>
      <c r="G95">
        <f ca="1">IFERROR(__xludf.DUMMYFUNCTION("""COMPUTED_VALUE"""),11)</f>
        <v>11</v>
      </c>
      <c r="H95">
        <f ca="1">IFERROR(__xludf.DUMMYFUNCTION("""COMPUTED_VALUE"""),248)</f>
        <v>248</v>
      </c>
    </row>
    <row r="96" spans="1:8" ht="12.75">
      <c r="A96" t="str">
        <f ca="1">IFERROR(__xludf.DUMMYFUNCTION("""COMPUTED_VALUE"""),"T92")</f>
        <v>T92</v>
      </c>
      <c r="B96" t="str">
        <f ca="1">IFERROR(__xludf.DUMMYFUNCTION("""COMPUTED_VALUE"""),"T94")</f>
        <v>T94</v>
      </c>
      <c r="C96" t="str">
        <f ca="1">IFERROR(__xludf.DUMMYFUNCTION("""COMPUTED_VALUE"""),"Bill Haas")</f>
        <v>Bill Haas</v>
      </c>
      <c r="D96">
        <f ca="1">IFERROR(__xludf.DUMMYFUNCTION("""COMPUTED_VALUE"""),10)</f>
        <v>10</v>
      </c>
      <c r="E96" t="str">
        <f ca="1">IFERROR(__xludf.DUMMYFUNCTION("""COMPUTED_VALUE"""),"8' 6""")</f>
        <v>8' 6"</v>
      </c>
      <c r="F96">
        <f ca="1">IFERROR(__xludf.DUMMYFUNCTION("""COMPUTED_VALUE"""),93.083)</f>
        <v>93.082999999999998</v>
      </c>
      <c r="G96">
        <f ca="1">IFERROR(__xludf.DUMMYFUNCTION("""COMPUTED_VALUE"""),11)</f>
        <v>11</v>
      </c>
      <c r="H96">
        <f ca="1">IFERROR(__xludf.DUMMYFUNCTION("""COMPUTED_VALUE"""),19)</f>
        <v>19</v>
      </c>
    </row>
    <row r="97" spans="1:8" ht="12.75">
      <c r="A97" t="str">
        <f ca="1">IFERROR(__xludf.DUMMYFUNCTION("""COMPUTED_VALUE"""),"T92")</f>
        <v>T92</v>
      </c>
      <c r="B97" t="str">
        <f ca="1">IFERROR(__xludf.DUMMYFUNCTION("""COMPUTED_VALUE"""),"T91")</f>
        <v>T91</v>
      </c>
      <c r="C97" t="str">
        <f ca="1">IFERROR(__xludf.DUMMYFUNCTION("""COMPUTED_VALUE"""),"Kevin Streelman")</f>
        <v>Kevin Streelman</v>
      </c>
      <c r="D97">
        <f ca="1">IFERROR(__xludf.DUMMYFUNCTION("""COMPUTED_VALUE"""),18)</f>
        <v>18</v>
      </c>
      <c r="E97" t="str">
        <f ca="1">IFERROR(__xludf.DUMMYFUNCTION("""COMPUTED_VALUE"""),"8' 6""")</f>
        <v>8' 6"</v>
      </c>
      <c r="F97">
        <f ca="1">IFERROR(__xludf.DUMMYFUNCTION("""COMPUTED_VALUE"""),144)</f>
        <v>144</v>
      </c>
      <c r="G97">
        <f ca="1">IFERROR(__xludf.DUMMYFUNCTION("""COMPUTED_VALUE"""),17)</f>
        <v>17</v>
      </c>
      <c r="H97">
        <f ca="1">IFERROR(__xludf.DUMMYFUNCTION("""COMPUTED_VALUE"""),121)</f>
        <v>121</v>
      </c>
    </row>
    <row r="98" spans="1:8" ht="12.75">
      <c r="A98" t="str">
        <f ca="1">IFERROR(__xludf.DUMMYFUNCTION("""COMPUTED_VALUE"""),"T92")</f>
        <v>T92</v>
      </c>
      <c r="B98" t="str">
        <f ca="1">IFERROR(__xludf.DUMMYFUNCTION("""COMPUTED_VALUE"""),"T115")</f>
        <v>T115</v>
      </c>
      <c r="C98" t="str">
        <f ca="1">IFERROR(__xludf.DUMMYFUNCTION("""COMPUTED_VALUE"""),"Michael Kim")</f>
        <v>Michael Kim</v>
      </c>
      <c r="D98">
        <f ca="1">IFERROR(__xludf.DUMMYFUNCTION("""COMPUTED_VALUE"""),12)</f>
        <v>12</v>
      </c>
      <c r="E98" t="str">
        <f ca="1">IFERROR(__xludf.DUMMYFUNCTION("""COMPUTED_VALUE"""),"8' 6""")</f>
        <v>8' 6"</v>
      </c>
      <c r="F98">
        <f ca="1">IFERROR(__xludf.DUMMYFUNCTION("""COMPUTED_VALUE"""),110.667)</f>
        <v>110.667</v>
      </c>
      <c r="G98">
        <f ca="1">IFERROR(__xludf.DUMMYFUNCTION("""COMPUTED_VALUE"""),13)</f>
        <v>13</v>
      </c>
      <c r="H98">
        <f ca="1">IFERROR(__xludf.DUMMYFUNCTION("""COMPUTED_VALUE"""),137)</f>
        <v>137</v>
      </c>
    </row>
    <row r="99" spans="1:8" ht="12.75">
      <c r="A99" t="str">
        <f ca="1">IFERROR(__xludf.DUMMYFUNCTION("""COMPUTED_VALUE"""),"T98")</f>
        <v>T98</v>
      </c>
      <c r="B99" t="str">
        <f ca="1">IFERROR(__xludf.DUMMYFUNCTION("""COMPUTED_VALUE"""),"T98")</f>
        <v>T98</v>
      </c>
      <c r="C99" t="str">
        <f ca="1">IFERROR(__xludf.DUMMYFUNCTION("""COMPUTED_VALUE"""),"Wes Roach")</f>
        <v>Wes Roach</v>
      </c>
      <c r="D99">
        <f ca="1">IFERROR(__xludf.DUMMYFUNCTION("""COMPUTED_VALUE"""),6)</f>
        <v>6</v>
      </c>
      <c r="E99" t="str">
        <f ca="1">IFERROR(__xludf.DUMMYFUNCTION("""COMPUTED_VALUE"""),"8' 7""")</f>
        <v>8' 7"</v>
      </c>
      <c r="F99">
        <f ca="1">IFERROR(__xludf.DUMMYFUNCTION("""COMPUTED_VALUE"""),25.75)</f>
        <v>25.75</v>
      </c>
      <c r="G99">
        <f ca="1">IFERROR(__xludf.DUMMYFUNCTION("""COMPUTED_VALUE"""),3)</f>
        <v>3</v>
      </c>
      <c r="H99">
        <f ca="1">IFERROR(__xludf.DUMMYFUNCTION("""COMPUTED_VALUE"""),235)</f>
        <v>235</v>
      </c>
    </row>
    <row r="100" spans="1:8" ht="12.75">
      <c r="A100" t="str">
        <f ca="1">IFERROR(__xludf.DUMMYFUNCTION("""COMPUTED_VALUE"""),"T98")</f>
        <v>T98</v>
      </c>
      <c r="B100" t="str">
        <f ca="1">IFERROR(__xludf.DUMMYFUNCTION("""COMPUTED_VALUE"""),"T87")</f>
        <v>T87</v>
      </c>
      <c r="C100" t="str">
        <f ca="1">IFERROR(__xludf.DUMMYFUNCTION("""COMPUTED_VALUE"""),"Tom Hoge")</f>
        <v>Tom Hoge</v>
      </c>
      <c r="D100">
        <f ca="1">IFERROR(__xludf.DUMMYFUNCTION("""COMPUTED_VALUE"""),22)</f>
        <v>22</v>
      </c>
      <c r="E100" t="str">
        <f ca="1">IFERROR(__xludf.DUMMYFUNCTION("""COMPUTED_VALUE"""),"8' 7""")</f>
        <v>8' 7"</v>
      </c>
      <c r="F100">
        <f ca="1">IFERROR(__xludf.DUMMYFUNCTION("""COMPUTED_VALUE"""),137.667)</f>
        <v>137.667</v>
      </c>
      <c r="G100">
        <f ca="1">IFERROR(__xludf.DUMMYFUNCTION("""COMPUTED_VALUE"""),16)</f>
        <v>16</v>
      </c>
      <c r="H100">
        <f ca="1">IFERROR(__xludf.DUMMYFUNCTION("""COMPUTED_VALUE"""),102)</f>
        <v>102</v>
      </c>
    </row>
    <row r="101" spans="1:8" ht="12.75">
      <c r="A101" t="str">
        <f ca="1">IFERROR(__xludf.DUMMYFUNCTION("""COMPUTED_VALUE"""),"T98")</f>
        <v>T98</v>
      </c>
      <c r="B101" t="str">
        <f ca="1">IFERROR(__xludf.DUMMYFUNCTION("""COMPUTED_VALUE"""),"T98")</f>
        <v>T98</v>
      </c>
      <c r="C101" t="str">
        <f ca="1">IFERROR(__xludf.DUMMYFUNCTION("""COMPUTED_VALUE"""),"Grayson Murray")</f>
        <v>Grayson Murray</v>
      </c>
      <c r="D101">
        <f ca="1">IFERROR(__xludf.DUMMYFUNCTION("""COMPUTED_VALUE"""),10)</f>
        <v>10</v>
      </c>
      <c r="E101" t="str">
        <f ca="1">IFERROR(__xludf.DUMMYFUNCTION("""COMPUTED_VALUE"""),"8' 7""")</f>
        <v>8' 7"</v>
      </c>
      <c r="F101">
        <f ca="1">IFERROR(__xludf.DUMMYFUNCTION("""COMPUTED_VALUE"""),86)</f>
        <v>86</v>
      </c>
      <c r="G101">
        <f ca="1">IFERROR(__xludf.DUMMYFUNCTION("""COMPUTED_VALUE"""),10)</f>
        <v>10</v>
      </c>
      <c r="H101">
        <f ca="1">IFERROR(__xludf.DUMMYFUNCTION("""COMPUTED_VALUE"""),270)</f>
        <v>270</v>
      </c>
    </row>
    <row r="102" spans="1:8" ht="12.75">
      <c r="A102" t="str">
        <f ca="1">IFERROR(__xludf.DUMMYFUNCTION("""COMPUTED_VALUE"""),"T98")</f>
        <v>T98</v>
      </c>
      <c r="B102" t="str">
        <f ca="1">IFERROR(__xludf.DUMMYFUNCTION("""COMPUTED_VALUE"""),"T98")</f>
        <v>T98</v>
      </c>
      <c r="C102" t="str">
        <f ca="1">IFERROR(__xludf.DUMMYFUNCTION("""COMPUTED_VALUE"""),"Harris English")</f>
        <v>Harris English</v>
      </c>
      <c r="D102">
        <f ca="1">IFERROR(__xludf.DUMMYFUNCTION("""COMPUTED_VALUE"""),14)</f>
        <v>14</v>
      </c>
      <c r="E102" t="str">
        <f ca="1">IFERROR(__xludf.DUMMYFUNCTION("""COMPUTED_VALUE"""),"8' 7""")</f>
        <v>8' 7"</v>
      </c>
      <c r="F102">
        <f ca="1">IFERROR(__xludf.DUMMYFUNCTION("""COMPUTED_VALUE"""),137.167)</f>
        <v>137.167</v>
      </c>
      <c r="G102">
        <f ca="1">IFERROR(__xludf.DUMMYFUNCTION("""COMPUTED_VALUE"""),16)</f>
        <v>16</v>
      </c>
      <c r="H102">
        <f ca="1">IFERROR(__xludf.DUMMYFUNCTION("""COMPUTED_VALUE"""),49)</f>
        <v>49</v>
      </c>
    </row>
    <row r="103" spans="1:8" ht="12.75">
      <c r="A103" t="str">
        <f ca="1">IFERROR(__xludf.DUMMYFUNCTION("""COMPUTED_VALUE"""),"T98")</f>
        <v>T98</v>
      </c>
      <c r="B103" t="str">
        <f ca="1">IFERROR(__xludf.DUMMYFUNCTION("""COMPUTED_VALUE"""),"T78")</f>
        <v>T78</v>
      </c>
      <c r="C103" t="str">
        <f ca="1">IFERROR(__xludf.DUMMYFUNCTION("""COMPUTED_VALUE"""),"Ted Potter, Jr.")</f>
        <v>Ted Potter, Jr.</v>
      </c>
      <c r="D103">
        <f ca="1">IFERROR(__xludf.DUMMYFUNCTION("""COMPUTED_VALUE"""),8)</f>
        <v>8</v>
      </c>
      <c r="E103" t="str">
        <f ca="1">IFERROR(__xludf.DUMMYFUNCTION("""COMPUTED_VALUE"""),"8' 7""")</f>
        <v>8' 7"</v>
      </c>
      <c r="F103">
        <f ca="1">IFERROR(__xludf.DUMMYFUNCTION("""COMPUTED_VALUE"""),68.75)</f>
        <v>68.75</v>
      </c>
      <c r="G103">
        <f ca="1">IFERROR(__xludf.DUMMYFUNCTION("""COMPUTED_VALUE"""),8)</f>
        <v>8</v>
      </c>
      <c r="H103">
        <f ca="1">IFERROR(__xludf.DUMMYFUNCTION("""COMPUTED_VALUE"""),133)</f>
        <v>133</v>
      </c>
    </row>
    <row r="104" spans="1:8" ht="12.75">
      <c r="A104" t="str">
        <f ca="1">IFERROR(__xludf.DUMMYFUNCTION("""COMPUTED_VALUE"""),"T98")</f>
        <v>T98</v>
      </c>
      <c r="B104" t="str">
        <f ca="1">IFERROR(__xludf.DUMMYFUNCTION("""COMPUTED_VALUE"""),"T98")</f>
        <v>T98</v>
      </c>
      <c r="C104" t="str">
        <f ca="1">IFERROR(__xludf.DUMMYFUNCTION("""COMPUTED_VALUE"""),"Jonathan Byrd")</f>
        <v>Jonathan Byrd</v>
      </c>
      <c r="D104">
        <f ca="1">IFERROR(__xludf.DUMMYFUNCTION("""COMPUTED_VALUE"""),14)</f>
        <v>14</v>
      </c>
      <c r="E104" t="str">
        <f ca="1">IFERROR(__xludf.DUMMYFUNCTION("""COMPUTED_VALUE"""),"8' 7""")</f>
        <v>8' 7"</v>
      </c>
      <c r="F104">
        <f ca="1">IFERROR(__xludf.DUMMYFUNCTION("""COMPUTED_VALUE"""),68.833)</f>
        <v>68.832999999999998</v>
      </c>
      <c r="G104">
        <f ca="1">IFERROR(__xludf.DUMMYFUNCTION("""COMPUTED_VALUE"""),8)</f>
        <v>8</v>
      </c>
      <c r="H104">
        <f ca="1">IFERROR(__xludf.DUMMYFUNCTION("""COMPUTED_VALUE"""),23)</f>
        <v>23</v>
      </c>
    </row>
    <row r="105" spans="1:8" ht="12.75">
      <c r="A105" t="str">
        <f ca="1">IFERROR(__xludf.DUMMYFUNCTION("""COMPUTED_VALUE"""),"T98")</f>
        <v>T98</v>
      </c>
      <c r="B105" t="str">
        <f ca="1">IFERROR(__xludf.DUMMYFUNCTION("""COMPUTED_VALUE"""),"T115")</f>
        <v>T115</v>
      </c>
      <c r="C105" t="str">
        <f ca="1">IFERROR(__xludf.DUMMYFUNCTION("""COMPUTED_VALUE"""),"Lucas Glover")</f>
        <v>Lucas Glover</v>
      </c>
      <c r="D105">
        <f ca="1">IFERROR(__xludf.DUMMYFUNCTION("""COMPUTED_VALUE"""),12)</f>
        <v>12</v>
      </c>
      <c r="E105" t="str">
        <f ca="1">IFERROR(__xludf.DUMMYFUNCTION("""COMPUTED_VALUE"""),"8' 7""")</f>
        <v>8' 7"</v>
      </c>
      <c r="F105">
        <f ca="1">IFERROR(__xludf.DUMMYFUNCTION("""COMPUTED_VALUE"""),103.333)</f>
        <v>103.333</v>
      </c>
      <c r="G105">
        <f ca="1">IFERROR(__xludf.DUMMYFUNCTION("""COMPUTED_VALUE"""),12)</f>
        <v>12</v>
      </c>
      <c r="H105">
        <f ca="1">IFERROR(__xludf.DUMMYFUNCTION("""COMPUTED_VALUE"""),249)</f>
        <v>249</v>
      </c>
    </row>
    <row r="106" spans="1:8" ht="12.75">
      <c r="A106" t="str">
        <f ca="1">IFERROR(__xludf.DUMMYFUNCTION("""COMPUTED_VALUE"""),"T105")</f>
        <v>T105</v>
      </c>
      <c r="B106" t="str">
        <f ca="1">IFERROR(__xludf.DUMMYFUNCTION("""COMPUTED_VALUE"""),"T142")</f>
        <v>T142</v>
      </c>
      <c r="C106" t="str">
        <f ca="1">IFERROR(__xludf.DUMMYFUNCTION("""COMPUTED_VALUE"""),"Kevin Stadler")</f>
        <v>Kevin Stadler</v>
      </c>
      <c r="D106">
        <f ca="1">IFERROR(__xludf.DUMMYFUNCTION("""COMPUTED_VALUE"""),8)</f>
        <v>8</v>
      </c>
      <c r="E106" t="str">
        <f ca="1">IFERROR(__xludf.DUMMYFUNCTION("""COMPUTED_VALUE"""),"8' 8""")</f>
        <v>8' 8"</v>
      </c>
      <c r="F106">
        <f ca="1">IFERROR(__xludf.DUMMYFUNCTION("""COMPUTED_VALUE"""),51.75)</f>
        <v>51.75</v>
      </c>
      <c r="G106">
        <f ca="1">IFERROR(__xludf.DUMMYFUNCTION("""COMPUTED_VALUE"""),6)</f>
        <v>6</v>
      </c>
      <c r="H106">
        <f ca="1">IFERROR(__xludf.DUMMYFUNCTION("""COMPUTED_VALUE"""),250)</f>
        <v>250</v>
      </c>
    </row>
    <row r="107" spans="1:8" ht="12.75">
      <c r="A107" t="str">
        <f ca="1">IFERROR(__xludf.DUMMYFUNCTION("""COMPUTED_VALUE"""),"T105")</f>
        <v>T105</v>
      </c>
      <c r="B107" t="str">
        <f ca="1">IFERROR(__xludf.DUMMYFUNCTION("""COMPUTED_VALUE"""),"T137")</f>
        <v>T137</v>
      </c>
      <c r="C107" t="str">
        <f ca="1">IFERROR(__xludf.DUMMYFUNCTION("""COMPUTED_VALUE"""),"Branden Grace")</f>
        <v>Branden Grace</v>
      </c>
      <c r="D107">
        <f ca="1">IFERROR(__xludf.DUMMYFUNCTION("""COMPUTED_VALUE"""),16)</f>
        <v>16</v>
      </c>
      <c r="E107" t="str">
        <f ca="1">IFERROR(__xludf.DUMMYFUNCTION("""COMPUTED_VALUE"""),"8' 8""")</f>
        <v>8' 8"</v>
      </c>
      <c r="F107">
        <f ca="1">IFERROR(__xludf.DUMMYFUNCTION("""COMPUTED_VALUE"""),147.25)</f>
        <v>147.25</v>
      </c>
      <c r="G107">
        <f ca="1">IFERROR(__xludf.DUMMYFUNCTION("""COMPUTED_VALUE"""),17)</f>
        <v>17</v>
      </c>
      <c r="H107">
        <f ca="1">IFERROR(__xludf.DUMMYFUNCTION("""COMPUTED_VALUE"""),246)</f>
        <v>246</v>
      </c>
    </row>
    <row r="108" spans="1:8" ht="12.75">
      <c r="A108" t="str">
        <f ca="1">IFERROR(__xludf.DUMMYFUNCTION("""COMPUTED_VALUE"""),"T105")</f>
        <v>T105</v>
      </c>
      <c r="B108" t="str">
        <f ca="1">IFERROR(__xludf.DUMMYFUNCTION("""COMPUTED_VALUE"""),"T124")</f>
        <v>T124</v>
      </c>
      <c r="C108" t="str">
        <f ca="1">IFERROR(__xludf.DUMMYFUNCTION("""COMPUTED_VALUE"""),"Robby Shelton")</f>
        <v>Robby Shelton</v>
      </c>
      <c r="D108">
        <f ca="1">IFERROR(__xludf.DUMMYFUNCTION("""COMPUTED_VALUE"""),14)</f>
        <v>14</v>
      </c>
      <c r="E108" t="str">
        <f ca="1">IFERROR(__xludf.DUMMYFUNCTION("""COMPUTED_VALUE"""),"8' 8""")</f>
        <v>8' 8"</v>
      </c>
      <c r="F108">
        <f ca="1">IFERROR(__xludf.DUMMYFUNCTION("""COMPUTED_VALUE"""),138.25)</f>
        <v>138.25</v>
      </c>
      <c r="G108">
        <f ca="1">IFERROR(__xludf.DUMMYFUNCTION("""COMPUTED_VALUE"""),16)</f>
        <v>16</v>
      </c>
      <c r="H108">
        <f ca="1">IFERROR(__xludf.DUMMYFUNCTION("""COMPUTED_VALUE"""),46)</f>
        <v>46</v>
      </c>
    </row>
    <row r="109" spans="1:8" ht="12.75">
      <c r="A109" t="str">
        <f ca="1">IFERROR(__xludf.DUMMYFUNCTION("""COMPUTED_VALUE"""),"T108")</f>
        <v>T108</v>
      </c>
      <c r="B109" t="str">
        <f ca="1">IFERROR(__xludf.DUMMYFUNCTION("""COMPUTED_VALUE"""),"T106")</f>
        <v>T106</v>
      </c>
      <c r="C109" t="str">
        <f ca="1">IFERROR(__xludf.DUMMYFUNCTION("""COMPUTED_VALUE"""),"Henrik Norlander")</f>
        <v>Henrik Norlander</v>
      </c>
      <c r="D109">
        <f ca="1">IFERROR(__xludf.DUMMYFUNCTION("""COMPUTED_VALUE"""),16)</f>
        <v>16</v>
      </c>
      <c r="E109" t="str">
        <f ca="1">IFERROR(__xludf.DUMMYFUNCTION("""COMPUTED_VALUE"""),"8' 9""")</f>
        <v>8' 9"</v>
      </c>
      <c r="F109">
        <f ca="1">IFERROR(__xludf.DUMMYFUNCTION("""COMPUTED_VALUE"""),149.25)</f>
        <v>149.25</v>
      </c>
      <c r="G109">
        <f ca="1">IFERROR(__xludf.DUMMYFUNCTION("""COMPUTED_VALUE"""),17)</f>
        <v>17</v>
      </c>
      <c r="H109">
        <f ca="1">IFERROR(__xludf.DUMMYFUNCTION("""COMPUTED_VALUE"""),256)</f>
        <v>256</v>
      </c>
    </row>
    <row r="110" spans="1:8" ht="12.75">
      <c r="A110" t="str">
        <f ca="1">IFERROR(__xludf.DUMMYFUNCTION("""COMPUTED_VALUE"""),"T108")</f>
        <v>T108</v>
      </c>
      <c r="B110" t="str">
        <f ca="1">IFERROR(__xludf.DUMMYFUNCTION("""COMPUTED_VALUE"""),"T124")</f>
        <v>T124</v>
      </c>
      <c r="C110" t="str">
        <f ca="1">IFERROR(__xludf.DUMMYFUNCTION("""COMPUTED_VALUE"""),"Jason Day")</f>
        <v>Jason Day</v>
      </c>
      <c r="D110">
        <f ca="1">IFERROR(__xludf.DUMMYFUNCTION("""COMPUTED_VALUE"""),17)</f>
        <v>17</v>
      </c>
      <c r="E110" t="str">
        <f ca="1">IFERROR(__xludf.DUMMYFUNCTION("""COMPUTED_VALUE"""),"8' 9""")</f>
        <v>8' 9"</v>
      </c>
      <c r="F110">
        <f ca="1">IFERROR(__xludf.DUMMYFUNCTION("""COMPUTED_VALUE"""),192.167)</f>
        <v>192.167</v>
      </c>
      <c r="G110">
        <f ca="1">IFERROR(__xludf.DUMMYFUNCTION("""COMPUTED_VALUE"""),22)</f>
        <v>22</v>
      </c>
      <c r="H110">
        <f ca="1">IFERROR(__xludf.DUMMYFUNCTION("""COMPUTED_VALUE"""),109)</f>
        <v>109</v>
      </c>
    </row>
    <row r="111" spans="1:8" ht="12.75">
      <c r="A111" t="str">
        <f ca="1">IFERROR(__xludf.DUMMYFUNCTION("""COMPUTED_VALUE"""),"T108")</f>
        <v>T108</v>
      </c>
      <c r="B111" t="str">
        <f ca="1">IFERROR(__xludf.DUMMYFUNCTION("""COMPUTED_VALUE"""),"T78")</f>
        <v>T78</v>
      </c>
      <c r="C111" t="str">
        <f ca="1">IFERROR(__xludf.DUMMYFUNCTION("""COMPUTED_VALUE"""),"Jhonattan Vegas")</f>
        <v>Jhonattan Vegas</v>
      </c>
      <c r="D111">
        <f ca="1">IFERROR(__xludf.DUMMYFUNCTION("""COMPUTED_VALUE"""),16)</f>
        <v>16</v>
      </c>
      <c r="E111" t="str">
        <f ca="1">IFERROR(__xludf.DUMMYFUNCTION("""COMPUTED_VALUE"""),"8' 9""")</f>
        <v>8' 9"</v>
      </c>
      <c r="F111">
        <f ca="1">IFERROR(__xludf.DUMMYFUNCTION("""COMPUTED_VALUE"""),149.167)</f>
        <v>149.167</v>
      </c>
      <c r="G111">
        <f ca="1">IFERROR(__xludf.DUMMYFUNCTION("""COMPUTED_VALUE"""),17)</f>
        <v>17</v>
      </c>
      <c r="H111">
        <f ca="1">IFERROR(__xludf.DUMMYFUNCTION("""COMPUTED_VALUE"""),245)</f>
        <v>245</v>
      </c>
    </row>
    <row r="112" spans="1:8" ht="12.75">
      <c r="A112" t="str">
        <f ca="1">IFERROR(__xludf.DUMMYFUNCTION("""COMPUTED_VALUE"""),"T111")</f>
        <v>T111</v>
      </c>
      <c r="B112" t="str">
        <f ca="1">IFERROR(__xludf.DUMMYFUNCTION("""COMPUTED_VALUE"""),"T106")</f>
        <v>T106</v>
      </c>
      <c r="C112" t="str">
        <f ca="1">IFERROR(__xludf.DUMMYFUNCTION("""COMPUTED_VALUE"""),"Patton Kizzire")</f>
        <v>Patton Kizzire</v>
      </c>
      <c r="D112">
        <f ca="1">IFERROR(__xludf.DUMMYFUNCTION("""COMPUTED_VALUE"""),18)</f>
        <v>18</v>
      </c>
      <c r="E112" t="str">
        <f ca="1">IFERROR(__xludf.DUMMYFUNCTION("""COMPUTED_VALUE"""),"8' 10""")</f>
        <v>8' 10"</v>
      </c>
      <c r="F112">
        <f ca="1">IFERROR(__xludf.DUMMYFUNCTION("""COMPUTED_VALUE"""),132.083)</f>
        <v>132.083</v>
      </c>
      <c r="G112">
        <f ca="1">IFERROR(__xludf.DUMMYFUNCTION("""COMPUTED_VALUE"""),15)</f>
        <v>15</v>
      </c>
      <c r="H112">
        <f ca="1">IFERROR(__xludf.DUMMYFUNCTION("""COMPUTED_VALUE"""),177)</f>
        <v>177</v>
      </c>
    </row>
    <row r="113" spans="1:8" ht="12.75">
      <c r="A113" t="str">
        <f ca="1">IFERROR(__xludf.DUMMYFUNCTION("""COMPUTED_VALUE"""),"T111")</f>
        <v>T111</v>
      </c>
      <c r="B113">
        <f ca="1">IFERROR(__xludf.DUMMYFUNCTION("""COMPUTED_VALUE"""),161)</f>
        <v>161</v>
      </c>
      <c r="C113" t="str">
        <f ca="1">IFERROR(__xludf.DUMMYFUNCTION("""COMPUTED_VALUE"""),"Aaron Wise")</f>
        <v>Aaron Wise</v>
      </c>
      <c r="D113">
        <f ca="1">IFERROR(__xludf.DUMMYFUNCTION("""COMPUTED_VALUE"""),16)</f>
        <v>16</v>
      </c>
      <c r="E113" t="str">
        <f ca="1">IFERROR(__xludf.DUMMYFUNCTION("""COMPUTED_VALUE"""),"8' 10""")</f>
        <v>8' 10"</v>
      </c>
      <c r="F113">
        <f ca="1">IFERROR(__xludf.DUMMYFUNCTION("""COMPUTED_VALUE"""),88.5)</f>
        <v>88.5</v>
      </c>
      <c r="G113">
        <f ca="1">IFERROR(__xludf.DUMMYFUNCTION("""COMPUTED_VALUE"""),10)</f>
        <v>10</v>
      </c>
      <c r="H113">
        <f ca="1">IFERROR(__xludf.DUMMYFUNCTION("""COMPUTED_VALUE"""),82)</f>
        <v>82</v>
      </c>
    </row>
    <row r="114" spans="1:8" ht="12.75">
      <c r="A114" t="str">
        <f ca="1">IFERROR(__xludf.DUMMYFUNCTION("""COMPUTED_VALUE"""),"T111")</f>
        <v>T111</v>
      </c>
      <c r="B114" t="str">
        <f ca="1">IFERROR(__xludf.DUMMYFUNCTION("""COMPUTED_VALUE"""),"T108")</f>
        <v>T108</v>
      </c>
      <c r="C114" t="str">
        <f ca="1">IFERROR(__xludf.DUMMYFUNCTION("""COMPUTED_VALUE"""),"Wyndham Clark")</f>
        <v>Wyndham Clark</v>
      </c>
      <c r="D114">
        <f ca="1">IFERROR(__xludf.DUMMYFUNCTION("""COMPUTED_VALUE"""),16)</f>
        <v>16</v>
      </c>
      <c r="E114" t="str">
        <f ca="1">IFERROR(__xludf.DUMMYFUNCTION("""COMPUTED_VALUE"""),"8' 10""")</f>
        <v>8' 10"</v>
      </c>
      <c r="F114">
        <f ca="1">IFERROR(__xludf.DUMMYFUNCTION("""COMPUTED_VALUE"""),167.667)</f>
        <v>167.667</v>
      </c>
      <c r="G114">
        <f ca="1">IFERROR(__xludf.DUMMYFUNCTION("""COMPUTED_VALUE"""),19)</f>
        <v>19</v>
      </c>
      <c r="H114">
        <f ca="1">IFERROR(__xludf.DUMMYFUNCTION("""COMPUTED_VALUE"""),50)</f>
        <v>50</v>
      </c>
    </row>
    <row r="115" spans="1:8" ht="12.75">
      <c r="A115" t="str">
        <f ca="1">IFERROR(__xludf.DUMMYFUNCTION("""COMPUTED_VALUE"""),"T111")</f>
        <v>T111</v>
      </c>
      <c r="B115" t="str">
        <f ca="1">IFERROR(__xludf.DUMMYFUNCTION("""COMPUTED_VALUE"""),"T108")</f>
        <v>T108</v>
      </c>
      <c r="C115" t="str">
        <f ca="1">IFERROR(__xludf.DUMMYFUNCTION("""COMPUTED_VALUE"""),"Mikumu Horikawa")</f>
        <v>Mikumu Horikawa</v>
      </c>
      <c r="D115">
        <f ca="1">IFERROR(__xludf.DUMMYFUNCTION("""COMPUTED_VALUE"""),4)</f>
        <v>4</v>
      </c>
      <c r="E115" t="str">
        <f ca="1">IFERROR(__xludf.DUMMYFUNCTION("""COMPUTED_VALUE"""),"8' 10""")</f>
        <v>8' 10"</v>
      </c>
      <c r="F115">
        <f ca="1">IFERROR(__xludf.DUMMYFUNCTION("""COMPUTED_VALUE"""),26.583)</f>
        <v>26.582999999999998</v>
      </c>
      <c r="G115">
        <f ca="1">IFERROR(__xludf.DUMMYFUNCTION("""COMPUTED_VALUE"""),3)</f>
        <v>3</v>
      </c>
      <c r="H115">
        <f ca="1">IFERROR(__xludf.DUMMYFUNCTION("""COMPUTED_VALUE"""),194)</f>
        <v>194</v>
      </c>
    </row>
    <row r="116" spans="1:8" ht="12.75">
      <c r="A116" t="str">
        <f ca="1">IFERROR(__xludf.DUMMYFUNCTION("""COMPUTED_VALUE"""),"T111")</f>
        <v>T111</v>
      </c>
      <c r="B116" t="str">
        <f ca="1">IFERROR(__xludf.DUMMYFUNCTION("""COMPUTED_VALUE"""),"T94")</f>
        <v>T94</v>
      </c>
      <c r="C116" t="str">
        <f ca="1">IFERROR(__xludf.DUMMYFUNCTION("""COMPUTED_VALUE"""),"Kristoffer Ventura")</f>
        <v>Kristoffer Ventura</v>
      </c>
      <c r="D116">
        <f ca="1">IFERROR(__xludf.DUMMYFUNCTION("""COMPUTED_VALUE"""),20)</f>
        <v>20</v>
      </c>
      <c r="E116" t="str">
        <f ca="1">IFERROR(__xludf.DUMMYFUNCTION("""COMPUTED_VALUE"""),"8' 10""")</f>
        <v>8' 10"</v>
      </c>
      <c r="F116">
        <f ca="1">IFERROR(__xludf.DUMMYFUNCTION("""COMPUTED_VALUE"""),176.583)</f>
        <v>176.583</v>
      </c>
      <c r="G116">
        <f ca="1">IFERROR(__xludf.DUMMYFUNCTION("""COMPUTED_VALUE"""),20)</f>
        <v>20</v>
      </c>
      <c r="H116">
        <f ca="1">IFERROR(__xludf.DUMMYFUNCTION("""COMPUTED_VALUE"""),116)</f>
        <v>116</v>
      </c>
    </row>
    <row r="117" spans="1:8" ht="12.75">
      <c r="A117" t="str">
        <f ca="1">IFERROR(__xludf.DUMMYFUNCTION("""COMPUTED_VALUE"""),"T116")</f>
        <v>T116</v>
      </c>
      <c r="B117" t="str">
        <f ca="1">IFERROR(__xludf.DUMMYFUNCTION("""COMPUTED_VALUE"""),"T112")</f>
        <v>T112</v>
      </c>
      <c r="C117" t="str">
        <f ca="1">IFERROR(__xludf.DUMMYFUNCTION("""COMPUTED_VALUE"""),"Byeong Hun An")</f>
        <v>Byeong Hun An</v>
      </c>
      <c r="D117">
        <f ca="1">IFERROR(__xludf.DUMMYFUNCTION("""COMPUTED_VALUE"""),14)</f>
        <v>14</v>
      </c>
      <c r="E117" t="str">
        <f ca="1">IFERROR(__xludf.DUMMYFUNCTION("""COMPUTED_VALUE"""),"8' 11""")</f>
        <v>8' 11"</v>
      </c>
      <c r="F117">
        <f ca="1">IFERROR(__xludf.DUMMYFUNCTION("""COMPUTED_VALUE"""),97.917)</f>
        <v>97.917000000000002</v>
      </c>
      <c r="G117">
        <f ca="1">IFERROR(__xludf.DUMMYFUNCTION("""COMPUTED_VALUE"""),11)</f>
        <v>11</v>
      </c>
      <c r="H117">
        <f ca="1">IFERROR(__xludf.DUMMYFUNCTION("""COMPUTED_VALUE"""),67)</f>
        <v>67</v>
      </c>
    </row>
    <row r="118" spans="1:8" ht="12.75">
      <c r="A118" t="str">
        <f ca="1">IFERROR(__xludf.DUMMYFUNCTION("""COMPUTED_VALUE"""),"T116")</f>
        <v>T116</v>
      </c>
      <c r="B118" t="str">
        <f ca="1">IFERROR(__xludf.DUMMYFUNCTION("""COMPUTED_VALUE"""),"T112")</f>
        <v>T112</v>
      </c>
      <c r="C118" t="str">
        <f ca="1">IFERROR(__xludf.DUMMYFUNCTION("""COMPUTED_VALUE"""),"Sahith Theegala")</f>
        <v>Sahith Theegala</v>
      </c>
      <c r="D118">
        <f ca="1">IFERROR(__xludf.DUMMYFUNCTION("""COMPUTED_VALUE"""),6)</f>
        <v>6</v>
      </c>
      <c r="E118" t="str">
        <f ca="1">IFERROR(__xludf.DUMMYFUNCTION("""COMPUTED_VALUE"""),"8' 11""")</f>
        <v>8' 11"</v>
      </c>
      <c r="F118">
        <f ca="1">IFERROR(__xludf.DUMMYFUNCTION("""COMPUTED_VALUE"""),88.833)</f>
        <v>88.832999999999998</v>
      </c>
      <c r="G118">
        <f ca="1">IFERROR(__xludf.DUMMYFUNCTION("""COMPUTED_VALUE"""),10)</f>
        <v>10</v>
      </c>
      <c r="H118">
        <f ca="1">IFERROR(__xludf.DUMMYFUNCTION("""COMPUTED_VALUE"""),10)</f>
        <v>10</v>
      </c>
    </row>
    <row r="119" spans="1:8" ht="12.75">
      <c r="A119" t="str">
        <f ca="1">IFERROR(__xludf.DUMMYFUNCTION("""COMPUTED_VALUE"""),"T116")</f>
        <v>T116</v>
      </c>
      <c r="B119">
        <f ca="1">IFERROR(__xludf.DUMMYFUNCTION("""COMPUTED_VALUE"""),63)</f>
        <v>63</v>
      </c>
      <c r="C119" t="str">
        <f ca="1">IFERROR(__xludf.DUMMYFUNCTION("""COMPUTED_VALUE"""),"Emiliano Grillo")</f>
        <v>Emiliano Grillo</v>
      </c>
      <c r="D119">
        <f ca="1">IFERROR(__xludf.DUMMYFUNCTION("""COMPUTED_VALUE"""),22)</f>
        <v>22</v>
      </c>
      <c r="E119" t="str">
        <f ca="1">IFERROR(__xludf.DUMMYFUNCTION("""COMPUTED_VALUE"""),"8' 11""")</f>
        <v>8' 11"</v>
      </c>
      <c r="F119">
        <f ca="1">IFERROR(__xludf.DUMMYFUNCTION("""COMPUTED_VALUE"""),98.5)</f>
        <v>98.5</v>
      </c>
      <c r="G119">
        <f ca="1">IFERROR(__xludf.DUMMYFUNCTION("""COMPUTED_VALUE"""),11)</f>
        <v>11</v>
      </c>
      <c r="H119">
        <f ca="1">IFERROR(__xludf.DUMMYFUNCTION("""COMPUTED_VALUE"""),64)</f>
        <v>64</v>
      </c>
    </row>
    <row r="120" spans="1:8" ht="12.75">
      <c r="A120" t="str">
        <f ca="1">IFERROR(__xludf.DUMMYFUNCTION("""COMPUTED_VALUE"""),"T116")</f>
        <v>T116</v>
      </c>
      <c r="B120" t="str">
        <f ca="1">IFERROR(__xludf.DUMMYFUNCTION("""COMPUTED_VALUE"""),"T142")</f>
        <v>T142</v>
      </c>
      <c r="C120" t="str">
        <f ca="1">IFERROR(__xludf.DUMMYFUNCTION("""COMPUTED_VALUE"""),"Charley Hoffman")</f>
        <v>Charley Hoffman</v>
      </c>
      <c r="D120">
        <f ca="1">IFERROR(__xludf.DUMMYFUNCTION("""COMPUTED_VALUE"""),20)</f>
        <v>20</v>
      </c>
      <c r="E120" t="str">
        <f ca="1">IFERROR(__xludf.DUMMYFUNCTION("""COMPUTED_VALUE"""),"8' 11""")</f>
        <v>8' 11"</v>
      </c>
      <c r="F120">
        <f ca="1">IFERROR(__xludf.DUMMYFUNCTION("""COMPUTED_VALUE"""),152.167)</f>
        <v>152.167</v>
      </c>
      <c r="G120">
        <f ca="1">IFERROR(__xludf.DUMMYFUNCTION("""COMPUTED_VALUE"""),17)</f>
        <v>17</v>
      </c>
      <c r="H120">
        <f ca="1">IFERROR(__xludf.DUMMYFUNCTION("""COMPUTED_VALUE"""),68)</f>
        <v>68</v>
      </c>
    </row>
    <row r="121" spans="1:8" ht="12.75">
      <c r="A121" t="str">
        <f ca="1">IFERROR(__xludf.DUMMYFUNCTION("""COMPUTED_VALUE"""),"T120")</f>
        <v>T120</v>
      </c>
      <c r="B121" t="str">
        <f ca="1">IFERROR(__xludf.DUMMYFUNCTION("""COMPUTED_VALUE"""),"T155")</f>
        <v>T155</v>
      </c>
      <c r="C121" t="str">
        <f ca="1">IFERROR(__xludf.DUMMYFUNCTION("""COMPUTED_VALUE"""),"Russell Knox")</f>
        <v>Russell Knox</v>
      </c>
      <c r="D121">
        <f ca="1">IFERROR(__xludf.DUMMYFUNCTION("""COMPUTED_VALUE"""),16)</f>
        <v>16</v>
      </c>
      <c r="E121" t="str">
        <f ca="1">IFERROR(__xludf.DUMMYFUNCTION("""COMPUTED_VALUE"""),"9' 0""")</f>
        <v>9' 0"</v>
      </c>
      <c r="F121">
        <f ca="1">IFERROR(__xludf.DUMMYFUNCTION("""COMPUTED_VALUE"""),80.917)</f>
        <v>80.917000000000002</v>
      </c>
      <c r="G121">
        <f ca="1">IFERROR(__xludf.DUMMYFUNCTION("""COMPUTED_VALUE"""),9)</f>
        <v>9</v>
      </c>
      <c r="H121">
        <f ca="1">IFERROR(__xludf.DUMMYFUNCTION("""COMPUTED_VALUE"""),42)</f>
        <v>42</v>
      </c>
    </row>
    <row r="122" spans="1:8" ht="12.75">
      <c r="A122" t="str">
        <f ca="1">IFERROR(__xludf.DUMMYFUNCTION("""COMPUTED_VALUE"""),"T120")</f>
        <v>T120</v>
      </c>
      <c r="B122" t="str">
        <f ca="1">IFERROR(__xludf.DUMMYFUNCTION("""COMPUTED_VALUE"""),"T124")</f>
        <v>T124</v>
      </c>
      <c r="C122" t="str">
        <f ca="1">IFERROR(__xludf.DUMMYFUNCTION("""COMPUTED_VALUE"""),"Brice Garnett")</f>
        <v>Brice Garnett</v>
      </c>
      <c r="D122">
        <f ca="1">IFERROR(__xludf.DUMMYFUNCTION("""COMPUTED_VALUE"""),22)</f>
        <v>22</v>
      </c>
      <c r="E122" t="str">
        <f ca="1">IFERROR(__xludf.DUMMYFUNCTION("""COMPUTED_VALUE"""),"9' 0""")</f>
        <v>9' 0"</v>
      </c>
      <c r="F122">
        <f ca="1">IFERROR(__xludf.DUMMYFUNCTION("""COMPUTED_VALUE"""),161.417)</f>
        <v>161.417</v>
      </c>
      <c r="G122">
        <f ca="1">IFERROR(__xludf.DUMMYFUNCTION("""COMPUTED_VALUE"""),18)</f>
        <v>18</v>
      </c>
      <c r="H122">
        <f ca="1">IFERROR(__xludf.DUMMYFUNCTION("""COMPUTED_VALUE"""),77)</f>
        <v>77</v>
      </c>
    </row>
    <row r="123" spans="1:8" ht="12.75">
      <c r="A123" t="str">
        <f ca="1">IFERROR(__xludf.DUMMYFUNCTION("""COMPUTED_VALUE"""),"T120")</f>
        <v>T120</v>
      </c>
      <c r="B123" t="str">
        <f ca="1">IFERROR(__xludf.DUMMYFUNCTION("""COMPUTED_VALUE"""),"T20")</f>
        <v>T20</v>
      </c>
      <c r="C123" t="str">
        <f ca="1">IFERROR(__xludf.DUMMYFUNCTION("""COMPUTED_VALUE"""),"Sepp Straka")</f>
        <v>Sepp Straka</v>
      </c>
      <c r="D123">
        <f ca="1">IFERROR(__xludf.DUMMYFUNCTION("""COMPUTED_VALUE"""),22)</f>
        <v>22</v>
      </c>
      <c r="E123" t="str">
        <f ca="1">IFERROR(__xludf.DUMMYFUNCTION("""COMPUTED_VALUE"""),"9' 0""")</f>
        <v>9' 0"</v>
      </c>
      <c r="F123">
        <f ca="1">IFERROR(__xludf.DUMMYFUNCTION("""COMPUTED_VALUE"""),143.833)</f>
        <v>143.833</v>
      </c>
      <c r="G123">
        <f ca="1">IFERROR(__xludf.DUMMYFUNCTION("""COMPUTED_VALUE"""),16)</f>
        <v>16</v>
      </c>
      <c r="H123">
        <f ca="1">IFERROR(__xludf.DUMMYFUNCTION("""COMPUTED_VALUE"""),31)</f>
        <v>31</v>
      </c>
    </row>
    <row r="124" spans="1:8" ht="12.75">
      <c r="A124" t="str">
        <f ca="1">IFERROR(__xludf.DUMMYFUNCTION("""COMPUTED_VALUE"""),"T120")</f>
        <v>T120</v>
      </c>
      <c r="B124" t="str">
        <f ca="1">IFERROR(__xludf.DUMMYFUNCTION("""COMPUTED_VALUE"""),"T151")</f>
        <v>T151</v>
      </c>
      <c r="C124" t="str">
        <f ca="1">IFERROR(__xludf.DUMMYFUNCTION("""COMPUTED_VALUE"""),"Russell Henley")</f>
        <v>Russell Henley</v>
      </c>
      <c r="D124">
        <f ca="1">IFERROR(__xludf.DUMMYFUNCTION("""COMPUTED_VALUE"""),16)</f>
        <v>16</v>
      </c>
      <c r="E124" t="str">
        <f ca="1">IFERROR(__xludf.DUMMYFUNCTION("""COMPUTED_VALUE"""),"9' 0""")</f>
        <v>9' 0"</v>
      </c>
      <c r="F124">
        <f ca="1">IFERROR(__xludf.DUMMYFUNCTION("""COMPUTED_VALUE"""),170.75)</f>
        <v>170.75</v>
      </c>
      <c r="G124">
        <f ca="1">IFERROR(__xludf.DUMMYFUNCTION("""COMPUTED_VALUE"""),19)</f>
        <v>19</v>
      </c>
      <c r="H124">
        <f ca="1">IFERROR(__xludf.DUMMYFUNCTION("""COMPUTED_VALUE"""),4)</f>
        <v>4</v>
      </c>
    </row>
    <row r="125" spans="1:8" ht="12.75">
      <c r="A125" t="str">
        <f ca="1">IFERROR(__xludf.DUMMYFUNCTION("""COMPUTED_VALUE"""),"T124")</f>
        <v>T124</v>
      </c>
      <c r="B125" t="str">
        <f ca="1">IFERROR(__xludf.DUMMYFUNCTION("""COMPUTED_VALUE"""),"T115")</f>
        <v>T115</v>
      </c>
      <c r="C125" t="str">
        <f ca="1">IFERROR(__xludf.DUMMYFUNCTION("""COMPUTED_VALUE"""),"Collin Morikawa")</f>
        <v>Collin Morikawa</v>
      </c>
      <c r="D125">
        <f ca="1">IFERROR(__xludf.DUMMYFUNCTION("""COMPUTED_VALUE"""),12)</f>
        <v>12</v>
      </c>
      <c r="E125" t="str">
        <f ca="1">IFERROR(__xludf.DUMMYFUNCTION("""COMPUTED_VALUE"""),"9' 1""")</f>
        <v>9' 1"</v>
      </c>
      <c r="F125">
        <f ca="1">IFERROR(__xludf.DUMMYFUNCTION("""COMPUTED_VALUE"""),100.25)</f>
        <v>100.25</v>
      </c>
      <c r="G125">
        <f ca="1">IFERROR(__xludf.DUMMYFUNCTION("""COMPUTED_VALUE"""),11)</f>
        <v>11</v>
      </c>
      <c r="H125">
        <f ca="1">IFERROR(__xludf.DUMMYFUNCTION("""COMPUTED_VALUE"""),141)</f>
        <v>141</v>
      </c>
    </row>
    <row r="126" spans="1:8" ht="12.75">
      <c r="A126" t="str">
        <f ca="1">IFERROR(__xludf.DUMMYFUNCTION("""COMPUTED_VALUE"""),"T124")</f>
        <v>T124</v>
      </c>
      <c r="B126" t="str">
        <f ca="1">IFERROR(__xludf.DUMMYFUNCTION("""COMPUTED_VALUE"""),"T115")</f>
        <v>T115</v>
      </c>
      <c r="C126" t="str">
        <f ca="1">IFERROR(__xludf.DUMMYFUNCTION("""COMPUTED_VALUE"""),"Takumi Kanaya")</f>
        <v>Takumi Kanaya</v>
      </c>
      <c r="D126">
        <f ca="1">IFERROR(__xludf.DUMMYFUNCTION("""COMPUTED_VALUE"""),6)</f>
        <v>6</v>
      </c>
      <c r="E126" t="str">
        <f ca="1">IFERROR(__xludf.DUMMYFUNCTION("""COMPUTED_VALUE"""),"9' 1""")</f>
        <v>9' 1"</v>
      </c>
      <c r="F126">
        <f ca="1">IFERROR(__xludf.DUMMYFUNCTION("""COMPUTED_VALUE"""),63.75)</f>
        <v>63.75</v>
      </c>
      <c r="G126">
        <f ca="1">IFERROR(__xludf.DUMMYFUNCTION("""COMPUTED_VALUE"""),7)</f>
        <v>7</v>
      </c>
      <c r="H126">
        <f ca="1">IFERROR(__xludf.DUMMYFUNCTION("""COMPUTED_VALUE"""),235)</f>
        <v>235</v>
      </c>
    </row>
    <row r="127" spans="1:8" ht="12.75">
      <c r="A127" t="str">
        <f ca="1">IFERROR(__xludf.DUMMYFUNCTION("""COMPUTED_VALUE"""),"T124")</f>
        <v>T124</v>
      </c>
      <c r="B127" t="str">
        <f ca="1">IFERROR(__xludf.DUMMYFUNCTION("""COMPUTED_VALUE"""),"T115")</f>
        <v>T115</v>
      </c>
      <c r="C127" t="str">
        <f ca="1">IFERROR(__xludf.DUMMYFUNCTION("""COMPUTED_VALUE"""),"Chris Stroud")</f>
        <v>Chris Stroud</v>
      </c>
      <c r="D127">
        <f ca="1">IFERROR(__xludf.DUMMYFUNCTION("""COMPUTED_VALUE"""),6)</f>
        <v>6</v>
      </c>
      <c r="E127" t="str">
        <f ca="1">IFERROR(__xludf.DUMMYFUNCTION("""COMPUTED_VALUE"""),"9' 1""")</f>
        <v>9' 1"</v>
      </c>
      <c r="F127">
        <f ca="1">IFERROR(__xludf.DUMMYFUNCTION("""COMPUTED_VALUE"""),54.667)</f>
        <v>54.667000000000002</v>
      </c>
      <c r="G127">
        <f ca="1">IFERROR(__xludf.DUMMYFUNCTION("""COMPUTED_VALUE"""),6)</f>
        <v>6</v>
      </c>
      <c r="H127">
        <f ca="1">IFERROR(__xludf.DUMMYFUNCTION("""COMPUTED_VALUE"""),22)</f>
        <v>22</v>
      </c>
    </row>
    <row r="128" spans="1:8" ht="12.75">
      <c r="A128" t="str">
        <f ca="1">IFERROR(__xludf.DUMMYFUNCTION("""COMPUTED_VALUE"""),"T124")</f>
        <v>T124</v>
      </c>
      <c r="B128" t="str">
        <f ca="1">IFERROR(__xludf.DUMMYFUNCTION("""COMPUTED_VALUE"""),"T108")</f>
        <v>T108</v>
      </c>
      <c r="C128" t="str">
        <f ca="1">IFERROR(__xludf.DUMMYFUNCTION("""COMPUTED_VALUE"""),"James Hahn")</f>
        <v>James Hahn</v>
      </c>
      <c r="D128">
        <f ca="1">IFERROR(__xludf.DUMMYFUNCTION("""COMPUTED_VALUE"""),16)</f>
        <v>16</v>
      </c>
      <c r="E128" t="str">
        <f ca="1">IFERROR(__xludf.DUMMYFUNCTION("""COMPUTED_VALUE"""),"9' 1""")</f>
        <v>9' 1"</v>
      </c>
      <c r="F128">
        <f ca="1">IFERROR(__xludf.DUMMYFUNCTION("""COMPUTED_VALUE"""),135.833)</f>
        <v>135.833</v>
      </c>
      <c r="G128">
        <f ca="1">IFERROR(__xludf.DUMMYFUNCTION("""COMPUTED_VALUE"""),15)</f>
        <v>15</v>
      </c>
      <c r="H128">
        <f ca="1">IFERROR(__xludf.DUMMYFUNCTION("""COMPUTED_VALUE"""),87)</f>
        <v>87</v>
      </c>
    </row>
    <row r="129" spans="1:8" ht="12.75">
      <c r="A129" t="str">
        <f ca="1">IFERROR(__xludf.DUMMYFUNCTION("""COMPUTED_VALUE"""),"T128")</f>
        <v>T128</v>
      </c>
      <c r="B129" t="str">
        <f ca="1">IFERROR(__xludf.DUMMYFUNCTION("""COMPUTED_VALUE"""),"")</f>
        <v/>
      </c>
      <c r="C129" t="str">
        <f ca="1">IFERROR(__xludf.DUMMYFUNCTION("""COMPUTED_VALUE"""),"Dawie van der Walt")</f>
        <v>Dawie van der Walt</v>
      </c>
      <c r="D129">
        <f ca="1">IFERROR(__xludf.DUMMYFUNCTION("""COMPUTED_VALUE"""),4)</f>
        <v>4</v>
      </c>
      <c r="E129" t="str">
        <f ca="1">IFERROR(__xludf.DUMMYFUNCTION("""COMPUTED_VALUE"""),"9' 2""")</f>
        <v>9' 2"</v>
      </c>
      <c r="F129">
        <f ca="1">IFERROR(__xludf.DUMMYFUNCTION("""COMPUTED_VALUE"""),45.833)</f>
        <v>45.832999999999998</v>
      </c>
      <c r="G129">
        <f ca="1">IFERROR(__xludf.DUMMYFUNCTION("""COMPUTED_VALUE"""),5)</f>
        <v>5</v>
      </c>
      <c r="H129">
        <f ca="1">IFERROR(__xludf.DUMMYFUNCTION("""COMPUTED_VALUE"""),102)</f>
        <v>102</v>
      </c>
    </row>
    <row r="130" spans="1:8" ht="12.75">
      <c r="A130" t="str">
        <f ca="1">IFERROR(__xludf.DUMMYFUNCTION("""COMPUTED_VALUE"""),"T128")</f>
        <v>T128</v>
      </c>
      <c r="B130" t="str">
        <f ca="1">IFERROR(__xludf.DUMMYFUNCTION("""COMPUTED_VALUE"""),"T128")</f>
        <v>T128</v>
      </c>
      <c r="C130" t="str">
        <f ca="1">IFERROR(__xludf.DUMMYFUNCTION("""COMPUTED_VALUE"""),"Cameron Tringale")</f>
        <v>Cameron Tringale</v>
      </c>
      <c r="D130">
        <f ca="1">IFERROR(__xludf.DUMMYFUNCTION("""COMPUTED_VALUE"""),16)</f>
        <v>16</v>
      </c>
      <c r="E130" t="str">
        <f ca="1">IFERROR(__xludf.DUMMYFUNCTION("""COMPUTED_VALUE"""),"9' 2""")</f>
        <v>9' 2"</v>
      </c>
      <c r="F130">
        <f ca="1">IFERROR(__xludf.DUMMYFUNCTION("""COMPUTED_VALUE"""),201)</f>
        <v>201</v>
      </c>
      <c r="G130">
        <f ca="1">IFERROR(__xludf.DUMMYFUNCTION("""COMPUTED_VALUE"""),22)</f>
        <v>22</v>
      </c>
      <c r="H130">
        <f ca="1">IFERROR(__xludf.DUMMYFUNCTION("""COMPUTED_VALUE"""),192)</f>
        <v>192</v>
      </c>
    </row>
    <row r="131" spans="1:8" ht="12.75">
      <c r="A131" t="str">
        <f ca="1">IFERROR(__xludf.DUMMYFUNCTION("""COMPUTED_VALUE"""),"T128")</f>
        <v>T128</v>
      </c>
      <c r="B131" t="str">
        <f ca="1">IFERROR(__xludf.DUMMYFUNCTION("""COMPUTED_VALUE"""),"T128")</f>
        <v>T128</v>
      </c>
      <c r="C131" t="str">
        <f ca="1">IFERROR(__xludf.DUMMYFUNCTION("""COMPUTED_VALUE"""),"Tom Lewis")</f>
        <v>Tom Lewis</v>
      </c>
      <c r="D131">
        <f ca="1">IFERROR(__xludf.DUMMYFUNCTION("""COMPUTED_VALUE"""),12)</f>
        <v>12</v>
      </c>
      <c r="E131" t="str">
        <f ca="1">IFERROR(__xludf.DUMMYFUNCTION("""COMPUTED_VALUE"""),"9' 2""")</f>
        <v>9' 2"</v>
      </c>
      <c r="F131">
        <f ca="1">IFERROR(__xludf.DUMMYFUNCTION("""COMPUTED_VALUE"""),164.25)</f>
        <v>164.25</v>
      </c>
      <c r="G131">
        <f ca="1">IFERROR(__xludf.DUMMYFUNCTION("""COMPUTED_VALUE"""),18)</f>
        <v>18</v>
      </c>
      <c r="H131">
        <f ca="1">IFERROR(__xludf.DUMMYFUNCTION("""COMPUTED_VALUE"""),223)</f>
        <v>223</v>
      </c>
    </row>
    <row r="132" spans="1:8" ht="12.75">
      <c r="A132" t="str">
        <f ca="1">IFERROR(__xludf.DUMMYFUNCTION("""COMPUTED_VALUE"""),"T128")</f>
        <v>T128</v>
      </c>
      <c r="B132" t="str">
        <f ca="1">IFERROR(__xludf.DUMMYFUNCTION("""COMPUTED_VALUE"""),"T121")</f>
        <v>T121</v>
      </c>
      <c r="C132" t="str">
        <f ca="1">IFERROR(__xludf.DUMMYFUNCTION("""COMPUTED_VALUE"""),"Chan Kim")</f>
        <v>Chan Kim</v>
      </c>
      <c r="D132">
        <f ca="1">IFERROR(__xludf.DUMMYFUNCTION("""COMPUTED_VALUE"""),6)</f>
        <v>6</v>
      </c>
      <c r="E132" t="str">
        <f ca="1">IFERROR(__xludf.DUMMYFUNCTION("""COMPUTED_VALUE"""),"9' 2""")</f>
        <v>9' 2"</v>
      </c>
      <c r="F132">
        <f ca="1">IFERROR(__xludf.DUMMYFUNCTION("""COMPUTED_VALUE"""),45.917)</f>
        <v>45.917000000000002</v>
      </c>
      <c r="G132">
        <f ca="1">IFERROR(__xludf.DUMMYFUNCTION("""COMPUTED_VALUE"""),5)</f>
        <v>5</v>
      </c>
      <c r="H132">
        <f ca="1">IFERROR(__xludf.DUMMYFUNCTION("""COMPUTED_VALUE"""),185)</f>
        <v>185</v>
      </c>
    </row>
    <row r="133" spans="1:8" ht="12.75">
      <c r="A133" t="str">
        <f ca="1">IFERROR(__xludf.DUMMYFUNCTION("""COMPUTED_VALUE"""),"T132")</f>
        <v>T132</v>
      </c>
      <c r="B133" t="str">
        <f ca="1">IFERROR(__xludf.DUMMYFUNCTION("""COMPUTED_VALUE"""),"T124")</f>
        <v>T124</v>
      </c>
      <c r="C133" t="str">
        <f ca="1">IFERROR(__xludf.DUMMYFUNCTION("""COMPUTED_VALUE"""),"Joaquin Niemann")</f>
        <v>Joaquin Niemann</v>
      </c>
      <c r="D133">
        <f ca="1">IFERROR(__xludf.DUMMYFUNCTION("""COMPUTED_VALUE"""),16)</f>
        <v>16</v>
      </c>
      <c r="E133" t="str">
        <f ca="1">IFERROR(__xludf.DUMMYFUNCTION("""COMPUTED_VALUE"""),"9' 3""")</f>
        <v>9' 3"</v>
      </c>
      <c r="F133">
        <f ca="1">IFERROR(__xludf.DUMMYFUNCTION("""COMPUTED_VALUE"""),129.833)</f>
        <v>129.833</v>
      </c>
      <c r="G133">
        <f ca="1">IFERROR(__xludf.DUMMYFUNCTION("""COMPUTED_VALUE"""),14)</f>
        <v>14</v>
      </c>
      <c r="H133">
        <f ca="1">IFERROR(__xludf.DUMMYFUNCTION("""COMPUTED_VALUE"""),59)</f>
        <v>59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IFERROR(__xludf.DUMMYFUNCTION("""COMPUTED_VALUE"""),"T76")</f>
        <v>T76</v>
      </c>
      <c r="C134" t="str">
        <f ca="1">IFERROR(__xludf.DUMMYFUNCTION("""COMPUTED_VALUE"""),"Scottie Scheffler")</f>
        <v>Scottie Scheffler</v>
      </c>
      <c r="D134">
        <f ca="1">IFERROR(__xludf.DUMMYFUNCTION("""COMPUTED_VALUE"""),18)</f>
        <v>18</v>
      </c>
      <c r="E134" t="str">
        <f ca="1">IFERROR(__xludf.DUMMYFUNCTION("""COMPUTED_VALUE"""),"9' 3""")</f>
        <v>9' 3"</v>
      </c>
      <c r="F134">
        <f ca="1">IFERROR(__xludf.DUMMYFUNCTION("""COMPUTED_VALUE"""),129.417)</f>
        <v>129.417</v>
      </c>
      <c r="G134">
        <f ca="1">IFERROR(__xludf.DUMMYFUNCTION("""COMPUTED_VALUE"""),14)</f>
        <v>14</v>
      </c>
      <c r="H134">
        <f ca="1">IFERROR(__xludf.DUMMYFUNCTION("""COMPUTED_VALUE"""),168)</f>
        <v>168</v>
      </c>
    </row>
    <row r="135" spans="1:8" ht="12.75">
      <c r="A135" t="str">
        <f ca="1">IFERROR(__xludf.DUMMYFUNCTION("""COMPUTED_VALUE"""),"T132")</f>
        <v>T132</v>
      </c>
      <c r="B135" t="str">
        <f ca="1">IFERROR(__xludf.DUMMYFUNCTION("""COMPUTED_VALUE"""),"T171")</f>
        <v>T171</v>
      </c>
      <c r="C135" t="str">
        <f ca="1">IFERROR(__xludf.DUMMYFUNCTION("""COMPUTED_VALUE"""),"Austin Cook")</f>
        <v>Austin Cook</v>
      </c>
      <c r="D135">
        <f ca="1">IFERROR(__xludf.DUMMYFUNCTION("""COMPUTED_VALUE"""),14)</f>
        <v>14</v>
      </c>
      <c r="E135" t="str">
        <f ca="1">IFERROR(__xludf.DUMMYFUNCTION("""COMPUTED_VALUE"""),"9' 3""")</f>
        <v>9' 3"</v>
      </c>
      <c r="F135">
        <f ca="1">IFERROR(__xludf.DUMMYFUNCTION("""COMPUTED_VALUE"""),138.25)</f>
        <v>138.25</v>
      </c>
      <c r="G135">
        <f ca="1">IFERROR(__xludf.DUMMYFUNCTION("""COMPUTED_VALUE"""),15)</f>
        <v>15</v>
      </c>
      <c r="H135">
        <f ca="1">IFERROR(__xludf.DUMMYFUNCTION("""COMPUTED_VALUE"""),56)</f>
        <v>56</v>
      </c>
    </row>
    <row r="136" spans="1:8" ht="12.75">
      <c r="A136" t="str">
        <f ca="1">IFERROR(__xludf.DUMMYFUNCTION("""COMPUTED_VALUE"""),"T132")</f>
        <v>T132</v>
      </c>
      <c r="B136" t="str">
        <f ca="1">IFERROR(__xludf.DUMMYFUNCTION("""COMPUTED_VALUE"""),"T115")</f>
        <v>T115</v>
      </c>
      <c r="C136" t="str">
        <f ca="1">IFERROR(__xludf.DUMMYFUNCTION("""COMPUTED_VALUE"""),"Doc Redman")</f>
        <v>Doc Redman</v>
      </c>
      <c r="D136">
        <f ca="1">IFERROR(__xludf.DUMMYFUNCTION("""COMPUTED_VALUE"""),18)</f>
        <v>18</v>
      </c>
      <c r="E136" t="str">
        <f ca="1">IFERROR(__xludf.DUMMYFUNCTION("""COMPUTED_VALUE"""),"9' 3""")</f>
        <v>9' 3"</v>
      </c>
      <c r="F136">
        <f ca="1">IFERROR(__xludf.DUMMYFUNCTION("""COMPUTED_VALUE"""),165.833)</f>
        <v>165.833</v>
      </c>
      <c r="G136">
        <f ca="1">IFERROR(__xludf.DUMMYFUNCTION("""COMPUTED_VALUE"""),18)</f>
        <v>18</v>
      </c>
      <c r="H136">
        <f ca="1">IFERROR(__xludf.DUMMYFUNCTION("""COMPUTED_VALUE"""),55)</f>
        <v>55</v>
      </c>
    </row>
    <row r="137" spans="1:8" ht="12.75">
      <c r="A137" t="str">
        <f ca="1">IFERROR(__xludf.DUMMYFUNCTION("""COMPUTED_VALUE"""),"T136")</f>
        <v>T136</v>
      </c>
      <c r="B137" t="str">
        <f ca="1">IFERROR(__xludf.DUMMYFUNCTION("""COMPUTED_VALUE"""),"T194")</f>
        <v>T194</v>
      </c>
      <c r="C137" t="str">
        <f ca="1">IFERROR(__xludf.DUMMYFUNCTION("""COMPUTED_VALUE"""),"Mackenzie Hughes")</f>
        <v>Mackenzie Hughes</v>
      </c>
      <c r="D137">
        <f ca="1">IFERROR(__xludf.DUMMYFUNCTION("""COMPUTED_VALUE"""),18)</f>
        <v>18</v>
      </c>
      <c r="E137" t="str">
        <f ca="1">IFERROR(__xludf.DUMMYFUNCTION("""COMPUTED_VALUE"""),"9' 4""")</f>
        <v>9' 4"</v>
      </c>
      <c r="F137">
        <f ca="1">IFERROR(__xludf.DUMMYFUNCTION("""COMPUTED_VALUE"""),196.333)</f>
        <v>196.333</v>
      </c>
      <c r="G137">
        <f ca="1">IFERROR(__xludf.DUMMYFUNCTION("""COMPUTED_VALUE"""),21)</f>
        <v>21</v>
      </c>
      <c r="H137">
        <f ca="1">IFERROR(__xludf.DUMMYFUNCTION("""COMPUTED_VALUE"""),189)</f>
        <v>189</v>
      </c>
    </row>
    <row r="138" spans="1:8" ht="12.75">
      <c r="A138" t="str">
        <f ca="1">IFERROR(__xludf.DUMMYFUNCTION("""COMPUTED_VALUE"""),"T136")</f>
        <v>T136</v>
      </c>
      <c r="B138" t="str">
        <f ca="1">IFERROR(__xludf.DUMMYFUNCTION("""COMPUTED_VALUE"""),"T128")</f>
        <v>T128</v>
      </c>
      <c r="C138" t="str">
        <f ca="1">IFERROR(__xludf.DUMMYFUNCTION("""COMPUTED_VALUE"""),"Johnson Wagner")</f>
        <v>Johnson Wagner</v>
      </c>
      <c r="D138">
        <f ca="1">IFERROR(__xludf.DUMMYFUNCTION("""COMPUTED_VALUE"""),8)</f>
        <v>8</v>
      </c>
      <c r="E138" t="str">
        <f ca="1">IFERROR(__xludf.DUMMYFUNCTION("""COMPUTED_VALUE"""),"9' 4""")</f>
        <v>9' 4"</v>
      </c>
      <c r="F138">
        <f ca="1">IFERROR(__xludf.DUMMYFUNCTION("""COMPUTED_VALUE"""),28.083)</f>
        <v>28.082999999999998</v>
      </c>
      <c r="G138">
        <f ca="1">IFERROR(__xludf.DUMMYFUNCTION("""COMPUTED_VALUE"""),3)</f>
        <v>3</v>
      </c>
      <c r="H138">
        <f ca="1">IFERROR(__xludf.DUMMYFUNCTION("""COMPUTED_VALUE"""),158)</f>
        <v>158</v>
      </c>
    </row>
    <row r="139" spans="1:8" ht="12.75">
      <c r="A139">
        <f ca="1">IFERROR(__xludf.DUMMYFUNCTION("""COMPUTED_VALUE"""),138)</f>
        <v>138</v>
      </c>
      <c r="B139">
        <f ca="1">IFERROR(__xludf.DUMMYFUNCTION("""COMPUTED_VALUE"""),132)</f>
        <v>132</v>
      </c>
      <c r="C139" t="str">
        <f ca="1">IFERROR(__xludf.DUMMYFUNCTION("""COMPUTED_VALUE"""),"Roger Sloan")</f>
        <v>Roger Sloan</v>
      </c>
      <c r="D139">
        <f ca="1">IFERROR(__xludf.DUMMYFUNCTION("""COMPUTED_VALUE"""),12)</f>
        <v>12</v>
      </c>
      <c r="E139" t="str">
        <f ca="1">IFERROR(__xludf.DUMMYFUNCTION("""COMPUTED_VALUE"""),"9' 5""")</f>
        <v>9' 5"</v>
      </c>
      <c r="F139">
        <f ca="1">IFERROR(__xludf.DUMMYFUNCTION("""COMPUTED_VALUE"""),85)</f>
        <v>85</v>
      </c>
      <c r="G139">
        <f ca="1">IFERROR(__xludf.DUMMYFUNCTION("""COMPUTED_VALUE"""),9)</f>
        <v>9</v>
      </c>
      <c r="H139">
        <f ca="1">IFERROR(__xludf.DUMMYFUNCTION("""COMPUTED_VALUE"""),16)</f>
        <v>16</v>
      </c>
    </row>
    <row r="140" spans="1:8" ht="12.75">
      <c r="A140" t="str">
        <f ca="1">IFERROR(__xludf.DUMMYFUNCTION("""COMPUTED_VALUE"""),"T139")</f>
        <v>T139</v>
      </c>
      <c r="B140" t="str">
        <f ca="1">IFERROR(__xludf.DUMMYFUNCTION("""COMPUTED_VALUE"""),"T133")</f>
        <v>T133</v>
      </c>
      <c r="C140" t="str">
        <f ca="1">IFERROR(__xludf.DUMMYFUNCTION("""COMPUTED_VALUE"""),"J.J. Spaun")</f>
        <v>J.J. Spaun</v>
      </c>
      <c r="D140">
        <f ca="1">IFERROR(__xludf.DUMMYFUNCTION("""COMPUTED_VALUE"""),10)</f>
        <v>10</v>
      </c>
      <c r="E140" t="str">
        <f ca="1">IFERROR(__xludf.DUMMYFUNCTION("""COMPUTED_VALUE"""),"9' 6""")</f>
        <v>9' 6"</v>
      </c>
      <c r="F140">
        <f ca="1">IFERROR(__xludf.DUMMYFUNCTION("""COMPUTED_VALUE"""),9.5)</f>
        <v>9.5</v>
      </c>
      <c r="G140">
        <f ca="1">IFERROR(__xludf.DUMMYFUNCTION("""COMPUTED_VALUE"""),1)</f>
        <v>1</v>
      </c>
      <c r="H140">
        <f ca="1">IFERROR(__xludf.DUMMYFUNCTION("""COMPUTED_VALUE"""),47)</f>
        <v>47</v>
      </c>
    </row>
    <row r="141" spans="1:8" ht="12.75">
      <c r="A141" t="str">
        <f ca="1">IFERROR(__xludf.DUMMYFUNCTION("""COMPUTED_VALUE"""),"T139")</f>
        <v>T139</v>
      </c>
      <c r="B141" t="str">
        <f ca="1">IFERROR(__xludf.DUMMYFUNCTION("""COMPUTED_VALUE"""),"T133")</f>
        <v>T133</v>
      </c>
      <c r="C141" t="str">
        <f ca="1">IFERROR(__xludf.DUMMYFUNCTION("""COMPUTED_VALUE"""),"Richy Werenski")</f>
        <v>Richy Werenski</v>
      </c>
      <c r="D141">
        <f ca="1">IFERROR(__xludf.DUMMYFUNCTION("""COMPUTED_VALUE"""),16)</f>
        <v>16</v>
      </c>
      <c r="E141" t="str">
        <f ca="1">IFERROR(__xludf.DUMMYFUNCTION("""COMPUTED_VALUE"""),"9' 6""")</f>
        <v>9' 6"</v>
      </c>
      <c r="F141">
        <f ca="1">IFERROR(__xludf.DUMMYFUNCTION("""COMPUTED_VALUE"""),170.833)</f>
        <v>170.833</v>
      </c>
      <c r="G141">
        <f ca="1">IFERROR(__xludf.DUMMYFUNCTION("""COMPUTED_VALUE"""),18)</f>
        <v>18</v>
      </c>
      <c r="H141">
        <f ca="1">IFERROR(__xludf.DUMMYFUNCTION("""COMPUTED_VALUE"""),112)</f>
        <v>112</v>
      </c>
    </row>
    <row r="142" spans="1:8" ht="12.75">
      <c r="A142" t="str">
        <f ca="1">IFERROR(__xludf.DUMMYFUNCTION("""COMPUTED_VALUE"""),"T139")</f>
        <v>T139</v>
      </c>
      <c r="B142" t="str">
        <f ca="1">IFERROR(__xludf.DUMMYFUNCTION("""COMPUTED_VALUE"""),"T171")</f>
        <v>T171</v>
      </c>
      <c r="C142" t="str">
        <f ca="1">IFERROR(__xludf.DUMMYFUNCTION("""COMPUTED_VALUE"""),"Charl Schwartzel")</f>
        <v>Charl Schwartzel</v>
      </c>
      <c r="D142">
        <f ca="1">IFERROR(__xludf.DUMMYFUNCTION("""COMPUTED_VALUE"""),12)</f>
        <v>12</v>
      </c>
      <c r="E142" t="str">
        <f ca="1">IFERROR(__xludf.DUMMYFUNCTION("""COMPUTED_VALUE"""),"9' 6""")</f>
        <v>9' 6"</v>
      </c>
      <c r="F142">
        <f ca="1">IFERROR(__xludf.DUMMYFUNCTION("""COMPUTED_VALUE"""),132.5)</f>
        <v>132.5</v>
      </c>
      <c r="G142">
        <f ca="1">IFERROR(__xludf.DUMMYFUNCTION("""COMPUTED_VALUE"""),14)</f>
        <v>14</v>
      </c>
      <c r="H142">
        <f ca="1">IFERROR(__xludf.DUMMYFUNCTION("""COMPUTED_VALUE"""),31)</f>
        <v>31</v>
      </c>
    </row>
    <row r="143" spans="1:8" ht="12.75">
      <c r="A143" t="str">
        <f ca="1">IFERROR(__xludf.DUMMYFUNCTION("""COMPUTED_VALUE"""),"T139")</f>
        <v>T139</v>
      </c>
      <c r="B143" t="str">
        <f ca="1">IFERROR(__xludf.DUMMYFUNCTION("""COMPUTED_VALUE"""),"T133")</f>
        <v>T133</v>
      </c>
      <c r="C143" t="str">
        <f ca="1">IFERROR(__xludf.DUMMYFUNCTION("""COMPUTED_VALUE"""),"Ricky Barnes")</f>
        <v>Ricky Barnes</v>
      </c>
      <c r="D143">
        <f ca="1">IFERROR(__xludf.DUMMYFUNCTION("""COMPUTED_VALUE"""),12)</f>
        <v>12</v>
      </c>
      <c r="E143" t="str">
        <f ca="1">IFERROR(__xludf.DUMMYFUNCTION("""COMPUTED_VALUE"""),"9' 6""")</f>
        <v>9' 6"</v>
      </c>
      <c r="F143">
        <f ca="1">IFERROR(__xludf.DUMMYFUNCTION("""COMPUTED_VALUE"""),18.917)</f>
        <v>18.917000000000002</v>
      </c>
      <c r="G143">
        <f ca="1">IFERROR(__xludf.DUMMYFUNCTION("""COMPUTED_VALUE"""),2)</f>
        <v>2</v>
      </c>
      <c r="H143">
        <f ca="1">IFERROR(__xludf.DUMMYFUNCTION("""COMPUTED_VALUE"""),144)</f>
        <v>144</v>
      </c>
    </row>
    <row r="144" spans="1:8" ht="12.75">
      <c r="A144" t="str">
        <f ca="1">IFERROR(__xludf.DUMMYFUNCTION("""COMPUTED_VALUE"""),"T139")</f>
        <v>T139</v>
      </c>
      <c r="B144" t="str">
        <f ca="1">IFERROR(__xludf.DUMMYFUNCTION("""COMPUTED_VALUE"""),"T133")</f>
        <v>T133</v>
      </c>
      <c r="C144" t="str">
        <f ca="1">IFERROR(__xludf.DUMMYFUNCTION("""COMPUTED_VALUE"""),"D.J. Trahan")</f>
        <v>D.J. Trahan</v>
      </c>
      <c r="D144">
        <f ca="1">IFERROR(__xludf.DUMMYFUNCTION("""COMPUTED_VALUE"""),16)</f>
        <v>16</v>
      </c>
      <c r="E144" t="str">
        <f ca="1">IFERROR(__xludf.DUMMYFUNCTION("""COMPUTED_VALUE"""),"9' 6""")</f>
        <v>9' 6"</v>
      </c>
      <c r="F144">
        <f ca="1">IFERROR(__xludf.DUMMYFUNCTION("""COMPUTED_VALUE"""),132.417)</f>
        <v>132.417</v>
      </c>
      <c r="G144">
        <f ca="1">IFERROR(__xludf.DUMMYFUNCTION("""COMPUTED_VALUE"""),14)</f>
        <v>14</v>
      </c>
      <c r="H144">
        <f ca="1">IFERROR(__xludf.DUMMYFUNCTION("""COMPUTED_VALUE"""),44)</f>
        <v>44</v>
      </c>
    </row>
    <row r="145" spans="1:8" ht="12.75">
      <c r="A145" t="str">
        <f ca="1">IFERROR(__xludf.DUMMYFUNCTION("""COMPUTED_VALUE"""),"T144")</f>
        <v>T144</v>
      </c>
      <c r="B145" t="str">
        <f ca="1">IFERROR(__xludf.DUMMYFUNCTION("""COMPUTED_VALUE"""),"T137")</f>
        <v>T137</v>
      </c>
      <c r="C145" t="str">
        <f ca="1">IFERROR(__xludf.DUMMYFUNCTION("""COMPUTED_VALUE"""),"Louis Oosthuizen")</f>
        <v>Louis Oosthuizen</v>
      </c>
      <c r="D145">
        <f ca="1">IFERROR(__xludf.DUMMYFUNCTION("""COMPUTED_VALUE"""),12)</f>
        <v>12</v>
      </c>
      <c r="E145" t="str">
        <f ca="1">IFERROR(__xludf.DUMMYFUNCTION("""COMPUTED_VALUE"""),"9' 7""")</f>
        <v>9' 7"</v>
      </c>
      <c r="F145">
        <f ca="1">IFERROR(__xludf.DUMMYFUNCTION("""COMPUTED_VALUE"""),202)</f>
        <v>202</v>
      </c>
      <c r="G145">
        <f ca="1">IFERROR(__xludf.DUMMYFUNCTION("""COMPUTED_VALUE"""),21)</f>
        <v>21</v>
      </c>
      <c r="H145">
        <f ca="1">IFERROR(__xludf.DUMMYFUNCTION("""COMPUTED_VALUE"""),63)</f>
        <v>63</v>
      </c>
    </row>
    <row r="146" spans="1:8" ht="12.75">
      <c r="A146" t="str">
        <f ca="1">IFERROR(__xludf.DUMMYFUNCTION("""COMPUTED_VALUE"""),"T144")</f>
        <v>T144</v>
      </c>
      <c r="B146" t="str">
        <f ca="1">IFERROR(__xludf.DUMMYFUNCTION("""COMPUTED_VALUE"""),"T137")</f>
        <v>T137</v>
      </c>
      <c r="C146" t="str">
        <f ca="1">IFERROR(__xludf.DUMMYFUNCTION("""COMPUTED_VALUE"""),"Matthew Wolff")</f>
        <v>Matthew Wolff</v>
      </c>
      <c r="D146">
        <f ca="1">IFERROR(__xludf.DUMMYFUNCTION("""COMPUTED_VALUE"""),16)</f>
        <v>16</v>
      </c>
      <c r="E146" t="str">
        <f ca="1">IFERROR(__xludf.DUMMYFUNCTION("""COMPUTED_VALUE"""),"9' 7""")</f>
        <v>9' 7"</v>
      </c>
      <c r="F146">
        <f ca="1">IFERROR(__xludf.DUMMYFUNCTION("""COMPUTED_VALUE"""),134.5)</f>
        <v>134.5</v>
      </c>
      <c r="G146">
        <f ca="1">IFERROR(__xludf.DUMMYFUNCTION("""COMPUTED_VALUE"""),14)</f>
        <v>14</v>
      </c>
      <c r="H146">
        <f ca="1">IFERROR(__xludf.DUMMYFUNCTION("""COMPUTED_VALUE"""),260)</f>
        <v>260</v>
      </c>
    </row>
    <row r="147" spans="1:8" ht="12.75">
      <c r="A147" t="str">
        <f ca="1">IFERROR(__xludf.DUMMYFUNCTION("""COMPUTED_VALUE"""),"T144")</f>
        <v>T144</v>
      </c>
      <c r="B147" t="str">
        <f ca="1">IFERROR(__xludf.DUMMYFUNCTION("""COMPUTED_VALUE"""),"T71")</f>
        <v>T71</v>
      </c>
      <c r="C147" t="str">
        <f ca="1">IFERROR(__xludf.DUMMYFUNCTION("""COMPUTED_VALUE"""),"Kramer Hickok")</f>
        <v>Kramer Hickok</v>
      </c>
      <c r="D147">
        <f ca="1">IFERROR(__xludf.DUMMYFUNCTION("""COMPUTED_VALUE"""),16)</f>
        <v>16</v>
      </c>
      <c r="E147" t="str">
        <f ca="1">IFERROR(__xludf.DUMMYFUNCTION("""COMPUTED_VALUE"""),"9' 7""")</f>
        <v>9' 7"</v>
      </c>
      <c r="F147">
        <f ca="1">IFERROR(__xludf.DUMMYFUNCTION("""COMPUTED_VALUE"""),115.333)</f>
        <v>115.333</v>
      </c>
      <c r="G147">
        <f ca="1">IFERROR(__xludf.DUMMYFUNCTION("""COMPUTED_VALUE"""),12)</f>
        <v>12</v>
      </c>
      <c r="H147">
        <f ca="1">IFERROR(__xludf.DUMMYFUNCTION("""COMPUTED_VALUE"""),174)</f>
        <v>174</v>
      </c>
    </row>
    <row r="148" spans="1:8" ht="12.75">
      <c r="A148" t="str">
        <f ca="1">IFERROR(__xludf.DUMMYFUNCTION("""COMPUTED_VALUE"""),"T144")</f>
        <v>T144</v>
      </c>
      <c r="B148" t="str">
        <f ca="1">IFERROR(__xludf.DUMMYFUNCTION("""COMPUTED_VALUE"""),"T98")</f>
        <v>T98</v>
      </c>
      <c r="C148" t="str">
        <f ca="1">IFERROR(__xludf.DUMMYFUNCTION("""COMPUTED_VALUE"""),"Bo Hoag")</f>
        <v>Bo Hoag</v>
      </c>
      <c r="D148">
        <f ca="1">IFERROR(__xludf.DUMMYFUNCTION("""COMPUTED_VALUE"""),14)</f>
        <v>14</v>
      </c>
      <c r="E148" t="str">
        <f ca="1">IFERROR(__xludf.DUMMYFUNCTION("""COMPUTED_VALUE"""),"9' 7""")</f>
        <v>9' 7"</v>
      </c>
      <c r="F148">
        <f ca="1">IFERROR(__xludf.DUMMYFUNCTION("""COMPUTED_VALUE"""),171.917)</f>
        <v>171.917</v>
      </c>
      <c r="G148">
        <f ca="1">IFERROR(__xludf.DUMMYFUNCTION("""COMPUTED_VALUE"""),18)</f>
        <v>18</v>
      </c>
      <c r="H148">
        <f ca="1">IFERROR(__xludf.DUMMYFUNCTION("""COMPUTED_VALUE"""),83)</f>
        <v>83</v>
      </c>
    </row>
    <row r="149" spans="1:8" ht="12.75">
      <c r="A149" t="str">
        <f ca="1">IFERROR(__xludf.DUMMYFUNCTION("""COMPUTED_VALUE"""),"T148")</f>
        <v>T148</v>
      </c>
      <c r="B149" t="str">
        <f ca="1">IFERROR(__xludf.DUMMYFUNCTION("""COMPUTED_VALUE"""),"T142")</f>
        <v>T142</v>
      </c>
      <c r="C149" t="str">
        <f ca="1">IFERROR(__xludf.DUMMYFUNCTION("""COMPUTED_VALUE"""),"Justin Thomas")</f>
        <v>Justin Thomas</v>
      </c>
      <c r="D149">
        <f ca="1">IFERROR(__xludf.DUMMYFUNCTION("""COMPUTED_VALUE"""),12)</f>
        <v>12</v>
      </c>
      <c r="E149" t="str">
        <f ca="1">IFERROR(__xludf.DUMMYFUNCTION("""COMPUTED_VALUE"""),"9' 8""")</f>
        <v>9' 8"</v>
      </c>
      <c r="F149">
        <f ca="1">IFERROR(__xludf.DUMMYFUNCTION("""COMPUTED_VALUE"""),164.833)</f>
        <v>164.833</v>
      </c>
      <c r="G149">
        <f ca="1">IFERROR(__xludf.DUMMYFUNCTION("""COMPUTED_VALUE"""),17)</f>
        <v>17</v>
      </c>
      <c r="H149">
        <f ca="1">IFERROR(__xludf.DUMMYFUNCTION("""COMPUTED_VALUE"""),79)</f>
        <v>79</v>
      </c>
    </row>
    <row r="150" spans="1:8" ht="12.75">
      <c r="A150" t="str">
        <f ca="1">IFERROR(__xludf.DUMMYFUNCTION("""COMPUTED_VALUE"""),"T148")</f>
        <v>T148</v>
      </c>
      <c r="B150" t="str">
        <f ca="1">IFERROR(__xludf.DUMMYFUNCTION("""COMPUTED_VALUE"""),"T171")</f>
        <v>T171</v>
      </c>
      <c r="C150" t="str">
        <f ca="1">IFERROR(__xludf.DUMMYFUNCTION("""COMPUTED_VALUE"""),"Erik van Rooyen")</f>
        <v>Erik van Rooyen</v>
      </c>
      <c r="D150">
        <f ca="1">IFERROR(__xludf.DUMMYFUNCTION("""COMPUTED_VALUE"""),10)</f>
        <v>10</v>
      </c>
      <c r="E150" t="str">
        <f ca="1">IFERROR(__xludf.DUMMYFUNCTION("""COMPUTED_VALUE"""),"9' 8""")</f>
        <v>9' 8"</v>
      </c>
      <c r="F150">
        <f ca="1">IFERROR(__xludf.DUMMYFUNCTION("""COMPUTED_VALUE"""),77.417)</f>
        <v>77.417000000000002</v>
      </c>
      <c r="G150">
        <f ca="1">IFERROR(__xludf.DUMMYFUNCTION("""COMPUTED_VALUE"""),8)</f>
        <v>8</v>
      </c>
      <c r="H150">
        <f ca="1">IFERROR(__xludf.DUMMYFUNCTION("""COMPUTED_VALUE"""),235)</f>
        <v>235</v>
      </c>
    </row>
    <row r="151" spans="1:8" ht="12.75">
      <c r="A151" t="str">
        <f ca="1">IFERROR(__xludf.DUMMYFUNCTION("""COMPUTED_VALUE"""),"T148")</f>
        <v>T148</v>
      </c>
      <c r="B151" t="str">
        <f ca="1">IFERROR(__xludf.DUMMYFUNCTION("""COMPUTED_VALUE"""),"T142")</f>
        <v>T142</v>
      </c>
      <c r="C151" t="str">
        <f ca="1">IFERROR(__xludf.DUMMYFUNCTION("""COMPUTED_VALUE"""),"Vincent Whaley")</f>
        <v>Vincent Whaley</v>
      </c>
      <c r="D151">
        <f ca="1">IFERROR(__xludf.DUMMYFUNCTION("""COMPUTED_VALUE"""),14)</f>
        <v>14</v>
      </c>
      <c r="E151" t="str">
        <f ca="1">IFERROR(__xludf.DUMMYFUNCTION("""COMPUTED_VALUE"""),"9' 8""")</f>
        <v>9' 8"</v>
      </c>
      <c r="F151">
        <f ca="1">IFERROR(__xludf.DUMMYFUNCTION("""COMPUTED_VALUE"""),125.833)</f>
        <v>125.833</v>
      </c>
      <c r="G151">
        <f ca="1">IFERROR(__xludf.DUMMYFUNCTION("""COMPUTED_VALUE"""),13)</f>
        <v>13</v>
      </c>
      <c r="H151">
        <f ca="1">IFERROR(__xludf.DUMMYFUNCTION("""COMPUTED_VALUE"""),31)</f>
        <v>31</v>
      </c>
    </row>
    <row r="152" spans="1:8" ht="12.75">
      <c r="A152" t="str">
        <f ca="1">IFERROR(__xludf.DUMMYFUNCTION("""COMPUTED_VALUE"""),"T148")</f>
        <v>T148</v>
      </c>
      <c r="B152" t="str">
        <f ca="1">IFERROR(__xludf.DUMMYFUNCTION("""COMPUTED_VALUE"""),"T142")</f>
        <v>T142</v>
      </c>
      <c r="C152" t="str">
        <f ca="1">IFERROR(__xludf.DUMMYFUNCTION("""COMPUTED_VALUE"""),"Joohyung Kim")</f>
        <v>Joohyung Kim</v>
      </c>
      <c r="D152">
        <f ca="1">IFERROR(__xludf.DUMMYFUNCTION("""COMPUTED_VALUE"""),12)</f>
        <v>12</v>
      </c>
      <c r="E152" t="str">
        <f ca="1">IFERROR(__xludf.DUMMYFUNCTION("""COMPUTED_VALUE"""),"9' 8""")</f>
        <v>9' 8"</v>
      </c>
      <c r="F152">
        <f ca="1">IFERROR(__xludf.DUMMYFUNCTION("""COMPUTED_VALUE"""),106.25)</f>
        <v>106.25</v>
      </c>
      <c r="G152">
        <f ca="1">IFERROR(__xludf.DUMMYFUNCTION("""COMPUTED_VALUE"""),11)</f>
        <v>11</v>
      </c>
      <c r="H152">
        <f ca="1">IFERROR(__xludf.DUMMYFUNCTION("""COMPUTED_VALUE"""),151)</f>
        <v>151</v>
      </c>
    </row>
    <row r="153" spans="1:8" ht="12.75">
      <c r="A153" t="str">
        <f ca="1">IFERROR(__xludf.DUMMYFUNCTION("""COMPUTED_VALUE"""),"T148")</f>
        <v>T148</v>
      </c>
      <c r="B153" t="str">
        <f ca="1">IFERROR(__xludf.DUMMYFUNCTION("""COMPUTED_VALUE"""),"T142")</f>
        <v>T142</v>
      </c>
      <c r="C153" t="str">
        <f ca="1">IFERROR(__xludf.DUMMYFUNCTION("""COMPUTED_VALUE"""),"Xander Schauffele")</f>
        <v>Xander Schauffele</v>
      </c>
      <c r="D153">
        <f ca="1">IFERROR(__xludf.DUMMYFUNCTION("""COMPUTED_VALUE"""),12)</f>
        <v>12</v>
      </c>
      <c r="E153" t="str">
        <f ca="1">IFERROR(__xludf.DUMMYFUNCTION("""COMPUTED_VALUE"""),"9' 8""")</f>
        <v>9' 8"</v>
      </c>
      <c r="F153">
        <f ca="1">IFERROR(__xludf.DUMMYFUNCTION("""COMPUTED_VALUE"""),77.583)</f>
        <v>77.582999999999998</v>
      </c>
      <c r="G153">
        <f ca="1">IFERROR(__xludf.DUMMYFUNCTION("""COMPUTED_VALUE"""),8)</f>
        <v>8</v>
      </c>
      <c r="H153">
        <f ca="1">IFERROR(__xludf.DUMMYFUNCTION("""COMPUTED_VALUE"""),135)</f>
        <v>135</v>
      </c>
    </row>
    <row r="154" spans="1:8" ht="12.75">
      <c r="A154" t="str">
        <f ca="1">IFERROR(__xludf.DUMMYFUNCTION("""COMPUTED_VALUE"""),"T148")</f>
        <v>T148</v>
      </c>
      <c r="B154" t="str">
        <f ca="1">IFERROR(__xludf.DUMMYFUNCTION("""COMPUTED_VALUE"""),"T166")</f>
        <v>T166</v>
      </c>
      <c r="C154" t="str">
        <f ca="1">IFERROR(__xludf.DUMMYFUNCTION("""COMPUTED_VALUE"""),"Scott Piercy")</f>
        <v>Scott Piercy</v>
      </c>
      <c r="D154">
        <f ca="1">IFERROR(__xludf.DUMMYFUNCTION("""COMPUTED_VALUE"""),18)</f>
        <v>18</v>
      </c>
      <c r="E154" t="str">
        <f ca="1">IFERROR(__xludf.DUMMYFUNCTION("""COMPUTED_VALUE"""),"9' 8""")</f>
        <v>9' 8"</v>
      </c>
      <c r="F154">
        <f ca="1">IFERROR(__xludf.DUMMYFUNCTION("""COMPUTED_VALUE"""),155.083)</f>
        <v>155.083</v>
      </c>
      <c r="G154">
        <f ca="1">IFERROR(__xludf.DUMMYFUNCTION("""COMPUTED_VALUE"""),16)</f>
        <v>16</v>
      </c>
      <c r="H154">
        <f ca="1">IFERROR(__xludf.DUMMYFUNCTION("""COMPUTED_VALUE"""),62)</f>
        <v>62</v>
      </c>
    </row>
    <row r="155" spans="1:8" ht="12.75">
      <c r="A155" t="str">
        <f ca="1">IFERROR(__xludf.DUMMYFUNCTION("""COMPUTED_VALUE"""),"T154")</f>
        <v>T154</v>
      </c>
      <c r="B155" t="str">
        <f ca="1">IFERROR(__xludf.DUMMYFUNCTION("""COMPUTED_VALUE"""),"T148")</f>
        <v>T148</v>
      </c>
      <c r="C155" t="str">
        <f ca="1">IFERROR(__xludf.DUMMYFUNCTION("""COMPUTED_VALUE"""),"Josh Teater")</f>
        <v>Josh Teater</v>
      </c>
      <c r="D155">
        <f ca="1">IFERROR(__xludf.DUMMYFUNCTION("""COMPUTED_VALUE"""),6)</f>
        <v>6</v>
      </c>
      <c r="E155" t="str">
        <f ca="1">IFERROR(__xludf.DUMMYFUNCTION("""COMPUTED_VALUE"""),"9' 9""")</f>
        <v>9' 9"</v>
      </c>
      <c r="F155">
        <f ca="1">IFERROR(__xludf.DUMMYFUNCTION("""COMPUTED_VALUE"""),19.5)</f>
        <v>19.5</v>
      </c>
      <c r="G155">
        <f ca="1">IFERROR(__xludf.DUMMYFUNCTION("""COMPUTED_VALUE"""),2)</f>
        <v>2</v>
      </c>
      <c r="H155">
        <f ca="1">IFERROR(__xludf.DUMMYFUNCTION("""COMPUTED_VALUE"""),211)</f>
        <v>211</v>
      </c>
    </row>
    <row r="156" spans="1:8" ht="12.75">
      <c r="A156" t="str">
        <f ca="1">IFERROR(__xludf.DUMMYFUNCTION("""COMPUTED_VALUE"""),"T154")</f>
        <v>T154</v>
      </c>
      <c r="B156" t="str">
        <f ca="1">IFERROR(__xludf.DUMMYFUNCTION("""COMPUTED_VALUE"""),"T148")</f>
        <v>T148</v>
      </c>
      <c r="C156" t="str">
        <f ca="1">IFERROR(__xludf.DUMMYFUNCTION("""COMPUTED_VALUE"""),"Justin Rose")</f>
        <v>Justin Rose</v>
      </c>
      <c r="D156">
        <f ca="1">IFERROR(__xludf.DUMMYFUNCTION("""COMPUTED_VALUE"""),10)</f>
        <v>10</v>
      </c>
      <c r="E156" t="str">
        <f ca="1">IFERROR(__xludf.DUMMYFUNCTION("""COMPUTED_VALUE"""),"9' 9""")</f>
        <v>9' 9"</v>
      </c>
      <c r="F156">
        <f ca="1">IFERROR(__xludf.DUMMYFUNCTION("""COMPUTED_VALUE"""),127.25)</f>
        <v>127.25</v>
      </c>
      <c r="G156">
        <f ca="1">IFERROR(__xludf.DUMMYFUNCTION("""COMPUTED_VALUE"""),13)</f>
        <v>13</v>
      </c>
      <c r="H156">
        <f ca="1">IFERROR(__xludf.DUMMYFUNCTION("""COMPUTED_VALUE"""),235)</f>
        <v>235</v>
      </c>
    </row>
    <row r="157" spans="1:8" ht="12.75">
      <c r="A157" t="str">
        <f ca="1">IFERROR(__xludf.DUMMYFUNCTION("""COMPUTED_VALUE"""),"T154")</f>
        <v>T154</v>
      </c>
      <c r="B157" t="str">
        <f ca="1">IFERROR(__xludf.DUMMYFUNCTION("""COMPUTED_VALUE"""),"T178")</f>
        <v>T178</v>
      </c>
      <c r="C157" t="str">
        <f ca="1">IFERROR(__xludf.DUMMYFUNCTION("""COMPUTED_VALUE"""),"Andrew Landry")</f>
        <v>Andrew Landry</v>
      </c>
      <c r="D157">
        <f ca="1">IFERROR(__xludf.DUMMYFUNCTION("""COMPUTED_VALUE"""),14)</f>
        <v>14</v>
      </c>
      <c r="E157" t="str">
        <f ca="1">IFERROR(__xludf.DUMMYFUNCTION("""COMPUTED_VALUE"""),"9' 9""")</f>
        <v>9' 9"</v>
      </c>
      <c r="F157">
        <f ca="1">IFERROR(__xludf.DUMMYFUNCTION("""COMPUTED_VALUE"""),87.667)</f>
        <v>87.667000000000002</v>
      </c>
      <c r="G157">
        <f ca="1">IFERROR(__xludf.DUMMYFUNCTION("""COMPUTED_VALUE"""),9)</f>
        <v>9</v>
      </c>
      <c r="H157">
        <f ca="1">IFERROR(__xludf.DUMMYFUNCTION("""COMPUTED_VALUE"""),91)</f>
        <v>91</v>
      </c>
    </row>
    <row r="158" spans="1:8" ht="12.75">
      <c r="A158" t="str">
        <f ca="1">IFERROR(__xludf.DUMMYFUNCTION("""COMPUTED_VALUE"""),"T154")</f>
        <v>T154</v>
      </c>
      <c r="B158" t="str">
        <f ca="1">IFERROR(__xludf.DUMMYFUNCTION("""COMPUTED_VALUE"""),"T148")</f>
        <v>T148</v>
      </c>
      <c r="C158" t="str">
        <f ca="1">IFERROR(__xludf.DUMMYFUNCTION("""COMPUTED_VALUE"""),"William McGirt")</f>
        <v>William McGirt</v>
      </c>
      <c r="D158">
        <f ca="1">IFERROR(__xludf.DUMMYFUNCTION("""COMPUTED_VALUE"""),6)</f>
        <v>6</v>
      </c>
      <c r="E158" t="str">
        <f ca="1">IFERROR(__xludf.DUMMYFUNCTION("""COMPUTED_VALUE"""),"9' 9""")</f>
        <v>9' 9"</v>
      </c>
      <c r="F158">
        <f ca="1">IFERROR(__xludf.DUMMYFUNCTION("""COMPUTED_VALUE"""),48.917)</f>
        <v>48.917000000000002</v>
      </c>
      <c r="G158">
        <f ca="1">IFERROR(__xludf.DUMMYFUNCTION("""COMPUTED_VALUE"""),5)</f>
        <v>5</v>
      </c>
      <c r="H158">
        <f ca="1">IFERROR(__xludf.DUMMYFUNCTION("""COMPUTED_VALUE"""),203)</f>
        <v>203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IFERROR(__xludf.DUMMYFUNCTION("""COMPUTED_VALUE"""),"T108")</f>
        <v>T108</v>
      </c>
      <c r="C159" t="str">
        <f ca="1">IFERROR(__xludf.DUMMYFUNCTION("""COMPUTED_VALUE"""),"Kevin Chappell")</f>
        <v>Kevin Chappell</v>
      </c>
      <c r="D159">
        <f ca="1">IFERROR(__xludf.DUMMYFUNCTION("""COMPUTED_VALUE"""),16)</f>
        <v>16</v>
      </c>
      <c r="E159" t="str">
        <f ca="1">IFERROR(__xludf.DUMMYFUNCTION("""COMPUTED_VALUE"""),"9' 10""")</f>
        <v>9' 10"</v>
      </c>
      <c r="F159">
        <f ca="1">IFERROR(__xludf.DUMMYFUNCTION("""COMPUTED_VALUE"""),147.833)</f>
        <v>147.833</v>
      </c>
      <c r="G159">
        <f ca="1">IFERROR(__xludf.DUMMYFUNCTION("""COMPUTED_VALUE"""),15)</f>
        <v>15</v>
      </c>
      <c r="H159">
        <f ca="1">IFERROR(__xludf.DUMMYFUNCTION("""COMPUTED_VALUE"""),106)</f>
        <v>106</v>
      </c>
    </row>
    <row r="160" spans="1:8" ht="12.75">
      <c r="A160" t="str">
        <f ca="1">IFERROR(__xludf.DUMMYFUNCTION("""COMPUTED_VALUE"""),"T158")</f>
        <v>T158</v>
      </c>
      <c r="B160" t="str">
        <f ca="1">IFERROR(__xludf.DUMMYFUNCTION("""COMPUTED_VALUE"""),"T166")</f>
        <v>T166</v>
      </c>
      <c r="C160" t="str">
        <f ca="1">IFERROR(__xludf.DUMMYFUNCTION("""COMPUTED_VALUE"""),"Troy Merritt")</f>
        <v>Troy Merritt</v>
      </c>
      <c r="D160">
        <f ca="1">IFERROR(__xludf.DUMMYFUNCTION("""COMPUTED_VALUE"""),20)</f>
        <v>20</v>
      </c>
      <c r="E160" t="str">
        <f ca="1">IFERROR(__xludf.DUMMYFUNCTION("""COMPUTED_VALUE"""),"9' 10""")</f>
        <v>9' 10"</v>
      </c>
      <c r="F160">
        <f ca="1">IFERROR(__xludf.DUMMYFUNCTION("""COMPUTED_VALUE"""),177)</f>
        <v>177</v>
      </c>
      <c r="G160">
        <f ca="1">IFERROR(__xludf.DUMMYFUNCTION("""COMPUTED_VALUE"""),18)</f>
        <v>18</v>
      </c>
      <c r="H160">
        <f ca="1">IFERROR(__xludf.DUMMYFUNCTION("""COMPUTED_VALUE"""),90)</f>
        <v>90</v>
      </c>
    </row>
    <row r="161" spans="1:8" ht="12.75">
      <c r="A161" t="str">
        <f ca="1">IFERROR(__xludf.DUMMYFUNCTION("""COMPUTED_VALUE"""),"T158")</f>
        <v>T158</v>
      </c>
      <c r="B161" t="str">
        <f ca="1">IFERROR(__xludf.DUMMYFUNCTION("""COMPUTED_VALUE"""),"T151")</f>
        <v>T151</v>
      </c>
      <c r="C161" t="str">
        <f ca="1">IFERROR(__xludf.DUMMYFUNCTION("""COMPUTED_VALUE"""),"Tiger Woods")</f>
        <v>Tiger Woods</v>
      </c>
      <c r="D161">
        <f ca="1">IFERROR(__xludf.DUMMYFUNCTION("""COMPUTED_VALUE"""),6)</f>
        <v>6</v>
      </c>
      <c r="E161" t="str">
        <f ca="1">IFERROR(__xludf.DUMMYFUNCTION("""COMPUTED_VALUE"""),"9' 10""")</f>
        <v>9' 10"</v>
      </c>
      <c r="F161">
        <f ca="1">IFERROR(__xludf.DUMMYFUNCTION("""COMPUTED_VALUE"""),127.667)</f>
        <v>127.667</v>
      </c>
      <c r="G161">
        <f ca="1">IFERROR(__xludf.DUMMYFUNCTION("""COMPUTED_VALUE"""),13)</f>
        <v>13</v>
      </c>
      <c r="H161">
        <f ca="1">IFERROR(__xludf.DUMMYFUNCTION("""COMPUTED_VALUE"""),276)</f>
        <v>276</v>
      </c>
    </row>
    <row r="162" spans="1:8" ht="12.75">
      <c r="A162" t="str">
        <f ca="1">IFERROR(__xludf.DUMMYFUNCTION("""COMPUTED_VALUE"""),"T158")</f>
        <v>T158</v>
      </c>
      <c r="B162" t="str">
        <f ca="1">IFERROR(__xludf.DUMMYFUNCTION("""COMPUTED_VALUE"""),"T121")</f>
        <v>T121</v>
      </c>
      <c r="C162" t="str">
        <f ca="1">IFERROR(__xludf.DUMMYFUNCTION("""COMPUTED_VALUE"""),"J.T. Poston")</f>
        <v>J.T. Poston</v>
      </c>
      <c r="D162">
        <f ca="1">IFERROR(__xludf.DUMMYFUNCTION("""COMPUTED_VALUE"""),18)</f>
        <v>18</v>
      </c>
      <c r="E162" t="str">
        <f ca="1">IFERROR(__xludf.DUMMYFUNCTION("""COMPUTED_VALUE"""),"9' 10""")</f>
        <v>9' 10"</v>
      </c>
      <c r="F162">
        <f ca="1">IFERROR(__xludf.DUMMYFUNCTION("""COMPUTED_VALUE"""),255.917)</f>
        <v>255.917</v>
      </c>
      <c r="G162">
        <f ca="1">IFERROR(__xludf.DUMMYFUNCTION("""COMPUTED_VALUE"""),26)</f>
        <v>26</v>
      </c>
      <c r="H162">
        <f ca="1">IFERROR(__xludf.DUMMYFUNCTION("""COMPUTED_VALUE"""),132)</f>
        <v>132</v>
      </c>
    </row>
    <row r="163" spans="1:8" ht="12.75">
      <c r="A163" t="str">
        <f ca="1">IFERROR(__xludf.DUMMYFUNCTION("""COMPUTED_VALUE"""),"T158")</f>
        <v>T158</v>
      </c>
      <c r="B163" t="str">
        <f ca="1">IFERROR(__xludf.DUMMYFUNCTION("""COMPUTED_VALUE"""),"T137")</f>
        <v>T137</v>
      </c>
      <c r="C163" t="str">
        <f ca="1">IFERROR(__xludf.DUMMYFUNCTION("""COMPUTED_VALUE"""),"Talor Gooch")</f>
        <v>Talor Gooch</v>
      </c>
      <c r="D163">
        <f ca="1">IFERROR(__xludf.DUMMYFUNCTION("""COMPUTED_VALUE"""),20)</f>
        <v>20</v>
      </c>
      <c r="E163" t="str">
        <f ca="1">IFERROR(__xludf.DUMMYFUNCTION("""COMPUTED_VALUE"""),"9' 10""")</f>
        <v>9' 10"</v>
      </c>
      <c r="F163">
        <f ca="1">IFERROR(__xludf.DUMMYFUNCTION("""COMPUTED_VALUE"""),197.417)</f>
        <v>197.417</v>
      </c>
      <c r="G163">
        <f ca="1">IFERROR(__xludf.DUMMYFUNCTION("""COMPUTED_VALUE"""),20)</f>
        <v>20</v>
      </c>
      <c r="H163">
        <f ca="1">IFERROR(__xludf.DUMMYFUNCTION("""COMPUTED_VALUE"""),9)</f>
        <v>9</v>
      </c>
    </row>
    <row r="164" spans="1:8" ht="12.75">
      <c r="A164" t="str">
        <f ca="1">IFERROR(__xludf.DUMMYFUNCTION("""COMPUTED_VALUE"""),"T158")</f>
        <v>T158</v>
      </c>
      <c r="B164" t="str">
        <f ca="1">IFERROR(__xludf.DUMMYFUNCTION("""COMPUTED_VALUE"""),"T151")</f>
        <v>T151</v>
      </c>
      <c r="C164" t="str">
        <f ca="1">IFERROR(__xludf.DUMMYFUNCTION("""COMPUTED_VALUE"""),"Robert MacIntyre")</f>
        <v>Robert MacIntyre</v>
      </c>
      <c r="D164">
        <f ca="1">IFERROR(__xludf.DUMMYFUNCTION("""COMPUTED_VALUE"""),4)</f>
        <v>4</v>
      </c>
      <c r="E164" t="str">
        <f ca="1">IFERROR(__xludf.DUMMYFUNCTION("""COMPUTED_VALUE"""),"9' 10""")</f>
        <v>9' 10"</v>
      </c>
      <c r="F164">
        <f ca="1">IFERROR(__xludf.DUMMYFUNCTION("""COMPUTED_VALUE"""),78.917)</f>
        <v>78.917000000000002</v>
      </c>
      <c r="G164">
        <f ca="1">IFERROR(__xludf.DUMMYFUNCTION("""COMPUTED_VALUE"""),8)</f>
        <v>8</v>
      </c>
      <c r="H164">
        <f ca="1">IFERROR(__xludf.DUMMYFUNCTION("""COMPUTED_VALUE"""),261)</f>
        <v>261</v>
      </c>
    </row>
    <row r="165" spans="1:8" ht="12.75">
      <c r="A165" t="str">
        <f ca="1">IFERROR(__xludf.DUMMYFUNCTION("""COMPUTED_VALUE"""),"T164")</f>
        <v>T164</v>
      </c>
      <c r="B165" t="str">
        <f ca="1">IFERROR(__xludf.DUMMYFUNCTION("""COMPUTED_VALUE"""),"T64")</f>
        <v>T64</v>
      </c>
      <c r="C165" t="str">
        <f ca="1">IFERROR(__xludf.DUMMYFUNCTION("""COMPUTED_VALUE"""),"Adam Schenk")</f>
        <v>Adam Schenk</v>
      </c>
      <c r="D165">
        <f ca="1">IFERROR(__xludf.DUMMYFUNCTION("""COMPUTED_VALUE"""),22)</f>
        <v>22</v>
      </c>
      <c r="E165" t="str">
        <f ca="1">IFERROR(__xludf.DUMMYFUNCTION("""COMPUTED_VALUE"""),"9' 11""")</f>
        <v>9' 11"</v>
      </c>
      <c r="F165">
        <f ca="1">IFERROR(__xludf.DUMMYFUNCTION("""COMPUTED_VALUE"""),228.75)</f>
        <v>228.75</v>
      </c>
      <c r="G165">
        <f ca="1">IFERROR(__xludf.DUMMYFUNCTION("""COMPUTED_VALUE"""),23)</f>
        <v>23</v>
      </c>
      <c r="H165">
        <f ca="1">IFERROR(__xludf.DUMMYFUNCTION("""COMPUTED_VALUE"""),53)</f>
        <v>53</v>
      </c>
    </row>
    <row r="166" spans="1:8" ht="12.75">
      <c r="A166" t="str">
        <f ca="1">IFERROR(__xludf.DUMMYFUNCTION("""COMPUTED_VALUE"""),"T164")</f>
        <v>T164</v>
      </c>
      <c r="B166" t="str">
        <f ca="1">IFERROR(__xludf.DUMMYFUNCTION("""COMPUTED_VALUE"""),"T155")</f>
        <v>T155</v>
      </c>
      <c r="C166" t="str">
        <f ca="1">IFERROR(__xludf.DUMMYFUNCTION("""COMPUTED_VALUE"""),"Hanbyeol Kim")</f>
        <v>Hanbyeol Kim</v>
      </c>
      <c r="D166">
        <f ca="1">IFERROR(__xludf.DUMMYFUNCTION("""COMPUTED_VALUE"""),4)</f>
        <v>4</v>
      </c>
      <c r="E166" t="str">
        <f ca="1">IFERROR(__xludf.DUMMYFUNCTION("""COMPUTED_VALUE"""),"9' 11""")</f>
        <v>9' 11"</v>
      </c>
      <c r="F166">
        <f ca="1">IFERROR(__xludf.DUMMYFUNCTION("""COMPUTED_VALUE"""),19.75)</f>
        <v>19.75</v>
      </c>
      <c r="G166">
        <f ca="1">IFERROR(__xludf.DUMMYFUNCTION("""COMPUTED_VALUE"""),2)</f>
        <v>2</v>
      </c>
      <c r="H166">
        <f ca="1">IFERROR(__xludf.DUMMYFUNCTION("""COMPUTED_VALUE"""),280)</f>
        <v>280</v>
      </c>
    </row>
    <row r="167" spans="1:8" ht="12.75">
      <c r="A167" t="str">
        <f ca="1">IFERROR(__xludf.DUMMYFUNCTION("""COMPUTED_VALUE"""),"T164")</f>
        <v>T164</v>
      </c>
      <c r="B167" t="str">
        <f ca="1">IFERROR(__xludf.DUMMYFUNCTION("""COMPUTED_VALUE"""),"T155")</f>
        <v>T155</v>
      </c>
      <c r="C167" t="str">
        <f ca="1">IFERROR(__xludf.DUMMYFUNCTION("""COMPUTED_VALUE"""),"Ryo Ishikawa")</f>
        <v>Ryo Ishikawa</v>
      </c>
      <c r="D167">
        <f ca="1">IFERROR(__xludf.DUMMYFUNCTION("""COMPUTED_VALUE"""),8)</f>
        <v>8</v>
      </c>
      <c r="E167" t="str">
        <f ca="1">IFERROR(__xludf.DUMMYFUNCTION("""COMPUTED_VALUE"""),"9' 11""")</f>
        <v>9' 11"</v>
      </c>
      <c r="F167">
        <f ca="1">IFERROR(__xludf.DUMMYFUNCTION("""COMPUTED_VALUE"""),158.75)</f>
        <v>158.75</v>
      </c>
      <c r="G167">
        <f ca="1">IFERROR(__xludf.DUMMYFUNCTION("""COMPUTED_VALUE"""),16)</f>
        <v>16</v>
      </c>
      <c r="H167">
        <f ca="1">IFERROR(__xludf.DUMMYFUNCTION("""COMPUTED_VALUE"""),81)</f>
        <v>81</v>
      </c>
    </row>
    <row r="168" spans="1:8" ht="12.75">
      <c r="A168" t="str">
        <f ca="1">IFERROR(__xludf.DUMMYFUNCTION("""COMPUTED_VALUE"""),"T167")</f>
        <v>T167</v>
      </c>
      <c r="B168" t="str">
        <f ca="1">IFERROR(__xludf.DUMMYFUNCTION("""COMPUTED_VALUE"""),"T158")</f>
        <v>T158</v>
      </c>
      <c r="C168" t="str">
        <f ca="1">IFERROR(__xludf.DUMMYFUNCTION("""COMPUTED_VALUE"""),"Sebastián Muñoz")</f>
        <v>Sebastián Muñoz</v>
      </c>
      <c r="D168">
        <f ca="1">IFERROR(__xludf.DUMMYFUNCTION("""COMPUTED_VALUE"""),20)</f>
        <v>20</v>
      </c>
      <c r="E168" t="str">
        <f ca="1">IFERROR(__xludf.DUMMYFUNCTION("""COMPUTED_VALUE"""),"10' 0""")</f>
        <v>10' 0"</v>
      </c>
      <c r="F168">
        <f ca="1">IFERROR(__xludf.DUMMYFUNCTION("""COMPUTED_VALUE"""),219.167)</f>
        <v>219.167</v>
      </c>
      <c r="G168">
        <f ca="1">IFERROR(__xludf.DUMMYFUNCTION("""COMPUTED_VALUE"""),22)</f>
        <v>22</v>
      </c>
      <c r="H168">
        <f ca="1">IFERROR(__xludf.DUMMYFUNCTION("""COMPUTED_VALUE"""),110)</f>
        <v>110</v>
      </c>
    </row>
    <row r="169" spans="1:8" ht="12.75">
      <c r="A169" t="str">
        <f ca="1">IFERROR(__xludf.DUMMYFUNCTION("""COMPUTED_VALUE"""),"T167")</f>
        <v>T167</v>
      </c>
      <c r="B169" t="str">
        <f ca="1">IFERROR(__xludf.DUMMYFUNCTION("""COMPUTED_VALUE"""),"T158")</f>
        <v>T158</v>
      </c>
      <c r="C169" t="str">
        <f ca="1">IFERROR(__xludf.DUMMYFUNCTION("""COMPUTED_VALUE"""),"Dominic Bozzelli")</f>
        <v>Dominic Bozzelli</v>
      </c>
      <c r="D169">
        <f ca="1">IFERROR(__xludf.DUMMYFUNCTION("""COMPUTED_VALUE"""),8)</f>
        <v>8</v>
      </c>
      <c r="E169" t="str">
        <f ca="1">IFERROR(__xludf.DUMMYFUNCTION("""COMPUTED_VALUE"""),"10' 0""")</f>
        <v>10' 0"</v>
      </c>
      <c r="F169">
        <f ca="1">IFERROR(__xludf.DUMMYFUNCTION("""COMPUTED_VALUE"""),19.917)</f>
        <v>19.917000000000002</v>
      </c>
      <c r="G169">
        <f ca="1">IFERROR(__xludf.DUMMYFUNCTION("""COMPUTED_VALUE"""),2)</f>
        <v>2</v>
      </c>
      <c r="H169">
        <f ca="1">IFERROR(__xludf.DUMMYFUNCTION("""COMPUTED_VALUE"""),31)</f>
        <v>31</v>
      </c>
    </row>
    <row r="170" spans="1:8" ht="12.75">
      <c r="A170" t="str">
        <f ca="1">IFERROR(__xludf.DUMMYFUNCTION("""COMPUTED_VALUE"""),"T169")</f>
        <v>T169</v>
      </c>
      <c r="B170" t="str">
        <f ca="1">IFERROR(__xludf.DUMMYFUNCTION("""COMPUTED_VALUE"""),"T162")</f>
        <v>T162</v>
      </c>
      <c r="C170" t="str">
        <f ca="1">IFERROR(__xludf.DUMMYFUNCTION("""COMPUTED_VALUE"""),"Jordan Spieth")</f>
        <v>Jordan Spieth</v>
      </c>
      <c r="D170">
        <f ca="1">IFERROR(__xludf.DUMMYFUNCTION("""COMPUTED_VALUE"""),14)</f>
        <v>14</v>
      </c>
      <c r="E170" t="str">
        <f ca="1">IFERROR(__xludf.DUMMYFUNCTION("""COMPUTED_VALUE"""),"10' 2""")</f>
        <v>10' 2"</v>
      </c>
      <c r="F170">
        <f ca="1">IFERROR(__xludf.DUMMYFUNCTION("""COMPUTED_VALUE"""),132.167)</f>
        <v>132.167</v>
      </c>
      <c r="G170">
        <f ca="1">IFERROR(__xludf.DUMMYFUNCTION("""COMPUTED_VALUE"""),13)</f>
        <v>13</v>
      </c>
      <c r="H170">
        <f ca="1">IFERROR(__xludf.DUMMYFUNCTION("""COMPUTED_VALUE"""),177)</f>
        <v>177</v>
      </c>
    </row>
    <row r="171" spans="1:8" ht="12.75">
      <c r="A171" t="str">
        <f ca="1">IFERROR(__xludf.DUMMYFUNCTION("""COMPUTED_VALUE"""),"T169")</f>
        <v>T169</v>
      </c>
      <c r="B171" t="str">
        <f ca="1">IFERROR(__xludf.DUMMYFUNCTION("""COMPUTED_VALUE"""),"T162")</f>
        <v>T162</v>
      </c>
      <c r="C171" t="str">
        <f ca="1">IFERROR(__xludf.DUMMYFUNCTION("""COMPUTED_VALUE"""),"Taylor Pendrith")</f>
        <v>Taylor Pendrith</v>
      </c>
      <c r="D171">
        <f ca="1">IFERROR(__xludf.DUMMYFUNCTION("""COMPUTED_VALUE"""),4)</f>
        <v>4</v>
      </c>
      <c r="E171" t="str">
        <f ca="1">IFERROR(__xludf.DUMMYFUNCTION("""COMPUTED_VALUE"""),"10' 2""")</f>
        <v>10' 2"</v>
      </c>
      <c r="F171">
        <f ca="1">IFERROR(__xludf.DUMMYFUNCTION("""COMPUTED_VALUE"""),112.083)</f>
        <v>112.083</v>
      </c>
      <c r="G171">
        <f ca="1">IFERROR(__xludf.DUMMYFUNCTION("""COMPUTED_VALUE"""),11)</f>
        <v>11</v>
      </c>
      <c r="H171">
        <f ca="1">IFERROR(__xludf.DUMMYFUNCTION("""COMPUTED_VALUE"""),235)</f>
        <v>235</v>
      </c>
    </row>
    <row r="172" spans="1:8" ht="12.75">
      <c r="A172" t="str">
        <f ca="1">IFERROR(__xludf.DUMMYFUNCTION("""COMPUTED_VALUE"""),"T169")</f>
        <v>T169</v>
      </c>
      <c r="B172" t="str">
        <f ca="1">IFERROR(__xludf.DUMMYFUNCTION("""COMPUTED_VALUE"""),"T162")</f>
        <v>T162</v>
      </c>
      <c r="C172" t="str">
        <f ca="1">IFERROR(__xludf.DUMMYFUNCTION("""COMPUTED_VALUE"""),"Jim Herman")</f>
        <v>Jim Herman</v>
      </c>
      <c r="D172">
        <f ca="1">IFERROR(__xludf.DUMMYFUNCTION("""COMPUTED_VALUE"""),12)</f>
        <v>12</v>
      </c>
      <c r="E172" t="str">
        <f ca="1">IFERROR(__xludf.DUMMYFUNCTION("""COMPUTED_VALUE"""),"10' 2""")</f>
        <v>10' 2"</v>
      </c>
      <c r="F172">
        <f ca="1">IFERROR(__xludf.DUMMYFUNCTION("""COMPUTED_VALUE"""),102)</f>
        <v>102</v>
      </c>
      <c r="G172">
        <f ca="1">IFERROR(__xludf.DUMMYFUNCTION("""COMPUTED_VALUE"""),10)</f>
        <v>10</v>
      </c>
      <c r="H172">
        <f ca="1">IFERROR(__xludf.DUMMYFUNCTION("""COMPUTED_VALUE"""),155)</f>
        <v>155</v>
      </c>
    </row>
    <row r="173" spans="1:8" ht="12.75">
      <c r="A173" t="str">
        <f ca="1">IFERROR(__xludf.DUMMYFUNCTION("""COMPUTED_VALUE"""),"T169")</f>
        <v>T169</v>
      </c>
      <c r="B173" t="str">
        <f ca="1">IFERROR(__xludf.DUMMYFUNCTION("""COMPUTED_VALUE"""),"T231")</f>
        <v>T231</v>
      </c>
      <c r="C173" t="str">
        <f ca="1">IFERROR(__xludf.DUMMYFUNCTION("""COMPUTED_VALUE"""),"Adam Scott")</f>
        <v>Adam Scott</v>
      </c>
      <c r="D173">
        <f ca="1">IFERROR(__xludf.DUMMYFUNCTION("""COMPUTED_VALUE"""),8)</f>
        <v>8</v>
      </c>
      <c r="E173" t="str">
        <f ca="1">IFERROR(__xludf.DUMMYFUNCTION("""COMPUTED_VALUE"""),"10' 2""")</f>
        <v>10' 2"</v>
      </c>
      <c r="F173">
        <f ca="1">IFERROR(__xludf.DUMMYFUNCTION("""COMPUTED_VALUE"""),111.417)</f>
        <v>111.417</v>
      </c>
      <c r="G173">
        <f ca="1">IFERROR(__xludf.DUMMYFUNCTION("""COMPUTED_VALUE"""),11)</f>
        <v>11</v>
      </c>
      <c r="H173">
        <f ca="1">IFERROR(__xludf.DUMMYFUNCTION("""COMPUTED_VALUE"""),287)</f>
        <v>287</v>
      </c>
    </row>
    <row r="174" spans="1:8" ht="12.75">
      <c r="A174" t="str">
        <f ca="1">IFERROR(__xludf.DUMMYFUNCTION("""COMPUTED_VALUE"""),"T169")</f>
        <v>T169</v>
      </c>
      <c r="B174" t="str">
        <f ca="1">IFERROR(__xludf.DUMMYFUNCTION("""COMPUTED_VALUE"""),"T162")</f>
        <v>T162</v>
      </c>
      <c r="C174" t="str">
        <f ca="1">IFERROR(__xludf.DUMMYFUNCTION("""COMPUTED_VALUE"""),"Paul Casey")</f>
        <v>Paul Casey</v>
      </c>
      <c r="D174">
        <f ca="1">IFERROR(__xludf.DUMMYFUNCTION("""COMPUTED_VALUE"""),14)</f>
        <v>14</v>
      </c>
      <c r="E174" t="str">
        <f ca="1">IFERROR(__xludf.DUMMYFUNCTION("""COMPUTED_VALUE"""),"10' 2""")</f>
        <v>10' 2"</v>
      </c>
      <c r="F174">
        <f ca="1">IFERROR(__xludf.DUMMYFUNCTION("""COMPUTED_VALUE"""),153.083)</f>
        <v>153.083</v>
      </c>
      <c r="G174">
        <f ca="1">IFERROR(__xludf.DUMMYFUNCTION("""COMPUTED_VALUE"""),15)</f>
        <v>15</v>
      </c>
      <c r="H174">
        <f ca="1">IFERROR(__xludf.DUMMYFUNCTION("""COMPUTED_VALUE"""),163)</f>
        <v>163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IFERROR(__xludf.DUMMYFUNCTION("""COMPUTED_VALUE"""),"T166")</f>
        <v>T166</v>
      </c>
      <c r="C175" t="str">
        <f ca="1">IFERROR(__xludf.DUMMYFUNCTION("""COMPUTED_VALUE"""),"Matt Kuchar")</f>
        <v>Matt Kuchar</v>
      </c>
      <c r="D175">
        <f ca="1">IFERROR(__xludf.DUMMYFUNCTION("""COMPUTED_VALUE"""),14)</f>
        <v>14</v>
      </c>
      <c r="E175" t="str">
        <f ca="1">IFERROR(__xludf.DUMMYFUNCTION("""COMPUTED_VALUE"""),"10' 3""")</f>
        <v>10' 3"</v>
      </c>
      <c r="F175">
        <f ca="1">IFERROR(__xludf.DUMMYFUNCTION("""COMPUTED_VALUE"""),153.917)</f>
        <v>153.917</v>
      </c>
      <c r="G175">
        <f ca="1">IFERROR(__xludf.DUMMYFUNCTION("""COMPUTED_VALUE"""),15)</f>
        <v>15</v>
      </c>
      <c r="H175">
        <f ca="1">IFERROR(__xludf.DUMMYFUNCTION("""COMPUTED_VALUE"""),200)</f>
        <v>200</v>
      </c>
    </row>
    <row r="176" spans="1:8" ht="12.75">
      <c r="A176" t="str">
        <f ca="1">IFERROR(__xludf.DUMMYFUNCTION("""COMPUTED_VALUE"""),"T174")</f>
        <v>T174</v>
      </c>
      <c r="B176" t="str">
        <f ca="1">IFERROR(__xludf.DUMMYFUNCTION("""COMPUTED_VALUE"""),"T182")</f>
        <v>T182</v>
      </c>
      <c r="C176" t="str">
        <f ca="1">IFERROR(__xludf.DUMMYFUNCTION("""COMPUTED_VALUE"""),"Michael Thompson")</f>
        <v>Michael Thompson</v>
      </c>
      <c r="D176">
        <f ca="1">IFERROR(__xludf.DUMMYFUNCTION("""COMPUTED_VALUE"""),16)</f>
        <v>16</v>
      </c>
      <c r="E176" t="str">
        <f ca="1">IFERROR(__xludf.DUMMYFUNCTION("""COMPUTED_VALUE"""),"10' 3""")</f>
        <v>10' 3"</v>
      </c>
      <c r="F176">
        <f ca="1">IFERROR(__xludf.DUMMYFUNCTION("""COMPUTED_VALUE"""),185.083)</f>
        <v>185.083</v>
      </c>
      <c r="G176">
        <f ca="1">IFERROR(__xludf.DUMMYFUNCTION("""COMPUTED_VALUE"""),18)</f>
        <v>18</v>
      </c>
      <c r="H176">
        <f ca="1">IFERROR(__xludf.DUMMYFUNCTION("""COMPUTED_VALUE"""),244)</f>
        <v>244</v>
      </c>
    </row>
    <row r="177" spans="1:8" ht="12.75">
      <c r="A177" t="str">
        <f ca="1">IFERROR(__xludf.DUMMYFUNCTION("""COMPUTED_VALUE"""),"T174")</f>
        <v>T174</v>
      </c>
      <c r="B177" t="str">
        <f ca="1">IFERROR(__xludf.DUMMYFUNCTION("""COMPUTED_VALUE"""),"T166")</f>
        <v>T166</v>
      </c>
      <c r="C177" t="str">
        <f ca="1">IFERROR(__xludf.DUMMYFUNCTION("""COMPUTED_VALUE"""),"Michael Gligic")</f>
        <v>Michael Gligic</v>
      </c>
      <c r="D177">
        <f ca="1">IFERROR(__xludf.DUMMYFUNCTION("""COMPUTED_VALUE"""),18)</f>
        <v>18</v>
      </c>
      <c r="E177" t="str">
        <f ca="1">IFERROR(__xludf.DUMMYFUNCTION("""COMPUTED_VALUE"""),"10' 3""")</f>
        <v>10' 3"</v>
      </c>
      <c r="F177">
        <f ca="1">IFERROR(__xludf.DUMMYFUNCTION("""COMPUTED_VALUE"""),163.75)</f>
        <v>163.75</v>
      </c>
      <c r="G177">
        <f ca="1">IFERROR(__xludf.DUMMYFUNCTION("""COMPUTED_VALUE"""),16)</f>
        <v>16</v>
      </c>
      <c r="H177">
        <f ca="1">IFERROR(__xludf.DUMMYFUNCTION("""COMPUTED_VALUE"""),14)</f>
        <v>14</v>
      </c>
    </row>
    <row r="178" spans="1:8" ht="12.75">
      <c r="A178" t="str">
        <f ca="1">IFERROR(__xludf.DUMMYFUNCTION("""COMPUTED_VALUE"""),"T174")</f>
        <v>T174</v>
      </c>
      <c r="B178" t="str">
        <f ca="1">IFERROR(__xludf.DUMMYFUNCTION("""COMPUTED_VALUE"""),"T171")</f>
        <v>T171</v>
      </c>
      <c r="C178" t="str">
        <f ca="1">IFERROR(__xludf.DUMMYFUNCTION("""COMPUTED_VALUE"""),"Sung Kang")</f>
        <v>Sung Kang</v>
      </c>
      <c r="D178">
        <f ca="1">IFERROR(__xludf.DUMMYFUNCTION("""COMPUTED_VALUE"""),14)</f>
        <v>14</v>
      </c>
      <c r="E178" t="str">
        <f ca="1">IFERROR(__xludf.DUMMYFUNCTION("""COMPUTED_VALUE"""),"10' 3""")</f>
        <v>10' 3"</v>
      </c>
      <c r="F178">
        <f ca="1">IFERROR(__xludf.DUMMYFUNCTION("""COMPUTED_VALUE"""),277)</f>
        <v>277</v>
      </c>
      <c r="G178">
        <f ca="1">IFERROR(__xludf.DUMMYFUNCTION("""COMPUTED_VALUE"""),27)</f>
        <v>27</v>
      </c>
      <c r="H178">
        <f ca="1">IFERROR(__xludf.DUMMYFUNCTION("""COMPUTED_VALUE"""),281)</f>
        <v>281</v>
      </c>
    </row>
    <row r="179" spans="1:8" ht="12.75">
      <c r="A179" t="str">
        <f ca="1">IFERROR(__xludf.DUMMYFUNCTION("""COMPUTED_VALUE"""),"T174")</f>
        <v>T174</v>
      </c>
      <c r="B179" t="str">
        <f ca="1">IFERROR(__xludf.DUMMYFUNCTION("""COMPUTED_VALUE"""),"T166")</f>
        <v>T166</v>
      </c>
      <c r="C179" t="str">
        <f ca="1">IFERROR(__xludf.DUMMYFUNCTION("""COMPUTED_VALUE"""),"Stephan Jaeger")</f>
        <v>Stephan Jaeger</v>
      </c>
      <c r="D179">
        <f ca="1">IFERROR(__xludf.DUMMYFUNCTION("""COMPUTED_VALUE"""),4)</f>
        <v>4</v>
      </c>
      <c r="E179" t="str">
        <f ca="1">IFERROR(__xludf.DUMMYFUNCTION("""COMPUTED_VALUE"""),"10' 3""")</f>
        <v>10' 3"</v>
      </c>
      <c r="F179">
        <f ca="1">IFERROR(__xludf.DUMMYFUNCTION("""COMPUTED_VALUE"""),92)</f>
        <v>92</v>
      </c>
      <c r="G179">
        <f ca="1">IFERROR(__xludf.DUMMYFUNCTION("""COMPUTED_VALUE"""),9)</f>
        <v>9</v>
      </c>
      <c r="H179">
        <f ca="1">IFERROR(__xludf.DUMMYFUNCTION("""COMPUTED_VALUE"""),185)</f>
        <v>185</v>
      </c>
    </row>
    <row r="180" spans="1:8" ht="12.75">
      <c r="A180" t="str">
        <f ca="1">IFERROR(__xludf.DUMMYFUNCTION("""COMPUTED_VALUE"""),"T179")</f>
        <v>T179</v>
      </c>
      <c r="B180" t="str">
        <f ca="1">IFERROR(__xludf.DUMMYFUNCTION("""COMPUTED_VALUE"""),"T171")</f>
        <v>T171</v>
      </c>
      <c r="C180" t="str">
        <f ca="1">IFERROR(__xludf.DUMMYFUNCTION("""COMPUTED_VALUE"""),"Sebastian Cappelen")</f>
        <v>Sebastian Cappelen</v>
      </c>
      <c r="D180">
        <f ca="1">IFERROR(__xludf.DUMMYFUNCTION("""COMPUTED_VALUE"""),8)</f>
        <v>8</v>
      </c>
      <c r="E180" t="str">
        <f ca="1">IFERROR(__xludf.DUMMYFUNCTION("""COMPUTED_VALUE"""),"10' 4""")</f>
        <v>10' 4"</v>
      </c>
      <c r="F180">
        <f ca="1">IFERROR(__xludf.DUMMYFUNCTION("""COMPUTED_VALUE"""),72.25)</f>
        <v>72.25</v>
      </c>
      <c r="G180">
        <f ca="1">IFERROR(__xludf.DUMMYFUNCTION("""COMPUTED_VALUE"""),7)</f>
        <v>7</v>
      </c>
      <c r="H180">
        <f ca="1">IFERROR(__xludf.DUMMYFUNCTION("""COMPUTED_VALUE"""),76)</f>
        <v>76</v>
      </c>
    </row>
    <row r="181" spans="1:8" ht="12.75">
      <c r="A181" t="str">
        <f ca="1">IFERROR(__xludf.DUMMYFUNCTION("""COMPUTED_VALUE"""),"T179")</f>
        <v>T179</v>
      </c>
      <c r="B181" t="str">
        <f ca="1">IFERROR(__xludf.DUMMYFUNCTION("""COMPUTED_VALUE"""),"T171")</f>
        <v>T171</v>
      </c>
      <c r="C181" t="str">
        <f ca="1">IFERROR(__xludf.DUMMYFUNCTION("""COMPUTED_VALUE"""),"Cameron Percy")</f>
        <v>Cameron Percy</v>
      </c>
      <c r="D181">
        <f ca="1">IFERROR(__xludf.DUMMYFUNCTION("""COMPUTED_VALUE"""),16)</f>
        <v>16</v>
      </c>
      <c r="E181" t="str">
        <f ca="1">IFERROR(__xludf.DUMMYFUNCTION("""COMPUTED_VALUE"""),"10' 4""")</f>
        <v>10' 4"</v>
      </c>
      <c r="F181">
        <f ca="1">IFERROR(__xludf.DUMMYFUNCTION("""COMPUTED_VALUE"""),62.167)</f>
        <v>62.167000000000002</v>
      </c>
      <c r="G181">
        <f ca="1">IFERROR(__xludf.DUMMYFUNCTION("""COMPUTED_VALUE"""),6)</f>
        <v>6</v>
      </c>
      <c r="H181">
        <f ca="1">IFERROR(__xludf.DUMMYFUNCTION("""COMPUTED_VALUE"""),96)</f>
        <v>96</v>
      </c>
    </row>
    <row r="182" spans="1:8" ht="12.75">
      <c r="A182" t="str">
        <f ca="1">IFERROR(__xludf.DUMMYFUNCTION("""COMPUTED_VALUE"""),"T179")</f>
        <v>T179</v>
      </c>
      <c r="B182" t="str">
        <f ca="1">IFERROR(__xludf.DUMMYFUNCTION("""COMPUTED_VALUE"""),"T171")</f>
        <v>T171</v>
      </c>
      <c r="C182" t="str">
        <f ca="1">IFERROR(__xludf.DUMMYFUNCTION("""COMPUTED_VALUE"""),"Nick Taylor")</f>
        <v>Nick Taylor</v>
      </c>
      <c r="D182">
        <f ca="1">IFERROR(__xludf.DUMMYFUNCTION("""COMPUTED_VALUE"""),12)</f>
        <v>12</v>
      </c>
      <c r="E182" t="str">
        <f ca="1">IFERROR(__xludf.DUMMYFUNCTION("""COMPUTED_VALUE"""),"10' 4""")</f>
        <v>10' 4"</v>
      </c>
      <c r="F182">
        <f ca="1">IFERROR(__xludf.DUMMYFUNCTION("""COMPUTED_VALUE"""),123.667)</f>
        <v>123.667</v>
      </c>
      <c r="G182">
        <f ca="1">IFERROR(__xludf.DUMMYFUNCTION("""COMPUTED_VALUE"""),12)</f>
        <v>12</v>
      </c>
      <c r="H182">
        <f ca="1">IFERROR(__xludf.DUMMYFUNCTION("""COMPUTED_VALUE"""),188)</f>
        <v>188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IFERROR(__xludf.DUMMYFUNCTION("""COMPUTED_VALUE"""),"T178")</f>
        <v>T178</v>
      </c>
      <c r="C183" t="str">
        <f ca="1">IFERROR(__xludf.DUMMYFUNCTION("""COMPUTED_VALUE"""),"Luke Donald")</f>
        <v>Luke Donald</v>
      </c>
      <c r="D183">
        <f ca="1">IFERROR(__xludf.DUMMYFUNCTION("""COMPUTED_VALUE"""),14)</f>
        <v>14</v>
      </c>
      <c r="E183" t="str">
        <f ca="1">IFERROR(__xludf.DUMMYFUNCTION("""COMPUTED_VALUE"""),"10' 5""")</f>
        <v>10' 5"</v>
      </c>
      <c r="F183">
        <f ca="1">IFERROR(__xludf.DUMMYFUNCTION("""COMPUTED_VALUE"""),146.333)</f>
        <v>146.333</v>
      </c>
      <c r="G183">
        <f ca="1">IFERROR(__xludf.DUMMYFUNCTION("""COMPUTED_VALUE"""),14)</f>
        <v>14</v>
      </c>
      <c r="H183">
        <f ca="1">IFERROR(__xludf.DUMMYFUNCTION("""COMPUTED_VALUE"""),254)</f>
        <v>254</v>
      </c>
    </row>
    <row r="184" spans="1:8" ht="12.75">
      <c r="A184" t="str">
        <f ca="1">IFERROR(__xludf.DUMMYFUNCTION("""COMPUTED_VALUE"""),"T182")</f>
        <v>T182</v>
      </c>
      <c r="B184" t="str">
        <f ca="1">IFERROR(__xludf.DUMMYFUNCTION("""COMPUTED_VALUE"""),"T178")</f>
        <v>T178</v>
      </c>
      <c r="C184" t="str">
        <f ca="1">IFERROR(__xludf.DUMMYFUNCTION("""COMPUTED_VALUE"""),"Will Zalatoris")</f>
        <v>Will Zalatoris</v>
      </c>
      <c r="D184">
        <f ca="1">IFERROR(__xludf.DUMMYFUNCTION("""COMPUTED_VALUE"""),18)</f>
        <v>18</v>
      </c>
      <c r="E184" t="str">
        <f ca="1">IFERROR(__xludf.DUMMYFUNCTION("""COMPUTED_VALUE"""),"10' 5""")</f>
        <v>10' 5"</v>
      </c>
      <c r="F184">
        <f ca="1">IFERROR(__xludf.DUMMYFUNCTION("""COMPUTED_VALUE"""),125.333)</f>
        <v>125.333</v>
      </c>
      <c r="G184">
        <f ca="1">IFERROR(__xludf.DUMMYFUNCTION("""COMPUTED_VALUE"""),12)</f>
        <v>12</v>
      </c>
      <c r="H184">
        <f ca="1">IFERROR(__xludf.DUMMYFUNCTION("""COMPUTED_VALUE"""),48)</f>
        <v>48</v>
      </c>
    </row>
    <row r="185" spans="1:8" ht="12.75">
      <c r="A185">
        <f ca="1">IFERROR(__xludf.DUMMYFUNCTION("""COMPUTED_VALUE"""),184)</f>
        <v>184</v>
      </c>
      <c r="B185">
        <f ca="1">IFERROR(__xludf.DUMMYFUNCTION("""COMPUTED_VALUE"""),181)</f>
        <v>181</v>
      </c>
      <c r="C185" t="str">
        <f ca="1">IFERROR(__xludf.DUMMYFUNCTION("""COMPUTED_VALUE"""),"K.J. Choi")</f>
        <v>K.J. Choi</v>
      </c>
      <c r="D185">
        <f ca="1">IFERROR(__xludf.DUMMYFUNCTION("""COMPUTED_VALUE"""),6)</f>
        <v>6</v>
      </c>
      <c r="E185" t="str">
        <f ca="1">IFERROR(__xludf.DUMMYFUNCTION("""COMPUTED_VALUE"""),"10' 6""")</f>
        <v>10' 6"</v>
      </c>
      <c r="F185">
        <f ca="1">IFERROR(__xludf.DUMMYFUNCTION("""COMPUTED_VALUE"""),115.333)</f>
        <v>115.333</v>
      </c>
      <c r="G185">
        <f ca="1">IFERROR(__xludf.DUMMYFUNCTION("""COMPUTED_VALUE"""),11)</f>
        <v>11</v>
      </c>
      <c r="H185">
        <f ca="1">IFERROR(__xludf.DUMMYFUNCTION("""COMPUTED_VALUE"""),160)</f>
        <v>160</v>
      </c>
    </row>
    <row r="186" spans="1:8" ht="12.75">
      <c r="A186">
        <f ca="1">IFERROR(__xludf.DUMMYFUNCTION("""COMPUTED_VALUE"""),185)</f>
        <v>185</v>
      </c>
      <c r="B186" t="str">
        <f ca="1">IFERROR(__xludf.DUMMYFUNCTION("""COMPUTED_VALUE"""),"T182")</f>
        <v>T182</v>
      </c>
      <c r="C186" t="str">
        <f ca="1">IFERROR(__xludf.DUMMYFUNCTION("""COMPUTED_VALUE"""),"Jason Kokrak")</f>
        <v>Jason Kokrak</v>
      </c>
      <c r="D186">
        <f ca="1">IFERROR(__xludf.DUMMYFUNCTION("""COMPUTED_VALUE"""),14)</f>
        <v>14</v>
      </c>
      <c r="E186" t="str">
        <f ca="1">IFERROR(__xludf.DUMMYFUNCTION("""COMPUTED_VALUE"""),"10' 7""")</f>
        <v>10' 7"</v>
      </c>
      <c r="F186">
        <f ca="1">IFERROR(__xludf.DUMMYFUNCTION("""COMPUTED_VALUE"""),126.5)</f>
        <v>126.5</v>
      </c>
      <c r="G186">
        <f ca="1">IFERROR(__xludf.DUMMYFUNCTION("""COMPUTED_VALUE"""),12)</f>
        <v>12</v>
      </c>
      <c r="H186">
        <f ca="1">IFERROR(__xludf.DUMMYFUNCTION("""COMPUTED_VALUE"""),93)</f>
        <v>93</v>
      </c>
    </row>
    <row r="187" spans="1:8" ht="12.75">
      <c r="A187" t="str">
        <f ca="1">IFERROR(__xludf.DUMMYFUNCTION("""COMPUTED_VALUE"""),"T186")</f>
        <v>T186</v>
      </c>
      <c r="B187" t="str">
        <f ca="1">IFERROR(__xludf.DUMMYFUNCTION("""COMPUTED_VALUE"""),"T78")</f>
        <v>T78</v>
      </c>
      <c r="C187" t="str">
        <f ca="1">IFERROR(__xludf.DUMMYFUNCTION("""COMPUTED_VALUE"""),"Adam Long")</f>
        <v>Adam Long</v>
      </c>
      <c r="D187">
        <f ca="1">IFERROR(__xludf.DUMMYFUNCTION("""COMPUTED_VALUE"""),22)</f>
        <v>22</v>
      </c>
      <c r="E187" t="str">
        <f ca="1">IFERROR(__xludf.DUMMYFUNCTION("""COMPUTED_VALUE"""),"10' 8""")</f>
        <v>10' 8"</v>
      </c>
      <c r="F187">
        <f ca="1">IFERROR(__xludf.DUMMYFUNCTION("""COMPUTED_VALUE"""),148.917)</f>
        <v>148.917</v>
      </c>
      <c r="G187">
        <f ca="1">IFERROR(__xludf.DUMMYFUNCTION("""COMPUTED_VALUE"""),14)</f>
        <v>14</v>
      </c>
      <c r="H187">
        <f ca="1">IFERROR(__xludf.DUMMYFUNCTION("""COMPUTED_VALUE"""),115)</f>
        <v>115</v>
      </c>
    </row>
    <row r="188" spans="1:8" ht="12.75">
      <c r="A188" t="str">
        <f ca="1">IFERROR(__xludf.DUMMYFUNCTION("""COMPUTED_VALUE"""),"T186")</f>
        <v>T186</v>
      </c>
      <c r="B188" t="str">
        <f ca="1">IFERROR(__xludf.DUMMYFUNCTION("""COMPUTED_VALUE"""),"T186")</f>
        <v>T186</v>
      </c>
      <c r="C188" t="str">
        <f ca="1">IFERROR(__xludf.DUMMYFUNCTION("""COMPUTED_VALUE"""),"Chris Baker")</f>
        <v>Chris Baker</v>
      </c>
      <c r="D188">
        <f ca="1">IFERROR(__xludf.DUMMYFUNCTION("""COMPUTED_VALUE"""),8)</f>
        <v>8</v>
      </c>
      <c r="E188" t="str">
        <f ca="1">IFERROR(__xludf.DUMMYFUNCTION("""COMPUTED_VALUE"""),"10' 8""")</f>
        <v>10' 8"</v>
      </c>
      <c r="F188">
        <f ca="1">IFERROR(__xludf.DUMMYFUNCTION("""COMPUTED_VALUE"""),63.833)</f>
        <v>63.832999999999998</v>
      </c>
      <c r="G188">
        <f ca="1">IFERROR(__xludf.DUMMYFUNCTION("""COMPUTED_VALUE"""),6)</f>
        <v>6</v>
      </c>
      <c r="H188">
        <f ca="1">IFERROR(__xludf.DUMMYFUNCTION("""COMPUTED_VALUE"""),138)</f>
        <v>138</v>
      </c>
    </row>
    <row r="189" spans="1:8" ht="12.75">
      <c r="A189" t="str">
        <f ca="1">IFERROR(__xludf.DUMMYFUNCTION("""COMPUTED_VALUE"""),"T186")</f>
        <v>T186</v>
      </c>
      <c r="B189" t="str">
        <f ca="1">IFERROR(__xludf.DUMMYFUNCTION("""COMPUTED_VALUE"""),"T186")</f>
        <v>T186</v>
      </c>
      <c r="C189" t="str">
        <f ca="1">IFERROR(__xludf.DUMMYFUNCTION("""COMPUTED_VALUE"""),"Daniel Berger")</f>
        <v>Daniel Berger</v>
      </c>
      <c r="D189">
        <f ca="1">IFERROR(__xludf.DUMMYFUNCTION("""COMPUTED_VALUE"""),12)</f>
        <v>12</v>
      </c>
      <c r="E189" t="str">
        <f ca="1">IFERROR(__xludf.DUMMYFUNCTION("""COMPUTED_VALUE"""),"10' 8""")</f>
        <v>10' 8"</v>
      </c>
      <c r="F189">
        <f ca="1">IFERROR(__xludf.DUMMYFUNCTION("""COMPUTED_VALUE"""),117.167)</f>
        <v>117.167</v>
      </c>
      <c r="G189">
        <f ca="1">IFERROR(__xludf.DUMMYFUNCTION("""COMPUTED_VALUE"""),11)</f>
        <v>11</v>
      </c>
      <c r="H189">
        <f ca="1">IFERROR(__xludf.DUMMYFUNCTION("""COMPUTED_VALUE"""),138)</f>
        <v>138</v>
      </c>
    </row>
    <row r="190" spans="1:8" ht="12.75">
      <c r="A190" t="str">
        <f ca="1">IFERROR(__xludf.DUMMYFUNCTION("""COMPUTED_VALUE"""),"T189")</f>
        <v>T189</v>
      </c>
      <c r="B190" t="str">
        <f ca="1">IFERROR(__xludf.DUMMYFUNCTION("""COMPUTED_VALUE"""),"T189")</f>
        <v>T189</v>
      </c>
      <c r="C190" t="str">
        <f ca="1">IFERROR(__xludf.DUMMYFUNCTION("""COMPUTED_VALUE"""),"Vaughn Taylor")</f>
        <v>Vaughn Taylor</v>
      </c>
      <c r="D190">
        <f ca="1">IFERROR(__xludf.DUMMYFUNCTION("""COMPUTED_VALUE"""),12)</f>
        <v>12</v>
      </c>
      <c r="E190" t="str">
        <f ca="1">IFERROR(__xludf.DUMMYFUNCTION("""COMPUTED_VALUE"""),"10' 9""")</f>
        <v>10' 9"</v>
      </c>
      <c r="F190">
        <f ca="1">IFERROR(__xludf.DUMMYFUNCTION("""COMPUTED_VALUE"""),32.167)</f>
        <v>32.167000000000002</v>
      </c>
      <c r="G190">
        <f ca="1">IFERROR(__xludf.DUMMYFUNCTION("""COMPUTED_VALUE"""),3)</f>
        <v>3</v>
      </c>
      <c r="H190">
        <f ca="1">IFERROR(__xludf.DUMMYFUNCTION("""COMPUTED_VALUE"""),135)</f>
        <v>135</v>
      </c>
    </row>
    <row r="191" spans="1:8" ht="12.75">
      <c r="A191" t="str">
        <f ca="1">IFERROR(__xludf.DUMMYFUNCTION("""COMPUTED_VALUE"""),"T189")</f>
        <v>T189</v>
      </c>
      <c r="B191" t="str">
        <f ca="1">IFERROR(__xludf.DUMMYFUNCTION("""COMPUTED_VALUE"""),"T189")</f>
        <v>T189</v>
      </c>
      <c r="C191" t="str">
        <f ca="1">IFERROR(__xludf.DUMMYFUNCTION("""COMPUTED_VALUE"""),"Stewart Cink")</f>
        <v>Stewart Cink</v>
      </c>
      <c r="D191">
        <f ca="1">IFERROR(__xludf.DUMMYFUNCTION("""COMPUTED_VALUE"""),18)</f>
        <v>18</v>
      </c>
      <c r="E191" t="str">
        <f ca="1">IFERROR(__xludf.DUMMYFUNCTION("""COMPUTED_VALUE"""),"10' 9""")</f>
        <v>10' 9"</v>
      </c>
      <c r="F191">
        <f ca="1">IFERROR(__xludf.DUMMYFUNCTION("""COMPUTED_VALUE"""),150.5)</f>
        <v>150.5</v>
      </c>
      <c r="G191">
        <f ca="1">IFERROR(__xludf.DUMMYFUNCTION("""COMPUTED_VALUE"""),14)</f>
        <v>14</v>
      </c>
      <c r="H191">
        <f ca="1">IFERROR(__xludf.DUMMYFUNCTION("""COMPUTED_VALUE"""),99)</f>
        <v>99</v>
      </c>
    </row>
    <row r="192" spans="1:8" ht="12.75">
      <c r="A192" t="str">
        <f ca="1">IFERROR(__xludf.DUMMYFUNCTION("""COMPUTED_VALUE"""),"T191")</f>
        <v>T191</v>
      </c>
      <c r="B192" t="str">
        <f ca="1">IFERROR(__xludf.DUMMYFUNCTION("""COMPUTED_VALUE"""),"T191")</f>
        <v>T191</v>
      </c>
      <c r="C192" t="str">
        <f ca="1">IFERROR(__xludf.DUMMYFUNCTION("""COMPUTED_VALUE"""),"Mark Anderson")</f>
        <v>Mark Anderson</v>
      </c>
      <c r="D192">
        <f ca="1">IFERROR(__xludf.DUMMYFUNCTION("""COMPUTED_VALUE"""),14)</f>
        <v>14</v>
      </c>
      <c r="E192" t="str">
        <f ca="1">IFERROR(__xludf.DUMMYFUNCTION("""COMPUTED_VALUE"""),"10' 10""")</f>
        <v>10' 10"</v>
      </c>
      <c r="F192">
        <f ca="1">IFERROR(__xludf.DUMMYFUNCTION("""COMPUTED_VALUE"""),21.667)</f>
        <v>21.667000000000002</v>
      </c>
      <c r="G192">
        <f ca="1">IFERROR(__xludf.DUMMYFUNCTION("""COMPUTED_VALUE"""),2)</f>
        <v>2</v>
      </c>
      <c r="H192">
        <f ca="1">IFERROR(__xludf.DUMMYFUNCTION("""COMPUTED_VALUE"""),28)</f>
        <v>28</v>
      </c>
    </row>
    <row r="193" spans="1:8" ht="12.75">
      <c r="A193" t="str">
        <f ca="1">IFERROR(__xludf.DUMMYFUNCTION("""COMPUTED_VALUE"""),"T191")</f>
        <v>T191</v>
      </c>
      <c r="B193" t="str">
        <f ca="1">IFERROR(__xludf.DUMMYFUNCTION("""COMPUTED_VALUE"""),"T191")</f>
        <v>T191</v>
      </c>
      <c r="C193" t="str">
        <f ca="1">IFERROR(__xludf.DUMMYFUNCTION("""COMPUTED_VALUE"""),"Seamus Power")</f>
        <v>Seamus Power</v>
      </c>
      <c r="D193">
        <f ca="1">IFERROR(__xludf.DUMMYFUNCTION("""COMPUTED_VALUE"""),8)</f>
        <v>8</v>
      </c>
      <c r="E193" t="str">
        <f ca="1">IFERROR(__xludf.DUMMYFUNCTION("""COMPUTED_VALUE"""),"10' 10""")</f>
        <v>10' 10"</v>
      </c>
      <c r="F193">
        <f ca="1">IFERROR(__xludf.DUMMYFUNCTION("""COMPUTED_VALUE"""),32.583)</f>
        <v>32.582999999999998</v>
      </c>
      <c r="G193">
        <f ca="1">IFERROR(__xludf.DUMMYFUNCTION("""COMPUTED_VALUE"""),3)</f>
        <v>3</v>
      </c>
      <c r="H193">
        <f ca="1">IFERROR(__xludf.DUMMYFUNCTION("""COMPUTED_VALUE"""),60)</f>
        <v>60</v>
      </c>
    </row>
    <row r="194" spans="1:8" ht="12.75">
      <c r="A194">
        <f ca="1">IFERROR(__xludf.DUMMYFUNCTION("""COMPUTED_VALUE"""),193)</f>
        <v>193</v>
      </c>
      <c r="B194">
        <f ca="1">IFERROR(__xludf.DUMMYFUNCTION("""COMPUTED_VALUE"""),193)</f>
        <v>193</v>
      </c>
      <c r="C194" t="str">
        <f ca="1">IFERROR(__xludf.DUMMYFUNCTION("""COMPUTED_VALUE"""),"Shugo Imahira")</f>
        <v>Shugo Imahira</v>
      </c>
      <c r="D194">
        <f ca="1">IFERROR(__xludf.DUMMYFUNCTION("""COMPUTED_VALUE"""),8)</f>
        <v>8</v>
      </c>
      <c r="E194" t="str">
        <f ca="1">IFERROR(__xludf.DUMMYFUNCTION("""COMPUTED_VALUE"""),"11' 1""")</f>
        <v>11' 1"</v>
      </c>
      <c r="F194">
        <f ca="1">IFERROR(__xludf.DUMMYFUNCTION("""COMPUTED_VALUE"""),88.417)</f>
        <v>88.417000000000002</v>
      </c>
      <c r="G194">
        <f ca="1">IFERROR(__xludf.DUMMYFUNCTION("""COMPUTED_VALUE"""),8)</f>
        <v>8</v>
      </c>
      <c r="H194">
        <f ca="1">IFERROR(__xludf.DUMMYFUNCTION("""COMPUTED_VALUE"""),274)</f>
        <v>274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IFERROR(__xludf.DUMMYFUNCTION("""COMPUTED_VALUE"""),"T194")</f>
        <v>T194</v>
      </c>
      <c r="C195" t="str">
        <f ca="1">IFERROR(__xludf.DUMMYFUNCTION("""COMPUTED_VALUE"""),"Adam Hadwin")</f>
        <v>Adam Hadwin</v>
      </c>
      <c r="D195">
        <f ca="1">IFERROR(__xludf.DUMMYFUNCTION("""COMPUTED_VALUE"""),16)</f>
        <v>16</v>
      </c>
      <c r="E195" t="str">
        <f ca="1">IFERROR(__xludf.DUMMYFUNCTION("""COMPUTED_VALUE"""),"11' 2""")</f>
        <v>11' 2"</v>
      </c>
      <c r="F195">
        <f ca="1">IFERROR(__xludf.DUMMYFUNCTION("""COMPUTED_VALUE"""),267.333)</f>
        <v>267.33300000000003</v>
      </c>
      <c r="G195">
        <f ca="1">IFERROR(__xludf.DUMMYFUNCTION("""COMPUTED_VALUE"""),24)</f>
        <v>24</v>
      </c>
      <c r="H195">
        <f ca="1">IFERROR(__xludf.DUMMYFUNCTION("""COMPUTED_VALUE"""),165)</f>
        <v>165</v>
      </c>
    </row>
    <row r="196" spans="1:8" ht="12.75">
      <c r="A196" t="str">
        <f ca="1">IFERROR(__xludf.DUMMYFUNCTION("""COMPUTED_VALUE"""),"T194")</f>
        <v>T194</v>
      </c>
      <c r="B196" t="str">
        <f ca="1">IFERROR(__xludf.DUMMYFUNCTION("""COMPUTED_VALUE"""),"T194")</f>
        <v>T194</v>
      </c>
      <c r="C196" t="str">
        <f ca="1">IFERROR(__xludf.DUMMYFUNCTION("""COMPUTED_VALUE"""),"Kiradech Aphibarnrat")</f>
        <v>Kiradech Aphibarnrat</v>
      </c>
      <c r="D196">
        <f ca="1">IFERROR(__xludf.DUMMYFUNCTION("""COMPUTED_VALUE"""),12)</f>
        <v>12</v>
      </c>
      <c r="E196" t="str">
        <f ca="1">IFERROR(__xludf.DUMMYFUNCTION("""COMPUTED_VALUE"""),"11' 2""")</f>
        <v>11' 2"</v>
      </c>
      <c r="F196">
        <f ca="1">IFERROR(__xludf.DUMMYFUNCTION("""COMPUTED_VALUE"""),67.083)</f>
        <v>67.082999999999998</v>
      </c>
      <c r="G196">
        <f ca="1">IFERROR(__xludf.DUMMYFUNCTION("""COMPUTED_VALUE"""),6)</f>
        <v>6</v>
      </c>
      <c r="H196">
        <f ca="1">IFERROR(__xludf.DUMMYFUNCTION("""COMPUTED_VALUE"""),37)</f>
        <v>37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IFERROR(__xludf.DUMMYFUNCTION("""COMPUTED_VALUE"""),"T208")</f>
        <v>T208</v>
      </c>
      <c r="C197" t="str">
        <f ca="1">IFERROR(__xludf.DUMMYFUNCTION("""COMPUTED_VALUE"""),"Sergio Garcia")</f>
        <v>Sergio Garcia</v>
      </c>
      <c r="D197">
        <f ca="1">IFERROR(__xludf.DUMMYFUNCTION("""COMPUTED_VALUE"""),18)</f>
        <v>18</v>
      </c>
      <c r="E197" t="str">
        <f ca="1">IFERROR(__xludf.DUMMYFUNCTION("""COMPUTED_VALUE"""),"11' 2""")</f>
        <v>11' 2"</v>
      </c>
      <c r="F197">
        <f ca="1">IFERROR(__xludf.DUMMYFUNCTION("""COMPUTED_VALUE"""),280)</f>
        <v>280</v>
      </c>
      <c r="G197">
        <f ca="1">IFERROR(__xludf.DUMMYFUNCTION("""COMPUTED_VALUE"""),25)</f>
        <v>25</v>
      </c>
      <c r="H197">
        <f ca="1">IFERROR(__xludf.DUMMYFUNCTION("""COMPUTED_VALUE"""),88)</f>
        <v>88</v>
      </c>
    </row>
    <row r="198" spans="1:8" ht="12.75">
      <c r="A198" t="str">
        <f ca="1">IFERROR(__xludf.DUMMYFUNCTION("""COMPUTED_VALUE"""),"T194")</f>
        <v>T194</v>
      </c>
      <c r="B198">
        <f ca="1">IFERROR(__xludf.DUMMYFUNCTION("""COMPUTED_VALUE"""),233)</f>
        <v>233</v>
      </c>
      <c r="C198" t="str">
        <f ca="1">IFERROR(__xludf.DUMMYFUNCTION("""COMPUTED_VALUE"""),"Max Homa")</f>
        <v>Max Homa</v>
      </c>
      <c r="D198">
        <f ca="1">IFERROR(__xludf.DUMMYFUNCTION("""COMPUTED_VALUE"""),12)</f>
        <v>12</v>
      </c>
      <c r="E198" t="str">
        <f ca="1">IFERROR(__xludf.DUMMYFUNCTION("""COMPUTED_VALUE"""),"11' 2""")</f>
        <v>11' 2"</v>
      </c>
      <c r="F198">
        <f ca="1">IFERROR(__xludf.DUMMYFUNCTION("""COMPUTED_VALUE"""),123.25)</f>
        <v>123.25</v>
      </c>
      <c r="G198">
        <f ca="1">IFERROR(__xludf.DUMMYFUNCTION("""COMPUTED_VALUE"""),11)</f>
        <v>11</v>
      </c>
      <c r="H198">
        <f ca="1">IFERROR(__xludf.DUMMYFUNCTION("""COMPUTED_VALUE"""),162)</f>
        <v>162</v>
      </c>
    </row>
    <row r="199" spans="1:8" ht="12.75">
      <c r="A199" t="str">
        <f ca="1">IFERROR(__xludf.DUMMYFUNCTION("""COMPUTED_VALUE"""),"T194")</f>
        <v>T194</v>
      </c>
      <c r="B199" t="str">
        <f ca="1">IFERROR(__xludf.DUMMYFUNCTION("""COMPUTED_VALUE"""),"T182")</f>
        <v>T182</v>
      </c>
      <c r="C199" t="str">
        <f ca="1">IFERROR(__xludf.DUMMYFUNCTION("""COMPUTED_VALUE"""),"Corey Conners")</f>
        <v>Corey Conners</v>
      </c>
      <c r="D199">
        <f ca="1">IFERROR(__xludf.DUMMYFUNCTION("""COMPUTED_VALUE"""),20)</f>
        <v>20</v>
      </c>
      <c r="E199" t="str">
        <f ca="1">IFERROR(__xludf.DUMMYFUNCTION("""COMPUTED_VALUE"""),"11' 2""")</f>
        <v>11' 2"</v>
      </c>
      <c r="F199">
        <f ca="1">IFERROR(__xludf.DUMMYFUNCTION("""COMPUTED_VALUE"""),167.25)</f>
        <v>167.25</v>
      </c>
      <c r="G199">
        <f ca="1">IFERROR(__xludf.DUMMYFUNCTION("""COMPUTED_VALUE"""),15)</f>
        <v>15</v>
      </c>
      <c r="H199">
        <f ca="1">IFERROR(__xludf.DUMMYFUNCTION("""COMPUTED_VALUE"""),151)</f>
        <v>151</v>
      </c>
    </row>
    <row r="200" spans="1:8" ht="12.75">
      <c r="A200" t="str">
        <f ca="1">IFERROR(__xludf.DUMMYFUNCTION("""COMPUTED_VALUE"""),"T194")</f>
        <v>T194</v>
      </c>
      <c r="B200" t="str">
        <f ca="1">IFERROR(__xludf.DUMMYFUNCTION("""COMPUTED_VALUE"""),"T194")</f>
        <v>T194</v>
      </c>
      <c r="C200" t="str">
        <f ca="1">IFERROR(__xludf.DUMMYFUNCTION("""COMPUTED_VALUE"""),"Zack Sucher")</f>
        <v>Zack Sucher</v>
      </c>
      <c r="D200">
        <f ca="1">IFERROR(__xludf.DUMMYFUNCTION("""COMPUTED_VALUE"""),6)</f>
        <v>6</v>
      </c>
      <c r="E200" t="str">
        <f ca="1">IFERROR(__xludf.DUMMYFUNCTION("""COMPUTED_VALUE"""),"11' 2""")</f>
        <v>11' 2"</v>
      </c>
      <c r="F200">
        <f ca="1">IFERROR(__xludf.DUMMYFUNCTION("""COMPUTED_VALUE"""),44.583)</f>
        <v>44.582999999999998</v>
      </c>
      <c r="G200">
        <f ca="1">IFERROR(__xludf.DUMMYFUNCTION("""COMPUTED_VALUE"""),4)</f>
        <v>4</v>
      </c>
      <c r="H200">
        <f ca="1">IFERROR(__xludf.DUMMYFUNCTION("""COMPUTED_VALUE"""),257)</f>
        <v>257</v>
      </c>
    </row>
    <row r="201" spans="1:8" ht="12.75">
      <c r="A201" t="str">
        <f ca="1">IFERROR(__xludf.DUMMYFUNCTION("""COMPUTED_VALUE"""),"T194")</f>
        <v>T194</v>
      </c>
      <c r="B201" t="str">
        <f ca="1">IFERROR(__xludf.DUMMYFUNCTION("""COMPUTED_VALUE"""),"T194")</f>
        <v>T194</v>
      </c>
      <c r="C201" t="str">
        <f ca="1">IFERROR(__xludf.DUMMYFUNCTION("""COMPUTED_VALUE"""),"Jazz Janewattananond")</f>
        <v>Jazz Janewattananond</v>
      </c>
      <c r="D201">
        <f ca="1">IFERROR(__xludf.DUMMYFUNCTION("""COMPUTED_VALUE"""),6)</f>
        <v>6</v>
      </c>
      <c r="E201" t="str">
        <f ca="1">IFERROR(__xludf.DUMMYFUNCTION("""COMPUTED_VALUE"""),"11' 2""")</f>
        <v>11' 2"</v>
      </c>
      <c r="F201">
        <f ca="1">IFERROR(__xludf.DUMMYFUNCTION("""COMPUTED_VALUE"""),78.25)</f>
        <v>78.25</v>
      </c>
      <c r="G201">
        <f ca="1">IFERROR(__xludf.DUMMYFUNCTION("""COMPUTED_VALUE"""),7)</f>
        <v>7</v>
      </c>
      <c r="H201">
        <f ca="1">IFERROR(__xludf.DUMMYFUNCTION("""COMPUTED_VALUE"""),288)</f>
        <v>288</v>
      </c>
    </row>
    <row r="202" spans="1:8" ht="12.75">
      <c r="A202" t="str">
        <f ca="1">IFERROR(__xludf.DUMMYFUNCTION("""COMPUTED_VALUE"""),"T201")</f>
        <v>T201</v>
      </c>
      <c r="B202" t="str">
        <f ca="1">IFERROR(__xludf.DUMMYFUNCTION("""COMPUTED_VALUE"""),"T199")</f>
        <v>T199</v>
      </c>
      <c r="C202" t="str">
        <f ca="1">IFERROR(__xludf.DUMMYFUNCTION("""COMPUTED_VALUE"""),"Cameron Champ")</f>
        <v>Cameron Champ</v>
      </c>
      <c r="D202">
        <f ca="1">IFERROR(__xludf.DUMMYFUNCTION("""COMPUTED_VALUE"""),12)</f>
        <v>12</v>
      </c>
      <c r="E202" t="str">
        <f ca="1">IFERROR(__xludf.DUMMYFUNCTION("""COMPUTED_VALUE"""),"11' 3""")</f>
        <v>11' 3"</v>
      </c>
      <c r="F202">
        <f ca="1">IFERROR(__xludf.DUMMYFUNCTION("""COMPUTED_VALUE"""),157.083)</f>
        <v>157.083</v>
      </c>
      <c r="G202">
        <f ca="1">IFERROR(__xludf.DUMMYFUNCTION("""COMPUTED_VALUE"""),14)</f>
        <v>14</v>
      </c>
      <c r="H202">
        <f ca="1">IFERROR(__xludf.DUMMYFUNCTION("""COMPUTED_VALUE"""),150)</f>
        <v>150</v>
      </c>
    </row>
    <row r="203" spans="1:8" ht="12.75">
      <c r="A203" t="str">
        <f ca="1">IFERROR(__xludf.DUMMYFUNCTION("""COMPUTED_VALUE"""),"T201")</f>
        <v>T201</v>
      </c>
      <c r="B203" t="str">
        <f ca="1">IFERROR(__xludf.DUMMYFUNCTION("""COMPUTED_VALUE"""),"T158")</f>
        <v>T158</v>
      </c>
      <c r="C203" t="str">
        <f ca="1">IFERROR(__xludf.DUMMYFUNCTION("""COMPUTED_VALUE"""),"Lanto Griffin")</f>
        <v>Lanto Griffin</v>
      </c>
      <c r="D203">
        <f ca="1">IFERROR(__xludf.DUMMYFUNCTION("""COMPUTED_VALUE"""),18)</f>
        <v>18</v>
      </c>
      <c r="E203" t="str">
        <f ca="1">IFERROR(__xludf.DUMMYFUNCTION("""COMPUTED_VALUE"""),"11' 3""")</f>
        <v>11' 3"</v>
      </c>
      <c r="F203">
        <f ca="1">IFERROR(__xludf.DUMMYFUNCTION("""COMPUTED_VALUE"""),213.833)</f>
        <v>213.833</v>
      </c>
      <c r="G203">
        <f ca="1">IFERROR(__xludf.DUMMYFUNCTION("""COMPUTED_VALUE"""),19)</f>
        <v>19</v>
      </c>
      <c r="H203">
        <f ca="1">IFERROR(__xludf.DUMMYFUNCTION("""COMPUTED_VALUE"""),199)</f>
        <v>199</v>
      </c>
    </row>
    <row r="204" spans="1:8" ht="12.75">
      <c r="A204" t="str">
        <f ca="1">IFERROR(__xludf.DUMMYFUNCTION("""COMPUTED_VALUE"""),"T201")</f>
        <v>T201</v>
      </c>
      <c r="B204" t="str">
        <f ca="1">IFERROR(__xludf.DUMMYFUNCTION("""COMPUTED_VALUE"""),"T199")</f>
        <v>T199</v>
      </c>
      <c r="C204" t="str">
        <f ca="1">IFERROR(__xludf.DUMMYFUNCTION("""COMPUTED_VALUE"""),"Patrick Reed")</f>
        <v>Patrick Reed</v>
      </c>
      <c r="D204">
        <f ca="1">IFERROR(__xludf.DUMMYFUNCTION("""COMPUTED_VALUE"""),8)</f>
        <v>8</v>
      </c>
      <c r="E204" t="str">
        <f ca="1">IFERROR(__xludf.DUMMYFUNCTION("""COMPUTED_VALUE"""),"11' 3""")</f>
        <v>11' 3"</v>
      </c>
      <c r="F204">
        <f ca="1">IFERROR(__xludf.DUMMYFUNCTION("""COMPUTED_VALUE"""),101.5)</f>
        <v>101.5</v>
      </c>
      <c r="G204">
        <f ca="1">IFERROR(__xludf.DUMMYFUNCTION("""COMPUTED_VALUE"""),9)</f>
        <v>9</v>
      </c>
      <c r="H204">
        <f ca="1">IFERROR(__xludf.DUMMYFUNCTION("""COMPUTED_VALUE"""),210)</f>
        <v>210</v>
      </c>
    </row>
    <row r="205" spans="1:8" ht="12.75">
      <c r="A205" t="str">
        <f ca="1">IFERROR(__xludf.DUMMYFUNCTION("""COMPUTED_VALUE"""),"T201")</f>
        <v>T201</v>
      </c>
      <c r="B205" t="str">
        <f ca="1">IFERROR(__xludf.DUMMYFUNCTION("""COMPUTED_VALUE"""),"T199")</f>
        <v>T199</v>
      </c>
      <c r="C205" t="str">
        <f ca="1">IFERROR(__xludf.DUMMYFUNCTION("""COMPUTED_VALUE"""),"Brendon Todd")</f>
        <v>Brendon Todd</v>
      </c>
      <c r="D205">
        <f ca="1">IFERROR(__xludf.DUMMYFUNCTION("""COMPUTED_VALUE"""),14)</f>
        <v>14</v>
      </c>
      <c r="E205" t="str">
        <f ca="1">IFERROR(__xludf.DUMMYFUNCTION("""COMPUTED_VALUE"""),"11' 3""")</f>
        <v>11' 3"</v>
      </c>
      <c r="F205">
        <f ca="1">IFERROR(__xludf.DUMMYFUNCTION("""COMPUTED_VALUE"""),203.083)</f>
        <v>203.083</v>
      </c>
      <c r="G205">
        <f ca="1">IFERROR(__xludf.DUMMYFUNCTION("""COMPUTED_VALUE"""),18)</f>
        <v>18</v>
      </c>
      <c r="H205">
        <f ca="1">IFERROR(__xludf.DUMMYFUNCTION("""COMPUTED_VALUE"""),206)</f>
        <v>206</v>
      </c>
    </row>
    <row r="206" spans="1:8" ht="12.75">
      <c r="A206" t="str">
        <f ca="1">IFERROR(__xludf.DUMMYFUNCTION("""COMPUTED_VALUE"""),"T205")</f>
        <v>T205</v>
      </c>
      <c r="B206">
        <f ca="1">IFERROR(__xludf.DUMMYFUNCTION("""COMPUTED_VALUE"""),237)</f>
        <v>237</v>
      </c>
      <c r="C206" t="str">
        <f ca="1">IFERROR(__xludf.DUMMYFUNCTION("""COMPUTED_VALUE"""),"Shane Lowry")</f>
        <v>Shane Lowry</v>
      </c>
      <c r="D206">
        <f ca="1">IFERROR(__xludf.DUMMYFUNCTION("""COMPUTED_VALUE"""),14)</f>
        <v>14</v>
      </c>
      <c r="E206" t="str">
        <f ca="1">IFERROR(__xludf.DUMMYFUNCTION("""COMPUTED_VALUE"""),"11' 4""")</f>
        <v>11' 4"</v>
      </c>
      <c r="F206">
        <f ca="1">IFERROR(__xludf.DUMMYFUNCTION("""COMPUTED_VALUE"""),101.833)</f>
        <v>101.833</v>
      </c>
      <c r="G206">
        <f ca="1">IFERROR(__xludf.DUMMYFUNCTION("""COMPUTED_VALUE"""),9)</f>
        <v>9</v>
      </c>
      <c r="H206">
        <f ca="1">IFERROR(__xludf.DUMMYFUNCTION("""COMPUTED_VALUE"""),221)</f>
        <v>221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IFERROR(__xludf.DUMMYFUNCTION("""COMPUTED_VALUE"""),"T186")</f>
        <v>T186</v>
      </c>
      <c r="C207" t="str">
        <f ca="1">IFERROR(__xludf.DUMMYFUNCTION("""COMPUTED_VALUE"""),"Ryan Armour")</f>
        <v>Ryan Armour</v>
      </c>
      <c r="D207">
        <f ca="1">IFERROR(__xludf.DUMMYFUNCTION("""COMPUTED_VALUE"""),16)</f>
        <v>16</v>
      </c>
      <c r="E207" t="str">
        <f ca="1">IFERROR(__xludf.DUMMYFUNCTION("""COMPUTED_VALUE"""),"11' 4""")</f>
        <v>11' 4"</v>
      </c>
      <c r="F207">
        <f ca="1">IFERROR(__xludf.DUMMYFUNCTION("""COMPUTED_VALUE"""),158.583)</f>
        <v>158.583</v>
      </c>
      <c r="G207">
        <f ca="1">IFERROR(__xludf.DUMMYFUNCTION("""COMPUTED_VALUE"""),14)</f>
        <v>14</v>
      </c>
      <c r="H207">
        <f ca="1">IFERROR(__xludf.DUMMYFUNCTION("""COMPUTED_VALUE"""),118)</f>
        <v>118</v>
      </c>
    </row>
    <row r="208" spans="1:8" ht="12.75">
      <c r="A208" t="str">
        <f ca="1">IFERROR(__xludf.DUMMYFUNCTION("""COMPUTED_VALUE"""),"T207")</f>
        <v>T207</v>
      </c>
      <c r="B208" t="str">
        <f ca="1">IFERROR(__xludf.DUMMYFUNCTION("""COMPUTED_VALUE"""),"T203")</f>
        <v>T203</v>
      </c>
      <c r="C208" t="str">
        <f ca="1">IFERROR(__xludf.DUMMYFUNCTION("""COMPUTED_VALUE"""),"Nick Watney")</f>
        <v>Nick Watney</v>
      </c>
      <c r="D208">
        <f ca="1">IFERROR(__xludf.DUMMYFUNCTION("""COMPUTED_VALUE"""),10)</f>
        <v>10</v>
      </c>
      <c r="E208" t="str">
        <f ca="1">IFERROR(__xludf.DUMMYFUNCTION("""COMPUTED_VALUE"""),"11' 5""")</f>
        <v>11' 5"</v>
      </c>
      <c r="F208">
        <f ca="1">IFERROR(__xludf.DUMMYFUNCTION("""COMPUTED_VALUE"""),160)</f>
        <v>160</v>
      </c>
      <c r="G208">
        <f ca="1">IFERROR(__xludf.DUMMYFUNCTION("""COMPUTED_VALUE"""),14)</f>
        <v>14</v>
      </c>
      <c r="H208">
        <f ca="1">IFERROR(__xludf.DUMMYFUNCTION("""COMPUTED_VALUE"""),41)</f>
        <v>41</v>
      </c>
    </row>
    <row r="209" spans="1:8" ht="12.75">
      <c r="A209" t="str">
        <f ca="1">IFERROR(__xludf.DUMMYFUNCTION("""COMPUTED_VALUE"""),"T207")</f>
        <v>T207</v>
      </c>
      <c r="B209" t="str">
        <f ca="1">IFERROR(__xludf.DUMMYFUNCTION("""COMPUTED_VALUE"""),"T203")</f>
        <v>T203</v>
      </c>
      <c r="C209" t="str">
        <f ca="1">IFERROR(__xludf.DUMMYFUNCTION("""COMPUTED_VALUE"""),"Ryan Blaum")</f>
        <v>Ryan Blaum</v>
      </c>
      <c r="D209">
        <f ca="1">IFERROR(__xludf.DUMMYFUNCTION("""COMPUTED_VALUE"""),8)</f>
        <v>8</v>
      </c>
      <c r="E209" t="str">
        <f ca="1">IFERROR(__xludf.DUMMYFUNCTION("""COMPUTED_VALUE"""),"11' 5""")</f>
        <v>11' 5"</v>
      </c>
      <c r="F209">
        <f ca="1">IFERROR(__xludf.DUMMYFUNCTION("""COMPUTED_VALUE"""),34.333)</f>
        <v>34.332999999999998</v>
      </c>
      <c r="G209">
        <f ca="1">IFERROR(__xludf.DUMMYFUNCTION("""COMPUTED_VALUE"""),3)</f>
        <v>3</v>
      </c>
      <c r="H209">
        <f ca="1">IFERROR(__xludf.DUMMYFUNCTION("""COMPUTED_VALUE"""),97)</f>
        <v>97</v>
      </c>
    </row>
    <row r="210" spans="1:8" ht="12.75">
      <c r="A210" t="str">
        <f ca="1">IFERROR(__xludf.DUMMYFUNCTION("""COMPUTED_VALUE"""),"T209")</f>
        <v>T209</v>
      </c>
      <c r="B210" t="str">
        <f ca="1">IFERROR(__xludf.DUMMYFUNCTION("""COMPUTED_VALUE"""),"T223")</f>
        <v>T223</v>
      </c>
      <c r="C210" t="str">
        <f ca="1">IFERROR(__xludf.DUMMYFUNCTION("""COMPUTED_VALUE"""),"Graeme McDowell")</f>
        <v>Graeme McDowell</v>
      </c>
      <c r="D210">
        <f ca="1">IFERROR(__xludf.DUMMYFUNCTION("""COMPUTED_VALUE"""),8)</f>
        <v>8</v>
      </c>
      <c r="E210" t="str">
        <f ca="1">IFERROR(__xludf.DUMMYFUNCTION("""COMPUTED_VALUE"""),"11' 6""")</f>
        <v>11' 6"</v>
      </c>
      <c r="F210">
        <f ca="1">IFERROR(__xludf.DUMMYFUNCTION("""COMPUTED_VALUE"""),80.333)</f>
        <v>80.332999999999998</v>
      </c>
      <c r="G210">
        <f ca="1">IFERROR(__xludf.DUMMYFUNCTION("""COMPUTED_VALUE"""),7)</f>
        <v>7</v>
      </c>
      <c r="H210">
        <f ca="1">IFERROR(__xludf.DUMMYFUNCTION("""COMPUTED_VALUE"""),172)</f>
        <v>172</v>
      </c>
    </row>
    <row r="211" spans="1:8" ht="12.75">
      <c r="A211" t="str">
        <f ca="1">IFERROR(__xludf.DUMMYFUNCTION("""COMPUTED_VALUE"""),"T209")</f>
        <v>T209</v>
      </c>
      <c r="B211" t="str">
        <f ca="1">IFERROR(__xludf.DUMMYFUNCTION("""COMPUTED_VALUE"""),"T205")</f>
        <v>T205</v>
      </c>
      <c r="C211" t="str">
        <f ca="1">IFERROR(__xludf.DUMMYFUNCTION("""COMPUTED_VALUE"""),"Bryson DeChambeau")</f>
        <v>Bryson DeChambeau</v>
      </c>
      <c r="D211">
        <f ca="1">IFERROR(__xludf.DUMMYFUNCTION("""COMPUTED_VALUE"""),8)</f>
        <v>8</v>
      </c>
      <c r="E211" t="str">
        <f ca="1">IFERROR(__xludf.DUMMYFUNCTION("""COMPUTED_VALUE"""),"11' 6""")</f>
        <v>11' 6"</v>
      </c>
      <c r="F211">
        <f ca="1">IFERROR(__xludf.DUMMYFUNCTION("""COMPUTED_VALUE"""),92.167)</f>
        <v>92.167000000000002</v>
      </c>
      <c r="G211">
        <f ca="1">IFERROR(__xludf.DUMMYFUNCTION("""COMPUTED_VALUE"""),8)</f>
        <v>8</v>
      </c>
      <c r="H211">
        <f ca="1">IFERROR(__xludf.DUMMYFUNCTION("""COMPUTED_VALUE"""),92)</f>
        <v>92</v>
      </c>
    </row>
    <row r="212" spans="1:8" ht="12.75">
      <c r="A212">
        <f ca="1">IFERROR(__xludf.DUMMYFUNCTION("""COMPUTED_VALUE"""),211)</f>
        <v>211</v>
      </c>
      <c r="B212">
        <f ca="1">IFERROR(__xludf.DUMMYFUNCTION("""COMPUTED_VALUE"""),242)</f>
        <v>242</v>
      </c>
      <c r="C212" t="str">
        <f ca="1">IFERROR(__xludf.DUMMYFUNCTION("""COMPUTED_VALUE"""),"Satoshi Kodaira")</f>
        <v>Satoshi Kodaira</v>
      </c>
      <c r="D212">
        <f ca="1">IFERROR(__xludf.DUMMYFUNCTION("""COMPUTED_VALUE"""),12)</f>
        <v>12</v>
      </c>
      <c r="E212" t="str">
        <f ca="1">IFERROR(__xludf.DUMMYFUNCTION("""COMPUTED_VALUE"""),"11' 9""")</f>
        <v>11' 9"</v>
      </c>
      <c r="F212">
        <f ca="1">IFERROR(__xludf.DUMMYFUNCTION("""COMPUTED_VALUE"""),164.667)</f>
        <v>164.667</v>
      </c>
      <c r="G212">
        <f ca="1">IFERROR(__xludf.DUMMYFUNCTION("""COMPUTED_VALUE"""),14)</f>
        <v>14</v>
      </c>
      <c r="H212">
        <f ca="1">IFERROR(__xludf.DUMMYFUNCTION("""COMPUTED_VALUE"""),138)</f>
        <v>138</v>
      </c>
    </row>
    <row r="213" spans="1:8" ht="12.75">
      <c r="A213" t="str">
        <f ca="1">IFERROR(__xludf.DUMMYFUNCTION("""COMPUTED_VALUE"""),"T212")</f>
        <v>T212</v>
      </c>
      <c r="B213" t="str">
        <f ca="1">IFERROR(__xludf.DUMMYFUNCTION("""COMPUTED_VALUE"""),"T199")</f>
        <v>T199</v>
      </c>
      <c r="C213" t="str">
        <f ca="1">IFERROR(__xludf.DUMMYFUNCTION("""COMPUTED_VALUE"""),"Hideki Matsuyama")</f>
        <v>Hideki Matsuyama</v>
      </c>
      <c r="D213">
        <f ca="1">IFERROR(__xludf.DUMMYFUNCTION("""COMPUTED_VALUE"""),18)</f>
        <v>18</v>
      </c>
      <c r="E213" t="str">
        <f ca="1">IFERROR(__xludf.DUMMYFUNCTION("""COMPUTED_VALUE"""),"11' 10""")</f>
        <v>11' 10"</v>
      </c>
      <c r="F213">
        <f ca="1">IFERROR(__xludf.DUMMYFUNCTION("""COMPUTED_VALUE"""),249.167)</f>
        <v>249.167</v>
      </c>
      <c r="G213">
        <f ca="1">IFERROR(__xludf.DUMMYFUNCTION("""COMPUTED_VALUE"""),21)</f>
        <v>21</v>
      </c>
      <c r="H213">
        <f ca="1">IFERROR(__xludf.DUMMYFUNCTION("""COMPUTED_VALUE"""),78)</f>
        <v>78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IFERROR(__xludf.DUMMYFUNCTION("""COMPUTED_VALUE"""),"T208")</f>
        <v>T208</v>
      </c>
      <c r="C214" t="str">
        <f ca="1">IFERROR(__xludf.DUMMYFUNCTION("""COMPUTED_VALUE"""),"Marc Leishman")</f>
        <v>Marc Leishman</v>
      </c>
      <c r="D214">
        <f ca="1">IFERROR(__xludf.DUMMYFUNCTION("""COMPUTED_VALUE"""),10)</f>
        <v>10</v>
      </c>
      <c r="E214" t="str">
        <f ca="1">IFERROR(__xludf.DUMMYFUNCTION("""COMPUTED_VALUE"""),"11' 10""")</f>
        <v>11' 10"</v>
      </c>
      <c r="F214">
        <f ca="1">IFERROR(__xludf.DUMMYFUNCTION("""COMPUTED_VALUE"""),94.583)</f>
        <v>94.582999999999998</v>
      </c>
      <c r="G214">
        <f ca="1">IFERROR(__xludf.DUMMYFUNCTION("""COMPUTED_VALUE"""),8)</f>
        <v>8</v>
      </c>
      <c r="H214">
        <f ca="1">IFERROR(__xludf.DUMMYFUNCTION("""COMPUTED_VALUE"""),235)</f>
        <v>235</v>
      </c>
    </row>
    <row r="215" spans="1:8" ht="12.75">
      <c r="A215" t="str">
        <f ca="1">IFERROR(__xludf.DUMMYFUNCTION("""COMPUTED_VALUE"""),"T212")</f>
        <v>T212</v>
      </c>
      <c r="B215">
        <f ca="1">IFERROR(__xludf.DUMMYFUNCTION("""COMPUTED_VALUE"""),229)</f>
        <v>229</v>
      </c>
      <c r="C215" t="str">
        <f ca="1">IFERROR(__xludf.DUMMYFUNCTION("""COMPUTED_VALUE"""),"Scott Harrington")</f>
        <v>Scott Harrington</v>
      </c>
      <c r="D215">
        <f ca="1">IFERROR(__xludf.DUMMYFUNCTION("""COMPUTED_VALUE"""),18)</f>
        <v>18</v>
      </c>
      <c r="E215" t="str">
        <f ca="1">IFERROR(__xludf.DUMMYFUNCTION("""COMPUTED_VALUE"""),"11' 10""")</f>
        <v>11' 10"</v>
      </c>
      <c r="F215">
        <f ca="1">IFERROR(__xludf.DUMMYFUNCTION("""COMPUTED_VALUE"""),247.917)</f>
        <v>247.917</v>
      </c>
      <c r="G215">
        <f ca="1">IFERROR(__xludf.DUMMYFUNCTION("""COMPUTED_VALUE"""),21)</f>
        <v>21</v>
      </c>
      <c r="H215">
        <f ca="1">IFERROR(__xludf.DUMMYFUNCTION("""COMPUTED_VALUE"""),128)</f>
        <v>128</v>
      </c>
    </row>
    <row r="216" spans="1:8" ht="12.75">
      <c r="A216">
        <f ca="1">IFERROR(__xludf.DUMMYFUNCTION("""COMPUTED_VALUE"""),215)</f>
        <v>215</v>
      </c>
      <c r="B216">
        <f ca="1">IFERROR(__xludf.DUMMYFUNCTION("""COMPUTED_VALUE"""),210)</f>
        <v>210</v>
      </c>
      <c r="C216" t="str">
        <f ca="1">IFERROR(__xludf.DUMMYFUNCTION("""COMPUTED_VALUE"""),"Joel Dahmen")</f>
        <v>Joel Dahmen</v>
      </c>
      <c r="D216">
        <f ca="1">IFERROR(__xludf.DUMMYFUNCTION("""COMPUTED_VALUE"""),18)</f>
        <v>18</v>
      </c>
      <c r="E216" t="str">
        <f ca="1">IFERROR(__xludf.DUMMYFUNCTION("""COMPUTED_VALUE"""),"11' 11""")</f>
        <v>11' 11"</v>
      </c>
      <c r="F216">
        <f ca="1">IFERROR(__xludf.DUMMYFUNCTION("""COMPUTED_VALUE"""),225.917)</f>
        <v>225.917</v>
      </c>
      <c r="G216">
        <f ca="1">IFERROR(__xludf.DUMMYFUNCTION("""COMPUTED_VALUE"""),19)</f>
        <v>19</v>
      </c>
      <c r="H216">
        <f ca="1">IFERROR(__xludf.DUMMYFUNCTION("""COMPUTED_VALUE"""),74)</f>
        <v>74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IFERROR(__xludf.DUMMYFUNCTION("""COMPUTED_VALUE"""),211)</f>
        <v>211</v>
      </c>
      <c r="C217" t="str">
        <f ca="1">IFERROR(__xludf.DUMMYFUNCTION("""COMPUTED_VALUE"""),"Justin Suh")</f>
        <v>Justin Suh</v>
      </c>
      <c r="D217">
        <f ca="1">IFERROR(__xludf.DUMMYFUNCTION("""COMPUTED_VALUE"""),10)</f>
        <v>10</v>
      </c>
      <c r="E217" t="str">
        <f ca="1">IFERROR(__xludf.DUMMYFUNCTION("""COMPUTED_VALUE"""),"12' 0""")</f>
        <v>12' 0"</v>
      </c>
      <c r="F217">
        <f ca="1">IFERROR(__xludf.DUMMYFUNCTION("""COMPUTED_VALUE"""),60.167)</f>
        <v>60.167000000000002</v>
      </c>
      <c r="G217">
        <f ca="1">IFERROR(__xludf.DUMMYFUNCTION("""COMPUTED_VALUE"""),5)</f>
        <v>5</v>
      </c>
      <c r="H217">
        <f ca="1">IFERROR(__xludf.DUMMYFUNCTION("""COMPUTED_VALUE"""),215)</f>
        <v>215</v>
      </c>
    </row>
    <row r="218" spans="1:8" ht="12.75">
      <c r="A218" t="str">
        <f ca="1">IFERROR(__xludf.DUMMYFUNCTION("""COMPUTED_VALUE"""),"T217")</f>
        <v>T217</v>
      </c>
      <c r="B218" t="str">
        <f ca="1">IFERROR(__xludf.DUMMYFUNCTION("""COMPUTED_VALUE"""),"T182")</f>
        <v>T182</v>
      </c>
      <c r="C218" t="str">
        <f ca="1">IFERROR(__xludf.DUMMYFUNCTION("""COMPUTED_VALUE"""),"Sam Burns")</f>
        <v>Sam Burns</v>
      </c>
      <c r="D218">
        <f ca="1">IFERROR(__xludf.DUMMYFUNCTION("""COMPUTED_VALUE"""),18)</f>
        <v>18</v>
      </c>
      <c r="E218" t="str">
        <f ca="1">IFERROR(__xludf.DUMMYFUNCTION("""COMPUTED_VALUE"""),"12' 1""")</f>
        <v>12' 1"</v>
      </c>
      <c r="F218">
        <f ca="1">IFERROR(__xludf.DUMMYFUNCTION("""COMPUTED_VALUE"""),181.833)</f>
        <v>181.833</v>
      </c>
      <c r="G218">
        <f ca="1">IFERROR(__xludf.DUMMYFUNCTION("""COMPUTED_VALUE"""),15)</f>
        <v>15</v>
      </c>
      <c r="H218">
        <f ca="1">IFERROR(__xludf.DUMMYFUNCTION("""COMPUTED_VALUE"""),229)</f>
        <v>229</v>
      </c>
    </row>
    <row r="219" spans="1:8" ht="12.75">
      <c r="A219" t="str">
        <f ca="1">IFERROR(__xludf.DUMMYFUNCTION("""COMPUTED_VALUE"""),"T217")</f>
        <v>T217</v>
      </c>
      <c r="B219" t="str">
        <f ca="1">IFERROR(__xludf.DUMMYFUNCTION("""COMPUTED_VALUE"""),"T223")</f>
        <v>T223</v>
      </c>
      <c r="C219" t="str">
        <f ca="1">IFERROR(__xludf.DUMMYFUNCTION("""COMPUTED_VALUE"""),"Andrew Putnam")</f>
        <v>Andrew Putnam</v>
      </c>
      <c r="D219">
        <f ca="1">IFERROR(__xludf.DUMMYFUNCTION("""COMPUTED_VALUE"""),19)</f>
        <v>19</v>
      </c>
      <c r="E219" t="str">
        <f ca="1">IFERROR(__xludf.DUMMYFUNCTION("""COMPUTED_VALUE"""),"12' 1""")</f>
        <v>12' 1"</v>
      </c>
      <c r="F219">
        <f ca="1">IFERROR(__xludf.DUMMYFUNCTION("""COMPUTED_VALUE"""),217)</f>
        <v>217</v>
      </c>
      <c r="G219">
        <f ca="1">IFERROR(__xludf.DUMMYFUNCTION("""COMPUTED_VALUE"""),18)</f>
        <v>18</v>
      </c>
      <c r="H219">
        <f ca="1">IFERROR(__xludf.DUMMYFUNCTION("""COMPUTED_VALUE"""),65)</f>
        <v>65</v>
      </c>
    </row>
    <row r="220" spans="1:8" ht="12.75">
      <c r="A220" t="str">
        <f ca="1">IFERROR(__xludf.DUMMYFUNCTION("""COMPUTED_VALUE"""),"T219")</f>
        <v>T219</v>
      </c>
      <c r="B220" t="str">
        <f ca="1">IFERROR(__xludf.DUMMYFUNCTION("""COMPUTED_VALUE"""),"T243")</f>
        <v>T243</v>
      </c>
      <c r="C220" t="str">
        <f ca="1">IFERROR(__xludf.DUMMYFUNCTION("""COMPUTED_VALUE"""),"John Huh")</f>
        <v>John Huh</v>
      </c>
      <c r="D220">
        <f ca="1">IFERROR(__xludf.DUMMYFUNCTION("""COMPUTED_VALUE"""),8)</f>
        <v>8</v>
      </c>
      <c r="E220" t="str">
        <f ca="1">IFERROR(__xludf.DUMMYFUNCTION("""COMPUTED_VALUE"""),"12' 2""")</f>
        <v>12' 2"</v>
      </c>
      <c r="F220">
        <f ca="1">IFERROR(__xludf.DUMMYFUNCTION("""COMPUTED_VALUE"""),85.333)</f>
        <v>85.332999999999998</v>
      </c>
      <c r="G220">
        <f ca="1">IFERROR(__xludf.DUMMYFUNCTION("""COMPUTED_VALUE"""),7)</f>
        <v>7</v>
      </c>
      <c r="H220">
        <f ca="1">IFERROR(__xludf.DUMMYFUNCTION("""COMPUTED_VALUE"""),214)</f>
        <v>214</v>
      </c>
    </row>
    <row r="221" spans="1:8" ht="12.75">
      <c r="A221" t="str">
        <f ca="1">IFERROR(__xludf.DUMMYFUNCTION("""COMPUTED_VALUE"""),"T219")</f>
        <v>T219</v>
      </c>
      <c r="B221">
        <f ca="1">IFERROR(__xludf.DUMMYFUNCTION("""COMPUTED_VALUE"""),212)</f>
        <v>212</v>
      </c>
      <c r="C221" t="str">
        <f ca="1">IFERROR(__xludf.DUMMYFUNCTION("""COMPUTED_VALUE"""),"Chez Reavie")</f>
        <v>Chez Reavie</v>
      </c>
      <c r="D221">
        <f ca="1">IFERROR(__xludf.DUMMYFUNCTION("""COMPUTED_VALUE"""),14)</f>
        <v>14</v>
      </c>
      <c r="E221" t="str">
        <f ca="1">IFERROR(__xludf.DUMMYFUNCTION("""COMPUTED_VALUE"""),"12' 2""")</f>
        <v>12' 2"</v>
      </c>
      <c r="F221">
        <f ca="1">IFERROR(__xludf.DUMMYFUNCTION("""COMPUTED_VALUE"""),170)</f>
        <v>170</v>
      </c>
      <c r="G221">
        <f ca="1">IFERROR(__xludf.DUMMYFUNCTION("""COMPUTED_VALUE"""),14)</f>
        <v>14</v>
      </c>
      <c r="H221">
        <f ca="1">IFERROR(__xludf.DUMMYFUNCTION("""COMPUTED_VALUE"""),80)</f>
        <v>80</v>
      </c>
    </row>
    <row r="222" spans="1:8" ht="12.75">
      <c r="A222" t="str">
        <f ca="1">IFERROR(__xludf.DUMMYFUNCTION("""COMPUTED_VALUE"""),"T221")</f>
        <v>T221</v>
      </c>
      <c r="B222">
        <f ca="1">IFERROR(__xludf.DUMMYFUNCTION("""COMPUTED_VALUE"""),213)</f>
        <v>213</v>
      </c>
      <c r="C222" t="str">
        <f ca="1">IFERROR(__xludf.DUMMYFUNCTION("""COMPUTED_VALUE"""),"George McNeill")</f>
        <v>George McNeill</v>
      </c>
      <c r="D222">
        <f ca="1">IFERROR(__xludf.DUMMYFUNCTION("""COMPUTED_VALUE"""),8)</f>
        <v>8</v>
      </c>
      <c r="E222" t="str">
        <f ca="1">IFERROR(__xludf.DUMMYFUNCTION("""COMPUTED_VALUE"""),"12' 4""")</f>
        <v>12' 4"</v>
      </c>
      <c r="F222">
        <f ca="1">IFERROR(__xludf.DUMMYFUNCTION("""COMPUTED_VALUE"""),61.75)</f>
        <v>61.75</v>
      </c>
      <c r="G222">
        <f ca="1">IFERROR(__xludf.DUMMYFUNCTION("""COMPUTED_VALUE"""),5)</f>
        <v>5</v>
      </c>
      <c r="H222">
        <f ca="1">IFERROR(__xludf.DUMMYFUNCTION("""COMPUTED_VALUE"""),251)</f>
        <v>251</v>
      </c>
    </row>
    <row r="223" spans="1:8" ht="12.75">
      <c r="A223" t="str">
        <f ca="1">IFERROR(__xludf.DUMMYFUNCTION("""COMPUTED_VALUE"""),"T221")</f>
        <v>T221</v>
      </c>
      <c r="B223">
        <f ca="1">IFERROR(__xludf.DUMMYFUNCTION("""COMPUTED_VALUE"""),44)</f>
        <v>44</v>
      </c>
      <c r="C223" t="str">
        <f ca="1">IFERROR(__xludf.DUMMYFUNCTION("""COMPUTED_VALUE"""),"Kevin Tway")</f>
        <v>Kevin Tway</v>
      </c>
      <c r="D223">
        <f ca="1">IFERROR(__xludf.DUMMYFUNCTION("""COMPUTED_VALUE"""),16)</f>
        <v>16</v>
      </c>
      <c r="E223" t="str">
        <f ca="1">IFERROR(__xludf.DUMMYFUNCTION("""COMPUTED_VALUE"""),"12' 4""")</f>
        <v>12' 4"</v>
      </c>
      <c r="F223">
        <f ca="1">IFERROR(__xludf.DUMMYFUNCTION("""COMPUTED_VALUE"""),98.667)</f>
        <v>98.667000000000002</v>
      </c>
      <c r="G223">
        <f ca="1">IFERROR(__xludf.DUMMYFUNCTION("""COMPUTED_VALUE"""),8)</f>
        <v>8</v>
      </c>
      <c r="H223">
        <f ca="1">IFERROR(__xludf.DUMMYFUNCTION("""COMPUTED_VALUE"""),107)</f>
        <v>107</v>
      </c>
    </row>
    <row r="224" spans="1:8" ht="12.75">
      <c r="A224" t="str">
        <f ca="1">IFERROR(__xludf.DUMMYFUNCTION("""COMPUTED_VALUE"""),"T223")</f>
        <v>T223</v>
      </c>
      <c r="B224" t="str">
        <f ca="1">IFERROR(__xludf.DUMMYFUNCTION("""COMPUTED_VALUE"""),"T214")</f>
        <v>T214</v>
      </c>
      <c r="C224" t="str">
        <f ca="1">IFERROR(__xludf.DUMMYFUNCTION("""COMPUTED_VALUE"""),"Xinjun Zhang")</f>
        <v>Xinjun Zhang</v>
      </c>
      <c r="D224">
        <f ca="1">IFERROR(__xludf.DUMMYFUNCTION("""COMPUTED_VALUE"""),14)</f>
        <v>14</v>
      </c>
      <c r="E224" t="str">
        <f ca="1">IFERROR(__xludf.DUMMYFUNCTION("""COMPUTED_VALUE"""),"12' 5""")</f>
        <v>12' 5"</v>
      </c>
      <c r="F224">
        <f ca="1">IFERROR(__xludf.DUMMYFUNCTION("""COMPUTED_VALUE"""),111.833)</f>
        <v>111.833</v>
      </c>
      <c r="G224">
        <f ca="1">IFERROR(__xludf.DUMMYFUNCTION("""COMPUTED_VALUE"""),9)</f>
        <v>9</v>
      </c>
      <c r="H224">
        <f ca="1">IFERROR(__xludf.DUMMYFUNCTION("""COMPUTED_VALUE"""),31)</f>
        <v>31</v>
      </c>
    </row>
    <row r="225" spans="1:8" ht="12.75">
      <c r="A225" t="str">
        <f ca="1">IFERROR(__xludf.DUMMYFUNCTION("""COMPUTED_VALUE"""),"T223")</f>
        <v>T223</v>
      </c>
      <c r="B225" t="str">
        <f ca="1">IFERROR(__xludf.DUMMYFUNCTION("""COMPUTED_VALUE"""),"T214")</f>
        <v>T214</v>
      </c>
      <c r="C225" t="str">
        <f ca="1">IFERROR(__xludf.DUMMYFUNCTION("""COMPUTED_VALUE"""),"Rafa Cabrera Bello")</f>
        <v>Rafa Cabrera Bello</v>
      </c>
      <c r="D225">
        <f ca="1">IFERROR(__xludf.DUMMYFUNCTION("""COMPUTED_VALUE"""),14)</f>
        <v>14</v>
      </c>
      <c r="E225" t="str">
        <f ca="1">IFERROR(__xludf.DUMMYFUNCTION("""COMPUTED_VALUE"""),"12' 5""")</f>
        <v>12' 5"</v>
      </c>
      <c r="F225">
        <f ca="1">IFERROR(__xludf.DUMMYFUNCTION("""COMPUTED_VALUE"""),236.583)</f>
        <v>236.583</v>
      </c>
      <c r="G225">
        <f ca="1">IFERROR(__xludf.DUMMYFUNCTION("""COMPUTED_VALUE"""),19)</f>
        <v>19</v>
      </c>
      <c r="H225">
        <f ca="1">IFERROR(__xludf.DUMMYFUNCTION("""COMPUTED_VALUE"""),234)</f>
        <v>234</v>
      </c>
    </row>
    <row r="226" spans="1:8" ht="12.75">
      <c r="A226" t="str">
        <f ca="1">IFERROR(__xludf.DUMMYFUNCTION("""COMPUTED_VALUE"""),"T223")</f>
        <v>T223</v>
      </c>
      <c r="B226" t="str">
        <f ca="1">IFERROR(__xludf.DUMMYFUNCTION("""COMPUTED_VALUE"""),"T214")</f>
        <v>T214</v>
      </c>
      <c r="C226" t="str">
        <f ca="1">IFERROR(__xludf.DUMMYFUNCTION("""COMPUTED_VALUE"""),"Sungjae Im")</f>
        <v>Sungjae Im</v>
      </c>
      <c r="D226">
        <f ca="1">IFERROR(__xludf.DUMMYFUNCTION("""COMPUTED_VALUE"""),24)</f>
        <v>24</v>
      </c>
      <c r="E226" t="str">
        <f ca="1">IFERROR(__xludf.DUMMYFUNCTION("""COMPUTED_VALUE"""),"12' 5""")</f>
        <v>12' 5"</v>
      </c>
      <c r="F226">
        <f ca="1">IFERROR(__xludf.DUMMYFUNCTION("""COMPUTED_VALUE"""),322.5)</f>
        <v>322.5</v>
      </c>
      <c r="G226">
        <f ca="1">IFERROR(__xludf.DUMMYFUNCTION("""COMPUTED_VALUE"""),26)</f>
        <v>26</v>
      </c>
      <c r="H226">
        <f ca="1">IFERROR(__xludf.DUMMYFUNCTION("""COMPUTED_VALUE"""),181)</f>
        <v>181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IFERROR(__xludf.DUMMYFUNCTION("""COMPUTED_VALUE"""),"T217")</f>
        <v>T217</v>
      </c>
      <c r="C227" t="str">
        <f ca="1">IFERROR(__xludf.DUMMYFUNCTION("""COMPUTED_VALUE"""),"Brad Kennedy")</f>
        <v>Brad Kennedy</v>
      </c>
      <c r="D227">
        <f ca="1">IFERROR(__xludf.DUMMYFUNCTION("""COMPUTED_VALUE"""),4)</f>
        <v>4</v>
      </c>
      <c r="E227" t="str">
        <f ca="1">IFERROR(__xludf.DUMMYFUNCTION("""COMPUTED_VALUE"""),"12' 6""")</f>
        <v>12' 6"</v>
      </c>
      <c r="F227">
        <f ca="1">IFERROR(__xludf.DUMMYFUNCTION("""COMPUTED_VALUE"""),37.417)</f>
        <v>37.417000000000002</v>
      </c>
      <c r="G227">
        <f ca="1">IFERROR(__xludf.DUMMYFUNCTION("""COMPUTED_VALUE"""),3)</f>
        <v>3</v>
      </c>
      <c r="H227">
        <f ca="1">IFERROR(__xludf.DUMMYFUNCTION("""COMPUTED_VALUE"""),5)</f>
        <v>5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IFERROR(__xludf.DUMMYFUNCTION("""COMPUTED_VALUE"""),"T217")</f>
        <v>T217</v>
      </c>
      <c r="C228" t="str">
        <f ca="1">IFERROR(__xludf.DUMMYFUNCTION("""COMPUTED_VALUE"""),"Steve Lewton")</f>
        <v>Steve Lewton</v>
      </c>
      <c r="D228">
        <f ca="1">IFERROR(__xludf.DUMMYFUNCTION("""COMPUTED_VALUE"""),4)</f>
        <v>4</v>
      </c>
      <c r="E228" t="str">
        <f ca="1">IFERROR(__xludf.DUMMYFUNCTION("""COMPUTED_VALUE"""),"12' 6""")</f>
        <v>12' 6"</v>
      </c>
      <c r="F228">
        <f ca="1">IFERROR(__xludf.DUMMYFUNCTION("""COMPUTED_VALUE"""),99.917)</f>
        <v>99.917000000000002</v>
      </c>
      <c r="G228">
        <f ca="1">IFERROR(__xludf.DUMMYFUNCTION("""COMPUTED_VALUE"""),8)</f>
        <v>8</v>
      </c>
      <c r="H228">
        <f ca="1">IFERROR(__xludf.DUMMYFUNCTION("""COMPUTED_VALUE"""),215)</f>
        <v>215</v>
      </c>
    </row>
    <row r="229" spans="1:8" ht="12.75">
      <c r="A229" t="str">
        <f ca="1">IFERROR(__xludf.DUMMYFUNCTION("""COMPUTED_VALUE"""),"T226")</f>
        <v>T226</v>
      </c>
      <c r="B229">
        <f ca="1">IFERROR(__xludf.DUMMYFUNCTION("""COMPUTED_VALUE"""),230)</f>
        <v>230</v>
      </c>
      <c r="C229" t="str">
        <f ca="1">IFERROR(__xludf.DUMMYFUNCTION("""COMPUTED_VALUE"""),"Scott Stallings")</f>
        <v>Scott Stallings</v>
      </c>
      <c r="D229">
        <f ca="1">IFERROR(__xludf.DUMMYFUNCTION("""COMPUTED_VALUE"""),14)</f>
        <v>14</v>
      </c>
      <c r="E229" t="str">
        <f ca="1">IFERROR(__xludf.DUMMYFUNCTION("""COMPUTED_VALUE"""),"12' 6""")</f>
        <v>12' 6"</v>
      </c>
      <c r="F229">
        <f ca="1">IFERROR(__xludf.DUMMYFUNCTION("""COMPUTED_VALUE"""),125.167)</f>
        <v>125.167</v>
      </c>
      <c r="G229">
        <f ca="1">IFERROR(__xludf.DUMMYFUNCTION("""COMPUTED_VALUE"""),10)</f>
        <v>10</v>
      </c>
      <c r="H229">
        <f ca="1">IFERROR(__xludf.DUMMYFUNCTION("""COMPUTED_VALUE"""),8)</f>
        <v>8</v>
      </c>
    </row>
    <row r="230" spans="1:8" ht="12.75">
      <c r="A230" t="str">
        <f ca="1">IFERROR(__xludf.DUMMYFUNCTION("""COMPUTED_VALUE"""),"T229")</f>
        <v>T229</v>
      </c>
      <c r="B230" t="str">
        <f ca="1">IFERROR(__xludf.DUMMYFUNCTION("""COMPUTED_VALUE"""),"T220")</f>
        <v>T220</v>
      </c>
      <c r="C230" t="str">
        <f ca="1">IFERROR(__xludf.DUMMYFUNCTION("""COMPUTED_VALUE"""),"Kevin Na")</f>
        <v>Kevin Na</v>
      </c>
      <c r="D230">
        <f ca="1">IFERROR(__xludf.DUMMYFUNCTION("""COMPUTED_VALUE"""),14)</f>
        <v>14</v>
      </c>
      <c r="E230" t="str">
        <f ca="1">IFERROR(__xludf.DUMMYFUNCTION("""COMPUTED_VALUE"""),"12' 7""")</f>
        <v>12' 7"</v>
      </c>
      <c r="F230">
        <f ca="1">IFERROR(__xludf.DUMMYFUNCTION("""COMPUTED_VALUE"""),175.667)</f>
        <v>175.667</v>
      </c>
      <c r="G230">
        <f ca="1">IFERROR(__xludf.DUMMYFUNCTION("""COMPUTED_VALUE"""),14)</f>
        <v>14</v>
      </c>
      <c r="H230">
        <f ca="1">IFERROR(__xludf.DUMMYFUNCTION("""COMPUTED_VALUE"""),197)</f>
        <v>197</v>
      </c>
    </row>
    <row r="231" spans="1:8" ht="12.75">
      <c r="A231" t="str">
        <f ca="1">IFERROR(__xludf.DUMMYFUNCTION("""COMPUTED_VALUE"""),"T229")</f>
        <v>T229</v>
      </c>
      <c r="B231" t="str">
        <f ca="1">IFERROR(__xludf.DUMMYFUNCTION("""COMPUTED_VALUE"""),"T220")</f>
        <v>T220</v>
      </c>
      <c r="C231" t="str">
        <f ca="1">IFERROR(__xludf.DUMMYFUNCTION("""COMPUTED_VALUE"""),"Chase Seiffert")</f>
        <v>Chase Seiffert</v>
      </c>
      <c r="D231">
        <f ca="1">IFERROR(__xludf.DUMMYFUNCTION("""COMPUTED_VALUE"""),14)</f>
        <v>14</v>
      </c>
      <c r="E231" t="str">
        <f ca="1">IFERROR(__xludf.DUMMYFUNCTION("""COMPUTED_VALUE"""),"12' 7""")</f>
        <v>12' 7"</v>
      </c>
      <c r="F231">
        <f ca="1">IFERROR(__xludf.DUMMYFUNCTION("""COMPUTED_VALUE"""),150.5)</f>
        <v>150.5</v>
      </c>
      <c r="G231">
        <f ca="1">IFERROR(__xludf.DUMMYFUNCTION("""COMPUTED_VALUE"""),12)</f>
        <v>12</v>
      </c>
      <c r="H231">
        <f ca="1">IFERROR(__xludf.DUMMYFUNCTION("""COMPUTED_VALUE"""),85)</f>
        <v>85</v>
      </c>
    </row>
    <row r="232" spans="1:8" ht="12.75">
      <c r="A232" t="str">
        <f ca="1">IFERROR(__xludf.DUMMYFUNCTION("""COMPUTED_VALUE"""),"T229")</f>
        <v>T229</v>
      </c>
      <c r="B232" t="str">
        <f ca="1">IFERROR(__xludf.DUMMYFUNCTION("""COMPUTED_VALUE"""),"T220")</f>
        <v>T220</v>
      </c>
      <c r="C232" t="str">
        <f ca="1">IFERROR(__xludf.DUMMYFUNCTION("""COMPUTED_VALUE"""),"MJ Daffue")</f>
        <v>MJ Daffue</v>
      </c>
      <c r="D232">
        <f ca="1">IFERROR(__xludf.DUMMYFUNCTION("""COMPUTED_VALUE"""),10)</f>
        <v>10</v>
      </c>
      <c r="E232" t="str">
        <f ca="1">IFERROR(__xludf.DUMMYFUNCTION("""COMPUTED_VALUE"""),"12' 7""")</f>
        <v>12' 7"</v>
      </c>
      <c r="F232">
        <f ca="1">IFERROR(__xludf.DUMMYFUNCTION("""COMPUTED_VALUE"""),88)</f>
        <v>88</v>
      </c>
      <c r="G232">
        <f ca="1">IFERROR(__xludf.DUMMYFUNCTION("""COMPUTED_VALUE"""),7)</f>
        <v>7</v>
      </c>
      <c r="H232">
        <f ca="1">IFERROR(__xludf.DUMMYFUNCTION("""COMPUTED_VALUE"""),142)</f>
        <v>142</v>
      </c>
    </row>
    <row r="233" spans="1:8" ht="12.75">
      <c r="A233">
        <f ca="1">IFERROR(__xludf.DUMMYFUNCTION("""COMPUTED_VALUE"""),232)</f>
        <v>232</v>
      </c>
      <c r="B233" t="str">
        <f ca="1">IFERROR(__xludf.DUMMYFUNCTION("""COMPUTED_VALUE"""),"T217")</f>
        <v>T217</v>
      </c>
      <c r="C233" t="str">
        <f ca="1">IFERROR(__xludf.DUMMYFUNCTION("""COMPUTED_VALUE"""),"Si Woo Kim")</f>
        <v>Si Woo Kim</v>
      </c>
      <c r="D233">
        <f ca="1">IFERROR(__xludf.DUMMYFUNCTION("""COMPUTED_VALUE"""),20)</f>
        <v>20</v>
      </c>
      <c r="E233" t="str">
        <f ca="1">IFERROR(__xludf.DUMMYFUNCTION("""COMPUTED_VALUE"""),"12' 8""")</f>
        <v>12' 8"</v>
      </c>
      <c r="F233">
        <f ca="1">IFERROR(__xludf.DUMMYFUNCTION("""COMPUTED_VALUE"""),342.083)</f>
        <v>342.08300000000003</v>
      </c>
      <c r="G233">
        <f ca="1">IFERROR(__xludf.DUMMYFUNCTION("""COMPUTED_VALUE"""),27)</f>
        <v>27</v>
      </c>
      <c r="H233">
        <f ca="1">IFERROR(__xludf.DUMMYFUNCTION("""COMPUTED_VALUE"""),38)</f>
        <v>38</v>
      </c>
    </row>
    <row r="234" spans="1:8" ht="12.75">
      <c r="A234">
        <f ca="1">IFERROR(__xludf.DUMMYFUNCTION("""COMPUTED_VALUE"""),233)</f>
        <v>233</v>
      </c>
      <c r="B234" t="str">
        <f ca="1">IFERROR(__xludf.DUMMYFUNCTION("""COMPUTED_VALUE"""),"T223")</f>
        <v>T223</v>
      </c>
      <c r="C234" t="str">
        <f ca="1">IFERROR(__xludf.DUMMYFUNCTION("""COMPUTED_VALUE"""),"Abraham Ancer")</f>
        <v>Abraham Ancer</v>
      </c>
      <c r="D234">
        <f ca="1">IFERROR(__xludf.DUMMYFUNCTION("""COMPUTED_VALUE"""),16)</f>
        <v>16</v>
      </c>
      <c r="E234" t="str">
        <f ca="1">IFERROR(__xludf.DUMMYFUNCTION("""COMPUTED_VALUE"""),"12' 10""")</f>
        <v>12' 10"</v>
      </c>
      <c r="F234">
        <f ca="1">IFERROR(__xludf.DUMMYFUNCTION("""COMPUTED_VALUE"""),192.75)</f>
        <v>192.75</v>
      </c>
      <c r="G234">
        <f ca="1">IFERROR(__xludf.DUMMYFUNCTION("""COMPUTED_VALUE"""),15)</f>
        <v>15</v>
      </c>
      <c r="H234">
        <f ca="1">IFERROR(__xludf.DUMMYFUNCTION("""COMPUTED_VALUE"""),218)</f>
        <v>218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IFERROR(__xludf.DUMMYFUNCTION("""COMPUTED_VALUE"""),"T226")</f>
        <v>T226</v>
      </c>
      <c r="C235" t="str">
        <f ca="1">IFERROR(__xludf.DUMMYFUNCTION("""COMPUTED_VALUE"""),"Zac Blair")</f>
        <v>Zac Blair</v>
      </c>
      <c r="D235">
        <f ca="1">IFERROR(__xludf.DUMMYFUNCTION("""COMPUTED_VALUE"""),10)</f>
        <v>10</v>
      </c>
      <c r="E235" t="str">
        <f ca="1">IFERROR(__xludf.DUMMYFUNCTION("""COMPUTED_VALUE"""),"12' 11""")</f>
        <v>12' 11"</v>
      </c>
      <c r="F235">
        <f ca="1">IFERROR(__xludf.DUMMYFUNCTION("""COMPUTED_VALUE"""),64.583)</f>
        <v>64.582999999999998</v>
      </c>
      <c r="G235">
        <f ca="1">IFERROR(__xludf.DUMMYFUNCTION("""COMPUTED_VALUE"""),5)</f>
        <v>5</v>
      </c>
      <c r="H235">
        <f ca="1">IFERROR(__xludf.DUMMYFUNCTION("""COMPUTED_VALUE"""),230)</f>
        <v>230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IFERROR(__xludf.DUMMYFUNCTION("""COMPUTED_VALUE"""),"T226")</f>
        <v>T226</v>
      </c>
      <c r="C236" t="str">
        <f ca="1">IFERROR(__xludf.DUMMYFUNCTION("""COMPUTED_VALUE"""),"Jay McLuen")</f>
        <v>Jay McLuen</v>
      </c>
      <c r="D236">
        <f ca="1">IFERROR(__xludf.DUMMYFUNCTION("""COMPUTED_VALUE"""),4)</f>
        <v>4</v>
      </c>
      <c r="E236" t="str">
        <f ca="1">IFERROR(__xludf.DUMMYFUNCTION("""COMPUTED_VALUE"""),"12' 11""")</f>
        <v>12' 11"</v>
      </c>
      <c r="F236">
        <f ca="1">IFERROR(__xludf.DUMMYFUNCTION("""COMPUTED_VALUE"""),77.417)</f>
        <v>77.417000000000002</v>
      </c>
      <c r="G236">
        <f ca="1">IFERROR(__xludf.DUMMYFUNCTION("""COMPUTED_VALUE"""),6)</f>
        <v>6</v>
      </c>
      <c r="H236">
        <f ca="1">IFERROR(__xludf.DUMMYFUNCTION("""COMPUTED_VALUE"""),130)</f>
        <v>130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IFERROR(__xludf.DUMMYFUNCTION("""COMPUTED_VALUE"""),"T226")</f>
        <v>T226</v>
      </c>
      <c r="C237" t="str">
        <f ca="1">IFERROR(__xludf.DUMMYFUNCTION("""COMPUTED_VALUE"""),"Rory Sabbatini")</f>
        <v>Rory Sabbatini</v>
      </c>
      <c r="D237">
        <f ca="1">IFERROR(__xludf.DUMMYFUNCTION("""COMPUTED_VALUE"""),13)</f>
        <v>13</v>
      </c>
      <c r="E237" t="str">
        <f ca="1">IFERROR(__xludf.DUMMYFUNCTION("""COMPUTED_VALUE"""),"12' 11""")</f>
        <v>12' 11"</v>
      </c>
      <c r="F237">
        <f ca="1">IFERROR(__xludf.DUMMYFUNCTION("""COMPUTED_VALUE"""),296.167)</f>
        <v>296.16699999999997</v>
      </c>
      <c r="G237">
        <f ca="1">IFERROR(__xludf.DUMMYFUNCTION("""COMPUTED_VALUE"""),23)</f>
        <v>23</v>
      </c>
      <c r="H237">
        <f ca="1">IFERROR(__xludf.DUMMYFUNCTION("""COMPUTED_VALUE"""),275)</f>
        <v>275</v>
      </c>
    </row>
    <row r="238" spans="1:8" ht="12.75">
      <c r="A238" t="str">
        <f ca="1">IFERROR(__xludf.DUMMYFUNCTION("""COMPUTED_VALUE"""),"T237")</f>
        <v>T237</v>
      </c>
      <c r="B238" t="str">
        <f ca="1">IFERROR(__xludf.DUMMYFUNCTION("""COMPUTED_VALUE"""),"")</f>
        <v/>
      </c>
      <c r="C238" t="str">
        <f ca="1">IFERROR(__xludf.DUMMYFUNCTION("""COMPUTED_VALUE"""),"Greg Chalmers")</f>
        <v>Greg Chalmers</v>
      </c>
      <c r="D238">
        <f ca="1">IFERROR(__xludf.DUMMYFUNCTION("""COMPUTED_VALUE"""),6)</f>
        <v>6</v>
      </c>
      <c r="E238" t="str">
        <f ca="1">IFERROR(__xludf.DUMMYFUNCTION("""COMPUTED_VALUE"""),"13' 0""")</f>
        <v>13' 0"</v>
      </c>
      <c r="F238">
        <f ca="1">IFERROR(__xludf.DUMMYFUNCTION("""COMPUTED_VALUE"""),116.833)</f>
        <v>116.833</v>
      </c>
      <c r="G238">
        <f ca="1">IFERROR(__xludf.DUMMYFUNCTION("""COMPUTED_VALUE"""),9)</f>
        <v>9</v>
      </c>
      <c r="H238">
        <f ca="1">IFERROR(__xludf.DUMMYFUNCTION("""COMPUTED_VALUE"""),211)</f>
        <v>211</v>
      </c>
    </row>
    <row r="239" spans="1:8" ht="12.75">
      <c r="A239" t="str">
        <f ca="1">IFERROR(__xludf.DUMMYFUNCTION("""COMPUTED_VALUE"""),"T237")</f>
        <v>T237</v>
      </c>
      <c r="B239">
        <f ca="1">IFERROR(__xludf.DUMMYFUNCTION("""COMPUTED_VALUE"""),234)</f>
        <v>234</v>
      </c>
      <c r="C239" t="str">
        <f ca="1">IFERROR(__xludf.DUMMYFUNCTION("""COMPUTED_VALUE"""),"Martin Trainer")</f>
        <v>Martin Trainer</v>
      </c>
      <c r="D239">
        <f ca="1">IFERROR(__xludf.DUMMYFUNCTION("""COMPUTED_VALUE"""),10)</f>
        <v>10</v>
      </c>
      <c r="E239" t="str">
        <f ca="1">IFERROR(__xludf.DUMMYFUNCTION("""COMPUTED_VALUE"""),"13' 0""")</f>
        <v>13' 0"</v>
      </c>
      <c r="F239">
        <f ca="1">IFERROR(__xludf.DUMMYFUNCTION("""COMPUTED_VALUE"""),130.083)</f>
        <v>130.083</v>
      </c>
      <c r="G239">
        <f ca="1">IFERROR(__xludf.DUMMYFUNCTION("""COMPUTED_VALUE"""),10)</f>
        <v>10</v>
      </c>
      <c r="H239">
        <f ca="1">IFERROR(__xludf.DUMMYFUNCTION("""COMPUTED_VALUE"""),247)</f>
        <v>247</v>
      </c>
    </row>
    <row r="240" spans="1:8" ht="12.75">
      <c r="A240">
        <f ca="1">IFERROR(__xludf.DUMMYFUNCTION("""COMPUTED_VALUE"""),239)</f>
        <v>239</v>
      </c>
      <c r="B240" t="str">
        <f ca="1">IFERROR(__xludf.DUMMYFUNCTION("""COMPUTED_VALUE"""),"T231")</f>
        <v>T231</v>
      </c>
      <c r="C240" t="str">
        <f ca="1">IFERROR(__xludf.DUMMYFUNCTION("""COMPUTED_VALUE"""),"Charles Howell III")</f>
        <v>Charles Howell III</v>
      </c>
      <c r="D240">
        <f ca="1">IFERROR(__xludf.DUMMYFUNCTION("""COMPUTED_VALUE"""),10)</f>
        <v>10</v>
      </c>
      <c r="E240" t="str">
        <f ca="1">IFERROR(__xludf.DUMMYFUNCTION("""COMPUTED_VALUE"""),"13' 6""")</f>
        <v>13' 6"</v>
      </c>
      <c r="F240">
        <f ca="1">IFERROR(__xludf.DUMMYFUNCTION("""COMPUTED_VALUE"""),229.667)</f>
        <v>229.667</v>
      </c>
      <c r="G240">
        <f ca="1">IFERROR(__xludf.DUMMYFUNCTION("""COMPUTED_VALUE"""),17)</f>
        <v>17</v>
      </c>
      <c r="H240">
        <f ca="1">IFERROR(__xludf.DUMMYFUNCTION("""COMPUTED_VALUE"""),51)</f>
        <v>51</v>
      </c>
    </row>
    <row r="241" spans="1:8" ht="12.75">
      <c r="A241" t="str">
        <f ca="1">IFERROR(__xludf.DUMMYFUNCTION("""COMPUTED_VALUE"""),"T240")</f>
        <v>T240</v>
      </c>
      <c r="B241" t="str">
        <f ca="1">IFERROR(__xludf.DUMMYFUNCTION("""COMPUTED_VALUE"""),"T252")</f>
        <v>T252</v>
      </c>
      <c r="C241" t="str">
        <f ca="1">IFERROR(__xludf.DUMMYFUNCTION("""COMPUTED_VALUE"""),"Zach Johnson")</f>
        <v>Zach Johnson</v>
      </c>
      <c r="D241">
        <f ca="1">IFERROR(__xludf.DUMMYFUNCTION("""COMPUTED_VALUE"""),16)</f>
        <v>16</v>
      </c>
      <c r="E241" t="str">
        <f ca="1">IFERROR(__xludf.DUMMYFUNCTION("""COMPUTED_VALUE"""),"13' 8""")</f>
        <v>13' 8"</v>
      </c>
      <c r="F241">
        <f ca="1">IFERROR(__xludf.DUMMYFUNCTION("""COMPUTED_VALUE"""),219.167)</f>
        <v>219.167</v>
      </c>
      <c r="G241">
        <f ca="1">IFERROR(__xludf.DUMMYFUNCTION("""COMPUTED_VALUE"""),16)</f>
        <v>16</v>
      </c>
      <c r="H241">
        <f ca="1">IFERROR(__xludf.DUMMYFUNCTION("""COMPUTED_VALUE"""),122)</f>
        <v>122</v>
      </c>
    </row>
    <row r="242" spans="1:8" ht="12.75">
      <c r="A242" t="str">
        <f ca="1">IFERROR(__xludf.DUMMYFUNCTION("""COMPUTED_VALUE"""),"T240")</f>
        <v>T240</v>
      </c>
      <c r="B242">
        <f ca="1">IFERROR(__xludf.DUMMYFUNCTION("""COMPUTED_VALUE"""),207)</f>
        <v>207</v>
      </c>
      <c r="C242" t="str">
        <f ca="1">IFERROR(__xludf.DUMMYFUNCTION("""COMPUTED_VALUE"""),"Hunter Mahan")</f>
        <v>Hunter Mahan</v>
      </c>
      <c r="D242">
        <f ca="1">IFERROR(__xludf.DUMMYFUNCTION("""COMPUTED_VALUE"""),14)</f>
        <v>14</v>
      </c>
      <c r="E242" t="str">
        <f ca="1">IFERROR(__xludf.DUMMYFUNCTION("""COMPUTED_VALUE"""),"13' 8""")</f>
        <v>13' 8"</v>
      </c>
      <c r="F242">
        <f ca="1">IFERROR(__xludf.DUMMYFUNCTION("""COMPUTED_VALUE"""),136.417)</f>
        <v>136.417</v>
      </c>
      <c r="G242">
        <f ca="1">IFERROR(__xludf.DUMMYFUNCTION("""COMPUTED_VALUE"""),10)</f>
        <v>10</v>
      </c>
      <c r="H242">
        <f ca="1">IFERROR(__xludf.DUMMYFUNCTION("""COMPUTED_VALUE"""),168)</f>
        <v>168</v>
      </c>
    </row>
    <row r="243" spans="1:8" ht="12.75">
      <c r="A243">
        <f ca="1">IFERROR(__xludf.DUMMYFUNCTION("""COMPUTED_VALUE"""),242)</f>
        <v>242</v>
      </c>
      <c r="B243" t="str">
        <f ca="1">IFERROR(__xludf.DUMMYFUNCTION("""COMPUTED_VALUE"""),"")</f>
        <v/>
      </c>
      <c r="C243" t="str">
        <f ca="1">IFERROR(__xludf.DUMMYFUNCTION("""COMPUTED_VALUE"""),"Ollie Schniederjans")</f>
        <v>Ollie Schniederjans</v>
      </c>
      <c r="D243">
        <f ca="1">IFERROR(__xludf.DUMMYFUNCTION("""COMPUTED_VALUE"""),6)</f>
        <v>6</v>
      </c>
      <c r="E243" t="str">
        <f ca="1">IFERROR(__xludf.DUMMYFUNCTION("""COMPUTED_VALUE"""),"13' 9""")</f>
        <v>13' 9"</v>
      </c>
      <c r="F243">
        <f ca="1">IFERROR(__xludf.DUMMYFUNCTION("""COMPUTED_VALUE"""),68.667)</f>
        <v>68.667000000000002</v>
      </c>
      <c r="G243">
        <f ca="1">IFERROR(__xludf.DUMMYFUNCTION("""COMPUTED_VALUE"""),5)</f>
        <v>5</v>
      </c>
      <c r="H243">
        <f ca="1">IFERROR(__xludf.DUMMYFUNCTION("""COMPUTED_VALUE"""),85)</f>
        <v>85</v>
      </c>
    </row>
    <row r="244" spans="1:8" ht="12.75">
      <c r="A244">
        <f ca="1">IFERROR(__xludf.DUMMYFUNCTION("""COMPUTED_VALUE"""),243)</f>
        <v>243</v>
      </c>
      <c r="B244" t="str">
        <f ca="1">IFERROR(__xludf.DUMMYFUNCTION("""COMPUTED_VALUE"""),"")</f>
        <v/>
      </c>
      <c r="C244" t="str">
        <f ca="1">IFERROR(__xludf.DUMMYFUNCTION("""COMPUTED_VALUE"""),"Justin Harding")</f>
        <v>Justin Harding</v>
      </c>
      <c r="D244">
        <f ca="1">IFERROR(__xludf.DUMMYFUNCTION("""COMPUTED_VALUE"""),6)</f>
        <v>6</v>
      </c>
      <c r="E244" t="str">
        <f ca="1">IFERROR(__xludf.DUMMYFUNCTION("""COMPUTED_VALUE"""),"14' 0""")</f>
        <v>14' 0"</v>
      </c>
      <c r="F244">
        <f ca="1">IFERROR(__xludf.DUMMYFUNCTION("""COMPUTED_VALUE"""),98)</f>
        <v>98</v>
      </c>
      <c r="G244">
        <f ca="1">IFERROR(__xludf.DUMMYFUNCTION("""COMPUTED_VALUE"""),7)</f>
        <v>7</v>
      </c>
      <c r="H244">
        <f ca="1">IFERROR(__xludf.DUMMYFUNCTION("""COMPUTED_VALUE"""),279)</f>
        <v>279</v>
      </c>
    </row>
    <row r="245" spans="1:8" ht="12.75">
      <c r="A245">
        <f ca="1">IFERROR(__xludf.DUMMYFUNCTION("""COMPUTED_VALUE"""),244)</f>
        <v>244</v>
      </c>
      <c r="B245">
        <f ca="1">IFERROR(__xludf.DUMMYFUNCTION("""COMPUTED_VALUE"""),235)</f>
        <v>235</v>
      </c>
      <c r="C245" t="str">
        <f ca="1">IFERROR(__xludf.DUMMYFUNCTION("""COMPUTED_VALUE"""),"Ryan Palmer")</f>
        <v>Ryan Palmer</v>
      </c>
      <c r="D245">
        <f ca="1">IFERROR(__xludf.DUMMYFUNCTION("""COMPUTED_VALUE"""),14)</f>
        <v>14</v>
      </c>
      <c r="E245" t="str">
        <f ca="1">IFERROR(__xludf.DUMMYFUNCTION("""COMPUTED_VALUE"""),"14' 1""")</f>
        <v>14' 1"</v>
      </c>
      <c r="F245">
        <f ca="1">IFERROR(__xludf.DUMMYFUNCTION("""COMPUTED_VALUE"""),225.167)</f>
        <v>225.167</v>
      </c>
      <c r="G245">
        <f ca="1">IFERROR(__xludf.DUMMYFUNCTION("""COMPUTED_VALUE"""),16)</f>
        <v>16</v>
      </c>
      <c r="H245">
        <f ca="1">IFERROR(__xludf.DUMMYFUNCTION("""COMPUTED_VALUE"""),171)</f>
        <v>171</v>
      </c>
    </row>
    <row r="246" spans="1:8" ht="12.75">
      <c r="A246" t="str">
        <f ca="1">IFERROR(__xludf.DUMMYFUNCTION("""COMPUTED_VALUE"""),"T245")</f>
        <v>T245</v>
      </c>
      <c r="B246">
        <f ca="1">IFERROR(__xludf.DUMMYFUNCTION("""COMPUTED_VALUE"""),258)</f>
        <v>258</v>
      </c>
      <c r="C246" t="str">
        <f ca="1">IFERROR(__xludf.DUMMYFUNCTION("""COMPUTED_VALUE"""),"Danny Willett")</f>
        <v>Danny Willett</v>
      </c>
      <c r="D246">
        <f ca="1">IFERROR(__xludf.DUMMYFUNCTION("""COMPUTED_VALUE"""),7)</f>
        <v>7</v>
      </c>
      <c r="E246" t="str">
        <f ca="1">IFERROR(__xludf.DUMMYFUNCTION("""COMPUTED_VALUE"""),"14' 2""")</f>
        <v>14' 2"</v>
      </c>
      <c r="F246">
        <f ca="1">IFERROR(__xludf.DUMMYFUNCTION("""COMPUTED_VALUE"""),99.083)</f>
        <v>99.082999999999998</v>
      </c>
      <c r="G246">
        <f ca="1">IFERROR(__xludf.DUMMYFUNCTION("""COMPUTED_VALUE"""),7)</f>
        <v>7</v>
      </c>
      <c r="H246">
        <f ca="1">IFERROR(__xludf.DUMMYFUNCTION("""COMPUTED_VALUE"""),269)</f>
        <v>269</v>
      </c>
    </row>
    <row r="247" spans="1:8" ht="12.75">
      <c r="A247" t="str">
        <f ca="1">IFERROR(__xludf.DUMMYFUNCTION("""COMPUTED_VALUE"""),"T245")</f>
        <v>T245</v>
      </c>
      <c r="B247">
        <f ca="1">IFERROR(__xludf.DUMMYFUNCTION("""COMPUTED_VALUE"""),236)</f>
        <v>236</v>
      </c>
      <c r="C247" t="str">
        <f ca="1">IFERROR(__xludf.DUMMYFUNCTION("""COMPUTED_VALUE"""),"George Markham")</f>
        <v>George Markham</v>
      </c>
      <c r="D247">
        <f ca="1">IFERROR(__xludf.DUMMYFUNCTION("""COMPUTED_VALUE"""),4)</f>
        <v>4</v>
      </c>
      <c r="E247" t="str">
        <f ca="1">IFERROR(__xludf.DUMMYFUNCTION("""COMPUTED_VALUE"""),"14' 2""")</f>
        <v>14' 2"</v>
      </c>
      <c r="F247">
        <f ca="1">IFERROR(__xludf.DUMMYFUNCTION("""COMPUTED_VALUE"""),113.167)</f>
        <v>113.167</v>
      </c>
      <c r="G247">
        <f ca="1">IFERROR(__xludf.DUMMYFUNCTION("""COMPUTED_VALUE"""),8)</f>
        <v>8</v>
      </c>
      <c r="H247">
        <f ca="1">IFERROR(__xludf.DUMMYFUNCTION("""COMPUTED_VALUE"""),168)</f>
        <v>168</v>
      </c>
    </row>
    <row r="248" spans="1:8" ht="12.75">
      <c r="A248">
        <f ca="1">IFERROR(__xludf.DUMMYFUNCTION("""COMPUTED_VALUE"""),247)</f>
        <v>247</v>
      </c>
      <c r="B248">
        <f ca="1">IFERROR(__xludf.DUMMYFUNCTION("""COMPUTED_VALUE"""),238)</f>
        <v>238</v>
      </c>
      <c r="C248" t="str">
        <f ca="1">IFERROR(__xludf.DUMMYFUNCTION("""COMPUTED_VALUE"""),"Peter Uihlein")</f>
        <v>Peter Uihlein</v>
      </c>
      <c r="D248">
        <f ca="1">IFERROR(__xludf.DUMMYFUNCTION("""COMPUTED_VALUE"""),8)</f>
        <v>8</v>
      </c>
      <c r="E248" t="str">
        <f ca="1">IFERROR(__xludf.DUMMYFUNCTION("""COMPUTED_VALUE"""),"14' 4""")</f>
        <v>14' 4"</v>
      </c>
      <c r="F248">
        <f ca="1">IFERROR(__xludf.DUMMYFUNCTION("""COMPUTED_VALUE"""),43.083)</f>
        <v>43.082999999999998</v>
      </c>
      <c r="G248">
        <f ca="1">IFERROR(__xludf.DUMMYFUNCTION("""COMPUTED_VALUE"""),3)</f>
        <v>3</v>
      </c>
      <c r="H248">
        <f ca="1">IFERROR(__xludf.DUMMYFUNCTION("""COMPUTED_VALUE"""),258)</f>
        <v>258</v>
      </c>
    </row>
    <row r="249" spans="1:8" ht="12.75">
      <c r="A249">
        <f ca="1">IFERROR(__xludf.DUMMYFUNCTION("""COMPUTED_VALUE"""),248)</f>
        <v>248</v>
      </c>
      <c r="B249">
        <f ca="1">IFERROR(__xludf.DUMMYFUNCTION("""COMPUTED_VALUE"""),239)</f>
        <v>239</v>
      </c>
      <c r="C249" t="str">
        <f ca="1">IFERROR(__xludf.DUMMYFUNCTION("""COMPUTED_VALUE"""),"Peter Malnati")</f>
        <v>Peter Malnati</v>
      </c>
      <c r="D249">
        <f ca="1">IFERROR(__xludf.DUMMYFUNCTION("""COMPUTED_VALUE"""),18)</f>
        <v>18</v>
      </c>
      <c r="E249" t="str">
        <f ca="1">IFERROR(__xludf.DUMMYFUNCTION("""COMPUTED_VALUE"""),"14' 5""")</f>
        <v>14' 5"</v>
      </c>
      <c r="F249">
        <f ca="1">IFERROR(__xludf.DUMMYFUNCTION("""COMPUTED_VALUE"""),172.75)</f>
        <v>172.75</v>
      </c>
      <c r="G249">
        <f ca="1">IFERROR(__xludf.DUMMYFUNCTION("""COMPUTED_VALUE"""),12)</f>
        <v>12</v>
      </c>
      <c r="H249">
        <f ca="1">IFERROR(__xludf.DUMMYFUNCTION("""COMPUTED_VALUE"""),70)</f>
        <v>70</v>
      </c>
    </row>
    <row r="250" spans="1:8" ht="12.75">
      <c r="A250">
        <f ca="1">IFERROR(__xludf.DUMMYFUNCTION("""COMPUTED_VALUE"""),249)</f>
        <v>249</v>
      </c>
      <c r="B250" t="str">
        <f ca="1">IFERROR(__xludf.DUMMYFUNCTION("""COMPUTED_VALUE"""),"T205")</f>
        <v>T205</v>
      </c>
      <c r="C250" t="str">
        <f ca="1">IFERROR(__xludf.DUMMYFUNCTION("""COMPUTED_VALUE"""),"Kelly Kraft")</f>
        <v>Kelly Kraft</v>
      </c>
      <c r="D250">
        <f ca="1">IFERROR(__xludf.DUMMYFUNCTION("""COMPUTED_VALUE"""),14)</f>
        <v>14</v>
      </c>
      <c r="E250" t="str">
        <f ca="1">IFERROR(__xludf.DUMMYFUNCTION("""COMPUTED_VALUE"""),"14' 7""")</f>
        <v>14' 7"</v>
      </c>
      <c r="F250">
        <f ca="1">IFERROR(__xludf.DUMMYFUNCTION("""COMPUTED_VALUE"""),116.917)</f>
        <v>116.917</v>
      </c>
      <c r="G250">
        <f ca="1">IFERROR(__xludf.DUMMYFUNCTION("""COMPUTED_VALUE"""),8)</f>
        <v>8</v>
      </c>
      <c r="H250">
        <f ca="1">IFERROR(__xludf.DUMMYFUNCTION("""COMPUTED_VALUE"""),201)</f>
        <v>201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IFERROR(__xludf.DUMMYFUNCTION("""COMPUTED_VALUE"""),240)</f>
        <v>240</v>
      </c>
      <c r="C251" t="str">
        <f ca="1">IFERROR(__xludf.DUMMYFUNCTION("""COMPUTED_VALUE"""),"Romain Langasque")</f>
        <v>Romain Langasque</v>
      </c>
      <c r="D251">
        <f ca="1">IFERROR(__xludf.DUMMYFUNCTION("""COMPUTED_VALUE"""),4)</f>
        <v>4</v>
      </c>
      <c r="E251" t="str">
        <f ca="1">IFERROR(__xludf.DUMMYFUNCTION("""COMPUTED_VALUE"""),"14' 9""")</f>
        <v>14' 9"</v>
      </c>
      <c r="F251">
        <f ca="1">IFERROR(__xludf.DUMMYFUNCTION("""COMPUTED_VALUE"""),58.917)</f>
        <v>58.917000000000002</v>
      </c>
      <c r="G251">
        <f ca="1">IFERROR(__xludf.DUMMYFUNCTION("""COMPUTED_VALUE"""),4)</f>
        <v>4</v>
      </c>
      <c r="H251">
        <f ca="1">IFERROR(__xludf.DUMMYFUNCTION("""COMPUTED_VALUE"""),224)</f>
        <v>224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IFERROR(__xludf.DUMMYFUNCTION("""COMPUTED_VALUE"""),241)</f>
        <v>241</v>
      </c>
      <c r="C252" t="str">
        <f ca="1">IFERROR(__xludf.DUMMYFUNCTION("""COMPUTED_VALUE"""),"John Pak")</f>
        <v>John Pak</v>
      </c>
      <c r="D252">
        <f ca="1">IFERROR(__xludf.DUMMYFUNCTION("""COMPUTED_VALUE"""),4)</f>
        <v>4</v>
      </c>
      <c r="E252" t="str">
        <f ca="1">IFERROR(__xludf.DUMMYFUNCTION("""COMPUTED_VALUE"""),"14' 10""")</f>
        <v>14' 10"</v>
      </c>
      <c r="F252">
        <f ca="1">IFERROR(__xludf.DUMMYFUNCTION("""COMPUTED_VALUE"""),59.167)</f>
        <v>59.167000000000002</v>
      </c>
      <c r="G252">
        <f ca="1">IFERROR(__xludf.DUMMYFUNCTION("""COMPUTED_VALUE"""),4)</f>
        <v>4</v>
      </c>
      <c r="H252">
        <f ca="1">IFERROR(__xludf.DUMMYFUNCTION("""COMPUTED_VALUE"""),277)</f>
        <v>277</v>
      </c>
    </row>
    <row r="253" spans="1:8" ht="12.75">
      <c r="A253">
        <f ca="1">IFERROR(__xludf.DUMMYFUNCTION("""COMPUTED_VALUE"""),252)</f>
        <v>252</v>
      </c>
      <c r="B253" t="str">
        <f ca="1">IFERROR(__xludf.DUMMYFUNCTION("""COMPUTED_VALUE"""),"T243")</f>
        <v>T243</v>
      </c>
      <c r="C253" t="str">
        <f ca="1">IFERROR(__xludf.DUMMYFUNCTION("""COMPUTED_VALUE"""),"Lucas Herbert")</f>
        <v>Lucas Herbert</v>
      </c>
      <c r="D253">
        <f ca="1">IFERROR(__xludf.DUMMYFUNCTION("""COMPUTED_VALUE"""),4)</f>
        <v>4</v>
      </c>
      <c r="E253" t="str">
        <f ca="1">IFERROR(__xludf.DUMMYFUNCTION("""COMPUTED_VALUE"""),"15' 0""")</f>
        <v>15' 0"</v>
      </c>
      <c r="F253">
        <f ca="1">IFERROR(__xludf.DUMMYFUNCTION("""COMPUTED_VALUE"""),149.75)</f>
        <v>149.75</v>
      </c>
      <c r="G253">
        <f ca="1">IFERROR(__xludf.DUMMYFUNCTION("""COMPUTED_VALUE"""),10)</f>
        <v>10</v>
      </c>
      <c r="H253">
        <f ca="1">IFERROR(__xludf.DUMMYFUNCTION("""COMPUTED_VALUE"""),235)</f>
        <v>235</v>
      </c>
    </row>
    <row r="254" spans="1:8" ht="12.75">
      <c r="A254" t="str">
        <f ca="1">IFERROR(__xludf.DUMMYFUNCTION("""COMPUTED_VALUE"""),"T253")</f>
        <v>T253</v>
      </c>
      <c r="B254" t="str">
        <f ca="1">IFERROR(__xludf.DUMMYFUNCTION("""COMPUTED_VALUE"""),"T245")</f>
        <v>T245</v>
      </c>
      <c r="C254" t="str">
        <f ca="1">IFERROR(__xludf.DUMMYFUNCTION("""COMPUTED_VALUE"""),"Tyler McCumber")</f>
        <v>Tyler McCumber</v>
      </c>
      <c r="D254">
        <f ca="1">IFERROR(__xludf.DUMMYFUNCTION("""COMPUTED_VALUE"""),14)</f>
        <v>14</v>
      </c>
      <c r="E254" t="str">
        <f ca="1">IFERROR(__xludf.DUMMYFUNCTION("""COMPUTED_VALUE"""),"15' 2""")</f>
        <v>15' 2"</v>
      </c>
      <c r="F254">
        <f ca="1">IFERROR(__xludf.DUMMYFUNCTION("""COMPUTED_VALUE"""),105.917)</f>
        <v>105.917</v>
      </c>
      <c r="G254">
        <f ca="1">IFERROR(__xludf.DUMMYFUNCTION("""COMPUTED_VALUE"""),7)</f>
        <v>7</v>
      </c>
      <c r="H254">
        <f ca="1">IFERROR(__xludf.DUMMYFUNCTION("""COMPUTED_VALUE"""),75)</f>
        <v>75</v>
      </c>
    </row>
    <row r="255" spans="1:8" ht="12.75">
      <c r="A255" t="str">
        <f ca="1">IFERROR(__xludf.DUMMYFUNCTION("""COMPUTED_VALUE"""),"T253")</f>
        <v>T253</v>
      </c>
      <c r="B255" t="str">
        <f ca="1">IFERROR(__xludf.DUMMYFUNCTION("""COMPUTED_VALUE"""),"T245")</f>
        <v>T245</v>
      </c>
      <c r="C255" t="str">
        <f ca="1">IFERROR(__xludf.DUMMYFUNCTION("""COMPUTED_VALUE"""),"Jeongwoo Ham")</f>
        <v>Jeongwoo Ham</v>
      </c>
      <c r="D255">
        <f ca="1">IFERROR(__xludf.DUMMYFUNCTION("""COMPUTED_VALUE"""),4)</f>
        <v>4</v>
      </c>
      <c r="E255" t="str">
        <f ca="1">IFERROR(__xludf.DUMMYFUNCTION("""COMPUTED_VALUE"""),"15' 2""")</f>
        <v>15' 2"</v>
      </c>
      <c r="F255">
        <f ca="1">IFERROR(__xludf.DUMMYFUNCTION("""COMPUTED_VALUE"""),45.417)</f>
        <v>45.417000000000002</v>
      </c>
      <c r="G255">
        <f ca="1">IFERROR(__xludf.DUMMYFUNCTION("""COMPUTED_VALUE"""),3)</f>
        <v>3</v>
      </c>
      <c r="H255">
        <f ca="1">IFERROR(__xludf.DUMMYFUNCTION("""COMPUTED_VALUE"""),273)</f>
        <v>273</v>
      </c>
    </row>
    <row r="256" spans="1:8" ht="12.75">
      <c r="A256" t="str">
        <f ca="1">IFERROR(__xludf.DUMMYFUNCTION("""COMPUTED_VALUE"""),"T253")</f>
        <v>T253</v>
      </c>
      <c r="B256" t="str">
        <f ca="1">IFERROR(__xludf.DUMMYFUNCTION("""COMPUTED_VALUE"""),"T245")</f>
        <v>T245</v>
      </c>
      <c r="C256" t="str">
        <f ca="1">IFERROR(__xludf.DUMMYFUNCTION("""COMPUTED_VALUE"""),"Matt Wallace")</f>
        <v>Matt Wallace</v>
      </c>
      <c r="D256">
        <f ca="1">IFERROR(__xludf.DUMMYFUNCTION("""COMPUTED_VALUE"""),4)</f>
        <v>4</v>
      </c>
      <c r="E256" t="str">
        <f ca="1">IFERROR(__xludf.DUMMYFUNCTION("""COMPUTED_VALUE"""),"15' 2""")</f>
        <v>15' 2"</v>
      </c>
      <c r="F256">
        <f ca="1">IFERROR(__xludf.DUMMYFUNCTION("""COMPUTED_VALUE"""),75.667)</f>
        <v>75.667000000000002</v>
      </c>
      <c r="G256">
        <f ca="1">IFERROR(__xludf.DUMMYFUNCTION("""COMPUTED_VALUE"""),5)</f>
        <v>5</v>
      </c>
      <c r="H256">
        <f ca="1">IFERROR(__xludf.DUMMYFUNCTION("""COMPUTED_VALUE"""),284)</f>
        <v>284</v>
      </c>
    </row>
    <row r="257" spans="1:8" ht="12.75">
      <c r="A257" t="str">
        <f ca="1">IFERROR(__xludf.DUMMYFUNCTION("""COMPUTED_VALUE"""),"T256")</f>
        <v>T256</v>
      </c>
      <c r="B257" t="str">
        <f ca="1">IFERROR(__xludf.DUMMYFUNCTION("""COMPUTED_VALUE"""),"T248")</f>
        <v>T248</v>
      </c>
      <c r="C257" t="str">
        <f ca="1">IFERROR(__xludf.DUMMYFUNCTION("""COMPUTED_VALUE"""),"Jon Rahm")</f>
        <v>Jon Rahm</v>
      </c>
      <c r="D257">
        <f ca="1">IFERROR(__xludf.DUMMYFUNCTION("""COMPUTED_VALUE"""),12)</f>
        <v>12</v>
      </c>
      <c r="E257" t="str">
        <f ca="1">IFERROR(__xludf.DUMMYFUNCTION("""COMPUTED_VALUE"""),"15' 4""")</f>
        <v>15' 4"</v>
      </c>
      <c r="F257">
        <f ca="1">IFERROR(__xludf.DUMMYFUNCTION("""COMPUTED_VALUE"""),168.667)</f>
        <v>168.667</v>
      </c>
      <c r="G257">
        <f ca="1">IFERROR(__xludf.DUMMYFUNCTION("""COMPUTED_VALUE"""),11)</f>
        <v>11</v>
      </c>
      <c r="H257">
        <f ca="1">IFERROR(__xludf.DUMMYFUNCTION("""COMPUTED_VALUE"""),154)</f>
        <v>154</v>
      </c>
    </row>
    <row r="258" spans="1:8" ht="12.75">
      <c r="A258" t="str">
        <f ca="1">IFERROR(__xludf.DUMMYFUNCTION("""COMPUTED_VALUE"""),"T256")</f>
        <v>T256</v>
      </c>
      <c r="B258" t="str">
        <f ca="1">IFERROR(__xludf.DUMMYFUNCTION("""COMPUTED_VALUE"""),"T248")</f>
        <v>T248</v>
      </c>
      <c r="C258" t="str">
        <f ca="1">IFERROR(__xludf.DUMMYFUNCTION("""COMPUTED_VALUE"""),"Nelson Ledesma")</f>
        <v>Nelson Ledesma</v>
      </c>
      <c r="D258">
        <f ca="1">IFERROR(__xludf.DUMMYFUNCTION("""COMPUTED_VALUE"""),8)</f>
        <v>8</v>
      </c>
      <c r="E258" t="str">
        <f ca="1">IFERROR(__xludf.DUMMYFUNCTION("""COMPUTED_VALUE"""),"15' 4""")</f>
        <v>15' 4"</v>
      </c>
      <c r="F258">
        <f ca="1">IFERROR(__xludf.DUMMYFUNCTION("""COMPUTED_VALUE"""),61.167)</f>
        <v>61.167000000000002</v>
      </c>
      <c r="G258">
        <f ca="1">IFERROR(__xludf.DUMMYFUNCTION("""COMPUTED_VALUE"""),4)</f>
        <v>4</v>
      </c>
      <c r="H258">
        <f ca="1">IFERROR(__xludf.DUMMYFUNCTION("""COMPUTED_VALUE"""),201)</f>
        <v>201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IFERROR(__xludf.DUMMYFUNCTION("""COMPUTED_VALUE"""),250)</f>
        <v>250</v>
      </c>
      <c r="C259" t="str">
        <f ca="1">IFERROR(__xludf.DUMMYFUNCTION("""COMPUTED_VALUE"""),"Billy Horschel")</f>
        <v>Billy Horschel</v>
      </c>
      <c r="D259">
        <f ca="1">IFERROR(__xludf.DUMMYFUNCTION("""COMPUTED_VALUE"""),12)</f>
        <v>12</v>
      </c>
      <c r="E259" t="str">
        <f ca="1">IFERROR(__xludf.DUMMYFUNCTION("""COMPUTED_VALUE"""),"15' 7""")</f>
        <v>15' 7"</v>
      </c>
      <c r="F259">
        <f ca="1">IFERROR(__xludf.DUMMYFUNCTION("""COMPUTED_VALUE"""),264.5)</f>
        <v>264.5</v>
      </c>
      <c r="G259">
        <f ca="1">IFERROR(__xludf.DUMMYFUNCTION("""COMPUTED_VALUE"""),17)</f>
        <v>17</v>
      </c>
      <c r="H259">
        <f ca="1">IFERROR(__xludf.DUMMYFUNCTION("""COMPUTED_VALUE"""),183)</f>
        <v>183</v>
      </c>
    </row>
    <row r="260" spans="1:8" ht="12.75">
      <c r="A260">
        <f ca="1">IFERROR(__xludf.DUMMYFUNCTION("""COMPUTED_VALUE"""),259)</f>
        <v>259</v>
      </c>
      <c r="B260">
        <f ca="1">IFERROR(__xludf.DUMMYFUNCTION("""COMPUTED_VALUE"""),251)</f>
        <v>251</v>
      </c>
      <c r="C260" t="str">
        <f ca="1">IFERROR(__xludf.DUMMYFUNCTION("""COMPUTED_VALUE"""),"Luke Schniederjans")</f>
        <v>Luke Schniederjans</v>
      </c>
      <c r="D260">
        <f ca="1">IFERROR(__xludf.DUMMYFUNCTION("""COMPUTED_VALUE"""),4)</f>
        <v>4</v>
      </c>
      <c r="E260" t="str">
        <f ca="1">IFERROR(__xludf.DUMMYFUNCTION("""COMPUTED_VALUE"""),"15' 9""")</f>
        <v>15' 9"</v>
      </c>
      <c r="F260">
        <f ca="1">IFERROR(__xludf.DUMMYFUNCTION("""COMPUTED_VALUE"""),47.167)</f>
        <v>47.167000000000002</v>
      </c>
      <c r="G260">
        <f ca="1">IFERROR(__xludf.DUMMYFUNCTION("""COMPUTED_VALUE"""),3)</f>
        <v>3</v>
      </c>
      <c r="H260">
        <f ca="1">IFERROR(__xludf.DUMMYFUNCTION("""COMPUTED_VALUE"""),209)</f>
        <v>209</v>
      </c>
    </row>
    <row r="261" spans="1:8" ht="12.75">
      <c r="A261" t="str">
        <f ca="1">IFERROR(__xludf.DUMMYFUNCTION("""COMPUTED_VALUE"""),"T260")</f>
        <v>T260</v>
      </c>
      <c r="B261" t="str">
        <f ca="1">IFERROR(__xludf.DUMMYFUNCTION("""COMPUTED_VALUE"""),"T252")</f>
        <v>T252</v>
      </c>
      <c r="C261" t="str">
        <f ca="1">IFERROR(__xludf.DUMMYFUNCTION("""COMPUTED_VALUE"""),"Kevin Kisner")</f>
        <v>Kevin Kisner</v>
      </c>
      <c r="D261">
        <f ca="1">IFERROR(__xludf.DUMMYFUNCTION("""COMPUTED_VALUE"""),10)</f>
        <v>10</v>
      </c>
      <c r="E261" t="str">
        <f ca="1">IFERROR(__xludf.DUMMYFUNCTION("""COMPUTED_VALUE"""),"16' 0""")</f>
        <v>16' 0"</v>
      </c>
      <c r="F261">
        <f ca="1">IFERROR(__xludf.DUMMYFUNCTION("""COMPUTED_VALUE"""),159.75)</f>
        <v>159.75</v>
      </c>
      <c r="G261">
        <f ca="1">IFERROR(__xludf.DUMMYFUNCTION("""COMPUTED_VALUE"""),10)</f>
        <v>10</v>
      </c>
      <c r="H261">
        <f ca="1">IFERROR(__xludf.DUMMYFUNCTION("""COMPUTED_VALUE"""),187)</f>
        <v>187</v>
      </c>
    </row>
    <row r="262" spans="1:8" ht="12.75">
      <c r="A262" t="str">
        <f ca="1">IFERROR(__xludf.DUMMYFUNCTION("""COMPUTED_VALUE"""),"T260")</f>
        <v>T260</v>
      </c>
      <c r="B262" t="str">
        <f ca="1">IFERROR(__xludf.DUMMYFUNCTION("""COMPUTED_VALUE"""),"T252")</f>
        <v>T252</v>
      </c>
      <c r="C262" t="str">
        <f ca="1">IFERROR(__xludf.DUMMYFUNCTION("""COMPUTED_VALUE"""),"Gary Woodland")</f>
        <v>Gary Woodland</v>
      </c>
      <c r="D262">
        <f ca="1">IFERROR(__xludf.DUMMYFUNCTION("""COMPUTED_VALUE"""),6)</f>
        <v>6</v>
      </c>
      <c r="E262" t="str">
        <f ca="1">IFERROR(__xludf.DUMMYFUNCTION("""COMPUTED_VALUE"""),"16' 0""")</f>
        <v>16' 0"</v>
      </c>
      <c r="F262">
        <f ca="1">IFERROR(__xludf.DUMMYFUNCTION("""COMPUTED_VALUE"""),144)</f>
        <v>144</v>
      </c>
      <c r="G262">
        <f ca="1">IFERROR(__xludf.DUMMYFUNCTION("""COMPUTED_VALUE"""),9)</f>
        <v>9</v>
      </c>
      <c r="H262">
        <f ca="1">IFERROR(__xludf.DUMMYFUNCTION("""COMPUTED_VALUE"""),278)</f>
        <v>278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IFERROR(__xludf.DUMMYFUNCTION("""COMPUTED_VALUE"""),255)</f>
        <v>255</v>
      </c>
      <c r="C263" t="str">
        <f ca="1">IFERROR(__xludf.DUMMYFUNCTION("""COMPUTED_VALUE"""),"Shawn Stefani")</f>
        <v>Shawn Stefani</v>
      </c>
      <c r="D263">
        <f ca="1">IFERROR(__xludf.DUMMYFUNCTION("""COMPUTED_VALUE"""),5)</f>
        <v>5</v>
      </c>
      <c r="E263" t="str">
        <f ca="1">IFERROR(__xludf.DUMMYFUNCTION("""COMPUTED_VALUE"""),"16' 4""")</f>
        <v>16' 4"</v>
      </c>
      <c r="F263">
        <f ca="1">IFERROR(__xludf.DUMMYFUNCTION("""COMPUTED_VALUE"""),49)</f>
        <v>49</v>
      </c>
      <c r="G263">
        <f ca="1">IFERROR(__xludf.DUMMYFUNCTION("""COMPUTED_VALUE"""),3)</f>
        <v>3</v>
      </c>
      <c r="H263">
        <f ca="1">IFERROR(__xludf.DUMMYFUNCTION("""COMPUTED_VALUE"""),255)</f>
        <v>255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IFERROR(__xludf.DUMMYFUNCTION("""COMPUTED_VALUE"""),256)</f>
        <v>256</v>
      </c>
      <c r="C264" t="str">
        <f ca="1">IFERROR(__xludf.DUMMYFUNCTION("""COMPUTED_VALUE"""),"Matthew Fitzpatrick")</f>
        <v>Matthew Fitzpatrick</v>
      </c>
      <c r="D264">
        <f ca="1">IFERROR(__xludf.DUMMYFUNCTION("""COMPUTED_VALUE"""),10)</f>
        <v>10</v>
      </c>
      <c r="E264" t="str">
        <f ca="1">IFERROR(__xludf.DUMMYFUNCTION("""COMPUTED_VALUE"""),"16' 6""")</f>
        <v>16' 6"</v>
      </c>
      <c r="F264">
        <f ca="1">IFERROR(__xludf.DUMMYFUNCTION("""COMPUTED_VALUE"""),214.25)</f>
        <v>214.25</v>
      </c>
      <c r="G264">
        <f ca="1">IFERROR(__xludf.DUMMYFUNCTION("""COMPUTED_VALUE"""),13)</f>
        <v>13</v>
      </c>
      <c r="H264">
        <f ca="1">IFERROR(__xludf.DUMMYFUNCTION("""COMPUTED_VALUE"""),230)</f>
        <v>230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IFERROR(__xludf.DUMMYFUNCTION("""COMPUTED_VALUE"""),259)</f>
        <v>259</v>
      </c>
      <c r="C265" t="str">
        <f ca="1">IFERROR(__xludf.DUMMYFUNCTION("""COMPUTED_VALUE"""),"Hudson Swafford")</f>
        <v>Hudson Swafford</v>
      </c>
      <c r="D265">
        <f ca="1">IFERROR(__xludf.DUMMYFUNCTION("""COMPUTED_VALUE"""),18)</f>
        <v>18</v>
      </c>
      <c r="E265" t="str">
        <f ca="1">IFERROR(__xludf.DUMMYFUNCTION("""COMPUTED_VALUE"""),"16' 8""")</f>
        <v>16' 8"</v>
      </c>
      <c r="F265">
        <f ca="1">IFERROR(__xludf.DUMMYFUNCTION("""COMPUTED_VALUE"""),232.833)</f>
        <v>232.833</v>
      </c>
      <c r="G265">
        <f ca="1">IFERROR(__xludf.DUMMYFUNCTION("""COMPUTED_VALUE"""),14)</f>
        <v>14</v>
      </c>
      <c r="H265">
        <f ca="1">IFERROR(__xludf.DUMMYFUNCTION("""COMPUTED_VALUE"""),160)</f>
        <v>160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IFERROR(__xludf.DUMMYFUNCTION("""COMPUTED_VALUE"""),"Rickie Fowler")</f>
        <v>Rickie Fowler</v>
      </c>
      <c r="D266">
        <f ca="1">IFERROR(__xludf.DUMMYFUNCTION("""COMPUTED_VALUE"""),14)</f>
        <v>14</v>
      </c>
      <c r="E266" t="str">
        <f ca="1">IFERROR(__xludf.DUMMYFUNCTION("""COMPUTED_VALUE"""),"16' 10""")</f>
        <v>16' 10"</v>
      </c>
      <c r="F266">
        <f ca="1">IFERROR(__xludf.DUMMYFUNCTION("""COMPUTED_VALUE"""),134.833)</f>
        <v>134.833</v>
      </c>
      <c r="G266">
        <f ca="1">IFERROR(__xludf.DUMMYFUNCTION("""COMPUTED_VALUE"""),8)</f>
        <v>8</v>
      </c>
      <c r="H266">
        <f ca="1">IFERROR(__xludf.DUMMYFUNCTION("""COMPUTED_VALUE"""),268)</f>
        <v>268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IFERROR(__xludf.DUMMYFUNCTION("""COMPUTED_VALUE"""),260)</f>
        <v>260</v>
      </c>
      <c r="C267" t="str">
        <f ca="1">IFERROR(__xludf.DUMMYFUNCTION("""COMPUTED_VALUE"""),"Davis Riley")</f>
        <v>Davis Riley</v>
      </c>
      <c r="D267">
        <f ca="1">IFERROR(__xludf.DUMMYFUNCTION("""COMPUTED_VALUE"""),4)</f>
        <v>4</v>
      </c>
      <c r="E267" t="str">
        <f ca="1">IFERROR(__xludf.DUMMYFUNCTION("""COMPUTED_VALUE"""),"17' 5""")</f>
        <v>17' 5"</v>
      </c>
      <c r="F267">
        <f ca="1">IFERROR(__xludf.DUMMYFUNCTION("""COMPUTED_VALUE"""),69.667)</f>
        <v>69.667000000000002</v>
      </c>
      <c r="G267">
        <f ca="1">IFERROR(__xludf.DUMMYFUNCTION("""COMPUTED_VALUE"""),4)</f>
        <v>4</v>
      </c>
      <c r="H267">
        <f ca="1">IFERROR(__xludf.DUMMYFUNCTION("""COMPUTED_VALUE"""),289)</f>
        <v>289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IFERROR(__xludf.DUMMYFUNCTION("""COMPUTED_VALUE"""),264)</f>
        <v>264</v>
      </c>
      <c r="C268" t="str">
        <f ca="1">IFERROR(__xludf.DUMMYFUNCTION("""COMPUTED_VALUE"""),"Lee Westwood")</f>
        <v>Lee Westwood</v>
      </c>
      <c r="D268">
        <f ca="1">IFERROR(__xludf.DUMMYFUNCTION("""COMPUTED_VALUE"""),6)</f>
        <v>6</v>
      </c>
      <c r="E268" t="str">
        <f ca="1">IFERROR(__xludf.DUMMYFUNCTION("""COMPUTED_VALUE"""),"17' 6""")</f>
        <v>17' 6"</v>
      </c>
      <c r="F268">
        <f ca="1">IFERROR(__xludf.DUMMYFUNCTION("""COMPUTED_VALUE"""),157.75)</f>
        <v>157.75</v>
      </c>
      <c r="G268">
        <f ca="1">IFERROR(__xludf.DUMMYFUNCTION("""COMPUTED_VALUE"""),9)</f>
        <v>9</v>
      </c>
      <c r="H268">
        <f ca="1">IFERROR(__xludf.DUMMYFUNCTION("""COMPUTED_VALUE"""),147)</f>
        <v>147</v>
      </c>
    </row>
    <row r="269" spans="1:8" ht="12.75">
      <c r="A269">
        <f ca="1">IFERROR(__xludf.DUMMYFUNCTION("""COMPUTED_VALUE"""),268)</f>
        <v>268</v>
      </c>
      <c r="B269" t="str">
        <f ca="1">IFERROR(__xludf.DUMMYFUNCTION("""COMPUTED_VALUE"""),"T261")</f>
        <v>T261</v>
      </c>
      <c r="C269" t="str">
        <f ca="1">IFERROR(__xludf.DUMMYFUNCTION("""COMPUTED_VALUE"""),"Parker McLachlin")</f>
        <v>Parker McLachlin</v>
      </c>
      <c r="D269">
        <f ca="1">IFERROR(__xludf.DUMMYFUNCTION("""COMPUTED_VALUE"""),4)</f>
        <v>4</v>
      </c>
      <c r="E269" t="str">
        <f ca="1">IFERROR(__xludf.DUMMYFUNCTION("""COMPUTED_VALUE"""),"18' 0""")</f>
        <v>18' 0"</v>
      </c>
      <c r="F269">
        <f ca="1">IFERROR(__xludf.DUMMYFUNCTION("""COMPUTED_VALUE"""),54)</f>
        <v>54</v>
      </c>
      <c r="G269">
        <f ca="1">IFERROR(__xludf.DUMMYFUNCTION("""COMPUTED_VALUE"""),3)</f>
        <v>3</v>
      </c>
      <c r="H269">
        <f ca="1">IFERROR(__xludf.DUMMYFUNCTION("""COMPUTED_VALUE"""),167)</f>
        <v>167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IFERROR(__xludf.DUMMYFUNCTION("""COMPUTED_VALUE"""),263)</f>
        <v>263</v>
      </c>
      <c r="C270" t="str">
        <f ca="1">IFERROR(__xludf.DUMMYFUNCTION("""COMPUTED_VALUE"""),"Seonghyeon Kim")</f>
        <v>Seonghyeon Kim</v>
      </c>
      <c r="D270">
        <f ca="1">IFERROR(__xludf.DUMMYFUNCTION("""COMPUTED_VALUE"""),4)</f>
        <v>4</v>
      </c>
      <c r="E270" t="str">
        <f ca="1">IFERROR(__xludf.DUMMYFUNCTION("""COMPUTED_VALUE"""),"18' 5""")</f>
        <v>18' 5"</v>
      </c>
      <c r="F270">
        <f ca="1">IFERROR(__xludf.DUMMYFUNCTION("""COMPUTED_VALUE"""),36.75)</f>
        <v>36.75</v>
      </c>
      <c r="G270">
        <f ca="1">IFERROR(__xludf.DUMMYFUNCTION("""COMPUTED_VALUE"""),2)</f>
        <v>2</v>
      </c>
      <c r="H270">
        <f ca="1">IFERROR(__xludf.DUMMYFUNCTION("""COMPUTED_VALUE"""),144)</f>
        <v>144</v>
      </c>
    </row>
    <row r="271" spans="1:8" ht="12.75">
      <c r="A271">
        <f ca="1">IFERROR(__xludf.DUMMYFUNCTION("""COMPUTED_VALUE"""),270)</f>
        <v>270</v>
      </c>
      <c r="B271" t="str">
        <f ca="1">IFERROR(__xludf.DUMMYFUNCTION("""COMPUTED_VALUE"""),"")</f>
        <v/>
      </c>
      <c r="C271" t="str">
        <f ca="1">IFERROR(__xludf.DUMMYFUNCTION("""COMPUTED_VALUE"""),"Erik Barnes")</f>
        <v>Erik Barnes</v>
      </c>
      <c r="D271">
        <f ca="1">IFERROR(__xludf.DUMMYFUNCTION("""COMPUTED_VALUE"""),4)</f>
        <v>4</v>
      </c>
      <c r="E271" t="str">
        <f ca="1">IFERROR(__xludf.DUMMYFUNCTION("""COMPUTED_VALUE"""),"19' 8""")</f>
        <v>19' 8"</v>
      </c>
      <c r="F271">
        <f ca="1">IFERROR(__xludf.DUMMYFUNCTION("""COMPUTED_VALUE"""),19.667)</f>
        <v>19.667000000000002</v>
      </c>
      <c r="G271">
        <f ca="1">IFERROR(__xludf.DUMMYFUNCTION("""COMPUTED_VALUE"""),1)</f>
        <v>1</v>
      </c>
      <c r="H271">
        <f ca="1">IFERROR(__xludf.DUMMYFUNCTION("""COMPUTED_VALUE"""),51)</f>
        <v>51</v>
      </c>
    </row>
    <row r="272" spans="1:8" ht="12.75">
      <c r="A272">
        <f ca="1">IFERROR(__xludf.DUMMYFUNCTION("""COMPUTED_VALUE"""),271)</f>
        <v>271</v>
      </c>
      <c r="B272">
        <f ca="1">IFERROR(__xludf.DUMMYFUNCTION("""COMPUTED_VALUE"""),265)</f>
        <v>265</v>
      </c>
      <c r="C272" t="str">
        <f ca="1">IFERROR(__xludf.DUMMYFUNCTION("""COMPUTED_VALUE"""),"Naoki Sekito")</f>
        <v>Naoki Sekito</v>
      </c>
      <c r="D272">
        <f ca="1">IFERROR(__xludf.DUMMYFUNCTION("""COMPUTED_VALUE"""),4)</f>
        <v>4</v>
      </c>
      <c r="E272" t="str">
        <f ca="1">IFERROR(__xludf.DUMMYFUNCTION("""COMPUTED_VALUE"""),"19' 10""")</f>
        <v>19' 10"</v>
      </c>
      <c r="F272">
        <f ca="1">IFERROR(__xludf.DUMMYFUNCTION("""COMPUTED_VALUE"""),39.667)</f>
        <v>39.667000000000002</v>
      </c>
      <c r="G272">
        <f ca="1">IFERROR(__xludf.DUMMYFUNCTION("""COMPUTED_VALUE"""),2)</f>
        <v>2</v>
      </c>
      <c r="H272">
        <f ca="1">IFERROR(__xludf.DUMMYFUNCTION("""COMPUTED_VALUE"""),259)</f>
        <v>259</v>
      </c>
    </row>
    <row r="273" spans="1:8" ht="12.75">
      <c r="A273">
        <f ca="1">IFERROR(__xludf.DUMMYFUNCTION("""COMPUTED_VALUE"""),272)</f>
        <v>272</v>
      </c>
      <c r="B273" t="str">
        <f ca="1">IFERROR(__xludf.DUMMYFUNCTION("""COMPUTED_VALUE"""),"T261")</f>
        <v>T261</v>
      </c>
      <c r="C273" t="str">
        <f ca="1">IFERROR(__xludf.DUMMYFUNCTION("""COMPUTED_VALUE"""),"Bo Van Pelt")</f>
        <v>Bo Van Pelt</v>
      </c>
      <c r="D273">
        <f ca="1">IFERROR(__xludf.DUMMYFUNCTION("""COMPUTED_VALUE"""),10)</f>
        <v>10</v>
      </c>
      <c r="E273" t="str">
        <f ca="1">IFERROR(__xludf.DUMMYFUNCTION("""COMPUTED_VALUE"""),"20' 0""")</f>
        <v>20' 0"</v>
      </c>
      <c r="F273">
        <f ca="1">IFERROR(__xludf.DUMMYFUNCTION("""COMPUTED_VALUE"""),139.917)</f>
        <v>139.917</v>
      </c>
      <c r="G273">
        <f ca="1">IFERROR(__xludf.DUMMYFUNCTION("""COMPUTED_VALUE"""),7)</f>
        <v>7</v>
      </c>
      <c r="H273">
        <f ca="1">IFERROR(__xludf.DUMMYFUNCTION("""COMPUTED_VALUE"""),265)</f>
        <v>265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IFERROR(__xludf.DUMMYFUNCTION("""COMPUTED_VALUE"""),"Shaun Norris")</f>
        <v>Shaun Norris</v>
      </c>
      <c r="D274">
        <f ca="1">IFERROR(__xludf.DUMMYFUNCTION("""COMPUTED_VALUE"""),6)</f>
        <v>6</v>
      </c>
      <c r="E274" t="str">
        <f ca="1">IFERROR(__xludf.DUMMYFUNCTION("""COMPUTED_VALUE"""),"21' 2""")</f>
        <v>21' 2"</v>
      </c>
      <c r="F274">
        <f ca="1">IFERROR(__xludf.DUMMYFUNCTION("""COMPUTED_VALUE"""),169.417)</f>
        <v>169.417</v>
      </c>
      <c r="G274">
        <f ca="1">IFERROR(__xludf.DUMMYFUNCTION("""COMPUTED_VALUE"""),8)</f>
        <v>8</v>
      </c>
      <c r="H274">
        <f ca="1">IFERROR(__xludf.DUMMYFUNCTION("""COMPUTED_VALUE"""),264)</f>
        <v>264</v>
      </c>
    </row>
    <row r="275" spans="1:8" ht="12.75">
      <c r="A275">
        <f ca="1">IFERROR(__xludf.DUMMYFUNCTION("""COMPUTED_VALUE"""),274)</f>
        <v>274</v>
      </c>
      <c r="B275" t="str">
        <f ca="1">IFERROR(__xludf.DUMMYFUNCTION("""COMPUTED_VALUE"""),"T49")</f>
        <v>T49</v>
      </c>
      <c r="C275" t="str">
        <f ca="1">IFERROR(__xludf.DUMMYFUNCTION("""COMPUTED_VALUE"""),"Keith Mitchell")</f>
        <v>Keith Mitchell</v>
      </c>
      <c r="D275">
        <f ca="1">IFERROR(__xludf.DUMMYFUNCTION("""COMPUTED_VALUE"""),14)</f>
        <v>14</v>
      </c>
      <c r="E275" t="str">
        <f ca="1">IFERROR(__xludf.DUMMYFUNCTION("""COMPUTED_VALUE"""),"23' 10""")</f>
        <v>23' 10"</v>
      </c>
      <c r="F275">
        <f ca="1">IFERROR(__xludf.DUMMYFUNCTION("""COMPUTED_VALUE"""),95.167)</f>
        <v>95.167000000000002</v>
      </c>
      <c r="G275">
        <f ca="1">IFERROR(__xludf.DUMMYFUNCTION("""COMPUTED_VALUE"""),4)</f>
        <v>4</v>
      </c>
      <c r="H275">
        <f ca="1">IFERROR(__xludf.DUMMYFUNCTION("""COMPUTED_VALUE"""),176)</f>
        <v>176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IFERROR(__xludf.DUMMYFUNCTION("""COMPUTED_VALUE"""),267)</f>
        <v>267</v>
      </c>
      <c r="C276" t="str">
        <f ca="1">IFERROR(__xludf.DUMMYFUNCTION("""COMPUTED_VALUE"""),"Matthew NeSmith")</f>
        <v>Matthew NeSmith</v>
      </c>
      <c r="D276">
        <f ca="1">IFERROR(__xludf.DUMMYFUNCTION("""COMPUTED_VALUE"""),16)</f>
        <v>16</v>
      </c>
      <c r="E276" t="str">
        <f ca="1">IFERROR(__xludf.DUMMYFUNCTION("""COMPUTED_VALUE"""),"32' 8""")</f>
        <v>32' 8"</v>
      </c>
      <c r="F276">
        <f ca="1">IFERROR(__xludf.DUMMYFUNCTION("""COMPUTED_VALUE"""),97.917)</f>
        <v>97.917000000000002</v>
      </c>
      <c r="G276">
        <f ca="1">IFERROR(__xludf.DUMMYFUNCTION("""COMPUTED_VALUE"""),3)</f>
        <v>3</v>
      </c>
      <c r="H276">
        <f ca="1">IFERROR(__xludf.DUMMYFUNCTION("""COMPUTED_VALUE"""),211)</f>
        <v>211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IFERROR(__xludf.DUMMYFUNCTION("importhtml(""http://www.pgatour.com/stats/stat.376.html"",""table"",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DTP")</f>
        <v>AVG DTP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SHOTS")</f>
        <v># OF SHOTS</v>
      </c>
      <c r="H1" t="str">
        <f ca="1">IFERROR(__xludf.DUMMYFUNCTION("""COMPUTED_VALUE"""),"SCRAMBLING RANK")</f>
        <v>SCRAMBLING RANK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IFERROR(__xludf.DUMMYFUNCTION("""COMPUTED_VALUE"""),"Ricky Barnes")</f>
        <v>Ricky Barnes</v>
      </c>
      <c r="D2">
        <f ca="1">IFERROR(__xludf.DUMMYFUNCTION("""COMPUTED_VALUE"""),12)</f>
        <v>12</v>
      </c>
      <c r="E2" t="str">
        <f ca="1">IFERROR(__xludf.DUMMYFUNCTION("""COMPUTED_VALUE"""),"2' 8""")</f>
        <v>2' 8"</v>
      </c>
      <c r="F2">
        <f ca="1">IFERROR(__xludf.DUMMYFUNCTION("""COMPUTED_VALUE"""),13.5)</f>
        <v>13.5</v>
      </c>
      <c r="G2">
        <f ca="1">IFERROR(__xludf.DUMMYFUNCTION("""COMPUTED_VALUE"""),5)</f>
        <v>5</v>
      </c>
      <c r="H2">
        <f ca="1">IFERROR(__xludf.DUMMYFUNCTION("""COMPUTED_VALUE"""),144)</f>
        <v>144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IFERROR(__xludf.DUMMYFUNCTION("""COMPUTED_VALUE"""),"George Markham")</f>
        <v>George Markham</v>
      </c>
      <c r="D3">
        <f ca="1">IFERROR(__xludf.DUMMYFUNCTION("""COMPUTED_VALUE"""),4)</f>
        <v>4</v>
      </c>
      <c r="E3" t="str">
        <f ca="1">IFERROR(__xludf.DUMMYFUNCTION("""COMPUTED_VALUE"""),"2' 10""")</f>
        <v>2' 10"</v>
      </c>
      <c r="F3">
        <f ca="1">IFERROR(__xludf.DUMMYFUNCTION("""COMPUTED_VALUE"""),8.5)</f>
        <v>8.5</v>
      </c>
      <c r="G3">
        <f ca="1">IFERROR(__xludf.DUMMYFUNCTION("""COMPUTED_VALUE"""),3)</f>
        <v>3</v>
      </c>
      <c r="H3">
        <f ca="1">IFERROR(__xludf.DUMMYFUNCTION("""COMPUTED_VALUE"""),168)</f>
        <v>168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IFERROR(__xludf.DUMMYFUNCTION("""COMPUTED_VALUE"""),"Chris Baker")</f>
        <v>Chris Baker</v>
      </c>
      <c r="D4">
        <f ca="1">IFERROR(__xludf.DUMMYFUNCTION("""COMPUTED_VALUE"""),8)</f>
        <v>8</v>
      </c>
      <c r="E4" t="str">
        <f ca="1">IFERROR(__xludf.DUMMYFUNCTION("""COMPUTED_VALUE"""),"3' 4""")</f>
        <v>3' 4"</v>
      </c>
      <c r="F4">
        <f ca="1">IFERROR(__xludf.DUMMYFUNCTION("""COMPUTED_VALUE"""),26.917)</f>
        <v>26.917000000000002</v>
      </c>
      <c r="G4">
        <f ca="1">IFERROR(__xludf.DUMMYFUNCTION("""COMPUTED_VALUE"""),8)</f>
        <v>8</v>
      </c>
      <c r="H4">
        <f ca="1">IFERROR(__xludf.DUMMYFUNCTION("""COMPUTED_VALUE"""),138)</f>
        <v>138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IFERROR(__xludf.DUMMYFUNCTION("""COMPUTED_VALUE"""),"Graham DeLaet")</f>
        <v>Graham DeLaet</v>
      </c>
      <c r="D5">
        <f ca="1">IFERROR(__xludf.DUMMYFUNCTION("""COMPUTED_VALUE"""),9)</f>
        <v>9</v>
      </c>
      <c r="E5" t="str">
        <f ca="1">IFERROR(__xludf.DUMMYFUNCTION("""COMPUTED_VALUE"""),"3' 7""")</f>
        <v>3' 7"</v>
      </c>
      <c r="F5">
        <f ca="1">IFERROR(__xludf.DUMMYFUNCTION("""COMPUTED_VALUE"""),25.25)</f>
        <v>25.25</v>
      </c>
      <c r="G5">
        <f ca="1">IFERROR(__xludf.DUMMYFUNCTION("""COMPUTED_VALUE"""),7)</f>
        <v>7</v>
      </c>
      <c r="H5">
        <f ca="1">IFERROR(__xludf.DUMMYFUNCTION("""COMPUTED_VALUE"""),267)</f>
        <v>267</v>
      </c>
    </row>
    <row r="6" spans="1:8" ht="15.75" customHeight="1">
      <c r="A6" t="str">
        <f ca="1">IFERROR(__xludf.DUMMYFUNCTION("""COMPUTED_VALUE"""),"T5")</f>
        <v>T5</v>
      </c>
      <c r="B6" t="str">
        <f ca="1">IFERROR(__xludf.DUMMYFUNCTION("""COMPUTED_VALUE"""),"T5")</f>
        <v>T5</v>
      </c>
      <c r="C6" t="str">
        <f ca="1">IFERROR(__xludf.DUMMYFUNCTION("""COMPUTED_VALUE"""),"Wesley Bryan")</f>
        <v>Wesley Bryan</v>
      </c>
      <c r="D6">
        <f ca="1">IFERROR(__xludf.DUMMYFUNCTION("""COMPUTED_VALUE"""),8)</f>
        <v>8</v>
      </c>
      <c r="E6" t="str">
        <f ca="1">IFERROR(__xludf.DUMMYFUNCTION("""COMPUTED_VALUE"""),"4' 1""")</f>
        <v>4' 1"</v>
      </c>
      <c r="F6">
        <f ca="1">IFERROR(__xludf.DUMMYFUNCTION("""COMPUTED_VALUE"""),32.833)</f>
        <v>32.832999999999998</v>
      </c>
      <c r="G6">
        <f ca="1">IFERROR(__xludf.DUMMYFUNCTION("""COMPUTED_VALUE"""),8)</f>
        <v>8</v>
      </c>
      <c r="H6">
        <f ca="1">IFERROR(__xludf.DUMMYFUNCTION("""COMPUTED_VALUE"""),174)</f>
        <v>174</v>
      </c>
    </row>
    <row r="7" spans="1:8" ht="15.75" customHeight="1">
      <c r="A7" t="str">
        <f ca="1">IFERROR(__xludf.DUMMYFUNCTION("""COMPUTED_VALUE"""),"T5")</f>
        <v>T5</v>
      </c>
      <c r="B7" t="str">
        <f ca="1">IFERROR(__xludf.DUMMYFUNCTION("""COMPUTED_VALUE"""),"T5")</f>
        <v>T5</v>
      </c>
      <c r="C7" t="str">
        <f ca="1">IFERROR(__xludf.DUMMYFUNCTION("""COMPUTED_VALUE"""),"Wes Roach")</f>
        <v>Wes Roach</v>
      </c>
      <c r="D7">
        <f ca="1">IFERROR(__xludf.DUMMYFUNCTION("""COMPUTED_VALUE"""),6)</f>
        <v>6</v>
      </c>
      <c r="E7" t="str">
        <f ca="1">IFERROR(__xludf.DUMMYFUNCTION("""COMPUTED_VALUE"""),"4' 1""")</f>
        <v>4' 1"</v>
      </c>
      <c r="F7">
        <f ca="1">IFERROR(__xludf.DUMMYFUNCTION("""COMPUTED_VALUE"""),16.333)</f>
        <v>16.332999999999998</v>
      </c>
      <c r="G7">
        <f ca="1">IFERROR(__xludf.DUMMYFUNCTION("""COMPUTED_VALUE"""),4)</f>
        <v>4</v>
      </c>
      <c r="H7">
        <f ca="1">IFERROR(__xludf.DUMMYFUNCTION("""COMPUTED_VALUE"""),235)</f>
        <v>235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IFERROR(__xludf.DUMMYFUNCTION("""COMPUTED_VALUE"""),"Josh Teater")</f>
        <v>Josh Teater</v>
      </c>
      <c r="D8">
        <f ca="1">IFERROR(__xludf.DUMMYFUNCTION("""COMPUTED_VALUE"""),6)</f>
        <v>6</v>
      </c>
      <c r="E8" t="str">
        <f ca="1">IFERROR(__xludf.DUMMYFUNCTION("""COMPUTED_VALUE"""),"4' 5""")</f>
        <v>4' 5"</v>
      </c>
      <c r="F8">
        <f ca="1">IFERROR(__xludf.DUMMYFUNCTION("""COMPUTED_VALUE"""),26.417)</f>
        <v>26.417000000000002</v>
      </c>
      <c r="G8">
        <f ca="1">IFERROR(__xludf.DUMMYFUNCTION("""COMPUTED_VALUE"""),6)</f>
        <v>6</v>
      </c>
      <c r="H8">
        <f ca="1">IFERROR(__xludf.DUMMYFUNCTION("""COMPUTED_VALUE"""),211)</f>
        <v>211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IFERROR(__xludf.DUMMYFUNCTION("""COMPUTED_VALUE"""),9)</f>
        <v>9</v>
      </c>
      <c r="C9" t="str">
        <f ca="1">IFERROR(__xludf.DUMMYFUNCTION("""COMPUTED_VALUE"""),"Mark Anderson")</f>
        <v>Mark Anderson</v>
      </c>
      <c r="D9">
        <f ca="1">IFERROR(__xludf.DUMMYFUNCTION("""COMPUTED_VALUE"""),14)</f>
        <v>14</v>
      </c>
      <c r="E9" t="str">
        <f ca="1">IFERROR(__xludf.DUMMYFUNCTION("""COMPUTED_VALUE"""),"5' 3""")</f>
        <v>5' 3"</v>
      </c>
      <c r="F9">
        <f ca="1">IFERROR(__xludf.DUMMYFUNCTION("""COMPUTED_VALUE"""),62.917)</f>
        <v>62.917000000000002</v>
      </c>
      <c r="G9">
        <f ca="1">IFERROR(__xludf.DUMMYFUNCTION("""COMPUTED_VALUE"""),12)</f>
        <v>12</v>
      </c>
      <c r="H9">
        <f ca="1">IFERROR(__xludf.DUMMYFUNCTION("""COMPUTED_VALUE"""),28)</f>
        <v>28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IFERROR(__xludf.DUMMYFUNCTION("""COMPUTED_VALUE"""),"Vaughn Taylor")</f>
        <v>Vaughn Taylor</v>
      </c>
      <c r="D10">
        <f ca="1">IFERROR(__xludf.DUMMYFUNCTION("""COMPUTED_VALUE"""),12)</f>
        <v>12</v>
      </c>
      <c r="E10" t="str">
        <f ca="1">IFERROR(__xludf.DUMMYFUNCTION("""COMPUTED_VALUE"""),"5' 6""")</f>
        <v>5' 6"</v>
      </c>
      <c r="F10">
        <f ca="1">IFERROR(__xludf.DUMMYFUNCTION("""COMPUTED_VALUE"""),55)</f>
        <v>55</v>
      </c>
      <c r="G10">
        <f ca="1">IFERROR(__xludf.DUMMYFUNCTION("""COMPUTED_VALUE"""),10)</f>
        <v>10</v>
      </c>
      <c r="H10">
        <f ca="1">IFERROR(__xludf.DUMMYFUNCTION("""COMPUTED_VALUE"""),135)</f>
        <v>135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IFERROR(__xludf.DUMMYFUNCTION("""COMPUTED_VALUE"""),13)</f>
        <v>13</v>
      </c>
      <c r="C11" t="str">
        <f ca="1">IFERROR(__xludf.DUMMYFUNCTION("""COMPUTED_VALUE"""),"Rafael Campos")</f>
        <v>Rafael Campos</v>
      </c>
      <c r="D11">
        <f ca="1">IFERROR(__xludf.DUMMYFUNCTION("""COMPUTED_VALUE"""),6)</f>
        <v>6</v>
      </c>
      <c r="E11" t="str">
        <f ca="1">IFERROR(__xludf.DUMMYFUNCTION("""COMPUTED_VALUE"""),"5' 9""")</f>
        <v>5' 9"</v>
      </c>
      <c r="F11">
        <f ca="1">IFERROR(__xludf.DUMMYFUNCTION("""COMPUTED_VALUE"""),23)</f>
        <v>23</v>
      </c>
      <c r="G11">
        <f ca="1">IFERROR(__xludf.DUMMYFUNCTION("""COMPUTED_VALUE"""),4)</f>
        <v>4</v>
      </c>
      <c r="H11">
        <f ca="1">IFERROR(__xludf.DUMMYFUNCTION("""COMPUTED_VALUE"""),179)</f>
        <v>179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IFERROR(__xludf.DUMMYFUNCTION("""COMPUTED_VALUE"""),14)</f>
        <v>14</v>
      </c>
      <c r="C12" t="str">
        <f ca="1">IFERROR(__xludf.DUMMYFUNCTION("""COMPUTED_VALUE"""),"Aaron Baddeley")</f>
        <v>Aaron Baddeley</v>
      </c>
      <c r="D12">
        <f ca="1">IFERROR(__xludf.DUMMYFUNCTION("""COMPUTED_VALUE"""),8)</f>
        <v>8</v>
      </c>
      <c r="E12" t="str">
        <f ca="1">IFERROR(__xludf.DUMMYFUNCTION("""COMPUTED_VALUE"""),"5' 10""")</f>
        <v>5' 10"</v>
      </c>
      <c r="F12">
        <f ca="1">IFERROR(__xludf.DUMMYFUNCTION("""COMPUTED_VALUE"""),52.833)</f>
        <v>52.832999999999998</v>
      </c>
      <c r="G12">
        <f ca="1">IFERROR(__xludf.DUMMYFUNCTION("""COMPUTED_VALUE"""),9)</f>
        <v>9</v>
      </c>
      <c r="H12">
        <f ca="1">IFERROR(__xludf.DUMMYFUNCTION("""COMPUTED_VALUE"""),84)</f>
        <v>84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IFERROR(__xludf.DUMMYFUNCTION("""COMPUTED_VALUE"""),15)</f>
        <v>15</v>
      </c>
      <c r="C13" t="str">
        <f ca="1">IFERROR(__xludf.DUMMYFUNCTION("""COMPUTED_VALUE"""),"Hank Lebioda")</f>
        <v>Hank Lebioda</v>
      </c>
      <c r="D13">
        <f ca="1">IFERROR(__xludf.DUMMYFUNCTION("""COMPUTED_VALUE"""),14)</f>
        <v>14</v>
      </c>
      <c r="E13" t="str">
        <f ca="1">IFERROR(__xludf.DUMMYFUNCTION("""COMPUTED_VALUE"""),"5' 11""")</f>
        <v>5' 11"</v>
      </c>
      <c r="F13">
        <f ca="1">IFERROR(__xludf.DUMMYFUNCTION("""COMPUTED_VALUE"""),83)</f>
        <v>83</v>
      </c>
      <c r="G13">
        <f ca="1">IFERROR(__xludf.DUMMYFUNCTION("""COMPUTED_VALUE"""),14)</f>
        <v>14</v>
      </c>
      <c r="H13">
        <f ca="1">IFERROR(__xludf.DUMMYFUNCTION("""COMPUTED_VALUE"""),7)</f>
        <v>7</v>
      </c>
    </row>
    <row r="14" spans="1:8" ht="15.75" customHeight="1">
      <c r="A14" t="str">
        <f ca="1">IFERROR(__xludf.DUMMYFUNCTION("""COMPUTED_VALUE"""),"T13")</f>
        <v>T13</v>
      </c>
      <c r="B14" t="str">
        <f ca="1">IFERROR(__xludf.DUMMYFUNCTION("""COMPUTED_VALUE"""),"T16")</f>
        <v>T16</v>
      </c>
      <c r="C14" t="str">
        <f ca="1">IFERROR(__xludf.DUMMYFUNCTION("""COMPUTED_VALUE"""),"Tiger Woods")</f>
        <v>Tiger Woods</v>
      </c>
      <c r="D14">
        <f ca="1">IFERROR(__xludf.DUMMYFUNCTION("""COMPUTED_VALUE"""),6)</f>
        <v>6</v>
      </c>
      <c r="E14" t="str">
        <f ca="1">IFERROR(__xludf.DUMMYFUNCTION("""COMPUTED_VALUE"""),"6' 0""")</f>
        <v>6' 0"</v>
      </c>
      <c r="F14">
        <f ca="1">IFERROR(__xludf.DUMMYFUNCTION("""COMPUTED_VALUE"""),83.5)</f>
        <v>83.5</v>
      </c>
      <c r="G14">
        <f ca="1">IFERROR(__xludf.DUMMYFUNCTION("""COMPUTED_VALUE"""),14)</f>
        <v>14</v>
      </c>
      <c r="H14">
        <f ca="1">IFERROR(__xludf.DUMMYFUNCTION("""COMPUTED_VALUE"""),276)</f>
        <v>276</v>
      </c>
    </row>
    <row r="15" spans="1:8" ht="15.75" customHeight="1">
      <c r="A15" t="str">
        <f ca="1">IFERROR(__xludf.DUMMYFUNCTION("""COMPUTED_VALUE"""),"T13")</f>
        <v>T13</v>
      </c>
      <c r="B15" t="str">
        <f ca="1">IFERROR(__xludf.DUMMYFUNCTION("""COMPUTED_VALUE"""),"T16")</f>
        <v>T16</v>
      </c>
      <c r="C15" t="str">
        <f ca="1">IFERROR(__xludf.DUMMYFUNCTION("""COMPUTED_VALUE"""),"Rhein Gibson")</f>
        <v>Rhein Gibson</v>
      </c>
      <c r="D15">
        <f ca="1">IFERROR(__xludf.DUMMYFUNCTION("""COMPUTED_VALUE"""),10)</f>
        <v>10</v>
      </c>
      <c r="E15" t="str">
        <f ca="1">IFERROR(__xludf.DUMMYFUNCTION("""COMPUTED_VALUE"""),"6' 0""")</f>
        <v>6' 0"</v>
      </c>
      <c r="F15">
        <f ca="1">IFERROR(__xludf.DUMMYFUNCTION("""COMPUTED_VALUE"""),59.833)</f>
        <v>59.832999999999998</v>
      </c>
      <c r="G15">
        <f ca="1">IFERROR(__xludf.DUMMYFUNCTION("""COMPUTED_VALUE"""),10)</f>
        <v>10</v>
      </c>
      <c r="H15">
        <f ca="1">IFERROR(__xludf.DUMMYFUNCTION("""COMPUTED_VALUE"""),108)</f>
        <v>108</v>
      </c>
    </row>
    <row r="16" spans="1:8" ht="15.75" customHeight="1">
      <c r="A16" t="str">
        <f ca="1">IFERROR(__xludf.DUMMYFUNCTION("""COMPUTED_VALUE"""),"T15")</f>
        <v>T15</v>
      </c>
      <c r="B16">
        <f ca="1">IFERROR(__xludf.DUMMYFUNCTION("""COMPUTED_VALUE"""),8)</f>
        <v>8</v>
      </c>
      <c r="C16" t="str">
        <f ca="1">IFERROR(__xludf.DUMMYFUNCTION("""COMPUTED_VALUE"""),"Kevin Tway")</f>
        <v>Kevin Tway</v>
      </c>
      <c r="D16">
        <f ca="1">IFERROR(__xludf.DUMMYFUNCTION("""COMPUTED_VALUE"""),16)</f>
        <v>16</v>
      </c>
      <c r="E16" t="str">
        <f ca="1">IFERROR(__xludf.DUMMYFUNCTION("""COMPUTED_VALUE"""),"6' 2""")</f>
        <v>6' 2"</v>
      </c>
      <c r="F16">
        <f ca="1">IFERROR(__xludf.DUMMYFUNCTION("""COMPUTED_VALUE"""),105.333)</f>
        <v>105.333</v>
      </c>
      <c r="G16">
        <f ca="1">IFERROR(__xludf.DUMMYFUNCTION("""COMPUTED_VALUE"""),17)</f>
        <v>17</v>
      </c>
      <c r="H16">
        <f ca="1">IFERROR(__xludf.DUMMYFUNCTION("""COMPUTED_VALUE"""),107)</f>
        <v>107</v>
      </c>
    </row>
    <row r="17" spans="1:8" ht="15.75" customHeight="1">
      <c r="A17" t="str">
        <f ca="1">IFERROR(__xludf.DUMMYFUNCTION("""COMPUTED_VALUE"""),"T15")</f>
        <v>T15</v>
      </c>
      <c r="B17" t="str">
        <f ca="1">IFERROR(__xludf.DUMMYFUNCTION("""COMPUTED_VALUE"""),"T18")</f>
        <v>T18</v>
      </c>
      <c r="C17" t="str">
        <f ca="1">IFERROR(__xludf.DUMMYFUNCTION("""COMPUTED_VALUE"""),"Dominic Bozzelli")</f>
        <v>Dominic Bozzelli</v>
      </c>
      <c r="D17">
        <f ca="1">IFERROR(__xludf.DUMMYFUNCTION("""COMPUTED_VALUE"""),8)</f>
        <v>8</v>
      </c>
      <c r="E17" t="str">
        <f ca="1">IFERROR(__xludf.DUMMYFUNCTION("""COMPUTED_VALUE"""),"6' 2""")</f>
        <v>6' 2"</v>
      </c>
      <c r="F17">
        <f ca="1">IFERROR(__xludf.DUMMYFUNCTION("""COMPUTED_VALUE"""),30.667)</f>
        <v>30.667000000000002</v>
      </c>
      <c r="G17">
        <f ca="1">IFERROR(__xludf.DUMMYFUNCTION("""COMPUTED_VALUE"""),5)</f>
        <v>5</v>
      </c>
      <c r="H17">
        <f ca="1">IFERROR(__xludf.DUMMYFUNCTION("""COMPUTED_VALUE"""),31)</f>
        <v>31</v>
      </c>
    </row>
    <row r="18" spans="1:8" ht="15.75" customHeight="1">
      <c r="A18" t="str">
        <f ca="1">IFERROR(__xludf.DUMMYFUNCTION("""COMPUTED_VALUE"""),"T15")</f>
        <v>T15</v>
      </c>
      <c r="B18" t="str">
        <f ca="1">IFERROR(__xludf.DUMMYFUNCTION("""COMPUTED_VALUE"""),"T18")</f>
        <v>T18</v>
      </c>
      <c r="C18" t="str">
        <f ca="1">IFERROR(__xludf.DUMMYFUNCTION("""COMPUTED_VALUE"""),"Zack Sucher")</f>
        <v>Zack Sucher</v>
      </c>
      <c r="D18">
        <f ca="1">IFERROR(__xludf.DUMMYFUNCTION("""COMPUTED_VALUE"""),6)</f>
        <v>6</v>
      </c>
      <c r="E18" t="str">
        <f ca="1">IFERROR(__xludf.DUMMYFUNCTION("""COMPUTED_VALUE"""),"6' 2""")</f>
        <v>6' 2"</v>
      </c>
      <c r="F18">
        <f ca="1">IFERROR(__xludf.DUMMYFUNCTION("""COMPUTED_VALUE"""),18.583)</f>
        <v>18.582999999999998</v>
      </c>
      <c r="G18">
        <f ca="1">IFERROR(__xludf.DUMMYFUNCTION("""COMPUTED_VALUE"""),3)</f>
        <v>3</v>
      </c>
      <c r="H18">
        <f ca="1">IFERROR(__xludf.DUMMYFUNCTION("""COMPUTED_VALUE"""),257)</f>
        <v>257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IFERROR(__xludf.DUMMYFUNCTION("""COMPUTED_VALUE"""),21)</f>
        <v>21</v>
      </c>
      <c r="C19" t="str">
        <f ca="1">IFERROR(__xludf.DUMMYFUNCTION("""COMPUTED_VALUE"""),"Brandon Hagy")</f>
        <v>Brandon Hagy</v>
      </c>
      <c r="D19">
        <f ca="1">IFERROR(__xludf.DUMMYFUNCTION("""COMPUTED_VALUE"""),10)</f>
        <v>10</v>
      </c>
      <c r="E19" t="str">
        <f ca="1">IFERROR(__xludf.DUMMYFUNCTION("""COMPUTED_VALUE"""),"6' 4""")</f>
        <v>6' 4"</v>
      </c>
      <c r="F19">
        <f ca="1">IFERROR(__xludf.DUMMYFUNCTION("""COMPUTED_VALUE"""),82.167)</f>
        <v>82.167000000000002</v>
      </c>
      <c r="G19">
        <f ca="1">IFERROR(__xludf.DUMMYFUNCTION("""COMPUTED_VALUE"""),13)</f>
        <v>13</v>
      </c>
      <c r="H19">
        <f ca="1">IFERROR(__xludf.DUMMYFUNCTION("""COMPUTED_VALUE"""),194)</f>
        <v>194</v>
      </c>
    </row>
    <row r="20" spans="1:8" ht="15.75" customHeight="1">
      <c r="A20" t="str">
        <f ca="1">IFERROR(__xludf.DUMMYFUNCTION("""COMPUTED_VALUE"""),"T19")</f>
        <v>T19</v>
      </c>
      <c r="B20" t="str">
        <f ca="1">IFERROR(__xludf.DUMMYFUNCTION("""COMPUTED_VALUE"""),"T23")</f>
        <v>T23</v>
      </c>
      <c r="C20" t="str">
        <f ca="1">IFERROR(__xludf.DUMMYFUNCTION("""COMPUTED_VALUE"""),"Peter Malnati")</f>
        <v>Peter Malnati</v>
      </c>
      <c r="D20">
        <f ca="1">IFERROR(__xludf.DUMMYFUNCTION("""COMPUTED_VALUE"""),18)</f>
        <v>18</v>
      </c>
      <c r="E20" t="str">
        <f ca="1">IFERROR(__xludf.DUMMYFUNCTION("""COMPUTED_VALUE"""),"6' 6""")</f>
        <v>6' 6"</v>
      </c>
      <c r="F20">
        <f ca="1">IFERROR(__xludf.DUMMYFUNCTION("""COMPUTED_VALUE"""),122.917)</f>
        <v>122.917</v>
      </c>
      <c r="G20">
        <f ca="1">IFERROR(__xludf.DUMMYFUNCTION("""COMPUTED_VALUE"""),19)</f>
        <v>19</v>
      </c>
      <c r="H20">
        <f ca="1">IFERROR(__xludf.DUMMYFUNCTION("""COMPUTED_VALUE"""),70)</f>
        <v>70</v>
      </c>
    </row>
    <row r="21" spans="1:8" ht="15.75" customHeight="1">
      <c r="A21" t="str">
        <f ca="1">IFERROR(__xludf.DUMMYFUNCTION("""COMPUTED_VALUE"""),"T19")</f>
        <v>T19</v>
      </c>
      <c r="B21">
        <f ca="1">IFERROR(__xludf.DUMMYFUNCTION("""COMPUTED_VALUE"""),11)</f>
        <v>11</v>
      </c>
      <c r="C21" t="str">
        <f ca="1">IFERROR(__xludf.DUMMYFUNCTION("""COMPUTED_VALUE"""),"Zach Johnson")</f>
        <v>Zach Johnson</v>
      </c>
      <c r="D21">
        <f ca="1">IFERROR(__xludf.DUMMYFUNCTION("""COMPUTED_VALUE"""),16)</f>
        <v>16</v>
      </c>
      <c r="E21" t="str">
        <f ca="1">IFERROR(__xludf.DUMMYFUNCTION("""COMPUTED_VALUE"""),"6' 6""")</f>
        <v>6' 6"</v>
      </c>
      <c r="F21">
        <f ca="1">IFERROR(__xludf.DUMMYFUNCTION("""COMPUTED_VALUE"""),109.833)</f>
        <v>109.833</v>
      </c>
      <c r="G21">
        <f ca="1">IFERROR(__xludf.DUMMYFUNCTION("""COMPUTED_VALUE"""),17)</f>
        <v>17</v>
      </c>
      <c r="H21">
        <f ca="1">IFERROR(__xludf.DUMMYFUNCTION("""COMPUTED_VALUE"""),122)</f>
        <v>122</v>
      </c>
    </row>
    <row r="22" spans="1:8" ht="15.75" customHeight="1">
      <c r="A22" t="str">
        <f ca="1">IFERROR(__xludf.DUMMYFUNCTION("""COMPUTED_VALUE"""),"T21")</f>
        <v>T21</v>
      </c>
      <c r="B22" t="str">
        <f ca="1">IFERROR(__xludf.DUMMYFUNCTION("""COMPUTED_VALUE"""),"T25")</f>
        <v>T25</v>
      </c>
      <c r="C22" t="str">
        <f ca="1">IFERROR(__xludf.DUMMYFUNCTION("""COMPUTED_VALUE"""),"D.J. Trahan")</f>
        <v>D.J. Trahan</v>
      </c>
      <c r="D22">
        <f ca="1">IFERROR(__xludf.DUMMYFUNCTION("""COMPUTED_VALUE"""),16)</f>
        <v>16</v>
      </c>
      <c r="E22" t="str">
        <f ca="1">IFERROR(__xludf.DUMMYFUNCTION("""COMPUTED_VALUE"""),"6' 7""")</f>
        <v>6' 7"</v>
      </c>
      <c r="F22">
        <f ca="1">IFERROR(__xludf.DUMMYFUNCTION("""COMPUTED_VALUE"""),98.25)</f>
        <v>98.25</v>
      </c>
      <c r="G22">
        <f ca="1">IFERROR(__xludf.DUMMYFUNCTION("""COMPUTED_VALUE"""),15)</f>
        <v>15</v>
      </c>
      <c r="H22">
        <f ca="1">IFERROR(__xludf.DUMMYFUNCTION("""COMPUTED_VALUE"""),44)</f>
        <v>44</v>
      </c>
    </row>
    <row r="23" spans="1:8" ht="15.75" customHeight="1">
      <c r="A23" t="str">
        <f ca="1">IFERROR(__xludf.DUMMYFUNCTION("""COMPUTED_VALUE"""),"T21")</f>
        <v>T21</v>
      </c>
      <c r="B23" t="str">
        <f ca="1">IFERROR(__xludf.DUMMYFUNCTION("""COMPUTED_VALUE"""),"")</f>
        <v/>
      </c>
      <c r="C23" t="str">
        <f ca="1">IFERROR(__xludf.DUMMYFUNCTION("""COMPUTED_VALUE"""),"Francesco Molinari")</f>
        <v>Francesco Molinari</v>
      </c>
      <c r="D23">
        <f ca="1">IFERROR(__xludf.DUMMYFUNCTION("""COMPUTED_VALUE"""),6)</f>
        <v>6</v>
      </c>
      <c r="E23" t="str">
        <f ca="1">IFERROR(__xludf.DUMMYFUNCTION("""COMPUTED_VALUE"""),"6' 7""")</f>
        <v>6' 7"</v>
      </c>
      <c r="F23">
        <f ca="1">IFERROR(__xludf.DUMMYFUNCTION("""COMPUTED_VALUE"""),46.167)</f>
        <v>46.167000000000002</v>
      </c>
      <c r="G23">
        <f ca="1">IFERROR(__xludf.DUMMYFUNCTION("""COMPUTED_VALUE"""),7)</f>
        <v>7</v>
      </c>
      <c r="H23">
        <f ca="1">IFERROR(__xludf.DUMMYFUNCTION("""COMPUTED_VALUE"""),29)</f>
        <v>29</v>
      </c>
    </row>
    <row r="24" spans="1:8" ht="15.75" customHeight="1">
      <c r="A24" t="str">
        <f ca="1">IFERROR(__xludf.DUMMYFUNCTION("""COMPUTED_VALUE"""),"T23")</f>
        <v>T23</v>
      </c>
      <c r="B24" t="str">
        <f ca="1">IFERROR(__xludf.DUMMYFUNCTION("""COMPUTED_VALUE"""),"T27")</f>
        <v>T27</v>
      </c>
      <c r="C24" t="str">
        <f ca="1">IFERROR(__xludf.DUMMYFUNCTION("""COMPUTED_VALUE"""),"Gunn Charoenkul")</f>
        <v>Gunn Charoenkul</v>
      </c>
      <c r="D24">
        <f ca="1">IFERROR(__xludf.DUMMYFUNCTION("""COMPUTED_VALUE"""),4)</f>
        <v>4</v>
      </c>
      <c r="E24" t="str">
        <f ca="1">IFERROR(__xludf.DUMMYFUNCTION("""COMPUTED_VALUE"""),"6' 8""")</f>
        <v>6' 8"</v>
      </c>
      <c r="F24">
        <f ca="1">IFERROR(__xludf.DUMMYFUNCTION("""COMPUTED_VALUE"""),53.5)</f>
        <v>53.5</v>
      </c>
      <c r="G24">
        <f ca="1">IFERROR(__xludf.DUMMYFUNCTION("""COMPUTED_VALUE"""),8)</f>
        <v>8</v>
      </c>
      <c r="H24">
        <f ca="1">IFERROR(__xludf.DUMMYFUNCTION("""COMPUTED_VALUE"""),18)</f>
        <v>18</v>
      </c>
    </row>
    <row r="25" spans="1:8" ht="15.75" customHeight="1">
      <c r="A25" t="str">
        <f ca="1">IFERROR(__xludf.DUMMYFUNCTION("""COMPUTED_VALUE"""),"T23")</f>
        <v>T23</v>
      </c>
      <c r="B25" t="str">
        <f ca="1">IFERROR(__xludf.DUMMYFUNCTION("""COMPUTED_VALUE"""),"T27")</f>
        <v>T27</v>
      </c>
      <c r="C25" t="str">
        <f ca="1">IFERROR(__xludf.DUMMYFUNCTION("""COMPUTED_VALUE"""),"Ben Taylor")</f>
        <v>Ben Taylor</v>
      </c>
      <c r="D25">
        <f ca="1">IFERROR(__xludf.DUMMYFUNCTION("""COMPUTED_VALUE"""),10)</f>
        <v>10</v>
      </c>
      <c r="E25" t="str">
        <f ca="1">IFERROR(__xludf.DUMMYFUNCTION("""COMPUTED_VALUE"""),"6' 8""")</f>
        <v>6' 8"</v>
      </c>
      <c r="F25">
        <f ca="1">IFERROR(__xludf.DUMMYFUNCTION("""COMPUTED_VALUE"""),59.667)</f>
        <v>59.667000000000002</v>
      </c>
      <c r="G25">
        <f ca="1">IFERROR(__xludf.DUMMYFUNCTION("""COMPUTED_VALUE"""),9)</f>
        <v>9</v>
      </c>
      <c r="H25">
        <f ca="1">IFERROR(__xludf.DUMMYFUNCTION("""COMPUTED_VALUE"""),19)</f>
        <v>19</v>
      </c>
    </row>
    <row r="26" spans="1:8" ht="15.75" customHeight="1">
      <c r="A26" t="str">
        <f ca="1">IFERROR(__xludf.DUMMYFUNCTION("""COMPUTED_VALUE"""),"T25")</f>
        <v>T25</v>
      </c>
      <c r="B26" t="str">
        <f ca="1">IFERROR(__xludf.DUMMYFUNCTION("""COMPUTED_VALUE"""),"T32")</f>
        <v>T32</v>
      </c>
      <c r="C26" t="str">
        <f ca="1">IFERROR(__xludf.DUMMYFUNCTION("""COMPUTED_VALUE"""),"Roger Sloan")</f>
        <v>Roger Sloan</v>
      </c>
      <c r="D26">
        <f ca="1">IFERROR(__xludf.DUMMYFUNCTION("""COMPUTED_VALUE"""),12)</f>
        <v>12</v>
      </c>
      <c r="E26" t="str">
        <f ca="1">IFERROR(__xludf.DUMMYFUNCTION("""COMPUTED_VALUE"""),"6' 9""")</f>
        <v>6' 9"</v>
      </c>
      <c r="F26">
        <f ca="1">IFERROR(__xludf.DUMMYFUNCTION("""COMPUTED_VALUE"""),114.25)</f>
        <v>114.25</v>
      </c>
      <c r="G26">
        <f ca="1">IFERROR(__xludf.DUMMYFUNCTION("""COMPUTED_VALUE"""),17)</f>
        <v>17</v>
      </c>
      <c r="H26">
        <f ca="1">IFERROR(__xludf.DUMMYFUNCTION("""COMPUTED_VALUE"""),16)</f>
        <v>16</v>
      </c>
    </row>
    <row r="27" spans="1:8" ht="15.75" customHeight="1">
      <c r="A27" t="str">
        <f ca="1">IFERROR(__xludf.DUMMYFUNCTION("""COMPUTED_VALUE"""),"T25")</f>
        <v>T25</v>
      </c>
      <c r="B27">
        <f ca="1">IFERROR(__xludf.DUMMYFUNCTION("""COMPUTED_VALUE"""),22)</f>
        <v>22</v>
      </c>
      <c r="C27" t="str">
        <f ca="1">IFERROR(__xludf.DUMMYFUNCTION("""COMPUTED_VALUE"""),"Tom Hoge")</f>
        <v>Tom Hoge</v>
      </c>
      <c r="D27">
        <f ca="1">IFERROR(__xludf.DUMMYFUNCTION("""COMPUTED_VALUE"""),22)</f>
        <v>22</v>
      </c>
      <c r="E27" t="str">
        <f ca="1">IFERROR(__xludf.DUMMYFUNCTION("""COMPUTED_VALUE"""),"6' 9""")</f>
        <v>6' 9"</v>
      </c>
      <c r="F27">
        <f ca="1">IFERROR(__xludf.DUMMYFUNCTION("""COMPUTED_VALUE"""),365.667)</f>
        <v>365.66699999999997</v>
      </c>
      <c r="G27">
        <f ca="1">IFERROR(__xludf.DUMMYFUNCTION("""COMPUTED_VALUE"""),54)</f>
        <v>54</v>
      </c>
      <c r="H27">
        <f ca="1">IFERROR(__xludf.DUMMYFUNCTION("""COMPUTED_VALUE"""),102)</f>
        <v>102</v>
      </c>
    </row>
    <row r="28" spans="1:8" ht="15.75" customHeight="1">
      <c r="A28" t="str">
        <f ca="1">IFERROR(__xludf.DUMMYFUNCTION("""COMPUTED_VALUE"""),"T25")</f>
        <v>T25</v>
      </c>
      <c r="B28" t="str">
        <f ca="1">IFERROR(__xludf.DUMMYFUNCTION("""COMPUTED_VALUE"""),"T32")</f>
        <v>T32</v>
      </c>
      <c r="C28" t="str">
        <f ca="1">IFERROR(__xludf.DUMMYFUNCTION("""COMPUTED_VALUE"""),"Cameron Percy")</f>
        <v>Cameron Percy</v>
      </c>
      <c r="D28">
        <f ca="1">IFERROR(__xludf.DUMMYFUNCTION("""COMPUTED_VALUE"""),16)</f>
        <v>16</v>
      </c>
      <c r="E28" t="str">
        <f ca="1">IFERROR(__xludf.DUMMYFUNCTION("""COMPUTED_VALUE"""),"6' 9""")</f>
        <v>6' 9"</v>
      </c>
      <c r="F28">
        <f ca="1">IFERROR(__xludf.DUMMYFUNCTION("""COMPUTED_VALUE"""),74)</f>
        <v>74</v>
      </c>
      <c r="G28">
        <f ca="1">IFERROR(__xludf.DUMMYFUNCTION("""COMPUTED_VALUE"""),11)</f>
        <v>11</v>
      </c>
      <c r="H28">
        <f ca="1">IFERROR(__xludf.DUMMYFUNCTION("""COMPUTED_VALUE"""),96)</f>
        <v>96</v>
      </c>
    </row>
    <row r="29" spans="1:8" ht="15.75" customHeight="1">
      <c r="A29" t="str">
        <f ca="1">IFERROR(__xludf.DUMMYFUNCTION("""COMPUTED_VALUE"""),"T25")</f>
        <v>T25</v>
      </c>
      <c r="B29" t="str">
        <f ca="1">IFERROR(__xludf.DUMMYFUNCTION("""COMPUTED_VALUE"""),"T27")</f>
        <v>T27</v>
      </c>
      <c r="C29" t="str">
        <f ca="1">IFERROR(__xludf.DUMMYFUNCTION("""COMPUTED_VALUE"""),"Andrew Landry")</f>
        <v>Andrew Landry</v>
      </c>
      <c r="D29">
        <f ca="1">IFERROR(__xludf.DUMMYFUNCTION("""COMPUTED_VALUE"""),14)</f>
        <v>14</v>
      </c>
      <c r="E29" t="str">
        <f ca="1">IFERROR(__xludf.DUMMYFUNCTION("""COMPUTED_VALUE"""),"6' 9""")</f>
        <v>6' 9"</v>
      </c>
      <c r="F29">
        <f ca="1">IFERROR(__xludf.DUMMYFUNCTION("""COMPUTED_VALUE"""),222.5)</f>
        <v>222.5</v>
      </c>
      <c r="G29">
        <f ca="1">IFERROR(__xludf.DUMMYFUNCTION("""COMPUTED_VALUE"""),33)</f>
        <v>33</v>
      </c>
      <c r="H29">
        <f ca="1">IFERROR(__xludf.DUMMYFUNCTION("""COMPUTED_VALUE"""),91)</f>
        <v>91</v>
      </c>
    </row>
    <row r="30" spans="1:8" ht="15.75" customHeight="1">
      <c r="A30" t="str">
        <f ca="1">IFERROR(__xludf.DUMMYFUNCTION("""COMPUTED_VALUE"""),"T29")</f>
        <v>T29</v>
      </c>
      <c r="B30" t="str">
        <f ca="1">IFERROR(__xludf.DUMMYFUNCTION("""COMPUTED_VALUE"""),"T32")</f>
        <v>T32</v>
      </c>
      <c r="C30" t="str">
        <f ca="1">IFERROR(__xludf.DUMMYFUNCTION("""COMPUTED_VALUE"""),"Hideki Matsuyama")</f>
        <v>Hideki Matsuyama</v>
      </c>
      <c r="D30">
        <f ca="1">IFERROR(__xludf.DUMMYFUNCTION("""COMPUTED_VALUE"""),18)</f>
        <v>18</v>
      </c>
      <c r="E30" t="str">
        <f ca="1">IFERROR(__xludf.DUMMYFUNCTION("""COMPUTED_VALUE"""),"6' 10""")</f>
        <v>6' 10"</v>
      </c>
      <c r="F30">
        <f ca="1">IFERROR(__xludf.DUMMYFUNCTION("""COMPUTED_VALUE"""),307.167)</f>
        <v>307.16699999999997</v>
      </c>
      <c r="G30">
        <f ca="1">IFERROR(__xludf.DUMMYFUNCTION("""COMPUTED_VALUE"""),45)</f>
        <v>45</v>
      </c>
      <c r="H30">
        <f ca="1">IFERROR(__xludf.DUMMYFUNCTION("""COMPUTED_VALUE"""),78)</f>
        <v>78</v>
      </c>
    </row>
    <row r="31" spans="1:8" ht="12.75">
      <c r="A31" t="str">
        <f ca="1">IFERROR(__xludf.DUMMYFUNCTION("""COMPUTED_VALUE"""),"T29")</f>
        <v>T29</v>
      </c>
      <c r="B31">
        <f ca="1">IFERROR(__xludf.DUMMYFUNCTION("""COMPUTED_VALUE"""),35)</f>
        <v>35</v>
      </c>
      <c r="C31" t="str">
        <f ca="1">IFERROR(__xludf.DUMMYFUNCTION("""COMPUTED_VALUE"""),"Naoki Sekito")</f>
        <v>Naoki Sekito</v>
      </c>
      <c r="D31">
        <f ca="1">IFERROR(__xludf.DUMMYFUNCTION("""COMPUTED_VALUE"""),4)</f>
        <v>4</v>
      </c>
      <c r="E31" t="str">
        <f ca="1">IFERROR(__xludf.DUMMYFUNCTION("""COMPUTED_VALUE"""),"6' 10""")</f>
        <v>6' 10"</v>
      </c>
      <c r="F31">
        <f ca="1">IFERROR(__xludf.DUMMYFUNCTION("""COMPUTED_VALUE"""),81.667)</f>
        <v>81.667000000000002</v>
      </c>
      <c r="G31">
        <f ca="1">IFERROR(__xludf.DUMMYFUNCTION("""COMPUTED_VALUE"""),12)</f>
        <v>12</v>
      </c>
      <c r="H31">
        <f ca="1">IFERROR(__xludf.DUMMYFUNCTION("""COMPUTED_VALUE"""),259)</f>
        <v>259</v>
      </c>
    </row>
    <row r="32" spans="1:8" ht="12.75">
      <c r="A32" t="str">
        <f ca="1">IFERROR(__xludf.DUMMYFUNCTION("""COMPUTED_VALUE"""),"T31")</f>
        <v>T31</v>
      </c>
      <c r="B32" t="str">
        <f ca="1">IFERROR(__xludf.DUMMYFUNCTION("""COMPUTED_VALUE"""),"T36")</f>
        <v>T36</v>
      </c>
      <c r="C32" t="str">
        <f ca="1">IFERROR(__xludf.DUMMYFUNCTION("""COMPUTED_VALUE"""),"Bud Cauley")</f>
        <v>Bud Cauley</v>
      </c>
      <c r="D32">
        <f ca="1">IFERROR(__xludf.DUMMYFUNCTION("""COMPUTED_VALUE"""),4)</f>
        <v>4</v>
      </c>
      <c r="E32" t="str">
        <f ca="1">IFERROR(__xludf.DUMMYFUNCTION("""COMPUTED_VALUE"""),"6' 11""")</f>
        <v>6' 11"</v>
      </c>
      <c r="F32">
        <f ca="1">IFERROR(__xludf.DUMMYFUNCTION("""COMPUTED_VALUE"""),62.167)</f>
        <v>62.167000000000002</v>
      </c>
      <c r="G32">
        <f ca="1">IFERROR(__xludf.DUMMYFUNCTION("""COMPUTED_VALUE"""),9)</f>
        <v>9</v>
      </c>
      <c r="H32">
        <f ca="1">IFERROR(__xludf.DUMMYFUNCTION("""COMPUTED_VALUE"""),1)</f>
        <v>1</v>
      </c>
    </row>
    <row r="33" spans="1:8" ht="12.75">
      <c r="A33" t="str">
        <f ca="1">IFERROR(__xludf.DUMMYFUNCTION("""COMPUTED_VALUE"""),"T31")</f>
        <v>T31</v>
      </c>
      <c r="B33" t="str">
        <f ca="1">IFERROR(__xludf.DUMMYFUNCTION("""COMPUTED_VALUE"""),"T36")</f>
        <v>T36</v>
      </c>
      <c r="C33" t="str">
        <f ca="1">IFERROR(__xludf.DUMMYFUNCTION("""COMPUTED_VALUE"""),"Anirban Lahiri")</f>
        <v>Anirban Lahiri</v>
      </c>
      <c r="D33">
        <f ca="1">IFERROR(__xludf.DUMMYFUNCTION("""COMPUTED_VALUE"""),16)</f>
        <v>16</v>
      </c>
      <c r="E33" t="str">
        <f ca="1">IFERROR(__xludf.DUMMYFUNCTION("""COMPUTED_VALUE"""),"6' 11""")</f>
        <v>6' 11"</v>
      </c>
      <c r="F33">
        <f ca="1">IFERROR(__xludf.DUMMYFUNCTION("""COMPUTED_VALUE"""),144.667)</f>
        <v>144.667</v>
      </c>
      <c r="G33">
        <f ca="1">IFERROR(__xludf.DUMMYFUNCTION("""COMPUTED_VALUE"""),21)</f>
        <v>21</v>
      </c>
      <c r="H33">
        <f ca="1">IFERROR(__xludf.DUMMYFUNCTION("""COMPUTED_VALUE"""),17)</f>
        <v>17</v>
      </c>
    </row>
    <row r="34" spans="1:8" ht="12.75">
      <c r="A34">
        <f ca="1">IFERROR(__xludf.DUMMYFUNCTION("""COMPUTED_VALUE"""),33)</f>
        <v>33</v>
      </c>
      <c r="B34" t="str">
        <f ca="1">IFERROR(__xludf.DUMMYFUNCTION("""COMPUTED_VALUE"""),"T38")</f>
        <v>T38</v>
      </c>
      <c r="C34" t="str">
        <f ca="1">IFERROR(__xludf.DUMMYFUNCTION("""COMPUTED_VALUE"""),"Byeong Hun An")</f>
        <v>Byeong Hun An</v>
      </c>
      <c r="D34">
        <f ca="1">IFERROR(__xludf.DUMMYFUNCTION("""COMPUTED_VALUE"""),14)</f>
        <v>14</v>
      </c>
      <c r="E34" t="str">
        <f ca="1">IFERROR(__xludf.DUMMYFUNCTION("""COMPUTED_VALUE"""),"7' 0""")</f>
        <v>7' 0"</v>
      </c>
      <c r="F34">
        <f ca="1">IFERROR(__xludf.DUMMYFUNCTION("""COMPUTED_VALUE"""),309.667)</f>
        <v>309.66699999999997</v>
      </c>
      <c r="G34">
        <f ca="1">IFERROR(__xludf.DUMMYFUNCTION("""COMPUTED_VALUE"""),44)</f>
        <v>44</v>
      </c>
      <c r="H34">
        <f ca="1">IFERROR(__xludf.DUMMYFUNCTION("""COMPUTED_VALUE"""),67)</f>
        <v>67</v>
      </c>
    </row>
    <row r="35" spans="1:8" ht="12.75">
      <c r="A35" t="str">
        <f ca="1">IFERROR(__xludf.DUMMYFUNCTION("""COMPUTED_VALUE"""),"T34")</f>
        <v>T34</v>
      </c>
      <c r="B35" t="str">
        <f ca="1">IFERROR(__xludf.DUMMYFUNCTION("""COMPUTED_VALUE"""),"T40")</f>
        <v>T40</v>
      </c>
      <c r="C35" t="str">
        <f ca="1">IFERROR(__xludf.DUMMYFUNCTION("""COMPUTED_VALUE"""),"Patrick Cantlay")</f>
        <v>Patrick Cantlay</v>
      </c>
      <c r="D35">
        <f ca="1">IFERROR(__xludf.DUMMYFUNCTION("""COMPUTED_VALUE"""),16)</f>
        <v>16</v>
      </c>
      <c r="E35" t="str">
        <f ca="1">IFERROR(__xludf.DUMMYFUNCTION("""COMPUTED_VALUE"""),"7' 1""")</f>
        <v>7' 1"</v>
      </c>
      <c r="F35">
        <f ca="1">IFERROR(__xludf.DUMMYFUNCTION("""COMPUTED_VALUE"""),345.167)</f>
        <v>345.16699999999997</v>
      </c>
      <c r="G35">
        <f ca="1">IFERROR(__xludf.DUMMYFUNCTION("""COMPUTED_VALUE"""),49)</f>
        <v>49</v>
      </c>
      <c r="H35">
        <f ca="1">IFERROR(__xludf.DUMMYFUNCTION("""COMPUTED_VALUE"""),21)</f>
        <v>21</v>
      </c>
    </row>
    <row r="36" spans="1:8" ht="12.75">
      <c r="A36" t="str">
        <f ca="1">IFERROR(__xludf.DUMMYFUNCTION("""COMPUTED_VALUE"""),"T34")</f>
        <v>T34</v>
      </c>
      <c r="B36" t="str">
        <f ca="1">IFERROR(__xludf.DUMMYFUNCTION("""COMPUTED_VALUE"""),"T40")</f>
        <v>T40</v>
      </c>
      <c r="C36" t="str">
        <f ca="1">IFERROR(__xludf.DUMMYFUNCTION("""COMPUTED_VALUE"""),"Vincent Whaley")</f>
        <v>Vincent Whaley</v>
      </c>
      <c r="D36">
        <f ca="1">IFERROR(__xludf.DUMMYFUNCTION("""COMPUTED_VALUE"""),14)</f>
        <v>14</v>
      </c>
      <c r="E36" t="str">
        <f ca="1">IFERROR(__xludf.DUMMYFUNCTION("""COMPUTED_VALUE"""),"7' 1""")</f>
        <v>7' 1"</v>
      </c>
      <c r="F36">
        <f ca="1">IFERROR(__xludf.DUMMYFUNCTION("""COMPUTED_VALUE"""),155.917)</f>
        <v>155.917</v>
      </c>
      <c r="G36">
        <f ca="1">IFERROR(__xludf.DUMMYFUNCTION("""COMPUTED_VALUE"""),22)</f>
        <v>22</v>
      </c>
      <c r="H36">
        <f ca="1">IFERROR(__xludf.DUMMYFUNCTION("""COMPUTED_VALUE"""),31)</f>
        <v>31</v>
      </c>
    </row>
    <row r="37" spans="1:8" ht="12.75">
      <c r="A37" t="str">
        <f ca="1">IFERROR(__xludf.DUMMYFUNCTION("""COMPUTED_VALUE"""),"T34")</f>
        <v>T34</v>
      </c>
      <c r="B37" t="str">
        <f ca="1">IFERROR(__xludf.DUMMYFUNCTION("""COMPUTED_VALUE"""),"T40")</f>
        <v>T40</v>
      </c>
      <c r="C37" t="str">
        <f ca="1">IFERROR(__xludf.DUMMYFUNCTION("""COMPUTED_VALUE"""),"Kiradech Aphibarnrat")</f>
        <v>Kiradech Aphibarnrat</v>
      </c>
      <c r="D37">
        <f ca="1">IFERROR(__xludf.DUMMYFUNCTION("""COMPUTED_VALUE"""),12)</f>
        <v>12</v>
      </c>
      <c r="E37" t="str">
        <f ca="1">IFERROR(__xludf.DUMMYFUNCTION("""COMPUTED_VALUE"""),"7' 1""")</f>
        <v>7' 1"</v>
      </c>
      <c r="F37">
        <f ca="1">IFERROR(__xludf.DUMMYFUNCTION("""COMPUTED_VALUE"""),92.167)</f>
        <v>92.167000000000002</v>
      </c>
      <c r="G37">
        <f ca="1">IFERROR(__xludf.DUMMYFUNCTION("""COMPUTED_VALUE"""),13)</f>
        <v>13</v>
      </c>
      <c r="H37">
        <f ca="1">IFERROR(__xludf.DUMMYFUNCTION("""COMPUTED_VALUE"""),37)</f>
        <v>37</v>
      </c>
    </row>
    <row r="38" spans="1:8" ht="12.75">
      <c r="A38" t="str">
        <f ca="1">IFERROR(__xludf.DUMMYFUNCTION("""COMPUTED_VALUE"""),"T34")</f>
        <v>T34</v>
      </c>
      <c r="B38" t="str">
        <f ca="1">IFERROR(__xludf.DUMMYFUNCTION("""COMPUTED_VALUE"""),"T61")</f>
        <v>T61</v>
      </c>
      <c r="C38" t="str">
        <f ca="1">IFERROR(__xludf.DUMMYFUNCTION("""COMPUTED_VALUE"""),"Stewart Cink")</f>
        <v>Stewart Cink</v>
      </c>
      <c r="D38">
        <f ca="1">IFERROR(__xludf.DUMMYFUNCTION("""COMPUTED_VALUE"""),18)</f>
        <v>18</v>
      </c>
      <c r="E38" t="str">
        <f ca="1">IFERROR(__xludf.DUMMYFUNCTION("""COMPUTED_VALUE"""),"7' 1""")</f>
        <v>7' 1"</v>
      </c>
      <c r="F38">
        <f ca="1">IFERROR(__xludf.DUMMYFUNCTION("""COMPUTED_VALUE"""),149.167)</f>
        <v>149.167</v>
      </c>
      <c r="G38">
        <f ca="1">IFERROR(__xludf.DUMMYFUNCTION("""COMPUTED_VALUE"""),21)</f>
        <v>21</v>
      </c>
      <c r="H38">
        <f ca="1">IFERROR(__xludf.DUMMYFUNCTION("""COMPUTED_VALUE"""),99)</f>
        <v>99</v>
      </c>
    </row>
    <row r="39" spans="1:8" ht="12.75">
      <c r="A39" t="str">
        <f ca="1">IFERROR(__xludf.DUMMYFUNCTION("""COMPUTED_VALUE"""),"T34")</f>
        <v>T34</v>
      </c>
      <c r="B39" t="str">
        <f ca="1">IFERROR(__xludf.DUMMYFUNCTION("""COMPUTED_VALUE"""),"T40")</f>
        <v>T40</v>
      </c>
      <c r="C39" t="str">
        <f ca="1">IFERROR(__xludf.DUMMYFUNCTION("""COMPUTED_VALUE"""),"Johnson Wagner")</f>
        <v>Johnson Wagner</v>
      </c>
      <c r="D39">
        <f ca="1">IFERROR(__xludf.DUMMYFUNCTION("""COMPUTED_VALUE"""),8)</f>
        <v>8</v>
      </c>
      <c r="E39" t="str">
        <f ca="1">IFERROR(__xludf.DUMMYFUNCTION("""COMPUTED_VALUE"""),"7' 1""")</f>
        <v>7' 1"</v>
      </c>
      <c r="F39">
        <f ca="1">IFERROR(__xludf.DUMMYFUNCTION("""COMPUTED_VALUE"""),21.25)</f>
        <v>21.25</v>
      </c>
      <c r="G39">
        <f ca="1">IFERROR(__xludf.DUMMYFUNCTION("""COMPUTED_VALUE"""),3)</f>
        <v>3</v>
      </c>
      <c r="H39">
        <f ca="1">IFERROR(__xludf.DUMMYFUNCTION("""COMPUTED_VALUE"""),158)</f>
        <v>158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IFERROR(__xludf.DUMMYFUNCTION("""COMPUTED_VALUE"""),"T45")</f>
        <v>T45</v>
      </c>
      <c r="C40" t="str">
        <f ca="1">IFERROR(__xludf.DUMMYFUNCTION("""COMPUTED_VALUE"""),"George McNeill")</f>
        <v>George McNeill</v>
      </c>
      <c r="D40">
        <f ca="1">IFERROR(__xludf.DUMMYFUNCTION("""COMPUTED_VALUE"""),8)</f>
        <v>8</v>
      </c>
      <c r="E40" t="str">
        <f ca="1">IFERROR(__xludf.DUMMYFUNCTION("""COMPUTED_VALUE"""),"7' 2""")</f>
        <v>7' 2"</v>
      </c>
      <c r="F40">
        <f ca="1">IFERROR(__xludf.DUMMYFUNCTION("""COMPUTED_VALUE"""),14.333)</f>
        <v>14.333</v>
      </c>
      <c r="G40">
        <f ca="1">IFERROR(__xludf.DUMMYFUNCTION("""COMPUTED_VALUE"""),2)</f>
        <v>2</v>
      </c>
      <c r="H40">
        <f ca="1">IFERROR(__xludf.DUMMYFUNCTION("""COMPUTED_VALUE"""),251)</f>
        <v>251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IFERROR(__xludf.DUMMYFUNCTION("""COMPUTED_VALUE"""),"T45")</f>
        <v>T45</v>
      </c>
      <c r="C41" t="str">
        <f ca="1">IFERROR(__xludf.DUMMYFUNCTION("""COMPUTED_VALUE"""),"Chris Stroud")</f>
        <v>Chris Stroud</v>
      </c>
      <c r="D41">
        <f ca="1">IFERROR(__xludf.DUMMYFUNCTION("""COMPUTED_VALUE"""),6)</f>
        <v>6</v>
      </c>
      <c r="E41" t="str">
        <f ca="1">IFERROR(__xludf.DUMMYFUNCTION("""COMPUTED_VALUE"""),"7' 2""")</f>
        <v>7' 2"</v>
      </c>
      <c r="F41">
        <f ca="1">IFERROR(__xludf.DUMMYFUNCTION("""COMPUTED_VALUE"""),57.25)</f>
        <v>57.25</v>
      </c>
      <c r="G41">
        <f ca="1">IFERROR(__xludf.DUMMYFUNCTION("""COMPUTED_VALUE"""),8)</f>
        <v>8</v>
      </c>
      <c r="H41">
        <f ca="1">IFERROR(__xludf.DUMMYFUNCTION("""COMPUTED_VALUE"""),22)</f>
        <v>22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IFERROR(__xludf.DUMMYFUNCTION("""COMPUTED_VALUE"""),"T45")</f>
        <v>T45</v>
      </c>
      <c r="C42" t="str">
        <f ca="1">IFERROR(__xludf.DUMMYFUNCTION("""COMPUTED_VALUE"""),"Andy Zhang")</f>
        <v>Andy Zhang</v>
      </c>
      <c r="D42">
        <f ca="1">IFERROR(__xludf.DUMMYFUNCTION("""COMPUTED_VALUE"""),4)</f>
        <v>4</v>
      </c>
      <c r="E42" t="str">
        <f ca="1">IFERROR(__xludf.DUMMYFUNCTION("""COMPUTED_VALUE"""),"7' 2""")</f>
        <v>7' 2"</v>
      </c>
      <c r="F42">
        <f ca="1">IFERROR(__xludf.DUMMYFUNCTION("""COMPUTED_VALUE"""),57.417)</f>
        <v>57.417000000000002</v>
      </c>
      <c r="G42">
        <f ca="1">IFERROR(__xludf.DUMMYFUNCTION("""COMPUTED_VALUE"""),8)</f>
        <v>8</v>
      </c>
      <c r="H42">
        <f ca="1">IFERROR(__xludf.DUMMYFUNCTION("""COMPUTED_VALUE"""),235)</f>
        <v>235</v>
      </c>
    </row>
    <row r="43" spans="1:8" ht="12.75">
      <c r="A43" t="str">
        <f ca="1">IFERROR(__xludf.DUMMYFUNCTION("""COMPUTED_VALUE"""),"T42")</f>
        <v>T42</v>
      </c>
      <c r="B43" t="str">
        <f ca="1">IFERROR(__xludf.DUMMYFUNCTION("""COMPUTED_VALUE"""),"T50")</f>
        <v>T50</v>
      </c>
      <c r="C43" t="str">
        <f ca="1">IFERROR(__xludf.DUMMYFUNCTION("""COMPUTED_VALUE"""),"Adam Hadwin")</f>
        <v>Adam Hadwin</v>
      </c>
      <c r="D43">
        <f ca="1">IFERROR(__xludf.DUMMYFUNCTION("""COMPUTED_VALUE"""),16)</f>
        <v>16</v>
      </c>
      <c r="E43" t="str">
        <f ca="1">IFERROR(__xludf.DUMMYFUNCTION("""COMPUTED_VALUE"""),"7' 3""")</f>
        <v>7' 3"</v>
      </c>
      <c r="F43">
        <f ca="1">IFERROR(__xludf.DUMMYFUNCTION("""COMPUTED_VALUE"""),347.583)</f>
        <v>347.58300000000003</v>
      </c>
      <c r="G43">
        <f ca="1">IFERROR(__xludf.DUMMYFUNCTION("""COMPUTED_VALUE"""),48)</f>
        <v>48</v>
      </c>
      <c r="H43">
        <f ca="1">IFERROR(__xludf.DUMMYFUNCTION("""COMPUTED_VALUE"""),165)</f>
        <v>165</v>
      </c>
    </row>
    <row r="44" spans="1:8" ht="12.75">
      <c r="A44" t="str">
        <f ca="1">IFERROR(__xludf.DUMMYFUNCTION("""COMPUTED_VALUE"""),"T42")</f>
        <v>T42</v>
      </c>
      <c r="B44" t="str">
        <f ca="1">IFERROR(__xludf.DUMMYFUNCTION("""COMPUTED_VALUE"""),"T50")</f>
        <v>T50</v>
      </c>
      <c r="C44" t="str">
        <f ca="1">IFERROR(__xludf.DUMMYFUNCTION("""COMPUTED_VALUE"""),"Justin Suh")</f>
        <v>Justin Suh</v>
      </c>
      <c r="D44">
        <f ca="1">IFERROR(__xludf.DUMMYFUNCTION("""COMPUTED_VALUE"""),10)</f>
        <v>10</v>
      </c>
      <c r="E44" t="str">
        <f ca="1">IFERROR(__xludf.DUMMYFUNCTION("""COMPUTED_VALUE"""),"7' 3""")</f>
        <v>7' 3"</v>
      </c>
      <c r="F44">
        <f ca="1">IFERROR(__xludf.DUMMYFUNCTION("""COMPUTED_VALUE"""),21.75)</f>
        <v>21.75</v>
      </c>
      <c r="G44">
        <f ca="1">IFERROR(__xludf.DUMMYFUNCTION("""COMPUTED_VALUE"""),3)</f>
        <v>3</v>
      </c>
      <c r="H44">
        <f ca="1">IFERROR(__xludf.DUMMYFUNCTION("""COMPUTED_VALUE"""),215)</f>
        <v>215</v>
      </c>
    </row>
    <row r="45" spans="1:8" ht="12.75">
      <c r="A45" t="str">
        <f ca="1">IFERROR(__xludf.DUMMYFUNCTION("""COMPUTED_VALUE"""),"T42")</f>
        <v>T42</v>
      </c>
      <c r="B45" t="str">
        <f ca="1">IFERROR(__xludf.DUMMYFUNCTION("""COMPUTED_VALUE"""),"T50")</f>
        <v>T50</v>
      </c>
      <c r="C45" t="str">
        <f ca="1">IFERROR(__xludf.DUMMYFUNCTION("""COMPUTED_VALUE"""),"Brad Kennedy")</f>
        <v>Brad Kennedy</v>
      </c>
      <c r="D45">
        <f ca="1">IFERROR(__xludf.DUMMYFUNCTION("""COMPUTED_VALUE"""),4)</f>
        <v>4</v>
      </c>
      <c r="E45" t="str">
        <f ca="1">IFERROR(__xludf.DUMMYFUNCTION("""COMPUTED_VALUE"""),"7' 3""")</f>
        <v>7' 3"</v>
      </c>
      <c r="F45">
        <f ca="1">IFERROR(__xludf.DUMMYFUNCTION("""COMPUTED_VALUE"""),50.75)</f>
        <v>50.75</v>
      </c>
      <c r="G45">
        <f ca="1">IFERROR(__xludf.DUMMYFUNCTION("""COMPUTED_VALUE"""),7)</f>
        <v>7</v>
      </c>
      <c r="H45">
        <f ca="1">IFERROR(__xludf.DUMMYFUNCTION("""COMPUTED_VALUE"""),5)</f>
        <v>5</v>
      </c>
    </row>
    <row r="46" spans="1:8" ht="12.75">
      <c r="A46" t="str">
        <f ca="1">IFERROR(__xludf.DUMMYFUNCTION("""COMPUTED_VALUE"""),"T42")</f>
        <v>T42</v>
      </c>
      <c r="B46" t="str">
        <f ca="1">IFERROR(__xludf.DUMMYFUNCTION("""COMPUTED_VALUE"""),"T50")</f>
        <v>T50</v>
      </c>
      <c r="C46" t="str">
        <f ca="1">IFERROR(__xludf.DUMMYFUNCTION("""COMPUTED_VALUE"""),"Jim Furyk")</f>
        <v>Jim Furyk</v>
      </c>
      <c r="D46">
        <f ca="1">IFERROR(__xludf.DUMMYFUNCTION("""COMPUTED_VALUE"""),4)</f>
        <v>4</v>
      </c>
      <c r="E46" t="str">
        <f ca="1">IFERROR(__xludf.DUMMYFUNCTION("""COMPUTED_VALUE"""),"7' 3""")</f>
        <v>7' 3"</v>
      </c>
      <c r="F46">
        <f ca="1">IFERROR(__xludf.DUMMYFUNCTION("""COMPUTED_VALUE"""),29)</f>
        <v>29</v>
      </c>
      <c r="G46">
        <f ca="1">IFERROR(__xludf.DUMMYFUNCTION("""COMPUTED_VALUE"""),4)</f>
        <v>4</v>
      </c>
      <c r="H46">
        <f ca="1">IFERROR(__xludf.DUMMYFUNCTION("""COMPUTED_VALUE"""),2)</f>
        <v>2</v>
      </c>
    </row>
    <row r="47" spans="1:8" ht="12.75">
      <c r="A47" t="str">
        <f ca="1">IFERROR(__xludf.DUMMYFUNCTION("""COMPUTED_VALUE"""),"T46")</f>
        <v>T46</v>
      </c>
      <c r="B47" t="str">
        <f ca="1">IFERROR(__xludf.DUMMYFUNCTION("""COMPUTED_VALUE"""),"T23")</f>
        <v>T23</v>
      </c>
      <c r="C47" t="str">
        <f ca="1">IFERROR(__xludf.DUMMYFUNCTION("""COMPUTED_VALUE"""),"Nate Lashley")</f>
        <v>Nate Lashley</v>
      </c>
      <c r="D47">
        <f ca="1">IFERROR(__xludf.DUMMYFUNCTION("""COMPUTED_VALUE"""),16)</f>
        <v>16</v>
      </c>
      <c r="E47" t="str">
        <f ca="1">IFERROR(__xludf.DUMMYFUNCTION("""COMPUTED_VALUE"""),"7' 4""")</f>
        <v>7' 4"</v>
      </c>
      <c r="F47">
        <f ca="1">IFERROR(__xludf.DUMMYFUNCTION("""COMPUTED_VALUE"""),117.583)</f>
        <v>117.583</v>
      </c>
      <c r="G47">
        <f ca="1">IFERROR(__xludf.DUMMYFUNCTION("""COMPUTED_VALUE"""),16)</f>
        <v>16</v>
      </c>
      <c r="H47">
        <f ca="1">IFERROR(__xludf.DUMMYFUNCTION("""COMPUTED_VALUE"""),40)</f>
        <v>40</v>
      </c>
    </row>
    <row r="48" spans="1:8" ht="12.75">
      <c r="A48" t="str">
        <f ca="1">IFERROR(__xludf.DUMMYFUNCTION("""COMPUTED_VALUE"""),"T46")</f>
        <v>T46</v>
      </c>
      <c r="B48" t="str">
        <f ca="1">IFERROR(__xludf.DUMMYFUNCTION("""COMPUTED_VALUE"""),"T54")</f>
        <v>T54</v>
      </c>
      <c r="C48" t="str">
        <f ca="1">IFERROR(__xludf.DUMMYFUNCTION("""COMPUTED_VALUE"""),"Rikuya Hoshino")</f>
        <v>Rikuya Hoshino</v>
      </c>
      <c r="D48">
        <f ca="1">IFERROR(__xludf.DUMMYFUNCTION("""COMPUTED_VALUE"""),4)</f>
        <v>4</v>
      </c>
      <c r="E48" t="str">
        <f ca="1">IFERROR(__xludf.DUMMYFUNCTION("""COMPUTED_VALUE"""),"7' 4""")</f>
        <v>7' 4"</v>
      </c>
      <c r="F48">
        <f ca="1">IFERROR(__xludf.DUMMYFUNCTION("""COMPUTED_VALUE"""),102.333)</f>
        <v>102.333</v>
      </c>
      <c r="G48">
        <f ca="1">IFERROR(__xludf.DUMMYFUNCTION("""COMPUTED_VALUE"""),14)</f>
        <v>14</v>
      </c>
      <c r="H48">
        <f ca="1">IFERROR(__xludf.DUMMYFUNCTION("""COMPUTED_VALUE"""),13)</f>
        <v>13</v>
      </c>
    </row>
    <row r="49" spans="1:8" ht="12.75">
      <c r="A49" t="str">
        <f ca="1">IFERROR(__xludf.DUMMYFUNCTION("""COMPUTED_VALUE"""),"T48")</f>
        <v>T48</v>
      </c>
      <c r="B49" t="str">
        <f ca="1">IFERROR(__xludf.DUMMYFUNCTION("""COMPUTED_VALUE"""),"T56")</f>
        <v>T56</v>
      </c>
      <c r="C49" t="str">
        <f ca="1">IFERROR(__xludf.DUMMYFUNCTION("""COMPUTED_VALUE"""),"Doug Ghim")</f>
        <v>Doug Ghim</v>
      </c>
      <c r="D49">
        <f ca="1">IFERROR(__xludf.DUMMYFUNCTION("""COMPUTED_VALUE"""),14)</f>
        <v>14</v>
      </c>
      <c r="E49" t="str">
        <f ca="1">IFERROR(__xludf.DUMMYFUNCTION("""COMPUTED_VALUE"""),"7' 5""")</f>
        <v>7' 5"</v>
      </c>
      <c r="F49">
        <f ca="1">IFERROR(__xludf.DUMMYFUNCTION("""COMPUTED_VALUE"""),163.667)</f>
        <v>163.667</v>
      </c>
      <c r="G49">
        <f ca="1">IFERROR(__xludf.DUMMYFUNCTION("""COMPUTED_VALUE"""),22)</f>
        <v>22</v>
      </c>
      <c r="H49">
        <f ca="1">IFERROR(__xludf.DUMMYFUNCTION("""COMPUTED_VALUE"""),15)</f>
        <v>15</v>
      </c>
    </row>
    <row r="50" spans="1:8" ht="12.75">
      <c r="A50" t="str">
        <f ca="1">IFERROR(__xludf.DUMMYFUNCTION("""COMPUTED_VALUE"""),"T48")</f>
        <v>T48</v>
      </c>
      <c r="B50" t="str">
        <f ca="1">IFERROR(__xludf.DUMMYFUNCTION("""COMPUTED_VALUE"""),"T56")</f>
        <v>T56</v>
      </c>
      <c r="C50" t="str">
        <f ca="1">IFERROR(__xludf.DUMMYFUNCTION("""COMPUTED_VALUE"""),"Joel Dahmen")</f>
        <v>Joel Dahmen</v>
      </c>
      <c r="D50">
        <f ca="1">IFERROR(__xludf.DUMMYFUNCTION("""COMPUTED_VALUE"""),18)</f>
        <v>18</v>
      </c>
      <c r="E50" t="str">
        <f ca="1">IFERROR(__xludf.DUMMYFUNCTION("""COMPUTED_VALUE"""),"7' 5""")</f>
        <v>7' 5"</v>
      </c>
      <c r="F50">
        <f ca="1">IFERROR(__xludf.DUMMYFUNCTION("""COMPUTED_VALUE"""),326.833)</f>
        <v>326.83300000000003</v>
      </c>
      <c r="G50">
        <f ca="1">IFERROR(__xludf.DUMMYFUNCTION("""COMPUTED_VALUE"""),44)</f>
        <v>44</v>
      </c>
      <c r="H50">
        <f ca="1">IFERROR(__xludf.DUMMYFUNCTION("""COMPUTED_VALUE"""),74)</f>
        <v>74</v>
      </c>
    </row>
    <row r="51" spans="1:8" ht="12.75">
      <c r="A51" t="str">
        <f ca="1">IFERROR(__xludf.DUMMYFUNCTION("""COMPUTED_VALUE"""),"T48")</f>
        <v>T48</v>
      </c>
      <c r="B51" t="str">
        <f ca="1">IFERROR(__xludf.DUMMYFUNCTION("""COMPUTED_VALUE"""),"T56")</f>
        <v>T56</v>
      </c>
      <c r="C51" t="str">
        <f ca="1">IFERROR(__xludf.DUMMYFUNCTION("""COMPUTED_VALUE"""),"Sebastian Cappelen")</f>
        <v>Sebastian Cappelen</v>
      </c>
      <c r="D51">
        <f ca="1">IFERROR(__xludf.DUMMYFUNCTION("""COMPUTED_VALUE"""),8)</f>
        <v>8</v>
      </c>
      <c r="E51" t="str">
        <f ca="1">IFERROR(__xludf.DUMMYFUNCTION("""COMPUTED_VALUE"""),"7' 5""")</f>
        <v>7' 5"</v>
      </c>
      <c r="F51">
        <f ca="1">IFERROR(__xludf.DUMMYFUNCTION("""COMPUTED_VALUE"""),66.667)</f>
        <v>66.667000000000002</v>
      </c>
      <c r="G51">
        <f ca="1">IFERROR(__xludf.DUMMYFUNCTION("""COMPUTED_VALUE"""),9)</f>
        <v>9</v>
      </c>
      <c r="H51">
        <f ca="1">IFERROR(__xludf.DUMMYFUNCTION("""COMPUTED_VALUE"""),76)</f>
        <v>76</v>
      </c>
    </row>
    <row r="52" spans="1:8" ht="12.75">
      <c r="A52" t="str">
        <f ca="1">IFERROR(__xludf.DUMMYFUNCTION("""COMPUTED_VALUE"""),"T48")</f>
        <v>T48</v>
      </c>
      <c r="B52" t="str">
        <f ca="1">IFERROR(__xludf.DUMMYFUNCTION("""COMPUTED_VALUE"""),"T56")</f>
        <v>T56</v>
      </c>
      <c r="C52" t="str">
        <f ca="1">IFERROR(__xludf.DUMMYFUNCTION("""COMPUTED_VALUE"""),"Michael Gligic")</f>
        <v>Michael Gligic</v>
      </c>
      <c r="D52">
        <f ca="1">IFERROR(__xludf.DUMMYFUNCTION("""COMPUTED_VALUE"""),18)</f>
        <v>18</v>
      </c>
      <c r="E52" t="str">
        <f ca="1">IFERROR(__xludf.DUMMYFUNCTION("""COMPUTED_VALUE"""),"7' 5""")</f>
        <v>7' 5"</v>
      </c>
      <c r="F52">
        <f ca="1">IFERROR(__xludf.DUMMYFUNCTION("""COMPUTED_VALUE"""),169.833)</f>
        <v>169.833</v>
      </c>
      <c r="G52">
        <f ca="1">IFERROR(__xludf.DUMMYFUNCTION("""COMPUTED_VALUE"""),23)</f>
        <v>23</v>
      </c>
      <c r="H52">
        <f ca="1">IFERROR(__xludf.DUMMYFUNCTION("""COMPUTED_VALUE"""),14)</f>
        <v>14</v>
      </c>
    </row>
    <row r="53" spans="1:8" ht="12.75">
      <c r="A53" t="str">
        <f ca="1">IFERROR(__xludf.DUMMYFUNCTION("""COMPUTED_VALUE"""),"T48")</f>
        <v>T48</v>
      </c>
      <c r="B53" t="str">
        <f ca="1">IFERROR(__xludf.DUMMYFUNCTION("""COMPUTED_VALUE"""),"T61")</f>
        <v>T61</v>
      </c>
      <c r="C53" t="str">
        <f ca="1">IFERROR(__xludf.DUMMYFUNCTION("""COMPUTED_VALUE"""),"Pat Perez")</f>
        <v>Pat Perez</v>
      </c>
      <c r="D53">
        <f ca="1">IFERROR(__xludf.DUMMYFUNCTION("""COMPUTED_VALUE"""),16)</f>
        <v>16</v>
      </c>
      <c r="E53" t="str">
        <f ca="1">IFERROR(__xludf.DUMMYFUNCTION("""COMPUTED_VALUE"""),"7' 5""")</f>
        <v>7' 5"</v>
      </c>
      <c r="F53">
        <f ca="1">IFERROR(__xludf.DUMMYFUNCTION("""COMPUTED_VALUE"""),170.583)</f>
        <v>170.583</v>
      </c>
      <c r="G53">
        <f ca="1">IFERROR(__xludf.DUMMYFUNCTION("""COMPUTED_VALUE"""),23)</f>
        <v>23</v>
      </c>
      <c r="H53">
        <f ca="1">IFERROR(__xludf.DUMMYFUNCTION("""COMPUTED_VALUE"""),100)</f>
        <v>100</v>
      </c>
    </row>
    <row r="54" spans="1:8" ht="12.75">
      <c r="A54" t="str">
        <f ca="1">IFERROR(__xludf.DUMMYFUNCTION("""COMPUTED_VALUE"""),"T53")</f>
        <v>T53</v>
      </c>
      <c r="B54" t="str">
        <f ca="1">IFERROR(__xludf.DUMMYFUNCTION("""COMPUTED_VALUE"""),"T61")</f>
        <v>T61</v>
      </c>
      <c r="C54" t="str">
        <f ca="1">IFERROR(__xludf.DUMMYFUNCTION("""COMPUTED_VALUE"""),"Webb Simpson")</f>
        <v>Webb Simpson</v>
      </c>
      <c r="D54">
        <f ca="1">IFERROR(__xludf.DUMMYFUNCTION("""COMPUTED_VALUE"""),12)</f>
        <v>12</v>
      </c>
      <c r="E54" t="str">
        <f ca="1">IFERROR(__xludf.DUMMYFUNCTION("""COMPUTED_VALUE"""),"7' 6""")</f>
        <v>7' 6"</v>
      </c>
      <c r="F54">
        <f ca="1">IFERROR(__xludf.DUMMYFUNCTION("""COMPUTED_VALUE"""),203.167)</f>
        <v>203.167</v>
      </c>
      <c r="G54">
        <f ca="1">IFERROR(__xludf.DUMMYFUNCTION("""COMPUTED_VALUE"""),27)</f>
        <v>27</v>
      </c>
      <c r="H54">
        <f ca="1">IFERROR(__xludf.DUMMYFUNCTION("""COMPUTED_VALUE"""),12)</f>
        <v>12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IFERROR(__xludf.DUMMYFUNCTION("""COMPUTED_VALUE"""),"T45")</f>
        <v>T45</v>
      </c>
      <c r="C55" t="str">
        <f ca="1">IFERROR(__xludf.DUMMYFUNCTION("""COMPUTED_VALUE"""),"Russell Henley")</f>
        <v>Russell Henley</v>
      </c>
      <c r="D55">
        <f ca="1">IFERROR(__xludf.DUMMYFUNCTION("""COMPUTED_VALUE"""),16)</f>
        <v>16</v>
      </c>
      <c r="E55" t="str">
        <f ca="1">IFERROR(__xludf.DUMMYFUNCTION("""COMPUTED_VALUE"""),"7' 6""")</f>
        <v>7' 6"</v>
      </c>
      <c r="F55">
        <f ca="1">IFERROR(__xludf.DUMMYFUNCTION("""COMPUTED_VALUE"""),195.5)</f>
        <v>195.5</v>
      </c>
      <c r="G55">
        <f ca="1">IFERROR(__xludf.DUMMYFUNCTION("""COMPUTED_VALUE"""),26)</f>
        <v>26</v>
      </c>
      <c r="H55">
        <f ca="1">IFERROR(__xludf.DUMMYFUNCTION("""COMPUTED_VALUE"""),4)</f>
        <v>4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IFERROR(__xludf.DUMMYFUNCTION("""COMPUTED_VALUE"""),"T66")</f>
        <v>T66</v>
      </c>
      <c r="C56" t="str">
        <f ca="1">IFERROR(__xludf.DUMMYFUNCTION("""COMPUTED_VALUE"""),"Lucas Herbert")</f>
        <v>Lucas Herbert</v>
      </c>
      <c r="D56">
        <f ca="1">IFERROR(__xludf.DUMMYFUNCTION("""COMPUTED_VALUE"""),4)</f>
        <v>4</v>
      </c>
      <c r="E56" t="str">
        <f ca="1">IFERROR(__xludf.DUMMYFUNCTION("""COMPUTED_VALUE"""),"7' 7""")</f>
        <v>7' 7"</v>
      </c>
      <c r="F56">
        <f ca="1">IFERROR(__xludf.DUMMYFUNCTION("""COMPUTED_VALUE"""),98.333)</f>
        <v>98.332999999999998</v>
      </c>
      <c r="G56">
        <f ca="1">IFERROR(__xludf.DUMMYFUNCTION("""COMPUTED_VALUE"""),13)</f>
        <v>13</v>
      </c>
      <c r="H56">
        <f ca="1">IFERROR(__xludf.DUMMYFUNCTION("""COMPUTED_VALUE"""),235)</f>
        <v>235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IFERROR(__xludf.DUMMYFUNCTION("""COMPUTED_VALUE"""),"T66")</f>
        <v>T66</v>
      </c>
      <c r="C57" t="str">
        <f ca="1">IFERROR(__xludf.DUMMYFUNCTION("""COMPUTED_VALUE"""),"Xander Schauffele")</f>
        <v>Xander Schauffele</v>
      </c>
      <c r="D57">
        <f ca="1">IFERROR(__xludf.DUMMYFUNCTION("""COMPUTED_VALUE"""),12)</f>
        <v>12</v>
      </c>
      <c r="E57" t="str">
        <f ca="1">IFERROR(__xludf.DUMMYFUNCTION("""COMPUTED_VALUE"""),"7' 7""")</f>
        <v>7' 7"</v>
      </c>
      <c r="F57">
        <f ca="1">IFERROR(__xludf.DUMMYFUNCTION("""COMPUTED_VALUE"""),279.75)</f>
        <v>279.75</v>
      </c>
      <c r="G57">
        <f ca="1">IFERROR(__xludf.DUMMYFUNCTION("""COMPUTED_VALUE"""),37)</f>
        <v>37</v>
      </c>
      <c r="H57">
        <f ca="1">IFERROR(__xludf.DUMMYFUNCTION("""COMPUTED_VALUE"""),135)</f>
        <v>135</v>
      </c>
    </row>
    <row r="58" spans="1:8" ht="12.75">
      <c r="A58" t="str">
        <f ca="1">IFERROR(__xludf.DUMMYFUNCTION("""COMPUTED_VALUE"""),"T55")</f>
        <v>T55</v>
      </c>
      <c r="B58" t="str">
        <f ca="1">IFERROR(__xludf.DUMMYFUNCTION("""COMPUTED_VALUE"""),"T71")</f>
        <v>T71</v>
      </c>
      <c r="C58" t="str">
        <f ca="1">IFERROR(__xludf.DUMMYFUNCTION("""COMPUTED_VALUE"""),"Chris Kirk")</f>
        <v>Chris Kirk</v>
      </c>
      <c r="D58">
        <f ca="1">IFERROR(__xludf.DUMMYFUNCTION("""COMPUTED_VALUE"""),10)</f>
        <v>10</v>
      </c>
      <c r="E58" t="str">
        <f ca="1">IFERROR(__xludf.DUMMYFUNCTION("""COMPUTED_VALUE"""),"7' 7""")</f>
        <v>7' 7"</v>
      </c>
      <c r="F58">
        <f ca="1">IFERROR(__xludf.DUMMYFUNCTION("""COMPUTED_VALUE"""),68.25)</f>
        <v>68.25</v>
      </c>
      <c r="G58">
        <f ca="1">IFERROR(__xludf.DUMMYFUNCTION("""COMPUTED_VALUE"""),9)</f>
        <v>9</v>
      </c>
      <c r="H58">
        <f ca="1">IFERROR(__xludf.DUMMYFUNCTION("""COMPUTED_VALUE"""),144)</f>
        <v>144</v>
      </c>
    </row>
    <row r="59" spans="1:8" ht="12.75">
      <c r="A59" t="str">
        <f ca="1">IFERROR(__xludf.DUMMYFUNCTION("""COMPUTED_VALUE"""),"T58")</f>
        <v>T58</v>
      </c>
      <c r="B59" t="str">
        <f ca="1">IFERROR(__xludf.DUMMYFUNCTION("""COMPUTED_VALUE"""),"T71")</f>
        <v>T71</v>
      </c>
      <c r="C59" t="str">
        <f ca="1">IFERROR(__xludf.DUMMYFUNCTION("""COMPUTED_VALUE"""),"Rob Oppenheim")</f>
        <v>Rob Oppenheim</v>
      </c>
      <c r="D59">
        <f ca="1">IFERROR(__xludf.DUMMYFUNCTION("""COMPUTED_VALUE"""),16)</f>
        <v>16</v>
      </c>
      <c r="E59" t="str">
        <f ca="1">IFERROR(__xludf.DUMMYFUNCTION("""COMPUTED_VALUE"""),"7' 8""")</f>
        <v>7' 8"</v>
      </c>
      <c r="F59">
        <f ca="1">IFERROR(__xludf.DUMMYFUNCTION("""COMPUTED_VALUE"""),115.25)</f>
        <v>115.25</v>
      </c>
      <c r="G59">
        <f ca="1">IFERROR(__xludf.DUMMYFUNCTION("""COMPUTED_VALUE"""),15)</f>
        <v>15</v>
      </c>
      <c r="H59">
        <f ca="1">IFERROR(__xludf.DUMMYFUNCTION("""COMPUTED_VALUE"""),58)</f>
        <v>58</v>
      </c>
    </row>
    <row r="60" spans="1:8" ht="12.75">
      <c r="A60" t="str">
        <f ca="1">IFERROR(__xludf.DUMMYFUNCTION("""COMPUTED_VALUE"""),"T58")</f>
        <v>T58</v>
      </c>
      <c r="B60">
        <f ca="1">IFERROR(__xludf.DUMMYFUNCTION("""COMPUTED_VALUE"""),12)</f>
        <v>12</v>
      </c>
      <c r="C60" t="str">
        <f ca="1">IFERROR(__xludf.DUMMYFUNCTION("""COMPUTED_VALUE"""),"Tony Finau")</f>
        <v>Tony Finau</v>
      </c>
      <c r="D60">
        <f ca="1">IFERROR(__xludf.DUMMYFUNCTION("""COMPUTED_VALUE"""),12)</f>
        <v>12</v>
      </c>
      <c r="E60" t="str">
        <f ca="1">IFERROR(__xludf.DUMMYFUNCTION("""COMPUTED_VALUE"""),"7' 8""")</f>
        <v>7' 8"</v>
      </c>
      <c r="F60">
        <f ca="1">IFERROR(__xludf.DUMMYFUNCTION("""COMPUTED_VALUE"""),160.5)</f>
        <v>160.5</v>
      </c>
      <c r="G60">
        <f ca="1">IFERROR(__xludf.DUMMYFUNCTION("""COMPUTED_VALUE"""),21)</f>
        <v>21</v>
      </c>
      <c r="H60">
        <f ca="1">IFERROR(__xludf.DUMMYFUNCTION("""COMPUTED_VALUE"""),227)</f>
        <v>227</v>
      </c>
    </row>
    <row r="61" spans="1:8" ht="12.75">
      <c r="A61" t="str">
        <f ca="1">IFERROR(__xludf.DUMMYFUNCTION("""COMPUTED_VALUE"""),"T58")</f>
        <v>T58</v>
      </c>
      <c r="B61" t="str">
        <f ca="1">IFERROR(__xludf.DUMMYFUNCTION("""COMPUTED_VALUE"""),"T71")</f>
        <v>T71</v>
      </c>
      <c r="C61" t="str">
        <f ca="1">IFERROR(__xludf.DUMMYFUNCTION("""COMPUTED_VALUE"""),"Abraham Ancer")</f>
        <v>Abraham Ancer</v>
      </c>
      <c r="D61">
        <f ca="1">IFERROR(__xludf.DUMMYFUNCTION("""COMPUTED_VALUE"""),16)</f>
        <v>16</v>
      </c>
      <c r="E61" t="str">
        <f ca="1">IFERROR(__xludf.DUMMYFUNCTION("""COMPUTED_VALUE"""),"7' 8""")</f>
        <v>7' 8"</v>
      </c>
      <c r="F61">
        <f ca="1">IFERROR(__xludf.DUMMYFUNCTION("""COMPUTED_VALUE"""),389.583)</f>
        <v>389.58300000000003</v>
      </c>
      <c r="G61">
        <f ca="1">IFERROR(__xludf.DUMMYFUNCTION("""COMPUTED_VALUE"""),51)</f>
        <v>51</v>
      </c>
      <c r="H61">
        <f ca="1">IFERROR(__xludf.DUMMYFUNCTION("""COMPUTED_VALUE"""),218)</f>
        <v>218</v>
      </c>
    </row>
    <row r="62" spans="1:8" ht="12.75">
      <c r="A62" t="str">
        <f ca="1">IFERROR(__xludf.DUMMYFUNCTION("""COMPUTED_VALUE"""),"T61")</f>
        <v>T61</v>
      </c>
      <c r="B62" t="str">
        <f ca="1">IFERROR(__xludf.DUMMYFUNCTION("""COMPUTED_VALUE"""),"T79")</f>
        <v>T79</v>
      </c>
      <c r="C62" t="str">
        <f ca="1">IFERROR(__xludf.DUMMYFUNCTION("""COMPUTED_VALUE"""),"Tyler McCumber")</f>
        <v>Tyler McCumber</v>
      </c>
      <c r="D62">
        <f ca="1">IFERROR(__xludf.DUMMYFUNCTION("""COMPUTED_VALUE"""),14)</f>
        <v>14</v>
      </c>
      <c r="E62" t="str">
        <f ca="1">IFERROR(__xludf.DUMMYFUNCTION("""COMPUTED_VALUE"""),"7' 11""")</f>
        <v>7' 11"</v>
      </c>
      <c r="F62">
        <f ca="1">IFERROR(__xludf.DUMMYFUNCTION("""COMPUTED_VALUE"""),142.583)</f>
        <v>142.583</v>
      </c>
      <c r="G62">
        <f ca="1">IFERROR(__xludf.DUMMYFUNCTION("""COMPUTED_VALUE"""),18)</f>
        <v>18</v>
      </c>
      <c r="H62">
        <f ca="1">IFERROR(__xludf.DUMMYFUNCTION("""COMPUTED_VALUE"""),75)</f>
        <v>75</v>
      </c>
    </row>
    <row r="63" spans="1:8" ht="12.75">
      <c r="A63" t="str">
        <f ca="1">IFERROR(__xludf.DUMMYFUNCTION("""COMPUTED_VALUE"""),"T61")</f>
        <v>T61</v>
      </c>
      <c r="B63" t="str">
        <f ca="1">IFERROR(__xludf.DUMMYFUNCTION("""COMPUTED_VALUE"""),"T27")</f>
        <v>T27</v>
      </c>
      <c r="C63" t="str">
        <f ca="1">IFERROR(__xludf.DUMMYFUNCTION("""COMPUTED_VALUE"""),"Patrick Rodgers")</f>
        <v>Patrick Rodgers</v>
      </c>
      <c r="D63">
        <f ca="1">IFERROR(__xludf.DUMMYFUNCTION("""COMPUTED_VALUE"""),18)</f>
        <v>18</v>
      </c>
      <c r="E63" t="str">
        <f ca="1">IFERROR(__xludf.DUMMYFUNCTION("""COMPUTED_VALUE"""),"7' 11""")</f>
        <v>7' 11"</v>
      </c>
      <c r="F63">
        <f ca="1">IFERROR(__xludf.DUMMYFUNCTION("""COMPUTED_VALUE"""),182.5)</f>
        <v>182.5</v>
      </c>
      <c r="G63">
        <f ca="1">IFERROR(__xludf.DUMMYFUNCTION("""COMPUTED_VALUE"""),23)</f>
        <v>23</v>
      </c>
      <c r="H63">
        <f ca="1">IFERROR(__xludf.DUMMYFUNCTION("""COMPUTED_VALUE"""),205)</f>
        <v>205</v>
      </c>
    </row>
    <row r="64" spans="1:8" ht="12.75">
      <c r="A64" t="str">
        <f ca="1">IFERROR(__xludf.DUMMYFUNCTION("""COMPUTED_VALUE"""),"T61")</f>
        <v>T61</v>
      </c>
      <c r="B64" t="str">
        <f ca="1">IFERROR(__xludf.DUMMYFUNCTION("""COMPUTED_VALUE"""),"T61")</f>
        <v>T61</v>
      </c>
      <c r="C64" t="str">
        <f ca="1">IFERROR(__xludf.DUMMYFUNCTION("""COMPUTED_VALUE"""),"Adam Long")</f>
        <v>Adam Long</v>
      </c>
      <c r="D64">
        <f ca="1">IFERROR(__xludf.DUMMYFUNCTION("""COMPUTED_VALUE"""),22)</f>
        <v>22</v>
      </c>
      <c r="E64" t="str">
        <f ca="1">IFERROR(__xludf.DUMMYFUNCTION("""COMPUTED_VALUE"""),"7' 11""")</f>
        <v>7' 11"</v>
      </c>
      <c r="F64">
        <f ca="1">IFERROR(__xludf.DUMMYFUNCTION("""COMPUTED_VALUE"""),364.583)</f>
        <v>364.58300000000003</v>
      </c>
      <c r="G64">
        <f ca="1">IFERROR(__xludf.DUMMYFUNCTION("""COMPUTED_VALUE"""),46)</f>
        <v>46</v>
      </c>
      <c r="H64">
        <f ca="1">IFERROR(__xludf.DUMMYFUNCTION("""COMPUTED_VALUE"""),115)</f>
        <v>115</v>
      </c>
    </row>
    <row r="65" spans="1:8" ht="12.75">
      <c r="A65" t="str">
        <f ca="1">IFERROR(__xludf.DUMMYFUNCTION("""COMPUTED_VALUE"""),"T61")</f>
        <v>T61</v>
      </c>
      <c r="B65" t="str">
        <f ca="1">IFERROR(__xludf.DUMMYFUNCTION("""COMPUTED_VALUE"""),"T79")</f>
        <v>T79</v>
      </c>
      <c r="C65" t="str">
        <f ca="1">IFERROR(__xludf.DUMMYFUNCTION("""COMPUTED_VALUE"""),"K.J. Choi")</f>
        <v>K.J. Choi</v>
      </c>
      <c r="D65">
        <f ca="1">IFERROR(__xludf.DUMMYFUNCTION("""COMPUTED_VALUE"""),6)</f>
        <v>6</v>
      </c>
      <c r="E65" t="str">
        <f ca="1">IFERROR(__xludf.DUMMYFUNCTION("""COMPUTED_VALUE"""),"7' 11""")</f>
        <v>7' 11"</v>
      </c>
      <c r="F65">
        <f ca="1">IFERROR(__xludf.DUMMYFUNCTION("""COMPUTED_VALUE"""),71.083)</f>
        <v>71.082999999999998</v>
      </c>
      <c r="G65">
        <f ca="1">IFERROR(__xludf.DUMMYFUNCTION("""COMPUTED_VALUE"""),9)</f>
        <v>9</v>
      </c>
      <c r="H65">
        <f ca="1">IFERROR(__xludf.DUMMYFUNCTION("""COMPUTED_VALUE"""),160)</f>
        <v>160</v>
      </c>
    </row>
    <row r="66" spans="1:8" ht="12.75">
      <c r="A66" t="str">
        <f ca="1">IFERROR(__xludf.DUMMYFUNCTION("""COMPUTED_VALUE"""),"T61")</f>
        <v>T61</v>
      </c>
      <c r="B66" t="str">
        <f ca="1">IFERROR(__xludf.DUMMYFUNCTION("""COMPUTED_VALUE"""),"T79")</f>
        <v>T79</v>
      </c>
      <c r="C66" t="str">
        <f ca="1">IFERROR(__xludf.DUMMYFUNCTION("""COMPUTED_VALUE"""),"Justin Rose")</f>
        <v>Justin Rose</v>
      </c>
      <c r="D66">
        <f ca="1">IFERROR(__xludf.DUMMYFUNCTION("""COMPUTED_VALUE"""),10)</f>
        <v>10</v>
      </c>
      <c r="E66" t="str">
        <f ca="1">IFERROR(__xludf.DUMMYFUNCTION("""COMPUTED_VALUE"""),"7' 11""")</f>
        <v>7' 11"</v>
      </c>
      <c r="F66">
        <f ca="1">IFERROR(__xludf.DUMMYFUNCTION("""COMPUTED_VALUE"""),268.5)</f>
        <v>268.5</v>
      </c>
      <c r="G66">
        <f ca="1">IFERROR(__xludf.DUMMYFUNCTION("""COMPUTED_VALUE"""),34)</f>
        <v>34</v>
      </c>
      <c r="H66">
        <f ca="1">IFERROR(__xludf.DUMMYFUNCTION("""COMPUTED_VALUE"""),235)</f>
        <v>235</v>
      </c>
    </row>
    <row r="67" spans="1:8" ht="12.75">
      <c r="A67" t="str">
        <f ca="1">IFERROR(__xludf.DUMMYFUNCTION("""COMPUTED_VALUE"""),"T66")</f>
        <v>T66</v>
      </c>
      <c r="B67">
        <f ca="1">IFERROR(__xludf.DUMMYFUNCTION("""COMPUTED_VALUE"""),20)</f>
        <v>20</v>
      </c>
      <c r="C67" t="str">
        <f ca="1">IFERROR(__xludf.DUMMYFUNCTION("""COMPUTED_VALUE"""),"Ted Potter, Jr.")</f>
        <v>Ted Potter, Jr.</v>
      </c>
      <c r="D67">
        <f ca="1">IFERROR(__xludf.DUMMYFUNCTION("""COMPUTED_VALUE"""),8)</f>
        <v>8</v>
      </c>
      <c r="E67" t="str">
        <f ca="1">IFERROR(__xludf.DUMMYFUNCTION("""COMPUTED_VALUE"""),"8' 0""")</f>
        <v>8' 0"</v>
      </c>
      <c r="F67">
        <f ca="1">IFERROR(__xludf.DUMMYFUNCTION("""COMPUTED_VALUE"""),143.25)</f>
        <v>143.25</v>
      </c>
      <c r="G67">
        <f ca="1">IFERROR(__xludf.DUMMYFUNCTION("""COMPUTED_VALUE"""),18)</f>
        <v>18</v>
      </c>
      <c r="H67">
        <f ca="1">IFERROR(__xludf.DUMMYFUNCTION("""COMPUTED_VALUE"""),133)</f>
        <v>133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IFERROR(__xludf.DUMMYFUNCTION("""COMPUTED_VALUE"""),"T77")</f>
        <v>T77</v>
      </c>
      <c r="C68" t="str">
        <f ca="1">IFERROR(__xludf.DUMMYFUNCTION("""COMPUTED_VALUE"""),"Carlos Ortiz")</f>
        <v>Carlos Ortiz</v>
      </c>
      <c r="D68">
        <f ca="1">IFERROR(__xludf.DUMMYFUNCTION("""COMPUTED_VALUE"""),20)</f>
        <v>20</v>
      </c>
      <c r="E68" t="str">
        <f ca="1">IFERROR(__xludf.DUMMYFUNCTION("""COMPUTED_VALUE"""),"8' 0""")</f>
        <v>8' 0"</v>
      </c>
      <c r="F68">
        <f ca="1">IFERROR(__xludf.DUMMYFUNCTION("""COMPUTED_VALUE"""),422.583)</f>
        <v>422.58300000000003</v>
      </c>
      <c r="G68">
        <f ca="1">IFERROR(__xludf.DUMMYFUNCTION("""COMPUTED_VALUE"""),53)</f>
        <v>53</v>
      </c>
      <c r="H68">
        <f ca="1">IFERROR(__xludf.DUMMYFUNCTION("""COMPUTED_VALUE"""),54)</f>
        <v>54</v>
      </c>
    </row>
    <row r="69" spans="1:8" ht="12.75">
      <c r="A69" t="str">
        <f ca="1">IFERROR(__xludf.DUMMYFUNCTION("""COMPUTED_VALUE"""),"T66")</f>
        <v>T66</v>
      </c>
      <c r="B69" t="str">
        <f ca="1">IFERROR(__xludf.DUMMYFUNCTION("""COMPUTED_VALUE"""),"T83")</f>
        <v>T83</v>
      </c>
      <c r="C69" t="str">
        <f ca="1">IFERROR(__xludf.DUMMYFUNCTION("""COMPUTED_VALUE"""),"Harry Higgs")</f>
        <v>Harry Higgs</v>
      </c>
      <c r="D69">
        <f ca="1">IFERROR(__xludf.DUMMYFUNCTION("""COMPUTED_VALUE"""),14)</f>
        <v>14</v>
      </c>
      <c r="E69" t="str">
        <f ca="1">IFERROR(__xludf.DUMMYFUNCTION("""COMPUTED_VALUE"""),"8' 0""")</f>
        <v>8' 0"</v>
      </c>
      <c r="F69">
        <f ca="1">IFERROR(__xludf.DUMMYFUNCTION("""COMPUTED_VALUE"""),305.083)</f>
        <v>305.08300000000003</v>
      </c>
      <c r="G69">
        <f ca="1">IFERROR(__xludf.DUMMYFUNCTION("""COMPUTED_VALUE"""),38)</f>
        <v>38</v>
      </c>
      <c r="H69">
        <f ca="1">IFERROR(__xludf.DUMMYFUNCTION("""COMPUTED_VALUE"""),69)</f>
        <v>69</v>
      </c>
    </row>
    <row r="70" spans="1:8" ht="12.75">
      <c r="A70" t="str">
        <f ca="1">IFERROR(__xludf.DUMMYFUNCTION("""COMPUTED_VALUE"""),"T66")</f>
        <v>T66</v>
      </c>
      <c r="B70" t="str">
        <f ca="1">IFERROR(__xludf.DUMMYFUNCTION("""COMPUTED_VALUE"""),"T91")</f>
        <v>T91</v>
      </c>
      <c r="C70" t="str">
        <f ca="1">IFERROR(__xludf.DUMMYFUNCTION("""COMPUTED_VALUE"""),"Wyndham Clark")</f>
        <v>Wyndham Clark</v>
      </c>
      <c r="D70">
        <f ca="1">IFERROR(__xludf.DUMMYFUNCTION("""COMPUTED_VALUE"""),16)</f>
        <v>16</v>
      </c>
      <c r="E70" t="str">
        <f ca="1">IFERROR(__xludf.DUMMYFUNCTION("""COMPUTED_VALUE"""),"8' 0""")</f>
        <v>8' 0"</v>
      </c>
      <c r="F70">
        <f ca="1">IFERROR(__xludf.DUMMYFUNCTION("""COMPUTED_VALUE"""),184.667)</f>
        <v>184.667</v>
      </c>
      <c r="G70">
        <f ca="1">IFERROR(__xludf.DUMMYFUNCTION("""COMPUTED_VALUE"""),23)</f>
        <v>23</v>
      </c>
      <c r="H70">
        <f ca="1">IFERROR(__xludf.DUMMYFUNCTION("""COMPUTED_VALUE"""),50)</f>
        <v>50</v>
      </c>
    </row>
    <row r="71" spans="1:8" ht="12.75">
      <c r="A71" t="str">
        <f ca="1">IFERROR(__xludf.DUMMYFUNCTION("""COMPUTED_VALUE"""),"T70")</f>
        <v>T70</v>
      </c>
      <c r="B71" t="str">
        <f ca="1">IFERROR(__xludf.DUMMYFUNCTION("""COMPUTED_VALUE"""),"T87")</f>
        <v>T87</v>
      </c>
      <c r="C71" t="str">
        <f ca="1">IFERROR(__xludf.DUMMYFUNCTION("""COMPUTED_VALUE"""),"Christiaan Bezuidenhout")</f>
        <v>Christiaan Bezuidenhout</v>
      </c>
      <c r="D71">
        <f ca="1">IFERROR(__xludf.DUMMYFUNCTION("""COMPUTED_VALUE"""),4)</f>
        <v>4</v>
      </c>
      <c r="E71" t="str">
        <f ca="1">IFERROR(__xludf.DUMMYFUNCTION("""COMPUTED_VALUE"""),"8' 1""")</f>
        <v>8' 1"</v>
      </c>
      <c r="F71">
        <f ca="1">IFERROR(__xludf.DUMMYFUNCTION("""COMPUTED_VALUE"""),81)</f>
        <v>81</v>
      </c>
      <c r="G71">
        <f ca="1">IFERROR(__xludf.DUMMYFUNCTION("""COMPUTED_VALUE"""),10)</f>
        <v>10</v>
      </c>
      <c r="H71">
        <f ca="1">IFERROR(__xludf.DUMMYFUNCTION("""COMPUTED_VALUE"""),252)</f>
        <v>252</v>
      </c>
    </row>
    <row r="72" spans="1:8" ht="12.75">
      <c r="A72" t="str">
        <f ca="1">IFERROR(__xludf.DUMMYFUNCTION("""COMPUTED_VALUE"""),"T70")</f>
        <v>T70</v>
      </c>
      <c r="B72" t="str">
        <f ca="1">IFERROR(__xludf.DUMMYFUNCTION("""COMPUTED_VALUE"""),"T79")</f>
        <v>T79</v>
      </c>
      <c r="C72" t="str">
        <f ca="1">IFERROR(__xludf.DUMMYFUNCTION("""COMPUTED_VALUE"""),"Erik van Rooyen")</f>
        <v>Erik van Rooyen</v>
      </c>
      <c r="D72">
        <f ca="1">IFERROR(__xludf.DUMMYFUNCTION("""COMPUTED_VALUE"""),10)</f>
        <v>10</v>
      </c>
      <c r="E72" t="str">
        <f ca="1">IFERROR(__xludf.DUMMYFUNCTION("""COMPUTED_VALUE"""),"8' 1""")</f>
        <v>8' 1"</v>
      </c>
      <c r="F72">
        <f ca="1">IFERROR(__xludf.DUMMYFUNCTION("""COMPUTED_VALUE"""),210.667)</f>
        <v>210.667</v>
      </c>
      <c r="G72">
        <f ca="1">IFERROR(__xludf.DUMMYFUNCTION("""COMPUTED_VALUE"""),26)</f>
        <v>26</v>
      </c>
      <c r="H72">
        <f ca="1">IFERROR(__xludf.DUMMYFUNCTION("""COMPUTED_VALUE"""),235)</f>
        <v>235</v>
      </c>
    </row>
    <row r="73" spans="1:8" ht="12.75">
      <c r="A73" t="str">
        <f ca="1">IFERROR(__xludf.DUMMYFUNCTION("""COMPUTED_VALUE"""),"T70")</f>
        <v>T70</v>
      </c>
      <c r="B73" t="str">
        <f ca="1">IFERROR(__xludf.DUMMYFUNCTION("""COMPUTED_VALUE"""),"T87")</f>
        <v>T87</v>
      </c>
      <c r="C73" t="str">
        <f ca="1">IFERROR(__xludf.DUMMYFUNCTION("""COMPUTED_VALUE"""),"Tim Wilkinson")</f>
        <v>Tim Wilkinson</v>
      </c>
      <c r="D73">
        <f ca="1">IFERROR(__xludf.DUMMYFUNCTION("""COMPUTED_VALUE"""),12)</f>
        <v>12</v>
      </c>
      <c r="E73" t="str">
        <f ca="1">IFERROR(__xludf.DUMMYFUNCTION("""COMPUTED_VALUE"""),"8' 1""")</f>
        <v>8' 1"</v>
      </c>
      <c r="F73">
        <f ca="1">IFERROR(__xludf.DUMMYFUNCTION("""COMPUTED_VALUE"""),40.25)</f>
        <v>40.25</v>
      </c>
      <c r="G73">
        <f ca="1">IFERROR(__xludf.DUMMYFUNCTION("""COMPUTED_VALUE"""),5)</f>
        <v>5</v>
      </c>
      <c r="H73">
        <f ca="1">IFERROR(__xludf.DUMMYFUNCTION("""COMPUTED_VALUE"""),27)</f>
        <v>27</v>
      </c>
    </row>
    <row r="74" spans="1:8" ht="12.75">
      <c r="A74" t="str">
        <f ca="1">IFERROR(__xludf.DUMMYFUNCTION("""COMPUTED_VALUE"""),"T70")</f>
        <v>T70</v>
      </c>
      <c r="B74" t="str">
        <f ca="1">IFERROR(__xludf.DUMMYFUNCTION("""COMPUTED_VALUE"""),"T38")</f>
        <v>T38</v>
      </c>
      <c r="C74" t="str">
        <f ca="1">IFERROR(__xludf.DUMMYFUNCTION("""COMPUTED_VALUE"""),"Charley Hoffman")</f>
        <v>Charley Hoffman</v>
      </c>
      <c r="D74">
        <f ca="1">IFERROR(__xludf.DUMMYFUNCTION("""COMPUTED_VALUE"""),20)</f>
        <v>20</v>
      </c>
      <c r="E74" t="str">
        <f ca="1">IFERROR(__xludf.DUMMYFUNCTION("""COMPUTED_VALUE"""),"8' 1""")</f>
        <v>8' 1"</v>
      </c>
      <c r="F74">
        <f ca="1">IFERROR(__xludf.DUMMYFUNCTION("""COMPUTED_VALUE"""),227)</f>
        <v>227</v>
      </c>
      <c r="G74">
        <f ca="1">IFERROR(__xludf.DUMMYFUNCTION("""COMPUTED_VALUE"""),28)</f>
        <v>28</v>
      </c>
      <c r="H74">
        <f ca="1">IFERROR(__xludf.DUMMYFUNCTION("""COMPUTED_VALUE"""),68)</f>
        <v>68</v>
      </c>
    </row>
    <row r="75" spans="1:8" ht="12.75">
      <c r="A75" t="str">
        <f ca="1">IFERROR(__xludf.DUMMYFUNCTION("""COMPUTED_VALUE"""),"T74")</f>
        <v>T74</v>
      </c>
      <c r="B75" t="str">
        <f ca="1">IFERROR(__xludf.DUMMYFUNCTION("""COMPUTED_VALUE"""),"T61")</f>
        <v>T61</v>
      </c>
      <c r="C75" t="str">
        <f ca="1">IFERROR(__xludf.DUMMYFUNCTION("""COMPUTED_VALUE"""),"Mark Hubbard")</f>
        <v>Mark Hubbard</v>
      </c>
      <c r="D75">
        <f ca="1">IFERROR(__xludf.DUMMYFUNCTION("""COMPUTED_VALUE"""),20)</f>
        <v>20</v>
      </c>
      <c r="E75" t="str">
        <f ca="1">IFERROR(__xludf.DUMMYFUNCTION("""COMPUTED_VALUE"""),"8' 2""")</f>
        <v>8' 2"</v>
      </c>
      <c r="F75">
        <f ca="1">IFERROR(__xludf.DUMMYFUNCTION("""COMPUTED_VALUE"""),408.583)</f>
        <v>408.58300000000003</v>
      </c>
      <c r="G75">
        <f ca="1">IFERROR(__xludf.DUMMYFUNCTION("""COMPUTED_VALUE"""),50)</f>
        <v>50</v>
      </c>
      <c r="H75">
        <f ca="1">IFERROR(__xludf.DUMMYFUNCTION("""COMPUTED_VALUE"""),156)</f>
        <v>156</v>
      </c>
    </row>
    <row r="76" spans="1:8" ht="12.75">
      <c r="A76" t="str">
        <f ca="1">IFERROR(__xludf.DUMMYFUNCTION("""COMPUTED_VALUE"""),"T74")</f>
        <v>T74</v>
      </c>
      <c r="B76" t="str">
        <f ca="1">IFERROR(__xludf.DUMMYFUNCTION("""COMPUTED_VALUE"""),"T83")</f>
        <v>T83</v>
      </c>
      <c r="C76" t="str">
        <f ca="1">IFERROR(__xludf.DUMMYFUNCTION("""COMPUTED_VALUE"""),"Talor Gooch")</f>
        <v>Talor Gooch</v>
      </c>
      <c r="D76">
        <f ca="1">IFERROR(__xludf.DUMMYFUNCTION("""COMPUTED_VALUE"""),20)</f>
        <v>20</v>
      </c>
      <c r="E76" t="str">
        <f ca="1">IFERROR(__xludf.DUMMYFUNCTION("""COMPUTED_VALUE"""),"8' 2""")</f>
        <v>8' 2"</v>
      </c>
      <c r="F76">
        <f ca="1">IFERROR(__xludf.DUMMYFUNCTION("""COMPUTED_VALUE"""),344.167)</f>
        <v>344.16699999999997</v>
      </c>
      <c r="G76">
        <f ca="1">IFERROR(__xludf.DUMMYFUNCTION("""COMPUTED_VALUE"""),42)</f>
        <v>42</v>
      </c>
      <c r="H76">
        <f ca="1">IFERROR(__xludf.DUMMYFUNCTION("""COMPUTED_VALUE"""),9)</f>
        <v>9</v>
      </c>
    </row>
    <row r="77" spans="1:8" ht="12.75">
      <c r="A77" t="str">
        <f ca="1">IFERROR(__xludf.DUMMYFUNCTION("""COMPUTED_VALUE"""),"T76")</f>
        <v>T76</v>
      </c>
      <c r="B77" t="str">
        <f ca="1">IFERROR(__xludf.DUMMYFUNCTION("""COMPUTED_VALUE"""),"T87")</f>
        <v>T87</v>
      </c>
      <c r="C77" t="str">
        <f ca="1">IFERROR(__xludf.DUMMYFUNCTION("""COMPUTED_VALUE"""),"Si Woo Kim")</f>
        <v>Si Woo Kim</v>
      </c>
      <c r="D77">
        <f ca="1">IFERROR(__xludf.DUMMYFUNCTION("""COMPUTED_VALUE"""),20)</f>
        <v>20</v>
      </c>
      <c r="E77" t="str">
        <f ca="1">IFERROR(__xludf.DUMMYFUNCTION("""COMPUTED_VALUE"""),"8' 3""")</f>
        <v>8' 3"</v>
      </c>
      <c r="F77">
        <f ca="1">IFERROR(__xludf.DUMMYFUNCTION("""COMPUTED_VALUE"""),455.667)</f>
        <v>455.66699999999997</v>
      </c>
      <c r="G77">
        <f ca="1">IFERROR(__xludf.DUMMYFUNCTION("""COMPUTED_VALUE"""),55)</f>
        <v>55</v>
      </c>
      <c r="H77">
        <f ca="1">IFERROR(__xludf.DUMMYFUNCTION("""COMPUTED_VALUE"""),38)</f>
        <v>38</v>
      </c>
    </row>
    <row r="78" spans="1:8" ht="12.75">
      <c r="A78" t="str">
        <f ca="1">IFERROR(__xludf.DUMMYFUNCTION("""COMPUTED_VALUE"""),"T76")</f>
        <v>T76</v>
      </c>
      <c r="B78" t="str">
        <f ca="1">IFERROR(__xludf.DUMMYFUNCTION("""COMPUTED_VALUE"""),"T91")</f>
        <v>T91</v>
      </c>
      <c r="C78" t="str">
        <f ca="1">IFERROR(__xludf.DUMMYFUNCTION("""COMPUTED_VALUE"""),"Jonathan Byrd")</f>
        <v>Jonathan Byrd</v>
      </c>
      <c r="D78">
        <f ca="1">IFERROR(__xludf.DUMMYFUNCTION("""COMPUTED_VALUE"""),14)</f>
        <v>14</v>
      </c>
      <c r="E78" t="str">
        <f ca="1">IFERROR(__xludf.DUMMYFUNCTION("""COMPUTED_VALUE"""),"8' 3""")</f>
        <v>8' 3"</v>
      </c>
      <c r="F78">
        <f ca="1">IFERROR(__xludf.DUMMYFUNCTION("""COMPUTED_VALUE"""),98.5)</f>
        <v>98.5</v>
      </c>
      <c r="G78">
        <f ca="1">IFERROR(__xludf.DUMMYFUNCTION("""COMPUTED_VALUE"""),12)</f>
        <v>12</v>
      </c>
      <c r="H78">
        <f ca="1">IFERROR(__xludf.DUMMYFUNCTION("""COMPUTED_VALUE"""),23)</f>
        <v>23</v>
      </c>
    </row>
    <row r="79" spans="1:8" ht="12.75">
      <c r="A79" t="str">
        <f ca="1">IFERROR(__xludf.DUMMYFUNCTION("""COMPUTED_VALUE"""),"T78")</f>
        <v>T78</v>
      </c>
      <c r="B79" t="str">
        <f ca="1">IFERROR(__xludf.DUMMYFUNCTION("""COMPUTED_VALUE"""),"T123")</f>
        <v>T123</v>
      </c>
      <c r="C79" t="str">
        <f ca="1">IFERROR(__xludf.DUMMYFUNCTION("""COMPUTED_VALUE"""),"Jason Dufner")</f>
        <v>Jason Dufner</v>
      </c>
      <c r="D79">
        <f ca="1">IFERROR(__xludf.DUMMYFUNCTION("""COMPUTED_VALUE"""),14)</f>
        <v>14</v>
      </c>
      <c r="E79" t="str">
        <f ca="1">IFERROR(__xludf.DUMMYFUNCTION("""COMPUTED_VALUE"""),"8' 4""")</f>
        <v>8' 4"</v>
      </c>
      <c r="F79">
        <f ca="1">IFERROR(__xludf.DUMMYFUNCTION("""COMPUTED_VALUE"""),83.167)</f>
        <v>83.167000000000002</v>
      </c>
      <c r="G79">
        <f ca="1">IFERROR(__xludf.DUMMYFUNCTION("""COMPUTED_VALUE"""),10)</f>
        <v>10</v>
      </c>
      <c r="H79">
        <f ca="1">IFERROR(__xludf.DUMMYFUNCTION("""COMPUTED_VALUE"""),166)</f>
        <v>166</v>
      </c>
    </row>
    <row r="80" spans="1:8" ht="12.75">
      <c r="A80" t="str">
        <f ca="1">IFERROR(__xludf.DUMMYFUNCTION("""COMPUTED_VALUE"""),"T78")</f>
        <v>T78</v>
      </c>
      <c r="B80" t="str">
        <f ca="1">IFERROR(__xludf.DUMMYFUNCTION("""COMPUTED_VALUE"""),"T93")</f>
        <v>T93</v>
      </c>
      <c r="C80" t="str">
        <f ca="1">IFERROR(__xludf.DUMMYFUNCTION("""COMPUTED_VALUE"""),"Ryo Ishikawa")</f>
        <v>Ryo Ishikawa</v>
      </c>
      <c r="D80">
        <f ca="1">IFERROR(__xludf.DUMMYFUNCTION("""COMPUTED_VALUE"""),8)</f>
        <v>8</v>
      </c>
      <c r="E80" t="str">
        <f ca="1">IFERROR(__xludf.DUMMYFUNCTION("""COMPUTED_VALUE"""),"8' 4""")</f>
        <v>8' 4"</v>
      </c>
      <c r="F80">
        <f ca="1">IFERROR(__xludf.DUMMYFUNCTION("""COMPUTED_VALUE"""),149.5)</f>
        <v>149.5</v>
      </c>
      <c r="G80">
        <f ca="1">IFERROR(__xludf.DUMMYFUNCTION("""COMPUTED_VALUE"""),18)</f>
        <v>18</v>
      </c>
      <c r="H80">
        <f ca="1">IFERROR(__xludf.DUMMYFUNCTION("""COMPUTED_VALUE"""),81)</f>
        <v>81</v>
      </c>
    </row>
    <row r="81" spans="1:8" ht="12.75">
      <c r="A81" t="str">
        <f ca="1">IFERROR(__xludf.DUMMYFUNCTION("""COMPUTED_VALUE"""),"T78")</f>
        <v>T78</v>
      </c>
      <c r="B81" t="str">
        <f ca="1">IFERROR(__xludf.DUMMYFUNCTION("""COMPUTED_VALUE"""),"T83")</f>
        <v>T83</v>
      </c>
      <c r="C81" t="str">
        <f ca="1">IFERROR(__xludf.DUMMYFUNCTION("""COMPUTED_VALUE"""),"Fabián Gómez")</f>
        <v>Fabián Gómez</v>
      </c>
      <c r="D81">
        <f ca="1">IFERROR(__xludf.DUMMYFUNCTION("""COMPUTED_VALUE"""),16)</f>
        <v>16</v>
      </c>
      <c r="E81" t="str">
        <f ca="1">IFERROR(__xludf.DUMMYFUNCTION("""COMPUTED_VALUE"""),"8' 4""")</f>
        <v>8' 4"</v>
      </c>
      <c r="F81">
        <f ca="1">IFERROR(__xludf.DUMMYFUNCTION("""COMPUTED_VALUE"""),108.417)</f>
        <v>108.417</v>
      </c>
      <c r="G81">
        <f ca="1">IFERROR(__xludf.DUMMYFUNCTION("""COMPUTED_VALUE"""),13)</f>
        <v>13</v>
      </c>
      <c r="H81">
        <f ca="1">IFERROR(__xludf.DUMMYFUNCTION("""COMPUTED_VALUE"""),24)</f>
        <v>24</v>
      </c>
    </row>
    <row r="82" spans="1:8" ht="12.75">
      <c r="A82" t="str">
        <f ca="1">IFERROR(__xludf.DUMMYFUNCTION("""COMPUTED_VALUE"""),"T81")</f>
        <v>T81</v>
      </c>
      <c r="B82" t="str">
        <f ca="1">IFERROR(__xludf.DUMMYFUNCTION("""COMPUTED_VALUE"""),"T27")</f>
        <v>T27</v>
      </c>
      <c r="C82" t="str">
        <f ca="1">IFERROR(__xludf.DUMMYFUNCTION("""COMPUTED_VALUE"""),"Camilo Villegas")</f>
        <v>Camilo Villegas</v>
      </c>
      <c r="D82">
        <f ca="1">IFERROR(__xludf.DUMMYFUNCTION("""COMPUTED_VALUE"""),14)</f>
        <v>14</v>
      </c>
      <c r="E82" t="str">
        <f ca="1">IFERROR(__xludf.DUMMYFUNCTION("""COMPUTED_VALUE"""),"8' 5""")</f>
        <v>8' 5"</v>
      </c>
      <c r="F82">
        <f ca="1">IFERROR(__xludf.DUMMYFUNCTION("""COMPUTED_VALUE"""),160.583)</f>
        <v>160.583</v>
      </c>
      <c r="G82">
        <f ca="1">IFERROR(__xludf.DUMMYFUNCTION("""COMPUTED_VALUE"""),19)</f>
        <v>19</v>
      </c>
      <c r="H82">
        <f ca="1">IFERROR(__xludf.DUMMYFUNCTION("""COMPUTED_VALUE"""),180)</f>
        <v>180</v>
      </c>
    </row>
    <row r="83" spans="1:8" ht="12.75">
      <c r="A83" t="str">
        <f ca="1">IFERROR(__xludf.DUMMYFUNCTION("""COMPUTED_VALUE"""),"T81")</f>
        <v>T81</v>
      </c>
      <c r="B83">
        <f ca="1">IFERROR(__xludf.DUMMYFUNCTION("""COMPUTED_VALUE"""),95)</f>
        <v>95</v>
      </c>
      <c r="C83" t="str">
        <f ca="1">IFERROR(__xludf.DUMMYFUNCTION("""COMPUTED_VALUE"""),"Paul Casey")</f>
        <v>Paul Casey</v>
      </c>
      <c r="D83">
        <f ca="1">IFERROR(__xludf.DUMMYFUNCTION("""COMPUTED_VALUE"""),14)</f>
        <v>14</v>
      </c>
      <c r="E83" t="str">
        <f ca="1">IFERROR(__xludf.DUMMYFUNCTION("""COMPUTED_VALUE"""),"8' 5""")</f>
        <v>8' 5"</v>
      </c>
      <c r="F83">
        <f ca="1">IFERROR(__xludf.DUMMYFUNCTION("""COMPUTED_VALUE"""),337.583)</f>
        <v>337.58300000000003</v>
      </c>
      <c r="G83">
        <f ca="1">IFERROR(__xludf.DUMMYFUNCTION("""COMPUTED_VALUE"""),40)</f>
        <v>40</v>
      </c>
      <c r="H83">
        <f ca="1">IFERROR(__xludf.DUMMYFUNCTION("""COMPUTED_VALUE"""),163)</f>
        <v>163</v>
      </c>
    </row>
    <row r="84" spans="1:8" ht="12.75">
      <c r="A84" t="str">
        <f ca="1">IFERROR(__xludf.DUMMYFUNCTION("""COMPUTED_VALUE"""),"T81")</f>
        <v>T81</v>
      </c>
      <c r="B84" t="str">
        <f ca="1">IFERROR(__xludf.DUMMYFUNCTION("""COMPUTED_VALUE"""),"T105")</f>
        <v>T105</v>
      </c>
      <c r="C84" t="str">
        <f ca="1">IFERROR(__xludf.DUMMYFUNCTION("""COMPUTED_VALUE"""),"Phil Mickelson")</f>
        <v>Phil Mickelson</v>
      </c>
      <c r="D84">
        <f ca="1">IFERROR(__xludf.DUMMYFUNCTION("""COMPUTED_VALUE"""),12)</f>
        <v>12</v>
      </c>
      <c r="E84" t="str">
        <f ca="1">IFERROR(__xludf.DUMMYFUNCTION("""COMPUTED_VALUE"""),"8' 5""")</f>
        <v>8' 5"</v>
      </c>
      <c r="F84">
        <f ca="1">IFERROR(__xludf.DUMMYFUNCTION("""COMPUTED_VALUE"""),235.333)</f>
        <v>235.333</v>
      </c>
      <c r="G84">
        <f ca="1">IFERROR(__xludf.DUMMYFUNCTION("""COMPUTED_VALUE"""),28)</f>
        <v>28</v>
      </c>
      <c r="H84">
        <f ca="1">IFERROR(__xludf.DUMMYFUNCTION("""COMPUTED_VALUE"""),220)</f>
        <v>220</v>
      </c>
    </row>
    <row r="85" spans="1:8" ht="12.75">
      <c r="A85" t="str">
        <f ca="1">IFERROR(__xludf.DUMMYFUNCTION("""COMPUTED_VALUE"""),"T84")</f>
        <v>T84</v>
      </c>
      <c r="B85" t="str">
        <f ca="1">IFERROR(__xludf.DUMMYFUNCTION("""COMPUTED_VALUE"""),"T71")</f>
        <v>T71</v>
      </c>
      <c r="C85" t="str">
        <f ca="1">IFERROR(__xludf.DUMMYFUNCTION("""COMPUTED_VALUE"""),"Luke Donald")</f>
        <v>Luke Donald</v>
      </c>
      <c r="D85">
        <f ca="1">IFERROR(__xludf.DUMMYFUNCTION("""COMPUTED_VALUE"""),14)</f>
        <v>14</v>
      </c>
      <c r="E85" t="str">
        <f ca="1">IFERROR(__xludf.DUMMYFUNCTION("""COMPUTED_VALUE"""),"8' 6""")</f>
        <v>8' 6"</v>
      </c>
      <c r="F85">
        <f ca="1">IFERROR(__xludf.DUMMYFUNCTION("""COMPUTED_VALUE"""),136)</f>
        <v>136</v>
      </c>
      <c r="G85">
        <f ca="1">IFERROR(__xludf.DUMMYFUNCTION("""COMPUTED_VALUE"""),16)</f>
        <v>16</v>
      </c>
      <c r="H85">
        <f ca="1">IFERROR(__xludf.DUMMYFUNCTION("""COMPUTED_VALUE"""),254)</f>
        <v>254</v>
      </c>
    </row>
    <row r="86" spans="1:8" ht="12.75">
      <c r="A86" t="str">
        <f ca="1">IFERROR(__xludf.DUMMYFUNCTION("""COMPUTED_VALUE"""),"T84")</f>
        <v>T84</v>
      </c>
      <c r="B86" t="str">
        <f ca="1">IFERROR(__xludf.DUMMYFUNCTION("""COMPUTED_VALUE"""),"T115")</f>
        <v>T115</v>
      </c>
      <c r="C86" t="str">
        <f ca="1">IFERROR(__xludf.DUMMYFUNCTION("""COMPUTED_VALUE"""),"Charl Schwartzel")</f>
        <v>Charl Schwartzel</v>
      </c>
      <c r="D86">
        <f ca="1">IFERROR(__xludf.DUMMYFUNCTION("""COMPUTED_VALUE"""),12)</f>
        <v>12</v>
      </c>
      <c r="E86" t="str">
        <f ca="1">IFERROR(__xludf.DUMMYFUNCTION("""COMPUTED_VALUE"""),"8' 6""")</f>
        <v>8' 6"</v>
      </c>
      <c r="F86">
        <f ca="1">IFERROR(__xludf.DUMMYFUNCTION("""COMPUTED_VALUE"""),160.833)</f>
        <v>160.833</v>
      </c>
      <c r="G86">
        <f ca="1">IFERROR(__xludf.DUMMYFUNCTION("""COMPUTED_VALUE"""),19)</f>
        <v>19</v>
      </c>
      <c r="H86">
        <f ca="1">IFERROR(__xludf.DUMMYFUNCTION("""COMPUTED_VALUE"""),31)</f>
        <v>31</v>
      </c>
    </row>
    <row r="87" spans="1:8" ht="12.75">
      <c r="A87" t="str">
        <f ca="1">IFERROR(__xludf.DUMMYFUNCTION("""COMPUTED_VALUE"""),"T84")</f>
        <v>T84</v>
      </c>
      <c r="B87" t="str">
        <f ca="1">IFERROR(__xludf.DUMMYFUNCTION("""COMPUTED_VALUE"""),"T96")</f>
        <v>T96</v>
      </c>
      <c r="C87" t="str">
        <f ca="1">IFERROR(__xludf.DUMMYFUNCTION("""COMPUTED_VALUE"""),"Sangmoon Bae")</f>
        <v>Sangmoon Bae</v>
      </c>
      <c r="D87">
        <f ca="1">IFERROR(__xludf.DUMMYFUNCTION("""COMPUTED_VALUE"""),8)</f>
        <v>8</v>
      </c>
      <c r="E87" t="str">
        <f ca="1">IFERROR(__xludf.DUMMYFUNCTION("""COMPUTED_VALUE"""),"8' 6""")</f>
        <v>8' 6"</v>
      </c>
      <c r="F87">
        <f ca="1">IFERROR(__xludf.DUMMYFUNCTION("""COMPUTED_VALUE"""),34.083)</f>
        <v>34.082999999999998</v>
      </c>
      <c r="G87">
        <f ca="1">IFERROR(__xludf.DUMMYFUNCTION("""COMPUTED_VALUE"""),4)</f>
        <v>4</v>
      </c>
      <c r="H87">
        <f ca="1">IFERROR(__xludf.DUMMYFUNCTION("""COMPUTED_VALUE"""),147)</f>
        <v>147</v>
      </c>
    </row>
    <row r="88" spans="1:8" ht="12.75">
      <c r="A88" t="str">
        <f ca="1">IFERROR(__xludf.DUMMYFUNCTION("""COMPUTED_VALUE"""),"T84")</f>
        <v>T84</v>
      </c>
      <c r="B88" t="str">
        <f ca="1">IFERROR(__xludf.DUMMYFUNCTION("""COMPUTED_VALUE"""),"T96")</f>
        <v>T96</v>
      </c>
      <c r="C88" t="str">
        <f ca="1">IFERROR(__xludf.DUMMYFUNCTION("""COMPUTED_VALUE"""),"Joseph Bramlett")</f>
        <v>Joseph Bramlett</v>
      </c>
      <c r="D88">
        <f ca="1">IFERROR(__xludf.DUMMYFUNCTION("""COMPUTED_VALUE"""),18)</f>
        <v>18</v>
      </c>
      <c r="E88" t="str">
        <f ca="1">IFERROR(__xludf.DUMMYFUNCTION("""COMPUTED_VALUE"""),"8' 6""")</f>
        <v>8' 6"</v>
      </c>
      <c r="F88">
        <f ca="1">IFERROR(__xludf.DUMMYFUNCTION("""COMPUTED_VALUE"""),84.667)</f>
        <v>84.667000000000002</v>
      </c>
      <c r="G88">
        <f ca="1">IFERROR(__xludf.DUMMYFUNCTION("""COMPUTED_VALUE"""),10)</f>
        <v>10</v>
      </c>
      <c r="H88">
        <f ca="1">IFERROR(__xludf.DUMMYFUNCTION("""COMPUTED_VALUE"""),127)</f>
        <v>127</v>
      </c>
    </row>
    <row r="89" spans="1:8" ht="12.75">
      <c r="A89" t="str">
        <f ca="1">IFERROR(__xludf.DUMMYFUNCTION("""COMPUTED_VALUE"""),"T84")</f>
        <v>T84</v>
      </c>
      <c r="B89" t="str">
        <f ca="1">IFERROR(__xludf.DUMMYFUNCTION("""COMPUTED_VALUE"""),"T83")</f>
        <v>T83</v>
      </c>
      <c r="C89" t="str">
        <f ca="1">IFERROR(__xludf.DUMMYFUNCTION("""COMPUTED_VALUE"""),"Hudson Swafford")</f>
        <v>Hudson Swafford</v>
      </c>
      <c r="D89">
        <f ca="1">IFERROR(__xludf.DUMMYFUNCTION("""COMPUTED_VALUE"""),18)</f>
        <v>18</v>
      </c>
      <c r="E89" t="str">
        <f ca="1">IFERROR(__xludf.DUMMYFUNCTION("""COMPUTED_VALUE"""),"8' 6""")</f>
        <v>8' 6"</v>
      </c>
      <c r="F89">
        <f ca="1">IFERROR(__xludf.DUMMYFUNCTION("""COMPUTED_VALUE"""),118.5)</f>
        <v>118.5</v>
      </c>
      <c r="G89">
        <f ca="1">IFERROR(__xludf.DUMMYFUNCTION("""COMPUTED_VALUE"""),14)</f>
        <v>14</v>
      </c>
      <c r="H89">
        <f ca="1">IFERROR(__xludf.DUMMYFUNCTION("""COMPUTED_VALUE"""),160)</f>
        <v>160</v>
      </c>
    </row>
    <row r="90" spans="1:8" ht="12.75">
      <c r="A90" t="str">
        <f ca="1">IFERROR(__xludf.DUMMYFUNCTION("""COMPUTED_VALUE"""),"T84")</f>
        <v>T84</v>
      </c>
      <c r="B90" t="str">
        <f ca="1">IFERROR(__xludf.DUMMYFUNCTION("""COMPUTED_VALUE"""),"T96")</f>
        <v>T96</v>
      </c>
      <c r="C90" t="str">
        <f ca="1">IFERROR(__xludf.DUMMYFUNCTION("""COMPUTED_VALUE"""),"Luke Schniederjans")</f>
        <v>Luke Schniederjans</v>
      </c>
      <c r="D90">
        <f ca="1">IFERROR(__xludf.DUMMYFUNCTION("""COMPUTED_VALUE"""),4)</f>
        <v>4</v>
      </c>
      <c r="E90" t="str">
        <f ca="1">IFERROR(__xludf.DUMMYFUNCTION("""COMPUTED_VALUE"""),"8' 6""")</f>
        <v>8' 6"</v>
      </c>
      <c r="F90">
        <f ca="1">IFERROR(__xludf.DUMMYFUNCTION("""COMPUTED_VALUE"""),59.333)</f>
        <v>59.332999999999998</v>
      </c>
      <c r="G90">
        <f ca="1">IFERROR(__xludf.DUMMYFUNCTION("""COMPUTED_VALUE"""),7)</f>
        <v>7</v>
      </c>
      <c r="H90">
        <f ca="1">IFERROR(__xludf.DUMMYFUNCTION("""COMPUTED_VALUE"""),209)</f>
        <v>209</v>
      </c>
    </row>
    <row r="91" spans="1:8" ht="12.75">
      <c r="A91" t="str">
        <f ca="1">IFERROR(__xludf.DUMMYFUNCTION("""COMPUTED_VALUE"""),"T90")</f>
        <v>T90</v>
      </c>
      <c r="B91" t="str">
        <f ca="1">IFERROR(__xludf.DUMMYFUNCTION("""COMPUTED_VALUE"""),"T101")</f>
        <v>T101</v>
      </c>
      <c r="C91" t="str">
        <f ca="1">IFERROR(__xludf.DUMMYFUNCTION("""COMPUTED_VALUE"""),"Joohyung Kim")</f>
        <v>Joohyung Kim</v>
      </c>
      <c r="D91">
        <f ca="1">IFERROR(__xludf.DUMMYFUNCTION("""COMPUTED_VALUE"""),12)</f>
        <v>12</v>
      </c>
      <c r="E91" t="str">
        <f ca="1">IFERROR(__xludf.DUMMYFUNCTION("""COMPUTED_VALUE"""),"8' 7""")</f>
        <v>8' 7"</v>
      </c>
      <c r="F91">
        <f ca="1">IFERROR(__xludf.DUMMYFUNCTION("""COMPUTED_VALUE"""),162.417)</f>
        <v>162.417</v>
      </c>
      <c r="G91">
        <f ca="1">IFERROR(__xludf.DUMMYFUNCTION("""COMPUTED_VALUE"""),19)</f>
        <v>19</v>
      </c>
      <c r="H91">
        <f ca="1">IFERROR(__xludf.DUMMYFUNCTION("""COMPUTED_VALUE"""),151)</f>
        <v>151</v>
      </c>
    </row>
    <row r="92" spans="1:8" ht="12.75">
      <c r="A92" t="str">
        <f ca="1">IFERROR(__xludf.DUMMYFUNCTION("""COMPUTED_VALUE"""),"T90")</f>
        <v>T90</v>
      </c>
      <c r="B92" t="str">
        <f ca="1">IFERROR(__xludf.DUMMYFUNCTION("""COMPUTED_VALUE"""),"T96")</f>
        <v>T96</v>
      </c>
      <c r="C92" t="str">
        <f ca="1">IFERROR(__xludf.DUMMYFUNCTION("""COMPUTED_VALUE"""),"Denny McCarthy")</f>
        <v>Denny McCarthy</v>
      </c>
      <c r="D92">
        <f ca="1">IFERROR(__xludf.DUMMYFUNCTION("""COMPUTED_VALUE"""),22)</f>
        <v>22</v>
      </c>
      <c r="E92" t="str">
        <f ca="1">IFERROR(__xludf.DUMMYFUNCTION("""COMPUTED_VALUE"""),"8' 7""")</f>
        <v>8' 7"</v>
      </c>
      <c r="F92">
        <f ca="1">IFERROR(__xludf.DUMMYFUNCTION("""COMPUTED_VALUE"""),215.167)</f>
        <v>215.167</v>
      </c>
      <c r="G92">
        <f ca="1">IFERROR(__xludf.DUMMYFUNCTION("""COMPUTED_VALUE"""),25)</f>
        <v>25</v>
      </c>
      <c r="H92">
        <f ca="1">IFERROR(__xludf.DUMMYFUNCTION("""COMPUTED_VALUE"""),42)</f>
        <v>42</v>
      </c>
    </row>
    <row r="93" spans="1:8" ht="12.75">
      <c r="A93" t="str">
        <f ca="1">IFERROR(__xludf.DUMMYFUNCTION("""COMPUTED_VALUE"""),"T90")</f>
        <v>T90</v>
      </c>
      <c r="B93" t="str">
        <f ca="1">IFERROR(__xludf.DUMMYFUNCTION("""COMPUTED_VALUE"""),"T101")</f>
        <v>T101</v>
      </c>
      <c r="C93" t="str">
        <f ca="1">IFERROR(__xludf.DUMMYFUNCTION("""COMPUTED_VALUE"""),"Patrick Reed")</f>
        <v>Patrick Reed</v>
      </c>
      <c r="D93">
        <f ca="1">IFERROR(__xludf.DUMMYFUNCTION("""COMPUTED_VALUE"""),8)</f>
        <v>8</v>
      </c>
      <c r="E93" t="str">
        <f ca="1">IFERROR(__xludf.DUMMYFUNCTION("""COMPUTED_VALUE"""),"8' 7""")</f>
        <v>8' 7"</v>
      </c>
      <c r="F93">
        <f ca="1">IFERROR(__xludf.DUMMYFUNCTION("""COMPUTED_VALUE"""),224.083)</f>
        <v>224.083</v>
      </c>
      <c r="G93">
        <f ca="1">IFERROR(__xludf.DUMMYFUNCTION("""COMPUTED_VALUE"""),26)</f>
        <v>26</v>
      </c>
      <c r="H93">
        <f ca="1">IFERROR(__xludf.DUMMYFUNCTION("""COMPUTED_VALUE"""),210)</f>
        <v>210</v>
      </c>
    </row>
    <row r="94" spans="1:8" ht="12.75">
      <c r="A94" t="str">
        <f ca="1">IFERROR(__xludf.DUMMYFUNCTION("""COMPUTED_VALUE"""),"T90")</f>
        <v>T90</v>
      </c>
      <c r="B94" t="str">
        <f ca="1">IFERROR(__xludf.DUMMYFUNCTION("""COMPUTED_VALUE"""),"T54")</f>
        <v>T54</v>
      </c>
      <c r="C94" t="str">
        <f ca="1">IFERROR(__xludf.DUMMYFUNCTION("""COMPUTED_VALUE"""),"Brian Stuard")</f>
        <v>Brian Stuard</v>
      </c>
      <c r="D94">
        <f ca="1">IFERROR(__xludf.DUMMYFUNCTION("""COMPUTED_VALUE"""),18)</f>
        <v>18</v>
      </c>
      <c r="E94" t="str">
        <f ca="1">IFERROR(__xludf.DUMMYFUNCTION("""COMPUTED_VALUE"""),"8' 7""")</f>
        <v>8' 7"</v>
      </c>
      <c r="F94">
        <f ca="1">IFERROR(__xludf.DUMMYFUNCTION("""COMPUTED_VALUE"""),154.25)</f>
        <v>154.25</v>
      </c>
      <c r="G94">
        <f ca="1">IFERROR(__xludf.DUMMYFUNCTION("""COMPUTED_VALUE"""),18)</f>
        <v>18</v>
      </c>
      <c r="H94">
        <f ca="1">IFERROR(__xludf.DUMMYFUNCTION("""COMPUTED_VALUE"""),60)</f>
        <v>60</v>
      </c>
    </row>
    <row r="95" spans="1:8" ht="12.75">
      <c r="A95" t="str">
        <f ca="1">IFERROR(__xludf.DUMMYFUNCTION("""COMPUTED_VALUE"""),"T94")</f>
        <v>T94</v>
      </c>
      <c r="B95">
        <f ca="1">IFERROR(__xludf.DUMMYFUNCTION("""COMPUTED_VALUE"""),76)</f>
        <v>76</v>
      </c>
      <c r="C95" t="str">
        <f ca="1">IFERROR(__xludf.DUMMYFUNCTION("""COMPUTED_VALUE"""),"Bronson Burgoon")</f>
        <v>Bronson Burgoon</v>
      </c>
      <c r="D95">
        <f ca="1">IFERROR(__xludf.DUMMYFUNCTION("""COMPUTED_VALUE"""),10)</f>
        <v>10</v>
      </c>
      <c r="E95" t="str">
        <f ca="1">IFERROR(__xludf.DUMMYFUNCTION("""COMPUTED_VALUE"""),"8' 8""")</f>
        <v>8' 8"</v>
      </c>
      <c r="F95">
        <f ca="1">IFERROR(__xludf.DUMMYFUNCTION("""COMPUTED_VALUE"""),60.917)</f>
        <v>60.917000000000002</v>
      </c>
      <c r="G95">
        <f ca="1">IFERROR(__xludf.DUMMYFUNCTION("""COMPUTED_VALUE"""),7)</f>
        <v>7</v>
      </c>
      <c r="H95">
        <f ca="1">IFERROR(__xludf.DUMMYFUNCTION("""COMPUTED_VALUE"""),232)</f>
        <v>232</v>
      </c>
    </row>
    <row r="96" spans="1:8" ht="12.75">
      <c r="A96" t="str">
        <f ca="1">IFERROR(__xludf.DUMMYFUNCTION("""COMPUTED_VALUE"""),"T94")</f>
        <v>T94</v>
      </c>
      <c r="B96" t="str">
        <f ca="1">IFERROR(__xludf.DUMMYFUNCTION("""COMPUTED_VALUE"""),"T105")</f>
        <v>T105</v>
      </c>
      <c r="C96" t="str">
        <f ca="1">IFERROR(__xludf.DUMMYFUNCTION("""COMPUTED_VALUE"""),"Renato Paratore")</f>
        <v>Renato Paratore</v>
      </c>
      <c r="D96">
        <f ca="1">IFERROR(__xludf.DUMMYFUNCTION("""COMPUTED_VALUE"""),4)</f>
        <v>4</v>
      </c>
      <c r="E96" t="str">
        <f ca="1">IFERROR(__xludf.DUMMYFUNCTION("""COMPUTED_VALUE"""),"8' 8""")</f>
        <v>8' 8"</v>
      </c>
      <c r="F96">
        <f ca="1">IFERROR(__xludf.DUMMYFUNCTION("""COMPUTED_VALUE"""),86.667)</f>
        <v>86.667000000000002</v>
      </c>
      <c r="G96">
        <f ca="1">IFERROR(__xludf.DUMMYFUNCTION("""COMPUTED_VALUE"""),10)</f>
        <v>10</v>
      </c>
      <c r="H96">
        <f ca="1">IFERROR(__xludf.DUMMYFUNCTION("""COMPUTED_VALUE"""),122)</f>
        <v>122</v>
      </c>
    </row>
    <row r="97" spans="1:8" ht="12.75">
      <c r="A97" t="str">
        <f ca="1">IFERROR(__xludf.DUMMYFUNCTION("""COMPUTED_VALUE"""),"T96")</f>
        <v>T96</v>
      </c>
      <c r="B97" t="str">
        <f ca="1">IFERROR(__xludf.DUMMYFUNCTION("""COMPUTED_VALUE"""),"T108")</f>
        <v>T108</v>
      </c>
      <c r="C97" t="str">
        <f ca="1">IFERROR(__xludf.DUMMYFUNCTION("""COMPUTED_VALUE"""),"J.J. Spaun")</f>
        <v>J.J. Spaun</v>
      </c>
      <c r="D97">
        <f ca="1">IFERROR(__xludf.DUMMYFUNCTION("""COMPUTED_VALUE"""),10)</f>
        <v>10</v>
      </c>
      <c r="E97" t="str">
        <f ca="1">IFERROR(__xludf.DUMMYFUNCTION("""COMPUTED_VALUE"""),"8' 9""")</f>
        <v>8' 9"</v>
      </c>
      <c r="F97">
        <f ca="1">IFERROR(__xludf.DUMMYFUNCTION("""COMPUTED_VALUE"""),139.917)</f>
        <v>139.917</v>
      </c>
      <c r="G97">
        <f ca="1">IFERROR(__xludf.DUMMYFUNCTION("""COMPUTED_VALUE"""),16)</f>
        <v>16</v>
      </c>
      <c r="H97">
        <f ca="1">IFERROR(__xludf.DUMMYFUNCTION("""COMPUTED_VALUE"""),47)</f>
        <v>47</v>
      </c>
    </row>
    <row r="98" spans="1:8" ht="12.75">
      <c r="A98" t="str">
        <f ca="1">IFERROR(__xludf.DUMMYFUNCTION("""COMPUTED_VALUE"""),"T96")</f>
        <v>T96</v>
      </c>
      <c r="B98" t="str">
        <f ca="1">IFERROR(__xludf.DUMMYFUNCTION("""COMPUTED_VALUE"""),"T108")</f>
        <v>T108</v>
      </c>
      <c r="C98" t="str">
        <f ca="1">IFERROR(__xludf.DUMMYFUNCTION("""COMPUTED_VALUE"""),"Daniel Berger")</f>
        <v>Daniel Berger</v>
      </c>
      <c r="D98">
        <f ca="1">IFERROR(__xludf.DUMMYFUNCTION("""COMPUTED_VALUE"""),12)</f>
        <v>12</v>
      </c>
      <c r="E98" t="str">
        <f ca="1">IFERROR(__xludf.DUMMYFUNCTION("""COMPUTED_VALUE"""),"8' 9""")</f>
        <v>8' 9"</v>
      </c>
      <c r="F98">
        <f ca="1">IFERROR(__xludf.DUMMYFUNCTION("""COMPUTED_VALUE"""),369)</f>
        <v>369</v>
      </c>
      <c r="G98">
        <f ca="1">IFERROR(__xludf.DUMMYFUNCTION("""COMPUTED_VALUE"""),42)</f>
        <v>42</v>
      </c>
      <c r="H98">
        <f ca="1">IFERROR(__xludf.DUMMYFUNCTION("""COMPUTED_VALUE"""),138)</f>
        <v>138</v>
      </c>
    </row>
    <row r="99" spans="1:8" ht="12.75">
      <c r="A99" t="str">
        <f ca="1">IFERROR(__xludf.DUMMYFUNCTION("""COMPUTED_VALUE"""),"T96")</f>
        <v>T96</v>
      </c>
      <c r="B99" t="str">
        <f ca="1">IFERROR(__xludf.DUMMYFUNCTION("""COMPUTED_VALUE"""),"T108")</f>
        <v>T108</v>
      </c>
      <c r="C99" t="str">
        <f ca="1">IFERROR(__xludf.DUMMYFUNCTION("""COMPUTED_VALUE"""),"Bo Hoag")</f>
        <v>Bo Hoag</v>
      </c>
      <c r="D99">
        <f ca="1">IFERROR(__xludf.DUMMYFUNCTION("""COMPUTED_VALUE"""),14)</f>
        <v>14</v>
      </c>
      <c r="E99" t="str">
        <f ca="1">IFERROR(__xludf.DUMMYFUNCTION("""COMPUTED_VALUE"""),"8' 9""")</f>
        <v>8' 9"</v>
      </c>
      <c r="F99">
        <f ca="1">IFERROR(__xludf.DUMMYFUNCTION("""COMPUTED_VALUE"""),96)</f>
        <v>96</v>
      </c>
      <c r="G99">
        <f ca="1">IFERROR(__xludf.DUMMYFUNCTION("""COMPUTED_VALUE"""),11)</f>
        <v>11</v>
      </c>
      <c r="H99">
        <f ca="1">IFERROR(__xludf.DUMMYFUNCTION("""COMPUTED_VALUE"""),83)</f>
        <v>83</v>
      </c>
    </row>
    <row r="100" spans="1:8" ht="12.75">
      <c r="A100" t="str">
        <f ca="1">IFERROR(__xludf.DUMMYFUNCTION("""COMPUTED_VALUE"""),"T96")</f>
        <v>T96</v>
      </c>
      <c r="B100" t="str">
        <f ca="1">IFERROR(__xludf.DUMMYFUNCTION("""COMPUTED_VALUE"""),"T105")</f>
        <v>T105</v>
      </c>
      <c r="C100" t="str">
        <f ca="1">IFERROR(__xludf.DUMMYFUNCTION("""COMPUTED_VALUE"""),"Tyler Duncan")</f>
        <v>Tyler Duncan</v>
      </c>
      <c r="D100">
        <f ca="1">IFERROR(__xludf.DUMMYFUNCTION("""COMPUTED_VALUE"""),18)</f>
        <v>18</v>
      </c>
      <c r="E100" t="str">
        <f ca="1">IFERROR(__xludf.DUMMYFUNCTION("""COMPUTED_VALUE"""),"8' 9""")</f>
        <v>8' 9"</v>
      </c>
      <c r="F100">
        <f ca="1">IFERROR(__xludf.DUMMYFUNCTION("""COMPUTED_VALUE"""),454.167)</f>
        <v>454.16699999999997</v>
      </c>
      <c r="G100">
        <f ca="1">IFERROR(__xludf.DUMMYFUNCTION("""COMPUTED_VALUE"""),52)</f>
        <v>52</v>
      </c>
      <c r="H100">
        <f ca="1">IFERROR(__xludf.DUMMYFUNCTION("""COMPUTED_VALUE"""),94)</f>
        <v>94</v>
      </c>
    </row>
    <row r="101" spans="1:8" ht="12.75">
      <c r="A101" t="str">
        <f ca="1">IFERROR(__xludf.DUMMYFUNCTION("""COMPUTED_VALUE"""),"T96")</f>
        <v>T96</v>
      </c>
      <c r="B101" t="str">
        <f ca="1">IFERROR(__xludf.DUMMYFUNCTION("""COMPUTED_VALUE"""),"T133")</f>
        <v>T133</v>
      </c>
      <c r="C101" t="str">
        <f ca="1">IFERROR(__xludf.DUMMYFUNCTION("""COMPUTED_VALUE"""),"Xinjun Zhang")</f>
        <v>Xinjun Zhang</v>
      </c>
      <c r="D101">
        <f ca="1">IFERROR(__xludf.DUMMYFUNCTION("""COMPUTED_VALUE"""),14)</f>
        <v>14</v>
      </c>
      <c r="E101" t="str">
        <f ca="1">IFERROR(__xludf.DUMMYFUNCTION("""COMPUTED_VALUE"""),"8' 9""")</f>
        <v>8' 9"</v>
      </c>
      <c r="F101">
        <f ca="1">IFERROR(__xludf.DUMMYFUNCTION("""COMPUTED_VALUE"""),166.667)</f>
        <v>166.667</v>
      </c>
      <c r="G101">
        <f ca="1">IFERROR(__xludf.DUMMYFUNCTION("""COMPUTED_VALUE"""),19)</f>
        <v>19</v>
      </c>
      <c r="H101">
        <f ca="1">IFERROR(__xludf.DUMMYFUNCTION("""COMPUTED_VALUE"""),31)</f>
        <v>31</v>
      </c>
    </row>
    <row r="102" spans="1:8" ht="12.75">
      <c r="A102" t="str">
        <f ca="1">IFERROR(__xludf.DUMMYFUNCTION("""COMPUTED_VALUE"""),"T96")</f>
        <v>T96</v>
      </c>
      <c r="B102" t="str">
        <f ca="1">IFERROR(__xludf.DUMMYFUNCTION("""COMPUTED_VALUE"""),"T108")</f>
        <v>T108</v>
      </c>
      <c r="C102" t="str">
        <f ca="1">IFERROR(__xludf.DUMMYFUNCTION("""COMPUTED_VALUE"""),"Bubba Watson")</f>
        <v>Bubba Watson</v>
      </c>
      <c r="D102">
        <f ca="1">IFERROR(__xludf.DUMMYFUNCTION("""COMPUTED_VALUE"""),12)</f>
        <v>12</v>
      </c>
      <c r="E102" t="str">
        <f ca="1">IFERROR(__xludf.DUMMYFUNCTION("""COMPUTED_VALUE"""),"8' 9""")</f>
        <v>8' 9"</v>
      </c>
      <c r="F102">
        <f ca="1">IFERROR(__xludf.DUMMYFUNCTION("""COMPUTED_VALUE"""),339.75)</f>
        <v>339.75</v>
      </c>
      <c r="G102">
        <f ca="1">IFERROR(__xludf.DUMMYFUNCTION("""COMPUTED_VALUE"""),39)</f>
        <v>39</v>
      </c>
      <c r="H102">
        <f ca="1">IFERROR(__xludf.DUMMYFUNCTION("""COMPUTED_VALUE"""),131)</f>
        <v>131</v>
      </c>
    </row>
    <row r="103" spans="1:8" ht="12.75">
      <c r="A103" t="str">
        <f ca="1">IFERROR(__xludf.DUMMYFUNCTION("""COMPUTED_VALUE"""),"T96")</f>
        <v>T96</v>
      </c>
      <c r="B103" t="str">
        <f ca="1">IFERROR(__xludf.DUMMYFUNCTION("""COMPUTED_VALUE"""),"T101")</f>
        <v>T101</v>
      </c>
      <c r="C103" t="str">
        <f ca="1">IFERROR(__xludf.DUMMYFUNCTION("""COMPUTED_VALUE"""),"Brandt Snedeker")</f>
        <v>Brandt Snedeker</v>
      </c>
      <c r="D103">
        <f ca="1">IFERROR(__xludf.DUMMYFUNCTION("""COMPUTED_VALUE"""),16)</f>
        <v>16</v>
      </c>
      <c r="E103" t="str">
        <f ca="1">IFERROR(__xludf.DUMMYFUNCTION("""COMPUTED_VALUE"""),"8' 9""")</f>
        <v>8' 9"</v>
      </c>
      <c r="F103">
        <f ca="1">IFERROR(__xludf.DUMMYFUNCTION("""COMPUTED_VALUE"""),323.083)</f>
        <v>323.08300000000003</v>
      </c>
      <c r="G103">
        <f ca="1">IFERROR(__xludf.DUMMYFUNCTION("""COMPUTED_VALUE"""),37)</f>
        <v>37</v>
      </c>
      <c r="H103">
        <f ca="1">IFERROR(__xludf.DUMMYFUNCTION("""COMPUTED_VALUE"""),191)</f>
        <v>191</v>
      </c>
    </row>
    <row r="104" spans="1:8" ht="12.75">
      <c r="A104" t="str">
        <f ca="1">IFERROR(__xludf.DUMMYFUNCTION("""COMPUTED_VALUE"""),"T103")</f>
        <v>T103</v>
      </c>
      <c r="B104" t="str">
        <f ca="1">IFERROR(__xludf.DUMMYFUNCTION("""COMPUTED_VALUE"""),"T115")</f>
        <v>T115</v>
      </c>
      <c r="C104" t="str">
        <f ca="1">IFERROR(__xludf.DUMMYFUNCTION("""COMPUTED_VALUE"""),"Brian Gay")</f>
        <v>Brian Gay</v>
      </c>
      <c r="D104">
        <f ca="1">IFERROR(__xludf.DUMMYFUNCTION("""COMPUTED_VALUE"""),8)</f>
        <v>8</v>
      </c>
      <c r="E104" t="str">
        <f ca="1">IFERROR(__xludf.DUMMYFUNCTION("""COMPUTED_VALUE"""),"8' 10""")</f>
        <v>8' 10"</v>
      </c>
      <c r="F104">
        <f ca="1">IFERROR(__xludf.DUMMYFUNCTION("""COMPUTED_VALUE"""),35.333)</f>
        <v>35.332999999999998</v>
      </c>
      <c r="G104">
        <f ca="1">IFERROR(__xludf.DUMMYFUNCTION("""COMPUTED_VALUE"""),4)</f>
        <v>4</v>
      </c>
      <c r="H104">
        <f ca="1">IFERROR(__xludf.DUMMYFUNCTION("""COMPUTED_VALUE"""),181)</f>
        <v>181</v>
      </c>
    </row>
    <row r="105" spans="1:8" ht="12.75">
      <c r="A105" t="str">
        <f ca="1">IFERROR(__xludf.DUMMYFUNCTION("""COMPUTED_VALUE"""),"T103")</f>
        <v>T103</v>
      </c>
      <c r="B105" t="str">
        <f ca="1">IFERROR(__xludf.DUMMYFUNCTION("""COMPUTED_VALUE"""),"T115")</f>
        <v>T115</v>
      </c>
      <c r="C105" t="str">
        <f ca="1">IFERROR(__xludf.DUMMYFUNCTION("""COMPUTED_VALUE"""),"Shugo Imahira")</f>
        <v>Shugo Imahira</v>
      </c>
      <c r="D105">
        <f ca="1">IFERROR(__xludf.DUMMYFUNCTION("""COMPUTED_VALUE"""),8)</f>
        <v>8</v>
      </c>
      <c r="E105" t="str">
        <f ca="1">IFERROR(__xludf.DUMMYFUNCTION("""COMPUTED_VALUE"""),"8' 10""")</f>
        <v>8' 10"</v>
      </c>
      <c r="F105">
        <f ca="1">IFERROR(__xludf.DUMMYFUNCTION("""COMPUTED_VALUE"""),202.667)</f>
        <v>202.667</v>
      </c>
      <c r="G105">
        <f ca="1">IFERROR(__xludf.DUMMYFUNCTION("""COMPUTED_VALUE"""),23)</f>
        <v>23</v>
      </c>
      <c r="H105">
        <f ca="1">IFERROR(__xludf.DUMMYFUNCTION("""COMPUTED_VALUE"""),274)</f>
        <v>274</v>
      </c>
    </row>
    <row r="106" spans="1:8" ht="12.75">
      <c r="A106" t="str">
        <f ca="1">IFERROR(__xludf.DUMMYFUNCTION("""COMPUTED_VALUE"""),"T103")</f>
        <v>T103</v>
      </c>
      <c r="B106" t="str">
        <f ca="1">IFERROR(__xludf.DUMMYFUNCTION("""COMPUTED_VALUE"""),"T115")</f>
        <v>T115</v>
      </c>
      <c r="C106" t="str">
        <f ca="1">IFERROR(__xludf.DUMMYFUNCTION("""COMPUTED_VALUE"""),"Sebastián Muñoz")</f>
        <v>Sebastián Muñoz</v>
      </c>
      <c r="D106">
        <f ca="1">IFERROR(__xludf.DUMMYFUNCTION("""COMPUTED_VALUE"""),20)</f>
        <v>20</v>
      </c>
      <c r="E106" t="str">
        <f ca="1">IFERROR(__xludf.DUMMYFUNCTION("""COMPUTED_VALUE"""),"8' 10""")</f>
        <v>8' 10"</v>
      </c>
      <c r="F106">
        <f ca="1">IFERROR(__xludf.DUMMYFUNCTION("""COMPUTED_VALUE"""),416.75)</f>
        <v>416.75</v>
      </c>
      <c r="G106">
        <f ca="1">IFERROR(__xludf.DUMMYFUNCTION("""COMPUTED_VALUE"""),47)</f>
        <v>47</v>
      </c>
      <c r="H106">
        <f ca="1">IFERROR(__xludf.DUMMYFUNCTION("""COMPUTED_VALUE"""),110)</f>
        <v>110</v>
      </c>
    </row>
    <row r="107" spans="1:8" ht="12.75">
      <c r="A107" t="str">
        <f ca="1">IFERROR(__xludf.DUMMYFUNCTION("""COMPUTED_VALUE"""),"T103")</f>
        <v>T103</v>
      </c>
      <c r="B107" t="str">
        <f ca="1">IFERROR(__xludf.DUMMYFUNCTION("""COMPUTED_VALUE"""),"T115")</f>
        <v>T115</v>
      </c>
      <c r="C107" t="str">
        <f ca="1">IFERROR(__xludf.DUMMYFUNCTION("""COMPUTED_VALUE"""),"MJ Daffue")</f>
        <v>MJ Daffue</v>
      </c>
      <c r="D107">
        <f ca="1">IFERROR(__xludf.DUMMYFUNCTION("""COMPUTED_VALUE"""),10)</f>
        <v>10</v>
      </c>
      <c r="E107" t="str">
        <f ca="1">IFERROR(__xludf.DUMMYFUNCTION("""COMPUTED_VALUE"""),"8' 10""")</f>
        <v>8' 10"</v>
      </c>
      <c r="F107">
        <f ca="1">IFERROR(__xludf.DUMMYFUNCTION("""COMPUTED_VALUE"""),167.083)</f>
        <v>167.083</v>
      </c>
      <c r="G107">
        <f ca="1">IFERROR(__xludf.DUMMYFUNCTION("""COMPUTED_VALUE"""),19)</f>
        <v>19</v>
      </c>
      <c r="H107">
        <f ca="1">IFERROR(__xludf.DUMMYFUNCTION("""COMPUTED_VALUE"""),142)</f>
        <v>142</v>
      </c>
    </row>
    <row r="108" spans="1:8" ht="12.75">
      <c r="A108" t="str">
        <f ca="1">IFERROR(__xludf.DUMMYFUNCTION("""COMPUTED_VALUE"""),"T107")</f>
        <v>T107</v>
      </c>
      <c r="B108" t="str">
        <f ca="1">IFERROR(__xludf.DUMMYFUNCTION("""COMPUTED_VALUE"""),"T115")</f>
        <v>T115</v>
      </c>
      <c r="C108" t="str">
        <f ca="1">IFERROR(__xludf.DUMMYFUNCTION("""COMPUTED_VALUE"""),"Jordan Spieth")</f>
        <v>Jordan Spieth</v>
      </c>
      <c r="D108">
        <f ca="1">IFERROR(__xludf.DUMMYFUNCTION("""COMPUTED_VALUE"""),14)</f>
        <v>14</v>
      </c>
      <c r="E108" t="str">
        <f ca="1">IFERROR(__xludf.DUMMYFUNCTION("""COMPUTED_VALUE"""),"8' 11""")</f>
        <v>8' 11"</v>
      </c>
      <c r="F108">
        <f ca="1">IFERROR(__xludf.DUMMYFUNCTION("""COMPUTED_VALUE"""),409.75)</f>
        <v>409.75</v>
      </c>
      <c r="G108">
        <f ca="1">IFERROR(__xludf.DUMMYFUNCTION("""COMPUTED_VALUE"""),46)</f>
        <v>46</v>
      </c>
      <c r="H108">
        <f ca="1">IFERROR(__xludf.DUMMYFUNCTION("""COMPUTED_VALUE"""),177)</f>
        <v>177</v>
      </c>
    </row>
    <row r="109" spans="1:8" ht="12.75">
      <c r="A109" t="str">
        <f ca="1">IFERROR(__xludf.DUMMYFUNCTION("""COMPUTED_VALUE"""),"T107")</f>
        <v>T107</v>
      </c>
      <c r="B109" t="str">
        <f ca="1">IFERROR(__xludf.DUMMYFUNCTION("""COMPUTED_VALUE"""),"T101")</f>
        <v>T101</v>
      </c>
      <c r="C109" t="str">
        <f ca="1">IFERROR(__xludf.DUMMYFUNCTION("""COMPUTED_VALUE"""),"Scottie Scheffler")</f>
        <v>Scottie Scheffler</v>
      </c>
      <c r="D109">
        <f ca="1">IFERROR(__xludf.DUMMYFUNCTION("""COMPUTED_VALUE"""),18)</f>
        <v>18</v>
      </c>
      <c r="E109" t="str">
        <f ca="1">IFERROR(__xludf.DUMMYFUNCTION("""COMPUTED_VALUE"""),"8' 11""")</f>
        <v>8' 11"</v>
      </c>
      <c r="F109">
        <f ca="1">IFERROR(__xludf.DUMMYFUNCTION("""COMPUTED_VALUE"""),401.75)</f>
        <v>401.75</v>
      </c>
      <c r="G109">
        <f ca="1">IFERROR(__xludf.DUMMYFUNCTION("""COMPUTED_VALUE"""),45)</f>
        <v>45</v>
      </c>
      <c r="H109">
        <f ca="1">IFERROR(__xludf.DUMMYFUNCTION("""COMPUTED_VALUE"""),168)</f>
        <v>168</v>
      </c>
    </row>
    <row r="110" spans="1:8" ht="12.75">
      <c r="A110" t="str">
        <f ca="1">IFERROR(__xludf.DUMMYFUNCTION("""COMPUTED_VALUE"""),"T107")</f>
        <v>T107</v>
      </c>
      <c r="B110" t="str">
        <f ca="1">IFERROR(__xludf.DUMMYFUNCTION("""COMPUTED_VALUE"""),"T123")</f>
        <v>T123</v>
      </c>
      <c r="C110" t="str">
        <f ca="1">IFERROR(__xludf.DUMMYFUNCTION("""COMPUTED_VALUE"""),"Kyle Stanley")</f>
        <v>Kyle Stanley</v>
      </c>
      <c r="D110">
        <f ca="1">IFERROR(__xludf.DUMMYFUNCTION("""COMPUTED_VALUE"""),16)</f>
        <v>16</v>
      </c>
      <c r="E110" t="str">
        <f ca="1">IFERROR(__xludf.DUMMYFUNCTION("""COMPUTED_VALUE"""),"8' 11""")</f>
        <v>8' 11"</v>
      </c>
      <c r="F110">
        <f ca="1">IFERROR(__xludf.DUMMYFUNCTION("""COMPUTED_VALUE"""),115.667)</f>
        <v>115.667</v>
      </c>
      <c r="G110">
        <f ca="1">IFERROR(__xludf.DUMMYFUNCTION("""COMPUTED_VALUE"""),13)</f>
        <v>13</v>
      </c>
      <c r="H110">
        <f ca="1">IFERROR(__xludf.DUMMYFUNCTION("""COMPUTED_VALUE"""),122)</f>
        <v>122</v>
      </c>
    </row>
    <row r="111" spans="1:8" ht="12.75">
      <c r="A111" t="str">
        <f ca="1">IFERROR(__xludf.DUMMYFUNCTION("""COMPUTED_VALUE"""),"T107")</f>
        <v>T107</v>
      </c>
      <c r="B111" t="str">
        <f ca="1">IFERROR(__xludf.DUMMYFUNCTION("""COMPUTED_VALUE"""),"T123")</f>
        <v>T123</v>
      </c>
      <c r="C111" t="str">
        <f ca="1">IFERROR(__xludf.DUMMYFUNCTION("""COMPUTED_VALUE"""),"J.B. Holmes")</f>
        <v>J.B. Holmes</v>
      </c>
      <c r="D111">
        <f ca="1">IFERROR(__xludf.DUMMYFUNCTION("""COMPUTED_VALUE"""),10)</f>
        <v>10</v>
      </c>
      <c r="E111" t="str">
        <f ca="1">IFERROR(__xludf.DUMMYFUNCTION("""COMPUTED_VALUE"""),"8' 11""")</f>
        <v>8' 11"</v>
      </c>
      <c r="F111">
        <f ca="1">IFERROR(__xludf.DUMMYFUNCTION("""COMPUTED_VALUE"""),240.667)</f>
        <v>240.667</v>
      </c>
      <c r="G111">
        <f ca="1">IFERROR(__xludf.DUMMYFUNCTION("""COMPUTED_VALUE"""),27)</f>
        <v>27</v>
      </c>
      <c r="H111">
        <f ca="1">IFERROR(__xludf.DUMMYFUNCTION("""COMPUTED_VALUE"""),272)</f>
        <v>272</v>
      </c>
    </row>
    <row r="112" spans="1:8" ht="12.75">
      <c r="A112" t="str">
        <f ca="1">IFERROR(__xludf.DUMMYFUNCTION("""COMPUTED_VALUE"""),"T107")</f>
        <v>T107</v>
      </c>
      <c r="B112" t="str">
        <f ca="1">IFERROR(__xludf.DUMMYFUNCTION("""COMPUTED_VALUE"""),"T123")</f>
        <v>T123</v>
      </c>
      <c r="C112" t="str">
        <f ca="1">IFERROR(__xludf.DUMMYFUNCTION("""COMPUTED_VALUE"""),"Kevin Na")</f>
        <v>Kevin Na</v>
      </c>
      <c r="D112">
        <f ca="1">IFERROR(__xludf.DUMMYFUNCTION("""COMPUTED_VALUE"""),14)</f>
        <v>14</v>
      </c>
      <c r="E112" t="str">
        <f ca="1">IFERROR(__xludf.DUMMYFUNCTION("""COMPUTED_VALUE"""),"8' 11""")</f>
        <v>8' 11"</v>
      </c>
      <c r="F112">
        <f ca="1">IFERROR(__xludf.DUMMYFUNCTION("""COMPUTED_VALUE"""),383.167)</f>
        <v>383.16699999999997</v>
      </c>
      <c r="G112">
        <f ca="1">IFERROR(__xludf.DUMMYFUNCTION("""COMPUTED_VALUE"""),43)</f>
        <v>43</v>
      </c>
      <c r="H112">
        <f ca="1">IFERROR(__xludf.DUMMYFUNCTION("""COMPUTED_VALUE"""),197)</f>
        <v>197</v>
      </c>
    </row>
    <row r="113" spans="1:8" ht="12.75">
      <c r="A113" t="str">
        <f ca="1">IFERROR(__xludf.DUMMYFUNCTION("""COMPUTED_VALUE"""),"T107")</f>
        <v>T107</v>
      </c>
      <c r="B113" t="str">
        <f ca="1">IFERROR(__xludf.DUMMYFUNCTION("""COMPUTED_VALUE"""),"T140")</f>
        <v>T140</v>
      </c>
      <c r="C113" t="str">
        <f ca="1">IFERROR(__xludf.DUMMYFUNCTION("""COMPUTED_VALUE"""),"Matt Jones")</f>
        <v>Matt Jones</v>
      </c>
      <c r="D113">
        <f ca="1">IFERROR(__xludf.DUMMYFUNCTION("""COMPUTED_VALUE"""),20)</f>
        <v>20</v>
      </c>
      <c r="E113" t="str">
        <f ca="1">IFERROR(__xludf.DUMMYFUNCTION("""COMPUTED_VALUE"""),"8' 11""")</f>
        <v>8' 11"</v>
      </c>
      <c r="F113">
        <f ca="1">IFERROR(__xludf.DUMMYFUNCTION("""COMPUTED_VALUE"""),223.417)</f>
        <v>223.417</v>
      </c>
      <c r="G113">
        <f ca="1">IFERROR(__xludf.DUMMYFUNCTION("""COMPUTED_VALUE"""),25)</f>
        <v>25</v>
      </c>
      <c r="H113">
        <f ca="1">IFERROR(__xludf.DUMMYFUNCTION("""COMPUTED_VALUE"""),30)</f>
        <v>30</v>
      </c>
    </row>
    <row r="114" spans="1:8" ht="12.75">
      <c r="A114" t="str">
        <f ca="1">IFERROR(__xludf.DUMMYFUNCTION("""COMPUTED_VALUE"""),"T113")</f>
        <v>T113</v>
      </c>
      <c r="B114" t="str">
        <f ca="1">IFERROR(__xludf.DUMMYFUNCTION("""COMPUTED_VALUE"""),"T77")</f>
        <v>T77</v>
      </c>
      <c r="C114" t="str">
        <f ca="1">IFERROR(__xludf.DUMMYFUNCTION("""COMPUTED_VALUE"""),"Luke List")</f>
        <v>Luke List</v>
      </c>
      <c r="D114">
        <f ca="1">IFERROR(__xludf.DUMMYFUNCTION("""COMPUTED_VALUE"""),18)</f>
        <v>18</v>
      </c>
      <c r="E114" t="str">
        <f ca="1">IFERROR(__xludf.DUMMYFUNCTION("""COMPUTED_VALUE"""),"9' 0""")</f>
        <v>9' 0"</v>
      </c>
      <c r="F114">
        <f ca="1">IFERROR(__xludf.DUMMYFUNCTION("""COMPUTED_VALUE"""),189.417)</f>
        <v>189.417</v>
      </c>
      <c r="G114">
        <f ca="1">IFERROR(__xludf.DUMMYFUNCTION("""COMPUTED_VALUE"""),21)</f>
        <v>21</v>
      </c>
      <c r="H114">
        <f ca="1">IFERROR(__xludf.DUMMYFUNCTION("""COMPUTED_VALUE"""),126)</f>
        <v>126</v>
      </c>
    </row>
    <row r="115" spans="1:8" ht="12.75">
      <c r="A115" t="str">
        <f ca="1">IFERROR(__xludf.DUMMYFUNCTION("""COMPUTED_VALUE"""),"T113")</f>
        <v>T113</v>
      </c>
      <c r="B115" t="str">
        <f ca="1">IFERROR(__xludf.DUMMYFUNCTION("""COMPUTED_VALUE"""),"T115")</f>
        <v>T115</v>
      </c>
      <c r="C115" t="str">
        <f ca="1">IFERROR(__xludf.DUMMYFUNCTION("""COMPUTED_VALUE"""),"Ryan Armour")</f>
        <v>Ryan Armour</v>
      </c>
      <c r="D115">
        <f ca="1">IFERROR(__xludf.DUMMYFUNCTION("""COMPUTED_VALUE"""),16)</f>
        <v>16</v>
      </c>
      <c r="E115" t="str">
        <f ca="1">IFERROR(__xludf.DUMMYFUNCTION("""COMPUTED_VALUE"""),"9' 0""")</f>
        <v>9' 0"</v>
      </c>
      <c r="F115">
        <f ca="1">IFERROR(__xludf.DUMMYFUNCTION("""COMPUTED_VALUE"""),162.333)</f>
        <v>162.333</v>
      </c>
      <c r="G115">
        <f ca="1">IFERROR(__xludf.DUMMYFUNCTION("""COMPUTED_VALUE"""),18)</f>
        <v>18</v>
      </c>
      <c r="H115">
        <f ca="1">IFERROR(__xludf.DUMMYFUNCTION("""COMPUTED_VALUE"""),118)</f>
        <v>118</v>
      </c>
    </row>
    <row r="116" spans="1:8" ht="12.75">
      <c r="A116" t="str">
        <f ca="1">IFERROR(__xludf.DUMMYFUNCTION("""COMPUTED_VALUE"""),"T113")</f>
        <v>T113</v>
      </c>
      <c r="B116" t="str">
        <f ca="1">IFERROR(__xludf.DUMMYFUNCTION("""COMPUTED_VALUE"""),"T130")</f>
        <v>T130</v>
      </c>
      <c r="C116" t="str">
        <f ca="1">IFERROR(__xludf.DUMMYFUNCTION("""COMPUTED_VALUE"""),"Brendan Steele")</f>
        <v>Brendan Steele</v>
      </c>
      <c r="D116">
        <f ca="1">IFERROR(__xludf.DUMMYFUNCTION("""COMPUTED_VALUE"""),14)</f>
        <v>14</v>
      </c>
      <c r="E116" t="str">
        <f ca="1">IFERROR(__xludf.DUMMYFUNCTION("""COMPUTED_VALUE"""),"9' 0""")</f>
        <v>9' 0"</v>
      </c>
      <c r="F116">
        <f ca="1">IFERROR(__xludf.DUMMYFUNCTION("""COMPUTED_VALUE"""),395.5)</f>
        <v>395.5</v>
      </c>
      <c r="G116">
        <f ca="1">IFERROR(__xludf.DUMMYFUNCTION("""COMPUTED_VALUE"""),44)</f>
        <v>44</v>
      </c>
      <c r="H116">
        <f ca="1">IFERROR(__xludf.DUMMYFUNCTION("""COMPUTED_VALUE"""),157)</f>
        <v>157</v>
      </c>
    </row>
    <row r="117" spans="1:8" ht="12.75">
      <c r="A117" t="str">
        <f ca="1">IFERROR(__xludf.DUMMYFUNCTION("""COMPUTED_VALUE"""),"T113")</f>
        <v>T113</v>
      </c>
      <c r="B117" t="str">
        <f ca="1">IFERROR(__xludf.DUMMYFUNCTION("""COMPUTED_VALUE"""),"T130")</f>
        <v>T130</v>
      </c>
      <c r="C117" t="str">
        <f ca="1">IFERROR(__xludf.DUMMYFUNCTION("""COMPUTED_VALUE"""),"Joaquin Niemann")</f>
        <v>Joaquin Niemann</v>
      </c>
      <c r="D117">
        <f ca="1">IFERROR(__xludf.DUMMYFUNCTION("""COMPUTED_VALUE"""),16)</f>
        <v>16</v>
      </c>
      <c r="E117" t="str">
        <f ca="1">IFERROR(__xludf.DUMMYFUNCTION("""COMPUTED_VALUE"""),"9' 0""")</f>
        <v>9' 0"</v>
      </c>
      <c r="F117">
        <f ca="1">IFERROR(__xludf.DUMMYFUNCTION("""COMPUTED_VALUE"""),314.25)</f>
        <v>314.25</v>
      </c>
      <c r="G117">
        <f ca="1">IFERROR(__xludf.DUMMYFUNCTION("""COMPUTED_VALUE"""),35)</f>
        <v>35</v>
      </c>
      <c r="H117">
        <f ca="1">IFERROR(__xludf.DUMMYFUNCTION("""COMPUTED_VALUE"""),59)</f>
        <v>59</v>
      </c>
    </row>
    <row r="118" spans="1:8" ht="12.75">
      <c r="A118" t="str">
        <f ca="1">IFERROR(__xludf.DUMMYFUNCTION("""COMPUTED_VALUE"""),"T113")</f>
        <v>T113</v>
      </c>
      <c r="B118" t="str">
        <f ca="1">IFERROR(__xludf.DUMMYFUNCTION("""COMPUTED_VALUE"""),"T130")</f>
        <v>T130</v>
      </c>
      <c r="C118" t="str">
        <f ca="1">IFERROR(__xludf.DUMMYFUNCTION("""COMPUTED_VALUE"""),"Taylor Pendrith")</f>
        <v>Taylor Pendrith</v>
      </c>
      <c r="D118">
        <f ca="1">IFERROR(__xludf.DUMMYFUNCTION("""COMPUTED_VALUE"""),4)</f>
        <v>4</v>
      </c>
      <c r="E118" t="str">
        <f ca="1">IFERROR(__xludf.DUMMYFUNCTION("""COMPUTED_VALUE"""),"9' 0""")</f>
        <v>9' 0"</v>
      </c>
      <c r="F118">
        <f ca="1">IFERROR(__xludf.DUMMYFUNCTION("""COMPUTED_VALUE"""),71.75)</f>
        <v>71.75</v>
      </c>
      <c r="G118">
        <f ca="1">IFERROR(__xludf.DUMMYFUNCTION("""COMPUTED_VALUE"""),8)</f>
        <v>8</v>
      </c>
      <c r="H118">
        <f ca="1">IFERROR(__xludf.DUMMYFUNCTION("""COMPUTED_VALUE"""),235)</f>
        <v>235</v>
      </c>
    </row>
    <row r="119" spans="1:8" ht="12.75">
      <c r="A119" t="str">
        <f ca="1">IFERROR(__xludf.DUMMYFUNCTION("""COMPUTED_VALUE"""),"T118")</f>
        <v>T118</v>
      </c>
      <c r="B119" t="str">
        <f ca="1">IFERROR(__xludf.DUMMYFUNCTION("""COMPUTED_VALUE"""),"T108")</f>
        <v>T108</v>
      </c>
      <c r="C119" t="str">
        <f ca="1">IFERROR(__xludf.DUMMYFUNCTION("""COMPUTED_VALUE"""),"Viktor Hovland")</f>
        <v>Viktor Hovland</v>
      </c>
      <c r="D119">
        <f ca="1">IFERROR(__xludf.DUMMYFUNCTION("""COMPUTED_VALUE"""),16)</f>
        <v>16</v>
      </c>
      <c r="E119" t="str">
        <f ca="1">IFERROR(__xludf.DUMMYFUNCTION("""COMPUTED_VALUE"""),"9' 1""")</f>
        <v>9' 1"</v>
      </c>
      <c r="F119">
        <f ca="1">IFERROR(__xludf.DUMMYFUNCTION("""COMPUTED_VALUE"""),445.417)</f>
        <v>445.41699999999997</v>
      </c>
      <c r="G119">
        <f ca="1">IFERROR(__xludf.DUMMYFUNCTION("""COMPUTED_VALUE"""),49)</f>
        <v>49</v>
      </c>
      <c r="H119">
        <f ca="1">IFERROR(__xludf.DUMMYFUNCTION("""COMPUTED_VALUE"""),183)</f>
        <v>183</v>
      </c>
    </row>
    <row r="120" spans="1:8" ht="12.75">
      <c r="A120" t="str">
        <f ca="1">IFERROR(__xludf.DUMMYFUNCTION("""COMPUTED_VALUE"""),"T118")</f>
        <v>T118</v>
      </c>
      <c r="B120" t="str">
        <f ca="1">IFERROR(__xludf.DUMMYFUNCTION("""COMPUTED_VALUE"""),"T133")</f>
        <v>T133</v>
      </c>
      <c r="C120" t="str">
        <f ca="1">IFERROR(__xludf.DUMMYFUNCTION("""COMPUTED_VALUE"""),"Bryson DeChambeau")</f>
        <v>Bryson DeChambeau</v>
      </c>
      <c r="D120">
        <f ca="1">IFERROR(__xludf.DUMMYFUNCTION("""COMPUTED_VALUE"""),8)</f>
        <v>8</v>
      </c>
      <c r="E120" t="str">
        <f ca="1">IFERROR(__xludf.DUMMYFUNCTION("""COMPUTED_VALUE"""),"9' 1""")</f>
        <v>9' 1"</v>
      </c>
      <c r="F120">
        <f ca="1">IFERROR(__xludf.DUMMYFUNCTION("""COMPUTED_VALUE"""),162.75)</f>
        <v>162.75</v>
      </c>
      <c r="G120">
        <f ca="1">IFERROR(__xludf.DUMMYFUNCTION("""COMPUTED_VALUE"""),18)</f>
        <v>18</v>
      </c>
      <c r="H120">
        <f ca="1">IFERROR(__xludf.DUMMYFUNCTION("""COMPUTED_VALUE"""),92)</f>
        <v>92</v>
      </c>
    </row>
    <row r="121" spans="1:8" ht="12.75">
      <c r="A121" t="str">
        <f ca="1">IFERROR(__xludf.DUMMYFUNCTION("""COMPUTED_VALUE"""),"T118")</f>
        <v>T118</v>
      </c>
      <c r="B121" t="str">
        <f ca="1">IFERROR(__xludf.DUMMYFUNCTION("""COMPUTED_VALUE"""),"T133")</f>
        <v>T133</v>
      </c>
      <c r="C121" t="str">
        <f ca="1">IFERROR(__xludf.DUMMYFUNCTION("""COMPUTED_VALUE"""),"Kelly Kraft")</f>
        <v>Kelly Kraft</v>
      </c>
      <c r="D121">
        <f ca="1">IFERROR(__xludf.DUMMYFUNCTION("""COMPUTED_VALUE"""),14)</f>
        <v>14</v>
      </c>
      <c r="E121" t="str">
        <f ca="1">IFERROR(__xludf.DUMMYFUNCTION("""COMPUTED_VALUE"""),"9' 1""")</f>
        <v>9' 1"</v>
      </c>
      <c r="F121">
        <f ca="1">IFERROR(__xludf.DUMMYFUNCTION("""COMPUTED_VALUE"""),118)</f>
        <v>118</v>
      </c>
      <c r="G121">
        <f ca="1">IFERROR(__xludf.DUMMYFUNCTION("""COMPUTED_VALUE"""),13)</f>
        <v>13</v>
      </c>
      <c r="H121">
        <f ca="1">IFERROR(__xludf.DUMMYFUNCTION("""COMPUTED_VALUE"""),201)</f>
        <v>201</v>
      </c>
    </row>
    <row r="122" spans="1:8" ht="12.75">
      <c r="A122" t="str">
        <f ca="1">IFERROR(__xludf.DUMMYFUNCTION("""COMPUTED_VALUE"""),"T118")</f>
        <v>T118</v>
      </c>
      <c r="B122" t="str">
        <f ca="1">IFERROR(__xludf.DUMMYFUNCTION("""COMPUTED_VALUE"""),"T96")</f>
        <v>T96</v>
      </c>
      <c r="C122" t="str">
        <f ca="1">IFERROR(__xludf.DUMMYFUNCTION("""COMPUTED_VALUE"""),"Jamie Lovemark")</f>
        <v>Jamie Lovemark</v>
      </c>
      <c r="D122">
        <f ca="1">IFERROR(__xludf.DUMMYFUNCTION("""COMPUTED_VALUE"""),18)</f>
        <v>18</v>
      </c>
      <c r="E122" t="str">
        <f ca="1">IFERROR(__xludf.DUMMYFUNCTION("""COMPUTED_VALUE"""),"9' 1""")</f>
        <v>9' 1"</v>
      </c>
      <c r="F122">
        <f ca="1">IFERROR(__xludf.DUMMYFUNCTION("""COMPUTED_VALUE"""),217.167)</f>
        <v>217.167</v>
      </c>
      <c r="G122">
        <f ca="1">IFERROR(__xludf.DUMMYFUNCTION("""COMPUTED_VALUE"""),24)</f>
        <v>24</v>
      </c>
      <c r="H122">
        <f ca="1">IFERROR(__xludf.DUMMYFUNCTION("""COMPUTED_VALUE"""),114)</f>
        <v>114</v>
      </c>
    </row>
    <row r="123" spans="1:8" ht="12.75">
      <c r="A123" t="str">
        <f ca="1">IFERROR(__xludf.DUMMYFUNCTION("""COMPUTED_VALUE"""),"T118")</f>
        <v>T118</v>
      </c>
      <c r="B123" t="str">
        <f ca="1">IFERROR(__xludf.DUMMYFUNCTION("""COMPUTED_VALUE"""),"T140")</f>
        <v>T140</v>
      </c>
      <c r="C123" t="str">
        <f ca="1">IFERROR(__xludf.DUMMYFUNCTION("""COMPUTED_VALUE"""),"Dylan Frittelli")</f>
        <v>Dylan Frittelli</v>
      </c>
      <c r="D123">
        <f ca="1">IFERROR(__xludf.DUMMYFUNCTION("""COMPUTED_VALUE"""),16)</f>
        <v>16</v>
      </c>
      <c r="E123" t="str">
        <f ca="1">IFERROR(__xludf.DUMMYFUNCTION("""COMPUTED_VALUE"""),"9' 1""")</f>
        <v>9' 1"</v>
      </c>
      <c r="F123">
        <f ca="1">IFERROR(__xludf.DUMMYFUNCTION("""COMPUTED_VALUE"""),382)</f>
        <v>382</v>
      </c>
      <c r="G123">
        <f ca="1">IFERROR(__xludf.DUMMYFUNCTION("""COMPUTED_VALUE"""),42)</f>
        <v>42</v>
      </c>
      <c r="H123">
        <f ca="1">IFERROR(__xludf.DUMMYFUNCTION("""COMPUTED_VALUE"""),72)</f>
        <v>72</v>
      </c>
    </row>
    <row r="124" spans="1:8" ht="12.75">
      <c r="A124" t="str">
        <f ca="1">IFERROR(__xludf.DUMMYFUNCTION("""COMPUTED_VALUE"""),"T123")</f>
        <v>T123</v>
      </c>
      <c r="B124" t="str">
        <f ca="1">IFERROR(__xludf.DUMMYFUNCTION("""COMPUTED_VALUE"""),"T137")</f>
        <v>T137</v>
      </c>
      <c r="C124" t="str">
        <f ca="1">IFERROR(__xludf.DUMMYFUNCTION("""COMPUTED_VALUE"""),"Peter Uihlein")</f>
        <v>Peter Uihlein</v>
      </c>
      <c r="D124">
        <f ca="1">IFERROR(__xludf.DUMMYFUNCTION("""COMPUTED_VALUE"""),8)</f>
        <v>8</v>
      </c>
      <c r="E124" t="str">
        <f ca="1">IFERROR(__xludf.DUMMYFUNCTION("""COMPUTED_VALUE"""),"9' 2""")</f>
        <v>9' 2"</v>
      </c>
      <c r="F124">
        <f ca="1">IFERROR(__xludf.DUMMYFUNCTION("""COMPUTED_VALUE"""),82.75)</f>
        <v>82.75</v>
      </c>
      <c r="G124">
        <f ca="1">IFERROR(__xludf.DUMMYFUNCTION("""COMPUTED_VALUE"""),9)</f>
        <v>9</v>
      </c>
      <c r="H124">
        <f ca="1">IFERROR(__xludf.DUMMYFUNCTION("""COMPUTED_VALUE"""),258)</f>
        <v>258</v>
      </c>
    </row>
    <row r="125" spans="1:8" ht="12.75">
      <c r="A125" t="str">
        <f ca="1">IFERROR(__xludf.DUMMYFUNCTION("""COMPUTED_VALUE"""),"T123")</f>
        <v>T123</v>
      </c>
      <c r="B125" t="str">
        <f ca="1">IFERROR(__xludf.DUMMYFUNCTION("""COMPUTED_VALUE"""),"T137")</f>
        <v>T137</v>
      </c>
      <c r="C125" t="str">
        <f ca="1">IFERROR(__xludf.DUMMYFUNCTION("""COMPUTED_VALUE"""),"Gary Woodland")</f>
        <v>Gary Woodland</v>
      </c>
      <c r="D125">
        <f ca="1">IFERROR(__xludf.DUMMYFUNCTION("""COMPUTED_VALUE"""),6)</f>
        <v>6</v>
      </c>
      <c r="E125" t="str">
        <f ca="1">IFERROR(__xludf.DUMMYFUNCTION("""COMPUTED_VALUE"""),"9' 2""")</f>
        <v>9' 2"</v>
      </c>
      <c r="F125">
        <f ca="1">IFERROR(__xludf.DUMMYFUNCTION("""COMPUTED_VALUE"""),202.25)</f>
        <v>202.25</v>
      </c>
      <c r="G125">
        <f ca="1">IFERROR(__xludf.DUMMYFUNCTION("""COMPUTED_VALUE"""),22)</f>
        <v>22</v>
      </c>
      <c r="H125">
        <f ca="1">IFERROR(__xludf.DUMMYFUNCTION("""COMPUTED_VALUE"""),278)</f>
        <v>278</v>
      </c>
    </row>
    <row r="126" spans="1:8" ht="12.75">
      <c r="A126" t="str">
        <f ca="1">IFERROR(__xludf.DUMMYFUNCTION("""COMPUTED_VALUE"""),"T123")</f>
        <v>T123</v>
      </c>
      <c r="B126" t="str">
        <f ca="1">IFERROR(__xludf.DUMMYFUNCTION("""COMPUTED_VALUE"""),"T137")</f>
        <v>T137</v>
      </c>
      <c r="C126" t="str">
        <f ca="1">IFERROR(__xludf.DUMMYFUNCTION("""COMPUTED_VALUE"""),"Alex Cejka")</f>
        <v>Alex Cejka</v>
      </c>
      <c r="D126">
        <f ca="1">IFERROR(__xludf.DUMMYFUNCTION("""COMPUTED_VALUE"""),6)</f>
        <v>6</v>
      </c>
      <c r="E126" t="str">
        <f ca="1">IFERROR(__xludf.DUMMYFUNCTION("""COMPUTED_VALUE"""),"9' 2""")</f>
        <v>9' 2"</v>
      </c>
      <c r="F126">
        <f ca="1">IFERROR(__xludf.DUMMYFUNCTION("""COMPUTED_VALUE"""),55.083)</f>
        <v>55.082999999999998</v>
      </c>
      <c r="G126">
        <f ca="1">IFERROR(__xludf.DUMMYFUNCTION("""COMPUTED_VALUE"""),6)</f>
        <v>6</v>
      </c>
      <c r="H126">
        <f ca="1">IFERROR(__xludf.DUMMYFUNCTION("""COMPUTED_VALUE"""),112)</f>
        <v>112</v>
      </c>
    </row>
    <row r="127" spans="1:8" ht="12.75">
      <c r="A127" t="str">
        <f ca="1">IFERROR(__xludf.DUMMYFUNCTION("""COMPUTED_VALUE"""),"T123")</f>
        <v>T123</v>
      </c>
      <c r="B127" t="str">
        <f ca="1">IFERROR(__xludf.DUMMYFUNCTION("""COMPUTED_VALUE"""),"T108")</f>
        <v>T108</v>
      </c>
      <c r="C127" t="str">
        <f ca="1">IFERROR(__xludf.DUMMYFUNCTION("""COMPUTED_VALUE"""),"Aaron Wise")</f>
        <v>Aaron Wise</v>
      </c>
      <c r="D127">
        <f ca="1">IFERROR(__xludf.DUMMYFUNCTION("""COMPUTED_VALUE"""),16)</f>
        <v>16</v>
      </c>
      <c r="E127" t="str">
        <f ca="1">IFERROR(__xludf.DUMMYFUNCTION("""COMPUTED_VALUE"""),"9' 2""")</f>
        <v>9' 2"</v>
      </c>
      <c r="F127">
        <f ca="1">IFERROR(__xludf.DUMMYFUNCTION("""COMPUTED_VALUE"""),200.917)</f>
        <v>200.917</v>
      </c>
      <c r="G127">
        <f ca="1">IFERROR(__xludf.DUMMYFUNCTION("""COMPUTED_VALUE"""),22)</f>
        <v>22</v>
      </c>
      <c r="H127">
        <f ca="1">IFERROR(__xludf.DUMMYFUNCTION("""COMPUTED_VALUE"""),82)</f>
        <v>82</v>
      </c>
    </row>
    <row r="128" spans="1:8" ht="12.75">
      <c r="A128" t="str">
        <f ca="1">IFERROR(__xludf.DUMMYFUNCTION("""COMPUTED_VALUE"""),"T127")</f>
        <v>T127</v>
      </c>
      <c r="B128" t="str">
        <f ca="1">IFERROR(__xludf.DUMMYFUNCTION("""COMPUTED_VALUE"""),"T123")</f>
        <v>T123</v>
      </c>
      <c r="C128" t="str">
        <f ca="1">IFERROR(__xludf.DUMMYFUNCTION("""COMPUTED_VALUE"""),"Robby Shelton")</f>
        <v>Robby Shelton</v>
      </c>
      <c r="D128">
        <f ca="1">IFERROR(__xludf.DUMMYFUNCTION("""COMPUTED_VALUE"""),14)</f>
        <v>14</v>
      </c>
      <c r="E128" t="str">
        <f ca="1">IFERROR(__xludf.DUMMYFUNCTION("""COMPUTED_VALUE"""),"9' 3""")</f>
        <v>9' 3"</v>
      </c>
      <c r="F128">
        <f ca="1">IFERROR(__xludf.DUMMYFUNCTION("""COMPUTED_VALUE"""),378.833)</f>
        <v>378.83300000000003</v>
      </c>
      <c r="G128">
        <f ca="1">IFERROR(__xludf.DUMMYFUNCTION("""COMPUTED_VALUE"""),41)</f>
        <v>41</v>
      </c>
      <c r="H128">
        <f ca="1">IFERROR(__xludf.DUMMYFUNCTION("""COMPUTED_VALUE"""),46)</f>
        <v>46</v>
      </c>
    </row>
    <row r="129" spans="1:8" ht="12.75">
      <c r="A129" t="str">
        <f ca="1">IFERROR(__xludf.DUMMYFUNCTION("""COMPUTED_VALUE"""),"T127")</f>
        <v>T127</v>
      </c>
      <c r="B129" t="str">
        <f ca="1">IFERROR(__xludf.DUMMYFUNCTION("""COMPUTED_VALUE"""),"T56")</f>
        <v>T56</v>
      </c>
      <c r="C129" t="str">
        <f ca="1">IFERROR(__xludf.DUMMYFUNCTION("""COMPUTED_VALUE"""),"Michael Kim")</f>
        <v>Michael Kim</v>
      </c>
      <c r="D129">
        <f ca="1">IFERROR(__xludf.DUMMYFUNCTION("""COMPUTED_VALUE"""),12)</f>
        <v>12</v>
      </c>
      <c r="E129" t="str">
        <f ca="1">IFERROR(__xludf.DUMMYFUNCTION("""COMPUTED_VALUE"""),"9' 3""")</f>
        <v>9' 3"</v>
      </c>
      <c r="F129">
        <f ca="1">IFERROR(__xludf.DUMMYFUNCTION("""COMPUTED_VALUE"""),120.667)</f>
        <v>120.667</v>
      </c>
      <c r="G129">
        <f ca="1">IFERROR(__xludf.DUMMYFUNCTION("""COMPUTED_VALUE"""),13)</f>
        <v>13</v>
      </c>
      <c r="H129">
        <f ca="1">IFERROR(__xludf.DUMMYFUNCTION("""COMPUTED_VALUE"""),137)</f>
        <v>137</v>
      </c>
    </row>
    <row r="130" spans="1:8" ht="12.75">
      <c r="A130" t="str">
        <f ca="1">IFERROR(__xludf.DUMMYFUNCTION("""COMPUTED_VALUE"""),"T127")</f>
        <v>T127</v>
      </c>
      <c r="B130" t="str">
        <f ca="1">IFERROR(__xludf.DUMMYFUNCTION("""COMPUTED_VALUE"""),"T140")</f>
        <v>T140</v>
      </c>
      <c r="C130" t="str">
        <f ca="1">IFERROR(__xludf.DUMMYFUNCTION("""COMPUTED_VALUE"""),"Justin Thomas")</f>
        <v>Justin Thomas</v>
      </c>
      <c r="D130">
        <f ca="1">IFERROR(__xludf.DUMMYFUNCTION("""COMPUTED_VALUE"""),12)</f>
        <v>12</v>
      </c>
      <c r="E130" t="str">
        <f ca="1">IFERROR(__xludf.DUMMYFUNCTION("""COMPUTED_VALUE"""),"9' 3""")</f>
        <v>9' 3"</v>
      </c>
      <c r="F130">
        <f ca="1">IFERROR(__xludf.DUMMYFUNCTION("""COMPUTED_VALUE"""),359.5)</f>
        <v>359.5</v>
      </c>
      <c r="G130">
        <f ca="1">IFERROR(__xludf.DUMMYFUNCTION("""COMPUTED_VALUE"""),39)</f>
        <v>39</v>
      </c>
      <c r="H130">
        <f ca="1">IFERROR(__xludf.DUMMYFUNCTION("""COMPUTED_VALUE"""),79)</f>
        <v>79</v>
      </c>
    </row>
    <row r="131" spans="1:8" ht="12.75">
      <c r="A131" t="str">
        <f ca="1">IFERROR(__xludf.DUMMYFUNCTION("""COMPUTED_VALUE"""),"T127")</f>
        <v>T127</v>
      </c>
      <c r="B131" t="str">
        <f ca="1">IFERROR(__xludf.DUMMYFUNCTION("""COMPUTED_VALUE"""),"T123")</f>
        <v>T123</v>
      </c>
      <c r="C131" t="str">
        <f ca="1">IFERROR(__xludf.DUMMYFUNCTION("""COMPUTED_VALUE"""),"Andrew Putnam")</f>
        <v>Andrew Putnam</v>
      </c>
      <c r="D131">
        <f ca="1">IFERROR(__xludf.DUMMYFUNCTION("""COMPUTED_VALUE"""),19)</f>
        <v>19</v>
      </c>
      <c r="E131" t="str">
        <f ca="1">IFERROR(__xludf.DUMMYFUNCTION("""COMPUTED_VALUE"""),"9' 3""")</f>
        <v>9' 3"</v>
      </c>
      <c r="F131">
        <f ca="1">IFERROR(__xludf.DUMMYFUNCTION("""COMPUTED_VALUE"""),230.667)</f>
        <v>230.667</v>
      </c>
      <c r="G131">
        <f ca="1">IFERROR(__xludf.DUMMYFUNCTION("""COMPUTED_VALUE"""),25)</f>
        <v>25</v>
      </c>
      <c r="H131">
        <f ca="1">IFERROR(__xludf.DUMMYFUNCTION("""COMPUTED_VALUE"""),65)</f>
        <v>65</v>
      </c>
    </row>
    <row r="132" spans="1:8" ht="12.75">
      <c r="A132" t="str">
        <f ca="1">IFERROR(__xludf.DUMMYFUNCTION("""COMPUTED_VALUE"""),"T127")</f>
        <v>T127</v>
      </c>
      <c r="B132" t="str">
        <f ca="1">IFERROR(__xludf.DUMMYFUNCTION("""COMPUTED_VALUE"""),"T115")</f>
        <v>T115</v>
      </c>
      <c r="C132" t="str">
        <f ca="1">IFERROR(__xludf.DUMMYFUNCTION("""COMPUTED_VALUE"""),"Satoshi Kodaira")</f>
        <v>Satoshi Kodaira</v>
      </c>
      <c r="D132">
        <f ca="1">IFERROR(__xludf.DUMMYFUNCTION("""COMPUTED_VALUE"""),12)</f>
        <v>12</v>
      </c>
      <c r="E132" t="str">
        <f ca="1">IFERROR(__xludf.DUMMYFUNCTION("""COMPUTED_VALUE"""),"9' 3""")</f>
        <v>9' 3"</v>
      </c>
      <c r="F132">
        <f ca="1">IFERROR(__xludf.DUMMYFUNCTION("""COMPUTED_VALUE"""),193.5)</f>
        <v>193.5</v>
      </c>
      <c r="G132">
        <f ca="1">IFERROR(__xludf.DUMMYFUNCTION("""COMPUTED_VALUE"""),21)</f>
        <v>21</v>
      </c>
      <c r="H132">
        <f ca="1">IFERROR(__xludf.DUMMYFUNCTION("""COMPUTED_VALUE"""),138)</f>
        <v>138</v>
      </c>
    </row>
    <row r="133" spans="1:8" ht="12.75">
      <c r="A133" t="str">
        <f ca="1">IFERROR(__xludf.DUMMYFUNCTION("""COMPUTED_VALUE"""),"T132")</f>
        <v>T132</v>
      </c>
      <c r="B133" t="str">
        <f ca="1">IFERROR(__xludf.DUMMYFUNCTION("""COMPUTED_VALUE"""),"T151")</f>
        <v>T151</v>
      </c>
      <c r="C133" t="str">
        <f ca="1">IFERROR(__xludf.DUMMYFUNCTION("""COMPUTED_VALUE"""),"Keegan Bradley")</f>
        <v>Keegan Bradley</v>
      </c>
      <c r="D133">
        <f ca="1">IFERROR(__xludf.DUMMYFUNCTION("""COMPUTED_VALUE"""),16)</f>
        <v>16</v>
      </c>
      <c r="E133" t="str">
        <f ca="1">IFERROR(__xludf.DUMMYFUNCTION("""COMPUTED_VALUE"""),"9' 4""")</f>
        <v>9' 4"</v>
      </c>
      <c r="F133">
        <f ca="1">IFERROR(__xludf.DUMMYFUNCTION("""COMPUTED_VALUE"""),346.5)</f>
        <v>346.5</v>
      </c>
      <c r="G133">
        <f ca="1">IFERROR(__xludf.DUMMYFUNCTION("""COMPUTED_VALUE"""),37)</f>
        <v>37</v>
      </c>
      <c r="H133">
        <f ca="1">IFERROR(__xludf.DUMMYFUNCTION("""COMPUTED_VALUE"""),194)</f>
        <v>194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IFERROR(__xludf.DUMMYFUNCTION("""COMPUTED_VALUE"""),"T66")</f>
        <v>T66</v>
      </c>
      <c r="C134" t="str">
        <f ca="1">IFERROR(__xludf.DUMMYFUNCTION("""COMPUTED_VALUE"""),"Austin Cook")</f>
        <v>Austin Cook</v>
      </c>
      <c r="D134">
        <f ca="1">IFERROR(__xludf.DUMMYFUNCTION("""COMPUTED_VALUE"""),14)</f>
        <v>14</v>
      </c>
      <c r="E134" t="str">
        <f ca="1">IFERROR(__xludf.DUMMYFUNCTION("""COMPUTED_VALUE"""),"9' 4""")</f>
        <v>9' 4"</v>
      </c>
      <c r="F134">
        <f ca="1">IFERROR(__xludf.DUMMYFUNCTION("""COMPUTED_VALUE"""),186.667)</f>
        <v>186.667</v>
      </c>
      <c r="G134">
        <f ca="1">IFERROR(__xludf.DUMMYFUNCTION("""COMPUTED_VALUE"""),20)</f>
        <v>20</v>
      </c>
      <c r="H134">
        <f ca="1">IFERROR(__xludf.DUMMYFUNCTION("""COMPUTED_VALUE"""),56)</f>
        <v>56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IFERROR(__xludf.DUMMYFUNCTION("""COMPUTED_VALUE"""),"T146")</f>
        <v>T146</v>
      </c>
      <c r="C135" t="str">
        <f ca="1">IFERROR(__xludf.DUMMYFUNCTION("""COMPUTED_VALUE"""),"Collin Morikawa")</f>
        <v>Collin Morikawa</v>
      </c>
      <c r="D135">
        <f ca="1">IFERROR(__xludf.DUMMYFUNCTION("""COMPUTED_VALUE"""),12)</f>
        <v>12</v>
      </c>
      <c r="E135" t="str">
        <f ca="1">IFERROR(__xludf.DUMMYFUNCTION("""COMPUTED_VALUE"""),"9' 5""")</f>
        <v>9' 5"</v>
      </c>
      <c r="F135">
        <f ca="1">IFERROR(__xludf.DUMMYFUNCTION("""COMPUTED_VALUE"""),309.75)</f>
        <v>309.75</v>
      </c>
      <c r="G135">
        <f ca="1">IFERROR(__xludf.DUMMYFUNCTION("""COMPUTED_VALUE"""),33)</f>
        <v>33</v>
      </c>
      <c r="H135">
        <f ca="1">IFERROR(__xludf.DUMMYFUNCTION("""COMPUTED_VALUE"""),141)</f>
        <v>141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IFERROR(__xludf.DUMMYFUNCTION("""COMPUTED_VALUE"""),"T146")</f>
        <v>T146</v>
      </c>
      <c r="C136" t="str">
        <f ca="1">IFERROR(__xludf.DUMMYFUNCTION("""COMPUTED_VALUE"""),"Nelson Ledesma")</f>
        <v>Nelson Ledesma</v>
      </c>
      <c r="D136">
        <f ca="1">IFERROR(__xludf.DUMMYFUNCTION("""COMPUTED_VALUE"""),8)</f>
        <v>8</v>
      </c>
      <c r="E136" t="str">
        <f ca="1">IFERROR(__xludf.DUMMYFUNCTION("""COMPUTED_VALUE"""),"9' 5""")</f>
        <v>9' 5"</v>
      </c>
      <c r="F136">
        <f ca="1">IFERROR(__xludf.DUMMYFUNCTION("""COMPUTED_VALUE"""),103.75)</f>
        <v>103.75</v>
      </c>
      <c r="G136">
        <f ca="1">IFERROR(__xludf.DUMMYFUNCTION("""COMPUTED_VALUE"""),11)</f>
        <v>11</v>
      </c>
      <c r="H136">
        <f ca="1">IFERROR(__xludf.DUMMYFUNCTION("""COMPUTED_VALUE"""),201)</f>
        <v>201</v>
      </c>
    </row>
    <row r="137" spans="1:8" ht="12.75">
      <c r="A137">
        <f ca="1">IFERROR(__xludf.DUMMYFUNCTION("""COMPUTED_VALUE"""),136)</f>
        <v>136</v>
      </c>
      <c r="B137">
        <f ca="1">IFERROR(__xludf.DUMMYFUNCTION("""COMPUTED_VALUE"""),149)</f>
        <v>149</v>
      </c>
      <c r="C137" t="str">
        <f ca="1">IFERROR(__xludf.DUMMYFUNCTION("""COMPUTED_VALUE"""),"Marc Leishman")</f>
        <v>Marc Leishman</v>
      </c>
      <c r="D137">
        <f ca="1">IFERROR(__xludf.DUMMYFUNCTION("""COMPUTED_VALUE"""),10)</f>
        <v>10</v>
      </c>
      <c r="E137" t="str">
        <f ca="1">IFERROR(__xludf.DUMMYFUNCTION("""COMPUTED_VALUE"""),"9' 6""")</f>
        <v>9' 6"</v>
      </c>
      <c r="F137">
        <f ca="1">IFERROR(__xludf.DUMMYFUNCTION("""COMPUTED_VALUE"""),284.333)</f>
        <v>284.33300000000003</v>
      </c>
      <c r="G137">
        <f ca="1">IFERROR(__xludf.DUMMYFUNCTION("""COMPUTED_VALUE"""),30)</f>
        <v>30</v>
      </c>
      <c r="H137">
        <f ca="1">IFERROR(__xludf.DUMMYFUNCTION("""COMPUTED_VALUE"""),235)</f>
        <v>235</v>
      </c>
    </row>
    <row r="138" spans="1:8" ht="12.75">
      <c r="A138">
        <f ca="1">IFERROR(__xludf.DUMMYFUNCTION("""COMPUTED_VALUE"""),137)</f>
        <v>137</v>
      </c>
      <c r="B138" t="str">
        <f ca="1">IFERROR(__xludf.DUMMYFUNCTION("""COMPUTED_VALUE"""),"T151")</f>
        <v>T151</v>
      </c>
      <c r="C138" t="str">
        <f ca="1">IFERROR(__xludf.DUMMYFUNCTION("""COMPUTED_VALUE"""),"Tyrrell Hatton")</f>
        <v>Tyrrell Hatton</v>
      </c>
      <c r="D138">
        <f ca="1">IFERROR(__xludf.DUMMYFUNCTION("""COMPUTED_VALUE"""),14)</f>
        <v>14</v>
      </c>
      <c r="E138" t="str">
        <f ca="1">IFERROR(__xludf.DUMMYFUNCTION("""COMPUTED_VALUE"""),"9' 7""")</f>
        <v>9' 7"</v>
      </c>
      <c r="F138">
        <f ca="1">IFERROR(__xludf.DUMMYFUNCTION("""COMPUTED_VALUE"""),286.417)</f>
        <v>286.41699999999997</v>
      </c>
      <c r="G138">
        <f ca="1">IFERROR(__xludf.DUMMYFUNCTION("""COMPUTED_VALUE"""),30)</f>
        <v>30</v>
      </c>
      <c r="H138">
        <f ca="1">IFERROR(__xludf.DUMMYFUNCTION("""COMPUTED_VALUE"""),189)</f>
        <v>189</v>
      </c>
    </row>
    <row r="139" spans="1:8" ht="12.75">
      <c r="A139" t="str">
        <f ca="1">IFERROR(__xludf.DUMMYFUNCTION("""COMPUTED_VALUE"""),"T138")</f>
        <v>T138</v>
      </c>
      <c r="B139">
        <f ca="1">IFERROR(__xludf.DUMMYFUNCTION("""COMPUTED_VALUE"""),145)</f>
        <v>145</v>
      </c>
      <c r="C139" t="str">
        <f ca="1">IFERROR(__xludf.DUMMYFUNCTION("""COMPUTED_VALUE"""),"Cameron Tringale")</f>
        <v>Cameron Tringale</v>
      </c>
      <c r="D139">
        <f ca="1">IFERROR(__xludf.DUMMYFUNCTION("""COMPUTED_VALUE"""),16)</f>
        <v>16</v>
      </c>
      <c r="E139" t="str">
        <f ca="1">IFERROR(__xludf.DUMMYFUNCTION("""COMPUTED_VALUE"""),"9' 8""")</f>
        <v>9' 8"</v>
      </c>
      <c r="F139">
        <f ca="1">IFERROR(__xludf.DUMMYFUNCTION("""COMPUTED_VALUE"""),125.167)</f>
        <v>125.167</v>
      </c>
      <c r="G139">
        <f ca="1">IFERROR(__xludf.DUMMYFUNCTION("""COMPUTED_VALUE"""),13)</f>
        <v>13</v>
      </c>
      <c r="H139">
        <f ca="1">IFERROR(__xludf.DUMMYFUNCTION("""COMPUTED_VALUE"""),192)</f>
        <v>192</v>
      </c>
    </row>
    <row r="140" spans="1:8" ht="12.75">
      <c r="A140" t="str">
        <f ca="1">IFERROR(__xludf.DUMMYFUNCTION("""COMPUTED_VALUE"""),"T138")</f>
        <v>T138</v>
      </c>
      <c r="B140" t="str">
        <f ca="1">IFERROR(__xludf.DUMMYFUNCTION("""COMPUTED_VALUE"""),"T151")</f>
        <v>T151</v>
      </c>
      <c r="C140" t="str">
        <f ca="1">IFERROR(__xludf.DUMMYFUNCTION("""COMPUTED_VALUE"""),"Cameron Smith")</f>
        <v>Cameron Smith</v>
      </c>
      <c r="D140">
        <f ca="1">IFERROR(__xludf.DUMMYFUNCTION("""COMPUTED_VALUE"""),16)</f>
        <v>16</v>
      </c>
      <c r="E140" t="str">
        <f ca="1">IFERROR(__xludf.DUMMYFUNCTION("""COMPUTED_VALUE"""),"9' 8""")</f>
        <v>9' 8"</v>
      </c>
      <c r="F140">
        <f ca="1">IFERROR(__xludf.DUMMYFUNCTION("""COMPUTED_VALUE"""),423.583)</f>
        <v>423.58300000000003</v>
      </c>
      <c r="G140">
        <f ca="1">IFERROR(__xludf.DUMMYFUNCTION("""COMPUTED_VALUE"""),44)</f>
        <v>44</v>
      </c>
      <c r="H140">
        <f ca="1">IFERROR(__xludf.DUMMYFUNCTION("""COMPUTED_VALUE"""),117)</f>
        <v>117</v>
      </c>
    </row>
    <row r="141" spans="1:8" ht="12.75">
      <c r="A141" t="str">
        <f ca="1">IFERROR(__xludf.DUMMYFUNCTION("""COMPUTED_VALUE"""),"T138")</f>
        <v>T138</v>
      </c>
      <c r="B141" t="str">
        <f ca="1">IFERROR(__xludf.DUMMYFUNCTION("""COMPUTED_VALUE"""),"T151")</f>
        <v>T151</v>
      </c>
      <c r="C141" t="str">
        <f ca="1">IFERROR(__xludf.DUMMYFUNCTION("""COMPUTED_VALUE"""),"Jon Rahm")</f>
        <v>Jon Rahm</v>
      </c>
      <c r="D141">
        <f ca="1">IFERROR(__xludf.DUMMYFUNCTION("""COMPUTED_VALUE"""),12)</f>
        <v>12</v>
      </c>
      <c r="E141" t="str">
        <f ca="1">IFERROR(__xludf.DUMMYFUNCTION("""COMPUTED_VALUE"""),"9' 8""")</f>
        <v>9' 8"</v>
      </c>
      <c r="F141">
        <f ca="1">IFERROR(__xludf.DUMMYFUNCTION("""COMPUTED_VALUE"""),385.667)</f>
        <v>385.66699999999997</v>
      </c>
      <c r="G141">
        <f ca="1">IFERROR(__xludf.DUMMYFUNCTION("""COMPUTED_VALUE"""),40)</f>
        <v>40</v>
      </c>
      <c r="H141">
        <f ca="1">IFERROR(__xludf.DUMMYFUNCTION("""COMPUTED_VALUE"""),154)</f>
        <v>154</v>
      </c>
    </row>
    <row r="142" spans="1:8" ht="12.75">
      <c r="A142" t="str">
        <f ca="1">IFERROR(__xludf.DUMMYFUNCTION("""COMPUTED_VALUE"""),"T138")</f>
        <v>T138</v>
      </c>
      <c r="B142" t="str">
        <f ca="1">IFERROR(__xludf.DUMMYFUNCTION("""COMPUTED_VALUE"""),"T182")</f>
        <v>T182</v>
      </c>
      <c r="C142" t="str">
        <f ca="1">IFERROR(__xludf.DUMMYFUNCTION("""COMPUTED_VALUE"""),"Russell Knox")</f>
        <v>Russell Knox</v>
      </c>
      <c r="D142">
        <f ca="1">IFERROR(__xludf.DUMMYFUNCTION("""COMPUTED_VALUE"""),16)</f>
        <v>16</v>
      </c>
      <c r="E142" t="str">
        <f ca="1">IFERROR(__xludf.DUMMYFUNCTION("""COMPUTED_VALUE"""),"9' 8""")</f>
        <v>9' 8"</v>
      </c>
      <c r="F142">
        <f ca="1">IFERROR(__xludf.DUMMYFUNCTION("""COMPUTED_VALUE"""),154)</f>
        <v>154</v>
      </c>
      <c r="G142">
        <f ca="1">IFERROR(__xludf.DUMMYFUNCTION("""COMPUTED_VALUE"""),16)</f>
        <v>16</v>
      </c>
      <c r="H142">
        <f ca="1">IFERROR(__xludf.DUMMYFUNCTION("""COMPUTED_VALUE"""),42)</f>
        <v>42</v>
      </c>
    </row>
    <row r="143" spans="1:8" ht="12.75">
      <c r="A143" t="str">
        <f ca="1">IFERROR(__xludf.DUMMYFUNCTION("""COMPUTED_VALUE"""),"T142")</f>
        <v>T142</v>
      </c>
      <c r="B143">
        <f ca="1">IFERROR(__xludf.DUMMYFUNCTION("""COMPUTED_VALUE"""),158)</f>
        <v>158</v>
      </c>
      <c r="C143" t="str">
        <f ca="1">IFERROR(__xludf.DUMMYFUNCTION("""COMPUTED_VALUE"""),"Ian Poulter")</f>
        <v>Ian Poulter</v>
      </c>
      <c r="D143">
        <f ca="1">IFERROR(__xludf.DUMMYFUNCTION("""COMPUTED_VALUE"""),6)</f>
        <v>6</v>
      </c>
      <c r="E143" t="str">
        <f ca="1">IFERROR(__xludf.DUMMYFUNCTION("""COMPUTED_VALUE"""),"9' 9""")</f>
        <v>9' 9"</v>
      </c>
      <c r="F143">
        <f ca="1">IFERROR(__xludf.DUMMYFUNCTION("""COMPUTED_VALUE"""),234)</f>
        <v>234</v>
      </c>
      <c r="G143">
        <f ca="1">IFERROR(__xludf.DUMMYFUNCTION("""COMPUTED_VALUE"""),24)</f>
        <v>24</v>
      </c>
      <c r="H143">
        <f ca="1">IFERROR(__xludf.DUMMYFUNCTION("""COMPUTED_VALUE"""),25)</f>
        <v>25</v>
      </c>
    </row>
    <row r="144" spans="1:8" ht="12.75">
      <c r="A144" t="str">
        <f ca="1">IFERROR(__xludf.DUMMYFUNCTION("""COMPUTED_VALUE"""),"T142")</f>
        <v>T142</v>
      </c>
      <c r="B144" t="str">
        <f ca="1">IFERROR(__xludf.DUMMYFUNCTION("""COMPUTED_VALUE"""),"T140")</f>
        <v>T140</v>
      </c>
      <c r="C144" t="str">
        <f ca="1">IFERROR(__xludf.DUMMYFUNCTION("""COMPUTED_VALUE"""),"Corey Conners")</f>
        <v>Corey Conners</v>
      </c>
      <c r="D144">
        <f ca="1">IFERROR(__xludf.DUMMYFUNCTION("""COMPUTED_VALUE"""),20)</f>
        <v>20</v>
      </c>
      <c r="E144" t="str">
        <f ca="1">IFERROR(__xludf.DUMMYFUNCTION("""COMPUTED_VALUE"""),"9' 9""")</f>
        <v>9' 9"</v>
      </c>
      <c r="F144">
        <f ca="1">IFERROR(__xludf.DUMMYFUNCTION("""COMPUTED_VALUE"""),380.667)</f>
        <v>380.66699999999997</v>
      </c>
      <c r="G144">
        <f ca="1">IFERROR(__xludf.DUMMYFUNCTION("""COMPUTED_VALUE"""),39)</f>
        <v>39</v>
      </c>
      <c r="H144">
        <f ca="1">IFERROR(__xludf.DUMMYFUNCTION("""COMPUTED_VALUE"""),151)</f>
        <v>151</v>
      </c>
    </row>
    <row r="145" spans="1:8" ht="12.75">
      <c r="A145" t="str">
        <f ca="1">IFERROR(__xludf.DUMMYFUNCTION("""COMPUTED_VALUE"""),"T144")</f>
        <v>T144</v>
      </c>
      <c r="B145" t="str">
        <f ca="1">IFERROR(__xludf.DUMMYFUNCTION("""COMPUTED_VALUE"""),"T159")</f>
        <v>T159</v>
      </c>
      <c r="C145" t="str">
        <f ca="1">IFERROR(__xludf.DUMMYFUNCTION("""COMPUTED_VALUE"""),"Harris English")</f>
        <v>Harris English</v>
      </c>
      <c r="D145">
        <f ca="1">IFERROR(__xludf.DUMMYFUNCTION("""COMPUTED_VALUE"""),14)</f>
        <v>14</v>
      </c>
      <c r="E145" t="str">
        <f ca="1">IFERROR(__xludf.DUMMYFUNCTION("""COMPUTED_VALUE"""),"9' 10""")</f>
        <v>9' 10"</v>
      </c>
      <c r="F145">
        <f ca="1">IFERROR(__xludf.DUMMYFUNCTION("""COMPUTED_VALUE"""),363.583)</f>
        <v>363.58300000000003</v>
      </c>
      <c r="G145">
        <f ca="1">IFERROR(__xludf.DUMMYFUNCTION("""COMPUTED_VALUE"""),37)</f>
        <v>37</v>
      </c>
      <c r="H145">
        <f ca="1">IFERROR(__xludf.DUMMYFUNCTION("""COMPUTED_VALUE"""),49)</f>
        <v>49</v>
      </c>
    </row>
    <row r="146" spans="1:8" ht="12.75">
      <c r="A146" t="str">
        <f ca="1">IFERROR(__xludf.DUMMYFUNCTION("""COMPUTED_VALUE"""),"T144")</f>
        <v>T144</v>
      </c>
      <c r="B146" t="str">
        <f ca="1">IFERROR(__xludf.DUMMYFUNCTION("""COMPUTED_VALUE"""),"T159")</f>
        <v>T159</v>
      </c>
      <c r="C146" t="str">
        <f ca="1">IFERROR(__xludf.DUMMYFUNCTION("""COMPUTED_VALUE"""),"Robert Streb")</f>
        <v>Robert Streb</v>
      </c>
      <c r="D146">
        <f ca="1">IFERROR(__xludf.DUMMYFUNCTION("""COMPUTED_VALUE"""),12)</f>
        <v>12</v>
      </c>
      <c r="E146" t="str">
        <f ca="1">IFERROR(__xludf.DUMMYFUNCTION("""COMPUTED_VALUE"""),"9' 10""")</f>
        <v>9' 10"</v>
      </c>
      <c r="F146">
        <f ca="1">IFERROR(__xludf.DUMMYFUNCTION("""COMPUTED_VALUE"""),147.5)</f>
        <v>147.5</v>
      </c>
      <c r="G146">
        <f ca="1">IFERROR(__xludf.DUMMYFUNCTION("""COMPUTED_VALUE"""),15)</f>
        <v>15</v>
      </c>
      <c r="H146">
        <f ca="1">IFERROR(__xludf.DUMMYFUNCTION("""COMPUTED_VALUE"""),158)</f>
        <v>158</v>
      </c>
    </row>
    <row r="147" spans="1:8" ht="12.75">
      <c r="A147" t="str">
        <f ca="1">IFERROR(__xludf.DUMMYFUNCTION("""COMPUTED_VALUE"""),"T144")</f>
        <v>T144</v>
      </c>
      <c r="B147" t="str">
        <f ca="1">IFERROR(__xludf.DUMMYFUNCTION("""COMPUTED_VALUE"""),"T159")</f>
        <v>T159</v>
      </c>
      <c r="C147" t="str">
        <f ca="1">IFERROR(__xludf.DUMMYFUNCTION("""COMPUTED_VALUE"""),"Akshay Bhatia")</f>
        <v>Akshay Bhatia</v>
      </c>
      <c r="D147">
        <f ca="1">IFERROR(__xludf.DUMMYFUNCTION("""COMPUTED_VALUE"""),6)</f>
        <v>6</v>
      </c>
      <c r="E147" t="str">
        <f ca="1">IFERROR(__xludf.DUMMYFUNCTION("""COMPUTED_VALUE"""),"9' 10""")</f>
        <v>9' 10"</v>
      </c>
      <c r="F147">
        <f ca="1">IFERROR(__xludf.DUMMYFUNCTION("""COMPUTED_VALUE"""),78.667)</f>
        <v>78.667000000000002</v>
      </c>
      <c r="G147">
        <f ca="1">IFERROR(__xludf.DUMMYFUNCTION("""COMPUTED_VALUE"""),8)</f>
        <v>8</v>
      </c>
      <c r="H147">
        <f ca="1">IFERROR(__xludf.DUMMYFUNCTION("""COMPUTED_VALUE"""),6)</f>
        <v>6</v>
      </c>
    </row>
    <row r="148" spans="1:8" ht="12.75">
      <c r="A148" t="str">
        <f ca="1">IFERROR(__xludf.DUMMYFUNCTION("""COMPUTED_VALUE"""),"T144")</f>
        <v>T144</v>
      </c>
      <c r="B148" t="str">
        <f ca="1">IFERROR(__xludf.DUMMYFUNCTION("""COMPUTED_VALUE"""),"T151")</f>
        <v>T151</v>
      </c>
      <c r="C148" t="str">
        <f ca="1">IFERROR(__xludf.DUMMYFUNCTION("""COMPUTED_VALUE"""),"David Hearn")</f>
        <v>David Hearn</v>
      </c>
      <c r="D148">
        <f ca="1">IFERROR(__xludf.DUMMYFUNCTION("""COMPUTED_VALUE"""),16)</f>
        <v>16</v>
      </c>
      <c r="E148" t="str">
        <f ca="1">IFERROR(__xludf.DUMMYFUNCTION("""COMPUTED_VALUE"""),"9' 10""")</f>
        <v>9' 10"</v>
      </c>
      <c r="F148">
        <f ca="1">IFERROR(__xludf.DUMMYFUNCTION("""COMPUTED_VALUE"""),98.167)</f>
        <v>98.167000000000002</v>
      </c>
      <c r="G148">
        <f ca="1">IFERROR(__xludf.DUMMYFUNCTION("""COMPUTED_VALUE"""),10)</f>
        <v>10</v>
      </c>
      <c r="H148">
        <f ca="1">IFERROR(__xludf.DUMMYFUNCTION("""COMPUTED_VALUE"""),71)</f>
        <v>71</v>
      </c>
    </row>
    <row r="149" spans="1:8" ht="12.75">
      <c r="A149" t="str">
        <f ca="1">IFERROR(__xludf.DUMMYFUNCTION("""COMPUTED_VALUE"""),"T144")</f>
        <v>T144</v>
      </c>
      <c r="B149" t="str">
        <f ca="1">IFERROR(__xludf.DUMMYFUNCTION("""COMPUTED_VALUE"""),"T151")</f>
        <v>T151</v>
      </c>
      <c r="C149" t="str">
        <f ca="1">IFERROR(__xludf.DUMMYFUNCTION("""COMPUTED_VALUE"""),"C.T. Pan")</f>
        <v>C.T. Pan</v>
      </c>
      <c r="D149">
        <f ca="1">IFERROR(__xludf.DUMMYFUNCTION("""COMPUTED_VALUE"""),20)</f>
        <v>20</v>
      </c>
      <c r="E149" t="str">
        <f ca="1">IFERROR(__xludf.DUMMYFUNCTION("""COMPUTED_VALUE"""),"9' 10""")</f>
        <v>9' 10"</v>
      </c>
      <c r="F149">
        <f ca="1">IFERROR(__xludf.DUMMYFUNCTION("""COMPUTED_VALUE"""),246.667)</f>
        <v>246.667</v>
      </c>
      <c r="G149">
        <f ca="1">IFERROR(__xludf.DUMMYFUNCTION("""COMPUTED_VALUE"""),25)</f>
        <v>25</v>
      </c>
      <c r="H149">
        <f ca="1">IFERROR(__xludf.DUMMYFUNCTION("""COMPUTED_VALUE"""),66)</f>
        <v>66</v>
      </c>
    </row>
    <row r="150" spans="1:8" ht="12.75">
      <c r="A150" t="str">
        <f ca="1">IFERROR(__xludf.DUMMYFUNCTION("""COMPUTED_VALUE"""),"T144")</f>
        <v>T144</v>
      </c>
      <c r="B150" t="str">
        <f ca="1">IFERROR(__xludf.DUMMYFUNCTION("""COMPUTED_VALUE"""),"T165")</f>
        <v>T165</v>
      </c>
      <c r="C150" t="str">
        <f ca="1">IFERROR(__xludf.DUMMYFUNCTION("""COMPUTED_VALUE"""),"Martin Laird")</f>
        <v>Martin Laird</v>
      </c>
      <c r="D150">
        <f ca="1">IFERROR(__xludf.DUMMYFUNCTION("""COMPUTED_VALUE"""),16)</f>
        <v>16</v>
      </c>
      <c r="E150" t="str">
        <f ca="1">IFERROR(__xludf.DUMMYFUNCTION("""COMPUTED_VALUE"""),"9' 10""")</f>
        <v>9' 10"</v>
      </c>
      <c r="F150">
        <f ca="1">IFERROR(__xludf.DUMMYFUNCTION("""COMPUTED_VALUE"""),167.417)</f>
        <v>167.417</v>
      </c>
      <c r="G150">
        <f ca="1">IFERROR(__xludf.DUMMYFUNCTION("""COMPUTED_VALUE"""),17)</f>
        <v>17</v>
      </c>
      <c r="H150">
        <f ca="1">IFERROR(__xludf.DUMMYFUNCTION("""COMPUTED_VALUE"""),225)</f>
        <v>225</v>
      </c>
    </row>
    <row r="151" spans="1:8" ht="12.75">
      <c r="A151" t="str">
        <f ca="1">IFERROR(__xludf.DUMMYFUNCTION("""COMPUTED_VALUE"""),"T150")</f>
        <v>T150</v>
      </c>
      <c r="B151" t="str">
        <f ca="1">IFERROR(__xludf.DUMMYFUNCTION("""COMPUTED_VALUE"""),"T123")</f>
        <v>T123</v>
      </c>
      <c r="C151" t="str">
        <f ca="1">IFERROR(__xludf.DUMMYFUNCTION("""COMPUTED_VALUE"""),"D.A. Points")</f>
        <v>D.A. Points</v>
      </c>
      <c r="D151">
        <f ca="1">IFERROR(__xludf.DUMMYFUNCTION("""COMPUTED_VALUE"""),12)</f>
        <v>12</v>
      </c>
      <c r="E151" t="str">
        <f ca="1">IFERROR(__xludf.DUMMYFUNCTION("""COMPUTED_VALUE"""),"9' 11""")</f>
        <v>9' 11"</v>
      </c>
      <c r="F151">
        <f ca="1">IFERROR(__xludf.DUMMYFUNCTION("""COMPUTED_VALUE"""),159.25)</f>
        <v>159.25</v>
      </c>
      <c r="G151">
        <f ca="1">IFERROR(__xludf.DUMMYFUNCTION("""COMPUTED_VALUE"""),16)</f>
        <v>16</v>
      </c>
      <c r="H151">
        <f ca="1">IFERROR(__xludf.DUMMYFUNCTION("""COMPUTED_VALUE"""),39)</f>
        <v>39</v>
      </c>
    </row>
    <row r="152" spans="1:8" ht="12.75">
      <c r="A152" t="str">
        <f ca="1">IFERROR(__xludf.DUMMYFUNCTION("""COMPUTED_VALUE"""),"T150")</f>
        <v>T150</v>
      </c>
      <c r="B152" t="str">
        <f ca="1">IFERROR(__xludf.DUMMYFUNCTION("""COMPUTED_VALUE"""),"T45")</f>
        <v>T45</v>
      </c>
      <c r="C152" t="str">
        <f ca="1">IFERROR(__xludf.DUMMYFUNCTION("""COMPUTED_VALUE"""),"Grayson Murray")</f>
        <v>Grayson Murray</v>
      </c>
      <c r="D152">
        <f ca="1">IFERROR(__xludf.DUMMYFUNCTION("""COMPUTED_VALUE"""),10)</f>
        <v>10</v>
      </c>
      <c r="E152" t="str">
        <f ca="1">IFERROR(__xludf.DUMMYFUNCTION("""COMPUTED_VALUE"""),"9' 11""")</f>
        <v>9' 11"</v>
      </c>
      <c r="F152">
        <f ca="1">IFERROR(__xludf.DUMMYFUNCTION("""COMPUTED_VALUE"""),139.25)</f>
        <v>139.25</v>
      </c>
      <c r="G152">
        <f ca="1">IFERROR(__xludf.DUMMYFUNCTION("""COMPUTED_VALUE"""),14)</f>
        <v>14</v>
      </c>
      <c r="H152">
        <f ca="1">IFERROR(__xludf.DUMMYFUNCTION("""COMPUTED_VALUE"""),270)</f>
        <v>270</v>
      </c>
    </row>
    <row r="153" spans="1:8" ht="12.75">
      <c r="A153" t="str">
        <f ca="1">IFERROR(__xludf.DUMMYFUNCTION("""COMPUTED_VALUE"""),"T152")</f>
        <v>T152</v>
      </c>
      <c r="B153" t="str">
        <f ca="1">IFERROR(__xludf.DUMMYFUNCTION("""COMPUTED_VALUE"""),"T108")</f>
        <v>T108</v>
      </c>
      <c r="C153" t="str">
        <f ca="1">IFERROR(__xludf.DUMMYFUNCTION("""COMPUTED_VALUE"""),"Martin Trainer")</f>
        <v>Martin Trainer</v>
      </c>
      <c r="D153">
        <f ca="1">IFERROR(__xludf.DUMMYFUNCTION("""COMPUTED_VALUE"""),10)</f>
        <v>10</v>
      </c>
      <c r="E153" t="str">
        <f ca="1">IFERROR(__xludf.DUMMYFUNCTION("""COMPUTED_VALUE"""),"10' 0""")</f>
        <v>10' 0"</v>
      </c>
      <c r="F153">
        <f ca="1">IFERROR(__xludf.DUMMYFUNCTION("""COMPUTED_VALUE"""),239.333)</f>
        <v>239.333</v>
      </c>
      <c r="G153">
        <f ca="1">IFERROR(__xludf.DUMMYFUNCTION("""COMPUTED_VALUE"""),24)</f>
        <v>24</v>
      </c>
      <c r="H153">
        <f ca="1">IFERROR(__xludf.DUMMYFUNCTION("""COMPUTED_VALUE"""),247)</f>
        <v>247</v>
      </c>
    </row>
    <row r="154" spans="1:8" ht="12.75">
      <c r="A154" t="str">
        <f ca="1">IFERROR(__xludf.DUMMYFUNCTION("""COMPUTED_VALUE"""),"T152")</f>
        <v>T152</v>
      </c>
      <c r="B154" t="str">
        <f ca="1">IFERROR(__xludf.DUMMYFUNCTION("""COMPUTED_VALUE"""),"T165")</f>
        <v>T165</v>
      </c>
      <c r="C154" t="str">
        <f ca="1">IFERROR(__xludf.DUMMYFUNCTION("""COMPUTED_VALUE"""),"Kristoffer Ventura")</f>
        <v>Kristoffer Ventura</v>
      </c>
      <c r="D154">
        <f ca="1">IFERROR(__xludf.DUMMYFUNCTION("""COMPUTED_VALUE"""),20)</f>
        <v>20</v>
      </c>
      <c r="E154" t="str">
        <f ca="1">IFERROR(__xludf.DUMMYFUNCTION("""COMPUTED_VALUE"""),"10' 0""")</f>
        <v>10' 0"</v>
      </c>
      <c r="F154">
        <f ca="1">IFERROR(__xludf.DUMMYFUNCTION("""COMPUTED_VALUE"""),219.25)</f>
        <v>219.25</v>
      </c>
      <c r="G154">
        <f ca="1">IFERROR(__xludf.DUMMYFUNCTION("""COMPUTED_VALUE"""),22)</f>
        <v>22</v>
      </c>
      <c r="H154">
        <f ca="1">IFERROR(__xludf.DUMMYFUNCTION("""COMPUTED_VALUE"""),116)</f>
        <v>116</v>
      </c>
    </row>
    <row r="155" spans="1:8" ht="12.75">
      <c r="A155" t="str">
        <f ca="1">IFERROR(__xludf.DUMMYFUNCTION("""COMPUTED_VALUE"""),"T152")</f>
        <v>T152</v>
      </c>
      <c r="B155" t="str">
        <f ca="1">IFERROR(__xludf.DUMMYFUNCTION("""COMPUTED_VALUE"""),"T178")</f>
        <v>T178</v>
      </c>
      <c r="C155" t="str">
        <f ca="1">IFERROR(__xludf.DUMMYFUNCTION("""COMPUTED_VALUE"""),"Sergio Garcia")</f>
        <v>Sergio Garcia</v>
      </c>
      <c r="D155">
        <f ca="1">IFERROR(__xludf.DUMMYFUNCTION("""COMPUTED_VALUE"""),18)</f>
        <v>18</v>
      </c>
      <c r="E155" t="str">
        <f ca="1">IFERROR(__xludf.DUMMYFUNCTION("""COMPUTED_VALUE"""),"10' 0""")</f>
        <v>10' 0"</v>
      </c>
      <c r="F155">
        <f ca="1">IFERROR(__xludf.DUMMYFUNCTION("""COMPUTED_VALUE"""),398.5)</f>
        <v>398.5</v>
      </c>
      <c r="G155">
        <f ca="1">IFERROR(__xludf.DUMMYFUNCTION("""COMPUTED_VALUE"""),40)</f>
        <v>40</v>
      </c>
      <c r="H155">
        <f ca="1">IFERROR(__xludf.DUMMYFUNCTION("""COMPUTED_VALUE"""),88)</f>
        <v>88</v>
      </c>
    </row>
    <row r="156" spans="1:8" ht="12.75">
      <c r="A156" t="str">
        <f ca="1">IFERROR(__xludf.DUMMYFUNCTION("""COMPUTED_VALUE"""),"T152")</f>
        <v>T152</v>
      </c>
      <c r="B156" t="str">
        <f ca="1">IFERROR(__xludf.DUMMYFUNCTION("""COMPUTED_VALUE"""),"T66")</f>
        <v>T66</v>
      </c>
      <c r="C156" t="str">
        <f ca="1">IFERROR(__xludf.DUMMYFUNCTION("""COMPUTED_VALUE"""),"James Hahn")</f>
        <v>James Hahn</v>
      </c>
      <c r="D156">
        <f ca="1">IFERROR(__xludf.DUMMYFUNCTION("""COMPUTED_VALUE"""),16)</f>
        <v>16</v>
      </c>
      <c r="E156" t="str">
        <f ca="1">IFERROR(__xludf.DUMMYFUNCTION("""COMPUTED_VALUE"""),"10' 0""")</f>
        <v>10' 0"</v>
      </c>
      <c r="F156">
        <f ca="1">IFERROR(__xludf.DUMMYFUNCTION("""COMPUTED_VALUE"""),170.417)</f>
        <v>170.417</v>
      </c>
      <c r="G156">
        <f ca="1">IFERROR(__xludf.DUMMYFUNCTION("""COMPUTED_VALUE"""),17)</f>
        <v>17</v>
      </c>
      <c r="H156">
        <f ca="1">IFERROR(__xludf.DUMMYFUNCTION("""COMPUTED_VALUE"""),87)</f>
        <v>87</v>
      </c>
    </row>
    <row r="157" spans="1:8" ht="12.75">
      <c r="A157" t="str">
        <f ca="1">IFERROR(__xludf.DUMMYFUNCTION("""COMPUTED_VALUE"""),"T156")</f>
        <v>T156</v>
      </c>
      <c r="B157" t="str">
        <f ca="1">IFERROR(__xludf.DUMMYFUNCTION("""COMPUTED_VALUE"""),"T168")</f>
        <v>T168</v>
      </c>
      <c r="C157" t="str">
        <f ca="1">IFERROR(__xludf.DUMMYFUNCTION("""COMPUTED_VALUE"""),"Ryan Palmer")</f>
        <v>Ryan Palmer</v>
      </c>
      <c r="D157">
        <f ca="1">IFERROR(__xludf.DUMMYFUNCTION("""COMPUTED_VALUE"""),14)</f>
        <v>14</v>
      </c>
      <c r="E157" t="str">
        <f ca="1">IFERROR(__xludf.DUMMYFUNCTION("""COMPUTED_VALUE"""),"10' 1""")</f>
        <v>10' 1"</v>
      </c>
      <c r="F157">
        <f ca="1">IFERROR(__xludf.DUMMYFUNCTION("""COMPUTED_VALUE"""),363.75)</f>
        <v>363.75</v>
      </c>
      <c r="G157">
        <f ca="1">IFERROR(__xludf.DUMMYFUNCTION("""COMPUTED_VALUE"""),36)</f>
        <v>36</v>
      </c>
      <c r="H157">
        <f ca="1">IFERROR(__xludf.DUMMYFUNCTION("""COMPUTED_VALUE"""),171)</f>
        <v>171</v>
      </c>
    </row>
    <row r="158" spans="1:8" ht="12.75">
      <c r="A158" t="str">
        <f ca="1">IFERROR(__xludf.DUMMYFUNCTION("""COMPUTED_VALUE"""),"T156")</f>
        <v>T156</v>
      </c>
      <c r="B158" t="str">
        <f ca="1">IFERROR(__xludf.DUMMYFUNCTION("""COMPUTED_VALUE"""),"T168")</f>
        <v>T168</v>
      </c>
      <c r="C158" t="str">
        <f ca="1">IFERROR(__xludf.DUMMYFUNCTION("""COMPUTED_VALUE"""),"Rasmus Hojgaard")</f>
        <v>Rasmus Hojgaard</v>
      </c>
      <c r="D158">
        <f ca="1">IFERROR(__xludf.DUMMYFUNCTION("""COMPUTED_VALUE"""),6)</f>
        <v>6</v>
      </c>
      <c r="E158" t="str">
        <f ca="1">IFERROR(__xludf.DUMMYFUNCTION("""COMPUTED_VALUE"""),"10' 1""")</f>
        <v>10' 1"</v>
      </c>
      <c r="F158">
        <f ca="1">IFERROR(__xludf.DUMMYFUNCTION("""COMPUTED_VALUE"""),90.5)</f>
        <v>90.5</v>
      </c>
      <c r="G158">
        <f ca="1">IFERROR(__xludf.DUMMYFUNCTION("""COMPUTED_VALUE"""),9)</f>
        <v>9</v>
      </c>
      <c r="H158">
        <f ca="1">IFERROR(__xludf.DUMMYFUNCTION("""COMPUTED_VALUE"""),286)</f>
        <v>286</v>
      </c>
    </row>
    <row r="159" spans="1:8" ht="12.75">
      <c r="A159" t="str">
        <f ca="1">IFERROR(__xludf.DUMMYFUNCTION("""COMPUTED_VALUE"""),"T158")</f>
        <v>T158</v>
      </c>
      <c r="B159" t="str">
        <f ca="1">IFERROR(__xludf.DUMMYFUNCTION("""COMPUTED_VALUE"""),"T171")</f>
        <v>T171</v>
      </c>
      <c r="C159" t="str">
        <f ca="1">IFERROR(__xludf.DUMMYFUNCTION("""COMPUTED_VALUE"""),"Tae Hee Lee")</f>
        <v>Tae Hee Lee</v>
      </c>
      <c r="D159">
        <f ca="1">IFERROR(__xludf.DUMMYFUNCTION("""COMPUTED_VALUE"""),4)</f>
        <v>4</v>
      </c>
      <c r="E159" t="str">
        <f ca="1">IFERROR(__xludf.DUMMYFUNCTION("""COMPUTED_VALUE"""),"10' 2""")</f>
        <v>10' 2"</v>
      </c>
      <c r="F159">
        <f ca="1">IFERROR(__xludf.DUMMYFUNCTION("""COMPUTED_VALUE"""),263.833)</f>
        <v>263.83300000000003</v>
      </c>
      <c r="G159">
        <f ca="1">IFERROR(__xludf.DUMMYFUNCTION("""COMPUTED_VALUE"""),26)</f>
        <v>26</v>
      </c>
      <c r="H159">
        <f ca="1">IFERROR(__xludf.DUMMYFUNCTION("""COMPUTED_VALUE"""),192)</f>
        <v>192</v>
      </c>
    </row>
    <row r="160" spans="1:8" ht="12.75">
      <c r="A160" t="str">
        <f ca="1">IFERROR(__xludf.DUMMYFUNCTION("""COMPUTED_VALUE"""),"T158")</f>
        <v>T158</v>
      </c>
      <c r="B160" t="str">
        <f ca="1">IFERROR(__xludf.DUMMYFUNCTION("""COMPUTED_VALUE"""),"T171")</f>
        <v>T171</v>
      </c>
      <c r="C160" t="str">
        <f ca="1">IFERROR(__xludf.DUMMYFUNCTION("""COMPUTED_VALUE"""),"Jeongwoo Ham")</f>
        <v>Jeongwoo Ham</v>
      </c>
      <c r="D160">
        <f ca="1">IFERROR(__xludf.DUMMYFUNCTION("""COMPUTED_VALUE"""),4)</f>
        <v>4</v>
      </c>
      <c r="E160" t="str">
        <f ca="1">IFERROR(__xludf.DUMMYFUNCTION("""COMPUTED_VALUE"""),"10' 2""")</f>
        <v>10' 2"</v>
      </c>
      <c r="F160">
        <f ca="1">IFERROR(__xludf.DUMMYFUNCTION("""COMPUTED_VALUE"""),254.333)</f>
        <v>254.333</v>
      </c>
      <c r="G160">
        <f ca="1">IFERROR(__xludf.DUMMYFUNCTION("""COMPUTED_VALUE"""),25)</f>
        <v>25</v>
      </c>
      <c r="H160">
        <f ca="1">IFERROR(__xludf.DUMMYFUNCTION("""COMPUTED_VALUE"""),273)</f>
        <v>273</v>
      </c>
    </row>
    <row r="161" spans="1:8" ht="12.75">
      <c r="A161" t="str">
        <f ca="1">IFERROR(__xludf.DUMMYFUNCTION("""COMPUTED_VALUE"""),"T158")</f>
        <v>T158</v>
      </c>
      <c r="B161" t="str">
        <f ca="1">IFERROR(__xludf.DUMMYFUNCTION("""COMPUTED_VALUE"""),"T168")</f>
        <v>T168</v>
      </c>
      <c r="C161" t="str">
        <f ca="1">IFERROR(__xludf.DUMMYFUNCTION("""COMPUTED_VALUE"""),"Jimmy Walker")</f>
        <v>Jimmy Walker</v>
      </c>
      <c r="D161">
        <f ca="1">IFERROR(__xludf.DUMMYFUNCTION("""COMPUTED_VALUE"""),10)</f>
        <v>10</v>
      </c>
      <c r="E161" t="str">
        <f ca="1">IFERROR(__xludf.DUMMYFUNCTION("""COMPUTED_VALUE"""),"10' 2""")</f>
        <v>10' 2"</v>
      </c>
      <c r="F161">
        <f ca="1">IFERROR(__xludf.DUMMYFUNCTION("""COMPUTED_VALUE"""),305.083)</f>
        <v>305.08300000000003</v>
      </c>
      <c r="G161">
        <f ca="1">IFERROR(__xludf.DUMMYFUNCTION("""COMPUTED_VALUE"""),30)</f>
        <v>30</v>
      </c>
      <c r="H161">
        <f ca="1">IFERROR(__xludf.DUMMYFUNCTION("""COMPUTED_VALUE"""),233)</f>
        <v>233</v>
      </c>
    </row>
    <row r="162" spans="1:8" ht="12.75">
      <c r="A162" t="str">
        <f ca="1">IFERROR(__xludf.DUMMYFUNCTION("""COMPUTED_VALUE"""),"T158")</f>
        <v>T158</v>
      </c>
      <c r="B162" t="str">
        <f ca="1">IFERROR(__xludf.DUMMYFUNCTION("""COMPUTED_VALUE"""),"T171")</f>
        <v>T171</v>
      </c>
      <c r="C162" t="str">
        <f ca="1">IFERROR(__xludf.DUMMYFUNCTION("""COMPUTED_VALUE"""),"Kevin Kisner")</f>
        <v>Kevin Kisner</v>
      </c>
      <c r="D162">
        <f ca="1">IFERROR(__xludf.DUMMYFUNCTION("""COMPUTED_VALUE"""),10)</f>
        <v>10</v>
      </c>
      <c r="E162" t="str">
        <f ca="1">IFERROR(__xludf.DUMMYFUNCTION("""COMPUTED_VALUE"""),"10' 2""")</f>
        <v>10' 2"</v>
      </c>
      <c r="F162">
        <f ca="1">IFERROR(__xludf.DUMMYFUNCTION("""COMPUTED_VALUE"""),346.667)</f>
        <v>346.66699999999997</v>
      </c>
      <c r="G162">
        <f ca="1">IFERROR(__xludf.DUMMYFUNCTION("""COMPUTED_VALUE"""),34)</f>
        <v>34</v>
      </c>
      <c r="H162">
        <f ca="1">IFERROR(__xludf.DUMMYFUNCTION("""COMPUTED_VALUE"""),187)</f>
        <v>187</v>
      </c>
    </row>
    <row r="163" spans="1:8" ht="12.75">
      <c r="A163" t="str">
        <f ca="1">IFERROR(__xludf.DUMMYFUNCTION("""COMPUTED_VALUE"""),"T162")</f>
        <v>T162</v>
      </c>
      <c r="B163" t="str">
        <f ca="1">IFERROR(__xludf.DUMMYFUNCTION("""COMPUTED_VALUE"""),"T189")</f>
        <v>T189</v>
      </c>
      <c r="C163" t="str">
        <f ca="1">IFERROR(__xludf.DUMMYFUNCTION("""COMPUTED_VALUE"""),"Troy Merritt")</f>
        <v>Troy Merritt</v>
      </c>
      <c r="D163">
        <f ca="1">IFERROR(__xludf.DUMMYFUNCTION("""COMPUTED_VALUE"""),20)</f>
        <v>20</v>
      </c>
      <c r="E163" t="str">
        <f ca="1">IFERROR(__xludf.DUMMYFUNCTION("""COMPUTED_VALUE"""),"10' 3""")</f>
        <v>10' 3"</v>
      </c>
      <c r="F163">
        <f ca="1">IFERROR(__xludf.DUMMYFUNCTION("""COMPUTED_VALUE"""),379.5)</f>
        <v>379.5</v>
      </c>
      <c r="G163">
        <f ca="1">IFERROR(__xludf.DUMMYFUNCTION("""COMPUTED_VALUE"""),37)</f>
        <v>37</v>
      </c>
      <c r="H163">
        <f ca="1">IFERROR(__xludf.DUMMYFUNCTION("""COMPUTED_VALUE"""),90)</f>
        <v>90</v>
      </c>
    </row>
    <row r="164" spans="1:8" ht="12.75">
      <c r="A164" t="str">
        <f ca="1">IFERROR(__xludf.DUMMYFUNCTION("""COMPUTED_VALUE"""),"T162")</f>
        <v>T162</v>
      </c>
      <c r="B164" t="str">
        <f ca="1">IFERROR(__xludf.DUMMYFUNCTION("""COMPUTED_VALUE"""),"T175")</f>
        <v>T175</v>
      </c>
      <c r="C164" t="str">
        <f ca="1">IFERROR(__xludf.DUMMYFUNCTION("""COMPUTED_VALUE"""),"Shawn Stefani")</f>
        <v>Shawn Stefani</v>
      </c>
      <c r="D164">
        <f ca="1">IFERROR(__xludf.DUMMYFUNCTION("""COMPUTED_VALUE"""),5)</f>
        <v>5</v>
      </c>
      <c r="E164" t="str">
        <f ca="1">IFERROR(__xludf.DUMMYFUNCTION("""COMPUTED_VALUE"""),"10' 3""")</f>
        <v>10' 3"</v>
      </c>
      <c r="F164">
        <f ca="1">IFERROR(__xludf.DUMMYFUNCTION("""COMPUTED_VALUE"""),30.667)</f>
        <v>30.667000000000002</v>
      </c>
      <c r="G164">
        <f ca="1">IFERROR(__xludf.DUMMYFUNCTION("""COMPUTED_VALUE"""),3)</f>
        <v>3</v>
      </c>
      <c r="H164">
        <f ca="1">IFERROR(__xludf.DUMMYFUNCTION("""COMPUTED_VALUE"""),255)</f>
        <v>255</v>
      </c>
    </row>
    <row r="165" spans="1:8" ht="12.75">
      <c r="A165" t="str">
        <f ca="1">IFERROR(__xludf.DUMMYFUNCTION("""COMPUTED_VALUE"""),"T162")</f>
        <v>T162</v>
      </c>
      <c r="B165">
        <f ca="1">IFERROR(__xludf.DUMMYFUNCTION("""COMPUTED_VALUE"""),90)</f>
        <v>90</v>
      </c>
      <c r="C165" t="str">
        <f ca="1">IFERROR(__xludf.DUMMYFUNCTION("""COMPUTED_VALUE"""),"Sean O'Hair")</f>
        <v>Sean O'Hair</v>
      </c>
      <c r="D165">
        <f ca="1">IFERROR(__xludf.DUMMYFUNCTION("""COMPUTED_VALUE"""),14)</f>
        <v>14</v>
      </c>
      <c r="E165" t="str">
        <f ca="1">IFERROR(__xludf.DUMMYFUNCTION("""COMPUTED_VALUE"""),"10' 3""")</f>
        <v>10' 3"</v>
      </c>
      <c r="F165">
        <f ca="1">IFERROR(__xludf.DUMMYFUNCTION("""COMPUTED_VALUE"""),133.5)</f>
        <v>133.5</v>
      </c>
      <c r="G165">
        <f ca="1">IFERROR(__xludf.DUMMYFUNCTION("""COMPUTED_VALUE"""),13)</f>
        <v>13</v>
      </c>
      <c r="H165">
        <f ca="1">IFERROR(__xludf.DUMMYFUNCTION("""COMPUTED_VALUE"""),219)</f>
        <v>219</v>
      </c>
    </row>
    <row r="166" spans="1:8" ht="12.75">
      <c r="A166" t="str">
        <f ca="1">IFERROR(__xludf.DUMMYFUNCTION("""COMPUTED_VALUE"""),"T162")</f>
        <v>T162</v>
      </c>
      <c r="B166" t="str">
        <f ca="1">IFERROR(__xludf.DUMMYFUNCTION("""COMPUTED_VALUE"""),"T175")</f>
        <v>T175</v>
      </c>
      <c r="C166" t="str">
        <f ca="1">IFERROR(__xludf.DUMMYFUNCTION("""COMPUTED_VALUE"""),"Matthew Wolff")</f>
        <v>Matthew Wolff</v>
      </c>
      <c r="D166">
        <f ca="1">IFERROR(__xludf.DUMMYFUNCTION("""COMPUTED_VALUE"""),16)</f>
        <v>16</v>
      </c>
      <c r="E166" t="str">
        <f ca="1">IFERROR(__xludf.DUMMYFUNCTION("""COMPUTED_VALUE"""),"10' 3""")</f>
        <v>10' 3"</v>
      </c>
      <c r="F166">
        <f ca="1">IFERROR(__xludf.DUMMYFUNCTION("""COMPUTED_VALUE"""),492.333)</f>
        <v>492.33300000000003</v>
      </c>
      <c r="G166">
        <f ca="1">IFERROR(__xludf.DUMMYFUNCTION("""COMPUTED_VALUE"""),48)</f>
        <v>48</v>
      </c>
      <c r="H166">
        <f ca="1">IFERROR(__xludf.DUMMYFUNCTION("""COMPUTED_VALUE"""),260)</f>
        <v>260</v>
      </c>
    </row>
    <row r="167" spans="1:8" ht="12.75">
      <c r="A167">
        <f ca="1">IFERROR(__xludf.DUMMYFUNCTION("""COMPUTED_VALUE"""),166)</f>
        <v>166</v>
      </c>
      <c r="B167" t="str">
        <f ca="1">IFERROR(__xludf.DUMMYFUNCTION("""COMPUTED_VALUE"""),"T182")</f>
        <v>T182</v>
      </c>
      <c r="C167" t="str">
        <f ca="1">IFERROR(__xludf.DUMMYFUNCTION("""COMPUTED_VALUE"""),"Brian Harman")</f>
        <v>Brian Harman</v>
      </c>
      <c r="D167">
        <f ca="1">IFERROR(__xludf.DUMMYFUNCTION("""COMPUTED_VALUE"""),24)</f>
        <v>24</v>
      </c>
      <c r="E167" t="str">
        <f ca="1">IFERROR(__xludf.DUMMYFUNCTION("""COMPUTED_VALUE"""),"10' 4""")</f>
        <v>10' 4"</v>
      </c>
      <c r="F167">
        <f ca="1">IFERROR(__xludf.DUMMYFUNCTION("""COMPUTED_VALUE"""),628.417)</f>
        <v>628.41700000000003</v>
      </c>
      <c r="G167">
        <f ca="1">IFERROR(__xludf.DUMMYFUNCTION("""COMPUTED_VALUE"""),61)</f>
        <v>61</v>
      </c>
      <c r="H167">
        <f ca="1">IFERROR(__xludf.DUMMYFUNCTION("""COMPUTED_VALUE"""),97)</f>
        <v>97</v>
      </c>
    </row>
    <row r="168" spans="1:8" ht="12.75">
      <c r="A168" t="str">
        <f ca="1">IFERROR(__xludf.DUMMYFUNCTION("""COMPUTED_VALUE"""),"T167")</f>
        <v>T167</v>
      </c>
      <c r="B168">
        <f ca="1">IFERROR(__xludf.DUMMYFUNCTION("""COMPUTED_VALUE"""),181)</f>
        <v>181</v>
      </c>
      <c r="C168" t="str">
        <f ca="1">IFERROR(__xludf.DUMMYFUNCTION("""COMPUTED_VALUE"""),"Chez Reavie")</f>
        <v>Chez Reavie</v>
      </c>
      <c r="D168">
        <f ca="1">IFERROR(__xludf.DUMMYFUNCTION("""COMPUTED_VALUE"""),14)</f>
        <v>14</v>
      </c>
      <c r="E168" t="str">
        <f ca="1">IFERROR(__xludf.DUMMYFUNCTION("""COMPUTED_VALUE"""),"10' 5""")</f>
        <v>10' 5"</v>
      </c>
      <c r="F168">
        <f ca="1">IFERROR(__xludf.DUMMYFUNCTION("""COMPUTED_VALUE"""),260.583)</f>
        <v>260.58300000000003</v>
      </c>
      <c r="G168">
        <f ca="1">IFERROR(__xludf.DUMMYFUNCTION("""COMPUTED_VALUE"""),25)</f>
        <v>25</v>
      </c>
      <c r="H168">
        <f ca="1">IFERROR(__xludf.DUMMYFUNCTION("""COMPUTED_VALUE"""),80)</f>
        <v>80</v>
      </c>
    </row>
    <row r="169" spans="1:8" ht="12.75">
      <c r="A169" t="str">
        <f ca="1">IFERROR(__xludf.DUMMYFUNCTION("""COMPUTED_VALUE"""),"T167")</f>
        <v>T167</v>
      </c>
      <c r="B169" t="str">
        <f ca="1">IFERROR(__xludf.DUMMYFUNCTION("""COMPUTED_VALUE"""),"T178")</f>
        <v>T178</v>
      </c>
      <c r="C169" t="str">
        <f ca="1">IFERROR(__xludf.DUMMYFUNCTION("""COMPUTED_VALUE"""),"Rory Sabbatini")</f>
        <v>Rory Sabbatini</v>
      </c>
      <c r="D169">
        <f ca="1">IFERROR(__xludf.DUMMYFUNCTION("""COMPUTED_VALUE"""),13)</f>
        <v>13</v>
      </c>
      <c r="E169" t="str">
        <f ca="1">IFERROR(__xludf.DUMMYFUNCTION("""COMPUTED_VALUE"""),"10' 5""")</f>
        <v>10' 5"</v>
      </c>
      <c r="F169">
        <f ca="1">IFERROR(__xludf.DUMMYFUNCTION("""COMPUTED_VALUE"""),355.417)</f>
        <v>355.41699999999997</v>
      </c>
      <c r="G169">
        <f ca="1">IFERROR(__xludf.DUMMYFUNCTION("""COMPUTED_VALUE"""),34)</f>
        <v>34</v>
      </c>
      <c r="H169">
        <f ca="1">IFERROR(__xludf.DUMMYFUNCTION("""COMPUTED_VALUE"""),275)</f>
        <v>275</v>
      </c>
    </row>
    <row r="170" spans="1:8" ht="12.75">
      <c r="A170" t="str">
        <f ca="1">IFERROR(__xludf.DUMMYFUNCTION("""COMPUTED_VALUE"""),"T167")</f>
        <v>T167</v>
      </c>
      <c r="B170">
        <f ca="1">IFERROR(__xludf.DUMMYFUNCTION("""COMPUTED_VALUE"""),202)</f>
        <v>202</v>
      </c>
      <c r="C170" t="str">
        <f ca="1">IFERROR(__xludf.DUMMYFUNCTION("""COMPUTED_VALUE"""),"Jason Day")</f>
        <v>Jason Day</v>
      </c>
      <c r="D170">
        <f ca="1">IFERROR(__xludf.DUMMYFUNCTION("""COMPUTED_VALUE"""),17)</f>
        <v>17</v>
      </c>
      <c r="E170" t="str">
        <f ca="1">IFERROR(__xludf.DUMMYFUNCTION("""COMPUTED_VALUE"""),"10' 5""")</f>
        <v>10' 5"</v>
      </c>
      <c r="F170">
        <f ca="1">IFERROR(__xludf.DUMMYFUNCTION("""COMPUTED_VALUE"""),417.083)</f>
        <v>417.08300000000003</v>
      </c>
      <c r="G170">
        <f ca="1">IFERROR(__xludf.DUMMYFUNCTION("""COMPUTED_VALUE"""),40)</f>
        <v>40</v>
      </c>
      <c r="H170">
        <f ca="1">IFERROR(__xludf.DUMMYFUNCTION("""COMPUTED_VALUE"""),109)</f>
        <v>109</v>
      </c>
    </row>
    <row r="171" spans="1:8" ht="12.75">
      <c r="A171" t="str">
        <f ca="1">IFERROR(__xludf.DUMMYFUNCTION("""COMPUTED_VALUE"""),"T170")</f>
        <v>T170</v>
      </c>
      <c r="B171" t="str">
        <f ca="1">IFERROR(__xludf.DUMMYFUNCTION("""COMPUTED_VALUE"""),"T182")</f>
        <v>T182</v>
      </c>
      <c r="C171" t="str">
        <f ca="1">IFERROR(__xludf.DUMMYFUNCTION("""COMPUTED_VALUE"""),"Billy Horschel")</f>
        <v>Billy Horschel</v>
      </c>
      <c r="D171">
        <f ca="1">IFERROR(__xludf.DUMMYFUNCTION("""COMPUTED_VALUE"""),12)</f>
        <v>12</v>
      </c>
      <c r="E171" t="str">
        <f ca="1">IFERROR(__xludf.DUMMYFUNCTION("""COMPUTED_VALUE"""),"10' 6""")</f>
        <v>10' 6"</v>
      </c>
      <c r="F171">
        <f ca="1">IFERROR(__xludf.DUMMYFUNCTION("""COMPUTED_VALUE"""),420.167)</f>
        <v>420.16699999999997</v>
      </c>
      <c r="G171">
        <f ca="1">IFERROR(__xludf.DUMMYFUNCTION("""COMPUTED_VALUE"""),40)</f>
        <v>40</v>
      </c>
      <c r="H171">
        <f ca="1">IFERROR(__xludf.DUMMYFUNCTION("""COMPUTED_VALUE"""),183)</f>
        <v>183</v>
      </c>
    </row>
    <row r="172" spans="1:8" ht="12.75">
      <c r="A172" t="str">
        <f ca="1">IFERROR(__xludf.DUMMYFUNCTION("""COMPUTED_VALUE"""),"T170")</f>
        <v>T170</v>
      </c>
      <c r="B172" t="str">
        <f ca="1">IFERROR(__xludf.DUMMYFUNCTION("""COMPUTED_VALUE"""),"T171")</f>
        <v>T171</v>
      </c>
      <c r="C172" t="str">
        <f ca="1">IFERROR(__xludf.DUMMYFUNCTION("""COMPUTED_VALUE"""),"Sung Kang")</f>
        <v>Sung Kang</v>
      </c>
      <c r="D172">
        <f ca="1">IFERROR(__xludf.DUMMYFUNCTION("""COMPUTED_VALUE"""),14)</f>
        <v>14</v>
      </c>
      <c r="E172" t="str">
        <f ca="1">IFERROR(__xludf.DUMMYFUNCTION("""COMPUTED_VALUE"""),"10' 6""")</f>
        <v>10' 6"</v>
      </c>
      <c r="F172">
        <f ca="1">IFERROR(__xludf.DUMMYFUNCTION("""COMPUTED_VALUE"""),409.25)</f>
        <v>409.25</v>
      </c>
      <c r="G172">
        <f ca="1">IFERROR(__xludf.DUMMYFUNCTION("""COMPUTED_VALUE"""),39)</f>
        <v>39</v>
      </c>
      <c r="H172">
        <f ca="1">IFERROR(__xludf.DUMMYFUNCTION("""COMPUTED_VALUE"""),281)</f>
        <v>281</v>
      </c>
    </row>
    <row r="173" spans="1:8" ht="12.75">
      <c r="A173" t="str">
        <f ca="1">IFERROR(__xludf.DUMMYFUNCTION("""COMPUTED_VALUE"""),"T170")</f>
        <v>T170</v>
      </c>
      <c r="B173" t="str">
        <f ca="1">IFERROR(__xludf.DUMMYFUNCTION("""COMPUTED_VALUE"""),"T165")</f>
        <v>T165</v>
      </c>
      <c r="C173" t="str">
        <f ca="1">IFERROR(__xludf.DUMMYFUNCTION("""COMPUTED_VALUE"""),"Scott Stallings")</f>
        <v>Scott Stallings</v>
      </c>
      <c r="D173">
        <f ca="1">IFERROR(__xludf.DUMMYFUNCTION("""COMPUTED_VALUE"""),14)</f>
        <v>14</v>
      </c>
      <c r="E173" t="str">
        <f ca="1">IFERROR(__xludf.DUMMYFUNCTION("""COMPUTED_VALUE"""),"10' 6""")</f>
        <v>10' 6"</v>
      </c>
      <c r="F173">
        <f ca="1">IFERROR(__xludf.DUMMYFUNCTION("""COMPUTED_VALUE"""),209.583)</f>
        <v>209.583</v>
      </c>
      <c r="G173">
        <f ca="1">IFERROR(__xludf.DUMMYFUNCTION("""COMPUTED_VALUE"""),20)</f>
        <v>20</v>
      </c>
      <c r="H173">
        <f ca="1">IFERROR(__xludf.DUMMYFUNCTION("""COMPUTED_VALUE"""),8)</f>
        <v>8</v>
      </c>
    </row>
    <row r="174" spans="1:8" ht="12.75">
      <c r="A174" t="str">
        <f ca="1">IFERROR(__xludf.DUMMYFUNCTION("""COMPUTED_VALUE"""),"T170")</f>
        <v>T170</v>
      </c>
      <c r="B174" t="str">
        <f ca="1">IFERROR(__xludf.DUMMYFUNCTION("""COMPUTED_VALUE"""),"T140")</f>
        <v>T140</v>
      </c>
      <c r="C174" t="str">
        <f ca="1">IFERROR(__xludf.DUMMYFUNCTION("""COMPUTED_VALUE"""),"Emiliano Grillo")</f>
        <v>Emiliano Grillo</v>
      </c>
      <c r="D174">
        <f ca="1">IFERROR(__xludf.DUMMYFUNCTION("""COMPUTED_VALUE"""),22)</f>
        <v>22</v>
      </c>
      <c r="E174" t="str">
        <f ca="1">IFERROR(__xludf.DUMMYFUNCTION("""COMPUTED_VALUE"""),"10' 6""")</f>
        <v>10' 6"</v>
      </c>
      <c r="F174">
        <f ca="1">IFERROR(__xludf.DUMMYFUNCTION("""COMPUTED_VALUE"""),251.167)</f>
        <v>251.167</v>
      </c>
      <c r="G174">
        <f ca="1">IFERROR(__xludf.DUMMYFUNCTION("""COMPUTED_VALUE"""),24)</f>
        <v>24</v>
      </c>
      <c r="H174">
        <f ca="1">IFERROR(__xludf.DUMMYFUNCTION("""COMPUTED_VALUE"""),64)</f>
        <v>64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IFERROR(__xludf.DUMMYFUNCTION("""COMPUTED_VALUE"""),"T182")</f>
        <v>T182</v>
      </c>
      <c r="C175" t="str">
        <f ca="1">IFERROR(__xludf.DUMMYFUNCTION("""COMPUTED_VALUE"""),"Michael Thompson")</f>
        <v>Michael Thompson</v>
      </c>
      <c r="D175">
        <f ca="1">IFERROR(__xludf.DUMMYFUNCTION("""COMPUTED_VALUE"""),16)</f>
        <v>16</v>
      </c>
      <c r="E175" t="str">
        <f ca="1">IFERROR(__xludf.DUMMYFUNCTION("""COMPUTED_VALUE"""),"10' 7""")</f>
        <v>10' 7"</v>
      </c>
      <c r="F175">
        <f ca="1">IFERROR(__xludf.DUMMYFUNCTION("""COMPUTED_VALUE"""),583.833)</f>
        <v>583.83299999999997</v>
      </c>
      <c r="G175">
        <f ca="1">IFERROR(__xludf.DUMMYFUNCTION("""COMPUTED_VALUE"""),55)</f>
        <v>55</v>
      </c>
      <c r="H175">
        <f ca="1">IFERROR(__xludf.DUMMYFUNCTION("""COMPUTED_VALUE"""),244)</f>
        <v>244</v>
      </c>
    </row>
    <row r="176" spans="1:8" ht="12.75">
      <c r="A176" t="str">
        <f ca="1">IFERROR(__xludf.DUMMYFUNCTION("""COMPUTED_VALUE"""),"T174")</f>
        <v>T174</v>
      </c>
      <c r="B176" t="str">
        <f ca="1">IFERROR(__xludf.DUMMYFUNCTION("""COMPUTED_VALUE"""),"T175")</f>
        <v>T175</v>
      </c>
      <c r="C176" t="str">
        <f ca="1">IFERROR(__xludf.DUMMYFUNCTION("""COMPUTED_VALUE"""),"Beau Hossler")</f>
        <v>Beau Hossler</v>
      </c>
      <c r="D176">
        <f ca="1">IFERROR(__xludf.DUMMYFUNCTION("""COMPUTED_VALUE"""),22)</f>
        <v>22</v>
      </c>
      <c r="E176" t="str">
        <f ca="1">IFERROR(__xludf.DUMMYFUNCTION("""COMPUTED_VALUE"""),"10' 7""")</f>
        <v>10' 7"</v>
      </c>
      <c r="F176">
        <f ca="1">IFERROR(__xludf.DUMMYFUNCTION("""COMPUTED_VALUE"""),403.667)</f>
        <v>403.66699999999997</v>
      </c>
      <c r="G176">
        <f ca="1">IFERROR(__xludf.DUMMYFUNCTION("""COMPUTED_VALUE"""),38)</f>
        <v>38</v>
      </c>
      <c r="H176">
        <f ca="1">IFERROR(__xludf.DUMMYFUNCTION("""COMPUTED_VALUE"""),101)</f>
        <v>101</v>
      </c>
    </row>
    <row r="177" spans="1:8" ht="12.75">
      <c r="A177" t="str">
        <f ca="1">IFERROR(__xludf.DUMMYFUNCTION("""COMPUTED_VALUE"""),"T176")</f>
        <v>T176</v>
      </c>
      <c r="B177" t="str">
        <f ca="1">IFERROR(__xludf.DUMMYFUNCTION("""COMPUTED_VALUE"""),"T93")</f>
        <v>T93</v>
      </c>
      <c r="C177" t="str">
        <f ca="1">IFERROR(__xludf.DUMMYFUNCTION("""COMPUTED_VALUE"""),"Sam Ryder")</f>
        <v>Sam Ryder</v>
      </c>
      <c r="D177">
        <f ca="1">IFERROR(__xludf.DUMMYFUNCTION("""COMPUTED_VALUE"""),12)</f>
        <v>12</v>
      </c>
      <c r="E177" t="str">
        <f ca="1">IFERROR(__xludf.DUMMYFUNCTION("""COMPUTED_VALUE"""),"10' 8""")</f>
        <v>10' 8"</v>
      </c>
      <c r="F177">
        <f ca="1">IFERROR(__xludf.DUMMYFUNCTION("""COMPUTED_VALUE"""),170.5)</f>
        <v>170.5</v>
      </c>
      <c r="G177">
        <f ca="1">IFERROR(__xludf.DUMMYFUNCTION("""COMPUTED_VALUE"""),16)</f>
        <v>16</v>
      </c>
      <c r="H177">
        <f ca="1">IFERROR(__xludf.DUMMYFUNCTION("""COMPUTED_VALUE"""),129)</f>
        <v>129</v>
      </c>
    </row>
    <row r="178" spans="1:8" ht="12.75">
      <c r="A178" t="str">
        <f ca="1">IFERROR(__xludf.DUMMYFUNCTION("""COMPUTED_VALUE"""),"T176")</f>
        <v>T176</v>
      </c>
      <c r="B178" t="str">
        <f ca="1">IFERROR(__xludf.DUMMYFUNCTION("""COMPUTED_VALUE"""),"T195")</f>
        <v>T195</v>
      </c>
      <c r="C178" t="str">
        <f ca="1">IFERROR(__xludf.DUMMYFUNCTION("""COMPUTED_VALUE"""),"Sam Burns")</f>
        <v>Sam Burns</v>
      </c>
      <c r="D178">
        <f ca="1">IFERROR(__xludf.DUMMYFUNCTION("""COMPUTED_VALUE"""),18)</f>
        <v>18</v>
      </c>
      <c r="E178" t="str">
        <f ca="1">IFERROR(__xludf.DUMMYFUNCTION("""COMPUTED_VALUE"""),"10' 8""")</f>
        <v>10' 8"</v>
      </c>
      <c r="F178">
        <f ca="1">IFERROR(__xludf.DUMMYFUNCTION("""COMPUTED_VALUE"""),298.917)</f>
        <v>298.91699999999997</v>
      </c>
      <c r="G178">
        <f ca="1">IFERROR(__xludf.DUMMYFUNCTION("""COMPUTED_VALUE"""),28)</f>
        <v>28</v>
      </c>
      <c r="H178">
        <f ca="1">IFERROR(__xludf.DUMMYFUNCTION("""COMPUTED_VALUE"""),229)</f>
        <v>229</v>
      </c>
    </row>
    <row r="179" spans="1:8" ht="12.75">
      <c r="A179" t="str">
        <f ca="1">IFERROR(__xludf.DUMMYFUNCTION("""COMPUTED_VALUE"""),"T176")</f>
        <v>T176</v>
      </c>
      <c r="B179" t="str">
        <f ca="1">IFERROR(__xludf.DUMMYFUNCTION("""COMPUTED_VALUE"""),"T71")</f>
        <v>T71</v>
      </c>
      <c r="C179" t="str">
        <f ca="1">IFERROR(__xludf.DUMMYFUNCTION("""COMPUTED_VALUE"""),"Kevin Chappell")</f>
        <v>Kevin Chappell</v>
      </c>
      <c r="D179">
        <f ca="1">IFERROR(__xludf.DUMMYFUNCTION("""COMPUTED_VALUE"""),16)</f>
        <v>16</v>
      </c>
      <c r="E179" t="str">
        <f ca="1">IFERROR(__xludf.DUMMYFUNCTION("""COMPUTED_VALUE"""),"10' 8""")</f>
        <v>10' 8"</v>
      </c>
      <c r="F179">
        <f ca="1">IFERROR(__xludf.DUMMYFUNCTION("""COMPUTED_VALUE"""),223.5)</f>
        <v>223.5</v>
      </c>
      <c r="G179">
        <f ca="1">IFERROR(__xludf.DUMMYFUNCTION("""COMPUTED_VALUE"""),21)</f>
        <v>21</v>
      </c>
      <c r="H179">
        <f ca="1">IFERROR(__xludf.DUMMYFUNCTION("""COMPUTED_VALUE"""),106)</f>
        <v>106</v>
      </c>
    </row>
    <row r="180" spans="1:8" ht="12.75">
      <c r="A180" t="str">
        <f ca="1">IFERROR(__xludf.DUMMYFUNCTION("""COMPUTED_VALUE"""),"T176")</f>
        <v>T176</v>
      </c>
      <c r="B180" t="str">
        <f ca="1">IFERROR(__xludf.DUMMYFUNCTION("""COMPUTED_VALUE"""),"T189")</f>
        <v>T189</v>
      </c>
      <c r="C180" t="str">
        <f ca="1">IFERROR(__xludf.DUMMYFUNCTION("""COMPUTED_VALUE"""),"Matt Every")</f>
        <v>Matt Every</v>
      </c>
      <c r="D180">
        <f ca="1">IFERROR(__xludf.DUMMYFUNCTION("""COMPUTED_VALUE"""),8)</f>
        <v>8</v>
      </c>
      <c r="E180" t="str">
        <f ca="1">IFERROR(__xludf.DUMMYFUNCTION("""COMPUTED_VALUE"""),"10' 8""")</f>
        <v>10' 8"</v>
      </c>
      <c r="F180">
        <f ca="1">IFERROR(__xludf.DUMMYFUNCTION("""COMPUTED_VALUE"""),138.333)</f>
        <v>138.333</v>
      </c>
      <c r="G180">
        <f ca="1">IFERROR(__xludf.DUMMYFUNCTION("""COMPUTED_VALUE"""),13)</f>
        <v>13</v>
      </c>
      <c r="H180">
        <f ca="1">IFERROR(__xludf.DUMMYFUNCTION("""COMPUTED_VALUE"""),262)</f>
        <v>262</v>
      </c>
    </row>
    <row r="181" spans="1:8" ht="12.75">
      <c r="A181" t="str">
        <f ca="1">IFERROR(__xludf.DUMMYFUNCTION("""COMPUTED_VALUE"""),"T180")</f>
        <v>T180</v>
      </c>
      <c r="B181" t="str">
        <f ca="1">IFERROR(__xludf.DUMMYFUNCTION("""COMPUTED_VALUE"""),"T191")</f>
        <v>T191</v>
      </c>
      <c r="C181" t="str">
        <f ca="1">IFERROR(__xludf.DUMMYFUNCTION("""COMPUTED_VALUE"""),"Danny Lee")</f>
        <v>Danny Lee</v>
      </c>
      <c r="D181">
        <f ca="1">IFERROR(__xludf.DUMMYFUNCTION("""COMPUTED_VALUE"""),15)</f>
        <v>15</v>
      </c>
      <c r="E181" t="str">
        <f ca="1">IFERROR(__xludf.DUMMYFUNCTION("""COMPUTED_VALUE"""),"10' 9""")</f>
        <v>10' 9"</v>
      </c>
      <c r="F181">
        <f ca="1">IFERROR(__xludf.DUMMYFUNCTION("""COMPUTED_VALUE"""),495.917)</f>
        <v>495.91699999999997</v>
      </c>
      <c r="G181">
        <f ca="1">IFERROR(__xludf.DUMMYFUNCTION("""COMPUTED_VALUE"""),46)</f>
        <v>46</v>
      </c>
      <c r="H181">
        <f ca="1">IFERROR(__xludf.DUMMYFUNCTION("""COMPUTED_VALUE"""),271)</f>
        <v>271</v>
      </c>
    </row>
    <row r="182" spans="1:8" ht="12.75">
      <c r="A182" t="str">
        <f ca="1">IFERROR(__xludf.DUMMYFUNCTION("""COMPUTED_VALUE"""),"T180")</f>
        <v>T180</v>
      </c>
      <c r="B182" t="str">
        <f ca="1">IFERROR(__xludf.DUMMYFUNCTION("""COMPUTED_VALUE"""),"T191")</f>
        <v>T191</v>
      </c>
      <c r="C182" t="str">
        <f ca="1">IFERROR(__xludf.DUMMYFUNCTION("""COMPUTED_VALUE"""),"Bill Haas")</f>
        <v>Bill Haas</v>
      </c>
      <c r="D182">
        <f ca="1">IFERROR(__xludf.DUMMYFUNCTION("""COMPUTED_VALUE"""),10)</f>
        <v>10</v>
      </c>
      <c r="E182" t="str">
        <f ca="1">IFERROR(__xludf.DUMMYFUNCTION("""COMPUTED_VALUE"""),"10' 9""")</f>
        <v>10' 9"</v>
      </c>
      <c r="F182">
        <f ca="1">IFERROR(__xludf.DUMMYFUNCTION("""COMPUTED_VALUE"""),150.25)</f>
        <v>150.25</v>
      </c>
      <c r="G182">
        <f ca="1">IFERROR(__xludf.DUMMYFUNCTION("""COMPUTED_VALUE"""),14)</f>
        <v>14</v>
      </c>
      <c r="H182">
        <f ca="1">IFERROR(__xludf.DUMMYFUNCTION("""COMPUTED_VALUE"""),19)</f>
        <v>19</v>
      </c>
    </row>
    <row r="183" spans="1:8" ht="12.75">
      <c r="A183" t="str">
        <f ca="1">IFERROR(__xludf.DUMMYFUNCTION("""COMPUTED_VALUE"""),"T180")</f>
        <v>T180</v>
      </c>
      <c r="B183" t="str">
        <f ca="1">IFERROR(__xludf.DUMMYFUNCTION("""COMPUTED_VALUE"""),"T191")</f>
        <v>T191</v>
      </c>
      <c r="C183" t="str">
        <f ca="1">IFERROR(__xludf.DUMMYFUNCTION("""COMPUTED_VALUE"""),"Louis Oosthuizen")</f>
        <v>Louis Oosthuizen</v>
      </c>
      <c r="D183">
        <f ca="1">IFERROR(__xludf.DUMMYFUNCTION("""COMPUTED_VALUE"""),12)</f>
        <v>12</v>
      </c>
      <c r="E183" t="str">
        <f ca="1">IFERROR(__xludf.DUMMYFUNCTION("""COMPUTED_VALUE"""),"10' 9""")</f>
        <v>10' 9"</v>
      </c>
      <c r="F183">
        <f ca="1">IFERROR(__xludf.DUMMYFUNCTION("""COMPUTED_VALUE"""),428.75)</f>
        <v>428.75</v>
      </c>
      <c r="G183">
        <f ca="1">IFERROR(__xludf.DUMMYFUNCTION("""COMPUTED_VALUE"""),40)</f>
        <v>40</v>
      </c>
      <c r="H183">
        <f ca="1">IFERROR(__xludf.DUMMYFUNCTION("""COMPUTED_VALUE"""),63)</f>
        <v>63</v>
      </c>
    </row>
    <row r="184" spans="1:8" ht="12.75">
      <c r="A184" t="str">
        <f ca="1">IFERROR(__xludf.DUMMYFUNCTION("""COMPUTED_VALUE"""),"T180")</f>
        <v>T180</v>
      </c>
      <c r="B184" t="str">
        <f ca="1">IFERROR(__xludf.DUMMYFUNCTION("""COMPUTED_VALUE"""),"T191")</f>
        <v>T191</v>
      </c>
      <c r="C184" t="str">
        <f ca="1">IFERROR(__xludf.DUMMYFUNCTION("""COMPUTED_VALUE"""),"Seonghyeon Kim")</f>
        <v>Seonghyeon Kim</v>
      </c>
      <c r="D184">
        <f ca="1">IFERROR(__xludf.DUMMYFUNCTION("""COMPUTED_VALUE"""),4)</f>
        <v>4</v>
      </c>
      <c r="E184" t="str">
        <f ca="1">IFERROR(__xludf.DUMMYFUNCTION("""COMPUTED_VALUE"""),"10' 9""")</f>
        <v>10' 9"</v>
      </c>
      <c r="F184">
        <f ca="1">IFERROR(__xludf.DUMMYFUNCTION("""COMPUTED_VALUE"""),161.583)</f>
        <v>161.583</v>
      </c>
      <c r="G184">
        <f ca="1">IFERROR(__xludf.DUMMYFUNCTION("""COMPUTED_VALUE"""),15)</f>
        <v>15</v>
      </c>
      <c r="H184">
        <f ca="1">IFERROR(__xludf.DUMMYFUNCTION("""COMPUTED_VALUE"""),144)</f>
        <v>144</v>
      </c>
    </row>
    <row r="185" spans="1:8" ht="12.75">
      <c r="A185" t="str">
        <f ca="1">IFERROR(__xludf.DUMMYFUNCTION("""COMPUTED_VALUE"""),"T180")</f>
        <v>T180</v>
      </c>
      <c r="B185" t="str">
        <f ca="1">IFERROR(__xludf.DUMMYFUNCTION("""COMPUTED_VALUE"""),"T163")</f>
        <v>T163</v>
      </c>
      <c r="C185" t="str">
        <f ca="1">IFERROR(__xludf.DUMMYFUNCTION("""COMPUTED_VALUE"""),"Matthew NeSmith")</f>
        <v>Matthew NeSmith</v>
      </c>
      <c r="D185">
        <f ca="1">IFERROR(__xludf.DUMMYFUNCTION("""COMPUTED_VALUE"""),16)</f>
        <v>16</v>
      </c>
      <c r="E185" t="str">
        <f ca="1">IFERROR(__xludf.DUMMYFUNCTION("""COMPUTED_VALUE"""),"10' 9""")</f>
        <v>10' 9"</v>
      </c>
      <c r="F185">
        <f ca="1">IFERROR(__xludf.DUMMYFUNCTION("""COMPUTED_VALUE"""),225.417)</f>
        <v>225.417</v>
      </c>
      <c r="G185">
        <f ca="1">IFERROR(__xludf.DUMMYFUNCTION("""COMPUTED_VALUE"""),21)</f>
        <v>21</v>
      </c>
      <c r="H185">
        <f ca="1">IFERROR(__xludf.DUMMYFUNCTION("""COMPUTED_VALUE"""),211)</f>
        <v>211</v>
      </c>
    </row>
    <row r="186" spans="1:8" ht="12.75">
      <c r="A186" t="str">
        <f ca="1">IFERROR(__xludf.DUMMYFUNCTION("""COMPUTED_VALUE"""),"T185")</f>
        <v>T185</v>
      </c>
      <c r="B186" t="str">
        <f ca="1">IFERROR(__xludf.DUMMYFUNCTION("""COMPUTED_VALUE"""),"T195")</f>
        <v>T195</v>
      </c>
      <c r="C186" t="str">
        <f ca="1">IFERROR(__xludf.DUMMYFUNCTION("""COMPUTED_VALUE"""),"Tommy Fleetwood")</f>
        <v>Tommy Fleetwood</v>
      </c>
      <c r="D186">
        <f ca="1">IFERROR(__xludf.DUMMYFUNCTION("""COMPUTED_VALUE"""),10)</f>
        <v>10</v>
      </c>
      <c r="E186" t="str">
        <f ca="1">IFERROR(__xludf.DUMMYFUNCTION("""COMPUTED_VALUE"""),"10' 10""")</f>
        <v>10' 10"</v>
      </c>
      <c r="F186">
        <f ca="1">IFERROR(__xludf.DUMMYFUNCTION("""COMPUTED_VALUE"""),411.833)</f>
        <v>411.83300000000003</v>
      </c>
      <c r="G186">
        <f ca="1">IFERROR(__xludf.DUMMYFUNCTION("""COMPUTED_VALUE"""),38)</f>
        <v>38</v>
      </c>
      <c r="H186">
        <f ca="1">IFERROR(__xludf.DUMMYFUNCTION("""COMPUTED_VALUE"""),248)</f>
        <v>248</v>
      </c>
    </row>
    <row r="187" spans="1:8" ht="12.75">
      <c r="A187" t="str">
        <f ca="1">IFERROR(__xludf.DUMMYFUNCTION("""COMPUTED_VALUE"""),"T185")</f>
        <v>T185</v>
      </c>
      <c r="B187" t="str">
        <f ca="1">IFERROR(__xludf.DUMMYFUNCTION("""COMPUTED_VALUE"""),"T146")</f>
        <v>T146</v>
      </c>
      <c r="C187" t="str">
        <f ca="1">IFERROR(__xludf.DUMMYFUNCTION("""COMPUTED_VALUE"""),"Kyoung-Hoon Lee")</f>
        <v>Kyoung-Hoon Lee</v>
      </c>
      <c r="D187">
        <f ca="1">IFERROR(__xludf.DUMMYFUNCTION("""COMPUTED_VALUE"""),20)</f>
        <v>20</v>
      </c>
      <c r="E187" t="str">
        <f ca="1">IFERROR(__xludf.DUMMYFUNCTION("""COMPUTED_VALUE"""),"10' 10""")</f>
        <v>10' 10"</v>
      </c>
      <c r="F187">
        <f ca="1">IFERROR(__xludf.DUMMYFUNCTION("""COMPUTED_VALUE"""),445.417)</f>
        <v>445.41699999999997</v>
      </c>
      <c r="G187">
        <f ca="1">IFERROR(__xludf.DUMMYFUNCTION("""COMPUTED_VALUE"""),41)</f>
        <v>41</v>
      </c>
      <c r="H187">
        <f ca="1">IFERROR(__xludf.DUMMYFUNCTION("""COMPUTED_VALUE"""),119)</f>
        <v>119</v>
      </c>
    </row>
    <row r="188" spans="1:8" ht="12.75">
      <c r="A188" t="str">
        <f ca="1">IFERROR(__xludf.DUMMYFUNCTION("""COMPUTED_VALUE"""),"T187")</f>
        <v>T187</v>
      </c>
      <c r="B188" t="str">
        <f ca="1">IFERROR(__xludf.DUMMYFUNCTION("""COMPUTED_VALUE"""),"T199")</f>
        <v>T199</v>
      </c>
      <c r="C188" t="str">
        <f ca="1">IFERROR(__xludf.DUMMYFUNCTION("""COMPUTED_VALUE"""),"Steve Lewton")</f>
        <v>Steve Lewton</v>
      </c>
      <c r="D188">
        <f ca="1">IFERROR(__xludf.DUMMYFUNCTION("""COMPUTED_VALUE"""),4)</f>
        <v>4</v>
      </c>
      <c r="E188" t="str">
        <f ca="1">IFERROR(__xludf.DUMMYFUNCTION("""COMPUTED_VALUE"""),"10' 11""")</f>
        <v>10' 11"</v>
      </c>
      <c r="F188">
        <f ca="1">IFERROR(__xludf.DUMMYFUNCTION("""COMPUTED_VALUE"""),142.417)</f>
        <v>142.417</v>
      </c>
      <c r="G188">
        <f ca="1">IFERROR(__xludf.DUMMYFUNCTION("""COMPUTED_VALUE"""),13)</f>
        <v>13</v>
      </c>
      <c r="H188">
        <f ca="1">IFERROR(__xludf.DUMMYFUNCTION("""COMPUTED_VALUE"""),215)</f>
        <v>215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IFERROR(__xludf.DUMMYFUNCTION("""COMPUTED_VALUE"""),"T199")</f>
        <v>T199</v>
      </c>
      <c r="C189" t="str">
        <f ca="1">IFERROR(__xludf.DUMMYFUNCTION("""COMPUTED_VALUE"""),"Brendon Todd")</f>
        <v>Brendon Todd</v>
      </c>
      <c r="D189">
        <f ca="1">IFERROR(__xludf.DUMMYFUNCTION("""COMPUTED_VALUE"""),14)</f>
        <v>14</v>
      </c>
      <c r="E189" t="str">
        <f ca="1">IFERROR(__xludf.DUMMYFUNCTION("""COMPUTED_VALUE"""),"10' 11""")</f>
        <v>10' 11"</v>
      </c>
      <c r="F189">
        <f ca="1">IFERROR(__xludf.DUMMYFUNCTION("""COMPUTED_VALUE"""),413.667)</f>
        <v>413.66699999999997</v>
      </c>
      <c r="G189">
        <f ca="1">IFERROR(__xludf.DUMMYFUNCTION("""COMPUTED_VALUE"""),38)</f>
        <v>38</v>
      </c>
      <c r="H189">
        <f ca="1">IFERROR(__xludf.DUMMYFUNCTION("""COMPUTED_VALUE"""),206)</f>
        <v>206</v>
      </c>
    </row>
    <row r="190" spans="1:8" ht="12.75">
      <c r="A190" t="str">
        <f ca="1">IFERROR(__xludf.DUMMYFUNCTION("""COMPUTED_VALUE"""),"T187")</f>
        <v>T187</v>
      </c>
      <c r="B190" t="str">
        <f ca="1">IFERROR(__xludf.DUMMYFUNCTION("""COMPUTED_VALUE"""),"T159")</f>
        <v>T159</v>
      </c>
      <c r="C190" t="str">
        <f ca="1">IFERROR(__xludf.DUMMYFUNCTION("""COMPUTED_VALUE"""),"Adam Scott")</f>
        <v>Adam Scott</v>
      </c>
      <c r="D190">
        <f ca="1">IFERROR(__xludf.DUMMYFUNCTION("""COMPUTED_VALUE"""),8)</f>
        <v>8</v>
      </c>
      <c r="E190" t="str">
        <f ca="1">IFERROR(__xludf.DUMMYFUNCTION("""COMPUTED_VALUE"""),"10' 11""")</f>
        <v>10' 11"</v>
      </c>
      <c r="F190">
        <f ca="1">IFERROR(__xludf.DUMMYFUNCTION("""COMPUTED_VALUE"""),185.5)</f>
        <v>185.5</v>
      </c>
      <c r="G190">
        <f ca="1">IFERROR(__xludf.DUMMYFUNCTION("""COMPUTED_VALUE"""),17)</f>
        <v>17</v>
      </c>
      <c r="H190">
        <f ca="1">IFERROR(__xludf.DUMMYFUNCTION("""COMPUTED_VALUE"""),287)</f>
        <v>287</v>
      </c>
    </row>
    <row r="191" spans="1:8" ht="12.75">
      <c r="A191" t="str">
        <f ca="1">IFERROR(__xludf.DUMMYFUNCTION("""COMPUTED_VALUE"""),"T187")</f>
        <v>T187</v>
      </c>
      <c r="B191" t="str">
        <f ca="1">IFERROR(__xludf.DUMMYFUNCTION("""COMPUTED_VALUE"""),"T199")</f>
        <v>T199</v>
      </c>
      <c r="C191" t="str">
        <f ca="1">IFERROR(__xludf.DUMMYFUNCTION("""COMPUTED_VALUE"""),"Richy Werenski")</f>
        <v>Richy Werenski</v>
      </c>
      <c r="D191">
        <f ca="1">IFERROR(__xludf.DUMMYFUNCTION("""COMPUTED_VALUE"""),16)</f>
        <v>16</v>
      </c>
      <c r="E191" t="str">
        <f ca="1">IFERROR(__xludf.DUMMYFUNCTION("""COMPUTED_VALUE"""),"10' 11""")</f>
        <v>10' 11"</v>
      </c>
      <c r="F191">
        <f ca="1">IFERROR(__xludf.DUMMYFUNCTION("""COMPUTED_VALUE"""),503.833)</f>
        <v>503.83300000000003</v>
      </c>
      <c r="G191">
        <f ca="1">IFERROR(__xludf.DUMMYFUNCTION("""COMPUTED_VALUE"""),46)</f>
        <v>46</v>
      </c>
      <c r="H191">
        <f ca="1">IFERROR(__xludf.DUMMYFUNCTION("""COMPUTED_VALUE"""),112)</f>
        <v>112</v>
      </c>
    </row>
    <row r="192" spans="1:8" ht="12.75">
      <c r="A192" t="str">
        <f ca="1">IFERROR(__xludf.DUMMYFUNCTION("""COMPUTED_VALUE"""),"T191")</f>
        <v>T191</v>
      </c>
      <c r="B192" t="str">
        <f ca="1">IFERROR(__xludf.DUMMYFUNCTION("""COMPUTED_VALUE"""),"T195")</f>
        <v>T195</v>
      </c>
      <c r="C192" t="str">
        <f ca="1">IFERROR(__xludf.DUMMYFUNCTION("""COMPUTED_VALUE"""),"Sepp Straka")</f>
        <v>Sepp Straka</v>
      </c>
      <c r="D192">
        <f ca="1">IFERROR(__xludf.DUMMYFUNCTION("""COMPUTED_VALUE"""),22)</f>
        <v>22</v>
      </c>
      <c r="E192" t="str">
        <f ca="1">IFERROR(__xludf.DUMMYFUNCTION("""COMPUTED_VALUE"""),"11' 0""")</f>
        <v>11' 0"</v>
      </c>
      <c r="F192">
        <f ca="1">IFERROR(__xludf.DUMMYFUNCTION("""COMPUTED_VALUE"""),263.25)</f>
        <v>263.25</v>
      </c>
      <c r="G192">
        <f ca="1">IFERROR(__xludf.DUMMYFUNCTION("""COMPUTED_VALUE"""),24)</f>
        <v>24</v>
      </c>
      <c r="H192">
        <f ca="1">IFERROR(__xludf.DUMMYFUNCTION("""COMPUTED_VALUE"""),31)</f>
        <v>31</v>
      </c>
    </row>
    <row r="193" spans="1:8" ht="12.75">
      <c r="A193" t="str">
        <f ca="1">IFERROR(__xludf.DUMMYFUNCTION("""COMPUTED_VALUE"""),"T191")</f>
        <v>T191</v>
      </c>
      <c r="B193">
        <f ca="1">IFERROR(__xludf.DUMMYFUNCTION("""COMPUTED_VALUE"""),150)</f>
        <v>150</v>
      </c>
      <c r="C193" t="str">
        <f ca="1">IFERROR(__xludf.DUMMYFUNCTION("""COMPUTED_VALUE"""),"Sungjae Im")</f>
        <v>Sungjae Im</v>
      </c>
      <c r="D193">
        <f ca="1">IFERROR(__xludf.DUMMYFUNCTION("""COMPUTED_VALUE"""),24)</f>
        <v>24</v>
      </c>
      <c r="E193" t="str">
        <f ca="1">IFERROR(__xludf.DUMMYFUNCTION("""COMPUTED_VALUE"""),"11' 0""")</f>
        <v>11' 0"</v>
      </c>
      <c r="F193">
        <f ca="1">IFERROR(__xludf.DUMMYFUNCTION("""COMPUTED_VALUE"""),572.583)</f>
        <v>572.58299999999997</v>
      </c>
      <c r="G193">
        <f ca="1">IFERROR(__xludf.DUMMYFUNCTION("""COMPUTED_VALUE"""),52)</f>
        <v>52</v>
      </c>
      <c r="H193">
        <f ca="1">IFERROR(__xludf.DUMMYFUNCTION("""COMPUTED_VALUE"""),181)</f>
        <v>181</v>
      </c>
    </row>
    <row r="194" spans="1:8" ht="12.75">
      <c r="A194" t="str">
        <f ca="1">IFERROR(__xludf.DUMMYFUNCTION("""COMPUTED_VALUE"""),"T191")</f>
        <v>T191</v>
      </c>
      <c r="B194" t="str">
        <f ca="1">IFERROR(__xludf.DUMMYFUNCTION("""COMPUTED_VALUE"""),"T25")</f>
        <v>T25</v>
      </c>
      <c r="C194" t="str">
        <f ca="1">IFERROR(__xludf.DUMMYFUNCTION("""COMPUTED_VALUE"""),"John Huh")</f>
        <v>John Huh</v>
      </c>
      <c r="D194">
        <f ca="1">IFERROR(__xludf.DUMMYFUNCTION("""COMPUTED_VALUE"""),8)</f>
        <v>8</v>
      </c>
      <c r="E194" t="str">
        <f ca="1">IFERROR(__xludf.DUMMYFUNCTION("""COMPUTED_VALUE"""),"11' 0""")</f>
        <v>11' 0"</v>
      </c>
      <c r="F194">
        <f ca="1">IFERROR(__xludf.DUMMYFUNCTION("""COMPUTED_VALUE"""),109.833)</f>
        <v>109.833</v>
      </c>
      <c r="G194">
        <f ca="1">IFERROR(__xludf.DUMMYFUNCTION("""COMPUTED_VALUE"""),10)</f>
        <v>10</v>
      </c>
      <c r="H194">
        <f ca="1">IFERROR(__xludf.DUMMYFUNCTION("""COMPUTED_VALUE"""),214)</f>
        <v>214</v>
      </c>
    </row>
    <row r="195" spans="1:8" ht="12.75">
      <c r="A195" t="str">
        <f ca="1">IFERROR(__xludf.DUMMYFUNCTION("""COMPUTED_VALUE"""),"T191")</f>
        <v>T191</v>
      </c>
      <c r="B195">
        <f ca="1">IFERROR(__xludf.DUMMYFUNCTION("""COMPUTED_VALUE"""),232)</f>
        <v>232</v>
      </c>
      <c r="C195" t="str">
        <f ca="1">IFERROR(__xludf.DUMMYFUNCTION("""COMPUTED_VALUE"""),"Bo Van Pelt")</f>
        <v>Bo Van Pelt</v>
      </c>
      <c r="D195">
        <f ca="1">IFERROR(__xludf.DUMMYFUNCTION("""COMPUTED_VALUE"""),10)</f>
        <v>10</v>
      </c>
      <c r="E195" t="str">
        <f ca="1">IFERROR(__xludf.DUMMYFUNCTION("""COMPUTED_VALUE"""),"11' 0""")</f>
        <v>11' 0"</v>
      </c>
      <c r="F195">
        <f ca="1">IFERROR(__xludf.DUMMYFUNCTION("""COMPUTED_VALUE"""),43.833)</f>
        <v>43.832999999999998</v>
      </c>
      <c r="G195">
        <f ca="1">IFERROR(__xludf.DUMMYFUNCTION("""COMPUTED_VALUE"""),4)</f>
        <v>4</v>
      </c>
      <c r="H195">
        <f ca="1">IFERROR(__xludf.DUMMYFUNCTION("""COMPUTED_VALUE"""),265)</f>
        <v>265</v>
      </c>
    </row>
    <row r="196" spans="1:8" ht="12.75">
      <c r="A196" t="str">
        <f ca="1">IFERROR(__xludf.DUMMYFUNCTION("""COMPUTED_VALUE"""),"T191")</f>
        <v>T191</v>
      </c>
      <c r="B196" t="str">
        <f ca="1">IFERROR(__xludf.DUMMYFUNCTION("""COMPUTED_VALUE"""),"T187")</f>
        <v>T187</v>
      </c>
      <c r="C196" t="str">
        <f ca="1">IFERROR(__xludf.DUMMYFUNCTION("""COMPUTED_VALUE"""),"Lee Westwood")</f>
        <v>Lee Westwood</v>
      </c>
      <c r="D196">
        <f ca="1">IFERROR(__xludf.DUMMYFUNCTION("""COMPUTED_VALUE"""),6)</f>
        <v>6</v>
      </c>
      <c r="E196" t="str">
        <f ca="1">IFERROR(__xludf.DUMMYFUNCTION("""COMPUTED_VALUE"""),"11' 0""")</f>
        <v>11' 0"</v>
      </c>
      <c r="F196">
        <f ca="1">IFERROR(__xludf.DUMMYFUNCTION("""COMPUTED_VALUE"""),154)</f>
        <v>154</v>
      </c>
      <c r="G196">
        <f ca="1">IFERROR(__xludf.DUMMYFUNCTION("""COMPUTED_VALUE"""),14)</f>
        <v>14</v>
      </c>
      <c r="H196">
        <f ca="1">IFERROR(__xludf.DUMMYFUNCTION("""COMPUTED_VALUE"""),147)</f>
        <v>147</v>
      </c>
    </row>
    <row r="197" spans="1:8" ht="12.75">
      <c r="A197" t="str">
        <f ca="1">IFERROR(__xludf.DUMMYFUNCTION("""COMPUTED_VALUE"""),"T191")</f>
        <v>T191</v>
      </c>
      <c r="B197" t="str">
        <f ca="1">IFERROR(__xludf.DUMMYFUNCTION("""COMPUTED_VALUE"""),"T222")</f>
        <v>T222</v>
      </c>
      <c r="C197" t="str">
        <f ca="1">IFERROR(__xludf.DUMMYFUNCTION("""COMPUTED_VALUE"""),"Patton Kizzire")</f>
        <v>Patton Kizzire</v>
      </c>
      <c r="D197">
        <f ca="1">IFERROR(__xludf.DUMMYFUNCTION("""COMPUTED_VALUE"""),18)</f>
        <v>18</v>
      </c>
      <c r="E197" t="str">
        <f ca="1">IFERROR(__xludf.DUMMYFUNCTION("""COMPUTED_VALUE"""),"11' 0""")</f>
        <v>11' 0"</v>
      </c>
      <c r="F197">
        <f ca="1">IFERROR(__xludf.DUMMYFUNCTION("""COMPUTED_VALUE"""),198.667)</f>
        <v>198.667</v>
      </c>
      <c r="G197">
        <f ca="1">IFERROR(__xludf.DUMMYFUNCTION("""COMPUTED_VALUE"""),18)</f>
        <v>18</v>
      </c>
      <c r="H197">
        <f ca="1">IFERROR(__xludf.DUMMYFUNCTION("""COMPUTED_VALUE"""),177)</f>
        <v>177</v>
      </c>
    </row>
    <row r="198" spans="1:8" ht="12.75">
      <c r="A198" t="str">
        <f ca="1">IFERROR(__xludf.DUMMYFUNCTION("""COMPUTED_VALUE"""),"T197")</f>
        <v>T197</v>
      </c>
      <c r="B198" t="str">
        <f ca="1">IFERROR(__xludf.DUMMYFUNCTION("""COMPUTED_VALUE"""),"T133")</f>
        <v>T133</v>
      </c>
      <c r="C198" t="str">
        <f ca="1">IFERROR(__xludf.DUMMYFUNCTION("""COMPUTED_VALUE"""),"Scott Brown")</f>
        <v>Scott Brown</v>
      </c>
      <c r="D198">
        <f ca="1">IFERROR(__xludf.DUMMYFUNCTION("""COMPUTED_VALUE"""),14)</f>
        <v>14</v>
      </c>
      <c r="E198" t="str">
        <f ca="1">IFERROR(__xludf.DUMMYFUNCTION("""COMPUTED_VALUE"""),"11' 1""")</f>
        <v>11' 1"</v>
      </c>
      <c r="F198">
        <f ca="1">IFERROR(__xludf.DUMMYFUNCTION("""COMPUTED_VALUE"""),188)</f>
        <v>188</v>
      </c>
      <c r="G198">
        <f ca="1">IFERROR(__xludf.DUMMYFUNCTION("""COMPUTED_VALUE"""),17)</f>
        <v>17</v>
      </c>
      <c r="H198">
        <f ca="1">IFERROR(__xludf.DUMMYFUNCTION("""COMPUTED_VALUE"""),89)</f>
        <v>89</v>
      </c>
    </row>
    <row r="199" spans="1:8" ht="12.75">
      <c r="A199" t="str">
        <f ca="1">IFERROR(__xludf.DUMMYFUNCTION("""COMPUTED_VALUE"""),"T197")</f>
        <v>T197</v>
      </c>
      <c r="B199" t="str">
        <f ca="1">IFERROR(__xludf.DUMMYFUNCTION("""COMPUTED_VALUE"""),"T203")</f>
        <v>T203</v>
      </c>
      <c r="C199" t="str">
        <f ca="1">IFERROR(__xludf.DUMMYFUNCTION("""COMPUTED_VALUE"""),"Nick Taylor")</f>
        <v>Nick Taylor</v>
      </c>
      <c r="D199">
        <f ca="1">IFERROR(__xludf.DUMMYFUNCTION("""COMPUTED_VALUE"""),12)</f>
        <v>12</v>
      </c>
      <c r="E199" t="str">
        <f ca="1">IFERROR(__xludf.DUMMYFUNCTION("""COMPUTED_VALUE"""),"11' 1""")</f>
        <v>11' 1"</v>
      </c>
      <c r="F199">
        <f ca="1">IFERROR(__xludf.DUMMYFUNCTION("""COMPUTED_VALUE"""),443.417)</f>
        <v>443.41699999999997</v>
      </c>
      <c r="G199">
        <f ca="1">IFERROR(__xludf.DUMMYFUNCTION("""COMPUTED_VALUE"""),40)</f>
        <v>40</v>
      </c>
      <c r="H199">
        <f ca="1">IFERROR(__xludf.DUMMYFUNCTION("""COMPUTED_VALUE"""),188)</f>
        <v>188</v>
      </c>
    </row>
    <row r="200" spans="1:8" ht="12.75">
      <c r="A200">
        <f ca="1">IFERROR(__xludf.DUMMYFUNCTION("""COMPUTED_VALUE"""),199)</f>
        <v>199</v>
      </c>
      <c r="B200">
        <f ca="1">IFERROR(__xludf.DUMMYFUNCTION("""COMPUTED_VALUE"""),205)</f>
        <v>205</v>
      </c>
      <c r="C200" t="str">
        <f ca="1">IFERROR(__xludf.DUMMYFUNCTION("""COMPUTED_VALUE"""),"Rickie Fowler")</f>
        <v>Rickie Fowler</v>
      </c>
      <c r="D200">
        <f ca="1">IFERROR(__xludf.DUMMYFUNCTION("""COMPUTED_VALUE"""),14)</f>
        <v>14</v>
      </c>
      <c r="E200" t="str">
        <f ca="1">IFERROR(__xludf.DUMMYFUNCTION("""COMPUTED_VALUE"""),"11' 2""")</f>
        <v>11' 2"</v>
      </c>
      <c r="F200">
        <f ca="1">IFERROR(__xludf.DUMMYFUNCTION("""COMPUTED_VALUE"""),435.417)</f>
        <v>435.41699999999997</v>
      </c>
      <c r="G200">
        <f ca="1">IFERROR(__xludf.DUMMYFUNCTION("""COMPUTED_VALUE"""),39)</f>
        <v>39</v>
      </c>
      <c r="H200">
        <f ca="1">IFERROR(__xludf.DUMMYFUNCTION("""COMPUTED_VALUE"""),268)</f>
        <v>268</v>
      </c>
    </row>
    <row r="201" spans="1:8" ht="12.75">
      <c r="A201" t="str">
        <f ca="1">IFERROR(__xludf.DUMMYFUNCTION("""COMPUTED_VALUE"""),"T200")</f>
        <v>T200</v>
      </c>
      <c r="B201" t="str">
        <f ca="1">IFERROR(__xludf.DUMMYFUNCTION("""COMPUTED_VALUE"""),"T206")</f>
        <v>T206</v>
      </c>
      <c r="C201" t="str">
        <f ca="1">IFERROR(__xludf.DUMMYFUNCTION("""COMPUTED_VALUE"""),"Davis Riley")</f>
        <v>Davis Riley</v>
      </c>
      <c r="D201">
        <f ca="1">IFERROR(__xludf.DUMMYFUNCTION("""COMPUTED_VALUE"""),4)</f>
        <v>4</v>
      </c>
      <c r="E201" t="str">
        <f ca="1">IFERROR(__xludf.DUMMYFUNCTION("""COMPUTED_VALUE"""),"11' 3""")</f>
        <v>11' 3"</v>
      </c>
      <c r="F201">
        <f ca="1">IFERROR(__xludf.DUMMYFUNCTION("""COMPUTED_VALUE"""),101.25)</f>
        <v>101.25</v>
      </c>
      <c r="G201">
        <f ca="1">IFERROR(__xludf.DUMMYFUNCTION("""COMPUTED_VALUE"""),9)</f>
        <v>9</v>
      </c>
      <c r="H201">
        <f ca="1">IFERROR(__xludf.DUMMYFUNCTION("""COMPUTED_VALUE"""),289)</f>
        <v>289</v>
      </c>
    </row>
    <row r="202" spans="1:8" ht="12.75">
      <c r="A202" t="str">
        <f ca="1">IFERROR(__xludf.DUMMYFUNCTION("""COMPUTED_VALUE"""),"T200")</f>
        <v>T200</v>
      </c>
      <c r="B202" t="str">
        <f ca="1">IFERROR(__xludf.DUMMYFUNCTION("""COMPUTED_VALUE"""),"T40")</f>
        <v>T40</v>
      </c>
      <c r="C202" t="str">
        <f ca="1">IFERROR(__xludf.DUMMYFUNCTION("""COMPUTED_VALUE"""),"Cameron Davis")</f>
        <v>Cameron Davis</v>
      </c>
      <c r="D202">
        <f ca="1">IFERROR(__xludf.DUMMYFUNCTION("""COMPUTED_VALUE"""),16)</f>
        <v>16</v>
      </c>
      <c r="E202" t="str">
        <f ca="1">IFERROR(__xludf.DUMMYFUNCTION("""COMPUTED_VALUE"""),"11' 3""")</f>
        <v>11' 3"</v>
      </c>
      <c r="F202">
        <f ca="1">IFERROR(__xludf.DUMMYFUNCTION("""COMPUTED_VALUE"""),303.75)</f>
        <v>303.75</v>
      </c>
      <c r="G202">
        <f ca="1">IFERROR(__xludf.DUMMYFUNCTION("""COMPUTED_VALUE"""),27)</f>
        <v>27</v>
      </c>
      <c r="H202">
        <f ca="1">IFERROR(__xludf.DUMMYFUNCTION("""COMPUTED_VALUE"""),95)</f>
        <v>95</v>
      </c>
    </row>
    <row r="203" spans="1:8" ht="12.75">
      <c r="A203" t="str">
        <f ca="1">IFERROR(__xludf.DUMMYFUNCTION("""COMPUTED_VALUE"""),"T202")</f>
        <v>T202</v>
      </c>
      <c r="B203" t="str">
        <f ca="1">IFERROR(__xludf.DUMMYFUNCTION("""COMPUTED_VALUE"""),"T209")</f>
        <v>T209</v>
      </c>
      <c r="C203" t="str">
        <f ca="1">IFERROR(__xludf.DUMMYFUNCTION("""COMPUTED_VALUE"""),"Michael Gellerman")</f>
        <v>Michael Gellerman</v>
      </c>
      <c r="D203">
        <f ca="1">IFERROR(__xludf.DUMMYFUNCTION("""COMPUTED_VALUE"""),5)</f>
        <v>5</v>
      </c>
      <c r="E203" t="str">
        <f ca="1">IFERROR(__xludf.DUMMYFUNCTION("""COMPUTED_VALUE"""),"11' 4""")</f>
        <v>11' 4"</v>
      </c>
      <c r="F203">
        <f ca="1">IFERROR(__xludf.DUMMYFUNCTION("""COMPUTED_VALUE"""),45.417)</f>
        <v>45.417000000000002</v>
      </c>
      <c r="G203">
        <f ca="1">IFERROR(__xludf.DUMMYFUNCTION("""COMPUTED_VALUE"""),4)</f>
        <v>4</v>
      </c>
      <c r="H203">
        <f ca="1">IFERROR(__xludf.DUMMYFUNCTION("""COMPUTED_VALUE"""),225)</f>
        <v>225</v>
      </c>
    </row>
    <row r="204" spans="1:8" ht="12.75">
      <c r="A204" t="str">
        <f ca="1">IFERROR(__xludf.DUMMYFUNCTION("""COMPUTED_VALUE"""),"T202")</f>
        <v>T202</v>
      </c>
      <c r="B204" t="str">
        <f ca="1">IFERROR(__xludf.DUMMYFUNCTION("""COMPUTED_VALUE"""),"T211")</f>
        <v>T211</v>
      </c>
      <c r="C204" t="str">
        <f ca="1">IFERROR(__xludf.DUMMYFUNCTION("""COMPUTED_VALUE"""),"Lanto Griffin")</f>
        <v>Lanto Griffin</v>
      </c>
      <c r="D204">
        <f ca="1">IFERROR(__xludf.DUMMYFUNCTION("""COMPUTED_VALUE"""),18)</f>
        <v>18</v>
      </c>
      <c r="E204" t="str">
        <f ca="1">IFERROR(__xludf.DUMMYFUNCTION("""COMPUTED_VALUE"""),"11' 4""")</f>
        <v>11' 4"</v>
      </c>
      <c r="F204">
        <f ca="1">IFERROR(__xludf.DUMMYFUNCTION("""COMPUTED_VALUE"""),520.667)</f>
        <v>520.66700000000003</v>
      </c>
      <c r="G204">
        <f ca="1">IFERROR(__xludf.DUMMYFUNCTION("""COMPUTED_VALUE"""),46)</f>
        <v>46</v>
      </c>
      <c r="H204">
        <f ca="1">IFERROR(__xludf.DUMMYFUNCTION("""COMPUTED_VALUE"""),199)</f>
        <v>199</v>
      </c>
    </row>
    <row r="205" spans="1:8" ht="12.75">
      <c r="A205" t="str">
        <f ca="1">IFERROR(__xludf.DUMMYFUNCTION("""COMPUTED_VALUE"""),"T202")</f>
        <v>T202</v>
      </c>
      <c r="B205" t="str">
        <f ca="1">IFERROR(__xludf.DUMMYFUNCTION("""COMPUTED_VALUE"""),"T187")</f>
        <v>T187</v>
      </c>
      <c r="C205" t="str">
        <f ca="1">IFERROR(__xludf.DUMMYFUNCTION("""COMPUTED_VALUE"""),"Dustin Johnson")</f>
        <v>Dustin Johnson</v>
      </c>
      <c r="D205">
        <f ca="1">IFERROR(__xludf.DUMMYFUNCTION("""COMPUTED_VALUE"""),8)</f>
        <v>8</v>
      </c>
      <c r="E205" t="str">
        <f ca="1">IFERROR(__xludf.DUMMYFUNCTION("""COMPUTED_VALUE"""),"11' 4""")</f>
        <v>11' 4"</v>
      </c>
      <c r="F205">
        <f ca="1">IFERROR(__xludf.DUMMYFUNCTION("""COMPUTED_VALUE"""),249)</f>
        <v>249</v>
      </c>
      <c r="G205">
        <f ca="1">IFERROR(__xludf.DUMMYFUNCTION("""COMPUTED_VALUE"""),22)</f>
        <v>22</v>
      </c>
      <c r="H205">
        <f ca="1">IFERROR(__xludf.DUMMYFUNCTION("""COMPUTED_VALUE"""),198)</f>
        <v>198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IFERROR(__xludf.DUMMYFUNCTION("""COMPUTED_VALUE"""),"T213")</f>
        <v>T213</v>
      </c>
      <c r="C206" t="str">
        <f ca="1">IFERROR(__xludf.DUMMYFUNCTION("""COMPUTED_VALUE"""),"Matt Kuchar")</f>
        <v>Matt Kuchar</v>
      </c>
      <c r="D206">
        <f ca="1">IFERROR(__xludf.DUMMYFUNCTION("""COMPUTED_VALUE"""),14)</f>
        <v>14</v>
      </c>
      <c r="E206" t="str">
        <f ca="1">IFERROR(__xludf.DUMMYFUNCTION("""COMPUTED_VALUE"""),"11' 7""")</f>
        <v>11' 7"</v>
      </c>
      <c r="F206">
        <f ca="1">IFERROR(__xludf.DUMMYFUNCTION("""COMPUTED_VALUE"""),416.083)</f>
        <v>416.08300000000003</v>
      </c>
      <c r="G206">
        <f ca="1">IFERROR(__xludf.DUMMYFUNCTION("""COMPUTED_VALUE"""),36)</f>
        <v>36</v>
      </c>
      <c r="H206">
        <f ca="1">IFERROR(__xludf.DUMMYFUNCTION("""COMPUTED_VALUE"""),200)</f>
        <v>200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IFERROR(__xludf.DUMMYFUNCTION("""COMPUTED_VALUE"""),"T206")</f>
        <v>T206</v>
      </c>
      <c r="C207" t="str">
        <f ca="1">IFERROR(__xludf.DUMMYFUNCTION("""COMPUTED_VALUE"""),"Hunter Mahan")</f>
        <v>Hunter Mahan</v>
      </c>
      <c r="D207">
        <f ca="1">IFERROR(__xludf.DUMMYFUNCTION("""COMPUTED_VALUE"""),14)</f>
        <v>14</v>
      </c>
      <c r="E207" t="str">
        <f ca="1">IFERROR(__xludf.DUMMYFUNCTION("""COMPUTED_VALUE"""),"11' 7""")</f>
        <v>11' 7"</v>
      </c>
      <c r="F207">
        <f ca="1">IFERROR(__xludf.DUMMYFUNCTION("""COMPUTED_VALUE"""),242.917)</f>
        <v>242.917</v>
      </c>
      <c r="G207">
        <f ca="1">IFERROR(__xludf.DUMMYFUNCTION("""COMPUTED_VALUE"""),21)</f>
        <v>21</v>
      </c>
      <c r="H207">
        <f ca="1">IFERROR(__xludf.DUMMYFUNCTION("""COMPUTED_VALUE"""),168)</f>
        <v>168</v>
      </c>
    </row>
    <row r="208" spans="1:8" ht="12.75">
      <c r="A208" t="str">
        <f ca="1">IFERROR(__xludf.DUMMYFUNCTION("""COMPUTED_VALUE"""),"T205")</f>
        <v>T205</v>
      </c>
      <c r="B208" t="str">
        <f ca="1">IFERROR(__xludf.DUMMYFUNCTION("""COMPUTED_VALUE"""),"T213")</f>
        <v>T213</v>
      </c>
      <c r="C208" t="str">
        <f ca="1">IFERROR(__xludf.DUMMYFUNCTION("""COMPUTED_VALUE"""),"Matthew Fitzpatrick")</f>
        <v>Matthew Fitzpatrick</v>
      </c>
      <c r="D208">
        <f ca="1">IFERROR(__xludf.DUMMYFUNCTION("""COMPUTED_VALUE"""),10)</f>
        <v>10</v>
      </c>
      <c r="E208" t="str">
        <f ca="1">IFERROR(__xludf.DUMMYFUNCTION("""COMPUTED_VALUE"""),"11' 7""")</f>
        <v>11' 7"</v>
      </c>
      <c r="F208">
        <f ca="1">IFERROR(__xludf.DUMMYFUNCTION("""COMPUTED_VALUE"""),301.833)</f>
        <v>301.83300000000003</v>
      </c>
      <c r="G208">
        <f ca="1">IFERROR(__xludf.DUMMYFUNCTION("""COMPUTED_VALUE"""),26)</f>
        <v>26</v>
      </c>
      <c r="H208">
        <f ca="1">IFERROR(__xludf.DUMMYFUNCTION("""COMPUTED_VALUE"""),230)</f>
        <v>230</v>
      </c>
    </row>
    <row r="209" spans="1:8" ht="12.75">
      <c r="A209" t="str">
        <f ca="1">IFERROR(__xludf.DUMMYFUNCTION("""COMPUTED_VALUE"""),"T205")</f>
        <v>T205</v>
      </c>
      <c r="B209" t="str">
        <f ca="1">IFERROR(__xludf.DUMMYFUNCTION("""COMPUTED_VALUE"""),"T213")</f>
        <v>T213</v>
      </c>
      <c r="C209" t="str">
        <f ca="1">IFERROR(__xludf.DUMMYFUNCTION("""COMPUTED_VALUE"""),"Will Zalatoris")</f>
        <v>Will Zalatoris</v>
      </c>
      <c r="D209">
        <f ca="1">IFERROR(__xludf.DUMMYFUNCTION("""COMPUTED_VALUE"""),18)</f>
        <v>18</v>
      </c>
      <c r="E209" t="str">
        <f ca="1">IFERROR(__xludf.DUMMYFUNCTION("""COMPUTED_VALUE"""),"11' 7""")</f>
        <v>11' 7"</v>
      </c>
      <c r="F209">
        <f ca="1">IFERROR(__xludf.DUMMYFUNCTION("""COMPUTED_VALUE"""),265.917)</f>
        <v>265.91699999999997</v>
      </c>
      <c r="G209">
        <f ca="1">IFERROR(__xludf.DUMMYFUNCTION("""COMPUTED_VALUE"""),23)</f>
        <v>23</v>
      </c>
      <c r="H209">
        <f ca="1">IFERROR(__xludf.DUMMYFUNCTION("""COMPUTED_VALUE"""),48)</f>
        <v>48</v>
      </c>
    </row>
    <row r="210" spans="1:8" ht="12.75">
      <c r="A210">
        <f ca="1">IFERROR(__xludf.DUMMYFUNCTION("""COMPUTED_VALUE"""),209)</f>
        <v>209</v>
      </c>
      <c r="B210" t="str">
        <f ca="1">IFERROR(__xludf.DUMMYFUNCTION("""COMPUTED_VALUE"""),"T219")</f>
        <v>T219</v>
      </c>
      <c r="C210" t="str">
        <f ca="1">IFERROR(__xludf.DUMMYFUNCTION("""COMPUTED_VALUE"""),"Alex Noren")</f>
        <v>Alex Noren</v>
      </c>
      <c r="D210">
        <f ca="1">IFERROR(__xludf.DUMMYFUNCTION("""COMPUTED_VALUE"""),14)</f>
        <v>14</v>
      </c>
      <c r="E210" t="str">
        <f ca="1">IFERROR(__xludf.DUMMYFUNCTION("""COMPUTED_VALUE"""),"11' 8""")</f>
        <v>11' 8"</v>
      </c>
      <c r="F210">
        <f ca="1">IFERROR(__xludf.DUMMYFUNCTION("""COMPUTED_VALUE"""),491.417)</f>
        <v>491.41699999999997</v>
      </c>
      <c r="G210">
        <f ca="1">IFERROR(__xludf.DUMMYFUNCTION("""COMPUTED_VALUE"""),42)</f>
        <v>42</v>
      </c>
      <c r="H210">
        <f ca="1">IFERROR(__xludf.DUMMYFUNCTION("""COMPUTED_VALUE"""),206)</f>
        <v>206</v>
      </c>
    </row>
    <row r="211" spans="1:8" ht="12.75">
      <c r="A211" t="str">
        <f ca="1">IFERROR(__xludf.DUMMYFUNCTION("""COMPUTED_VALUE"""),"T210")</f>
        <v>T210</v>
      </c>
      <c r="B211">
        <f ca="1">IFERROR(__xludf.DUMMYFUNCTION("""COMPUTED_VALUE"""),217)</f>
        <v>217</v>
      </c>
      <c r="C211" t="str">
        <f ca="1">IFERROR(__xludf.DUMMYFUNCTION("""COMPUTED_VALUE"""),"Zac Blair")</f>
        <v>Zac Blair</v>
      </c>
      <c r="D211">
        <f ca="1">IFERROR(__xludf.DUMMYFUNCTION("""COMPUTED_VALUE"""),10)</f>
        <v>10</v>
      </c>
      <c r="E211" t="str">
        <f ca="1">IFERROR(__xludf.DUMMYFUNCTION("""COMPUTED_VALUE"""),"11' 9""")</f>
        <v>11' 9"</v>
      </c>
      <c r="F211">
        <f ca="1">IFERROR(__xludf.DUMMYFUNCTION("""COMPUTED_VALUE"""),94)</f>
        <v>94</v>
      </c>
      <c r="G211">
        <f ca="1">IFERROR(__xludf.DUMMYFUNCTION("""COMPUTED_VALUE"""),8)</f>
        <v>8</v>
      </c>
      <c r="H211">
        <f ca="1">IFERROR(__xludf.DUMMYFUNCTION("""COMPUTED_VALUE"""),230)</f>
        <v>230</v>
      </c>
    </row>
    <row r="212" spans="1:8" ht="12.75">
      <c r="A212" t="str">
        <f ca="1">IFERROR(__xludf.DUMMYFUNCTION("""COMPUTED_VALUE"""),"T210")</f>
        <v>T210</v>
      </c>
      <c r="B212" t="str">
        <f ca="1">IFERROR(__xludf.DUMMYFUNCTION("""COMPUTED_VALUE"""),"T252")</f>
        <v>T252</v>
      </c>
      <c r="C212" t="str">
        <f ca="1">IFERROR(__xludf.DUMMYFUNCTION("""COMPUTED_VALUE"""),"Max Homa")</f>
        <v>Max Homa</v>
      </c>
      <c r="D212">
        <f ca="1">IFERROR(__xludf.DUMMYFUNCTION("""COMPUTED_VALUE"""),12)</f>
        <v>12</v>
      </c>
      <c r="E212" t="str">
        <f ca="1">IFERROR(__xludf.DUMMYFUNCTION("""COMPUTED_VALUE"""),"11' 9""")</f>
        <v>11' 9"</v>
      </c>
      <c r="F212">
        <f ca="1">IFERROR(__xludf.DUMMYFUNCTION("""COMPUTED_VALUE"""),176)</f>
        <v>176</v>
      </c>
      <c r="G212">
        <f ca="1">IFERROR(__xludf.DUMMYFUNCTION("""COMPUTED_VALUE"""),15)</f>
        <v>15</v>
      </c>
      <c r="H212">
        <f ca="1">IFERROR(__xludf.DUMMYFUNCTION("""COMPUTED_VALUE"""),162)</f>
        <v>162</v>
      </c>
    </row>
    <row r="213" spans="1:8" ht="12.75">
      <c r="A213" t="str">
        <f ca="1">IFERROR(__xludf.DUMMYFUNCTION("""COMPUTED_VALUE"""),"T212")</f>
        <v>T212</v>
      </c>
      <c r="B213" t="str">
        <f ca="1">IFERROR(__xludf.DUMMYFUNCTION("""COMPUTED_VALUE"""),"T203")</f>
        <v>T203</v>
      </c>
      <c r="C213" t="str">
        <f ca="1">IFERROR(__xludf.DUMMYFUNCTION("""COMPUTED_VALUE"""),"Kevin Streelman")</f>
        <v>Kevin Streelman</v>
      </c>
      <c r="D213">
        <f ca="1">IFERROR(__xludf.DUMMYFUNCTION("""COMPUTED_VALUE"""),18)</f>
        <v>18</v>
      </c>
      <c r="E213" t="str">
        <f ca="1">IFERROR(__xludf.DUMMYFUNCTION("""COMPUTED_VALUE"""),"11' 10""")</f>
        <v>11' 10"</v>
      </c>
      <c r="F213">
        <f ca="1">IFERROR(__xludf.DUMMYFUNCTION("""COMPUTED_VALUE"""),450)</f>
        <v>450</v>
      </c>
      <c r="G213">
        <f ca="1">IFERROR(__xludf.DUMMYFUNCTION("""COMPUTED_VALUE"""),38)</f>
        <v>38</v>
      </c>
      <c r="H213">
        <f ca="1">IFERROR(__xludf.DUMMYFUNCTION("""COMPUTED_VALUE"""),121)</f>
        <v>121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IFERROR(__xludf.DUMMYFUNCTION("""COMPUTED_VALUE"""),"T264")</f>
        <v>T264</v>
      </c>
      <c r="C214" t="str">
        <f ca="1">IFERROR(__xludf.DUMMYFUNCTION("""COMPUTED_VALUE"""),"Graeme McDowell")</f>
        <v>Graeme McDowell</v>
      </c>
      <c r="D214">
        <f ca="1">IFERROR(__xludf.DUMMYFUNCTION("""COMPUTED_VALUE"""),8)</f>
        <v>8</v>
      </c>
      <c r="E214" t="str">
        <f ca="1">IFERROR(__xludf.DUMMYFUNCTION("""COMPUTED_VALUE"""),"11' 10""")</f>
        <v>11' 10"</v>
      </c>
      <c r="F214">
        <f ca="1">IFERROR(__xludf.DUMMYFUNCTION("""COMPUTED_VALUE"""),118.167)</f>
        <v>118.167</v>
      </c>
      <c r="G214">
        <f ca="1">IFERROR(__xludf.DUMMYFUNCTION("""COMPUTED_VALUE"""),10)</f>
        <v>10</v>
      </c>
      <c r="H214">
        <f ca="1">IFERROR(__xludf.DUMMYFUNCTION("""COMPUTED_VALUE"""),172)</f>
        <v>172</v>
      </c>
    </row>
    <row r="215" spans="1:8" ht="12.75">
      <c r="A215" t="str">
        <f ca="1">IFERROR(__xludf.DUMMYFUNCTION("""COMPUTED_VALUE"""),"T212")</f>
        <v>T212</v>
      </c>
      <c r="B215">
        <f ca="1">IFERROR(__xludf.DUMMYFUNCTION("""COMPUTED_VALUE"""),218)</f>
        <v>218</v>
      </c>
      <c r="C215" t="str">
        <f ca="1">IFERROR(__xludf.DUMMYFUNCTION("""COMPUTED_VALUE"""),"Jim Herman")</f>
        <v>Jim Herman</v>
      </c>
      <c r="D215">
        <f ca="1">IFERROR(__xludf.DUMMYFUNCTION("""COMPUTED_VALUE"""),12)</f>
        <v>12</v>
      </c>
      <c r="E215" t="str">
        <f ca="1">IFERROR(__xludf.DUMMYFUNCTION("""COMPUTED_VALUE"""),"11' 10""")</f>
        <v>11' 10"</v>
      </c>
      <c r="F215">
        <f ca="1">IFERROR(__xludf.DUMMYFUNCTION("""COMPUTED_VALUE"""),402.417)</f>
        <v>402.41699999999997</v>
      </c>
      <c r="G215">
        <f ca="1">IFERROR(__xludf.DUMMYFUNCTION("""COMPUTED_VALUE"""),34)</f>
        <v>34</v>
      </c>
      <c r="H215">
        <f ca="1">IFERROR(__xludf.DUMMYFUNCTION("""COMPUTED_VALUE"""),155)</f>
        <v>155</v>
      </c>
    </row>
    <row r="216" spans="1:8" ht="12.75">
      <c r="A216" t="str">
        <f ca="1">IFERROR(__xludf.DUMMYFUNCTION("""COMPUTED_VALUE"""),"T215")</f>
        <v>T215</v>
      </c>
      <c r="B216" t="str">
        <f ca="1">IFERROR(__xludf.DUMMYFUNCTION("""COMPUTED_VALUE"""),"T66")</f>
        <v>T66</v>
      </c>
      <c r="C216" t="str">
        <f ca="1">IFERROR(__xludf.DUMMYFUNCTION("""COMPUTED_VALUE"""),"Jhonattan Vegas")</f>
        <v>Jhonattan Vegas</v>
      </c>
      <c r="D216">
        <f ca="1">IFERROR(__xludf.DUMMYFUNCTION("""COMPUTED_VALUE"""),16)</f>
        <v>16</v>
      </c>
      <c r="E216" t="str">
        <f ca="1">IFERROR(__xludf.DUMMYFUNCTION("""COMPUTED_VALUE"""),"11' 11""")</f>
        <v>11' 11"</v>
      </c>
      <c r="F216">
        <f ca="1">IFERROR(__xludf.DUMMYFUNCTION("""COMPUTED_VALUE"""),226.75)</f>
        <v>226.75</v>
      </c>
      <c r="G216">
        <f ca="1">IFERROR(__xludf.DUMMYFUNCTION("""COMPUTED_VALUE"""),19)</f>
        <v>19</v>
      </c>
      <c r="H216">
        <f ca="1">IFERROR(__xludf.DUMMYFUNCTION("""COMPUTED_VALUE"""),245)</f>
        <v>245</v>
      </c>
    </row>
    <row r="217" spans="1:8" ht="12.75">
      <c r="A217" t="str">
        <f ca="1">IFERROR(__xludf.DUMMYFUNCTION("""COMPUTED_VALUE"""),"T215")</f>
        <v>T215</v>
      </c>
      <c r="B217" t="str">
        <f ca="1">IFERROR(__xludf.DUMMYFUNCTION("""COMPUTED_VALUE"""),"T163")</f>
        <v>T163</v>
      </c>
      <c r="C217" t="str">
        <f ca="1">IFERROR(__xludf.DUMMYFUNCTION("""COMPUTED_VALUE"""),"Brooks Koepka")</f>
        <v>Brooks Koepka</v>
      </c>
      <c r="D217">
        <f ca="1">IFERROR(__xludf.DUMMYFUNCTION("""COMPUTED_VALUE"""),8)</f>
        <v>8</v>
      </c>
      <c r="E217" t="str">
        <f ca="1">IFERROR(__xludf.DUMMYFUNCTION("""COMPUTED_VALUE"""),"11' 11""")</f>
        <v>11' 11"</v>
      </c>
      <c r="F217">
        <f ca="1">IFERROR(__xludf.DUMMYFUNCTION("""COMPUTED_VALUE"""),214.417)</f>
        <v>214.417</v>
      </c>
      <c r="G217">
        <f ca="1">IFERROR(__xludf.DUMMYFUNCTION("""COMPUTED_VALUE"""),18)</f>
        <v>18</v>
      </c>
      <c r="H217">
        <f ca="1">IFERROR(__xludf.DUMMYFUNCTION("""COMPUTED_VALUE"""),120)</f>
        <v>120</v>
      </c>
    </row>
    <row r="218" spans="1:8" ht="12.75">
      <c r="A218" t="str">
        <f ca="1">IFERROR(__xludf.DUMMYFUNCTION("""COMPUTED_VALUE"""),"T215")</f>
        <v>T215</v>
      </c>
      <c r="B218" t="str">
        <f ca="1">IFERROR(__xludf.DUMMYFUNCTION("""COMPUTED_VALUE"""),"T219")</f>
        <v>T219</v>
      </c>
      <c r="C218" t="str">
        <f ca="1">IFERROR(__xludf.DUMMYFUNCTION("""COMPUTED_VALUE"""),"Chan Kim")</f>
        <v>Chan Kim</v>
      </c>
      <c r="D218">
        <f ca="1">IFERROR(__xludf.DUMMYFUNCTION("""COMPUTED_VALUE"""),6)</f>
        <v>6</v>
      </c>
      <c r="E218" t="str">
        <f ca="1">IFERROR(__xludf.DUMMYFUNCTION("""COMPUTED_VALUE"""),"11' 11""")</f>
        <v>11' 11"</v>
      </c>
      <c r="F218">
        <f ca="1">IFERROR(__xludf.DUMMYFUNCTION("""COMPUTED_VALUE"""),166.583)</f>
        <v>166.583</v>
      </c>
      <c r="G218">
        <f ca="1">IFERROR(__xludf.DUMMYFUNCTION("""COMPUTED_VALUE"""),14)</f>
        <v>14</v>
      </c>
      <c r="H218">
        <f ca="1">IFERROR(__xludf.DUMMYFUNCTION("""COMPUTED_VALUE"""),185)</f>
        <v>185</v>
      </c>
    </row>
    <row r="219" spans="1:8" ht="12.75">
      <c r="A219">
        <f ca="1">IFERROR(__xludf.DUMMYFUNCTION("""COMPUTED_VALUE"""),218)</f>
        <v>218</v>
      </c>
      <c r="B219" t="str">
        <f ca="1">IFERROR(__xludf.DUMMYFUNCTION("""COMPUTED_VALUE"""),"T222")</f>
        <v>T222</v>
      </c>
      <c r="C219" t="str">
        <f ca="1">IFERROR(__xludf.DUMMYFUNCTION("""COMPUTED_VALUE"""),"Nick Watney")</f>
        <v>Nick Watney</v>
      </c>
      <c r="D219">
        <f ca="1">IFERROR(__xludf.DUMMYFUNCTION("""COMPUTED_VALUE"""),10)</f>
        <v>10</v>
      </c>
      <c r="E219" t="str">
        <f ca="1">IFERROR(__xludf.DUMMYFUNCTION("""COMPUTED_VALUE"""),"12' 0""")</f>
        <v>12' 0"</v>
      </c>
      <c r="F219">
        <f ca="1">IFERROR(__xludf.DUMMYFUNCTION("""COMPUTED_VALUE"""),132.167)</f>
        <v>132.167</v>
      </c>
      <c r="G219">
        <f ca="1">IFERROR(__xludf.DUMMYFUNCTION("""COMPUTED_VALUE"""),11)</f>
        <v>11</v>
      </c>
      <c r="H219">
        <f ca="1">IFERROR(__xludf.DUMMYFUNCTION("""COMPUTED_VALUE"""),41)</f>
        <v>41</v>
      </c>
    </row>
    <row r="220" spans="1:8" ht="12.75">
      <c r="A220" t="str">
        <f ca="1">IFERROR(__xludf.DUMMYFUNCTION("""COMPUTED_VALUE"""),"T219")</f>
        <v>T219</v>
      </c>
      <c r="B220" t="str">
        <f ca="1">IFERROR(__xludf.DUMMYFUNCTION("""COMPUTED_VALUE"""),"T224")</f>
        <v>T224</v>
      </c>
      <c r="C220" t="str">
        <f ca="1">IFERROR(__xludf.DUMMYFUNCTION("""COMPUTED_VALUE"""),"Branden Grace")</f>
        <v>Branden Grace</v>
      </c>
      <c r="D220">
        <f ca="1">IFERROR(__xludf.DUMMYFUNCTION("""COMPUTED_VALUE"""),16)</f>
        <v>16</v>
      </c>
      <c r="E220" t="str">
        <f ca="1">IFERROR(__xludf.DUMMYFUNCTION("""COMPUTED_VALUE"""),"12' 1""")</f>
        <v>12' 1"</v>
      </c>
      <c r="F220">
        <f ca="1">IFERROR(__xludf.DUMMYFUNCTION("""COMPUTED_VALUE"""),241.333)</f>
        <v>241.333</v>
      </c>
      <c r="G220">
        <f ca="1">IFERROR(__xludf.DUMMYFUNCTION("""COMPUTED_VALUE"""),20)</f>
        <v>20</v>
      </c>
      <c r="H220">
        <f ca="1">IFERROR(__xludf.DUMMYFUNCTION("""COMPUTED_VALUE"""),246)</f>
        <v>246</v>
      </c>
    </row>
    <row r="221" spans="1:8" ht="12.75">
      <c r="A221" t="str">
        <f ca="1">IFERROR(__xludf.DUMMYFUNCTION("""COMPUTED_VALUE"""),"T219")</f>
        <v>T219</v>
      </c>
      <c r="B221" t="str">
        <f ca="1">IFERROR(__xludf.DUMMYFUNCTION("""COMPUTED_VALUE"""),"")</f>
        <v/>
      </c>
      <c r="C221" t="str">
        <f ca="1">IFERROR(__xludf.DUMMYFUNCTION("""COMPUTED_VALUE"""),"Dawie van der Walt")</f>
        <v>Dawie van der Walt</v>
      </c>
      <c r="D221">
        <f ca="1">IFERROR(__xludf.DUMMYFUNCTION("""COMPUTED_VALUE"""),4)</f>
        <v>4</v>
      </c>
      <c r="E221" t="str">
        <f ca="1">IFERROR(__xludf.DUMMYFUNCTION("""COMPUTED_VALUE"""),"12' 1""")</f>
        <v>12' 1"</v>
      </c>
      <c r="F221">
        <f ca="1">IFERROR(__xludf.DUMMYFUNCTION("""COMPUTED_VALUE"""),48.25)</f>
        <v>48.25</v>
      </c>
      <c r="G221">
        <f ca="1">IFERROR(__xludf.DUMMYFUNCTION("""COMPUTED_VALUE"""),4)</f>
        <v>4</v>
      </c>
      <c r="H221">
        <f ca="1">IFERROR(__xludf.DUMMYFUNCTION("""COMPUTED_VALUE"""),102)</f>
        <v>102</v>
      </c>
    </row>
    <row r="222" spans="1:8" ht="12.75">
      <c r="A222" t="str">
        <f ca="1">IFERROR(__xludf.DUMMYFUNCTION("""COMPUTED_VALUE"""),"T219")</f>
        <v>T219</v>
      </c>
      <c r="B222" t="str">
        <f ca="1">IFERROR(__xludf.DUMMYFUNCTION("""COMPUTED_VALUE"""),"T224")</f>
        <v>T224</v>
      </c>
      <c r="C222" t="str">
        <f ca="1">IFERROR(__xludf.DUMMYFUNCTION("""COMPUTED_VALUE"""),"Sahith Theegala")</f>
        <v>Sahith Theegala</v>
      </c>
      <c r="D222">
        <f ca="1">IFERROR(__xludf.DUMMYFUNCTION("""COMPUTED_VALUE"""),6)</f>
        <v>6</v>
      </c>
      <c r="E222" t="str">
        <f ca="1">IFERROR(__xludf.DUMMYFUNCTION("""COMPUTED_VALUE"""),"12' 1""")</f>
        <v>12' 1"</v>
      </c>
      <c r="F222">
        <f ca="1">IFERROR(__xludf.DUMMYFUNCTION("""COMPUTED_VALUE"""),192.917)</f>
        <v>192.917</v>
      </c>
      <c r="G222">
        <f ca="1">IFERROR(__xludf.DUMMYFUNCTION("""COMPUTED_VALUE"""),16)</f>
        <v>16</v>
      </c>
      <c r="H222">
        <f ca="1">IFERROR(__xludf.DUMMYFUNCTION("""COMPUTED_VALUE"""),10)</f>
        <v>10</v>
      </c>
    </row>
    <row r="223" spans="1:8" ht="12.75">
      <c r="A223" t="str">
        <f ca="1">IFERROR(__xludf.DUMMYFUNCTION("""COMPUTED_VALUE"""),"T222")</f>
        <v>T222</v>
      </c>
      <c r="B223" t="str">
        <f ca="1">IFERROR(__xludf.DUMMYFUNCTION("""COMPUTED_VALUE"""),"T226")</f>
        <v>T226</v>
      </c>
      <c r="C223" t="str">
        <f ca="1">IFERROR(__xludf.DUMMYFUNCTION("""COMPUTED_VALUE"""),"Ryan Blaum")</f>
        <v>Ryan Blaum</v>
      </c>
      <c r="D223">
        <f ca="1">IFERROR(__xludf.DUMMYFUNCTION("""COMPUTED_VALUE"""),8)</f>
        <v>8</v>
      </c>
      <c r="E223" t="str">
        <f ca="1">IFERROR(__xludf.DUMMYFUNCTION("""COMPUTED_VALUE"""),"12' 3""")</f>
        <v>12' 3"</v>
      </c>
      <c r="F223">
        <f ca="1">IFERROR(__xludf.DUMMYFUNCTION("""COMPUTED_VALUE"""),134.5)</f>
        <v>134.5</v>
      </c>
      <c r="G223">
        <f ca="1">IFERROR(__xludf.DUMMYFUNCTION("""COMPUTED_VALUE"""),11)</f>
        <v>11</v>
      </c>
      <c r="H223">
        <f ca="1">IFERROR(__xludf.DUMMYFUNCTION("""COMPUTED_VALUE"""),97)</f>
        <v>97</v>
      </c>
    </row>
    <row r="224" spans="1:8" ht="12.75">
      <c r="A224" t="str">
        <f ca="1">IFERROR(__xludf.DUMMYFUNCTION("""COMPUTED_VALUE"""),"T222")</f>
        <v>T222</v>
      </c>
      <c r="B224">
        <f ca="1">IFERROR(__xludf.DUMMYFUNCTION("""COMPUTED_VALUE"""),216)</f>
        <v>216</v>
      </c>
      <c r="C224" t="str">
        <f ca="1">IFERROR(__xludf.DUMMYFUNCTION("""COMPUTED_VALUE"""),"Brice Garnett")</f>
        <v>Brice Garnett</v>
      </c>
      <c r="D224">
        <f ca="1">IFERROR(__xludf.DUMMYFUNCTION("""COMPUTED_VALUE"""),22)</f>
        <v>22</v>
      </c>
      <c r="E224" t="str">
        <f ca="1">IFERROR(__xludf.DUMMYFUNCTION("""COMPUTED_VALUE"""),"12' 3""")</f>
        <v>12' 3"</v>
      </c>
      <c r="F224">
        <f ca="1">IFERROR(__xludf.DUMMYFUNCTION("""COMPUTED_VALUE"""),220.5)</f>
        <v>220.5</v>
      </c>
      <c r="G224">
        <f ca="1">IFERROR(__xludf.DUMMYFUNCTION("""COMPUTED_VALUE"""),18)</f>
        <v>18</v>
      </c>
      <c r="H224">
        <f ca="1">IFERROR(__xludf.DUMMYFUNCTION("""COMPUTED_VALUE"""),77)</f>
        <v>77</v>
      </c>
    </row>
    <row r="225" spans="1:8" ht="12.75">
      <c r="A225" t="str">
        <f ca="1">IFERROR(__xludf.DUMMYFUNCTION("""COMPUTED_VALUE"""),"T222")</f>
        <v>T222</v>
      </c>
      <c r="B225" t="str">
        <f ca="1">IFERROR(__xludf.DUMMYFUNCTION("""COMPUTED_VALUE"""),"T226")</f>
        <v>T226</v>
      </c>
      <c r="C225" t="str">
        <f ca="1">IFERROR(__xludf.DUMMYFUNCTION("""COMPUTED_VALUE"""),"Parker McLachlin")</f>
        <v>Parker McLachlin</v>
      </c>
      <c r="D225">
        <f ca="1">IFERROR(__xludf.DUMMYFUNCTION("""COMPUTED_VALUE"""),4)</f>
        <v>4</v>
      </c>
      <c r="E225" t="str">
        <f ca="1">IFERROR(__xludf.DUMMYFUNCTION("""COMPUTED_VALUE"""),"12' 3""")</f>
        <v>12' 3"</v>
      </c>
      <c r="F225">
        <f ca="1">IFERROR(__xludf.DUMMYFUNCTION("""COMPUTED_VALUE"""),110.25)</f>
        <v>110.25</v>
      </c>
      <c r="G225">
        <f ca="1">IFERROR(__xludf.DUMMYFUNCTION("""COMPUTED_VALUE"""),9)</f>
        <v>9</v>
      </c>
      <c r="H225">
        <f ca="1">IFERROR(__xludf.DUMMYFUNCTION("""COMPUTED_VALUE"""),167)</f>
        <v>167</v>
      </c>
    </row>
    <row r="226" spans="1:8" ht="12.75">
      <c r="A226" t="str">
        <f ca="1">IFERROR(__xludf.DUMMYFUNCTION("""COMPUTED_VALUE"""),"T225")</f>
        <v>T225</v>
      </c>
      <c r="B226" t="str">
        <f ca="1">IFERROR(__xludf.DUMMYFUNCTION("""COMPUTED_VALUE"""),"T229")</f>
        <v>T229</v>
      </c>
      <c r="C226" t="str">
        <f ca="1">IFERROR(__xludf.DUMMYFUNCTION("""COMPUTED_VALUE"""),"Jason Kokrak")</f>
        <v>Jason Kokrak</v>
      </c>
      <c r="D226">
        <f ca="1">IFERROR(__xludf.DUMMYFUNCTION("""COMPUTED_VALUE"""),14)</f>
        <v>14</v>
      </c>
      <c r="E226" t="str">
        <f ca="1">IFERROR(__xludf.DUMMYFUNCTION("""COMPUTED_VALUE"""),"12' 4""")</f>
        <v>12' 4"</v>
      </c>
      <c r="F226">
        <f ca="1">IFERROR(__xludf.DUMMYFUNCTION("""COMPUTED_VALUE"""),457.333)</f>
        <v>457.33300000000003</v>
      </c>
      <c r="G226">
        <f ca="1">IFERROR(__xludf.DUMMYFUNCTION("""COMPUTED_VALUE"""),37)</f>
        <v>37</v>
      </c>
      <c r="H226">
        <f ca="1">IFERROR(__xludf.DUMMYFUNCTION("""COMPUTED_VALUE"""),93)</f>
        <v>93</v>
      </c>
    </row>
    <row r="227" spans="1:8" ht="12.75">
      <c r="A227" t="str">
        <f ca="1">IFERROR(__xludf.DUMMYFUNCTION("""COMPUTED_VALUE"""),"T225")</f>
        <v>T225</v>
      </c>
      <c r="B227">
        <f ca="1">IFERROR(__xludf.DUMMYFUNCTION("""COMPUTED_VALUE"""),234)</f>
        <v>234</v>
      </c>
      <c r="C227" t="str">
        <f ca="1">IFERROR(__xludf.DUMMYFUNCTION("""COMPUTED_VALUE"""),"Danny Willett")</f>
        <v>Danny Willett</v>
      </c>
      <c r="D227">
        <f ca="1">IFERROR(__xludf.DUMMYFUNCTION("""COMPUTED_VALUE"""),7)</f>
        <v>7</v>
      </c>
      <c r="E227" t="str">
        <f ca="1">IFERROR(__xludf.DUMMYFUNCTION("""COMPUTED_VALUE"""),"12' 4""")</f>
        <v>12' 4"</v>
      </c>
      <c r="F227">
        <f ca="1">IFERROR(__xludf.DUMMYFUNCTION("""COMPUTED_VALUE"""),61.667)</f>
        <v>61.667000000000002</v>
      </c>
      <c r="G227">
        <f ca="1">IFERROR(__xludf.DUMMYFUNCTION("""COMPUTED_VALUE"""),5)</f>
        <v>5</v>
      </c>
      <c r="H227">
        <f ca="1">IFERROR(__xludf.DUMMYFUNCTION("""COMPUTED_VALUE"""),269)</f>
        <v>269</v>
      </c>
    </row>
    <row r="228" spans="1:8" ht="12.75">
      <c r="A228" t="str">
        <f ca="1">IFERROR(__xludf.DUMMYFUNCTION("""COMPUTED_VALUE"""),"T225")</f>
        <v>T225</v>
      </c>
      <c r="B228" t="str">
        <f ca="1">IFERROR(__xludf.DUMMYFUNCTION("""COMPUTED_VALUE"""),"T229")</f>
        <v>T229</v>
      </c>
      <c r="C228" t="str">
        <f ca="1">IFERROR(__xludf.DUMMYFUNCTION("""COMPUTED_VALUE"""),"Cameron Champ")</f>
        <v>Cameron Champ</v>
      </c>
      <c r="D228">
        <f ca="1">IFERROR(__xludf.DUMMYFUNCTION("""COMPUTED_VALUE"""),12)</f>
        <v>12</v>
      </c>
      <c r="E228" t="str">
        <f ca="1">IFERROR(__xludf.DUMMYFUNCTION("""COMPUTED_VALUE"""),"12' 4""")</f>
        <v>12' 4"</v>
      </c>
      <c r="F228">
        <f ca="1">IFERROR(__xludf.DUMMYFUNCTION("""COMPUTED_VALUE"""),321.083)</f>
        <v>321.08300000000003</v>
      </c>
      <c r="G228">
        <f ca="1">IFERROR(__xludf.DUMMYFUNCTION("""COMPUTED_VALUE"""),26)</f>
        <v>26</v>
      </c>
      <c r="H228">
        <f ca="1">IFERROR(__xludf.DUMMYFUNCTION("""COMPUTED_VALUE"""),150)</f>
        <v>150</v>
      </c>
    </row>
    <row r="229" spans="1:8" ht="12.75">
      <c r="A229">
        <f ca="1">IFERROR(__xludf.DUMMYFUNCTION("""COMPUTED_VALUE"""),228)</f>
        <v>228</v>
      </c>
      <c r="B229">
        <f ca="1">IFERROR(__xludf.DUMMYFUNCTION("""COMPUTED_VALUE"""),231)</f>
        <v>231</v>
      </c>
      <c r="C229" t="str">
        <f ca="1">IFERROR(__xludf.DUMMYFUNCTION("""COMPUTED_VALUE"""),"Chase Seiffert")</f>
        <v>Chase Seiffert</v>
      </c>
      <c r="D229">
        <f ca="1">IFERROR(__xludf.DUMMYFUNCTION("""COMPUTED_VALUE"""),14)</f>
        <v>14</v>
      </c>
      <c r="E229" t="str">
        <f ca="1">IFERROR(__xludf.DUMMYFUNCTION("""COMPUTED_VALUE"""),"12' 5""")</f>
        <v>12' 5"</v>
      </c>
      <c r="F229">
        <f ca="1">IFERROR(__xludf.DUMMYFUNCTION("""COMPUTED_VALUE"""),211.083)</f>
        <v>211.083</v>
      </c>
      <c r="G229">
        <f ca="1">IFERROR(__xludf.DUMMYFUNCTION("""COMPUTED_VALUE"""),17)</f>
        <v>17</v>
      </c>
      <c r="H229">
        <f ca="1">IFERROR(__xludf.DUMMYFUNCTION("""COMPUTED_VALUE"""),85)</f>
        <v>85</v>
      </c>
    </row>
    <row r="230" spans="1:8" ht="12.75">
      <c r="A230">
        <f ca="1">IFERROR(__xludf.DUMMYFUNCTION("""COMPUTED_VALUE"""),229)</f>
        <v>229</v>
      </c>
      <c r="B230" t="str">
        <f ca="1">IFERROR(__xludf.DUMMYFUNCTION("""COMPUTED_VALUE"""),"")</f>
        <v/>
      </c>
      <c r="C230" t="str">
        <f ca="1">IFERROR(__xludf.DUMMYFUNCTION("""COMPUTED_VALUE"""),"Greg Chalmers")</f>
        <v>Greg Chalmers</v>
      </c>
      <c r="D230">
        <f ca="1">IFERROR(__xludf.DUMMYFUNCTION("""COMPUTED_VALUE"""),6)</f>
        <v>6</v>
      </c>
      <c r="E230" t="str">
        <f ca="1">IFERROR(__xludf.DUMMYFUNCTION("""COMPUTED_VALUE"""),"12' 6""")</f>
        <v>12' 6"</v>
      </c>
      <c r="F230">
        <f ca="1">IFERROR(__xludf.DUMMYFUNCTION("""COMPUTED_VALUE"""),87.417)</f>
        <v>87.417000000000002</v>
      </c>
      <c r="G230">
        <f ca="1">IFERROR(__xludf.DUMMYFUNCTION("""COMPUTED_VALUE"""),7)</f>
        <v>7</v>
      </c>
      <c r="H230">
        <f ca="1">IFERROR(__xludf.DUMMYFUNCTION("""COMPUTED_VALUE"""),211)</f>
        <v>211</v>
      </c>
    </row>
    <row r="231" spans="1:8" ht="12.75">
      <c r="A231" t="str">
        <f ca="1">IFERROR(__xludf.DUMMYFUNCTION("""COMPUTED_VALUE"""),"T230")</f>
        <v>T230</v>
      </c>
      <c r="B231" t="str">
        <f ca="1">IFERROR(__xludf.DUMMYFUNCTION("""COMPUTED_VALUE"""),"T206")</f>
        <v>T206</v>
      </c>
      <c r="C231" t="str">
        <f ca="1">IFERROR(__xludf.DUMMYFUNCTION("""COMPUTED_VALUE"""),"Henrik Stenson")</f>
        <v>Henrik Stenson</v>
      </c>
      <c r="D231">
        <f ca="1">IFERROR(__xludf.DUMMYFUNCTION("""COMPUTED_VALUE"""),11)</f>
        <v>11</v>
      </c>
      <c r="E231" t="str">
        <f ca="1">IFERROR(__xludf.DUMMYFUNCTION("""COMPUTED_VALUE"""),"12' 7""")</f>
        <v>12' 7"</v>
      </c>
      <c r="F231">
        <f ca="1">IFERROR(__xludf.DUMMYFUNCTION("""COMPUTED_VALUE"""),163.333)</f>
        <v>163.333</v>
      </c>
      <c r="G231">
        <f ca="1">IFERROR(__xludf.DUMMYFUNCTION("""COMPUTED_VALUE"""),13)</f>
        <v>13</v>
      </c>
      <c r="H231">
        <f ca="1">IFERROR(__xludf.DUMMYFUNCTION("""COMPUTED_VALUE"""),26)</f>
        <v>26</v>
      </c>
    </row>
    <row r="232" spans="1:8" ht="12.75">
      <c r="A232" t="str">
        <f ca="1">IFERROR(__xludf.DUMMYFUNCTION("""COMPUTED_VALUE"""),"T230")</f>
        <v>T230</v>
      </c>
      <c r="B232">
        <f ca="1">IFERROR(__xludf.DUMMYFUNCTION("""COMPUTED_VALUE"""),233)</f>
        <v>233</v>
      </c>
      <c r="C232" t="str">
        <f ca="1">IFERROR(__xludf.DUMMYFUNCTION("""COMPUTED_VALUE"""),"Rory McIlroy")</f>
        <v>Rory McIlroy</v>
      </c>
      <c r="D232">
        <f ca="1">IFERROR(__xludf.DUMMYFUNCTION("""COMPUTED_VALUE"""),12)</f>
        <v>12</v>
      </c>
      <c r="E232" t="str">
        <f ca="1">IFERROR(__xludf.DUMMYFUNCTION("""COMPUTED_VALUE"""),"12' 7""")</f>
        <v>12' 7"</v>
      </c>
      <c r="F232">
        <f ca="1">IFERROR(__xludf.DUMMYFUNCTION("""COMPUTED_VALUE"""),489.667)</f>
        <v>489.66699999999997</v>
      </c>
      <c r="G232">
        <f ca="1">IFERROR(__xludf.DUMMYFUNCTION("""COMPUTED_VALUE"""),39)</f>
        <v>39</v>
      </c>
      <c r="H232">
        <f ca="1">IFERROR(__xludf.DUMMYFUNCTION("""COMPUTED_VALUE"""),228)</f>
        <v>228</v>
      </c>
    </row>
    <row r="233" spans="1:8" ht="12.75">
      <c r="A233" t="str">
        <f ca="1">IFERROR(__xludf.DUMMYFUNCTION("""COMPUTED_VALUE"""),"T232")</f>
        <v>T232</v>
      </c>
      <c r="B233">
        <f ca="1">IFERROR(__xludf.DUMMYFUNCTION("""COMPUTED_VALUE"""),235)</f>
        <v>235</v>
      </c>
      <c r="C233" t="str">
        <f ca="1">IFERROR(__xludf.DUMMYFUNCTION("""COMPUTED_VALUE"""),"Mackenzie Hughes")</f>
        <v>Mackenzie Hughes</v>
      </c>
      <c r="D233">
        <f ca="1">IFERROR(__xludf.DUMMYFUNCTION("""COMPUTED_VALUE"""),18)</f>
        <v>18</v>
      </c>
      <c r="E233" t="str">
        <f ca="1">IFERROR(__xludf.DUMMYFUNCTION("""COMPUTED_VALUE"""),"12' 8""")</f>
        <v>12' 8"</v>
      </c>
      <c r="F233">
        <f ca="1">IFERROR(__xludf.DUMMYFUNCTION("""COMPUTED_VALUE"""),456)</f>
        <v>456</v>
      </c>
      <c r="G233">
        <f ca="1">IFERROR(__xludf.DUMMYFUNCTION("""COMPUTED_VALUE"""),36)</f>
        <v>36</v>
      </c>
      <c r="H233">
        <f ca="1">IFERROR(__xludf.DUMMYFUNCTION("""COMPUTED_VALUE"""),189)</f>
        <v>189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IFERROR(__xludf.DUMMYFUNCTION("""COMPUTED_VALUE"""),"T151")</f>
        <v>T151</v>
      </c>
      <c r="C234" t="str">
        <f ca="1">IFERROR(__xludf.DUMMYFUNCTION("""COMPUTED_VALUE"""),"Harold Varner III")</f>
        <v>Harold Varner III</v>
      </c>
      <c r="D234">
        <f ca="1">IFERROR(__xludf.DUMMYFUNCTION("""COMPUTED_VALUE"""),14)</f>
        <v>14</v>
      </c>
      <c r="E234" t="str">
        <f ca="1">IFERROR(__xludf.DUMMYFUNCTION("""COMPUTED_VALUE"""),"12' 8""")</f>
        <v>12' 8"</v>
      </c>
      <c r="F234">
        <f ca="1">IFERROR(__xludf.DUMMYFUNCTION("""COMPUTED_VALUE"""),203.083)</f>
        <v>203.083</v>
      </c>
      <c r="G234">
        <f ca="1">IFERROR(__xludf.DUMMYFUNCTION("""COMPUTED_VALUE"""),16)</f>
        <v>16</v>
      </c>
      <c r="H234">
        <f ca="1">IFERROR(__xludf.DUMMYFUNCTION("""COMPUTED_VALUE"""),111)</f>
        <v>111</v>
      </c>
    </row>
    <row r="235" spans="1:8" ht="12.75">
      <c r="A235">
        <f ca="1">IFERROR(__xludf.DUMMYFUNCTION("""COMPUTED_VALUE"""),234)</f>
        <v>234</v>
      </c>
      <c r="B235" t="str">
        <f ca="1">IFERROR(__xludf.DUMMYFUNCTION("""COMPUTED_VALUE"""),"T226")</f>
        <v>T226</v>
      </c>
      <c r="C235" t="str">
        <f ca="1">IFERROR(__xludf.DUMMYFUNCTION("""COMPUTED_VALUE"""),"Will Gordon")</f>
        <v>Will Gordon</v>
      </c>
      <c r="D235">
        <f ca="1">IFERROR(__xludf.DUMMYFUNCTION("""COMPUTED_VALUE"""),20)</f>
        <v>20</v>
      </c>
      <c r="E235" t="str">
        <f ca="1">IFERROR(__xludf.DUMMYFUNCTION("""COMPUTED_VALUE"""),"12' 9""")</f>
        <v>12' 9"</v>
      </c>
      <c r="F235">
        <f ca="1">IFERROR(__xludf.DUMMYFUNCTION("""COMPUTED_VALUE"""),357.417)</f>
        <v>357.41699999999997</v>
      </c>
      <c r="G235">
        <f ca="1">IFERROR(__xludf.DUMMYFUNCTION("""COMPUTED_VALUE"""),28)</f>
        <v>28</v>
      </c>
      <c r="H235">
        <f ca="1">IFERROR(__xludf.DUMMYFUNCTION("""COMPUTED_VALUE"""),222)</f>
        <v>222</v>
      </c>
    </row>
    <row r="236" spans="1:8" ht="12.75">
      <c r="A236">
        <f ca="1">IFERROR(__xludf.DUMMYFUNCTION("""COMPUTED_VALUE"""),235)</f>
        <v>235</v>
      </c>
      <c r="B236" t="str">
        <f ca="1">IFERROR(__xludf.DUMMYFUNCTION("""COMPUTED_VALUE"""),"T211")</f>
        <v>T211</v>
      </c>
      <c r="C236" t="str">
        <f ca="1">IFERROR(__xludf.DUMMYFUNCTION("""COMPUTED_VALUE"""),"Adam Schenk")</f>
        <v>Adam Schenk</v>
      </c>
      <c r="D236">
        <f ca="1">IFERROR(__xludf.DUMMYFUNCTION("""COMPUTED_VALUE"""),22)</f>
        <v>22</v>
      </c>
      <c r="E236" t="str">
        <f ca="1">IFERROR(__xludf.DUMMYFUNCTION("""COMPUTED_VALUE"""),"13' 0""")</f>
        <v>13' 0"</v>
      </c>
      <c r="F236">
        <f ca="1">IFERROR(__xludf.DUMMYFUNCTION("""COMPUTED_VALUE"""),338.083)</f>
        <v>338.08300000000003</v>
      </c>
      <c r="G236">
        <f ca="1">IFERROR(__xludf.DUMMYFUNCTION("""COMPUTED_VALUE"""),26)</f>
        <v>26</v>
      </c>
      <c r="H236">
        <f ca="1">IFERROR(__xludf.DUMMYFUNCTION("""COMPUTED_VALUE"""),53)</f>
        <v>53</v>
      </c>
    </row>
    <row r="237" spans="1:8" ht="12.75">
      <c r="A237">
        <f ca="1">IFERROR(__xludf.DUMMYFUNCTION("""COMPUTED_VALUE"""),236)</f>
        <v>236</v>
      </c>
      <c r="B237" t="str">
        <f ca="1">IFERROR(__xludf.DUMMYFUNCTION("""COMPUTED_VALUE"""),"")</f>
        <v/>
      </c>
      <c r="C237" t="str">
        <f ca="1">IFERROR(__xludf.DUMMYFUNCTION("""COMPUTED_VALUE"""),"Ollie Schniederjans")</f>
        <v>Ollie Schniederjans</v>
      </c>
      <c r="D237">
        <f ca="1">IFERROR(__xludf.DUMMYFUNCTION("""COMPUTED_VALUE"""),6)</f>
        <v>6</v>
      </c>
      <c r="E237" t="str">
        <f ca="1">IFERROR(__xludf.DUMMYFUNCTION("""COMPUTED_VALUE"""),"13' 2""")</f>
        <v>13' 2"</v>
      </c>
      <c r="F237">
        <f ca="1">IFERROR(__xludf.DUMMYFUNCTION("""COMPUTED_VALUE"""),39.417)</f>
        <v>39.417000000000002</v>
      </c>
      <c r="G237">
        <f ca="1">IFERROR(__xludf.DUMMYFUNCTION("""COMPUTED_VALUE"""),3)</f>
        <v>3</v>
      </c>
      <c r="H237">
        <f ca="1">IFERROR(__xludf.DUMMYFUNCTION("""COMPUTED_VALUE"""),85)</f>
        <v>85</v>
      </c>
    </row>
    <row r="238" spans="1:8" ht="12.75">
      <c r="A238" t="str">
        <f ca="1">IFERROR(__xludf.DUMMYFUNCTION("""COMPUTED_VALUE"""),"T237")</f>
        <v>T237</v>
      </c>
      <c r="B238">
        <f ca="1">IFERROR(__xludf.DUMMYFUNCTION("""COMPUTED_VALUE"""),236)</f>
        <v>236</v>
      </c>
      <c r="C238" t="str">
        <f ca="1">IFERROR(__xludf.DUMMYFUNCTION("""COMPUTED_VALUE"""),"Matthias Schwab")</f>
        <v>Matthias Schwab</v>
      </c>
      <c r="D238">
        <f ca="1">IFERROR(__xludf.DUMMYFUNCTION("""COMPUTED_VALUE"""),8)</f>
        <v>8</v>
      </c>
      <c r="E238" t="str">
        <f ca="1">IFERROR(__xludf.DUMMYFUNCTION("""COMPUTED_VALUE"""),"13' 3""")</f>
        <v>13' 3"</v>
      </c>
      <c r="F238">
        <f ca="1">IFERROR(__xludf.DUMMYFUNCTION("""COMPUTED_VALUE"""),185.167)</f>
        <v>185.167</v>
      </c>
      <c r="G238">
        <f ca="1">IFERROR(__xludf.DUMMYFUNCTION("""COMPUTED_VALUE"""),14)</f>
        <v>14</v>
      </c>
      <c r="H238">
        <f ca="1">IFERROR(__xludf.DUMMYFUNCTION("""COMPUTED_VALUE"""),133)</f>
        <v>133</v>
      </c>
    </row>
    <row r="239" spans="1:8" ht="12.75">
      <c r="A239" t="str">
        <f ca="1">IFERROR(__xludf.DUMMYFUNCTION("""COMPUTED_VALUE"""),"T237")</f>
        <v>T237</v>
      </c>
      <c r="B239" t="str">
        <f ca="1">IFERROR(__xludf.DUMMYFUNCTION("""COMPUTED_VALUE"""),"T219")</f>
        <v>T219</v>
      </c>
      <c r="C239" t="str">
        <f ca="1">IFERROR(__xludf.DUMMYFUNCTION("""COMPUTED_VALUE"""),"Scott Harrington")</f>
        <v>Scott Harrington</v>
      </c>
      <c r="D239">
        <f ca="1">IFERROR(__xludf.DUMMYFUNCTION("""COMPUTED_VALUE"""),18)</f>
        <v>18</v>
      </c>
      <c r="E239" t="str">
        <f ca="1">IFERROR(__xludf.DUMMYFUNCTION("""COMPUTED_VALUE"""),"13' 3""")</f>
        <v>13' 3"</v>
      </c>
      <c r="F239">
        <f ca="1">IFERROR(__xludf.DUMMYFUNCTION("""COMPUTED_VALUE"""),211.333)</f>
        <v>211.333</v>
      </c>
      <c r="G239">
        <f ca="1">IFERROR(__xludf.DUMMYFUNCTION("""COMPUTED_VALUE"""),16)</f>
        <v>16</v>
      </c>
      <c r="H239">
        <f ca="1">IFERROR(__xludf.DUMMYFUNCTION("""COMPUTED_VALUE"""),128)</f>
        <v>128</v>
      </c>
    </row>
    <row r="240" spans="1:8" ht="12.75">
      <c r="A240" t="str">
        <f ca="1">IFERROR(__xludf.DUMMYFUNCTION("""COMPUTED_VALUE"""),"T237")</f>
        <v>T237</v>
      </c>
      <c r="B240" t="str">
        <f ca="1">IFERROR(__xludf.DUMMYFUNCTION("""COMPUTED_VALUE"""),"T209")</f>
        <v>T209</v>
      </c>
      <c r="C240" t="str">
        <f ca="1">IFERROR(__xludf.DUMMYFUNCTION("""COMPUTED_VALUE"""),"Scott Piercy")</f>
        <v>Scott Piercy</v>
      </c>
      <c r="D240">
        <f ca="1">IFERROR(__xludf.DUMMYFUNCTION("""COMPUTED_VALUE"""),18)</f>
        <v>18</v>
      </c>
      <c r="E240" t="str">
        <f ca="1">IFERROR(__xludf.DUMMYFUNCTION("""COMPUTED_VALUE"""),"13' 3""")</f>
        <v>13' 3"</v>
      </c>
      <c r="F240">
        <f ca="1">IFERROR(__xludf.DUMMYFUNCTION("""COMPUTED_VALUE"""),330.417)</f>
        <v>330.41699999999997</v>
      </c>
      <c r="G240">
        <f ca="1">IFERROR(__xludf.DUMMYFUNCTION("""COMPUTED_VALUE"""),25)</f>
        <v>25</v>
      </c>
      <c r="H240">
        <f ca="1">IFERROR(__xludf.DUMMYFUNCTION("""COMPUTED_VALUE"""),62)</f>
        <v>62</v>
      </c>
    </row>
    <row r="241" spans="1:8" ht="12.75">
      <c r="A241" t="str">
        <f ca="1">IFERROR(__xludf.DUMMYFUNCTION("""COMPUTED_VALUE"""),"T237")</f>
        <v>T237</v>
      </c>
      <c r="B241">
        <f ca="1">IFERROR(__xludf.DUMMYFUNCTION("""COMPUTED_VALUE"""),238)</f>
        <v>238</v>
      </c>
      <c r="C241" t="str">
        <f ca="1">IFERROR(__xludf.DUMMYFUNCTION("""COMPUTED_VALUE"""),"Lucas Glover")</f>
        <v>Lucas Glover</v>
      </c>
      <c r="D241">
        <f ca="1">IFERROR(__xludf.DUMMYFUNCTION("""COMPUTED_VALUE"""),12)</f>
        <v>12</v>
      </c>
      <c r="E241" t="str">
        <f ca="1">IFERROR(__xludf.DUMMYFUNCTION("""COMPUTED_VALUE"""),"13' 3""")</f>
        <v>13' 3"</v>
      </c>
      <c r="F241">
        <f ca="1">IFERROR(__xludf.DUMMYFUNCTION("""COMPUTED_VALUE"""),490.417)</f>
        <v>490.41699999999997</v>
      </c>
      <c r="G241">
        <f ca="1">IFERROR(__xludf.DUMMYFUNCTION("""COMPUTED_VALUE"""),37)</f>
        <v>37</v>
      </c>
      <c r="H241">
        <f ca="1">IFERROR(__xludf.DUMMYFUNCTION("""COMPUTED_VALUE"""),249)</f>
        <v>249</v>
      </c>
    </row>
    <row r="242" spans="1:8" ht="12.75">
      <c r="A242">
        <f ca="1">IFERROR(__xludf.DUMMYFUNCTION("""COMPUTED_VALUE"""),241)</f>
        <v>241</v>
      </c>
      <c r="B242">
        <f ca="1">IFERROR(__xludf.DUMMYFUNCTION("""COMPUTED_VALUE"""),237)</f>
        <v>237</v>
      </c>
      <c r="C242" t="str">
        <f ca="1">IFERROR(__xludf.DUMMYFUNCTION("""COMPUTED_VALUE"""),"William McGirt")</f>
        <v>William McGirt</v>
      </c>
      <c r="D242">
        <f ca="1">IFERROR(__xludf.DUMMYFUNCTION("""COMPUTED_VALUE"""),6)</f>
        <v>6</v>
      </c>
      <c r="E242" t="str">
        <f ca="1">IFERROR(__xludf.DUMMYFUNCTION("""COMPUTED_VALUE"""),"13' 5""")</f>
        <v>13' 5"</v>
      </c>
      <c r="F242">
        <f ca="1">IFERROR(__xludf.DUMMYFUNCTION("""COMPUTED_VALUE"""),201.583)</f>
        <v>201.583</v>
      </c>
      <c r="G242">
        <f ca="1">IFERROR(__xludf.DUMMYFUNCTION("""COMPUTED_VALUE"""),15)</f>
        <v>15</v>
      </c>
      <c r="H242">
        <f ca="1">IFERROR(__xludf.DUMMYFUNCTION("""COMPUTED_VALUE"""),203)</f>
        <v>203</v>
      </c>
    </row>
    <row r="243" spans="1:8" ht="12.75">
      <c r="A243" t="str">
        <f ca="1">IFERROR(__xludf.DUMMYFUNCTION("""COMPUTED_VALUE"""),"T242")</f>
        <v>T242</v>
      </c>
      <c r="B243" t="str">
        <f ca="1">IFERROR(__xludf.DUMMYFUNCTION("""COMPUTED_VALUE"""),"T195")</f>
        <v>T195</v>
      </c>
      <c r="C243" t="str">
        <f ca="1">IFERROR(__xludf.DUMMYFUNCTION("""COMPUTED_VALUE"""),"Henrik Norlander")</f>
        <v>Henrik Norlander</v>
      </c>
      <c r="D243">
        <f ca="1">IFERROR(__xludf.DUMMYFUNCTION("""COMPUTED_VALUE"""),16)</f>
        <v>16</v>
      </c>
      <c r="E243" t="str">
        <f ca="1">IFERROR(__xludf.DUMMYFUNCTION("""COMPUTED_VALUE"""),"13' 6""")</f>
        <v>13' 6"</v>
      </c>
      <c r="F243">
        <f ca="1">IFERROR(__xludf.DUMMYFUNCTION("""COMPUTED_VALUE"""),203)</f>
        <v>203</v>
      </c>
      <c r="G243">
        <f ca="1">IFERROR(__xludf.DUMMYFUNCTION("""COMPUTED_VALUE"""),15)</f>
        <v>15</v>
      </c>
      <c r="H243">
        <f ca="1">IFERROR(__xludf.DUMMYFUNCTION("""COMPUTED_VALUE"""),256)</f>
        <v>256</v>
      </c>
    </row>
    <row r="244" spans="1:8" ht="12.75">
      <c r="A244" t="str">
        <f ca="1">IFERROR(__xludf.DUMMYFUNCTION("""COMPUTED_VALUE"""),"T242")</f>
        <v>T242</v>
      </c>
      <c r="B244" t="str">
        <f ca="1">IFERROR(__xludf.DUMMYFUNCTION("""COMPUTED_VALUE"""),"T252")</f>
        <v>T252</v>
      </c>
      <c r="C244" t="str">
        <f ca="1">IFERROR(__xludf.DUMMYFUNCTION("""COMPUTED_VALUE"""),"Kramer Hickok")</f>
        <v>Kramer Hickok</v>
      </c>
      <c r="D244">
        <f ca="1">IFERROR(__xludf.DUMMYFUNCTION("""COMPUTED_VALUE"""),16)</f>
        <v>16</v>
      </c>
      <c r="E244" t="str">
        <f ca="1">IFERROR(__xludf.DUMMYFUNCTION("""COMPUTED_VALUE"""),"13' 6""")</f>
        <v>13' 6"</v>
      </c>
      <c r="F244">
        <f ca="1">IFERROR(__xludf.DUMMYFUNCTION("""COMPUTED_VALUE"""),148.583)</f>
        <v>148.583</v>
      </c>
      <c r="G244">
        <f ca="1">IFERROR(__xludf.DUMMYFUNCTION("""COMPUTED_VALUE"""),11)</f>
        <v>11</v>
      </c>
      <c r="H244">
        <f ca="1">IFERROR(__xludf.DUMMYFUNCTION("""COMPUTED_VALUE"""),174)</f>
        <v>174</v>
      </c>
    </row>
    <row r="245" spans="1:8" ht="12.75">
      <c r="A245">
        <f ca="1">IFERROR(__xludf.DUMMYFUNCTION("""COMPUTED_VALUE"""),244)</f>
        <v>244</v>
      </c>
      <c r="B245" t="str">
        <f ca="1">IFERROR(__xludf.DUMMYFUNCTION("""COMPUTED_VALUE"""),"T178")</f>
        <v>T178</v>
      </c>
      <c r="C245" t="str">
        <f ca="1">IFERROR(__xludf.DUMMYFUNCTION("""COMPUTED_VALUE"""),"Doc Redman")</f>
        <v>Doc Redman</v>
      </c>
      <c r="D245">
        <f ca="1">IFERROR(__xludf.DUMMYFUNCTION("""COMPUTED_VALUE"""),18)</f>
        <v>18</v>
      </c>
      <c r="E245" t="str">
        <f ca="1">IFERROR(__xludf.DUMMYFUNCTION("""COMPUTED_VALUE"""),"13' 9""")</f>
        <v>13' 9"</v>
      </c>
      <c r="F245">
        <f ca="1">IFERROR(__xludf.DUMMYFUNCTION("""COMPUTED_VALUE"""),289.333)</f>
        <v>289.33300000000003</v>
      </c>
      <c r="G245">
        <f ca="1">IFERROR(__xludf.DUMMYFUNCTION("""COMPUTED_VALUE"""),21)</f>
        <v>21</v>
      </c>
      <c r="H245">
        <f ca="1">IFERROR(__xludf.DUMMYFUNCTION("""COMPUTED_VALUE"""),55)</f>
        <v>55</v>
      </c>
    </row>
    <row r="246" spans="1:8" ht="12.75">
      <c r="A246" t="str">
        <f ca="1">IFERROR(__xludf.DUMMYFUNCTION("""COMPUTED_VALUE"""),"T245")</f>
        <v>T245</v>
      </c>
      <c r="B246" t="str">
        <f ca="1">IFERROR(__xludf.DUMMYFUNCTION("""COMPUTED_VALUE"""),"T240")</f>
        <v>T240</v>
      </c>
      <c r="C246" t="str">
        <f ca="1">IFERROR(__xludf.DUMMYFUNCTION("""COMPUTED_VALUE"""),"Robert MacIntyre")</f>
        <v>Robert MacIntyre</v>
      </c>
      <c r="D246">
        <f ca="1">IFERROR(__xludf.DUMMYFUNCTION("""COMPUTED_VALUE"""),4)</f>
        <v>4</v>
      </c>
      <c r="E246" t="str">
        <f ca="1">IFERROR(__xludf.DUMMYFUNCTION("""COMPUTED_VALUE"""),"13' 10""")</f>
        <v>13' 10"</v>
      </c>
      <c r="F246">
        <f ca="1">IFERROR(__xludf.DUMMYFUNCTION("""COMPUTED_VALUE"""),193.25)</f>
        <v>193.25</v>
      </c>
      <c r="G246">
        <f ca="1">IFERROR(__xludf.DUMMYFUNCTION("""COMPUTED_VALUE"""),14)</f>
        <v>14</v>
      </c>
      <c r="H246">
        <f ca="1">IFERROR(__xludf.DUMMYFUNCTION("""COMPUTED_VALUE"""),261)</f>
        <v>261</v>
      </c>
    </row>
    <row r="247" spans="1:8" ht="12.75">
      <c r="A247" t="str">
        <f ca="1">IFERROR(__xludf.DUMMYFUNCTION("""COMPUTED_VALUE"""),"T245")</f>
        <v>T245</v>
      </c>
      <c r="B247" t="str">
        <f ca="1">IFERROR(__xludf.DUMMYFUNCTION("""COMPUTED_VALUE"""),"T240")</f>
        <v>T240</v>
      </c>
      <c r="C247" t="str">
        <f ca="1">IFERROR(__xludf.DUMMYFUNCTION("""COMPUTED_VALUE"""),"Hanbyeol Kim")</f>
        <v>Hanbyeol Kim</v>
      </c>
      <c r="D247">
        <f ca="1">IFERROR(__xludf.DUMMYFUNCTION("""COMPUTED_VALUE"""),4)</f>
        <v>4</v>
      </c>
      <c r="E247" t="str">
        <f ca="1">IFERROR(__xludf.DUMMYFUNCTION("""COMPUTED_VALUE"""),"13' 10""")</f>
        <v>13' 10"</v>
      </c>
      <c r="F247">
        <f ca="1">IFERROR(__xludf.DUMMYFUNCTION("""COMPUTED_VALUE"""),207.333)</f>
        <v>207.333</v>
      </c>
      <c r="G247">
        <f ca="1">IFERROR(__xludf.DUMMYFUNCTION("""COMPUTED_VALUE"""),15)</f>
        <v>15</v>
      </c>
      <c r="H247">
        <f ca="1">IFERROR(__xludf.DUMMYFUNCTION("""COMPUTED_VALUE"""),280)</f>
        <v>280</v>
      </c>
    </row>
    <row r="248" spans="1:8" ht="12.75">
      <c r="A248">
        <f ca="1">IFERROR(__xludf.DUMMYFUNCTION("""COMPUTED_VALUE"""),247)</f>
        <v>247</v>
      </c>
      <c r="B248">
        <f ca="1">IFERROR(__xludf.DUMMYFUNCTION("""COMPUTED_VALUE"""),242)</f>
        <v>242</v>
      </c>
      <c r="C248" t="str">
        <f ca="1">IFERROR(__xludf.DUMMYFUNCTION("""COMPUTED_VALUE"""),"Thomas Pieters")</f>
        <v>Thomas Pieters</v>
      </c>
      <c r="D248">
        <f ca="1">IFERROR(__xludf.DUMMYFUNCTION("""COMPUTED_VALUE"""),4)</f>
        <v>4</v>
      </c>
      <c r="E248" t="str">
        <f ca="1">IFERROR(__xludf.DUMMYFUNCTION("""COMPUTED_VALUE"""),"14' 1""")</f>
        <v>14' 1"</v>
      </c>
      <c r="F248">
        <f ca="1">IFERROR(__xludf.DUMMYFUNCTION("""COMPUTED_VALUE"""),168.75)</f>
        <v>168.75</v>
      </c>
      <c r="G248">
        <f ca="1">IFERROR(__xludf.DUMMYFUNCTION("""COMPUTED_VALUE"""),12)</f>
        <v>12</v>
      </c>
      <c r="H248">
        <f ca="1">IFERROR(__xludf.DUMMYFUNCTION("""COMPUTED_VALUE"""),235)</f>
        <v>235</v>
      </c>
    </row>
    <row r="249" spans="1:8" ht="12.75">
      <c r="A249">
        <f ca="1">IFERROR(__xludf.DUMMYFUNCTION("""COMPUTED_VALUE"""),248)</f>
        <v>248</v>
      </c>
      <c r="B249">
        <f ca="1">IFERROR(__xludf.DUMMYFUNCTION("""COMPUTED_VALUE"""),243)</f>
        <v>243</v>
      </c>
      <c r="C249" t="str">
        <f ca="1">IFERROR(__xludf.DUMMYFUNCTION("""COMPUTED_VALUE"""),"Rafa Cabrera Bello")</f>
        <v>Rafa Cabrera Bello</v>
      </c>
      <c r="D249">
        <f ca="1">IFERROR(__xludf.DUMMYFUNCTION("""COMPUTED_VALUE"""),14)</f>
        <v>14</v>
      </c>
      <c r="E249" t="str">
        <f ca="1">IFERROR(__xludf.DUMMYFUNCTION("""COMPUTED_VALUE"""),"14' 2""")</f>
        <v>14' 2"</v>
      </c>
      <c r="F249">
        <f ca="1">IFERROR(__xludf.DUMMYFUNCTION("""COMPUTED_VALUE"""),367.333)</f>
        <v>367.33300000000003</v>
      </c>
      <c r="G249">
        <f ca="1">IFERROR(__xludf.DUMMYFUNCTION("""COMPUTED_VALUE"""),26)</f>
        <v>26</v>
      </c>
      <c r="H249">
        <f ca="1">IFERROR(__xludf.DUMMYFUNCTION("""COMPUTED_VALUE"""),234)</f>
        <v>234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IFERROR(__xludf.DUMMYFUNCTION("""COMPUTED_VALUE"""),239)</f>
        <v>239</v>
      </c>
      <c r="C250" t="str">
        <f ca="1">IFERROR(__xludf.DUMMYFUNCTION("""COMPUTED_VALUE"""),"Tom Lewis")</f>
        <v>Tom Lewis</v>
      </c>
      <c r="D250">
        <f ca="1">IFERROR(__xludf.DUMMYFUNCTION("""COMPUTED_VALUE"""),12)</f>
        <v>12</v>
      </c>
      <c r="E250" t="str">
        <f ca="1">IFERROR(__xludf.DUMMYFUNCTION("""COMPUTED_VALUE"""),"14' 3""")</f>
        <v>14' 3"</v>
      </c>
      <c r="F250">
        <f ca="1">IFERROR(__xludf.DUMMYFUNCTION("""COMPUTED_VALUE"""),256.25)</f>
        <v>256.25</v>
      </c>
      <c r="G250">
        <f ca="1">IFERROR(__xludf.DUMMYFUNCTION("""COMPUTED_VALUE"""),18)</f>
        <v>18</v>
      </c>
      <c r="H250">
        <f ca="1">IFERROR(__xludf.DUMMYFUNCTION("""COMPUTED_VALUE"""),223)</f>
        <v>223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IFERROR(__xludf.DUMMYFUNCTION("""COMPUTED_VALUE"""),245)</f>
        <v>245</v>
      </c>
      <c r="C251" t="str">
        <f ca="1">IFERROR(__xludf.DUMMYFUNCTION("""COMPUTED_VALUE"""),"Takumi Kanaya")</f>
        <v>Takumi Kanaya</v>
      </c>
      <c r="D251">
        <f ca="1">IFERROR(__xludf.DUMMYFUNCTION("""COMPUTED_VALUE"""),6)</f>
        <v>6</v>
      </c>
      <c r="E251" t="str">
        <f ca="1">IFERROR(__xludf.DUMMYFUNCTION("""COMPUTED_VALUE"""),"14' 5""")</f>
        <v>14' 5"</v>
      </c>
      <c r="F251">
        <f ca="1">IFERROR(__xludf.DUMMYFUNCTION("""COMPUTED_VALUE"""),288.333)</f>
        <v>288.33300000000003</v>
      </c>
      <c r="G251">
        <f ca="1">IFERROR(__xludf.DUMMYFUNCTION("""COMPUTED_VALUE"""),20)</f>
        <v>20</v>
      </c>
      <c r="H251">
        <f ca="1">IFERROR(__xludf.DUMMYFUNCTION("""COMPUTED_VALUE"""),235)</f>
        <v>235</v>
      </c>
    </row>
    <row r="252" spans="1:8" ht="12.75">
      <c r="A252">
        <f ca="1">IFERROR(__xludf.DUMMYFUNCTION("""COMPUTED_VALUE"""),251)</f>
        <v>251</v>
      </c>
      <c r="B252" t="str">
        <f ca="1">IFERROR(__xludf.DUMMYFUNCTION("""COMPUTED_VALUE"""),"T246")</f>
        <v>T246</v>
      </c>
      <c r="C252" t="str">
        <f ca="1">IFERROR(__xludf.DUMMYFUNCTION("""COMPUTED_VALUE"""),"Chesson Hadley")</f>
        <v>Chesson Hadley</v>
      </c>
      <c r="D252">
        <f ca="1">IFERROR(__xludf.DUMMYFUNCTION("""COMPUTED_VALUE"""),16)</f>
        <v>16</v>
      </c>
      <c r="E252" t="str">
        <f ca="1">IFERROR(__xludf.DUMMYFUNCTION("""COMPUTED_VALUE"""),"14' 6""")</f>
        <v>14' 6"</v>
      </c>
      <c r="F252">
        <f ca="1">IFERROR(__xludf.DUMMYFUNCTION("""COMPUTED_VALUE"""),479.5)</f>
        <v>479.5</v>
      </c>
      <c r="G252">
        <f ca="1">IFERROR(__xludf.DUMMYFUNCTION("""COMPUTED_VALUE"""),33)</f>
        <v>33</v>
      </c>
      <c r="H252">
        <f ca="1">IFERROR(__xludf.DUMMYFUNCTION("""COMPUTED_VALUE"""),203)</f>
        <v>203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IFERROR(__xludf.DUMMYFUNCTION("""COMPUTED_VALUE"""),248)</f>
        <v>248</v>
      </c>
      <c r="C253" t="str">
        <f ca="1">IFERROR(__xludf.DUMMYFUNCTION("""COMPUTED_VALUE"""),"Ryan Brehm")</f>
        <v>Ryan Brehm</v>
      </c>
      <c r="D253">
        <f ca="1">IFERROR(__xludf.DUMMYFUNCTION("""COMPUTED_VALUE"""),10)</f>
        <v>10</v>
      </c>
      <c r="E253" t="str">
        <f ca="1">IFERROR(__xludf.DUMMYFUNCTION("""COMPUTED_VALUE"""),"14' 7""")</f>
        <v>14' 7"</v>
      </c>
      <c r="F253">
        <f ca="1">IFERROR(__xludf.DUMMYFUNCTION("""COMPUTED_VALUE"""),43.833)</f>
        <v>43.832999999999998</v>
      </c>
      <c r="G253">
        <f ca="1">IFERROR(__xludf.DUMMYFUNCTION("""COMPUTED_VALUE"""),3)</f>
        <v>3</v>
      </c>
      <c r="H253">
        <f ca="1">IFERROR(__xludf.DUMMYFUNCTION("""COMPUTED_VALUE"""),147)</f>
        <v>147</v>
      </c>
    </row>
    <row r="254" spans="1:8" ht="12.75">
      <c r="A254" t="str">
        <f ca="1">IFERROR(__xludf.DUMMYFUNCTION("""COMPUTED_VALUE"""),"T253")</f>
        <v>T253</v>
      </c>
      <c r="B254" t="str">
        <f ca="1">IFERROR(__xludf.DUMMYFUNCTION("""COMPUTED_VALUE"""),"T249")</f>
        <v>T249</v>
      </c>
      <c r="C254" t="str">
        <f ca="1">IFERROR(__xludf.DUMMYFUNCTION("""COMPUTED_VALUE"""),"Seamus Power")</f>
        <v>Seamus Power</v>
      </c>
      <c r="D254">
        <f ca="1">IFERROR(__xludf.DUMMYFUNCTION("""COMPUTED_VALUE"""),8)</f>
        <v>8</v>
      </c>
      <c r="E254" t="str">
        <f ca="1">IFERROR(__xludf.DUMMYFUNCTION("""COMPUTED_VALUE"""),"14' 9""")</f>
        <v>14' 9"</v>
      </c>
      <c r="F254">
        <f ca="1">IFERROR(__xludf.DUMMYFUNCTION("""COMPUTED_VALUE"""),44.25)</f>
        <v>44.25</v>
      </c>
      <c r="G254">
        <f ca="1">IFERROR(__xludf.DUMMYFUNCTION("""COMPUTED_VALUE"""),3)</f>
        <v>3</v>
      </c>
      <c r="H254">
        <f ca="1">IFERROR(__xludf.DUMMYFUNCTION("""COMPUTED_VALUE"""),60)</f>
        <v>60</v>
      </c>
    </row>
    <row r="255" spans="1:8" ht="12.75">
      <c r="A255" t="str">
        <f ca="1">IFERROR(__xludf.DUMMYFUNCTION("""COMPUTED_VALUE"""),"T253")</f>
        <v>T253</v>
      </c>
      <c r="B255">
        <f ca="1">IFERROR(__xludf.DUMMYFUNCTION("""COMPUTED_VALUE"""),261)</f>
        <v>261</v>
      </c>
      <c r="C255" t="str">
        <f ca="1">IFERROR(__xludf.DUMMYFUNCTION("""COMPUTED_VALUE"""),"Shane Lowry")</f>
        <v>Shane Lowry</v>
      </c>
      <c r="D255">
        <f ca="1">IFERROR(__xludf.DUMMYFUNCTION("""COMPUTED_VALUE"""),14)</f>
        <v>14</v>
      </c>
      <c r="E255" t="str">
        <f ca="1">IFERROR(__xludf.DUMMYFUNCTION("""COMPUTED_VALUE"""),"14' 9""")</f>
        <v>14' 9"</v>
      </c>
      <c r="F255">
        <f ca="1">IFERROR(__xludf.DUMMYFUNCTION("""COMPUTED_VALUE"""),517.167)</f>
        <v>517.16700000000003</v>
      </c>
      <c r="G255">
        <f ca="1">IFERROR(__xludf.DUMMYFUNCTION("""COMPUTED_VALUE"""),35)</f>
        <v>35</v>
      </c>
      <c r="H255">
        <f ca="1">IFERROR(__xludf.DUMMYFUNCTION("""COMPUTED_VALUE"""),221)</f>
        <v>221</v>
      </c>
    </row>
    <row r="256" spans="1:8" ht="12.75">
      <c r="A256" t="str">
        <f ca="1">IFERROR(__xludf.DUMMYFUNCTION("""COMPUTED_VALUE"""),"T253")</f>
        <v>T253</v>
      </c>
      <c r="B256" t="str">
        <f ca="1">IFERROR(__xludf.DUMMYFUNCTION("""COMPUTED_VALUE"""),"T249")</f>
        <v>T249</v>
      </c>
      <c r="C256" t="str">
        <f ca="1">IFERROR(__xludf.DUMMYFUNCTION("""COMPUTED_VALUE"""),"Kurt Kitayama")</f>
        <v>Kurt Kitayama</v>
      </c>
      <c r="D256">
        <f ca="1">IFERROR(__xludf.DUMMYFUNCTION("""COMPUTED_VALUE"""),4)</f>
        <v>4</v>
      </c>
      <c r="E256" t="str">
        <f ca="1">IFERROR(__xludf.DUMMYFUNCTION("""COMPUTED_VALUE"""),"14' 9""")</f>
        <v>14' 9"</v>
      </c>
      <c r="F256">
        <f ca="1">IFERROR(__xludf.DUMMYFUNCTION("""COMPUTED_VALUE"""),103.5)</f>
        <v>103.5</v>
      </c>
      <c r="G256">
        <f ca="1">IFERROR(__xludf.DUMMYFUNCTION("""COMPUTED_VALUE"""),7)</f>
        <v>7</v>
      </c>
      <c r="H256">
        <f ca="1">IFERROR(__xludf.DUMMYFUNCTION("""COMPUTED_VALUE"""),172)</f>
        <v>172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IFERROR(__xludf.DUMMYFUNCTION("""COMPUTED_VALUE"""),251)</f>
        <v>251</v>
      </c>
      <c r="C257" t="str">
        <f ca="1">IFERROR(__xludf.DUMMYFUNCTION("""COMPUTED_VALUE"""),"Mikumu Horikawa")</f>
        <v>Mikumu Horikawa</v>
      </c>
      <c r="D257">
        <f ca="1">IFERROR(__xludf.DUMMYFUNCTION("""COMPUTED_VALUE"""),4)</f>
        <v>4</v>
      </c>
      <c r="E257" t="str">
        <f ca="1">IFERROR(__xludf.DUMMYFUNCTION("""COMPUTED_VALUE"""),"14' 10""")</f>
        <v>14' 10"</v>
      </c>
      <c r="F257">
        <f ca="1">IFERROR(__xludf.DUMMYFUNCTION("""COMPUTED_VALUE"""),163.083)</f>
        <v>163.083</v>
      </c>
      <c r="G257">
        <f ca="1">IFERROR(__xludf.DUMMYFUNCTION("""COMPUTED_VALUE"""),11)</f>
        <v>11</v>
      </c>
      <c r="H257">
        <f ca="1">IFERROR(__xludf.DUMMYFUNCTION("""COMPUTED_VALUE"""),194)</f>
        <v>194</v>
      </c>
    </row>
    <row r="258" spans="1:8" ht="12.75">
      <c r="A258" t="str">
        <f ca="1">IFERROR(__xludf.DUMMYFUNCTION("""COMPUTED_VALUE"""),"T257")</f>
        <v>T257</v>
      </c>
      <c r="B258" t="str">
        <f ca="1">IFERROR(__xludf.DUMMYFUNCTION("""COMPUTED_VALUE"""),"T252")</f>
        <v>T252</v>
      </c>
      <c r="C258" t="str">
        <f ca="1">IFERROR(__xludf.DUMMYFUNCTION("""COMPUTED_VALUE"""),"Stephan Jaeger")</f>
        <v>Stephan Jaeger</v>
      </c>
      <c r="D258">
        <f ca="1">IFERROR(__xludf.DUMMYFUNCTION("""COMPUTED_VALUE"""),4)</f>
        <v>4</v>
      </c>
      <c r="E258" t="str">
        <f ca="1">IFERROR(__xludf.DUMMYFUNCTION("""COMPUTED_VALUE"""),"15' 0""")</f>
        <v>15' 0"</v>
      </c>
      <c r="F258">
        <f ca="1">IFERROR(__xludf.DUMMYFUNCTION("""COMPUTED_VALUE"""),149.917)</f>
        <v>149.917</v>
      </c>
      <c r="G258">
        <f ca="1">IFERROR(__xludf.DUMMYFUNCTION("""COMPUTED_VALUE"""),10)</f>
        <v>10</v>
      </c>
      <c r="H258">
        <f ca="1">IFERROR(__xludf.DUMMYFUNCTION("""COMPUTED_VALUE"""),185)</f>
        <v>185</v>
      </c>
    </row>
    <row r="259" spans="1:8" ht="12.75">
      <c r="A259" t="str">
        <f ca="1">IFERROR(__xludf.DUMMYFUNCTION("""COMPUTED_VALUE"""),"T257")</f>
        <v>T257</v>
      </c>
      <c r="B259">
        <f ca="1">IFERROR(__xludf.DUMMYFUNCTION("""COMPUTED_VALUE"""),244)</f>
        <v>244</v>
      </c>
      <c r="C259" t="str">
        <f ca="1">IFERROR(__xludf.DUMMYFUNCTION("""COMPUTED_VALUE"""),"Maverick McNealy")</f>
        <v>Maverick McNealy</v>
      </c>
      <c r="D259">
        <f ca="1">IFERROR(__xludf.DUMMYFUNCTION("""COMPUTED_VALUE"""),16)</f>
        <v>16</v>
      </c>
      <c r="E259" t="str">
        <f ca="1">IFERROR(__xludf.DUMMYFUNCTION("""COMPUTED_VALUE"""),"15' 0""")</f>
        <v>15' 0"</v>
      </c>
      <c r="F259">
        <f ca="1">IFERROR(__xludf.DUMMYFUNCTION("""COMPUTED_VALUE"""),375.917)</f>
        <v>375.91699999999997</v>
      </c>
      <c r="G259">
        <f ca="1">IFERROR(__xludf.DUMMYFUNCTION("""COMPUTED_VALUE"""),25)</f>
        <v>25</v>
      </c>
      <c r="H259">
        <f ca="1">IFERROR(__xludf.DUMMYFUNCTION("""COMPUTED_VALUE"""),36)</f>
        <v>36</v>
      </c>
    </row>
    <row r="260" spans="1:8" ht="12.75">
      <c r="A260">
        <f ca="1">IFERROR(__xludf.DUMMYFUNCTION("""COMPUTED_VALUE"""),259)</f>
        <v>259</v>
      </c>
      <c r="B260">
        <f ca="1">IFERROR(__xludf.DUMMYFUNCTION("""COMPUTED_VALUE"""),255)</f>
        <v>255</v>
      </c>
      <c r="C260" t="str">
        <f ca="1">IFERROR(__xludf.DUMMYFUNCTION("""COMPUTED_VALUE"""),"Romain Langasque")</f>
        <v>Romain Langasque</v>
      </c>
      <c r="D260">
        <f ca="1">IFERROR(__xludf.DUMMYFUNCTION("""COMPUTED_VALUE"""),4)</f>
        <v>4</v>
      </c>
      <c r="E260" t="str">
        <f ca="1">IFERROR(__xludf.DUMMYFUNCTION("""COMPUTED_VALUE"""),"15' 1""")</f>
        <v>15' 1"</v>
      </c>
      <c r="F260">
        <f ca="1">IFERROR(__xludf.DUMMYFUNCTION("""COMPUTED_VALUE"""),90.333)</f>
        <v>90.332999999999998</v>
      </c>
      <c r="G260">
        <f ca="1">IFERROR(__xludf.DUMMYFUNCTION("""COMPUTED_VALUE"""),6)</f>
        <v>6</v>
      </c>
      <c r="H260">
        <f ca="1">IFERROR(__xludf.DUMMYFUNCTION("""COMPUTED_VALUE"""),224)</f>
        <v>224</v>
      </c>
    </row>
    <row r="261" spans="1:8" ht="12.75">
      <c r="A261" t="str">
        <f ca="1">IFERROR(__xludf.DUMMYFUNCTION("""COMPUTED_VALUE"""),"T260")</f>
        <v>T260</v>
      </c>
      <c r="B261" t="str">
        <f ca="1">IFERROR(__xludf.DUMMYFUNCTION("""COMPUTED_VALUE"""),"T256")</f>
        <v>T256</v>
      </c>
      <c r="C261" t="str">
        <f ca="1">IFERROR(__xludf.DUMMYFUNCTION("""COMPUTED_VALUE"""),"Thomas Detry")</f>
        <v>Thomas Detry</v>
      </c>
      <c r="D261">
        <f ca="1">IFERROR(__xludf.DUMMYFUNCTION("""COMPUTED_VALUE"""),8)</f>
        <v>8</v>
      </c>
      <c r="E261" t="str">
        <f ca="1">IFERROR(__xludf.DUMMYFUNCTION("""COMPUTED_VALUE"""),"15' 2""")</f>
        <v>15' 2"</v>
      </c>
      <c r="F261">
        <f ca="1">IFERROR(__xludf.DUMMYFUNCTION("""COMPUTED_VALUE"""),212.5)</f>
        <v>212.5</v>
      </c>
      <c r="G261">
        <f ca="1">IFERROR(__xludf.DUMMYFUNCTION("""COMPUTED_VALUE"""),14)</f>
        <v>14</v>
      </c>
      <c r="H261">
        <f ca="1">IFERROR(__xludf.DUMMYFUNCTION("""COMPUTED_VALUE"""),262)</f>
        <v>262</v>
      </c>
    </row>
    <row r="262" spans="1:8" ht="12.75">
      <c r="A262" t="str">
        <f ca="1">IFERROR(__xludf.DUMMYFUNCTION("""COMPUTED_VALUE"""),"T260")</f>
        <v>T260</v>
      </c>
      <c r="B262" t="str">
        <f ca="1">IFERROR(__xludf.DUMMYFUNCTION("""COMPUTED_VALUE"""),"T256")</f>
        <v>T256</v>
      </c>
      <c r="C262" t="str">
        <f ca="1">IFERROR(__xludf.DUMMYFUNCTION("""COMPUTED_VALUE"""),"Charles Howell III")</f>
        <v>Charles Howell III</v>
      </c>
      <c r="D262">
        <f ca="1">IFERROR(__xludf.DUMMYFUNCTION("""COMPUTED_VALUE"""),10)</f>
        <v>10</v>
      </c>
      <c r="E262" t="str">
        <f ca="1">IFERROR(__xludf.DUMMYFUNCTION("""COMPUTED_VALUE"""),"15' 2""")</f>
        <v>15' 2"</v>
      </c>
      <c r="F262">
        <f ca="1">IFERROR(__xludf.DUMMYFUNCTION("""COMPUTED_VALUE"""),288.667)</f>
        <v>288.66699999999997</v>
      </c>
      <c r="G262">
        <f ca="1">IFERROR(__xludf.DUMMYFUNCTION("""COMPUTED_VALUE"""),19)</f>
        <v>19</v>
      </c>
      <c r="H262">
        <f ca="1">IFERROR(__xludf.DUMMYFUNCTION("""COMPUTED_VALUE"""),51)</f>
        <v>51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IFERROR(__xludf.DUMMYFUNCTION("""COMPUTED_VALUE"""),258)</f>
        <v>258</v>
      </c>
      <c r="C263" t="str">
        <f ca="1">IFERROR(__xludf.DUMMYFUNCTION("""COMPUTED_VALUE"""),"Jay McLuen")</f>
        <v>Jay McLuen</v>
      </c>
      <c r="D263">
        <f ca="1">IFERROR(__xludf.DUMMYFUNCTION("""COMPUTED_VALUE"""),4)</f>
        <v>4</v>
      </c>
      <c r="E263" t="str">
        <f ca="1">IFERROR(__xludf.DUMMYFUNCTION("""COMPUTED_VALUE"""),"15' 3""")</f>
        <v>15' 3"</v>
      </c>
      <c r="F263">
        <f ca="1">IFERROR(__xludf.DUMMYFUNCTION("""COMPUTED_VALUE"""),76.25)</f>
        <v>76.25</v>
      </c>
      <c r="G263">
        <f ca="1">IFERROR(__xludf.DUMMYFUNCTION("""COMPUTED_VALUE"""),5)</f>
        <v>5</v>
      </c>
      <c r="H263">
        <f ca="1">IFERROR(__xludf.DUMMYFUNCTION("""COMPUTED_VALUE"""),130)</f>
        <v>130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IFERROR(__xludf.DUMMYFUNCTION("""COMPUTED_VALUE"""),259)</f>
        <v>259</v>
      </c>
      <c r="C264" t="str">
        <f ca="1">IFERROR(__xludf.DUMMYFUNCTION("""COMPUTED_VALUE"""),"Jaekyeong Lee")</f>
        <v>Jaekyeong Lee</v>
      </c>
      <c r="D264">
        <f ca="1">IFERROR(__xludf.DUMMYFUNCTION("""COMPUTED_VALUE"""),4)</f>
        <v>4</v>
      </c>
      <c r="E264" t="str">
        <f ca="1">IFERROR(__xludf.DUMMYFUNCTION("""COMPUTED_VALUE"""),"15' 5""")</f>
        <v>15' 5"</v>
      </c>
      <c r="F264">
        <f ca="1">IFERROR(__xludf.DUMMYFUNCTION("""COMPUTED_VALUE"""),231.667)</f>
        <v>231.667</v>
      </c>
      <c r="G264">
        <f ca="1">IFERROR(__xludf.DUMMYFUNCTION("""COMPUTED_VALUE"""),15)</f>
        <v>15</v>
      </c>
      <c r="H264">
        <f ca="1">IFERROR(__xludf.DUMMYFUNCTION("""COMPUTED_VALUE"""),282)</f>
        <v>282</v>
      </c>
    </row>
    <row r="265" spans="1:8" ht="12.75">
      <c r="A265">
        <f ca="1">IFERROR(__xludf.DUMMYFUNCTION("""COMPUTED_VALUE"""),264)</f>
        <v>264</v>
      </c>
      <c r="B265" t="str">
        <f ca="1">IFERROR(__xludf.DUMMYFUNCTION("""COMPUTED_VALUE"""),"T246")</f>
        <v>T246</v>
      </c>
      <c r="C265" t="str">
        <f ca="1">IFERROR(__xludf.DUMMYFUNCTION("""COMPUTED_VALUE"""),"Kevin Stadler")</f>
        <v>Kevin Stadler</v>
      </c>
      <c r="D265">
        <f ca="1">IFERROR(__xludf.DUMMYFUNCTION("""COMPUTED_VALUE"""),8)</f>
        <v>8</v>
      </c>
      <c r="E265" t="str">
        <f ca="1">IFERROR(__xludf.DUMMYFUNCTION("""COMPUTED_VALUE"""),"15' 6""")</f>
        <v>15' 6"</v>
      </c>
      <c r="F265">
        <f ca="1">IFERROR(__xludf.DUMMYFUNCTION("""COMPUTED_VALUE"""),232.417)</f>
        <v>232.417</v>
      </c>
      <c r="G265">
        <f ca="1">IFERROR(__xludf.DUMMYFUNCTION("""COMPUTED_VALUE"""),15)</f>
        <v>15</v>
      </c>
      <c r="H265">
        <f ca="1">IFERROR(__xludf.DUMMYFUNCTION("""COMPUTED_VALUE"""),250)</f>
        <v>250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IFERROR(__xludf.DUMMYFUNCTION("""COMPUTED_VALUE"""),260)</f>
        <v>260</v>
      </c>
      <c r="C266" t="str">
        <f ca="1">IFERROR(__xludf.DUMMYFUNCTION("""COMPUTED_VALUE"""),"Bernd Wiesberger")</f>
        <v>Bernd Wiesberger</v>
      </c>
      <c r="D266">
        <f ca="1">IFERROR(__xludf.DUMMYFUNCTION("""COMPUTED_VALUE"""),4)</f>
        <v>4</v>
      </c>
      <c r="E266" t="str">
        <f ca="1">IFERROR(__xludf.DUMMYFUNCTION("""COMPUTED_VALUE"""),"15' 9""")</f>
        <v>15' 9"</v>
      </c>
      <c r="F266">
        <f ca="1">IFERROR(__xludf.DUMMYFUNCTION("""COMPUTED_VALUE"""),141.667)</f>
        <v>141.667</v>
      </c>
      <c r="G266">
        <f ca="1">IFERROR(__xludf.DUMMYFUNCTION("""COMPUTED_VALUE"""),9)</f>
        <v>9</v>
      </c>
      <c r="H266">
        <f ca="1">IFERROR(__xludf.DUMMYFUNCTION("""COMPUTED_VALUE"""),283)</f>
        <v>283</v>
      </c>
    </row>
    <row r="267" spans="1:8" ht="12.75">
      <c r="A267" t="str">
        <f ca="1">IFERROR(__xludf.DUMMYFUNCTION("""COMPUTED_VALUE"""),"T266")</f>
        <v>T266</v>
      </c>
      <c r="B267" t="str">
        <f ca="1">IFERROR(__xludf.DUMMYFUNCTION("""COMPUTED_VALUE"""),"")</f>
        <v/>
      </c>
      <c r="C267" t="str">
        <f ca="1">IFERROR(__xludf.DUMMYFUNCTION("""COMPUTED_VALUE"""),"Justin Harding")</f>
        <v>Justin Harding</v>
      </c>
      <c r="D267">
        <f ca="1">IFERROR(__xludf.DUMMYFUNCTION("""COMPUTED_VALUE"""),6)</f>
        <v>6</v>
      </c>
      <c r="E267" t="str">
        <f ca="1">IFERROR(__xludf.DUMMYFUNCTION("""COMPUTED_VALUE"""),"15' 10""")</f>
        <v>15' 10"</v>
      </c>
      <c r="F267">
        <f ca="1">IFERROR(__xludf.DUMMYFUNCTION("""COMPUTED_VALUE"""),142.75)</f>
        <v>142.75</v>
      </c>
      <c r="G267">
        <f ca="1">IFERROR(__xludf.DUMMYFUNCTION("""COMPUTED_VALUE"""),9)</f>
        <v>9</v>
      </c>
      <c r="H267">
        <f ca="1">IFERROR(__xludf.DUMMYFUNCTION("""COMPUTED_VALUE"""),279)</f>
        <v>279</v>
      </c>
    </row>
    <row r="268" spans="1:8" ht="12.75">
      <c r="A268" t="str">
        <f ca="1">IFERROR(__xludf.DUMMYFUNCTION("""COMPUTED_VALUE"""),"T266")</f>
        <v>T266</v>
      </c>
      <c r="B268" t="str">
        <f ca="1">IFERROR(__xludf.DUMMYFUNCTION("""COMPUTED_VALUE"""),"T182")</f>
        <v>T182</v>
      </c>
      <c r="C268" t="str">
        <f ca="1">IFERROR(__xludf.DUMMYFUNCTION("""COMPUTED_VALUE"""),"Keith Mitchell")</f>
        <v>Keith Mitchell</v>
      </c>
      <c r="D268">
        <f ca="1">IFERROR(__xludf.DUMMYFUNCTION("""COMPUTED_VALUE"""),14)</f>
        <v>14</v>
      </c>
      <c r="E268" t="str">
        <f ca="1">IFERROR(__xludf.DUMMYFUNCTION("""COMPUTED_VALUE"""),"15' 10""")</f>
        <v>15' 10"</v>
      </c>
      <c r="F268">
        <f ca="1">IFERROR(__xludf.DUMMYFUNCTION("""COMPUTED_VALUE"""),190)</f>
        <v>190</v>
      </c>
      <c r="G268">
        <f ca="1">IFERROR(__xludf.DUMMYFUNCTION("""COMPUTED_VALUE"""),12)</f>
        <v>12</v>
      </c>
      <c r="H268">
        <f ca="1">IFERROR(__xludf.DUMMYFUNCTION("""COMPUTED_VALUE"""),176)</f>
        <v>176</v>
      </c>
    </row>
    <row r="269" spans="1:8" ht="12.75">
      <c r="A269">
        <f ca="1">IFERROR(__xludf.DUMMYFUNCTION("""COMPUTED_VALUE"""),268)</f>
        <v>268</v>
      </c>
      <c r="B269" t="str">
        <f ca="1">IFERROR(__xludf.DUMMYFUNCTION("""COMPUTED_VALUE"""),"T264")</f>
        <v>T264</v>
      </c>
      <c r="C269" t="str">
        <f ca="1">IFERROR(__xludf.DUMMYFUNCTION("""COMPUTED_VALUE"""),"J.T. Poston")</f>
        <v>J.T. Poston</v>
      </c>
      <c r="D269">
        <f ca="1">IFERROR(__xludf.DUMMYFUNCTION("""COMPUTED_VALUE"""),18)</f>
        <v>18</v>
      </c>
      <c r="E269" t="str">
        <f ca="1">IFERROR(__xludf.DUMMYFUNCTION("""COMPUTED_VALUE"""),"16' 0""")</f>
        <v>16' 0"</v>
      </c>
      <c r="F269">
        <f ca="1">IFERROR(__xludf.DUMMYFUNCTION("""COMPUTED_VALUE"""),543.167)</f>
        <v>543.16700000000003</v>
      </c>
      <c r="G269">
        <f ca="1">IFERROR(__xludf.DUMMYFUNCTION("""COMPUTED_VALUE"""),34)</f>
        <v>34</v>
      </c>
      <c r="H269">
        <f ca="1">IFERROR(__xludf.DUMMYFUNCTION("""COMPUTED_VALUE"""),132)</f>
        <v>132</v>
      </c>
    </row>
    <row r="270" spans="1:8" ht="12.75">
      <c r="A270">
        <f ca="1">IFERROR(__xludf.DUMMYFUNCTION("""COMPUTED_VALUE"""),269)</f>
        <v>269</v>
      </c>
      <c r="B270" t="str">
        <f ca="1">IFERROR(__xludf.DUMMYFUNCTION("""COMPUTED_VALUE"""),"")</f>
        <v/>
      </c>
      <c r="C270" t="str">
        <f ca="1">IFERROR(__xludf.DUMMYFUNCTION("""COMPUTED_VALUE"""),"Erik Barnes")</f>
        <v>Erik Barnes</v>
      </c>
      <c r="D270">
        <f ca="1">IFERROR(__xludf.DUMMYFUNCTION("""COMPUTED_VALUE"""),4)</f>
        <v>4</v>
      </c>
      <c r="E270" t="str">
        <f ca="1">IFERROR(__xludf.DUMMYFUNCTION("""COMPUTED_VALUE"""),"16' 4""")</f>
        <v>16' 4"</v>
      </c>
      <c r="F270">
        <f ca="1">IFERROR(__xludf.DUMMYFUNCTION("""COMPUTED_VALUE"""),97.75)</f>
        <v>97.75</v>
      </c>
      <c r="G270">
        <f ca="1">IFERROR(__xludf.DUMMYFUNCTION("""COMPUTED_VALUE"""),6)</f>
        <v>6</v>
      </c>
      <c r="H270">
        <f ca="1">IFERROR(__xludf.DUMMYFUNCTION("""COMPUTED_VALUE"""),51)</f>
        <v>51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IFERROR(__xludf.DUMMYFUNCTION("""COMPUTED_VALUE"""),263)</f>
        <v>263</v>
      </c>
      <c r="C271" t="str">
        <f ca="1">IFERROR(__xludf.DUMMYFUNCTION("""COMPUTED_VALUE"""),"Matt Wallace")</f>
        <v>Matt Wallace</v>
      </c>
      <c r="D271">
        <f ca="1">IFERROR(__xludf.DUMMYFUNCTION("""COMPUTED_VALUE"""),4)</f>
        <v>4</v>
      </c>
      <c r="E271" t="str">
        <f ca="1">IFERROR(__xludf.DUMMYFUNCTION("""COMPUTED_VALUE"""),"16' 9""")</f>
        <v>16' 9"</v>
      </c>
      <c r="F271">
        <f ca="1">IFERROR(__xludf.DUMMYFUNCTION("""COMPUTED_VALUE"""),134)</f>
        <v>134</v>
      </c>
      <c r="G271">
        <f ca="1">IFERROR(__xludf.DUMMYFUNCTION("""COMPUTED_VALUE"""),8)</f>
        <v>8</v>
      </c>
      <c r="H271">
        <f ca="1">IFERROR(__xludf.DUMMYFUNCTION("""COMPUTED_VALUE"""),284)</f>
        <v>284</v>
      </c>
    </row>
    <row r="272" spans="1:8" ht="12.75">
      <c r="A272">
        <f ca="1">IFERROR(__xludf.DUMMYFUNCTION("""COMPUTED_VALUE"""),271)</f>
        <v>271</v>
      </c>
      <c r="B272" t="str">
        <f ca="1">IFERROR(__xludf.DUMMYFUNCTION("""COMPUTED_VALUE"""),"")</f>
        <v/>
      </c>
      <c r="C272" t="str">
        <f ca="1">IFERROR(__xludf.DUMMYFUNCTION("""COMPUTED_VALUE"""),"Padraig Harrington")</f>
        <v>Padraig Harrington</v>
      </c>
      <c r="D272">
        <f ca="1">IFERROR(__xludf.DUMMYFUNCTION("""COMPUTED_VALUE"""),8)</f>
        <v>8</v>
      </c>
      <c r="E272" t="str">
        <f ca="1">IFERROR(__xludf.DUMMYFUNCTION("""COMPUTED_VALUE"""),"16' 11""")</f>
        <v>16' 11"</v>
      </c>
      <c r="F272">
        <f ca="1">IFERROR(__xludf.DUMMYFUNCTION("""COMPUTED_VALUE"""),84.667)</f>
        <v>84.667000000000002</v>
      </c>
      <c r="G272">
        <f ca="1">IFERROR(__xludf.DUMMYFUNCTION("""COMPUTED_VALUE"""),5)</f>
        <v>5</v>
      </c>
      <c r="H272">
        <f ca="1">IFERROR(__xludf.DUMMYFUNCTION("""COMPUTED_VALUE"""),102)</f>
        <v>102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IFERROR(__xludf.DUMMYFUNCTION("""COMPUTED_VALUE"""),266)</f>
        <v>266</v>
      </c>
      <c r="C273" t="str">
        <f ca="1">IFERROR(__xludf.DUMMYFUNCTION("""COMPUTED_VALUE"""),"John Pak")</f>
        <v>John Pak</v>
      </c>
      <c r="D273">
        <f ca="1">IFERROR(__xludf.DUMMYFUNCTION("""COMPUTED_VALUE"""),4)</f>
        <v>4</v>
      </c>
      <c r="E273" t="str">
        <f ca="1">IFERROR(__xludf.DUMMYFUNCTION("""COMPUTED_VALUE"""),"18' 1""")</f>
        <v>18' 1"</v>
      </c>
      <c r="F273">
        <f ca="1">IFERROR(__xludf.DUMMYFUNCTION("""COMPUTED_VALUE"""),181.167)</f>
        <v>181.167</v>
      </c>
      <c r="G273">
        <f ca="1">IFERROR(__xludf.DUMMYFUNCTION("""COMPUTED_VALUE"""),10)</f>
        <v>10</v>
      </c>
      <c r="H273">
        <f ca="1">IFERROR(__xludf.DUMMYFUNCTION("""COMPUTED_VALUE"""),277)</f>
        <v>277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IFERROR(__xludf.DUMMYFUNCTION("""COMPUTED_VALUE"""),262)</f>
        <v>262</v>
      </c>
      <c r="C274" t="str">
        <f ca="1">IFERROR(__xludf.DUMMYFUNCTION("""COMPUTED_VALUE"""),"Isaiah Salinda")</f>
        <v>Isaiah Salinda</v>
      </c>
      <c r="D274">
        <f ca="1">IFERROR(__xludf.DUMMYFUNCTION("""COMPUTED_VALUE"""),8)</f>
        <v>8</v>
      </c>
      <c r="E274" t="str">
        <f ca="1">IFERROR(__xludf.DUMMYFUNCTION("""COMPUTED_VALUE"""),"18' 4""")</f>
        <v>18' 4"</v>
      </c>
      <c r="F274">
        <f ca="1">IFERROR(__xludf.DUMMYFUNCTION("""COMPUTED_VALUE"""),128.333)</f>
        <v>128.333</v>
      </c>
      <c r="G274">
        <f ca="1">IFERROR(__xludf.DUMMYFUNCTION("""COMPUTED_VALUE"""),7)</f>
        <v>7</v>
      </c>
      <c r="H274">
        <f ca="1">IFERROR(__xludf.DUMMYFUNCTION("""COMPUTED_VALUE"""),143)</f>
        <v>143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IFERROR(__xludf.DUMMYFUNCTION("""COMPUTED_VALUE"""),"Jazz Janewattananond")</f>
        <v>Jazz Janewattananond</v>
      </c>
      <c r="D275">
        <f ca="1">IFERROR(__xludf.DUMMYFUNCTION("""COMPUTED_VALUE"""),6)</f>
        <v>6</v>
      </c>
      <c r="E275" t="str">
        <f ca="1">IFERROR(__xludf.DUMMYFUNCTION("""COMPUTED_VALUE"""),"18' 10""")</f>
        <v>18' 10"</v>
      </c>
      <c r="F275">
        <f ca="1">IFERROR(__xludf.DUMMYFUNCTION("""COMPUTED_VALUE"""),169.25)</f>
        <v>169.25</v>
      </c>
      <c r="G275">
        <f ca="1">IFERROR(__xludf.DUMMYFUNCTION("""COMPUTED_VALUE"""),9)</f>
        <v>9</v>
      </c>
      <c r="H275">
        <f ca="1">IFERROR(__xludf.DUMMYFUNCTION("""COMPUTED_VALUE"""),288)</f>
        <v>288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IFERROR(__xludf.DUMMYFUNCTION("""COMPUTED_VALUE"""),"Shaun Norris")</f>
        <v>Shaun Norris</v>
      </c>
      <c r="D276">
        <f ca="1">IFERROR(__xludf.DUMMYFUNCTION("""COMPUTED_VALUE"""),6)</f>
        <v>6</v>
      </c>
      <c r="E276" t="str">
        <f ca="1">IFERROR(__xludf.DUMMYFUNCTION("""COMPUTED_VALUE"""),"20' 3""")</f>
        <v>20' 3"</v>
      </c>
      <c r="F276">
        <f ca="1">IFERROR(__xludf.DUMMYFUNCTION("""COMPUTED_VALUE"""),182.417)</f>
        <v>182.417</v>
      </c>
      <c r="G276">
        <f ca="1">IFERROR(__xludf.DUMMYFUNCTION("""COMPUTED_VALUE"""),9)</f>
        <v>9</v>
      </c>
      <c r="H276">
        <f ca="1">IFERROR(__xludf.DUMMYFUNCTION("""COMPUTED_VALUE"""),264)</f>
        <v>264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IFERROR(__xludf.DUMMYFUNCTION("""COMPUTED_VALUE"""),"John Senden")</f>
        <v>John Senden</v>
      </c>
      <c r="D277">
        <f ca="1">IFERROR(__xludf.DUMMYFUNCTION("""COMPUTED_VALUE"""),8)</f>
        <v>8</v>
      </c>
      <c r="E277" t="str">
        <f ca="1">IFERROR(__xludf.DUMMYFUNCTION("""COMPUTED_VALUE"""),"20' 11""")</f>
        <v>20' 11"</v>
      </c>
      <c r="F277">
        <f ca="1">IFERROR(__xludf.DUMMYFUNCTION("""COMPUTED_VALUE"""),104.583)</f>
        <v>104.583</v>
      </c>
      <c r="G277">
        <f ca="1">IFERROR(__xludf.DUMMYFUNCTION("""COMPUTED_VALUE"""),5)</f>
        <v>5</v>
      </c>
      <c r="H277">
        <f ca="1">IFERROR(__xludf.DUMMYFUNCTION("""COMPUTED_VALUE"""),206)</f>
        <v>206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H265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IFERROR(__xludf.DUMMYFUNCTION("importhtml(""http://www.pgatour.com/stats/stat.377.html"",""table"",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DTP")</f>
        <v>AVG DTP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SHOTS")</f>
        <v># OF SHOTS</v>
      </c>
      <c r="H1" t="str">
        <f ca="1">IFERROR(__xludf.DUMMYFUNCTION("""COMPUTED_VALUE"""),"SCRAMBLING RANK")</f>
        <v>SCRAMBLING RANK</v>
      </c>
    </row>
    <row r="2" spans="1:8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IFERROR(__xludf.DUMMYFUNCTION("""COMPUTED_VALUE"""),"Seamus Power")</f>
        <v>Seamus Power</v>
      </c>
      <c r="D2">
        <f ca="1">IFERROR(__xludf.DUMMYFUNCTION("""COMPUTED_VALUE"""),8)</f>
        <v>8</v>
      </c>
      <c r="E2" t="str">
        <f ca="1">IFERROR(__xludf.DUMMYFUNCTION("""COMPUTED_VALUE"""),"0""")</f>
        <v>0"</v>
      </c>
      <c r="F2">
        <f ca="1">IFERROR(__xludf.DUMMYFUNCTION("""COMPUTED_VALUE"""),0)</f>
        <v>0</v>
      </c>
      <c r="G2">
        <f ca="1">IFERROR(__xludf.DUMMYFUNCTION("""COMPUTED_VALUE"""),1)</f>
        <v>1</v>
      </c>
      <c r="H2">
        <f ca="1">IFERROR(__xludf.DUMMYFUNCTION("""COMPUTED_VALUE"""),60)</f>
        <v>60</v>
      </c>
    </row>
    <row r="3" spans="1:8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IFERROR(__xludf.DUMMYFUNCTION("""COMPUTED_VALUE"""),"Gunn Charoenkul")</f>
        <v>Gunn Charoenkul</v>
      </c>
      <c r="D3">
        <f ca="1">IFERROR(__xludf.DUMMYFUNCTION("""COMPUTED_VALUE"""),4)</f>
        <v>4</v>
      </c>
      <c r="E3" t="str">
        <f ca="1">IFERROR(__xludf.DUMMYFUNCTION("""COMPUTED_VALUE"""),"0""")</f>
        <v>0"</v>
      </c>
      <c r="F3">
        <f ca="1">IFERROR(__xludf.DUMMYFUNCTION("""COMPUTED_VALUE"""),0)</f>
        <v>0</v>
      </c>
      <c r="G3">
        <f ca="1">IFERROR(__xludf.DUMMYFUNCTION("""COMPUTED_VALUE"""),1)</f>
        <v>1</v>
      </c>
      <c r="H3">
        <f ca="1">IFERROR(__xludf.DUMMYFUNCTION("""COMPUTED_VALUE"""),18)</f>
        <v>18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IFERROR(__xludf.DUMMYFUNCTION("""COMPUTED_VALUE"""),4)</f>
        <v>4</v>
      </c>
      <c r="C4" t="str">
        <f ca="1">IFERROR(__xludf.DUMMYFUNCTION("""COMPUTED_VALUE"""),"Sam Burns")</f>
        <v>Sam Burns</v>
      </c>
      <c r="D4">
        <f ca="1">IFERROR(__xludf.DUMMYFUNCTION("""COMPUTED_VALUE"""),18)</f>
        <v>18</v>
      </c>
      <c r="E4" t="str">
        <f ca="1">IFERROR(__xludf.DUMMYFUNCTION("""COMPUTED_VALUE"""),"1""")</f>
        <v>1"</v>
      </c>
      <c r="F4">
        <f ca="1">IFERROR(__xludf.DUMMYFUNCTION("""COMPUTED_VALUE"""),0.167)</f>
        <v>0.16700000000000001</v>
      </c>
      <c r="G4">
        <f ca="1">IFERROR(__xludf.DUMMYFUNCTION("""COMPUTED_VALUE"""),2)</f>
        <v>2</v>
      </c>
      <c r="H4">
        <f ca="1">IFERROR(__xludf.DUMMYFUNCTION("""COMPUTED_VALUE"""),229)</f>
        <v>229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IFERROR(__xludf.DUMMYFUNCTION("""COMPUTED_VALUE"""),"Jim Furyk")</f>
        <v>Jim Furyk</v>
      </c>
      <c r="D5">
        <f ca="1">IFERROR(__xludf.DUMMYFUNCTION("""COMPUTED_VALUE"""),4)</f>
        <v>4</v>
      </c>
      <c r="E5" t="str">
        <f ca="1">IFERROR(__xludf.DUMMYFUNCTION("""COMPUTED_VALUE"""),"2""")</f>
        <v>2"</v>
      </c>
      <c r="F5">
        <f ca="1">IFERROR(__xludf.DUMMYFUNCTION("""COMPUTED_VALUE"""),0.167)</f>
        <v>0.16700000000000001</v>
      </c>
      <c r="G5">
        <f ca="1">IFERROR(__xludf.DUMMYFUNCTION("""COMPUTED_VALUE"""),1)</f>
        <v>1</v>
      </c>
      <c r="H5">
        <f ca="1">IFERROR(__xludf.DUMMYFUNCTION("""COMPUTED_VALUE"""),2)</f>
        <v>2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IFERROR(__xludf.DUMMYFUNCTION("""COMPUTED_VALUE"""),"Justin Suh")</f>
        <v>Justin Suh</v>
      </c>
      <c r="D6">
        <f ca="1">IFERROR(__xludf.DUMMYFUNCTION("""COMPUTED_VALUE"""),10)</f>
        <v>10</v>
      </c>
      <c r="E6" t="str">
        <f ca="1">IFERROR(__xludf.DUMMYFUNCTION("""COMPUTED_VALUE"""),"3""")</f>
        <v>3"</v>
      </c>
      <c r="F6">
        <f ca="1">IFERROR(__xludf.DUMMYFUNCTION("""COMPUTED_VALUE"""),0.25)</f>
        <v>0.25</v>
      </c>
      <c r="G6">
        <f ca="1">IFERROR(__xludf.DUMMYFUNCTION("""COMPUTED_VALUE"""),1)</f>
        <v>1</v>
      </c>
      <c r="H6">
        <f ca="1">IFERROR(__xludf.DUMMYFUNCTION("""COMPUTED_VALUE"""),215)</f>
        <v>215</v>
      </c>
    </row>
    <row r="7" spans="1:8" ht="15.75" customHeight="1">
      <c r="A7" t="str">
        <f ca="1">IFERROR(__xludf.DUMMYFUNCTION("""COMPUTED_VALUE"""),"T6")</f>
        <v>T6</v>
      </c>
      <c r="B7" t="str">
        <f ca="1">IFERROR(__xludf.DUMMYFUNCTION("""COMPUTED_VALUE"""),"T7")</f>
        <v>T7</v>
      </c>
      <c r="C7" t="str">
        <f ca="1">IFERROR(__xludf.DUMMYFUNCTION("""COMPUTED_VALUE"""),"Bud Cauley")</f>
        <v>Bud Cauley</v>
      </c>
      <c r="D7">
        <f ca="1">IFERROR(__xludf.DUMMYFUNCTION("""COMPUTED_VALUE"""),4)</f>
        <v>4</v>
      </c>
      <c r="E7" t="str">
        <f ca="1">IFERROR(__xludf.DUMMYFUNCTION("""COMPUTED_VALUE"""),"4""")</f>
        <v>4"</v>
      </c>
      <c r="F7">
        <f ca="1">IFERROR(__xludf.DUMMYFUNCTION("""COMPUTED_VALUE"""),0.667)</f>
        <v>0.66700000000000004</v>
      </c>
      <c r="G7">
        <f ca="1">IFERROR(__xludf.DUMMYFUNCTION("""COMPUTED_VALUE"""),2)</f>
        <v>2</v>
      </c>
      <c r="H7">
        <f ca="1">IFERROR(__xludf.DUMMYFUNCTION("""COMPUTED_VALUE"""),1)</f>
        <v>1</v>
      </c>
    </row>
    <row r="8" spans="1:8" ht="15.75" customHeight="1">
      <c r="A8" t="str">
        <f ca="1">IFERROR(__xludf.DUMMYFUNCTION("""COMPUTED_VALUE"""),"T6")</f>
        <v>T6</v>
      </c>
      <c r="B8" t="str">
        <f ca="1">IFERROR(__xludf.DUMMYFUNCTION("""COMPUTED_VALUE"""),"T7")</f>
        <v>T7</v>
      </c>
      <c r="C8" t="str">
        <f ca="1">IFERROR(__xludf.DUMMYFUNCTION("""COMPUTED_VALUE"""),"Steve Lewton")</f>
        <v>Steve Lewton</v>
      </c>
      <c r="D8">
        <f ca="1">IFERROR(__xludf.DUMMYFUNCTION("""COMPUTED_VALUE"""),4)</f>
        <v>4</v>
      </c>
      <c r="E8" t="str">
        <f ca="1">IFERROR(__xludf.DUMMYFUNCTION("""COMPUTED_VALUE"""),"4""")</f>
        <v>4"</v>
      </c>
      <c r="F8">
        <f ca="1">IFERROR(__xludf.DUMMYFUNCTION("""COMPUTED_VALUE"""),0.333)</f>
        <v>0.33300000000000002</v>
      </c>
      <c r="G8">
        <f ca="1">IFERROR(__xludf.DUMMYFUNCTION("""COMPUTED_VALUE"""),1)</f>
        <v>1</v>
      </c>
      <c r="H8">
        <f ca="1">IFERROR(__xludf.DUMMYFUNCTION("""COMPUTED_VALUE"""),215)</f>
        <v>215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IFERROR(__xludf.DUMMYFUNCTION("""COMPUTED_VALUE"""),9)</f>
        <v>9</v>
      </c>
      <c r="C9" t="str">
        <f ca="1">IFERROR(__xludf.DUMMYFUNCTION("""COMPUTED_VALUE"""),"William McGirt")</f>
        <v>William McGirt</v>
      </c>
      <c r="D9">
        <f ca="1">IFERROR(__xludf.DUMMYFUNCTION("""COMPUTED_VALUE"""),6)</f>
        <v>6</v>
      </c>
      <c r="E9" t="str">
        <f ca="1">IFERROR(__xludf.DUMMYFUNCTION("""COMPUTED_VALUE"""),"5""")</f>
        <v>5"</v>
      </c>
      <c r="F9">
        <f ca="1">IFERROR(__xludf.DUMMYFUNCTION("""COMPUTED_VALUE"""),2.083)</f>
        <v>2.0830000000000002</v>
      </c>
      <c r="G9">
        <f ca="1">IFERROR(__xludf.DUMMYFUNCTION("""COMPUTED_VALUE"""),5)</f>
        <v>5</v>
      </c>
      <c r="H9">
        <f ca="1">IFERROR(__xludf.DUMMYFUNCTION("""COMPUTED_VALUE"""),203)</f>
        <v>203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IFERROR(__xludf.DUMMYFUNCTION("""COMPUTED_VALUE"""),"Sepp Straka")</f>
        <v>Sepp Straka</v>
      </c>
      <c r="D10">
        <f ca="1">IFERROR(__xludf.DUMMYFUNCTION("""COMPUTED_VALUE"""),22)</f>
        <v>22</v>
      </c>
      <c r="E10" t="str">
        <f ca="1">IFERROR(__xludf.DUMMYFUNCTION("""COMPUTED_VALUE"""),"6""")</f>
        <v>6"</v>
      </c>
      <c r="F10">
        <f ca="1">IFERROR(__xludf.DUMMYFUNCTION("""COMPUTED_VALUE"""),1.833)</f>
        <v>1.833</v>
      </c>
      <c r="G10">
        <f ca="1">IFERROR(__xludf.DUMMYFUNCTION("""COMPUTED_VALUE"""),4)</f>
        <v>4</v>
      </c>
      <c r="H10">
        <f ca="1">IFERROR(__xludf.DUMMYFUNCTION("""COMPUTED_VALUE"""),31)</f>
        <v>31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IFERROR(__xludf.DUMMYFUNCTION("""COMPUTED_VALUE"""),11)</f>
        <v>11</v>
      </c>
      <c r="C11" t="str">
        <f ca="1">IFERROR(__xludf.DUMMYFUNCTION("""COMPUTED_VALUE"""),"Luke Schniederjans")</f>
        <v>Luke Schniederjans</v>
      </c>
      <c r="D11">
        <f ca="1">IFERROR(__xludf.DUMMYFUNCTION("""COMPUTED_VALUE"""),4)</f>
        <v>4</v>
      </c>
      <c r="E11" t="str">
        <f ca="1">IFERROR(__xludf.DUMMYFUNCTION("""COMPUTED_VALUE"""),"7""")</f>
        <v>7"</v>
      </c>
      <c r="F11">
        <f ca="1">IFERROR(__xludf.DUMMYFUNCTION("""COMPUTED_VALUE"""),1.083)</f>
        <v>1.083</v>
      </c>
      <c r="G11">
        <f ca="1">IFERROR(__xludf.DUMMYFUNCTION("""COMPUTED_VALUE"""),2)</f>
        <v>2</v>
      </c>
      <c r="H11">
        <f ca="1">IFERROR(__xludf.DUMMYFUNCTION("""COMPUTED_VALUE"""),209)</f>
        <v>209</v>
      </c>
    </row>
    <row r="12" spans="1:8" ht="15.75" customHeight="1">
      <c r="A12">
        <f ca="1">IFERROR(__xludf.DUMMYFUNCTION("""COMPUTED_VALUE"""),11)</f>
        <v>11</v>
      </c>
      <c r="B12" t="str">
        <f ca="1">IFERROR(__xludf.DUMMYFUNCTION("""COMPUTED_VALUE"""),"T12")</f>
        <v>T12</v>
      </c>
      <c r="C12" t="str">
        <f ca="1">IFERROR(__xludf.DUMMYFUNCTION("""COMPUTED_VALUE"""),"John Senden")</f>
        <v>John Senden</v>
      </c>
      <c r="D12">
        <f ca="1">IFERROR(__xludf.DUMMYFUNCTION("""COMPUTED_VALUE"""),8)</f>
        <v>8</v>
      </c>
      <c r="E12" t="str">
        <f ca="1">IFERROR(__xludf.DUMMYFUNCTION("""COMPUTED_VALUE"""),"8""")</f>
        <v>8"</v>
      </c>
      <c r="F12">
        <f ca="1">IFERROR(__xludf.DUMMYFUNCTION("""COMPUTED_VALUE"""),0.667)</f>
        <v>0.66700000000000004</v>
      </c>
      <c r="G12">
        <f ca="1">IFERROR(__xludf.DUMMYFUNCTION("""COMPUTED_VALUE"""),1)</f>
        <v>1</v>
      </c>
      <c r="H12">
        <f ca="1">IFERROR(__xludf.DUMMYFUNCTION("""COMPUTED_VALUE"""),206)</f>
        <v>206</v>
      </c>
    </row>
    <row r="13" spans="1:8" ht="15.75" customHeight="1">
      <c r="A13" t="str">
        <f ca="1">IFERROR(__xludf.DUMMYFUNCTION("""COMPUTED_VALUE"""),"T12")</f>
        <v>T12</v>
      </c>
      <c r="B13" t="str">
        <f ca="1">IFERROR(__xludf.DUMMYFUNCTION("""COMPUTED_VALUE"""),"T12")</f>
        <v>T12</v>
      </c>
      <c r="C13" t="str">
        <f ca="1">IFERROR(__xludf.DUMMYFUNCTION("""COMPUTED_VALUE"""),"Bo Van Pelt")</f>
        <v>Bo Van Pelt</v>
      </c>
      <c r="D13">
        <f ca="1">IFERROR(__xludf.DUMMYFUNCTION("""COMPUTED_VALUE"""),10)</f>
        <v>10</v>
      </c>
      <c r="E13" t="str">
        <f ca="1">IFERROR(__xludf.DUMMYFUNCTION("""COMPUTED_VALUE"""),"9""")</f>
        <v>9"</v>
      </c>
      <c r="F13">
        <f ca="1">IFERROR(__xludf.DUMMYFUNCTION("""COMPUTED_VALUE"""),2.25)</f>
        <v>2.25</v>
      </c>
      <c r="G13">
        <f ca="1">IFERROR(__xludf.DUMMYFUNCTION("""COMPUTED_VALUE"""),3)</f>
        <v>3</v>
      </c>
      <c r="H13">
        <f ca="1">IFERROR(__xludf.DUMMYFUNCTION("""COMPUTED_VALUE"""),265)</f>
        <v>265</v>
      </c>
    </row>
    <row r="14" spans="1:8" ht="15.75" customHeight="1">
      <c r="A14" t="str">
        <f ca="1">IFERROR(__xludf.DUMMYFUNCTION("""COMPUTED_VALUE"""),"T12")</f>
        <v>T12</v>
      </c>
      <c r="B14" t="str">
        <f ca="1">IFERROR(__xludf.DUMMYFUNCTION("""COMPUTED_VALUE"""),"T14")</f>
        <v>T14</v>
      </c>
      <c r="C14" t="str">
        <f ca="1">IFERROR(__xludf.DUMMYFUNCTION("""COMPUTED_VALUE"""),"Seonghyeon Kim")</f>
        <v>Seonghyeon Kim</v>
      </c>
      <c r="D14">
        <f ca="1">IFERROR(__xludf.DUMMYFUNCTION("""COMPUTED_VALUE"""),4)</f>
        <v>4</v>
      </c>
      <c r="E14" t="str">
        <f ca="1">IFERROR(__xludf.DUMMYFUNCTION("""COMPUTED_VALUE"""),"9""")</f>
        <v>9"</v>
      </c>
      <c r="F14">
        <f ca="1">IFERROR(__xludf.DUMMYFUNCTION("""COMPUTED_VALUE"""),1.5)</f>
        <v>1.5</v>
      </c>
      <c r="G14">
        <f ca="1">IFERROR(__xludf.DUMMYFUNCTION("""COMPUTED_VALUE"""),2)</f>
        <v>2</v>
      </c>
      <c r="H14">
        <f ca="1">IFERROR(__xludf.DUMMYFUNCTION("""COMPUTED_VALUE"""),144)</f>
        <v>144</v>
      </c>
    </row>
    <row r="15" spans="1:8" ht="15.75" customHeight="1">
      <c r="A15" t="str">
        <f ca="1">IFERROR(__xludf.DUMMYFUNCTION("""COMPUTED_VALUE"""),"T12")</f>
        <v>T12</v>
      </c>
      <c r="B15" t="str">
        <f ca="1">IFERROR(__xludf.DUMMYFUNCTION("""COMPUTED_VALUE"""),"T14")</f>
        <v>T14</v>
      </c>
      <c r="C15" t="str">
        <f ca="1">IFERROR(__xludf.DUMMYFUNCTION("""COMPUTED_VALUE"""),"Bryson DeChambeau")</f>
        <v>Bryson DeChambeau</v>
      </c>
      <c r="D15">
        <f ca="1">IFERROR(__xludf.DUMMYFUNCTION("""COMPUTED_VALUE"""),8)</f>
        <v>8</v>
      </c>
      <c r="E15" t="str">
        <f ca="1">IFERROR(__xludf.DUMMYFUNCTION("""COMPUTED_VALUE"""),"9""")</f>
        <v>9"</v>
      </c>
      <c r="F15">
        <f ca="1">IFERROR(__xludf.DUMMYFUNCTION("""COMPUTED_VALUE"""),3.083)</f>
        <v>3.0830000000000002</v>
      </c>
      <c r="G15">
        <f ca="1">IFERROR(__xludf.DUMMYFUNCTION("""COMPUTED_VALUE"""),4)</f>
        <v>4</v>
      </c>
      <c r="H15">
        <f ca="1">IFERROR(__xludf.DUMMYFUNCTION("""COMPUTED_VALUE"""),92)</f>
        <v>92</v>
      </c>
    </row>
    <row r="16" spans="1:8" ht="15.75" customHeight="1">
      <c r="A16" t="str">
        <f ca="1">IFERROR(__xludf.DUMMYFUNCTION("""COMPUTED_VALUE"""),"T12")</f>
        <v>T12</v>
      </c>
      <c r="B16" t="str">
        <f ca="1">IFERROR(__xludf.DUMMYFUNCTION("""COMPUTED_VALUE"""),"T14")</f>
        <v>T14</v>
      </c>
      <c r="C16" t="str">
        <f ca="1">IFERROR(__xludf.DUMMYFUNCTION("""COMPUTED_VALUE"""),"Peter Malnati")</f>
        <v>Peter Malnati</v>
      </c>
      <c r="D16">
        <f ca="1">IFERROR(__xludf.DUMMYFUNCTION("""COMPUTED_VALUE"""),18)</f>
        <v>18</v>
      </c>
      <c r="E16" t="str">
        <f ca="1">IFERROR(__xludf.DUMMYFUNCTION("""COMPUTED_VALUE"""),"9""")</f>
        <v>9"</v>
      </c>
      <c r="F16">
        <f ca="1">IFERROR(__xludf.DUMMYFUNCTION("""COMPUTED_VALUE"""),2.167)</f>
        <v>2.1669999999999998</v>
      </c>
      <c r="G16">
        <f ca="1">IFERROR(__xludf.DUMMYFUNCTION("""COMPUTED_VALUE"""),3)</f>
        <v>3</v>
      </c>
      <c r="H16">
        <f ca="1">IFERROR(__xludf.DUMMYFUNCTION("""COMPUTED_VALUE"""),70)</f>
        <v>70</v>
      </c>
    </row>
    <row r="17" spans="1:8" ht="15.75" customHeight="1">
      <c r="A17" t="str">
        <f ca="1">IFERROR(__xludf.DUMMYFUNCTION("""COMPUTED_VALUE"""),"T16")</f>
        <v>T16</v>
      </c>
      <c r="B17" t="str">
        <f ca="1">IFERROR(__xludf.DUMMYFUNCTION("""COMPUTED_VALUE"""),"T17")</f>
        <v>T17</v>
      </c>
      <c r="C17" t="str">
        <f ca="1">IFERROR(__xludf.DUMMYFUNCTION("""COMPUTED_VALUE"""),"Roger Sloan")</f>
        <v>Roger Sloan</v>
      </c>
      <c r="D17">
        <f ca="1">IFERROR(__xludf.DUMMYFUNCTION("""COMPUTED_VALUE"""),12)</f>
        <v>12</v>
      </c>
      <c r="E17" t="str">
        <f ca="1">IFERROR(__xludf.DUMMYFUNCTION("""COMPUTED_VALUE"""),"10""")</f>
        <v>10"</v>
      </c>
      <c r="F17">
        <f ca="1">IFERROR(__xludf.DUMMYFUNCTION("""COMPUTED_VALUE"""),2.417)</f>
        <v>2.4169999999999998</v>
      </c>
      <c r="G17">
        <f ca="1">IFERROR(__xludf.DUMMYFUNCTION("""COMPUTED_VALUE"""),3)</f>
        <v>3</v>
      </c>
      <c r="H17">
        <f ca="1">IFERROR(__xludf.DUMMYFUNCTION("""COMPUTED_VALUE"""),16)</f>
        <v>16</v>
      </c>
    </row>
    <row r="18" spans="1:8" ht="15.75" customHeight="1">
      <c r="A18" t="str">
        <f ca="1">IFERROR(__xludf.DUMMYFUNCTION("""COMPUTED_VALUE"""),"T16")</f>
        <v>T16</v>
      </c>
      <c r="B18" t="str">
        <f ca="1">IFERROR(__xludf.DUMMYFUNCTION("""COMPUTED_VALUE"""),"T17")</f>
        <v>T17</v>
      </c>
      <c r="C18" t="str">
        <f ca="1">IFERROR(__xludf.DUMMYFUNCTION("""COMPUTED_VALUE"""),"Vincent Whaley")</f>
        <v>Vincent Whaley</v>
      </c>
      <c r="D18">
        <f ca="1">IFERROR(__xludf.DUMMYFUNCTION("""COMPUTED_VALUE"""),14)</f>
        <v>14</v>
      </c>
      <c r="E18" t="str">
        <f ca="1">IFERROR(__xludf.DUMMYFUNCTION("""COMPUTED_VALUE"""),"10""")</f>
        <v>10"</v>
      </c>
      <c r="F18">
        <f ca="1">IFERROR(__xludf.DUMMYFUNCTION("""COMPUTED_VALUE"""),4.25)</f>
        <v>4.25</v>
      </c>
      <c r="G18">
        <f ca="1">IFERROR(__xludf.DUMMYFUNCTION("""COMPUTED_VALUE"""),5)</f>
        <v>5</v>
      </c>
      <c r="H18">
        <f ca="1">IFERROR(__xludf.DUMMYFUNCTION("""COMPUTED_VALUE"""),31)</f>
        <v>31</v>
      </c>
    </row>
    <row r="19" spans="1:8" ht="15.75" customHeight="1">
      <c r="A19" t="str">
        <f ca="1">IFERROR(__xludf.DUMMYFUNCTION("""COMPUTED_VALUE"""),"T16")</f>
        <v>T16</v>
      </c>
      <c r="B19" t="str">
        <f ca="1">IFERROR(__xludf.DUMMYFUNCTION("""COMPUTED_VALUE"""),"T17")</f>
        <v>T17</v>
      </c>
      <c r="C19" t="str">
        <f ca="1">IFERROR(__xludf.DUMMYFUNCTION("""COMPUTED_VALUE"""),"Gary Woodland")</f>
        <v>Gary Woodland</v>
      </c>
      <c r="D19">
        <f ca="1">IFERROR(__xludf.DUMMYFUNCTION("""COMPUTED_VALUE"""),6)</f>
        <v>6</v>
      </c>
      <c r="E19" t="str">
        <f ca="1">IFERROR(__xludf.DUMMYFUNCTION("""COMPUTED_VALUE"""),"10""")</f>
        <v>10"</v>
      </c>
      <c r="F19">
        <f ca="1">IFERROR(__xludf.DUMMYFUNCTION("""COMPUTED_VALUE"""),3.417)</f>
        <v>3.4169999999999998</v>
      </c>
      <c r="G19">
        <f ca="1">IFERROR(__xludf.DUMMYFUNCTION("""COMPUTED_VALUE"""),4)</f>
        <v>4</v>
      </c>
      <c r="H19">
        <f ca="1">IFERROR(__xludf.DUMMYFUNCTION("""COMPUTED_VALUE"""),278)</f>
        <v>278</v>
      </c>
    </row>
    <row r="20" spans="1:8" ht="15.75" customHeight="1">
      <c r="A20" t="str">
        <f ca="1">IFERROR(__xludf.DUMMYFUNCTION("""COMPUTED_VALUE"""),"T16")</f>
        <v>T16</v>
      </c>
      <c r="B20" t="str">
        <f ca="1">IFERROR(__xludf.DUMMYFUNCTION("""COMPUTED_VALUE"""),"T17")</f>
        <v>T17</v>
      </c>
      <c r="C20" t="str">
        <f ca="1">IFERROR(__xludf.DUMMYFUNCTION("""COMPUTED_VALUE"""),"Kevin Chappell")</f>
        <v>Kevin Chappell</v>
      </c>
      <c r="D20">
        <f ca="1">IFERROR(__xludf.DUMMYFUNCTION("""COMPUTED_VALUE"""),16)</f>
        <v>16</v>
      </c>
      <c r="E20" t="str">
        <f ca="1">IFERROR(__xludf.DUMMYFUNCTION("""COMPUTED_VALUE"""),"10""")</f>
        <v>10"</v>
      </c>
      <c r="F20">
        <f ca="1">IFERROR(__xludf.DUMMYFUNCTION("""COMPUTED_VALUE"""),2.583)</f>
        <v>2.5830000000000002</v>
      </c>
      <c r="G20">
        <f ca="1">IFERROR(__xludf.DUMMYFUNCTION("""COMPUTED_VALUE"""),3)</f>
        <v>3</v>
      </c>
      <c r="H20">
        <f ca="1">IFERROR(__xludf.DUMMYFUNCTION("""COMPUTED_VALUE"""),106)</f>
        <v>106</v>
      </c>
    </row>
    <row r="21" spans="1:8" ht="15.75" customHeight="1">
      <c r="A21" t="str">
        <f ca="1">IFERROR(__xludf.DUMMYFUNCTION("""COMPUTED_VALUE"""),"T20")</f>
        <v>T20</v>
      </c>
      <c r="B21" t="str">
        <f ca="1">IFERROR(__xludf.DUMMYFUNCTION("""COMPUTED_VALUE"""),"T22")</f>
        <v>T22</v>
      </c>
      <c r="C21" t="str">
        <f ca="1">IFERROR(__xludf.DUMMYFUNCTION("""COMPUTED_VALUE"""),"Hunter Mahan")</f>
        <v>Hunter Mahan</v>
      </c>
      <c r="D21">
        <f ca="1">IFERROR(__xludf.DUMMYFUNCTION("""COMPUTED_VALUE"""),14)</f>
        <v>14</v>
      </c>
      <c r="E21" t="str">
        <f ca="1">IFERROR(__xludf.DUMMYFUNCTION("""COMPUTED_VALUE"""),"11""")</f>
        <v>11"</v>
      </c>
      <c r="F21">
        <f ca="1">IFERROR(__xludf.DUMMYFUNCTION("""COMPUTED_VALUE"""),1.75)</f>
        <v>1.75</v>
      </c>
      <c r="G21">
        <f ca="1">IFERROR(__xludf.DUMMYFUNCTION("""COMPUTED_VALUE"""),2)</f>
        <v>2</v>
      </c>
      <c r="H21">
        <f ca="1">IFERROR(__xludf.DUMMYFUNCTION("""COMPUTED_VALUE"""),168)</f>
        <v>168</v>
      </c>
    </row>
    <row r="22" spans="1:8" ht="15.75" customHeight="1">
      <c r="A22" t="str">
        <f ca="1">IFERROR(__xludf.DUMMYFUNCTION("""COMPUTED_VALUE"""),"T20")</f>
        <v>T20</v>
      </c>
      <c r="B22" t="str">
        <f ca="1">IFERROR(__xludf.DUMMYFUNCTION("""COMPUTED_VALUE"""),"T22")</f>
        <v>T22</v>
      </c>
      <c r="C22" t="str">
        <f ca="1">IFERROR(__xludf.DUMMYFUNCTION("""COMPUTED_VALUE"""),"Takumi Kanaya")</f>
        <v>Takumi Kanaya</v>
      </c>
      <c r="D22">
        <f ca="1">IFERROR(__xludf.DUMMYFUNCTION("""COMPUTED_VALUE"""),6)</f>
        <v>6</v>
      </c>
      <c r="E22" t="str">
        <f ca="1">IFERROR(__xludf.DUMMYFUNCTION("""COMPUTED_VALUE"""),"11""")</f>
        <v>11"</v>
      </c>
      <c r="F22">
        <f ca="1">IFERROR(__xludf.DUMMYFUNCTION("""COMPUTED_VALUE"""),1.833)</f>
        <v>1.833</v>
      </c>
      <c r="G22">
        <f ca="1">IFERROR(__xludf.DUMMYFUNCTION("""COMPUTED_VALUE"""),2)</f>
        <v>2</v>
      </c>
      <c r="H22">
        <f ca="1">IFERROR(__xludf.DUMMYFUNCTION("""COMPUTED_VALUE"""),235)</f>
        <v>235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IFERROR(__xludf.DUMMYFUNCTION("""COMPUTED_VALUE"""),"T25")</f>
        <v>T25</v>
      </c>
      <c r="C23" t="str">
        <f ca="1">IFERROR(__xludf.DUMMYFUNCTION("""COMPUTED_VALUE"""),"MJ Daffue")</f>
        <v>MJ Daffue</v>
      </c>
      <c r="D23">
        <f ca="1">IFERROR(__xludf.DUMMYFUNCTION("""COMPUTED_VALUE"""),10)</f>
        <v>10</v>
      </c>
      <c r="E23" t="str">
        <f ca="1">IFERROR(__xludf.DUMMYFUNCTION("""COMPUTED_VALUE"""),"1' 0""")</f>
        <v>1' 0"</v>
      </c>
      <c r="F23">
        <f ca="1">IFERROR(__xludf.DUMMYFUNCTION("""COMPUTED_VALUE"""),1)</f>
        <v>1</v>
      </c>
      <c r="G23">
        <f ca="1">IFERROR(__xludf.DUMMYFUNCTION("""COMPUTED_VALUE"""),1)</f>
        <v>1</v>
      </c>
      <c r="H23">
        <f ca="1">IFERROR(__xludf.DUMMYFUNCTION("""COMPUTED_VALUE"""),142)</f>
        <v>142</v>
      </c>
    </row>
    <row r="24" spans="1:8" ht="15.75" customHeight="1">
      <c r="A24" t="str">
        <f ca="1">IFERROR(__xludf.DUMMYFUNCTION("""COMPUTED_VALUE"""),"T22")</f>
        <v>T22</v>
      </c>
      <c r="B24" t="str">
        <f ca="1">IFERROR(__xludf.DUMMYFUNCTION("""COMPUTED_VALUE"""),"T25")</f>
        <v>T25</v>
      </c>
      <c r="C24" t="str">
        <f ca="1">IFERROR(__xludf.DUMMYFUNCTION("""COMPUTED_VALUE"""),"Dominic Bozzelli")</f>
        <v>Dominic Bozzelli</v>
      </c>
      <c r="D24">
        <f ca="1">IFERROR(__xludf.DUMMYFUNCTION("""COMPUTED_VALUE"""),8)</f>
        <v>8</v>
      </c>
      <c r="E24" t="str">
        <f ca="1">IFERROR(__xludf.DUMMYFUNCTION("""COMPUTED_VALUE"""),"1' 0""")</f>
        <v>1' 0"</v>
      </c>
      <c r="F24">
        <f ca="1">IFERROR(__xludf.DUMMYFUNCTION("""COMPUTED_VALUE"""),1)</f>
        <v>1</v>
      </c>
      <c r="G24">
        <f ca="1">IFERROR(__xludf.DUMMYFUNCTION("""COMPUTED_VALUE"""),1)</f>
        <v>1</v>
      </c>
      <c r="H24">
        <f ca="1">IFERROR(__xludf.DUMMYFUNCTION("""COMPUTED_VALUE"""),31)</f>
        <v>31</v>
      </c>
    </row>
    <row r="25" spans="1:8" ht="15.75" customHeight="1">
      <c r="A25" t="str">
        <f ca="1">IFERROR(__xludf.DUMMYFUNCTION("""COMPUTED_VALUE"""),"T22")</f>
        <v>T22</v>
      </c>
      <c r="B25" t="str">
        <f ca="1">IFERROR(__xludf.DUMMYFUNCTION("""COMPUTED_VALUE"""),"T25")</f>
        <v>T25</v>
      </c>
      <c r="C25" t="str">
        <f ca="1">IFERROR(__xludf.DUMMYFUNCTION("""COMPUTED_VALUE"""),"Sangmoon Bae")</f>
        <v>Sangmoon Bae</v>
      </c>
      <c r="D25">
        <f ca="1">IFERROR(__xludf.DUMMYFUNCTION("""COMPUTED_VALUE"""),8)</f>
        <v>8</v>
      </c>
      <c r="E25" t="str">
        <f ca="1">IFERROR(__xludf.DUMMYFUNCTION("""COMPUTED_VALUE"""),"1' 0""")</f>
        <v>1' 0"</v>
      </c>
      <c r="F25">
        <f ca="1">IFERROR(__xludf.DUMMYFUNCTION("""COMPUTED_VALUE"""),1)</f>
        <v>1</v>
      </c>
      <c r="G25">
        <f ca="1">IFERROR(__xludf.DUMMYFUNCTION("""COMPUTED_VALUE"""),1)</f>
        <v>1</v>
      </c>
      <c r="H25">
        <f ca="1">IFERROR(__xludf.DUMMYFUNCTION("""COMPUTED_VALUE"""),147)</f>
        <v>147</v>
      </c>
    </row>
    <row r="26" spans="1:8" ht="15.75" customHeight="1">
      <c r="A26" t="str">
        <f ca="1">IFERROR(__xludf.DUMMYFUNCTION("""COMPUTED_VALUE"""),"T25")</f>
        <v>T25</v>
      </c>
      <c r="B26" t="str">
        <f ca="1">IFERROR(__xludf.DUMMYFUNCTION("""COMPUTED_VALUE"""),"T28")</f>
        <v>T28</v>
      </c>
      <c r="C26" t="str">
        <f ca="1">IFERROR(__xludf.DUMMYFUNCTION("""COMPUTED_VALUE"""),"Michael Gligic")</f>
        <v>Michael Gligic</v>
      </c>
      <c r="D26">
        <f ca="1">IFERROR(__xludf.DUMMYFUNCTION("""COMPUTED_VALUE"""),18)</f>
        <v>18</v>
      </c>
      <c r="E26" t="str">
        <f ca="1">IFERROR(__xludf.DUMMYFUNCTION("""COMPUTED_VALUE"""),"1' 1""")</f>
        <v>1' 1"</v>
      </c>
      <c r="F26">
        <f ca="1">IFERROR(__xludf.DUMMYFUNCTION("""COMPUTED_VALUE"""),7.583)</f>
        <v>7.5830000000000002</v>
      </c>
      <c r="G26">
        <f ca="1">IFERROR(__xludf.DUMMYFUNCTION("""COMPUTED_VALUE"""),7)</f>
        <v>7</v>
      </c>
      <c r="H26">
        <f ca="1">IFERROR(__xludf.DUMMYFUNCTION("""COMPUTED_VALUE"""),14)</f>
        <v>14</v>
      </c>
    </row>
    <row r="27" spans="1:8" ht="15.75" customHeight="1">
      <c r="A27" t="str">
        <f ca="1">IFERROR(__xludf.DUMMYFUNCTION("""COMPUTED_VALUE"""),"T25")</f>
        <v>T25</v>
      </c>
      <c r="B27" t="str">
        <f ca="1">IFERROR(__xludf.DUMMYFUNCTION("""COMPUTED_VALUE"""),"T28")</f>
        <v>T28</v>
      </c>
      <c r="C27" t="str">
        <f ca="1">IFERROR(__xludf.DUMMYFUNCTION("""COMPUTED_VALUE"""),"Stewart Cink")</f>
        <v>Stewart Cink</v>
      </c>
      <c r="D27">
        <f ca="1">IFERROR(__xludf.DUMMYFUNCTION("""COMPUTED_VALUE"""),18)</f>
        <v>18</v>
      </c>
      <c r="E27" t="str">
        <f ca="1">IFERROR(__xludf.DUMMYFUNCTION("""COMPUTED_VALUE"""),"1' 1""")</f>
        <v>1' 1"</v>
      </c>
      <c r="F27">
        <f ca="1">IFERROR(__xludf.DUMMYFUNCTION("""COMPUTED_VALUE"""),4.25)</f>
        <v>4.25</v>
      </c>
      <c r="G27">
        <f ca="1">IFERROR(__xludf.DUMMYFUNCTION("""COMPUTED_VALUE"""),4)</f>
        <v>4</v>
      </c>
      <c r="H27">
        <f ca="1">IFERROR(__xludf.DUMMYFUNCTION("""COMPUTED_VALUE"""),99)</f>
        <v>99</v>
      </c>
    </row>
    <row r="28" spans="1:8" ht="15.75" customHeight="1">
      <c r="A28" t="str">
        <f ca="1">IFERROR(__xludf.DUMMYFUNCTION("""COMPUTED_VALUE"""),"T25")</f>
        <v>T25</v>
      </c>
      <c r="B28" t="str">
        <f ca="1">IFERROR(__xludf.DUMMYFUNCTION("""COMPUTED_VALUE"""),"T28")</f>
        <v>T28</v>
      </c>
      <c r="C28" t="str">
        <f ca="1">IFERROR(__xludf.DUMMYFUNCTION("""COMPUTED_VALUE"""),"Naoki Sekito")</f>
        <v>Naoki Sekito</v>
      </c>
      <c r="D28">
        <f ca="1">IFERROR(__xludf.DUMMYFUNCTION("""COMPUTED_VALUE"""),4)</f>
        <v>4</v>
      </c>
      <c r="E28" t="str">
        <f ca="1">IFERROR(__xludf.DUMMYFUNCTION("""COMPUTED_VALUE"""),"1' 1""")</f>
        <v>1' 1"</v>
      </c>
      <c r="F28">
        <f ca="1">IFERROR(__xludf.DUMMYFUNCTION("""COMPUTED_VALUE"""),1.083)</f>
        <v>1.083</v>
      </c>
      <c r="G28">
        <f ca="1">IFERROR(__xludf.DUMMYFUNCTION("""COMPUTED_VALUE"""),1)</f>
        <v>1</v>
      </c>
      <c r="H28">
        <f ca="1">IFERROR(__xludf.DUMMYFUNCTION("""COMPUTED_VALUE"""),259)</f>
        <v>259</v>
      </c>
    </row>
    <row r="29" spans="1:8" ht="15.75" customHeight="1">
      <c r="A29" t="str">
        <f ca="1">IFERROR(__xludf.DUMMYFUNCTION("""COMPUTED_VALUE"""),"T25")</f>
        <v>T25</v>
      </c>
      <c r="B29" t="str">
        <f ca="1">IFERROR(__xludf.DUMMYFUNCTION("""COMPUTED_VALUE"""),"T28")</f>
        <v>T28</v>
      </c>
      <c r="C29" t="str">
        <f ca="1">IFERROR(__xludf.DUMMYFUNCTION("""COMPUTED_VALUE"""),"Hanbyeol Kim")</f>
        <v>Hanbyeol Kim</v>
      </c>
      <c r="D29">
        <f ca="1">IFERROR(__xludf.DUMMYFUNCTION("""COMPUTED_VALUE"""),4)</f>
        <v>4</v>
      </c>
      <c r="E29" t="str">
        <f ca="1">IFERROR(__xludf.DUMMYFUNCTION("""COMPUTED_VALUE"""),"1' 1""")</f>
        <v>1' 1"</v>
      </c>
      <c r="F29">
        <f ca="1">IFERROR(__xludf.DUMMYFUNCTION("""COMPUTED_VALUE"""),2.167)</f>
        <v>2.1669999999999998</v>
      </c>
      <c r="G29">
        <f ca="1">IFERROR(__xludf.DUMMYFUNCTION("""COMPUTED_VALUE"""),2)</f>
        <v>2</v>
      </c>
      <c r="H29">
        <f ca="1">IFERROR(__xludf.DUMMYFUNCTION("""COMPUTED_VALUE"""),280)</f>
        <v>280</v>
      </c>
    </row>
    <row r="30" spans="1:8" ht="15.75" customHeight="1">
      <c r="A30" t="str">
        <f ca="1">IFERROR(__xludf.DUMMYFUNCTION("""COMPUTED_VALUE"""),"T25")</f>
        <v>T25</v>
      </c>
      <c r="B30" t="str">
        <f ca="1">IFERROR(__xludf.DUMMYFUNCTION("""COMPUTED_VALUE"""),"T28")</f>
        <v>T28</v>
      </c>
      <c r="C30" t="str">
        <f ca="1">IFERROR(__xludf.DUMMYFUNCTION("""COMPUTED_VALUE"""),"George Markham")</f>
        <v>George Markham</v>
      </c>
      <c r="D30">
        <f ca="1">IFERROR(__xludf.DUMMYFUNCTION("""COMPUTED_VALUE"""),4)</f>
        <v>4</v>
      </c>
      <c r="E30" t="str">
        <f ca="1">IFERROR(__xludf.DUMMYFUNCTION("""COMPUTED_VALUE"""),"1' 1""")</f>
        <v>1' 1"</v>
      </c>
      <c r="F30">
        <f ca="1">IFERROR(__xludf.DUMMYFUNCTION("""COMPUTED_VALUE"""),2.167)</f>
        <v>2.1669999999999998</v>
      </c>
      <c r="G30">
        <f ca="1">IFERROR(__xludf.DUMMYFUNCTION("""COMPUTED_VALUE"""),2)</f>
        <v>2</v>
      </c>
      <c r="H30">
        <f ca="1">IFERROR(__xludf.DUMMYFUNCTION("""COMPUTED_VALUE"""),168)</f>
        <v>168</v>
      </c>
    </row>
    <row r="31" spans="1:8" ht="12.75">
      <c r="A31" t="str">
        <f ca="1">IFERROR(__xludf.DUMMYFUNCTION("""COMPUTED_VALUE"""),"T30")</f>
        <v>T30</v>
      </c>
      <c r="B31" t="str">
        <f ca="1">IFERROR(__xludf.DUMMYFUNCTION("""COMPUTED_VALUE"""),"T34")</f>
        <v>T34</v>
      </c>
      <c r="C31" t="str">
        <f ca="1">IFERROR(__xludf.DUMMYFUNCTION("""COMPUTED_VALUE"""),"Aaron Wise")</f>
        <v>Aaron Wise</v>
      </c>
      <c r="D31">
        <f ca="1">IFERROR(__xludf.DUMMYFUNCTION("""COMPUTED_VALUE"""),16)</f>
        <v>16</v>
      </c>
      <c r="E31" t="str">
        <f ca="1">IFERROR(__xludf.DUMMYFUNCTION("""COMPUTED_VALUE"""),"1' 2""")</f>
        <v>1' 2"</v>
      </c>
      <c r="F31">
        <f ca="1">IFERROR(__xludf.DUMMYFUNCTION("""COMPUTED_VALUE"""),6)</f>
        <v>6</v>
      </c>
      <c r="G31">
        <f ca="1">IFERROR(__xludf.DUMMYFUNCTION("""COMPUTED_VALUE"""),5)</f>
        <v>5</v>
      </c>
      <c r="H31">
        <f ca="1">IFERROR(__xludf.DUMMYFUNCTION("""COMPUTED_VALUE"""),82)</f>
        <v>82</v>
      </c>
    </row>
    <row r="32" spans="1:8" ht="12.75">
      <c r="A32" t="str">
        <f ca="1">IFERROR(__xludf.DUMMYFUNCTION("""COMPUTED_VALUE"""),"T30")</f>
        <v>T30</v>
      </c>
      <c r="B32" t="str">
        <f ca="1">IFERROR(__xludf.DUMMYFUNCTION("""COMPUTED_VALUE"""),"T34")</f>
        <v>T34</v>
      </c>
      <c r="C32" t="str">
        <f ca="1">IFERROR(__xludf.DUMMYFUNCTION("""COMPUTED_VALUE"""),"Ben Taylor")</f>
        <v>Ben Taylor</v>
      </c>
      <c r="D32">
        <f ca="1">IFERROR(__xludf.DUMMYFUNCTION("""COMPUTED_VALUE"""),10)</f>
        <v>10</v>
      </c>
      <c r="E32" t="str">
        <f ca="1">IFERROR(__xludf.DUMMYFUNCTION("""COMPUTED_VALUE"""),"1' 2""")</f>
        <v>1' 2"</v>
      </c>
      <c r="F32">
        <f ca="1">IFERROR(__xludf.DUMMYFUNCTION("""COMPUTED_VALUE"""),1.167)</f>
        <v>1.167</v>
      </c>
      <c r="G32">
        <f ca="1">IFERROR(__xludf.DUMMYFUNCTION("""COMPUTED_VALUE"""),1)</f>
        <v>1</v>
      </c>
      <c r="H32">
        <f ca="1">IFERROR(__xludf.DUMMYFUNCTION("""COMPUTED_VALUE"""),19)</f>
        <v>19</v>
      </c>
    </row>
    <row r="33" spans="1:8" ht="12.75">
      <c r="A33" t="str">
        <f ca="1">IFERROR(__xludf.DUMMYFUNCTION("""COMPUTED_VALUE"""),"T30")</f>
        <v>T30</v>
      </c>
      <c r="B33" t="str">
        <f ca="1">IFERROR(__xludf.DUMMYFUNCTION("""COMPUTED_VALUE"""),"T22")</f>
        <v>T22</v>
      </c>
      <c r="C33" t="str">
        <f ca="1">IFERROR(__xludf.DUMMYFUNCTION("""COMPUTED_VALUE"""),"Nate Lashley")</f>
        <v>Nate Lashley</v>
      </c>
      <c r="D33">
        <f ca="1">IFERROR(__xludf.DUMMYFUNCTION("""COMPUTED_VALUE"""),16)</f>
        <v>16</v>
      </c>
      <c r="E33" t="str">
        <f ca="1">IFERROR(__xludf.DUMMYFUNCTION("""COMPUTED_VALUE"""),"1' 2""")</f>
        <v>1' 2"</v>
      </c>
      <c r="F33">
        <f ca="1">IFERROR(__xludf.DUMMYFUNCTION("""COMPUTED_VALUE"""),4.5)</f>
        <v>4.5</v>
      </c>
      <c r="G33">
        <f ca="1">IFERROR(__xludf.DUMMYFUNCTION("""COMPUTED_VALUE"""),4)</f>
        <v>4</v>
      </c>
      <c r="H33">
        <f ca="1">IFERROR(__xludf.DUMMYFUNCTION("""COMPUTED_VALUE"""),40)</f>
        <v>40</v>
      </c>
    </row>
    <row r="34" spans="1:8" ht="12.75">
      <c r="A34" t="str">
        <f ca="1">IFERROR(__xludf.DUMMYFUNCTION("""COMPUTED_VALUE"""),"T33")</f>
        <v>T33</v>
      </c>
      <c r="B34" t="str">
        <f ca="1">IFERROR(__xludf.DUMMYFUNCTION("""COMPUTED_VALUE"""),"T36")</f>
        <v>T36</v>
      </c>
      <c r="C34" t="str">
        <f ca="1">IFERROR(__xludf.DUMMYFUNCTION("""COMPUTED_VALUE"""),"Vaughn Taylor")</f>
        <v>Vaughn Taylor</v>
      </c>
      <c r="D34">
        <f ca="1">IFERROR(__xludf.DUMMYFUNCTION("""COMPUTED_VALUE"""),12)</f>
        <v>12</v>
      </c>
      <c r="E34" t="str">
        <f ca="1">IFERROR(__xludf.DUMMYFUNCTION("""COMPUTED_VALUE"""),"1' 3""")</f>
        <v>1' 3"</v>
      </c>
      <c r="F34">
        <f ca="1">IFERROR(__xludf.DUMMYFUNCTION("""COMPUTED_VALUE"""),2.417)</f>
        <v>2.4169999999999998</v>
      </c>
      <c r="G34">
        <f ca="1">IFERROR(__xludf.DUMMYFUNCTION("""COMPUTED_VALUE"""),2)</f>
        <v>2</v>
      </c>
      <c r="H34">
        <f ca="1">IFERROR(__xludf.DUMMYFUNCTION("""COMPUTED_VALUE"""),135)</f>
        <v>135</v>
      </c>
    </row>
    <row r="35" spans="1:8" ht="12.75">
      <c r="A35" t="str">
        <f ca="1">IFERROR(__xludf.DUMMYFUNCTION("""COMPUTED_VALUE"""),"T33")</f>
        <v>T33</v>
      </c>
      <c r="B35" t="str">
        <f ca="1">IFERROR(__xludf.DUMMYFUNCTION("""COMPUTED_VALUE"""),"T36")</f>
        <v>T36</v>
      </c>
      <c r="C35" t="str">
        <f ca="1">IFERROR(__xludf.DUMMYFUNCTION("""COMPUTED_VALUE"""),"Luke Donald")</f>
        <v>Luke Donald</v>
      </c>
      <c r="D35">
        <f ca="1">IFERROR(__xludf.DUMMYFUNCTION("""COMPUTED_VALUE"""),14)</f>
        <v>14</v>
      </c>
      <c r="E35" t="str">
        <f ca="1">IFERROR(__xludf.DUMMYFUNCTION("""COMPUTED_VALUE"""),"1' 3""")</f>
        <v>1' 3"</v>
      </c>
      <c r="F35">
        <f ca="1">IFERROR(__xludf.DUMMYFUNCTION("""COMPUTED_VALUE"""),5.083)</f>
        <v>5.0830000000000002</v>
      </c>
      <c r="G35">
        <f ca="1">IFERROR(__xludf.DUMMYFUNCTION("""COMPUTED_VALUE"""),4)</f>
        <v>4</v>
      </c>
      <c r="H35">
        <f ca="1">IFERROR(__xludf.DUMMYFUNCTION("""COMPUTED_VALUE"""),254)</f>
        <v>254</v>
      </c>
    </row>
    <row r="36" spans="1:8" ht="12.75">
      <c r="A36" t="str">
        <f ca="1">IFERROR(__xludf.DUMMYFUNCTION("""COMPUTED_VALUE"""),"T35")</f>
        <v>T35</v>
      </c>
      <c r="B36" t="str">
        <f ca="1">IFERROR(__xludf.DUMMYFUNCTION("""COMPUTED_VALUE"""),"T38")</f>
        <v>T38</v>
      </c>
      <c r="C36" t="str">
        <f ca="1">IFERROR(__xludf.DUMMYFUNCTION("""COMPUTED_VALUE"""),"Ian Poulter")</f>
        <v>Ian Poulter</v>
      </c>
      <c r="D36">
        <f ca="1">IFERROR(__xludf.DUMMYFUNCTION("""COMPUTED_VALUE"""),6)</f>
        <v>6</v>
      </c>
      <c r="E36" t="str">
        <f ca="1">IFERROR(__xludf.DUMMYFUNCTION("""COMPUTED_VALUE"""),"1' 4""")</f>
        <v>1' 4"</v>
      </c>
      <c r="F36">
        <f ca="1">IFERROR(__xludf.DUMMYFUNCTION("""COMPUTED_VALUE"""),1.333)</f>
        <v>1.333</v>
      </c>
      <c r="G36">
        <f ca="1">IFERROR(__xludf.DUMMYFUNCTION("""COMPUTED_VALUE"""),1)</f>
        <v>1</v>
      </c>
      <c r="H36">
        <f ca="1">IFERROR(__xludf.DUMMYFUNCTION("""COMPUTED_VALUE"""),25)</f>
        <v>25</v>
      </c>
    </row>
    <row r="37" spans="1:8" ht="12.75">
      <c r="A37" t="str">
        <f ca="1">IFERROR(__xludf.DUMMYFUNCTION("""COMPUTED_VALUE"""),"T35")</f>
        <v>T35</v>
      </c>
      <c r="B37" t="str">
        <f ca="1">IFERROR(__xludf.DUMMYFUNCTION("""COMPUTED_VALUE"""),"T38")</f>
        <v>T38</v>
      </c>
      <c r="C37" t="str">
        <f ca="1">IFERROR(__xludf.DUMMYFUNCTION("""COMPUTED_VALUE"""),"George McNeill")</f>
        <v>George McNeill</v>
      </c>
      <c r="D37">
        <f ca="1">IFERROR(__xludf.DUMMYFUNCTION("""COMPUTED_VALUE"""),8)</f>
        <v>8</v>
      </c>
      <c r="E37" t="str">
        <f ca="1">IFERROR(__xludf.DUMMYFUNCTION("""COMPUTED_VALUE"""),"1' 4""")</f>
        <v>1' 4"</v>
      </c>
      <c r="F37">
        <f ca="1">IFERROR(__xludf.DUMMYFUNCTION("""COMPUTED_VALUE"""),2.667)</f>
        <v>2.6669999999999998</v>
      </c>
      <c r="G37">
        <f ca="1">IFERROR(__xludf.DUMMYFUNCTION("""COMPUTED_VALUE"""),2)</f>
        <v>2</v>
      </c>
      <c r="H37">
        <f ca="1">IFERROR(__xludf.DUMMYFUNCTION("""COMPUTED_VALUE"""),251)</f>
        <v>251</v>
      </c>
    </row>
    <row r="38" spans="1:8" ht="12.75">
      <c r="A38" t="str">
        <f ca="1">IFERROR(__xludf.DUMMYFUNCTION("""COMPUTED_VALUE"""),"T35")</f>
        <v>T35</v>
      </c>
      <c r="B38" t="str">
        <f ca="1">IFERROR(__xludf.DUMMYFUNCTION("""COMPUTED_VALUE"""),"T38")</f>
        <v>T38</v>
      </c>
      <c r="C38" t="str">
        <f ca="1">IFERROR(__xludf.DUMMYFUNCTION("""COMPUTED_VALUE"""),"Nick Watney")</f>
        <v>Nick Watney</v>
      </c>
      <c r="D38">
        <f ca="1">IFERROR(__xludf.DUMMYFUNCTION("""COMPUTED_VALUE"""),10)</f>
        <v>10</v>
      </c>
      <c r="E38" t="str">
        <f ca="1">IFERROR(__xludf.DUMMYFUNCTION("""COMPUTED_VALUE"""),"1' 4""")</f>
        <v>1' 4"</v>
      </c>
      <c r="F38">
        <f ca="1">IFERROR(__xludf.DUMMYFUNCTION("""COMPUTED_VALUE"""),4)</f>
        <v>4</v>
      </c>
      <c r="G38">
        <f ca="1">IFERROR(__xludf.DUMMYFUNCTION("""COMPUTED_VALUE"""),3)</f>
        <v>3</v>
      </c>
      <c r="H38">
        <f ca="1">IFERROR(__xludf.DUMMYFUNCTION("""COMPUTED_VALUE"""),41)</f>
        <v>41</v>
      </c>
    </row>
    <row r="39" spans="1:8" ht="12.75">
      <c r="A39" t="str">
        <f ca="1">IFERROR(__xludf.DUMMYFUNCTION("""COMPUTED_VALUE"""),"T35")</f>
        <v>T35</v>
      </c>
      <c r="B39" t="str">
        <f ca="1">IFERROR(__xludf.DUMMYFUNCTION("""COMPUTED_VALUE"""),"T58")</f>
        <v>T58</v>
      </c>
      <c r="C39" t="str">
        <f ca="1">IFERROR(__xludf.DUMMYFUNCTION("""COMPUTED_VALUE"""),"Jamie Lovemark")</f>
        <v>Jamie Lovemark</v>
      </c>
      <c r="D39">
        <f ca="1">IFERROR(__xludf.DUMMYFUNCTION("""COMPUTED_VALUE"""),18)</f>
        <v>18</v>
      </c>
      <c r="E39" t="str">
        <f ca="1">IFERROR(__xludf.DUMMYFUNCTION("""COMPUTED_VALUE"""),"1' 4""")</f>
        <v>1' 4"</v>
      </c>
      <c r="F39">
        <f ca="1">IFERROR(__xludf.DUMMYFUNCTION("""COMPUTED_VALUE"""),5.333)</f>
        <v>5.3330000000000002</v>
      </c>
      <c r="G39">
        <f ca="1">IFERROR(__xludf.DUMMYFUNCTION("""COMPUTED_VALUE"""),4)</f>
        <v>4</v>
      </c>
      <c r="H39">
        <f ca="1">IFERROR(__xludf.DUMMYFUNCTION("""COMPUTED_VALUE"""),114)</f>
        <v>114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IFERROR(__xludf.DUMMYFUNCTION("""COMPUTED_VALUE"""),"T80")</f>
        <v>T80</v>
      </c>
      <c r="C40" t="str">
        <f ca="1">IFERROR(__xludf.DUMMYFUNCTION("""COMPUTED_VALUE"""),"Satoshi Kodaira")</f>
        <v>Satoshi Kodaira</v>
      </c>
      <c r="D40">
        <f ca="1">IFERROR(__xludf.DUMMYFUNCTION("""COMPUTED_VALUE"""),12)</f>
        <v>12</v>
      </c>
      <c r="E40" t="str">
        <f ca="1">IFERROR(__xludf.DUMMYFUNCTION("""COMPUTED_VALUE"""),"1' 5""")</f>
        <v>1' 5"</v>
      </c>
      <c r="F40">
        <f ca="1">IFERROR(__xludf.DUMMYFUNCTION("""COMPUTED_VALUE"""),4.167)</f>
        <v>4.1669999999999998</v>
      </c>
      <c r="G40">
        <f ca="1">IFERROR(__xludf.DUMMYFUNCTION("""COMPUTED_VALUE"""),3)</f>
        <v>3</v>
      </c>
      <c r="H40">
        <f ca="1">IFERROR(__xludf.DUMMYFUNCTION("""COMPUTED_VALUE"""),138)</f>
        <v>138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IFERROR(__xludf.DUMMYFUNCTION("""COMPUTED_VALUE"""),"T41")</f>
        <v>T41</v>
      </c>
      <c r="C41" t="str">
        <f ca="1">IFERROR(__xludf.DUMMYFUNCTION("""COMPUTED_VALUE"""),"Justin Thomas")</f>
        <v>Justin Thomas</v>
      </c>
      <c r="D41">
        <f ca="1">IFERROR(__xludf.DUMMYFUNCTION("""COMPUTED_VALUE"""),12)</f>
        <v>12</v>
      </c>
      <c r="E41" t="str">
        <f ca="1">IFERROR(__xludf.DUMMYFUNCTION("""COMPUTED_VALUE"""),"1' 5""")</f>
        <v>1' 5"</v>
      </c>
      <c r="F41">
        <f ca="1">IFERROR(__xludf.DUMMYFUNCTION("""COMPUTED_VALUE"""),10.167)</f>
        <v>10.167</v>
      </c>
      <c r="G41">
        <f ca="1">IFERROR(__xludf.DUMMYFUNCTION("""COMPUTED_VALUE"""),7)</f>
        <v>7</v>
      </c>
      <c r="H41">
        <f ca="1">IFERROR(__xludf.DUMMYFUNCTION("""COMPUTED_VALUE"""),79)</f>
        <v>79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IFERROR(__xludf.DUMMYFUNCTION("""COMPUTED_VALUE"""),"T41")</f>
        <v>T41</v>
      </c>
      <c r="C42" t="str">
        <f ca="1">IFERROR(__xludf.DUMMYFUNCTION("""COMPUTED_VALUE"""),"Isaiah Salinda")</f>
        <v>Isaiah Salinda</v>
      </c>
      <c r="D42">
        <f ca="1">IFERROR(__xludf.DUMMYFUNCTION("""COMPUTED_VALUE"""),8)</f>
        <v>8</v>
      </c>
      <c r="E42" t="str">
        <f ca="1">IFERROR(__xludf.DUMMYFUNCTION("""COMPUTED_VALUE"""),"1' 5""")</f>
        <v>1' 5"</v>
      </c>
      <c r="F42">
        <f ca="1">IFERROR(__xludf.DUMMYFUNCTION("""COMPUTED_VALUE"""),1.417)</f>
        <v>1.417</v>
      </c>
      <c r="G42">
        <f ca="1">IFERROR(__xludf.DUMMYFUNCTION("""COMPUTED_VALUE"""),1)</f>
        <v>1</v>
      </c>
      <c r="H42">
        <f ca="1">IFERROR(__xludf.DUMMYFUNCTION("""COMPUTED_VALUE"""),143)</f>
        <v>143</v>
      </c>
    </row>
    <row r="43" spans="1:8" ht="12.75">
      <c r="A43" t="str">
        <f ca="1">IFERROR(__xludf.DUMMYFUNCTION("""COMPUTED_VALUE"""),"T39")</f>
        <v>T39</v>
      </c>
      <c r="B43" t="str">
        <f ca="1">IFERROR(__xludf.DUMMYFUNCTION("""COMPUTED_VALUE"""),"T41")</f>
        <v>T41</v>
      </c>
      <c r="C43" t="str">
        <f ca="1">IFERROR(__xludf.DUMMYFUNCTION("""COMPUTED_VALUE"""),"Sebastian Cappelen")</f>
        <v>Sebastian Cappelen</v>
      </c>
      <c r="D43">
        <f ca="1">IFERROR(__xludf.DUMMYFUNCTION("""COMPUTED_VALUE"""),8)</f>
        <v>8</v>
      </c>
      <c r="E43" t="str">
        <f ca="1">IFERROR(__xludf.DUMMYFUNCTION("""COMPUTED_VALUE"""),"1' 5""")</f>
        <v>1' 5"</v>
      </c>
      <c r="F43">
        <f ca="1">IFERROR(__xludf.DUMMYFUNCTION("""COMPUTED_VALUE"""),4.25)</f>
        <v>4.25</v>
      </c>
      <c r="G43">
        <f ca="1">IFERROR(__xludf.DUMMYFUNCTION("""COMPUTED_VALUE"""),3)</f>
        <v>3</v>
      </c>
      <c r="H43">
        <f ca="1">IFERROR(__xludf.DUMMYFUNCTION("""COMPUTED_VALUE"""),76)</f>
        <v>76</v>
      </c>
    </row>
    <row r="44" spans="1:8" ht="12.75">
      <c r="A44" t="str">
        <f ca="1">IFERROR(__xludf.DUMMYFUNCTION("""COMPUTED_VALUE"""),"T43")</f>
        <v>T43</v>
      </c>
      <c r="B44" t="str">
        <f ca="1">IFERROR(__xludf.DUMMYFUNCTION("""COMPUTED_VALUE"""),"T45")</f>
        <v>T45</v>
      </c>
      <c r="C44" t="str">
        <f ca="1">IFERROR(__xludf.DUMMYFUNCTION("""COMPUTED_VALUE"""),"Rickie Fowler")</f>
        <v>Rickie Fowler</v>
      </c>
      <c r="D44">
        <f ca="1">IFERROR(__xludf.DUMMYFUNCTION("""COMPUTED_VALUE"""),14)</f>
        <v>14</v>
      </c>
      <c r="E44" t="str">
        <f ca="1">IFERROR(__xludf.DUMMYFUNCTION("""COMPUTED_VALUE"""),"1' 6""")</f>
        <v>1' 6"</v>
      </c>
      <c r="F44">
        <f ca="1">IFERROR(__xludf.DUMMYFUNCTION("""COMPUTED_VALUE"""),5.917)</f>
        <v>5.9169999999999998</v>
      </c>
      <c r="G44">
        <f ca="1">IFERROR(__xludf.DUMMYFUNCTION("""COMPUTED_VALUE"""),4)</f>
        <v>4</v>
      </c>
      <c r="H44">
        <f ca="1">IFERROR(__xludf.DUMMYFUNCTION("""COMPUTED_VALUE"""),268)</f>
        <v>268</v>
      </c>
    </row>
    <row r="45" spans="1:8" ht="12.75">
      <c r="A45" t="str">
        <f ca="1">IFERROR(__xludf.DUMMYFUNCTION("""COMPUTED_VALUE"""),"T43")</f>
        <v>T43</v>
      </c>
      <c r="B45" t="str">
        <f ca="1">IFERROR(__xludf.DUMMYFUNCTION("""COMPUTED_VALUE"""),"T45")</f>
        <v>T45</v>
      </c>
      <c r="C45" t="str">
        <f ca="1">IFERROR(__xludf.DUMMYFUNCTION("""COMPUTED_VALUE"""),"Kevin Kisner")</f>
        <v>Kevin Kisner</v>
      </c>
      <c r="D45">
        <f ca="1">IFERROR(__xludf.DUMMYFUNCTION("""COMPUTED_VALUE"""),10)</f>
        <v>10</v>
      </c>
      <c r="E45" t="str">
        <f ca="1">IFERROR(__xludf.DUMMYFUNCTION("""COMPUTED_VALUE"""),"1' 6""")</f>
        <v>1' 6"</v>
      </c>
      <c r="F45">
        <f ca="1">IFERROR(__xludf.DUMMYFUNCTION("""COMPUTED_VALUE"""),1.5)</f>
        <v>1.5</v>
      </c>
      <c r="G45">
        <f ca="1">IFERROR(__xludf.DUMMYFUNCTION("""COMPUTED_VALUE"""),1)</f>
        <v>1</v>
      </c>
      <c r="H45">
        <f ca="1">IFERROR(__xludf.DUMMYFUNCTION("""COMPUTED_VALUE"""),187)</f>
        <v>187</v>
      </c>
    </row>
    <row r="46" spans="1:8" ht="12.75">
      <c r="A46" t="str">
        <f ca="1">IFERROR(__xludf.DUMMYFUNCTION("""COMPUTED_VALUE"""),"T45")</f>
        <v>T45</v>
      </c>
      <c r="B46" t="str">
        <f ca="1">IFERROR(__xludf.DUMMYFUNCTION("""COMPUTED_VALUE"""),"T52")</f>
        <v>T52</v>
      </c>
      <c r="C46" t="str">
        <f ca="1">IFERROR(__xludf.DUMMYFUNCTION("""COMPUTED_VALUE"""),"Camilo Villegas")</f>
        <v>Camilo Villegas</v>
      </c>
      <c r="D46">
        <f ca="1">IFERROR(__xludf.DUMMYFUNCTION("""COMPUTED_VALUE"""),14)</f>
        <v>14</v>
      </c>
      <c r="E46" t="str">
        <f ca="1">IFERROR(__xludf.DUMMYFUNCTION("""COMPUTED_VALUE"""),"1' 7""")</f>
        <v>1' 7"</v>
      </c>
      <c r="F46">
        <f ca="1">IFERROR(__xludf.DUMMYFUNCTION("""COMPUTED_VALUE"""),6.417)</f>
        <v>6.4169999999999998</v>
      </c>
      <c r="G46">
        <f ca="1">IFERROR(__xludf.DUMMYFUNCTION("""COMPUTED_VALUE"""),4)</f>
        <v>4</v>
      </c>
      <c r="H46">
        <f ca="1">IFERROR(__xludf.DUMMYFUNCTION("""COMPUTED_VALUE"""),180)</f>
        <v>180</v>
      </c>
    </row>
    <row r="47" spans="1:8" ht="12.75">
      <c r="A47" t="str">
        <f ca="1">IFERROR(__xludf.DUMMYFUNCTION("""COMPUTED_VALUE"""),"T45")</f>
        <v>T45</v>
      </c>
      <c r="B47" t="str">
        <f ca="1">IFERROR(__xludf.DUMMYFUNCTION("""COMPUTED_VALUE"""),"T17")</f>
        <v>T17</v>
      </c>
      <c r="C47" t="str">
        <f ca="1">IFERROR(__xludf.DUMMYFUNCTION("""COMPUTED_VALUE"""),"Ted Potter, Jr.")</f>
        <v>Ted Potter, Jr.</v>
      </c>
      <c r="D47">
        <f ca="1">IFERROR(__xludf.DUMMYFUNCTION("""COMPUTED_VALUE"""),8)</f>
        <v>8</v>
      </c>
      <c r="E47" t="str">
        <f ca="1">IFERROR(__xludf.DUMMYFUNCTION("""COMPUTED_VALUE"""),"1' 7""")</f>
        <v>1' 7"</v>
      </c>
      <c r="F47">
        <f ca="1">IFERROR(__xludf.DUMMYFUNCTION("""COMPUTED_VALUE"""),7.833)</f>
        <v>7.8330000000000002</v>
      </c>
      <c r="G47">
        <f ca="1">IFERROR(__xludf.DUMMYFUNCTION("""COMPUTED_VALUE"""),5)</f>
        <v>5</v>
      </c>
      <c r="H47">
        <f ca="1">IFERROR(__xludf.DUMMYFUNCTION("""COMPUTED_VALUE"""),133)</f>
        <v>133</v>
      </c>
    </row>
    <row r="48" spans="1:8" ht="12.75">
      <c r="A48" t="str">
        <f ca="1">IFERROR(__xludf.DUMMYFUNCTION("""COMPUTED_VALUE"""),"T45")</f>
        <v>T45</v>
      </c>
      <c r="B48" t="str">
        <f ca="1">IFERROR(__xludf.DUMMYFUNCTION("""COMPUTED_VALUE"""),"T47")</f>
        <v>T47</v>
      </c>
      <c r="C48" t="str">
        <f ca="1">IFERROR(__xludf.DUMMYFUNCTION("""COMPUTED_VALUE"""),"Brad Kennedy")</f>
        <v>Brad Kennedy</v>
      </c>
      <c r="D48">
        <f ca="1">IFERROR(__xludf.DUMMYFUNCTION("""COMPUTED_VALUE"""),4)</f>
        <v>4</v>
      </c>
      <c r="E48" t="str">
        <f ca="1">IFERROR(__xludf.DUMMYFUNCTION("""COMPUTED_VALUE"""),"1' 7""")</f>
        <v>1' 7"</v>
      </c>
      <c r="F48">
        <f ca="1">IFERROR(__xludf.DUMMYFUNCTION("""COMPUTED_VALUE"""),6.167)</f>
        <v>6.1669999999999998</v>
      </c>
      <c r="G48">
        <f ca="1">IFERROR(__xludf.DUMMYFUNCTION("""COMPUTED_VALUE"""),4)</f>
        <v>4</v>
      </c>
      <c r="H48">
        <f ca="1">IFERROR(__xludf.DUMMYFUNCTION("""COMPUTED_VALUE"""),5)</f>
        <v>5</v>
      </c>
    </row>
    <row r="49" spans="1:8" ht="12.75">
      <c r="A49" t="str">
        <f ca="1">IFERROR(__xludf.DUMMYFUNCTION("""COMPUTED_VALUE"""),"T45")</f>
        <v>T45</v>
      </c>
      <c r="B49" t="str">
        <f ca="1">IFERROR(__xludf.DUMMYFUNCTION("""COMPUTED_VALUE"""),"T47")</f>
        <v>T47</v>
      </c>
      <c r="C49" t="str">
        <f ca="1">IFERROR(__xludf.DUMMYFUNCTION("""COMPUTED_VALUE"""),"Joohyung Kim")</f>
        <v>Joohyung Kim</v>
      </c>
      <c r="D49">
        <f ca="1">IFERROR(__xludf.DUMMYFUNCTION("""COMPUTED_VALUE"""),12)</f>
        <v>12</v>
      </c>
      <c r="E49" t="str">
        <f ca="1">IFERROR(__xludf.DUMMYFUNCTION("""COMPUTED_VALUE"""),"1' 7""")</f>
        <v>1' 7"</v>
      </c>
      <c r="F49">
        <f ca="1">IFERROR(__xludf.DUMMYFUNCTION("""COMPUTED_VALUE"""),4.833)</f>
        <v>4.8330000000000002</v>
      </c>
      <c r="G49">
        <f ca="1">IFERROR(__xludf.DUMMYFUNCTION("""COMPUTED_VALUE"""),3)</f>
        <v>3</v>
      </c>
      <c r="H49">
        <f ca="1">IFERROR(__xludf.DUMMYFUNCTION("""COMPUTED_VALUE"""),151)</f>
        <v>151</v>
      </c>
    </row>
    <row r="50" spans="1:8" ht="12.75">
      <c r="A50" t="str">
        <f ca="1">IFERROR(__xludf.DUMMYFUNCTION("""COMPUTED_VALUE"""),"T49")</f>
        <v>T49</v>
      </c>
      <c r="B50" t="str">
        <f ca="1">IFERROR(__xludf.DUMMYFUNCTION("""COMPUTED_VALUE"""),"T52")</f>
        <v>T52</v>
      </c>
      <c r="C50" t="str">
        <f ca="1">IFERROR(__xludf.DUMMYFUNCTION("""COMPUTED_VALUE"""),"Brooks Koepka")</f>
        <v>Brooks Koepka</v>
      </c>
      <c r="D50">
        <f ca="1">IFERROR(__xludf.DUMMYFUNCTION("""COMPUTED_VALUE"""),8)</f>
        <v>8</v>
      </c>
      <c r="E50" t="str">
        <f ca="1">IFERROR(__xludf.DUMMYFUNCTION("""COMPUTED_VALUE"""),"1' 8""")</f>
        <v>1' 8"</v>
      </c>
      <c r="F50">
        <f ca="1">IFERROR(__xludf.DUMMYFUNCTION("""COMPUTED_VALUE"""),6.75)</f>
        <v>6.75</v>
      </c>
      <c r="G50">
        <f ca="1">IFERROR(__xludf.DUMMYFUNCTION("""COMPUTED_VALUE"""),4)</f>
        <v>4</v>
      </c>
      <c r="H50">
        <f ca="1">IFERROR(__xludf.DUMMYFUNCTION("""COMPUTED_VALUE"""),120)</f>
        <v>120</v>
      </c>
    </row>
    <row r="51" spans="1:8" ht="12.75">
      <c r="A51" t="str">
        <f ca="1">IFERROR(__xludf.DUMMYFUNCTION("""COMPUTED_VALUE"""),"T49")</f>
        <v>T49</v>
      </c>
      <c r="B51" t="str">
        <f ca="1">IFERROR(__xludf.DUMMYFUNCTION("""COMPUTED_VALUE"""),"T88")</f>
        <v>T88</v>
      </c>
      <c r="C51" t="str">
        <f ca="1">IFERROR(__xludf.DUMMYFUNCTION("""COMPUTED_VALUE"""),"Ryan Armour")</f>
        <v>Ryan Armour</v>
      </c>
      <c r="D51">
        <f ca="1">IFERROR(__xludf.DUMMYFUNCTION("""COMPUTED_VALUE"""),16)</f>
        <v>16</v>
      </c>
      <c r="E51" t="str">
        <f ca="1">IFERROR(__xludf.DUMMYFUNCTION("""COMPUTED_VALUE"""),"1' 8""")</f>
        <v>1' 8"</v>
      </c>
      <c r="F51">
        <f ca="1">IFERROR(__xludf.DUMMYFUNCTION("""COMPUTED_VALUE"""),11.583)</f>
        <v>11.583</v>
      </c>
      <c r="G51">
        <f ca="1">IFERROR(__xludf.DUMMYFUNCTION("""COMPUTED_VALUE"""),7)</f>
        <v>7</v>
      </c>
      <c r="H51">
        <f ca="1">IFERROR(__xludf.DUMMYFUNCTION("""COMPUTED_VALUE"""),118)</f>
        <v>118</v>
      </c>
    </row>
    <row r="52" spans="1:8" ht="12.75">
      <c r="A52" t="str">
        <f ca="1">IFERROR(__xludf.DUMMYFUNCTION("""COMPUTED_VALUE"""),"T49")</f>
        <v>T49</v>
      </c>
      <c r="B52" t="str">
        <f ca="1">IFERROR(__xludf.DUMMYFUNCTION("""COMPUTED_VALUE"""),"T139")</f>
        <v>T139</v>
      </c>
      <c r="C52" t="str">
        <f ca="1">IFERROR(__xludf.DUMMYFUNCTION("""COMPUTED_VALUE"""),"Graeme McDowell")</f>
        <v>Graeme McDowell</v>
      </c>
      <c r="D52">
        <f ca="1">IFERROR(__xludf.DUMMYFUNCTION("""COMPUTED_VALUE"""),8)</f>
        <v>8</v>
      </c>
      <c r="E52" t="str">
        <f ca="1">IFERROR(__xludf.DUMMYFUNCTION("""COMPUTED_VALUE"""),"1' 8""")</f>
        <v>1' 8"</v>
      </c>
      <c r="F52">
        <f ca="1">IFERROR(__xludf.DUMMYFUNCTION("""COMPUTED_VALUE"""),3.25)</f>
        <v>3.25</v>
      </c>
      <c r="G52">
        <f ca="1">IFERROR(__xludf.DUMMYFUNCTION("""COMPUTED_VALUE"""),2)</f>
        <v>2</v>
      </c>
      <c r="H52">
        <f ca="1">IFERROR(__xludf.DUMMYFUNCTION("""COMPUTED_VALUE"""),172)</f>
        <v>172</v>
      </c>
    </row>
    <row r="53" spans="1:8" ht="12.75">
      <c r="A53" t="str">
        <f ca="1">IFERROR(__xludf.DUMMYFUNCTION("""COMPUTED_VALUE"""),"T49")</f>
        <v>T49</v>
      </c>
      <c r="B53" t="str">
        <f ca="1">IFERROR(__xludf.DUMMYFUNCTION("""COMPUTED_VALUE"""),"T52")</f>
        <v>T52</v>
      </c>
      <c r="C53" t="str">
        <f ca="1">IFERROR(__xludf.DUMMYFUNCTION("""COMPUTED_VALUE"""),"Charl Schwartzel")</f>
        <v>Charl Schwartzel</v>
      </c>
      <c r="D53">
        <f ca="1">IFERROR(__xludf.DUMMYFUNCTION("""COMPUTED_VALUE"""),12)</f>
        <v>12</v>
      </c>
      <c r="E53" t="str">
        <f ca="1">IFERROR(__xludf.DUMMYFUNCTION("""COMPUTED_VALUE"""),"1' 8""")</f>
        <v>1' 8"</v>
      </c>
      <c r="F53">
        <f ca="1">IFERROR(__xludf.DUMMYFUNCTION("""COMPUTED_VALUE"""),8.5)</f>
        <v>8.5</v>
      </c>
      <c r="G53">
        <f ca="1">IFERROR(__xludf.DUMMYFUNCTION("""COMPUTED_VALUE"""),5)</f>
        <v>5</v>
      </c>
      <c r="H53">
        <f ca="1">IFERROR(__xludf.DUMMYFUNCTION("""COMPUTED_VALUE"""),31)</f>
        <v>31</v>
      </c>
    </row>
    <row r="54" spans="1:8" ht="12.75">
      <c r="A54" t="str">
        <f ca="1">IFERROR(__xludf.DUMMYFUNCTION("""COMPUTED_VALUE"""),"T49")</f>
        <v>T49</v>
      </c>
      <c r="B54" t="str">
        <f ca="1">IFERROR(__xludf.DUMMYFUNCTION("""COMPUTED_VALUE"""),"T52")</f>
        <v>T52</v>
      </c>
      <c r="C54" t="str">
        <f ca="1">IFERROR(__xludf.DUMMYFUNCTION("""COMPUTED_VALUE"""),"Chez Reavie")</f>
        <v>Chez Reavie</v>
      </c>
      <c r="D54">
        <f ca="1">IFERROR(__xludf.DUMMYFUNCTION("""COMPUTED_VALUE"""),14)</f>
        <v>14</v>
      </c>
      <c r="E54" t="str">
        <f ca="1">IFERROR(__xludf.DUMMYFUNCTION("""COMPUTED_VALUE"""),"1' 8""")</f>
        <v>1' 8"</v>
      </c>
      <c r="F54">
        <f ca="1">IFERROR(__xludf.DUMMYFUNCTION("""COMPUTED_VALUE"""),15)</f>
        <v>15</v>
      </c>
      <c r="G54">
        <f ca="1">IFERROR(__xludf.DUMMYFUNCTION("""COMPUTED_VALUE"""),9)</f>
        <v>9</v>
      </c>
      <c r="H54">
        <f ca="1">IFERROR(__xludf.DUMMYFUNCTION("""COMPUTED_VALUE"""),80)</f>
        <v>80</v>
      </c>
    </row>
    <row r="55" spans="1:8" ht="12.75">
      <c r="A55" t="str">
        <f ca="1">IFERROR(__xludf.DUMMYFUNCTION("""COMPUTED_VALUE"""),"T49")</f>
        <v>T49</v>
      </c>
      <c r="B55" t="str">
        <f ca="1">IFERROR(__xludf.DUMMYFUNCTION("""COMPUTED_VALUE"""),"T52")</f>
        <v>T52</v>
      </c>
      <c r="C55" t="str">
        <f ca="1">IFERROR(__xludf.DUMMYFUNCTION("""COMPUTED_VALUE"""),"Chris Kirk")</f>
        <v>Chris Kirk</v>
      </c>
      <c r="D55">
        <f ca="1">IFERROR(__xludf.DUMMYFUNCTION("""COMPUTED_VALUE"""),10)</f>
        <v>10</v>
      </c>
      <c r="E55" t="str">
        <f ca="1">IFERROR(__xludf.DUMMYFUNCTION("""COMPUTED_VALUE"""),"1' 8""")</f>
        <v>1' 8"</v>
      </c>
      <c r="F55">
        <f ca="1">IFERROR(__xludf.DUMMYFUNCTION("""COMPUTED_VALUE"""),1.667)</f>
        <v>1.667</v>
      </c>
      <c r="G55">
        <f ca="1">IFERROR(__xludf.DUMMYFUNCTION("""COMPUTED_VALUE"""),1)</f>
        <v>1</v>
      </c>
      <c r="H55">
        <f ca="1">IFERROR(__xludf.DUMMYFUNCTION("""COMPUTED_VALUE"""),144)</f>
        <v>144</v>
      </c>
    </row>
    <row r="56" spans="1:8" ht="12.75">
      <c r="A56" t="str">
        <f ca="1">IFERROR(__xludf.DUMMYFUNCTION("""COMPUTED_VALUE"""),"T55")</f>
        <v>T55</v>
      </c>
      <c r="B56" t="str">
        <f ca="1">IFERROR(__xludf.DUMMYFUNCTION("""COMPUTED_VALUE"""),"T47")</f>
        <v>T47</v>
      </c>
      <c r="C56" t="str">
        <f ca="1">IFERROR(__xludf.DUMMYFUNCTION("""COMPUTED_VALUE"""),"Scott Brown")</f>
        <v>Scott Brown</v>
      </c>
      <c r="D56">
        <f ca="1">IFERROR(__xludf.DUMMYFUNCTION("""COMPUTED_VALUE"""),14)</f>
        <v>14</v>
      </c>
      <c r="E56" t="str">
        <f ca="1">IFERROR(__xludf.DUMMYFUNCTION("""COMPUTED_VALUE"""),"1' 9""")</f>
        <v>1' 9"</v>
      </c>
      <c r="F56">
        <f ca="1">IFERROR(__xludf.DUMMYFUNCTION("""COMPUTED_VALUE"""),10.25)</f>
        <v>10.25</v>
      </c>
      <c r="G56">
        <f ca="1">IFERROR(__xludf.DUMMYFUNCTION("""COMPUTED_VALUE"""),6)</f>
        <v>6</v>
      </c>
      <c r="H56">
        <f ca="1">IFERROR(__xludf.DUMMYFUNCTION("""COMPUTED_VALUE"""),89)</f>
        <v>89</v>
      </c>
    </row>
    <row r="57" spans="1:8" ht="12.75">
      <c r="A57" t="str">
        <f ca="1">IFERROR(__xludf.DUMMYFUNCTION("""COMPUTED_VALUE"""),"T55")</f>
        <v>T55</v>
      </c>
      <c r="B57" t="str">
        <f ca="1">IFERROR(__xludf.DUMMYFUNCTION("""COMPUTED_VALUE"""),"T58")</f>
        <v>T58</v>
      </c>
      <c r="C57" t="str">
        <f ca="1">IFERROR(__xludf.DUMMYFUNCTION("""COMPUTED_VALUE"""),"Josh Teater")</f>
        <v>Josh Teater</v>
      </c>
      <c r="D57">
        <f ca="1">IFERROR(__xludf.DUMMYFUNCTION("""COMPUTED_VALUE"""),6)</f>
        <v>6</v>
      </c>
      <c r="E57" t="str">
        <f ca="1">IFERROR(__xludf.DUMMYFUNCTION("""COMPUTED_VALUE"""),"1' 9""")</f>
        <v>1' 9"</v>
      </c>
      <c r="F57">
        <f ca="1">IFERROR(__xludf.DUMMYFUNCTION("""COMPUTED_VALUE"""),1.75)</f>
        <v>1.75</v>
      </c>
      <c r="G57">
        <f ca="1">IFERROR(__xludf.DUMMYFUNCTION("""COMPUTED_VALUE"""),1)</f>
        <v>1</v>
      </c>
      <c r="H57">
        <f ca="1">IFERROR(__xludf.DUMMYFUNCTION("""COMPUTED_VALUE"""),211)</f>
        <v>211</v>
      </c>
    </row>
    <row r="58" spans="1:8" ht="12.75">
      <c r="A58" t="str">
        <f ca="1">IFERROR(__xludf.DUMMYFUNCTION("""COMPUTED_VALUE"""),"T55")</f>
        <v>T55</v>
      </c>
      <c r="B58" t="str">
        <f ca="1">IFERROR(__xludf.DUMMYFUNCTION("""COMPUTED_VALUE"""),"")</f>
        <v/>
      </c>
      <c r="C58" t="str">
        <f ca="1">IFERROR(__xludf.DUMMYFUNCTION("""COMPUTED_VALUE"""),"Kevin Stadler")</f>
        <v>Kevin Stadler</v>
      </c>
      <c r="D58">
        <f ca="1">IFERROR(__xludf.DUMMYFUNCTION("""COMPUTED_VALUE"""),8)</f>
        <v>8</v>
      </c>
      <c r="E58" t="str">
        <f ca="1">IFERROR(__xludf.DUMMYFUNCTION("""COMPUTED_VALUE"""),"1' 9""")</f>
        <v>1' 9"</v>
      </c>
      <c r="F58">
        <f ca="1">IFERROR(__xludf.DUMMYFUNCTION("""COMPUTED_VALUE"""),1.75)</f>
        <v>1.75</v>
      </c>
      <c r="G58">
        <f ca="1">IFERROR(__xludf.DUMMYFUNCTION("""COMPUTED_VALUE"""),1)</f>
        <v>1</v>
      </c>
      <c r="H58">
        <f ca="1">IFERROR(__xludf.DUMMYFUNCTION("""COMPUTED_VALUE"""),250)</f>
        <v>250</v>
      </c>
    </row>
    <row r="59" spans="1:8" ht="12.75">
      <c r="A59" t="str">
        <f ca="1">IFERROR(__xludf.DUMMYFUNCTION("""COMPUTED_VALUE"""),"T55")</f>
        <v>T55</v>
      </c>
      <c r="B59" t="str">
        <f ca="1">IFERROR(__xludf.DUMMYFUNCTION("""COMPUTED_VALUE"""),"T58")</f>
        <v>T58</v>
      </c>
      <c r="C59" t="str">
        <f ca="1">IFERROR(__xludf.DUMMYFUNCTION("""COMPUTED_VALUE"""),"Keith Mitchell")</f>
        <v>Keith Mitchell</v>
      </c>
      <c r="D59">
        <f ca="1">IFERROR(__xludf.DUMMYFUNCTION("""COMPUTED_VALUE"""),14)</f>
        <v>14</v>
      </c>
      <c r="E59" t="str">
        <f ca="1">IFERROR(__xludf.DUMMYFUNCTION("""COMPUTED_VALUE"""),"1' 9""")</f>
        <v>1' 9"</v>
      </c>
      <c r="F59">
        <f ca="1">IFERROR(__xludf.DUMMYFUNCTION("""COMPUTED_VALUE"""),3.5)</f>
        <v>3.5</v>
      </c>
      <c r="G59">
        <f ca="1">IFERROR(__xludf.DUMMYFUNCTION("""COMPUTED_VALUE"""),2)</f>
        <v>2</v>
      </c>
      <c r="H59">
        <f ca="1">IFERROR(__xludf.DUMMYFUNCTION("""COMPUTED_VALUE"""),176)</f>
        <v>176</v>
      </c>
    </row>
    <row r="60" spans="1:8" ht="12.75">
      <c r="A60" t="str">
        <f ca="1">IFERROR(__xludf.DUMMYFUNCTION("""COMPUTED_VALUE"""),"T59")</f>
        <v>T59</v>
      </c>
      <c r="B60" t="str">
        <f ca="1">IFERROR(__xludf.DUMMYFUNCTION("""COMPUTED_VALUE"""),"T62")</f>
        <v>T62</v>
      </c>
      <c r="C60" t="str">
        <f ca="1">IFERROR(__xludf.DUMMYFUNCTION("""COMPUTED_VALUE"""),"Nelson Ledesma")</f>
        <v>Nelson Ledesma</v>
      </c>
      <c r="D60">
        <f ca="1">IFERROR(__xludf.DUMMYFUNCTION("""COMPUTED_VALUE"""),8)</f>
        <v>8</v>
      </c>
      <c r="E60" t="str">
        <f ca="1">IFERROR(__xludf.DUMMYFUNCTION("""COMPUTED_VALUE"""),"1' 10""")</f>
        <v>1' 10"</v>
      </c>
      <c r="F60">
        <f ca="1">IFERROR(__xludf.DUMMYFUNCTION("""COMPUTED_VALUE"""),3.583)</f>
        <v>3.5830000000000002</v>
      </c>
      <c r="G60">
        <f ca="1">IFERROR(__xludf.DUMMYFUNCTION("""COMPUTED_VALUE"""),2)</f>
        <v>2</v>
      </c>
      <c r="H60">
        <f ca="1">IFERROR(__xludf.DUMMYFUNCTION("""COMPUTED_VALUE"""),201)</f>
        <v>201</v>
      </c>
    </row>
    <row r="61" spans="1:8" ht="12.75">
      <c r="A61" t="str">
        <f ca="1">IFERROR(__xludf.DUMMYFUNCTION("""COMPUTED_VALUE"""),"T59")</f>
        <v>T59</v>
      </c>
      <c r="B61" t="str">
        <f ca="1">IFERROR(__xludf.DUMMYFUNCTION("""COMPUTED_VALUE"""),"T69")</f>
        <v>T69</v>
      </c>
      <c r="C61" t="str">
        <f ca="1">IFERROR(__xludf.DUMMYFUNCTION("""COMPUTED_VALUE"""),"Carlos Ortiz")</f>
        <v>Carlos Ortiz</v>
      </c>
      <c r="D61">
        <f ca="1">IFERROR(__xludf.DUMMYFUNCTION("""COMPUTED_VALUE"""),20)</f>
        <v>20</v>
      </c>
      <c r="E61" t="str">
        <f ca="1">IFERROR(__xludf.DUMMYFUNCTION("""COMPUTED_VALUE"""),"1' 10""")</f>
        <v>1' 10"</v>
      </c>
      <c r="F61">
        <f ca="1">IFERROR(__xludf.DUMMYFUNCTION("""COMPUTED_VALUE"""),14.333)</f>
        <v>14.333</v>
      </c>
      <c r="G61">
        <f ca="1">IFERROR(__xludf.DUMMYFUNCTION("""COMPUTED_VALUE"""),8)</f>
        <v>8</v>
      </c>
      <c r="H61">
        <f ca="1">IFERROR(__xludf.DUMMYFUNCTION("""COMPUTED_VALUE"""),54)</f>
        <v>54</v>
      </c>
    </row>
    <row r="62" spans="1:8" ht="12.75">
      <c r="A62" t="str">
        <f ca="1">IFERROR(__xludf.DUMMYFUNCTION("""COMPUTED_VALUE"""),"T59")</f>
        <v>T59</v>
      </c>
      <c r="B62" t="str">
        <f ca="1">IFERROR(__xludf.DUMMYFUNCTION("""COMPUTED_VALUE"""),"T120")</f>
        <v>T120</v>
      </c>
      <c r="C62" t="str">
        <f ca="1">IFERROR(__xludf.DUMMYFUNCTION("""COMPUTED_VALUE"""),"Will Gordon")</f>
        <v>Will Gordon</v>
      </c>
      <c r="D62">
        <f ca="1">IFERROR(__xludf.DUMMYFUNCTION("""COMPUTED_VALUE"""),20)</f>
        <v>20</v>
      </c>
      <c r="E62" t="str">
        <f ca="1">IFERROR(__xludf.DUMMYFUNCTION("""COMPUTED_VALUE"""),"1' 10""")</f>
        <v>1' 10"</v>
      </c>
      <c r="F62">
        <f ca="1">IFERROR(__xludf.DUMMYFUNCTION("""COMPUTED_VALUE"""),12.583)</f>
        <v>12.583</v>
      </c>
      <c r="G62">
        <f ca="1">IFERROR(__xludf.DUMMYFUNCTION("""COMPUTED_VALUE"""),7)</f>
        <v>7</v>
      </c>
      <c r="H62">
        <f ca="1">IFERROR(__xludf.DUMMYFUNCTION("""COMPUTED_VALUE"""),222)</f>
        <v>222</v>
      </c>
    </row>
    <row r="63" spans="1:8" ht="12.75">
      <c r="A63" t="str">
        <f ca="1">IFERROR(__xludf.DUMMYFUNCTION("""COMPUTED_VALUE"""),"T59")</f>
        <v>T59</v>
      </c>
      <c r="B63" t="str">
        <f ca="1">IFERROR(__xludf.DUMMYFUNCTION("""COMPUTED_VALUE"""),"T62")</f>
        <v>T62</v>
      </c>
      <c r="C63" t="str">
        <f ca="1">IFERROR(__xludf.DUMMYFUNCTION("""COMPUTED_VALUE"""),"Kiradech Aphibarnrat")</f>
        <v>Kiradech Aphibarnrat</v>
      </c>
      <c r="D63">
        <f ca="1">IFERROR(__xludf.DUMMYFUNCTION("""COMPUTED_VALUE"""),12)</f>
        <v>12</v>
      </c>
      <c r="E63" t="str">
        <f ca="1">IFERROR(__xludf.DUMMYFUNCTION("""COMPUTED_VALUE"""),"1' 10""")</f>
        <v>1' 10"</v>
      </c>
      <c r="F63">
        <f ca="1">IFERROR(__xludf.DUMMYFUNCTION("""COMPUTED_VALUE"""),1.833)</f>
        <v>1.833</v>
      </c>
      <c r="G63">
        <f ca="1">IFERROR(__xludf.DUMMYFUNCTION("""COMPUTED_VALUE"""),1)</f>
        <v>1</v>
      </c>
      <c r="H63">
        <f ca="1">IFERROR(__xludf.DUMMYFUNCTION("""COMPUTED_VALUE"""),37)</f>
        <v>37</v>
      </c>
    </row>
    <row r="64" spans="1:8" ht="12.75">
      <c r="A64" t="str">
        <f ca="1">IFERROR(__xludf.DUMMYFUNCTION("""COMPUTED_VALUE"""),"T59")</f>
        <v>T59</v>
      </c>
      <c r="B64" t="str">
        <f ca="1">IFERROR(__xludf.DUMMYFUNCTION("""COMPUTED_VALUE"""),"T62")</f>
        <v>T62</v>
      </c>
      <c r="C64" t="str">
        <f ca="1">IFERROR(__xludf.DUMMYFUNCTION("""COMPUTED_VALUE"""),"Anirban Lahiri")</f>
        <v>Anirban Lahiri</v>
      </c>
      <c r="D64">
        <f ca="1">IFERROR(__xludf.DUMMYFUNCTION("""COMPUTED_VALUE"""),16)</f>
        <v>16</v>
      </c>
      <c r="E64" t="str">
        <f ca="1">IFERROR(__xludf.DUMMYFUNCTION("""COMPUTED_VALUE"""),"1' 10""")</f>
        <v>1' 10"</v>
      </c>
      <c r="F64">
        <f ca="1">IFERROR(__xludf.DUMMYFUNCTION("""COMPUTED_VALUE"""),11.083)</f>
        <v>11.083</v>
      </c>
      <c r="G64">
        <f ca="1">IFERROR(__xludf.DUMMYFUNCTION("""COMPUTED_VALUE"""),6)</f>
        <v>6</v>
      </c>
      <c r="H64">
        <f ca="1">IFERROR(__xludf.DUMMYFUNCTION("""COMPUTED_VALUE"""),17)</f>
        <v>17</v>
      </c>
    </row>
    <row r="65" spans="1:8" ht="12.75">
      <c r="A65" t="str">
        <f ca="1">IFERROR(__xludf.DUMMYFUNCTION("""COMPUTED_VALUE"""),"T64")</f>
        <v>T64</v>
      </c>
      <c r="B65" t="str">
        <f ca="1">IFERROR(__xludf.DUMMYFUNCTION("""COMPUTED_VALUE"""),"T69")</f>
        <v>T69</v>
      </c>
      <c r="C65" t="str">
        <f ca="1">IFERROR(__xludf.DUMMYFUNCTION("""COMPUTED_VALUE"""),"Mark Anderson")</f>
        <v>Mark Anderson</v>
      </c>
      <c r="D65">
        <f ca="1">IFERROR(__xludf.DUMMYFUNCTION("""COMPUTED_VALUE"""),14)</f>
        <v>14</v>
      </c>
      <c r="E65" t="str">
        <f ca="1">IFERROR(__xludf.DUMMYFUNCTION("""COMPUTED_VALUE"""),"1' 11""")</f>
        <v>1' 11"</v>
      </c>
      <c r="F65">
        <f ca="1">IFERROR(__xludf.DUMMYFUNCTION("""COMPUTED_VALUE"""),5.667)</f>
        <v>5.6669999999999998</v>
      </c>
      <c r="G65">
        <f ca="1">IFERROR(__xludf.DUMMYFUNCTION("""COMPUTED_VALUE"""),3)</f>
        <v>3</v>
      </c>
      <c r="H65">
        <f ca="1">IFERROR(__xludf.DUMMYFUNCTION("""COMPUTED_VALUE"""),28)</f>
        <v>28</v>
      </c>
    </row>
    <row r="66" spans="1:8" ht="12.75">
      <c r="A66" t="str">
        <f ca="1">IFERROR(__xludf.DUMMYFUNCTION("""COMPUTED_VALUE"""),"T64")</f>
        <v>T64</v>
      </c>
      <c r="B66" t="str">
        <f ca="1">IFERROR(__xludf.DUMMYFUNCTION("""COMPUTED_VALUE"""),"T92")</f>
        <v>T92</v>
      </c>
      <c r="C66" t="str">
        <f ca="1">IFERROR(__xludf.DUMMYFUNCTION("""COMPUTED_VALUE"""),"Luke List")</f>
        <v>Luke List</v>
      </c>
      <c r="D66">
        <f ca="1">IFERROR(__xludf.DUMMYFUNCTION("""COMPUTED_VALUE"""),18)</f>
        <v>18</v>
      </c>
      <c r="E66" t="str">
        <f ca="1">IFERROR(__xludf.DUMMYFUNCTION("""COMPUTED_VALUE"""),"1' 11""")</f>
        <v>1' 11"</v>
      </c>
      <c r="F66">
        <f ca="1">IFERROR(__xludf.DUMMYFUNCTION("""COMPUTED_VALUE"""),5.833)</f>
        <v>5.8330000000000002</v>
      </c>
      <c r="G66">
        <f ca="1">IFERROR(__xludf.DUMMYFUNCTION("""COMPUTED_VALUE"""),3)</f>
        <v>3</v>
      </c>
      <c r="H66">
        <f ca="1">IFERROR(__xludf.DUMMYFUNCTION("""COMPUTED_VALUE"""),126)</f>
        <v>126</v>
      </c>
    </row>
    <row r="67" spans="1:8" ht="12.75">
      <c r="A67" t="str">
        <f ca="1">IFERROR(__xludf.DUMMYFUNCTION("""COMPUTED_VALUE"""),"T64")</f>
        <v>T64</v>
      </c>
      <c r="B67" t="str">
        <f ca="1">IFERROR(__xludf.DUMMYFUNCTION("""COMPUTED_VALUE"""),"T69")</f>
        <v>T69</v>
      </c>
      <c r="C67" t="str">
        <f ca="1">IFERROR(__xludf.DUMMYFUNCTION("""COMPUTED_VALUE"""),"Ricky Barnes")</f>
        <v>Ricky Barnes</v>
      </c>
      <c r="D67">
        <f ca="1">IFERROR(__xludf.DUMMYFUNCTION("""COMPUTED_VALUE"""),12)</f>
        <v>12</v>
      </c>
      <c r="E67" t="str">
        <f ca="1">IFERROR(__xludf.DUMMYFUNCTION("""COMPUTED_VALUE"""),"1' 11""")</f>
        <v>1' 11"</v>
      </c>
      <c r="F67">
        <f ca="1">IFERROR(__xludf.DUMMYFUNCTION("""COMPUTED_VALUE"""),1.917)</f>
        <v>1.917</v>
      </c>
      <c r="G67">
        <f ca="1">IFERROR(__xludf.DUMMYFUNCTION("""COMPUTED_VALUE"""),1)</f>
        <v>1</v>
      </c>
      <c r="H67">
        <f ca="1">IFERROR(__xludf.DUMMYFUNCTION("""COMPUTED_VALUE"""),144)</f>
        <v>144</v>
      </c>
    </row>
    <row r="68" spans="1:8" ht="12.75">
      <c r="A68" t="str">
        <f ca="1">IFERROR(__xludf.DUMMYFUNCTION("""COMPUTED_VALUE"""),"T64")</f>
        <v>T64</v>
      </c>
      <c r="B68" t="str">
        <f ca="1">IFERROR(__xludf.DUMMYFUNCTION("""COMPUTED_VALUE"""),"T69")</f>
        <v>T69</v>
      </c>
      <c r="C68" t="str">
        <f ca="1">IFERROR(__xludf.DUMMYFUNCTION("""COMPUTED_VALUE"""),"Joseph Bramlett")</f>
        <v>Joseph Bramlett</v>
      </c>
      <c r="D68">
        <f ca="1">IFERROR(__xludf.DUMMYFUNCTION("""COMPUTED_VALUE"""),18)</f>
        <v>18</v>
      </c>
      <c r="E68" t="str">
        <f ca="1">IFERROR(__xludf.DUMMYFUNCTION("""COMPUTED_VALUE"""),"1' 11""")</f>
        <v>1' 11"</v>
      </c>
      <c r="F68">
        <f ca="1">IFERROR(__xludf.DUMMYFUNCTION("""COMPUTED_VALUE"""),11.667)</f>
        <v>11.667</v>
      </c>
      <c r="G68">
        <f ca="1">IFERROR(__xludf.DUMMYFUNCTION("""COMPUTED_VALUE"""),6)</f>
        <v>6</v>
      </c>
      <c r="H68">
        <f ca="1">IFERROR(__xludf.DUMMYFUNCTION("""COMPUTED_VALUE"""),127)</f>
        <v>127</v>
      </c>
    </row>
    <row r="69" spans="1:8" ht="12.75">
      <c r="A69" t="str">
        <f ca="1">IFERROR(__xludf.DUMMYFUNCTION("""COMPUTED_VALUE"""),"T64")</f>
        <v>T64</v>
      </c>
      <c r="B69" t="str">
        <f ca="1">IFERROR(__xludf.DUMMYFUNCTION("""COMPUTED_VALUE"""),"T69")</f>
        <v>T69</v>
      </c>
      <c r="C69" t="str">
        <f ca="1">IFERROR(__xludf.DUMMYFUNCTION("""COMPUTED_VALUE"""),"Cameron Davis")</f>
        <v>Cameron Davis</v>
      </c>
      <c r="D69">
        <f ca="1">IFERROR(__xludf.DUMMYFUNCTION("""COMPUTED_VALUE"""),16)</f>
        <v>16</v>
      </c>
      <c r="E69" t="str">
        <f ca="1">IFERROR(__xludf.DUMMYFUNCTION("""COMPUTED_VALUE"""),"1' 11""")</f>
        <v>1' 11"</v>
      </c>
      <c r="F69">
        <f ca="1">IFERROR(__xludf.DUMMYFUNCTION("""COMPUTED_VALUE"""),11.417)</f>
        <v>11.417</v>
      </c>
      <c r="G69">
        <f ca="1">IFERROR(__xludf.DUMMYFUNCTION("""COMPUTED_VALUE"""),6)</f>
        <v>6</v>
      </c>
      <c r="H69">
        <f ca="1">IFERROR(__xludf.DUMMYFUNCTION("""COMPUTED_VALUE"""),95)</f>
        <v>95</v>
      </c>
    </row>
    <row r="70" spans="1:8" ht="12.75">
      <c r="A70" t="str">
        <f ca="1">IFERROR(__xludf.DUMMYFUNCTION("""COMPUTED_VALUE"""),"T69")</f>
        <v>T69</v>
      </c>
      <c r="B70" t="str">
        <f ca="1">IFERROR(__xludf.DUMMYFUNCTION("""COMPUTED_VALUE"""),"T75")</f>
        <v>T75</v>
      </c>
      <c r="C70" t="str">
        <f ca="1">IFERROR(__xludf.DUMMYFUNCTION("""COMPUTED_VALUE"""),"Zac Blair")</f>
        <v>Zac Blair</v>
      </c>
      <c r="D70">
        <f ca="1">IFERROR(__xludf.DUMMYFUNCTION("""COMPUTED_VALUE"""),10)</f>
        <v>10</v>
      </c>
      <c r="E70" t="str">
        <f ca="1">IFERROR(__xludf.DUMMYFUNCTION("""COMPUTED_VALUE"""),"2' 0""")</f>
        <v>2' 0"</v>
      </c>
      <c r="F70">
        <f ca="1">IFERROR(__xludf.DUMMYFUNCTION("""COMPUTED_VALUE"""),2)</f>
        <v>2</v>
      </c>
      <c r="G70">
        <f ca="1">IFERROR(__xludf.DUMMYFUNCTION("""COMPUTED_VALUE"""),1)</f>
        <v>1</v>
      </c>
      <c r="H70">
        <f ca="1">IFERROR(__xludf.DUMMYFUNCTION("""COMPUTED_VALUE"""),230)</f>
        <v>230</v>
      </c>
    </row>
    <row r="71" spans="1:8" ht="12.75">
      <c r="A71" t="str">
        <f ca="1">IFERROR(__xludf.DUMMYFUNCTION("""COMPUTED_VALUE"""),"T69")</f>
        <v>T69</v>
      </c>
      <c r="B71" t="str">
        <f ca="1">IFERROR(__xludf.DUMMYFUNCTION("""COMPUTED_VALUE"""),"T132")</f>
        <v>T132</v>
      </c>
      <c r="C71" t="str">
        <f ca="1">IFERROR(__xludf.DUMMYFUNCTION("""COMPUTED_VALUE"""),"John Huh")</f>
        <v>John Huh</v>
      </c>
      <c r="D71">
        <f ca="1">IFERROR(__xludf.DUMMYFUNCTION("""COMPUTED_VALUE"""),8)</f>
        <v>8</v>
      </c>
      <c r="E71" t="str">
        <f ca="1">IFERROR(__xludf.DUMMYFUNCTION("""COMPUTED_VALUE"""),"2' 0""")</f>
        <v>2' 0"</v>
      </c>
      <c r="F71">
        <f ca="1">IFERROR(__xludf.DUMMYFUNCTION("""COMPUTED_VALUE"""),7.917)</f>
        <v>7.9169999999999998</v>
      </c>
      <c r="G71">
        <f ca="1">IFERROR(__xludf.DUMMYFUNCTION("""COMPUTED_VALUE"""),4)</f>
        <v>4</v>
      </c>
      <c r="H71">
        <f ca="1">IFERROR(__xludf.DUMMYFUNCTION("""COMPUTED_VALUE"""),214)</f>
        <v>214</v>
      </c>
    </row>
    <row r="72" spans="1:8" ht="12.75">
      <c r="A72" t="str">
        <f ca="1">IFERROR(__xludf.DUMMYFUNCTION("""COMPUTED_VALUE"""),"T69")</f>
        <v>T69</v>
      </c>
      <c r="B72" t="str">
        <f ca="1">IFERROR(__xludf.DUMMYFUNCTION("""COMPUTED_VALUE"""),"T75")</f>
        <v>T75</v>
      </c>
      <c r="C72" t="str">
        <f ca="1">IFERROR(__xludf.DUMMYFUNCTION("""COMPUTED_VALUE"""),"Lanto Griffin")</f>
        <v>Lanto Griffin</v>
      </c>
      <c r="D72">
        <f ca="1">IFERROR(__xludf.DUMMYFUNCTION("""COMPUTED_VALUE"""),18)</f>
        <v>18</v>
      </c>
      <c r="E72" t="str">
        <f ca="1">IFERROR(__xludf.DUMMYFUNCTION("""COMPUTED_VALUE"""),"2' 0""")</f>
        <v>2' 0"</v>
      </c>
      <c r="F72">
        <f ca="1">IFERROR(__xludf.DUMMYFUNCTION("""COMPUTED_VALUE"""),5.917)</f>
        <v>5.9169999999999998</v>
      </c>
      <c r="G72">
        <f ca="1">IFERROR(__xludf.DUMMYFUNCTION("""COMPUTED_VALUE"""),3)</f>
        <v>3</v>
      </c>
      <c r="H72">
        <f ca="1">IFERROR(__xludf.DUMMYFUNCTION("""COMPUTED_VALUE"""),199)</f>
        <v>199</v>
      </c>
    </row>
    <row r="73" spans="1:8" ht="12.75">
      <c r="A73" t="str">
        <f ca="1">IFERROR(__xludf.DUMMYFUNCTION("""COMPUTED_VALUE"""),"T69")</f>
        <v>T69</v>
      </c>
      <c r="B73" t="str">
        <f ca="1">IFERROR(__xludf.DUMMYFUNCTION("""COMPUTED_VALUE"""),"T47")</f>
        <v>T47</v>
      </c>
      <c r="C73" t="str">
        <f ca="1">IFERROR(__xludf.DUMMYFUNCTION("""COMPUTED_VALUE"""),"Beau Hossler")</f>
        <v>Beau Hossler</v>
      </c>
      <c r="D73">
        <f ca="1">IFERROR(__xludf.DUMMYFUNCTION("""COMPUTED_VALUE"""),22)</f>
        <v>22</v>
      </c>
      <c r="E73" t="str">
        <f ca="1">IFERROR(__xludf.DUMMYFUNCTION("""COMPUTED_VALUE"""),"2' 0""")</f>
        <v>2' 0"</v>
      </c>
      <c r="F73">
        <f ca="1">IFERROR(__xludf.DUMMYFUNCTION("""COMPUTED_VALUE"""),16.083)</f>
        <v>16.082999999999998</v>
      </c>
      <c r="G73">
        <f ca="1">IFERROR(__xludf.DUMMYFUNCTION("""COMPUTED_VALUE"""),8)</f>
        <v>8</v>
      </c>
      <c r="H73">
        <f ca="1">IFERROR(__xludf.DUMMYFUNCTION("""COMPUTED_VALUE"""),101)</f>
        <v>101</v>
      </c>
    </row>
    <row r="74" spans="1:8" ht="12.75">
      <c r="A74" t="str">
        <f ca="1">IFERROR(__xludf.DUMMYFUNCTION("""COMPUTED_VALUE"""),"T69")</f>
        <v>T69</v>
      </c>
      <c r="B74" t="str">
        <f ca="1">IFERROR(__xludf.DUMMYFUNCTION("""COMPUTED_VALUE"""),"T125")</f>
        <v>T125</v>
      </c>
      <c r="C74" t="str">
        <f ca="1">IFERROR(__xludf.DUMMYFUNCTION("""COMPUTED_VALUE"""),"Tyrrell Hatton")</f>
        <v>Tyrrell Hatton</v>
      </c>
      <c r="D74">
        <f ca="1">IFERROR(__xludf.DUMMYFUNCTION("""COMPUTED_VALUE"""),14)</f>
        <v>14</v>
      </c>
      <c r="E74" t="str">
        <f ca="1">IFERROR(__xludf.DUMMYFUNCTION("""COMPUTED_VALUE"""),"2' 0""")</f>
        <v>2' 0"</v>
      </c>
      <c r="F74">
        <f ca="1">IFERROR(__xludf.DUMMYFUNCTION("""COMPUTED_VALUE"""),8.083)</f>
        <v>8.0830000000000002</v>
      </c>
      <c r="G74">
        <f ca="1">IFERROR(__xludf.DUMMYFUNCTION("""COMPUTED_VALUE"""),4)</f>
        <v>4</v>
      </c>
      <c r="H74">
        <f ca="1">IFERROR(__xludf.DUMMYFUNCTION("""COMPUTED_VALUE"""),189)</f>
        <v>189</v>
      </c>
    </row>
    <row r="75" spans="1:8" ht="12.75">
      <c r="A75" t="str">
        <f ca="1">IFERROR(__xludf.DUMMYFUNCTION("""COMPUTED_VALUE"""),"T69")</f>
        <v>T69</v>
      </c>
      <c r="B75" t="str">
        <f ca="1">IFERROR(__xludf.DUMMYFUNCTION("""COMPUTED_VALUE"""),"")</f>
        <v/>
      </c>
      <c r="C75" t="str">
        <f ca="1">IFERROR(__xludf.DUMMYFUNCTION("""COMPUTED_VALUE"""),"Francesco Molinari")</f>
        <v>Francesco Molinari</v>
      </c>
      <c r="D75">
        <f ca="1">IFERROR(__xludf.DUMMYFUNCTION("""COMPUTED_VALUE"""),6)</f>
        <v>6</v>
      </c>
      <c r="E75" t="str">
        <f ca="1">IFERROR(__xludf.DUMMYFUNCTION("""COMPUTED_VALUE"""),"2' 0""")</f>
        <v>2' 0"</v>
      </c>
      <c r="F75">
        <f ca="1">IFERROR(__xludf.DUMMYFUNCTION("""COMPUTED_VALUE"""),3.917)</f>
        <v>3.9169999999999998</v>
      </c>
      <c r="G75">
        <f ca="1">IFERROR(__xludf.DUMMYFUNCTION("""COMPUTED_VALUE"""),2)</f>
        <v>2</v>
      </c>
      <c r="H75">
        <f ca="1">IFERROR(__xludf.DUMMYFUNCTION("""COMPUTED_VALUE"""),29)</f>
        <v>29</v>
      </c>
    </row>
    <row r="76" spans="1:8" ht="12.75">
      <c r="A76" t="str">
        <f ca="1">IFERROR(__xludf.DUMMYFUNCTION("""COMPUTED_VALUE"""),"T69")</f>
        <v>T69</v>
      </c>
      <c r="B76" t="str">
        <f ca="1">IFERROR(__xludf.DUMMYFUNCTION("""COMPUTED_VALUE"""),"T75")</f>
        <v>T75</v>
      </c>
      <c r="C76" t="str">
        <f ca="1">IFERROR(__xludf.DUMMYFUNCTION("""COMPUTED_VALUE"""),"J.B. Holmes")</f>
        <v>J.B. Holmes</v>
      </c>
      <c r="D76">
        <f ca="1">IFERROR(__xludf.DUMMYFUNCTION("""COMPUTED_VALUE"""),10)</f>
        <v>10</v>
      </c>
      <c r="E76" t="str">
        <f ca="1">IFERROR(__xludf.DUMMYFUNCTION("""COMPUTED_VALUE"""),"2' 0""")</f>
        <v>2' 0"</v>
      </c>
      <c r="F76">
        <f ca="1">IFERROR(__xludf.DUMMYFUNCTION("""COMPUTED_VALUE"""),3.917)</f>
        <v>3.9169999999999998</v>
      </c>
      <c r="G76">
        <f ca="1">IFERROR(__xludf.DUMMYFUNCTION("""COMPUTED_VALUE"""),2)</f>
        <v>2</v>
      </c>
      <c r="H76">
        <f ca="1">IFERROR(__xludf.DUMMYFUNCTION("""COMPUTED_VALUE"""),272)</f>
        <v>272</v>
      </c>
    </row>
    <row r="77" spans="1:8" ht="12.75">
      <c r="A77" t="str">
        <f ca="1">IFERROR(__xludf.DUMMYFUNCTION("""COMPUTED_VALUE"""),"T69")</f>
        <v>T69</v>
      </c>
      <c r="B77" t="str">
        <f ca="1">IFERROR(__xludf.DUMMYFUNCTION("""COMPUTED_VALUE"""),"T75")</f>
        <v>T75</v>
      </c>
      <c r="C77" t="str">
        <f ca="1">IFERROR(__xludf.DUMMYFUNCTION("""COMPUTED_VALUE"""),"Nick Taylor")</f>
        <v>Nick Taylor</v>
      </c>
      <c r="D77">
        <f ca="1">IFERROR(__xludf.DUMMYFUNCTION("""COMPUTED_VALUE"""),12)</f>
        <v>12</v>
      </c>
      <c r="E77" t="str">
        <f ca="1">IFERROR(__xludf.DUMMYFUNCTION("""COMPUTED_VALUE"""),"2' 0""")</f>
        <v>2' 0"</v>
      </c>
      <c r="F77">
        <f ca="1">IFERROR(__xludf.DUMMYFUNCTION("""COMPUTED_VALUE"""),12.167)</f>
        <v>12.167</v>
      </c>
      <c r="G77">
        <f ca="1">IFERROR(__xludf.DUMMYFUNCTION("""COMPUTED_VALUE"""),6)</f>
        <v>6</v>
      </c>
      <c r="H77">
        <f ca="1">IFERROR(__xludf.DUMMYFUNCTION("""COMPUTED_VALUE"""),188)</f>
        <v>188</v>
      </c>
    </row>
    <row r="78" spans="1:8" ht="12.75">
      <c r="A78" t="str">
        <f ca="1">IFERROR(__xludf.DUMMYFUNCTION("""COMPUTED_VALUE"""),"T69")</f>
        <v>T69</v>
      </c>
      <c r="B78" t="str">
        <f ca="1">IFERROR(__xludf.DUMMYFUNCTION("""COMPUTED_VALUE"""),"T80")</f>
        <v>T80</v>
      </c>
      <c r="C78" t="str">
        <f ca="1">IFERROR(__xludf.DUMMYFUNCTION("""COMPUTED_VALUE"""),"Jimmy Walker")</f>
        <v>Jimmy Walker</v>
      </c>
      <c r="D78">
        <f ca="1">IFERROR(__xludf.DUMMYFUNCTION("""COMPUTED_VALUE"""),10)</f>
        <v>10</v>
      </c>
      <c r="E78" t="str">
        <f ca="1">IFERROR(__xludf.DUMMYFUNCTION("""COMPUTED_VALUE"""),"2' 0""")</f>
        <v>2' 0"</v>
      </c>
      <c r="F78">
        <f ca="1">IFERROR(__xludf.DUMMYFUNCTION("""COMPUTED_VALUE"""),9.833)</f>
        <v>9.8330000000000002</v>
      </c>
      <c r="G78">
        <f ca="1">IFERROR(__xludf.DUMMYFUNCTION("""COMPUTED_VALUE"""),5)</f>
        <v>5</v>
      </c>
      <c r="H78">
        <f ca="1">IFERROR(__xludf.DUMMYFUNCTION("""COMPUTED_VALUE"""),233)</f>
        <v>233</v>
      </c>
    </row>
    <row r="79" spans="1:8" ht="12.75">
      <c r="A79" t="str">
        <f ca="1">IFERROR(__xludf.DUMMYFUNCTION("""COMPUTED_VALUE"""),"T69")</f>
        <v>T69</v>
      </c>
      <c r="B79" t="str">
        <f ca="1">IFERROR(__xludf.DUMMYFUNCTION("""COMPUTED_VALUE"""),"T106")</f>
        <v>T106</v>
      </c>
      <c r="C79" t="str">
        <f ca="1">IFERROR(__xludf.DUMMYFUNCTION("""COMPUTED_VALUE"""),"Andrew Landry")</f>
        <v>Andrew Landry</v>
      </c>
      <c r="D79">
        <f ca="1">IFERROR(__xludf.DUMMYFUNCTION("""COMPUTED_VALUE"""),14)</f>
        <v>14</v>
      </c>
      <c r="E79" t="str">
        <f ca="1">IFERROR(__xludf.DUMMYFUNCTION("""COMPUTED_VALUE"""),"2' 0""")</f>
        <v>2' 0"</v>
      </c>
      <c r="F79">
        <f ca="1">IFERROR(__xludf.DUMMYFUNCTION("""COMPUTED_VALUE"""),19.75)</f>
        <v>19.75</v>
      </c>
      <c r="G79">
        <f ca="1">IFERROR(__xludf.DUMMYFUNCTION("""COMPUTED_VALUE"""),10)</f>
        <v>10</v>
      </c>
      <c r="H79">
        <f ca="1">IFERROR(__xludf.DUMMYFUNCTION("""COMPUTED_VALUE"""),91)</f>
        <v>91</v>
      </c>
    </row>
    <row r="80" spans="1:8" ht="12.75">
      <c r="A80" t="str">
        <f ca="1">IFERROR(__xludf.DUMMYFUNCTION("""COMPUTED_VALUE"""),"T69")</f>
        <v>T69</v>
      </c>
      <c r="B80" t="str">
        <f ca="1">IFERROR(__xludf.DUMMYFUNCTION("""COMPUTED_VALUE"""),"T92")</f>
        <v>T92</v>
      </c>
      <c r="C80" t="str">
        <f ca="1">IFERROR(__xludf.DUMMYFUNCTION("""COMPUTED_VALUE"""),"Fabián Gómez")</f>
        <v>Fabián Gómez</v>
      </c>
      <c r="D80">
        <f ca="1">IFERROR(__xludf.DUMMYFUNCTION("""COMPUTED_VALUE"""),16)</f>
        <v>16</v>
      </c>
      <c r="E80" t="str">
        <f ca="1">IFERROR(__xludf.DUMMYFUNCTION("""COMPUTED_VALUE"""),"2' 0""")</f>
        <v>2' 0"</v>
      </c>
      <c r="F80">
        <f ca="1">IFERROR(__xludf.DUMMYFUNCTION("""COMPUTED_VALUE"""),12.083)</f>
        <v>12.083</v>
      </c>
      <c r="G80">
        <f ca="1">IFERROR(__xludf.DUMMYFUNCTION("""COMPUTED_VALUE"""),6)</f>
        <v>6</v>
      </c>
      <c r="H80">
        <f ca="1">IFERROR(__xludf.DUMMYFUNCTION("""COMPUTED_VALUE"""),24)</f>
        <v>24</v>
      </c>
    </row>
    <row r="81" spans="1:8" ht="12.75">
      <c r="A81" t="str">
        <f ca="1">IFERROR(__xludf.DUMMYFUNCTION("""COMPUTED_VALUE"""),"T80")</f>
        <v>T80</v>
      </c>
      <c r="B81" t="str">
        <f ca="1">IFERROR(__xludf.DUMMYFUNCTION("""COMPUTED_VALUE"""),"T80")</f>
        <v>T80</v>
      </c>
      <c r="C81" t="str">
        <f ca="1">IFERROR(__xludf.DUMMYFUNCTION("""COMPUTED_VALUE"""),"Kyle Stanley")</f>
        <v>Kyle Stanley</v>
      </c>
      <c r="D81">
        <f ca="1">IFERROR(__xludf.DUMMYFUNCTION("""COMPUTED_VALUE"""),16)</f>
        <v>16</v>
      </c>
      <c r="E81" t="str">
        <f ca="1">IFERROR(__xludf.DUMMYFUNCTION("""COMPUTED_VALUE"""),"2' 1""")</f>
        <v>2' 1"</v>
      </c>
      <c r="F81">
        <f ca="1">IFERROR(__xludf.DUMMYFUNCTION("""COMPUTED_VALUE"""),12.417)</f>
        <v>12.417</v>
      </c>
      <c r="G81">
        <f ca="1">IFERROR(__xludf.DUMMYFUNCTION("""COMPUTED_VALUE"""),6)</f>
        <v>6</v>
      </c>
      <c r="H81">
        <f ca="1">IFERROR(__xludf.DUMMYFUNCTION("""COMPUTED_VALUE"""),122)</f>
        <v>122</v>
      </c>
    </row>
    <row r="82" spans="1:8" ht="12.75">
      <c r="A82" t="str">
        <f ca="1">IFERROR(__xludf.DUMMYFUNCTION("""COMPUTED_VALUE"""),"T80")</f>
        <v>T80</v>
      </c>
      <c r="B82" t="str">
        <f ca="1">IFERROR(__xludf.DUMMYFUNCTION("""COMPUTED_VALUE"""),"T80")</f>
        <v>T80</v>
      </c>
      <c r="C82" t="str">
        <f ca="1">IFERROR(__xludf.DUMMYFUNCTION("""COMPUTED_VALUE"""),"Martin Laird")</f>
        <v>Martin Laird</v>
      </c>
      <c r="D82">
        <f ca="1">IFERROR(__xludf.DUMMYFUNCTION("""COMPUTED_VALUE"""),16)</f>
        <v>16</v>
      </c>
      <c r="E82" t="str">
        <f ca="1">IFERROR(__xludf.DUMMYFUNCTION("""COMPUTED_VALUE"""),"2' 1""")</f>
        <v>2' 1"</v>
      </c>
      <c r="F82">
        <f ca="1">IFERROR(__xludf.DUMMYFUNCTION("""COMPUTED_VALUE"""),8.167)</f>
        <v>8.1669999999999998</v>
      </c>
      <c r="G82">
        <f ca="1">IFERROR(__xludf.DUMMYFUNCTION("""COMPUTED_VALUE"""),4)</f>
        <v>4</v>
      </c>
      <c r="H82">
        <f ca="1">IFERROR(__xludf.DUMMYFUNCTION("""COMPUTED_VALUE"""),225)</f>
        <v>225</v>
      </c>
    </row>
    <row r="83" spans="1:8" ht="12.75">
      <c r="A83" t="str">
        <f ca="1">IFERROR(__xludf.DUMMYFUNCTION("""COMPUTED_VALUE"""),"T80")</f>
        <v>T80</v>
      </c>
      <c r="B83" t="str">
        <f ca="1">IFERROR(__xludf.DUMMYFUNCTION("""COMPUTED_VALUE"""),"T62")</f>
        <v>T62</v>
      </c>
      <c r="C83" t="str">
        <f ca="1">IFERROR(__xludf.DUMMYFUNCTION("""COMPUTED_VALUE"""),"Charley Hoffman")</f>
        <v>Charley Hoffman</v>
      </c>
      <c r="D83">
        <f ca="1">IFERROR(__xludf.DUMMYFUNCTION("""COMPUTED_VALUE"""),20)</f>
        <v>20</v>
      </c>
      <c r="E83" t="str">
        <f ca="1">IFERROR(__xludf.DUMMYFUNCTION("""COMPUTED_VALUE"""),"2' 1""")</f>
        <v>2' 1"</v>
      </c>
      <c r="F83">
        <f ca="1">IFERROR(__xludf.DUMMYFUNCTION("""COMPUTED_VALUE"""),18.5)</f>
        <v>18.5</v>
      </c>
      <c r="G83">
        <f ca="1">IFERROR(__xludf.DUMMYFUNCTION("""COMPUTED_VALUE"""),9)</f>
        <v>9</v>
      </c>
      <c r="H83">
        <f ca="1">IFERROR(__xludf.DUMMYFUNCTION("""COMPUTED_VALUE"""),68)</f>
        <v>68</v>
      </c>
    </row>
    <row r="84" spans="1:8" ht="12.75">
      <c r="A84" t="str">
        <f ca="1">IFERROR(__xludf.DUMMYFUNCTION("""COMPUTED_VALUE"""),"T80")</f>
        <v>T80</v>
      </c>
      <c r="B84" t="str">
        <f ca="1">IFERROR(__xludf.DUMMYFUNCTION("""COMPUTED_VALUE"""),"T80")</f>
        <v>T80</v>
      </c>
      <c r="C84" t="str">
        <f ca="1">IFERROR(__xludf.DUMMYFUNCTION("""COMPUTED_VALUE"""),"Joel Dahmen")</f>
        <v>Joel Dahmen</v>
      </c>
      <c r="D84">
        <f ca="1">IFERROR(__xludf.DUMMYFUNCTION("""COMPUTED_VALUE"""),18)</f>
        <v>18</v>
      </c>
      <c r="E84" t="str">
        <f ca="1">IFERROR(__xludf.DUMMYFUNCTION("""COMPUTED_VALUE"""),"2' 1""")</f>
        <v>2' 1"</v>
      </c>
      <c r="F84">
        <f ca="1">IFERROR(__xludf.DUMMYFUNCTION("""COMPUTED_VALUE"""),12.583)</f>
        <v>12.583</v>
      </c>
      <c r="G84">
        <f ca="1">IFERROR(__xludf.DUMMYFUNCTION("""COMPUTED_VALUE"""),6)</f>
        <v>6</v>
      </c>
      <c r="H84">
        <f ca="1">IFERROR(__xludf.DUMMYFUNCTION("""COMPUTED_VALUE"""),74)</f>
        <v>74</v>
      </c>
    </row>
    <row r="85" spans="1:8" ht="12.75">
      <c r="A85" t="str">
        <f ca="1">IFERROR(__xludf.DUMMYFUNCTION("""COMPUTED_VALUE"""),"T80")</f>
        <v>T80</v>
      </c>
      <c r="B85" t="str">
        <f ca="1">IFERROR(__xludf.DUMMYFUNCTION("""COMPUTED_VALUE"""),"T80")</f>
        <v>T80</v>
      </c>
      <c r="C85" t="str">
        <f ca="1">IFERROR(__xludf.DUMMYFUNCTION("""COMPUTED_VALUE"""),"Kramer Hickok")</f>
        <v>Kramer Hickok</v>
      </c>
      <c r="D85">
        <f ca="1">IFERROR(__xludf.DUMMYFUNCTION("""COMPUTED_VALUE"""),16)</f>
        <v>16</v>
      </c>
      <c r="E85" t="str">
        <f ca="1">IFERROR(__xludf.DUMMYFUNCTION("""COMPUTED_VALUE"""),"2' 1""")</f>
        <v>2' 1"</v>
      </c>
      <c r="F85">
        <f ca="1">IFERROR(__xludf.DUMMYFUNCTION("""COMPUTED_VALUE"""),8.25)</f>
        <v>8.25</v>
      </c>
      <c r="G85">
        <f ca="1">IFERROR(__xludf.DUMMYFUNCTION("""COMPUTED_VALUE"""),4)</f>
        <v>4</v>
      </c>
      <c r="H85">
        <f ca="1">IFERROR(__xludf.DUMMYFUNCTION("""COMPUTED_VALUE"""),174)</f>
        <v>174</v>
      </c>
    </row>
    <row r="86" spans="1:8" ht="12.75">
      <c r="A86" t="str">
        <f ca="1">IFERROR(__xludf.DUMMYFUNCTION("""COMPUTED_VALUE"""),"T80")</f>
        <v>T80</v>
      </c>
      <c r="B86" t="str">
        <f ca="1">IFERROR(__xludf.DUMMYFUNCTION("""COMPUTED_VALUE"""),"T80")</f>
        <v>T80</v>
      </c>
      <c r="C86" t="str">
        <f ca="1">IFERROR(__xludf.DUMMYFUNCTION("""COMPUTED_VALUE"""),"Hank Lebioda")</f>
        <v>Hank Lebioda</v>
      </c>
      <c r="D86">
        <f ca="1">IFERROR(__xludf.DUMMYFUNCTION("""COMPUTED_VALUE"""),14)</f>
        <v>14</v>
      </c>
      <c r="E86" t="str">
        <f ca="1">IFERROR(__xludf.DUMMYFUNCTION("""COMPUTED_VALUE"""),"2' 1""")</f>
        <v>2' 1"</v>
      </c>
      <c r="F86">
        <f ca="1">IFERROR(__xludf.DUMMYFUNCTION("""COMPUTED_VALUE"""),8.417)</f>
        <v>8.4169999999999998</v>
      </c>
      <c r="G86">
        <f ca="1">IFERROR(__xludf.DUMMYFUNCTION("""COMPUTED_VALUE"""),4)</f>
        <v>4</v>
      </c>
      <c r="H86">
        <f ca="1">IFERROR(__xludf.DUMMYFUNCTION("""COMPUTED_VALUE"""),7)</f>
        <v>7</v>
      </c>
    </row>
    <row r="87" spans="1:8" ht="12.75">
      <c r="A87" t="str">
        <f ca="1">IFERROR(__xludf.DUMMYFUNCTION("""COMPUTED_VALUE"""),"T86")</f>
        <v>T86</v>
      </c>
      <c r="B87" t="str">
        <f ca="1">IFERROR(__xludf.DUMMYFUNCTION("""COMPUTED_VALUE"""),"T88")</f>
        <v>T88</v>
      </c>
      <c r="C87" t="str">
        <f ca="1">IFERROR(__xludf.DUMMYFUNCTION("""COMPUTED_VALUE"""),"Thomas Detry")</f>
        <v>Thomas Detry</v>
      </c>
      <c r="D87">
        <f ca="1">IFERROR(__xludf.DUMMYFUNCTION("""COMPUTED_VALUE"""),8)</f>
        <v>8</v>
      </c>
      <c r="E87" t="str">
        <f ca="1">IFERROR(__xludf.DUMMYFUNCTION("""COMPUTED_VALUE"""),"2' 2""")</f>
        <v>2' 2"</v>
      </c>
      <c r="F87">
        <f ca="1">IFERROR(__xludf.DUMMYFUNCTION("""COMPUTED_VALUE"""),8.75)</f>
        <v>8.75</v>
      </c>
      <c r="G87">
        <f ca="1">IFERROR(__xludf.DUMMYFUNCTION("""COMPUTED_VALUE"""),4)</f>
        <v>4</v>
      </c>
      <c r="H87">
        <f ca="1">IFERROR(__xludf.DUMMYFUNCTION("""COMPUTED_VALUE"""),262)</f>
        <v>262</v>
      </c>
    </row>
    <row r="88" spans="1:8" ht="12.75">
      <c r="A88" t="str">
        <f ca="1">IFERROR(__xludf.DUMMYFUNCTION("""COMPUTED_VALUE"""),"T86")</f>
        <v>T86</v>
      </c>
      <c r="B88" t="str">
        <f ca="1">IFERROR(__xludf.DUMMYFUNCTION("""COMPUTED_VALUE"""),"T80")</f>
        <v>T80</v>
      </c>
      <c r="C88" t="str">
        <f ca="1">IFERROR(__xludf.DUMMYFUNCTION("""COMPUTED_VALUE"""),"Patrick Rodgers")</f>
        <v>Patrick Rodgers</v>
      </c>
      <c r="D88">
        <f ca="1">IFERROR(__xludf.DUMMYFUNCTION("""COMPUTED_VALUE"""),18)</f>
        <v>18</v>
      </c>
      <c r="E88" t="str">
        <f ca="1">IFERROR(__xludf.DUMMYFUNCTION("""COMPUTED_VALUE"""),"2' 2""")</f>
        <v>2' 2"</v>
      </c>
      <c r="F88">
        <f ca="1">IFERROR(__xludf.DUMMYFUNCTION("""COMPUTED_VALUE"""),6.583)</f>
        <v>6.5830000000000002</v>
      </c>
      <c r="G88">
        <f ca="1">IFERROR(__xludf.DUMMYFUNCTION("""COMPUTED_VALUE"""),3)</f>
        <v>3</v>
      </c>
      <c r="H88">
        <f ca="1">IFERROR(__xludf.DUMMYFUNCTION("""COMPUTED_VALUE"""),205)</f>
        <v>205</v>
      </c>
    </row>
    <row r="89" spans="1:8" ht="12.75">
      <c r="A89" t="str">
        <f ca="1">IFERROR(__xludf.DUMMYFUNCTION("""COMPUTED_VALUE"""),"T86")</f>
        <v>T86</v>
      </c>
      <c r="B89" t="str">
        <f ca="1">IFERROR(__xludf.DUMMYFUNCTION("""COMPUTED_VALUE"""),"T92")</f>
        <v>T92</v>
      </c>
      <c r="C89" t="str">
        <f ca="1">IFERROR(__xludf.DUMMYFUNCTION("""COMPUTED_VALUE"""),"Mark Hubbard")</f>
        <v>Mark Hubbard</v>
      </c>
      <c r="D89">
        <f ca="1">IFERROR(__xludf.DUMMYFUNCTION("""COMPUTED_VALUE"""),20)</f>
        <v>20</v>
      </c>
      <c r="E89" t="str">
        <f ca="1">IFERROR(__xludf.DUMMYFUNCTION("""COMPUTED_VALUE"""),"2' 2""")</f>
        <v>2' 2"</v>
      </c>
      <c r="F89">
        <f ca="1">IFERROR(__xludf.DUMMYFUNCTION("""COMPUTED_VALUE"""),30.167)</f>
        <v>30.167000000000002</v>
      </c>
      <c r="G89">
        <f ca="1">IFERROR(__xludf.DUMMYFUNCTION("""COMPUTED_VALUE"""),14)</f>
        <v>14</v>
      </c>
      <c r="H89">
        <f ca="1">IFERROR(__xludf.DUMMYFUNCTION("""COMPUTED_VALUE"""),156)</f>
        <v>156</v>
      </c>
    </row>
    <row r="90" spans="1:8" ht="12.75">
      <c r="A90" t="str">
        <f ca="1">IFERROR(__xludf.DUMMYFUNCTION("""COMPUTED_VALUE"""),"T86")</f>
        <v>T86</v>
      </c>
      <c r="B90" t="str">
        <f ca="1">IFERROR(__xludf.DUMMYFUNCTION("""COMPUTED_VALUE"""),"T88")</f>
        <v>T88</v>
      </c>
      <c r="C90" t="str">
        <f ca="1">IFERROR(__xludf.DUMMYFUNCTION("""COMPUTED_VALUE"""),"Brandt Snedeker")</f>
        <v>Brandt Snedeker</v>
      </c>
      <c r="D90">
        <f ca="1">IFERROR(__xludf.DUMMYFUNCTION("""COMPUTED_VALUE"""),16)</f>
        <v>16</v>
      </c>
      <c r="E90" t="str">
        <f ca="1">IFERROR(__xludf.DUMMYFUNCTION("""COMPUTED_VALUE"""),"2' 2""")</f>
        <v>2' 2"</v>
      </c>
      <c r="F90">
        <f ca="1">IFERROR(__xludf.DUMMYFUNCTION("""COMPUTED_VALUE"""),8.583)</f>
        <v>8.5830000000000002</v>
      </c>
      <c r="G90">
        <f ca="1">IFERROR(__xludf.DUMMYFUNCTION("""COMPUTED_VALUE"""),4)</f>
        <v>4</v>
      </c>
      <c r="H90">
        <f ca="1">IFERROR(__xludf.DUMMYFUNCTION("""COMPUTED_VALUE"""),191)</f>
        <v>191</v>
      </c>
    </row>
    <row r="91" spans="1:8" ht="12.75">
      <c r="A91" t="str">
        <f ca="1">IFERROR(__xludf.DUMMYFUNCTION("""COMPUTED_VALUE"""),"T90")</f>
        <v>T90</v>
      </c>
      <c r="B91" t="str">
        <f ca="1">IFERROR(__xludf.DUMMYFUNCTION("""COMPUTED_VALUE"""),"T92")</f>
        <v>T92</v>
      </c>
      <c r="C91" t="str">
        <f ca="1">IFERROR(__xludf.DUMMYFUNCTION("""COMPUTED_VALUE"""),"Dylan Frittelli")</f>
        <v>Dylan Frittelli</v>
      </c>
      <c r="D91">
        <f ca="1">IFERROR(__xludf.DUMMYFUNCTION("""COMPUTED_VALUE"""),16)</f>
        <v>16</v>
      </c>
      <c r="E91" t="str">
        <f ca="1">IFERROR(__xludf.DUMMYFUNCTION("""COMPUTED_VALUE"""),"2' 3""")</f>
        <v>2' 3"</v>
      </c>
      <c r="F91">
        <f ca="1">IFERROR(__xludf.DUMMYFUNCTION("""COMPUTED_VALUE"""),13.5)</f>
        <v>13.5</v>
      </c>
      <c r="G91">
        <f ca="1">IFERROR(__xludf.DUMMYFUNCTION("""COMPUTED_VALUE"""),6)</f>
        <v>6</v>
      </c>
      <c r="H91">
        <f ca="1">IFERROR(__xludf.DUMMYFUNCTION("""COMPUTED_VALUE"""),72)</f>
        <v>72</v>
      </c>
    </row>
    <row r="92" spans="1:8" ht="12.75">
      <c r="A92" t="str">
        <f ca="1">IFERROR(__xludf.DUMMYFUNCTION("""COMPUTED_VALUE"""),"T90")</f>
        <v>T90</v>
      </c>
      <c r="B92" t="str">
        <f ca="1">IFERROR(__xludf.DUMMYFUNCTION("""COMPUTED_VALUE"""),"T183")</f>
        <v>T183</v>
      </c>
      <c r="C92" t="str">
        <f ca="1">IFERROR(__xludf.DUMMYFUNCTION("""COMPUTED_VALUE"""),"Lee Westwood")</f>
        <v>Lee Westwood</v>
      </c>
      <c r="D92">
        <f ca="1">IFERROR(__xludf.DUMMYFUNCTION("""COMPUTED_VALUE"""),6)</f>
        <v>6</v>
      </c>
      <c r="E92" t="str">
        <f ca="1">IFERROR(__xludf.DUMMYFUNCTION("""COMPUTED_VALUE"""),"2' 3""")</f>
        <v>2' 3"</v>
      </c>
      <c r="F92">
        <f ca="1">IFERROR(__xludf.DUMMYFUNCTION("""COMPUTED_VALUE"""),6.833)</f>
        <v>6.8330000000000002</v>
      </c>
      <c r="G92">
        <f ca="1">IFERROR(__xludf.DUMMYFUNCTION("""COMPUTED_VALUE"""),3)</f>
        <v>3</v>
      </c>
      <c r="H92">
        <f ca="1">IFERROR(__xludf.DUMMYFUNCTION("""COMPUTED_VALUE"""),147)</f>
        <v>147</v>
      </c>
    </row>
    <row r="93" spans="1:8" ht="12.75">
      <c r="A93" t="str">
        <f ca="1">IFERROR(__xludf.DUMMYFUNCTION("""COMPUTED_VALUE"""),"T90")</f>
        <v>T90</v>
      </c>
      <c r="B93" t="str">
        <f ca="1">IFERROR(__xludf.DUMMYFUNCTION("""COMPUTED_VALUE"""),"T1")</f>
        <v>T1</v>
      </c>
      <c r="C93" t="str">
        <f ca="1">IFERROR(__xludf.DUMMYFUNCTION("""COMPUTED_VALUE"""),"Henrik Stenson")</f>
        <v>Henrik Stenson</v>
      </c>
      <c r="D93">
        <f ca="1">IFERROR(__xludf.DUMMYFUNCTION("""COMPUTED_VALUE"""),11)</f>
        <v>11</v>
      </c>
      <c r="E93" t="str">
        <f ca="1">IFERROR(__xludf.DUMMYFUNCTION("""COMPUTED_VALUE"""),"2' 3""")</f>
        <v>2' 3"</v>
      </c>
      <c r="F93">
        <f ca="1">IFERROR(__xludf.DUMMYFUNCTION("""COMPUTED_VALUE"""),9)</f>
        <v>9</v>
      </c>
      <c r="G93">
        <f ca="1">IFERROR(__xludf.DUMMYFUNCTION("""COMPUTED_VALUE"""),4)</f>
        <v>4</v>
      </c>
      <c r="H93">
        <f ca="1">IFERROR(__xludf.DUMMYFUNCTION("""COMPUTED_VALUE"""),26)</f>
        <v>26</v>
      </c>
    </row>
    <row r="94" spans="1:8" ht="12.75">
      <c r="A94" t="str">
        <f ca="1">IFERROR(__xludf.DUMMYFUNCTION("""COMPUTED_VALUE"""),"T90")</f>
        <v>T90</v>
      </c>
      <c r="B94" t="str">
        <f ca="1">IFERROR(__xludf.DUMMYFUNCTION("""COMPUTED_VALUE"""),"T58")</f>
        <v>T58</v>
      </c>
      <c r="C94" t="str">
        <f ca="1">IFERROR(__xludf.DUMMYFUNCTION("""COMPUTED_VALUE"""),"Jhonattan Vegas")</f>
        <v>Jhonattan Vegas</v>
      </c>
      <c r="D94">
        <f ca="1">IFERROR(__xludf.DUMMYFUNCTION("""COMPUTED_VALUE"""),16)</f>
        <v>16</v>
      </c>
      <c r="E94" t="str">
        <f ca="1">IFERROR(__xludf.DUMMYFUNCTION("""COMPUTED_VALUE"""),"2' 3""")</f>
        <v>2' 3"</v>
      </c>
      <c r="F94">
        <f ca="1">IFERROR(__xludf.DUMMYFUNCTION("""COMPUTED_VALUE"""),18.25)</f>
        <v>18.25</v>
      </c>
      <c r="G94">
        <f ca="1">IFERROR(__xludf.DUMMYFUNCTION("""COMPUTED_VALUE"""),8)</f>
        <v>8</v>
      </c>
      <c r="H94">
        <f ca="1">IFERROR(__xludf.DUMMYFUNCTION("""COMPUTED_VALUE"""),245)</f>
        <v>245</v>
      </c>
    </row>
    <row r="95" spans="1:8" ht="12.75">
      <c r="A95" t="str">
        <f ca="1">IFERROR(__xludf.DUMMYFUNCTION("""COMPUTED_VALUE"""),"T90")</f>
        <v>T90</v>
      </c>
      <c r="B95" t="str">
        <f ca="1">IFERROR(__xludf.DUMMYFUNCTION("""COMPUTED_VALUE"""),"T62")</f>
        <v>T62</v>
      </c>
      <c r="C95" t="str">
        <f ca="1">IFERROR(__xludf.DUMMYFUNCTION("""COMPUTED_VALUE"""),"Robby Shelton")</f>
        <v>Robby Shelton</v>
      </c>
      <c r="D95">
        <f ca="1">IFERROR(__xludf.DUMMYFUNCTION("""COMPUTED_VALUE"""),14)</f>
        <v>14</v>
      </c>
      <c r="E95" t="str">
        <f ca="1">IFERROR(__xludf.DUMMYFUNCTION("""COMPUTED_VALUE"""),"2' 3""")</f>
        <v>2' 3"</v>
      </c>
      <c r="F95">
        <f ca="1">IFERROR(__xludf.DUMMYFUNCTION("""COMPUTED_VALUE"""),13.25)</f>
        <v>13.25</v>
      </c>
      <c r="G95">
        <f ca="1">IFERROR(__xludf.DUMMYFUNCTION("""COMPUTED_VALUE"""),6)</f>
        <v>6</v>
      </c>
      <c r="H95">
        <f ca="1">IFERROR(__xludf.DUMMYFUNCTION("""COMPUTED_VALUE"""),46)</f>
        <v>46</v>
      </c>
    </row>
    <row r="96" spans="1:8" ht="12.75">
      <c r="A96" t="str">
        <f ca="1">IFERROR(__xludf.DUMMYFUNCTION("""COMPUTED_VALUE"""),"T95")</f>
        <v>T95</v>
      </c>
      <c r="B96" t="str">
        <f ca="1">IFERROR(__xludf.DUMMYFUNCTION("""COMPUTED_VALUE"""),"T98")</f>
        <v>T98</v>
      </c>
      <c r="C96" t="str">
        <f ca="1">IFERROR(__xludf.DUMMYFUNCTION("""COMPUTED_VALUE"""),"Sahith Theegala")</f>
        <v>Sahith Theegala</v>
      </c>
      <c r="D96">
        <f ca="1">IFERROR(__xludf.DUMMYFUNCTION("""COMPUTED_VALUE"""),6)</f>
        <v>6</v>
      </c>
      <c r="E96" t="str">
        <f ca="1">IFERROR(__xludf.DUMMYFUNCTION("""COMPUTED_VALUE"""),"2' 4""")</f>
        <v>2' 4"</v>
      </c>
      <c r="F96">
        <f ca="1">IFERROR(__xludf.DUMMYFUNCTION("""COMPUTED_VALUE"""),11.667)</f>
        <v>11.667</v>
      </c>
      <c r="G96">
        <f ca="1">IFERROR(__xludf.DUMMYFUNCTION("""COMPUTED_VALUE"""),5)</f>
        <v>5</v>
      </c>
      <c r="H96">
        <f ca="1">IFERROR(__xludf.DUMMYFUNCTION("""COMPUTED_VALUE"""),10)</f>
        <v>10</v>
      </c>
    </row>
    <row r="97" spans="1:8" ht="12.75">
      <c r="A97" t="str">
        <f ca="1">IFERROR(__xludf.DUMMYFUNCTION("""COMPUTED_VALUE"""),"T95")</f>
        <v>T95</v>
      </c>
      <c r="B97" t="str">
        <f ca="1">IFERROR(__xludf.DUMMYFUNCTION("""COMPUTED_VALUE"""),"T98")</f>
        <v>T98</v>
      </c>
      <c r="C97" t="str">
        <f ca="1">IFERROR(__xludf.DUMMYFUNCTION("""COMPUTED_VALUE"""),"Harold Varner III")</f>
        <v>Harold Varner III</v>
      </c>
      <c r="D97">
        <f ca="1">IFERROR(__xludf.DUMMYFUNCTION("""COMPUTED_VALUE"""),14)</f>
        <v>14</v>
      </c>
      <c r="E97" t="str">
        <f ca="1">IFERROR(__xludf.DUMMYFUNCTION("""COMPUTED_VALUE"""),"2' 4""")</f>
        <v>2' 4"</v>
      </c>
      <c r="F97">
        <f ca="1">IFERROR(__xludf.DUMMYFUNCTION("""COMPUTED_VALUE"""),21.25)</f>
        <v>21.25</v>
      </c>
      <c r="G97">
        <f ca="1">IFERROR(__xludf.DUMMYFUNCTION("""COMPUTED_VALUE"""),9)</f>
        <v>9</v>
      </c>
      <c r="H97">
        <f ca="1">IFERROR(__xludf.DUMMYFUNCTION("""COMPUTED_VALUE"""),111)</f>
        <v>111</v>
      </c>
    </row>
    <row r="98" spans="1:8" ht="12.75">
      <c r="A98" t="str">
        <f ca="1">IFERROR(__xludf.DUMMYFUNCTION("""COMPUTED_VALUE"""),"T95")</f>
        <v>T95</v>
      </c>
      <c r="B98" t="str">
        <f ca="1">IFERROR(__xludf.DUMMYFUNCTION("""COMPUTED_VALUE"""),"T98")</f>
        <v>T98</v>
      </c>
      <c r="C98" t="str">
        <f ca="1">IFERROR(__xludf.DUMMYFUNCTION("""COMPUTED_VALUE"""),"Kevin Streelman")</f>
        <v>Kevin Streelman</v>
      </c>
      <c r="D98">
        <f ca="1">IFERROR(__xludf.DUMMYFUNCTION("""COMPUTED_VALUE"""),18)</f>
        <v>18</v>
      </c>
      <c r="E98" t="str">
        <f ca="1">IFERROR(__xludf.DUMMYFUNCTION("""COMPUTED_VALUE"""),"2' 4""")</f>
        <v>2' 4"</v>
      </c>
      <c r="F98">
        <f ca="1">IFERROR(__xludf.DUMMYFUNCTION("""COMPUTED_VALUE"""),23)</f>
        <v>23</v>
      </c>
      <c r="G98">
        <f ca="1">IFERROR(__xludf.DUMMYFUNCTION("""COMPUTED_VALUE"""),10)</f>
        <v>10</v>
      </c>
      <c r="H98">
        <f ca="1">IFERROR(__xludf.DUMMYFUNCTION("""COMPUTED_VALUE"""),121)</f>
        <v>121</v>
      </c>
    </row>
    <row r="99" spans="1:8" ht="12.75">
      <c r="A99" t="str">
        <f ca="1">IFERROR(__xludf.DUMMYFUNCTION("""COMPUTED_VALUE"""),"T95")</f>
        <v>T95</v>
      </c>
      <c r="B99" t="str">
        <f ca="1">IFERROR(__xludf.DUMMYFUNCTION("""COMPUTED_VALUE"""),"T62")</f>
        <v>T62</v>
      </c>
      <c r="C99" t="str">
        <f ca="1">IFERROR(__xludf.DUMMYFUNCTION("""COMPUTED_VALUE"""),"Pat Perez")</f>
        <v>Pat Perez</v>
      </c>
      <c r="D99">
        <f ca="1">IFERROR(__xludf.DUMMYFUNCTION("""COMPUTED_VALUE"""),16)</f>
        <v>16</v>
      </c>
      <c r="E99" t="str">
        <f ca="1">IFERROR(__xludf.DUMMYFUNCTION("""COMPUTED_VALUE"""),"2' 4""")</f>
        <v>2' 4"</v>
      </c>
      <c r="F99">
        <f ca="1">IFERROR(__xludf.DUMMYFUNCTION("""COMPUTED_VALUE"""),11.833)</f>
        <v>11.833</v>
      </c>
      <c r="G99">
        <f ca="1">IFERROR(__xludf.DUMMYFUNCTION("""COMPUTED_VALUE"""),5)</f>
        <v>5</v>
      </c>
      <c r="H99">
        <f ca="1">IFERROR(__xludf.DUMMYFUNCTION("""COMPUTED_VALUE"""),100)</f>
        <v>100</v>
      </c>
    </row>
    <row r="100" spans="1:8" ht="12.75">
      <c r="A100" t="str">
        <f ca="1">IFERROR(__xludf.DUMMYFUNCTION("""COMPUTED_VALUE"""),"T95")</f>
        <v>T95</v>
      </c>
      <c r="B100" t="str">
        <f ca="1">IFERROR(__xludf.DUMMYFUNCTION("""COMPUTED_VALUE"""),"T98")</f>
        <v>T98</v>
      </c>
      <c r="C100" t="str">
        <f ca="1">IFERROR(__xludf.DUMMYFUNCTION("""COMPUTED_VALUE"""),"D.J. Trahan")</f>
        <v>D.J. Trahan</v>
      </c>
      <c r="D100">
        <f ca="1">IFERROR(__xludf.DUMMYFUNCTION("""COMPUTED_VALUE"""),16)</f>
        <v>16</v>
      </c>
      <c r="E100" t="str">
        <f ca="1">IFERROR(__xludf.DUMMYFUNCTION("""COMPUTED_VALUE"""),"2' 4""")</f>
        <v>2' 4"</v>
      </c>
      <c r="F100">
        <f ca="1">IFERROR(__xludf.DUMMYFUNCTION("""COMPUTED_VALUE"""),11.583)</f>
        <v>11.583</v>
      </c>
      <c r="G100">
        <f ca="1">IFERROR(__xludf.DUMMYFUNCTION("""COMPUTED_VALUE"""),5)</f>
        <v>5</v>
      </c>
      <c r="H100">
        <f ca="1">IFERROR(__xludf.DUMMYFUNCTION("""COMPUTED_VALUE"""),44)</f>
        <v>44</v>
      </c>
    </row>
    <row r="101" spans="1:8" ht="12.75">
      <c r="A101" t="str">
        <f ca="1">IFERROR(__xludf.DUMMYFUNCTION("""COMPUTED_VALUE"""),"T95")</f>
        <v>T95</v>
      </c>
      <c r="B101" t="str">
        <f ca="1">IFERROR(__xludf.DUMMYFUNCTION("""COMPUTED_VALUE"""),"T98")</f>
        <v>T98</v>
      </c>
      <c r="C101" t="str">
        <f ca="1">IFERROR(__xludf.DUMMYFUNCTION("""COMPUTED_VALUE"""),"Danny Lee")</f>
        <v>Danny Lee</v>
      </c>
      <c r="D101">
        <f ca="1">IFERROR(__xludf.DUMMYFUNCTION("""COMPUTED_VALUE"""),15)</f>
        <v>15</v>
      </c>
      <c r="E101" t="str">
        <f ca="1">IFERROR(__xludf.DUMMYFUNCTION("""COMPUTED_VALUE"""),"2' 4""")</f>
        <v>2' 4"</v>
      </c>
      <c r="F101">
        <f ca="1">IFERROR(__xludf.DUMMYFUNCTION("""COMPUTED_VALUE"""),11.667)</f>
        <v>11.667</v>
      </c>
      <c r="G101">
        <f ca="1">IFERROR(__xludf.DUMMYFUNCTION("""COMPUTED_VALUE"""),5)</f>
        <v>5</v>
      </c>
      <c r="H101">
        <f ca="1">IFERROR(__xludf.DUMMYFUNCTION("""COMPUTED_VALUE"""),271)</f>
        <v>271</v>
      </c>
    </row>
    <row r="102" spans="1:8" ht="12.75">
      <c r="A102" t="str">
        <f ca="1">IFERROR(__xludf.DUMMYFUNCTION("""COMPUTED_VALUE"""),"T95")</f>
        <v>T95</v>
      </c>
      <c r="B102" t="str">
        <f ca="1">IFERROR(__xludf.DUMMYFUNCTION("""COMPUTED_VALUE"""),"T98")</f>
        <v>T98</v>
      </c>
      <c r="C102" t="str">
        <f ca="1">IFERROR(__xludf.DUMMYFUNCTION("""COMPUTED_VALUE"""),"Scott Stallings")</f>
        <v>Scott Stallings</v>
      </c>
      <c r="D102">
        <f ca="1">IFERROR(__xludf.DUMMYFUNCTION("""COMPUTED_VALUE"""),14)</f>
        <v>14</v>
      </c>
      <c r="E102" t="str">
        <f ca="1">IFERROR(__xludf.DUMMYFUNCTION("""COMPUTED_VALUE"""),"2' 4""")</f>
        <v>2' 4"</v>
      </c>
      <c r="F102">
        <f ca="1">IFERROR(__xludf.DUMMYFUNCTION("""COMPUTED_VALUE"""),9.417)</f>
        <v>9.4169999999999998</v>
      </c>
      <c r="G102">
        <f ca="1">IFERROR(__xludf.DUMMYFUNCTION("""COMPUTED_VALUE"""),4)</f>
        <v>4</v>
      </c>
      <c r="H102">
        <f ca="1">IFERROR(__xludf.DUMMYFUNCTION("""COMPUTED_VALUE"""),8)</f>
        <v>8</v>
      </c>
    </row>
    <row r="103" spans="1:8" ht="12.75">
      <c r="A103" t="str">
        <f ca="1">IFERROR(__xludf.DUMMYFUNCTION("""COMPUTED_VALUE"""),"T95")</f>
        <v>T95</v>
      </c>
      <c r="B103" t="str">
        <f ca="1">IFERROR(__xludf.DUMMYFUNCTION("""COMPUTED_VALUE"""),"T47")</f>
        <v>T47</v>
      </c>
      <c r="C103" t="str">
        <f ca="1">IFERROR(__xludf.DUMMYFUNCTION("""COMPUTED_VALUE"""),"Cameron Tringale")</f>
        <v>Cameron Tringale</v>
      </c>
      <c r="D103">
        <f ca="1">IFERROR(__xludf.DUMMYFUNCTION("""COMPUTED_VALUE"""),16)</f>
        <v>16</v>
      </c>
      <c r="E103" t="str">
        <f ca="1">IFERROR(__xludf.DUMMYFUNCTION("""COMPUTED_VALUE"""),"2' 4""")</f>
        <v>2' 4"</v>
      </c>
      <c r="F103">
        <f ca="1">IFERROR(__xludf.DUMMYFUNCTION("""COMPUTED_VALUE"""),16.25)</f>
        <v>16.25</v>
      </c>
      <c r="G103">
        <f ca="1">IFERROR(__xludf.DUMMYFUNCTION("""COMPUTED_VALUE"""),7)</f>
        <v>7</v>
      </c>
      <c r="H103">
        <f ca="1">IFERROR(__xludf.DUMMYFUNCTION("""COMPUTED_VALUE"""),192)</f>
        <v>192</v>
      </c>
    </row>
    <row r="104" spans="1:8" ht="12.75">
      <c r="A104" t="str">
        <f ca="1">IFERROR(__xludf.DUMMYFUNCTION("""COMPUTED_VALUE"""),"T95")</f>
        <v>T95</v>
      </c>
      <c r="B104" t="str">
        <f ca="1">IFERROR(__xludf.DUMMYFUNCTION("""COMPUTED_VALUE"""),"T98")</f>
        <v>T98</v>
      </c>
      <c r="C104" t="str">
        <f ca="1">IFERROR(__xludf.DUMMYFUNCTION("""COMPUTED_VALUE"""),"Thomas Pieters")</f>
        <v>Thomas Pieters</v>
      </c>
      <c r="D104">
        <f ca="1">IFERROR(__xludf.DUMMYFUNCTION("""COMPUTED_VALUE"""),4)</f>
        <v>4</v>
      </c>
      <c r="E104" t="str">
        <f ca="1">IFERROR(__xludf.DUMMYFUNCTION("""COMPUTED_VALUE"""),"2' 4""")</f>
        <v>2' 4"</v>
      </c>
      <c r="F104">
        <f ca="1">IFERROR(__xludf.DUMMYFUNCTION("""COMPUTED_VALUE"""),2.333)</f>
        <v>2.3330000000000002</v>
      </c>
      <c r="G104">
        <f ca="1">IFERROR(__xludf.DUMMYFUNCTION("""COMPUTED_VALUE"""),1)</f>
        <v>1</v>
      </c>
      <c r="H104">
        <f ca="1">IFERROR(__xludf.DUMMYFUNCTION("""COMPUTED_VALUE"""),235)</f>
        <v>235</v>
      </c>
    </row>
    <row r="105" spans="1:8" ht="12.75">
      <c r="A105" t="str">
        <f ca="1">IFERROR(__xludf.DUMMYFUNCTION("""COMPUTED_VALUE"""),"T95")</f>
        <v>T95</v>
      </c>
      <c r="B105" t="str">
        <f ca="1">IFERROR(__xludf.DUMMYFUNCTION("""COMPUTED_VALUE"""),"T106")</f>
        <v>T106</v>
      </c>
      <c r="C105" t="str">
        <f ca="1">IFERROR(__xludf.DUMMYFUNCTION("""COMPUTED_VALUE"""),"Hideki Matsuyama")</f>
        <v>Hideki Matsuyama</v>
      </c>
      <c r="D105">
        <f ca="1">IFERROR(__xludf.DUMMYFUNCTION("""COMPUTED_VALUE"""),18)</f>
        <v>18</v>
      </c>
      <c r="E105" t="str">
        <f ca="1">IFERROR(__xludf.DUMMYFUNCTION("""COMPUTED_VALUE"""),"2' 4""")</f>
        <v>2' 4"</v>
      </c>
      <c r="F105">
        <f ca="1">IFERROR(__xludf.DUMMYFUNCTION("""COMPUTED_VALUE"""),26)</f>
        <v>26</v>
      </c>
      <c r="G105">
        <f ca="1">IFERROR(__xludf.DUMMYFUNCTION("""COMPUTED_VALUE"""),11)</f>
        <v>11</v>
      </c>
      <c r="H105">
        <f ca="1">IFERROR(__xludf.DUMMYFUNCTION("""COMPUTED_VALUE"""),78)</f>
        <v>78</v>
      </c>
    </row>
    <row r="106" spans="1:8" ht="12.75">
      <c r="A106" t="str">
        <f ca="1">IFERROR(__xludf.DUMMYFUNCTION("""COMPUTED_VALUE"""),"T95")</f>
        <v>T95</v>
      </c>
      <c r="B106" t="str">
        <f ca="1">IFERROR(__xludf.DUMMYFUNCTION("""COMPUTED_VALUE"""),"T98")</f>
        <v>T98</v>
      </c>
      <c r="C106" t="str">
        <f ca="1">IFERROR(__xludf.DUMMYFUNCTION("""COMPUTED_VALUE"""),"Xinjun Zhang")</f>
        <v>Xinjun Zhang</v>
      </c>
      <c r="D106">
        <f ca="1">IFERROR(__xludf.DUMMYFUNCTION("""COMPUTED_VALUE"""),14)</f>
        <v>14</v>
      </c>
      <c r="E106" t="str">
        <f ca="1">IFERROR(__xludf.DUMMYFUNCTION("""COMPUTED_VALUE"""),"2' 4""")</f>
        <v>2' 4"</v>
      </c>
      <c r="F106">
        <f ca="1">IFERROR(__xludf.DUMMYFUNCTION("""COMPUTED_VALUE"""),13.917)</f>
        <v>13.917</v>
      </c>
      <c r="G106">
        <f ca="1">IFERROR(__xludf.DUMMYFUNCTION("""COMPUTED_VALUE"""),6)</f>
        <v>6</v>
      </c>
      <c r="H106">
        <f ca="1">IFERROR(__xludf.DUMMYFUNCTION("""COMPUTED_VALUE"""),31)</f>
        <v>31</v>
      </c>
    </row>
    <row r="107" spans="1:8" ht="12.75">
      <c r="A107" t="str">
        <f ca="1">IFERROR(__xludf.DUMMYFUNCTION("""COMPUTED_VALUE"""),"T106")</f>
        <v>T106</v>
      </c>
      <c r="B107" t="str">
        <f ca="1">IFERROR(__xludf.DUMMYFUNCTION("""COMPUTED_VALUE"""),"T150")</f>
        <v>T150</v>
      </c>
      <c r="C107" t="str">
        <f ca="1">IFERROR(__xludf.DUMMYFUNCTION("""COMPUTED_VALUE"""),"James Hahn")</f>
        <v>James Hahn</v>
      </c>
      <c r="D107">
        <f ca="1">IFERROR(__xludf.DUMMYFUNCTION("""COMPUTED_VALUE"""),16)</f>
        <v>16</v>
      </c>
      <c r="E107" t="str">
        <f ca="1">IFERROR(__xludf.DUMMYFUNCTION("""COMPUTED_VALUE"""),"2' 5""")</f>
        <v>2' 5"</v>
      </c>
      <c r="F107">
        <f ca="1">IFERROR(__xludf.DUMMYFUNCTION("""COMPUTED_VALUE"""),7.167)</f>
        <v>7.1669999999999998</v>
      </c>
      <c r="G107">
        <f ca="1">IFERROR(__xludf.DUMMYFUNCTION("""COMPUTED_VALUE"""),3)</f>
        <v>3</v>
      </c>
      <c r="H107">
        <f ca="1">IFERROR(__xludf.DUMMYFUNCTION("""COMPUTED_VALUE"""),87)</f>
        <v>87</v>
      </c>
    </row>
    <row r="108" spans="1:8" ht="12.75">
      <c r="A108" t="str">
        <f ca="1">IFERROR(__xludf.DUMMYFUNCTION("""COMPUTED_VALUE"""),"T106")</f>
        <v>T106</v>
      </c>
      <c r="B108" t="str">
        <f ca="1">IFERROR(__xludf.DUMMYFUNCTION("""COMPUTED_VALUE"""),"T106")</f>
        <v>T106</v>
      </c>
      <c r="C108" t="str">
        <f ca="1">IFERROR(__xludf.DUMMYFUNCTION("""COMPUTED_VALUE"""),"Rafael Campos")</f>
        <v>Rafael Campos</v>
      </c>
      <c r="D108">
        <f ca="1">IFERROR(__xludf.DUMMYFUNCTION("""COMPUTED_VALUE"""),6)</f>
        <v>6</v>
      </c>
      <c r="E108" t="str">
        <f ca="1">IFERROR(__xludf.DUMMYFUNCTION("""COMPUTED_VALUE"""),"2' 5""")</f>
        <v>2' 5"</v>
      </c>
      <c r="F108">
        <f ca="1">IFERROR(__xludf.DUMMYFUNCTION("""COMPUTED_VALUE"""),7.25)</f>
        <v>7.25</v>
      </c>
      <c r="G108">
        <f ca="1">IFERROR(__xludf.DUMMYFUNCTION("""COMPUTED_VALUE"""),3)</f>
        <v>3</v>
      </c>
      <c r="H108">
        <f ca="1">IFERROR(__xludf.DUMMYFUNCTION("""COMPUTED_VALUE"""),179)</f>
        <v>179</v>
      </c>
    </row>
    <row r="109" spans="1:8" ht="12.75">
      <c r="A109" t="str">
        <f ca="1">IFERROR(__xludf.DUMMYFUNCTION("""COMPUTED_VALUE"""),"T106")</f>
        <v>T106</v>
      </c>
      <c r="B109" t="str">
        <f ca="1">IFERROR(__xludf.DUMMYFUNCTION("""COMPUTED_VALUE"""),"T106")</f>
        <v>T106</v>
      </c>
      <c r="C109" t="str">
        <f ca="1">IFERROR(__xludf.DUMMYFUNCTION("""COMPUTED_VALUE"""),"Shane Lowry")</f>
        <v>Shane Lowry</v>
      </c>
      <c r="D109">
        <f ca="1">IFERROR(__xludf.DUMMYFUNCTION("""COMPUTED_VALUE"""),14)</f>
        <v>14</v>
      </c>
      <c r="E109" t="str">
        <f ca="1">IFERROR(__xludf.DUMMYFUNCTION("""COMPUTED_VALUE"""),"2' 5""")</f>
        <v>2' 5"</v>
      </c>
      <c r="F109">
        <f ca="1">IFERROR(__xludf.DUMMYFUNCTION("""COMPUTED_VALUE"""),24)</f>
        <v>24</v>
      </c>
      <c r="G109">
        <f ca="1">IFERROR(__xludf.DUMMYFUNCTION("""COMPUTED_VALUE"""),10)</f>
        <v>10</v>
      </c>
      <c r="H109">
        <f ca="1">IFERROR(__xludf.DUMMYFUNCTION("""COMPUTED_VALUE"""),221)</f>
        <v>221</v>
      </c>
    </row>
    <row r="110" spans="1:8" ht="12.75">
      <c r="A110" t="str">
        <f ca="1">IFERROR(__xludf.DUMMYFUNCTION("""COMPUTED_VALUE"""),"T106")</f>
        <v>T106</v>
      </c>
      <c r="B110" t="str">
        <f ca="1">IFERROR(__xludf.DUMMYFUNCTION("""COMPUTED_VALUE"""),"T41")</f>
        <v>T41</v>
      </c>
      <c r="C110" t="str">
        <f ca="1">IFERROR(__xludf.DUMMYFUNCTION("""COMPUTED_VALUE"""),"Scott Harrington")</f>
        <v>Scott Harrington</v>
      </c>
      <c r="D110">
        <f ca="1">IFERROR(__xludf.DUMMYFUNCTION("""COMPUTED_VALUE"""),18)</f>
        <v>18</v>
      </c>
      <c r="E110" t="str">
        <f ca="1">IFERROR(__xludf.DUMMYFUNCTION("""COMPUTED_VALUE"""),"2' 5""")</f>
        <v>2' 5"</v>
      </c>
      <c r="F110">
        <f ca="1">IFERROR(__xludf.DUMMYFUNCTION("""COMPUTED_VALUE"""),14.583)</f>
        <v>14.583</v>
      </c>
      <c r="G110">
        <f ca="1">IFERROR(__xludf.DUMMYFUNCTION("""COMPUTED_VALUE"""),6)</f>
        <v>6</v>
      </c>
      <c r="H110">
        <f ca="1">IFERROR(__xludf.DUMMYFUNCTION("""COMPUTED_VALUE"""),128)</f>
        <v>128</v>
      </c>
    </row>
    <row r="111" spans="1:8" ht="12.75">
      <c r="A111" t="str">
        <f ca="1">IFERROR(__xludf.DUMMYFUNCTION("""COMPUTED_VALUE"""),"T106")</f>
        <v>T106</v>
      </c>
      <c r="B111" t="str">
        <f ca="1">IFERROR(__xludf.DUMMYFUNCTION("""COMPUTED_VALUE"""),"T106")</f>
        <v>T106</v>
      </c>
      <c r="C111" t="str">
        <f ca="1">IFERROR(__xludf.DUMMYFUNCTION("""COMPUTED_VALUE"""),"Harry Higgs")</f>
        <v>Harry Higgs</v>
      </c>
      <c r="D111">
        <f ca="1">IFERROR(__xludf.DUMMYFUNCTION("""COMPUTED_VALUE"""),14)</f>
        <v>14</v>
      </c>
      <c r="E111" t="str">
        <f ca="1">IFERROR(__xludf.DUMMYFUNCTION("""COMPUTED_VALUE"""),"2' 5""")</f>
        <v>2' 5"</v>
      </c>
      <c r="F111">
        <f ca="1">IFERROR(__xludf.DUMMYFUNCTION("""COMPUTED_VALUE"""),9.75)</f>
        <v>9.75</v>
      </c>
      <c r="G111">
        <f ca="1">IFERROR(__xludf.DUMMYFUNCTION("""COMPUTED_VALUE"""),4)</f>
        <v>4</v>
      </c>
      <c r="H111">
        <f ca="1">IFERROR(__xludf.DUMMYFUNCTION("""COMPUTED_VALUE"""),69)</f>
        <v>69</v>
      </c>
    </row>
    <row r="112" spans="1:8" ht="12.75">
      <c r="A112" t="str">
        <f ca="1">IFERROR(__xludf.DUMMYFUNCTION("""COMPUTED_VALUE"""),"T106")</f>
        <v>T106</v>
      </c>
      <c r="B112" t="str">
        <f ca="1">IFERROR(__xludf.DUMMYFUNCTION("""COMPUTED_VALUE"""),"")</f>
        <v/>
      </c>
      <c r="C112" t="str">
        <f ca="1">IFERROR(__xludf.DUMMYFUNCTION("""COMPUTED_VALUE"""),"Martin Trainer")</f>
        <v>Martin Trainer</v>
      </c>
      <c r="D112">
        <f ca="1">IFERROR(__xludf.DUMMYFUNCTION("""COMPUTED_VALUE"""),10)</f>
        <v>10</v>
      </c>
      <c r="E112" t="str">
        <f ca="1">IFERROR(__xludf.DUMMYFUNCTION("""COMPUTED_VALUE"""),"2' 5""")</f>
        <v>2' 5"</v>
      </c>
      <c r="F112">
        <f ca="1">IFERROR(__xludf.DUMMYFUNCTION("""COMPUTED_VALUE"""),2.417)</f>
        <v>2.4169999999999998</v>
      </c>
      <c r="G112">
        <f ca="1">IFERROR(__xludf.DUMMYFUNCTION("""COMPUTED_VALUE"""),1)</f>
        <v>1</v>
      </c>
      <c r="H112">
        <f ca="1">IFERROR(__xludf.DUMMYFUNCTION("""COMPUTED_VALUE"""),247)</f>
        <v>247</v>
      </c>
    </row>
    <row r="113" spans="1:8" ht="12.75">
      <c r="A113" t="str">
        <f ca="1">IFERROR(__xludf.DUMMYFUNCTION("""COMPUTED_VALUE"""),"T112")</f>
        <v>T112</v>
      </c>
      <c r="B113" t="str">
        <f ca="1">IFERROR(__xludf.DUMMYFUNCTION("""COMPUTED_VALUE"""),"T111")</f>
        <v>T111</v>
      </c>
      <c r="C113" t="str">
        <f ca="1">IFERROR(__xludf.DUMMYFUNCTION("""COMPUTED_VALUE"""),"Romain Langasque")</f>
        <v>Romain Langasque</v>
      </c>
      <c r="D113">
        <f ca="1">IFERROR(__xludf.DUMMYFUNCTION("""COMPUTED_VALUE"""),4)</f>
        <v>4</v>
      </c>
      <c r="E113" t="str">
        <f ca="1">IFERROR(__xludf.DUMMYFUNCTION("""COMPUTED_VALUE"""),"2' 6""")</f>
        <v>2' 6"</v>
      </c>
      <c r="F113">
        <f ca="1">IFERROR(__xludf.DUMMYFUNCTION("""COMPUTED_VALUE"""),7.417)</f>
        <v>7.4169999999999998</v>
      </c>
      <c r="G113">
        <f ca="1">IFERROR(__xludf.DUMMYFUNCTION("""COMPUTED_VALUE"""),3)</f>
        <v>3</v>
      </c>
      <c r="H113">
        <f ca="1">IFERROR(__xludf.DUMMYFUNCTION("""COMPUTED_VALUE"""),224)</f>
        <v>224</v>
      </c>
    </row>
    <row r="114" spans="1:8" ht="12.75">
      <c r="A114" t="str">
        <f ca="1">IFERROR(__xludf.DUMMYFUNCTION("""COMPUTED_VALUE"""),"T112")</f>
        <v>T112</v>
      </c>
      <c r="B114" t="str">
        <f ca="1">IFERROR(__xludf.DUMMYFUNCTION("""COMPUTED_VALUE"""),"T111")</f>
        <v>T111</v>
      </c>
      <c r="C114" t="str">
        <f ca="1">IFERROR(__xludf.DUMMYFUNCTION("""COMPUTED_VALUE"""),"Denny McCarthy")</f>
        <v>Denny McCarthy</v>
      </c>
      <c r="D114">
        <f ca="1">IFERROR(__xludf.DUMMYFUNCTION("""COMPUTED_VALUE"""),22)</f>
        <v>22</v>
      </c>
      <c r="E114" t="str">
        <f ca="1">IFERROR(__xludf.DUMMYFUNCTION("""COMPUTED_VALUE"""),"2' 6""")</f>
        <v>2' 6"</v>
      </c>
      <c r="F114">
        <f ca="1">IFERROR(__xludf.DUMMYFUNCTION("""COMPUTED_VALUE"""),12.5)</f>
        <v>12.5</v>
      </c>
      <c r="G114">
        <f ca="1">IFERROR(__xludf.DUMMYFUNCTION("""COMPUTED_VALUE"""),5)</f>
        <v>5</v>
      </c>
      <c r="H114">
        <f ca="1">IFERROR(__xludf.DUMMYFUNCTION("""COMPUTED_VALUE"""),42)</f>
        <v>42</v>
      </c>
    </row>
    <row r="115" spans="1:8" ht="12.75">
      <c r="A115" t="str">
        <f ca="1">IFERROR(__xludf.DUMMYFUNCTION("""COMPUTED_VALUE"""),"T112")</f>
        <v>T112</v>
      </c>
      <c r="B115" t="str">
        <f ca="1">IFERROR(__xludf.DUMMYFUNCTION("""COMPUTED_VALUE"""),"T111")</f>
        <v>T111</v>
      </c>
      <c r="C115" t="str">
        <f ca="1">IFERROR(__xludf.DUMMYFUNCTION("""COMPUTED_VALUE"""),"Akshay Bhatia")</f>
        <v>Akshay Bhatia</v>
      </c>
      <c r="D115">
        <f ca="1">IFERROR(__xludf.DUMMYFUNCTION("""COMPUTED_VALUE"""),6)</f>
        <v>6</v>
      </c>
      <c r="E115" t="str">
        <f ca="1">IFERROR(__xludf.DUMMYFUNCTION("""COMPUTED_VALUE"""),"2' 6""")</f>
        <v>2' 6"</v>
      </c>
      <c r="F115">
        <f ca="1">IFERROR(__xludf.DUMMYFUNCTION("""COMPUTED_VALUE"""),4.917)</f>
        <v>4.9169999999999998</v>
      </c>
      <c r="G115">
        <f ca="1">IFERROR(__xludf.DUMMYFUNCTION("""COMPUTED_VALUE"""),2)</f>
        <v>2</v>
      </c>
      <c r="H115">
        <f ca="1">IFERROR(__xludf.DUMMYFUNCTION("""COMPUTED_VALUE"""),6)</f>
        <v>6</v>
      </c>
    </row>
    <row r="116" spans="1:8" ht="12.75">
      <c r="A116" t="str">
        <f ca="1">IFERROR(__xludf.DUMMYFUNCTION("""COMPUTED_VALUE"""),"T112")</f>
        <v>T112</v>
      </c>
      <c r="B116" t="str">
        <f ca="1">IFERROR(__xludf.DUMMYFUNCTION("""COMPUTED_VALUE"""),"T111")</f>
        <v>T111</v>
      </c>
      <c r="C116" t="str">
        <f ca="1">IFERROR(__xludf.DUMMYFUNCTION("""COMPUTED_VALUE"""),"Lucas Glover")</f>
        <v>Lucas Glover</v>
      </c>
      <c r="D116">
        <f ca="1">IFERROR(__xludf.DUMMYFUNCTION("""COMPUTED_VALUE"""),12)</f>
        <v>12</v>
      </c>
      <c r="E116" t="str">
        <f ca="1">IFERROR(__xludf.DUMMYFUNCTION("""COMPUTED_VALUE"""),"2' 6""")</f>
        <v>2' 6"</v>
      </c>
      <c r="F116">
        <f ca="1">IFERROR(__xludf.DUMMYFUNCTION("""COMPUTED_VALUE"""),7.583)</f>
        <v>7.5830000000000002</v>
      </c>
      <c r="G116">
        <f ca="1">IFERROR(__xludf.DUMMYFUNCTION("""COMPUTED_VALUE"""),3)</f>
        <v>3</v>
      </c>
      <c r="H116">
        <f ca="1">IFERROR(__xludf.DUMMYFUNCTION("""COMPUTED_VALUE"""),249)</f>
        <v>249</v>
      </c>
    </row>
    <row r="117" spans="1:8" ht="12.75">
      <c r="A117" t="str">
        <f ca="1">IFERROR(__xludf.DUMMYFUNCTION("""COMPUTED_VALUE"""),"T112")</f>
        <v>T112</v>
      </c>
      <c r="B117" t="str">
        <f ca="1">IFERROR(__xludf.DUMMYFUNCTION("""COMPUTED_VALUE"""),"")</f>
        <v/>
      </c>
      <c r="C117" t="str">
        <f ca="1">IFERROR(__xludf.DUMMYFUNCTION("""COMPUTED_VALUE"""),"Padraig Harrington")</f>
        <v>Padraig Harrington</v>
      </c>
      <c r="D117">
        <f ca="1">IFERROR(__xludf.DUMMYFUNCTION("""COMPUTED_VALUE"""),8)</f>
        <v>8</v>
      </c>
      <c r="E117" t="str">
        <f ca="1">IFERROR(__xludf.DUMMYFUNCTION("""COMPUTED_VALUE"""),"2' 6""")</f>
        <v>2' 6"</v>
      </c>
      <c r="F117">
        <f ca="1">IFERROR(__xludf.DUMMYFUNCTION("""COMPUTED_VALUE"""),2.5)</f>
        <v>2.5</v>
      </c>
      <c r="G117">
        <f ca="1">IFERROR(__xludf.DUMMYFUNCTION("""COMPUTED_VALUE"""),1)</f>
        <v>1</v>
      </c>
      <c r="H117">
        <f ca="1">IFERROR(__xludf.DUMMYFUNCTION("""COMPUTED_VALUE"""),102)</f>
        <v>102</v>
      </c>
    </row>
    <row r="118" spans="1:8" ht="12.75">
      <c r="A118" t="str">
        <f ca="1">IFERROR(__xludf.DUMMYFUNCTION("""COMPUTED_VALUE"""),"T112")</f>
        <v>T112</v>
      </c>
      <c r="B118" t="str">
        <f ca="1">IFERROR(__xludf.DUMMYFUNCTION("""COMPUTED_VALUE"""),"T111")</f>
        <v>T111</v>
      </c>
      <c r="C118" t="str">
        <f ca="1">IFERROR(__xludf.DUMMYFUNCTION("""COMPUTED_VALUE"""),"Brian Gay")</f>
        <v>Brian Gay</v>
      </c>
      <c r="D118">
        <f ca="1">IFERROR(__xludf.DUMMYFUNCTION("""COMPUTED_VALUE"""),8)</f>
        <v>8</v>
      </c>
      <c r="E118" t="str">
        <f ca="1">IFERROR(__xludf.DUMMYFUNCTION("""COMPUTED_VALUE"""),"2' 6""")</f>
        <v>2' 6"</v>
      </c>
      <c r="F118">
        <f ca="1">IFERROR(__xludf.DUMMYFUNCTION("""COMPUTED_VALUE"""),4.917)</f>
        <v>4.9169999999999998</v>
      </c>
      <c r="G118">
        <f ca="1">IFERROR(__xludf.DUMMYFUNCTION("""COMPUTED_VALUE"""),2)</f>
        <v>2</v>
      </c>
      <c r="H118">
        <f ca="1">IFERROR(__xludf.DUMMYFUNCTION("""COMPUTED_VALUE"""),181)</f>
        <v>181</v>
      </c>
    </row>
    <row r="119" spans="1:8" ht="12.75">
      <c r="A119" t="str">
        <f ca="1">IFERROR(__xludf.DUMMYFUNCTION("""COMPUTED_VALUE"""),"T112")</f>
        <v>T112</v>
      </c>
      <c r="B119" t="str">
        <f ca="1">IFERROR(__xludf.DUMMYFUNCTION("""COMPUTED_VALUE"""),"T111")</f>
        <v>T111</v>
      </c>
      <c r="C119" t="str">
        <f ca="1">IFERROR(__xludf.DUMMYFUNCTION("""COMPUTED_VALUE"""),"Russell Knox")</f>
        <v>Russell Knox</v>
      </c>
      <c r="D119">
        <f ca="1">IFERROR(__xludf.DUMMYFUNCTION("""COMPUTED_VALUE"""),16)</f>
        <v>16</v>
      </c>
      <c r="E119" t="str">
        <f ca="1">IFERROR(__xludf.DUMMYFUNCTION("""COMPUTED_VALUE"""),"2' 6""")</f>
        <v>2' 6"</v>
      </c>
      <c r="F119">
        <f ca="1">IFERROR(__xludf.DUMMYFUNCTION("""COMPUTED_VALUE"""),12.333)</f>
        <v>12.333</v>
      </c>
      <c r="G119">
        <f ca="1">IFERROR(__xludf.DUMMYFUNCTION("""COMPUTED_VALUE"""),5)</f>
        <v>5</v>
      </c>
      <c r="H119">
        <f ca="1">IFERROR(__xludf.DUMMYFUNCTION("""COMPUTED_VALUE"""),42)</f>
        <v>42</v>
      </c>
    </row>
    <row r="120" spans="1:8" ht="12.75">
      <c r="A120" t="str">
        <f ca="1">IFERROR(__xludf.DUMMYFUNCTION("""COMPUTED_VALUE"""),"T112")</f>
        <v>T112</v>
      </c>
      <c r="B120" t="str">
        <f ca="1">IFERROR(__xludf.DUMMYFUNCTION("""COMPUTED_VALUE"""),"T111")</f>
        <v>T111</v>
      </c>
      <c r="C120" t="str">
        <f ca="1">IFERROR(__xludf.DUMMYFUNCTION("""COMPUTED_VALUE"""),"Kyoung-Hoon Lee")</f>
        <v>Kyoung-Hoon Lee</v>
      </c>
      <c r="D120">
        <f ca="1">IFERROR(__xludf.DUMMYFUNCTION("""COMPUTED_VALUE"""),20)</f>
        <v>20</v>
      </c>
      <c r="E120" t="str">
        <f ca="1">IFERROR(__xludf.DUMMYFUNCTION("""COMPUTED_VALUE"""),"2' 6""")</f>
        <v>2' 6"</v>
      </c>
      <c r="F120">
        <f ca="1">IFERROR(__xludf.DUMMYFUNCTION("""COMPUTED_VALUE"""),32)</f>
        <v>32</v>
      </c>
      <c r="G120">
        <f ca="1">IFERROR(__xludf.DUMMYFUNCTION("""COMPUTED_VALUE"""),13)</f>
        <v>13</v>
      </c>
      <c r="H120">
        <f ca="1">IFERROR(__xludf.DUMMYFUNCTION("""COMPUTED_VALUE"""),119)</f>
        <v>119</v>
      </c>
    </row>
    <row r="121" spans="1:8" ht="12.75">
      <c r="A121" t="str">
        <f ca="1">IFERROR(__xludf.DUMMYFUNCTION("""COMPUTED_VALUE"""),"T120")</f>
        <v>T120</v>
      </c>
      <c r="B121" t="str">
        <f ca="1">IFERROR(__xludf.DUMMYFUNCTION("""COMPUTED_VALUE"""),"T180")</f>
        <v>T180</v>
      </c>
      <c r="C121" t="str">
        <f ca="1">IFERROR(__xludf.DUMMYFUNCTION("""COMPUTED_VALUE"""),"Patton Kizzire")</f>
        <v>Patton Kizzire</v>
      </c>
      <c r="D121">
        <f ca="1">IFERROR(__xludf.DUMMYFUNCTION("""COMPUTED_VALUE"""),18)</f>
        <v>18</v>
      </c>
      <c r="E121" t="str">
        <f ca="1">IFERROR(__xludf.DUMMYFUNCTION("""COMPUTED_VALUE"""),"2' 7""")</f>
        <v>2' 7"</v>
      </c>
      <c r="F121">
        <f ca="1">IFERROR(__xludf.DUMMYFUNCTION("""COMPUTED_VALUE"""),13.083)</f>
        <v>13.083</v>
      </c>
      <c r="G121">
        <f ca="1">IFERROR(__xludf.DUMMYFUNCTION("""COMPUTED_VALUE"""),5)</f>
        <v>5</v>
      </c>
      <c r="H121">
        <f ca="1">IFERROR(__xludf.DUMMYFUNCTION("""COMPUTED_VALUE"""),177)</f>
        <v>177</v>
      </c>
    </row>
    <row r="122" spans="1:8" ht="12.75">
      <c r="A122" t="str">
        <f ca="1">IFERROR(__xludf.DUMMYFUNCTION("""COMPUTED_VALUE"""),"T120")</f>
        <v>T120</v>
      </c>
      <c r="B122" t="str">
        <f ca="1">IFERROR(__xludf.DUMMYFUNCTION("""COMPUTED_VALUE"""),"T132")</f>
        <v>T132</v>
      </c>
      <c r="C122" t="str">
        <f ca="1">IFERROR(__xludf.DUMMYFUNCTION("""COMPUTED_VALUE"""),"Michael Thompson")</f>
        <v>Michael Thompson</v>
      </c>
      <c r="D122">
        <f ca="1">IFERROR(__xludf.DUMMYFUNCTION("""COMPUTED_VALUE"""),16)</f>
        <v>16</v>
      </c>
      <c r="E122" t="str">
        <f ca="1">IFERROR(__xludf.DUMMYFUNCTION("""COMPUTED_VALUE"""),"2' 7""")</f>
        <v>2' 7"</v>
      </c>
      <c r="F122">
        <f ca="1">IFERROR(__xludf.DUMMYFUNCTION("""COMPUTED_VALUE"""),28.833)</f>
        <v>28.832999999999998</v>
      </c>
      <c r="G122">
        <f ca="1">IFERROR(__xludf.DUMMYFUNCTION("""COMPUTED_VALUE"""),11)</f>
        <v>11</v>
      </c>
      <c r="H122">
        <f ca="1">IFERROR(__xludf.DUMMYFUNCTION("""COMPUTED_VALUE"""),244)</f>
        <v>244</v>
      </c>
    </row>
    <row r="123" spans="1:8" ht="12.75">
      <c r="A123" t="str">
        <f ca="1">IFERROR(__xludf.DUMMYFUNCTION("""COMPUTED_VALUE"""),"T120")</f>
        <v>T120</v>
      </c>
      <c r="B123" t="str">
        <f ca="1">IFERROR(__xludf.DUMMYFUNCTION("""COMPUTED_VALUE"""),"T120")</f>
        <v>T120</v>
      </c>
      <c r="C123" t="str">
        <f ca="1">IFERROR(__xludf.DUMMYFUNCTION("""COMPUTED_VALUE"""),"Tony Finau")</f>
        <v>Tony Finau</v>
      </c>
      <c r="D123">
        <f ca="1">IFERROR(__xludf.DUMMYFUNCTION("""COMPUTED_VALUE"""),12)</f>
        <v>12</v>
      </c>
      <c r="E123" t="str">
        <f ca="1">IFERROR(__xludf.DUMMYFUNCTION("""COMPUTED_VALUE"""),"2' 7""")</f>
        <v>2' 7"</v>
      </c>
      <c r="F123">
        <f ca="1">IFERROR(__xludf.DUMMYFUNCTION("""COMPUTED_VALUE"""),7.833)</f>
        <v>7.8330000000000002</v>
      </c>
      <c r="G123">
        <f ca="1">IFERROR(__xludf.DUMMYFUNCTION("""COMPUTED_VALUE"""),3)</f>
        <v>3</v>
      </c>
      <c r="H123">
        <f ca="1">IFERROR(__xludf.DUMMYFUNCTION("""COMPUTED_VALUE"""),227)</f>
        <v>227</v>
      </c>
    </row>
    <row r="124" spans="1:8" ht="12.75">
      <c r="A124" t="str">
        <f ca="1">IFERROR(__xludf.DUMMYFUNCTION("""COMPUTED_VALUE"""),"T120")</f>
        <v>T120</v>
      </c>
      <c r="B124" t="str">
        <f ca="1">IFERROR(__xludf.DUMMYFUNCTION("""COMPUTED_VALUE"""),"T120")</f>
        <v>T120</v>
      </c>
      <c r="C124" t="str">
        <f ca="1">IFERROR(__xludf.DUMMYFUNCTION("""COMPUTED_VALUE"""),"David Hearn")</f>
        <v>David Hearn</v>
      </c>
      <c r="D124">
        <f ca="1">IFERROR(__xludf.DUMMYFUNCTION("""COMPUTED_VALUE"""),16)</f>
        <v>16</v>
      </c>
      <c r="E124" t="str">
        <f ca="1">IFERROR(__xludf.DUMMYFUNCTION("""COMPUTED_VALUE"""),"2' 7""")</f>
        <v>2' 7"</v>
      </c>
      <c r="F124">
        <f ca="1">IFERROR(__xludf.DUMMYFUNCTION("""COMPUTED_VALUE"""),7.833)</f>
        <v>7.8330000000000002</v>
      </c>
      <c r="G124">
        <f ca="1">IFERROR(__xludf.DUMMYFUNCTION("""COMPUTED_VALUE"""),3)</f>
        <v>3</v>
      </c>
      <c r="H124">
        <f ca="1">IFERROR(__xludf.DUMMYFUNCTION("""COMPUTED_VALUE"""),71)</f>
        <v>71</v>
      </c>
    </row>
    <row r="125" spans="1:8" ht="12.75">
      <c r="A125" t="str">
        <f ca="1">IFERROR(__xludf.DUMMYFUNCTION("""COMPUTED_VALUE"""),"T120")</f>
        <v>T120</v>
      </c>
      <c r="B125" t="str">
        <f ca="1">IFERROR(__xludf.DUMMYFUNCTION("""COMPUTED_VALUE"""),"T28")</f>
        <v>T28</v>
      </c>
      <c r="C125" t="str">
        <f ca="1">IFERROR(__xludf.DUMMYFUNCTION("""COMPUTED_VALUE"""),"Kristoffer Ventura")</f>
        <v>Kristoffer Ventura</v>
      </c>
      <c r="D125">
        <f ca="1">IFERROR(__xludf.DUMMYFUNCTION("""COMPUTED_VALUE"""),20)</f>
        <v>20</v>
      </c>
      <c r="E125" t="str">
        <f ca="1">IFERROR(__xludf.DUMMYFUNCTION("""COMPUTED_VALUE"""),"2' 7""")</f>
        <v>2' 7"</v>
      </c>
      <c r="F125">
        <f ca="1">IFERROR(__xludf.DUMMYFUNCTION("""COMPUTED_VALUE"""),15.667)</f>
        <v>15.667</v>
      </c>
      <c r="G125">
        <f ca="1">IFERROR(__xludf.DUMMYFUNCTION("""COMPUTED_VALUE"""),6)</f>
        <v>6</v>
      </c>
      <c r="H125">
        <f ca="1">IFERROR(__xludf.DUMMYFUNCTION("""COMPUTED_VALUE"""),116)</f>
        <v>116</v>
      </c>
    </row>
    <row r="126" spans="1:8" ht="12.75">
      <c r="A126" t="str">
        <f ca="1">IFERROR(__xludf.DUMMYFUNCTION("""COMPUTED_VALUE"""),"T120")</f>
        <v>T120</v>
      </c>
      <c r="B126" t="str">
        <f ca="1">IFERROR(__xludf.DUMMYFUNCTION("""COMPUTED_VALUE"""),"T120")</f>
        <v>T120</v>
      </c>
      <c r="C126" t="str">
        <f ca="1">IFERROR(__xludf.DUMMYFUNCTION("""COMPUTED_VALUE"""),"Byeong Hun An")</f>
        <v>Byeong Hun An</v>
      </c>
      <c r="D126">
        <f ca="1">IFERROR(__xludf.DUMMYFUNCTION("""COMPUTED_VALUE"""),14)</f>
        <v>14</v>
      </c>
      <c r="E126" t="str">
        <f ca="1">IFERROR(__xludf.DUMMYFUNCTION("""COMPUTED_VALUE"""),"2' 7""")</f>
        <v>2' 7"</v>
      </c>
      <c r="F126">
        <f ca="1">IFERROR(__xludf.DUMMYFUNCTION("""COMPUTED_VALUE"""),25.5)</f>
        <v>25.5</v>
      </c>
      <c r="G126">
        <f ca="1">IFERROR(__xludf.DUMMYFUNCTION("""COMPUTED_VALUE"""),10)</f>
        <v>10</v>
      </c>
      <c r="H126">
        <f ca="1">IFERROR(__xludf.DUMMYFUNCTION("""COMPUTED_VALUE"""),67)</f>
        <v>67</v>
      </c>
    </row>
    <row r="127" spans="1:8" ht="12.75">
      <c r="A127" t="str">
        <f ca="1">IFERROR(__xludf.DUMMYFUNCTION("""COMPUTED_VALUE"""),"T126")</f>
        <v>T126</v>
      </c>
      <c r="B127" t="str">
        <f ca="1">IFERROR(__xludf.DUMMYFUNCTION("""COMPUTED_VALUE"""),"T88")</f>
        <v>T88</v>
      </c>
      <c r="C127" t="str">
        <f ca="1">IFERROR(__xludf.DUMMYFUNCTION("""COMPUTED_VALUE"""),"Jordan Spieth")</f>
        <v>Jordan Spieth</v>
      </c>
      <c r="D127">
        <f ca="1">IFERROR(__xludf.DUMMYFUNCTION("""COMPUTED_VALUE"""),14)</f>
        <v>14</v>
      </c>
      <c r="E127" t="str">
        <f ca="1">IFERROR(__xludf.DUMMYFUNCTION("""COMPUTED_VALUE"""),"2' 8""")</f>
        <v>2' 8"</v>
      </c>
      <c r="F127">
        <f ca="1">IFERROR(__xludf.DUMMYFUNCTION("""COMPUTED_VALUE"""),10.75)</f>
        <v>10.75</v>
      </c>
      <c r="G127">
        <f ca="1">IFERROR(__xludf.DUMMYFUNCTION("""COMPUTED_VALUE"""),4)</f>
        <v>4</v>
      </c>
      <c r="H127">
        <f ca="1">IFERROR(__xludf.DUMMYFUNCTION("""COMPUTED_VALUE"""),177)</f>
        <v>177</v>
      </c>
    </row>
    <row r="128" spans="1:8" ht="12.75">
      <c r="A128" t="str">
        <f ca="1">IFERROR(__xludf.DUMMYFUNCTION("""COMPUTED_VALUE"""),"T126")</f>
        <v>T126</v>
      </c>
      <c r="B128" t="str">
        <f ca="1">IFERROR(__xludf.DUMMYFUNCTION("""COMPUTED_VALUE"""),"T125")</f>
        <v>T125</v>
      </c>
      <c r="C128" t="str">
        <f ca="1">IFERROR(__xludf.DUMMYFUNCTION("""COMPUTED_VALUE"""),"Harris English")</f>
        <v>Harris English</v>
      </c>
      <c r="D128">
        <f ca="1">IFERROR(__xludf.DUMMYFUNCTION("""COMPUTED_VALUE"""),14)</f>
        <v>14</v>
      </c>
      <c r="E128" t="str">
        <f ca="1">IFERROR(__xludf.DUMMYFUNCTION("""COMPUTED_VALUE"""),"2' 8""")</f>
        <v>2' 8"</v>
      </c>
      <c r="F128">
        <f ca="1">IFERROR(__xludf.DUMMYFUNCTION("""COMPUTED_VALUE"""),31.667)</f>
        <v>31.667000000000002</v>
      </c>
      <c r="G128">
        <f ca="1">IFERROR(__xludf.DUMMYFUNCTION("""COMPUTED_VALUE"""),12)</f>
        <v>12</v>
      </c>
      <c r="H128">
        <f ca="1">IFERROR(__xludf.DUMMYFUNCTION("""COMPUTED_VALUE"""),49)</f>
        <v>49</v>
      </c>
    </row>
    <row r="129" spans="1:8" ht="12.75">
      <c r="A129" t="str">
        <f ca="1">IFERROR(__xludf.DUMMYFUNCTION("""COMPUTED_VALUE"""),"T126")</f>
        <v>T126</v>
      </c>
      <c r="B129" t="str">
        <f ca="1">IFERROR(__xludf.DUMMYFUNCTION("""COMPUTED_VALUE"""),"T92")</f>
        <v>T92</v>
      </c>
      <c r="C129" t="str">
        <f ca="1">IFERROR(__xludf.DUMMYFUNCTION("""COMPUTED_VALUE"""),"Talor Gooch")</f>
        <v>Talor Gooch</v>
      </c>
      <c r="D129">
        <f ca="1">IFERROR(__xludf.DUMMYFUNCTION("""COMPUTED_VALUE"""),20)</f>
        <v>20</v>
      </c>
      <c r="E129" t="str">
        <f ca="1">IFERROR(__xludf.DUMMYFUNCTION("""COMPUTED_VALUE"""),"2' 8""")</f>
        <v>2' 8"</v>
      </c>
      <c r="F129">
        <f ca="1">IFERROR(__xludf.DUMMYFUNCTION("""COMPUTED_VALUE"""),26.5)</f>
        <v>26.5</v>
      </c>
      <c r="G129">
        <f ca="1">IFERROR(__xludf.DUMMYFUNCTION("""COMPUTED_VALUE"""),10)</f>
        <v>10</v>
      </c>
      <c r="H129">
        <f ca="1">IFERROR(__xludf.DUMMYFUNCTION("""COMPUTED_VALUE"""),9)</f>
        <v>9</v>
      </c>
    </row>
    <row r="130" spans="1:8" ht="12.75">
      <c r="A130" t="str">
        <f ca="1">IFERROR(__xludf.DUMMYFUNCTION("""COMPUTED_VALUE"""),"T126")</f>
        <v>T126</v>
      </c>
      <c r="B130" t="str">
        <f ca="1">IFERROR(__xludf.DUMMYFUNCTION("""COMPUTED_VALUE"""),"T125")</f>
        <v>T125</v>
      </c>
      <c r="C130" t="str">
        <f ca="1">IFERROR(__xludf.DUMMYFUNCTION("""COMPUTED_VALUE"""),"Cameron Champ")</f>
        <v>Cameron Champ</v>
      </c>
      <c r="D130">
        <f ca="1">IFERROR(__xludf.DUMMYFUNCTION("""COMPUTED_VALUE"""),12)</f>
        <v>12</v>
      </c>
      <c r="E130" t="str">
        <f ca="1">IFERROR(__xludf.DUMMYFUNCTION("""COMPUTED_VALUE"""),"2' 8""")</f>
        <v>2' 8"</v>
      </c>
      <c r="F130">
        <f ca="1">IFERROR(__xludf.DUMMYFUNCTION("""COMPUTED_VALUE"""),24.083)</f>
        <v>24.082999999999998</v>
      </c>
      <c r="G130">
        <f ca="1">IFERROR(__xludf.DUMMYFUNCTION("""COMPUTED_VALUE"""),9)</f>
        <v>9</v>
      </c>
      <c r="H130">
        <f ca="1">IFERROR(__xludf.DUMMYFUNCTION("""COMPUTED_VALUE"""),150)</f>
        <v>150</v>
      </c>
    </row>
    <row r="131" spans="1:8" ht="12.75">
      <c r="A131" t="str">
        <f ca="1">IFERROR(__xludf.DUMMYFUNCTION("""COMPUTED_VALUE"""),"T126")</f>
        <v>T126</v>
      </c>
      <c r="B131" t="str">
        <f ca="1">IFERROR(__xludf.DUMMYFUNCTION("""COMPUTED_VALUE"""),"T136")</f>
        <v>T136</v>
      </c>
      <c r="C131" t="str">
        <f ca="1">IFERROR(__xludf.DUMMYFUNCTION("""COMPUTED_VALUE"""),"Doc Redman")</f>
        <v>Doc Redman</v>
      </c>
      <c r="D131">
        <f ca="1">IFERROR(__xludf.DUMMYFUNCTION("""COMPUTED_VALUE"""),18)</f>
        <v>18</v>
      </c>
      <c r="E131" t="str">
        <f ca="1">IFERROR(__xludf.DUMMYFUNCTION("""COMPUTED_VALUE"""),"2' 8""")</f>
        <v>2' 8"</v>
      </c>
      <c r="F131">
        <f ca="1">IFERROR(__xludf.DUMMYFUNCTION("""COMPUTED_VALUE"""),32.25)</f>
        <v>32.25</v>
      </c>
      <c r="G131">
        <f ca="1">IFERROR(__xludf.DUMMYFUNCTION("""COMPUTED_VALUE"""),12)</f>
        <v>12</v>
      </c>
      <c r="H131">
        <f ca="1">IFERROR(__xludf.DUMMYFUNCTION("""COMPUTED_VALUE"""),55)</f>
        <v>55</v>
      </c>
    </row>
    <row r="132" spans="1:8" ht="12.75">
      <c r="A132" t="str">
        <f ca="1">IFERROR(__xludf.DUMMYFUNCTION("""COMPUTED_VALUE"""),"T126")</f>
        <v>T126</v>
      </c>
      <c r="B132" t="str">
        <f ca="1">IFERROR(__xludf.DUMMYFUNCTION("""COMPUTED_VALUE"""),"T62")</f>
        <v>T62</v>
      </c>
      <c r="C132" t="str">
        <f ca="1">IFERROR(__xludf.DUMMYFUNCTION("""COMPUTED_VALUE"""),"Scott Piercy")</f>
        <v>Scott Piercy</v>
      </c>
      <c r="D132">
        <f ca="1">IFERROR(__xludf.DUMMYFUNCTION("""COMPUTED_VALUE"""),18)</f>
        <v>18</v>
      </c>
      <c r="E132" t="str">
        <f ca="1">IFERROR(__xludf.DUMMYFUNCTION("""COMPUTED_VALUE"""),"2' 8""")</f>
        <v>2' 8"</v>
      </c>
      <c r="F132">
        <f ca="1">IFERROR(__xludf.DUMMYFUNCTION("""COMPUTED_VALUE"""),13.417)</f>
        <v>13.417</v>
      </c>
      <c r="G132">
        <f ca="1">IFERROR(__xludf.DUMMYFUNCTION("""COMPUTED_VALUE"""),5)</f>
        <v>5</v>
      </c>
      <c r="H132">
        <f ca="1">IFERROR(__xludf.DUMMYFUNCTION("""COMPUTED_VALUE"""),62)</f>
        <v>62</v>
      </c>
    </row>
    <row r="133" spans="1:8" ht="12.75">
      <c r="A133" t="str">
        <f ca="1">IFERROR(__xludf.DUMMYFUNCTION("""COMPUTED_VALUE"""),"T126")</f>
        <v>T126</v>
      </c>
      <c r="B133" t="str">
        <f ca="1">IFERROR(__xludf.DUMMYFUNCTION("""COMPUTED_VALUE"""),"T125")</f>
        <v>T125</v>
      </c>
      <c r="C133" t="str">
        <f ca="1">IFERROR(__xludf.DUMMYFUNCTION("""COMPUTED_VALUE"""),"Rafa Cabrera Bello")</f>
        <v>Rafa Cabrera Bello</v>
      </c>
      <c r="D133">
        <f ca="1">IFERROR(__xludf.DUMMYFUNCTION("""COMPUTED_VALUE"""),14)</f>
        <v>14</v>
      </c>
      <c r="E133" t="str">
        <f ca="1">IFERROR(__xludf.DUMMYFUNCTION("""COMPUTED_VALUE"""),"2' 8""")</f>
        <v>2' 8"</v>
      </c>
      <c r="F133">
        <f ca="1">IFERROR(__xludf.DUMMYFUNCTION("""COMPUTED_VALUE"""),18.417)</f>
        <v>18.417000000000002</v>
      </c>
      <c r="G133">
        <f ca="1">IFERROR(__xludf.DUMMYFUNCTION("""COMPUTED_VALUE"""),7)</f>
        <v>7</v>
      </c>
      <c r="H133">
        <f ca="1">IFERROR(__xludf.DUMMYFUNCTION("""COMPUTED_VALUE"""),234)</f>
        <v>234</v>
      </c>
    </row>
    <row r="134" spans="1:8" ht="12.75">
      <c r="A134" t="str">
        <f ca="1">IFERROR(__xludf.DUMMYFUNCTION("""COMPUTED_VALUE"""),"T126")</f>
        <v>T126</v>
      </c>
      <c r="B134" t="str">
        <f ca="1">IFERROR(__xludf.DUMMYFUNCTION("""COMPUTED_VALUE"""),"T125")</f>
        <v>T125</v>
      </c>
      <c r="C134" t="str">
        <f ca="1">IFERROR(__xludf.DUMMYFUNCTION("""COMPUTED_VALUE"""),"Ryan Palmer")</f>
        <v>Ryan Palmer</v>
      </c>
      <c r="D134">
        <f ca="1">IFERROR(__xludf.DUMMYFUNCTION("""COMPUTED_VALUE"""),14)</f>
        <v>14</v>
      </c>
      <c r="E134" t="str">
        <f ca="1">IFERROR(__xludf.DUMMYFUNCTION("""COMPUTED_VALUE"""),"2' 8""")</f>
        <v>2' 8"</v>
      </c>
      <c r="F134">
        <f ca="1">IFERROR(__xludf.DUMMYFUNCTION("""COMPUTED_VALUE"""),13.167)</f>
        <v>13.167</v>
      </c>
      <c r="G134">
        <f ca="1">IFERROR(__xludf.DUMMYFUNCTION("""COMPUTED_VALUE"""),5)</f>
        <v>5</v>
      </c>
      <c r="H134">
        <f ca="1">IFERROR(__xludf.DUMMYFUNCTION("""COMPUTED_VALUE"""),171)</f>
        <v>171</v>
      </c>
    </row>
    <row r="135" spans="1:8" ht="12.75">
      <c r="A135" t="str">
        <f ca="1">IFERROR(__xludf.DUMMYFUNCTION("""COMPUTED_VALUE"""),"T126")</f>
        <v>T126</v>
      </c>
      <c r="B135" t="str">
        <f ca="1">IFERROR(__xludf.DUMMYFUNCTION("""COMPUTED_VALUE"""),"T125")</f>
        <v>T125</v>
      </c>
      <c r="C135" t="str">
        <f ca="1">IFERROR(__xludf.DUMMYFUNCTION("""COMPUTED_VALUE"""),"Rory McIlroy")</f>
        <v>Rory McIlroy</v>
      </c>
      <c r="D135">
        <f ca="1">IFERROR(__xludf.DUMMYFUNCTION("""COMPUTED_VALUE"""),12)</f>
        <v>12</v>
      </c>
      <c r="E135" t="str">
        <f ca="1">IFERROR(__xludf.DUMMYFUNCTION("""COMPUTED_VALUE"""),"2' 8""")</f>
        <v>2' 8"</v>
      </c>
      <c r="F135">
        <f ca="1">IFERROR(__xludf.DUMMYFUNCTION("""COMPUTED_VALUE"""),21.583)</f>
        <v>21.582999999999998</v>
      </c>
      <c r="G135">
        <f ca="1">IFERROR(__xludf.DUMMYFUNCTION("""COMPUTED_VALUE"""),8)</f>
        <v>8</v>
      </c>
      <c r="H135">
        <f ca="1">IFERROR(__xludf.DUMMYFUNCTION("""COMPUTED_VALUE"""),228)</f>
        <v>228</v>
      </c>
    </row>
    <row r="136" spans="1:8" ht="12.75">
      <c r="A136" t="str">
        <f ca="1">IFERROR(__xludf.DUMMYFUNCTION("""COMPUTED_VALUE"""),"T126")</f>
        <v>T126</v>
      </c>
      <c r="B136" t="str">
        <f ca="1">IFERROR(__xludf.DUMMYFUNCTION("""COMPUTED_VALUE"""),"T125")</f>
        <v>T125</v>
      </c>
      <c r="C136" t="str">
        <f ca="1">IFERROR(__xludf.DUMMYFUNCTION("""COMPUTED_VALUE"""),"Rob Oppenheim")</f>
        <v>Rob Oppenheim</v>
      </c>
      <c r="D136">
        <f ca="1">IFERROR(__xludf.DUMMYFUNCTION("""COMPUTED_VALUE"""),16)</f>
        <v>16</v>
      </c>
      <c r="E136" t="str">
        <f ca="1">IFERROR(__xludf.DUMMYFUNCTION("""COMPUTED_VALUE"""),"2' 8""")</f>
        <v>2' 8"</v>
      </c>
      <c r="F136">
        <f ca="1">IFERROR(__xludf.DUMMYFUNCTION("""COMPUTED_VALUE"""),10.667)</f>
        <v>10.667</v>
      </c>
      <c r="G136">
        <f ca="1">IFERROR(__xludf.DUMMYFUNCTION("""COMPUTED_VALUE"""),4)</f>
        <v>4</v>
      </c>
      <c r="H136">
        <f ca="1">IFERROR(__xludf.DUMMYFUNCTION("""COMPUTED_VALUE"""),58)</f>
        <v>58</v>
      </c>
    </row>
    <row r="137" spans="1:8" ht="12.75">
      <c r="A137" t="str">
        <f ca="1">IFERROR(__xludf.DUMMYFUNCTION("""COMPUTED_VALUE"""),"T136")</f>
        <v>T136</v>
      </c>
      <c r="B137" t="str">
        <f ca="1">IFERROR(__xludf.DUMMYFUNCTION("""COMPUTED_VALUE"""),"T132")</f>
        <v>T132</v>
      </c>
      <c r="C137" t="str">
        <f ca="1">IFERROR(__xludf.DUMMYFUNCTION("""COMPUTED_VALUE"""),"Brendon Todd")</f>
        <v>Brendon Todd</v>
      </c>
      <c r="D137">
        <f ca="1">IFERROR(__xludf.DUMMYFUNCTION("""COMPUTED_VALUE"""),14)</f>
        <v>14</v>
      </c>
      <c r="E137" t="str">
        <f ca="1">IFERROR(__xludf.DUMMYFUNCTION("""COMPUTED_VALUE"""),"2' 9""")</f>
        <v>2' 9"</v>
      </c>
      <c r="F137">
        <f ca="1">IFERROR(__xludf.DUMMYFUNCTION("""COMPUTED_VALUE"""),8.333)</f>
        <v>8.3330000000000002</v>
      </c>
      <c r="G137">
        <f ca="1">IFERROR(__xludf.DUMMYFUNCTION("""COMPUTED_VALUE"""),3)</f>
        <v>3</v>
      </c>
      <c r="H137">
        <f ca="1">IFERROR(__xludf.DUMMYFUNCTION("""COMPUTED_VALUE"""),206)</f>
        <v>206</v>
      </c>
    </row>
    <row r="138" spans="1:8" ht="12.75">
      <c r="A138" t="str">
        <f ca="1">IFERROR(__xludf.DUMMYFUNCTION("""COMPUTED_VALUE"""),"T136")</f>
        <v>T136</v>
      </c>
      <c r="B138" t="str">
        <f ca="1">IFERROR(__xludf.DUMMYFUNCTION("""COMPUTED_VALUE"""),"T136")</f>
        <v>T136</v>
      </c>
      <c r="C138" t="str">
        <f ca="1">IFERROR(__xludf.DUMMYFUNCTION("""COMPUTED_VALUE"""),"J.T. Poston")</f>
        <v>J.T. Poston</v>
      </c>
      <c r="D138">
        <f ca="1">IFERROR(__xludf.DUMMYFUNCTION("""COMPUTED_VALUE"""),18)</f>
        <v>18</v>
      </c>
      <c r="E138" t="str">
        <f ca="1">IFERROR(__xludf.DUMMYFUNCTION("""COMPUTED_VALUE"""),"2' 9""")</f>
        <v>2' 9"</v>
      </c>
      <c r="F138">
        <f ca="1">IFERROR(__xludf.DUMMYFUNCTION("""COMPUTED_VALUE"""),16.667)</f>
        <v>16.667000000000002</v>
      </c>
      <c r="G138">
        <f ca="1">IFERROR(__xludf.DUMMYFUNCTION("""COMPUTED_VALUE"""),6)</f>
        <v>6</v>
      </c>
      <c r="H138">
        <f ca="1">IFERROR(__xludf.DUMMYFUNCTION("""COMPUTED_VALUE"""),132)</f>
        <v>132</v>
      </c>
    </row>
    <row r="139" spans="1:8" ht="12.75">
      <c r="A139">
        <f ca="1">IFERROR(__xludf.DUMMYFUNCTION("""COMPUTED_VALUE"""),138)</f>
        <v>138</v>
      </c>
      <c r="B139" t="str">
        <f ca="1">IFERROR(__xludf.DUMMYFUNCTION("""COMPUTED_VALUE"""),"T136")</f>
        <v>T136</v>
      </c>
      <c r="C139" t="str">
        <f ca="1">IFERROR(__xludf.DUMMYFUNCTION("""COMPUTED_VALUE"""),"Patrick Cantlay")</f>
        <v>Patrick Cantlay</v>
      </c>
      <c r="D139">
        <f ca="1">IFERROR(__xludf.DUMMYFUNCTION("""COMPUTED_VALUE"""),16)</f>
        <v>16</v>
      </c>
      <c r="E139" t="str">
        <f ca="1">IFERROR(__xludf.DUMMYFUNCTION("""COMPUTED_VALUE"""),"2' 10""")</f>
        <v>2' 10"</v>
      </c>
      <c r="F139">
        <f ca="1">IFERROR(__xludf.DUMMYFUNCTION("""COMPUTED_VALUE"""),37)</f>
        <v>37</v>
      </c>
      <c r="G139">
        <f ca="1">IFERROR(__xludf.DUMMYFUNCTION("""COMPUTED_VALUE"""),13)</f>
        <v>13</v>
      </c>
      <c r="H139">
        <f ca="1">IFERROR(__xludf.DUMMYFUNCTION("""COMPUTED_VALUE"""),21)</f>
        <v>21</v>
      </c>
    </row>
    <row r="140" spans="1:8" ht="12.75">
      <c r="A140" t="str">
        <f ca="1">IFERROR(__xludf.DUMMYFUNCTION("""COMPUTED_VALUE"""),"T139")</f>
        <v>T139</v>
      </c>
      <c r="B140" t="str">
        <f ca="1">IFERROR(__xludf.DUMMYFUNCTION("""COMPUTED_VALUE"""),"T139")</f>
        <v>T139</v>
      </c>
      <c r="C140" t="str">
        <f ca="1">IFERROR(__xludf.DUMMYFUNCTION("""COMPUTED_VALUE"""),"Tyler McCumber")</f>
        <v>Tyler McCumber</v>
      </c>
      <c r="D140">
        <f ca="1">IFERROR(__xludf.DUMMYFUNCTION("""COMPUTED_VALUE"""),14)</f>
        <v>14</v>
      </c>
      <c r="E140" t="str">
        <f ca="1">IFERROR(__xludf.DUMMYFUNCTION("""COMPUTED_VALUE"""),"2' 11""")</f>
        <v>2' 11"</v>
      </c>
      <c r="F140">
        <f ca="1">IFERROR(__xludf.DUMMYFUNCTION("""COMPUTED_VALUE"""),23.5)</f>
        <v>23.5</v>
      </c>
      <c r="G140">
        <f ca="1">IFERROR(__xludf.DUMMYFUNCTION("""COMPUTED_VALUE"""),8)</f>
        <v>8</v>
      </c>
      <c r="H140">
        <f ca="1">IFERROR(__xludf.DUMMYFUNCTION("""COMPUTED_VALUE"""),75)</f>
        <v>75</v>
      </c>
    </row>
    <row r="141" spans="1:8" ht="12.75">
      <c r="A141" t="str">
        <f ca="1">IFERROR(__xludf.DUMMYFUNCTION("""COMPUTED_VALUE"""),"T139")</f>
        <v>T139</v>
      </c>
      <c r="B141" t="str">
        <f ca="1">IFERROR(__xludf.DUMMYFUNCTION("""COMPUTED_VALUE"""),"T139")</f>
        <v>T139</v>
      </c>
      <c r="C141" t="str">
        <f ca="1">IFERROR(__xludf.DUMMYFUNCTION("""COMPUTED_VALUE"""),"Chris Baker")</f>
        <v>Chris Baker</v>
      </c>
      <c r="D141">
        <f ca="1">IFERROR(__xludf.DUMMYFUNCTION("""COMPUTED_VALUE"""),8)</f>
        <v>8</v>
      </c>
      <c r="E141" t="str">
        <f ca="1">IFERROR(__xludf.DUMMYFUNCTION("""COMPUTED_VALUE"""),"2' 11""")</f>
        <v>2' 11"</v>
      </c>
      <c r="F141">
        <f ca="1">IFERROR(__xludf.DUMMYFUNCTION("""COMPUTED_VALUE"""),2.917)</f>
        <v>2.9169999999999998</v>
      </c>
      <c r="G141">
        <f ca="1">IFERROR(__xludf.DUMMYFUNCTION("""COMPUTED_VALUE"""),1)</f>
        <v>1</v>
      </c>
      <c r="H141">
        <f ca="1">IFERROR(__xludf.DUMMYFUNCTION("""COMPUTED_VALUE"""),138)</f>
        <v>138</v>
      </c>
    </row>
    <row r="142" spans="1:8" ht="12.75">
      <c r="A142" t="str">
        <f ca="1">IFERROR(__xludf.DUMMYFUNCTION("""COMPUTED_VALUE"""),"T141")</f>
        <v>T141</v>
      </c>
      <c r="B142" t="str">
        <f ca="1">IFERROR(__xludf.DUMMYFUNCTION("""COMPUTED_VALUE"""),"T143")</f>
        <v>T143</v>
      </c>
      <c r="C142" t="str">
        <f ca="1">IFERROR(__xludf.DUMMYFUNCTION("""COMPUTED_VALUE"""),"Ryan Blaum")</f>
        <v>Ryan Blaum</v>
      </c>
      <c r="D142">
        <f ca="1">IFERROR(__xludf.DUMMYFUNCTION("""COMPUTED_VALUE"""),8)</f>
        <v>8</v>
      </c>
      <c r="E142" t="str">
        <f ca="1">IFERROR(__xludf.DUMMYFUNCTION("""COMPUTED_VALUE"""),"3' 0""")</f>
        <v>3' 0"</v>
      </c>
      <c r="F142">
        <f ca="1">IFERROR(__xludf.DUMMYFUNCTION("""COMPUTED_VALUE"""),6)</f>
        <v>6</v>
      </c>
      <c r="G142">
        <f ca="1">IFERROR(__xludf.DUMMYFUNCTION("""COMPUTED_VALUE"""),2)</f>
        <v>2</v>
      </c>
      <c r="H142">
        <f ca="1">IFERROR(__xludf.DUMMYFUNCTION("""COMPUTED_VALUE"""),97)</f>
        <v>97</v>
      </c>
    </row>
    <row r="143" spans="1:8" ht="12.75">
      <c r="A143" t="str">
        <f ca="1">IFERROR(__xludf.DUMMYFUNCTION("""COMPUTED_VALUE"""),"T141")</f>
        <v>T141</v>
      </c>
      <c r="B143" t="str">
        <f ca="1">IFERROR(__xludf.DUMMYFUNCTION("""COMPUTED_VALUE"""),"T143")</f>
        <v>T143</v>
      </c>
      <c r="C143" t="str">
        <f ca="1">IFERROR(__xludf.DUMMYFUNCTION("""COMPUTED_VALUE"""),"Jonathan Byrd")</f>
        <v>Jonathan Byrd</v>
      </c>
      <c r="D143">
        <f ca="1">IFERROR(__xludf.DUMMYFUNCTION("""COMPUTED_VALUE"""),14)</f>
        <v>14</v>
      </c>
      <c r="E143" t="str">
        <f ca="1">IFERROR(__xludf.DUMMYFUNCTION("""COMPUTED_VALUE"""),"3' 0""")</f>
        <v>3' 0"</v>
      </c>
      <c r="F143">
        <f ca="1">IFERROR(__xludf.DUMMYFUNCTION("""COMPUTED_VALUE"""),15.083)</f>
        <v>15.083</v>
      </c>
      <c r="G143">
        <f ca="1">IFERROR(__xludf.DUMMYFUNCTION("""COMPUTED_VALUE"""),5)</f>
        <v>5</v>
      </c>
      <c r="H143">
        <f ca="1">IFERROR(__xludf.DUMMYFUNCTION("""COMPUTED_VALUE"""),23)</f>
        <v>23</v>
      </c>
    </row>
    <row r="144" spans="1:8" ht="12.75">
      <c r="A144" t="str">
        <f ca="1">IFERROR(__xludf.DUMMYFUNCTION("""COMPUTED_VALUE"""),"T143")</f>
        <v>T143</v>
      </c>
      <c r="B144" t="str">
        <f ca="1">IFERROR(__xludf.DUMMYFUNCTION("""COMPUTED_VALUE"""),"T145")</f>
        <v>T145</v>
      </c>
      <c r="C144" t="str">
        <f ca="1">IFERROR(__xludf.DUMMYFUNCTION("""COMPUTED_VALUE"""),"Keegan Bradley")</f>
        <v>Keegan Bradley</v>
      </c>
      <c r="D144">
        <f ca="1">IFERROR(__xludf.DUMMYFUNCTION("""COMPUTED_VALUE"""),16)</f>
        <v>16</v>
      </c>
      <c r="E144" t="str">
        <f ca="1">IFERROR(__xludf.DUMMYFUNCTION("""COMPUTED_VALUE"""),"3' 1""")</f>
        <v>3' 1"</v>
      </c>
      <c r="F144">
        <f ca="1">IFERROR(__xludf.DUMMYFUNCTION("""COMPUTED_VALUE"""),18.417)</f>
        <v>18.417000000000002</v>
      </c>
      <c r="G144">
        <f ca="1">IFERROR(__xludf.DUMMYFUNCTION("""COMPUTED_VALUE"""),6)</f>
        <v>6</v>
      </c>
      <c r="H144">
        <f ca="1">IFERROR(__xludf.DUMMYFUNCTION("""COMPUTED_VALUE"""),194)</f>
        <v>194</v>
      </c>
    </row>
    <row r="145" spans="1:8" ht="12.75">
      <c r="A145" t="str">
        <f ca="1">IFERROR(__xludf.DUMMYFUNCTION("""COMPUTED_VALUE"""),"T143")</f>
        <v>T143</v>
      </c>
      <c r="B145" t="str">
        <f ca="1">IFERROR(__xludf.DUMMYFUNCTION("""COMPUTED_VALUE"""),"T145")</f>
        <v>T145</v>
      </c>
      <c r="C145" t="str">
        <f ca="1">IFERROR(__xludf.DUMMYFUNCTION("""COMPUTED_VALUE"""),"Jim Herman")</f>
        <v>Jim Herman</v>
      </c>
      <c r="D145">
        <f ca="1">IFERROR(__xludf.DUMMYFUNCTION("""COMPUTED_VALUE"""),12)</f>
        <v>12</v>
      </c>
      <c r="E145" t="str">
        <f ca="1">IFERROR(__xludf.DUMMYFUNCTION("""COMPUTED_VALUE"""),"3' 1""")</f>
        <v>3' 1"</v>
      </c>
      <c r="F145">
        <f ca="1">IFERROR(__xludf.DUMMYFUNCTION("""COMPUTED_VALUE"""),27.417)</f>
        <v>27.417000000000002</v>
      </c>
      <c r="G145">
        <f ca="1">IFERROR(__xludf.DUMMYFUNCTION("""COMPUTED_VALUE"""),9)</f>
        <v>9</v>
      </c>
      <c r="H145">
        <f ca="1">IFERROR(__xludf.DUMMYFUNCTION("""COMPUTED_VALUE"""),155)</f>
        <v>155</v>
      </c>
    </row>
    <row r="146" spans="1:8" ht="12.75">
      <c r="A146" t="str">
        <f ca="1">IFERROR(__xludf.DUMMYFUNCTION("""COMPUTED_VALUE"""),"T143")</f>
        <v>T143</v>
      </c>
      <c r="B146" t="str">
        <f ca="1">IFERROR(__xludf.DUMMYFUNCTION("""COMPUTED_VALUE"""),"T145")</f>
        <v>T145</v>
      </c>
      <c r="C146" t="str">
        <f ca="1">IFERROR(__xludf.DUMMYFUNCTION("""COMPUTED_VALUE"""),"Bo Hoag")</f>
        <v>Bo Hoag</v>
      </c>
      <c r="D146">
        <f ca="1">IFERROR(__xludf.DUMMYFUNCTION("""COMPUTED_VALUE"""),14)</f>
        <v>14</v>
      </c>
      <c r="E146" t="str">
        <f ca="1">IFERROR(__xludf.DUMMYFUNCTION("""COMPUTED_VALUE"""),"3' 1""")</f>
        <v>3' 1"</v>
      </c>
      <c r="F146">
        <f ca="1">IFERROR(__xludf.DUMMYFUNCTION("""COMPUTED_VALUE"""),9.333)</f>
        <v>9.3330000000000002</v>
      </c>
      <c r="G146">
        <f ca="1">IFERROR(__xludf.DUMMYFUNCTION("""COMPUTED_VALUE"""),3)</f>
        <v>3</v>
      </c>
      <c r="H146">
        <f ca="1">IFERROR(__xludf.DUMMYFUNCTION("""COMPUTED_VALUE"""),83)</f>
        <v>83</v>
      </c>
    </row>
    <row r="147" spans="1:8" ht="12.75">
      <c r="A147" t="str">
        <f ca="1">IFERROR(__xludf.DUMMYFUNCTION("""COMPUTED_VALUE"""),"T143")</f>
        <v>T143</v>
      </c>
      <c r="B147" t="str">
        <f ca="1">IFERROR(__xludf.DUMMYFUNCTION("""COMPUTED_VALUE"""),"T145")</f>
        <v>T145</v>
      </c>
      <c r="C147" t="str">
        <f ca="1">IFERROR(__xludf.DUMMYFUNCTION("""COMPUTED_VALUE"""),"Mikumu Horikawa")</f>
        <v>Mikumu Horikawa</v>
      </c>
      <c r="D147">
        <f ca="1">IFERROR(__xludf.DUMMYFUNCTION("""COMPUTED_VALUE"""),4)</f>
        <v>4</v>
      </c>
      <c r="E147" t="str">
        <f ca="1">IFERROR(__xludf.DUMMYFUNCTION("""COMPUTED_VALUE"""),"3' 1""")</f>
        <v>3' 1"</v>
      </c>
      <c r="F147">
        <f ca="1">IFERROR(__xludf.DUMMYFUNCTION("""COMPUTED_VALUE"""),9.167)</f>
        <v>9.1669999999999998</v>
      </c>
      <c r="G147">
        <f ca="1">IFERROR(__xludf.DUMMYFUNCTION("""COMPUTED_VALUE"""),3)</f>
        <v>3</v>
      </c>
      <c r="H147">
        <f ca="1">IFERROR(__xludf.DUMMYFUNCTION("""COMPUTED_VALUE"""),194)</f>
        <v>194</v>
      </c>
    </row>
    <row r="148" spans="1:8" ht="12.75">
      <c r="A148" t="str">
        <f ca="1">IFERROR(__xludf.DUMMYFUNCTION("""COMPUTED_VALUE"""),"T147")</f>
        <v>T147</v>
      </c>
      <c r="B148" t="str">
        <f ca="1">IFERROR(__xludf.DUMMYFUNCTION("""COMPUTED_VALUE"""),"T111")</f>
        <v>T111</v>
      </c>
      <c r="C148" t="str">
        <f ca="1">IFERROR(__xludf.DUMMYFUNCTION("""COMPUTED_VALUE"""),"Andrew Putnam")</f>
        <v>Andrew Putnam</v>
      </c>
      <c r="D148">
        <f ca="1">IFERROR(__xludf.DUMMYFUNCTION("""COMPUTED_VALUE"""),19)</f>
        <v>19</v>
      </c>
      <c r="E148" t="str">
        <f ca="1">IFERROR(__xludf.DUMMYFUNCTION("""COMPUTED_VALUE"""),"3' 2""")</f>
        <v>3' 2"</v>
      </c>
      <c r="F148">
        <f ca="1">IFERROR(__xludf.DUMMYFUNCTION("""COMPUTED_VALUE"""),22.417)</f>
        <v>22.417000000000002</v>
      </c>
      <c r="G148">
        <f ca="1">IFERROR(__xludf.DUMMYFUNCTION("""COMPUTED_VALUE"""),7)</f>
        <v>7</v>
      </c>
      <c r="H148">
        <f ca="1">IFERROR(__xludf.DUMMYFUNCTION("""COMPUTED_VALUE"""),65)</f>
        <v>65</v>
      </c>
    </row>
    <row r="149" spans="1:8" ht="12.75">
      <c r="A149" t="str">
        <f ca="1">IFERROR(__xludf.DUMMYFUNCTION("""COMPUTED_VALUE"""),"T147")</f>
        <v>T147</v>
      </c>
      <c r="B149" t="str">
        <f ca="1">IFERROR(__xludf.DUMMYFUNCTION("""COMPUTED_VALUE"""),"T52")</f>
        <v>T52</v>
      </c>
      <c r="C149" t="str">
        <f ca="1">IFERROR(__xludf.DUMMYFUNCTION("""COMPUTED_VALUE"""),"Hudson Swafford")</f>
        <v>Hudson Swafford</v>
      </c>
      <c r="D149">
        <f ca="1">IFERROR(__xludf.DUMMYFUNCTION("""COMPUTED_VALUE"""),18)</f>
        <v>18</v>
      </c>
      <c r="E149" t="str">
        <f ca="1">IFERROR(__xludf.DUMMYFUNCTION("""COMPUTED_VALUE"""),"3' 2""")</f>
        <v>3' 2"</v>
      </c>
      <c r="F149">
        <f ca="1">IFERROR(__xludf.DUMMYFUNCTION("""COMPUTED_VALUE"""),19.083)</f>
        <v>19.082999999999998</v>
      </c>
      <c r="G149">
        <f ca="1">IFERROR(__xludf.DUMMYFUNCTION("""COMPUTED_VALUE"""),6)</f>
        <v>6</v>
      </c>
      <c r="H149">
        <f ca="1">IFERROR(__xludf.DUMMYFUNCTION("""COMPUTED_VALUE"""),160)</f>
        <v>160</v>
      </c>
    </row>
    <row r="150" spans="1:8" ht="12.75">
      <c r="A150" t="str">
        <f ca="1">IFERROR(__xludf.DUMMYFUNCTION("""COMPUTED_VALUE"""),"T147")</f>
        <v>T147</v>
      </c>
      <c r="B150" t="str">
        <f ca="1">IFERROR(__xludf.DUMMYFUNCTION("""COMPUTED_VALUE"""),"T150")</f>
        <v>T150</v>
      </c>
      <c r="C150" t="str">
        <f ca="1">IFERROR(__xludf.DUMMYFUNCTION("""COMPUTED_VALUE"""),"Cameron Smith")</f>
        <v>Cameron Smith</v>
      </c>
      <c r="D150">
        <f ca="1">IFERROR(__xludf.DUMMYFUNCTION("""COMPUTED_VALUE"""),16)</f>
        <v>16</v>
      </c>
      <c r="E150" t="str">
        <f ca="1">IFERROR(__xludf.DUMMYFUNCTION("""COMPUTED_VALUE"""),"3' 2""")</f>
        <v>3' 2"</v>
      </c>
      <c r="F150">
        <f ca="1">IFERROR(__xludf.DUMMYFUNCTION("""COMPUTED_VALUE"""),16)</f>
        <v>16</v>
      </c>
      <c r="G150">
        <f ca="1">IFERROR(__xludf.DUMMYFUNCTION("""COMPUTED_VALUE"""),5)</f>
        <v>5</v>
      </c>
      <c r="H150">
        <f ca="1">IFERROR(__xludf.DUMMYFUNCTION("""COMPUTED_VALUE"""),117)</f>
        <v>117</v>
      </c>
    </row>
    <row r="151" spans="1:8" ht="12.75">
      <c r="A151" t="str">
        <f ca="1">IFERROR(__xludf.DUMMYFUNCTION("""COMPUTED_VALUE"""),"T147")</f>
        <v>T147</v>
      </c>
      <c r="B151" t="str">
        <f ca="1">IFERROR(__xludf.DUMMYFUNCTION("""COMPUTED_VALUE"""),"T145")</f>
        <v>T145</v>
      </c>
      <c r="C151" t="str">
        <f ca="1">IFERROR(__xludf.DUMMYFUNCTION("""COMPUTED_VALUE"""),"Wyndham Clark")</f>
        <v>Wyndham Clark</v>
      </c>
      <c r="D151">
        <f ca="1">IFERROR(__xludf.DUMMYFUNCTION("""COMPUTED_VALUE"""),16)</f>
        <v>16</v>
      </c>
      <c r="E151" t="str">
        <f ca="1">IFERROR(__xludf.DUMMYFUNCTION("""COMPUTED_VALUE"""),"3' 2""")</f>
        <v>3' 2"</v>
      </c>
      <c r="F151">
        <f ca="1">IFERROR(__xludf.DUMMYFUNCTION("""COMPUTED_VALUE"""),22.083)</f>
        <v>22.082999999999998</v>
      </c>
      <c r="G151">
        <f ca="1">IFERROR(__xludf.DUMMYFUNCTION("""COMPUTED_VALUE"""),7)</f>
        <v>7</v>
      </c>
      <c r="H151">
        <f ca="1">IFERROR(__xludf.DUMMYFUNCTION("""COMPUTED_VALUE"""),50)</f>
        <v>50</v>
      </c>
    </row>
    <row r="152" spans="1:8" ht="12.75">
      <c r="A152" t="str">
        <f ca="1">IFERROR(__xludf.DUMMYFUNCTION("""COMPUTED_VALUE"""),"T147")</f>
        <v>T147</v>
      </c>
      <c r="B152" t="str">
        <f ca="1">IFERROR(__xludf.DUMMYFUNCTION("""COMPUTED_VALUE"""),"T157")</f>
        <v>T157</v>
      </c>
      <c r="C152" t="str">
        <f ca="1">IFERROR(__xludf.DUMMYFUNCTION("""COMPUTED_VALUE"""),"Emiliano Grillo")</f>
        <v>Emiliano Grillo</v>
      </c>
      <c r="D152">
        <f ca="1">IFERROR(__xludf.DUMMYFUNCTION("""COMPUTED_VALUE"""),22)</f>
        <v>22</v>
      </c>
      <c r="E152" t="str">
        <f ca="1">IFERROR(__xludf.DUMMYFUNCTION("""COMPUTED_VALUE"""),"3' 2""")</f>
        <v>3' 2"</v>
      </c>
      <c r="F152">
        <f ca="1">IFERROR(__xludf.DUMMYFUNCTION("""COMPUTED_VALUE"""),22.083)</f>
        <v>22.082999999999998</v>
      </c>
      <c r="G152">
        <f ca="1">IFERROR(__xludf.DUMMYFUNCTION("""COMPUTED_VALUE"""),7)</f>
        <v>7</v>
      </c>
      <c r="H152">
        <f ca="1">IFERROR(__xludf.DUMMYFUNCTION("""COMPUTED_VALUE"""),64)</f>
        <v>64</v>
      </c>
    </row>
    <row r="153" spans="1:8" ht="12.75">
      <c r="A153" t="str">
        <f ca="1">IFERROR(__xludf.DUMMYFUNCTION("""COMPUTED_VALUE"""),"T147")</f>
        <v>T147</v>
      </c>
      <c r="B153" t="str">
        <f ca="1">IFERROR(__xludf.DUMMYFUNCTION("""COMPUTED_VALUE"""),"T150")</f>
        <v>T150</v>
      </c>
      <c r="C153" t="str">
        <f ca="1">IFERROR(__xludf.DUMMYFUNCTION("""COMPUTED_VALUE"""),"Brendan Steele")</f>
        <v>Brendan Steele</v>
      </c>
      <c r="D153">
        <f ca="1">IFERROR(__xludf.DUMMYFUNCTION("""COMPUTED_VALUE"""),14)</f>
        <v>14</v>
      </c>
      <c r="E153" t="str">
        <f ca="1">IFERROR(__xludf.DUMMYFUNCTION("""COMPUTED_VALUE"""),"3' 2""")</f>
        <v>3' 2"</v>
      </c>
      <c r="F153">
        <f ca="1">IFERROR(__xludf.DUMMYFUNCTION("""COMPUTED_VALUE"""),21.917)</f>
        <v>21.917000000000002</v>
      </c>
      <c r="G153">
        <f ca="1">IFERROR(__xludf.DUMMYFUNCTION("""COMPUTED_VALUE"""),7)</f>
        <v>7</v>
      </c>
      <c r="H153">
        <f ca="1">IFERROR(__xludf.DUMMYFUNCTION("""COMPUTED_VALUE"""),157)</f>
        <v>157</v>
      </c>
    </row>
    <row r="154" spans="1:8" ht="12.75">
      <c r="A154" t="str">
        <f ca="1">IFERROR(__xludf.DUMMYFUNCTION("""COMPUTED_VALUE"""),"T153")</f>
        <v>T153</v>
      </c>
      <c r="B154" t="str">
        <f ca="1">IFERROR(__xludf.DUMMYFUNCTION("""COMPUTED_VALUE"""),"T153")</f>
        <v>T153</v>
      </c>
      <c r="C154" t="str">
        <f ca="1">IFERROR(__xludf.DUMMYFUNCTION("""COMPUTED_VALUE"""),"Billy Horschel")</f>
        <v>Billy Horschel</v>
      </c>
      <c r="D154">
        <f ca="1">IFERROR(__xludf.DUMMYFUNCTION("""COMPUTED_VALUE"""),12)</f>
        <v>12</v>
      </c>
      <c r="E154" t="str">
        <f ca="1">IFERROR(__xludf.DUMMYFUNCTION("""COMPUTED_VALUE"""),"3' 3""")</f>
        <v>3' 3"</v>
      </c>
      <c r="F154">
        <f ca="1">IFERROR(__xludf.DUMMYFUNCTION("""COMPUTED_VALUE"""),22.5)</f>
        <v>22.5</v>
      </c>
      <c r="G154">
        <f ca="1">IFERROR(__xludf.DUMMYFUNCTION("""COMPUTED_VALUE"""),7)</f>
        <v>7</v>
      </c>
      <c r="H154">
        <f ca="1">IFERROR(__xludf.DUMMYFUNCTION("""COMPUTED_VALUE"""),183)</f>
        <v>183</v>
      </c>
    </row>
    <row r="155" spans="1:8" ht="12.75">
      <c r="A155" t="str">
        <f ca="1">IFERROR(__xludf.DUMMYFUNCTION("""COMPUTED_VALUE"""),"T153")</f>
        <v>T153</v>
      </c>
      <c r="B155" t="str">
        <f ca="1">IFERROR(__xludf.DUMMYFUNCTION("""COMPUTED_VALUE"""),"T153")</f>
        <v>T153</v>
      </c>
      <c r="C155" t="str">
        <f ca="1">IFERROR(__xludf.DUMMYFUNCTION("""COMPUTED_VALUE"""),"Ryo Ishikawa")</f>
        <v>Ryo Ishikawa</v>
      </c>
      <c r="D155">
        <f ca="1">IFERROR(__xludf.DUMMYFUNCTION("""COMPUTED_VALUE"""),8)</f>
        <v>8</v>
      </c>
      <c r="E155" t="str">
        <f ca="1">IFERROR(__xludf.DUMMYFUNCTION("""COMPUTED_VALUE"""),"3' 3""")</f>
        <v>3' 3"</v>
      </c>
      <c r="F155">
        <f ca="1">IFERROR(__xludf.DUMMYFUNCTION("""COMPUTED_VALUE"""),19.667)</f>
        <v>19.667000000000002</v>
      </c>
      <c r="G155">
        <f ca="1">IFERROR(__xludf.DUMMYFUNCTION("""COMPUTED_VALUE"""),6)</f>
        <v>6</v>
      </c>
      <c r="H155">
        <f ca="1">IFERROR(__xludf.DUMMYFUNCTION("""COMPUTED_VALUE"""),81)</f>
        <v>81</v>
      </c>
    </row>
    <row r="156" spans="1:8" ht="12.75">
      <c r="A156" t="str">
        <f ca="1">IFERROR(__xludf.DUMMYFUNCTION("""COMPUTED_VALUE"""),"T153")</f>
        <v>T153</v>
      </c>
      <c r="B156" t="str">
        <f ca="1">IFERROR(__xludf.DUMMYFUNCTION("""COMPUTED_VALUE"""),"T153")</f>
        <v>T153</v>
      </c>
      <c r="C156" t="str">
        <f ca="1">IFERROR(__xludf.DUMMYFUNCTION("""COMPUTED_VALUE"""),"Marc Leishman")</f>
        <v>Marc Leishman</v>
      </c>
      <c r="D156">
        <f ca="1">IFERROR(__xludf.DUMMYFUNCTION("""COMPUTED_VALUE"""),10)</f>
        <v>10</v>
      </c>
      <c r="E156" t="str">
        <f ca="1">IFERROR(__xludf.DUMMYFUNCTION("""COMPUTED_VALUE"""),"3' 3""")</f>
        <v>3' 3"</v>
      </c>
      <c r="F156">
        <f ca="1">IFERROR(__xludf.DUMMYFUNCTION("""COMPUTED_VALUE"""),19.583)</f>
        <v>19.582999999999998</v>
      </c>
      <c r="G156">
        <f ca="1">IFERROR(__xludf.DUMMYFUNCTION("""COMPUTED_VALUE"""),6)</f>
        <v>6</v>
      </c>
      <c r="H156">
        <f ca="1">IFERROR(__xludf.DUMMYFUNCTION("""COMPUTED_VALUE"""),235)</f>
        <v>235</v>
      </c>
    </row>
    <row r="157" spans="1:8" ht="12.75">
      <c r="A157" t="str">
        <f ca="1">IFERROR(__xludf.DUMMYFUNCTION("""COMPUTED_VALUE"""),"T153")</f>
        <v>T153</v>
      </c>
      <c r="B157" t="str">
        <f ca="1">IFERROR(__xludf.DUMMYFUNCTION("""COMPUTED_VALUE"""),"T174")</f>
        <v>T174</v>
      </c>
      <c r="C157" t="str">
        <f ca="1">IFERROR(__xludf.DUMMYFUNCTION("""COMPUTED_VALUE"""),"Brian Harman")</f>
        <v>Brian Harman</v>
      </c>
      <c r="D157">
        <f ca="1">IFERROR(__xludf.DUMMYFUNCTION("""COMPUTED_VALUE"""),24)</f>
        <v>24</v>
      </c>
      <c r="E157" t="str">
        <f ca="1">IFERROR(__xludf.DUMMYFUNCTION("""COMPUTED_VALUE"""),"3' 3""")</f>
        <v>3' 3"</v>
      </c>
      <c r="F157">
        <f ca="1">IFERROR(__xludf.DUMMYFUNCTION("""COMPUTED_VALUE"""),39.083)</f>
        <v>39.082999999999998</v>
      </c>
      <c r="G157">
        <f ca="1">IFERROR(__xludf.DUMMYFUNCTION("""COMPUTED_VALUE"""),12)</f>
        <v>12</v>
      </c>
      <c r="H157">
        <f ca="1">IFERROR(__xludf.DUMMYFUNCTION("""COMPUTED_VALUE"""),97)</f>
        <v>97</v>
      </c>
    </row>
    <row r="158" spans="1:8" ht="12.75">
      <c r="A158" t="str">
        <f ca="1">IFERROR(__xludf.DUMMYFUNCTION("""COMPUTED_VALUE"""),"T153")</f>
        <v>T153</v>
      </c>
      <c r="B158" t="str">
        <f ca="1">IFERROR(__xludf.DUMMYFUNCTION("""COMPUTED_VALUE"""),"T153")</f>
        <v>T153</v>
      </c>
      <c r="C158" t="str">
        <f ca="1">IFERROR(__xludf.DUMMYFUNCTION("""COMPUTED_VALUE"""),"Justin Rose")</f>
        <v>Justin Rose</v>
      </c>
      <c r="D158">
        <f ca="1">IFERROR(__xludf.DUMMYFUNCTION("""COMPUTED_VALUE"""),10)</f>
        <v>10</v>
      </c>
      <c r="E158" t="str">
        <f ca="1">IFERROR(__xludf.DUMMYFUNCTION("""COMPUTED_VALUE"""),"3' 3""")</f>
        <v>3' 3"</v>
      </c>
      <c r="F158">
        <f ca="1">IFERROR(__xludf.DUMMYFUNCTION("""COMPUTED_VALUE"""),19.5)</f>
        <v>19.5</v>
      </c>
      <c r="G158">
        <f ca="1">IFERROR(__xludf.DUMMYFUNCTION("""COMPUTED_VALUE"""),6)</f>
        <v>6</v>
      </c>
      <c r="H158">
        <f ca="1">IFERROR(__xludf.DUMMYFUNCTION("""COMPUTED_VALUE"""),235)</f>
        <v>235</v>
      </c>
    </row>
    <row r="159" spans="1:8" ht="12.75">
      <c r="A159" t="str">
        <f ca="1">IFERROR(__xludf.DUMMYFUNCTION("""COMPUTED_VALUE"""),"T153")</f>
        <v>T153</v>
      </c>
      <c r="B159" t="str">
        <f ca="1">IFERROR(__xludf.DUMMYFUNCTION("""COMPUTED_VALUE"""),"")</f>
        <v/>
      </c>
      <c r="C159" t="str">
        <f ca="1">IFERROR(__xludf.DUMMYFUNCTION("""COMPUTED_VALUE"""),"Erik Barnes")</f>
        <v>Erik Barnes</v>
      </c>
      <c r="D159">
        <f ca="1">IFERROR(__xludf.DUMMYFUNCTION("""COMPUTED_VALUE"""),4)</f>
        <v>4</v>
      </c>
      <c r="E159" t="str">
        <f ca="1">IFERROR(__xludf.DUMMYFUNCTION("""COMPUTED_VALUE"""),"3' 3""")</f>
        <v>3' 3"</v>
      </c>
      <c r="F159">
        <f ca="1">IFERROR(__xludf.DUMMYFUNCTION("""COMPUTED_VALUE"""),9.833)</f>
        <v>9.8330000000000002</v>
      </c>
      <c r="G159">
        <f ca="1">IFERROR(__xludf.DUMMYFUNCTION("""COMPUTED_VALUE"""),3)</f>
        <v>3</v>
      </c>
      <c r="H159">
        <f ca="1">IFERROR(__xludf.DUMMYFUNCTION("""COMPUTED_VALUE"""),51)</f>
        <v>51</v>
      </c>
    </row>
    <row r="160" spans="1:8" ht="12.75">
      <c r="A160" t="str">
        <f ca="1">IFERROR(__xludf.DUMMYFUNCTION("""COMPUTED_VALUE"""),"T159")</f>
        <v>T159</v>
      </c>
      <c r="B160" t="str">
        <f ca="1">IFERROR(__xludf.DUMMYFUNCTION("""COMPUTED_VALUE"""),"T157")</f>
        <v>T157</v>
      </c>
      <c r="C160" t="str">
        <f ca="1">IFERROR(__xludf.DUMMYFUNCTION("""COMPUTED_VALUE"""),"Patrick Reed")</f>
        <v>Patrick Reed</v>
      </c>
      <c r="D160">
        <f ca="1">IFERROR(__xludf.DUMMYFUNCTION("""COMPUTED_VALUE"""),8)</f>
        <v>8</v>
      </c>
      <c r="E160" t="str">
        <f ca="1">IFERROR(__xludf.DUMMYFUNCTION("""COMPUTED_VALUE"""),"3' 4""")</f>
        <v>3' 4"</v>
      </c>
      <c r="F160">
        <f ca="1">IFERROR(__xludf.DUMMYFUNCTION("""COMPUTED_VALUE"""),23.583)</f>
        <v>23.582999999999998</v>
      </c>
      <c r="G160">
        <f ca="1">IFERROR(__xludf.DUMMYFUNCTION("""COMPUTED_VALUE"""),7)</f>
        <v>7</v>
      </c>
      <c r="H160">
        <f ca="1">IFERROR(__xludf.DUMMYFUNCTION("""COMPUTED_VALUE"""),210)</f>
        <v>210</v>
      </c>
    </row>
    <row r="161" spans="1:8" ht="12.75">
      <c r="A161" t="str">
        <f ca="1">IFERROR(__xludf.DUMMYFUNCTION("""COMPUTED_VALUE"""),"T159")</f>
        <v>T159</v>
      </c>
      <c r="B161" t="str">
        <f ca="1">IFERROR(__xludf.DUMMYFUNCTION("""COMPUTED_VALUE"""),"T183")</f>
        <v>T183</v>
      </c>
      <c r="C161" t="str">
        <f ca="1">IFERROR(__xludf.DUMMYFUNCTION("""COMPUTED_VALUE"""),"Grayson Murray")</f>
        <v>Grayson Murray</v>
      </c>
      <c r="D161">
        <f ca="1">IFERROR(__xludf.DUMMYFUNCTION("""COMPUTED_VALUE"""),10)</f>
        <v>10</v>
      </c>
      <c r="E161" t="str">
        <f ca="1">IFERROR(__xludf.DUMMYFUNCTION("""COMPUTED_VALUE"""),"3' 4""")</f>
        <v>3' 4"</v>
      </c>
      <c r="F161">
        <f ca="1">IFERROR(__xludf.DUMMYFUNCTION("""COMPUTED_VALUE"""),20.083)</f>
        <v>20.082999999999998</v>
      </c>
      <c r="G161">
        <f ca="1">IFERROR(__xludf.DUMMYFUNCTION("""COMPUTED_VALUE"""),6)</f>
        <v>6</v>
      </c>
      <c r="H161">
        <f ca="1">IFERROR(__xludf.DUMMYFUNCTION("""COMPUTED_VALUE"""),270)</f>
        <v>270</v>
      </c>
    </row>
    <row r="162" spans="1:8" ht="12.75">
      <c r="A162" t="str">
        <f ca="1">IFERROR(__xludf.DUMMYFUNCTION("""COMPUTED_VALUE"""),"T159")</f>
        <v>T159</v>
      </c>
      <c r="B162" t="str">
        <f ca="1">IFERROR(__xludf.DUMMYFUNCTION("""COMPUTED_VALUE"""),"T120")</f>
        <v>T120</v>
      </c>
      <c r="C162" t="str">
        <f ca="1">IFERROR(__xludf.DUMMYFUNCTION("""COMPUTED_VALUE"""),"Russell Henley")</f>
        <v>Russell Henley</v>
      </c>
      <c r="D162">
        <f ca="1">IFERROR(__xludf.DUMMYFUNCTION("""COMPUTED_VALUE"""),16)</f>
        <v>16</v>
      </c>
      <c r="E162" t="str">
        <f ca="1">IFERROR(__xludf.DUMMYFUNCTION("""COMPUTED_VALUE"""),"3' 4""")</f>
        <v>3' 4"</v>
      </c>
      <c r="F162">
        <f ca="1">IFERROR(__xludf.DUMMYFUNCTION("""COMPUTED_VALUE"""),6.667)</f>
        <v>6.6669999999999998</v>
      </c>
      <c r="G162">
        <f ca="1">IFERROR(__xludf.DUMMYFUNCTION("""COMPUTED_VALUE"""),2)</f>
        <v>2</v>
      </c>
      <c r="H162">
        <f ca="1">IFERROR(__xludf.DUMMYFUNCTION("""COMPUTED_VALUE"""),4)</f>
        <v>4</v>
      </c>
    </row>
    <row r="163" spans="1:8" ht="12.75">
      <c r="A163" t="str">
        <f ca="1">IFERROR(__xludf.DUMMYFUNCTION("""COMPUTED_VALUE"""),"T159")</f>
        <v>T159</v>
      </c>
      <c r="B163" t="str">
        <f ca="1">IFERROR(__xludf.DUMMYFUNCTION("""COMPUTED_VALUE"""),"T157")</f>
        <v>T157</v>
      </c>
      <c r="C163" t="str">
        <f ca="1">IFERROR(__xludf.DUMMYFUNCTION("""COMPUTED_VALUE"""),"Renato Paratore")</f>
        <v>Renato Paratore</v>
      </c>
      <c r="D163">
        <f ca="1">IFERROR(__xludf.DUMMYFUNCTION("""COMPUTED_VALUE"""),4)</f>
        <v>4</v>
      </c>
      <c r="E163" t="str">
        <f ca="1">IFERROR(__xludf.DUMMYFUNCTION("""COMPUTED_VALUE"""),"3' 4""")</f>
        <v>3' 4"</v>
      </c>
      <c r="F163">
        <f ca="1">IFERROR(__xludf.DUMMYFUNCTION("""COMPUTED_VALUE"""),23.333)</f>
        <v>23.332999999999998</v>
      </c>
      <c r="G163">
        <f ca="1">IFERROR(__xludf.DUMMYFUNCTION("""COMPUTED_VALUE"""),7)</f>
        <v>7</v>
      </c>
      <c r="H163">
        <f ca="1">IFERROR(__xludf.DUMMYFUNCTION("""COMPUTED_VALUE"""),122)</f>
        <v>122</v>
      </c>
    </row>
    <row r="164" spans="1:8" ht="12.75">
      <c r="A164" t="str">
        <f ca="1">IFERROR(__xludf.DUMMYFUNCTION("""COMPUTED_VALUE"""),"T159")</f>
        <v>T159</v>
      </c>
      <c r="B164" t="str">
        <f ca="1">IFERROR(__xludf.DUMMYFUNCTION("""COMPUTED_VALUE"""),"T157")</f>
        <v>T157</v>
      </c>
      <c r="C164" t="str">
        <f ca="1">IFERROR(__xludf.DUMMYFUNCTION("""COMPUTED_VALUE"""),"Sam Ryder")</f>
        <v>Sam Ryder</v>
      </c>
      <c r="D164">
        <f ca="1">IFERROR(__xludf.DUMMYFUNCTION("""COMPUTED_VALUE"""),12)</f>
        <v>12</v>
      </c>
      <c r="E164" t="str">
        <f ca="1">IFERROR(__xludf.DUMMYFUNCTION("""COMPUTED_VALUE"""),"3' 4""")</f>
        <v>3' 4"</v>
      </c>
      <c r="F164">
        <f ca="1">IFERROR(__xludf.DUMMYFUNCTION("""COMPUTED_VALUE"""),16.75)</f>
        <v>16.75</v>
      </c>
      <c r="G164">
        <f ca="1">IFERROR(__xludf.DUMMYFUNCTION("""COMPUTED_VALUE"""),5)</f>
        <v>5</v>
      </c>
      <c r="H164">
        <f ca="1">IFERROR(__xludf.DUMMYFUNCTION("""COMPUTED_VALUE"""),129)</f>
        <v>129</v>
      </c>
    </row>
    <row r="165" spans="1:8" ht="12.75">
      <c r="A165" t="str">
        <f ca="1">IFERROR(__xludf.DUMMYFUNCTION("""COMPUTED_VALUE"""),"T159")</f>
        <v>T159</v>
      </c>
      <c r="B165" t="str">
        <f ca="1">IFERROR(__xludf.DUMMYFUNCTION("""COMPUTED_VALUE"""),"T163")</f>
        <v>T163</v>
      </c>
      <c r="C165" t="str">
        <f ca="1">IFERROR(__xludf.DUMMYFUNCTION("""COMPUTED_VALUE"""),"Corey Conners")</f>
        <v>Corey Conners</v>
      </c>
      <c r="D165">
        <f ca="1">IFERROR(__xludf.DUMMYFUNCTION("""COMPUTED_VALUE"""),20)</f>
        <v>20</v>
      </c>
      <c r="E165" t="str">
        <f ca="1">IFERROR(__xludf.DUMMYFUNCTION("""COMPUTED_VALUE"""),"3' 4""")</f>
        <v>3' 4"</v>
      </c>
      <c r="F165">
        <f ca="1">IFERROR(__xludf.DUMMYFUNCTION("""COMPUTED_VALUE"""),46.333)</f>
        <v>46.332999999999998</v>
      </c>
      <c r="G165">
        <f ca="1">IFERROR(__xludf.DUMMYFUNCTION("""COMPUTED_VALUE"""),14)</f>
        <v>14</v>
      </c>
      <c r="H165">
        <f ca="1">IFERROR(__xludf.DUMMYFUNCTION("""COMPUTED_VALUE"""),151)</f>
        <v>151</v>
      </c>
    </row>
    <row r="166" spans="1:8" ht="12.75">
      <c r="A166" t="str">
        <f ca="1">IFERROR(__xludf.DUMMYFUNCTION("""COMPUTED_VALUE"""),"T159")</f>
        <v>T159</v>
      </c>
      <c r="B166" t="str">
        <f ca="1">IFERROR(__xludf.DUMMYFUNCTION("""COMPUTED_VALUE"""),"T157")</f>
        <v>T157</v>
      </c>
      <c r="C166" t="str">
        <f ca="1">IFERROR(__xludf.DUMMYFUNCTION("""COMPUTED_VALUE"""),"Jeongwoo Ham")</f>
        <v>Jeongwoo Ham</v>
      </c>
      <c r="D166">
        <f ca="1">IFERROR(__xludf.DUMMYFUNCTION("""COMPUTED_VALUE"""),4)</f>
        <v>4</v>
      </c>
      <c r="E166" t="str">
        <f ca="1">IFERROR(__xludf.DUMMYFUNCTION("""COMPUTED_VALUE"""),"3' 4""")</f>
        <v>3' 4"</v>
      </c>
      <c r="F166">
        <f ca="1">IFERROR(__xludf.DUMMYFUNCTION("""COMPUTED_VALUE"""),3.333)</f>
        <v>3.3330000000000002</v>
      </c>
      <c r="G166">
        <f ca="1">IFERROR(__xludf.DUMMYFUNCTION("""COMPUTED_VALUE"""),1)</f>
        <v>1</v>
      </c>
      <c r="H166">
        <f ca="1">IFERROR(__xludf.DUMMYFUNCTION("""COMPUTED_VALUE"""),273)</f>
        <v>273</v>
      </c>
    </row>
    <row r="167" spans="1:8" ht="12.75">
      <c r="A167" t="str">
        <f ca="1">IFERROR(__xludf.DUMMYFUNCTION("""COMPUTED_VALUE"""),"T159")</f>
        <v>T159</v>
      </c>
      <c r="B167" t="str">
        <f ca="1">IFERROR(__xludf.DUMMYFUNCTION("""COMPUTED_VALUE"""),"T157")</f>
        <v>T157</v>
      </c>
      <c r="C167" t="str">
        <f ca="1">IFERROR(__xludf.DUMMYFUNCTION("""COMPUTED_VALUE"""),"Webb Simpson")</f>
        <v>Webb Simpson</v>
      </c>
      <c r="D167">
        <f ca="1">IFERROR(__xludf.DUMMYFUNCTION("""COMPUTED_VALUE"""),12)</f>
        <v>12</v>
      </c>
      <c r="E167" t="str">
        <f ca="1">IFERROR(__xludf.DUMMYFUNCTION("""COMPUTED_VALUE"""),"3' 4""")</f>
        <v>3' 4"</v>
      </c>
      <c r="F167">
        <f ca="1">IFERROR(__xludf.DUMMYFUNCTION("""COMPUTED_VALUE"""),26.583)</f>
        <v>26.582999999999998</v>
      </c>
      <c r="G167">
        <f ca="1">IFERROR(__xludf.DUMMYFUNCTION("""COMPUTED_VALUE"""),8)</f>
        <v>8</v>
      </c>
      <c r="H167">
        <f ca="1">IFERROR(__xludf.DUMMYFUNCTION("""COMPUTED_VALUE"""),12)</f>
        <v>12</v>
      </c>
    </row>
    <row r="168" spans="1:8" ht="12.75">
      <c r="A168" t="str">
        <f ca="1">IFERROR(__xludf.DUMMYFUNCTION("""COMPUTED_VALUE"""),"T167")</f>
        <v>T167</v>
      </c>
      <c r="B168" t="str">
        <f ca="1">IFERROR(__xludf.DUMMYFUNCTION("""COMPUTED_VALUE"""),"T163")</f>
        <v>T163</v>
      </c>
      <c r="C168" t="str">
        <f ca="1">IFERROR(__xludf.DUMMYFUNCTION("""COMPUTED_VALUE"""),"Johnson Wagner")</f>
        <v>Johnson Wagner</v>
      </c>
      <c r="D168">
        <f ca="1">IFERROR(__xludf.DUMMYFUNCTION("""COMPUTED_VALUE"""),8)</f>
        <v>8</v>
      </c>
      <c r="E168" t="str">
        <f ca="1">IFERROR(__xludf.DUMMYFUNCTION("""COMPUTED_VALUE"""),"3' 5""")</f>
        <v>3' 5"</v>
      </c>
      <c r="F168">
        <f ca="1">IFERROR(__xludf.DUMMYFUNCTION("""COMPUTED_VALUE"""),13.583)</f>
        <v>13.583</v>
      </c>
      <c r="G168">
        <f ca="1">IFERROR(__xludf.DUMMYFUNCTION("""COMPUTED_VALUE"""),4)</f>
        <v>4</v>
      </c>
      <c r="H168">
        <f ca="1">IFERROR(__xludf.DUMMYFUNCTION("""COMPUTED_VALUE"""),158)</f>
        <v>158</v>
      </c>
    </row>
    <row r="169" spans="1:8" ht="12.75">
      <c r="A169" t="str">
        <f ca="1">IFERROR(__xludf.DUMMYFUNCTION("""COMPUTED_VALUE"""),"T167")</f>
        <v>T167</v>
      </c>
      <c r="B169" t="str">
        <f ca="1">IFERROR(__xludf.DUMMYFUNCTION("""COMPUTED_VALUE"""),"T163")</f>
        <v>T163</v>
      </c>
      <c r="C169" t="str">
        <f ca="1">IFERROR(__xludf.DUMMYFUNCTION("""COMPUTED_VALUE"""),"Maverick McNealy")</f>
        <v>Maverick McNealy</v>
      </c>
      <c r="D169">
        <f ca="1">IFERROR(__xludf.DUMMYFUNCTION("""COMPUTED_VALUE"""),16)</f>
        <v>16</v>
      </c>
      <c r="E169" t="str">
        <f ca="1">IFERROR(__xludf.DUMMYFUNCTION("""COMPUTED_VALUE"""),"3' 5""")</f>
        <v>3' 5"</v>
      </c>
      <c r="F169">
        <f ca="1">IFERROR(__xludf.DUMMYFUNCTION("""COMPUTED_VALUE"""),10.25)</f>
        <v>10.25</v>
      </c>
      <c r="G169">
        <f ca="1">IFERROR(__xludf.DUMMYFUNCTION("""COMPUTED_VALUE"""),3)</f>
        <v>3</v>
      </c>
      <c r="H169">
        <f ca="1">IFERROR(__xludf.DUMMYFUNCTION("""COMPUTED_VALUE"""),36)</f>
        <v>36</v>
      </c>
    </row>
    <row r="170" spans="1:8" ht="12.75">
      <c r="A170" t="str">
        <f ca="1">IFERROR(__xludf.DUMMYFUNCTION("""COMPUTED_VALUE"""),"T167")</f>
        <v>T167</v>
      </c>
      <c r="B170" t="str">
        <f ca="1">IFERROR(__xludf.DUMMYFUNCTION("""COMPUTED_VALUE"""),"T203")</f>
        <v>T203</v>
      </c>
      <c r="C170" t="str">
        <f ca="1">IFERROR(__xludf.DUMMYFUNCTION("""COMPUTED_VALUE"""),"Adam Schenk")</f>
        <v>Adam Schenk</v>
      </c>
      <c r="D170">
        <f ca="1">IFERROR(__xludf.DUMMYFUNCTION("""COMPUTED_VALUE"""),22)</f>
        <v>22</v>
      </c>
      <c r="E170" t="str">
        <f ca="1">IFERROR(__xludf.DUMMYFUNCTION("""COMPUTED_VALUE"""),"3' 5""")</f>
        <v>3' 5"</v>
      </c>
      <c r="F170">
        <f ca="1">IFERROR(__xludf.DUMMYFUNCTION("""COMPUTED_VALUE"""),33.917)</f>
        <v>33.917000000000002</v>
      </c>
      <c r="G170">
        <f ca="1">IFERROR(__xludf.DUMMYFUNCTION("""COMPUTED_VALUE"""),10)</f>
        <v>10</v>
      </c>
      <c r="H170">
        <f ca="1">IFERROR(__xludf.DUMMYFUNCTION("""COMPUTED_VALUE"""),53)</f>
        <v>53</v>
      </c>
    </row>
    <row r="171" spans="1:8" ht="12.75">
      <c r="A171" t="str">
        <f ca="1">IFERROR(__xludf.DUMMYFUNCTION("""COMPUTED_VALUE"""),"T167")</f>
        <v>T167</v>
      </c>
      <c r="B171" t="str">
        <f ca="1">IFERROR(__xludf.DUMMYFUNCTION("""COMPUTED_VALUE"""),"T163")</f>
        <v>T163</v>
      </c>
      <c r="C171" t="str">
        <f ca="1">IFERROR(__xludf.DUMMYFUNCTION("""COMPUTED_VALUE"""),"Christiaan Bezuidenhout")</f>
        <v>Christiaan Bezuidenhout</v>
      </c>
      <c r="D171">
        <f ca="1">IFERROR(__xludf.DUMMYFUNCTION("""COMPUTED_VALUE"""),4)</f>
        <v>4</v>
      </c>
      <c r="E171" t="str">
        <f ca="1">IFERROR(__xludf.DUMMYFUNCTION("""COMPUTED_VALUE"""),"3' 5""")</f>
        <v>3' 5"</v>
      </c>
      <c r="F171">
        <f ca="1">IFERROR(__xludf.DUMMYFUNCTION("""COMPUTED_VALUE"""),17)</f>
        <v>17</v>
      </c>
      <c r="G171">
        <f ca="1">IFERROR(__xludf.DUMMYFUNCTION("""COMPUTED_VALUE"""),5)</f>
        <v>5</v>
      </c>
      <c r="H171">
        <f ca="1">IFERROR(__xludf.DUMMYFUNCTION("""COMPUTED_VALUE"""),252)</f>
        <v>252</v>
      </c>
    </row>
    <row r="172" spans="1:8" ht="12.75">
      <c r="A172" t="str">
        <f ca="1">IFERROR(__xludf.DUMMYFUNCTION("""COMPUTED_VALUE"""),"T171")</f>
        <v>T171</v>
      </c>
      <c r="B172" t="str">
        <f ca="1">IFERROR(__xludf.DUMMYFUNCTION("""COMPUTED_VALUE"""),"T167")</f>
        <v>T167</v>
      </c>
      <c r="C172" t="str">
        <f ca="1">IFERROR(__xludf.DUMMYFUNCTION("""COMPUTED_VALUE"""),"Si Woo Kim")</f>
        <v>Si Woo Kim</v>
      </c>
      <c r="D172">
        <f ca="1">IFERROR(__xludf.DUMMYFUNCTION("""COMPUTED_VALUE"""),20)</f>
        <v>20</v>
      </c>
      <c r="E172" t="str">
        <f ca="1">IFERROR(__xludf.DUMMYFUNCTION("""COMPUTED_VALUE"""),"3' 6""")</f>
        <v>3' 6"</v>
      </c>
      <c r="F172">
        <f ca="1">IFERROR(__xludf.DUMMYFUNCTION("""COMPUTED_VALUE"""),24.583)</f>
        <v>24.582999999999998</v>
      </c>
      <c r="G172">
        <f ca="1">IFERROR(__xludf.DUMMYFUNCTION("""COMPUTED_VALUE"""),7)</f>
        <v>7</v>
      </c>
      <c r="H172">
        <f ca="1">IFERROR(__xludf.DUMMYFUNCTION("""COMPUTED_VALUE"""),38)</f>
        <v>38</v>
      </c>
    </row>
    <row r="173" spans="1:8" ht="12.75">
      <c r="A173" t="str">
        <f ca="1">IFERROR(__xludf.DUMMYFUNCTION("""COMPUTED_VALUE"""),"T171")</f>
        <v>T171</v>
      </c>
      <c r="B173" t="str">
        <f ca="1">IFERROR(__xludf.DUMMYFUNCTION("""COMPUTED_VALUE"""),"T167")</f>
        <v>T167</v>
      </c>
      <c r="C173" t="str">
        <f ca="1">IFERROR(__xludf.DUMMYFUNCTION("""COMPUTED_VALUE"""),"Viktor Hovland")</f>
        <v>Viktor Hovland</v>
      </c>
      <c r="D173">
        <f ca="1">IFERROR(__xludf.DUMMYFUNCTION("""COMPUTED_VALUE"""),16)</f>
        <v>16</v>
      </c>
      <c r="E173" t="str">
        <f ca="1">IFERROR(__xludf.DUMMYFUNCTION("""COMPUTED_VALUE"""),"3' 6""")</f>
        <v>3' 6"</v>
      </c>
      <c r="F173">
        <f ca="1">IFERROR(__xludf.DUMMYFUNCTION("""COMPUTED_VALUE"""),21.083)</f>
        <v>21.082999999999998</v>
      </c>
      <c r="G173">
        <f ca="1">IFERROR(__xludf.DUMMYFUNCTION("""COMPUTED_VALUE"""),6)</f>
        <v>6</v>
      </c>
      <c r="H173">
        <f ca="1">IFERROR(__xludf.DUMMYFUNCTION("""COMPUTED_VALUE"""),183)</f>
        <v>183</v>
      </c>
    </row>
    <row r="174" spans="1:8" ht="12.75">
      <c r="A174" t="str">
        <f ca="1">IFERROR(__xludf.DUMMYFUNCTION("""COMPUTED_VALUE"""),"T171")</f>
        <v>T171</v>
      </c>
      <c r="B174" t="str">
        <f ca="1">IFERROR(__xludf.DUMMYFUNCTION("""COMPUTED_VALUE"""),"T167")</f>
        <v>T167</v>
      </c>
      <c r="C174" t="str">
        <f ca="1">IFERROR(__xludf.DUMMYFUNCTION("""COMPUTED_VALUE"""),"Matt Wallace")</f>
        <v>Matt Wallace</v>
      </c>
      <c r="D174">
        <f ca="1">IFERROR(__xludf.DUMMYFUNCTION("""COMPUTED_VALUE"""),4)</f>
        <v>4</v>
      </c>
      <c r="E174" t="str">
        <f ca="1">IFERROR(__xludf.DUMMYFUNCTION("""COMPUTED_VALUE"""),"3' 6""")</f>
        <v>3' 6"</v>
      </c>
      <c r="F174">
        <f ca="1">IFERROR(__xludf.DUMMYFUNCTION("""COMPUTED_VALUE"""),17.333)</f>
        <v>17.332999999999998</v>
      </c>
      <c r="G174">
        <f ca="1">IFERROR(__xludf.DUMMYFUNCTION("""COMPUTED_VALUE"""),5)</f>
        <v>5</v>
      </c>
      <c r="H174">
        <f ca="1">IFERROR(__xludf.DUMMYFUNCTION("""COMPUTED_VALUE"""),284)</f>
        <v>284</v>
      </c>
    </row>
    <row r="175" spans="1:8" ht="12.75">
      <c r="A175" t="str">
        <f ca="1">IFERROR(__xludf.DUMMYFUNCTION("""COMPUTED_VALUE"""),"T171")</f>
        <v>T171</v>
      </c>
      <c r="B175" t="str">
        <f ca="1">IFERROR(__xludf.DUMMYFUNCTION("""COMPUTED_VALUE"""),"T167")</f>
        <v>T167</v>
      </c>
      <c r="C175" t="str">
        <f ca="1">IFERROR(__xludf.DUMMYFUNCTION("""COMPUTED_VALUE"""),"Kurt Kitayama")</f>
        <v>Kurt Kitayama</v>
      </c>
      <c r="D175">
        <f ca="1">IFERROR(__xludf.DUMMYFUNCTION("""COMPUTED_VALUE"""),4)</f>
        <v>4</v>
      </c>
      <c r="E175" t="str">
        <f ca="1">IFERROR(__xludf.DUMMYFUNCTION("""COMPUTED_VALUE"""),"3' 6""")</f>
        <v>3' 6"</v>
      </c>
      <c r="F175">
        <f ca="1">IFERROR(__xludf.DUMMYFUNCTION("""COMPUTED_VALUE"""),6.917)</f>
        <v>6.9169999999999998</v>
      </c>
      <c r="G175">
        <f ca="1">IFERROR(__xludf.DUMMYFUNCTION("""COMPUTED_VALUE"""),2)</f>
        <v>2</v>
      </c>
      <c r="H175">
        <f ca="1">IFERROR(__xludf.DUMMYFUNCTION("""COMPUTED_VALUE"""),172)</f>
        <v>172</v>
      </c>
    </row>
    <row r="176" spans="1:8" ht="12.75">
      <c r="A176" t="str">
        <f ca="1">IFERROR(__xludf.DUMMYFUNCTION("""COMPUTED_VALUE"""),"T171")</f>
        <v>T171</v>
      </c>
      <c r="B176" t="str">
        <f ca="1">IFERROR(__xludf.DUMMYFUNCTION("""COMPUTED_VALUE"""),"T167")</f>
        <v>T167</v>
      </c>
      <c r="C176" t="str">
        <f ca="1">IFERROR(__xludf.DUMMYFUNCTION("""COMPUTED_VALUE"""),"Matt Kuchar")</f>
        <v>Matt Kuchar</v>
      </c>
      <c r="D176">
        <f ca="1">IFERROR(__xludf.DUMMYFUNCTION("""COMPUTED_VALUE"""),14)</f>
        <v>14</v>
      </c>
      <c r="E176" t="str">
        <f ca="1">IFERROR(__xludf.DUMMYFUNCTION("""COMPUTED_VALUE"""),"3' 6""")</f>
        <v>3' 6"</v>
      </c>
      <c r="F176">
        <f ca="1">IFERROR(__xludf.DUMMYFUNCTION("""COMPUTED_VALUE"""),14.083)</f>
        <v>14.083</v>
      </c>
      <c r="G176">
        <f ca="1">IFERROR(__xludf.DUMMYFUNCTION("""COMPUTED_VALUE"""),4)</f>
        <v>4</v>
      </c>
      <c r="H176">
        <f ca="1">IFERROR(__xludf.DUMMYFUNCTION("""COMPUTED_VALUE"""),200)</f>
        <v>200</v>
      </c>
    </row>
    <row r="177" spans="1:8" ht="12.75">
      <c r="A177" t="str">
        <f ca="1">IFERROR(__xludf.DUMMYFUNCTION("""COMPUTED_VALUE"""),"T171")</f>
        <v>T171</v>
      </c>
      <c r="B177" t="str">
        <f ca="1">IFERROR(__xludf.DUMMYFUNCTION("""COMPUTED_VALUE"""),"T167")</f>
        <v>T167</v>
      </c>
      <c r="C177" t="str">
        <f ca="1">IFERROR(__xludf.DUMMYFUNCTION("""COMPUTED_VALUE"""),"Chris Stroud")</f>
        <v>Chris Stroud</v>
      </c>
      <c r="D177">
        <f ca="1">IFERROR(__xludf.DUMMYFUNCTION("""COMPUTED_VALUE"""),6)</f>
        <v>6</v>
      </c>
      <c r="E177" t="str">
        <f ca="1">IFERROR(__xludf.DUMMYFUNCTION("""COMPUTED_VALUE"""),"3' 6""")</f>
        <v>3' 6"</v>
      </c>
      <c r="F177">
        <f ca="1">IFERROR(__xludf.DUMMYFUNCTION("""COMPUTED_VALUE"""),3.5)</f>
        <v>3.5</v>
      </c>
      <c r="G177">
        <f ca="1">IFERROR(__xludf.DUMMYFUNCTION("""COMPUTED_VALUE"""),1)</f>
        <v>1</v>
      </c>
      <c r="H177">
        <f ca="1">IFERROR(__xludf.DUMMYFUNCTION("""COMPUTED_VALUE"""),22)</f>
        <v>22</v>
      </c>
    </row>
    <row r="178" spans="1:8" ht="12.75">
      <c r="A178" t="str">
        <f ca="1">IFERROR(__xludf.DUMMYFUNCTION("""COMPUTED_VALUE"""),"T171")</f>
        <v>T171</v>
      </c>
      <c r="B178" t="str">
        <f ca="1">IFERROR(__xludf.DUMMYFUNCTION("""COMPUTED_VALUE"""),"T111")</f>
        <v>T111</v>
      </c>
      <c r="C178" t="str">
        <f ca="1">IFERROR(__xludf.DUMMYFUNCTION("""COMPUTED_VALUE"""),"Brian Stuard")</f>
        <v>Brian Stuard</v>
      </c>
      <c r="D178">
        <f ca="1">IFERROR(__xludf.DUMMYFUNCTION("""COMPUTED_VALUE"""),18)</f>
        <v>18</v>
      </c>
      <c r="E178" t="str">
        <f ca="1">IFERROR(__xludf.DUMMYFUNCTION("""COMPUTED_VALUE"""),"3' 6""")</f>
        <v>3' 6"</v>
      </c>
      <c r="F178">
        <f ca="1">IFERROR(__xludf.DUMMYFUNCTION("""COMPUTED_VALUE"""),27.75)</f>
        <v>27.75</v>
      </c>
      <c r="G178">
        <f ca="1">IFERROR(__xludf.DUMMYFUNCTION("""COMPUTED_VALUE"""),8)</f>
        <v>8</v>
      </c>
      <c r="H178">
        <f ca="1">IFERROR(__xludf.DUMMYFUNCTION("""COMPUTED_VALUE"""),60)</f>
        <v>60</v>
      </c>
    </row>
    <row r="179" spans="1:8" ht="12.75">
      <c r="A179" t="str">
        <f ca="1">IFERROR(__xludf.DUMMYFUNCTION("""COMPUTED_VALUE"""),"T171")</f>
        <v>T171</v>
      </c>
      <c r="B179" t="str">
        <f ca="1">IFERROR(__xludf.DUMMYFUNCTION("""COMPUTED_VALUE"""),"T167")</f>
        <v>T167</v>
      </c>
      <c r="C179" t="str">
        <f ca="1">IFERROR(__xludf.DUMMYFUNCTION("""COMPUTED_VALUE"""),"Kevin Tway")</f>
        <v>Kevin Tway</v>
      </c>
      <c r="D179">
        <f ca="1">IFERROR(__xludf.DUMMYFUNCTION("""COMPUTED_VALUE"""),16)</f>
        <v>16</v>
      </c>
      <c r="E179" t="str">
        <f ca="1">IFERROR(__xludf.DUMMYFUNCTION("""COMPUTED_VALUE"""),"3' 6""")</f>
        <v>3' 6"</v>
      </c>
      <c r="F179">
        <f ca="1">IFERROR(__xludf.DUMMYFUNCTION("""COMPUTED_VALUE"""),13.833)</f>
        <v>13.833</v>
      </c>
      <c r="G179">
        <f ca="1">IFERROR(__xludf.DUMMYFUNCTION("""COMPUTED_VALUE"""),4)</f>
        <v>4</v>
      </c>
      <c r="H179">
        <f ca="1">IFERROR(__xludf.DUMMYFUNCTION("""COMPUTED_VALUE"""),107)</f>
        <v>107</v>
      </c>
    </row>
    <row r="180" spans="1:8" ht="12.75">
      <c r="A180" t="str">
        <f ca="1">IFERROR(__xludf.DUMMYFUNCTION("""COMPUTED_VALUE"""),"T179")</f>
        <v>T179</v>
      </c>
      <c r="B180" t="str">
        <f ca="1">IFERROR(__xludf.DUMMYFUNCTION("""COMPUTED_VALUE"""),"T174")</f>
        <v>T174</v>
      </c>
      <c r="C180" t="str">
        <f ca="1">IFERROR(__xludf.DUMMYFUNCTION("""COMPUTED_VALUE"""),"Sung Kang")</f>
        <v>Sung Kang</v>
      </c>
      <c r="D180">
        <f ca="1">IFERROR(__xludf.DUMMYFUNCTION("""COMPUTED_VALUE"""),14)</f>
        <v>14</v>
      </c>
      <c r="E180" t="str">
        <f ca="1">IFERROR(__xludf.DUMMYFUNCTION("""COMPUTED_VALUE"""),"3' 7""")</f>
        <v>3' 7"</v>
      </c>
      <c r="F180">
        <f ca="1">IFERROR(__xludf.DUMMYFUNCTION("""COMPUTED_VALUE"""),24.833)</f>
        <v>24.832999999999998</v>
      </c>
      <c r="G180">
        <f ca="1">IFERROR(__xludf.DUMMYFUNCTION("""COMPUTED_VALUE"""),7)</f>
        <v>7</v>
      </c>
      <c r="H180">
        <f ca="1">IFERROR(__xludf.DUMMYFUNCTION("""COMPUTED_VALUE"""),281)</f>
        <v>281</v>
      </c>
    </row>
    <row r="181" spans="1:8" ht="12.75">
      <c r="A181" t="str">
        <f ca="1">IFERROR(__xludf.DUMMYFUNCTION("""COMPUTED_VALUE"""),"T179")</f>
        <v>T179</v>
      </c>
      <c r="B181" t="str">
        <f ca="1">IFERROR(__xludf.DUMMYFUNCTION("""COMPUTED_VALUE"""),"T75")</f>
        <v>T75</v>
      </c>
      <c r="C181" t="str">
        <f ca="1">IFERROR(__xludf.DUMMYFUNCTION("""COMPUTED_VALUE"""),"Bronson Burgoon")</f>
        <v>Bronson Burgoon</v>
      </c>
      <c r="D181">
        <f ca="1">IFERROR(__xludf.DUMMYFUNCTION("""COMPUTED_VALUE"""),10)</f>
        <v>10</v>
      </c>
      <c r="E181" t="str">
        <f ca="1">IFERROR(__xludf.DUMMYFUNCTION("""COMPUTED_VALUE"""),"3' 7""")</f>
        <v>3' 7"</v>
      </c>
      <c r="F181">
        <f ca="1">IFERROR(__xludf.DUMMYFUNCTION("""COMPUTED_VALUE"""),24.917)</f>
        <v>24.917000000000002</v>
      </c>
      <c r="G181">
        <f ca="1">IFERROR(__xludf.DUMMYFUNCTION("""COMPUTED_VALUE"""),7)</f>
        <v>7</v>
      </c>
      <c r="H181">
        <f ca="1">IFERROR(__xludf.DUMMYFUNCTION("""COMPUTED_VALUE"""),232)</f>
        <v>232</v>
      </c>
    </row>
    <row r="182" spans="1:8" ht="12.75">
      <c r="A182" t="str">
        <f ca="1">IFERROR(__xludf.DUMMYFUNCTION("""COMPUTED_VALUE"""),"T179")</f>
        <v>T179</v>
      </c>
      <c r="B182" t="str">
        <f ca="1">IFERROR(__xludf.DUMMYFUNCTION("""COMPUTED_VALUE"""),"T174")</f>
        <v>T174</v>
      </c>
      <c r="C182" t="str">
        <f ca="1">IFERROR(__xludf.DUMMYFUNCTION("""COMPUTED_VALUE"""),"Tim Wilkinson")</f>
        <v>Tim Wilkinson</v>
      </c>
      <c r="D182">
        <f ca="1">IFERROR(__xludf.DUMMYFUNCTION("""COMPUTED_VALUE"""),12)</f>
        <v>12</v>
      </c>
      <c r="E182" t="str">
        <f ca="1">IFERROR(__xludf.DUMMYFUNCTION("""COMPUTED_VALUE"""),"3' 7""")</f>
        <v>3' 7"</v>
      </c>
      <c r="F182">
        <f ca="1">IFERROR(__xludf.DUMMYFUNCTION("""COMPUTED_VALUE"""),7.167)</f>
        <v>7.1669999999999998</v>
      </c>
      <c r="G182">
        <f ca="1">IFERROR(__xludf.DUMMYFUNCTION("""COMPUTED_VALUE"""),2)</f>
        <v>2</v>
      </c>
      <c r="H182">
        <f ca="1">IFERROR(__xludf.DUMMYFUNCTION("""COMPUTED_VALUE"""),27)</f>
        <v>27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IFERROR(__xludf.DUMMYFUNCTION("""COMPUTED_VALUE"""),"T177")</f>
        <v>T177</v>
      </c>
      <c r="C183" t="str">
        <f ca="1">IFERROR(__xludf.DUMMYFUNCTION("""COMPUTED_VALUE"""),"Rikuya Hoshino")</f>
        <v>Rikuya Hoshino</v>
      </c>
      <c r="D183">
        <f ca="1">IFERROR(__xludf.DUMMYFUNCTION("""COMPUTED_VALUE"""),4)</f>
        <v>4</v>
      </c>
      <c r="E183" t="str">
        <f ca="1">IFERROR(__xludf.DUMMYFUNCTION("""COMPUTED_VALUE"""),"3' 8""")</f>
        <v>3' 8"</v>
      </c>
      <c r="F183">
        <f ca="1">IFERROR(__xludf.DUMMYFUNCTION("""COMPUTED_VALUE"""),14.5)</f>
        <v>14.5</v>
      </c>
      <c r="G183">
        <f ca="1">IFERROR(__xludf.DUMMYFUNCTION("""COMPUTED_VALUE"""),4)</f>
        <v>4</v>
      </c>
      <c r="H183">
        <f ca="1">IFERROR(__xludf.DUMMYFUNCTION("""COMPUTED_VALUE"""),13)</f>
        <v>13</v>
      </c>
    </row>
    <row r="184" spans="1:8" ht="12.75">
      <c r="A184" t="str">
        <f ca="1">IFERROR(__xludf.DUMMYFUNCTION("""COMPUTED_VALUE"""),"T182")</f>
        <v>T182</v>
      </c>
      <c r="B184" t="str">
        <f ca="1">IFERROR(__xludf.DUMMYFUNCTION("""COMPUTED_VALUE"""),"T177")</f>
        <v>T177</v>
      </c>
      <c r="C184" t="str">
        <f ca="1">IFERROR(__xludf.DUMMYFUNCTION("""COMPUTED_VALUE"""),"Chesson Hadley")</f>
        <v>Chesson Hadley</v>
      </c>
      <c r="D184">
        <f ca="1">IFERROR(__xludf.DUMMYFUNCTION("""COMPUTED_VALUE"""),16)</f>
        <v>16</v>
      </c>
      <c r="E184" t="str">
        <f ca="1">IFERROR(__xludf.DUMMYFUNCTION("""COMPUTED_VALUE"""),"3' 8""")</f>
        <v>3' 8"</v>
      </c>
      <c r="F184">
        <f ca="1">IFERROR(__xludf.DUMMYFUNCTION("""COMPUTED_VALUE"""),7.25)</f>
        <v>7.25</v>
      </c>
      <c r="G184">
        <f ca="1">IFERROR(__xludf.DUMMYFUNCTION("""COMPUTED_VALUE"""),2)</f>
        <v>2</v>
      </c>
      <c r="H184">
        <f ca="1">IFERROR(__xludf.DUMMYFUNCTION("""COMPUTED_VALUE"""),203)</f>
        <v>203</v>
      </c>
    </row>
    <row r="185" spans="1:8" ht="12.75">
      <c r="A185" t="str">
        <f ca="1">IFERROR(__xludf.DUMMYFUNCTION("""COMPUTED_VALUE"""),"T182")</f>
        <v>T182</v>
      </c>
      <c r="B185" t="str">
        <f ca="1">IFERROR(__xludf.DUMMYFUNCTION("""COMPUTED_VALUE"""),"T177")</f>
        <v>T177</v>
      </c>
      <c r="C185" t="str">
        <f ca="1">IFERROR(__xludf.DUMMYFUNCTION("""COMPUTED_VALUE"""),"Kelly Kraft")</f>
        <v>Kelly Kraft</v>
      </c>
      <c r="D185">
        <f ca="1">IFERROR(__xludf.DUMMYFUNCTION("""COMPUTED_VALUE"""),14)</f>
        <v>14</v>
      </c>
      <c r="E185" t="str">
        <f ca="1">IFERROR(__xludf.DUMMYFUNCTION("""COMPUTED_VALUE"""),"3' 8""")</f>
        <v>3' 8"</v>
      </c>
      <c r="F185">
        <f ca="1">IFERROR(__xludf.DUMMYFUNCTION("""COMPUTED_VALUE"""),14.583)</f>
        <v>14.583</v>
      </c>
      <c r="G185">
        <f ca="1">IFERROR(__xludf.DUMMYFUNCTION("""COMPUTED_VALUE"""),4)</f>
        <v>4</v>
      </c>
      <c r="H185">
        <f ca="1">IFERROR(__xludf.DUMMYFUNCTION("""COMPUTED_VALUE"""),201)</f>
        <v>201</v>
      </c>
    </row>
    <row r="186" spans="1:8" ht="12.75">
      <c r="A186" t="str">
        <f ca="1">IFERROR(__xludf.DUMMYFUNCTION("""COMPUTED_VALUE"""),"T185")</f>
        <v>T185</v>
      </c>
      <c r="B186">
        <f ca="1">IFERROR(__xludf.DUMMYFUNCTION("""COMPUTED_VALUE"""),200)</f>
        <v>200</v>
      </c>
      <c r="C186" t="str">
        <f ca="1">IFERROR(__xludf.DUMMYFUNCTION("""COMPUTED_VALUE"""),"Matthew NeSmith")</f>
        <v>Matthew NeSmith</v>
      </c>
      <c r="D186">
        <f ca="1">IFERROR(__xludf.DUMMYFUNCTION("""COMPUTED_VALUE"""),16)</f>
        <v>16</v>
      </c>
      <c r="E186" t="str">
        <f ca="1">IFERROR(__xludf.DUMMYFUNCTION("""COMPUTED_VALUE"""),"3' 9""")</f>
        <v>3' 9"</v>
      </c>
      <c r="F186">
        <f ca="1">IFERROR(__xludf.DUMMYFUNCTION("""COMPUTED_VALUE"""),14.833)</f>
        <v>14.833</v>
      </c>
      <c r="G186">
        <f ca="1">IFERROR(__xludf.DUMMYFUNCTION("""COMPUTED_VALUE"""),4)</f>
        <v>4</v>
      </c>
      <c r="H186">
        <f ca="1">IFERROR(__xludf.DUMMYFUNCTION("""COMPUTED_VALUE"""),211)</f>
        <v>211</v>
      </c>
    </row>
    <row r="187" spans="1:8" ht="12.75">
      <c r="A187" t="str">
        <f ca="1">IFERROR(__xludf.DUMMYFUNCTION("""COMPUTED_VALUE"""),"T185")</f>
        <v>T185</v>
      </c>
      <c r="B187" t="str">
        <f ca="1">IFERROR(__xludf.DUMMYFUNCTION("""COMPUTED_VALUE"""),"T180")</f>
        <v>T180</v>
      </c>
      <c r="C187" t="str">
        <f ca="1">IFERROR(__xludf.DUMMYFUNCTION("""COMPUTED_VALUE"""),"Jaekyeong Lee")</f>
        <v>Jaekyeong Lee</v>
      </c>
      <c r="D187">
        <f ca="1">IFERROR(__xludf.DUMMYFUNCTION("""COMPUTED_VALUE"""),4)</f>
        <v>4</v>
      </c>
      <c r="E187" t="str">
        <f ca="1">IFERROR(__xludf.DUMMYFUNCTION("""COMPUTED_VALUE"""),"3' 9""")</f>
        <v>3' 9"</v>
      </c>
      <c r="F187">
        <f ca="1">IFERROR(__xludf.DUMMYFUNCTION("""COMPUTED_VALUE"""),14.917)</f>
        <v>14.917</v>
      </c>
      <c r="G187">
        <f ca="1">IFERROR(__xludf.DUMMYFUNCTION("""COMPUTED_VALUE"""),4)</f>
        <v>4</v>
      </c>
      <c r="H187">
        <f ca="1">IFERROR(__xludf.DUMMYFUNCTION("""COMPUTED_VALUE"""),282)</f>
        <v>282</v>
      </c>
    </row>
    <row r="188" spans="1:8" ht="12.75">
      <c r="A188" t="str">
        <f ca="1">IFERROR(__xludf.DUMMYFUNCTION("""COMPUTED_VALUE"""),"T185")</f>
        <v>T185</v>
      </c>
      <c r="B188" t="str">
        <f ca="1">IFERROR(__xludf.DUMMYFUNCTION("""COMPUTED_VALUE"""),"T180")</f>
        <v>T180</v>
      </c>
      <c r="C188" t="str">
        <f ca="1">IFERROR(__xludf.DUMMYFUNCTION("""COMPUTED_VALUE"""),"D.A. Points")</f>
        <v>D.A. Points</v>
      </c>
      <c r="D188">
        <f ca="1">IFERROR(__xludf.DUMMYFUNCTION("""COMPUTED_VALUE"""),12)</f>
        <v>12</v>
      </c>
      <c r="E188" t="str">
        <f ca="1">IFERROR(__xludf.DUMMYFUNCTION("""COMPUTED_VALUE"""),"3' 9""")</f>
        <v>3' 9"</v>
      </c>
      <c r="F188">
        <f ca="1">IFERROR(__xludf.DUMMYFUNCTION("""COMPUTED_VALUE"""),7.417)</f>
        <v>7.4169999999999998</v>
      </c>
      <c r="G188">
        <f ca="1">IFERROR(__xludf.DUMMYFUNCTION("""COMPUTED_VALUE"""),2)</f>
        <v>2</v>
      </c>
      <c r="H188">
        <f ca="1">IFERROR(__xludf.DUMMYFUNCTION("""COMPUTED_VALUE"""),39)</f>
        <v>39</v>
      </c>
    </row>
    <row r="189" spans="1:8" ht="12.75">
      <c r="A189" t="str">
        <f ca="1">IFERROR(__xludf.DUMMYFUNCTION("""COMPUTED_VALUE"""),"T188")</f>
        <v>T188</v>
      </c>
      <c r="B189" t="str">
        <f ca="1">IFERROR(__xludf.DUMMYFUNCTION("""COMPUTED_VALUE"""),"")</f>
        <v/>
      </c>
      <c r="C189" t="str">
        <f ca="1">IFERROR(__xludf.DUMMYFUNCTION("""COMPUTED_VALUE"""),"Adam Scott")</f>
        <v>Adam Scott</v>
      </c>
      <c r="D189">
        <f ca="1">IFERROR(__xludf.DUMMYFUNCTION("""COMPUTED_VALUE"""),8)</f>
        <v>8</v>
      </c>
      <c r="E189" t="str">
        <f ca="1">IFERROR(__xludf.DUMMYFUNCTION("""COMPUTED_VALUE"""),"3' 10""")</f>
        <v>3' 10"</v>
      </c>
      <c r="F189">
        <f ca="1">IFERROR(__xludf.DUMMYFUNCTION("""COMPUTED_VALUE"""),7.583)</f>
        <v>7.5830000000000002</v>
      </c>
      <c r="G189">
        <f ca="1">IFERROR(__xludf.DUMMYFUNCTION("""COMPUTED_VALUE"""),2)</f>
        <v>2</v>
      </c>
      <c r="H189">
        <f ca="1">IFERROR(__xludf.DUMMYFUNCTION("""COMPUTED_VALUE"""),287)</f>
        <v>287</v>
      </c>
    </row>
    <row r="190" spans="1:8" ht="12.75">
      <c r="A190" t="str">
        <f ca="1">IFERROR(__xludf.DUMMYFUNCTION("""COMPUTED_VALUE"""),"T188")</f>
        <v>T188</v>
      </c>
      <c r="B190" t="str">
        <f ca="1">IFERROR(__xludf.DUMMYFUNCTION("""COMPUTED_VALUE"""),"T183")</f>
        <v>T183</v>
      </c>
      <c r="C190" t="str">
        <f ca="1">IFERROR(__xludf.DUMMYFUNCTION("""COMPUTED_VALUE"""),"Shaun Norris")</f>
        <v>Shaun Norris</v>
      </c>
      <c r="D190">
        <f ca="1">IFERROR(__xludf.DUMMYFUNCTION("""COMPUTED_VALUE"""),6)</f>
        <v>6</v>
      </c>
      <c r="E190" t="str">
        <f ca="1">IFERROR(__xludf.DUMMYFUNCTION("""COMPUTED_VALUE"""),"3' 10""")</f>
        <v>3' 10"</v>
      </c>
      <c r="F190">
        <f ca="1">IFERROR(__xludf.DUMMYFUNCTION("""COMPUTED_VALUE"""),22.75)</f>
        <v>22.75</v>
      </c>
      <c r="G190">
        <f ca="1">IFERROR(__xludf.DUMMYFUNCTION("""COMPUTED_VALUE"""),6)</f>
        <v>6</v>
      </c>
      <c r="H190">
        <f ca="1">IFERROR(__xludf.DUMMYFUNCTION("""COMPUTED_VALUE"""),264)</f>
        <v>264</v>
      </c>
    </row>
    <row r="191" spans="1:8" ht="12.75">
      <c r="A191" t="str">
        <f ca="1">IFERROR(__xludf.DUMMYFUNCTION("""COMPUTED_VALUE"""),"T188")</f>
        <v>T188</v>
      </c>
      <c r="B191" t="str">
        <f ca="1">IFERROR(__xludf.DUMMYFUNCTION("""COMPUTED_VALUE"""),"T69")</f>
        <v>T69</v>
      </c>
      <c r="C191" t="str">
        <f ca="1">IFERROR(__xludf.DUMMYFUNCTION("""COMPUTED_VALUE"""),"Jason Day")</f>
        <v>Jason Day</v>
      </c>
      <c r="D191">
        <f ca="1">IFERROR(__xludf.DUMMYFUNCTION("""COMPUTED_VALUE"""),17)</f>
        <v>17</v>
      </c>
      <c r="E191" t="str">
        <f ca="1">IFERROR(__xludf.DUMMYFUNCTION("""COMPUTED_VALUE"""),"3' 10""")</f>
        <v>3' 10"</v>
      </c>
      <c r="F191">
        <f ca="1">IFERROR(__xludf.DUMMYFUNCTION("""COMPUTED_VALUE"""),34.75)</f>
        <v>34.75</v>
      </c>
      <c r="G191">
        <f ca="1">IFERROR(__xludf.DUMMYFUNCTION("""COMPUTED_VALUE"""),9)</f>
        <v>9</v>
      </c>
      <c r="H191">
        <f ca="1">IFERROR(__xludf.DUMMYFUNCTION("""COMPUTED_VALUE"""),109)</f>
        <v>109</v>
      </c>
    </row>
    <row r="192" spans="1:8" ht="12.75">
      <c r="A192" t="str">
        <f ca="1">IFERROR(__xludf.DUMMYFUNCTION("""COMPUTED_VALUE"""),"T188")</f>
        <v>T188</v>
      </c>
      <c r="B192" t="str">
        <f ca="1">IFERROR(__xludf.DUMMYFUNCTION("""COMPUTED_VALUE"""),"T183")</f>
        <v>T183</v>
      </c>
      <c r="C192" t="str">
        <f ca="1">IFERROR(__xludf.DUMMYFUNCTION("""COMPUTED_VALUE"""),"Brandon Hagy")</f>
        <v>Brandon Hagy</v>
      </c>
      <c r="D192">
        <f ca="1">IFERROR(__xludf.DUMMYFUNCTION("""COMPUTED_VALUE"""),10)</f>
        <v>10</v>
      </c>
      <c r="E192" t="str">
        <f ca="1">IFERROR(__xludf.DUMMYFUNCTION("""COMPUTED_VALUE"""),"3' 10""")</f>
        <v>3' 10"</v>
      </c>
      <c r="F192">
        <f ca="1">IFERROR(__xludf.DUMMYFUNCTION("""COMPUTED_VALUE"""),11.583)</f>
        <v>11.583</v>
      </c>
      <c r="G192">
        <f ca="1">IFERROR(__xludf.DUMMYFUNCTION("""COMPUTED_VALUE"""),3)</f>
        <v>3</v>
      </c>
      <c r="H192">
        <f ca="1">IFERROR(__xludf.DUMMYFUNCTION("""COMPUTED_VALUE"""),194)</f>
        <v>194</v>
      </c>
    </row>
    <row r="193" spans="1:8" ht="12.75">
      <c r="A193" t="str">
        <f ca="1">IFERROR(__xludf.DUMMYFUNCTION("""COMPUTED_VALUE"""),"T188")</f>
        <v>T188</v>
      </c>
      <c r="B193" t="str">
        <f ca="1">IFERROR(__xludf.DUMMYFUNCTION("""COMPUTED_VALUE"""),"T183")</f>
        <v>T183</v>
      </c>
      <c r="C193" t="str">
        <f ca="1">IFERROR(__xludf.DUMMYFUNCTION("""COMPUTED_VALUE"""),"Collin Morikawa")</f>
        <v>Collin Morikawa</v>
      </c>
      <c r="D193">
        <f ca="1">IFERROR(__xludf.DUMMYFUNCTION("""COMPUTED_VALUE"""),12)</f>
        <v>12</v>
      </c>
      <c r="E193" t="str">
        <f ca="1">IFERROR(__xludf.DUMMYFUNCTION("""COMPUTED_VALUE"""),"3' 10""")</f>
        <v>3' 10"</v>
      </c>
      <c r="F193">
        <f ca="1">IFERROR(__xludf.DUMMYFUNCTION("""COMPUTED_VALUE"""),30.333)</f>
        <v>30.332999999999998</v>
      </c>
      <c r="G193">
        <f ca="1">IFERROR(__xludf.DUMMYFUNCTION("""COMPUTED_VALUE"""),8)</f>
        <v>8</v>
      </c>
      <c r="H193">
        <f ca="1">IFERROR(__xludf.DUMMYFUNCTION("""COMPUTED_VALUE"""),141)</f>
        <v>141</v>
      </c>
    </row>
    <row r="194" spans="1:8" ht="12.75">
      <c r="A194" t="str">
        <f ca="1">IFERROR(__xludf.DUMMYFUNCTION("""COMPUTED_VALUE"""),"T188")</f>
        <v>T188</v>
      </c>
      <c r="B194" t="str">
        <f ca="1">IFERROR(__xludf.DUMMYFUNCTION("""COMPUTED_VALUE"""),"T183")</f>
        <v>T183</v>
      </c>
      <c r="C194" t="str">
        <f ca="1">IFERROR(__xludf.DUMMYFUNCTION("""COMPUTED_VALUE"""),"Tyler Duncan")</f>
        <v>Tyler Duncan</v>
      </c>
      <c r="D194">
        <f ca="1">IFERROR(__xludf.DUMMYFUNCTION("""COMPUTED_VALUE"""),18)</f>
        <v>18</v>
      </c>
      <c r="E194" t="str">
        <f ca="1">IFERROR(__xludf.DUMMYFUNCTION("""COMPUTED_VALUE"""),"3' 10""")</f>
        <v>3' 10"</v>
      </c>
      <c r="F194">
        <f ca="1">IFERROR(__xludf.DUMMYFUNCTION("""COMPUTED_VALUE"""),42.417)</f>
        <v>42.417000000000002</v>
      </c>
      <c r="G194">
        <f ca="1">IFERROR(__xludf.DUMMYFUNCTION("""COMPUTED_VALUE"""),11)</f>
        <v>11</v>
      </c>
      <c r="H194">
        <f ca="1">IFERROR(__xludf.DUMMYFUNCTION("""COMPUTED_VALUE"""),94)</f>
        <v>94</v>
      </c>
    </row>
    <row r="195" spans="1:8" ht="12.75">
      <c r="A195">
        <f ca="1">IFERROR(__xludf.DUMMYFUNCTION("""COMPUTED_VALUE"""),194)</f>
        <v>194</v>
      </c>
      <c r="B195" t="str">
        <f ca="1">IFERROR(__xludf.DUMMYFUNCTION("""COMPUTED_VALUE"""),"T189")</f>
        <v>T189</v>
      </c>
      <c r="C195" t="str">
        <f ca="1">IFERROR(__xludf.DUMMYFUNCTION("""COMPUTED_VALUE"""),"Max Homa")</f>
        <v>Max Homa</v>
      </c>
      <c r="D195">
        <f ca="1">IFERROR(__xludf.DUMMYFUNCTION("""COMPUTED_VALUE"""),12)</f>
        <v>12</v>
      </c>
      <c r="E195" t="str">
        <f ca="1">IFERROR(__xludf.DUMMYFUNCTION("""COMPUTED_VALUE"""),"3' 11""")</f>
        <v>3' 11"</v>
      </c>
      <c r="F195">
        <f ca="1">IFERROR(__xludf.DUMMYFUNCTION("""COMPUTED_VALUE"""),7.833)</f>
        <v>7.8330000000000002</v>
      </c>
      <c r="G195">
        <f ca="1">IFERROR(__xludf.DUMMYFUNCTION("""COMPUTED_VALUE"""),2)</f>
        <v>2</v>
      </c>
      <c r="H195">
        <f ca="1">IFERROR(__xludf.DUMMYFUNCTION("""COMPUTED_VALUE"""),162)</f>
        <v>162</v>
      </c>
    </row>
    <row r="196" spans="1:8" ht="12.75">
      <c r="A196" t="str">
        <f ca="1">IFERROR(__xludf.DUMMYFUNCTION("""COMPUTED_VALUE"""),"T195")</f>
        <v>T195</v>
      </c>
      <c r="B196">
        <f ca="1">IFERROR(__xludf.DUMMYFUNCTION("""COMPUTED_VALUE"""),191)</f>
        <v>191</v>
      </c>
      <c r="C196" t="str">
        <f ca="1">IFERROR(__xludf.DUMMYFUNCTION("""COMPUTED_VALUE"""),"Doug Ghim")</f>
        <v>Doug Ghim</v>
      </c>
      <c r="D196">
        <f ca="1">IFERROR(__xludf.DUMMYFUNCTION("""COMPUTED_VALUE"""),14)</f>
        <v>14</v>
      </c>
      <c r="E196" t="str">
        <f ca="1">IFERROR(__xludf.DUMMYFUNCTION("""COMPUTED_VALUE"""),"4' 0""")</f>
        <v>4' 0"</v>
      </c>
      <c r="F196">
        <f ca="1">IFERROR(__xludf.DUMMYFUNCTION("""COMPUTED_VALUE"""),20)</f>
        <v>20</v>
      </c>
      <c r="G196">
        <f ca="1">IFERROR(__xludf.DUMMYFUNCTION("""COMPUTED_VALUE"""),5)</f>
        <v>5</v>
      </c>
      <c r="H196">
        <f ca="1">IFERROR(__xludf.DUMMYFUNCTION("""COMPUTED_VALUE"""),15)</f>
        <v>15</v>
      </c>
    </row>
    <row r="197" spans="1:8" ht="12.75">
      <c r="A197" t="str">
        <f ca="1">IFERROR(__xludf.DUMMYFUNCTION("""COMPUTED_VALUE"""),"T195")</f>
        <v>T195</v>
      </c>
      <c r="B197" t="str">
        <f ca="1">IFERROR(__xludf.DUMMYFUNCTION("""COMPUTED_VALUE"""),"T216")</f>
        <v>T216</v>
      </c>
      <c r="C197" t="str">
        <f ca="1">IFERROR(__xludf.DUMMYFUNCTION("""COMPUTED_VALUE"""),"Brice Garnett")</f>
        <v>Brice Garnett</v>
      </c>
      <c r="D197">
        <f ca="1">IFERROR(__xludf.DUMMYFUNCTION("""COMPUTED_VALUE"""),22)</f>
        <v>22</v>
      </c>
      <c r="E197" t="str">
        <f ca="1">IFERROR(__xludf.DUMMYFUNCTION("""COMPUTED_VALUE"""),"4' 0""")</f>
        <v>4' 0"</v>
      </c>
      <c r="F197">
        <f ca="1">IFERROR(__xludf.DUMMYFUNCTION("""COMPUTED_VALUE"""),24.083)</f>
        <v>24.082999999999998</v>
      </c>
      <c r="G197">
        <f ca="1">IFERROR(__xludf.DUMMYFUNCTION("""COMPUTED_VALUE"""),6)</f>
        <v>6</v>
      </c>
      <c r="H197">
        <f ca="1">IFERROR(__xludf.DUMMYFUNCTION("""COMPUTED_VALUE"""),77)</f>
        <v>77</v>
      </c>
    </row>
    <row r="198" spans="1:8" ht="12.75">
      <c r="A198" t="str">
        <f ca="1">IFERROR(__xludf.DUMMYFUNCTION("""COMPUTED_VALUE"""),"T197")</f>
        <v>T197</v>
      </c>
      <c r="B198" t="str">
        <f ca="1">IFERROR(__xludf.DUMMYFUNCTION("""COMPUTED_VALUE"""),"T139")</f>
        <v>T139</v>
      </c>
      <c r="C198" t="str">
        <f ca="1">IFERROR(__xludf.DUMMYFUNCTION("""COMPUTED_VALUE"""),"C.T. Pan")</f>
        <v>C.T. Pan</v>
      </c>
      <c r="D198">
        <f ca="1">IFERROR(__xludf.DUMMYFUNCTION("""COMPUTED_VALUE"""),20)</f>
        <v>20</v>
      </c>
      <c r="E198" t="str">
        <f ca="1">IFERROR(__xludf.DUMMYFUNCTION("""COMPUTED_VALUE"""),"4' 1""")</f>
        <v>4' 1"</v>
      </c>
      <c r="F198">
        <f ca="1">IFERROR(__xludf.DUMMYFUNCTION("""COMPUTED_VALUE"""),44.5)</f>
        <v>44.5</v>
      </c>
      <c r="G198">
        <f ca="1">IFERROR(__xludf.DUMMYFUNCTION("""COMPUTED_VALUE"""),11)</f>
        <v>11</v>
      </c>
      <c r="H198">
        <f ca="1">IFERROR(__xludf.DUMMYFUNCTION("""COMPUTED_VALUE"""),66)</f>
        <v>66</v>
      </c>
    </row>
    <row r="199" spans="1:8" ht="12.75">
      <c r="A199" t="str">
        <f ca="1">IFERROR(__xludf.DUMMYFUNCTION("""COMPUTED_VALUE"""),"T197")</f>
        <v>T197</v>
      </c>
      <c r="B199" t="str">
        <f ca="1">IFERROR(__xludf.DUMMYFUNCTION("""COMPUTED_VALUE"""),"T192")</f>
        <v>T192</v>
      </c>
      <c r="C199" t="str">
        <f ca="1">IFERROR(__xludf.DUMMYFUNCTION("""COMPUTED_VALUE"""),"Kevin Na")</f>
        <v>Kevin Na</v>
      </c>
      <c r="D199">
        <f ca="1">IFERROR(__xludf.DUMMYFUNCTION("""COMPUTED_VALUE"""),14)</f>
        <v>14</v>
      </c>
      <c r="E199" t="str">
        <f ca="1">IFERROR(__xludf.DUMMYFUNCTION("""COMPUTED_VALUE"""),"4' 1""")</f>
        <v>4' 1"</v>
      </c>
      <c r="F199">
        <f ca="1">IFERROR(__xludf.DUMMYFUNCTION("""COMPUTED_VALUE"""),16.417)</f>
        <v>16.417000000000002</v>
      </c>
      <c r="G199">
        <f ca="1">IFERROR(__xludf.DUMMYFUNCTION("""COMPUTED_VALUE"""),4)</f>
        <v>4</v>
      </c>
      <c r="H199">
        <f ca="1">IFERROR(__xludf.DUMMYFUNCTION("""COMPUTED_VALUE"""),197)</f>
        <v>197</v>
      </c>
    </row>
    <row r="200" spans="1:8" ht="12.75">
      <c r="A200" t="str">
        <f ca="1">IFERROR(__xludf.DUMMYFUNCTION("""COMPUTED_VALUE"""),"T197")</f>
        <v>T197</v>
      </c>
      <c r="B200" t="str">
        <f ca="1">IFERROR(__xludf.DUMMYFUNCTION("""COMPUTED_VALUE"""),"T192")</f>
        <v>T192</v>
      </c>
      <c r="C200" t="str">
        <f ca="1">IFERROR(__xludf.DUMMYFUNCTION("""COMPUTED_VALUE"""),"Jon Rahm")</f>
        <v>Jon Rahm</v>
      </c>
      <c r="D200">
        <f ca="1">IFERROR(__xludf.DUMMYFUNCTION("""COMPUTED_VALUE"""),12)</f>
        <v>12</v>
      </c>
      <c r="E200" t="str">
        <f ca="1">IFERROR(__xludf.DUMMYFUNCTION("""COMPUTED_VALUE"""),"4' 1""")</f>
        <v>4' 1"</v>
      </c>
      <c r="F200">
        <f ca="1">IFERROR(__xludf.DUMMYFUNCTION("""COMPUTED_VALUE"""),24.333)</f>
        <v>24.332999999999998</v>
      </c>
      <c r="G200">
        <f ca="1">IFERROR(__xludf.DUMMYFUNCTION("""COMPUTED_VALUE"""),6)</f>
        <v>6</v>
      </c>
      <c r="H200">
        <f ca="1">IFERROR(__xludf.DUMMYFUNCTION("""COMPUTED_VALUE"""),154)</f>
        <v>154</v>
      </c>
    </row>
    <row r="201" spans="1:8" ht="12.75">
      <c r="A201" t="str">
        <f ca="1">IFERROR(__xludf.DUMMYFUNCTION("""COMPUTED_VALUE"""),"T197")</f>
        <v>T197</v>
      </c>
      <c r="B201" t="str">
        <f ca="1">IFERROR(__xludf.DUMMYFUNCTION("""COMPUTED_VALUE"""),"T209")</f>
        <v>T209</v>
      </c>
      <c r="C201" t="str">
        <f ca="1">IFERROR(__xludf.DUMMYFUNCTION("""COMPUTED_VALUE"""),"Scottie Scheffler")</f>
        <v>Scottie Scheffler</v>
      </c>
      <c r="D201">
        <f ca="1">IFERROR(__xludf.DUMMYFUNCTION("""COMPUTED_VALUE"""),18)</f>
        <v>18</v>
      </c>
      <c r="E201" t="str">
        <f ca="1">IFERROR(__xludf.DUMMYFUNCTION("""COMPUTED_VALUE"""),"4' 1""")</f>
        <v>4' 1"</v>
      </c>
      <c r="F201">
        <f ca="1">IFERROR(__xludf.DUMMYFUNCTION("""COMPUTED_VALUE"""),40.917)</f>
        <v>40.917000000000002</v>
      </c>
      <c r="G201">
        <f ca="1">IFERROR(__xludf.DUMMYFUNCTION("""COMPUTED_VALUE"""),10)</f>
        <v>10</v>
      </c>
      <c r="H201">
        <f ca="1">IFERROR(__xludf.DUMMYFUNCTION("""COMPUTED_VALUE"""),168)</f>
        <v>168</v>
      </c>
    </row>
    <row r="202" spans="1:8" ht="12.75">
      <c r="A202" t="str">
        <f ca="1">IFERROR(__xludf.DUMMYFUNCTION("""COMPUTED_VALUE"""),"T201")</f>
        <v>T201</v>
      </c>
      <c r="B202" t="str">
        <f ca="1">IFERROR(__xludf.DUMMYFUNCTION("""COMPUTED_VALUE"""),"T194")</f>
        <v>T194</v>
      </c>
      <c r="C202" t="str">
        <f ca="1">IFERROR(__xludf.DUMMYFUNCTION("""COMPUTED_VALUE"""),"Will Zalatoris")</f>
        <v>Will Zalatoris</v>
      </c>
      <c r="D202">
        <f ca="1">IFERROR(__xludf.DUMMYFUNCTION("""COMPUTED_VALUE"""),18)</f>
        <v>18</v>
      </c>
      <c r="E202" t="str">
        <f ca="1">IFERROR(__xludf.DUMMYFUNCTION("""COMPUTED_VALUE"""),"4' 2""")</f>
        <v>4' 2"</v>
      </c>
      <c r="F202">
        <f ca="1">IFERROR(__xludf.DUMMYFUNCTION("""COMPUTED_VALUE"""),50.417)</f>
        <v>50.417000000000002</v>
      </c>
      <c r="G202">
        <f ca="1">IFERROR(__xludf.DUMMYFUNCTION("""COMPUTED_VALUE"""),12)</f>
        <v>12</v>
      </c>
      <c r="H202">
        <f ca="1">IFERROR(__xludf.DUMMYFUNCTION("""COMPUTED_VALUE"""),48)</f>
        <v>48</v>
      </c>
    </row>
    <row r="203" spans="1:8" ht="12.75">
      <c r="A203" t="str">
        <f ca="1">IFERROR(__xludf.DUMMYFUNCTION("""COMPUTED_VALUE"""),"T201")</f>
        <v>T201</v>
      </c>
      <c r="B203" t="str">
        <f ca="1">IFERROR(__xludf.DUMMYFUNCTION("""COMPUTED_VALUE"""),"T194")</f>
        <v>T194</v>
      </c>
      <c r="C203" t="str">
        <f ca="1">IFERROR(__xludf.DUMMYFUNCTION("""COMPUTED_VALUE"""),"John Pak")</f>
        <v>John Pak</v>
      </c>
      <c r="D203">
        <f ca="1">IFERROR(__xludf.DUMMYFUNCTION("""COMPUTED_VALUE"""),4)</f>
        <v>4</v>
      </c>
      <c r="E203" t="str">
        <f ca="1">IFERROR(__xludf.DUMMYFUNCTION("""COMPUTED_VALUE"""),"4' 2""")</f>
        <v>4' 2"</v>
      </c>
      <c r="F203">
        <f ca="1">IFERROR(__xludf.DUMMYFUNCTION("""COMPUTED_VALUE"""),29.417)</f>
        <v>29.417000000000002</v>
      </c>
      <c r="G203">
        <f ca="1">IFERROR(__xludf.DUMMYFUNCTION("""COMPUTED_VALUE"""),7)</f>
        <v>7</v>
      </c>
      <c r="H203">
        <f ca="1">IFERROR(__xludf.DUMMYFUNCTION("""COMPUTED_VALUE"""),277)</f>
        <v>277</v>
      </c>
    </row>
    <row r="204" spans="1:8" ht="12.75">
      <c r="A204" t="str">
        <f ca="1">IFERROR(__xludf.DUMMYFUNCTION("""COMPUTED_VALUE"""),"T201")</f>
        <v>T201</v>
      </c>
      <c r="B204" t="str">
        <f ca="1">IFERROR(__xludf.DUMMYFUNCTION("""COMPUTED_VALUE"""),"T194")</f>
        <v>T194</v>
      </c>
      <c r="C204" t="str">
        <f ca="1">IFERROR(__xludf.DUMMYFUNCTION("""COMPUTED_VALUE"""),"Charles Howell III")</f>
        <v>Charles Howell III</v>
      </c>
      <c r="D204">
        <f ca="1">IFERROR(__xludf.DUMMYFUNCTION("""COMPUTED_VALUE"""),10)</f>
        <v>10</v>
      </c>
      <c r="E204" t="str">
        <f ca="1">IFERROR(__xludf.DUMMYFUNCTION("""COMPUTED_VALUE"""),"4' 2""")</f>
        <v>4' 2"</v>
      </c>
      <c r="F204">
        <f ca="1">IFERROR(__xludf.DUMMYFUNCTION("""COMPUTED_VALUE"""),33)</f>
        <v>33</v>
      </c>
      <c r="G204">
        <f ca="1">IFERROR(__xludf.DUMMYFUNCTION("""COMPUTED_VALUE"""),8)</f>
        <v>8</v>
      </c>
      <c r="H204">
        <f ca="1">IFERROR(__xludf.DUMMYFUNCTION("""COMPUTED_VALUE"""),51)</f>
        <v>51</v>
      </c>
    </row>
    <row r="205" spans="1:8" ht="12.75">
      <c r="A205" t="str">
        <f ca="1">IFERROR(__xludf.DUMMYFUNCTION("""COMPUTED_VALUE"""),"T201")</f>
        <v>T201</v>
      </c>
      <c r="B205">
        <f ca="1">IFERROR(__xludf.DUMMYFUNCTION("""COMPUTED_VALUE"""),234)</f>
        <v>234</v>
      </c>
      <c r="C205" t="str">
        <f ca="1">IFERROR(__xludf.DUMMYFUNCTION("""COMPUTED_VALUE"""),"Troy Merritt")</f>
        <v>Troy Merritt</v>
      </c>
      <c r="D205">
        <f ca="1">IFERROR(__xludf.DUMMYFUNCTION("""COMPUTED_VALUE"""),20)</f>
        <v>20</v>
      </c>
      <c r="E205" t="str">
        <f ca="1">IFERROR(__xludf.DUMMYFUNCTION("""COMPUTED_VALUE"""),"4' 2""")</f>
        <v>4' 2"</v>
      </c>
      <c r="F205">
        <f ca="1">IFERROR(__xludf.DUMMYFUNCTION("""COMPUTED_VALUE"""),37.5)</f>
        <v>37.5</v>
      </c>
      <c r="G205">
        <f ca="1">IFERROR(__xludf.DUMMYFUNCTION("""COMPUTED_VALUE"""),9)</f>
        <v>9</v>
      </c>
      <c r="H205">
        <f ca="1">IFERROR(__xludf.DUMMYFUNCTION("""COMPUTED_VALUE"""),90)</f>
        <v>90</v>
      </c>
    </row>
    <row r="206" spans="1:8" ht="12.75">
      <c r="A206" t="str">
        <f ca="1">IFERROR(__xludf.DUMMYFUNCTION("""COMPUTED_VALUE"""),"T205")</f>
        <v>T205</v>
      </c>
      <c r="B206" t="str">
        <f ca="1">IFERROR(__xludf.DUMMYFUNCTION("""COMPUTED_VALUE"""),"T197")</f>
        <v>T197</v>
      </c>
      <c r="C206" t="str">
        <f ca="1">IFERROR(__xludf.DUMMYFUNCTION("""COMPUTED_VALUE"""),"Paul Casey")</f>
        <v>Paul Casey</v>
      </c>
      <c r="D206">
        <f ca="1">IFERROR(__xludf.DUMMYFUNCTION("""COMPUTED_VALUE"""),14)</f>
        <v>14</v>
      </c>
      <c r="E206" t="str">
        <f ca="1">IFERROR(__xludf.DUMMYFUNCTION("""COMPUTED_VALUE"""),"4' 3""")</f>
        <v>4' 3"</v>
      </c>
      <c r="F206">
        <f ca="1">IFERROR(__xludf.DUMMYFUNCTION("""COMPUTED_VALUE"""),25.667)</f>
        <v>25.667000000000002</v>
      </c>
      <c r="G206">
        <f ca="1">IFERROR(__xludf.DUMMYFUNCTION("""COMPUTED_VALUE"""),6)</f>
        <v>6</v>
      </c>
      <c r="H206">
        <f ca="1">IFERROR(__xludf.DUMMYFUNCTION("""COMPUTED_VALUE"""),163)</f>
        <v>163</v>
      </c>
    </row>
    <row r="207" spans="1:8" ht="12.75">
      <c r="A207" t="str">
        <f ca="1">IFERROR(__xludf.DUMMYFUNCTION("""COMPUTED_VALUE"""),"T205")</f>
        <v>T205</v>
      </c>
      <c r="B207" t="str">
        <f ca="1">IFERROR(__xludf.DUMMYFUNCTION("""COMPUTED_VALUE"""),"T197")</f>
        <v>T197</v>
      </c>
      <c r="C207" t="str">
        <f ca="1">IFERROR(__xludf.DUMMYFUNCTION("""COMPUTED_VALUE"""),"Jason Dufner")</f>
        <v>Jason Dufner</v>
      </c>
      <c r="D207">
        <f ca="1">IFERROR(__xludf.DUMMYFUNCTION("""COMPUTED_VALUE"""),14)</f>
        <v>14</v>
      </c>
      <c r="E207" t="str">
        <f ca="1">IFERROR(__xludf.DUMMYFUNCTION("""COMPUTED_VALUE"""),"4' 3""")</f>
        <v>4' 3"</v>
      </c>
      <c r="F207">
        <f ca="1">IFERROR(__xludf.DUMMYFUNCTION("""COMPUTED_VALUE"""),12.75)</f>
        <v>12.75</v>
      </c>
      <c r="G207">
        <f ca="1">IFERROR(__xludf.DUMMYFUNCTION("""COMPUTED_VALUE"""),3)</f>
        <v>3</v>
      </c>
      <c r="H207">
        <f ca="1">IFERROR(__xludf.DUMMYFUNCTION("""COMPUTED_VALUE"""),166)</f>
        <v>166</v>
      </c>
    </row>
    <row r="208" spans="1:8" ht="12.75">
      <c r="A208" t="str">
        <f ca="1">IFERROR(__xludf.DUMMYFUNCTION("""COMPUTED_VALUE"""),"T205")</f>
        <v>T205</v>
      </c>
      <c r="B208" t="str">
        <f ca="1">IFERROR(__xludf.DUMMYFUNCTION("""COMPUTED_VALUE"""),"T197")</f>
        <v>T197</v>
      </c>
      <c r="C208" t="str">
        <f ca="1">IFERROR(__xludf.DUMMYFUNCTION("""COMPUTED_VALUE"""),"Chase Seiffert")</f>
        <v>Chase Seiffert</v>
      </c>
      <c r="D208">
        <f ca="1">IFERROR(__xludf.DUMMYFUNCTION("""COMPUTED_VALUE"""),14)</f>
        <v>14</v>
      </c>
      <c r="E208" t="str">
        <f ca="1">IFERROR(__xludf.DUMMYFUNCTION("""COMPUTED_VALUE"""),"4' 3""")</f>
        <v>4' 3"</v>
      </c>
      <c r="F208">
        <f ca="1">IFERROR(__xludf.DUMMYFUNCTION("""COMPUTED_VALUE"""),29.833)</f>
        <v>29.832999999999998</v>
      </c>
      <c r="G208">
        <f ca="1">IFERROR(__xludf.DUMMYFUNCTION("""COMPUTED_VALUE"""),7)</f>
        <v>7</v>
      </c>
      <c r="H208">
        <f ca="1">IFERROR(__xludf.DUMMYFUNCTION("""COMPUTED_VALUE"""),85)</f>
        <v>85</v>
      </c>
    </row>
    <row r="209" spans="1:8" ht="12.75">
      <c r="A209">
        <f ca="1">IFERROR(__xludf.DUMMYFUNCTION("""COMPUTED_VALUE"""),208)</f>
        <v>208</v>
      </c>
      <c r="B209" t="str">
        <f ca="1">IFERROR(__xludf.DUMMYFUNCTION("""COMPUTED_VALUE"""),"T92")</f>
        <v>T92</v>
      </c>
      <c r="C209" t="str">
        <f ca="1">IFERROR(__xludf.DUMMYFUNCTION("""COMPUTED_VALUE"""),"Mackenzie Hughes")</f>
        <v>Mackenzie Hughes</v>
      </c>
      <c r="D209">
        <f ca="1">IFERROR(__xludf.DUMMYFUNCTION("""COMPUTED_VALUE"""),18)</f>
        <v>18</v>
      </c>
      <c r="E209" t="str">
        <f ca="1">IFERROR(__xludf.DUMMYFUNCTION("""COMPUTED_VALUE"""),"4' 4""")</f>
        <v>4' 4"</v>
      </c>
      <c r="F209">
        <f ca="1">IFERROR(__xludf.DUMMYFUNCTION("""COMPUTED_VALUE"""),39)</f>
        <v>39</v>
      </c>
      <c r="G209">
        <f ca="1">IFERROR(__xludf.DUMMYFUNCTION("""COMPUTED_VALUE"""),9)</f>
        <v>9</v>
      </c>
      <c r="H209">
        <f ca="1">IFERROR(__xludf.DUMMYFUNCTION("""COMPUTED_VALUE"""),189)</f>
        <v>189</v>
      </c>
    </row>
    <row r="210" spans="1:8" ht="12.75">
      <c r="A210">
        <f ca="1">IFERROR(__xludf.DUMMYFUNCTION("""COMPUTED_VALUE"""),209)</f>
        <v>209</v>
      </c>
      <c r="B210" t="str">
        <f ca="1">IFERROR(__xludf.DUMMYFUNCTION("""COMPUTED_VALUE"""),"T201")</f>
        <v>T201</v>
      </c>
      <c r="C210" t="str">
        <f ca="1">IFERROR(__xludf.DUMMYFUNCTION("""COMPUTED_VALUE"""),"Michael Kim")</f>
        <v>Michael Kim</v>
      </c>
      <c r="D210">
        <f ca="1">IFERROR(__xludf.DUMMYFUNCTION("""COMPUTED_VALUE"""),12)</f>
        <v>12</v>
      </c>
      <c r="E210" t="str">
        <f ca="1">IFERROR(__xludf.DUMMYFUNCTION("""COMPUTED_VALUE"""),"4' 5""")</f>
        <v>4' 5"</v>
      </c>
      <c r="F210">
        <f ca="1">IFERROR(__xludf.DUMMYFUNCTION("""COMPUTED_VALUE"""),17.667)</f>
        <v>17.667000000000002</v>
      </c>
      <c r="G210">
        <f ca="1">IFERROR(__xludf.DUMMYFUNCTION("""COMPUTED_VALUE"""),4)</f>
        <v>4</v>
      </c>
      <c r="H210">
        <f ca="1">IFERROR(__xludf.DUMMYFUNCTION("""COMPUTED_VALUE"""),137)</f>
        <v>137</v>
      </c>
    </row>
    <row r="211" spans="1:8" ht="12.75">
      <c r="A211" t="str">
        <f ca="1">IFERROR(__xludf.DUMMYFUNCTION("""COMPUTED_VALUE"""),"T210")</f>
        <v>T210</v>
      </c>
      <c r="B211" t="str">
        <f ca="1">IFERROR(__xludf.DUMMYFUNCTION("""COMPUTED_VALUE"""),"T203")</f>
        <v>T203</v>
      </c>
      <c r="C211" t="str">
        <f ca="1">IFERROR(__xludf.DUMMYFUNCTION("""COMPUTED_VALUE"""),"Tom Hoge")</f>
        <v>Tom Hoge</v>
      </c>
      <c r="D211">
        <f ca="1">IFERROR(__xludf.DUMMYFUNCTION("""COMPUTED_VALUE"""),22)</f>
        <v>22</v>
      </c>
      <c r="E211" t="str">
        <f ca="1">IFERROR(__xludf.DUMMYFUNCTION("""COMPUTED_VALUE"""),"4' 6""")</f>
        <v>4' 6"</v>
      </c>
      <c r="F211">
        <f ca="1">IFERROR(__xludf.DUMMYFUNCTION("""COMPUTED_VALUE"""),58.333)</f>
        <v>58.332999999999998</v>
      </c>
      <c r="G211">
        <f ca="1">IFERROR(__xludf.DUMMYFUNCTION("""COMPUTED_VALUE"""),13)</f>
        <v>13</v>
      </c>
      <c r="H211">
        <f ca="1">IFERROR(__xludf.DUMMYFUNCTION("""COMPUTED_VALUE"""),102)</f>
        <v>102</v>
      </c>
    </row>
    <row r="212" spans="1:8" ht="12.75">
      <c r="A212" t="str">
        <f ca="1">IFERROR(__xludf.DUMMYFUNCTION("""COMPUTED_VALUE"""),"T210")</f>
        <v>T210</v>
      </c>
      <c r="B212" t="str">
        <f ca="1">IFERROR(__xludf.DUMMYFUNCTION("""COMPUTED_VALUE"""),"T203")</f>
        <v>T203</v>
      </c>
      <c r="C212" t="str">
        <f ca="1">IFERROR(__xludf.DUMMYFUNCTION("""COMPUTED_VALUE"""),"Parker McLachlin")</f>
        <v>Parker McLachlin</v>
      </c>
      <c r="D212">
        <f ca="1">IFERROR(__xludf.DUMMYFUNCTION("""COMPUTED_VALUE"""),4)</f>
        <v>4</v>
      </c>
      <c r="E212" t="str">
        <f ca="1">IFERROR(__xludf.DUMMYFUNCTION("""COMPUTED_VALUE"""),"4' 6""")</f>
        <v>4' 6"</v>
      </c>
      <c r="F212">
        <f ca="1">IFERROR(__xludf.DUMMYFUNCTION("""COMPUTED_VALUE"""),13.5)</f>
        <v>13.5</v>
      </c>
      <c r="G212">
        <f ca="1">IFERROR(__xludf.DUMMYFUNCTION("""COMPUTED_VALUE"""),3)</f>
        <v>3</v>
      </c>
      <c r="H212">
        <f ca="1">IFERROR(__xludf.DUMMYFUNCTION("""COMPUTED_VALUE"""),167)</f>
        <v>167</v>
      </c>
    </row>
    <row r="213" spans="1:8" ht="12.75">
      <c r="A213" t="str">
        <f ca="1">IFERROR(__xludf.DUMMYFUNCTION("""COMPUTED_VALUE"""),"T212")</f>
        <v>T212</v>
      </c>
      <c r="B213" t="str">
        <f ca="1">IFERROR(__xludf.DUMMYFUNCTION("""COMPUTED_VALUE"""),"T206")</f>
        <v>T206</v>
      </c>
      <c r="C213" t="str">
        <f ca="1">IFERROR(__xludf.DUMMYFUNCTION("""COMPUTED_VALUE"""),"Bubba Watson")</f>
        <v>Bubba Watson</v>
      </c>
      <c r="D213">
        <f ca="1">IFERROR(__xludf.DUMMYFUNCTION("""COMPUTED_VALUE"""),12)</f>
        <v>12</v>
      </c>
      <c r="E213" t="str">
        <f ca="1">IFERROR(__xludf.DUMMYFUNCTION("""COMPUTED_VALUE"""),"4' 7""")</f>
        <v>4' 7"</v>
      </c>
      <c r="F213">
        <f ca="1">IFERROR(__xludf.DUMMYFUNCTION("""COMPUTED_VALUE"""),18.167)</f>
        <v>18.167000000000002</v>
      </c>
      <c r="G213">
        <f ca="1">IFERROR(__xludf.DUMMYFUNCTION("""COMPUTED_VALUE"""),4)</f>
        <v>4</v>
      </c>
      <c r="H213">
        <f ca="1">IFERROR(__xludf.DUMMYFUNCTION("""COMPUTED_VALUE"""),131)</f>
        <v>131</v>
      </c>
    </row>
    <row r="214" spans="1:8" ht="12.75">
      <c r="A214" t="str">
        <f ca="1">IFERROR(__xludf.DUMMYFUNCTION("""COMPUTED_VALUE"""),"T212")</f>
        <v>T212</v>
      </c>
      <c r="B214" t="str">
        <f ca="1">IFERROR(__xludf.DUMMYFUNCTION("""COMPUTED_VALUE"""),"T206")</f>
        <v>T206</v>
      </c>
      <c r="C214" t="str">
        <f ca="1">IFERROR(__xludf.DUMMYFUNCTION("""COMPUTED_VALUE"""),"Robert Streb")</f>
        <v>Robert Streb</v>
      </c>
      <c r="D214">
        <f ca="1">IFERROR(__xludf.DUMMYFUNCTION("""COMPUTED_VALUE"""),12)</f>
        <v>12</v>
      </c>
      <c r="E214" t="str">
        <f ca="1">IFERROR(__xludf.DUMMYFUNCTION("""COMPUTED_VALUE"""),"4' 7""")</f>
        <v>4' 7"</v>
      </c>
      <c r="F214">
        <f ca="1">IFERROR(__xludf.DUMMYFUNCTION("""COMPUTED_VALUE"""),4.583)</f>
        <v>4.5830000000000002</v>
      </c>
      <c r="G214">
        <f ca="1">IFERROR(__xludf.DUMMYFUNCTION("""COMPUTED_VALUE"""),1)</f>
        <v>1</v>
      </c>
      <c r="H214">
        <f ca="1">IFERROR(__xludf.DUMMYFUNCTION("""COMPUTED_VALUE"""),158)</f>
        <v>158</v>
      </c>
    </row>
    <row r="215" spans="1:8" ht="12.75">
      <c r="A215" t="str">
        <f ca="1">IFERROR(__xludf.DUMMYFUNCTION("""COMPUTED_VALUE"""),"T212")</f>
        <v>T212</v>
      </c>
      <c r="B215" t="str">
        <f ca="1">IFERROR(__xludf.DUMMYFUNCTION("""COMPUTED_VALUE"""),"T206")</f>
        <v>T206</v>
      </c>
      <c r="C215" t="str">
        <f ca="1">IFERROR(__xludf.DUMMYFUNCTION("""COMPUTED_VALUE"""),"Matthew Fitzpatrick")</f>
        <v>Matthew Fitzpatrick</v>
      </c>
      <c r="D215">
        <f ca="1">IFERROR(__xludf.DUMMYFUNCTION("""COMPUTED_VALUE"""),10)</f>
        <v>10</v>
      </c>
      <c r="E215" t="str">
        <f ca="1">IFERROR(__xludf.DUMMYFUNCTION("""COMPUTED_VALUE"""),"4' 7""")</f>
        <v>4' 7"</v>
      </c>
      <c r="F215">
        <f ca="1">IFERROR(__xludf.DUMMYFUNCTION("""COMPUTED_VALUE"""),27.667)</f>
        <v>27.667000000000002</v>
      </c>
      <c r="G215">
        <f ca="1">IFERROR(__xludf.DUMMYFUNCTION("""COMPUTED_VALUE"""),6)</f>
        <v>6</v>
      </c>
      <c r="H215">
        <f ca="1">IFERROR(__xludf.DUMMYFUNCTION("""COMPUTED_VALUE"""),230)</f>
        <v>230</v>
      </c>
    </row>
    <row r="216" spans="1:8" ht="12.75">
      <c r="A216">
        <f ca="1">IFERROR(__xludf.DUMMYFUNCTION("""COMPUTED_VALUE"""),215)</f>
        <v>215</v>
      </c>
      <c r="B216" t="str">
        <f ca="1">IFERROR(__xludf.DUMMYFUNCTION("""COMPUTED_VALUE"""),"T209")</f>
        <v>T209</v>
      </c>
      <c r="C216" t="str">
        <f ca="1">IFERROR(__xludf.DUMMYFUNCTION("""COMPUTED_VALUE"""),"Wesley Bryan")</f>
        <v>Wesley Bryan</v>
      </c>
      <c r="D216">
        <f ca="1">IFERROR(__xludf.DUMMYFUNCTION("""COMPUTED_VALUE"""),8)</f>
        <v>8</v>
      </c>
      <c r="E216" t="str">
        <f ca="1">IFERROR(__xludf.DUMMYFUNCTION("""COMPUTED_VALUE"""),"4' 8""")</f>
        <v>4' 8"</v>
      </c>
      <c r="F216">
        <f ca="1">IFERROR(__xludf.DUMMYFUNCTION("""COMPUTED_VALUE"""),13.917)</f>
        <v>13.917</v>
      </c>
      <c r="G216">
        <f ca="1">IFERROR(__xludf.DUMMYFUNCTION("""COMPUTED_VALUE"""),3)</f>
        <v>3</v>
      </c>
      <c r="H216">
        <f ca="1">IFERROR(__xludf.DUMMYFUNCTION("""COMPUTED_VALUE"""),174)</f>
        <v>174</v>
      </c>
    </row>
    <row r="217" spans="1:8" ht="12.75">
      <c r="A217" t="str">
        <f ca="1">IFERROR(__xludf.DUMMYFUNCTION("""COMPUTED_VALUE"""),"T216")</f>
        <v>T216</v>
      </c>
      <c r="B217" t="str">
        <f ca="1">IFERROR(__xludf.DUMMYFUNCTION("""COMPUTED_VALUE"""),"T221")</f>
        <v>T221</v>
      </c>
      <c r="C217" t="str">
        <f ca="1">IFERROR(__xludf.DUMMYFUNCTION("""COMPUTED_VALUE"""),"Erik van Rooyen")</f>
        <v>Erik van Rooyen</v>
      </c>
      <c r="D217">
        <f ca="1">IFERROR(__xludf.DUMMYFUNCTION("""COMPUTED_VALUE"""),10)</f>
        <v>10</v>
      </c>
      <c r="E217" t="str">
        <f ca="1">IFERROR(__xludf.DUMMYFUNCTION("""COMPUTED_VALUE"""),"4' 10""")</f>
        <v>4' 10"</v>
      </c>
      <c r="F217">
        <f ca="1">IFERROR(__xludf.DUMMYFUNCTION("""COMPUTED_VALUE"""),33.667)</f>
        <v>33.667000000000002</v>
      </c>
      <c r="G217">
        <f ca="1">IFERROR(__xludf.DUMMYFUNCTION("""COMPUTED_VALUE"""),7)</f>
        <v>7</v>
      </c>
      <c r="H217">
        <f ca="1">IFERROR(__xludf.DUMMYFUNCTION("""COMPUTED_VALUE"""),235)</f>
        <v>235</v>
      </c>
    </row>
    <row r="218" spans="1:8" ht="12.75">
      <c r="A218" t="str">
        <f ca="1">IFERROR(__xludf.DUMMYFUNCTION("""COMPUTED_VALUE"""),"T216")</f>
        <v>T216</v>
      </c>
      <c r="B218" t="str">
        <f ca="1">IFERROR(__xludf.DUMMYFUNCTION("""COMPUTED_VALUE"""),"T238")</f>
        <v>T238</v>
      </c>
      <c r="C218" t="str">
        <f ca="1">IFERROR(__xludf.DUMMYFUNCTION("""COMPUTED_VALUE"""),"Sean O'Hair")</f>
        <v>Sean O'Hair</v>
      </c>
      <c r="D218">
        <f ca="1">IFERROR(__xludf.DUMMYFUNCTION("""COMPUTED_VALUE"""),14)</f>
        <v>14</v>
      </c>
      <c r="E218" t="str">
        <f ca="1">IFERROR(__xludf.DUMMYFUNCTION("""COMPUTED_VALUE"""),"4' 10""")</f>
        <v>4' 10"</v>
      </c>
      <c r="F218">
        <f ca="1">IFERROR(__xludf.DUMMYFUNCTION("""COMPUTED_VALUE"""),19.333)</f>
        <v>19.332999999999998</v>
      </c>
      <c r="G218">
        <f ca="1">IFERROR(__xludf.DUMMYFUNCTION("""COMPUTED_VALUE"""),4)</f>
        <v>4</v>
      </c>
      <c r="H218">
        <f ca="1">IFERROR(__xludf.DUMMYFUNCTION("""COMPUTED_VALUE"""),219)</f>
        <v>219</v>
      </c>
    </row>
    <row r="219" spans="1:8" ht="12.75">
      <c r="A219" t="str">
        <f ca="1">IFERROR(__xludf.DUMMYFUNCTION("""COMPUTED_VALUE"""),"T216")</f>
        <v>T216</v>
      </c>
      <c r="B219" t="str">
        <f ca="1">IFERROR(__xludf.DUMMYFUNCTION("""COMPUTED_VALUE"""),"T232")</f>
        <v>T232</v>
      </c>
      <c r="C219" t="str">
        <f ca="1">IFERROR(__xludf.DUMMYFUNCTION("""COMPUTED_VALUE"""),"Sergio Garcia")</f>
        <v>Sergio Garcia</v>
      </c>
      <c r="D219">
        <f ca="1">IFERROR(__xludf.DUMMYFUNCTION("""COMPUTED_VALUE"""),18)</f>
        <v>18</v>
      </c>
      <c r="E219" t="str">
        <f ca="1">IFERROR(__xludf.DUMMYFUNCTION("""COMPUTED_VALUE"""),"4' 10""")</f>
        <v>4' 10"</v>
      </c>
      <c r="F219">
        <f ca="1">IFERROR(__xludf.DUMMYFUNCTION("""COMPUTED_VALUE"""),24.083)</f>
        <v>24.082999999999998</v>
      </c>
      <c r="G219">
        <f ca="1">IFERROR(__xludf.DUMMYFUNCTION("""COMPUTED_VALUE"""),5)</f>
        <v>5</v>
      </c>
      <c r="H219">
        <f ca="1">IFERROR(__xludf.DUMMYFUNCTION("""COMPUTED_VALUE"""),88)</f>
        <v>88</v>
      </c>
    </row>
    <row r="220" spans="1:8" ht="12.75">
      <c r="A220" t="str">
        <f ca="1">IFERROR(__xludf.DUMMYFUNCTION("""COMPUTED_VALUE"""),"T219")</f>
        <v>T219</v>
      </c>
      <c r="B220" t="str">
        <f ca="1">IFERROR(__xludf.DUMMYFUNCTION("""COMPUTED_VALUE"""),"T211")</f>
        <v>T211</v>
      </c>
      <c r="C220" t="str">
        <f ca="1">IFERROR(__xludf.DUMMYFUNCTION("""COMPUTED_VALUE"""),"Cameron Percy")</f>
        <v>Cameron Percy</v>
      </c>
      <c r="D220">
        <f ca="1">IFERROR(__xludf.DUMMYFUNCTION("""COMPUTED_VALUE"""),16)</f>
        <v>16</v>
      </c>
      <c r="E220" t="str">
        <f ca="1">IFERROR(__xludf.DUMMYFUNCTION("""COMPUTED_VALUE"""),"4' 11""")</f>
        <v>4' 11"</v>
      </c>
      <c r="F220">
        <f ca="1">IFERROR(__xludf.DUMMYFUNCTION("""COMPUTED_VALUE"""),19.667)</f>
        <v>19.667000000000002</v>
      </c>
      <c r="G220">
        <f ca="1">IFERROR(__xludf.DUMMYFUNCTION("""COMPUTED_VALUE"""),4)</f>
        <v>4</v>
      </c>
      <c r="H220">
        <f ca="1">IFERROR(__xludf.DUMMYFUNCTION("""COMPUTED_VALUE"""),96)</f>
        <v>96</v>
      </c>
    </row>
    <row r="221" spans="1:8" ht="12.75">
      <c r="A221" t="str">
        <f ca="1">IFERROR(__xludf.DUMMYFUNCTION("""COMPUTED_VALUE"""),"T219")</f>
        <v>T219</v>
      </c>
      <c r="B221" t="str">
        <f ca="1">IFERROR(__xludf.DUMMYFUNCTION("""COMPUTED_VALUE"""),"T211")</f>
        <v>T211</v>
      </c>
      <c r="C221" t="str">
        <f ca="1">IFERROR(__xludf.DUMMYFUNCTION("""COMPUTED_VALUE"""),"Graham DeLaet")</f>
        <v>Graham DeLaet</v>
      </c>
      <c r="D221">
        <f ca="1">IFERROR(__xludf.DUMMYFUNCTION("""COMPUTED_VALUE"""),9)</f>
        <v>9</v>
      </c>
      <c r="E221" t="str">
        <f ca="1">IFERROR(__xludf.DUMMYFUNCTION("""COMPUTED_VALUE"""),"4' 11""")</f>
        <v>4' 11"</v>
      </c>
      <c r="F221">
        <f ca="1">IFERROR(__xludf.DUMMYFUNCTION("""COMPUTED_VALUE"""),19.583)</f>
        <v>19.582999999999998</v>
      </c>
      <c r="G221">
        <f ca="1">IFERROR(__xludf.DUMMYFUNCTION("""COMPUTED_VALUE"""),4)</f>
        <v>4</v>
      </c>
      <c r="H221">
        <f ca="1">IFERROR(__xludf.DUMMYFUNCTION("""COMPUTED_VALUE"""),267)</f>
        <v>267</v>
      </c>
    </row>
    <row r="222" spans="1:8" ht="12.75">
      <c r="A222" t="str">
        <f ca="1">IFERROR(__xludf.DUMMYFUNCTION("""COMPUTED_VALUE"""),"T219")</f>
        <v>T219</v>
      </c>
      <c r="B222" t="str">
        <f ca="1">IFERROR(__xludf.DUMMYFUNCTION("""COMPUTED_VALUE"""),"T211")</f>
        <v>T211</v>
      </c>
      <c r="C222" t="str">
        <f ca="1">IFERROR(__xludf.DUMMYFUNCTION("""COMPUTED_VALUE"""),"Henrik Norlander")</f>
        <v>Henrik Norlander</v>
      </c>
      <c r="D222">
        <f ca="1">IFERROR(__xludf.DUMMYFUNCTION("""COMPUTED_VALUE"""),16)</f>
        <v>16</v>
      </c>
      <c r="E222" t="str">
        <f ca="1">IFERROR(__xludf.DUMMYFUNCTION("""COMPUTED_VALUE"""),"4' 11""")</f>
        <v>4' 11"</v>
      </c>
      <c r="F222">
        <f ca="1">IFERROR(__xludf.DUMMYFUNCTION("""COMPUTED_VALUE"""),19.75)</f>
        <v>19.75</v>
      </c>
      <c r="G222">
        <f ca="1">IFERROR(__xludf.DUMMYFUNCTION("""COMPUTED_VALUE"""),4)</f>
        <v>4</v>
      </c>
      <c r="H222">
        <f ca="1">IFERROR(__xludf.DUMMYFUNCTION("""COMPUTED_VALUE"""),256)</f>
        <v>256</v>
      </c>
    </row>
    <row r="223" spans="1:8" ht="12.75">
      <c r="A223" t="str">
        <f ca="1">IFERROR(__xludf.DUMMYFUNCTION("""COMPUTED_VALUE"""),"T219")</f>
        <v>T219</v>
      </c>
      <c r="B223" t="str">
        <f ca="1">IFERROR(__xludf.DUMMYFUNCTION("""COMPUTED_VALUE"""),"T211")</f>
        <v>T211</v>
      </c>
      <c r="C223" t="str">
        <f ca="1">IFERROR(__xludf.DUMMYFUNCTION("""COMPUTED_VALUE"""),"Matt Every")</f>
        <v>Matt Every</v>
      </c>
      <c r="D223">
        <f ca="1">IFERROR(__xludf.DUMMYFUNCTION("""COMPUTED_VALUE"""),8)</f>
        <v>8</v>
      </c>
      <c r="E223" t="str">
        <f ca="1">IFERROR(__xludf.DUMMYFUNCTION("""COMPUTED_VALUE"""),"4' 11""")</f>
        <v>4' 11"</v>
      </c>
      <c r="F223">
        <f ca="1">IFERROR(__xludf.DUMMYFUNCTION("""COMPUTED_VALUE"""),4.917)</f>
        <v>4.9169999999999998</v>
      </c>
      <c r="G223">
        <f ca="1">IFERROR(__xludf.DUMMYFUNCTION("""COMPUTED_VALUE"""),1)</f>
        <v>1</v>
      </c>
      <c r="H223">
        <f ca="1">IFERROR(__xludf.DUMMYFUNCTION("""COMPUTED_VALUE"""),262)</f>
        <v>262</v>
      </c>
    </row>
    <row r="224" spans="1:8" ht="12.75">
      <c r="A224" t="str">
        <f ca="1">IFERROR(__xludf.DUMMYFUNCTION("""COMPUTED_VALUE"""),"T219")</f>
        <v>T219</v>
      </c>
      <c r="B224" t="str">
        <f ca="1">IFERROR(__xludf.DUMMYFUNCTION("""COMPUTED_VALUE"""),"T211")</f>
        <v>T211</v>
      </c>
      <c r="C224" t="str">
        <f ca="1">IFERROR(__xludf.DUMMYFUNCTION("""COMPUTED_VALUE"""),"Daniel Berger")</f>
        <v>Daniel Berger</v>
      </c>
      <c r="D224">
        <f ca="1">IFERROR(__xludf.DUMMYFUNCTION("""COMPUTED_VALUE"""),12)</f>
        <v>12</v>
      </c>
      <c r="E224" t="str">
        <f ca="1">IFERROR(__xludf.DUMMYFUNCTION("""COMPUTED_VALUE"""),"4' 11""")</f>
        <v>4' 11"</v>
      </c>
      <c r="F224">
        <f ca="1">IFERROR(__xludf.DUMMYFUNCTION("""COMPUTED_VALUE"""),24.417)</f>
        <v>24.417000000000002</v>
      </c>
      <c r="G224">
        <f ca="1">IFERROR(__xludf.DUMMYFUNCTION("""COMPUTED_VALUE"""),5)</f>
        <v>5</v>
      </c>
      <c r="H224">
        <f ca="1">IFERROR(__xludf.DUMMYFUNCTION("""COMPUTED_VALUE"""),138)</f>
        <v>138</v>
      </c>
    </row>
    <row r="225" spans="1:8" ht="12.75">
      <c r="A225" t="str">
        <f ca="1">IFERROR(__xludf.DUMMYFUNCTION("""COMPUTED_VALUE"""),"T224")</f>
        <v>T224</v>
      </c>
      <c r="B225" t="str">
        <f ca="1">IFERROR(__xludf.DUMMYFUNCTION("""COMPUTED_VALUE"""),"T132")</f>
        <v>T132</v>
      </c>
      <c r="C225" t="str">
        <f ca="1">IFERROR(__xludf.DUMMYFUNCTION("""COMPUTED_VALUE"""),"Austin Cook")</f>
        <v>Austin Cook</v>
      </c>
      <c r="D225">
        <f ca="1">IFERROR(__xludf.DUMMYFUNCTION("""COMPUTED_VALUE"""),14)</f>
        <v>14</v>
      </c>
      <c r="E225" t="str">
        <f ca="1">IFERROR(__xludf.DUMMYFUNCTION("""COMPUTED_VALUE"""),"5' 0""")</f>
        <v>5' 0"</v>
      </c>
      <c r="F225">
        <f ca="1">IFERROR(__xludf.DUMMYFUNCTION("""COMPUTED_VALUE"""),39.917)</f>
        <v>39.917000000000002</v>
      </c>
      <c r="G225">
        <f ca="1">IFERROR(__xludf.DUMMYFUNCTION("""COMPUTED_VALUE"""),8)</f>
        <v>8</v>
      </c>
      <c r="H225">
        <f ca="1">IFERROR(__xludf.DUMMYFUNCTION("""COMPUTED_VALUE"""),56)</f>
        <v>56</v>
      </c>
    </row>
    <row r="226" spans="1:8" ht="12.75">
      <c r="A226" t="str">
        <f ca="1">IFERROR(__xludf.DUMMYFUNCTION("""COMPUTED_VALUE"""),"T224")</f>
        <v>T224</v>
      </c>
      <c r="B226" t="str">
        <f ca="1">IFERROR(__xludf.DUMMYFUNCTION("""COMPUTED_VALUE"""),"T216")</f>
        <v>T216</v>
      </c>
      <c r="C226" t="str">
        <f ca="1">IFERROR(__xludf.DUMMYFUNCTION("""COMPUTED_VALUE"""),"Adam Long")</f>
        <v>Adam Long</v>
      </c>
      <c r="D226">
        <f ca="1">IFERROR(__xludf.DUMMYFUNCTION("""COMPUTED_VALUE"""),22)</f>
        <v>22</v>
      </c>
      <c r="E226" t="str">
        <f ca="1">IFERROR(__xludf.DUMMYFUNCTION("""COMPUTED_VALUE"""),"5' 0""")</f>
        <v>5' 0"</v>
      </c>
      <c r="F226">
        <f ca="1">IFERROR(__xludf.DUMMYFUNCTION("""COMPUTED_VALUE"""),35)</f>
        <v>35</v>
      </c>
      <c r="G226">
        <f ca="1">IFERROR(__xludf.DUMMYFUNCTION("""COMPUTED_VALUE"""),7)</f>
        <v>7</v>
      </c>
      <c r="H226">
        <f ca="1">IFERROR(__xludf.DUMMYFUNCTION("""COMPUTED_VALUE"""),115)</f>
        <v>115</v>
      </c>
    </row>
    <row r="227" spans="1:8" ht="12.75">
      <c r="A227" t="str">
        <f ca="1">IFERROR(__xludf.DUMMYFUNCTION("""COMPUTED_VALUE"""),"T226")</f>
        <v>T226</v>
      </c>
      <c r="B227" t="str">
        <f ca="1">IFERROR(__xludf.DUMMYFUNCTION("""COMPUTED_VALUE"""),"T218")</f>
        <v>T218</v>
      </c>
      <c r="C227" t="str">
        <f ca="1">IFERROR(__xludf.DUMMYFUNCTION("""COMPUTED_VALUE"""),"Tae Hee Lee")</f>
        <v>Tae Hee Lee</v>
      </c>
      <c r="D227">
        <f ca="1">IFERROR(__xludf.DUMMYFUNCTION("""COMPUTED_VALUE"""),4)</f>
        <v>4</v>
      </c>
      <c r="E227" t="str">
        <f ca="1">IFERROR(__xludf.DUMMYFUNCTION("""COMPUTED_VALUE"""),"5' 2""")</f>
        <v>5' 2"</v>
      </c>
      <c r="F227">
        <f ca="1">IFERROR(__xludf.DUMMYFUNCTION("""COMPUTED_VALUE"""),15.5)</f>
        <v>15.5</v>
      </c>
      <c r="G227">
        <f ca="1">IFERROR(__xludf.DUMMYFUNCTION("""COMPUTED_VALUE"""),3)</f>
        <v>3</v>
      </c>
      <c r="H227">
        <f ca="1">IFERROR(__xludf.DUMMYFUNCTION("""COMPUTED_VALUE"""),192)</f>
        <v>192</v>
      </c>
    </row>
    <row r="228" spans="1:8" ht="12.75">
      <c r="A228" t="str">
        <f ca="1">IFERROR(__xludf.DUMMYFUNCTION("""COMPUTED_VALUE"""),"T226")</f>
        <v>T226</v>
      </c>
      <c r="B228" t="str">
        <f ca="1">IFERROR(__xludf.DUMMYFUNCTION("""COMPUTED_VALUE"""),"T218")</f>
        <v>T218</v>
      </c>
      <c r="C228" t="str">
        <f ca="1">IFERROR(__xludf.DUMMYFUNCTION("""COMPUTED_VALUE"""),"Xander Schauffele")</f>
        <v>Xander Schauffele</v>
      </c>
      <c r="D228">
        <f ca="1">IFERROR(__xludf.DUMMYFUNCTION("""COMPUTED_VALUE"""),12)</f>
        <v>12</v>
      </c>
      <c r="E228" t="str">
        <f ca="1">IFERROR(__xludf.DUMMYFUNCTION("""COMPUTED_VALUE"""),"5' 2""")</f>
        <v>5' 2"</v>
      </c>
      <c r="F228">
        <f ca="1">IFERROR(__xludf.DUMMYFUNCTION("""COMPUTED_VALUE"""),31.083)</f>
        <v>31.082999999999998</v>
      </c>
      <c r="G228">
        <f ca="1">IFERROR(__xludf.DUMMYFUNCTION("""COMPUTED_VALUE"""),6)</f>
        <v>6</v>
      </c>
      <c r="H228">
        <f ca="1">IFERROR(__xludf.DUMMYFUNCTION("""COMPUTED_VALUE"""),135)</f>
        <v>135</v>
      </c>
    </row>
    <row r="229" spans="1:8" ht="12.75">
      <c r="A229" t="str">
        <f ca="1">IFERROR(__xludf.DUMMYFUNCTION("""COMPUTED_VALUE"""),"T226")</f>
        <v>T226</v>
      </c>
      <c r="B229" t="str">
        <f ca="1">IFERROR(__xludf.DUMMYFUNCTION("""COMPUTED_VALUE"""),"T218")</f>
        <v>T218</v>
      </c>
      <c r="C229" t="str">
        <f ca="1">IFERROR(__xludf.DUMMYFUNCTION("""COMPUTED_VALUE"""),"Zach Johnson")</f>
        <v>Zach Johnson</v>
      </c>
      <c r="D229">
        <f ca="1">IFERROR(__xludf.DUMMYFUNCTION("""COMPUTED_VALUE"""),16)</f>
        <v>16</v>
      </c>
      <c r="E229" t="str">
        <f ca="1">IFERROR(__xludf.DUMMYFUNCTION("""COMPUTED_VALUE"""),"5' 2""")</f>
        <v>5' 2"</v>
      </c>
      <c r="F229">
        <f ca="1">IFERROR(__xludf.DUMMYFUNCTION("""COMPUTED_VALUE"""),31)</f>
        <v>31</v>
      </c>
      <c r="G229">
        <f ca="1">IFERROR(__xludf.DUMMYFUNCTION("""COMPUTED_VALUE"""),6)</f>
        <v>6</v>
      </c>
      <c r="H229">
        <f ca="1">IFERROR(__xludf.DUMMYFUNCTION("""COMPUTED_VALUE"""),122)</f>
        <v>122</v>
      </c>
    </row>
    <row r="230" spans="1:8" ht="12.75">
      <c r="A230" t="str">
        <f ca="1">IFERROR(__xludf.DUMMYFUNCTION("""COMPUTED_VALUE"""),"T229")</f>
        <v>T229</v>
      </c>
      <c r="B230" t="str">
        <f ca="1">IFERROR(__xludf.DUMMYFUNCTION("""COMPUTED_VALUE"""),"T201")</f>
        <v>T201</v>
      </c>
      <c r="C230" t="str">
        <f ca="1">IFERROR(__xludf.DUMMYFUNCTION("""COMPUTED_VALUE"""),"Alex Noren")</f>
        <v>Alex Noren</v>
      </c>
      <c r="D230">
        <f ca="1">IFERROR(__xludf.DUMMYFUNCTION("""COMPUTED_VALUE"""),14)</f>
        <v>14</v>
      </c>
      <c r="E230" t="str">
        <f ca="1">IFERROR(__xludf.DUMMYFUNCTION("""COMPUTED_VALUE"""),"5' 3""")</f>
        <v>5' 3"</v>
      </c>
      <c r="F230">
        <f ca="1">IFERROR(__xludf.DUMMYFUNCTION("""COMPUTED_VALUE"""),41.667)</f>
        <v>41.667000000000002</v>
      </c>
      <c r="G230">
        <f ca="1">IFERROR(__xludf.DUMMYFUNCTION("""COMPUTED_VALUE"""),8)</f>
        <v>8</v>
      </c>
      <c r="H230">
        <f ca="1">IFERROR(__xludf.DUMMYFUNCTION("""COMPUTED_VALUE"""),206)</f>
        <v>206</v>
      </c>
    </row>
    <row r="231" spans="1:8" ht="12.75">
      <c r="A231" t="str">
        <f ca="1">IFERROR(__xludf.DUMMYFUNCTION("""COMPUTED_VALUE"""),"T229")</f>
        <v>T229</v>
      </c>
      <c r="B231" t="str">
        <f ca="1">IFERROR(__xludf.DUMMYFUNCTION("""COMPUTED_VALUE"""),"T221")</f>
        <v>T221</v>
      </c>
      <c r="C231" t="str">
        <f ca="1">IFERROR(__xludf.DUMMYFUNCTION("""COMPUTED_VALUE"""),"Jason Kokrak")</f>
        <v>Jason Kokrak</v>
      </c>
      <c r="D231">
        <f ca="1">IFERROR(__xludf.DUMMYFUNCTION("""COMPUTED_VALUE"""),14)</f>
        <v>14</v>
      </c>
      <c r="E231" t="str">
        <f ca="1">IFERROR(__xludf.DUMMYFUNCTION("""COMPUTED_VALUE"""),"5' 3""")</f>
        <v>5' 3"</v>
      </c>
      <c r="F231">
        <f ca="1">IFERROR(__xludf.DUMMYFUNCTION("""COMPUTED_VALUE"""),42.083)</f>
        <v>42.082999999999998</v>
      </c>
      <c r="G231">
        <f ca="1">IFERROR(__xludf.DUMMYFUNCTION("""COMPUTED_VALUE"""),8)</f>
        <v>8</v>
      </c>
      <c r="H231">
        <f ca="1">IFERROR(__xludf.DUMMYFUNCTION("""COMPUTED_VALUE"""),93)</f>
        <v>93</v>
      </c>
    </row>
    <row r="232" spans="1:8" ht="12.75">
      <c r="A232" t="str">
        <f ca="1">IFERROR(__xludf.DUMMYFUNCTION("""COMPUTED_VALUE"""),"T229")</f>
        <v>T229</v>
      </c>
      <c r="B232" t="str">
        <f ca="1">IFERROR(__xludf.DUMMYFUNCTION("""COMPUTED_VALUE"""),"T221")</f>
        <v>T221</v>
      </c>
      <c r="C232" t="str">
        <f ca="1">IFERROR(__xludf.DUMMYFUNCTION("""COMPUTED_VALUE"""),"Adam Hadwin")</f>
        <v>Adam Hadwin</v>
      </c>
      <c r="D232">
        <f ca="1">IFERROR(__xludf.DUMMYFUNCTION("""COMPUTED_VALUE"""),16)</f>
        <v>16</v>
      </c>
      <c r="E232" t="str">
        <f ca="1">IFERROR(__xludf.DUMMYFUNCTION("""COMPUTED_VALUE"""),"5' 3""")</f>
        <v>5' 3"</v>
      </c>
      <c r="F232">
        <f ca="1">IFERROR(__xludf.DUMMYFUNCTION("""COMPUTED_VALUE"""),31.333)</f>
        <v>31.332999999999998</v>
      </c>
      <c r="G232">
        <f ca="1">IFERROR(__xludf.DUMMYFUNCTION("""COMPUTED_VALUE"""),6)</f>
        <v>6</v>
      </c>
      <c r="H232">
        <f ca="1">IFERROR(__xludf.DUMMYFUNCTION("""COMPUTED_VALUE"""),165)</f>
        <v>165</v>
      </c>
    </row>
    <row r="233" spans="1:8" ht="12.75">
      <c r="A233" t="str">
        <f ca="1">IFERROR(__xludf.DUMMYFUNCTION("""COMPUTED_VALUE"""),"T232")</f>
        <v>T232</v>
      </c>
      <c r="B233" t="str">
        <f ca="1">IFERROR(__xludf.DUMMYFUNCTION("""COMPUTED_VALUE"""),"T224")</f>
        <v>T224</v>
      </c>
      <c r="C233" t="str">
        <f ca="1">IFERROR(__xludf.DUMMYFUNCTION("""COMPUTED_VALUE"""),"Davis Riley")</f>
        <v>Davis Riley</v>
      </c>
      <c r="D233">
        <f ca="1">IFERROR(__xludf.DUMMYFUNCTION("""COMPUTED_VALUE"""),4)</f>
        <v>4</v>
      </c>
      <c r="E233" t="str">
        <f ca="1">IFERROR(__xludf.DUMMYFUNCTION("""COMPUTED_VALUE"""),"5' 4""")</f>
        <v>5' 4"</v>
      </c>
      <c r="F233">
        <f ca="1">IFERROR(__xludf.DUMMYFUNCTION("""COMPUTED_VALUE"""),21.25)</f>
        <v>21.25</v>
      </c>
      <c r="G233">
        <f ca="1">IFERROR(__xludf.DUMMYFUNCTION("""COMPUTED_VALUE"""),4)</f>
        <v>4</v>
      </c>
      <c r="H233">
        <f ca="1">IFERROR(__xludf.DUMMYFUNCTION("""COMPUTED_VALUE"""),289)</f>
        <v>289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IFERROR(__xludf.DUMMYFUNCTION("""COMPUTED_VALUE"""),"T224")</f>
        <v>T224</v>
      </c>
      <c r="C234" t="str">
        <f ca="1">IFERROR(__xludf.DUMMYFUNCTION("""COMPUTED_VALUE"""),"Richy Werenski")</f>
        <v>Richy Werenski</v>
      </c>
      <c r="D234">
        <f ca="1">IFERROR(__xludf.DUMMYFUNCTION("""COMPUTED_VALUE"""),16)</f>
        <v>16</v>
      </c>
      <c r="E234" t="str">
        <f ca="1">IFERROR(__xludf.DUMMYFUNCTION("""COMPUTED_VALUE"""),"5' 4""")</f>
        <v>5' 4"</v>
      </c>
      <c r="F234">
        <f ca="1">IFERROR(__xludf.DUMMYFUNCTION("""COMPUTED_VALUE"""),37.417)</f>
        <v>37.417000000000002</v>
      </c>
      <c r="G234">
        <f ca="1">IFERROR(__xludf.DUMMYFUNCTION("""COMPUTED_VALUE"""),7)</f>
        <v>7</v>
      </c>
      <c r="H234">
        <f ca="1">IFERROR(__xludf.DUMMYFUNCTION("""COMPUTED_VALUE"""),112)</f>
        <v>112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IFERROR(__xludf.DUMMYFUNCTION("""COMPUTED_VALUE"""),"T226")</f>
        <v>T226</v>
      </c>
      <c r="C235" t="str">
        <f ca="1">IFERROR(__xludf.DUMMYFUNCTION("""COMPUTED_VALUE"""),"Dustin Johnson")</f>
        <v>Dustin Johnson</v>
      </c>
      <c r="D235">
        <f ca="1">IFERROR(__xludf.DUMMYFUNCTION("""COMPUTED_VALUE"""),8)</f>
        <v>8</v>
      </c>
      <c r="E235" t="str">
        <f ca="1">IFERROR(__xludf.DUMMYFUNCTION("""COMPUTED_VALUE"""),"5' 5""")</f>
        <v>5' 5"</v>
      </c>
      <c r="F235">
        <f ca="1">IFERROR(__xludf.DUMMYFUNCTION("""COMPUTED_VALUE"""),16.333)</f>
        <v>16.332999999999998</v>
      </c>
      <c r="G235">
        <f ca="1">IFERROR(__xludf.DUMMYFUNCTION("""COMPUTED_VALUE"""),3)</f>
        <v>3</v>
      </c>
      <c r="H235">
        <f ca="1">IFERROR(__xludf.DUMMYFUNCTION("""COMPUTED_VALUE"""),198)</f>
        <v>198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IFERROR(__xludf.DUMMYFUNCTION("""COMPUTED_VALUE"""),"T226")</f>
        <v>T226</v>
      </c>
      <c r="C236" t="str">
        <f ca="1">IFERROR(__xludf.DUMMYFUNCTION("""COMPUTED_VALUE"""),"Bill Haas")</f>
        <v>Bill Haas</v>
      </c>
      <c r="D236">
        <f ca="1">IFERROR(__xludf.DUMMYFUNCTION("""COMPUTED_VALUE"""),10)</f>
        <v>10</v>
      </c>
      <c r="E236" t="str">
        <f ca="1">IFERROR(__xludf.DUMMYFUNCTION("""COMPUTED_VALUE"""),"5' 5""")</f>
        <v>5' 5"</v>
      </c>
      <c r="F236">
        <f ca="1">IFERROR(__xludf.DUMMYFUNCTION("""COMPUTED_VALUE"""),21.583)</f>
        <v>21.582999999999998</v>
      </c>
      <c r="G236">
        <f ca="1">IFERROR(__xludf.DUMMYFUNCTION("""COMPUTED_VALUE"""),4)</f>
        <v>4</v>
      </c>
      <c r="H236">
        <f ca="1">IFERROR(__xludf.DUMMYFUNCTION("""COMPUTED_VALUE"""),19)</f>
        <v>19</v>
      </c>
    </row>
    <row r="237" spans="1:8" ht="12.75">
      <c r="A237" t="str">
        <f ca="1">IFERROR(__xludf.DUMMYFUNCTION("""COMPUTED_VALUE"""),"T236")</f>
        <v>T236</v>
      </c>
      <c r="B237" t="str">
        <f ca="1">IFERROR(__xludf.DUMMYFUNCTION("""COMPUTED_VALUE"""),"T228")</f>
        <v>T228</v>
      </c>
      <c r="C237" t="str">
        <f ca="1">IFERROR(__xludf.DUMMYFUNCTION("""COMPUTED_VALUE"""),"Jay McLuen")</f>
        <v>Jay McLuen</v>
      </c>
      <c r="D237">
        <f ca="1">IFERROR(__xludf.DUMMYFUNCTION("""COMPUTED_VALUE"""),4)</f>
        <v>4</v>
      </c>
      <c r="E237" t="str">
        <f ca="1">IFERROR(__xludf.DUMMYFUNCTION("""COMPUTED_VALUE"""),"5' 7""")</f>
        <v>5' 7"</v>
      </c>
      <c r="F237">
        <f ca="1">IFERROR(__xludf.DUMMYFUNCTION("""COMPUTED_VALUE"""),11.083)</f>
        <v>11.083</v>
      </c>
      <c r="G237">
        <f ca="1">IFERROR(__xludf.DUMMYFUNCTION("""COMPUTED_VALUE"""),2)</f>
        <v>2</v>
      </c>
      <c r="H237">
        <f ca="1">IFERROR(__xludf.DUMMYFUNCTION("""COMPUTED_VALUE"""),130)</f>
        <v>130</v>
      </c>
    </row>
    <row r="238" spans="1:8" ht="12.75">
      <c r="A238" t="str">
        <f ca="1">IFERROR(__xludf.DUMMYFUNCTION("""COMPUTED_VALUE"""),"T236")</f>
        <v>T236</v>
      </c>
      <c r="B238" t="str">
        <f ca="1">IFERROR(__xludf.DUMMYFUNCTION("""COMPUTED_VALUE"""),"T228")</f>
        <v>T228</v>
      </c>
      <c r="C238" t="str">
        <f ca="1">IFERROR(__xludf.DUMMYFUNCTION("""COMPUTED_VALUE"""),"Branden Grace")</f>
        <v>Branden Grace</v>
      </c>
      <c r="D238">
        <f ca="1">IFERROR(__xludf.DUMMYFUNCTION("""COMPUTED_VALUE"""),16)</f>
        <v>16</v>
      </c>
      <c r="E238" t="str">
        <f ca="1">IFERROR(__xludf.DUMMYFUNCTION("""COMPUTED_VALUE"""),"5' 7""")</f>
        <v>5' 7"</v>
      </c>
      <c r="F238">
        <f ca="1">IFERROR(__xludf.DUMMYFUNCTION("""COMPUTED_VALUE"""),11.083)</f>
        <v>11.083</v>
      </c>
      <c r="G238">
        <f ca="1">IFERROR(__xludf.DUMMYFUNCTION("""COMPUTED_VALUE"""),2)</f>
        <v>2</v>
      </c>
      <c r="H238">
        <f ca="1">IFERROR(__xludf.DUMMYFUNCTION("""COMPUTED_VALUE"""),246)</f>
        <v>246</v>
      </c>
    </row>
    <row r="239" spans="1:8" ht="12.75">
      <c r="A239" t="str">
        <f ca="1">IFERROR(__xludf.DUMMYFUNCTION("""COMPUTED_VALUE"""),"T236")</f>
        <v>T236</v>
      </c>
      <c r="B239" t="str">
        <f ca="1">IFERROR(__xludf.DUMMYFUNCTION("""COMPUTED_VALUE"""),"T228")</f>
        <v>T228</v>
      </c>
      <c r="C239" t="str">
        <f ca="1">IFERROR(__xludf.DUMMYFUNCTION("""COMPUTED_VALUE"""),"Sebastián Muñoz")</f>
        <v>Sebastián Muñoz</v>
      </c>
      <c r="D239">
        <f ca="1">IFERROR(__xludf.DUMMYFUNCTION("""COMPUTED_VALUE"""),20)</f>
        <v>20</v>
      </c>
      <c r="E239" t="str">
        <f ca="1">IFERROR(__xludf.DUMMYFUNCTION("""COMPUTED_VALUE"""),"5' 7""")</f>
        <v>5' 7"</v>
      </c>
      <c r="F239">
        <f ca="1">IFERROR(__xludf.DUMMYFUNCTION("""COMPUTED_VALUE"""),66.75)</f>
        <v>66.75</v>
      </c>
      <c r="G239">
        <f ca="1">IFERROR(__xludf.DUMMYFUNCTION("""COMPUTED_VALUE"""),12)</f>
        <v>12</v>
      </c>
      <c r="H239">
        <f ca="1">IFERROR(__xludf.DUMMYFUNCTION("""COMPUTED_VALUE"""),110)</f>
        <v>110</v>
      </c>
    </row>
    <row r="240" spans="1:8" ht="12.75">
      <c r="A240">
        <f ca="1">IFERROR(__xludf.DUMMYFUNCTION("""COMPUTED_VALUE"""),239)</f>
        <v>239</v>
      </c>
      <c r="B240">
        <f ca="1">IFERROR(__xludf.DUMMYFUNCTION("""COMPUTED_VALUE"""),231)</f>
        <v>231</v>
      </c>
      <c r="C240" t="str">
        <f ca="1">IFERROR(__xludf.DUMMYFUNCTION("""COMPUTED_VALUE"""),"Rory Sabbatini")</f>
        <v>Rory Sabbatini</v>
      </c>
      <c r="D240">
        <f ca="1">IFERROR(__xludf.DUMMYFUNCTION("""COMPUTED_VALUE"""),13)</f>
        <v>13</v>
      </c>
      <c r="E240" t="str">
        <f ca="1">IFERROR(__xludf.DUMMYFUNCTION("""COMPUTED_VALUE"""),"5' 8""")</f>
        <v>5' 8"</v>
      </c>
      <c r="F240">
        <f ca="1">IFERROR(__xludf.DUMMYFUNCTION("""COMPUTED_VALUE"""),17.083)</f>
        <v>17.082999999999998</v>
      </c>
      <c r="G240">
        <f ca="1">IFERROR(__xludf.DUMMYFUNCTION("""COMPUTED_VALUE"""),3)</f>
        <v>3</v>
      </c>
      <c r="H240">
        <f ca="1">IFERROR(__xludf.DUMMYFUNCTION("""COMPUTED_VALUE"""),275)</f>
        <v>275</v>
      </c>
    </row>
    <row r="241" spans="1:8" ht="12.75">
      <c r="A241">
        <f ca="1">IFERROR(__xludf.DUMMYFUNCTION("""COMPUTED_VALUE"""),240)</f>
        <v>240</v>
      </c>
      <c r="B241" t="str">
        <f ca="1">IFERROR(__xludf.DUMMYFUNCTION("""COMPUTED_VALUE"""),"T232")</f>
        <v>T232</v>
      </c>
      <c r="C241" t="str">
        <f ca="1">IFERROR(__xludf.DUMMYFUNCTION("""COMPUTED_VALUE"""),"Abraham Ancer")</f>
        <v>Abraham Ancer</v>
      </c>
      <c r="D241">
        <f ca="1">IFERROR(__xludf.DUMMYFUNCTION("""COMPUTED_VALUE"""),16)</f>
        <v>16</v>
      </c>
      <c r="E241" t="str">
        <f ca="1">IFERROR(__xludf.DUMMYFUNCTION("""COMPUTED_VALUE"""),"5' 9""")</f>
        <v>5' 9"</v>
      </c>
      <c r="F241">
        <f ca="1">IFERROR(__xludf.DUMMYFUNCTION("""COMPUTED_VALUE"""),28.583)</f>
        <v>28.582999999999998</v>
      </c>
      <c r="G241">
        <f ca="1">IFERROR(__xludf.DUMMYFUNCTION("""COMPUTED_VALUE"""),5)</f>
        <v>5</v>
      </c>
      <c r="H241">
        <f ca="1">IFERROR(__xludf.DUMMYFUNCTION("""COMPUTED_VALUE"""),218)</f>
        <v>218</v>
      </c>
    </row>
    <row r="242" spans="1:8" ht="12.75">
      <c r="A242">
        <f ca="1">IFERROR(__xludf.DUMMYFUNCTION("""COMPUTED_VALUE"""),241)</f>
        <v>241</v>
      </c>
      <c r="B242">
        <f ca="1">IFERROR(__xludf.DUMMYFUNCTION("""COMPUTED_VALUE"""),235)</f>
        <v>235</v>
      </c>
      <c r="C242" t="str">
        <f ca="1">IFERROR(__xludf.DUMMYFUNCTION("""COMPUTED_VALUE"""),"Matthew Wolff")</f>
        <v>Matthew Wolff</v>
      </c>
      <c r="D242">
        <f ca="1">IFERROR(__xludf.DUMMYFUNCTION("""COMPUTED_VALUE"""),16)</f>
        <v>16</v>
      </c>
      <c r="E242" t="str">
        <f ca="1">IFERROR(__xludf.DUMMYFUNCTION("""COMPUTED_VALUE"""),"6' 0""")</f>
        <v>6' 0"</v>
      </c>
      <c r="F242">
        <f ca="1">IFERROR(__xludf.DUMMYFUNCTION("""COMPUTED_VALUE"""),54.25)</f>
        <v>54.25</v>
      </c>
      <c r="G242">
        <f ca="1">IFERROR(__xludf.DUMMYFUNCTION("""COMPUTED_VALUE"""),9)</f>
        <v>9</v>
      </c>
      <c r="H242">
        <f ca="1">IFERROR(__xludf.DUMMYFUNCTION("""COMPUTED_VALUE"""),260)</f>
        <v>260</v>
      </c>
    </row>
    <row r="243" spans="1:8" ht="12.75">
      <c r="A243" t="str">
        <f ca="1">IFERROR(__xludf.DUMMYFUNCTION("""COMPUTED_VALUE"""),"T242")</f>
        <v>T242</v>
      </c>
      <c r="B243" t="str">
        <f ca="1">IFERROR(__xludf.DUMMYFUNCTION("""COMPUTED_VALUE"""),"T236")</f>
        <v>T236</v>
      </c>
      <c r="C243" t="str">
        <f ca="1">IFERROR(__xludf.DUMMYFUNCTION("""COMPUTED_VALUE"""),"Tiger Woods")</f>
        <v>Tiger Woods</v>
      </c>
      <c r="D243">
        <f ca="1">IFERROR(__xludf.DUMMYFUNCTION("""COMPUTED_VALUE"""),6)</f>
        <v>6</v>
      </c>
      <c r="E243" t="str">
        <f ca="1">IFERROR(__xludf.DUMMYFUNCTION("""COMPUTED_VALUE"""),"6' 2""")</f>
        <v>6' 2"</v>
      </c>
      <c r="F243">
        <f ca="1">IFERROR(__xludf.DUMMYFUNCTION("""COMPUTED_VALUE"""),6.167)</f>
        <v>6.1669999999999998</v>
      </c>
      <c r="G243">
        <f ca="1">IFERROR(__xludf.DUMMYFUNCTION("""COMPUTED_VALUE"""),1)</f>
        <v>1</v>
      </c>
      <c r="H243">
        <f ca="1">IFERROR(__xludf.DUMMYFUNCTION("""COMPUTED_VALUE"""),276)</f>
        <v>276</v>
      </c>
    </row>
    <row r="244" spans="1:8" ht="12.75">
      <c r="A244" t="str">
        <f ca="1">IFERROR(__xludf.DUMMYFUNCTION("""COMPUTED_VALUE"""),"T242")</f>
        <v>T242</v>
      </c>
      <c r="B244" t="str">
        <f ca="1">IFERROR(__xludf.DUMMYFUNCTION("""COMPUTED_VALUE"""),"T236")</f>
        <v>T236</v>
      </c>
      <c r="C244" t="str">
        <f ca="1">IFERROR(__xludf.DUMMYFUNCTION("""COMPUTED_VALUE"""),"Tommy Fleetwood")</f>
        <v>Tommy Fleetwood</v>
      </c>
      <c r="D244">
        <f ca="1">IFERROR(__xludf.DUMMYFUNCTION("""COMPUTED_VALUE"""),10)</f>
        <v>10</v>
      </c>
      <c r="E244" t="str">
        <f ca="1">IFERROR(__xludf.DUMMYFUNCTION("""COMPUTED_VALUE"""),"6' 2""")</f>
        <v>6' 2"</v>
      </c>
      <c r="F244">
        <f ca="1">IFERROR(__xludf.DUMMYFUNCTION("""COMPUTED_VALUE"""),36.833)</f>
        <v>36.832999999999998</v>
      </c>
      <c r="G244">
        <f ca="1">IFERROR(__xludf.DUMMYFUNCTION("""COMPUTED_VALUE"""),6)</f>
        <v>6</v>
      </c>
      <c r="H244">
        <f ca="1">IFERROR(__xludf.DUMMYFUNCTION("""COMPUTED_VALUE"""),248)</f>
        <v>248</v>
      </c>
    </row>
    <row r="245" spans="1:8" ht="12.75">
      <c r="A245" t="str">
        <f ca="1">IFERROR(__xludf.DUMMYFUNCTION("""COMPUTED_VALUE"""),"T244")</f>
        <v>T244</v>
      </c>
      <c r="B245" t="str">
        <f ca="1">IFERROR(__xludf.DUMMYFUNCTION("""COMPUTED_VALUE"""),"T238")</f>
        <v>T238</v>
      </c>
      <c r="C245" t="str">
        <f ca="1">IFERROR(__xludf.DUMMYFUNCTION("""COMPUTED_VALUE"""),"Robert MacIntyre")</f>
        <v>Robert MacIntyre</v>
      </c>
      <c r="D245">
        <f ca="1">IFERROR(__xludf.DUMMYFUNCTION("""COMPUTED_VALUE"""),4)</f>
        <v>4</v>
      </c>
      <c r="E245" t="str">
        <f ca="1">IFERROR(__xludf.DUMMYFUNCTION("""COMPUTED_VALUE"""),"6' 3""")</f>
        <v>6' 3"</v>
      </c>
      <c r="F245">
        <f ca="1">IFERROR(__xludf.DUMMYFUNCTION("""COMPUTED_VALUE"""),12.417)</f>
        <v>12.417</v>
      </c>
      <c r="G245">
        <f ca="1">IFERROR(__xludf.DUMMYFUNCTION("""COMPUTED_VALUE"""),2)</f>
        <v>2</v>
      </c>
      <c r="H245">
        <f ca="1">IFERROR(__xludf.DUMMYFUNCTION("""COMPUTED_VALUE"""),261)</f>
        <v>261</v>
      </c>
    </row>
    <row r="246" spans="1:8" ht="12.75">
      <c r="A246" t="str">
        <f ca="1">IFERROR(__xludf.DUMMYFUNCTION("""COMPUTED_VALUE"""),"T244")</f>
        <v>T244</v>
      </c>
      <c r="B246" t="str">
        <f ca="1">IFERROR(__xludf.DUMMYFUNCTION("""COMPUTED_VALUE"""),"T238")</f>
        <v>T238</v>
      </c>
      <c r="C246" t="str">
        <f ca="1">IFERROR(__xludf.DUMMYFUNCTION("""COMPUTED_VALUE"""),"Chan Kim")</f>
        <v>Chan Kim</v>
      </c>
      <c r="D246">
        <f ca="1">IFERROR(__xludf.DUMMYFUNCTION("""COMPUTED_VALUE"""),6)</f>
        <v>6</v>
      </c>
      <c r="E246" t="str">
        <f ca="1">IFERROR(__xludf.DUMMYFUNCTION("""COMPUTED_VALUE"""),"6' 3""")</f>
        <v>6' 3"</v>
      </c>
      <c r="F246">
        <f ca="1">IFERROR(__xludf.DUMMYFUNCTION("""COMPUTED_VALUE"""),31.417)</f>
        <v>31.417000000000002</v>
      </c>
      <c r="G246">
        <f ca="1">IFERROR(__xludf.DUMMYFUNCTION("""COMPUTED_VALUE"""),5)</f>
        <v>5</v>
      </c>
      <c r="H246">
        <f ca="1">IFERROR(__xludf.DUMMYFUNCTION("""COMPUTED_VALUE"""),185)</f>
        <v>185</v>
      </c>
    </row>
    <row r="247" spans="1:8" ht="12.75">
      <c r="A247">
        <f ca="1">IFERROR(__xludf.DUMMYFUNCTION("""COMPUTED_VALUE"""),246)</f>
        <v>246</v>
      </c>
      <c r="B247">
        <f ca="1">IFERROR(__xludf.DUMMYFUNCTION("""COMPUTED_VALUE"""),241)</f>
        <v>241</v>
      </c>
      <c r="C247" t="str">
        <f ca="1">IFERROR(__xludf.DUMMYFUNCTION("""COMPUTED_VALUE"""),"J.J. Spaun")</f>
        <v>J.J. Spaun</v>
      </c>
      <c r="D247">
        <f ca="1">IFERROR(__xludf.DUMMYFUNCTION("""COMPUTED_VALUE"""),10)</f>
        <v>10</v>
      </c>
      <c r="E247" t="str">
        <f ca="1">IFERROR(__xludf.DUMMYFUNCTION("""COMPUTED_VALUE"""),"6' 4""")</f>
        <v>6' 4"</v>
      </c>
      <c r="F247">
        <f ca="1">IFERROR(__xludf.DUMMYFUNCTION("""COMPUTED_VALUE"""),6.333)</f>
        <v>6.3330000000000002</v>
      </c>
      <c r="G247">
        <f ca="1">IFERROR(__xludf.DUMMYFUNCTION("""COMPUTED_VALUE"""),1)</f>
        <v>1</v>
      </c>
      <c r="H247">
        <f ca="1">IFERROR(__xludf.DUMMYFUNCTION("""COMPUTED_VALUE"""),47)</f>
        <v>47</v>
      </c>
    </row>
    <row r="248" spans="1:8" ht="12.75">
      <c r="A248" t="str">
        <f ca="1">IFERROR(__xludf.DUMMYFUNCTION("""COMPUTED_VALUE"""),"T247")</f>
        <v>T247</v>
      </c>
      <c r="B248" t="str">
        <f ca="1">IFERROR(__xludf.DUMMYFUNCTION("""COMPUTED_VALUE"""),"T242")</f>
        <v>T242</v>
      </c>
      <c r="C248" t="str">
        <f ca="1">IFERROR(__xludf.DUMMYFUNCTION("""COMPUTED_VALUE"""),"Sungjae Im")</f>
        <v>Sungjae Im</v>
      </c>
      <c r="D248">
        <f ca="1">IFERROR(__xludf.DUMMYFUNCTION("""COMPUTED_VALUE"""),24)</f>
        <v>24</v>
      </c>
      <c r="E248" t="str">
        <f ca="1">IFERROR(__xludf.DUMMYFUNCTION("""COMPUTED_VALUE"""),"6' 6""")</f>
        <v>6' 6"</v>
      </c>
      <c r="F248">
        <f ca="1">IFERROR(__xludf.DUMMYFUNCTION("""COMPUTED_VALUE"""),39.083)</f>
        <v>39.082999999999998</v>
      </c>
      <c r="G248">
        <f ca="1">IFERROR(__xludf.DUMMYFUNCTION("""COMPUTED_VALUE"""),6)</f>
        <v>6</v>
      </c>
      <c r="H248">
        <f ca="1">IFERROR(__xludf.DUMMYFUNCTION("""COMPUTED_VALUE"""),181)</f>
        <v>181</v>
      </c>
    </row>
    <row r="249" spans="1:8" ht="12.75">
      <c r="A249" t="str">
        <f ca="1">IFERROR(__xludf.DUMMYFUNCTION("""COMPUTED_VALUE"""),"T247")</f>
        <v>T247</v>
      </c>
      <c r="B249" t="str">
        <f ca="1">IFERROR(__xludf.DUMMYFUNCTION("""COMPUTED_VALUE"""),"T242")</f>
        <v>T242</v>
      </c>
      <c r="C249" t="str">
        <f ca="1">IFERROR(__xludf.DUMMYFUNCTION("""COMPUTED_VALUE"""),"Louis Oosthuizen")</f>
        <v>Louis Oosthuizen</v>
      </c>
      <c r="D249">
        <f ca="1">IFERROR(__xludf.DUMMYFUNCTION("""COMPUTED_VALUE"""),12)</f>
        <v>12</v>
      </c>
      <c r="E249" t="str">
        <f ca="1">IFERROR(__xludf.DUMMYFUNCTION("""COMPUTED_VALUE"""),"6' 6""")</f>
        <v>6' 6"</v>
      </c>
      <c r="F249">
        <f ca="1">IFERROR(__xludf.DUMMYFUNCTION("""COMPUTED_VALUE"""),39)</f>
        <v>39</v>
      </c>
      <c r="G249">
        <f ca="1">IFERROR(__xludf.DUMMYFUNCTION("""COMPUTED_VALUE"""),6)</f>
        <v>6</v>
      </c>
      <c r="H249">
        <f ca="1">IFERROR(__xludf.DUMMYFUNCTION("""COMPUTED_VALUE"""),63)</f>
        <v>63</v>
      </c>
    </row>
    <row r="250" spans="1:8" ht="12.75">
      <c r="A250">
        <f ca="1">IFERROR(__xludf.DUMMYFUNCTION("""COMPUTED_VALUE"""),249)</f>
        <v>249</v>
      </c>
      <c r="B250">
        <f ca="1">IFERROR(__xludf.DUMMYFUNCTION("""COMPUTED_VALUE"""),244)</f>
        <v>244</v>
      </c>
      <c r="C250" t="str">
        <f ca="1">IFERROR(__xludf.DUMMYFUNCTION("""COMPUTED_VALUE"""),"Alex Cejka")</f>
        <v>Alex Cejka</v>
      </c>
      <c r="D250">
        <f ca="1">IFERROR(__xludf.DUMMYFUNCTION("""COMPUTED_VALUE"""),6)</f>
        <v>6</v>
      </c>
      <c r="E250" t="str">
        <f ca="1">IFERROR(__xludf.DUMMYFUNCTION("""COMPUTED_VALUE"""),"6' 9""")</f>
        <v>6' 9"</v>
      </c>
      <c r="F250">
        <f ca="1">IFERROR(__xludf.DUMMYFUNCTION("""COMPUTED_VALUE"""),13.5)</f>
        <v>13.5</v>
      </c>
      <c r="G250">
        <f ca="1">IFERROR(__xludf.DUMMYFUNCTION("""COMPUTED_VALUE"""),2)</f>
        <v>2</v>
      </c>
      <c r="H250">
        <f ca="1">IFERROR(__xludf.DUMMYFUNCTION("""COMPUTED_VALUE"""),112)</f>
        <v>112</v>
      </c>
    </row>
    <row r="251" spans="1:8" ht="12.75">
      <c r="A251">
        <f ca="1">IFERROR(__xludf.DUMMYFUNCTION("""COMPUTED_VALUE"""),250)</f>
        <v>250</v>
      </c>
      <c r="B251">
        <f ca="1">IFERROR(__xludf.DUMMYFUNCTION("""COMPUTED_VALUE"""),245)</f>
        <v>245</v>
      </c>
      <c r="C251" t="str">
        <f ca="1">IFERROR(__xludf.DUMMYFUNCTION("""COMPUTED_VALUE"""),"Shugo Imahira")</f>
        <v>Shugo Imahira</v>
      </c>
      <c r="D251">
        <f ca="1">IFERROR(__xludf.DUMMYFUNCTION("""COMPUTED_VALUE"""),8)</f>
        <v>8</v>
      </c>
      <c r="E251" t="str">
        <f ca="1">IFERROR(__xludf.DUMMYFUNCTION("""COMPUTED_VALUE"""),"6' 11""")</f>
        <v>6' 11"</v>
      </c>
      <c r="F251">
        <f ca="1">IFERROR(__xludf.DUMMYFUNCTION("""COMPUTED_VALUE"""),62.583)</f>
        <v>62.582999999999998</v>
      </c>
      <c r="G251">
        <f ca="1">IFERROR(__xludf.DUMMYFUNCTION("""COMPUTED_VALUE"""),9)</f>
        <v>9</v>
      </c>
      <c r="H251">
        <f ca="1">IFERROR(__xludf.DUMMYFUNCTION("""COMPUTED_VALUE"""),274)</f>
        <v>274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IFERROR(__xludf.DUMMYFUNCTION("""COMPUTED_VALUE"""),246)</f>
        <v>246</v>
      </c>
      <c r="C252" t="str">
        <f ca="1">IFERROR(__xludf.DUMMYFUNCTION("""COMPUTED_VALUE"""),"Zack Sucher")</f>
        <v>Zack Sucher</v>
      </c>
      <c r="D252">
        <f ca="1">IFERROR(__xludf.DUMMYFUNCTION("""COMPUTED_VALUE"""),6)</f>
        <v>6</v>
      </c>
      <c r="E252" t="str">
        <f ca="1">IFERROR(__xludf.DUMMYFUNCTION("""COMPUTED_VALUE"""),"7' 2""")</f>
        <v>7' 2"</v>
      </c>
      <c r="F252">
        <f ca="1">IFERROR(__xludf.DUMMYFUNCTION("""COMPUTED_VALUE"""),7.167)</f>
        <v>7.1669999999999998</v>
      </c>
      <c r="G252">
        <f ca="1">IFERROR(__xludf.DUMMYFUNCTION("""COMPUTED_VALUE"""),1)</f>
        <v>1</v>
      </c>
      <c r="H252">
        <f ca="1">IFERROR(__xludf.DUMMYFUNCTION("""COMPUTED_VALUE"""),257)</f>
        <v>257</v>
      </c>
    </row>
    <row r="253" spans="1:8" ht="12.75">
      <c r="A253">
        <f ca="1">IFERROR(__xludf.DUMMYFUNCTION("""COMPUTED_VALUE"""),252)</f>
        <v>252</v>
      </c>
      <c r="B253" t="str">
        <f ca="1">IFERROR(__xludf.DUMMYFUNCTION("""COMPUTED_VALUE"""),"T189")</f>
        <v>T189</v>
      </c>
      <c r="C253" t="str">
        <f ca="1">IFERROR(__xludf.DUMMYFUNCTION("""COMPUTED_VALUE"""),"Matt Jones")</f>
        <v>Matt Jones</v>
      </c>
      <c r="D253">
        <f ca="1">IFERROR(__xludf.DUMMYFUNCTION("""COMPUTED_VALUE"""),20)</f>
        <v>20</v>
      </c>
      <c r="E253" t="str">
        <f ca="1">IFERROR(__xludf.DUMMYFUNCTION("""COMPUTED_VALUE"""),"7' 4""")</f>
        <v>7' 4"</v>
      </c>
      <c r="F253">
        <f ca="1">IFERROR(__xludf.DUMMYFUNCTION("""COMPUTED_VALUE"""),44.167)</f>
        <v>44.167000000000002</v>
      </c>
      <c r="G253">
        <f ca="1">IFERROR(__xludf.DUMMYFUNCTION("""COMPUTED_VALUE"""),6)</f>
        <v>6</v>
      </c>
      <c r="H253">
        <f ca="1">IFERROR(__xludf.DUMMYFUNCTION("""COMPUTED_VALUE"""),30)</f>
        <v>30</v>
      </c>
    </row>
    <row r="254" spans="1:8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IFERROR(__xludf.DUMMYFUNCTION("""COMPUTED_VALUE"""),"Phil Mickelson")</f>
        <v>Phil Mickelson</v>
      </c>
      <c r="D254">
        <f ca="1">IFERROR(__xludf.DUMMYFUNCTION("""COMPUTED_VALUE"""),12)</f>
        <v>12</v>
      </c>
      <c r="E254" t="str">
        <f ca="1">IFERROR(__xludf.DUMMYFUNCTION("""COMPUTED_VALUE"""),"8' 10""")</f>
        <v>8' 10"</v>
      </c>
      <c r="F254">
        <f ca="1">IFERROR(__xludf.DUMMYFUNCTION("""COMPUTED_VALUE"""),53.167)</f>
        <v>53.167000000000002</v>
      </c>
      <c r="G254">
        <f ca="1">IFERROR(__xludf.DUMMYFUNCTION("""COMPUTED_VALUE"""),6)</f>
        <v>6</v>
      </c>
      <c r="H254">
        <f ca="1">IFERROR(__xludf.DUMMYFUNCTION("""COMPUTED_VALUE"""),220)</f>
        <v>220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IFERROR(__xludf.DUMMYFUNCTION("""COMPUTED_VALUE"""),248)</f>
        <v>248</v>
      </c>
      <c r="C255" t="str">
        <f ca="1">IFERROR(__xludf.DUMMYFUNCTION("""COMPUTED_VALUE"""),"Lucas Herbert")</f>
        <v>Lucas Herbert</v>
      </c>
      <c r="D255">
        <f ca="1">IFERROR(__xludf.DUMMYFUNCTION("""COMPUTED_VALUE"""),4)</f>
        <v>4</v>
      </c>
      <c r="E255" t="str">
        <f ca="1">IFERROR(__xludf.DUMMYFUNCTION("""COMPUTED_VALUE"""),"10' 3""")</f>
        <v>10' 3"</v>
      </c>
      <c r="F255">
        <f ca="1">IFERROR(__xludf.DUMMYFUNCTION("""COMPUTED_VALUE"""),30.75)</f>
        <v>30.75</v>
      </c>
      <c r="G255">
        <f ca="1">IFERROR(__xludf.DUMMYFUNCTION("""COMPUTED_VALUE"""),3)</f>
        <v>3</v>
      </c>
      <c r="H255">
        <f ca="1">IFERROR(__xludf.DUMMYFUNCTION("""COMPUTED_VALUE"""),235)</f>
        <v>235</v>
      </c>
    </row>
    <row r="256" spans="1:8" ht="12.75">
      <c r="A256">
        <f ca="1">IFERROR(__xludf.DUMMYFUNCTION("""COMPUTED_VALUE"""),255)</f>
        <v>255</v>
      </c>
      <c r="B256">
        <f ca="1">IFERROR(__xludf.DUMMYFUNCTION("""COMPUTED_VALUE"""),249)</f>
        <v>249</v>
      </c>
      <c r="C256" t="str">
        <f ca="1">IFERROR(__xludf.DUMMYFUNCTION("""COMPUTED_VALUE"""),"K.J. Choi")</f>
        <v>K.J. Choi</v>
      </c>
      <c r="D256">
        <f ca="1">IFERROR(__xludf.DUMMYFUNCTION("""COMPUTED_VALUE"""),6)</f>
        <v>6</v>
      </c>
      <c r="E256" t="str">
        <f ca="1">IFERROR(__xludf.DUMMYFUNCTION("""COMPUTED_VALUE"""),"10' 5""")</f>
        <v>10' 5"</v>
      </c>
      <c r="F256">
        <f ca="1">IFERROR(__xludf.DUMMYFUNCTION("""COMPUTED_VALUE"""),10.417)</f>
        <v>10.417</v>
      </c>
      <c r="G256">
        <f ca="1">IFERROR(__xludf.DUMMYFUNCTION("""COMPUTED_VALUE"""),1)</f>
        <v>1</v>
      </c>
      <c r="H256">
        <f ca="1">IFERROR(__xludf.DUMMYFUNCTION("""COMPUTED_VALUE"""),160)</f>
        <v>160</v>
      </c>
    </row>
    <row r="257" spans="1:8" ht="12.75">
      <c r="A257">
        <f ca="1">IFERROR(__xludf.DUMMYFUNCTION("""COMPUTED_VALUE"""),256)</f>
        <v>256</v>
      </c>
      <c r="B257">
        <f ca="1">IFERROR(__xludf.DUMMYFUNCTION("""COMPUTED_VALUE"""),250)</f>
        <v>250</v>
      </c>
      <c r="C257" t="str">
        <f ca="1">IFERROR(__xludf.DUMMYFUNCTION("""COMPUTED_VALUE"""),"Taylor Pendrith")</f>
        <v>Taylor Pendrith</v>
      </c>
      <c r="D257">
        <f ca="1">IFERROR(__xludf.DUMMYFUNCTION("""COMPUTED_VALUE"""),4)</f>
        <v>4</v>
      </c>
      <c r="E257" t="str">
        <f ca="1">IFERROR(__xludf.DUMMYFUNCTION("""COMPUTED_VALUE"""),"11' 8""")</f>
        <v>11' 8"</v>
      </c>
      <c r="F257">
        <f ca="1">IFERROR(__xludf.DUMMYFUNCTION("""COMPUTED_VALUE"""),46.583)</f>
        <v>46.582999999999998</v>
      </c>
      <c r="G257">
        <f ca="1">IFERROR(__xludf.DUMMYFUNCTION("""COMPUTED_VALUE"""),4)</f>
        <v>4</v>
      </c>
      <c r="H257">
        <f ca="1">IFERROR(__xludf.DUMMYFUNCTION("""COMPUTED_VALUE"""),235)</f>
        <v>235</v>
      </c>
    </row>
    <row r="258" spans="1:8" ht="12.75">
      <c r="A258">
        <f ca="1">IFERROR(__xludf.DUMMYFUNCTION("""COMPUTED_VALUE"""),257)</f>
        <v>257</v>
      </c>
      <c r="B258">
        <f ca="1">IFERROR(__xludf.DUMMYFUNCTION("""COMPUTED_VALUE"""),251)</f>
        <v>251</v>
      </c>
      <c r="C258" t="str">
        <f ca="1">IFERROR(__xludf.DUMMYFUNCTION("""COMPUTED_VALUE"""),"Bernd Wiesberger")</f>
        <v>Bernd Wiesberger</v>
      </c>
      <c r="D258">
        <f ca="1">IFERROR(__xludf.DUMMYFUNCTION("""COMPUTED_VALUE"""),4)</f>
        <v>4</v>
      </c>
      <c r="E258" t="str">
        <f ca="1">IFERROR(__xludf.DUMMYFUNCTION("""COMPUTED_VALUE"""),"11' 10""")</f>
        <v>11' 10"</v>
      </c>
      <c r="F258">
        <f ca="1">IFERROR(__xludf.DUMMYFUNCTION("""COMPUTED_VALUE"""),35.417)</f>
        <v>35.417000000000002</v>
      </c>
      <c r="G258">
        <f ca="1">IFERROR(__xludf.DUMMYFUNCTION("""COMPUTED_VALUE"""),3)</f>
        <v>3</v>
      </c>
      <c r="H258">
        <f ca="1">IFERROR(__xludf.DUMMYFUNCTION("""COMPUTED_VALUE"""),283)</f>
        <v>283</v>
      </c>
    </row>
    <row r="259" spans="1:8" ht="12.75">
      <c r="A259">
        <f ca="1">IFERROR(__xludf.DUMMYFUNCTION("""COMPUTED_VALUE"""),258)</f>
        <v>258</v>
      </c>
      <c r="B259" t="str">
        <f ca="1">IFERROR(__xludf.DUMMYFUNCTION("""COMPUTED_VALUE"""),"")</f>
        <v/>
      </c>
      <c r="C259" t="str">
        <f ca="1">IFERROR(__xludf.DUMMYFUNCTION("""COMPUTED_VALUE"""),"Justin Harding")</f>
        <v>Justin Harding</v>
      </c>
      <c r="D259">
        <f ca="1">IFERROR(__xludf.DUMMYFUNCTION("""COMPUTED_VALUE"""),6)</f>
        <v>6</v>
      </c>
      <c r="E259" t="str">
        <f ca="1">IFERROR(__xludf.DUMMYFUNCTION("""COMPUTED_VALUE"""),"12' 7""")</f>
        <v>12' 7"</v>
      </c>
      <c r="F259">
        <f ca="1">IFERROR(__xludf.DUMMYFUNCTION("""COMPUTED_VALUE"""),75.417)</f>
        <v>75.417000000000002</v>
      </c>
      <c r="G259">
        <f ca="1">IFERROR(__xludf.DUMMYFUNCTION("""COMPUTED_VALUE"""),6)</f>
        <v>6</v>
      </c>
      <c r="H259">
        <f ca="1">IFERROR(__xludf.DUMMYFUNCTION("""COMPUTED_VALUE"""),279)</f>
        <v>279</v>
      </c>
    </row>
    <row r="260" spans="1:8" ht="12.75">
      <c r="A260">
        <f ca="1">IFERROR(__xludf.DUMMYFUNCTION("""COMPUTED_VALUE"""),259)</f>
        <v>259</v>
      </c>
      <c r="B260" t="str">
        <f ca="1">IFERROR(__xludf.DUMMYFUNCTION("""COMPUTED_VALUE"""),"")</f>
        <v/>
      </c>
      <c r="C260" t="str">
        <f ca="1">IFERROR(__xludf.DUMMYFUNCTION("""COMPUTED_VALUE"""),"Dawie van der Walt")</f>
        <v>Dawie van der Walt</v>
      </c>
      <c r="D260">
        <f ca="1">IFERROR(__xludf.DUMMYFUNCTION("""COMPUTED_VALUE"""),4)</f>
        <v>4</v>
      </c>
      <c r="E260" t="str">
        <f ca="1">IFERROR(__xludf.DUMMYFUNCTION("""COMPUTED_VALUE"""),"14' 8""")</f>
        <v>14' 8"</v>
      </c>
      <c r="F260">
        <f ca="1">IFERROR(__xludf.DUMMYFUNCTION("""COMPUTED_VALUE"""),14.667)</f>
        <v>14.667</v>
      </c>
      <c r="G260">
        <f ca="1">IFERROR(__xludf.DUMMYFUNCTION("""COMPUTED_VALUE"""),1)</f>
        <v>1</v>
      </c>
      <c r="H260">
        <f ca="1">IFERROR(__xludf.DUMMYFUNCTION("""COMPUTED_VALUE"""),102)</f>
        <v>102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IFERROR(__xludf.DUMMYFUNCTION("""COMPUTED_VALUE"""),252)</f>
        <v>252</v>
      </c>
      <c r="C261" t="str">
        <f ca="1">IFERROR(__xludf.DUMMYFUNCTION("""COMPUTED_VALUE"""),"Jazz Janewattananond")</f>
        <v>Jazz Janewattananond</v>
      </c>
      <c r="D261">
        <f ca="1">IFERROR(__xludf.DUMMYFUNCTION("""COMPUTED_VALUE"""),6)</f>
        <v>6</v>
      </c>
      <c r="E261" t="str">
        <f ca="1">IFERROR(__xludf.DUMMYFUNCTION("""COMPUTED_VALUE"""),"17' 5""")</f>
        <v>17' 5"</v>
      </c>
      <c r="F261">
        <f ca="1">IFERROR(__xludf.DUMMYFUNCTION("""COMPUTED_VALUE"""),34.75)</f>
        <v>34.75</v>
      </c>
      <c r="G261">
        <f ca="1">IFERROR(__xludf.DUMMYFUNCTION("""COMPUTED_VALUE"""),2)</f>
        <v>2</v>
      </c>
      <c r="H261">
        <f ca="1">IFERROR(__xludf.DUMMYFUNCTION("""COMPUTED_VALUE"""),288)</f>
        <v>288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IFERROR(__xludf.DUMMYFUNCTION("""COMPUTED_VALUE"""),"Matthias Schwab")</f>
        <v>Matthias Schwab</v>
      </c>
      <c r="D262">
        <f ca="1">IFERROR(__xludf.DUMMYFUNCTION("""COMPUTED_VALUE"""),8)</f>
        <v>8</v>
      </c>
      <c r="E262" t="str">
        <f ca="1">IFERROR(__xludf.DUMMYFUNCTION("""COMPUTED_VALUE"""),"18' 3""")</f>
        <v>18' 3"</v>
      </c>
      <c r="F262">
        <f ca="1">IFERROR(__xludf.DUMMYFUNCTION("""COMPUTED_VALUE"""),73.083)</f>
        <v>73.082999999999998</v>
      </c>
      <c r="G262">
        <f ca="1">IFERROR(__xludf.DUMMYFUNCTION("""COMPUTED_VALUE"""),4)</f>
        <v>4</v>
      </c>
      <c r="H262">
        <f ca="1">IFERROR(__xludf.DUMMYFUNCTION("""COMPUTED_VALUE"""),133)</f>
        <v>133</v>
      </c>
    </row>
    <row r="263" spans="1:8" ht="12.75">
      <c r="A263">
        <f ca="1">IFERROR(__xludf.DUMMYFUNCTION("""COMPUTED_VALUE"""),262)</f>
        <v>262</v>
      </c>
      <c r="B263">
        <f ca="1">IFERROR(__xludf.DUMMYFUNCTION("""COMPUTED_VALUE"""),254)</f>
        <v>254</v>
      </c>
      <c r="C263" t="str">
        <f ca="1">IFERROR(__xludf.DUMMYFUNCTION("""COMPUTED_VALUE"""),"Tom Lewis")</f>
        <v>Tom Lewis</v>
      </c>
      <c r="D263">
        <f ca="1">IFERROR(__xludf.DUMMYFUNCTION("""COMPUTED_VALUE"""),12)</f>
        <v>12</v>
      </c>
      <c r="E263" t="str">
        <f ca="1">IFERROR(__xludf.DUMMYFUNCTION("""COMPUTED_VALUE"""),"19' 11""")</f>
        <v>19' 11"</v>
      </c>
      <c r="F263">
        <f ca="1">IFERROR(__xludf.DUMMYFUNCTION("""COMPUTED_VALUE"""),39.75)</f>
        <v>39.75</v>
      </c>
      <c r="G263">
        <f ca="1">IFERROR(__xludf.DUMMYFUNCTION("""COMPUTED_VALUE"""),2)</f>
        <v>2</v>
      </c>
      <c r="H263">
        <f ca="1">IFERROR(__xludf.DUMMYFUNCTION("""COMPUTED_VALUE"""),223)</f>
        <v>223</v>
      </c>
    </row>
    <row r="264" spans="1:8" ht="12.75">
      <c r="A264">
        <f ca="1">IFERROR(__xludf.DUMMYFUNCTION("""COMPUTED_VALUE"""),263)</f>
        <v>263</v>
      </c>
      <c r="B264">
        <f ca="1">IFERROR(__xludf.DUMMYFUNCTION("""COMPUTED_VALUE"""),255)</f>
        <v>255</v>
      </c>
      <c r="C264" t="str">
        <f ca="1">IFERROR(__xludf.DUMMYFUNCTION("""COMPUTED_VALUE"""),"Joaquin Niemann")</f>
        <v>Joaquin Niemann</v>
      </c>
      <c r="D264">
        <f ca="1">IFERROR(__xludf.DUMMYFUNCTION("""COMPUTED_VALUE"""),16)</f>
        <v>16</v>
      </c>
      <c r="E264" t="str">
        <f ca="1">IFERROR(__xludf.DUMMYFUNCTION("""COMPUTED_VALUE"""),"20' 10""")</f>
        <v>20' 10"</v>
      </c>
      <c r="F264">
        <f ca="1">IFERROR(__xludf.DUMMYFUNCTION("""COMPUTED_VALUE"""),83.25)</f>
        <v>83.25</v>
      </c>
      <c r="G264">
        <f ca="1">IFERROR(__xludf.DUMMYFUNCTION("""COMPUTED_VALUE"""),4)</f>
        <v>4</v>
      </c>
      <c r="H264">
        <f ca="1">IFERROR(__xludf.DUMMYFUNCTION("""COMPUTED_VALUE"""),59)</f>
        <v>59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IFERROR(__xludf.DUMMYFUNCTION("""COMPUTED_VALUE"""),256)</f>
        <v>256</v>
      </c>
      <c r="C265" t="str">
        <f ca="1">IFERROR(__xludf.DUMMYFUNCTION("""COMPUTED_VALUE"""),"Rasmus Hojgaard")</f>
        <v>Rasmus Hojgaard</v>
      </c>
      <c r="D265">
        <f ca="1">IFERROR(__xludf.DUMMYFUNCTION("""COMPUTED_VALUE"""),6)</f>
        <v>6</v>
      </c>
      <c r="E265" t="str">
        <f ca="1">IFERROR(__xludf.DUMMYFUNCTION("""COMPUTED_VALUE"""),"24' 2""")</f>
        <v>24' 2"</v>
      </c>
      <c r="F265">
        <f ca="1">IFERROR(__xludf.DUMMYFUNCTION("""COMPUTED_VALUE"""),24.167)</f>
        <v>24.167000000000002</v>
      </c>
      <c r="G265">
        <f ca="1">IFERROR(__xludf.DUMMYFUNCTION("""COMPUTED_VALUE"""),1)</f>
        <v>1</v>
      </c>
      <c r="H265">
        <f ca="1">IFERROR(__xludf.DUMMYFUNCTION("""COMPUTED_VALUE"""),286)</f>
        <v>286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H277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IFERROR(__xludf.DUMMYFUNCTION("importhtml(""http://www.pgatour.com/stats/stat.378.html"",""table"",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 DTP")</f>
        <v>AVG DTP</v>
      </c>
      <c r="F1" t="str">
        <f ca="1">IFERROR(__xludf.DUMMYFUNCTION("""COMPUTED_VALUE"""),"TOTAL DISTANCE (FEET)")</f>
        <v>TOTAL DISTANCE (FEET)</v>
      </c>
      <c r="G1" t="str">
        <f ca="1">IFERROR(__xludf.DUMMYFUNCTION("""COMPUTED_VALUE"""),"# OF SHOTS")</f>
        <v># OF SHOTS</v>
      </c>
      <c r="H1" t="str">
        <f ca="1">IFERROR(__xludf.DUMMYFUNCTION("""COMPUTED_VALUE"""),"SCRAMBLING RANK")</f>
        <v>SCRAMBLING RANK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IFERROR(__xludf.DUMMYFUNCTION("""COMPUTED_VALUE"""),"Shawn Stefani")</f>
        <v>Shawn Stefani</v>
      </c>
      <c r="D2">
        <f ca="1">IFERROR(__xludf.DUMMYFUNCTION("""COMPUTED_VALUE"""),5)</f>
        <v>5</v>
      </c>
      <c r="E2" t="str">
        <f ca="1">IFERROR(__xludf.DUMMYFUNCTION("""COMPUTED_VALUE"""),"2' 7""")</f>
        <v>2' 7"</v>
      </c>
      <c r="F2">
        <f ca="1">IFERROR(__xludf.DUMMYFUNCTION("""COMPUTED_VALUE"""),0.186)</f>
        <v>0.186</v>
      </c>
      <c r="G2">
        <f ca="1">IFERROR(__xludf.DUMMYFUNCTION("""COMPUTED_VALUE"""),6)</f>
        <v>6</v>
      </c>
      <c r="H2">
        <f ca="1">IFERROR(__xludf.DUMMYFUNCTION("""COMPUTED_VALUE"""),255)</f>
        <v>255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IFERROR(__xludf.DUMMYFUNCTION("""COMPUTED_VALUE"""),3)</f>
        <v>3</v>
      </c>
      <c r="C3" t="str">
        <f ca="1">IFERROR(__xludf.DUMMYFUNCTION("""COMPUTED_VALUE"""),"Anirban Lahiri")</f>
        <v>Anirban Lahiri</v>
      </c>
      <c r="D3">
        <f ca="1">IFERROR(__xludf.DUMMYFUNCTION("""COMPUTED_VALUE"""),16)</f>
        <v>16</v>
      </c>
      <c r="E3" t="str">
        <f ca="1">IFERROR(__xludf.DUMMYFUNCTION("""COMPUTED_VALUE"""),"3' 2""")</f>
        <v>3' 2"</v>
      </c>
      <c r="F3">
        <f ca="1">IFERROR(__xludf.DUMMYFUNCTION("""COMPUTED_VALUE"""),0.528)</f>
        <v>0.52800000000000002</v>
      </c>
      <c r="G3">
        <f ca="1">IFERROR(__xludf.DUMMYFUNCTION("""COMPUTED_VALUE"""),14)</f>
        <v>14</v>
      </c>
      <c r="H3">
        <f ca="1">IFERROR(__xludf.DUMMYFUNCTION("""COMPUTED_VALUE"""),17)</f>
        <v>17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IFERROR(__xludf.DUMMYFUNCTION("""COMPUTED_VALUE"""),4)</f>
        <v>4</v>
      </c>
      <c r="C4" t="str">
        <f ca="1">IFERROR(__xludf.DUMMYFUNCTION("""COMPUTED_VALUE"""),"Wes Roach")</f>
        <v>Wes Roach</v>
      </c>
      <c r="D4">
        <f ca="1">IFERROR(__xludf.DUMMYFUNCTION("""COMPUTED_VALUE"""),6)</f>
        <v>6</v>
      </c>
      <c r="E4" t="str">
        <f ca="1">IFERROR(__xludf.DUMMYFUNCTION("""COMPUTED_VALUE"""),"3' 8""")</f>
        <v>3' 8"</v>
      </c>
      <c r="F4">
        <f ca="1">IFERROR(__xludf.DUMMYFUNCTION("""COMPUTED_VALUE"""),0.175)</f>
        <v>0.17499999999999999</v>
      </c>
      <c r="G4">
        <f ca="1">IFERROR(__xludf.DUMMYFUNCTION("""COMPUTED_VALUE"""),4)</f>
        <v>4</v>
      </c>
      <c r="H4">
        <f ca="1">IFERROR(__xludf.DUMMYFUNCTION("""COMPUTED_VALUE"""),235)</f>
        <v>235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IFERROR(__xludf.DUMMYFUNCTION("""COMPUTED_VALUE"""),"Alex Cejka")</f>
        <v>Alex Cejka</v>
      </c>
      <c r="D5">
        <f ca="1">IFERROR(__xludf.DUMMYFUNCTION("""COMPUTED_VALUE"""),6)</f>
        <v>6</v>
      </c>
      <c r="E5" t="str">
        <f ca="1">IFERROR(__xludf.DUMMYFUNCTION("""COMPUTED_VALUE"""),"3' 9""")</f>
        <v>3' 9"</v>
      </c>
      <c r="F5">
        <f ca="1">IFERROR(__xludf.DUMMYFUNCTION("""COMPUTED_VALUE"""),0.178)</f>
        <v>0.17799999999999999</v>
      </c>
      <c r="G5">
        <f ca="1">IFERROR(__xludf.DUMMYFUNCTION("""COMPUTED_VALUE"""),4)</f>
        <v>4</v>
      </c>
      <c r="H5">
        <f ca="1">IFERROR(__xludf.DUMMYFUNCTION("""COMPUTED_VALUE"""),112)</f>
        <v>112</v>
      </c>
    </row>
    <row r="6" spans="1:8" ht="15.75" customHeight="1">
      <c r="A6">
        <f ca="1">IFERROR(__xludf.DUMMYFUNCTION("""COMPUTED_VALUE"""),5)</f>
        <v>5</v>
      </c>
      <c r="B6" t="str">
        <f ca="1">IFERROR(__xludf.DUMMYFUNCTION("""COMPUTED_VALUE"""),"T6")</f>
        <v>T6</v>
      </c>
      <c r="C6" t="str">
        <f ca="1">IFERROR(__xludf.DUMMYFUNCTION("""COMPUTED_VALUE"""),"Ben Taylor")</f>
        <v>Ben Taylor</v>
      </c>
      <c r="D6">
        <f ca="1">IFERROR(__xludf.DUMMYFUNCTION("""COMPUTED_VALUE"""),10)</f>
        <v>10</v>
      </c>
      <c r="E6" t="str">
        <f ca="1">IFERROR(__xludf.DUMMYFUNCTION("""COMPUTED_VALUE"""),"3' 10""")</f>
        <v>3' 10"</v>
      </c>
      <c r="F6">
        <f ca="1">IFERROR(__xludf.DUMMYFUNCTION("""COMPUTED_VALUE"""),0.091)</f>
        <v>9.0999999999999998E-2</v>
      </c>
      <c r="G6">
        <f ca="1">IFERROR(__xludf.DUMMYFUNCTION("""COMPUTED_VALUE"""),2)</f>
        <v>2</v>
      </c>
      <c r="H6">
        <f ca="1">IFERROR(__xludf.DUMMYFUNCTION("""COMPUTED_VALUE"""),19)</f>
        <v>19</v>
      </c>
    </row>
    <row r="7" spans="1:8" ht="15.75" customHeight="1">
      <c r="A7">
        <f ca="1">IFERROR(__xludf.DUMMYFUNCTION("""COMPUTED_VALUE"""),6)</f>
        <v>6</v>
      </c>
      <c r="B7" t="str">
        <f ca="1">IFERROR(__xludf.DUMMYFUNCTION("""COMPUTED_VALUE"""),"T6")</f>
        <v>T6</v>
      </c>
      <c r="C7" t="str">
        <f ca="1">IFERROR(__xludf.DUMMYFUNCTION("""COMPUTED_VALUE"""),"Bo Hoag")</f>
        <v>Bo Hoag</v>
      </c>
      <c r="D7">
        <f ca="1">IFERROR(__xludf.DUMMYFUNCTION("""COMPUTED_VALUE"""),14)</f>
        <v>14</v>
      </c>
      <c r="E7" t="str">
        <f ca="1">IFERROR(__xludf.DUMMYFUNCTION("""COMPUTED_VALUE"""),"4' 1""")</f>
        <v>4' 1"</v>
      </c>
      <c r="F7">
        <f ca="1">IFERROR(__xludf.DUMMYFUNCTION("""COMPUTED_VALUE"""),1.373)</f>
        <v>1.373</v>
      </c>
      <c r="G7">
        <f ca="1">IFERROR(__xludf.DUMMYFUNCTION("""COMPUTED_VALUE"""),28)</f>
        <v>28</v>
      </c>
      <c r="H7">
        <f ca="1">IFERROR(__xludf.DUMMYFUNCTION("""COMPUTED_VALUE"""),83)</f>
        <v>83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IFERROR(__xludf.DUMMYFUNCTION("""COMPUTED_VALUE"""),9)</f>
        <v>9</v>
      </c>
      <c r="C8" t="str">
        <f ca="1">IFERROR(__xludf.DUMMYFUNCTION("""COMPUTED_VALUE"""),"Naoki Sekito")</f>
        <v>Naoki Sekito</v>
      </c>
      <c r="D8">
        <f ca="1">IFERROR(__xludf.DUMMYFUNCTION("""COMPUTED_VALUE"""),4)</f>
        <v>4</v>
      </c>
      <c r="E8" t="str">
        <f ca="1">IFERROR(__xludf.DUMMYFUNCTION("""COMPUTED_VALUE"""),"4' 2""")</f>
        <v>4' 2"</v>
      </c>
      <c r="F8">
        <f ca="1">IFERROR(__xludf.DUMMYFUNCTION("""COMPUTED_VALUE"""),0.45)</f>
        <v>0.45</v>
      </c>
      <c r="G8">
        <f ca="1">IFERROR(__xludf.DUMMYFUNCTION("""COMPUTED_VALUE"""),9)</f>
        <v>9</v>
      </c>
      <c r="H8">
        <f ca="1">IFERROR(__xludf.DUMMYFUNCTION("""COMPUTED_VALUE"""),259)</f>
        <v>259</v>
      </c>
    </row>
    <row r="9" spans="1:8" ht="15.75" customHeight="1">
      <c r="A9" t="str">
        <f ca="1">IFERROR(__xludf.DUMMYFUNCTION("""COMPUTED_VALUE"""),"T8")</f>
        <v>T8</v>
      </c>
      <c r="B9" t="str">
        <f ca="1">IFERROR(__xludf.DUMMYFUNCTION("""COMPUTED_VALUE"""),"T10")</f>
        <v>T10</v>
      </c>
      <c r="C9" t="str">
        <f ca="1">IFERROR(__xludf.DUMMYFUNCTION("""COMPUTED_VALUE"""),"Jaekyeong Lee")</f>
        <v>Jaekyeong Lee</v>
      </c>
      <c r="D9">
        <f ca="1">IFERROR(__xludf.DUMMYFUNCTION("""COMPUTED_VALUE"""),4)</f>
        <v>4</v>
      </c>
      <c r="E9" t="str">
        <f ca="1">IFERROR(__xludf.DUMMYFUNCTION("""COMPUTED_VALUE"""),"4' 3""")</f>
        <v>4' 3"</v>
      </c>
      <c r="F9">
        <f ca="1">IFERROR(__xludf.DUMMYFUNCTION("""COMPUTED_VALUE"""),0.255)</f>
        <v>0.255</v>
      </c>
      <c r="G9">
        <f ca="1">IFERROR(__xludf.DUMMYFUNCTION("""COMPUTED_VALUE"""),5)</f>
        <v>5</v>
      </c>
      <c r="H9">
        <f ca="1">IFERROR(__xludf.DUMMYFUNCTION("""COMPUTED_VALUE"""),282)</f>
        <v>282</v>
      </c>
    </row>
    <row r="10" spans="1:8" ht="15.75" customHeight="1">
      <c r="A10" t="str">
        <f ca="1">IFERROR(__xludf.DUMMYFUNCTION("""COMPUTED_VALUE"""),"T8")</f>
        <v>T8</v>
      </c>
      <c r="B10" t="str">
        <f ca="1">IFERROR(__xludf.DUMMYFUNCTION("""COMPUTED_VALUE"""),"T10")</f>
        <v>T10</v>
      </c>
      <c r="C10" t="str">
        <f ca="1">IFERROR(__xludf.DUMMYFUNCTION("""COMPUTED_VALUE"""),"Brad Kennedy")</f>
        <v>Brad Kennedy</v>
      </c>
      <c r="D10">
        <f ca="1">IFERROR(__xludf.DUMMYFUNCTION("""COMPUTED_VALUE"""),4)</f>
        <v>4</v>
      </c>
      <c r="E10" t="str">
        <f ca="1">IFERROR(__xludf.DUMMYFUNCTION("""COMPUTED_VALUE"""),"4' 3""")</f>
        <v>4' 3"</v>
      </c>
      <c r="F10">
        <f ca="1">IFERROR(__xludf.DUMMYFUNCTION("""COMPUTED_VALUE"""),0.506)</f>
        <v>0.50600000000000001</v>
      </c>
      <c r="G10">
        <f ca="1">IFERROR(__xludf.DUMMYFUNCTION("""COMPUTED_VALUE"""),10)</f>
        <v>10</v>
      </c>
      <c r="H10">
        <f ca="1">IFERROR(__xludf.DUMMYFUNCTION("""COMPUTED_VALUE"""),5)</f>
        <v>5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IFERROR(__xludf.DUMMYFUNCTION("""COMPUTED_VALUE"""),12)</f>
        <v>12</v>
      </c>
      <c r="C11" t="str">
        <f ca="1">IFERROR(__xludf.DUMMYFUNCTION("""COMPUTED_VALUE"""),"Tommy Fleetwood")</f>
        <v>Tommy Fleetwood</v>
      </c>
      <c r="D11">
        <f ca="1">IFERROR(__xludf.DUMMYFUNCTION("""COMPUTED_VALUE"""),10)</f>
        <v>10</v>
      </c>
      <c r="E11" t="str">
        <f ca="1">IFERROR(__xludf.DUMMYFUNCTION("""COMPUTED_VALUE"""),"4' 4""")</f>
        <v>4' 4"</v>
      </c>
      <c r="F11">
        <f ca="1">IFERROR(__xludf.DUMMYFUNCTION("""COMPUTED_VALUE"""),0.775)</f>
        <v>0.77500000000000002</v>
      </c>
      <c r="G11">
        <f ca="1">IFERROR(__xludf.DUMMYFUNCTION("""COMPUTED_VALUE"""),15)</f>
        <v>15</v>
      </c>
      <c r="H11">
        <f ca="1">IFERROR(__xludf.DUMMYFUNCTION("""COMPUTED_VALUE"""),248)</f>
        <v>248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IFERROR(__xludf.DUMMYFUNCTION("""COMPUTED_VALUE"""),"Jonathan Byrd")</f>
        <v>Jonathan Byrd</v>
      </c>
      <c r="D12">
        <f ca="1">IFERROR(__xludf.DUMMYFUNCTION("""COMPUTED_VALUE"""),14)</f>
        <v>14</v>
      </c>
      <c r="E12" t="str">
        <f ca="1">IFERROR(__xludf.DUMMYFUNCTION("""COMPUTED_VALUE"""),"4' 5""")</f>
        <v>4' 5"</v>
      </c>
      <c r="F12">
        <f ca="1">IFERROR(__xludf.DUMMYFUNCTION("""COMPUTED_VALUE"""),0.424)</f>
        <v>0.42399999999999999</v>
      </c>
      <c r="G12">
        <f ca="1">IFERROR(__xludf.DUMMYFUNCTION("""COMPUTED_VALUE"""),8)</f>
        <v>8</v>
      </c>
      <c r="H12">
        <f ca="1">IFERROR(__xludf.DUMMYFUNCTION("""COMPUTED_VALUE"""),23)</f>
        <v>23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IFERROR(__xludf.DUMMYFUNCTION("""COMPUTED_VALUE"""),14)</f>
        <v>14</v>
      </c>
      <c r="C13" t="str">
        <f ca="1">IFERROR(__xludf.DUMMYFUNCTION("""COMPUTED_VALUE"""),"Justin Rose")</f>
        <v>Justin Rose</v>
      </c>
      <c r="D13">
        <f ca="1">IFERROR(__xludf.DUMMYFUNCTION("""COMPUTED_VALUE"""),10)</f>
        <v>10</v>
      </c>
      <c r="E13" t="str">
        <f ca="1">IFERROR(__xludf.DUMMYFUNCTION("""COMPUTED_VALUE"""),"4' 6""")</f>
        <v>4' 6"</v>
      </c>
      <c r="F13">
        <f ca="1">IFERROR(__xludf.DUMMYFUNCTION("""COMPUTED_VALUE"""),0.591)</f>
        <v>0.59099999999999997</v>
      </c>
      <c r="G13">
        <f ca="1">IFERROR(__xludf.DUMMYFUNCTION("""COMPUTED_VALUE"""),11)</f>
        <v>11</v>
      </c>
      <c r="H13">
        <f ca="1">IFERROR(__xludf.DUMMYFUNCTION("""COMPUTED_VALUE"""),235)</f>
        <v>235</v>
      </c>
    </row>
    <row r="14" spans="1:8" ht="15.75" customHeight="1">
      <c r="A14" t="str">
        <f ca="1">IFERROR(__xludf.DUMMYFUNCTION("""COMPUTED_VALUE"""),"T13")</f>
        <v>T13</v>
      </c>
      <c r="B14" t="str">
        <f ca="1">IFERROR(__xludf.DUMMYFUNCTION("""COMPUTED_VALUE"""),"T15")</f>
        <v>T15</v>
      </c>
      <c r="C14" t="str">
        <f ca="1">IFERROR(__xludf.DUMMYFUNCTION("""COMPUTED_VALUE"""),"Collin Morikawa")</f>
        <v>Collin Morikawa</v>
      </c>
      <c r="D14">
        <f ca="1">IFERROR(__xludf.DUMMYFUNCTION("""COMPUTED_VALUE"""),12)</f>
        <v>12</v>
      </c>
      <c r="E14" t="str">
        <f ca="1">IFERROR(__xludf.DUMMYFUNCTION("""COMPUTED_VALUE"""),"4' 8""")</f>
        <v>4' 8"</v>
      </c>
      <c r="F14">
        <f ca="1">IFERROR(__xludf.DUMMYFUNCTION("""COMPUTED_VALUE"""),1.181)</f>
        <v>1.181</v>
      </c>
      <c r="G14">
        <f ca="1">IFERROR(__xludf.DUMMYFUNCTION("""COMPUTED_VALUE"""),21)</f>
        <v>21</v>
      </c>
      <c r="H14">
        <f ca="1">IFERROR(__xludf.DUMMYFUNCTION("""COMPUTED_VALUE"""),141)</f>
        <v>141</v>
      </c>
    </row>
    <row r="15" spans="1:8" ht="15.75" customHeight="1">
      <c r="A15" t="str">
        <f ca="1">IFERROR(__xludf.DUMMYFUNCTION("""COMPUTED_VALUE"""),"T13")</f>
        <v>T13</v>
      </c>
      <c r="B15" t="str">
        <f ca="1">IFERROR(__xludf.DUMMYFUNCTION("""COMPUTED_VALUE"""),"T15")</f>
        <v>T15</v>
      </c>
      <c r="C15" t="str">
        <f ca="1">IFERROR(__xludf.DUMMYFUNCTION("""COMPUTED_VALUE"""),"K.J. Choi")</f>
        <v>K.J. Choi</v>
      </c>
      <c r="D15">
        <f ca="1">IFERROR(__xludf.DUMMYFUNCTION("""COMPUTED_VALUE"""),6)</f>
        <v>6</v>
      </c>
      <c r="E15" t="str">
        <f ca="1">IFERROR(__xludf.DUMMYFUNCTION("""COMPUTED_VALUE"""),"4' 8""")</f>
        <v>4' 8"</v>
      </c>
      <c r="F15">
        <f ca="1">IFERROR(__xludf.DUMMYFUNCTION("""COMPUTED_VALUE"""),0.672)</f>
        <v>0.67200000000000004</v>
      </c>
      <c r="G15">
        <f ca="1">IFERROR(__xludf.DUMMYFUNCTION("""COMPUTED_VALUE"""),12)</f>
        <v>12</v>
      </c>
      <c r="H15">
        <f ca="1">IFERROR(__xludf.DUMMYFUNCTION("""COMPUTED_VALUE"""),160)</f>
        <v>160</v>
      </c>
    </row>
    <row r="16" spans="1:8" ht="15.75" customHeight="1">
      <c r="A16" t="str">
        <f ca="1">IFERROR(__xludf.DUMMYFUNCTION("""COMPUTED_VALUE"""),"T15")</f>
        <v>T15</v>
      </c>
      <c r="B16" t="str">
        <f ca="1">IFERROR(__xludf.DUMMYFUNCTION("""COMPUTED_VALUE"""),"T17")</f>
        <v>T17</v>
      </c>
      <c r="C16" t="str">
        <f ca="1">IFERROR(__xludf.DUMMYFUNCTION("""COMPUTED_VALUE"""),"Hank Lebioda")</f>
        <v>Hank Lebioda</v>
      </c>
      <c r="D16">
        <f ca="1">IFERROR(__xludf.DUMMYFUNCTION("""COMPUTED_VALUE"""),14)</f>
        <v>14</v>
      </c>
      <c r="E16" t="str">
        <f ca="1">IFERROR(__xludf.DUMMYFUNCTION("""COMPUTED_VALUE"""),"4' 10""")</f>
        <v>4' 10"</v>
      </c>
      <c r="F16">
        <f ca="1">IFERROR(__xludf.DUMMYFUNCTION("""COMPUTED_VALUE"""),0.7)</f>
        <v>0.7</v>
      </c>
      <c r="G16">
        <f ca="1">IFERROR(__xludf.DUMMYFUNCTION("""COMPUTED_VALUE"""),12)</f>
        <v>12</v>
      </c>
      <c r="H16">
        <f ca="1">IFERROR(__xludf.DUMMYFUNCTION("""COMPUTED_VALUE"""),7)</f>
        <v>7</v>
      </c>
    </row>
    <row r="17" spans="1:8" ht="15.75" customHeight="1">
      <c r="A17" t="str">
        <f ca="1">IFERROR(__xludf.DUMMYFUNCTION("""COMPUTED_VALUE"""),"T15")</f>
        <v>T15</v>
      </c>
      <c r="B17" t="str">
        <f ca="1">IFERROR(__xludf.DUMMYFUNCTION("""COMPUTED_VALUE"""),"T17")</f>
        <v>T17</v>
      </c>
      <c r="C17" t="str">
        <f ca="1">IFERROR(__xludf.DUMMYFUNCTION("""COMPUTED_VALUE"""),"Tyler McCumber")</f>
        <v>Tyler McCumber</v>
      </c>
      <c r="D17">
        <f ca="1">IFERROR(__xludf.DUMMYFUNCTION("""COMPUTED_VALUE"""),14)</f>
        <v>14</v>
      </c>
      <c r="E17" t="str">
        <f ca="1">IFERROR(__xludf.DUMMYFUNCTION("""COMPUTED_VALUE"""),"4' 10""")</f>
        <v>4' 10"</v>
      </c>
      <c r="F17">
        <f ca="1">IFERROR(__xludf.DUMMYFUNCTION("""COMPUTED_VALUE"""),1.048)</f>
        <v>1.048</v>
      </c>
      <c r="G17">
        <f ca="1">IFERROR(__xludf.DUMMYFUNCTION("""COMPUTED_VALUE"""),18)</f>
        <v>18</v>
      </c>
      <c r="H17">
        <f ca="1">IFERROR(__xludf.DUMMYFUNCTION("""COMPUTED_VALUE"""),75)</f>
        <v>75</v>
      </c>
    </row>
    <row r="18" spans="1:8" ht="15.75" customHeight="1">
      <c r="A18" t="str">
        <f ca="1">IFERROR(__xludf.DUMMYFUNCTION("""COMPUTED_VALUE"""),"T15")</f>
        <v>T15</v>
      </c>
      <c r="B18" t="str">
        <f ca="1">IFERROR(__xludf.DUMMYFUNCTION("""COMPUTED_VALUE"""),"T17")</f>
        <v>T17</v>
      </c>
      <c r="C18" t="str">
        <f ca="1">IFERROR(__xludf.DUMMYFUNCTION("""COMPUTED_VALUE"""),"J.J. Spaun")</f>
        <v>J.J. Spaun</v>
      </c>
      <c r="D18">
        <f ca="1">IFERROR(__xludf.DUMMYFUNCTION("""COMPUTED_VALUE"""),10)</f>
        <v>10</v>
      </c>
      <c r="E18" t="str">
        <f ca="1">IFERROR(__xludf.DUMMYFUNCTION("""COMPUTED_VALUE"""),"4' 10""")</f>
        <v>4' 10"</v>
      </c>
      <c r="F18">
        <f ca="1">IFERROR(__xludf.DUMMYFUNCTION("""COMPUTED_VALUE"""),0.46)</f>
        <v>0.46</v>
      </c>
      <c r="G18">
        <f ca="1">IFERROR(__xludf.DUMMYFUNCTION("""COMPUTED_VALUE"""),8)</f>
        <v>8</v>
      </c>
      <c r="H18">
        <f ca="1">IFERROR(__xludf.DUMMYFUNCTION("""COMPUTED_VALUE"""),47)</f>
        <v>47</v>
      </c>
    </row>
    <row r="19" spans="1:8" ht="15.75" customHeight="1">
      <c r="A19" t="str">
        <f ca="1">IFERROR(__xludf.DUMMYFUNCTION("""COMPUTED_VALUE"""),"T15")</f>
        <v>T15</v>
      </c>
      <c r="B19" t="str">
        <f ca="1">IFERROR(__xludf.DUMMYFUNCTION("""COMPUTED_VALUE"""),"T17")</f>
        <v>T17</v>
      </c>
      <c r="C19" t="str">
        <f ca="1">IFERROR(__xludf.DUMMYFUNCTION("""COMPUTED_VALUE"""),"Matt Every")</f>
        <v>Matt Every</v>
      </c>
      <c r="D19">
        <f ca="1">IFERROR(__xludf.DUMMYFUNCTION("""COMPUTED_VALUE"""),8)</f>
        <v>8</v>
      </c>
      <c r="E19" t="str">
        <f ca="1">IFERROR(__xludf.DUMMYFUNCTION("""COMPUTED_VALUE"""),"4' 10""")</f>
        <v>4' 10"</v>
      </c>
      <c r="F19">
        <f ca="1">IFERROR(__xludf.DUMMYFUNCTION("""COMPUTED_VALUE"""),0.347)</f>
        <v>0.34699999999999998</v>
      </c>
      <c r="G19">
        <f ca="1">IFERROR(__xludf.DUMMYFUNCTION("""COMPUTED_VALUE"""),6)</f>
        <v>6</v>
      </c>
      <c r="H19">
        <f ca="1">IFERROR(__xludf.DUMMYFUNCTION("""COMPUTED_VALUE"""),262)</f>
        <v>262</v>
      </c>
    </row>
    <row r="20" spans="1:8" ht="15.75" customHeight="1">
      <c r="A20" t="str">
        <f ca="1">IFERROR(__xludf.DUMMYFUNCTION("""COMPUTED_VALUE"""),"T19")</f>
        <v>T19</v>
      </c>
      <c r="B20" t="str">
        <f ca="1">IFERROR(__xludf.DUMMYFUNCTION("""COMPUTED_VALUE"""),"T21")</f>
        <v>T21</v>
      </c>
      <c r="C20" t="str">
        <f ca="1">IFERROR(__xludf.DUMMYFUNCTION("""COMPUTED_VALUE"""),"J.B. Holmes")</f>
        <v>J.B. Holmes</v>
      </c>
      <c r="D20">
        <f ca="1">IFERROR(__xludf.DUMMYFUNCTION("""COMPUTED_VALUE"""),10)</f>
        <v>10</v>
      </c>
      <c r="E20" t="str">
        <f ca="1">IFERROR(__xludf.DUMMYFUNCTION("""COMPUTED_VALUE"""),"4' 11""")</f>
        <v>4' 11"</v>
      </c>
      <c r="F20">
        <f ca="1">IFERROR(__xludf.DUMMYFUNCTION("""COMPUTED_VALUE"""),0.892)</f>
        <v>0.89200000000000002</v>
      </c>
      <c r="G20">
        <f ca="1">IFERROR(__xludf.DUMMYFUNCTION("""COMPUTED_VALUE"""),15)</f>
        <v>15</v>
      </c>
      <c r="H20">
        <f ca="1">IFERROR(__xludf.DUMMYFUNCTION("""COMPUTED_VALUE"""),272)</f>
        <v>272</v>
      </c>
    </row>
    <row r="21" spans="1:8" ht="15.75" customHeight="1">
      <c r="A21" t="str">
        <f ca="1">IFERROR(__xludf.DUMMYFUNCTION("""COMPUTED_VALUE"""),"T19")</f>
        <v>T19</v>
      </c>
      <c r="B21" t="str">
        <f ca="1">IFERROR(__xludf.DUMMYFUNCTION("""COMPUTED_VALUE"""),"T21")</f>
        <v>T21</v>
      </c>
      <c r="C21" t="str">
        <f ca="1">IFERROR(__xludf.DUMMYFUNCTION("""COMPUTED_VALUE"""),"George McNeill")</f>
        <v>George McNeill</v>
      </c>
      <c r="D21">
        <f ca="1">IFERROR(__xludf.DUMMYFUNCTION("""COMPUTED_VALUE"""),8)</f>
        <v>8</v>
      </c>
      <c r="E21" t="str">
        <f ca="1">IFERROR(__xludf.DUMMYFUNCTION("""COMPUTED_VALUE"""),"4' 11""")</f>
        <v>4' 11"</v>
      </c>
      <c r="F21">
        <f ca="1">IFERROR(__xludf.DUMMYFUNCTION("""COMPUTED_VALUE"""),0.059)</f>
        <v>5.8999999999999997E-2</v>
      </c>
      <c r="G21">
        <f ca="1">IFERROR(__xludf.DUMMYFUNCTION("""COMPUTED_VALUE"""),1)</f>
        <v>1</v>
      </c>
      <c r="H21">
        <f ca="1">IFERROR(__xludf.DUMMYFUNCTION("""COMPUTED_VALUE"""),251)</f>
        <v>251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IFERROR(__xludf.DUMMYFUNCTION("""COMPUTED_VALUE"""),26)</f>
        <v>26</v>
      </c>
      <c r="C22" t="str">
        <f ca="1">IFERROR(__xludf.DUMMYFUNCTION("""COMPUTED_VALUE"""),"Brendan Steele")</f>
        <v>Brendan Steele</v>
      </c>
      <c r="D22">
        <f ca="1">IFERROR(__xludf.DUMMYFUNCTION("""COMPUTED_VALUE"""),14)</f>
        <v>14</v>
      </c>
      <c r="E22" t="str">
        <f ca="1">IFERROR(__xludf.DUMMYFUNCTION("""COMPUTED_VALUE"""),"5' 0""")</f>
        <v>5' 0"</v>
      </c>
      <c r="F22">
        <f ca="1">IFERROR(__xludf.DUMMYFUNCTION("""COMPUTED_VALUE"""),1.147)</f>
        <v>1.147</v>
      </c>
      <c r="G22">
        <f ca="1">IFERROR(__xludf.DUMMYFUNCTION("""COMPUTED_VALUE"""),19)</f>
        <v>19</v>
      </c>
      <c r="H22">
        <f ca="1">IFERROR(__xludf.DUMMYFUNCTION("""COMPUTED_VALUE"""),157)</f>
        <v>157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IFERROR(__xludf.DUMMYFUNCTION("""COMPUTED_VALUE"""),"T21")</f>
        <v>T21</v>
      </c>
      <c r="C23" t="str">
        <f ca="1">IFERROR(__xludf.DUMMYFUNCTION("""COMPUTED_VALUE"""),"Si Woo Kim")</f>
        <v>Si Woo Kim</v>
      </c>
      <c r="D23">
        <f ca="1">IFERROR(__xludf.DUMMYFUNCTION("""COMPUTED_VALUE"""),20)</f>
        <v>20</v>
      </c>
      <c r="E23" t="str">
        <f ca="1">IFERROR(__xludf.DUMMYFUNCTION("""COMPUTED_VALUE"""),"5' 1""")</f>
        <v>5' 1"</v>
      </c>
      <c r="F23">
        <f ca="1">IFERROR(__xludf.DUMMYFUNCTION("""COMPUTED_VALUE"""),3.062)</f>
        <v>3.0619999999999998</v>
      </c>
      <c r="G23">
        <f ca="1">IFERROR(__xludf.DUMMYFUNCTION("""COMPUTED_VALUE"""),50)</f>
        <v>50</v>
      </c>
      <c r="H23">
        <f ca="1">IFERROR(__xludf.DUMMYFUNCTION("""COMPUTED_VALUE"""),38)</f>
        <v>38</v>
      </c>
    </row>
    <row r="24" spans="1:8" ht="15.75" customHeight="1">
      <c r="A24" t="str">
        <f ca="1">IFERROR(__xludf.DUMMYFUNCTION("""COMPUTED_VALUE"""),"T22")</f>
        <v>T22</v>
      </c>
      <c r="B24" t="str">
        <f ca="1">IFERROR(__xludf.DUMMYFUNCTION("""COMPUTED_VALUE"""),"T29")</f>
        <v>T29</v>
      </c>
      <c r="C24" t="str">
        <f ca="1">IFERROR(__xludf.DUMMYFUNCTION("""COMPUTED_VALUE"""),"Scott Brown")</f>
        <v>Scott Brown</v>
      </c>
      <c r="D24">
        <f ca="1">IFERROR(__xludf.DUMMYFUNCTION("""COMPUTED_VALUE"""),14)</f>
        <v>14</v>
      </c>
      <c r="E24" t="str">
        <f ca="1">IFERROR(__xludf.DUMMYFUNCTION("""COMPUTED_VALUE"""),"5' 1""")</f>
        <v>5' 1"</v>
      </c>
      <c r="F24">
        <f ca="1">IFERROR(__xludf.DUMMYFUNCTION("""COMPUTED_VALUE"""),1.958)</f>
        <v>1.958</v>
      </c>
      <c r="G24">
        <f ca="1">IFERROR(__xludf.DUMMYFUNCTION("""COMPUTED_VALUE"""),32)</f>
        <v>32</v>
      </c>
      <c r="H24">
        <f ca="1">IFERROR(__xludf.DUMMYFUNCTION("""COMPUTED_VALUE"""),89)</f>
        <v>89</v>
      </c>
    </row>
    <row r="25" spans="1:8" ht="15.75" customHeight="1">
      <c r="A25" t="str">
        <f ca="1">IFERROR(__xludf.DUMMYFUNCTION("""COMPUTED_VALUE"""),"T22")</f>
        <v>T22</v>
      </c>
      <c r="B25" t="str">
        <f ca="1">IFERROR(__xludf.DUMMYFUNCTION("""COMPUTED_VALUE"""),"T27")</f>
        <v>T27</v>
      </c>
      <c r="C25" t="str">
        <f ca="1">IFERROR(__xludf.DUMMYFUNCTION("""COMPUTED_VALUE"""),"Ian Poulter")</f>
        <v>Ian Poulter</v>
      </c>
      <c r="D25">
        <f ca="1">IFERROR(__xludf.DUMMYFUNCTION("""COMPUTED_VALUE"""),6)</f>
        <v>6</v>
      </c>
      <c r="E25" t="str">
        <f ca="1">IFERROR(__xludf.DUMMYFUNCTION("""COMPUTED_VALUE"""),"5' 1""")</f>
        <v>5' 1"</v>
      </c>
      <c r="F25">
        <f ca="1">IFERROR(__xludf.DUMMYFUNCTION("""COMPUTED_VALUE"""),0.613)</f>
        <v>0.61299999999999999</v>
      </c>
      <c r="G25">
        <f ca="1">IFERROR(__xludf.DUMMYFUNCTION("""COMPUTED_VALUE"""),10)</f>
        <v>10</v>
      </c>
      <c r="H25">
        <f ca="1">IFERROR(__xludf.DUMMYFUNCTION("""COMPUTED_VALUE"""),25)</f>
        <v>25</v>
      </c>
    </row>
    <row r="26" spans="1:8" ht="15.75" customHeight="1">
      <c r="A26">
        <f ca="1">IFERROR(__xludf.DUMMYFUNCTION("""COMPUTED_VALUE"""),25)</f>
        <v>25</v>
      </c>
      <c r="B26" t="str">
        <f ca="1">IFERROR(__xludf.DUMMYFUNCTION("""COMPUTED_VALUE"""),"T29")</f>
        <v>T29</v>
      </c>
      <c r="C26" t="str">
        <f ca="1">IFERROR(__xludf.DUMMYFUNCTION("""COMPUTED_VALUE"""),"Peter Malnati")</f>
        <v>Peter Malnati</v>
      </c>
      <c r="D26">
        <f ca="1">IFERROR(__xludf.DUMMYFUNCTION("""COMPUTED_VALUE"""),18)</f>
        <v>18</v>
      </c>
      <c r="E26" t="str">
        <f ca="1">IFERROR(__xludf.DUMMYFUNCTION("""COMPUTED_VALUE"""),"5' 2""")</f>
        <v>5' 2"</v>
      </c>
      <c r="F26">
        <f ca="1">IFERROR(__xludf.DUMMYFUNCTION("""COMPUTED_VALUE"""),1.866)</f>
        <v>1.8660000000000001</v>
      </c>
      <c r="G26">
        <f ca="1">IFERROR(__xludf.DUMMYFUNCTION("""COMPUTED_VALUE"""),30)</f>
        <v>30</v>
      </c>
      <c r="H26">
        <f ca="1">IFERROR(__xludf.DUMMYFUNCTION("""COMPUTED_VALUE"""),70)</f>
        <v>70</v>
      </c>
    </row>
    <row r="27" spans="1:8" ht="15.75" customHeight="1">
      <c r="A27" t="str">
        <f ca="1">IFERROR(__xludf.DUMMYFUNCTION("""COMPUTED_VALUE"""),"T26")</f>
        <v>T26</v>
      </c>
      <c r="B27">
        <f ca="1">IFERROR(__xludf.DUMMYFUNCTION("""COMPUTED_VALUE"""),8)</f>
        <v>8</v>
      </c>
      <c r="C27" t="str">
        <f ca="1">IFERROR(__xludf.DUMMYFUNCTION("""COMPUTED_VALUE"""),"Grayson Murray")</f>
        <v>Grayson Murray</v>
      </c>
      <c r="D27">
        <f ca="1">IFERROR(__xludf.DUMMYFUNCTION("""COMPUTED_VALUE"""),10)</f>
        <v>10</v>
      </c>
      <c r="E27" t="str">
        <f ca="1">IFERROR(__xludf.DUMMYFUNCTION("""COMPUTED_VALUE"""),"5' 3""")</f>
        <v>5' 3"</v>
      </c>
      <c r="F27">
        <f ca="1">IFERROR(__xludf.DUMMYFUNCTION("""COMPUTED_VALUE"""),1.076)</f>
        <v>1.0760000000000001</v>
      </c>
      <c r="G27">
        <f ca="1">IFERROR(__xludf.DUMMYFUNCTION("""COMPUTED_VALUE"""),17)</f>
        <v>17</v>
      </c>
      <c r="H27">
        <f ca="1">IFERROR(__xludf.DUMMYFUNCTION("""COMPUTED_VALUE"""),270)</f>
        <v>270</v>
      </c>
    </row>
    <row r="28" spans="1:8" ht="15.75" customHeight="1">
      <c r="A28" t="str">
        <f ca="1">IFERROR(__xludf.DUMMYFUNCTION("""COMPUTED_VALUE"""),"T26")</f>
        <v>T26</v>
      </c>
      <c r="B28">
        <f ca="1">IFERROR(__xludf.DUMMYFUNCTION("""COMPUTED_VALUE"""),33)</f>
        <v>33</v>
      </c>
      <c r="C28" t="str">
        <f ca="1">IFERROR(__xludf.DUMMYFUNCTION("""COMPUTED_VALUE"""),"Aaron Baddeley")</f>
        <v>Aaron Baddeley</v>
      </c>
      <c r="D28">
        <f ca="1">IFERROR(__xludf.DUMMYFUNCTION("""COMPUTED_VALUE"""),8)</f>
        <v>8</v>
      </c>
      <c r="E28" t="str">
        <f ca="1">IFERROR(__xludf.DUMMYFUNCTION("""COMPUTED_VALUE"""),"5' 3""")</f>
        <v>5' 3"</v>
      </c>
      <c r="F28">
        <f ca="1">IFERROR(__xludf.DUMMYFUNCTION("""COMPUTED_VALUE"""),0.25)</f>
        <v>0.25</v>
      </c>
      <c r="G28">
        <f ca="1">IFERROR(__xludf.DUMMYFUNCTION("""COMPUTED_VALUE"""),4)</f>
        <v>4</v>
      </c>
      <c r="H28">
        <f ca="1">IFERROR(__xludf.DUMMYFUNCTION("""COMPUTED_VALUE"""),84)</f>
        <v>84</v>
      </c>
    </row>
    <row r="29" spans="1:8" ht="15.75" customHeight="1">
      <c r="A29" t="str">
        <f ca="1">IFERROR(__xludf.DUMMYFUNCTION("""COMPUTED_VALUE"""),"T28")</f>
        <v>T28</v>
      </c>
      <c r="B29" t="str">
        <f ca="1">IFERROR(__xludf.DUMMYFUNCTION("""COMPUTED_VALUE"""),"T27")</f>
        <v>T27</v>
      </c>
      <c r="C29" t="str">
        <f ca="1">IFERROR(__xludf.DUMMYFUNCTION("""COMPUTED_VALUE"""),"Robby Shelton")</f>
        <v>Robby Shelton</v>
      </c>
      <c r="D29">
        <f ca="1">IFERROR(__xludf.DUMMYFUNCTION("""COMPUTED_VALUE"""),14)</f>
        <v>14</v>
      </c>
      <c r="E29" t="str">
        <f ca="1">IFERROR(__xludf.DUMMYFUNCTION("""COMPUTED_VALUE"""),"5' 4""")</f>
        <v>5' 4"</v>
      </c>
      <c r="F29">
        <f ca="1">IFERROR(__xludf.DUMMYFUNCTION("""COMPUTED_VALUE"""),1.717)</f>
        <v>1.7170000000000001</v>
      </c>
      <c r="G29">
        <f ca="1">IFERROR(__xludf.DUMMYFUNCTION("""COMPUTED_VALUE"""),27)</f>
        <v>27</v>
      </c>
      <c r="H29">
        <f ca="1">IFERROR(__xludf.DUMMYFUNCTION("""COMPUTED_VALUE"""),46)</f>
        <v>46</v>
      </c>
    </row>
    <row r="30" spans="1:8" ht="15.75" customHeight="1">
      <c r="A30" t="str">
        <f ca="1">IFERROR(__xludf.DUMMYFUNCTION("""COMPUTED_VALUE"""),"T28")</f>
        <v>T28</v>
      </c>
      <c r="B30" t="str">
        <f ca="1">IFERROR(__xludf.DUMMYFUNCTION("""COMPUTED_VALUE"""),"T34")</f>
        <v>T34</v>
      </c>
      <c r="C30" t="str">
        <f ca="1">IFERROR(__xludf.DUMMYFUNCTION("""COMPUTED_VALUE"""),"Byeong Hun An")</f>
        <v>Byeong Hun An</v>
      </c>
      <c r="D30">
        <f ca="1">IFERROR(__xludf.DUMMYFUNCTION("""COMPUTED_VALUE"""),14)</f>
        <v>14</v>
      </c>
      <c r="E30" t="str">
        <f ca="1">IFERROR(__xludf.DUMMYFUNCTION("""COMPUTED_VALUE"""),"5' 4""")</f>
        <v>5' 4"</v>
      </c>
      <c r="F30">
        <f ca="1">IFERROR(__xludf.DUMMYFUNCTION("""COMPUTED_VALUE"""),1.932)</f>
        <v>1.9319999999999999</v>
      </c>
      <c r="G30">
        <f ca="1">IFERROR(__xludf.DUMMYFUNCTION("""COMPUTED_VALUE"""),30)</f>
        <v>30</v>
      </c>
      <c r="H30">
        <f ca="1">IFERROR(__xludf.DUMMYFUNCTION("""COMPUTED_VALUE"""),67)</f>
        <v>67</v>
      </c>
    </row>
    <row r="31" spans="1:8" ht="12.75">
      <c r="A31" t="str">
        <f ca="1">IFERROR(__xludf.DUMMYFUNCTION("""COMPUTED_VALUE"""),"T28")</f>
        <v>T28</v>
      </c>
      <c r="B31" t="str">
        <f ca="1">IFERROR(__xludf.DUMMYFUNCTION("""COMPUTED_VALUE"""),"T34")</f>
        <v>T34</v>
      </c>
      <c r="C31" t="str">
        <f ca="1">IFERROR(__xludf.DUMMYFUNCTION("""COMPUTED_VALUE"""),"Rhein Gibson")</f>
        <v>Rhein Gibson</v>
      </c>
      <c r="D31">
        <f ca="1">IFERROR(__xludf.DUMMYFUNCTION("""COMPUTED_VALUE"""),10)</f>
        <v>10</v>
      </c>
      <c r="E31" t="str">
        <f ca="1">IFERROR(__xludf.DUMMYFUNCTION("""COMPUTED_VALUE"""),"5' 4""")</f>
        <v>5' 4"</v>
      </c>
      <c r="F31">
        <f ca="1">IFERROR(__xludf.DUMMYFUNCTION("""COMPUTED_VALUE"""),0.772)</f>
        <v>0.77200000000000002</v>
      </c>
      <c r="G31">
        <f ca="1">IFERROR(__xludf.DUMMYFUNCTION("""COMPUTED_VALUE"""),12)</f>
        <v>12</v>
      </c>
      <c r="H31">
        <f ca="1">IFERROR(__xludf.DUMMYFUNCTION("""COMPUTED_VALUE"""),108)</f>
        <v>108</v>
      </c>
    </row>
    <row r="32" spans="1:8" ht="12.75">
      <c r="A32" t="str">
        <f ca="1">IFERROR(__xludf.DUMMYFUNCTION("""COMPUTED_VALUE"""),"T28")</f>
        <v>T28</v>
      </c>
      <c r="B32" t="str">
        <f ca="1">IFERROR(__xludf.DUMMYFUNCTION("""COMPUTED_VALUE"""),"T34")</f>
        <v>T34</v>
      </c>
      <c r="C32" t="str">
        <f ca="1">IFERROR(__xludf.DUMMYFUNCTION("""COMPUTED_VALUE"""),"Ryan Brehm")</f>
        <v>Ryan Brehm</v>
      </c>
      <c r="D32">
        <f ca="1">IFERROR(__xludf.DUMMYFUNCTION("""COMPUTED_VALUE"""),10)</f>
        <v>10</v>
      </c>
      <c r="E32" t="str">
        <f ca="1">IFERROR(__xludf.DUMMYFUNCTION("""COMPUTED_VALUE"""),"5' 4""")</f>
        <v>5' 4"</v>
      </c>
      <c r="F32">
        <f ca="1">IFERROR(__xludf.DUMMYFUNCTION("""COMPUTED_VALUE"""),0.321)</f>
        <v>0.32100000000000001</v>
      </c>
      <c r="G32">
        <f ca="1">IFERROR(__xludf.DUMMYFUNCTION("""COMPUTED_VALUE"""),5)</f>
        <v>5</v>
      </c>
      <c r="H32">
        <f ca="1">IFERROR(__xludf.DUMMYFUNCTION("""COMPUTED_VALUE"""),147)</f>
        <v>147</v>
      </c>
    </row>
    <row r="33" spans="1:8" ht="12.75">
      <c r="A33">
        <f ca="1">IFERROR(__xludf.DUMMYFUNCTION("""COMPUTED_VALUE"""),32)</f>
        <v>32</v>
      </c>
      <c r="B33" t="str">
        <f ca="1">IFERROR(__xludf.DUMMYFUNCTION("""COMPUTED_VALUE"""),"T41")</f>
        <v>T41</v>
      </c>
      <c r="C33" t="str">
        <f ca="1">IFERROR(__xludf.DUMMYFUNCTION("""COMPUTED_VALUE"""),"Rory McIlroy")</f>
        <v>Rory McIlroy</v>
      </c>
      <c r="D33">
        <f ca="1">IFERROR(__xludf.DUMMYFUNCTION("""COMPUTED_VALUE"""),12)</f>
        <v>12</v>
      </c>
      <c r="E33" t="str">
        <f ca="1">IFERROR(__xludf.DUMMYFUNCTION("""COMPUTED_VALUE"""),"5' 5""")</f>
        <v>5' 5"</v>
      </c>
      <c r="F33">
        <f ca="1">IFERROR(__xludf.DUMMYFUNCTION("""COMPUTED_VALUE"""),1.419)</f>
        <v>1.419</v>
      </c>
      <c r="G33">
        <f ca="1">IFERROR(__xludf.DUMMYFUNCTION("""COMPUTED_VALUE"""),22)</f>
        <v>22</v>
      </c>
      <c r="H33">
        <f ca="1">IFERROR(__xludf.DUMMYFUNCTION("""COMPUTED_VALUE"""),228)</f>
        <v>228</v>
      </c>
    </row>
    <row r="34" spans="1:8" ht="12.75">
      <c r="A34" t="str">
        <f ca="1">IFERROR(__xludf.DUMMYFUNCTION("""COMPUTED_VALUE"""),"T33")</f>
        <v>T33</v>
      </c>
      <c r="B34" t="str">
        <f ca="1">IFERROR(__xludf.DUMMYFUNCTION("""COMPUTED_VALUE"""),"T43")</f>
        <v>T43</v>
      </c>
      <c r="C34" t="str">
        <f ca="1">IFERROR(__xludf.DUMMYFUNCTION("""COMPUTED_VALUE"""),"Joohyung Kim")</f>
        <v>Joohyung Kim</v>
      </c>
      <c r="D34">
        <f ca="1">IFERROR(__xludf.DUMMYFUNCTION("""COMPUTED_VALUE"""),12)</f>
        <v>12</v>
      </c>
      <c r="E34" t="str">
        <f ca="1">IFERROR(__xludf.DUMMYFUNCTION("""COMPUTED_VALUE"""),"5' 6""")</f>
        <v>5' 6"</v>
      </c>
      <c r="F34">
        <f ca="1">IFERROR(__xludf.DUMMYFUNCTION("""COMPUTED_VALUE"""),0.859)</f>
        <v>0.85899999999999999</v>
      </c>
      <c r="G34">
        <f ca="1">IFERROR(__xludf.DUMMYFUNCTION("""COMPUTED_VALUE"""),13)</f>
        <v>13</v>
      </c>
      <c r="H34">
        <f ca="1">IFERROR(__xludf.DUMMYFUNCTION("""COMPUTED_VALUE"""),151)</f>
        <v>151</v>
      </c>
    </row>
    <row r="35" spans="1:8" ht="12.75">
      <c r="A35" t="str">
        <f ca="1">IFERROR(__xludf.DUMMYFUNCTION("""COMPUTED_VALUE"""),"T33")</f>
        <v>T33</v>
      </c>
      <c r="B35" t="str">
        <f ca="1">IFERROR(__xludf.DUMMYFUNCTION("""COMPUTED_VALUE"""),"T29")</f>
        <v>T29</v>
      </c>
      <c r="C35" t="str">
        <f ca="1">IFERROR(__xludf.DUMMYFUNCTION("""COMPUTED_VALUE"""),"David Hearn")</f>
        <v>David Hearn</v>
      </c>
      <c r="D35">
        <f ca="1">IFERROR(__xludf.DUMMYFUNCTION("""COMPUTED_VALUE"""),16)</f>
        <v>16</v>
      </c>
      <c r="E35" t="str">
        <f ca="1">IFERROR(__xludf.DUMMYFUNCTION("""COMPUTED_VALUE"""),"5' 6""")</f>
        <v>5' 6"</v>
      </c>
      <c r="F35">
        <f ca="1">IFERROR(__xludf.DUMMYFUNCTION("""COMPUTED_VALUE"""),1.258)</f>
        <v>1.258</v>
      </c>
      <c r="G35">
        <f ca="1">IFERROR(__xludf.DUMMYFUNCTION("""COMPUTED_VALUE"""),19)</f>
        <v>19</v>
      </c>
      <c r="H35">
        <f ca="1">IFERROR(__xludf.DUMMYFUNCTION("""COMPUTED_VALUE"""),71)</f>
        <v>71</v>
      </c>
    </row>
    <row r="36" spans="1:8" ht="12.75">
      <c r="A36" t="str">
        <f ca="1">IFERROR(__xludf.DUMMYFUNCTION("""COMPUTED_VALUE"""),"T35")</f>
        <v>T35</v>
      </c>
      <c r="B36" t="str">
        <f ca="1">IFERROR(__xludf.DUMMYFUNCTION("""COMPUTED_VALUE"""),"T34")</f>
        <v>T34</v>
      </c>
      <c r="C36" t="str">
        <f ca="1">IFERROR(__xludf.DUMMYFUNCTION("""COMPUTED_VALUE"""),"Mackenzie Hughes")</f>
        <v>Mackenzie Hughes</v>
      </c>
      <c r="D36">
        <f ca="1">IFERROR(__xludf.DUMMYFUNCTION("""COMPUTED_VALUE"""),18)</f>
        <v>18</v>
      </c>
      <c r="E36" t="str">
        <f ca="1">IFERROR(__xludf.DUMMYFUNCTION("""COMPUTED_VALUE"""),"5' 7""")</f>
        <v>5' 7"</v>
      </c>
      <c r="F36">
        <f ca="1">IFERROR(__xludf.DUMMYFUNCTION("""COMPUTED_VALUE"""),2.214)</f>
        <v>2.214</v>
      </c>
      <c r="G36">
        <f ca="1">IFERROR(__xludf.DUMMYFUNCTION("""COMPUTED_VALUE"""),33)</f>
        <v>33</v>
      </c>
      <c r="H36">
        <f ca="1">IFERROR(__xludf.DUMMYFUNCTION("""COMPUTED_VALUE"""),189)</f>
        <v>189</v>
      </c>
    </row>
    <row r="37" spans="1:8" ht="12.75">
      <c r="A37" t="str">
        <f ca="1">IFERROR(__xludf.DUMMYFUNCTION("""COMPUTED_VALUE"""),"T35")</f>
        <v>T35</v>
      </c>
      <c r="B37">
        <f ca="1">IFERROR(__xludf.DUMMYFUNCTION("""COMPUTED_VALUE"""),46)</f>
        <v>46</v>
      </c>
      <c r="C37" t="str">
        <f ca="1">IFERROR(__xludf.DUMMYFUNCTION("""COMPUTED_VALUE"""),"Webb Simpson")</f>
        <v>Webb Simpson</v>
      </c>
      <c r="D37">
        <f ca="1">IFERROR(__xludf.DUMMYFUNCTION("""COMPUTED_VALUE"""),12)</f>
        <v>12</v>
      </c>
      <c r="E37" t="str">
        <f ca="1">IFERROR(__xludf.DUMMYFUNCTION("""COMPUTED_VALUE"""),"5' 7""")</f>
        <v>5' 7"</v>
      </c>
      <c r="F37">
        <f ca="1">IFERROR(__xludf.DUMMYFUNCTION("""COMPUTED_VALUE"""),1.675)</f>
        <v>1.675</v>
      </c>
      <c r="G37">
        <f ca="1">IFERROR(__xludf.DUMMYFUNCTION("""COMPUTED_VALUE"""),25)</f>
        <v>25</v>
      </c>
      <c r="H37">
        <f ca="1">IFERROR(__xludf.DUMMYFUNCTION("""COMPUTED_VALUE"""),12)</f>
        <v>12</v>
      </c>
    </row>
    <row r="38" spans="1:8" ht="12.75">
      <c r="A38" t="str">
        <f ca="1">IFERROR(__xludf.DUMMYFUNCTION("""COMPUTED_VALUE"""),"T35")</f>
        <v>T35</v>
      </c>
      <c r="B38" t="str">
        <f ca="1">IFERROR(__xludf.DUMMYFUNCTION("""COMPUTED_VALUE"""),"T52")</f>
        <v>T52</v>
      </c>
      <c r="C38" t="str">
        <f ca="1">IFERROR(__xludf.DUMMYFUNCTION("""COMPUTED_VALUE"""),"Nate Lashley")</f>
        <v>Nate Lashley</v>
      </c>
      <c r="D38">
        <f ca="1">IFERROR(__xludf.DUMMYFUNCTION("""COMPUTED_VALUE"""),16)</f>
        <v>16</v>
      </c>
      <c r="E38" t="str">
        <f ca="1">IFERROR(__xludf.DUMMYFUNCTION("""COMPUTED_VALUE"""),"5' 7""")</f>
        <v>5' 7"</v>
      </c>
      <c r="F38">
        <f ca="1">IFERROR(__xludf.DUMMYFUNCTION("""COMPUTED_VALUE"""),2.332)</f>
        <v>2.3319999999999999</v>
      </c>
      <c r="G38">
        <f ca="1">IFERROR(__xludf.DUMMYFUNCTION("""COMPUTED_VALUE"""),35)</f>
        <v>35</v>
      </c>
      <c r="H38">
        <f ca="1">IFERROR(__xludf.DUMMYFUNCTION("""COMPUTED_VALUE"""),40)</f>
        <v>40</v>
      </c>
    </row>
    <row r="39" spans="1:8" ht="12.75">
      <c r="A39" t="str">
        <f ca="1">IFERROR(__xludf.DUMMYFUNCTION("""COMPUTED_VALUE"""),"T35")</f>
        <v>T35</v>
      </c>
      <c r="B39" t="str">
        <f ca="1">IFERROR(__xludf.DUMMYFUNCTION("""COMPUTED_VALUE"""),"T41")</f>
        <v>T41</v>
      </c>
      <c r="C39" t="str">
        <f ca="1">IFERROR(__xludf.DUMMYFUNCTION("""COMPUTED_VALUE"""),"D.A. Points")</f>
        <v>D.A. Points</v>
      </c>
      <c r="D39">
        <f ca="1">IFERROR(__xludf.DUMMYFUNCTION("""COMPUTED_VALUE"""),12)</f>
        <v>12</v>
      </c>
      <c r="E39" t="str">
        <f ca="1">IFERROR(__xludf.DUMMYFUNCTION("""COMPUTED_VALUE"""),"5' 7""")</f>
        <v>5' 7"</v>
      </c>
      <c r="F39">
        <f ca="1">IFERROR(__xludf.DUMMYFUNCTION("""COMPUTED_VALUE"""),2.084)</f>
        <v>2.0840000000000001</v>
      </c>
      <c r="G39">
        <f ca="1">IFERROR(__xludf.DUMMYFUNCTION("""COMPUTED_VALUE"""),31)</f>
        <v>31</v>
      </c>
      <c r="H39">
        <f ca="1">IFERROR(__xludf.DUMMYFUNCTION("""COMPUTED_VALUE"""),39)</f>
        <v>39</v>
      </c>
    </row>
    <row r="40" spans="1:8" ht="12.75">
      <c r="A40" t="str">
        <f ca="1">IFERROR(__xludf.DUMMYFUNCTION("""COMPUTED_VALUE"""),"T39")</f>
        <v>T39</v>
      </c>
      <c r="B40" t="str">
        <f ca="1">IFERROR(__xludf.DUMMYFUNCTION("""COMPUTED_VALUE"""),"T21")</f>
        <v>T21</v>
      </c>
      <c r="C40" t="str">
        <f ca="1">IFERROR(__xludf.DUMMYFUNCTION("""COMPUTED_VALUE"""),"Michael Kim")</f>
        <v>Michael Kim</v>
      </c>
      <c r="D40">
        <f ca="1">IFERROR(__xludf.DUMMYFUNCTION("""COMPUTED_VALUE"""),12)</f>
        <v>12</v>
      </c>
      <c r="E40" t="str">
        <f ca="1">IFERROR(__xludf.DUMMYFUNCTION("""COMPUTED_VALUE"""),"5' 8""")</f>
        <v>5' 8"</v>
      </c>
      <c r="F40">
        <f ca="1">IFERROR(__xludf.DUMMYFUNCTION("""COMPUTED_VALUE"""),1.633)</f>
        <v>1.633</v>
      </c>
      <c r="G40">
        <f ca="1">IFERROR(__xludf.DUMMYFUNCTION("""COMPUTED_VALUE"""),24)</f>
        <v>24</v>
      </c>
      <c r="H40">
        <f ca="1">IFERROR(__xludf.DUMMYFUNCTION("""COMPUTED_VALUE"""),137)</f>
        <v>137</v>
      </c>
    </row>
    <row r="41" spans="1:8" ht="12.75">
      <c r="A41" t="str">
        <f ca="1">IFERROR(__xludf.DUMMYFUNCTION("""COMPUTED_VALUE"""),"T39")</f>
        <v>T39</v>
      </c>
      <c r="B41" t="str">
        <f ca="1">IFERROR(__xludf.DUMMYFUNCTION("""COMPUTED_VALUE"""),"T47")</f>
        <v>T47</v>
      </c>
      <c r="C41" t="str">
        <f ca="1">IFERROR(__xludf.DUMMYFUNCTION("""COMPUTED_VALUE"""),"Joseph Bramlett")</f>
        <v>Joseph Bramlett</v>
      </c>
      <c r="D41">
        <f ca="1">IFERROR(__xludf.DUMMYFUNCTION("""COMPUTED_VALUE"""),18)</f>
        <v>18</v>
      </c>
      <c r="E41" t="str">
        <f ca="1">IFERROR(__xludf.DUMMYFUNCTION("""COMPUTED_VALUE"""),"5' 8""")</f>
        <v>5' 8"</v>
      </c>
      <c r="F41">
        <f ca="1">IFERROR(__xludf.DUMMYFUNCTION("""COMPUTED_VALUE"""),1.706)</f>
        <v>1.706</v>
      </c>
      <c r="G41">
        <f ca="1">IFERROR(__xludf.DUMMYFUNCTION("""COMPUTED_VALUE"""),25)</f>
        <v>25</v>
      </c>
      <c r="H41">
        <f ca="1">IFERROR(__xludf.DUMMYFUNCTION("""COMPUTED_VALUE"""),127)</f>
        <v>127</v>
      </c>
    </row>
    <row r="42" spans="1:8" ht="12.75">
      <c r="A42" t="str">
        <f ca="1">IFERROR(__xludf.DUMMYFUNCTION("""COMPUTED_VALUE"""),"T39")</f>
        <v>T39</v>
      </c>
      <c r="B42" t="str">
        <f ca="1">IFERROR(__xludf.DUMMYFUNCTION("""COMPUTED_VALUE"""),"T47")</f>
        <v>T47</v>
      </c>
      <c r="C42" t="str">
        <f ca="1">IFERROR(__xludf.DUMMYFUNCTION("""COMPUTED_VALUE"""),"Joel Dahmen")</f>
        <v>Joel Dahmen</v>
      </c>
      <c r="D42">
        <f ca="1">IFERROR(__xludf.DUMMYFUNCTION("""COMPUTED_VALUE"""),18)</f>
        <v>18</v>
      </c>
      <c r="E42" t="str">
        <f ca="1">IFERROR(__xludf.DUMMYFUNCTION("""COMPUTED_VALUE"""),"5' 8""")</f>
        <v>5' 8"</v>
      </c>
      <c r="F42">
        <f ca="1">IFERROR(__xludf.DUMMYFUNCTION("""COMPUTED_VALUE"""),2.168)</f>
        <v>2.1680000000000001</v>
      </c>
      <c r="G42">
        <f ca="1">IFERROR(__xludf.DUMMYFUNCTION("""COMPUTED_VALUE"""),32)</f>
        <v>32</v>
      </c>
      <c r="H42">
        <f ca="1">IFERROR(__xludf.DUMMYFUNCTION("""COMPUTED_VALUE"""),74)</f>
        <v>74</v>
      </c>
    </row>
    <row r="43" spans="1:8" ht="12.75">
      <c r="A43" t="str">
        <f ca="1">IFERROR(__xludf.DUMMYFUNCTION("""COMPUTED_VALUE"""),"T39")</f>
        <v>T39</v>
      </c>
      <c r="B43" t="str">
        <f ca="1">IFERROR(__xludf.DUMMYFUNCTION("""COMPUTED_VALUE"""),"T84")</f>
        <v>T84</v>
      </c>
      <c r="C43" t="str">
        <f ca="1">IFERROR(__xludf.DUMMYFUNCTION("""COMPUTED_VALUE"""),"Jordan Spieth")</f>
        <v>Jordan Spieth</v>
      </c>
      <c r="D43">
        <f ca="1">IFERROR(__xludf.DUMMYFUNCTION("""COMPUTED_VALUE"""),14)</f>
        <v>14</v>
      </c>
      <c r="E43" t="str">
        <f ca="1">IFERROR(__xludf.DUMMYFUNCTION("""COMPUTED_VALUE"""),"5' 8""")</f>
        <v>5' 8"</v>
      </c>
      <c r="F43">
        <f ca="1">IFERROR(__xludf.DUMMYFUNCTION("""COMPUTED_VALUE"""),2.313)</f>
        <v>2.3130000000000002</v>
      </c>
      <c r="G43">
        <f ca="1">IFERROR(__xludf.DUMMYFUNCTION("""COMPUTED_VALUE"""),34)</f>
        <v>34</v>
      </c>
      <c r="H43">
        <f ca="1">IFERROR(__xludf.DUMMYFUNCTION("""COMPUTED_VALUE"""),177)</f>
        <v>177</v>
      </c>
    </row>
    <row r="44" spans="1:8" ht="12.75">
      <c r="A44" t="str">
        <f ca="1">IFERROR(__xludf.DUMMYFUNCTION("""COMPUTED_VALUE"""),"T39")</f>
        <v>T39</v>
      </c>
      <c r="B44" t="str">
        <f ca="1">IFERROR(__xludf.DUMMYFUNCTION("""COMPUTED_VALUE"""),"T47")</f>
        <v>T47</v>
      </c>
      <c r="C44" t="str">
        <f ca="1">IFERROR(__xludf.DUMMYFUNCTION("""COMPUTED_VALUE"""),"Ryo Ishikawa")</f>
        <v>Ryo Ishikawa</v>
      </c>
      <c r="D44">
        <f ca="1">IFERROR(__xludf.DUMMYFUNCTION("""COMPUTED_VALUE"""),8)</f>
        <v>8</v>
      </c>
      <c r="E44" t="str">
        <f ca="1">IFERROR(__xludf.DUMMYFUNCTION("""COMPUTED_VALUE"""),"5' 8""")</f>
        <v>5' 8"</v>
      </c>
      <c r="F44">
        <f ca="1">IFERROR(__xludf.DUMMYFUNCTION("""COMPUTED_VALUE"""),1.573)</f>
        <v>1.573</v>
      </c>
      <c r="G44">
        <f ca="1">IFERROR(__xludf.DUMMYFUNCTION("""COMPUTED_VALUE"""),23)</f>
        <v>23</v>
      </c>
      <c r="H44">
        <f ca="1">IFERROR(__xludf.DUMMYFUNCTION("""COMPUTED_VALUE"""),81)</f>
        <v>81</v>
      </c>
    </row>
    <row r="45" spans="1:8" ht="12.75">
      <c r="A45" t="str">
        <f ca="1">IFERROR(__xludf.DUMMYFUNCTION("""COMPUTED_VALUE"""),"T39")</f>
        <v>T39</v>
      </c>
      <c r="B45" t="str">
        <f ca="1">IFERROR(__xludf.DUMMYFUNCTION("""COMPUTED_VALUE"""),"T47")</f>
        <v>T47</v>
      </c>
      <c r="C45" t="str">
        <f ca="1">IFERROR(__xludf.DUMMYFUNCTION("""COMPUTED_VALUE"""),"Kevin Na")</f>
        <v>Kevin Na</v>
      </c>
      <c r="D45">
        <f ca="1">IFERROR(__xludf.DUMMYFUNCTION("""COMPUTED_VALUE"""),14)</f>
        <v>14</v>
      </c>
      <c r="E45" t="str">
        <f ca="1">IFERROR(__xludf.DUMMYFUNCTION("""COMPUTED_VALUE"""),"5' 8""")</f>
        <v>5' 8"</v>
      </c>
      <c r="F45">
        <f ca="1">IFERROR(__xludf.DUMMYFUNCTION("""COMPUTED_VALUE"""),2.096)</f>
        <v>2.0960000000000001</v>
      </c>
      <c r="G45">
        <f ca="1">IFERROR(__xludf.DUMMYFUNCTION("""COMPUTED_VALUE"""),31)</f>
        <v>31</v>
      </c>
      <c r="H45">
        <f ca="1">IFERROR(__xludf.DUMMYFUNCTION("""COMPUTED_VALUE"""),197)</f>
        <v>197</v>
      </c>
    </row>
    <row r="46" spans="1:8" ht="12.75">
      <c r="A46" t="str">
        <f ca="1">IFERROR(__xludf.DUMMYFUNCTION("""COMPUTED_VALUE"""),"T45")</f>
        <v>T45</v>
      </c>
      <c r="B46" t="str">
        <f ca="1">IFERROR(__xludf.DUMMYFUNCTION("""COMPUTED_VALUE"""),"T52")</f>
        <v>T52</v>
      </c>
      <c r="C46" t="str">
        <f ca="1">IFERROR(__xludf.DUMMYFUNCTION("""COMPUTED_VALUE"""),"Bud Cauley")</f>
        <v>Bud Cauley</v>
      </c>
      <c r="D46">
        <f ca="1">IFERROR(__xludf.DUMMYFUNCTION("""COMPUTED_VALUE"""),4)</f>
        <v>4</v>
      </c>
      <c r="E46" t="str">
        <f ca="1">IFERROR(__xludf.DUMMYFUNCTION("""COMPUTED_VALUE"""),"5' 9""")</f>
        <v>5' 9"</v>
      </c>
      <c r="F46">
        <f ca="1">IFERROR(__xludf.DUMMYFUNCTION("""COMPUTED_VALUE"""),0.411)</f>
        <v>0.41099999999999998</v>
      </c>
      <c r="G46">
        <f ca="1">IFERROR(__xludf.DUMMYFUNCTION("""COMPUTED_VALUE"""),6)</f>
        <v>6</v>
      </c>
      <c r="H46">
        <f ca="1">IFERROR(__xludf.DUMMYFUNCTION("""COMPUTED_VALUE"""),1)</f>
        <v>1</v>
      </c>
    </row>
    <row r="47" spans="1:8" ht="12.75">
      <c r="A47" t="str">
        <f ca="1">IFERROR(__xludf.DUMMYFUNCTION("""COMPUTED_VALUE"""),"T45")</f>
        <v>T45</v>
      </c>
      <c r="B47" t="str">
        <f ca="1">IFERROR(__xludf.DUMMYFUNCTION("""COMPUTED_VALUE"""),"T52")</f>
        <v>T52</v>
      </c>
      <c r="C47" t="str">
        <f ca="1">IFERROR(__xludf.DUMMYFUNCTION("""COMPUTED_VALUE"""),"Harry Higgs")</f>
        <v>Harry Higgs</v>
      </c>
      <c r="D47">
        <f ca="1">IFERROR(__xludf.DUMMYFUNCTION("""COMPUTED_VALUE"""),14)</f>
        <v>14</v>
      </c>
      <c r="E47" t="str">
        <f ca="1">IFERROR(__xludf.DUMMYFUNCTION("""COMPUTED_VALUE"""),"5' 9""")</f>
        <v>5' 9"</v>
      </c>
      <c r="F47">
        <f ca="1">IFERROR(__xludf.DUMMYFUNCTION("""COMPUTED_VALUE"""),1.784)</f>
        <v>1.784</v>
      </c>
      <c r="G47">
        <f ca="1">IFERROR(__xludf.DUMMYFUNCTION("""COMPUTED_VALUE"""),26)</f>
        <v>26</v>
      </c>
      <c r="H47">
        <f ca="1">IFERROR(__xludf.DUMMYFUNCTION("""COMPUTED_VALUE"""),69)</f>
        <v>69</v>
      </c>
    </row>
    <row r="48" spans="1:8" ht="12.75">
      <c r="A48" t="str">
        <f ca="1">IFERROR(__xludf.DUMMYFUNCTION("""COMPUTED_VALUE"""),"T45")</f>
        <v>T45</v>
      </c>
      <c r="B48" t="str">
        <f ca="1">IFERROR(__xludf.DUMMYFUNCTION("""COMPUTED_VALUE"""),"T63")</f>
        <v>T63</v>
      </c>
      <c r="C48" t="str">
        <f ca="1">IFERROR(__xludf.DUMMYFUNCTION("""COMPUTED_VALUE"""),"Fabián Gómez")</f>
        <v>Fabián Gómez</v>
      </c>
      <c r="D48">
        <f ca="1">IFERROR(__xludf.DUMMYFUNCTION("""COMPUTED_VALUE"""),16)</f>
        <v>16</v>
      </c>
      <c r="E48" t="str">
        <f ca="1">IFERROR(__xludf.DUMMYFUNCTION("""COMPUTED_VALUE"""),"5' 9""")</f>
        <v>5' 9"</v>
      </c>
      <c r="F48">
        <f ca="1">IFERROR(__xludf.DUMMYFUNCTION("""COMPUTED_VALUE"""),2.482)</f>
        <v>2.4820000000000002</v>
      </c>
      <c r="G48">
        <f ca="1">IFERROR(__xludf.DUMMYFUNCTION("""COMPUTED_VALUE"""),36)</f>
        <v>36</v>
      </c>
      <c r="H48">
        <f ca="1">IFERROR(__xludf.DUMMYFUNCTION("""COMPUTED_VALUE"""),24)</f>
        <v>24</v>
      </c>
    </row>
    <row r="49" spans="1:8" ht="12.75">
      <c r="A49" t="str">
        <f ca="1">IFERROR(__xludf.DUMMYFUNCTION("""COMPUTED_VALUE"""),"T48")</f>
        <v>T48</v>
      </c>
      <c r="B49" t="str">
        <f ca="1">IFERROR(__xludf.DUMMYFUNCTION("""COMPUTED_VALUE"""),"T52")</f>
        <v>T52</v>
      </c>
      <c r="C49" t="str">
        <f ca="1">IFERROR(__xludf.DUMMYFUNCTION("""COMPUTED_VALUE"""),"Maverick McNealy")</f>
        <v>Maverick McNealy</v>
      </c>
      <c r="D49">
        <f ca="1">IFERROR(__xludf.DUMMYFUNCTION("""COMPUTED_VALUE"""),16)</f>
        <v>16</v>
      </c>
      <c r="E49" t="str">
        <f ca="1">IFERROR(__xludf.DUMMYFUNCTION("""COMPUTED_VALUE"""),"5' 10""")</f>
        <v>5' 10"</v>
      </c>
      <c r="F49">
        <f ca="1">IFERROR(__xludf.DUMMYFUNCTION("""COMPUTED_VALUE"""),1.676)</f>
        <v>1.6759999999999999</v>
      </c>
      <c r="G49">
        <f ca="1">IFERROR(__xludf.DUMMYFUNCTION("""COMPUTED_VALUE"""),24)</f>
        <v>24</v>
      </c>
      <c r="H49">
        <f ca="1">IFERROR(__xludf.DUMMYFUNCTION("""COMPUTED_VALUE"""),36)</f>
        <v>36</v>
      </c>
    </row>
    <row r="50" spans="1:8" ht="12.75">
      <c r="A50" t="str">
        <f ca="1">IFERROR(__xludf.DUMMYFUNCTION("""COMPUTED_VALUE"""),"T48")</f>
        <v>T48</v>
      </c>
      <c r="B50" t="str">
        <f ca="1">IFERROR(__xludf.DUMMYFUNCTION("""COMPUTED_VALUE"""),"T56")</f>
        <v>T56</v>
      </c>
      <c r="C50" t="str">
        <f ca="1">IFERROR(__xludf.DUMMYFUNCTION("""COMPUTED_VALUE"""),"Thomas Pieters")</f>
        <v>Thomas Pieters</v>
      </c>
      <c r="D50">
        <f ca="1">IFERROR(__xludf.DUMMYFUNCTION("""COMPUTED_VALUE"""),4)</f>
        <v>4</v>
      </c>
      <c r="E50" t="str">
        <f ca="1">IFERROR(__xludf.DUMMYFUNCTION("""COMPUTED_VALUE"""),"5' 10""")</f>
        <v>5' 10"</v>
      </c>
      <c r="F50">
        <f ca="1">IFERROR(__xludf.DUMMYFUNCTION("""COMPUTED_VALUE"""),0.278)</f>
        <v>0.27800000000000002</v>
      </c>
      <c r="G50">
        <f ca="1">IFERROR(__xludf.DUMMYFUNCTION("""COMPUTED_VALUE"""),4)</f>
        <v>4</v>
      </c>
      <c r="H50">
        <f ca="1">IFERROR(__xludf.DUMMYFUNCTION("""COMPUTED_VALUE"""),235)</f>
        <v>235</v>
      </c>
    </row>
    <row r="51" spans="1:8" ht="12.75">
      <c r="A51" t="str">
        <f ca="1">IFERROR(__xludf.DUMMYFUNCTION("""COMPUTED_VALUE"""),"T48")</f>
        <v>T48</v>
      </c>
      <c r="B51" t="str">
        <f ca="1">IFERROR(__xludf.DUMMYFUNCTION("""COMPUTED_VALUE"""),"T56")</f>
        <v>T56</v>
      </c>
      <c r="C51" t="str">
        <f ca="1">IFERROR(__xludf.DUMMYFUNCTION("""COMPUTED_VALUE"""),"Billy Horschel")</f>
        <v>Billy Horschel</v>
      </c>
      <c r="D51">
        <f ca="1">IFERROR(__xludf.DUMMYFUNCTION("""COMPUTED_VALUE"""),12)</f>
        <v>12</v>
      </c>
      <c r="E51" t="str">
        <f ca="1">IFERROR(__xludf.DUMMYFUNCTION("""COMPUTED_VALUE"""),"5' 10""")</f>
        <v>5' 10"</v>
      </c>
      <c r="F51">
        <f ca="1">IFERROR(__xludf.DUMMYFUNCTION("""COMPUTED_VALUE"""),1.391)</f>
        <v>1.391</v>
      </c>
      <c r="G51">
        <f ca="1">IFERROR(__xludf.DUMMYFUNCTION("""COMPUTED_VALUE"""),20)</f>
        <v>20</v>
      </c>
      <c r="H51">
        <f ca="1">IFERROR(__xludf.DUMMYFUNCTION("""COMPUTED_VALUE"""),183)</f>
        <v>183</v>
      </c>
    </row>
    <row r="52" spans="1:8" ht="12.75">
      <c r="A52" t="str">
        <f ca="1">IFERROR(__xludf.DUMMYFUNCTION("""COMPUTED_VALUE"""),"T48")</f>
        <v>T48</v>
      </c>
      <c r="B52" t="str">
        <f ca="1">IFERROR(__xludf.DUMMYFUNCTION("""COMPUTED_VALUE"""),"T34")</f>
        <v>T34</v>
      </c>
      <c r="C52" t="str">
        <f ca="1">IFERROR(__xludf.DUMMYFUNCTION("""COMPUTED_VALUE"""),"Scott Harrington")</f>
        <v>Scott Harrington</v>
      </c>
      <c r="D52">
        <f ca="1">IFERROR(__xludf.DUMMYFUNCTION("""COMPUTED_VALUE"""),18)</f>
        <v>18</v>
      </c>
      <c r="E52" t="str">
        <f ca="1">IFERROR(__xludf.DUMMYFUNCTION("""COMPUTED_VALUE"""),"5' 10""")</f>
        <v>5' 10"</v>
      </c>
      <c r="F52">
        <f ca="1">IFERROR(__xludf.DUMMYFUNCTION("""COMPUTED_VALUE"""),2.96)</f>
        <v>2.96</v>
      </c>
      <c r="G52">
        <f ca="1">IFERROR(__xludf.DUMMYFUNCTION("""COMPUTED_VALUE"""),42)</f>
        <v>42</v>
      </c>
      <c r="H52">
        <f ca="1">IFERROR(__xludf.DUMMYFUNCTION("""COMPUTED_VALUE"""),128)</f>
        <v>128</v>
      </c>
    </row>
    <row r="53" spans="1:8" ht="12.75">
      <c r="A53" t="str">
        <f ca="1">IFERROR(__xludf.DUMMYFUNCTION("""COMPUTED_VALUE"""),"T48")</f>
        <v>T48</v>
      </c>
      <c r="B53" t="str">
        <f ca="1">IFERROR(__xludf.DUMMYFUNCTION("""COMPUTED_VALUE"""),"T56")</f>
        <v>T56</v>
      </c>
      <c r="C53" t="str">
        <f ca="1">IFERROR(__xludf.DUMMYFUNCTION("""COMPUTED_VALUE"""),"Ryan Palmer")</f>
        <v>Ryan Palmer</v>
      </c>
      <c r="D53">
        <f ca="1">IFERROR(__xludf.DUMMYFUNCTION("""COMPUTED_VALUE"""),14)</f>
        <v>14</v>
      </c>
      <c r="E53" t="str">
        <f ca="1">IFERROR(__xludf.DUMMYFUNCTION("""COMPUTED_VALUE"""),"5' 10""")</f>
        <v>5' 10"</v>
      </c>
      <c r="F53">
        <f ca="1">IFERROR(__xludf.DUMMYFUNCTION("""COMPUTED_VALUE"""),1.811)</f>
        <v>1.8109999999999999</v>
      </c>
      <c r="G53">
        <f ca="1">IFERROR(__xludf.DUMMYFUNCTION("""COMPUTED_VALUE"""),26)</f>
        <v>26</v>
      </c>
      <c r="H53">
        <f ca="1">IFERROR(__xludf.DUMMYFUNCTION("""COMPUTED_VALUE"""),171)</f>
        <v>171</v>
      </c>
    </row>
    <row r="54" spans="1:8" ht="12.75">
      <c r="A54" t="str">
        <f ca="1">IFERROR(__xludf.DUMMYFUNCTION("""COMPUTED_VALUE"""),"T53")</f>
        <v>T53</v>
      </c>
      <c r="B54" t="str">
        <f ca="1">IFERROR(__xludf.DUMMYFUNCTION("""COMPUTED_VALUE"""),"T63")</f>
        <v>T63</v>
      </c>
      <c r="C54" t="str">
        <f ca="1">IFERROR(__xludf.DUMMYFUNCTION("""COMPUTED_VALUE"""),"Rasmus Hojgaard")</f>
        <v>Rasmus Hojgaard</v>
      </c>
      <c r="D54">
        <f ca="1">IFERROR(__xludf.DUMMYFUNCTION("""COMPUTED_VALUE"""),6)</f>
        <v>6</v>
      </c>
      <c r="E54" t="str">
        <f ca="1">IFERROR(__xludf.DUMMYFUNCTION("""COMPUTED_VALUE"""),"5' 11""")</f>
        <v>5' 11"</v>
      </c>
      <c r="F54">
        <f ca="1">IFERROR(__xludf.DUMMYFUNCTION("""COMPUTED_VALUE"""),0.141)</f>
        <v>0.14099999999999999</v>
      </c>
      <c r="G54">
        <f ca="1">IFERROR(__xludf.DUMMYFUNCTION("""COMPUTED_VALUE"""),2)</f>
        <v>2</v>
      </c>
      <c r="H54">
        <f ca="1">IFERROR(__xludf.DUMMYFUNCTION("""COMPUTED_VALUE"""),286)</f>
        <v>286</v>
      </c>
    </row>
    <row r="55" spans="1:8" ht="12.75">
      <c r="A55" t="str">
        <f ca="1">IFERROR(__xludf.DUMMYFUNCTION("""COMPUTED_VALUE"""),"T53")</f>
        <v>T53</v>
      </c>
      <c r="B55" t="str">
        <f ca="1">IFERROR(__xludf.DUMMYFUNCTION("""COMPUTED_VALUE"""),"T63")</f>
        <v>T63</v>
      </c>
      <c r="C55" t="str">
        <f ca="1">IFERROR(__xludf.DUMMYFUNCTION("""COMPUTED_VALUE"""),"Chase Seiffert")</f>
        <v>Chase Seiffert</v>
      </c>
      <c r="D55">
        <f ca="1">IFERROR(__xludf.DUMMYFUNCTION("""COMPUTED_VALUE"""),14)</f>
        <v>14</v>
      </c>
      <c r="E55" t="str">
        <f ca="1">IFERROR(__xludf.DUMMYFUNCTION("""COMPUTED_VALUE"""),"5' 11""")</f>
        <v>5' 11"</v>
      </c>
      <c r="F55">
        <f ca="1">IFERROR(__xludf.DUMMYFUNCTION("""COMPUTED_VALUE"""),1.072)</f>
        <v>1.0720000000000001</v>
      </c>
      <c r="G55">
        <f ca="1">IFERROR(__xludf.DUMMYFUNCTION("""COMPUTED_VALUE"""),15)</f>
        <v>15</v>
      </c>
      <c r="H55">
        <f ca="1">IFERROR(__xludf.DUMMYFUNCTION("""COMPUTED_VALUE"""),85)</f>
        <v>85</v>
      </c>
    </row>
    <row r="56" spans="1:8" ht="12.75">
      <c r="A56" t="str">
        <f ca="1">IFERROR(__xludf.DUMMYFUNCTION("""COMPUTED_VALUE"""),"T53")</f>
        <v>T53</v>
      </c>
      <c r="B56" t="str">
        <f ca="1">IFERROR(__xludf.DUMMYFUNCTION("""COMPUTED_VALUE"""),"T63")</f>
        <v>T63</v>
      </c>
      <c r="C56" t="str">
        <f ca="1">IFERROR(__xludf.DUMMYFUNCTION("""COMPUTED_VALUE"""),"Shugo Imahira")</f>
        <v>Shugo Imahira</v>
      </c>
      <c r="D56">
        <f ca="1">IFERROR(__xludf.DUMMYFUNCTION("""COMPUTED_VALUE"""),8)</f>
        <v>8</v>
      </c>
      <c r="E56" t="str">
        <f ca="1">IFERROR(__xludf.DUMMYFUNCTION("""COMPUTED_VALUE"""),"5' 11""")</f>
        <v>5' 11"</v>
      </c>
      <c r="F56">
        <f ca="1">IFERROR(__xludf.DUMMYFUNCTION("""COMPUTED_VALUE"""),1.555)</f>
        <v>1.5549999999999999</v>
      </c>
      <c r="G56">
        <f ca="1">IFERROR(__xludf.DUMMYFUNCTION("""COMPUTED_VALUE"""),22)</f>
        <v>22</v>
      </c>
      <c r="H56">
        <f ca="1">IFERROR(__xludf.DUMMYFUNCTION("""COMPUTED_VALUE"""),274)</f>
        <v>274</v>
      </c>
    </row>
    <row r="57" spans="1:8" ht="12.75">
      <c r="A57" t="str">
        <f ca="1">IFERROR(__xludf.DUMMYFUNCTION("""COMPUTED_VALUE"""),"T53")</f>
        <v>T53</v>
      </c>
      <c r="B57" t="str">
        <f ca="1">IFERROR(__xludf.DUMMYFUNCTION("""COMPUTED_VALUE"""),"T29")</f>
        <v>T29</v>
      </c>
      <c r="C57" t="str">
        <f ca="1">IFERROR(__xludf.DUMMYFUNCTION("""COMPUTED_VALUE"""),"Xinjun Zhang")</f>
        <v>Xinjun Zhang</v>
      </c>
      <c r="D57">
        <f ca="1">IFERROR(__xludf.DUMMYFUNCTION("""COMPUTED_VALUE"""),14)</f>
        <v>14</v>
      </c>
      <c r="E57" t="str">
        <f ca="1">IFERROR(__xludf.DUMMYFUNCTION("""COMPUTED_VALUE"""),"5' 11""")</f>
        <v>5' 11"</v>
      </c>
      <c r="F57">
        <f ca="1">IFERROR(__xludf.DUMMYFUNCTION("""COMPUTED_VALUE"""),1.908)</f>
        <v>1.9079999999999999</v>
      </c>
      <c r="G57">
        <f ca="1">IFERROR(__xludf.DUMMYFUNCTION("""COMPUTED_VALUE"""),27)</f>
        <v>27</v>
      </c>
      <c r="H57">
        <f ca="1">IFERROR(__xludf.DUMMYFUNCTION("""COMPUTED_VALUE"""),31)</f>
        <v>31</v>
      </c>
    </row>
    <row r="58" spans="1:8" ht="12.75">
      <c r="A58" t="str">
        <f ca="1">IFERROR(__xludf.DUMMYFUNCTION("""COMPUTED_VALUE"""),"T53")</f>
        <v>T53</v>
      </c>
      <c r="B58" t="str">
        <f ca="1">IFERROR(__xludf.DUMMYFUNCTION("""COMPUTED_VALUE"""),"T76")</f>
        <v>T76</v>
      </c>
      <c r="C58" t="str">
        <f ca="1">IFERROR(__xludf.DUMMYFUNCTION("""COMPUTED_VALUE"""),"Brian Stuard")</f>
        <v>Brian Stuard</v>
      </c>
      <c r="D58">
        <f ca="1">IFERROR(__xludf.DUMMYFUNCTION("""COMPUTED_VALUE"""),18)</f>
        <v>18</v>
      </c>
      <c r="E58" t="str">
        <f ca="1">IFERROR(__xludf.DUMMYFUNCTION("""COMPUTED_VALUE"""),"5' 11""")</f>
        <v>5' 11"</v>
      </c>
      <c r="F58">
        <f ca="1">IFERROR(__xludf.DUMMYFUNCTION("""COMPUTED_VALUE"""),2.339)</f>
        <v>2.339</v>
      </c>
      <c r="G58">
        <f ca="1">IFERROR(__xludf.DUMMYFUNCTION("""COMPUTED_VALUE"""),33)</f>
        <v>33</v>
      </c>
      <c r="H58">
        <f ca="1">IFERROR(__xludf.DUMMYFUNCTION("""COMPUTED_VALUE"""),60)</f>
        <v>60</v>
      </c>
    </row>
    <row r="59" spans="1:8" ht="12.75">
      <c r="A59" t="str">
        <f ca="1">IFERROR(__xludf.DUMMYFUNCTION("""COMPUTED_VALUE"""),"T53")</f>
        <v>T53</v>
      </c>
      <c r="B59" t="str">
        <f ca="1">IFERROR(__xludf.DUMMYFUNCTION("""COMPUTED_VALUE"""),"T56")</f>
        <v>T56</v>
      </c>
      <c r="C59" t="str">
        <f ca="1">IFERROR(__xludf.DUMMYFUNCTION("""COMPUTED_VALUE"""),"Luke List")</f>
        <v>Luke List</v>
      </c>
      <c r="D59">
        <f ca="1">IFERROR(__xludf.DUMMYFUNCTION("""COMPUTED_VALUE"""),18)</f>
        <v>18</v>
      </c>
      <c r="E59" t="str">
        <f ca="1">IFERROR(__xludf.DUMMYFUNCTION("""COMPUTED_VALUE"""),"5' 11""")</f>
        <v>5' 11"</v>
      </c>
      <c r="F59">
        <f ca="1">IFERROR(__xludf.DUMMYFUNCTION("""COMPUTED_VALUE"""),1.99)</f>
        <v>1.99</v>
      </c>
      <c r="G59">
        <f ca="1">IFERROR(__xludf.DUMMYFUNCTION("""COMPUTED_VALUE"""),28)</f>
        <v>28</v>
      </c>
      <c r="H59">
        <f ca="1">IFERROR(__xludf.DUMMYFUNCTION("""COMPUTED_VALUE"""),126)</f>
        <v>126</v>
      </c>
    </row>
    <row r="60" spans="1:8" ht="12.75">
      <c r="A60" t="str">
        <f ca="1">IFERROR(__xludf.DUMMYFUNCTION("""COMPUTED_VALUE"""),"T53")</f>
        <v>T53</v>
      </c>
      <c r="B60" t="str">
        <f ca="1">IFERROR(__xludf.DUMMYFUNCTION("""COMPUTED_VALUE"""),"T63")</f>
        <v>T63</v>
      </c>
      <c r="C60" t="str">
        <f ca="1">IFERROR(__xludf.DUMMYFUNCTION("""COMPUTED_VALUE"""),"Nick Watney")</f>
        <v>Nick Watney</v>
      </c>
      <c r="D60">
        <f ca="1">IFERROR(__xludf.DUMMYFUNCTION("""COMPUTED_VALUE"""),10)</f>
        <v>10</v>
      </c>
      <c r="E60" t="str">
        <f ca="1">IFERROR(__xludf.DUMMYFUNCTION("""COMPUTED_VALUE"""),"5' 11""")</f>
        <v>5' 11"</v>
      </c>
      <c r="F60">
        <f ca="1">IFERROR(__xludf.DUMMYFUNCTION("""COMPUTED_VALUE"""),1.07)</f>
        <v>1.07</v>
      </c>
      <c r="G60">
        <f ca="1">IFERROR(__xludf.DUMMYFUNCTION("""COMPUTED_VALUE"""),15)</f>
        <v>15</v>
      </c>
      <c r="H60">
        <f ca="1">IFERROR(__xludf.DUMMYFUNCTION("""COMPUTED_VALUE"""),41)</f>
        <v>41</v>
      </c>
    </row>
    <row r="61" spans="1:8" ht="12.75">
      <c r="A61" t="str">
        <f ca="1">IFERROR(__xludf.DUMMYFUNCTION("""COMPUTED_VALUE"""),"T53")</f>
        <v>T53</v>
      </c>
      <c r="B61" t="str">
        <f ca="1">IFERROR(__xludf.DUMMYFUNCTION("""COMPUTED_VALUE"""),"T76")</f>
        <v>T76</v>
      </c>
      <c r="C61" t="str">
        <f ca="1">IFERROR(__xludf.DUMMYFUNCTION("""COMPUTED_VALUE"""),"Kevin Stadler")</f>
        <v>Kevin Stadler</v>
      </c>
      <c r="D61">
        <f ca="1">IFERROR(__xludf.DUMMYFUNCTION("""COMPUTED_VALUE"""),8)</f>
        <v>8</v>
      </c>
      <c r="E61" t="str">
        <f ca="1">IFERROR(__xludf.DUMMYFUNCTION("""COMPUTED_VALUE"""),"5' 11""")</f>
        <v>5' 11"</v>
      </c>
      <c r="F61">
        <f ca="1">IFERROR(__xludf.DUMMYFUNCTION("""COMPUTED_VALUE"""),1.851)</f>
        <v>1.851</v>
      </c>
      <c r="G61">
        <f ca="1">IFERROR(__xludf.DUMMYFUNCTION("""COMPUTED_VALUE"""),26)</f>
        <v>26</v>
      </c>
      <c r="H61">
        <f ca="1">IFERROR(__xludf.DUMMYFUNCTION("""COMPUTED_VALUE"""),250)</f>
        <v>250</v>
      </c>
    </row>
    <row r="62" spans="1:8" ht="12.75">
      <c r="A62" t="str">
        <f ca="1">IFERROR(__xludf.DUMMYFUNCTION("""COMPUTED_VALUE"""),"T53")</f>
        <v>T53</v>
      </c>
      <c r="B62" t="str">
        <f ca="1">IFERROR(__xludf.DUMMYFUNCTION("""COMPUTED_VALUE"""),"T63")</f>
        <v>T63</v>
      </c>
      <c r="C62" t="str">
        <f ca="1">IFERROR(__xludf.DUMMYFUNCTION("""COMPUTED_VALUE"""),"Bubba Watson")</f>
        <v>Bubba Watson</v>
      </c>
      <c r="D62">
        <f ca="1">IFERROR(__xludf.DUMMYFUNCTION("""COMPUTED_VALUE"""),12)</f>
        <v>12</v>
      </c>
      <c r="E62" t="str">
        <f ca="1">IFERROR(__xludf.DUMMYFUNCTION("""COMPUTED_VALUE"""),"5' 11""")</f>
        <v>5' 11"</v>
      </c>
      <c r="F62">
        <f ca="1">IFERROR(__xludf.DUMMYFUNCTION("""COMPUTED_VALUE"""),1.206)</f>
        <v>1.206</v>
      </c>
      <c r="G62">
        <f ca="1">IFERROR(__xludf.DUMMYFUNCTION("""COMPUTED_VALUE"""),17)</f>
        <v>17</v>
      </c>
      <c r="H62">
        <f ca="1">IFERROR(__xludf.DUMMYFUNCTION("""COMPUTED_VALUE"""),131)</f>
        <v>131</v>
      </c>
    </row>
    <row r="63" spans="1:8" ht="12.75">
      <c r="A63" t="str">
        <f ca="1">IFERROR(__xludf.DUMMYFUNCTION("""COMPUTED_VALUE"""),"T53")</f>
        <v>T53</v>
      </c>
      <c r="B63" t="str">
        <f ca="1">IFERROR(__xludf.DUMMYFUNCTION("""COMPUTED_VALUE"""),"T34")</f>
        <v>T34</v>
      </c>
      <c r="C63" t="str">
        <f ca="1">IFERROR(__xludf.DUMMYFUNCTION("""COMPUTED_VALUE"""),"Zach Johnson")</f>
        <v>Zach Johnson</v>
      </c>
      <c r="D63">
        <f ca="1">IFERROR(__xludf.DUMMYFUNCTION("""COMPUTED_VALUE"""),16)</f>
        <v>16</v>
      </c>
      <c r="E63" t="str">
        <f ca="1">IFERROR(__xludf.DUMMYFUNCTION("""COMPUTED_VALUE"""),"5' 11""")</f>
        <v>5' 11"</v>
      </c>
      <c r="F63">
        <f ca="1">IFERROR(__xludf.DUMMYFUNCTION("""COMPUTED_VALUE"""),2.265)</f>
        <v>2.2650000000000001</v>
      </c>
      <c r="G63">
        <f ca="1">IFERROR(__xludf.DUMMYFUNCTION("""COMPUTED_VALUE"""),32)</f>
        <v>32</v>
      </c>
      <c r="H63">
        <f ca="1">IFERROR(__xludf.DUMMYFUNCTION("""COMPUTED_VALUE"""),122)</f>
        <v>122</v>
      </c>
    </row>
    <row r="64" spans="1:8" ht="12.75">
      <c r="A64" t="str">
        <f ca="1">IFERROR(__xludf.DUMMYFUNCTION("""COMPUTED_VALUE"""),"T63")</f>
        <v>T63</v>
      </c>
      <c r="B64" t="str">
        <f ca="1">IFERROR(__xludf.DUMMYFUNCTION("""COMPUTED_VALUE"""),"T69")</f>
        <v>T69</v>
      </c>
      <c r="C64" t="str">
        <f ca="1">IFERROR(__xludf.DUMMYFUNCTION("""COMPUTED_VALUE"""),"Mikumu Horikawa")</f>
        <v>Mikumu Horikawa</v>
      </c>
      <c r="D64">
        <f ca="1">IFERROR(__xludf.DUMMYFUNCTION("""COMPUTED_VALUE"""),4)</f>
        <v>4</v>
      </c>
      <c r="E64" t="str">
        <f ca="1">IFERROR(__xludf.DUMMYFUNCTION("""COMPUTED_VALUE"""),"6' 0""")</f>
        <v>6' 0"</v>
      </c>
      <c r="F64">
        <f ca="1">IFERROR(__xludf.DUMMYFUNCTION("""COMPUTED_VALUE"""),0.573)</f>
        <v>0.57299999999999995</v>
      </c>
      <c r="G64">
        <f ca="1">IFERROR(__xludf.DUMMYFUNCTION("""COMPUTED_VALUE"""),8)</f>
        <v>8</v>
      </c>
      <c r="H64">
        <f ca="1">IFERROR(__xludf.DUMMYFUNCTION("""COMPUTED_VALUE"""),194)</f>
        <v>194</v>
      </c>
    </row>
    <row r="65" spans="1:8" ht="12.75">
      <c r="A65" t="str">
        <f ca="1">IFERROR(__xludf.DUMMYFUNCTION("""COMPUTED_VALUE"""),"T63")</f>
        <v>T63</v>
      </c>
      <c r="B65" t="str">
        <f ca="1">IFERROR(__xludf.DUMMYFUNCTION("""COMPUTED_VALUE"""),"T69")</f>
        <v>T69</v>
      </c>
      <c r="C65" t="str">
        <f ca="1">IFERROR(__xludf.DUMMYFUNCTION("""COMPUTED_VALUE"""),"Patrick Reed")</f>
        <v>Patrick Reed</v>
      </c>
      <c r="D65">
        <f ca="1">IFERROR(__xludf.DUMMYFUNCTION("""COMPUTED_VALUE"""),8)</f>
        <v>8</v>
      </c>
      <c r="E65" t="str">
        <f ca="1">IFERROR(__xludf.DUMMYFUNCTION("""COMPUTED_VALUE"""),"6' 0""")</f>
        <v>6' 0"</v>
      </c>
      <c r="F65">
        <f ca="1">IFERROR(__xludf.DUMMYFUNCTION("""COMPUTED_VALUE"""),1.149)</f>
        <v>1.149</v>
      </c>
      <c r="G65">
        <f ca="1">IFERROR(__xludf.DUMMYFUNCTION("""COMPUTED_VALUE"""),16)</f>
        <v>16</v>
      </c>
      <c r="H65">
        <f ca="1">IFERROR(__xludf.DUMMYFUNCTION("""COMPUTED_VALUE"""),210)</f>
        <v>210</v>
      </c>
    </row>
    <row r="66" spans="1:8" ht="12.75">
      <c r="A66" t="str">
        <f ca="1">IFERROR(__xludf.DUMMYFUNCTION("""COMPUTED_VALUE"""),"T63")</f>
        <v>T63</v>
      </c>
      <c r="B66" t="str">
        <f ca="1">IFERROR(__xludf.DUMMYFUNCTION("""COMPUTED_VALUE"""),"T56")</f>
        <v>T56</v>
      </c>
      <c r="C66" t="str">
        <f ca="1">IFERROR(__xludf.DUMMYFUNCTION("""COMPUTED_VALUE"""),"Kevin Streelman")</f>
        <v>Kevin Streelman</v>
      </c>
      <c r="D66">
        <f ca="1">IFERROR(__xludf.DUMMYFUNCTION("""COMPUTED_VALUE"""),18)</f>
        <v>18</v>
      </c>
      <c r="E66" t="str">
        <f ca="1">IFERROR(__xludf.DUMMYFUNCTION("""COMPUTED_VALUE"""),"6' 0""")</f>
        <v>6' 0"</v>
      </c>
      <c r="F66">
        <f ca="1">IFERROR(__xludf.DUMMYFUNCTION("""COMPUTED_VALUE"""),2.004)</f>
        <v>2.004</v>
      </c>
      <c r="G66">
        <f ca="1">IFERROR(__xludf.DUMMYFUNCTION("""COMPUTED_VALUE"""),28)</f>
        <v>28</v>
      </c>
      <c r="H66">
        <f ca="1">IFERROR(__xludf.DUMMYFUNCTION("""COMPUTED_VALUE"""),121)</f>
        <v>121</v>
      </c>
    </row>
    <row r="67" spans="1:8" ht="12.75">
      <c r="A67" t="str">
        <f ca="1">IFERROR(__xludf.DUMMYFUNCTION("""COMPUTED_VALUE"""),"T66")</f>
        <v>T66</v>
      </c>
      <c r="B67" t="str">
        <f ca="1">IFERROR(__xludf.DUMMYFUNCTION("""COMPUTED_VALUE"""),"T72")</f>
        <v>T72</v>
      </c>
      <c r="C67" t="str">
        <f ca="1">IFERROR(__xludf.DUMMYFUNCTION("""COMPUTED_VALUE"""),"George Markham")</f>
        <v>George Markham</v>
      </c>
      <c r="D67">
        <f ca="1">IFERROR(__xludf.DUMMYFUNCTION("""COMPUTED_VALUE"""),4)</f>
        <v>4</v>
      </c>
      <c r="E67" t="str">
        <f ca="1">IFERROR(__xludf.DUMMYFUNCTION("""COMPUTED_VALUE"""),"6' 1""")</f>
        <v>6' 1"</v>
      </c>
      <c r="F67">
        <f ca="1">IFERROR(__xludf.DUMMYFUNCTION("""COMPUTED_VALUE"""),0.955)</f>
        <v>0.95499999999999996</v>
      </c>
      <c r="G67">
        <f ca="1">IFERROR(__xludf.DUMMYFUNCTION("""COMPUTED_VALUE"""),13)</f>
        <v>13</v>
      </c>
      <c r="H67">
        <f ca="1">IFERROR(__xludf.DUMMYFUNCTION("""COMPUTED_VALUE"""),168)</f>
        <v>168</v>
      </c>
    </row>
    <row r="68" spans="1:8" ht="12.75">
      <c r="A68" t="str">
        <f ca="1">IFERROR(__xludf.DUMMYFUNCTION("""COMPUTED_VALUE"""),"T66")</f>
        <v>T66</v>
      </c>
      <c r="B68" t="str">
        <f ca="1">IFERROR(__xludf.DUMMYFUNCTION("""COMPUTED_VALUE"""),"T91")</f>
        <v>T91</v>
      </c>
      <c r="C68" t="str">
        <f ca="1">IFERROR(__xludf.DUMMYFUNCTION("""COMPUTED_VALUE"""),"Martin Trainer")</f>
        <v>Martin Trainer</v>
      </c>
      <c r="D68">
        <f ca="1">IFERROR(__xludf.DUMMYFUNCTION("""COMPUTED_VALUE"""),10)</f>
        <v>10</v>
      </c>
      <c r="E68" t="str">
        <f ca="1">IFERROR(__xludf.DUMMYFUNCTION("""COMPUTED_VALUE"""),"6' 1""")</f>
        <v>6' 1"</v>
      </c>
      <c r="F68">
        <f ca="1">IFERROR(__xludf.DUMMYFUNCTION("""COMPUTED_VALUE"""),1.824)</f>
        <v>1.8240000000000001</v>
      </c>
      <c r="G68">
        <f ca="1">IFERROR(__xludf.DUMMYFUNCTION("""COMPUTED_VALUE"""),25)</f>
        <v>25</v>
      </c>
      <c r="H68">
        <f ca="1">IFERROR(__xludf.DUMMYFUNCTION("""COMPUTED_VALUE"""),247)</f>
        <v>247</v>
      </c>
    </row>
    <row r="69" spans="1:8" ht="12.75">
      <c r="A69" t="str">
        <f ca="1">IFERROR(__xludf.DUMMYFUNCTION("""COMPUTED_VALUE"""),"T66")</f>
        <v>T66</v>
      </c>
      <c r="B69" t="str">
        <f ca="1">IFERROR(__xludf.DUMMYFUNCTION("""COMPUTED_VALUE"""),"T34")</f>
        <v>T34</v>
      </c>
      <c r="C69" t="str">
        <f ca="1">IFERROR(__xludf.DUMMYFUNCTION("""COMPUTED_VALUE"""),"Stewart Cink")</f>
        <v>Stewart Cink</v>
      </c>
      <c r="D69">
        <f ca="1">IFERROR(__xludf.DUMMYFUNCTION("""COMPUTED_VALUE"""),18)</f>
        <v>18</v>
      </c>
      <c r="E69" t="str">
        <f ca="1">IFERROR(__xludf.DUMMYFUNCTION("""COMPUTED_VALUE"""),"6' 1""")</f>
        <v>6' 1"</v>
      </c>
      <c r="F69">
        <f ca="1">IFERROR(__xludf.DUMMYFUNCTION("""COMPUTED_VALUE"""),2.568)</f>
        <v>2.5680000000000001</v>
      </c>
      <c r="G69">
        <f ca="1">IFERROR(__xludf.DUMMYFUNCTION("""COMPUTED_VALUE"""),35)</f>
        <v>35</v>
      </c>
      <c r="H69">
        <f ca="1">IFERROR(__xludf.DUMMYFUNCTION("""COMPUTED_VALUE"""),99)</f>
        <v>99</v>
      </c>
    </row>
    <row r="70" spans="1:8" ht="12.75">
      <c r="A70" t="str">
        <f ca="1">IFERROR(__xludf.DUMMYFUNCTION("""COMPUTED_VALUE"""),"T69")</f>
        <v>T69</v>
      </c>
      <c r="B70" t="str">
        <f ca="1">IFERROR(__xludf.DUMMYFUNCTION("""COMPUTED_VALUE"""),"T76")</f>
        <v>T76</v>
      </c>
      <c r="C70" t="str">
        <f ca="1">IFERROR(__xludf.DUMMYFUNCTION("""COMPUTED_VALUE"""),"Sebastián Muñoz")</f>
        <v>Sebastián Muñoz</v>
      </c>
      <c r="D70">
        <f ca="1">IFERROR(__xludf.DUMMYFUNCTION("""COMPUTED_VALUE"""),20)</f>
        <v>20</v>
      </c>
      <c r="E70" t="str">
        <f ca="1">IFERROR(__xludf.DUMMYFUNCTION("""COMPUTED_VALUE"""),"6' 2""")</f>
        <v>6' 2"</v>
      </c>
      <c r="F70">
        <f ca="1">IFERROR(__xludf.DUMMYFUNCTION("""COMPUTED_VALUE"""),3.423)</f>
        <v>3.423</v>
      </c>
      <c r="G70">
        <f ca="1">IFERROR(__xludf.DUMMYFUNCTION("""COMPUTED_VALUE"""),46)</f>
        <v>46</v>
      </c>
      <c r="H70">
        <f ca="1">IFERROR(__xludf.DUMMYFUNCTION("""COMPUTED_VALUE"""),110)</f>
        <v>110</v>
      </c>
    </row>
    <row r="71" spans="1:8" ht="12.75">
      <c r="A71" t="str">
        <f ca="1">IFERROR(__xludf.DUMMYFUNCTION("""COMPUTED_VALUE"""),"T69")</f>
        <v>T69</v>
      </c>
      <c r="B71" t="str">
        <f ca="1">IFERROR(__xludf.DUMMYFUNCTION("""COMPUTED_VALUE"""),"T76")</f>
        <v>T76</v>
      </c>
      <c r="C71" t="str">
        <f ca="1">IFERROR(__xludf.DUMMYFUNCTION("""COMPUTED_VALUE"""),"Bryson DeChambeau")</f>
        <v>Bryson DeChambeau</v>
      </c>
      <c r="D71">
        <f ca="1">IFERROR(__xludf.DUMMYFUNCTION("""COMPUTED_VALUE"""),8)</f>
        <v>8</v>
      </c>
      <c r="E71" t="str">
        <f ca="1">IFERROR(__xludf.DUMMYFUNCTION("""COMPUTED_VALUE"""),"6' 2""")</f>
        <v>6' 2"</v>
      </c>
      <c r="F71">
        <f ca="1">IFERROR(__xludf.DUMMYFUNCTION("""COMPUTED_VALUE"""),1.042)</f>
        <v>1.042</v>
      </c>
      <c r="G71">
        <f ca="1">IFERROR(__xludf.DUMMYFUNCTION("""COMPUTED_VALUE"""),14)</f>
        <v>14</v>
      </c>
      <c r="H71">
        <f ca="1">IFERROR(__xludf.DUMMYFUNCTION("""COMPUTED_VALUE"""),92)</f>
        <v>92</v>
      </c>
    </row>
    <row r="72" spans="1:8" ht="12.75">
      <c r="A72" t="str">
        <f ca="1">IFERROR(__xludf.DUMMYFUNCTION("""COMPUTED_VALUE"""),"T69")</f>
        <v>T69</v>
      </c>
      <c r="B72" t="str">
        <f ca="1">IFERROR(__xludf.DUMMYFUNCTION("""COMPUTED_VALUE"""),"T43")</f>
        <v>T43</v>
      </c>
      <c r="C72" t="str">
        <f ca="1">IFERROR(__xludf.DUMMYFUNCTION("""COMPUTED_VALUE"""),"Scottie Scheffler")</f>
        <v>Scottie Scheffler</v>
      </c>
      <c r="D72">
        <f ca="1">IFERROR(__xludf.DUMMYFUNCTION("""COMPUTED_VALUE"""),18)</f>
        <v>18</v>
      </c>
      <c r="E72" t="str">
        <f ca="1">IFERROR(__xludf.DUMMYFUNCTION("""COMPUTED_VALUE"""),"6' 2""")</f>
        <v>6' 2"</v>
      </c>
      <c r="F72">
        <f ca="1">IFERROR(__xludf.DUMMYFUNCTION("""COMPUTED_VALUE"""),3.974)</f>
        <v>3.9740000000000002</v>
      </c>
      <c r="G72">
        <f ca="1">IFERROR(__xludf.DUMMYFUNCTION("""COMPUTED_VALUE"""),54)</f>
        <v>54</v>
      </c>
      <c r="H72">
        <f ca="1">IFERROR(__xludf.DUMMYFUNCTION("""COMPUTED_VALUE"""),168)</f>
        <v>168</v>
      </c>
    </row>
    <row r="73" spans="1:8" ht="12.75">
      <c r="A73" t="str">
        <f ca="1">IFERROR(__xludf.DUMMYFUNCTION("""COMPUTED_VALUE"""),"T69")</f>
        <v>T69</v>
      </c>
      <c r="B73" t="str">
        <f ca="1">IFERROR(__xludf.DUMMYFUNCTION("""COMPUTED_VALUE"""),"T76")</f>
        <v>T76</v>
      </c>
      <c r="C73" t="str">
        <f ca="1">IFERROR(__xludf.DUMMYFUNCTION("""COMPUTED_VALUE"""),"Taylor Pendrith")</f>
        <v>Taylor Pendrith</v>
      </c>
      <c r="D73">
        <f ca="1">IFERROR(__xludf.DUMMYFUNCTION("""COMPUTED_VALUE"""),4)</f>
        <v>4</v>
      </c>
      <c r="E73" t="str">
        <f ca="1">IFERROR(__xludf.DUMMYFUNCTION("""COMPUTED_VALUE"""),"6' 2""")</f>
        <v>6' 2"</v>
      </c>
      <c r="F73">
        <f ca="1">IFERROR(__xludf.DUMMYFUNCTION("""COMPUTED_VALUE"""),0.516)</f>
        <v>0.51600000000000001</v>
      </c>
      <c r="G73">
        <f ca="1">IFERROR(__xludf.DUMMYFUNCTION("""COMPUTED_VALUE"""),7)</f>
        <v>7</v>
      </c>
      <c r="H73">
        <f ca="1">IFERROR(__xludf.DUMMYFUNCTION("""COMPUTED_VALUE"""),235)</f>
        <v>235</v>
      </c>
    </row>
    <row r="74" spans="1:8" ht="12.75">
      <c r="A74" t="str">
        <f ca="1">IFERROR(__xludf.DUMMYFUNCTION("""COMPUTED_VALUE"""),"T69")</f>
        <v>T69</v>
      </c>
      <c r="B74" t="str">
        <f ca="1">IFERROR(__xludf.DUMMYFUNCTION("""COMPUTED_VALUE"""),"T76")</f>
        <v>T76</v>
      </c>
      <c r="C74" t="str">
        <f ca="1">IFERROR(__xludf.DUMMYFUNCTION("""COMPUTED_VALUE"""),"Nelson Ledesma")</f>
        <v>Nelson Ledesma</v>
      </c>
      <c r="D74">
        <f ca="1">IFERROR(__xludf.DUMMYFUNCTION("""COMPUTED_VALUE"""),8)</f>
        <v>8</v>
      </c>
      <c r="E74" t="str">
        <f ca="1">IFERROR(__xludf.DUMMYFUNCTION("""COMPUTED_VALUE"""),"6' 2""")</f>
        <v>6' 2"</v>
      </c>
      <c r="F74">
        <f ca="1">IFERROR(__xludf.DUMMYFUNCTION("""COMPUTED_VALUE"""),0.441)</f>
        <v>0.441</v>
      </c>
      <c r="G74">
        <f ca="1">IFERROR(__xludf.DUMMYFUNCTION("""COMPUTED_VALUE"""),6)</f>
        <v>6</v>
      </c>
      <c r="H74">
        <f ca="1">IFERROR(__xludf.DUMMYFUNCTION("""COMPUTED_VALUE"""),201)</f>
        <v>201</v>
      </c>
    </row>
    <row r="75" spans="1:8" ht="12.75">
      <c r="A75" t="str">
        <f ca="1">IFERROR(__xludf.DUMMYFUNCTION("""COMPUTED_VALUE"""),"T69")</f>
        <v>T69</v>
      </c>
      <c r="B75" t="str">
        <f ca="1">IFERROR(__xludf.DUMMYFUNCTION("""COMPUTED_VALUE"""),"T76")</f>
        <v>T76</v>
      </c>
      <c r="C75" t="str">
        <f ca="1">IFERROR(__xludf.DUMMYFUNCTION("""COMPUTED_VALUE"""),"Chris Baker")</f>
        <v>Chris Baker</v>
      </c>
      <c r="D75">
        <f ca="1">IFERROR(__xludf.DUMMYFUNCTION("""COMPUTED_VALUE"""),8)</f>
        <v>8</v>
      </c>
      <c r="E75" t="str">
        <f ca="1">IFERROR(__xludf.DUMMYFUNCTION("""COMPUTED_VALUE"""),"6' 2""")</f>
        <v>6' 2"</v>
      </c>
      <c r="F75">
        <f ca="1">IFERROR(__xludf.DUMMYFUNCTION("""COMPUTED_VALUE"""),0.59)</f>
        <v>0.59</v>
      </c>
      <c r="G75">
        <f ca="1">IFERROR(__xludf.DUMMYFUNCTION("""COMPUTED_VALUE"""),8)</f>
        <v>8</v>
      </c>
      <c r="H75">
        <f ca="1">IFERROR(__xludf.DUMMYFUNCTION("""COMPUTED_VALUE"""),138)</f>
        <v>138</v>
      </c>
    </row>
    <row r="76" spans="1:8" ht="12.75">
      <c r="A76" t="str">
        <f ca="1">IFERROR(__xludf.DUMMYFUNCTION("""COMPUTED_VALUE"""),"T75")</f>
        <v>T75</v>
      </c>
      <c r="B76" t="str">
        <f ca="1">IFERROR(__xludf.DUMMYFUNCTION("""COMPUTED_VALUE"""),"T84")</f>
        <v>T84</v>
      </c>
      <c r="C76" t="str">
        <f ca="1">IFERROR(__xludf.DUMMYFUNCTION("""COMPUTED_VALUE"""),"Sahith Theegala")</f>
        <v>Sahith Theegala</v>
      </c>
      <c r="D76">
        <f ca="1">IFERROR(__xludf.DUMMYFUNCTION("""COMPUTED_VALUE"""),6)</f>
        <v>6</v>
      </c>
      <c r="E76" t="str">
        <f ca="1">IFERROR(__xludf.DUMMYFUNCTION("""COMPUTED_VALUE"""),"6' 3""")</f>
        <v>6' 3"</v>
      </c>
      <c r="F76">
        <f ca="1">IFERROR(__xludf.DUMMYFUNCTION("""COMPUTED_VALUE"""),0.675)</f>
        <v>0.67500000000000004</v>
      </c>
      <c r="G76">
        <f ca="1">IFERROR(__xludf.DUMMYFUNCTION("""COMPUTED_VALUE"""),9)</f>
        <v>9</v>
      </c>
      <c r="H76">
        <f ca="1">IFERROR(__xludf.DUMMYFUNCTION("""COMPUTED_VALUE"""),10)</f>
        <v>10</v>
      </c>
    </row>
    <row r="77" spans="1:8" ht="12.75">
      <c r="A77" t="str">
        <f ca="1">IFERROR(__xludf.DUMMYFUNCTION("""COMPUTED_VALUE"""),"T75")</f>
        <v>T75</v>
      </c>
      <c r="B77" t="str">
        <f ca="1">IFERROR(__xludf.DUMMYFUNCTION("""COMPUTED_VALUE"""),"T84")</f>
        <v>T84</v>
      </c>
      <c r="C77" t="str">
        <f ca="1">IFERROR(__xludf.DUMMYFUNCTION("""COMPUTED_VALUE"""),"Hanbyeol Kim")</f>
        <v>Hanbyeol Kim</v>
      </c>
      <c r="D77">
        <f ca="1">IFERROR(__xludf.DUMMYFUNCTION("""COMPUTED_VALUE"""),4)</f>
        <v>4</v>
      </c>
      <c r="E77" t="str">
        <f ca="1">IFERROR(__xludf.DUMMYFUNCTION("""COMPUTED_VALUE"""),"6' 3""")</f>
        <v>6' 3"</v>
      </c>
      <c r="F77">
        <f ca="1">IFERROR(__xludf.DUMMYFUNCTION("""COMPUTED_VALUE"""),0.075)</f>
        <v>7.4999999999999997E-2</v>
      </c>
      <c r="G77">
        <f ca="1">IFERROR(__xludf.DUMMYFUNCTION("""COMPUTED_VALUE"""),1)</f>
        <v>1</v>
      </c>
      <c r="H77">
        <f ca="1">IFERROR(__xludf.DUMMYFUNCTION("""COMPUTED_VALUE"""),280)</f>
        <v>280</v>
      </c>
    </row>
    <row r="78" spans="1:8" ht="12.75">
      <c r="A78" t="str">
        <f ca="1">IFERROR(__xludf.DUMMYFUNCTION("""COMPUTED_VALUE"""),"T75")</f>
        <v>T75</v>
      </c>
      <c r="B78" t="str">
        <f ca="1">IFERROR(__xludf.DUMMYFUNCTION("""COMPUTED_VALUE"""),"T125")</f>
        <v>T125</v>
      </c>
      <c r="C78" t="str">
        <f ca="1">IFERROR(__xludf.DUMMYFUNCTION("""COMPUTED_VALUE"""),"Austin Cook")</f>
        <v>Austin Cook</v>
      </c>
      <c r="D78">
        <f ca="1">IFERROR(__xludf.DUMMYFUNCTION("""COMPUTED_VALUE"""),14)</f>
        <v>14</v>
      </c>
      <c r="E78" t="str">
        <f ca="1">IFERROR(__xludf.DUMMYFUNCTION("""COMPUTED_VALUE"""),"6' 3""")</f>
        <v>6' 3"</v>
      </c>
      <c r="F78">
        <f ca="1">IFERROR(__xludf.DUMMYFUNCTION("""COMPUTED_VALUE"""),2.24)</f>
        <v>2.2400000000000002</v>
      </c>
      <c r="G78">
        <f ca="1">IFERROR(__xludf.DUMMYFUNCTION("""COMPUTED_VALUE"""),30)</f>
        <v>30</v>
      </c>
      <c r="H78">
        <f ca="1">IFERROR(__xludf.DUMMYFUNCTION("""COMPUTED_VALUE"""),56)</f>
        <v>56</v>
      </c>
    </row>
    <row r="79" spans="1:8" ht="12.75">
      <c r="A79" t="str">
        <f ca="1">IFERROR(__xludf.DUMMYFUNCTION("""COMPUTED_VALUE"""),"T75")</f>
        <v>T75</v>
      </c>
      <c r="B79" t="str">
        <f ca="1">IFERROR(__xludf.DUMMYFUNCTION("""COMPUTED_VALUE"""),"T84")</f>
        <v>T84</v>
      </c>
      <c r="C79" t="str">
        <f ca="1">IFERROR(__xludf.DUMMYFUNCTION("""COMPUTED_VALUE"""),"Zac Blair")</f>
        <v>Zac Blair</v>
      </c>
      <c r="D79">
        <f ca="1">IFERROR(__xludf.DUMMYFUNCTION("""COMPUTED_VALUE"""),10)</f>
        <v>10</v>
      </c>
      <c r="E79" t="str">
        <f ca="1">IFERROR(__xludf.DUMMYFUNCTION("""COMPUTED_VALUE"""),"6' 3""")</f>
        <v>6' 3"</v>
      </c>
      <c r="F79">
        <f ca="1">IFERROR(__xludf.DUMMYFUNCTION("""COMPUTED_VALUE"""),1.274)</f>
        <v>1.274</v>
      </c>
      <c r="G79">
        <f ca="1">IFERROR(__xludf.DUMMYFUNCTION("""COMPUTED_VALUE"""),17)</f>
        <v>17</v>
      </c>
      <c r="H79">
        <f ca="1">IFERROR(__xludf.DUMMYFUNCTION("""COMPUTED_VALUE"""),230)</f>
        <v>230</v>
      </c>
    </row>
    <row r="80" spans="1:8" ht="12.75">
      <c r="A80" t="str">
        <f ca="1">IFERROR(__xludf.DUMMYFUNCTION("""COMPUTED_VALUE"""),"T75")</f>
        <v>T75</v>
      </c>
      <c r="B80" t="str">
        <f ca="1">IFERROR(__xludf.DUMMYFUNCTION("""COMPUTED_VALUE"""),"T95")</f>
        <v>T95</v>
      </c>
      <c r="C80" t="str">
        <f ca="1">IFERROR(__xludf.DUMMYFUNCTION("""COMPUTED_VALUE"""),"Danny Willett")</f>
        <v>Danny Willett</v>
      </c>
      <c r="D80">
        <f ca="1">IFERROR(__xludf.DUMMYFUNCTION("""COMPUTED_VALUE"""),7)</f>
        <v>7</v>
      </c>
      <c r="E80" t="str">
        <f ca="1">IFERROR(__xludf.DUMMYFUNCTION("""COMPUTED_VALUE"""),"6' 3""")</f>
        <v>6' 3"</v>
      </c>
      <c r="F80">
        <f ca="1">IFERROR(__xludf.DUMMYFUNCTION("""COMPUTED_VALUE"""),0.754)</f>
        <v>0.754</v>
      </c>
      <c r="G80">
        <f ca="1">IFERROR(__xludf.DUMMYFUNCTION("""COMPUTED_VALUE"""),10)</f>
        <v>10</v>
      </c>
      <c r="H80">
        <f ca="1">IFERROR(__xludf.DUMMYFUNCTION("""COMPUTED_VALUE"""),269)</f>
        <v>269</v>
      </c>
    </row>
    <row r="81" spans="1:8" ht="12.75">
      <c r="A81" t="str">
        <f ca="1">IFERROR(__xludf.DUMMYFUNCTION("""COMPUTED_VALUE"""),"T75")</f>
        <v>T75</v>
      </c>
      <c r="B81" t="str">
        <f ca="1">IFERROR(__xludf.DUMMYFUNCTION("""COMPUTED_VALUE"""),"T84")</f>
        <v>T84</v>
      </c>
      <c r="C81" t="str">
        <f ca="1">IFERROR(__xludf.DUMMYFUNCTION("""COMPUTED_VALUE"""),"Cameron Percy")</f>
        <v>Cameron Percy</v>
      </c>
      <c r="D81">
        <f ca="1">IFERROR(__xludf.DUMMYFUNCTION("""COMPUTED_VALUE"""),16)</f>
        <v>16</v>
      </c>
      <c r="E81" t="str">
        <f ca="1">IFERROR(__xludf.DUMMYFUNCTION("""COMPUTED_VALUE"""),"6' 3""")</f>
        <v>6' 3"</v>
      </c>
      <c r="F81">
        <f ca="1">IFERROR(__xludf.DUMMYFUNCTION("""COMPUTED_VALUE"""),1.051)</f>
        <v>1.0509999999999999</v>
      </c>
      <c r="G81">
        <f ca="1">IFERROR(__xludf.DUMMYFUNCTION("""COMPUTED_VALUE"""),14)</f>
        <v>14</v>
      </c>
      <c r="H81">
        <f ca="1">IFERROR(__xludf.DUMMYFUNCTION("""COMPUTED_VALUE"""),96)</f>
        <v>96</v>
      </c>
    </row>
    <row r="82" spans="1:8" ht="12.75">
      <c r="A82" t="str">
        <f ca="1">IFERROR(__xludf.DUMMYFUNCTION("""COMPUTED_VALUE"""),"T81")</f>
        <v>T81</v>
      </c>
      <c r="B82" t="str">
        <f ca="1">IFERROR(__xludf.DUMMYFUNCTION("""COMPUTED_VALUE"""),"T89")</f>
        <v>T89</v>
      </c>
      <c r="C82" t="str">
        <f ca="1">IFERROR(__xludf.DUMMYFUNCTION("""COMPUTED_VALUE"""),"Jon Rahm")</f>
        <v>Jon Rahm</v>
      </c>
      <c r="D82">
        <f ca="1">IFERROR(__xludf.DUMMYFUNCTION("""COMPUTED_VALUE"""),12)</f>
        <v>12</v>
      </c>
      <c r="E82" t="str">
        <f ca="1">IFERROR(__xludf.DUMMYFUNCTION("""COMPUTED_VALUE"""),"6' 4""")</f>
        <v>6' 4"</v>
      </c>
      <c r="F82">
        <f ca="1">IFERROR(__xludf.DUMMYFUNCTION("""COMPUTED_VALUE"""),1.292)</f>
        <v>1.292</v>
      </c>
      <c r="G82">
        <f ca="1">IFERROR(__xludf.DUMMYFUNCTION("""COMPUTED_VALUE"""),17)</f>
        <v>17</v>
      </c>
      <c r="H82">
        <f ca="1">IFERROR(__xludf.DUMMYFUNCTION("""COMPUTED_VALUE"""),154)</f>
        <v>154</v>
      </c>
    </row>
    <row r="83" spans="1:8" ht="12.75">
      <c r="A83" t="str">
        <f ca="1">IFERROR(__xludf.DUMMYFUNCTION("""COMPUTED_VALUE"""),"T81")</f>
        <v>T81</v>
      </c>
      <c r="B83" t="str">
        <f ca="1">IFERROR(__xludf.DUMMYFUNCTION("""COMPUTED_VALUE"""),"T89")</f>
        <v>T89</v>
      </c>
      <c r="C83" t="str">
        <f ca="1">IFERROR(__xludf.DUMMYFUNCTION("""COMPUTED_VALUE"""),"Steve Lewton")</f>
        <v>Steve Lewton</v>
      </c>
      <c r="D83">
        <f ca="1">IFERROR(__xludf.DUMMYFUNCTION("""COMPUTED_VALUE"""),4)</f>
        <v>4</v>
      </c>
      <c r="E83" t="str">
        <f ca="1">IFERROR(__xludf.DUMMYFUNCTION("""COMPUTED_VALUE"""),"6' 4""")</f>
        <v>6' 4"</v>
      </c>
      <c r="F83">
        <f ca="1">IFERROR(__xludf.DUMMYFUNCTION("""COMPUTED_VALUE"""),0.681)</f>
        <v>0.68100000000000005</v>
      </c>
      <c r="G83">
        <f ca="1">IFERROR(__xludf.DUMMYFUNCTION("""COMPUTED_VALUE"""),9)</f>
        <v>9</v>
      </c>
      <c r="H83">
        <f ca="1">IFERROR(__xludf.DUMMYFUNCTION("""COMPUTED_VALUE"""),215)</f>
        <v>215</v>
      </c>
    </row>
    <row r="84" spans="1:8" ht="12.75">
      <c r="A84" t="str">
        <f ca="1">IFERROR(__xludf.DUMMYFUNCTION("""COMPUTED_VALUE"""),"T81")</f>
        <v>T81</v>
      </c>
      <c r="B84" t="str">
        <f ca="1">IFERROR(__xludf.DUMMYFUNCTION("""COMPUTED_VALUE"""),"T91")</f>
        <v>T91</v>
      </c>
      <c r="C84" t="str">
        <f ca="1">IFERROR(__xludf.DUMMYFUNCTION("""COMPUTED_VALUE"""),"Jamie Lovemark")</f>
        <v>Jamie Lovemark</v>
      </c>
      <c r="D84">
        <f ca="1">IFERROR(__xludf.DUMMYFUNCTION("""COMPUTED_VALUE"""),18)</f>
        <v>18</v>
      </c>
      <c r="E84" t="str">
        <f ca="1">IFERROR(__xludf.DUMMYFUNCTION("""COMPUTED_VALUE"""),"6' 4""")</f>
        <v>6' 4"</v>
      </c>
      <c r="F84">
        <f ca="1">IFERROR(__xludf.DUMMYFUNCTION("""COMPUTED_VALUE"""),2.498)</f>
        <v>2.4980000000000002</v>
      </c>
      <c r="G84">
        <f ca="1">IFERROR(__xludf.DUMMYFUNCTION("""COMPUTED_VALUE"""),33)</f>
        <v>33</v>
      </c>
      <c r="H84">
        <f ca="1">IFERROR(__xludf.DUMMYFUNCTION("""COMPUTED_VALUE"""),114)</f>
        <v>114</v>
      </c>
    </row>
    <row r="85" spans="1:8" ht="12.75">
      <c r="A85" t="str">
        <f ca="1">IFERROR(__xludf.DUMMYFUNCTION("""COMPUTED_VALUE"""),"T84")</f>
        <v>T84</v>
      </c>
      <c r="B85" t="str">
        <f ca="1">IFERROR(__xludf.DUMMYFUNCTION("""COMPUTED_VALUE"""),"T56")</f>
        <v>T56</v>
      </c>
      <c r="C85" t="str">
        <f ca="1">IFERROR(__xludf.DUMMYFUNCTION("""COMPUTED_VALUE"""),"Mark Hubbard")</f>
        <v>Mark Hubbard</v>
      </c>
      <c r="D85">
        <f ca="1">IFERROR(__xludf.DUMMYFUNCTION("""COMPUTED_VALUE"""),20)</f>
        <v>20</v>
      </c>
      <c r="E85" t="str">
        <f ca="1">IFERROR(__xludf.DUMMYFUNCTION("""COMPUTED_VALUE"""),"6' 5""")</f>
        <v>6' 5"</v>
      </c>
      <c r="F85">
        <f ca="1">IFERROR(__xludf.DUMMYFUNCTION("""COMPUTED_VALUE"""),3.792)</f>
        <v>3.7919999999999998</v>
      </c>
      <c r="G85">
        <f ca="1">IFERROR(__xludf.DUMMYFUNCTION("""COMPUTED_VALUE"""),49)</f>
        <v>49</v>
      </c>
      <c r="H85">
        <f ca="1">IFERROR(__xludf.DUMMYFUNCTION("""COMPUTED_VALUE"""),156)</f>
        <v>156</v>
      </c>
    </row>
    <row r="86" spans="1:8" ht="12.75">
      <c r="A86" t="str">
        <f ca="1">IFERROR(__xludf.DUMMYFUNCTION("""COMPUTED_VALUE"""),"T84")</f>
        <v>T84</v>
      </c>
      <c r="B86" t="str">
        <f ca="1">IFERROR(__xludf.DUMMYFUNCTION("""COMPUTED_VALUE"""),"T56")</f>
        <v>T56</v>
      </c>
      <c r="C86" t="str">
        <f ca="1">IFERROR(__xludf.DUMMYFUNCTION("""COMPUTED_VALUE"""),"Tom Hoge")</f>
        <v>Tom Hoge</v>
      </c>
      <c r="D86">
        <f ca="1">IFERROR(__xludf.DUMMYFUNCTION("""COMPUTED_VALUE"""),22)</f>
        <v>22</v>
      </c>
      <c r="E86" t="str">
        <f ca="1">IFERROR(__xludf.DUMMYFUNCTION("""COMPUTED_VALUE"""),"6' 5""")</f>
        <v>6' 5"</v>
      </c>
      <c r="F86">
        <f ca="1">IFERROR(__xludf.DUMMYFUNCTION("""COMPUTED_VALUE"""),4.132)</f>
        <v>4.1319999999999997</v>
      </c>
      <c r="G86">
        <f ca="1">IFERROR(__xludf.DUMMYFUNCTION("""COMPUTED_VALUE"""),54)</f>
        <v>54</v>
      </c>
      <c r="H86">
        <f ca="1">IFERROR(__xludf.DUMMYFUNCTION("""COMPUTED_VALUE"""),102)</f>
        <v>102</v>
      </c>
    </row>
    <row r="87" spans="1:8" ht="12.75">
      <c r="A87" t="str">
        <f ca="1">IFERROR(__xludf.DUMMYFUNCTION("""COMPUTED_VALUE"""),"T84")</f>
        <v>T84</v>
      </c>
      <c r="B87" t="str">
        <f ca="1">IFERROR(__xludf.DUMMYFUNCTION("""COMPUTED_VALUE"""),"T91")</f>
        <v>T91</v>
      </c>
      <c r="C87" t="str">
        <f ca="1">IFERROR(__xludf.DUMMYFUNCTION("""COMPUTED_VALUE"""),"Kyle Stanley")</f>
        <v>Kyle Stanley</v>
      </c>
      <c r="D87">
        <f ca="1">IFERROR(__xludf.DUMMYFUNCTION("""COMPUTED_VALUE"""),16)</f>
        <v>16</v>
      </c>
      <c r="E87" t="str">
        <f ca="1">IFERROR(__xludf.DUMMYFUNCTION("""COMPUTED_VALUE"""),"6' 5""")</f>
        <v>6' 5"</v>
      </c>
      <c r="F87">
        <f ca="1">IFERROR(__xludf.DUMMYFUNCTION("""COMPUTED_VALUE"""),1.227)</f>
        <v>1.2270000000000001</v>
      </c>
      <c r="G87">
        <f ca="1">IFERROR(__xludf.DUMMYFUNCTION("""COMPUTED_VALUE"""),16)</f>
        <v>16</v>
      </c>
      <c r="H87">
        <f ca="1">IFERROR(__xludf.DUMMYFUNCTION("""COMPUTED_VALUE"""),122)</f>
        <v>122</v>
      </c>
    </row>
    <row r="88" spans="1:8" ht="12.75">
      <c r="A88" t="str">
        <f ca="1">IFERROR(__xludf.DUMMYFUNCTION("""COMPUTED_VALUE"""),"T84")</f>
        <v>T84</v>
      </c>
      <c r="B88" t="str">
        <f ca="1">IFERROR(__xludf.DUMMYFUNCTION("""COMPUTED_VALUE"""),"T91")</f>
        <v>T91</v>
      </c>
      <c r="C88" t="str">
        <f ca="1">IFERROR(__xludf.DUMMYFUNCTION("""COMPUTED_VALUE"""),"Ryan Blaum")</f>
        <v>Ryan Blaum</v>
      </c>
      <c r="D88">
        <f ca="1">IFERROR(__xludf.DUMMYFUNCTION("""COMPUTED_VALUE"""),8)</f>
        <v>8</v>
      </c>
      <c r="E88" t="str">
        <f ca="1">IFERROR(__xludf.DUMMYFUNCTION("""COMPUTED_VALUE"""),"6' 5""")</f>
        <v>6' 5"</v>
      </c>
      <c r="F88">
        <f ca="1">IFERROR(__xludf.DUMMYFUNCTION("""COMPUTED_VALUE"""),0.459)</f>
        <v>0.45900000000000002</v>
      </c>
      <c r="G88">
        <f ca="1">IFERROR(__xludf.DUMMYFUNCTION("""COMPUTED_VALUE"""),6)</f>
        <v>6</v>
      </c>
      <c r="H88">
        <f ca="1">IFERROR(__xludf.DUMMYFUNCTION("""COMPUTED_VALUE"""),97)</f>
        <v>97</v>
      </c>
    </row>
    <row r="89" spans="1:8" ht="12.75">
      <c r="A89">
        <f ca="1">IFERROR(__xludf.DUMMYFUNCTION("""COMPUTED_VALUE"""),88)</f>
        <v>88</v>
      </c>
      <c r="B89" t="str">
        <f ca="1">IFERROR(__xludf.DUMMYFUNCTION("""COMPUTED_VALUE"""),"T95")</f>
        <v>T95</v>
      </c>
      <c r="C89" t="str">
        <f ca="1">IFERROR(__xludf.DUMMYFUNCTION("""COMPUTED_VALUE"""),"Harris English")</f>
        <v>Harris English</v>
      </c>
      <c r="D89">
        <f ca="1">IFERROR(__xludf.DUMMYFUNCTION("""COMPUTED_VALUE"""),14)</f>
        <v>14</v>
      </c>
      <c r="E89" t="str">
        <f ca="1">IFERROR(__xludf.DUMMYFUNCTION("""COMPUTED_VALUE"""),"6' 6""")</f>
        <v>6' 6"</v>
      </c>
      <c r="F89">
        <f ca="1">IFERROR(__xludf.DUMMYFUNCTION("""COMPUTED_VALUE"""),2.033)</f>
        <v>2.0329999999999999</v>
      </c>
      <c r="G89">
        <f ca="1">IFERROR(__xludf.DUMMYFUNCTION("""COMPUTED_VALUE"""),26)</f>
        <v>26</v>
      </c>
      <c r="H89">
        <f ca="1">IFERROR(__xludf.DUMMYFUNCTION("""COMPUTED_VALUE"""),49)</f>
        <v>49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IFERROR(__xludf.DUMMYFUNCTION("""COMPUTED_VALUE"""),"T161")</f>
        <v>T161</v>
      </c>
      <c r="C90" t="str">
        <f ca="1">IFERROR(__xludf.DUMMYFUNCTION("""COMPUTED_VALUE"""),"Sam Burns")</f>
        <v>Sam Burns</v>
      </c>
      <c r="D90">
        <f ca="1">IFERROR(__xludf.DUMMYFUNCTION("""COMPUTED_VALUE"""),18)</f>
        <v>18</v>
      </c>
      <c r="E90" t="str">
        <f ca="1">IFERROR(__xludf.DUMMYFUNCTION("""COMPUTED_VALUE"""),"6' 7""")</f>
        <v>6' 7"</v>
      </c>
      <c r="F90">
        <f ca="1">IFERROR(__xludf.DUMMYFUNCTION("""COMPUTED_VALUE"""),2.599)</f>
        <v>2.5990000000000002</v>
      </c>
      <c r="G90">
        <f ca="1">IFERROR(__xludf.DUMMYFUNCTION("""COMPUTED_VALUE"""),33)</f>
        <v>33</v>
      </c>
      <c r="H90">
        <f ca="1">IFERROR(__xludf.DUMMYFUNCTION("""COMPUTED_VALUE"""),229)</f>
        <v>229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IFERROR(__xludf.DUMMYFUNCTION("""COMPUTED_VALUE"""),"T125")</f>
        <v>T125</v>
      </c>
      <c r="C91" t="str">
        <f ca="1">IFERROR(__xludf.DUMMYFUNCTION("""COMPUTED_VALUE"""),"Russell Knox")</f>
        <v>Russell Knox</v>
      </c>
      <c r="D91">
        <f ca="1">IFERROR(__xludf.DUMMYFUNCTION("""COMPUTED_VALUE"""),16)</f>
        <v>16</v>
      </c>
      <c r="E91" t="str">
        <f ca="1">IFERROR(__xludf.DUMMYFUNCTION("""COMPUTED_VALUE"""),"6' 7""")</f>
        <v>6' 7"</v>
      </c>
      <c r="F91">
        <f ca="1">IFERROR(__xludf.DUMMYFUNCTION("""COMPUTED_VALUE"""),1.986)</f>
        <v>1.986</v>
      </c>
      <c r="G91">
        <f ca="1">IFERROR(__xludf.DUMMYFUNCTION("""COMPUTED_VALUE"""),25)</f>
        <v>25</v>
      </c>
      <c r="H91">
        <f ca="1">IFERROR(__xludf.DUMMYFUNCTION("""COMPUTED_VALUE"""),42)</f>
        <v>42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IFERROR(__xludf.DUMMYFUNCTION("""COMPUTED_VALUE"""),"T115")</f>
        <v>T115</v>
      </c>
      <c r="C92" t="str">
        <f ca="1">IFERROR(__xludf.DUMMYFUNCTION("""COMPUTED_VALUE"""),"Camilo Villegas")</f>
        <v>Camilo Villegas</v>
      </c>
      <c r="D92">
        <f ca="1">IFERROR(__xludf.DUMMYFUNCTION("""COMPUTED_VALUE"""),14)</f>
        <v>14</v>
      </c>
      <c r="E92" t="str">
        <f ca="1">IFERROR(__xludf.DUMMYFUNCTION("""COMPUTED_VALUE"""),"6' 7""")</f>
        <v>6' 7"</v>
      </c>
      <c r="F92">
        <f ca="1">IFERROR(__xludf.DUMMYFUNCTION("""COMPUTED_VALUE"""),1.663)</f>
        <v>1.663</v>
      </c>
      <c r="G92">
        <f ca="1">IFERROR(__xludf.DUMMYFUNCTION("""COMPUTED_VALUE"""),21)</f>
        <v>21</v>
      </c>
      <c r="H92">
        <f ca="1">IFERROR(__xludf.DUMMYFUNCTION("""COMPUTED_VALUE"""),180)</f>
        <v>180</v>
      </c>
    </row>
    <row r="93" spans="1:8" ht="12.75">
      <c r="A93" t="str">
        <f ca="1">IFERROR(__xludf.DUMMYFUNCTION("""COMPUTED_VALUE"""),"T92")</f>
        <v>T92</v>
      </c>
      <c r="B93" t="str">
        <f ca="1">IFERROR(__xludf.DUMMYFUNCTION("""COMPUTED_VALUE"""),"T99")</f>
        <v>T99</v>
      </c>
      <c r="C93" t="str">
        <f ca="1">IFERROR(__xludf.DUMMYFUNCTION("""COMPUTED_VALUE"""),"Akshay Bhatia")</f>
        <v>Akshay Bhatia</v>
      </c>
      <c r="D93">
        <f ca="1">IFERROR(__xludf.DUMMYFUNCTION("""COMPUTED_VALUE"""),6)</f>
        <v>6</v>
      </c>
      <c r="E93" t="str">
        <f ca="1">IFERROR(__xludf.DUMMYFUNCTION("""COMPUTED_VALUE"""),"6' 8""")</f>
        <v>6' 8"</v>
      </c>
      <c r="F93">
        <f ca="1">IFERROR(__xludf.DUMMYFUNCTION("""COMPUTED_VALUE"""),0.401)</f>
        <v>0.40100000000000002</v>
      </c>
      <c r="G93">
        <f ca="1">IFERROR(__xludf.DUMMYFUNCTION("""COMPUTED_VALUE"""),5)</f>
        <v>5</v>
      </c>
      <c r="H93">
        <f ca="1">IFERROR(__xludf.DUMMYFUNCTION("""COMPUTED_VALUE"""),6)</f>
        <v>6</v>
      </c>
    </row>
    <row r="94" spans="1:8" ht="12.75">
      <c r="A94" t="str">
        <f ca="1">IFERROR(__xludf.DUMMYFUNCTION("""COMPUTED_VALUE"""),"T92")</f>
        <v>T92</v>
      </c>
      <c r="B94" t="str">
        <f ca="1">IFERROR(__xludf.DUMMYFUNCTION("""COMPUTED_VALUE"""),"T108")</f>
        <v>T108</v>
      </c>
      <c r="C94" t="str">
        <f ca="1">IFERROR(__xludf.DUMMYFUNCTION("""COMPUTED_VALUE"""),"Lanto Griffin")</f>
        <v>Lanto Griffin</v>
      </c>
      <c r="D94">
        <f ca="1">IFERROR(__xludf.DUMMYFUNCTION("""COMPUTED_VALUE"""),18)</f>
        <v>18</v>
      </c>
      <c r="E94" t="str">
        <f ca="1">IFERROR(__xludf.DUMMYFUNCTION("""COMPUTED_VALUE"""),"6' 8""")</f>
        <v>6' 8"</v>
      </c>
      <c r="F94">
        <f ca="1">IFERROR(__xludf.DUMMYFUNCTION("""COMPUTED_VALUE"""),2.164)</f>
        <v>2.1640000000000001</v>
      </c>
      <c r="G94">
        <f ca="1">IFERROR(__xludf.DUMMYFUNCTION("""COMPUTED_VALUE"""),27)</f>
        <v>27</v>
      </c>
      <c r="H94">
        <f ca="1">IFERROR(__xludf.DUMMYFUNCTION("""COMPUTED_VALUE"""),199)</f>
        <v>199</v>
      </c>
    </row>
    <row r="95" spans="1:8" ht="12.75">
      <c r="A95" t="str">
        <f ca="1">IFERROR(__xludf.DUMMYFUNCTION("""COMPUTED_VALUE"""),"T92")</f>
        <v>T92</v>
      </c>
      <c r="B95" t="str">
        <f ca="1">IFERROR(__xludf.DUMMYFUNCTION("""COMPUTED_VALUE"""),"T99")</f>
        <v>T99</v>
      </c>
      <c r="C95" t="str">
        <f ca="1">IFERROR(__xludf.DUMMYFUNCTION("""COMPUTED_VALUE"""),"Mark Anderson")</f>
        <v>Mark Anderson</v>
      </c>
      <c r="D95">
        <f ca="1">IFERROR(__xludf.DUMMYFUNCTION("""COMPUTED_VALUE"""),14)</f>
        <v>14</v>
      </c>
      <c r="E95" t="str">
        <f ca="1">IFERROR(__xludf.DUMMYFUNCTION("""COMPUTED_VALUE"""),"6' 8""")</f>
        <v>6' 8"</v>
      </c>
      <c r="F95">
        <f ca="1">IFERROR(__xludf.DUMMYFUNCTION("""COMPUTED_VALUE"""),0.879)</f>
        <v>0.879</v>
      </c>
      <c r="G95">
        <f ca="1">IFERROR(__xludf.DUMMYFUNCTION("""COMPUTED_VALUE"""),11)</f>
        <v>11</v>
      </c>
      <c r="H95">
        <f ca="1">IFERROR(__xludf.DUMMYFUNCTION("""COMPUTED_VALUE"""),28)</f>
        <v>28</v>
      </c>
    </row>
    <row r="96" spans="1:8" ht="12.75">
      <c r="A96" t="str">
        <f ca="1">IFERROR(__xludf.DUMMYFUNCTION("""COMPUTED_VALUE"""),"T92")</f>
        <v>T92</v>
      </c>
      <c r="B96" t="str">
        <f ca="1">IFERROR(__xludf.DUMMYFUNCTION("""COMPUTED_VALUE"""),"T103")</f>
        <v>T103</v>
      </c>
      <c r="C96" t="str">
        <f ca="1">IFERROR(__xludf.DUMMYFUNCTION("""COMPUTED_VALUE"""),"Patton Kizzire")</f>
        <v>Patton Kizzire</v>
      </c>
      <c r="D96">
        <f ca="1">IFERROR(__xludf.DUMMYFUNCTION("""COMPUTED_VALUE"""),18)</f>
        <v>18</v>
      </c>
      <c r="E96" t="str">
        <f ca="1">IFERROR(__xludf.DUMMYFUNCTION("""COMPUTED_VALUE"""),"6' 8""")</f>
        <v>6' 8"</v>
      </c>
      <c r="F96">
        <f ca="1">IFERROR(__xludf.DUMMYFUNCTION("""COMPUTED_VALUE"""),3.599)</f>
        <v>3.5990000000000002</v>
      </c>
      <c r="G96">
        <f ca="1">IFERROR(__xludf.DUMMYFUNCTION("""COMPUTED_VALUE"""),45)</f>
        <v>45</v>
      </c>
      <c r="H96">
        <f ca="1">IFERROR(__xludf.DUMMYFUNCTION("""COMPUTED_VALUE"""),177)</f>
        <v>177</v>
      </c>
    </row>
    <row r="97" spans="1:8" ht="12.75">
      <c r="A97" t="str">
        <f ca="1">IFERROR(__xludf.DUMMYFUNCTION("""COMPUTED_VALUE"""),"T92")</f>
        <v>T92</v>
      </c>
      <c r="B97" t="str">
        <f ca="1">IFERROR(__xludf.DUMMYFUNCTION("""COMPUTED_VALUE"""),"T72")</f>
        <v>T72</v>
      </c>
      <c r="C97" t="str">
        <f ca="1">IFERROR(__xludf.DUMMYFUNCTION("""COMPUTED_VALUE"""),"Troy Merritt")</f>
        <v>Troy Merritt</v>
      </c>
      <c r="D97">
        <f ca="1">IFERROR(__xludf.DUMMYFUNCTION("""COMPUTED_VALUE"""),20)</f>
        <v>20</v>
      </c>
      <c r="E97" t="str">
        <f ca="1">IFERROR(__xludf.DUMMYFUNCTION("""COMPUTED_VALUE"""),"6' 8""")</f>
        <v>6' 8"</v>
      </c>
      <c r="F97">
        <f ca="1">IFERROR(__xludf.DUMMYFUNCTION("""COMPUTED_VALUE"""),3.534)</f>
        <v>3.5339999999999998</v>
      </c>
      <c r="G97">
        <f ca="1">IFERROR(__xludf.DUMMYFUNCTION("""COMPUTED_VALUE"""),44)</f>
        <v>44</v>
      </c>
      <c r="H97">
        <f ca="1">IFERROR(__xludf.DUMMYFUNCTION("""COMPUTED_VALUE"""),90)</f>
        <v>90</v>
      </c>
    </row>
    <row r="98" spans="1:8" ht="12.75">
      <c r="A98" t="str">
        <f ca="1">IFERROR(__xludf.DUMMYFUNCTION("""COMPUTED_VALUE"""),"T92")</f>
        <v>T92</v>
      </c>
      <c r="B98" t="str">
        <f ca="1">IFERROR(__xludf.DUMMYFUNCTION("""COMPUTED_VALUE"""),"T99")</f>
        <v>T99</v>
      </c>
      <c r="C98" t="str">
        <f ca="1">IFERROR(__xludf.DUMMYFUNCTION("""COMPUTED_VALUE"""),"Chez Reavie")</f>
        <v>Chez Reavie</v>
      </c>
      <c r="D98">
        <f ca="1">IFERROR(__xludf.DUMMYFUNCTION("""COMPUTED_VALUE"""),14)</f>
        <v>14</v>
      </c>
      <c r="E98" t="str">
        <f ca="1">IFERROR(__xludf.DUMMYFUNCTION("""COMPUTED_VALUE"""),"6' 8""")</f>
        <v>6' 8"</v>
      </c>
      <c r="F98">
        <f ca="1">IFERROR(__xludf.DUMMYFUNCTION("""COMPUTED_VALUE"""),2.155)</f>
        <v>2.1549999999999998</v>
      </c>
      <c r="G98">
        <f ca="1">IFERROR(__xludf.DUMMYFUNCTION("""COMPUTED_VALUE"""),27)</f>
        <v>27</v>
      </c>
      <c r="H98">
        <f ca="1">IFERROR(__xludf.DUMMYFUNCTION("""COMPUTED_VALUE"""),80)</f>
        <v>80</v>
      </c>
    </row>
    <row r="99" spans="1:8" ht="12.75">
      <c r="A99" t="str">
        <f ca="1">IFERROR(__xludf.DUMMYFUNCTION("""COMPUTED_VALUE"""),"T92")</f>
        <v>T92</v>
      </c>
      <c r="B99">
        <f ca="1">IFERROR(__xludf.DUMMYFUNCTION("""COMPUTED_VALUE"""),2)</f>
        <v>2</v>
      </c>
      <c r="C99" t="str">
        <f ca="1">IFERROR(__xludf.DUMMYFUNCTION("""COMPUTED_VALUE"""),"Graeme McDowell")</f>
        <v>Graeme McDowell</v>
      </c>
      <c r="D99">
        <f ca="1">IFERROR(__xludf.DUMMYFUNCTION("""COMPUTED_VALUE"""),8)</f>
        <v>8</v>
      </c>
      <c r="E99" t="str">
        <f ca="1">IFERROR(__xludf.DUMMYFUNCTION("""COMPUTED_VALUE"""),"6' 8""")</f>
        <v>6' 8"</v>
      </c>
      <c r="F99">
        <f ca="1">IFERROR(__xludf.DUMMYFUNCTION("""COMPUTED_VALUE"""),1.523)</f>
        <v>1.5229999999999999</v>
      </c>
      <c r="G99">
        <f ca="1">IFERROR(__xludf.DUMMYFUNCTION("""COMPUTED_VALUE"""),19)</f>
        <v>19</v>
      </c>
      <c r="H99">
        <f ca="1">IFERROR(__xludf.DUMMYFUNCTION("""COMPUTED_VALUE"""),172)</f>
        <v>172</v>
      </c>
    </row>
    <row r="100" spans="1:8" ht="12.75">
      <c r="A100" t="str">
        <f ca="1">IFERROR(__xludf.DUMMYFUNCTION("""COMPUTED_VALUE"""),"T92")</f>
        <v>T92</v>
      </c>
      <c r="B100" t="str">
        <f ca="1">IFERROR(__xludf.DUMMYFUNCTION("""COMPUTED_VALUE"""),"T115")</f>
        <v>T115</v>
      </c>
      <c r="C100" t="str">
        <f ca="1">IFERROR(__xludf.DUMMYFUNCTION("""COMPUTED_VALUE"""),"Pat Perez")</f>
        <v>Pat Perez</v>
      </c>
      <c r="D100">
        <f ca="1">IFERROR(__xludf.DUMMYFUNCTION("""COMPUTED_VALUE"""),16)</f>
        <v>16</v>
      </c>
      <c r="E100" t="str">
        <f ca="1">IFERROR(__xludf.DUMMYFUNCTION("""COMPUTED_VALUE"""),"6' 8""")</f>
        <v>6' 8"</v>
      </c>
      <c r="F100">
        <f ca="1">IFERROR(__xludf.DUMMYFUNCTION("""COMPUTED_VALUE"""),1.597)</f>
        <v>1.597</v>
      </c>
      <c r="G100">
        <f ca="1">IFERROR(__xludf.DUMMYFUNCTION("""COMPUTED_VALUE"""),20)</f>
        <v>20</v>
      </c>
      <c r="H100">
        <f ca="1">IFERROR(__xludf.DUMMYFUNCTION("""COMPUTED_VALUE"""),100)</f>
        <v>100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IFERROR(__xludf.DUMMYFUNCTION("""COMPUTED_VALUE"""),"T103")</f>
        <v>T103</v>
      </c>
      <c r="C101" t="str">
        <f ca="1">IFERROR(__xludf.DUMMYFUNCTION("""COMPUTED_VALUE"""),"Seonghyeon Kim")</f>
        <v>Seonghyeon Kim</v>
      </c>
      <c r="D101">
        <f ca="1">IFERROR(__xludf.DUMMYFUNCTION("""COMPUTED_VALUE"""),4)</f>
        <v>4</v>
      </c>
      <c r="E101" t="str">
        <f ca="1">IFERROR(__xludf.DUMMYFUNCTION("""COMPUTED_VALUE"""),"6' 9""")</f>
        <v>6' 9"</v>
      </c>
      <c r="F101">
        <f ca="1">IFERROR(__xludf.DUMMYFUNCTION("""COMPUTED_VALUE"""),0.404)</f>
        <v>0.40400000000000003</v>
      </c>
      <c r="G101">
        <f ca="1">IFERROR(__xludf.DUMMYFUNCTION("""COMPUTED_VALUE"""),5)</f>
        <v>5</v>
      </c>
      <c r="H101">
        <f ca="1">IFERROR(__xludf.DUMMYFUNCTION("""COMPUTED_VALUE"""),144)</f>
        <v>144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IFERROR(__xludf.DUMMYFUNCTION("""COMPUTED_VALUE"""),"T144")</f>
        <v>T144</v>
      </c>
      <c r="C102" t="str">
        <f ca="1">IFERROR(__xludf.DUMMYFUNCTION("""COMPUTED_VALUE"""),"Sam Ryder")</f>
        <v>Sam Ryder</v>
      </c>
      <c r="D102">
        <f ca="1">IFERROR(__xludf.DUMMYFUNCTION("""COMPUTED_VALUE"""),12)</f>
        <v>12</v>
      </c>
      <c r="E102" t="str">
        <f ca="1">IFERROR(__xludf.DUMMYFUNCTION("""COMPUTED_VALUE"""),"6' 9""")</f>
        <v>6' 9"</v>
      </c>
      <c r="F102">
        <f ca="1">IFERROR(__xludf.DUMMYFUNCTION("""COMPUTED_VALUE"""),0.976)</f>
        <v>0.97599999999999998</v>
      </c>
      <c r="G102">
        <f ca="1">IFERROR(__xludf.DUMMYFUNCTION("""COMPUTED_VALUE"""),12)</f>
        <v>12</v>
      </c>
      <c r="H102">
        <f ca="1">IFERROR(__xludf.DUMMYFUNCTION("""COMPUTED_VALUE"""),129)</f>
        <v>129</v>
      </c>
    </row>
    <row r="103" spans="1:8" ht="12.75">
      <c r="A103" t="str">
        <f ca="1">IFERROR(__xludf.DUMMYFUNCTION("""COMPUTED_VALUE"""),"T100")</f>
        <v>T100</v>
      </c>
      <c r="B103" t="str">
        <f ca="1">IFERROR(__xludf.DUMMYFUNCTION("""COMPUTED_VALUE"""),"T178")</f>
        <v>T178</v>
      </c>
      <c r="C103" t="str">
        <f ca="1">IFERROR(__xludf.DUMMYFUNCTION("""COMPUTED_VALUE"""),"Kyoung-Hoon Lee")</f>
        <v>Kyoung-Hoon Lee</v>
      </c>
      <c r="D103">
        <f ca="1">IFERROR(__xludf.DUMMYFUNCTION("""COMPUTED_VALUE"""),20)</f>
        <v>20</v>
      </c>
      <c r="E103" t="str">
        <f ca="1">IFERROR(__xludf.DUMMYFUNCTION("""COMPUTED_VALUE"""),"6' 9""")</f>
        <v>6' 9"</v>
      </c>
      <c r="F103">
        <f ca="1">IFERROR(__xludf.DUMMYFUNCTION("""COMPUTED_VALUE"""),2.604)</f>
        <v>2.6040000000000001</v>
      </c>
      <c r="G103">
        <f ca="1">IFERROR(__xludf.DUMMYFUNCTION("""COMPUTED_VALUE"""),32)</f>
        <v>32</v>
      </c>
      <c r="H103">
        <f ca="1">IFERROR(__xludf.DUMMYFUNCTION("""COMPUTED_VALUE"""),119)</f>
        <v>119</v>
      </c>
    </row>
    <row r="104" spans="1:8" ht="12.75">
      <c r="A104" t="str">
        <f ca="1">IFERROR(__xludf.DUMMYFUNCTION("""COMPUTED_VALUE"""),"T100")</f>
        <v>T100</v>
      </c>
      <c r="B104" t="str">
        <f ca="1">IFERROR(__xludf.DUMMYFUNCTION("""COMPUTED_VALUE"""),"T144")</f>
        <v>T144</v>
      </c>
      <c r="C104" t="str">
        <f ca="1">IFERROR(__xludf.DUMMYFUNCTION("""COMPUTED_VALUE"""),"C.T. Pan")</f>
        <v>C.T. Pan</v>
      </c>
      <c r="D104">
        <f ca="1">IFERROR(__xludf.DUMMYFUNCTION("""COMPUTED_VALUE"""),20)</f>
        <v>20</v>
      </c>
      <c r="E104" t="str">
        <f ca="1">IFERROR(__xludf.DUMMYFUNCTION("""COMPUTED_VALUE"""),"6' 9""")</f>
        <v>6' 9"</v>
      </c>
      <c r="F104">
        <f ca="1">IFERROR(__xludf.DUMMYFUNCTION("""COMPUTED_VALUE"""),3.176)</f>
        <v>3.1760000000000002</v>
      </c>
      <c r="G104">
        <f ca="1">IFERROR(__xludf.DUMMYFUNCTION("""COMPUTED_VALUE"""),39)</f>
        <v>39</v>
      </c>
      <c r="H104">
        <f ca="1">IFERROR(__xludf.DUMMYFUNCTION("""COMPUTED_VALUE"""),66)</f>
        <v>66</v>
      </c>
    </row>
    <row r="105" spans="1:8" ht="12.75">
      <c r="A105" t="str">
        <f ca="1">IFERROR(__xludf.DUMMYFUNCTION("""COMPUTED_VALUE"""),"T104")</f>
        <v>T104</v>
      </c>
      <c r="B105" t="str">
        <f ca="1">IFERROR(__xludf.DUMMYFUNCTION("""COMPUTED_VALUE"""),"T133")</f>
        <v>T133</v>
      </c>
      <c r="C105" t="str">
        <f ca="1">IFERROR(__xludf.DUMMYFUNCTION("""COMPUTED_VALUE"""),"Talor Gooch")</f>
        <v>Talor Gooch</v>
      </c>
      <c r="D105">
        <f ca="1">IFERROR(__xludf.DUMMYFUNCTION("""COMPUTED_VALUE"""),20)</f>
        <v>20</v>
      </c>
      <c r="E105" t="str">
        <f ca="1">IFERROR(__xludf.DUMMYFUNCTION("""COMPUTED_VALUE"""),"6' 10""")</f>
        <v>6' 10"</v>
      </c>
      <c r="F105">
        <f ca="1">IFERROR(__xludf.DUMMYFUNCTION("""COMPUTED_VALUE"""),4.195)</f>
        <v>4.1950000000000003</v>
      </c>
      <c r="G105">
        <f ca="1">IFERROR(__xludf.DUMMYFUNCTION("""COMPUTED_VALUE"""),51)</f>
        <v>51</v>
      </c>
      <c r="H105">
        <f ca="1">IFERROR(__xludf.DUMMYFUNCTION("""COMPUTED_VALUE"""),9)</f>
        <v>9</v>
      </c>
    </row>
    <row r="106" spans="1:8" ht="12.75">
      <c r="A106" t="str">
        <f ca="1">IFERROR(__xludf.DUMMYFUNCTION("""COMPUTED_VALUE"""),"T104")</f>
        <v>T104</v>
      </c>
      <c r="B106" t="str">
        <f ca="1">IFERROR(__xludf.DUMMYFUNCTION("""COMPUTED_VALUE"""),"T147")</f>
        <v>T147</v>
      </c>
      <c r="C106" t="str">
        <f ca="1">IFERROR(__xludf.DUMMYFUNCTION("""COMPUTED_VALUE"""),"Sungjae Im")</f>
        <v>Sungjae Im</v>
      </c>
      <c r="D106">
        <f ca="1">IFERROR(__xludf.DUMMYFUNCTION("""COMPUTED_VALUE"""),24)</f>
        <v>24</v>
      </c>
      <c r="E106" t="str">
        <f ca="1">IFERROR(__xludf.DUMMYFUNCTION("""COMPUTED_VALUE"""),"6' 10""")</f>
        <v>6' 10"</v>
      </c>
      <c r="F106">
        <f ca="1">IFERROR(__xludf.DUMMYFUNCTION("""COMPUTED_VALUE"""),3.938)</f>
        <v>3.9380000000000002</v>
      </c>
      <c r="G106">
        <f ca="1">IFERROR(__xludf.DUMMYFUNCTION("""COMPUTED_VALUE"""),48)</f>
        <v>48</v>
      </c>
      <c r="H106">
        <f ca="1">IFERROR(__xludf.DUMMYFUNCTION("""COMPUTED_VALUE"""),181)</f>
        <v>181</v>
      </c>
    </row>
    <row r="107" spans="1:8" ht="12.75">
      <c r="A107" t="str">
        <f ca="1">IFERROR(__xludf.DUMMYFUNCTION("""COMPUTED_VALUE"""),"T104")</f>
        <v>T104</v>
      </c>
      <c r="B107" t="str">
        <f ca="1">IFERROR(__xludf.DUMMYFUNCTION("""COMPUTED_VALUE"""),"T76")</f>
        <v>T76</v>
      </c>
      <c r="C107" t="str">
        <f ca="1">IFERROR(__xludf.DUMMYFUNCTION("""COMPUTED_VALUE"""),"Kelly Kraft")</f>
        <v>Kelly Kraft</v>
      </c>
      <c r="D107">
        <f ca="1">IFERROR(__xludf.DUMMYFUNCTION("""COMPUTED_VALUE"""),14)</f>
        <v>14</v>
      </c>
      <c r="E107" t="str">
        <f ca="1">IFERROR(__xludf.DUMMYFUNCTION("""COMPUTED_VALUE"""),"6' 10""")</f>
        <v>6' 10"</v>
      </c>
      <c r="F107">
        <f ca="1">IFERROR(__xludf.DUMMYFUNCTION("""COMPUTED_VALUE"""),2.528)</f>
        <v>2.528</v>
      </c>
      <c r="G107">
        <f ca="1">IFERROR(__xludf.DUMMYFUNCTION("""COMPUTED_VALUE"""),31)</f>
        <v>31</v>
      </c>
      <c r="H107">
        <f ca="1">IFERROR(__xludf.DUMMYFUNCTION("""COMPUTED_VALUE"""),201)</f>
        <v>201</v>
      </c>
    </row>
    <row r="108" spans="1:8" ht="12.75">
      <c r="A108" t="str">
        <f ca="1">IFERROR(__xludf.DUMMYFUNCTION("""COMPUTED_VALUE"""),"T104")</f>
        <v>T104</v>
      </c>
      <c r="B108" t="str">
        <f ca="1">IFERROR(__xludf.DUMMYFUNCTION("""COMPUTED_VALUE"""),"T108")</f>
        <v>T108</v>
      </c>
      <c r="C108" t="str">
        <f ca="1">IFERROR(__xludf.DUMMYFUNCTION("""COMPUTED_VALUE"""),"Robert Streb")</f>
        <v>Robert Streb</v>
      </c>
      <c r="D108">
        <f ca="1">IFERROR(__xludf.DUMMYFUNCTION("""COMPUTED_VALUE"""),12)</f>
        <v>12</v>
      </c>
      <c r="E108" t="str">
        <f ca="1">IFERROR(__xludf.DUMMYFUNCTION("""COMPUTED_VALUE"""),"6' 10""")</f>
        <v>6' 10"</v>
      </c>
      <c r="F108">
        <f ca="1">IFERROR(__xludf.DUMMYFUNCTION("""COMPUTED_VALUE"""),0.658)</f>
        <v>0.65800000000000003</v>
      </c>
      <c r="G108">
        <f ca="1">IFERROR(__xludf.DUMMYFUNCTION("""COMPUTED_VALUE"""),8)</f>
        <v>8</v>
      </c>
      <c r="H108">
        <f ca="1">IFERROR(__xludf.DUMMYFUNCTION("""COMPUTED_VALUE"""),158)</f>
        <v>158</v>
      </c>
    </row>
    <row r="109" spans="1:8" ht="12.75">
      <c r="A109" t="str">
        <f ca="1">IFERROR(__xludf.DUMMYFUNCTION("""COMPUTED_VALUE"""),"T104")</f>
        <v>T104</v>
      </c>
      <c r="B109" t="str">
        <f ca="1">IFERROR(__xludf.DUMMYFUNCTION("""COMPUTED_VALUE"""),"T108")</f>
        <v>T108</v>
      </c>
      <c r="C109" t="str">
        <f ca="1">IFERROR(__xludf.DUMMYFUNCTION("""COMPUTED_VALUE"""),"Gunn Charoenkul")</f>
        <v>Gunn Charoenkul</v>
      </c>
      <c r="D109">
        <f ca="1">IFERROR(__xludf.DUMMYFUNCTION("""COMPUTED_VALUE"""),4)</f>
        <v>4</v>
      </c>
      <c r="E109" t="str">
        <f ca="1">IFERROR(__xludf.DUMMYFUNCTION("""COMPUTED_VALUE"""),"6' 10""")</f>
        <v>6' 10"</v>
      </c>
      <c r="F109">
        <f ca="1">IFERROR(__xludf.DUMMYFUNCTION("""COMPUTED_VALUE"""),0.655)</f>
        <v>0.65500000000000003</v>
      </c>
      <c r="G109">
        <f ca="1">IFERROR(__xludf.DUMMYFUNCTION("""COMPUTED_VALUE"""),8)</f>
        <v>8</v>
      </c>
      <c r="H109">
        <f ca="1">IFERROR(__xludf.DUMMYFUNCTION("""COMPUTED_VALUE"""),18)</f>
        <v>18</v>
      </c>
    </row>
    <row r="110" spans="1:8" ht="12.75">
      <c r="A110" t="str">
        <f ca="1">IFERROR(__xludf.DUMMYFUNCTION("""COMPUTED_VALUE"""),"T104")</f>
        <v>T104</v>
      </c>
      <c r="B110" t="str">
        <f ca="1">IFERROR(__xludf.DUMMYFUNCTION("""COMPUTED_VALUE"""),"T108")</f>
        <v>T108</v>
      </c>
      <c r="C110" t="str">
        <f ca="1">IFERROR(__xludf.DUMMYFUNCTION("""COMPUTED_VALUE"""),"Gary Woodland")</f>
        <v>Gary Woodland</v>
      </c>
      <c r="D110">
        <f ca="1">IFERROR(__xludf.DUMMYFUNCTION("""COMPUTED_VALUE"""),6)</f>
        <v>6</v>
      </c>
      <c r="E110" t="str">
        <f ca="1">IFERROR(__xludf.DUMMYFUNCTION("""COMPUTED_VALUE"""),"6' 10""")</f>
        <v>6' 10"</v>
      </c>
      <c r="F110">
        <f ca="1">IFERROR(__xludf.DUMMYFUNCTION("""COMPUTED_VALUE"""),0.979)</f>
        <v>0.97899999999999998</v>
      </c>
      <c r="G110">
        <f ca="1">IFERROR(__xludf.DUMMYFUNCTION("""COMPUTED_VALUE"""),12)</f>
        <v>12</v>
      </c>
      <c r="H110">
        <f ca="1">IFERROR(__xludf.DUMMYFUNCTION("""COMPUTED_VALUE"""),278)</f>
        <v>278</v>
      </c>
    </row>
    <row r="111" spans="1:8" ht="12.75">
      <c r="A111" t="str">
        <f ca="1">IFERROR(__xludf.DUMMYFUNCTION("""COMPUTED_VALUE"""),"T104")</f>
        <v>T104</v>
      </c>
      <c r="B111" t="str">
        <f ca="1">IFERROR(__xludf.DUMMYFUNCTION("""COMPUTED_VALUE"""),"T108")</f>
        <v>T108</v>
      </c>
      <c r="C111" t="str">
        <f ca="1">IFERROR(__xludf.DUMMYFUNCTION("""COMPUTED_VALUE"""),"Kevin Kisner")</f>
        <v>Kevin Kisner</v>
      </c>
      <c r="D111">
        <f ca="1">IFERROR(__xludf.DUMMYFUNCTION("""COMPUTED_VALUE"""),10)</f>
        <v>10</v>
      </c>
      <c r="E111" t="str">
        <f ca="1">IFERROR(__xludf.DUMMYFUNCTION("""COMPUTED_VALUE"""),"6' 10""")</f>
        <v>6' 10"</v>
      </c>
      <c r="F111">
        <f ca="1">IFERROR(__xludf.DUMMYFUNCTION("""COMPUTED_VALUE"""),1.876)</f>
        <v>1.8759999999999999</v>
      </c>
      <c r="G111">
        <f ca="1">IFERROR(__xludf.DUMMYFUNCTION("""COMPUTED_VALUE"""),23)</f>
        <v>23</v>
      </c>
      <c r="H111">
        <f ca="1">IFERROR(__xludf.DUMMYFUNCTION("""COMPUTED_VALUE"""),187)</f>
        <v>187</v>
      </c>
    </row>
    <row r="112" spans="1:8" ht="12.75">
      <c r="A112" t="str">
        <f ca="1">IFERROR(__xludf.DUMMYFUNCTION("""COMPUTED_VALUE"""),"T104")</f>
        <v>T104</v>
      </c>
      <c r="B112" t="str">
        <f ca="1">IFERROR(__xludf.DUMMYFUNCTION("""COMPUTED_VALUE"""),"T108")</f>
        <v>T108</v>
      </c>
      <c r="C112" t="str">
        <f ca="1">IFERROR(__xludf.DUMMYFUNCTION("""COMPUTED_VALUE"""),"Tim Wilkinson")</f>
        <v>Tim Wilkinson</v>
      </c>
      <c r="D112">
        <f ca="1">IFERROR(__xludf.DUMMYFUNCTION("""COMPUTED_VALUE"""),12)</f>
        <v>12</v>
      </c>
      <c r="E112" t="str">
        <f ca="1">IFERROR(__xludf.DUMMYFUNCTION("""COMPUTED_VALUE"""),"6' 10""")</f>
        <v>6' 10"</v>
      </c>
      <c r="F112">
        <f ca="1">IFERROR(__xludf.DUMMYFUNCTION("""COMPUTED_VALUE"""),0.897)</f>
        <v>0.89700000000000002</v>
      </c>
      <c r="G112">
        <f ca="1">IFERROR(__xludf.DUMMYFUNCTION("""COMPUTED_VALUE"""),11)</f>
        <v>11</v>
      </c>
      <c r="H112">
        <f ca="1">IFERROR(__xludf.DUMMYFUNCTION("""COMPUTED_VALUE"""),27)</f>
        <v>27</v>
      </c>
    </row>
    <row r="113" spans="1:8" ht="12.75">
      <c r="A113" t="str">
        <f ca="1">IFERROR(__xludf.DUMMYFUNCTION("""COMPUTED_VALUE"""),"T112")</f>
        <v>T112</v>
      </c>
      <c r="B113" t="str">
        <f ca="1">IFERROR(__xludf.DUMMYFUNCTION("""COMPUTED_VALUE"""),"T125")</f>
        <v>T125</v>
      </c>
      <c r="C113" t="str">
        <f ca="1">IFERROR(__xludf.DUMMYFUNCTION("""COMPUTED_VALUE"""),"Sepp Straka")</f>
        <v>Sepp Straka</v>
      </c>
      <c r="D113">
        <f ca="1">IFERROR(__xludf.DUMMYFUNCTION("""COMPUTED_VALUE"""),22)</f>
        <v>22</v>
      </c>
      <c r="E113" t="str">
        <f ca="1">IFERROR(__xludf.DUMMYFUNCTION("""COMPUTED_VALUE"""),"6' 11""")</f>
        <v>6' 11"</v>
      </c>
      <c r="F113">
        <f ca="1">IFERROR(__xludf.DUMMYFUNCTION("""COMPUTED_VALUE"""),3.465)</f>
        <v>3.4649999999999999</v>
      </c>
      <c r="G113">
        <f ca="1">IFERROR(__xludf.DUMMYFUNCTION("""COMPUTED_VALUE"""),42)</f>
        <v>42</v>
      </c>
      <c r="H113">
        <f ca="1">IFERROR(__xludf.DUMMYFUNCTION("""COMPUTED_VALUE"""),31)</f>
        <v>31</v>
      </c>
    </row>
    <row r="114" spans="1:8" ht="12.75">
      <c r="A114" t="str">
        <f ca="1">IFERROR(__xludf.DUMMYFUNCTION("""COMPUTED_VALUE"""),"T112")</f>
        <v>T112</v>
      </c>
      <c r="B114" t="str">
        <f ca="1">IFERROR(__xludf.DUMMYFUNCTION("""COMPUTED_VALUE"""),"T103")</f>
        <v>T103</v>
      </c>
      <c r="C114" t="str">
        <f ca="1">IFERROR(__xludf.DUMMYFUNCTION("""COMPUTED_VALUE"""),"Beau Hossler")</f>
        <v>Beau Hossler</v>
      </c>
      <c r="D114">
        <f ca="1">IFERROR(__xludf.DUMMYFUNCTION("""COMPUTED_VALUE"""),22)</f>
        <v>22</v>
      </c>
      <c r="E114" t="str">
        <f ca="1">IFERROR(__xludf.DUMMYFUNCTION("""COMPUTED_VALUE"""),"6' 11""")</f>
        <v>6' 11"</v>
      </c>
      <c r="F114">
        <f ca="1">IFERROR(__xludf.DUMMYFUNCTION("""COMPUTED_VALUE"""),3.003)</f>
        <v>3.0030000000000001</v>
      </c>
      <c r="G114">
        <f ca="1">IFERROR(__xludf.DUMMYFUNCTION("""COMPUTED_VALUE"""),36)</f>
        <v>36</v>
      </c>
      <c r="H114">
        <f ca="1">IFERROR(__xludf.DUMMYFUNCTION("""COMPUTED_VALUE"""),101)</f>
        <v>101</v>
      </c>
    </row>
    <row r="115" spans="1:8" ht="12.75">
      <c r="A115" t="str">
        <f ca="1">IFERROR(__xludf.DUMMYFUNCTION("""COMPUTED_VALUE"""),"T112")</f>
        <v>T112</v>
      </c>
      <c r="B115" t="str">
        <f ca="1">IFERROR(__xludf.DUMMYFUNCTION("""COMPUTED_VALUE"""),"T189")</f>
        <v>T189</v>
      </c>
      <c r="C115" t="str">
        <f ca="1">IFERROR(__xludf.DUMMYFUNCTION("""COMPUTED_VALUE"""),"Carlos Ortiz")</f>
        <v>Carlos Ortiz</v>
      </c>
      <c r="D115">
        <f ca="1">IFERROR(__xludf.DUMMYFUNCTION("""COMPUTED_VALUE"""),20)</f>
        <v>20</v>
      </c>
      <c r="E115" t="str">
        <f ca="1">IFERROR(__xludf.DUMMYFUNCTION("""COMPUTED_VALUE"""),"6' 11""")</f>
        <v>6' 11"</v>
      </c>
      <c r="F115">
        <f ca="1">IFERROR(__xludf.DUMMYFUNCTION("""COMPUTED_VALUE"""),2.743)</f>
        <v>2.7429999999999999</v>
      </c>
      <c r="G115">
        <f ca="1">IFERROR(__xludf.DUMMYFUNCTION("""COMPUTED_VALUE"""),33)</f>
        <v>33</v>
      </c>
      <c r="H115">
        <f ca="1">IFERROR(__xludf.DUMMYFUNCTION("""COMPUTED_VALUE"""),54)</f>
        <v>54</v>
      </c>
    </row>
    <row r="116" spans="1:8" ht="12.75">
      <c r="A116" t="str">
        <f ca="1">IFERROR(__xludf.DUMMYFUNCTION("""COMPUTED_VALUE"""),"T112")</f>
        <v>T112</v>
      </c>
      <c r="B116" t="str">
        <f ca="1">IFERROR(__xludf.DUMMYFUNCTION("""COMPUTED_VALUE"""),"T115")</f>
        <v>T115</v>
      </c>
      <c r="C116" t="str">
        <f ca="1">IFERROR(__xludf.DUMMYFUNCTION("""COMPUTED_VALUE"""),"Brendon Todd")</f>
        <v>Brendon Todd</v>
      </c>
      <c r="D116">
        <f ca="1">IFERROR(__xludf.DUMMYFUNCTION("""COMPUTED_VALUE"""),14)</f>
        <v>14</v>
      </c>
      <c r="E116" t="str">
        <f ca="1">IFERROR(__xludf.DUMMYFUNCTION("""COMPUTED_VALUE"""),"6' 11""")</f>
        <v>6' 11"</v>
      </c>
      <c r="F116">
        <f ca="1">IFERROR(__xludf.DUMMYFUNCTION("""COMPUTED_VALUE"""),1.996)</f>
        <v>1.996</v>
      </c>
      <c r="G116">
        <f ca="1">IFERROR(__xludf.DUMMYFUNCTION("""COMPUTED_VALUE"""),24)</f>
        <v>24</v>
      </c>
      <c r="H116">
        <f ca="1">IFERROR(__xludf.DUMMYFUNCTION("""COMPUTED_VALUE"""),206)</f>
        <v>206</v>
      </c>
    </row>
    <row r="117" spans="1:8" ht="12.75">
      <c r="A117" t="str">
        <f ca="1">IFERROR(__xludf.DUMMYFUNCTION("""COMPUTED_VALUE"""),"T112")</f>
        <v>T112</v>
      </c>
      <c r="B117" t="str">
        <f ca="1">IFERROR(__xludf.DUMMYFUNCTION("""COMPUTED_VALUE"""),"T183")</f>
        <v>T183</v>
      </c>
      <c r="C117" t="str">
        <f ca="1">IFERROR(__xludf.DUMMYFUNCTION("""COMPUTED_VALUE"""),"Chris Kirk")</f>
        <v>Chris Kirk</v>
      </c>
      <c r="D117">
        <f ca="1">IFERROR(__xludf.DUMMYFUNCTION("""COMPUTED_VALUE"""),10)</f>
        <v>10</v>
      </c>
      <c r="E117" t="str">
        <f ca="1">IFERROR(__xludf.DUMMYFUNCTION("""COMPUTED_VALUE"""),"6' 11""")</f>
        <v>6' 11"</v>
      </c>
      <c r="F117">
        <f ca="1">IFERROR(__xludf.DUMMYFUNCTION("""COMPUTED_VALUE"""),2.666)</f>
        <v>2.6659999999999999</v>
      </c>
      <c r="G117">
        <f ca="1">IFERROR(__xludf.DUMMYFUNCTION("""COMPUTED_VALUE"""),32)</f>
        <v>32</v>
      </c>
      <c r="H117">
        <f ca="1">IFERROR(__xludf.DUMMYFUNCTION("""COMPUTED_VALUE"""),144)</f>
        <v>144</v>
      </c>
    </row>
    <row r="118" spans="1:8" ht="12.75">
      <c r="A118" t="str">
        <f ca="1">IFERROR(__xludf.DUMMYFUNCTION("""COMPUTED_VALUE"""),"T112")</f>
        <v>T112</v>
      </c>
      <c r="B118" t="str">
        <f ca="1">IFERROR(__xludf.DUMMYFUNCTION("""COMPUTED_VALUE"""),"T115")</f>
        <v>T115</v>
      </c>
      <c r="C118" t="str">
        <f ca="1">IFERROR(__xludf.DUMMYFUNCTION("""COMPUTED_VALUE"""),"Scott Stallings")</f>
        <v>Scott Stallings</v>
      </c>
      <c r="D118">
        <f ca="1">IFERROR(__xludf.DUMMYFUNCTION("""COMPUTED_VALUE"""),14)</f>
        <v>14</v>
      </c>
      <c r="E118" t="str">
        <f ca="1">IFERROR(__xludf.DUMMYFUNCTION("""COMPUTED_VALUE"""),"6' 11""")</f>
        <v>6' 11"</v>
      </c>
      <c r="F118">
        <f ca="1">IFERROR(__xludf.DUMMYFUNCTION("""COMPUTED_VALUE"""),1.92)</f>
        <v>1.92</v>
      </c>
      <c r="G118">
        <f ca="1">IFERROR(__xludf.DUMMYFUNCTION("""COMPUTED_VALUE"""),23)</f>
        <v>23</v>
      </c>
      <c r="H118">
        <f ca="1">IFERROR(__xludf.DUMMYFUNCTION("""COMPUTED_VALUE"""),8)</f>
        <v>8</v>
      </c>
    </row>
    <row r="119" spans="1:8" ht="12.75">
      <c r="A119" t="str">
        <f ca="1">IFERROR(__xludf.DUMMYFUNCTION("""COMPUTED_VALUE"""),"T112")</f>
        <v>T112</v>
      </c>
      <c r="B119" t="str">
        <f ca="1">IFERROR(__xludf.DUMMYFUNCTION("""COMPUTED_VALUE"""),"T115")</f>
        <v>T115</v>
      </c>
      <c r="C119" t="str">
        <f ca="1">IFERROR(__xludf.DUMMYFUNCTION("""COMPUTED_VALUE"""),"Josh Teater")</f>
        <v>Josh Teater</v>
      </c>
      <c r="D119">
        <f ca="1">IFERROR(__xludf.DUMMYFUNCTION("""COMPUTED_VALUE"""),6)</f>
        <v>6</v>
      </c>
      <c r="E119" t="str">
        <f ca="1">IFERROR(__xludf.DUMMYFUNCTION("""COMPUTED_VALUE"""),"6' 11""")</f>
        <v>6' 11"</v>
      </c>
      <c r="F119">
        <f ca="1">IFERROR(__xludf.DUMMYFUNCTION("""COMPUTED_VALUE"""),0.165)</f>
        <v>0.16500000000000001</v>
      </c>
      <c r="G119">
        <f ca="1">IFERROR(__xludf.DUMMYFUNCTION("""COMPUTED_VALUE"""),2)</f>
        <v>2</v>
      </c>
      <c r="H119">
        <f ca="1">IFERROR(__xludf.DUMMYFUNCTION("""COMPUTED_VALUE"""),211)</f>
        <v>211</v>
      </c>
    </row>
    <row r="120" spans="1:8" ht="12.75">
      <c r="A120" t="str">
        <f ca="1">IFERROR(__xludf.DUMMYFUNCTION("""COMPUTED_VALUE"""),"T112")</f>
        <v>T112</v>
      </c>
      <c r="B120" t="str">
        <f ca="1">IFERROR(__xludf.DUMMYFUNCTION("""COMPUTED_VALUE"""),"T158")</f>
        <v>T158</v>
      </c>
      <c r="C120" t="str">
        <f ca="1">IFERROR(__xludf.DUMMYFUNCTION("""COMPUTED_VALUE"""),"Jason Dufner")</f>
        <v>Jason Dufner</v>
      </c>
      <c r="D120">
        <f ca="1">IFERROR(__xludf.DUMMYFUNCTION("""COMPUTED_VALUE"""),14)</f>
        <v>14</v>
      </c>
      <c r="E120" t="str">
        <f ca="1">IFERROR(__xludf.DUMMYFUNCTION("""COMPUTED_VALUE"""),"6' 11""")</f>
        <v>6' 11"</v>
      </c>
      <c r="F120">
        <f ca="1">IFERROR(__xludf.DUMMYFUNCTION("""COMPUTED_VALUE"""),1.92)</f>
        <v>1.92</v>
      </c>
      <c r="G120">
        <f ca="1">IFERROR(__xludf.DUMMYFUNCTION("""COMPUTED_VALUE"""),23)</f>
        <v>23</v>
      </c>
      <c r="H120">
        <f ca="1">IFERROR(__xludf.DUMMYFUNCTION("""COMPUTED_VALUE"""),166)</f>
        <v>166</v>
      </c>
    </row>
    <row r="121" spans="1:8" ht="12.75">
      <c r="A121" t="str">
        <f ca="1">IFERROR(__xludf.DUMMYFUNCTION("""COMPUTED_VALUE"""),"T112")</f>
        <v>T112</v>
      </c>
      <c r="B121" t="str">
        <f ca="1">IFERROR(__xludf.DUMMYFUNCTION("""COMPUTED_VALUE"""),"T115")</f>
        <v>T115</v>
      </c>
      <c r="C121" t="str">
        <f ca="1">IFERROR(__xludf.DUMMYFUNCTION("""COMPUTED_VALUE"""),"Matt Kuchar")</f>
        <v>Matt Kuchar</v>
      </c>
      <c r="D121">
        <f ca="1">IFERROR(__xludf.DUMMYFUNCTION("""COMPUTED_VALUE"""),14)</f>
        <v>14</v>
      </c>
      <c r="E121" t="str">
        <f ca="1">IFERROR(__xludf.DUMMYFUNCTION("""COMPUTED_VALUE"""),"6' 11""")</f>
        <v>6' 11"</v>
      </c>
      <c r="F121">
        <f ca="1">IFERROR(__xludf.DUMMYFUNCTION("""COMPUTED_VALUE"""),2.496)</f>
        <v>2.496</v>
      </c>
      <c r="G121">
        <f ca="1">IFERROR(__xludf.DUMMYFUNCTION("""COMPUTED_VALUE"""),30)</f>
        <v>30</v>
      </c>
      <c r="H121">
        <f ca="1">IFERROR(__xludf.DUMMYFUNCTION("""COMPUTED_VALUE"""),200)</f>
        <v>200</v>
      </c>
    </row>
    <row r="122" spans="1:8" ht="12.75">
      <c r="A122" t="str">
        <f ca="1">IFERROR(__xludf.DUMMYFUNCTION("""COMPUTED_VALUE"""),"T112")</f>
        <v>T112</v>
      </c>
      <c r="B122" t="str">
        <f ca="1">IFERROR(__xludf.DUMMYFUNCTION("""COMPUTED_VALUE"""),"T115")</f>
        <v>T115</v>
      </c>
      <c r="C122" t="str">
        <f ca="1">IFERROR(__xludf.DUMMYFUNCTION("""COMPUTED_VALUE"""),"Charles Howell III")</f>
        <v>Charles Howell III</v>
      </c>
      <c r="D122">
        <f ca="1">IFERROR(__xludf.DUMMYFUNCTION("""COMPUTED_VALUE"""),10)</f>
        <v>10</v>
      </c>
      <c r="E122" t="str">
        <f ca="1">IFERROR(__xludf.DUMMYFUNCTION("""COMPUTED_VALUE"""),"6' 11""")</f>
        <v>6' 11"</v>
      </c>
      <c r="F122">
        <f ca="1">IFERROR(__xludf.DUMMYFUNCTION("""COMPUTED_VALUE"""),2.078)</f>
        <v>2.0779999999999998</v>
      </c>
      <c r="G122">
        <f ca="1">IFERROR(__xludf.DUMMYFUNCTION("""COMPUTED_VALUE"""),25)</f>
        <v>25</v>
      </c>
      <c r="H122">
        <f ca="1">IFERROR(__xludf.DUMMYFUNCTION("""COMPUTED_VALUE"""),51)</f>
        <v>51</v>
      </c>
    </row>
    <row r="123" spans="1:8" ht="12.75">
      <c r="A123" t="str">
        <f ca="1">IFERROR(__xludf.DUMMYFUNCTION("""COMPUTED_VALUE"""),"T122")</f>
        <v>T122</v>
      </c>
      <c r="B123" t="str">
        <f ca="1">IFERROR(__xludf.DUMMYFUNCTION("""COMPUTED_VALUE"""),"T43")</f>
        <v>T43</v>
      </c>
      <c r="C123" t="str">
        <f ca="1">IFERROR(__xludf.DUMMYFUNCTION("""COMPUTED_VALUE"""),"Branden Grace")</f>
        <v>Branden Grace</v>
      </c>
      <c r="D123">
        <f ca="1">IFERROR(__xludf.DUMMYFUNCTION("""COMPUTED_VALUE"""),16)</f>
        <v>16</v>
      </c>
      <c r="E123" t="str">
        <f ca="1">IFERROR(__xludf.DUMMYFUNCTION("""COMPUTED_VALUE"""),"7' 0""")</f>
        <v>7' 0"</v>
      </c>
      <c r="F123">
        <f ca="1">IFERROR(__xludf.DUMMYFUNCTION("""COMPUTED_VALUE"""),2.011)</f>
        <v>2.0110000000000001</v>
      </c>
      <c r="G123">
        <f ca="1">IFERROR(__xludf.DUMMYFUNCTION("""COMPUTED_VALUE"""),24)</f>
        <v>24</v>
      </c>
      <c r="H123">
        <f ca="1">IFERROR(__xludf.DUMMYFUNCTION("""COMPUTED_VALUE"""),246)</f>
        <v>246</v>
      </c>
    </row>
    <row r="124" spans="1:8" ht="12.75">
      <c r="A124" t="str">
        <f ca="1">IFERROR(__xludf.DUMMYFUNCTION("""COMPUTED_VALUE"""),"T122")</f>
        <v>T122</v>
      </c>
      <c r="B124" t="str">
        <f ca="1">IFERROR(__xludf.DUMMYFUNCTION("""COMPUTED_VALUE"""),"T125")</f>
        <v>T125</v>
      </c>
      <c r="C124" t="str">
        <f ca="1">IFERROR(__xludf.DUMMYFUNCTION("""COMPUTED_VALUE"""),"Rob Oppenheim")</f>
        <v>Rob Oppenheim</v>
      </c>
      <c r="D124">
        <f ca="1">IFERROR(__xludf.DUMMYFUNCTION("""COMPUTED_VALUE"""),16)</f>
        <v>16</v>
      </c>
      <c r="E124" t="str">
        <f ca="1">IFERROR(__xludf.DUMMYFUNCTION("""COMPUTED_VALUE"""),"7' 0""")</f>
        <v>7' 0"</v>
      </c>
      <c r="F124">
        <f ca="1">IFERROR(__xludf.DUMMYFUNCTION("""COMPUTED_VALUE"""),2.184)</f>
        <v>2.1840000000000002</v>
      </c>
      <c r="G124">
        <f ca="1">IFERROR(__xludf.DUMMYFUNCTION("""COMPUTED_VALUE"""),26)</f>
        <v>26</v>
      </c>
      <c r="H124">
        <f ca="1">IFERROR(__xludf.DUMMYFUNCTION("""COMPUTED_VALUE"""),58)</f>
        <v>58</v>
      </c>
    </row>
    <row r="125" spans="1:8" ht="12.75">
      <c r="A125" t="str">
        <f ca="1">IFERROR(__xludf.DUMMYFUNCTION("""COMPUTED_VALUE"""),"T122")</f>
        <v>T122</v>
      </c>
      <c r="B125" t="str">
        <f ca="1">IFERROR(__xludf.DUMMYFUNCTION("""COMPUTED_VALUE"""),"T72")</f>
        <v>T72</v>
      </c>
      <c r="C125" t="str">
        <f ca="1">IFERROR(__xludf.DUMMYFUNCTION("""COMPUTED_VALUE"""),"Adam Scott")</f>
        <v>Adam Scott</v>
      </c>
      <c r="D125">
        <f ca="1">IFERROR(__xludf.DUMMYFUNCTION("""COMPUTED_VALUE"""),8)</f>
        <v>8</v>
      </c>
      <c r="E125" t="str">
        <f ca="1">IFERROR(__xludf.DUMMYFUNCTION("""COMPUTED_VALUE"""),"7' 0""")</f>
        <v>7' 0"</v>
      </c>
      <c r="F125">
        <f ca="1">IFERROR(__xludf.DUMMYFUNCTION("""COMPUTED_VALUE"""),1.756)</f>
        <v>1.756</v>
      </c>
      <c r="G125">
        <f ca="1">IFERROR(__xludf.DUMMYFUNCTION("""COMPUTED_VALUE"""),21)</f>
        <v>21</v>
      </c>
      <c r="H125">
        <f ca="1">IFERROR(__xludf.DUMMYFUNCTION("""COMPUTED_VALUE"""),287)</f>
        <v>287</v>
      </c>
    </row>
    <row r="126" spans="1:8" ht="12.75">
      <c r="A126" t="str">
        <f ca="1">IFERROR(__xludf.DUMMYFUNCTION("""COMPUTED_VALUE"""),"T122")</f>
        <v>T122</v>
      </c>
      <c r="B126" t="str">
        <f ca="1">IFERROR(__xludf.DUMMYFUNCTION("""COMPUTED_VALUE"""),"T125")</f>
        <v>T125</v>
      </c>
      <c r="C126" t="str">
        <f ca="1">IFERROR(__xludf.DUMMYFUNCTION("""COMPUTED_VALUE"""),"D.J. Trahan")</f>
        <v>D.J. Trahan</v>
      </c>
      <c r="D126">
        <f ca="1">IFERROR(__xludf.DUMMYFUNCTION("""COMPUTED_VALUE"""),16)</f>
        <v>16</v>
      </c>
      <c r="E126" t="str">
        <f ca="1">IFERROR(__xludf.DUMMYFUNCTION("""COMPUTED_VALUE"""),"7' 0""")</f>
        <v>7' 0"</v>
      </c>
      <c r="F126">
        <f ca="1">IFERROR(__xludf.DUMMYFUNCTION("""COMPUTED_VALUE"""),1.675)</f>
        <v>1.675</v>
      </c>
      <c r="G126">
        <f ca="1">IFERROR(__xludf.DUMMYFUNCTION("""COMPUTED_VALUE"""),20)</f>
        <v>20</v>
      </c>
      <c r="H126">
        <f ca="1">IFERROR(__xludf.DUMMYFUNCTION("""COMPUTED_VALUE"""),44)</f>
        <v>44</v>
      </c>
    </row>
    <row r="127" spans="1:8" ht="12.75">
      <c r="A127" t="str">
        <f ca="1">IFERROR(__xludf.DUMMYFUNCTION("""COMPUTED_VALUE"""),"T122")</f>
        <v>T122</v>
      </c>
      <c r="B127" t="str">
        <f ca="1">IFERROR(__xludf.DUMMYFUNCTION("""COMPUTED_VALUE"""),"T133")</f>
        <v>T133</v>
      </c>
      <c r="C127" t="str">
        <f ca="1">IFERROR(__xludf.DUMMYFUNCTION("""COMPUTED_VALUE"""),"Vaughn Taylor")</f>
        <v>Vaughn Taylor</v>
      </c>
      <c r="D127">
        <f ca="1">IFERROR(__xludf.DUMMYFUNCTION("""COMPUTED_VALUE"""),12)</f>
        <v>12</v>
      </c>
      <c r="E127" t="str">
        <f ca="1">IFERROR(__xludf.DUMMYFUNCTION("""COMPUTED_VALUE"""),"7' 0""")</f>
        <v>7' 0"</v>
      </c>
      <c r="F127">
        <f ca="1">IFERROR(__xludf.DUMMYFUNCTION("""COMPUTED_VALUE"""),1.348)</f>
        <v>1.3480000000000001</v>
      </c>
      <c r="G127">
        <f ca="1">IFERROR(__xludf.DUMMYFUNCTION("""COMPUTED_VALUE"""),16)</f>
        <v>16</v>
      </c>
      <c r="H127">
        <f ca="1">IFERROR(__xludf.DUMMYFUNCTION("""COMPUTED_VALUE"""),135)</f>
        <v>135</v>
      </c>
    </row>
    <row r="128" spans="1:8" ht="12.75">
      <c r="A128" t="str">
        <f ca="1">IFERROR(__xludf.DUMMYFUNCTION("""COMPUTED_VALUE"""),"T127")</f>
        <v>T127</v>
      </c>
      <c r="B128" t="str">
        <f ca="1">IFERROR(__xludf.DUMMYFUNCTION("""COMPUTED_VALUE"""),"")</f>
        <v/>
      </c>
      <c r="C128" t="str">
        <f ca="1">IFERROR(__xludf.DUMMYFUNCTION("""COMPUTED_VALUE"""),"Justin Harding")</f>
        <v>Justin Harding</v>
      </c>
      <c r="D128">
        <f ca="1">IFERROR(__xludf.DUMMYFUNCTION("""COMPUTED_VALUE"""),6)</f>
        <v>6</v>
      </c>
      <c r="E128" t="str">
        <f ca="1">IFERROR(__xludf.DUMMYFUNCTION("""COMPUTED_VALUE"""),"7' 1""")</f>
        <v>7' 1"</v>
      </c>
      <c r="F128">
        <f ca="1">IFERROR(__xludf.DUMMYFUNCTION("""COMPUTED_VALUE"""),1.705)</f>
        <v>1.7050000000000001</v>
      </c>
      <c r="G128">
        <f ca="1">IFERROR(__xludf.DUMMYFUNCTION("""COMPUTED_VALUE"""),20)</f>
        <v>20</v>
      </c>
      <c r="H128">
        <f ca="1">IFERROR(__xludf.DUMMYFUNCTION("""COMPUTED_VALUE"""),279)</f>
        <v>279</v>
      </c>
    </row>
    <row r="129" spans="1:8" ht="12.75">
      <c r="A129" t="str">
        <f ca="1">IFERROR(__xludf.DUMMYFUNCTION("""COMPUTED_VALUE"""),"T127")</f>
        <v>T127</v>
      </c>
      <c r="B129" t="str">
        <f ca="1">IFERROR(__xludf.DUMMYFUNCTION("""COMPUTED_VALUE"""),"T133")</f>
        <v>T133</v>
      </c>
      <c r="C129" t="str">
        <f ca="1">IFERROR(__xludf.DUMMYFUNCTION("""COMPUTED_VALUE"""),"Jay McLuen")</f>
        <v>Jay McLuen</v>
      </c>
      <c r="D129">
        <f ca="1">IFERROR(__xludf.DUMMYFUNCTION("""COMPUTED_VALUE"""),4)</f>
        <v>4</v>
      </c>
      <c r="E129" t="str">
        <f ca="1">IFERROR(__xludf.DUMMYFUNCTION("""COMPUTED_VALUE"""),"7' 1""")</f>
        <v>7' 1"</v>
      </c>
      <c r="F129">
        <f ca="1">IFERROR(__xludf.DUMMYFUNCTION("""COMPUTED_VALUE"""),0.935)</f>
        <v>0.93500000000000005</v>
      </c>
      <c r="G129">
        <f ca="1">IFERROR(__xludf.DUMMYFUNCTION("""COMPUTED_VALUE"""),11)</f>
        <v>11</v>
      </c>
      <c r="H129">
        <f ca="1">IFERROR(__xludf.DUMMYFUNCTION("""COMPUTED_VALUE"""),130)</f>
        <v>130</v>
      </c>
    </row>
    <row r="130" spans="1:8" ht="12.75">
      <c r="A130" t="str">
        <f ca="1">IFERROR(__xludf.DUMMYFUNCTION("""COMPUTED_VALUE"""),"T129")</f>
        <v>T129</v>
      </c>
      <c r="B130" t="str">
        <f ca="1">IFERROR(__xludf.DUMMYFUNCTION("""COMPUTED_VALUE"""),"T204")</f>
        <v>T204</v>
      </c>
      <c r="C130" t="str">
        <f ca="1">IFERROR(__xludf.DUMMYFUNCTION("""COMPUTED_VALUE"""),"Kramer Hickok")</f>
        <v>Kramer Hickok</v>
      </c>
      <c r="D130">
        <f ca="1">IFERROR(__xludf.DUMMYFUNCTION("""COMPUTED_VALUE"""),16)</f>
        <v>16</v>
      </c>
      <c r="E130" t="str">
        <f ca="1">IFERROR(__xludf.DUMMYFUNCTION("""COMPUTED_VALUE"""),"7' 2""")</f>
        <v>7' 2"</v>
      </c>
      <c r="F130">
        <f ca="1">IFERROR(__xludf.DUMMYFUNCTION("""COMPUTED_VALUE"""),1.893)</f>
        <v>1.893</v>
      </c>
      <c r="G130">
        <f ca="1">IFERROR(__xludf.DUMMYFUNCTION("""COMPUTED_VALUE"""),22)</f>
        <v>22</v>
      </c>
      <c r="H130">
        <f ca="1">IFERROR(__xludf.DUMMYFUNCTION("""COMPUTED_VALUE"""),174)</f>
        <v>174</v>
      </c>
    </row>
    <row r="131" spans="1:8" ht="12.75">
      <c r="A131" t="str">
        <f ca="1">IFERROR(__xludf.DUMMYFUNCTION("""COMPUTED_VALUE"""),"T129")</f>
        <v>T129</v>
      </c>
      <c r="B131" t="str">
        <f ca="1">IFERROR(__xludf.DUMMYFUNCTION("""COMPUTED_VALUE"""),"T139")</f>
        <v>T139</v>
      </c>
      <c r="C131" t="str">
        <f ca="1">IFERROR(__xludf.DUMMYFUNCTION("""COMPUTED_VALUE"""),"Abraham Ancer")</f>
        <v>Abraham Ancer</v>
      </c>
      <c r="D131">
        <f ca="1">IFERROR(__xludf.DUMMYFUNCTION("""COMPUTED_VALUE"""),16)</f>
        <v>16</v>
      </c>
      <c r="E131" t="str">
        <f ca="1">IFERROR(__xludf.DUMMYFUNCTION("""COMPUTED_VALUE"""),"7' 2""")</f>
        <v>7' 2"</v>
      </c>
      <c r="F131">
        <f ca="1">IFERROR(__xludf.DUMMYFUNCTION("""COMPUTED_VALUE"""),2.936)</f>
        <v>2.9359999999999999</v>
      </c>
      <c r="G131">
        <f ca="1">IFERROR(__xludf.DUMMYFUNCTION("""COMPUTED_VALUE"""),34)</f>
        <v>34</v>
      </c>
      <c r="H131">
        <f ca="1">IFERROR(__xludf.DUMMYFUNCTION("""COMPUTED_VALUE"""),218)</f>
        <v>218</v>
      </c>
    </row>
    <row r="132" spans="1:8" ht="12.75">
      <c r="A132" t="str">
        <f ca="1">IFERROR(__xludf.DUMMYFUNCTION("""COMPUTED_VALUE"""),"T129")</f>
        <v>T129</v>
      </c>
      <c r="B132" t="str">
        <f ca="1">IFERROR(__xludf.DUMMYFUNCTION("""COMPUTED_VALUE"""),"T72")</f>
        <v>T72</v>
      </c>
      <c r="C132" t="str">
        <f ca="1">IFERROR(__xludf.DUMMYFUNCTION("""COMPUTED_VALUE"""),"Erik van Rooyen")</f>
        <v>Erik van Rooyen</v>
      </c>
      <c r="D132">
        <f ca="1">IFERROR(__xludf.DUMMYFUNCTION("""COMPUTED_VALUE"""),10)</f>
        <v>10</v>
      </c>
      <c r="E132" t="str">
        <f ca="1">IFERROR(__xludf.DUMMYFUNCTION("""COMPUTED_VALUE"""),"7' 2""")</f>
        <v>7' 2"</v>
      </c>
      <c r="F132">
        <f ca="1">IFERROR(__xludf.DUMMYFUNCTION("""COMPUTED_VALUE"""),1.989)</f>
        <v>1.9890000000000001</v>
      </c>
      <c r="G132">
        <f ca="1">IFERROR(__xludf.DUMMYFUNCTION("""COMPUTED_VALUE"""),23)</f>
        <v>23</v>
      </c>
      <c r="H132">
        <f ca="1">IFERROR(__xludf.DUMMYFUNCTION("""COMPUTED_VALUE"""),235)</f>
        <v>235</v>
      </c>
    </row>
    <row r="133" spans="1:8" ht="12.75">
      <c r="A133" t="str">
        <f ca="1">IFERROR(__xludf.DUMMYFUNCTION("""COMPUTED_VALUE"""),"T129")</f>
        <v>T129</v>
      </c>
      <c r="B133" t="str">
        <f ca="1">IFERROR(__xludf.DUMMYFUNCTION("""COMPUTED_VALUE"""),"T139")</f>
        <v>T139</v>
      </c>
      <c r="C133" t="str">
        <f ca="1">IFERROR(__xludf.DUMMYFUNCTION("""COMPUTED_VALUE"""),"Jason Kokrak")</f>
        <v>Jason Kokrak</v>
      </c>
      <c r="D133">
        <f ca="1">IFERROR(__xludf.DUMMYFUNCTION("""COMPUTED_VALUE"""),14)</f>
        <v>14</v>
      </c>
      <c r="E133" t="str">
        <f ca="1">IFERROR(__xludf.DUMMYFUNCTION("""COMPUTED_VALUE"""),"7' 2""")</f>
        <v>7' 2"</v>
      </c>
      <c r="F133">
        <f ca="1">IFERROR(__xludf.DUMMYFUNCTION("""COMPUTED_VALUE"""),2.318)</f>
        <v>2.3180000000000001</v>
      </c>
      <c r="G133">
        <f ca="1">IFERROR(__xludf.DUMMYFUNCTION("""COMPUTED_VALUE"""),27)</f>
        <v>27</v>
      </c>
      <c r="H133">
        <f ca="1">IFERROR(__xludf.DUMMYFUNCTION("""COMPUTED_VALUE"""),93)</f>
        <v>93</v>
      </c>
    </row>
    <row r="134" spans="1:8" ht="12.75">
      <c r="A134" t="str">
        <f ca="1">IFERROR(__xludf.DUMMYFUNCTION("""COMPUTED_VALUE"""),"T129")</f>
        <v>T129</v>
      </c>
      <c r="B134" t="str">
        <f ca="1">IFERROR(__xludf.DUMMYFUNCTION("""COMPUTED_VALUE"""),"T125")</f>
        <v>T125</v>
      </c>
      <c r="C134" t="str">
        <f ca="1">IFERROR(__xludf.DUMMYFUNCTION("""COMPUTED_VALUE"""),"Dylan Frittelli")</f>
        <v>Dylan Frittelli</v>
      </c>
      <c r="D134">
        <f ca="1">IFERROR(__xludf.DUMMYFUNCTION("""COMPUTED_VALUE"""),16)</f>
        <v>16</v>
      </c>
      <c r="E134" t="str">
        <f ca="1">IFERROR(__xludf.DUMMYFUNCTION("""COMPUTED_VALUE"""),"7' 2""")</f>
        <v>7' 2"</v>
      </c>
      <c r="F134">
        <f ca="1">IFERROR(__xludf.DUMMYFUNCTION("""COMPUTED_VALUE"""),3.537)</f>
        <v>3.5369999999999999</v>
      </c>
      <c r="G134">
        <f ca="1">IFERROR(__xludf.DUMMYFUNCTION("""COMPUTED_VALUE"""),41)</f>
        <v>41</v>
      </c>
      <c r="H134">
        <f ca="1">IFERROR(__xludf.DUMMYFUNCTION("""COMPUTED_VALUE"""),72)</f>
        <v>72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IFERROR(__xludf.DUMMYFUNCTION("""COMPUTED_VALUE"""),"T115")</f>
        <v>T115</v>
      </c>
      <c r="C135" t="str">
        <f ca="1">IFERROR(__xludf.DUMMYFUNCTION("""COMPUTED_VALUE"""),"Adam Schenk")</f>
        <v>Adam Schenk</v>
      </c>
      <c r="D135">
        <f ca="1">IFERROR(__xludf.DUMMYFUNCTION("""COMPUTED_VALUE"""),22)</f>
        <v>22</v>
      </c>
      <c r="E135" t="str">
        <f ca="1">IFERROR(__xludf.DUMMYFUNCTION("""COMPUTED_VALUE"""),"7' 3""")</f>
        <v>7' 3"</v>
      </c>
      <c r="F135">
        <f ca="1">IFERROR(__xludf.DUMMYFUNCTION("""COMPUTED_VALUE"""),3.219)</f>
        <v>3.2189999999999999</v>
      </c>
      <c r="G135">
        <f ca="1">IFERROR(__xludf.DUMMYFUNCTION("""COMPUTED_VALUE"""),37)</f>
        <v>37</v>
      </c>
      <c r="H135">
        <f ca="1">IFERROR(__xludf.DUMMYFUNCTION("""COMPUTED_VALUE"""),53)</f>
        <v>53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IFERROR(__xludf.DUMMYFUNCTION("""COMPUTED_VALUE"""),"T180")</f>
        <v>T180</v>
      </c>
      <c r="C136" t="str">
        <f ca="1">IFERROR(__xludf.DUMMYFUNCTION("""COMPUTED_VALUE"""),"Adam Long")</f>
        <v>Adam Long</v>
      </c>
      <c r="D136">
        <f ca="1">IFERROR(__xludf.DUMMYFUNCTION("""COMPUTED_VALUE"""),22)</f>
        <v>22</v>
      </c>
      <c r="E136" t="str">
        <f ca="1">IFERROR(__xludf.DUMMYFUNCTION("""COMPUTED_VALUE"""),"7' 3""")</f>
        <v>7' 3"</v>
      </c>
      <c r="F136">
        <f ca="1">IFERROR(__xludf.DUMMYFUNCTION("""COMPUTED_VALUE"""),3.648)</f>
        <v>3.6480000000000001</v>
      </c>
      <c r="G136">
        <f ca="1">IFERROR(__xludf.DUMMYFUNCTION("""COMPUTED_VALUE"""),42)</f>
        <v>42</v>
      </c>
      <c r="H136">
        <f ca="1">IFERROR(__xludf.DUMMYFUNCTION("""COMPUTED_VALUE"""),115)</f>
        <v>115</v>
      </c>
    </row>
    <row r="137" spans="1:8" ht="12.75">
      <c r="A137" t="str">
        <f ca="1">IFERROR(__xludf.DUMMYFUNCTION("""COMPUTED_VALUE"""),"T134")</f>
        <v>T134</v>
      </c>
      <c r="B137" t="str">
        <f ca="1">IFERROR(__xludf.DUMMYFUNCTION("""COMPUTED_VALUE"""),"T164")</f>
        <v>T164</v>
      </c>
      <c r="C137" t="str">
        <f ca="1">IFERROR(__xludf.DUMMYFUNCTION("""COMPUTED_VALUE"""),"Kevin Tway")</f>
        <v>Kevin Tway</v>
      </c>
      <c r="D137">
        <f ca="1">IFERROR(__xludf.DUMMYFUNCTION("""COMPUTED_VALUE"""),16)</f>
        <v>16</v>
      </c>
      <c r="E137" t="str">
        <f ca="1">IFERROR(__xludf.DUMMYFUNCTION("""COMPUTED_VALUE"""),"7' 3""")</f>
        <v>7' 3"</v>
      </c>
      <c r="F137">
        <f ca="1">IFERROR(__xludf.DUMMYFUNCTION("""COMPUTED_VALUE"""),1.911)</f>
        <v>1.911</v>
      </c>
      <c r="G137">
        <f ca="1">IFERROR(__xludf.DUMMYFUNCTION("""COMPUTED_VALUE"""),22)</f>
        <v>22</v>
      </c>
      <c r="H137">
        <f ca="1">IFERROR(__xludf.DUMMYFUNCTION("""COMPUTED_VALUE"""),107)</f>
        <v>107</v>
      </c>
    </row>
    <row r="138" spans="1:8" ht="12.75">
      <c r="A138" t="str">
        <f ca="1">IFERROR(__xludf.DUMMYFUNCTION("""COMPUTED_VALUE"""),"T134")</f>
        <v>T134</v>
      </c>
      <c r="B138" t="str">
        <f ca="1">IFERROR(__xludf.DUMMYFUNCTION("""COMPUTED_VALUE"""),"T199")</f>
        <v>T199</v>
      </c>
      <c r="C138" t="str">
        <f ca="1">IFERROR(__xludf.DUMMYFUNCTION("""COMPUTED_VALUE"""),"Matt Jones")</f>
        <v>Matt Jones</v>
      </c>
      <c r="D138">
        <f ca="1">IFERROR(__xludf.DUMMYFUNCTION("""COMPUTED_VALUE"""),20)</f>
        <v>20</v>
      </c>
      <c r="E138" t="str">
        <f ca="1">IFERROR(__xludf.DUMMYFUNCTION("""COMPUTED_VALUE"""),"7' 3""")</f>
        <v>7' 3"</v>
      </c>
      <c r="F138">
        <f ca="1">IFERROR(__xludf.DUMMYFUNCTION("""COMPUTED_VALUE"""),2.798)</f>
        <v>2.798</v>
      </c>
      <c r="G138">
        <f ca="1">IFERROR(__xludf.DUMMYFUNCTION("""COMPUTED_VALUE"""),32)</f>
        <v>32</v>
      </c>
      <c r="H138">
        <f ca="1">IFERROR(__xludf.DUMMYFUNCTION("""COMPUTED_VALUE"""),30)</f>
        <v>30</v>
      </c>
    </row>
    <row r="139" spans="1:8" ht="12.75">
      <c r="A139" t="str">
        <f ca="1">IFERROR(__xludf.DUMMYFUNCTION("""COMPUTED_VALUE"""),"T134")</f>
        <v>T134</v>
      </c>
      <c r="B139" t="str">
        <f ca="1">IFERROR(__xludf.DUMMYFUNCTION("""COMPUTED_VALUE"""),"T164")</f>
        <v>T164</v>
      </c>
      <c r="C139" t="str">
        <f ca="1">IFERROR(__xludf.DUMMYFUNCTION("""COMPUTED_VALUE"""),"Scott Piercy")</f>
        <v>Scott Piercy</v>
      </c>
      <c r="D139">
        <f ca="1">IFERROR(__xludf.DUMMYFUNCTION("""COMPUTED_VALUE"""),18)</f>
        <v>18</v>
      </c>
      <c r="E139" t="str">
        <f ca="1">IFERROR(__xludf.DUMMYFUNCTION("""COMPUTED_VALUE"""),"7' 3""")</f>
        <v>7' 3"</v>
      </c>
      <c r="F139">
        <f ca="1">IFERROR(__xludf.DUMMYFUNCTION("""COMPUTED_VALUE"""),3.849)</f>
        <v>3.8490000000000002</v>
      </c>
      <c r="G139">
        <f ca="1">IFERROR(__xludf.DUMMYFUNCTION("""COMPUTED_VALUE"""),44)</f>
        <v>44</v>
      </c>
      <c r="H139">
        <f ca="1">IFERROR(__xludf.DUMMYFUNCTION("""COMPUTED_VALUE"""),62)</f>
        <v>62</v>
      </c>
    </row>
    <row r="140" spans="1:8" ht="12.75">
      <c r="A140" t="str">
        <f ca="1">IFERROR(__xludf.DUMMYFUNCTION("""COMPUTED_VALUE"""),"T134")</f>
        <v>T134</v>
      </c>
      <c r="B140" t="str">
        <f ca="1">IFERROR(__xludf.DUMMYFUNCTION("""COMPUTED_VALUE"""),"T144")</f>
        <v>T144</v>
      </c>
      <c r="C140" t="str">
        <f ca="1">IFERROR(__xludf.DUMMYFUNCTION("""COMPUTED_VALUE"""),"Brian Gay")</f>
        <v>Brian Gay</v>
      </c>
      <c r="D140">
        <f ca="1">IFERROR(__xludf.DUMMYFUNCTION("""COMPUTED_VALUE"""),8)</f>
        <v>8</v>
      </c>
      <c r="E140" t="str">
        <f ca="1">IFERROR(__xludf.DUMMYFUNCTION("""COMPUTED_VALUE"""),"7' 3""")</f>
        <v>7' 3"</v>
      </c>
      <c r="F140">
        <f ca="1">IFERROR(__xludf.DUMMYFUNCTION("""COMPUTED_VALUE"""),0.697)</f>
        <v>0.69699999999999995</v>
      </c>
      <c r="G140">
        <f ca="1">IFERROR(__xludf.DUMMYFUNCTION("""COMPUTED_VALUE"""),8)</f>
        <v>8</v>
      </c>
      <c r="H140">
        <f ca="1">IFERROR(__xludf.DUMMYFUNCTION("""COMPUTED_VALUE"""),181)</f>
        <v>181</v>
      </c>
    </row>
    <row r="141" spans="1:8" ht="12.75">
      <c r="A141" t="str">
        <f ca="1">IFERROR(__xludf.DUMMYFUNCTION("""COMPUTED_VALUE"""),"T140")</f>
        <v>T140</v>
      </c>
      <c r="B141" t="str">
        <f ca="1">IFERROR(__xludf.DUMMYFUNCTION("""COMPUTED_VALUE"""),"T95")</f>
        <v>T95</v>
      </c>
      <c r="C141" t="str">
        <f ca="1">IFERROR(__xludf.DUMMYFUNCTION("""COMPUTED_VALUE"""),"Aaron Wise")</f>
        <v>Aaron Wise</v>
      </c>
      <c r="D141">
        <f ca="1">IFERROR(__xludf.DUMMYFUNCTION("""COMPUTED_VALUE"""),16)</f>
        <v>16</v>
      </c>
      <c r="E141" t="str">
        <f ca="1">IFERROR(__xludf.DUMMYFUNCTION("""COMPUTED_VALUE"""),"7' 4""")</f>
        <v>7' 4"</v>
      </c>
      <c r="F141">
        <f ca="1">IFERROR(__xludf.DUMMYFUNCTION("""COMPUTED_VALUE"""),2.297)</f>
        <v>2.2970000000000002</v>
      </c>
      <c r="G141">
        <f ca="1">IFERROR(__xludf.DUMMYFUNCTION("""COMPUTED_VALUE"""),26)</f>
        <v>26</v>
      </c>
      <c r="H141">
        <f ca="1">IFERROR(__xludf.DUMMYFUNCTION("""COMPUTED_VALUE"""),82)</f>
        <v>82</v>
      </c>
    </row>
    <row r="142" spans="1:8" ht="12.75">
      <c r="A142" t="str">
        <f ca="1">IFERROR(__xludf.DUMMYFUNCTION("""COMPUTED_VALUE"""),"T140")</f>
        <v>T140</v>
      </c>
      <c r="B142" t="str">
        <f ca="1">IFERROR(__xludf.DUMMYFUNCTION("""COMPUTED_VALUE"""),"T147")</f>
        <v>T147</v>
      </c>
      <c r="C142" t="str">
        <f ca="1">IFERROR(__xludf.DUMMYFUNCTION("""COMPUTED_VALUE"""),"Patrick Cantlay")</f>
        <v>Patrick Cantlay</v>
      </c>
      <c r="D142">
        <f ca="1">IFERROR(__xludf.DUMMYFUNCTION("""COMPUTED_VALUE"""),16)</f>
        <v>16</v>
      </c>
      <c r="E142" t="str">
        <f ca="1">IFERROR(__xludf.DUMMYFUNCTION("""COMPUTED_VALUE"""),"7' 4""")</f>
        <v>7' 4"</v>
      </c>
      <c r="F142">
        <f ca="1">IFERROR(__xludf.DUMMYFUNCTION("""COMPUTED_VALUE"""),2.381)</f>
        <v>2.3809999999999998</v>
      </c>
      <c r="G142">
        <f ca="1">IFERROR(__xludf.DUMMYFUNCTION("""COMPUTED_VALUE"""),27)</f>
        <v>27</v>
      </c>
      <c r="H142">
        <f ca="1">IFERROR(__xludf.DUMMYFUNCTION("""COMPUTED_VALUE"""),21)</f>
        <v>21</v>
      </c>
    </row>
    <row r="143" spans="1:8" ht="12.75">
      <c r="A143" t="str">
        <f ca="1">IFERROR(__xludf.DUMMYFUNCTION("""COMPUTED_VALUE"""),"T140")</f>
        <v>T140</v>
      </c>
      <c r="B143" t="str">
        <f ca="1">IFERROR(__xludf.DUMMYFUNCTION("""COMPUTED_VALUE"""),"T147")</f>
        <v>T147</v>
      </c>
      <c r="C143" t="str">
        <f ca="1">IFERROR(__xludf.DUMMYFUNCTION("""COMPUTED_VALUE"""),"Shane Lowry")</f>
        <v>Shane Lowry</v>
      </c>
      <c r="D143">
        <f ca="1">IFERROR(__xludf.DUMMYFUNCTION("""COMPUTED_VALUE"""),14)</f>
        <v>14</v>
      </c>
      <c r="E143" t="str">
        <f ca="1">IFERROR(__xludf.DUMMYFUNCTION("""COMPUTED_VALUE"""),"7' 4""")</f>
        <v>7' 4"</v>
      </c>
      <c r="F143">
        <f ca="1">IFERROR(__xludf.DUMMYFUNCTION("""COMPUTED_VALUE"""),1.857)</f>
        <v>1.857</v>
      </c>
      <c r="G143">
        <f ca="1">IFERROR(__xludf.DUMMYFUNCTION("""COMPUTED_VALUE"""),21)</f>
        <v>21</v>
      </c>
      <c r="H143">
        <f ca="1">IFERROR(__xludf.DUMMYFUNCTION("""COMPUTED_VALUE"""),221)</f>
        <v>221</v>
      </c>
    </row>
    <row r="144" spans="1:8" ht="12.75">
      <c r="A144" t="str">
        <f ca="1">IFERROR(__xludf.DUMMYFUNCTION("""COMPUTED_VALUE"""),"T140")</f>
        <v>T140</v>
      </c>
      <c r="B144" t="str">
        <f ca="1">IFERROR(__xludf.DUMMYFUNCTION("""COMPUTED_VALUE"""),"T147")</f>
        <v>T147</v>
      </c>
      <c r="C144" t="str">
        <f ca="1">IFERROR(__xludf.DUMMYFUNCTION("""COMPUTED_VALUE"""),"Chris Stroud")</f>
        <v>Chris Stroud</v>
      </c>
      <c r="D144">
        <f ca="1">IFERROR(__xludf.DUMMYFUNCTION("""COMPUTED_VALUE"""),6)</f>
        <v>6</v>
      </c>
      <c r="E144" t="str">
        <f ca="1">IFERROR(__xludf.DUMMYFUNCTION("""COMPUTED_VALUE"""),"7' 4""")</f>
        <v>7' 4"</v>
      </c>
      <c r="F144">
        <f ca="1">IFERROR(__xludf.DUMMYFUNCTION("""COMPUTED_VALUE"""),1.406)</f>
        <v>1.4059999999999999</v>
      </c>
      <c r="G144">
        <f ca="1">IFERROR(__xludf.DUMMYFUNCTION("""COMPUTED_VALUE"""),16)</f>
        <v>16</v>
      </c>
      <c r="H144">
        <f ca="1">IFERROR(__xludf.DUMMYFUNCTION("""COMPUTED_VALUE"""),22)</f>
        <v>22</v>
      </c>
    </row>
    <row r="145" spans="1:8" ht="12.75">
      <c r="A145" t="str">
        <f ca="1">IFERROR(__xludf.DUMMYFUNCTION("""COMPUTED_VALUE"""),"T140")</f>
        <v>T140</v>
      </c>
      <c r="B145" t="str">
        <f ca="1">IFERROR(__xludf.DUMMYFUNCTION("""COMPUTED_VALUE"""),"T207")</f>
        <v>T207</v>
      </c>
      <c r="C145" t="str">
        <f ca="1">IFERROR(__xludf.DUMMYFUNCTION("""COMPUTED_VALUE"""),"Graham DeLaet")</f>
        <v>Graham DeLaet</v>
      </c>
      <c r="D145">
        <f ca="1">IFERROR(__xludf.DUMMYFUNCTION("""COMPUTED_VALUE"""),9)</f>
        <v>9</v>
      </c>
      <c r="E145" t="str">
        <f ca="1">IFERROR(__xludf.DUMMYFUNCTION("""COMPUTED_VALUE"""),"7' 4""")</f>
        <v>7' 4"</v>
      </c>
      <c r="F145">
        <f ca="1">IFERROR(__xludf.DUMMYFUNCTION("""COMPUTED_VALUE"""),0.972)</f>
        <v>0.97199999999999998</v>
      </c>
      <c r="G145">
        <f ca="1">IFERROR(__xludf.DUMMYFUNCTION("""COMPUTED_VALUE"""),11)</f>
        <v>11</v>
      </c>
      <c r="H145">
        <f ca="1">IFERROR(__xludf.DUMMYFUNCTION("""COMPUTED_VALUE"""),267)</f>
        <v>267</v>
      </c>
    </row>
    <row r="146" spans="1:8" ht="12.75">
      <c r="A146" t="str">
        <f ca="1">IFERROR(__xludf.DUMMYFUNCTION("""COMPUTED_VALUE"""),"T140")</f>
        <v>T140</v>
      </c>
      <c r="B146" t="str">
        <f ca="1">IFERROR(__xludf.DUMMYFUNCTION("""COMPUTED_VALUE"""),"T147")</f>
        <v>T147</v>
      </c>
      <c r="C146" t="str">
        <f ca="1">IFERROR(__xludf.DUMMYFUNCTION("""COMPUTED_VALUE"""),"Nick Taylor")</f>
        <v>Nick Taylor</v>
      </c>
      <c r="D146">
        <f ca="1">IFERROR(__xludf.DUMMYFUNCTION("""COMPUTED_VALUE"""),12)</f>
        <v>12</v>
      </c>
      <c r="E146" t="str">
        <f ca="1">IFERROR(__xludf.DUMMYFUNCTION("""COMPUTED_VALUE"""),"7' 4""")</f>
        <v>7' 4"</v>
      </c>
      <c r="F146">
        <f ca="1">IFERROR(__xludf.DUMMYFUNCTION("""COMPUTED_VALUE"""),1.85)</f>
        <v>1.85</v>
      </c>
      <c r="G146">
        <f ca="1">IFERROR(__xludf.DUMMYFUNCTION("""COMPUTED_VALUE"""),21)</f>
        <v>21</v>
      </c>
      <c r="H146">
        <f ca="1">IFERROR(__xludf.DUMMYFUNCTION("""COMPUTED_VALUE"""),188)</f>
        <v>188</v>
      </c>
    </row>
    <row r="147" spans="1:8" ht="12.75">
      <c r="A147" t="str">
        <f ca="1">IFERROR(__xludf.DUMMYFUNCTION("""COMPUTED_VALUE"""),"T140")</f>
        <v>T140</v>
      </c>
      <c r="B147" t="str">
        <f ca="1">IFERROR(__xludf.DUMMYFUNCTION("""COMPUTED_VALUE"""),"T147")</f>
        <v>T147</v>
      </c>
      <c r="C147" t="str">
        <f ca="1">IFERROR(__xludf.DUMMYFUNCTION("""COMPUTED_VALUE"""),"Paul Casey")</f>
        <v>Paul Casey</v>
      </c>
      <c r="D147">
        <f ca="1">IFERROR(__xludf.DUMMYFUNCTION("""COMPUTED_VALUE"""),14)</f>
        <v>14</v>
      </c>
      <c r="E147" t="str">
        <f ca="1">IFERROR(__xludf.DUMMYFUNCTION("""COMPUTED_VALUE"""),"7' 4""")</f>
        <v>7' 4"</v>
      </c>
      <c r="F147">
        <f ca="1">IFERROR(__xludf.DUMMYFUNCTION("""COMPUTED_VALUE"""),2.736)</f>
        <v>2.7360000000000002</v>
      </c>
      <c r="G147">
        <f ca="1">IFERROR(__xludf.DUMMYFUNCTION("""COMPUTED_VALUE"""),31)</f>
        <v>31</v>
      </c>
      <c r="H147">
        <f ca="1">IFERROR(__xludf.DUMMYFUNCTION("""COMPUTED_VALUE"""),163)</f>
        <v>163</v>
      </c>
    </row>
    <row r="148" spans="1:8" ht="12.75">
      <c r="A148" t="str">
        <f ca="1">IFERROR(__xludf.DUMMYFUNCTION("""COMPUTED_VALUE"""),"T140")</f>
        <v>T140</v>
      </c>
      <c r="B148" t="str">
        <f ca="1">IFERROR(__xludf.DUMMYFUNCTION("""COMPUTED_VALUE"""),"T147")</f>
        <v>T147</v>
      </c>
      <c r="C148" t="str">
        <f ca="1">IFERROR(__xludf.DUMMYFUNCTION("""COMPUTED_VALUE"""),"Bill Haas")</f>
        <v>Bill Haas</v>
      </c>
      <c r="D148">
        <f ca="1">IFERROR(__xludf.DUMMYFUNCTION("""COMPUTED_VALUE"""),10)</f>
        <v>10</v>
      </c>
      <c r="E148" t="str">
        <f ca="1">IFERROR(__xludf.DUMMYFUNCTION("""COMPUTED_VALUE"""),"7' 4""")</f>
        <v>7' 4"</v>
      </c>
      <c r="F148">
        <f ca="1">IFERROR(__xludf.DUMMYFUNCTION("""COMPUTED_VALUE"""),1.404)</f>
        <v>1.4039999999999999</v>
      </c>
      <c r="G148">
        <f ca="1">IFERROR(__xludf.DUMMYFUNCTION("""COMPUTED_VALUE"""),16)</f>
        <v>16</v>
      </c>
      <c r="H148">
        <f ca="1">IFERROR(__xludf.DUMMYFUNCTION("""COMPUTED_VALUE"""),19)</f>
        <v>19</v>
      </c>
    </row>
    <row r="149" spans="1:8" ht="12.75">
      <c r="A149" t="str">
        <f ca="1">IFERROR(__xludf.DUMMYFUNCTION("""COMPUTED_VALUE"""),"T148")</f>
        <v>T148</v>
      </c>
      <c r="B149" t="str">
        <f ca="1">IFERROR(__xludf.DUMMYFUNCTION("""COMPUTED_VALUE"""),"T155")</f>
        <v>T155</v>
      </c>
      <c r="C149" t="str">
        <f ca="1">IFERROR(__xludf.DUMMYFUNCTION("""COMPUTED_VALUE"""),"Isaiah Salinda")</f>
        <v>Isaiah Salinda</v>
      </c>
      <c r="D149">
        <f ca="1">IFERROR(__xludf.DUMMYFUNCTION("""COMPUTED_VALUE"""),8)</f>
        <v>8</v>
      </c>
      <c r="E149" t="str">
        <f ca="1">IFERROR(__xludf.DUMMYFUNCTION("""COMPUTED_VALUE"""),"7' 5""")</f>
        <v>7' 5"</v>
      </c>
      <c r="F149">
        <f ca="1">IFERROR(__xludf.DUMMYFUNCTION("""COMPUTED_VALUE"""),1.593)</f>
        <v>1.593</v>
      </c>
      <c r="G149">
        <f ca="1">IFERROR(__xludf.DUMMYFUNCTION("""COMPUTED_VALUE"""),18)</f>
        <v>18</v>
      </c>
      <c r="H149">
        <f ca="1">IFERROR(__xludf.DUMMYFUNCTION("""COMPUTED_VALUE"""),143)</f>
        <v>143</v>
      </c>
    </row>
    <row r="150" spans="1:8" ht="12.75">
      <c r="A150" t="str">
        <f ca="1">IFERROR(__xludf.DUMMYFUNCTION("""COMPUTED_VALUE"""),"T148")</f>
        <v>T148</v>
      </c>
      <c r="B150" t="str">
        <f ca="1">IFERROR(__xludf.DUMMYFUNCTION("""COMPUTED_VALUE"""),"T69")</f>
        <v>T69</v>
      </c>
      <c r="C150" t="str">
        <f ca="1">IFERROR(__xludf.DUMMYFUNCTION("""COMPUTED_VALUE"""),"Kristoffer Ventura")</f>
        <v>Kristoffer Ventura</v>
      </c>
      <c r="D150">
        <f ca="1">IFERROR(__xludf.DUMMYFUNCTION("""COMPUTED_VALUE"""),20)</f>
        <v>20</v>
      </c>
      <c r="E150" t="str">
        <f ca="1">IFERROR(__xludf.DUMMYFUNCTION("""COMPUTED_VALUE"""),"7' 5""")</f>
        <v>7' 5"</v>
      </c>
      <c r="F150">
        <f ca="1">IFERROR(__xludf.DUMMYFUNCTION("""COMPUTED_VALUE"""),3.395)</f>
        <v>3.395</v>
      </c>
      <c r="G150">
        <f ca="1">IFERROR(__xludf.DUMMYFUNCTION("""COMPUTED_VALUE"""),38)</f>
        <v>38</v>
      </c>
      <c r="H150">
        <f ca="1">IFERROR(__xludf.DUMMYFUNCTION("""COMPUTED_VALUE"""),116)</f>
        <v>116</v>
      </c>
    </row>
    <row r="151" spans="1:8" ht="12.75">
      <c r="A151" t="str">
        <f ca="1">IFERROR(__xludf.DUMMYFUNCTION("""COMPUTED_VALUE"""),"T148")</f>
        <v>T148</v>
      </c>
      <c r="B151" t="str">
        <f ca="1">IFERROR(__xludf.DUMMYFUNCTION("""COMPUTED_VALUE"""),"T155")</f>
        <v>T155</v>
      </c>
      <c r="C151" t="str">
        <f ca="1">IFERROR(__xludf.DUMMYFUNCTION("""COMPUTED_VALUE"""),"Rickie Fowler")</f>
        <v>Rickie Fowler</v>
      </c>
      <c r="D151">
        <f ca="1">IFERROR(__xludf.DUMMYFUNCTION("""COMPUTED_VALUE"""),14)</f>
        <v>14</v>
      </c>
      <c r="E151" t="str">
        <f ca="1">IFERROR(__xludf.DUMMYFUNCTION("""COMPUTED_VALUE"""),"7' 5""")</f>
        <v>7' 5"</v>
      </c>
      <c r="F151">
        <f ca="1">IFERROR(__xludf.DUMMYFUNCTION("""COMPUTED_VALUE"""),2.131)</f>
        <v>2.1309999999999998</v>
      </c>
      <c r="G151">
        <f ca="1">IFERROR(__xludf.DUMMYFUNCTION("""COMPUTED_VALUE"""),24)</f>
        <v>24</v>
      </c>
      <c r="H151">
        <f ca="1">IFERROR(__xludf.DUMMYFUNCTION("""COMPUTED_VALUE"""),268)</f>
        <v>268</v>
      </c>
    </row>
    <row r="152" spans="1:8" ht="12.75">
      <c r="A152" t="str">
        <f ca="1">IFERROR(__xludf.DUMMYFUNCTION("""COMPUTED_VALUE"""),"T148")</f>
        <v>T148</v>
      </c>
      <c r="B152" t="str">
        <f ca="1">IFERROR(__xludf.DUMMYFUNCTION("""COMPUTED_VALUE"""),"")</f>
        <v/>
      </c>
      <c r="C152" t="str">
        <f ca="1">IFERROR(__xludf.DUMMYFUNCTION("""COMPUTED_VALUE"""),"Dawie van der Walt")</f>
        <v>Dawie van der Walt</v>
      </c>
      <c r="D152">
        <f ca="1">IFERROR(__xludf.DUMMYFUNCTION("""COMPUTED_VALUE"""),4)</f>
        <v>4</v>
      </c>
      <c r="E152" t="str">
        <f ca="1">IFERROR(__xludf.DUMMYFUNCTION("""COMPUTED_VALUE"""),"7' 5""")</f>
        <v>7' 5"</v>
      </c>
      <c r="F152">
        <f ca="1">IFERROR(__xludf.DUMMYFUNCTION("""COMPUTED_VALUE"""),1.163)</f>
        <v>1.163</v>
      </c>
      <c r="G152">
        <f ca="1">IFERROR(__xludf.DUMMYFUNCTION("""COMPUTED_VALUE"""),13)</f>
        <v>13</v>
      </c>
      <c r="H152">
        <f ca="1">IFERROR(__xludf.DUMMYFUNCTION("""COMPUTED_VALUE"""),102)</f>
        <v>102</v>
      </c>
    </row>
    <row r="153" spans="1:8" ht="12.75">
      <c r="A153" t="str">
        <f ca="1">IFERROR(__xludf.DUMMYFUNCTION("""COMPUTED_VALUE"""),"T148")</f>
        <v>T148</v>
      </c>
      <c r="B153" t="str">
        <f ca="1">IFERROR(__xludf.DUMMYFUNCTION("""COMPUTED_VALUE"""),"T183")</f>
        <v>T183</v>
      </c>
      <c r="C153" t="str">
        <f ca="1">IFERROR(__xludf.DUMMYFUNCTION("""COMPUTED_VALUE"""),"Sung Kang")</f>
        <v>Sung Kang</v>
      </c>
      <c r="D153">
        <f ca="1">IFERROR(__xludf.DUMMYFUNCTION("""COMPUTED_VALUE"""),14)</f>
        <v>14</v>
      </c>
      <c r="E153" t="str">
        <f ca="1">IFERROR(__xludf.DUMMYFUNCTION("""COMPUTED_VALUE"""),"7' 5""")</f>
        <v>7' 5"</v>
      </c>
      <c r="F153">
        <f ca="1">IFERROR(__xludf.DUMMYFUNCTION("""COMPUTED_VALUE"""),1.955)</f>
        <v>1.9550000000000001</v>
      </c>
      <c r="G153">
        <f ca="1">IFERROR(__xludf.DUMMYFUNCTION("""COMPUTED_VALUE"""),22)</f>
        <v>22</v>
      </c>
      <c r="H153">
        <f ca="1">IFERROR(__xludf.DUMMYFUNCTION("""COMPUTED_VALUE"""),281)</f>
        <v>281</v>
      </c>
    </row>
    <row r="154" spans="1:8" ht="12.75">
      <c r="A154" t="str">
        <f ca="1">IFERROR(__xludf.DUMMYFUNCTION("""COMPUTED_VALUE"""),"T148")</f>
        <v>T148</v>
      </c>
      <c r="B154" t="str">
        <f ca="1">IFERROR(__xludf.DUMMYFUNCTION("""COMPUTED_VALUE"""),"T172")</f>
        <v>T172</v>
      </c>
      <c r="C154" t="str">
        <f ca="1">IFERROR(__xludf.DUMMYFUNCTION("""COMPUTED_VALUE"""),"Brandt Snedeker")</f>
        <v>Brandt Snedeker</v>
      </c>
      <c r="D154">
        <f ca="1">IFERROR(__xludf.DUMMYFUNCTION("""COMPUTED_VALUE"""),16)</f>
        <v>16</v>
      </c>
      <c r="E154" t="str">
        <f ca="1">IFERROR(__xludf.DUMMYFUNCTION("""COMPUTED_VALUE"""),"7' 5""")</f>
        <v>7' 5"</v>
      </c>
      <c r="F154">
        <f ca="1">IFERROR(__xludf.DUMMYFUNCTION("""COMPUTED_VALUE"""),4.19)</f>
        <v>4.1900000000000004</v>
      </c>
      <c r="G154">
        <f ca="1">IFERROR(__xludf.DUMMYFUNCTION("""COMPUTED_VALUE"""),47)</f>
        <v>47</v>
      </c>
      <c r="H154">
        <f ca="1">IFERROR(__xludf.DUMMYFUNCTION("""COMPUTED_VALUE"""),191)</f>
        <v>191</v>
      </c>
    </row>
    <row r="155" spans="1:8" ht="12.75">
      <c r="A155" t="str">
        <f ca="1">IFERROR(__xludf.DUMMYFUNCTION("""COMPUTED_VALUE"""),"T148")</f>
        <v>T148</v>
      </c>
      <c r="B155" t="str">
        <f ca="1">IFERROR(__xludf.DUMMYFUNCTION("""COMPUTED_VALUE"""),"T139")</f>
        <v>T139</v>
      </c>
      <c r="C155" t="str">
        <f ca="1">IFERROR(__xludf.DUMMYFUNCTION("""COMPUTED_VALUE"""),"Ted Potter, Jr.")</f>
        <v>Ted Potter, Jr.</v>
      </c>
      <c r="D155">
        <f ca="1">IFERROR(__xludf.DUMMYFUNCTION("""COMPUTED_VALUE"""),8)</f>
        <v>8</v>
      </c>
      <c r="E155" t="str">
        <f ca="1">IFERROR(__xludf.DUMMYFUNCTION("""COMPUTED_VALUE"""),"7' 5""")</f>
        <v>7' 5"</v>
      </c>
      <c r="F155">
        <f ca="1">IFERROR(__xludf.DUMMYFUNCTION("""COMPUTED_VALUE"""),1.953)</f>
        <v>1.9530000000000001</v>
      </c>
      <c r="G155">
        <f ca="1">IFERROR(__xludf.DUMMYFUNCTION("""COMPUTED_VALUE"""),22)</f>
        <v>22</v>
      </c>
      <c r="H155">
        <f ca="1">IFERROR(__xludf.DUMMYFUNCTION("""COMPUTED_VALUE"""),133)</f>
        <v>133</v>
      </c>
    </row>
    <row r="156" spans="1:8" ht="12.75">
      <c r="A156" t="str">
        <f ca="1">IFERROR(__xludf.DUMMYFUNCTION("""COMPUTED_VALUE"""),"T155")</f>
        <v>T155</v>
      </c>
      <c r="B156" t="str">
        <f ca="1">IFERROR(__xludf.DUMMYFUNCTION("""COMPUTED_VALUE"""),"T158")</f>
        <v>T158</v>
      </c>
      <c r="C156" t="str">
        <f ca="1">IFERROR(__xludf.DUMMYFUNCTION("""COMPUTED_VALUE"""),"Richy Werenski")</f>
        <v>Richy Werenski</v>
      </c>
      <c r="D156">
        <f ca="1">IFERROR(__xludf.DUMMYFUNCTION("""COMPUTED_VALUE"""),16)</f>
        <v>16</v>
      </c>
      <c r="E156" t="str">
        <f ca="1">IFERROR(__xludf.DUMMYFUNCTION("""COMPUTED_VALUE"""),"7' 6""")</f>
        <v>7' 6"</v>
      </c>
      <c r="F156">
        <f ca="1">IFERROR(__xludf.DUMMYFUNCTION("""COMPUTED_VALUE"""),3.603)</f>
        <v>3.6030000000000002</v>
      </c>
      <c r="G156">
        <f ca="1">IFERROR(__xludf.DUMMYFUNCTION("""COMPUTED_VALUE"""),40)</f>
        <v>40</v>
      </c>
      <c r="H156">
        <f ca="1">IFERROR(__xludf.DUMMYFUNCTION("""COMPUTED_VALUE"""),112)</f>
        <v>112</v>
      </c>
    </row>
    <row r="157" spans="1:8" ht="12.75">
      <c r="A157" t="str">
        <f ca="1">IFERROR(__xludf.DUMMYFUNCTION("""COMPUTED_VALUE"""),"T155")</f>
        <v>T155</v>
      </c>
      <c r="B157" t="str">
        <f ca="1">IFERROR(__xludf.DUMMYFUNCTION("""COMPUTED_VALUE"""),"")</f>
        <v/>
      </c>
      <c r="C157" t="str">
        <f ca="1">IFERROR(__xludf.DUMMYFUNCTION("""COMPUTED_VALUE"""),"Ollie Schniederjans")</f>
        <v>Ollie Schniederjans</v>
      </c>
      <c r="D157">
        <f ca="1">IFERROR(__xludf.DUMMYFUNCTION("""COMPUTED_VALUE"""),6)</f>
        <v>6</v>
      </c>
      <c r="E157" t="str">
        <f ca="1">IFERROR(__xludf.DUMMYFUNCTION("""COMPUTED_VALUE"""),"7' 6""")</f>
        <v>7' 6"</v>
      </c>
      <c r="F157">
        <f ca="1">IFERROR(__xludf.DUMMYFUNCTION("""COMPUTED_VALUE"""),0.537)</f>
        <v>0.53700000000000003</v>
      </c>
      <c r="G157">
        <f ca="1">IFERROR(__xludf.DUMMYFUNCTION("""COMPUTED_VALUE"""),6)</f>
        <v>6</v>
      </c>
      <c r="H157">
        <f ca="1">IFERROR(__xludf.DUMMYFUNCTION("""COMPUTED_VALUE"""),85)</f>
        <v>85</v>
      </c>
    </row>
    <row r="158" spans="1:8" ht="12.75">
      <c r="A158" t="str">
        <f ca="1">IFERROR(__xludf.DUMMYFUNCTION("""COMPUTED_VALUE"""),"T155")</f>
        <v>T155</v>
      </c>
      <c r="B158" t="str">
        <f ca="1">IFERROR(__xludf.DUMMYFUNCTION("""COMPUTED_VALUE"""),"T204")</f>
        <v>T204</v>
      </c>
      <c r="C158" t="str">
        <f ca="1">IFERROR(__xludf.DUMMYFUNCTION("""COMPUTED_VALUE"""),"Tom Lewis")</f>
        <v>Tom Lewis</v>
      </c>
      <c r="D158">
        <f ca="1">IFERROR(__xludf.DUMMYFUNCTION("""COMPUTED_VALUE"""),12)</f>
        <v>12</v>
      </c>
      <c r="E158" t="str">
        <f ca="1">IFERROR(__xludf.DUMMYFUNCTION("""COMPUTED_VALUE"""),"7' 6""")</f>
        <v>7' 6"</v>
      </c>
      <c r="F158">
        <f ca="1">IFERROR(__xludf.DUMMYFUNCTION("""COMPUTED_VALUE"""),2.52)</f>
        <v>2.52</v>
      </c>
      <c r="G158">
        <f ca="1">IFERROR(__xludf.DUMMYFUNCTION("""COMPUTED_VALUE"""),28)</f>
        <v>28</v>
      </c>
      <c r="H158">
        <f ca="1">IFERROR(__xludf.DUMMYFUNCTION("""COMPUTED_VALUE"""),223)</f>
        <v>223</v>
      </c>
    </row>
    <row r="159" spans="1:8" ht="12.75">
      <c r="A159" t="str">
        <f ca="1">IFERROR(__xludf.DUMMYFUNCTION("""COMPUTED_VALUE"""),"T155")</f>
        <v>T155</v>
      </c>
      <c r="B159" t="str">
        <f ca="1">IFERROR(__xludf.DUMMYFUNCTION("""COMPUTED_VALUE"""),"")</f>
        <v/>
      </c>
      <c r="C159" t="str">
        <f ca="1">IFERROR(__xludf.DUMMYFUNCTION("""COMPUTED_VALUE"""),"Erik Barnes")</f>
        <v>Erik Barnes</v>
      </c>
      <c r="D159">
        <f ca="1">IFERROR(__xludf.DUMMYFUNCTION("""COMPUTED_VALUE"""),4)</f>
        <v>4</v>
      </c>
      <c r="E159" t="str">
        <f ca="1">IFERROR(__xludf.DUMMYFUNCTION("""COMPUTED_VALUE"""),"7' 6""")</f>
        <v>7' 6"</v>
      </c>
      <c r="F159">
        <f ca="1">IFERROR(__xludf.DUMMYFUNCTION("""COMPUTED_VALUE"""),1.88)</f>
        <v>1.88</v>
      </c>
      <c r="G159">
        <f ca="1">IFERROR(__xludf.DUMMYFUNCTION("""COMPUTED_VALUE"""),21)</f>
        <v>21</v>
      </c>
      <c r="H159">
        <f ca="1">IFERROR(__xludf.DUMMYFUNCTION("""COMPUTED_VALUE"""),51)</f>
        <v>51</v>
      </c>
    </row>
    <row r="160" spans="1:8" ht="12.75">
      <c r="A160" t="str">
        <f ca="1">IFERROR(__xludf.DUMMYFUNCTION("""COMPUTED_VALUE"""),"T159")</f>
        <v>T159</v>
      </c>
      <c r="B160" t="str">
        <f ca="1">IFERROR(__xludf.DUMMYFUNCTION("""COMPUTED_VALUE"""),"T161")</f>
        <v>T161</v>
      </c>
      <c r="C160" t="str">
        <f ca="1">IFERROR(__xludf.DUMMYFUNCTION("""COMPUTED_VALUE"""),"Doug Ghim")</f>
        <v>Doug Ghim</v>
      </c>
      <c r="D160">
        <f ca="1">IFERROR(__xludf.DUMMYFUNCTION("""COMPUTED_VALUE"""),14)</f>
        <v>14</v>
      </c>
      <c r="E160" t="str">
        <f ca="1">IFERROR(__xludf.DUMMYFUNCTION("""COMPUTED_VALUE"""),"7' 7""")</f>
        <v>7' 7"</v>
      </c>
      <c r="F160">
        <f ca="1">IFERROR(__xludf.DUMMYFUNCTION("""COMPUTED_VALUE"""),1.092)</f>
        <v>1.0920000000000001</v>
      </c>
      <c r="G160">
        <f ca="1">IFERROR(__xludf.DUMMYFUNCTION("""COMPUTED_VALUE"""),12)</f>
        <v>12</v>
      </c>
      <c r="H160">
        <f ca="1">IFERROR(__xludf.DUMMYFUNCTION("""COMPUTED_VALUE"""),15)</f>
        <v>15</v>
      </c>
    </row>
    <row r="161" spans="1:8" ht="12.75">
      <c r="A161" t="str">
        <f ca="1">IFERROR(__xludf.DUMMYFUNCTION("""COMPUTED_VALUE"""),"T159")</f>
        <v>T159</v>
      </c>
      <c r="B161" t="str">
        <f ca="1">IFERROR(__xludf.DUMMYFUNCTION("""COMPUTED_VALUE"""),"T161")</f>
        <v>T161</v>
      </c>
      <c r="C161" t="str">
        <f ca="1">IFERROR(__xludf.DUMMYFUNCTION("""COMPUTED_VALUE"""),"Renato Paratore")</f>
        <v>Renato Paratore</v>
      </c>
      <c r="D161">
        <f ca="1">IFERROR(__xludf.DUMMYFUNCTION("""COMPUTED_VALUE"""),4)</f>
        <v>4</v>
      </c>
      <c r="E161" t="str">
        <f ca="1">IFERROR(__xludf.DUMMYFUNCTION("""COMPUTED_VALUE"""),"7' 7""")</f>
        <v>7' 7"</v>
      </c>
      <c r="F161">
        <f ca="1">IFERROR(__xludf.DUMMYFUNCTION("""COMPUTED_VALUE"""),0.724)</f>
        <v>0.72399999999999998</v>
      </c>
      <c r="G161">
        <f ca="1">IFERROR(__xludf.DUMMYFUNCTION("""COMPUTED_VALUE"""),8)</f>
        <v>8</v>
      </c>
      <c r="H161">
        <f ca="1">IFERROR(__xludf.DUMMYFUNCTION("""COMPUTED_VALUE"""),122)</f>
        <v>122</v>
      </c>
    </row>
    <row r="162" spans="1:8" ht="12.75">
      <c r="A162" t="str">
        <f ca="1">IFERROR(__xludf.DUMMYFUNCTION("""COMPUTED_VALUE"""),"T159")</f>
        <v>T159</v>
      </c>
      <c r="B162" t="str">
        <f ca="1">IFERROR(__xludf.DUMMYFUNCTION("""COMPUTED_VALUE"""),"T133")</f>
        <v>T133</v>
      </c>
      <c r="C162" t="str">
        <f ca="1">IFERROR(__xludf.DUMMYFUNCTION("""COMPUTED_VALUE"""),"Brooks Koepka")</f>
        <v>Brooks Koepka</v>
      </c>
      <c r="D162">
        <f ca="1">IFERROR(__xludf.DUMMYFUNCTION("""COMPUTED_VALUE"""),8)</f>
        <v>8</v>
      </c>
      <c r="E162" t="str">
        <f ca="1">IFERROR(__xludf.DUMMYFUNCTION("""COMPUTED_VALUE"""),"7' 7""")</f>
        <v>7' 7"</v>
      </c>
      <c r="F162">
        <f ca="1">IFERROR(__xludf.DUMMYFUNCTION("""COMPUTED_VALUE"""),1.738)</f>
        <v>1.738</v>
      </c>
      <c r="G162">
        <f ca="1">IFERROR(__xludf.DUMMYFUNCTION("""COMPUTED_VALUE"""),19)</f>
        <v>19</v>
      </c>
      <c r="H162">
        <f ca="1">IFERROR(__xludf.DUMMYFUNCTION("""COMPUTED_VALUE"""),120)</f>
        <v>120</v>
      </c>
    </row>
    <row r="163" spans="1:8" ht="12.75">
      <c r="A163" t="str">
        <f ca="1">IFERROR(__xludf.DUMMYFUNCTION("""COMPUTED_VALUE"""),"T159")</f>
        <v>T159</v>
      </c>
      <c r="B163" t="str">
        <f ca="1">IFERROR(__xludf.DUMMYFUNCTION("""COMPUTED_VALUE"""),"T147")</f>
        <v>T147</v>
      </c>
      <c r="C163" t="str">
        <f ca="1">IFERROR(__xludf.DUMMYFUNCTION("""COMPUTED_VALUE"""),"Henrik Norlander")</f>
        <v>Henrik Norlander</v>
      </c>
      <c r="D163">
        <f ca="1">IFERROR(__xludf.DUMMYFUNCTION("""COMPUTED_VALUE"""),16)</f>
        <v>16</v>
      </c>
      <c r="E163" t="str">
        <f ca="1">IFERROR(__xludf.DUMMYFUNCTION("""COMPUTED_VALUE"""),"7' 7""")</f>
        <v>7' 7"</v>
      </c>
      <c r="F163">
        <f ca="1">IFERROR(__xludf.DUMMYFUNCTION("""COMPUTED_VALUE"""),2.277)</f>
        <v>2.2770000000000001</v>
      </c>
      <c r="G163">
        <f ca="1">IFERROR(__xludf.DUMMYFUNCTION("""COMPUTED_VALUE"""),25)</f>
        <v>25</v>
      </c>
      <c r="H163">
        <f ca="1">IFERROR(__xludf.DUMMYFUNCTION("""COMPUTED_VALUE"""),256)</f>
        <v>256</v>
      </c>
    </row>
    <row r="164" spans="1:8" ht="12.75">
      <c r="A164" t="str">
        <f ca="1">IFERROR(__xludf.DUMMYFUNCTION("""COMPUTED_VALUE"""),"T163")</f>
        <v>T163</v>
      </c>
      <c r="B164" t="str">
        <f ca="1">IFERROR(__xludf.DUMMYFUNCTION("""COMPUTED_VALUE"""),"T164")</f>
        <v>T164</v>
      </c>
      <c r="C164" t="str">
        <f ca="1">IFERROR(__xludf.DUMMYFUNCTION("""COMPUTED_VALUE"""),"Wyndham Clark")</f>
        <v>Wyndham Clark</v>
      </c>
      <c r="D164">
        <f ca="1">IFERROR(__xludf.DUMMYFUNCTION("""COMPUTED_VALUE"""),16)</f>
        <v>16</v>
      </c>
      <c r="E164" t="str">
        <f ca="1">IFERROR(__xludf.DUMMYFUNCTION("""COMPUTED_VALUE"""),"7' 8""")</f>
        <v>7' 8"</v>
      </c>
      <c r="F164">
        <f ca="1">IFERROR(__xludf.DUMMYFUNCTION("""COMPUTED_VALUE"""),2.946)</f>
        <v>2.9460000000000002</v>
      </c>
      <c r="G164">
        <f ca="1">IFERROR(__xludf.DUMMYFUNCTION("""COMPUTED_VALUE"""),32)</f>
        <v>32</v>
      </c>
      <c r="H164">
        <f ca="1">IFERROR(__xludf.DUMMYFUNCTION("""COMPUTED_VALUE"""),50)</f>
        <v>50</v>
      </c>
    </row>
    <row r="165" spans="1:8" ht="12.75">
      <c r="A165" t="str">
        <f ca="1">IFERROR(__xludf.DUMMYFUNCTION("""COMPUTED_VALUE"""),"T163")</f>
        <v>T163</v>
      </c>
      <c r="B165" t="str">
        <f ca="1">IFERROR(__xludf.DUMMYFUNCTION("""COMPUTED_VALUE"""),"T164")</f>
        <v>T164</v>
      </c>
      <c r="C165" t="str">
        <f ca="1">IFERROR(__xludf.DUMMYFUNCTION("""COMPUTED_VALUE"""),"Xander Schauffele")</f>
        <v>Xander Schauffele</v>
      </c>
      <c r="D165">
        <f ca="1">IFERROR(__xludf.DUMMYFUNCTION("""COMPUTED_VALUE"""),12)</f>
        <v>12</v>
      </c>
      <c r="E165" t="str">
        <f ca="1">IFERROR(__xludf.DUMMYFUNCTION("""COMPUTED_VALUE"""),"7' 8""")</f>
        <v>7' 8"</v>
      </c>
      <c r="F165">
        <f ca="1">IFERROR(__xludf.DUMMYFUNCTION("""COMPUTED_VALUE"""),2.199)</f>
        <v>2.1989999999999998</v>
      </c>
      <c r="G165">
        <f ca="1">IFERROR(__xludf.DUMMYFUNCTION("""COMPUTED_VALUE"""),24)</f>
        <v>24</v>
      </c>
      <c r="H165">
        <f ca="1">IFERROR(__xludf.DUMMYFUNCTION("""COMPUTED_VALUE"""),135)</f>
        <v>135</v>
      </c>
    </row>
    <row r="166" spans="1:8" ht="12.75">
      <c r="A166" t="str">
        <f ca="1">IFERROR(__xludf.DUMMYFUNCTION("""COMPUTED_VALUE"""),"T163")</f>
        <v>T163</v>
      </c>
      <c r="B166" t="str">
        <f ca="1">IFERROR(__xludf.DUMMYFUNCTION("""COMPUTED_VALUE"""),"T139")</f>
        <v>T139</v>
      </c>
      <c r="C166" t="str">
        <f ca="1">IFERROR(__xludf.DUMMYFUNCTION("""COMPUTED_VALUE"""),"Matthew NeSmith")</f>
        <v>Matthew NeSmith</v>
      </c>
      <c r="D166">
        <f ca="1">IFERROR(__xludf.DUMMYFUNCTION("""COMPUTED_VALUE"""),16)</f>
        <v>16</v>
      </c>
      <c r="E166" t="str">
        <f ca="1">IFERROR(__xludf.DUMMYFUNCTION("""COMPUTED_VALUE"""),"7' 8""")</f>
        <v>7' 8"</v>
      </c>
      <c r="F166">
        <f ca="1">IFERROR(__xludf.DUMMYFUNCTION("""COMPUTED_VALUE"""),3.029)</f>
        <v>3.0289999999999999</v>
      </c>
      <c r="G166">
        <f ca="1">IFERROR(__xludf.DUMMYFUNCTION("""COMPUTED_VALUE"""),33)</f>
        <v>33</v>
      </c>
      <c r="H166">
        <f ca="1">IFERROR(__xludf.DUMMYFUNCTION("""COMPUTED_VALUE"""),211)</f>
        <v>211</v>
      </c>
    </row>
    <row r="167" spans="1:8" ht="12.75">
      <c r="A167" t="str">
        <f ca="1">IFERROR(__xludf.DUMMYFUNCTION("""COMPUTED_VALUE"""),"T163")</f>
        <v>T163</v>
      </c>
      <c r="B167" t="str">
        <f ca="1">IFERROR(__xludf.DUMMYFUNCTION("""COMPUTED_VALUE"""),"T164")</f>
        <v>T164</v>
      </c>
      <c r="C167" t="str">
        <f ca="1">IFERROR(__xludf.DUMMYFUNCTION("""COMPUTED_VALUE"""),"Chesson Hadley")</f>
        <v>Chesson Hadley</v>
      </c>
      <c r="D167">
        <f ca="1">IFERROR(__xludf.DUMMYFUNCTION("""COMPUTED_VALUE"""),16)</f>
        <v>16</v>
      </c>
      <c r="E167" t="str">
        <f ca="1">IFERROR(__xludf.DUMMYFUNCTION("""COMPUTED_VALUE"""),"7' 8""")</f>
        <v>7' 8"</v>
      </c>
      <c r="F167">
        <f ca="1">IFERROR(__xludf.DUMMYFUNCTION("""COMPUTED_VALUE"""),1.471)</f>
        <v>1.4710000000000001</v>
      </c>
      <c r="G167">
        <f ca="1">IFERROR(__xludf.DUMMYFUNCTION("""COMPUTED_VALUE"""),16)</f>
        <v>16</v>
      </c>
      <c r="H167">
        <f ca="1">IFERROR(__xludf.DUMMYFUNCTION("""COMPUTED_VALUE"""),203)</f>
        <v>203</v>
      </c>
    </row>
    <row r="168" spans="1:8" ht="12.75">
      <c r="A168" t="str">
        <f ca="1">IFERROR(__xludf.DUMMYFUNCTION("""COMPUTED_VALUE"""),"T163")</f>
        <v>T163</v>
      </c>
      <c r="B168" t="str">
        <f ca="1">IFERROR(__xludf.DUMMYFUNCTION("""COMPUTED_VALUE"""),"T115")</f>
        <v>T115</v>
      </c>
      <c r="C168" t="str">
        <f ca="1">IFERROR(__xludf.DUMMYFUNCTION("""COMPUTED_VALUE"""),"Andrew Putnam")</f>
        <v>Andrew Putnam</v>
      </c>
      <c r="D168">
        <f ca="1">IFERROR(__xludf.DUMMYFUNCTION("""COMPUTED_VALUE"""),19)</f>
        <v>19</v>
      </c>
      <c r="E168" t="str">
        <f ca="1">IFERROR(__xludf.DUMMYFUNCTION("""COMPUTED_VALUE"""),"7' 8""")</f>
        <v>7' 8"</v>
      </c>
      <c r="F168">
        <f ca="1">IFERROR(__xludf.DUMMYFUNCTION("""COMPUTED_VALUE"""),4.243)</f>
        <v>4.2430000000000003</v>
      </c>
      <c r="G168">
        <f ca="1">IFERROR(__xludf.DUMMYFUNCTION("""COMPUTED_VALUE"""),46)</f>
        <v>46</v>
      </c>
      <c r="H168">
        <f ca="1">IFERROR(__xludf.DUMMYFUNCTION("""COMPUTED_VALUE"""),65)</f>
        <v>65</v>
      </c>
    </row>
    <row r="169" spans="1:8" ht="12.75">
      <c r="A169" t="str">
        <f ca="1">IFERROR(__xludf.DUMMYFUNCTION("""COMPUTED_VALUE"""),"T163")</f>
        <v>T163</v>
      </c>
      <c r="B169" t="str">
        <f ca="1">IFERROR(__xludf.DUMMYFUNCTION("""COMPUTED_VALUE"""),"T164")</f>
        <v>T164</v>
      </c>
      <c r="C169" t="str">
        <f ca="1">IFERROR(__xludf.DUMMYFUNCTION("""COMPUTED_VALUE"""),"Justin Thomas")</f>
        <v>Justin Thomas</v>
      </c>
      <c r="D169">
        <f ca="1">IFERROR(__xludf.DUMMYFUNCTION("""COMPUTED_VALUE"""),12)</f>
        <v>12</v>
      </c>
      <c r="E169" t="str">
        <f ca="1">IFERROR(__xludf.DUMMYFUNCTION("""COMPUTED_VALUE"""),"7' 8""")</f>
        <v>7' 8"</v>
      </c>
      <c r="F169">
        <f ca="1">IFERROR(__xludf.DUMMYFUNCTION("""COMPUTED_VALUE"""),1.294)</f>
        <v>1.294</v>
      </c>
      <c r="G169">
        <f ca="1">IFERROR(__xludf.DUMMYFUNCTION("""COMPUTED_VALUE"""),14)</f>
        <v>14</v>
      </c>
      <c r="H169">
        <f ca="1">IFERROR(__xludf.DUMMYFUNCTION("""COMPUTED_VALUE"""),79)</f>
        <v>79</v>
      </c>
    </row>
    <row r="170" spans="1:8" ht="12.75">
      <c r="A170" t="str">
        <f ca="1">IFERROR(__xludf.DUMMYFUNCTION("""COMPUTED_VALUE"""),"T163")</f>
        <v>T163</v>
      </c>
      <c r="B170" t="str">
        <f ca="1">IFERROR(__xludf.DUMMYFUNCTION("""COMPUTED_VALUE"""),"T189")</f>
        <v>T189</v>
      </c>
      <c r="C170" t="str">
        <f ca="1">IFERROR(__xludf.DUMMYFUNCTION("""COMPUTED_VALUE"""),"Michael Thompson")</f>
        <v>Michael Thompson</v>
      </c>
      <c r="D170">
        <f ca="1">IFERROR(__xludf.DUMMYFUNCTION("""COMPUTED_VALUE"""),16)</f>
        <v>16</v>
      </c>
      <c r="E170" t="str">
        <f ca="1">IFERROR(__xludf.DUMMYFUNCTION("""COMPUTED_VALUE"""),"7' 8""")</f>
        <v>7' 8"</v>
      </c>
      <c r="F170">
        <f ca="1">IFERROR(__xludf.DUMMYFUNCTION("""COMPUTED_VALUE"""),3.225)</f>
        <v>3.2250000000000001</v>
      </c>
      <c r="G170">
        <f ca="1">IFERROR(__xludf.DUMMYFUNCTION("""COMPUTED_VALUE"""),35)</f>
        <v>35</v>
      </c>
      <c r="H170">
        <f ca="1">IFERROR(__xludf.DUMMYFUNCTION("""COMPUTED_VALUE"""),244)</f>
        <v>244</v>
      </c>
    </row>
    <row r="171" spans="1:8" ht="12.75">
      <c r="A171" t="str">
        <f ca="1">IFERROR(__xludf.DUMMYFUNCTION("""COMPUTED_VALUE"""),"T163")</f>
        <v>T163</v>
      </c>
      <c r="B171" t="str">
        <f ca="1">IFERROR(__xludf.DUMMYFUNCTION("""COMPUTED_VALUE"""),"T199")</f>
        <v>T199</v>
      </c>
      <c r="C171" t="str">
        <f ca="1">IFERROR(__xludf.DUMMYFUNCTION("""COMPUTED_VALUE"""),"Alex Noren")</f>
        <v>Alex Noren</v>
      </c>
      <c r="D171">
        <f ca="1">IFERROR(__xludf.DUMMYFUNCTION("""COMPUTED_VALUE"""),14)</f>
        <v>14</v>
      </c>
      <c r="E171" t="str">
        <f ca="1">IFERROR(__xludf.DUMMYFUNCTION("""COMPUTED_VALUE"""),"7' 8""")</f>
        <v>7' 8"</v>
      </c>
      <c r="F171">
        <f ca="1">IFERROR(__xludf.DUMMYFUNCTION("""COMPUTED_VALUE"""),3.309)</f>
        <v>3.3090000000000002</v>
      </c>
      <c r="G171">
        <f ca="1">IFERROR(__xludf.DUMMYFUNCTION("""COMPUTED_VALUE"""),36)</f>
        <v>36</v>
      </c>
      <c r="H171">
        <f ca="1">IFERROR(__xludf.DUMMYFUNCTION("""COMPUTED_VALUE"""),206)</f>
        <v>206</v>
      </c>
    </row>
    <row r="172" spans="1:8" ht="12.75">
      <c r="A172" t="str">
        <f ca="1">IFERROR(__xludf.DUMMYFUNCTION("""COMPUTED_VALUE"""),"T163")</f>
        <v>T163</v>
      </c>
      <c r="B172" t="str">
        <f ca="1">IFERROR(__xludf.DUMMYFUNCTION("""COMPUTED_VALUE"""),"")</f>
        <v/>
      </c>
      <c r="C172" t="str">
        <f ca="1">IFERROR(__xludf.DUMMYFUNCTION("""COMPUTED_VALUE"""),"Francesco Molinari")</f>
        <v>Francesco Molinari</v>
      </c>
      <c r="D172">
        <f ca="1">IFERROR(__xludf.DUMMYFUNCTION("""COMPUTED_VALUE"""),6)</f>
        <v>6</v>
      </c>
      <c r="E172" t="str">
        <f ca="1">IFERROR(__xludf.DUMMYFUNCTION("""COMPUTED_VALUE"""),"7' 8""")</f>
        <v>7' 8"</v>
      </c>
      <c r="F172">
        <f ca="1">IFERROR(__xludf.DUMMYFUNCTION("""COMPUTED_VALUE"""),2.475)</f>
        <v>2.4750000000000001</v>
      </c>
      <c r="G172">
        <f ca="1">IFERROR(__xludf.DUMMYFUNCTION("""COMPUTED_VALUE"""),27)</f>
        <v>27</v>
      </c>
      <c r="H172">
        <f ca="1">IFERROR(__xludf.DUMMYFUNCTION("""COMPUTED_VALUE"""),29)</f>
        <v>29</v>
      </c>
    </row>
    <row r="173" spans="1:8" ht="12.75">
      <c r="A173" t="str">
        <f ca="1">IFERROR(__xludf.DUMMYFUNCTION("""COMPUTED_VALUE"""),"T163")</f>
        <v>T163</v>
      </c>
      <c r="B173" t="str">
        <f ca="1">IFERROR(__xludf.DUMMYFUNCTION("""COMPUTED_VALUE"""),"T164")</f>
        <v>T164</v>
      </c>
      <c r="C173" t="str">
        <f ca="1">IFERROR(__xludf.DUMMYFUNCTION("""COMPUTED_VALUE"""),"Ricky Barnes")</f>
        <v>Ricky Barnes</v>
      </c>
      <c r="D173">
        <f ca="1">IFERROR(__xludf.DUMMYFUNCTION("""COMPUTED_VALUE"""),12)</f>
        <v>12</v>
      </c>
      <c r="E173" t="str">
        <f ca="1">IFERROR(__xludf.DUMMYFUNCTION("""COMPUTED_VALUE"""),"7' 8""")</f>
        <v>7' 8"</v>
      </c>
      <c r="F173">
        <f ca="1">IFERROR(__xludf.DUMMYFUNCTION("""COMPUTED_VALUE"""),0.55)</f>
        <v>0.55000000000000004</v>
      </c>
      <c r="G173">
        <f ca="1">IFERROR(__xludf.DUMMYFUNCTION("""COMPUTED_VALUE"""),6)</f>
        <v>6</v>
      </c>
      <c r="H173">
        <f ca="1">IFERROR(__xludf.DUMMYFUNCTION("""COMPUTED_VALUE"""),144)</f>
        <v>144</v>
      </c>
    </row>
    <row r="174" spans="1:8" ht="12.75">
      <c r="A174" t="str">
        <f ca="1">IFERROR(__xludf.DUMMYFUNCTION("""COMPUTED_VALUE"""),"T163")</f>
        <v>T163</v>
      </c>
      <c r="B174" t="str">
        <f ca="1">IFERROR(__xludf.DUMMYFUNCTION("""COMPUTED_VALUE"""),"T139")</f>
        <v>T139</v>
      </c>
      <c r="C174" t="str">
        <f ca="1">IFERROR(__xludf.DUMMYFUNCTION("""COMPUTED_VALUE"""),"Sergio Garcia")</f>
        <v>Sergio Garcia</v>
      </c>
      <c r="D174">
        <f ca="1">IFERROR(__xludf.DUMMYFUNCTION("""COMPUTED_VALUE"""),18)</f>
        <v>18</v>
      </c>
      <c r="E174" t="str">
        <f ca="1">IFERROR(__xludf.DUMMYFUNCTION("""COMPUTED_VALUE"""),"7' 8""")</f>
        <v>7' 8"</v>
      </c>
      <c r="F174">
        <f ca="1">IFERROR(__xludf.DUMMYFUNCTION("""COMPUTED_VALUE"""),3.76)</f>
        <v>3.76</v>
      </c>
      <c r="G174">
        <f ca="1">IFERROR(__xludf.DUMMYFUNCTION("""COMPUTED_VALUE"""),41)</f>
        <v>41</v>
      </c>
      <c r="H174">
        <f ca="1">IFERROR(__xludf.DUMMYFUNCTION("""COMPUTED_VALUE"""),88)</f>
        <v>88</v>
      </c>
    </row>
    <row r="175" spans="1:8" ht="12.75">
      <c r="A175" t="str">
        <f ca="1">IFERROR(__xludf.DUMMYFUNCTION("""COMPUTED_VALUE"""),"T163")</f>
        <v>T163</v>
      </c>
      <c r="B175" t="str">
        <f ca="1">IFERROR(__xludf.DUMMYFUNCTION("""COMPUTED_VALUE"""),"T189")</f>
        <v>T189</v>
      </c>
      <c r="C175" t="str">
        <f ca="1">IFERROR(__xludf.DUMMYFUNCTION("""COMPUTED_VALUE"""),"Phil Mickelson")</f>
        <v>Phil Mickelson</v>
      </c>
      <c r="D175">
        <f ca="1">IFERROR(__xludf.DUMMYFUNCTION("""COMPUTED_VALUE"""),12)</f>
        <v>12</v>
      </c>
      <c r="E175" t="str">
        <f ca="1">IFERROR(__xludf.DUMMYFUNCTION("""COMPUTED_VALUE"""),"7' 8""")</f>
        <v>7' 8"</v>
      </c>
      <c r="F175">
        <f ca="1">IFERROR(__xludf.DUMMYFUNCTION("""COMPUTED_VALUE"""),2.66)</f>
        <v>2.66</v>
      </c>
      <c r="G175">
        <f ca="1">IFERROR(__xludf.DUMMYFUNCTION("""COMPUTED_VALUE"""),29)</f>
        <v>29</v>
      </c>
      <c r="H175">
        <f ca="1">IFERROR(__xludf.DUMMYFUNCTION("""COMPUTED_VALUE"""),220)</f>
        <v>220</v>
      </c>
    </row>
    <row r="176" spans="1:8" ht="12.75">
      <c r="A176" t="str">
        <f ca="1">IFERROR(__xludf.DUMMYFUNCTION("""COMPUTED_VALUE"""),"T175")</f>
        <v>T175</v>
      </c>
      <c r="B176" t="str">
        <f ca="1">IFERROR(__xludf.DUMMYFUNCTION("""COMPUTED_VALUE"""),"T172")</f>
        <v>T172</v>
      </c>
      <c r="C176" t="str">
        <f ca="1">IFERROR(__xludf.DUMMYFUNCTION("""COMPUTED_VALUE"""),"Matthias Schwab")</f>
        <v>Matthias Schwab</v>
      </c>
      <c r="D176">
        <f ca="1">IFERROR(__xludf.DUMMYFUNCTION("""COMPUTED_VALUE"""),8)</f>
        <v>8</v>
      </c>
      <c r="E176" t="str">
        <f ca="1">IFERROR(__xludf.DUMMYFUNCTION("""COMPUTED_VALUE"""),"7' 9""")</f>
        <v>7' 9"</v>
      </c>
      <c r="F176">
        <f ca="1">IFERROR(__xludf.DUMMYFUNCTION("""COMPUTED_VALUE"""),1.11)</f>
        <v>1.1100000000000001</v>
      </c>
      <c r="G176">
        <f ca="1">IFERROR(__xludf.DUMMYFUNCTION("""COMPUTED_VALUE"""),12)</f>
        <v>12</v>
      </c>
      <c r="H176">
        <f ca="1">IFERROR(__xludf.DUMMYFUNCTION("""COMPUTED_VALUE"""),133)</f>
        <v>133</v>
      </c>
    </row>
    <row r="177" spans="1:8" ht="12.75">
      <c r="A177" t="str">
        <f ca="1">IFERROR(__xludf.DUMMYFUNCTION("""COMPUTED_VALUE"""),"T175")</f>
        <v>T175</v>
      </c>
      <c r="B177" t="str">
        <f ca="1">IFERROR(__xludf.DUMMYFUNCTION("""COMPUTED_VALUE"""),"T172")</f>
        <v>T172</v>
      </c>
      <c r="C177" t="str">
        <f ca="1">IFERROR(__xludf.DUMMYFUNCTION("""COMPUTED_VALUE"""),"Chan Kim")</f>
        <v>Chan Kim</v>
      </c>
      <c r="D177">
        <f ca="1">IFERROR(__xludf.DUMMYFUNCTION("""COMPUTED_VALUE"""),6)</f>
        <v>6</v>
      </c>
      <c r="E177" t="str">
        <f ca="1">IFERROR(__xludf.DUMMYFUNCTION("""COMPUTED_VALUE"""),"7' 9""")</f>
        <v>7' 9"</v>
      </c>
      <c r="F177">
        <f ca="1">IFERROR(__xludf.DUMMYFUNCTION("""COMPUTED_VALUE"""),1.301)</f>
        <v>1.3009999999999999</v>
      </c>
      <c r="G177">
        <f ca="1">IFERROR(__xludf.DUMMYFUNCTION("""COMPUTED_VALUE"""),14)</f>
        <v>14</v>
      </c>
      <c r="H177">
        <f ca="1">IFERROR(__xludf.DUMMYFUNCTION("""COMPUTED_VALUE"""),185)</f>
        <v>185</v>
      </c>
    </row>
    <row r="178" spans="1:8" ht="12.75">
      <c r="A178" t="str">
        <f ca="1">IFERROR(__xludf.DUMMYFUNCTION("""COMPUTED_VALUE"""),"T175")</f>
        <v>T175</v>
      </c>
      <c r="B178" t="str">
        <f ca="1">IFERROR(__xludf.DUMMYFUNCTION("""COMPUTED_VALUE"""),"T189")</f>
        <v>T189</v>
      </c>
      <c r="C178" t="str">
        <f ca="1">IFERROR(__xludf.DUMMYFUNCTION("""COMPUTED_VALUE"""),"Hudson Swafford")</f>
        <v>Hudson Swafford</v>
      </c>
      <c r="D178">
        <f ca="1">IFERROR(__xludf.DUMMYFUNCTION("""COMPUTED_VALUE"""),18)</f>
        <v>18</v>
      </c>
      <c r="E178" t="str">
        <f ca="1">IFERROR(__xludf.DUMMYFUNCTION("""COMPUTED_VALUE"""),"7' 9""")</f>
        <v>7' 9"</v>
      </c>
      <c r="F178">
        <f ca="1">IFERROR(__xludf.DUMMYFUNCTION("""COMPUTED_VALUE"""),1.579)</f>
        <v>1.579</v>
      </c>
      <c r="G178">
        <f ca="1">IFERROR(__xludf.DUMMYFUNCTION("""COMPUTED_VALUE"""),17)</f>
        <v>17</v>
      </c>
      <c r="H178">
        <f ca="1">IFERROR(__xludf.DUMMYFUNCTION("""COMPUTED_VALUE"""),160)</f>
        <v>160</v>
      </c>
    </row>
    <row r="179" spans="1:8" ht="12.75">
      <c r="A179" t="str">
        <f ca="1">IFERROR(__xludf.DUMMYFUNCTION("""COMPUTED_VALUE"""),"T175")</f>
        <v>T175</v>
      </c>
      <c r="B179" t="str">
        <f ca="1">IFERROR(__xludf.DUMMYFUNCTION("""COMPUTED_VALUE"""),"T103")</f>
        <v>T103</v>
      </c>
      <c r="C179" t="str">
        <f ca="1">IFERROR(__xludf.DUMMYFUNCTION("""COMPUTED_VALUE"""),"Russell Henley")</f>
        <v>Russell Henley</v>
      </c>
      <c r="D179">
        <f ca="1">IFERROR(__xludf.DUMMYFUNCTION("""COMPUTED_VALUE"""),16)</f>
        <v>16</v>
      </c>
      <c r="E179" t="str">
        <f ca="1">IFERROR(__xludf.DUMMYFUNCTION("""COMPUTED_VALUE"""),"7' 9""")</f>
        <v>7' 9"</v>
      </c>
      <c r="F179">
        <f ca="1">IFERROR(__xludf.DUMMYFUNCTION("""COMPUTED_VALUE"""),3.643)</f>
        <v>3.6429999999999998</v>
      </c>
      <c r="G179">
        <f ca="1">IFERROR(__xludf.DUMMYFUNCTION("""COMPUTED_VALUE"""),39)</f>
        <v>39</v>
      </c>
      <c r="H179">
        <f ca="1">IFERROR(__xludf.DUMMYFUNCTION("""COMPUTED_VALUE"""),4)</f>
        <v>4</v>
      </c>
    </row>
    <row r="180" spans="1:8" ht="12.75">
      <c r="A180" t="str">
        <f ca="1">IFERROR(__xludf.DUMMYFUNCTION("""COMPUTED_VALUE"""),"T175")</f>
        <v>T175</v>
      </c>
      <c r="B180" t="str">
        <f ca="1">IFERROR(__xludf.DUMMYFUNCTION("""COMPUTED_VALUE"""),"T164")</f>
        <v>T164</v>
      </c>
      <c r="C180" t="str">
        <f ca="1">IFERROR(__xludf.DUMMYFUNCTION("""COMPUTED_VALUE"""),"Brian Harman")</f>
        <v>Brian Harman</v>
      </c>
      <c r="D180">
        <f ca="1">IFERROR(__xludf.DUMMYFUNCTION("""COMPUTED_VALUE"""),24)</f>
        <v>24</v>
      </c>
      <c r="E180" t="str">
        <f ca="1">IFERROR(__xludf.DUMMYFUNCTION("""COMPUTED_VALUE"""),"7' 9""")</f>
        <v>7' 9"</v>
      </c>
      <c r="F180">
        <f ca="1">IFERROR(__xludf.DUMMYFUNCTION("""COMPUTED_VALUE"""),5.021)</f>
        <v>5.0209999999999999</v>
      </c>
      <c r="G180">
        <f ca="1">IFERROR(__xludf.DUMMYFUNCTION("""COMPUTED_VALUE"""),54)</f>
        <v>54</v>
      </c>
      <c r="H180">
        <f ca="1">IFERROR(__xludf.DUMMYFUNCTION("""COMPUTED_VALUE"""),97)</f>
        <v>97</v>
      </c>
    </row>
    <row r="181" spans="1:8" ht="12.75">
      <c r="A181" t="str">
        <f ca="1">IFERROR(__xludf.DUMMYFUNCTION("""COMPUTED_VALUE"""),"T175")</f>
        <v>T175</v>
      </c>
      <c r="B181" t="str">
        <f ca="1">IFERROR(__xludf.DUMMYFUNCTION("""COMPUTED_VALUE"""),"T133")</f>
        <v>T133</v>
      </c>
      <c r="C181" t="str">
        <f ca="1">IFERROR(__xludf.DUMMYFUNCTION("""COMPUTED_VALUE"""),"Jimmy Walker")</f>
        <v>Jimmy Walker</v>
      </c>
      <c r="D181">
        <f ca="1">IFERROR(__xludf.DUMMYFUNCTION("""COMPUTED_VALUE"""),10)</f>
        <v>10</v>
      </c>
      <c r="E181" t="str">
        <f ca="1">IFERROR(__xludf.DUMMYFUNCTION("""COMPUTED_VALUE"""),"7' 9""")</f>
        <v>7' 9"</v>
      </c>
      <c r="F181">
        <f ca="1">IFERROR(__xludf.DUMMYFUNCTION("""COMPUTED_VALUE"""),2.875)</f>
        <v>2.875</v>
      </c>
      <c r="G181">
        <f ca="1">IFERROR(__xludf.DUMMYFUNCTION("""COMPUTED_VALUE"""),31)</f>
        <v>31</v>
      </c>
      <c r="H181">
        <f ca="1">IFERROR(__xludf.DUMMYFUNCTION("""COMPUTED_VALUE"""),233)</f>
        <v>233</v>
      </c>
    </row>
    <row r="182" spans="1:8" ht="12.75">
      <c r="A182" t="str">
        <f ca="1">IFERROR(__xludf.DUMMYFUNCTION("""COMPUTED_VALUE"""),"T175")</f>
        <v>T175</v>
      </c>
      <c r="B182" t="str">
        <f ca="1">IFERROR(__xludf.DUMMYFUNCTION("""COMPUTED_VALUE"""),"T125")</f>
        <v>T125</v>
      </c>
      <c r="C182" t="str">
        <f ca="1">IFERROR(__xludf.DUMMYFUNCTION("""COMPUTED_VALUE"""),"Lee Westwood")</f>
        <v>Lee Westwood</v>
      </c>
      <c r="D182">
        <f ca="1">IFERROR(__xludf.DUMMYFUNCTION("""COMPUTED_VALUE"""),6)</f>
        <v>6</v>
      </c>
      <c r="E182" t="str">
        <f ca="1">IFERROR(__xludf.DUMMYFUNCTION("""COMPUTED_VALUE"""),"7' 9""")</f>
        <v>7' 9"</v>
      </c>
      <c r="F182">
        <f ca="1">IFERROR(__xludf.DUMMYFUNCTION("""COMPUTED_VALUE"""),1.949)</f>
        <v>1.9490000000000001</v>
      </c>
      <c r="G182">
        <f ca="1">IFERROR(__xludf.DUMMYFUNCTION("""COMPUTED_VALUE"""),21)</f>
        <v>21</v>
      </c>
      <c r="H182">
        <f ca="1">IFERROR(__xludf.DUMMYFUNCTION("""COMPUTED_VALUE"""),147)</f>
        <v>147</v>
      </c>
    </row>
    <row r="183" spans="1:8" ht="12.75">
      <c r="A183" t="str">
        <f ca="1">IFERROR(__xludf.DUMMYFUNCTION("""COMPUTED_VALUE"""),"T182")</f>
        <v>T182</v>
      </c>
      <c r="B183" t="str">
        <f ca="1">IFERROR(__xludf.DUMMYFUNCTION("""COMPUTED_VALUE"""),"T176")</f>
        <v>T176</v>
      </c>
      <c r="C183" t="str">
        <f ca="1">IFERROR(__xludf.DUMMYFUNCTION("""COMPUTED_VALUE"""),"Bernd Wiesberger")</f>
        <v>Bernd Wiesberger</v>
      </c>
      <c r="D183">
        <f ca="1">IFERROR(__xludf.DUMMYFUNCTION("""COMPUTED_VALUE"""),4)</f>
        <v>4</v>
      </c>
      <c r="E183" t="str">
        <f ca="1">IFERROR(__xludf.DUMMYFUNCTION("""COMPUTED_VALUE"""),"7' 10""")</f>
        <v>7' 10"</v>
      </c>
      <c r="F183">
        <f ca="1">IFERROR(__xludf.DUMMYFUNCTION("""COMPUTED_VALUE"""),0.66)</f>
        <v>0.66</v>
      </c>
      <c r="G183">
        <f ca="1">IFERROR(__xludf.DUMMYFUNCTION("""COMPUTED_VALUE"""),7)</f>
        <v>7</v>
      </c>
      <c r="H183">
        <f ca="1">IFERROR(__xludf.DUMMYFUNCTION("""COMPUTED_VALUE"""),283)</f>
        <v>283</v>
      </c>
    </row>
    <row r="184" spans="1:8" ht="12.75">
      <c r="A184" t="str">
        <f ca="1">IFERROR(__xludf.DUMMYFUNCTION("""COMPUTED_VALUE"""),"T182")</f>
        <v>T182</v>
      </c>
      <c r="B184" t="str">
        <f ca="1">IFERROR(__xludf.DUMMYFUNCTION("""COMPUTED_VALUE"""),"T176")</f>
        <v>T176</v>
      </c>
      <c r="C184" t="str">
        <f ca="1">IFERROR(__xludf.DUMMYFUNCTION("""COMPUTED_VALUE"""),"Charl Schwartzel")</f>
        <v>Charl Schwartzel</v>
      </c>
      <c r="D184">
        <f ca="1">IFERROR(__xludf.DUMMYFUNCTION("""COMPUTED_VALUE"""),12)</f>
        <v>12</v>
      </c>
      <c r="E184" t="str">
        <f ca="1">IFERROR(__xludf.DUMMYFUNCTION("""COMPUTED_VALUE"""),"7' 10""")</f>
        <v>7' 10"</v>
      </c>
      <c r="F184">
        <f ca="1">IFERROR(__xludf.DUMMYFUNCTION("""COMPUTED_VALUE"""),2.626)</f>
        <v>2.6259999999999999</v>
      </c>
      <c r="G184">
        <f ca="1">IFERROR(__xludf.DUMMYFUNCTION("""COMPUTED_VALUE"""),28)</f>
        <v>28</v>
      </c>
      <c r="H184">
        <f ca="1">IFERROR(__xludf.DUMMYFUNCTION("""COMPUTED_VALUE"""),31)</f>
        <v>31</v>
      </c>
    </row>
    <row r="185" spans="1:8" ht="12.75">
      <c r="A185" t="str">
        <f ca="1">IFERROR(__xludf.DUMMYFUNCTION("""COMPUTED_VALUE"""),"T184")</f>
        <v>T184</v>
      </c>
      <c r="B185" t="str">
        <f ca="1">IFERROR(__xludf.DUMMYFUNCTION("""COMPUTED_VALUE"""),"T47")</f>
        <v>T47</v>
      </c>
      <c r="C185" t="str">
        <f ca="1">IFERROR(__xludf.DUMMYFUNCTION("""COMPUTED_VALUE"""),"Keegan Bradley")</f>
        <v>Keegan Bradley</v>
      </c>
      <c r="D185">
        <f ca="1">IFERROR(__xludf.DUMMYFUNCTION("""COMPUTED_VALUE"""),16)</f>
        <v>16</v>
      </c>
      <c r="E185" t="str">
        <f ca="1">IFERROR(__xludf.DUMMYFUNCTION("""COMPUTED_VALUE"""),"7' 11""")</f>
        <v>7' 11"</v>
      </c>
      <c r="F185">
        <f ca="1">IFERROR(__xludf.DUMMYFUNCTION("""COMPUTED_VALUE"""),3.711)</f>
        <v>3.7109999999999999</v>
      </c>
      <c r="G185">
        <f ca="1">IFERROR(__xludf.DUMMYFUNCTION("""COMPUTED_VALUE"""),39)</f>
        <v>39</v>
      </c>
      <c r="H185">
        <f ca="1">IFERROR(__xludf.DUMMYFUNCTION("""COMPUTED_VALUE"""),194)</f>
        <v>194</v>
      </c>
    </row>
    <row r="186" spans="1:8" ht="12.75">
      <c r="A186" t="str">
        <f ca="1">IFERROR(__xludf.DUMMYFUNCTION("""COMPUTED_VALUE"""),"T184")</f>
        <v>T184</v>
      </c>
      <c r="B186" t="str">
        <f ca="1">IFERROR(__xludf.DUMMYFUNCTION("""COMPUTED_VALUE"""),"T178")</f>
        <v>T178</v>
      </c>
      <c r="C186" t="str">
        <f ca="1">IFERROR(__xludf.DUMMYFUNCTION("""COMPUTED_VALUE"""),"Stephan Jaeger")</f>
        <v>Stephan Jaeger</v>
      </c>
      <c r="D186">
        <f ca="1">IFERROR(__xludf.DUMMYFUNCTION("""COMPUTED_VALUE"""),4)</f>
        <v>4</v>
      </c>
      <c r="E186" t="str">
        <f ca="1">IFERROR(__xludf.DUMMYFUNCTION("""COMPUTED_VALUE"""),"7' 11""")</f>
        <v>7' 11"</v>
      </c>
      <c r="F186">
        <f ca="1">IFERROR(__xludf.DUMMYFUNCTION("""COMPUTED_VALUE"""),1.134)</f>
        <v>1.1339999999999999</v>
      </c>
      <c r="G186">
        <f ca="1">IFERROR(__xludf.DUMMYFUNCTION("""COMPUTED_VALUE"""),12)</f>
        <v>12</v>
      </c>
      <c r="H186">
        <f ca="1">IFERROR(__xludf.DUMMYFUNCTION("""COMPUTED_VALUE"""),185)</f>
        <v>185</v>
      </c>
    </row>
    <row r="187" spans="1:8" ht="12.75">
      <c r="A187" t="str">
        <f ca="1">IFERROR(__xludf.DUMMYFUNCTION("""COMPUTED_VALUE"""),"T184")</f>
        <v>T184</v>
      </c>
      <c r="B187" t="str">
        <f ca="1">IFERROR(__xludf.DUMMYFUNCTION("""COMPUTED_VALUE"""),"T183")</f>
        <v>T183</v>
      </c>
      <c r="C187" t="str">
        <f ca="1">IFERROR(__xludf.DUMMYFUNCTION("""COMPUTED_VALUE"""),"Cameron Davis")</f>
        <v>Cameron Davis</v>
      </c>
      <c r="D187">
        <f ca="1">IFERROR(__xludf.DUMMYFUNCTION("""COMPUTED_VALUE"""),16)</f>
        <v>16</v>
      </c>
      <c r="E187" t="str">
        <f ca="1">IFERROR(__xludf.DUMMYFUNCTION("""COMPUTED_VALUE"""),"7' 11""")</f>
        <v>7' 11"</v>
      </c>
      <c r="F187">
        <f ca="1">IFERROR(__xludf.DUMMYFUNCTION("""COMPUTED_VALUE"""),4.864)</f>
        <v>4.8639999999999999</v>
      </c>
      <c r="G187">
        <f ca="1">IFERROR(__xludf.DUMMYFUNCTION("""COMPUTED_VALUE"""),51)</f>
        <v>51</v>
      </c>
      <c r="H187">
        <f ca="1">IFERROR(__xludf.DUMMYFUNCTION("""COMPUTED_VALUE"""),95)</f>
        <v>95</v>
      </c>
    </row>
    <row r="188" spans="1:8" ht="12.75">
      <c r="A188" t="str">
        <f ca="1">IFERROR(__xludf.DUMMYFUNCTION("""COMPUTED_VALUE"""),"T187")</f>
        <v>T187</v>
      </c>
      <c r="B188">
        <f ca="1">IFERROR(__xludf.DUMMYFUNCTION("""COMPUTED_VALUE"""),234)</f>
        <v>234</v>
      </c>
      <c r="C188" t="str">
        <f ca="1">IFERROR(__xludf.DUMMYFUNCTION("""COMPUTED_VALUE"""),"Charley Hoffman")</f>
        <v>Charley Hoffman</v>
      </c>
      <c r="D188">
        <f ca="1">IFERROR(__xludf.DUMMYFUNCTION("""COMPUTED_VALUE"""),20)</f>
        <v>20</v>
      </c>
      <c r="E188" t="str">
        <f ca="1">IFERROR(__xludf.DUMMYFUNCTION("""COMPUTED_VALUE"""),"8' 0""")</f>
        <v>8' 0"</v>
      </c>
      <c r="F188">
        <f ca="1">IFERROR(__xludf.DUMMYFUNCTION("""COMPUTED_VALUE"""),2.98)</f>
        <v>2.98</v>
      </c>
      <c r="G188">
        <f ca="1">IFERROR(__xludf.DUMMYFUNCTION("""COMPUTED_VALUE"""),31)</f>
        <v>31</v>
      </c>
      <c r="H188">
        <f ca="1">IFERROR(__xludf.DUMMYFUNCTION("""COMPUTED_VALUE"""),68)</f>
        <v>68</v>
      </c>
    </row>
    <row r="189" spans="1:8" ht="12.75">
      <c r="A189" t="str">
        <f ca="1">IFERROR(__xludf.DUMMYFUNCTION("""COMPUTED_VALUE"""),"T187")</f>
        <v>T187</v>
      </c>
      <c r="B189" t="str">
        <f ca="1">IFERROR(__xludf.DUMMYFUNCTION("""COMPUTED_VALUE"""),"T246")</f>
        <v>T246</v>
      </c>
      <c r="C189" t="str">
        <f ca="1">IFERROR(__xludf.DUMMYFUNCTION("""COMPUTED_VALUE"""),"Lucas Glover")</f>
        <v>Lucas Glover</v>
      </c>
      <c r="D189">
        <f ca="1">IFERROR(__xludf.DUMMYFUNCTION("""COMPUTED_VALUE"""),12)</f>
        <v>12</v>
      </c>
      <c r="E189" t="str">
        <f ca="1">IFERROR(__xludf.DUMMYFUNCTION("""COMPUTED_VALUE"""),"8' 0""")</f>
        <v>8' 0"</v>
      </c>
      <c r="F189">
        <f ca="1">IFERROR(__xludf.DUMMYFUNCTION("""COMPUTED_VALUE"""),2.69)</f>
        <v>2.69</v>
      </c>
      <c r="G189">
        <f ca="1">IFERROR(__xludf.DUMMYFUNCTION("""COMPUTED_VALUE"""),28)</f>
        <v>28</v>
      </c>
      <c r="H189">
        <f ca="1">IFERROR(__xludf.DUMMYFUNCTION("""COMPUTED_VALUE"""),249)</f>
        <v>249</v>
      </c>
    </row>
    <row r="190" spans="1:8" ht="12.75">
      <c r="A190" t="str">
        <f ca="1">IFERROR(__xludf.DUMMYFUNCTION("""COMPUTED_VALUE"""),"T187")</f>
        <v>T187</v>
      </c>
      <c r="B190" t="str">
        <f ca="1">IFERROR(__xludf.DUMMYFUNCTION("""COMPUTED_VALUE"""),"T183")</f>
        <v>T183</v>
      </c>
      <c r="C190" t="str">
        <f ca="1">IFERROR(__xludf.DUMMYFUNCTION("""COMPUTED_VALUE"""),"Andrew Landry")</f>
        <v>Andrew Landry</v>
      </c>
      <c r="D190">
        <f ca="1">IFERROR(__xludf.DUMMYFUNCTION("""COMPUTED_VALUE"""),14)</f>
        <v>14</v>
      </c>
      <c r="E190" t="str">
        <f ca="1">IFERROR(__xludf.DUMMYFUNCTION("""COMPUTED_VALUE"""),"8' 0""")</f>
        <v>8' 0"</v>
      </c>
      <c r="F190">
        <f ca="1">IFERROR(__xludf.DUMMYFUNCTION("""COMPUTED_VALUE"""),4.622)</f>
        <v>4.6219999999999999</v>
      </c>
      <c r="G190">
        <f ca="1">IFERROR(__xludf.DUMMYFUNCTION("""COMPUTED_VALUE"""),48)</f>
        <v>48</v>
      </c>
      <c r="H190">
        <f ca="1">IFERROR(__xludf.DUMMYFUNCTION("""COMPUTED_VALUE"""),91)</f>
        <v>91</v>
      </c>
    </row>
    <row r="191" spans="1:8" ht="12.75">
      <c r="A191" t="str">
        <f ca="1">IFERROR(__xludf.DUMMYFUNCTION("""COMPUTED_VALUE"""),"T187")</f>
        <v>T187</v>
      </c>
      <c r="B191" t="str">
        <f ca="1">IFERROR(__xludf.DUMMYFUNCTION("""COMPUTED_VALUE"""),"T239")</f>
        <v>T239</v>
      </c>
      <c r="C191" t="str">
        <f ca="1">IFERROR(__xludf.DUMMYFUNCTION("""COMPUTED_VALUE"""),"Corey Conners")</f>
        <v>Corey Conners</v>
      </c>
      <c r="D191">
        <f ca="1">IFERROR(__xludf.DUMMYFUNCTION("""COMPUTED_VALUE"""),20)</f>
        <v>20</v>
      </c>
      <c r="E191" t="str">
        <f ca="1">IFERROR(__xludf.DUMMYFUNCTION("""COMPUTED_VALUE"""),"8' 0""")</f>
        <v>8' 0"</v>
      </c>
      <c r="F191">
        <f ca="1">IFERROR(__xludf.DUMMYFUNCTION("""COMPUTED_VALUE"""),4.243)</f>
        <v>4.2430000000000003</v>
      </c>
      <c r="G191">
        <f ca="1">IFERROR(__xludf.DUMMYFUNCTION("""COMPUTED_VALUE"""),44)</f>
        <v>44</v>
      </c>
      <c r="H191">
        <f ca="1">IFERROR(__xludf.DUMMYFUNCTION("""COMPUTED_VALUE"""),151)</f>
        <v>151</v>
      </c>
    </row>
    <row r="192" spans="1:8" ht="12.75">
      <c r="A192" t="str">
        <f ca="1">IFERROR(__xludf.DUMMYFUNCTION("""COMPUTED_VALUE"""),"T187")</f>
        <v>T187</v>
      </c>
      <c r="B192" t="str">
        <f ca="1">IFERROR(__xludf.DUMMYFUNCTION("""COMPUTED_VALUE"""),"T180")</f>
        <v>T180</v>
      </c>
      <c r="C192" t="str">
        <f ca="1">IFERROR(__xludf.DUMMYFUNCTION("""COMPUTED_VALUE"""),"Daniel Berger")</f>
        <v>Daniel Berger</v>
      </c>
      <c r="D192">
        <f ca="1">IFERROR(__xludf.DUMMYFUNCTION("""COMPUTED_VALUE"""),12)</f>
        <v>12</v>
      </c>
      <c r="E192" t="str">
        <f ca="1">IFERROR(__xludf.DUMMYFUNCTION("""COMPUTED_VALUE"""),"8' 0""")</f>
        <v>8' 0"</v>
      </c>
      <c r="F192">
        <f ca="1">IFERROR(__xludf.DUMMYFUNCTION("""COMPUTED_VALUE"""),1.347)</f>
        <v>1.347</v>
      </c>
      <c r="G192">
        <f ca="1">IFERROR(__xludf.DUMMYFUNCTION("""COMPUTED_VALUE"""),14)</f>
        <v>14</v>
      </c>
      <c r="H192">
        <f ca="1">IFERROR(__xludf.DUMMYFUNCTION("""COMPUTED_VALUE"""),138)</f>
        <v>138</v>
      </c>
    </row>
    <row r="193" spans="1:8" ht="12.75">
      <c r="A193" t="str">
        <f ca="1">IFERROR(__xludf.DUMMYFUNCTION("""COMPUTED_VALUE"""),"T187")</f>
        <v>T187</v>
      </c>
      <c r="B193" t="str">
        <f ca="1">IFERROR(__xludf.DUMMYFUNCTION("""COMPUTED_VALUE"""),"T180")</f>
        <v>T180</v>
      </c>
      <c r="C193" t="str">
        <f ca="1">IFERROR(__xludf.DUMMYFUNCTION("""COMPUTED_VALUE"""),"Matthew Fitzpatrick")</f>
        <v>Matthew Fitzpatrick</v>
      </c>
      <c r="D193">
        <f ca="1">IFERROR(__xludf.DUMMYFUNCTION("""COMPUTED_VALUE"""),10)</f>
        <v>10</v>
      </c>
      <c r="E193" t="str">
        <f ca="1">IFERROR(__xludf.DUMMYFUNCTION("""COMPUTED_VALUE"""),"8' 0""")</f>
        <v>8' 0"</v>
      </c>
      <c r="F193">
        <f ca="1">IFERROR(__xludf.DUMMYFUNCTION("""COMPUTED_VALUE"""),1.54)</f>
        <v>1.54</v>
      </c>
      <c r="G193">
        <f ca="1">IFERROR(__xludf.DUMMYFUNCTION("""COMPUTED_VALUE"""),16)</f>
        <v>16</v>
      </c>
      <c r="H193">
        <f ca="1">IFERROR(__xludf.DUMMYFUNCTION("""COMPUTED_VALUE"""),230)</f>
        <v>230</v>
      </c>
    </row>
    <row r="194" spans="1:8" ht="12.75">
      <c r="A194" t="str">
        <f ca="1">IFERROR(__xludf.DUMMYFUNCTION("""COMPUTED_VALUE"""),"T193")</f>
        <v>T193</v>
      </c>
      <c r="B194" t="str">
        <f ca="1">IFERROR(__xludf.DUMMYFUNCTION("""COMPUTED_VALUE"""),"T207")</f>
        <v>T207</v>
      </c>
      <c r="C194" t="str">
        <f ca="1">IFERROR(__xludf.DUMMYFUNCTION("""COMPUTED_VALUE"""),"Tony Finau")</f>
        <v>Tony Finau</v>
      </c>
      <c r="D194">
        <f ca="1">IFERROR(__xludf.DUMMYFUNCTION("""COMPUTED_VALUE"""),12)</f>
        <v>12</v>
      </c>
      <c r="E194" t="str">
        <f ca="1">IFERROR(__xludf.DUMMYFUNCTION("""COMPUTED_VALUE"""),"8' 1""")</f>
        <v>8' 1"</v>
      </c>
      <c r="F194">
        <f ca="1">IFERROR(__xludf.DUMMYFUNCTION("""COMPUTED_VALUE"""),2.922)</f>
        <v>2.9220000000000002</v>
      </c>
      <c r="G194">
        <f ca="1">IFERROR(__xludf.DUMMYFUNCTION("""COMPUTED_VALUE"""),30)</f>
        <v>30</v>
      </c>
      <c r="H194">
        <f ca="1">IFERROR(__xludf.DUMMYFUNCTION("""COMPUTED_VALUE"""),227)</f>
        <v>227</v>
      </c>
    </row>
    <row r="195" spans="1:8" ht="12.75">
      <c r="A195" t="str">
        <f ca="1">IFERROR(__xludf.DUMMYFUNCTION("""COMPUTED_VALUE"""),"T193")</f>
        <v>T193</v>
      </c>
      <c r="B195" t="str">
        <f ca="1">IFERROR(__xludf.DUMMYFUNCTION("""COMPUTED_VALUE"""),"T158")</f>
        <v>T158</v>
      </c>
      <c r="C195" t="str">
        <f ca="1">IFERROR(__xludf.DUMMYFUNCTION("""COMPUTED_VALUE"""),"Danny Lee")</f>
        <v>Danny Lee</v>
      </c>
      <c r="D195">
        <f ca="1">IFERROR(__xludf.DUMMYFUNCTION("""COMPUTED_VALUE"""),15)</f>
        <v>15</v>
      </c>
      <c r="E195" t="str">
        <f ca="1">IFERROR(__xludf.DUMMYFUNCTION("""COMPUTED_VALUE"""),"8' 1""")</f>
        <v>8' 1"</v>
      </c>
      <c r="F195">
        <f ca="1">IFERROR(__xludf.DUMMYFUNCTION("""COMPUTED_VALUE"""),3.018)</f>
        <v>3.0179999999999998</v>
      </c>
      <c r="G195">
        <f ca="1">IFERROR(__xludf.DUMMYFUNCTION("""COMPUTED_VALUE"""),31)</f>
        <v>31</v>
      </c>
      <c r="H195">
        <f ca="1">IFERROR(__xludf.DUMMYFUNCTION("""COMPUTED_VALUE"""),271)</f>
        <v>271</v>
      </c>
    </row>
    <row r="196" spans="1:8" ht="12.75">
      <c r="A196" t="str">
        <f ca="1">IFERROR(__xludf.DUMMYFUNCTION("""COMPUTED_VALUE"""),"T193")</f>
        <v>T193</v>
      </c>
      <c r="B196" t="str">
        <f ca="1">IFERROR(__xludf.DUMMYFUNCTION("""COMPUTED_VALUE"""),"T183")</f>
        <v>T183</v>
      </c>
      <c r="C196" t="str">
        <f ca="1">IFERROR(__xludf.DUMMYFUNCTION("""COMPUTED_VALUE"""),"Roger Sloan")</f>
        <v>Roger Sloan</v>
      </c>
      <c r="D196">
        <f ca="1">IFERROR(__xludf.DUMMYFUNCTION("""COMPUTED_VALUE"""),12)</f>
        <v>12</v>
      </c>
      <c r="E196" t="str">
        <f ca="1">IFERROR(__xludf.DUMMYFUNCTION("""COMPUTED_VALUE"""),"8' 1""")</f>
        <v>8' 1"</v>
      </c>
      <c r="F196">
        <f ca="1">IFERROR(__xludf.DUMMYFUNCTION("""COMPUTED_VALUE"""),1.159)</f>
        <v>1.159</v>
      </c>
      <c r="G196">
        <f ca="1">IFERROR(__xludf.DUMMYFUNCTION("""COMPUTED_VALUE"""),12)</f>
        <v>12</v>
      </c>
      <c r="H196">
        <f ca="1">IFERROR(__xludf.DUMMYFUNCTION("""COMPUTED_VALUE"""),16)</f>
        <v>16</v>
      </c>
    </row>
    <row r="197" spans="1:8" ht="12.75">
      <c r="A197" t="str">
        <f ca="1">IFERROR(__xludf.DUMMYFUNCTION("""COMPUTED_VALUE"""),"T193")</f>
        <v>T193</v>
      </c>
      <c r="B197" t="str">
        <f ca="1">IFERROR(__xludf.DUMMYFUNCTION("""COMPUTED_VALUE"""),"T133")</f>
        <v>T133</v>
      </c>
      <c r="C197" t="str">
        <f ca="1">IFERROR(__xludf.DUMMYFUNCTION("""COMPUTED_VALUE"""),"John Huh")</f>
        <v>John Huh</v>
      </c>
      <c r="D197">
        <f ca="1">IFERROR(__xludf.DUMMYFUNCTION("""COMPUTED_VALUE"""),8)</f>
        <v>8</v>
      </c>
      <c r="E197" t="str">
        <f ca="1">IFERROR(__xludf.DUMMYFUNCTION("""COMPUTED_VALUE"""),"8' 1""")</f>
        <v>8' 1"</v>
      </c>
      <c r="F197">
        <f ca="1">IFERROR(__xludf.DUMMYFUNCTION("""COMPUTED_VALUE"""),2.912)</f>
        <v>2.9119999999999999</v>
      </c>
      <c r="G197">
        <f ca="1">IFERROR(__xludf.DUMMYFUNCTION("""COMPUTED_VALUE"""),30)</f>
        <v>30</v>
      </c>
      <c r="H197">
        <f ca="1">IFERROR(__xludf.DUMMYFUNCTION("""COMPUTED_VALUE"""),214)</f>
        <v>214</v>
      </c>
    </row>
    <row r="198" spans="1:8" ht="12.75">
      <c r="A198" t="str">
        <f ca="1">IFERROR(__xludf.DUMMYFUNCTION("""COMPUTED_VALUE"""),"T193")</f>
        <v>T193</v>
      </c>
      <c r="B198" t="str">
        <f ca="1">IFERROR(__xludf.DUMMYFUNCTION("""COMPUTED_VALUE"""),"T189")</f>
        <v>T189</v>
      </c>
      <c r="C198" t="str">
        <f ca="1">IFERROR(__xludf.DUMMYFUNCTION("""COMPUTED_VALUE"""),"J.T. Poston")</f>
        <v>J.T. Poston</v>
      </c>
      <c r="D198">
        <f ca="1">IFERROR(__xludf.DUMMYFUNCTION("""COMPUTED_VALUE"""),18)</f>
        <v>18</v>
      </c>
      <c r="E198" t="str">
        <f ca="1">IFERROR(__xludf.DUMMYFUNCTION("""COMPUTED_VALUE"""),"8' 1""")</f>
        <v>8' 1"</v>
      </c>
      <c r="F198">
        <f ca="1">IFERROR(__xludf.DUMMYFUNCTION("""COMPUTED_VALUE"""),4.732)</f>
        <v>4.7320000000000002</v>
      </c>
      <c r="G198">
        <f ca="1">IFERROR(__xludf.DUMMYFUNCTION("""COMPUTED_VALUE"""),49)</f>
        <v>49</v>
      </c>
      <c r="H198">
        <f ca="1">IFERROR(__xludf.DUMMYFUNCTION("""COMPUTED_VALUE"""),132)</f>
        <v>132</v>
      </c>
    </row>
    <row r="199" spans="1:8" ht="12.75">
      <c r="A199" t="str">
        <f ca="1">IFERROR(__xludf.DUMMYFUNCTION("""COMPUTED_VALUE"""),"T193")</f>
        <v>T193</v>
      </c>
      <c r="B199" t="str">
        <f ca="1">IFERROR(__xludf.DUMMYFUNCTION("""COMPUTED_VALUE"""),"T183")</f>
        <v>T183</v>
      </c>
      <c r="C199" t="str">
        <f ca="1">IFERROR(__xludf.DUMMYFUNCTION("""COMPUTED_VALUE"""),"Robert MacIntyre")</f>
        <v>Robert MacIntyre</v>
      </c>
      <c r="D199">
        <f ca="1">IFERROR(__xludf.DUMMYFUNCTION("""COMPUTED_VALUE"""),4)</f>
        <v>4</v>
      </c>
      <c r="E199" t="str">
        <f ca="1">IFERROR(__xludf.DUMMYFUNCTION("""COMPUTED_VALUE"""),"8' 1""")</f>
        <v>8' 1"</v>
      </c>
      <c r="F199">
        <f ca="1">IFERROR(__xludf.DUMMYFUNCTION("""COMPUTED_VALUE"""),0.487)</f>
        <v>0.48699999999999999</v>
      </c>
      <c r="G199">
        <f ca="1">IFERROR(__xludf.DUMMYFUNCTION("""COMPUTED_VALUE"""),5)</f>
        <v>5</v>
      </c>
      <c r="H199">
        <f ca="1">IFERROR(__xludf.DUMMYFUNCTION("""COMPUTED_VALUE"""),261)</f>
        <v>261</v>
      </c>
    </row>
    <row r="200" spans="1:8" ht="12.75">
      <c r="A200">
        <f ca="1">IFERROR(__xludf.DUMMYFUNCTION("""COMPUTED_VALUE"""),199)</f>
        <v>199</v>
      </c>
      <c r="B200" t="str">
        <f ca="1">IFERROR(__xludf.DUMMYFUNCTION("""COMPUTED_VALUE"""),"T189")</f>
        <v>T189</v>
      </c>
      <c r="C200" t="str">
        <f ca="1">IFERROR(__xludf.DUMMYFUNCTION("""COMPUTED_VALUE"""),"Cameron Smith")</f>
        <v>Cameron Smith</v>
      </c>
      <c r="D200">
        <f ca="1">IFERROR(__xludf.DUMMYFUNCTION("""COMPUTED_VALUE"""),16)</f>
        <v>16</v>
      </c>
      <c r="E200" t="str">
        <f ca="1">IFERROR(__xludf.DUMMYFUNCTION("""COMPUTED_VALUE"""),"8' 2""")</f>
        <v>8' 2"</v>
      </c>
      <c r="F200">
        <f ca="1">IFERROR(__xludf.DUMMYFUNCTION("""COMPUTED_VALUE"""),2.448)</f>
        <v>2.448</v>
      </c>
      <c r="G200">
        <f ca="1">IFERROR(__xludf.DUMMYFUNCTION("""COMPUTED_VALUE"""),25)</f>
        <v>25</v>
      </c>
      <c r="H200">
        <f ca="1">IFERROR(__xludf.DUMMYFUNCTION("""COMPUTED_VALUE"""),117)</f>
        <v>117</v>
      </c>
    </row>
    <row r="201" spans="1:8" ht="12.75">
      <c r="A201" t="str">
        <f ca="1">IFERROR(__xludf.DUMMYFUNCTION("""COMPUTED_VALUE"""),"T200")</f>
        <v>T200</v>
      </c>
      <c r="B201">
        <f ca="1">IFERROR(__xludf.DUMMYFUNCTION("""COMPUTED_VALUE"""),196)</f>
        <v>196</v>
      </c>
      <c r="C201" t="str">
        <f ca="1">IFERROR(__xludf.DUMMYFUNCTION("""COMPUTED_VALUE"""),"Thomas Detry")</f>
        <v>Thomas Detry</v>
      </c>
      <c r="D201">
        <f ca="1">IFERROR(__xludf.DUMMYFUNCTION("""COMPUTED_VALUE"""),8)</f>
        <v>8</v>
      </c>
      <c r="E201" t="str">
        <f ca="1">IFERROR(__xludf.DUMMYFUNCTION("""COMPUTED_VALUE"""),"8' 3""")</f>
        <v>8' 3"</v>
      </c>
      <c r="F201">
        <f ca="1">IFERROR(__xludf.DUMMYFUNCTION("""COMPUTED_VALUE"""),0.789)</f>
        <v>0.78900000000000003</v>
      </c>
      <c r="G201">
        <f ca="1">IFERROR(__xludf.DUMMYFUNCTION("""COMPUTED_VALUE"""),8)</f>
        <v>8</v>
      </c>
      <c r="H201">
        <f ca="1">IFERROR(__xludf.DUMMYFUNCTION("""COMPUTED_VALUE"""),262)</f>
        <v>262</v>
      </c>
    </row>
    <row r="202" spans="1:8" ht="12.75">
      <c r="A202" t="str">
        <f ca="1">IFERROR(__xludf.DUMMYFUNCTION("""COMPUTED_VALUE"""),"T200")</f>
        <v>T200</v>
      </c>
      <c r="B202" t="str">
        <f ca="1">IFERROR(__xludf.DUMMYFUNCTION("""COMPUTED_VALUE"""),"T207")</f>
        <v>T207</v>
      </c>
      <c r="C202" t="str">
        <f ca="1">IFERROR(__xludf.DUMMYFUNCTION("""COMPUTED_VALUE"""),"Max Homa")</f>
        <v>Max Homa</v>
      </c>
      <c r="D202">
        <f ca="1">IFERROR(__xludf.DUMMYFUNCTION("""COMPUTED_VALUE"""),12)</f>
        <v>12</v>
      </c>
      <c r="E202" t="str">
        <f ca="1">IFERROR(__xludf.DUMMYFUNCTION("""COMPUTED_VALUE"""),"8' 3""")</f>
        <v>8' 3"</v>
      </c>
      <c r="F202">
        <f ca="1">IFERROR(__xludf.DUMMYFUNCTION("""COMPUTED_VALUE"""),2.573)</f>
        <v>2.573</v>
      </c>
      <c r="G202">
        <f ca="1">IFERROR(__xludf.DUMMYFUNCTION("""COMPUTED_VALUE"""),26)</f>
        <v>26</v>
      </c>
      <c r="H202">
        <f ca="1">IFERROR(__xludf.DUMMYFUNCTION("""COMPUTED_VALUE"""),162)</f>
        <v>162</v>
      </c>
    </row>
    <row r="203" spans="1:8" ht="12.75">
      <c r="A203" t="str">
        <f ca="1">IFERROR(__xludf.DUMMYFUNCTION("""COMPUTED_VALUE"""),"T202")</f>
        <v>T202</v>
      </c>
      <c r="B203" t="str">
        <f ca="1">IFERROR(__xludf.DUMMYFUNCTION("""COMPUTED_VALUE"""),"T197")</f>
        <v>T197</v>
      </c>
      <c r="C203" t="str">
        <f ca="1">IFERROR(__xludf.DUMMYFUNCTION("""COMPUTED_VALUE"""),"Adam Hadwin")</f>
        <v>Adam Hadwin</v>
      </c>
      <c r="D203">
        <f ca="1">IFERROR(__xludf.DUMMYFUNCTION("""COMPUTED_VALUE"""),16)</f>
        <v>16</v>
      </c>
      <c r="E203" t="str">
        <f ca="1">IFERROR(__xludf.DUMMYFUNCTION("""COMPUTED_VALUE"""),"8' 4""")</f>
        <v>8' 4"</v>
      </c>
      <c r="F203">
        <f ca="1">IFERROR(__xludf.DUMMYFUNCTION("""COMPUTED_VALUE"""),3.484)</f>
        <v>3.484</v>
      </c>
      <c r="G203">
        <f ca="1">IFERROR(__xludf.DUMMYFUNCTION("""COMPUTED_VALUE"""),35)</f>
        <v>35</v>
      </c>
      <c r="H203">
        <f ca="1">IFERROR(__xludf.DUMMYFUNCTION("""COMPUTED_VALUE"""),165)</f>
        <v>165</v>
      </c>
    </row>
    <row r="204" spans="1:8" ht="12.75">
      <c r="A204" t="str">
        <f ca="1">IFERROR(__xludf.DUMMYFUNCTION("""COMPUTED_VALUE"""),"T202")</f>
        <v>T202</v>
      </c>
      <c r="B204">
        <f ca="1">IFERROR(__xludf.DUMMYFUNCTION("""COMPUTED_VALUE"""),98)</f>
        <v>98</v>
      </c>
      <c r="C204" t="str">
        <f ca="1">IFERROR(__xludf.DUMMYFUNCTION("""COMPUTED_VALUE"""),"Doc Redman")</f>
        <v>Doc Redman</v>
      </c>
      <c r="D204">
        <f ca="1">IFERROR(__xludf.DUMMYFUNCTION("""COMPUTED_VALUE"""),18)</f>
        <v>18</v>
      </c>
      <c r="E204" t="str">
        <f ca="1">IFERROR(__xludf.DUMMYFUNCTION("""COMPUTED_VALUE"""),"8' 4""")</f>
        <v>8' 4"</v>
      </c>
      <c r="F204">
        <f ca="1">IFERROR(__xludf.DUMMYFUNCTION("""COMPUTED_VALUE"""),3.196)</f>
        <v>3.1960000000000002</v>
      </c>
      <c r="G204">
        <f ca="1">IFERROR(__xludf.DUMMYFUNCTION("""COMPUTED_VALUE"""),32)</f>
        <v>32</v>
      </c>
      <c r="H204">
        <f ca="1">IFERROR(__xludf.DUMMYFUNCTION("""COMPUTED_VALUE"""),55)</f>
        <v>55</v>
      </c>
    </row>
    <row r="205" spans="1:8" ht="12.75">
      <c r="A205" t="str">
        <f ca="1">IFERROR(__xludf.DUMMYFUNCTION("""COMPUTED_VALUE"""),"T204")</f>
        <v>T204</v>
      </c>
      <c r="B205" t="str">
        <f ca="1">IFERROR(__xludf.DUMMYFUNCTION("""COMPUTED_VALUE"""),"T228")</f>
        <v>T228</v>
      </c>
      <c r="C205" t="str">
        <f ca="1">IFERROR(__xludf.DUMMYFUNCTION("""COMPUTED_VALUE"""),"Jhonattan Vegas")</f>
        <v>Jhonattan Vegas</v>
      </c>
      <c r="D205">
        <f ca="1">IFERROR(__xludf.DUMMYFUNCTION("""COMPUTED_VALUE"""),16)</f>
        <v>16</v>
      </c>
      <c r="E205" t="str">
        <f ca="1">IFERROR(__xludf.DUMMYFUNCTION("""COMPUTED_VALUE"""),"8' 5""")</f>
        <v>8' 5"</v>
      </c>
      <c r="F205">
        <f ca="1">IFERROR(__xludf.DUMMYFUNCTION("""COMPUTED_VALUE"""),1.824)</f>
        <v>1.8240000000000001</v>
      </c>
      <c r="G205">
        <f ca="1">IFERROR(__xludf.DUMMYFUNCTION("""COMPUTED_VALUE"""),18)</f>
        <v>18</v>
      </c>
      <c r="H205">
        <f ca="1">IFERROR(__xludf.DUMMYFUNCTION("""COMPUTED_VALUE"""),245)</f>
        <v>245</v>
      </c>
    </row>
    <row r="206" spans="1:8" ht="12.75">
      <c r="A206" t="str">
        <f ca="1">IFERROR(__xludf.DUMMYFUNCTION("""COMPUTED_VALUE"""),"T204")</f>
        <v>T204</v>
      </c>
      <c r="B206" t="str">
        <f ca="1">IFERROR(__xludf.DUMMYFUNCTION("""COMPUTED_VALUE"""),"T235")</f>
        <v>T235</v>
      </c>
      <c r="C206" t="str">
        <f ca="1">IFERROR(__xludf.DUMMYFUNCTION("""COMPUTED_VALUE"""),"Jason Day")</f>
        <v>Jason Day</v>
      </c>
      <c r="D206">
        <f ca="1">IFERROR(__xludf.DUMMYFUNCTION("""COMPUTED_VALUE"""),17)</f>
        <v>17</v>
      </c>
      <c r="E206" t="str">
        <f ca="1">IFERROR(__xludf.DUMMYFUNCTION("""COMPUTED_VALUE"""),"8' 5""")</f>
        <v>8' 5"</v>
      </c>
      <c r="F206">
        <f ca="1">IFERROR(__xludf.DUMMYFUNCTION("""COMPUTED_VALUE"""),3.429)</f>
        <v>3.4289999999999998</v>
      </c>
      <c r="G206">
        <f ca="1">IFERROR(__xludf.DUMMYFUNCTION("""COMPUTED_VALUE"""),34)</f>
        <v>34</v>
      </c>
      <c r="H206">
        <f ca="1">IFERROR(__xludf.DUMMYFUNCTION("""COMPUTED_VALUE"""),109)</f>
        <v>109</v>
      </c>
    </row>
    <row r="207" spans="1:8" ht="12.75">
      <c r="A207" t="str">
        <f ca="1">IFERROR(__xludf.DUMMYFUNCTION("""COMPUTED_VALUE"""),"T204")</f>
        <v>T204</v>
      </c>
      <c r="B207" t="str">
        <f ca="1">IFERROR(__xludf.DUMMYFUNCTION("""COMPUTED_VALUE"""),"T197")</f>
        <v>T197</v>
      </c>
      <c r="C207" t="str">
        <f ca="1">IFERROR(__xludf.DUMMYFUNCTION("""COMPUTED_VALUE"""),"Tyler Duncan")</f>
        <v>Tyler Duncan</v>
      </c>
      <c r="D207">
        <f ca="1">IFERROR(__xludf.DUMMYFUNCTION("""COMPUTED_VALUE"""),18)</f>
        <v>18</v>
      </c>
      <c r="E207" t="str">
        <f ca="1">IFERROR(__xludf.DUMMYFUNCTION("""COMPUTED_VALUE"""),"8' 5""")</f>
        <v>8' 5"</v>
      </c>
      <c r="F207">
        <f ca="1">IFERROR(__xludf.DUMMYFUNCTION("""COMPUTED_VALUE"""),3.633)</f>
        <v>3.633</v>
      </c>
      <c r="G207">
        <f ca="1">IFERROR(__xludf.DUMMYFUNCTION("""COMPUTED_VALUE"""),36)</f>
        <v>36</v>
      </c>
      <c r="H207">
        <f ca="1">IFERROR(__xludf.DUMMYFUNCTION("""COMPUTED_VALUE"""),94)</f>
        <v>94</v>
      </c>
    </row>
    <row r="208" spans="1:8" ht="12.75">
      <c r="A208" t="str">
        <f ca="1">IFERROR(__xludf.DUMMYFUNCTION("""COMPUTED_VALUE"""),"T204")</f>
        <v>T204</v>
      </c>
      <c r="B208" t="str">
        <f ca="1">IFERROR(__xludf.DUMMYFUNCTION("""COMPUTED_VALUE"""),"T199")</f>
        <v>T199</v>
      </c>
      <c r="C208" t="str">
        <f ca="1">IFERROR(__xludf.DUMMYFUNCTION("""COMPUTED_VALUE"""),"Justin Suh")</f>
        <v>Justin Suh</v>
      </c>
      <c r="D208">
        <f ca="1">IFERROR(__xludf.DUMMYFUNCTION("""COMPUTED_VALUE"""),10)</f>
        <v>10</v>
      </c>
      <c r="E208" t="str">
        <f ca="1">IFERROR(__xludf.DUMMYFUNCTION("""COMPUTED_VALUE"""),"8' 5""")</f>
        <v>8' 5"</v>
      </c>
      <c r="F208">
        <f ca="1">IFERROR(__xludf.DUMMYFUNCTION("""COMPUTED_VALUE"""),0.201)</f>
        <v>0.20100000000000001</v>
      </c>
      <c r="G208">
        <f ca="1">IFERROR(__xludf.DUMMYFUNCTION("""COMPUTED_VALUE"""),2)</f>
        <v>2</v>
      </c>
      <c r="H208">
        <f ca="1">IFERROR(__xludf.DUMMYFUNCTION("""COMPUTED_VALUE"""),215)</f>
        <v>215</v>
      </c>
    </row>
    <row r="209" spans="1:8" ht="12.75">
      <c r="A209" t="str">
        <f ca="1">IFERROR(__xludf.DUMMYFUNCTION("""COMPUTED_VALUE"""),"T208")</f>
        <v>T208</v>
      </c>
      <c r="B209" t="str">
        <f ca="1">IFERROR(__xludf.DUMMYFUNCTION("""COMPUTED_VALUE"""),"")</f>
        <v/>
      </c>
      <c r="C209" t="str">
        <f ca="1">IFERROR(__xludf.DUMMYFUNCTION("""COMPUTED_VALUE"""),"Padraig Harrington")</f>
        <v>Padraig Harrington</v>
      </c>
      <c r="D209">
        <f ca="1">IFERROR(__xludf.DUMMYFUNCTION("""COMPUTED_VALUE"""),8)</f>
        <v>8</v>
      </c>
      <c r="E209" t="str">
        <f ca="1">IFERROR(__xludf.DUMMYFUNCTION("""COMPUTED_VALUE"""),"8' 6""")</f>
        <v>8' 6"</v>
      </c>
      <c r="F209">
        <f ca="1">IFERROR(__xludf.DUMMYFUNCTION("""COMPUTED_VALUE"""),1.629)</f>
        <v>1.629</v>
      </c>
      <c r="G209">
        <f ca="1">IFERROR(__xludf.DUMMYFUNCTION("""COMPUTED_VALUE"""),16)</f>
        <v>16</v>
      </c>
      <c r="H209">
        <f ca="1">IFERROR(__xludf.DUMMYFUNCTION("""COMPUTED_VALUE"""),102)</f>
        <v>102</v>
      </c>
    </row>
    <row r="210" spans="1:8" ht="12.75">
      <c r="A210" t="str">
        <f ca="1">IFERROR(__xludf.DUMMYFUNCTION("""COMPUTED_VALUE"""),"T208")</f>
        <v>T208</v>
      </c>
      <c r="B210" t="str">
        <f ca="1">IFERROR(__xludf.DUMMYFUNCTION("""COMPUTED_VALUE"""),"T103")</f>
        <v>T103</v>
      </c>
      <c r="C210" t="str">
        <f ca="1">IFERROR(__xludf.DUMMYFUNCTION("""COMPUTED_VALUE"""),"Dustin Johnson")</f>
        <v>Dustin Johnson</v>
      </c>
      <c r="D210">
        <f ca="1">IFERROR(__xludf.DUMMYFUNCTION("""COMPUTED_VALUE"""),8)</f>
        <v>8</v>
      </c>
      <c r="E210" t="str">
        <f ca="1">IFERROR(__xludf.DUMMYFUNCTION("""COMPUTED_VALUE"""),"8' 6""")</f>
        <v>8' 6"</v>
      </c>
      <c r="F210">
        <f ca="1">IFERROR(__xludf.DUMMYFUNCTION("""COMPUTED_VALUE"""),2.046)</f>
        <v>2.0459999999999998</v>
      </c>
      <c r="G210">
        <f ca="1">IFERROR(__xludf.DUMMYFUNCTION("""COMPUTED_VALUE"""),20)</f>
        <v>20</v>
      </c>
      <c r="H210">
        <f ca="1">IFERROR(__xludf.DUMMYFUNCTION("""COMPUTED_VALUE"""),198)</f>
        <v>198</v>
      </c>
    </row>
    <row r="211" spans="1:8" ht="12.75">
      <c r="A211" t="str">
        <f ca="1">IFERROR(__xludf.DUMMYFUNCTION("""COMPUTED_VALUE"""),"T208")</f>
        <v>T208</v>
      </c>
      <c r="B211" t="str">
        <f ca="1">IFERROR(__xludf.DUMMYFUNCTION("""COMPUTED_VALUE"""),"T125")</f>
        <v>T125</v>
      </c>
      <c r="C211" t="str">
        <f ca="1">IFERROR(__xludf.DUMMYFUNCTION("""COMPUTED_VALUE"""),"Kevin Chappell")</f>
        <v>Kevin Chappell</v>
      </c>
      <c r="D211">
        <f ca="1">IFERROR(__xludf.DUMMYFUNCTION("""COMPUTED_VALUE"""),16)</f>
        <v>16</v>
      </c>
      <c r="E211" t="str">
        <f ca="1">IFERROR(__xludf.DUMMYFUNCTION("""COMPUTED_VALUE"""),"8' 6""")</f>
        <v>8' 6"</v>
      </c>
      <c r="F211">
        <f ca="1">IFERROR(__xludf.DUMMYFUNCTION("""COMPUTED_VALUE"""),4.186)</f>
        <v>4.1859999999999999</v>
      </c>
      <c r="G211">
        <f ca="1">IFERROR(__xludf.DUMMYFUNCTION("""COMPUTED_VALUE"""),41)</f>
        <v>41</v>
      </c>
      <c r="H211">
        <f ca="1">IFERROR(__xludf.DUMMYFUNCTION("""COMPUTED_VALUE"""),106)</f>
        <v>106</v>
      </c>
    </row>
    <row r="212" spans="1:8" ht="12.75">
      <c r="A212" t="str">
        <f ca="1">IFERROR(__xludf.DUMMYFUNCTION("""COMPUTED_VALUE"""),"T211")</f>
        <v>T211</v>
      </c>
      <c r="B212" t="str">
        <f ca="1">IFERROR(__xludf.DUMMYFUNCTION("""COMPUTED_VALUE"""),"T222")</f>
        <v>T222</v>
      </c>
      <c r="C212" t="str">
        <f ca="1">IFERROR(__xludf.DUMMYFUNCTION("""COMPUTED_VALUE"""),"Henrik Stenson")</f>
        <v>Henrik Stenson</v>
      </c>
      <c r="D212">
        <f ca="1">IFERROR(__xludf.DUMMYFUNCTION("""COMPUTED_VALUE"""),11)</f>
        <v>11</v>
      </c>
      <c r="E212" t="str">
        <f ca="1">IFERROR(__xludf.DUMMYFUNCTION("""COMPUTED_VALUE"""),"8' 7""")</f>
        <v>8' 7"</v>
      </c>
      <c r="F212">
        <f ca="1">IFERROR(__xludf.DUMMYFUNCTION("""COMPUTED_VALUE"""),2.066)</f>
        <v>2.0659999999999998</v>
      </c>
      <c r="G212">
        <f ca="1">IFERROR(__xludf.DUMMYFUNCTION("""COMPUTED_VALUE"""),20)</f>
        <v>20</v>
      </c>
      <c r="H212">
        <f ca="1">IFERROR(__xludf.DUMMYFUNCTION("""COMPUTED_VALUE"""),26)</f>
        <v>26</v>
      </c>
    </row>
    <row r="213" spans="1:8" ht="12.75">
      <c r="A213" t="str">
        <f ca="1">IFERROR(__xludf.DUMMYFUNCTION("""COMPUTED_VALUE"""),"T211")</f>
        <v>T211</v>
      </c>
      <c r="B213">
        <f ca="1">IFERROR(__xludf.DUMMYFUNCTION("""COMPUTED_VALUE"""),249)</f>
        <v>249</v>
      </c>
      <c r="C213" t="str">
        <f ca="1">IFERROR(__xludf.DUMMYFUNCTION("""COMPUTED_VALUE"""),"Hunter Mahan")</f>
        <v>Hunter Mahan</v>
      </c>
      <c r="D213">
        <f ca="1">IFERROR(__xludf.DUMMYFUNCTION("""COMPUTED_VALUE"""),14)</f>
        <v>14</v>
      </c>
      <c r="E213" t="str">
        <f ca="1">IFERROR(__xludf.DUMMYFUNCTION("""COMPUTED_VALUE"""),"8' 7""")</f>
        <v>8' 7"</v>
      </c>
      <c r="F213">
        <f ca="1">IFERROR(__xludf.DUMMYFUNCTION("""COMPUTED_VALUE"""),2.687)</f>
        <v>2.6869999999999998</v>
      </c>
      <c r="G213">
        <f ca="1">IFERROR(__xludf.DUMMYFUNCTION("""COMPUTED_VALUE"""),26)</f>
        <v>26</v>
      </c>
      <c r="H213">
        <f ca="1">IFERROR(__xludf.DUMMYFUNCTION("""COMPUTED_VALUE"""),168)</f>
        <v>168</v>
      </c>
    </row>
    <row r="214" spans="1:8" ht="12.75">
      <c r="A214" t="str">
        <f ca="1">IFERROR(__xludf.DUMMYFUNCTION("""COMPUTED_VALUE"""),"T211")</f>
        <v>T211</v>
      </c>
      <c r="B214" t="str">
        <f ca="1">IFERROR(__xludf.DUMMYFUNCTION("""COMPUTED_VALUE"""),"T108")</f>
        <v>T108</v>
      </c>
      <c r="C214" t="str">
        <f ca="1">IFERROR(__xludf.DUMMYFUNCTION("""COMPUTED_VALUE"""),"James Hahn")</f>
        <v>James Hahn</v>
      </c>
      <c r="D214">
        <f ca="1">IFERROR(__xludf.DUMMYFUNCTION("""COMPUTED_VALUE"""),16)</f>
        <v>16</v>
      </c>
      <c r="E214" t="str">
        <f ca="1">IFERROR(__xludf.DUMMYFUNCTION("""COMPUTED_VALUE"""),"8' 7""")</f>
        <v>8' 7"</v>
      </c>
      <c r="F214">
        <f ca="1">IFERROR(__xludf.DUMMYFUNCTION("""COMPUTED_VALUE"""),2.987)</f>
        <v>2.9870000000000001</v>
      </c>
      <c r="G214">
        <f ca="1">IFERROR(__xludf.DUMMYFUNCTION("""COMPUTED_VALUE"""),29)</f>
        <v>29</v>
      </c>
      <c r="H214">
        <f ca="1">IFERROR(__xludf.DUMMYFUNCTION("""COMPUTED_VALUE"""),87)</f>
        <v>87</v>
      </c>
    </row>
    <row r="215" spans="1:8" ht="12.75">
      <c r="A215" t="str">
        <f ca="1">IFERROR(__xludf.DUMMYFUNCTION("""COMPUTED_VALUE"""),"T211")</f>
        <v>T211</v>
      </c>
      <c r="B215" t="str">
        <f ca="1">IFERROR(__xludf.DUMMYFUNCTION("""COMPUTED_VALUE"""),"T115")</f>
        <v>T115</v>
      </c>
      <c r="C215" t="str">
        <f ca="1">IFERROR(__xludf.DUMMYFUNCTION("""COMPUTED_VALUE"""),"Will Gordon")</f>
        <v>Will Gordon</v>
      </c>
      <c r="D215">
        <f ca="1">IFERROR(__xludf.DUMMYFUNCTION("""COMPUTED_VALUE"""),20)</f>
        <v>20</v>
      </c>
      <c r="E215" t="str">
        <f ca="1">IFERROR(__xludf.DUMMYFUNCTION("""COMPUTED_VALUE"""),"8' 7""")</f>
        <v>8' 7"</v>
      </c>
      <c r="F215">
        <f ca="1">IFERROR(__xludf.DUMMYFUNCTION("""COMPUTED_VALUE"""),3.498)</f>
        <v>3.4980000000000002</v>
      </c>
      <c r="G215">
        <f ca="1">IFERROR(__xludf.DUMMYFUNCTION("""COMPUTED_VALUE"""),34)</f>
        <v>34</v>
      </c>
      <c r="H215">
        <f ca="1">IFERROR(__xludf.DUMMYFUNCTION("""COMPUTED_VALUE"""),222)</f>
        <v>222</v>
      </c>
    </row>
    <row r="216" spans="1:8" ht="12.75">
      <c r="A216">
        <f ca="1">IFERROR(__xludf.DUMMYFUNCTION("""COMPUTED_VALUE"""),215)</f>
        <v>215</v>
      </c>
      <c r="B216" t="str">
        <f ca="1">IFERROR(__xludf.DUMMYFUNCTION("""COMPUTED_VALUE"""),"T204")</f>
        <v>T204</v>
      </c>
      <c r="C216" t="str">
        <f ca="1">IFERROR(__xludf.DUMMYFUNCTION("""COMPUTED_VALUE"""),"Emiliano Grillo")</f>
        <v>Emiliano Grillo</v>
      </c>
      <c r="D216">
        <f ca="1">IFERROR(__xludf.DUMMYFUNCTION("""COMPUTED_VALUE"""),22)</f>
        <v>22</v>
      </c>
      <c r="E216" t="str">
        <f ca="1">IFERROR(__xludf.DUMMYFUNCTION("""COMPUTED_VALUE"""),"8' 8""")</f>
        <v>8' 8"</v>
      </c>
      <c r="F216">
        <f ca="1">IFERROR(__xludf.DUMMYFUNCTION("""COMPUTED_VALUE"""),2.607)</f>
        <v>2.6070000000000002</v>
      </c>
      <c r="G216">
        <f ca="1">IFERROR(__xludf.DUMMYFUNCTION("""COMPUTED_VALUE"""),25)</f>
        <v>25</v>
      </c>
      <c r="H216">
        <f ca="1">IFERROR(__xludf.DUMMYFUNCTION("""COMPUTED_VALUE"""),64)</f>
        <v>64</v>
      </c>
    </row>
    <row r="217" spans="1:8" ht="12.75">
      <c r="A217" t="str">
        <f ca="1">IFERROR(__xludf.DUMMYFUNCTION("""COMPUTED_VALUE"""),"T216")</f>
        <v>T216</v>
      </c>
      <c r="B217" t="str">
        <f ca="1">IFERROR(__xludf.DUMMYFUNCTION("""COMPUTED_VALUE"""),"T207")</f>
        <v>T207</v>
      </c>
      <c r="C217" t="str">
        <f ca="1">IFERROR(__xludf.DUMMYFUNCTION("""COMPUTED_VALUE"""),"Shaun Norris")</f>
        <v>Shaun Norris</v>
      </c>
      <c r="D217">
        <f ca="1">IFERROR(__xludf.DUMMYFUNCTION("""COMPUTED_VALUE"""),6)</f>
        <v>6</v>
      </c>
      <c r="E217" t="str">
        <f ca="1">IFERROR(__xludf.DUMMYFUNCTION("""COMPUTED_VALUE"""),"8' 9""")</f>
        <v>8' 9"</v>
      </c>
      <c r="F217">
        <f ca="1">IFERROR(__xludf.DUMMYFUNCTION("""COMPUTED_VALUE"""),1.155)</f>
        <v>1.155</v>
      </c>
      <c r="G217">
        <f ca="1">IFERROR(__xludf.DUMMYFUNCTION("""COMPUTED_VALUE"""),11)</f>
        <v>11</v>
      </c>
      <c r="H217">
        <f ca="1">IFERROR(__xludf.DUMMYFUNCTION("""COMPUTED_VALUE"""),264)</f>
        <v>264</v>
      </c>
    </row>
    <row r="218" spans="1:8" ht="12.75">
      <c r="A218" t="str">
        <f ca="1">IFERROR(__xludf.DUMMYFUNCTION("""COMPUTED_VALUE"""),"T216")</f>
        <v>T216</v>
      </c>
      <c r="B218" t="str">
        <f ca="1">IFERROR(__xludf.DUMMYFUNCTION("""COMPUTED_VALUE"""),"T207")</f>
        <v>T207</v>
      </c>
      <c r="C218" t="str">
        <f ca="1">IFERROR(__xludf.DUMMYFUNCTION("""COMPUTED_VALUE"""),"Seamus Power")</f>
        <v>Seamus Power</v>
      </c>
      <c r="D218">
        <f ca="1">IFERROR(__xludf.DUMMYFUNCTION("""COMPUTED_VALUE"""),8)</f>
        <v>8</v>
      </c>
      <c r="E218" t="str">
        <f ca="1">IFERROR(__xludf.DUMMYFUNCTION("""COMPUTED_VALUE"""),"8' 9""")</f>
        <v>8' 9"</v>
      </c>
      <c r="F218">
        <f ca="1">IFERROR(__xludf.DUMMYFUNCTION("""COMPUTED_VALUE"""),0.736)</f>
        <v>0.73599999999999999</v>
      </c>
      <c r="G218">
        <f ca="1">IFERROR(__xludf.DUMMYFUNCTION("""COMPUTED_VALUE"""),7)</f>
        <v>7</v>
      </c>
      <c r="H218">
        <f ca="1">IFERROR(__xludf.DUMMYFUNCTION("""COMPUTED_VALUE"""),60)</f>
        <v>60</v>
      </c>
    </row>
    <row r="219" spans="1:8" ht="12.75">
      <c r="A219" t="str">
        <f ca="1">IFERROR(__xludf.DUMMYFUNCTION("""COMPUTED_VALUE"""),"T216")</f>
        <v>T216</v>
      </c>
      <c r="B219" t="str">
        <f ca="1">IFERROR(__xludf.DUMMYFUNCTION("""COMPUTED_VALUE"""),"T207")</f>
        <v>T207</v>
      </c>
      <c r="C219" t="str">
        <f ca="1">IFERROR(__xludf.DUMMYFUNCTION("""COMPUTED_VALUE"""),"Rafael Campos")</f>
        <v>Rafael Campos</v>
      </c>
      <c r="D219">
        <f ca="1">IFERROR(__xludf.DUMMYFUNCTION("""COMPUTED_VALUE"""),6)</f>
        <v>6</v>
      </c>
      <c r="E219" t="str">
        <f ca="1">IFERROR(__xludf.DUMMYFUNCTION("""COMPUTED_VALUE"""),"8' 9""")</f>
        <v>8' 9"</v>
      </c>
      <c r="F219">
        <f ca="1">IFERROR(__xludf.DUMMYFUNCTION("""COMPUTED_VALUE"""),0.209)</f>
        <v>0.20899999999999999</v>
      </c>
      <c r="G219">
        <f ca="1">IFERROR(__xludf.DUMMYFUNCTION("""COMPUTED_VALUE"""),2)</f>
        <v>2</v>
      </c>
      <c r="H219">
        <f ca="1">IFERROR(__xludf.DUMMYFUNCTION("""COMPUTED_VALUE"""),179)</f>
        <v>179</v>
      </c>
    </row>
    <row r="220" spans="1:8" ht="12.75">
      <c r="A220" t="str">
        <f ca="1">IFERROR(__xludf.DUMMYFUNCTION("""COMPUTED_VALUE"""),"T216")</f>
        <v>T216</v>
      </c>
      <c r="B220" t="str">
        <f ca="1">IFERROR(__xludf.DUMMYFUNCTION("""COMPUTED_VALUE"""),"T199")</f>
        <v>T199</v>
      </c>
      <c r="C220" t="str">
        <f ca="1">IFERROR(__xludf.DUMMYFUNCTION("""COMPUTED_VALUE"""),"Cameron Tringale")</f>
        <v>Cameron Tringale</v>
      </c>
      <c r="D220">
        <f ca="1">IFERROR(__xludf.DUMMYFUNCTION("""COMPUTED_VALUE"""),16)</f>
        <v>16</v>
      </c>
      <c r="E220" t="str">
        <f ca="1">IFERROR(__xludf.DUMMYFUNCTION("""COMPUTED_VALUE"""),"8' 9""")</f>
        <v>8' 9"</v>
      </c>
      <c r="F220">
        <f ca="1">IFERROR(__xludf.DUMMYFUNCTION("""COMPUTED_VALUE"""),3.48)</f>
        <v>3.48</v>
      </c>
      <c r="G220">
        <f ca="1">IFERROR(__xludf.DUMMYFUNCTION("""COMPUTED_VALUE"""),33)</f>
        <v>33</v>
      </c>
      <c r="H220">
        <f ca="1">IFERROR(__xludf.DUMMYFUNCTION("""COMPUTED_VALUE"""),192)</f>
        <v>192</v>
      </c>
    </row>
    <row r="221" spans="1:8" ht="12.75">
      <c r="A221" t="str">
        <f ca="1">IFERROR(__xludf.DUMMYFUNCTION("""COMPUTED_VALUE"""),"T220")</f>
        <v>T220</v>
      </c>
      <c r="B221" t="str">
        <f ca="1">IFERROR(__xludf.DUMMYFUNCTION("""COMPUTED_VALUE"""),"T213")</f>
        <v>T213</v>
      </c>
      <c r="C221" t="str">
        <f ca="1">IFERROR(__xludf.DUMMYFUNCTION("""COMPUTED_VALUE"""),"Jim Furyk")</f>
        <v>Jim Furyk</v>
      </c>
      <c r="D221">
        <f ca="1">IFERROR(__xludf.DUMMYFUNCTION("""COMPUTED_VALUE"""),4)</f>
        <v>4</v>
      </c>
      <c r="E221" t="str">
        <f ca="1">IFERROR(__xludf.DUMMYFUNCTION("""COMPUTED_VALUE"""),"8' 10""")</f>
        <v>8' 10"</v>
      </c>
      <c r="F221">
        <f ca="1">IFERROR(__xludf.DUMMYFUNCTION("""COMPUTED_VALUE"""),0.425)</f>
        <v>0.42499999999999999</v>
      </c>
      <c r="G221">
        <f ca="1">IFERROR(__xludf.DUMMYFUNCTION("""COMPUTED_VALUE"""),4)</f>
        <v>4</v>
      </c>
      <c r="H221">
        <f ca="1">IFERROR(__xludf.DUMMYFUNCTION("""COMPUTED_VALUE"""),2)</f>
        <v>2</v>
      </c>
    </row>
    <row r="222" spans="1:8" ht="12.75">
      <c r="A222" t="str">
        <f ca="1">IFERROR(__xludf.DUMMYFUNCTION("""COMPUTED_VALUE"""),"T220")</f>
        <v>T220</v>
      </c>
      <c r="B222" t="str">
        <f ca="1">IFERROR(__xludf.DUMMYFUNCTION("""COMPUTED_VALUE"""),"T172")</f>
        <v>T172</v>
      </c>
      <c r="C222" t="str">
        <f ca="1">IFERROR(__xludf.DUMMYFUNCTION("""COMPUTED_VALUE"""),"Rory Sabbatini")</f>
        <v>Rory Sabbatini</v>
      </c>
      <c r="D222">
        <f ca="1">IFERROR(__xludf.DUMMYFUNCTION("""COMPUTED_VALUE"""),13)</f>
        <v>13</v>
      </c>
      <c r="E222" t="str">
        <f ca="1">IFERROR(__xludf.DUMMYFUNCTION("""COMPUTED_VALUE"""),"8' 10""")</f>
        <v>8' 10"</v>
      </c>
      <c r="F222">
        <f ca="1">IFERROR(__xludf.DUMMYFUNCTION("""COMPUTED_VALUE"""),3.485)</f>
        <v>3.4849999999999999</v>
      </c>
      <c r="G222">
        <f ca="1">IFERROR(__xludf.DUMMYFUNCTION("""COMPUTED_VALUE"""),33)</f>
        <v>33</v>
      </c>
      <c r="H222">
        <f ca="1">IFERROR(__xludf.DUMMYFUNCTION("""COMPUTED_VALUE"""),275)</f>
        <v>275</v>
      </c>
    </row>
    <row r="223" spans="1:8" ht="12.75">
      <c r="A223" t="str">
        <f ca="1">IFERROR(__xludf.DUMMYFUNCTION("""COMPUTED_VALUE"""),"T220")</f>
        <v>T220</v>
      </c>
      <c r="B223" t="str">
        <f ca="1">IFERROR(__xludf.DUMMYFUNCTION("""COMPUTED_VALUE"""),"T222")</f>
        <v>T222</v>
      </c>
      <c r="C223" t="str">
        <f ca="1">IFERROR(__xludf.DUMMYFUNCTION("""COMPUTED_VALUE"""),"Sean O'Hair")</f>
        <v>Sean O'Hair</v>
      </c>
      <c r="D223">
        <f ca="1">IFERROR(__xludf.DUMMYFUNCTION("""COMPUTED_VALUE"""),14)</f>
        <v>14</v>
      </c>
      <c r="E223" t="str">
        <f ca="1">IFERROR(__xludf.DUMMYFUNCTION("""COMPUTED_VALUE"""),"8' 10""")</f>
        <v>8' 10"</v>
      </c>
      <c r="F223">
        <f ca="1">IFERROR(__xludf.DUMMYFUNCTION("""COMPUTED_VALUE"""),3.821)</f>
        <v>3.8210000000000002</v>
      </c>
      <c r="G223">
        <f ca="1">IFERROR(__xludf.DUMMYFUNCTION("""COMPUTED_VALUE"""),36)</f>
        <v>36</v>
      </c>
      <c r="H223">
        <f ca="1">IFERROR(__xludf.DUMMYFUNCTION("""COMPUTED_VALUE"""),219)</f>
        <v>219</v>
      </c>
    </row>
    <row r="224" spans="1:8" ht="12.75">
      <c r="A224" t="str">
        <f ca="1">IFERROR(__xludf.DUMMYFUNCTION("""COMPUTED_VALUE"""),"T220")</f>
        <v>T220</v>
      </c>
      <c r="B224" t="str">
        <f ca="1">IFERROR(__xludf.DUMMYFUNCTION("""COMPUTED_VALUE"""),"T213")</f>
        <v>T213</v>
      </c>
      <c r="C224" t="str">
        <f ca="1">IFERROR(__xludf.DUMMYFUNCTION("""COMPUTED_VALUE"""),"Rafa Cabrera Bello")</f>
        <v>Rafa Cabrera Bello</v>
      </c>
      <c r="D224">
        <f ca="1">IFERROR(__xludf.DUMMYFUNCTION("""COMPUTED_VALUE"""),14)</f>
        <v>14</v>
      </c>
      <c r="E224" t="str">
        <f ca="1">IFERROR(__xludf.DUMMYFUNCTION("""COMPUTED_VALUE"""),"8' 10""")</f>
        <v>8' 10"</v>
      </c>
      <c r="F224">
        <f ca="1">IFERROR(__xludf.DUMMYFUNCTION("""COMPUTED_VALUE"""),3.513)</f>
        <v>3.5129999999999999</v>
      </c>
      <c r="G224">
        <f ca="1">IFERROR(__xludf.DUMMYFUNCTION("""COMPUTED_VALUE"""),33)</f>
        <v>33</v>
      </c>
      <c r="H224">
        <f ca="1">IFERROR(__xludf.DUMMYFUNCTION("""COMPUTED_VALUE"""),234)</f>
        <v>234</v>
      </c>
    </row>
    <row r="225" spans="1:8" ht="12.75">
      <c r="A225" t="str">
        <f ca="1">IFERROR(__xludf.DUMMYFUNCTION("""COMPUTED_VALUE"""),"T220")</f>
        <v>T220</v>
      </c>
      <c r="B225" t="str">
        <f ca="1">IFERROR(__xludf.DUMMYFUNCTION("""COMPUTED_VALUE"""),"T222")</f>
        <v>T222</v>
      </c>
      <c r="C225" t="str">
        <f ca="1">IFERROR(__xludf.DUMMYFUNCTION("""COMPUTED_VALUE"""),"Martin Laird")</f>
        <v>Martin Laird</v>
      </c>
      <c r="D225">
        <f ca="1">IFERROR(__xludf.DUMMYFUNCTION("""COMPUTED_VALUE"""),16)</f>
        <v>16</v>
      </c>
      <c r="E225" t="str">
        <f ca="1">IFERROR(__xludf.DUMMYFUNCTION("""COMPUTED_VALUE"""),"8' 10""")</f>
        <v>8' 10"</v>
      </c>
      <c r="F225">
        <f ca="1">IFERROR(__xludf.DUMMYFUNCTION("""COMPUTED_VALUE"""),2.638)</f>
        <v>2.6379999999999999</v>
      </c>
      <c r="G225">
        <f ca="1">IFERROR(__xludf.DUMMYFUNCTION("""COMPUTED_VALUE"""),25)</f>
        <v>25</v>
      </c>
      <c r="H225">
        <f ca="1">IFERROR(__xludf.DUMMYFUNCTION("""COMPUTED_VALUE"""),225)</f>
        <v>225</v>
      </c>
    </row>
    <row r="226" spans="1:8" ht="12.75">
      <c r="A226" t="str">
        <f ca="1">IFERROR(__xludf.DUMMYFUNCTION("""COMPUTED_VALUE"""),"T220")</f>
        <v>T220</v>
      </c>
      <c r="B226" t="str">
        <f ca="1">IFERROR(__xludf.DUMMYFUNCTION("""COMPUTED_VALUE"""),"T213")</f>
        <v>T213</v>
      </c>
      <c r="C226" t="str">
        <f ca="1">IFERROR(__xludf.DUMMYFUNCTION("""COMPUTED_VALUE"""),"Kiradech Aphibarnrat")</f>
        <v>Kiradech Aphibarnrat</v>
      </c>
      <c r="D226">
        <f ca="1">IFERROR(__xludf.DUMMYFUNCTION("""COMPUTED_VALUE"""),12)</f>
        <v>12</v>
      </c>
      <c r="E226" t="str">
        <f ca="1">IFERROR(__xludf.DUMMYFUNCTION("""COMPUTED_VALUE"""),"8' 10""")</f>
        <v>8' 10"</v>
      </c>
      <c r="F226">
        <f ca="1">IFERROR(__xludf.DUMMYFUNCTION("""COMPUTED_VALUE"""),1.06)</f>
        <v>1.06</v>
      </c>
      <c r="G226">
        <f ca="1">IFERROR(__xludf.DUMMYFUNCTION("""COMPUTED_VALUE"""),10)</f>
        <v>10</v>
      </c>
      <c r="H226">
        <f ca="1">IFERROR(__xludf.DUMMYFUNCTION("""COMPUTED_VALUE"""),37)</f>
        <v>37</v>
      </c>
    </row>
    <row r="227" spans="1:8" ht="12.75">
      <c r="A227" t="str">
        <f ca="1">IFERROR(__xludf.DUMMYFUNCTION("""COMPUTED_VALUE"""),"T220")</f>
        <v>T220</v>
      </c>
      <c r="B227" t="str">
        <f ca="1">IFERROR(__xludf.DUMMYFUNCTION("""COMPUTED_VALUE"""),"T213")</f>
        <v>T213</v>
      </c>
      <c r="C227" t="str">
        <f ca="1">IFERROR(__xludf.DUMMYFUNCTION("""COMPUTED_VALUE"""),"Sebastian Cappelen")</f>
        <v>Sebastian Cappelen</v>
      </c>
      <c r="D227">
        <f ca="1">IFERROR(__xludf.DUMMYFUNCTION("""COMPUTED_VALUE"""),8)</f>
        <v>8</v>
      </c>
      <c r="E227" t="str">
        <f ca="1">IFERROR(__xludf.DUMMYFUNCTION("""COMPUTED_VALUE"""),"8' 10""")</f>
        <v>8' 10"</v>
      </c>
      <c r="F227">
        <f ca="1">IFERROR(__xludf.DUMMYFUNCTION("""COMPUTED_VALUE"""),0.635)</f>
        <v>0.63500000000000001</v>
      </c>
      <c r="G227">
        <f ca="1">IFERROR(__xludf.DUMMYFUNCTION("""COMPUTED_VALUE"""),6)</f>
        <v>6</v>
      </c>
      <c r="H227">
        <f ca="1">IFERROR(__xludf.DUMMYFUNCTION("""COMPUTED_VALUE"""),76)</f>
        <v>76</v>
      </c>
    </row>
    <row r="228" spans="1:8" ht="12.75">
      <c r="A228" t="str">
        <f ca="1">IFERROR(__xludf.DUMMYFUNCTION("""COMPUTED_VALUE"""),"T220")</f>
        <v>T220</v>
      </c>
      <c r="B228" t="str">
        <f ca="1">IFERROR(__xludf.DUMMYFUNCTION("""COMPUTED_VALUE"""),"T155")</f>
        <v>T155</v>
      </c>
      <c r="C228" t="str">
        <f ca="1">IFERROR(__xludf.DUMMYFUNCTION("""COMPUTED_VALUE"""),"Denny McCarthy")</f>
        <v>Denny McCarthy</v>
      </c>
      <c r="D228">
        <f ca="1">IFERROR(__xludf.DUMMYFUNCTION("""COMPUTED_VALUE"""),22)</f>
        <v>22</v>
      </c>
      <c r="E228" t="str">
        <f ca="1">IFERROR(__xludf.DUMMYFUNCTION("""COMPUTED_VALUE"""),"8' 10""")</f>
        <v>8' 10"</v>
      </c>
      <c r="F228">
        <f ca="1">IFERROR(__xludf.DUMMYFUNCTION("""COMPUTED_VALUE"""),4.883)</f>
        <v>4.883</v>
      </c>
      <c r="G228">
        <f ca="1">IFERROR(__xludf.DUMMYFUNCTION("""COMPUTED_VALUE"""),46)</f>
        <v>46</v>
      </c>
      <c r="H228">
        <f ca="1">IFERROR(__xludf.DUMMYFUNCTION("""COMPUTED_VALUE"""),42)</f>
        <v>42</v>
      </c>
    </row>
    <row r="229" spans="1:8" ht="12.75">
      <c r="A229" t="str">
        <f ca="1">IFERROR(__xludf.DUMMYFUNCTION("""COMPUTED_VALUE"""),"T228")</f>
        <v>T228</v>
      </c>
      <c r="B229" t="str">
        <f ca="1">IFERROR(__xludf.DUMMYFUNCTION("""COMPUTED_VALUE"""),"T217")</f>
        <v>T217</v>
      </c>
      <c r="C229" t="str">
        <f ca="1">IFERROR(__xludf.DUMMYFUNCTION("""COMPUTED_VALUE"""),"Dominic Bozzelli")</f>
        <v>Dominic Bozzelli</v>
      </c>
      <c r="D229">
        <f ca="1">IFERROR(__xludf.DUMMYFUNCTION("""COMPUTED_VALUE"""),8)</f>
        <v>8</v>
      </c>
      <c r="E229" t="str">
        <f ca="1">IFERROR(__xludf.DUMMYFUNCTION("""COMPUTED_VALUE"""),"8' 11""")</f>
        <v>8' 11"</v>
      </c>
      <c r="F229">
        <f ca="1">IFERROR(__xludf.DUMMYFUNCTION("""COMPUTED_VALUE"""),0.427)</f>
        <v>0.42699999999999999</v>
      </c>
      <c r="G229">
        <f ca="1">IFERROR(__xludf.DUMMYFUNCTION("""COMPUTED_VALUE"""),4)</f>
        <v>4</v>
      </c>
      <c r="H229">
        <f ca="1">IFERROR(__xludf.DUMMYFUNCTION("""COMPUTED_VALUE"""),31)</f>
        <v>31</v>
      </c>
    </row>
    <row r="230" spans="1:8" ht="12.75">
      <c r="A230" t="str">
        <f ca="1">IFERROR(__xludf.DUMMYFUNCTION("""COMPUTED_VALUE"""),"T228")</f>
        <v>T228</v>
      </c>
      <c r="B230" t="str">
        <f ca="1">IFERROR(__xludf.DUMMYFUNCTION("""COMPUTED_VALUE"""),"T217")</f>
        <v>T217</v>
      </c>
      <c r="C230" t="str">
        <f ca="1">IFERROR(__xludf.DUMMYFUNCTION("""COMPUTED_VALUE"""),"Davis Riley")</f>
        <v>Davis Riley</v>
      </c>
      <c r="D230">
        <f ca="1">IFERROR(__xludf.DUMMYFUNCTION("""COMPUTED_VALUE"""),4)</f>
        <v>4</v>
      </c>
      <c r="E230" t="str">
        <f ca="1">IFERROR(__xludf.DUMMYFUNCTION("""COMPUTED_VALUE"""),"8' 11""")</f>
        <v>8' 11"</v>
      </c>
      <c r="F230">
        <f ca="1">IFERROR(__xludf.DUMMYFUNCTION("""COMPUTED_VALUE"""),1.182)</f>
        <v>1.1819999999999999</v>
      </c>
      <c r="G230">
        <f ca="1">IFERROR(__xludf.DUMMYFUNCTION("""COMPUTED_VALUE"""),11)</f>
        <v>11</v>
      </c>
      <c r="H230">
        <f ca="1">IFERROR(__xludf.DUMMYFUNCTION("""COMPUTED_VALUE"""),289)</f>
        <v>289</v>
      </c>
    </row>
    <row r="231" spans="1:8" ht="12.75">
      <c r="A231" t="str">
        <f ca="1">IFERROR(__xludf.DUMMYFUNCTION("""COMPUTED_VALUE"""),"T228")</f>
        <v>T228</v>
      </c>
      <c r="B231" t="str">
        <f ca="1">IFERROR(__xludf.DUMMYFUNCTION("""COMPUTED_VALUE"""),"T217")</f>
        <v>T217</v>
      </c>
      <c r="C231" t="str">
        <f ca="1">IFERROR(__xludf.DUMMYFUNCTION("""COMPUTED_VALUE"""),"Cameron Champ")</f>
        <v>Cameron Champ</v>
      </c>
      <c r="D231">
        <f ca="1">IFERROR(__xludf.DUMMYFUNCTION("""COMPUTED_VALUE"""),12)</f>
        <v>12</v>
      </c>
      <c r="E231" t="str">
        <f ca="1">IFERROR(__xludf.DUMMYFUNCTION("""COMPUTED_VALUE"""),"8' 11""")</f>
        <v>8' 11"</v>
      </c>
      <c r="F231">
        <f ca="1">IFERROR(__xludf.DUMMYFUNCTION("""COMPUTED_VALUE"""),3.328)</f>
        <v>3.3279999999999998</v>
      </c>
      <c r="G231">
        <f ca="1">IFERROR(__xludf.DUMMYFUNCTION("""COMPUTED_VALUE"""),31)</f>
        <v>31</v>
      </c>
      <c r="H231">
        <f ca="1">IFERROR(__xludf.DUMMYFUNCTION("""COMPUTED_VALUE"""),150)</f>
        <v>150</v>
      </c>
    </row>
    <row r="232" spans="1:8" ht="12.75">
      <c r="A232" t="str">
        <f ca="1">IFERROR(__xludf.DUMMYFUNCTION("""COMPUTED_VALUE"""),"T231")</f>
        <v>T231</v>
      </c>
      <c r="B232">
        <f ca="1">IFERROR(__xludf.DUMMYFUNCTION("""COMPUTED_VALUE"""),233)</f>
        <v>233</v>
      </c>
      <c r="C232" t="str">
        <f ca="1">IFERROR(__xludf.DUMMYFUNCTION("""COMPUTED_VALUE"""),"Ryan Armour")</f>
        <v>Ryan Armour</v>
      </c>
      <c r="D232">
        <f ca="1">IFERROR(__xludf.DUMMYFUNCTION("""COMPUTED_VALUE"""),16)</f>
        <v>16</v>
      </c>
      <c r="E232" t="str">
        <f ca="1">IFERROR(__xludf.DUMMYFUNCTION("""COMPUTED_VALUE"""),"9' 0""")</f>
        <v>9' 0"</v>
      </c>
      <c r="F232">
        <f ca="1">IFERROR(__xludf.DUMMYFUNCTION("""COMPUTED_VALUE"""),2.701)</f>
        <v>2.7010000000000001</v>
      </c>
      <c r="G232">
        <f ca="1">IFERROR(__xludf.DUMMYFUNCTION("""COMPUTED_VALUE"""),25)</f>
        <v>25</v>
      </c>
      <c r="H232">
        <f ca="1">IFERROR(__xludf.DUMMYFUNCTION("""COMPUTED_VALUE"""),118)</f>
        <v>118</v>
      </c>
    </row>
    <row r="233" spans="1:8" ht="12.75">
      <c r="A233" t="str">
        <f ca="1">IFERROR(__xludf.DUMMYFUNCTION("""COMPUTED_VALUE"""),"T231")</f>
        <v>T231</v>
      </c>
      <c r="B233">
        <f ca="1">IFERROR(__xludf.DUMMYFUNCTION("""COMPUTED_VALUE"""),220)</f>
        <v>220</v>
      </c>
      <c r="C233" t="str">
        <f ca="1">IFERROR(__xludf.DUMMYFUNCTION("""COMPUTED_VALUE"""),"Matthew Wolff")</f>
        <v>Matthew Wolff</v>
      </c>
      <c r="D233">
        <f ca="1">IFERROR(__xludf.DUMMYFUNCTION("""COMPUTED_VALUE"""),16)</f>
        <v>16</v>
      </c>
      <c r="E233" t="str">
        <f ca="1">IFERROR(__xludf.DUMMYFUNCTION("""COMPUTED_VALUE"""),"9' 0""")</f>
        <v>9' 0"</v>
      </c>
      <c r="F233">
        <f ca="1">IFERROR(__xludf.DUMMYFUNCTION("""COMPUTED_VALUE"""),3.118)</f>
        <v>3.1179999999999999</v>
      </c>
      <c r="G233">
        <f ca="1">IFERROR(__xludf.DUMMYFUNCTION("""COMPUTED_VALUE"""),29)</f>
        <v>29</v>
      </c>
      <c r="H233">
        <f ca="1">IFERROR(__xludf.DUMMYFUNCTION("""COMPUTED_VALUE"""),260)</f>
        <v>260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IFERROR(__xludf.DUMMYFUNCTION("""COMPUTED_VALUE"""),221)</f>
        <v>221</v>
      </c>
      <c r="C234" t="str">
        <f ca="1">IFERROR(__xludf.DUMMYFUNCTION("""COMPUTED_VALUE"""),"Will Zalatoris")</f>
        <v>Will Zalatoris</v>
      </c>
      <c r="D234">
        <f ca="1">IFERROR(__xludf.DUMMYFUNCTION("""COMPUTED_VALUE"""),18)</f>
        <v>18</v>
      </c>
      <c r="E234" t="str">
        <f ca="1">IFERROR(__xludf.DUMMYFUNCTION("""COMPUTED_VALUE"""),"9' 1""")</f>
        <v>9' 1"</v>
      </c>
      <c r="F234">
        <f ca="1">IFERROR(__xludf.DUMMYFUNCTION("""COMPUTED_VALUE"""),1.851)</f>
        <v>1.851</v>
      </c>
      <c r="G234">
        <f ca="1">IFERROR(__xludf.DUMMYFUNCTION("""COMPUTED_VALUE"""),17)</f>
        <v>17</v>
      </c>
      <c r="H234">
        <f ca="1">IFERROR(__xludf.DUMMYFUNCTION("""COMPUTED_VALUE"""),48)</f>
        <v>48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IFERROR(__xludf.DUMMYFUNCTION("""COMPUTED_VALUE"""),"")</f>
        <v/>
      </c>
      <c r="C235" t="str">
        <f ca="1">IFERROR(__xludf.DUMMYFUNCTION("""COMPUTED_VALUE"""),"Greg Chalmers")</f>
        <v>Greg Chalmers</v>
      </c>
      <c r="D235">
        <f ca="1">IFERROR(__xludf.DUMMYFUNCTION("""COMPUTED_VALUE"""),6)</f>
        <v>6</v>
      </c>
      <c r="E235" t="str">
        <f ca="1">IFERROR(__xludf.DUMMYFUNCTION("""COMPUTED_VALUE"""),"9' 2""")</f>
        <v>9' 2"</v>
      </c>
      <c r="F235">
        <f ca="1">IFERROR(__xludf.DUMMYFUNCTION("""COMPUTED_VALUE"""),2.857)</f>
        <v>2.8570000000000002</v>
      </c>
      <c r="G235">
        <f ca="1">IFERROR(__xludf.DUMMYFUNCTION("""COMPUTED_VALUE"""),26)</f>
        <v>26</v>
      </c>
      <c r="H235">
        <f ca="1">IFERROR(__xludf.DUMMYFUNCTION("""COMPUTED_VALUE"""),211)</f>
        <v>211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IFERROR(__xludf.DUMMYFUNCTION("""COMPUTED_VALUE"""),"T189")</f>
        <v>T189</v>
      </c>
      <c r="C236" t="str">
        <f ca="1">IFERROR(__xludf.DUMMYFUNCTION("""COMPUTED_VALUE"""),"Bronson Burgoon")</f>
        <v>Bronson Burgoon</v>
      </c>
      <c r="D236">
        <f ca="1">IFERROR(__xludf.DUMMYFUNCTION("""COMPUTED_VALUE"""),10)</f>
        <v>10</v>
      </c>
      <c r="E236" t="str">
        <f ca="1">IFERROR(__xludf.DUMMYFUNCTION("""COMPUTED_VALUE"""),"9' 2""")</f>
        <v>9' 2"</v>
      </c>
      <c r="F236">
        <f ca="1">IFERROR(__xludf.DUMMYFUNCTION("""COMPUTED_VALUE"""),2.75)</f>
        <v>2.75</v>
      </c>
      <c r="G236">
        <f ca="1">IFERROR(__xludf.DUMMYFUNCTION("""COMPUTED_VALUE"""),25)</f>
        <v>25</v>
      </c>
      <c r="H236">
        <f ca="1">IFERROR(__xludf.DUMMYFUNCTION("""COMPUTED_VALUE"""),232)</f>
        <v>232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IFERROR(__xludf.DUMMYFUNCTION("""COMPUTED_VALUE"""),"T222")</f>
        <v>T222</v>
      </c>
      <c r="C237" t="str">
        <f ca="1">IFERROR(__xludf.DUMMYFUNCTION("""COMPUTED_VALUE"""),"William McGirt")</f>
        <v>William McGirt</v>
      </c>
      <c r="D237">
        <f ca="1">IFERROR(__xludf.DUMMYFUNCTION("""COMPUTED_VALUE"""),6)</f>
        <v>6</v>
      </c>
      <c r="E237" t="str">
        <f ca="1">IFERROR(__xludf.DUMMYFUNCTION("""COMPUTED_VALUE"""),"9' 2""")</f>
        <v>9' 2"</v>
      </c>
      <c r="F237">
        <f ca="1">IFERROR(__xludf.DUMMYFUNCTION("""COMPUTED_VALUE"""),0.876)</f>
        <v>0.876</v>
      </c>
      <c r="G237">
        <f ca="1">IFERROR(__xludf.DUMMYFUNCTION("""COMPUTED_VALUE"""),8)</f>
        <v>8</v>
      </c>
      <c r="H237">
        <f ca="1">IFERROR(__xludf.DUMMYFUNCTION("""COMPUTED_VALUE"""),203)</f>
        <v>203</v>
      </c>
    </row>
    <row r="238" spans="1:8" ht="12.75">
      <c r="A238" t="str">
        <f ca="1">IFERROR(__xludf.DUMMYFUNCTION("""COMPUTED_VALUE"""),"T237")</f>
        <v>T237</v>
      </c>
      <c r="B238" t="str">
        <f ca="1">IFERROR(__xludf.DUMMYFUNCTION("""COMPUTED_VALUE"""),"T228")</f>
        <v>T228</v>
      </c>
      <c r="C238" t="str">
        <f ca="1">IFERROR(__xludf.DUMMYFUNCTION("""COMPUTED_VALUE"""),"Patrick Rodgers")</f>
        <v>Patrick Rodgers</v>
      </c>
      <c r="D238">
        <f ca="1">IFERROR(__xludf.DUMMYFUNCTION("""COMPUTED_VALUE"""),18)</f>
        <v>18</v>
      </c>
      <c r="E238" t="str">
        <f ca="1">IFERROR(__xludf.DUMMYFUNCTION("""COMPUTED_VALUE"""),"9' 3""")</f>
        <v>9' 3"</v>
      </c>
      <c r="F238">
        <f ca="1">IFERROR(__xludf.DUMMYFUNCTION("""COMPUTED_VALUE"""),3)</f>
        <v>3</v>
      </c>
      <c r="G238">
        <f ca="1">IFERROR(__xludf.DUMMYFUNCTION("""COMPUTED_VALUE"""),27)</f>
        <v>27</v>
      </c>
      <c r="H238">
        <f ca="1">IFERROR(__xludf.DUMMYFUNCTION("""COMPUTED_VALUE"""),205)</f>
        <v>205</v>
      </c>
    </row>
    <row r="239" spans="1:8" ht="12.75">
      <c r="A239" t="str">
        <f ca="1">IFERROR(__xludf.DUMMYFUNCTION("""COMPUTED_VALUE"""),"T237")</f>
        <v>T237</v>
      </c>
      <c r="B239">
        <f ca="1">IFERROR(__xludf.DUMMYFUNCTION("""COMPUTED_VALUE"""),203)</f>
        <v>203</v>
      </c>
      <c r="C239" t="str">
        <f ca="1">IFERROR(__xludf.DUMMYFUNCTION("""COMPUTED_VALUE"""),"Harold Varner III")</f>
        <v>Harold Varner III</v>
      </c>
      <c r="D239">
        <f ca="1">IFERROR(__xludf.DUMMYFUNCTION("""COMPUTED_VALUE"""),14)</f>
        <v>14</v>
      </c>
      <c r="E239" t="str">
        <f ca="1">IFERROR(__xludf.DUMMYFUNCTION("""COMPUTED_VALUE"""),"9' 3""")</f>
        <v>9' 3"</v>
      </c>
      <c r="F239">
        <f ca="1">IFERROR(__xludf.DUMMYFUNCTION("""COMPUTED_VALUE"""),3.212)</f>
        <v>3.2120000000000002</v>
      </c>
      <c r="G239">
        <f ca="1">IFERROR(__xludf.DUMMYFUNCTION("""COMPUTED_VALUE"""),29)</f>
        <v>29</v>
      </c>
      <c r="H239">
        <f ca="1">IFERROR(__xludf.DUMMYFUNCTION("""COMPUTED_VALUE"""),111)</f>
        <v>111</v>
      </c>
    </row>
    <row r="240" spans="1:8" ht="12.75">
      <c r="A240" t="str">
        <f ca="1">IFERROR(__xludf.DUMMYFUNCTION("""COMPUTED_VALUE"""),"T237")</f>
        <v>T237</v>
      </c>
      <c r="B240" t="str">
        <f ca="1">IFERROR(__xludf.DUMMYFUNCTION("""COMPUTED_VALUE"""),"T226")</f>
        <v>T226</v>
      </c>
      <c r="C240" t="str">
        <f ca="1">IFERROR(__xludf.DUMMYFUNCTION("""COMPUTED_VALUE"""),"Rikuya Hoshino")</f>
        <v>Rikuya Hoshino</v>
      </c>
      <c r="D240">
        <f ca="1">IFERROR(__xludf.DUMMYFUNCTION("""COMPUTED_VALUE"""),4)</f>
        <v>4</v>
      </c>
      <c r="E240" t="str">
        <f ca="1">IFERROR(__xludf.DUMMYFUNCTION("""COMPUTED_VALUE"""),"9' 3""")</f>
        <v>9' 3"</v>
      </c>
      <c r="F240">
        <f ca="1">IFERROR(__xludf.DUMMYFUNCTION("""COMPUTED_VALUE"""),1.112)</f>
        <v>1.1120000000000001</v>
      </c>
      <c r="G240">
        <f ca="1">IFERROR(__xludf.DUMMYFUNCTION("""COMPUTED_VALUE"""),10)</f>
        <v>10</v>
      </c>
      <c r="H240">
        <f ca="1">IFERROR(__xludf.DUMMYFUNCTION("""COMPUTED_VALUE"""),13)</f>
        <v>13</v>
      </c>
    </row>
    <row r="241" spans="1:8" ht="12.75">
      <c r="A241" t="str">
        <f ca="1">IFERROR(__xludf.DUMMYFUNCTION("""COMPUTED_VALUE"""),"T237")</f>
        <v>T237</v>
      </c>
      <c r="B241" t="str">
        <f ca="1">IFERROR(__xludf.DUMMYFUNCTION("""COMPUTED_VALUE"""),"T226")</f>
        <v>T226</v>
      </c>
      <c r="C241" t="str">
        <f ca="1">IFERROR(__xludf.DUMMYFUNCTION("""COMPUTED_VALUE"""),"Vincent Whaley")</f>
        <v>Vincent Whaley</v>
      </c>
      <c r="D241">
        <f ca="1">IFERROR(__xludf.DUMMYFUNCTION("""COMPUTED_VALUE"""),14)</f>
        <v>14</v>
      </c>
      <c r="E241" t="str">
        <f ca="1">IFERROR(__xludf.DUMMYFUNCTION("""COMPUTED_VALUE"""),"9' 3""")</f>
        <v>9' 3"</v>
      </c>
      <c r="F241">
        <f ca="1">IFERROR(__xludf.DUMMYFUNCTION("""COMPUTED_VALUE"""),1.895)</f>
        <v>1.895</v>
      </c>
      <c r="G241">
        <f ca="1">IFERROR(__xludf.DUMMYFUNCTION("""COMPUTED_VALUE"""),17)</f>
        <v>17</v>
      </c>
      <c r="H241">
        <f ca="1">IFERROR(__xludf.DUMMYFUNCTION("""COMPUTED_VALUE"""),31)</f>
        <v>31</v>
      </c>
    </row>
    <row r="242" spans="1:8" ht="12.75">
      <c r="A242" t="str">
        <f ca="1">IFERROR(__xludf.DUMMYFUNCTION("""COMPUTED_VALUE"""),"T241")</f>
        <v>T241</v>
      </c>
      <c r="B242" t="str">
        <f ca="1">IFERROR(__xludf.DUMMYFUNCTION("""COMPUTED_VALUE"""),"T242")</f>
        <v>T242</v>
      </c>
      <c r="C242" t="str">
        <f ca="1">IFERROR(__xludf.DUMMYFUNCTION("""COMPUTED_VALUE"""),"Satoshi Kodaira")</f>
        <v>Satoshi Kodaira</v>
      </c>
      <c r="D242">
        <f ca="1">IFERROR(__xludf.DUMMYFUNCTION("""COMPUTED_VALUE"""),12)</f>
        <v>12</v>
      </c>
      <c r="E242" t="str">
        <f ca="1">IFERROR(__xludf.DUMMYFUNCTION("""COMPUTED_VALUE"""),"9' 4""")</f>
        <v>9' 4"</v>
      </c>
      <c r="F242">
        <f ca="1">IFERROR(__xludf.DUMMYFUNCTION("""COMPUTED_VALUE"""),4.911)</f>
        <v>4.9109999999999996</v>
      </c>
      <c r="G242">
        <f ca="1">IFERROR(__xludf.DUMMYFUNCTION("""COMPUTED_VALUE"""),44)</f>
        <v>44</v>
      </c>
      <c r="H242">
        <f ca="1">IFERROR(__xludf.DUMMYFUNCTION("""COMPUTED_VALUE"""),138)</f>
        <v>138</v>
      </c>
    </row>
    <row r="243" spans="1:8" ht="12.75">
      <c r="A243" t="str">
        <f ca="1">IFERROR(__xludf.DUMMYFUNCTION("""COMPUTED_VALUE"""),"T241")</f>
        <v>T241</v>
      </c>
      <c r="B243" t="str">
        <f ca="1">IFERROR(__xludf.DUMMYFUNCTION("""COMPUTED_VALUE"""),"T228")</f>
        <v>T228</v>
      </c>
      <c r="C243" t="str">
        <f ca="1">IFERROR(__xludf.DUMMYFUNCTION("""COMPUTED_VALUE"""),"Joaquin Niemann")</f>
        <v>Joaquin Niemann</v>
      </c>
      <c r="D243">
        <f ca="1">IFERROR(__xludf.DUMMYFUNCTION("""COMPUTED_VALUE"""),16)</f>
        <v>16</v>
      </c>
      <c r="E243" t="str">
        <f ca="1">IFERROR(__xludf.DUMMYFUNCTION("""COMPUTED_VALUE"""),"9' 4""")</f>
        <v>9' 4"</v>
      </c>
      <c r="F243">
        <f ca="1">IFERROR(__xludf.DUMMYFUNCTION("""COMPUTED_VALUE"""),4.381)</f>
        <v>4.3810000000000002</v>
      </c>
      <c r="G243">
        <f ca="1">IFERROR(__xludf.DUMMYFUNCTION("""COMPUTED_VALUE"""),39)</f>
        <v>39</v>
      </c>
      <c r="H243">
        <f ca="1">IFERROR(__xludf.DUMMYFUNCTION("""COMPUTED_VALUE"""),59)</f>
        <v>59</v>
      </c>
    </row>
    <row r="244" spans="1:8" ht="12.75">
      <c r="A244">
        <f ca="1">IFERROR(__xludf.DUMMYFUNCTION("""COMPUTED_VALUE"""),243)</f>
        <v>243</v>
      </c>
      <c r="B244">
        <f ca="1">IFERROR(__xludf.DUMMYFUNCTION("""COMPUTED_VALUE"""),255)</f>
        <v>255</v>
      </c>
      <c r="C244" t="str">
        <f ca="1">IFERROR(__xludf.DUMMYFUNCTION("""COMPUTED_VALUE"""),"Hideki Matsuyama")</f>
        <v>Hideki Matsuyama</v>
      </c>
      <c r="D244">
        <f ca="1">IFERROR(__xludf.DUMMYFUNCTION("""COMPUTED_VALUE"""),18)</f>
        <v>18</v>
      </c>
      <c r="E244" t="str">
        <f ca="1">IFERROR(__xludf.DUMMYFUNCTION("""COMPUTED_VALUE"""),"9' 5""")</f>
        <v>9' 5"</v>
      </c>
      <c r="F244">
        <f ca="1">IFERROR(__xludf.DUMMYFUNCTION("""COMPUTED_VALUE"""),5.299)</f>
        <v>5.2990000000000004</v>
      </c>
      <c r="G244">
        <f ca="1">IFERROR(__xludf.DUMMYFUNCTION("""COMPUTED_VALUE"""),47)</f>
        <v>47</v>
      </c>
      <c r="H244">
        <f ca="1">IFERROR(__xludf.DUMMYFUNCTION("""COMPUTED_VALUE"""),78)</f>
        <v>78</v>
      </c>
    </row>
    <row r="245" spans="1:8" ht="12.75">
      <c r="A245" t="str">
        <f ca="1">IFERROR(__xludf.DUMMYFUNCTION("""COMPUTED_VALUE"""),"T244")</f>
        <v>T244</v>
      </c>
      <c r="B245" t="str">
        <f ca="1">IFERROR(__xludf.DUMMYFUNCTION("""COMPUTED_VALUE"""),"T231")</f>
        <v>T231</v>
      </c>
      <c r="C245" t="str">
        <f ca="1">IFERROR(__xludf.DUMMYFUNCTION("""COMPUTED_VALUE"""),"Peter Uihlein")</f>
        <v>Peter Uihlein</v>
      </c>
      <c r="D245">
        <f ca="1">IFERROR(__xludf.DUMMYFUNCTION("""COMPUTED_VALUE"""),8)</f>
        <v>8</v>
      </c>
      <c r="E245" t="str">
        <f ca="1">IFERROR(__xludf.DUMMYFUNCTION("""COMPUTED_VALUE"""),"9' 6""")</f>
        <v>9' 6"</v>
      </c>
      <c r="F245">
        <f ca="1">IFERROR(__xludf.DUMMYFUNCTION("""COMPUTED_VALUE"""),0.114)</f>
        <v>0.114</v>
      </c>
      <c r="G245">
        <f ca="1">IFERROR(__xludf.DUMMYFUNCTION("""COMPUTED_VALUE"""),1)</f>
        <v>1</v>
      </c>
      <c r="H245">
        <f ca="1">IFERROR(__xludf.DUMMYFUNCTION("""COMPUTED_VALUE"""),258)</f>
        <v>258</v>
      </c>
    </row>
    <row r="246" spans="1:8" ht="12.75">
      <c r="A246" t="str">
        <f ca="1">IFERROR(__xludf.DUMMYFUNCTION("""COMPUTED_VALUE"""),"T244")</f>
        <v>T244</v>
      </c>
      <c r="B246" t="str">
        <f ca="1">IFERROR(__xludf.DUMMYFUNCTION("""COMPUTED_VALUE"""),"T231")</f>
        <v>T231</v>
      </c>
      <c r="C246" t="str">
        <f ca="1">IFERROR(__xludf.DUMMYFUNCTION("""COMPUTED_VALUE"""),"Michael Gligic")</f>
        <v>Michael Gligic</v>
      </c>
      <c r="D246">
        <f ca="1">IFERROR(__xludf.DUMMYFUNCTION("""COMPUTED_VALUE"""),18)</f>
        <v>18</v>
      </c>
      <c r="E246" t="str">
        <f ca="1">IFERROR(__xludf.DUMMYFUNCTION("""COMPUTED_VALUE"""),"9' 6""")</f>
        <v>9' 6"</v>
      </c>
      <c r="F246">
        <f ca="1">IFERROR(__xludf.DUMMYFUNCTION("""COMPUTED_VALUE"""),2.272)</f>
        <v>2.2719999999999998</v>
      </c>
      <c r="G246">
        <f ca="1">IFERROR(__xludf.DUMMYFUNCTION("""COMPUTED_VALUE"""),20)</f>
        <v>20</v>
      </c>
      <c r="H246">
        <f ca="1">IFERROR(__xludf.DUMMYFUNCTION("""COMPUTED_VALUE"""),14)</f>
        <v>14</v>
      </c>
    </row>
    <row r="247" spans="1:8" ht="12.75">
      <c r="A247" t="str">
        <f ca="1">IFERROR(__xludf.DUMMYFUNCTION("""COMPUTED_VALUE"""),"T246")</f>
        <v>T246</v>
      </c>
      <c r="B247" t="str">
        <f ca="1">IFERROR(__xludf.DUMMYFUNCTION("""COMPUTED_VALUE"""),"T99")</f>
        <v>T99</v>
      </c>
      <c r="C247" t="str">
        <f ca="1">IFERROR(__xludf.DUMMYFUNCTION("""COMPUTED_VALUE"""),"Luke Donald")</f>
        <v>Luke Donald</v>
      </c>
      <c r="D247">
        <f ca="1">IFERROR(__xludf.DUMMYFUNCTION("""COMPUTED_VALUE"""),14)</f>
        <v>14</v>
      </c>
      <c r="E247" t="str">
        <f ca="1">IFERROR(__xludf.DUMMYFUNCTION("""COMPUTED_VALUE"""),"9' 8""")</f>
        <v>9' 8"</v>
      </c>
      <c r="F247">
        <f ca="1">IFERROR(__xludf.DUMMYFUNCTION("""COMPUTED_VALUE"""),3.012)</f>
        <v>3.012</v>
      </c>
      <c r="G247">
        <f ca="1">IFERROR(__xludf.DUMMYFUNCTION("""COMPUTED_VALUE"""),26)</f>
        <v>26</v>
      </c>
      <c r="H247">
        <f ca="1">IFERROR(__xludf.DUMMYFUNCTION("""COMPUTED_VALUE"""),254)</f>
        <v>254</v>
      </c>
    </row>
    <row r="248" spans="1:8" ht="12.75">
      <c r="A248" t="str">
        <f ca="1">IFERROR(__xludf.DUMMYFUNCTION("""COMPUTED_VALUE"""),"T246")</f>
        <v>T246</v>
      </c>
      <c r="B248" t="str">
        <f ca="1">IFERROR(__xludf.DUMMYFUNCTION("""COMPUTED_VALUE"""),"T237")</f>
        <v>T237</v>
      </c>
      <c r="C248" t="str">
        <f ca="1">IFERROR(__xludf.DUMMYFUNCTION("""COMPUTED_VALUE"""),"Tyrrell Hatton")</f>
        <v>Tyrrell Hatton</v>
      </c>
      <c r="D248">
        <f ca="1">IFERROR(__xludf.DUMMYFUNCTION("""COMPUTED_VALUE"""),14)</f>
        <v>14</v>
      </c>
      <c r="E248" t="str">
        <f ca="1">IFERROR(__xludf.DUMMYFUNCTION("""COMPUTED_VALUE"""),"9' 8""")</f>
        <v>9' 8"</v>
      </c>
      <c r="F248">
        <f ca="1">IFERROR(__xludf.DUMMYFUNCTION("""COMPUTED_VALUE"""),3.943)</f>
        <v>3.9430000000000001</v>
      </c>
      <c r="G248">
        <f ca="1">IFERROR(__xludf.DUMMYFUNCTION("""COMPUTED_VALUE"""),34)</f>
        <v>34</v>
      </c>
      <c r="H248">
        <f ca="1">IFERROR(__xludf.DUMMYFUNCTION("""COMPUTED_VALUE"""),189)</f>
        <v>189</v>
      </c>
    </row>
    <row r="249" spans="1:8" ht="12.75">
      <c r="A249" t="str">
        <f ca="1">IFERROR(__xludf.DUMMYFUNCTION("""COMPUTED_VALUE"""),"T246")</f>
        <v>T246</v>
      </c>
      <c r="B249" t="str">
        <f ca="1">IFERROR(__xludf.DUMMYFUNCTION("""COMPUTED_VALUE"""),"T21")</f>
        <v>T21</v>
      </c>
      <c r="C249" t="str">
        <f ca="1">IFERROR(__xludf.DUMMYFUNCTION("""COMPUTED_VALUE"""),"Keith Mitchell")</f>
        <v>Keith Mitchell</v>
      </c>
      <c r="D249">
        <f ca="1">IFERROR(__xludf.DUMMYFUNCTION("""COMPUTED_VALUE"""),14)</f>
        <v>14</v>
      </c>
      <c r="E249" t="str">
        <f ca="1">IFERROR(__xludf.DUMMYFUNCTION("""COMPUTED_VALUE"""),"9' 8""")</f>
        <v>9' 8"</v>
      </c>
      <c r="F249">
        <f ca="1">IFERROR(__xludf.DUMMYFUNCTION("""COMPUTED_VALUE"""),2.085)</f>
        <v>2.085</v>
      </c>
      <c r="G249">
        <f ca="1">IFERROR(__xludf.DUMMYFUNCTION("""COMPUTED_VALUE"""),18)</f>
        <v>18</v>
      </c>
      <c r="H249">
        <f ca="1">IFERROR(__xludf.DUMMYFUNCTION("""COMPUTED_VALUE"""),176)</f>
        <v>176</v>
      </c>
    </row>
    <row r="250" spans="1:8" ht="12.75">
      <c r="A250">
        <f ca="1">IFERROR(__xludf.DUMMYFUNCTION("""COMPUTED_VALUE"""),249)</f>
        <v>249</v>
      </c>
      <c r="B250" t="str">
        <f ca="1">IFERROR(__xludf.DUMMYFUNCTION("""COMPUTED_VALUE"""),"T235")</f>
        <v>T235</v>
      </c>
      <c r="C250" t="str">
        <f ca="1">IFERROR(__xludf.DUMMYFUNCTION("""COMPUTED_VALUE"""),"Wesley Bryan")</f>
        <v>Wesley Bryan</v>
      </c>
      <c r="D250">
        <f ca="1">IFERROR(__xludf.DUMMYFUNCTION("""COMPUTED_VALUE"""),8)</f>
        <v>8</v>
      </c>
      <c r="E250" t="str">
        <f ca="1">IFERROR(__xludf.DUMMYFUNCTION("""COMPUTED_VALUE"""),"9' 9""")</f>
        <v>9' 9"</v>
      </c>
      <c r="F250">
        <f ca="1">IFERROR(__xludf.DUMMYFUNCTION("""COMPUTED_VALUE"""),1.283)</f>
        <v>1.2829999999999999</v>
      </c>
      <c r="G250">
        <f ca="1">IFERROR(__xludf.DUMMYFUNCTION("""COMPUTED_VALUE"""),11)</f>
        <v>11</v>
      </c>
      <c r="H250">
        <f ca="1">IFERROR(__xludf.DUMMYFUNCTION("""COMPUTED_VALUE"""),174)</f>
        <v>174</v>
      </c>
    </row>
    <row r="251" spans="1:8" ht="12.75">
      <c r="A251">
        <f ca="1">IFERROR(__xludf.DUMMYFUNCTION("""COMPUTED_VALUE"""),250)</f>
        <v>250</v>
      </c>
      <c r="B251" t="str">
        <f ca="1">IFERROR(__xludf.DUMMYFUNCTION("""COMPUTED_VALUE"""),"T237")</f>
        <v>T237</v>
      </c>
      <c r="C251" t="str">
        <f ca="1">IFERROR(__xludf.DUMMYFUNCTION("""COMPUTED_VALUE"""),"MJ Daffue")</f>
        <v>MJ Daffue</v>
      </c>
      <c r="D251">
        <f ca="1">IFERROR(__xludf.DUMMYFUNCTION("""COMPUTED_VALUE"""),10)</f>
        <v>10</v>
      </c>
      <c r="E251" t="str">
        <f ca="1">IFERROR(__xludf.DUMMYFUNCTION("""COMPUTED_VALUE"""),"9' 10""")</f>
        <v>9' 10"</v>
      </c>
      <c r="F251">
        <f ca="1">IFERROR(__xludf.DUMMYFUNCTION("""COMPUTED_VALUE"""),2.705)</f>
        <v>2.7050000000000001</v>
      </c>
      <c r="G251">
        <f ca="1">IFERROR(__xludf.DUMMYFUNCTION("""COMPUTED_VALUE"""),23)</f>
        <v>23</v>
      </c>
      <c r="H251">
        <f ca="1">IFERROR(__xludf.DUMMYFUNCTION("""COMPUTED_VALUE"""),142)</f>
        <v>142</v>
      </c>
    </row>
    <row r="252" spans="1:8" ht="12.75">
      <c r="A252">
        <f ca="1">IFERROR(__xludf.DUMMYFUNCTION("""COMPUTED_VALUE"""),251)</f>
        <v>251</v>
      </c>
      <c r="B252" t="str">
        <f ca="1">IFERROR(__xludf.DUMMYFUNCTION("""COMPUTED_VALUE"""),"T239")</f>
        <v>T239</v>
      </c>
      <c r="C252" t="str">
        <f ca="1">IFERROR(__xludf.DUMMYFUNCTION("""COMPUTED_VALUE"""),"Sangmoon Bae")</f>
        <v>Sangmoon Bae</v>
      </c>
      <c r="D252">
        <f ca="1">IFERROR(__xludf.DUMMYFUNCTION("""COMPUTED_VALUE"""),8)</f>
        <v>8</v>
      </c>
      <c r="E252" t="str">
        <f ca="1">IFERROR(__xludf.DUMMYFUNCTION("""COMPUTED_VALUE"""),"9' 11""")</f>
        <v>9' 11"</v>
      </c>
      <c r="F252">
        <f ca="1">IFERROR(__xludf.DUMMYFUNCTION("""COMPUTED_VALUE"""),0.358)</f>
        <v>0.35799999999999998</v>
      </c>
      <c r="G252">
        <f ca="1">IFERROR(__xludf.DUMMYFUNCTION("""COMPUTED_VALUE"""),3)</f>
        <v>3</v>
      </c>
      <c r="H252">
        <f ca="1">IFERROR(__xludf.DUMMYFUNCTION("""COMPUTED_VALUE"""),147)</f>
        <v>147</v>
      </c>
    </row>
    <row r="253" spans="1:8" ht="12.75">
      <c r="A253">
        <f ca="1">IFERROR(__xludf.DUMMYFUNCTION("""COMPUTED_VALUE"""),252)</f>
        <v>252</v>
      </c>
      <c r="B253">
        <f ca="1">IFERROR(__xludf.DUMMYFUNCTION("""COMPUTED_VALUE"""),241)</f>
        <v>241</v>
      </c>
      <c r="C253" t="str">
        <f ca="1">IFERROR(__xludf.DUMMYFUNCTION("""COMPUTED_VALUE"""),"Takumi Kanaya")</f>
        <v>Takumi Kanaya</v>
      </c>
      <c r="D253">
        <f ca="1">IFERROR(__xludf.DUMMYFUNCTION("""COMPUTED_VALUE"""),6)</f>
        <v>6</v>
      </c>
      <c r="E253" t="str">
        <f ca="1">IFERROR(__xludf.DUMMYFUNCTION("""COMPUTED_VALUE"""),"10' 0""")</f>
        <v>10' 0"</v>
      </c>
      <c r="F253">
        <f ca="1">IFERROR(__xludf.DUMMYFUNCTION("""COMPUTED_VALUE"""),0.842)</f>
        <v>0.84199999999999997</v>
      </c>
      <c r="G253">
        <f ca="1">IFERROR(__xludf.DUMMYFUNCTION("""COMPUTED_VALUE"""),7)</f>
        <v>7</v>
      </c>
      <c r="H253">
        <f ca="1">IFERROR(__xludf.DUMMYFUNCTION("""COMPUTED_VALUE"""),235)</f>
        <v>235</v>
      </c>
    </row>
    <row r="254" spans="1:8" ht="12.75">
      <c r="A254">
        <f ca="1">IFERROR(__xludf.DUMMYFUNCTION("""COMPUTED_VALUE"""),253)</f>
        <v>253</v>
      </c>
      <c r="B254" t="str">
        <f ca="1">IFERROR(__xludf.DUMMYFUNCTION("""COMPUTED_VALUE"""),"T242")</f>
        <v>T242</v>
      </c>
      <c r="C254" t="str">
        <f ca="1">IFERROR(__xludf.DUMMYFUNCTION("""COMPUTED_VALUE"""),"Michael Gellerman")</f>
        <v>Michael Gellerman</v>
      </c>
      <c r="D254">
        <f ca="1">IFERROR(__xludf.DUMMYFUNCTION("""COMPUTED_VALUE"""),5)</f>
        <v>5</v>
      </c>
      <c r="E254" t="str">
        <f ca="1">IFERROR(__xludf.DUMMYFUNCTION("""COMPUTED_VALUE"""),"10' 2""")</f>
        <v>10' 2"</v>
      </c>
      <c r="F254">
        <f ca="1">IFERROR(__xludf.DUMMYFUNCTION("""COMPUTED_VALUE"""),0.366)</f>
        <v>0.36599999999999999</v>
      </c>
      <c r="G254">
        <f ca="1">IFERROR(__xludf.DUMMYFUNCTION("""COMPUTED_VALUE"""),3)</f>
        <v>3</v>
      </c>
      <c r="H254">
        <f ca="1">IFERROR(__xludf.DUMMYFUNCTION("""COMPUTED_VALUE"""),225)</f>
        <v>225</v>
      </c>
    </row>
    <row r="255" spans="1:8" ht="12.75">
      <c r="A255">
        <f ca="1">IFERROR(__xludf.DUMMYFUNCTION("""COMPUTED_VALUE"""),254)</f>
        <v>254</v>
      </c>
      <c r="B255">
        <f ca="1">IFERROR(__xludf.DUMMYFUNCTION("""COMPUTED_VALUE"""),244)</f>
        <v>244</v>
      </c>
      <c r="C255" t="str">
        <f ca="1">IFERROR(__xludf.DUMMYFUNCTION("""COMPUTED_VALUE"""),"Parker McLachlin")</f>
        <v>Parker McLachlin</v>
      </c>
      <c r="D255">
        <f ca="1">IFERROR(__xludf.DUMMYFUNCTION("""COMPUTED_VALUE"""),4)</f>
        <v>4</v>
      </c>
      <c r="E255" t="str">
        <f ca="1">IFERROR(__xludf.DUMMYFUNCTION("""COMPUTED_VALUE"""),"10' 3""")</f>
        <v>10' 3"</v>
      </c>
      <c r="F255">
        <f ca="1">IFERROR(__xludf.DUMMYFUNCTION("""COMPUTED_VALUE"""),0.737)</f>
        <v>0.73699999999999999</v>
      </c>
      <c r="G255">
        <f ca="1">IFERROR(__xludf.DUMMYFUNCTION("""COMPUTED_VALUE"""),6)</f>
        <v>6</v>
      </c>
      <c r="H255">
        <f ca="1">IFERROR(__xludf.DUMMYFUNCTION("""COMPUTED_VALUE"""),167)</f>
        <v>167</v>
      </c>
    </row>
    <row r="256" spans="1:8" ht="12.75">
      <c r="A256">
        <f ca="1">IFERROR(__xludf.DUMMYFUNCTION("""COMPUTED_VALUE"""),255)</f>
        <v>255</v>
      </c>
      <c r="B256">
        <f ca="1">IFERROR(__xludf.DUMMYFUNCTION("""COMPUTED_VALUE"""),245)</f>
        <v>245</v>
      </c>
      <c r="C256" t="str">
        <f ca="1">IFERROR(__xludf.DUMMYFUNCTION("""COMPUTED_VALUE"""),"Brandon Hagy")</f>
        <v>Brandon Hagy</v>
      </c>
      <c r="D256">
        <f ca="1">IFERROR(__xludf.DUMMYFUNCTION("""COMPUTED_VALUE"""),10)</f>
        <v>10</v>
      </c>
      <c r="E256" t="str">
        <f ca="1">IFERROR(__xludf.DUMMYFUNCTION("""COMPUTED_VALUE"""),"10' 5""")</f>
        <v>10' 5"</v>
      </c>
      <c r="F256">
        <f ca="1">IFERROR(__xludf.DUMMYFUNCTION("""COMPUTED_VALUE"""),0.878)</f>
        <v>0.878</v>
      </c>
      <c r="G256">
        <f ca="1">IFERROR(__xludf.DUMMYFUNCTION("""COMPUTED_VALUE"""),7)</f>
        <v>7</v>
      </c>
      <c r="H256">
        <f ca="1">IFERROR(__xludf.DUMMYFUNCTION("""COMPUTED_VALUE"""),194)</f>
        <v>194</v>
      </c>
    </row>
    <row r="257" spans="1:8" ht="12.75">
      <c r="A257" t="str">
        <f ca="1">IFERROR(__xludf.DUMMYFUNCTION("""COMPUTED_VALUE"""),"T256")</f>
        <v>T256</v>
      </c>
      <c r="B257">
        <f ca="1">IFERROR(__xludf.DUMMYFUNCTION("""COMPUTED_VALUE"""),248)</f>
        <v>248</v>
      </c>
      <c r="C257" t="str">
        <f ca="1">IFERROR(__xludf.DUMMYFUNCTION("""COMPUTED_VALUE"""),"Louis Oosthuizen")</f>
        <v>Louis Oosthuizen</v>
      </c>
      <c r="D257">
        <f ca="1">IFERROR(__xludf.DUMMYFUNCTION("""COMPUTED_VALUE"""),12)</f>
        <v>12</v>
      </c>
      <c r="E257" t="str">
        <f ca="1">IFERROR(__xludf.DUMMYFUNCTION("""COMPUTED_VALUE"""),"10' 7""")</f>
        <v>10' 7"</v>
      </c>
      <c r="F257">
        <f ca="1">IFERROR(__xludf.DUMMYFUNCTION("""COMPUTED_VALUE"""),2.283)</f>
        <v>2.2829999999999999</v>
      </c>
      <c r="G257">
        <f ca="1">IFERROR(__xludf.DUMMYFUNCTION("""COMPUTED_VALUE"""),18)</f>
        <v>18</v>
      </c>
      <c r="H257">
        <f ca="1">IFERROR(__xludf.DUMMYFUNCTION("""COMPUTED_VALUE"""),63)</f>
        <v>63</v>
      </c>
    </row>
    <row r="258" spans="1:8" ht="12.75">
      <c r="A258" t="str">
        <f ca="1">IFERROR(__xludf.DUMMYFUNCTION("""COMPUTED_VALUE"""),"T256")</f>
        <v>T256</v>
      </c>
      <c r="B258" t="str">
        <f ca="1">IFERROR(__xludf.DUMMYFUNCTION("""COMPUTED_VALUE"""),"T246")</f>
        <v>T246</v>
      </c>
      <c r="C258" t="str">
        <f ca="1">IFERROR(__xludf.DUMMYFUNCTION("""COMPUTED_VALUE"""),"Brice Garnett")</f>
        <v>Brice Garnett</v>
      </c>
      <c r="D258">
        <f ca="1">IFERROR(__xludf.DUMMYFUNCTION("""COMPUTED_VALUE"""),22)</f>
        <v>22</v>
      </c>
      <c r="E258" t="str">
        <f ca="1">IFERROR(__xludf.DUMMYFUNCTION("""COMPUTED_VALUE"""),"10' 7""")</f>
        <v>10' 7"</v>
      </c>
      <c r="F258">
        <f ca="1">IFERROR(__xludf.DUMMYFUNCTION("""COMPUTED_VALUE"""),5.574)</f>
        <v>5.5739999999999998</v>
      </c>
      <c r="G258">
        <f ca="1">IFERROR(__xludf.DUMMYFUNCTION("""COMPUTED_VALUE"""),44)</f>
        <v>44</v>
      </c>
      <c r="H258">
        <f ca="1">IFERROR(__xludf.DUMMYFUNCTION("""COMPUTED_VALUE"""),77)</f>
        <v>77</v>
      </c>
    </row>
    <row r="259" spans="1:8" ht="12.75">
      <c r="A259">
        <f ca="1">IFERROR(__xludf.DUMMYFUNCTION("""COMPUTED_VALUE"""),258)</f>
        <v>258</v>
      </c>
      <c r="B259">
        <f ca="1">IFERROR(__xludf.DUMMYFUNCTION("""COMPUTED_VALUE"""),250)</f>
        <v>250</v>
      </c>
      <c r="C259" t="str">
        <f ca="1">IFERROR(__xludf.DUMMYFUNCTION("""COMPUTED_VALUE"""),"Jim Herman")</f>
        <v>Jim Herman</v>
      </c>
      <c r="D259">
        <f ca="1">IFERROR(__xludf.DUMMYFUNCTION("""COMPUTED_VALUE"""),12)</f>
        <v>12</v>
      </c>
      <c r="E259" t="str">
        <f ca="1">IFERROR(__xludf.DUMMYFUNCTION("""COMPUTED_VALUE"""),"10' 10""")</f>
        <v>10' 10"</v>
      </c>
      <c r="F259">
        <f ca="1">IFERROR(__xludf.DUMMYFUNCTION("""COMPUTED_VALUE"""),3.108)</f>
        <v>3.1080000000000001</v>
      </c>
      <c r="G259">
        <f ca="1">IFERROR(__xludf.DUMMYFUNCTION("""COMPUTED_VALUE"""),24)</f>
        <v>24</v>
      </c>
      <c r="H259">
        <f ca="1">IFERROR(__xludf.DUMMYFUNCTION("""COMPUTED_VALUE"""),155)</f>
        <v>155</v>
      </c>
    </row>
    <row r="260" spans="1:8" ht="12.75">
      <c r="A260">
        <f ca="1">IFERROR(__xludf.DUMMYFUNCTION("""COMPUTED_VALUE"""),259)</f>
        <v>259</v>
      </c>
      <c r="B260" t="str">
        <f ca="1">IFERROR(__xludf.DUMMYFUNCTION("""COMPUTED_VALUE"""),"T251")</f>
        <v>T251</v>
      </c>
      <c r="C260" t="str">
        <f ca="1">IFERROR(__xludf.DUMMYFUNCTION("""COMPUTED_VALUE"""),"Jazz Janewattananond")</f>
        <v>Jazz Janewattananond</v>
      </c>
      <c r="D260">
        <f ca="1">IFERROR(__xludf.DUMMYFUNCTION("""COMPUTED_VALUE"""),6)</f>
        <v>6</v>
      </c>
      <c r="E260" t="str">
        <f ca="1">IFERROR(__xludf.DUMMYFUNCTION("""COMPUTED_VALUE"""),"10' 11""")</f>
        <v>10' 11"</v>
      </c>
      <c r="F260">
        <f ca="1">IFERROR(__xludf.DUMMYFUNCTION("""COMPUTED_VALUE"""),1.971)</f>
        <v>1.9710000000000001</v>
      </c>
      <c r="G260">
        <f ca="1">IFERROR(__xludf.DUMMYFUNCTION("""COMPUTED_VALUE"""),15)</f>
        <v>15</v>
      </c>
      <c r="H260">
        <f ca="1">IFERROR(__xludf.DUMMYFUNCTION("""COMPUTED_VALUE"""),288)</f>
        <v>288</v>
      </c>
    </row>
    <row r="261" spans="1:8" ht="12.75">
      <c r="A261">
        <f ca="1">IFERROR(__xludf.DUMMYFUNCTION("""COMPUTED_VALUE"""),260)</f>
        <v>260</v>
      </c>
      <c r="B261">
        <f ca="1">IFERROR(__xludf.DUMMYFUNCTION("""COMPUTED_VALUE"""),266)</f>
        <v>266</v>
      </c>
      <c r="C261" t="str">
        <f ca="1">IFERROR(__xludf.DUMMYFUNCTION("""COMPUTED_VALUE"""),"Bo Van Pelt")</f>
        <v>Bo Van Pelt</v>
      </c>
      <c r="D261">
        <f ca="1">IFERROR(__xludf.DUMMYFUNCTION("""COMPUTED_VALUE"""),10)</f>
        <v>10</v>
      </c>
      <c r="E261" t="str">
        <f ca="1">IFERROR(__xludf.DUMMYFUNCTION("""COMPUTED_VALUE"""),"11' 0""")</f>
        <v>11' 0"</v>
      </c>
      <c r="F261">
        <f ca="1">IFERROR(__xludf.DUMMYFUNCTION("""COMPUTED_VALUE"""),2.252)</f>
        <v>2.2519999999999998</v>
      </c>
      <c r="G261">
        <f ca="1">IFERROR(__xludf.DUMMYFUNCTION("""COMPUTED_VALUE"""),17)</f>
        <v>17</v>
      </c>
      <c r="H261">
        <f ca="1">IFERROR(__xludf.DUMMYFUNCTION("""COMPUTED_VALUE"""),265)</f>
        <v>265</v>
      </c>
    </row>
    <row r="262" spans="1:8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IFERROR(__xludf.DUMMYFUNCTION("""COMPUTED_VALUE"""),"Tiger Woods")</f>
        <v>Tiger Woods</v>
      </c>
      <c r="D262">
        <f ca="1">IFERROR(__xludf.DUMMYFUNCTION("""COMPUTED_VALUE"""),6)</f>
        <v>6</v>
      </c>
      <c r="E262" t="str">
        <f ca="1">IFERROR(__xludf.DUMMYFUNCTION("""COMPUTED_VALUE"""),"11' 2""")</f>
        <v>11' 2"</v>
      </c>
      <c r="F262">
        <f ca="1">IFERROR(__xludf.DUMMYFUNCTION("""COMPUTED_VALUE"""),1.608)</f>
        <v>1.6080000000000001</v>
      </c>
      <c r="G262">
        <f ca="1">IFERROR(__xludf.DUMMYFUNCTION("""COMPUTED_VALUE"""),12)</f>
        <v>12</v>
      </c>
      <c r="H262">
        <f ca="1">IFERROR(__xludf.DUMMYFUNCTION("""COMPUTED_VALUE"""),276)</f>
        <v>276</v>
      </c>
    </row>
    <row r="263" spans="1:8" ht="12.75">
      <c r="A263" t="str">
        <f ca="1">IFERROR(__xludf.DUMMYFUNCTION("""COMPUTED_VALUE"""),"T262")</f>
        <v>T262</v>
      </c>
      <c r="B263">
        <f ca="1">IFERROR(__xludf.DUMMYFUNCTION("""COMPUTED_VALUE"""),254)</f>
        <v>254</v>
      </c>
      <c r="C263" t="str">
        <f ca="1">IFERROR(__xludf.DUMMYFUNCTION("""COMPUTED_VALUE"""),"Johnson Wagner")</f>
        <v>Johnson Wagner</v>
      </c>
      <c r="D263">
        <f ca="1">IFERROR(__xludf.DUMMYFUNCTION("""COMPUTED_VALUE"""),8)</f>
        <v>8</v>
      </c>
      <c r="E263" t="str">
        <f ca="1">IFERROR(__xludf.DUMMYFUNCTION("""COMPUTED_VALUE"""),"11' 5""")</f>
        <v>11' 5"</v>
      </c>
      <c r="F263">
        <f ca="1">IFERROR(__xludf.DUMMYFUNCTION("""COMPUTED_VALUE"""),0.273)</f>
        <v>0.27300000000000002</v>
      </c>
      <c r="G263">
        <f ca="1">IFERROR(__xludf.DUMMYFUNCTION("""COMPUTED_VALUE"""),2)</f>
        <v>2</v>
      </c>
      <c r="H263">
        <f ca="1">IFERROR(__xludf.DUMMYFUNCTION("""COMPUTED_VALUE"""),158)</f>
        <v>158</v>
      </c>
    </row>
    <row r="264" spans="1:8" ht="12.75">
      <c r="A264" t="str">
        <f ca="1">IFERROR(__xludf.DUMMYFUNCTION("""COMPUTED_VALUE"""),"T262")</f>
        <v>T262</v>
      </c>
      <c r="B264" t="str">
        <f ca="1">IFERROR(__xludf.DUMMYFUNCTION("""COMPUTED_VALUE"""),"T251")</f>
        <v>T251</v>
      </c>
      <c r="C264" t="str">
        <f ca="1">IFERROR(__xludf.DUMMYFUNCTION("""COMPUTED_VALUE"""),"Viktor Hovland")</f>
        <v>Viktor Hovland</v>
      </c>
      <c r="D264">
        <f ca="1">IFERROR(__xludf.DUMMYFUNCTION("""COMPUTED_VALUE"""),16)</f>
        <v>16</v>
      </c>
      <c r="E264" t="str">
        <f ca="1">IFERROR(__xludf.DUMMYFUNCTION("""COMPUTED_VALUE"""),"11' 5""")</f>
        <v>11' 5"</v>
      </c>
      <c r="F264">
        <f ca="1">IFERROR(__xludf.DUMMYFUNCTION("""COMPUTED_VALUE"""),4.665)</f>
        <v>4.665</v>
      </c>
      <c r="G264">
        <f ca="1">IFERROR(__xludf.DUMMYFUNCTION("""COMPUTED_VALUE"""),34)</f>
        <v>34</v>
      </c>
      <c r="H264">
        <f ca="1">IFERROR(__xludf.DUMMYFUNCTION("""COMPUTED_VALUE"""),183)</f>
        <v>183</v>
      </c>
    </row>
    <row r="265" spans="1:8" ht="12.75">
      <c r="A265">
        <f ca="1">IFERROR(__xludf.DUMMYFUNCTION("""COMPUTED_VALUE"""),264)</f>
        <v>264</v>
      </c>
      <c r="B265">
        <f ca="1">IFERROR(__xludf.DUMMYFUNCTION("""COMPUTED_VALUE"""),256)</f>
        <v>256</v>
      </c>
      <c r="C265" t="str">
        <f ca="1">IFERROR(__xludf.DUMMYFUNCTION("""COMPUTED_VALUE"""),"John Pak")</f>
        <v>John Pak</v>
      </c>
      <c r="D265">
        <f ca="1">IFERROR(__xludf.DUMMYFUNCTION("""COMPUTED_VALUE"""),4)</f>
        <v>4</v>
      </c>
      <c r="E265" t="str">
        <f ca="1">IFERROR(__xludf.DUMMYFUNCTION("""COMPUTED_VALUE"""),"12' 5""")</f>
        <v>12' 5"</v>
      </c>
      <c r="F265">
        <f ca="1">IFERROR(__xludf.DUMMYFUNCTION("""COMPUTED_VALUE"""),1.344)</f>
        <v>1.3440000000000001</v>
      </c>
      <c r="G265">
        <f ca="1">IFERROR(__xludf.DUMMYFUNCTION("""COMPUTED_VALUE"""),9)</f>
        <v>9</v>
      </c>
      <c r="H265">
        <f ca="1">IFERROR(__xludf.DUMMYFUNCTION("""COMPUTED_VALUE"""),277)</f>
        <v>277</v>
      </c>
    </row>
    <row r="266" spans="1:8" ht="12.75">
      <c r="A266" t="str">
        <f ca="1">IFERROR(__xludf.DUMMYFUNCTION("""COMPUTED_VALUE"""),"T265")</f>
        <v>T265</v>
      </c>
      <c r="B266" t="str">
        <f ca="1">IFERROR(__xludf.DUMMYFUNCTION("""COMPUTED_VALUE"""),"T257")</f>
        <v>T257</v>
      </c>
      <c r="C266" t="str">
        <f ca="1">IFERROR(__xludf.DUMMYFUNCTION("""COMPUTED_VALUE"""),"Christiaan Bezuidenhout")</f>
        <v>Christiaan Bezuidenhout</v>
      </c>
      <c r="D266">
        <f ca="1">IFERROR(__xludf.DUMMYFUNCTION("""COMPUTED_VALUE"""),4)</f>
        <v>4</v>
      </c>
      <c r="E266" t="str">
        <f ca="1">IFERROR(__xludf.DUMMYFUNCTION("""COMPUTED_VALUE"""),"12' 7""")</f>
        <v>12' 7"</v>
      </c>
      <c r="F266">
        <f ca="1">IFERROR(__xludf.DUMMYFUNCTION("""COMPUTED_VALUE"""),1.057)</f>
        <v>1.0569999999999999</v>
      </c>
      <c r="G266">
        <f ca="1">IFERROR(__xludf.DUMMYFUNCTION("""COMPUTED_VALUE"""),7)</f>
        <v>7</v>
      </c>
      <c r="H266">
        <f ca="1">IFERROR(__xludf.DUMMYFUNCTION("""COMPUTED_VALUE"""),252)</f>
        <v>252</v>
      </c>
    </row>
    <row r="267" spans="1:8" ht="12.75">
      <c r="A267" t="str">
        <f ca="1">IFERROR(__xludf.DUMMYFUNCTION("""COMPUTED_VALUE"""),"T265")</f>
        <v>T265</v>
      </c>
      <c r="B267" t="str">
        <f ca="1">IFERROR(__xludf.DUMMYFUNCTION("""COMPUTED_VALUE"""),"T257")</f>
        <v>T257</v>
      </c>
      <c r="C267" t="str">
        <f ca="1">IFERROR(__xludf.DUMMYFUNCTION("""COMPUTED_VALUE"""),"Jeongwoo Ham")</f>
        <v>Jeongwoo Ham</v>
      </c>
      <c r="D267">
        <f ca="1">IFERROR(__xludf.DUMMYFUNCTION("""COMPUTED_VALUE"""),4)</f>
        <v>4</v>
      </c>
      <c r="E267" t="str">
        <f ca="1">IFERROR(__xludf.DUMMYFUNCTION("""COMPUTED_VALUE"""),"12' 7""")</f>
        <v>12' 7"</v>
      </c>
      <c r="F267">
        <f ca="1">IFERROR(__xludf.DUMMYFUNCTION("""COMPUTED_VALUE"""),0.603)</f>
        <v>0.60299999999999998</v>
      </c>
      <c r="G267">
        <f ca="1">IFERROR(__xludf.DUMMYFUNCTION("""COMPUTED_VALUE"""),4)</f>
        <v>4</v>
      </c>
      <c r="H267">
        <f ca="1">IFERROR(__xludf.DUMMYFUNCTION("""COMPUTED_VALUE"""),273)</f>
        <v>273</v>
      </c>
    </row>
    <row r="268" spans="1:8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IFERROR(__xludf.DUMMYFUNCTION("""COMPUTED_VALUE"""),"Romain Langasque")</f>
        <v>Romain Langasque</v>
      </c>
      <c r="D268">
        <f ca="1">IFERROR(__xludf.DUMMYFUNCTION("""COMPUTED_VALUE"""),4)</f>
        <v>4</v>
      </c>
      <c r="E268" t="str">
        <f ca="1">IFERROR(__xludf.DUMMYFUNCTION("""COMPUTED_VALUE"""),"12' 10""")</f>
        <v>12' 10"</v>
      </c>
      <c r="F268">
        <f ca="1">IFERROR(__xludf.DUMMYFUNCTION("""COMPUTED_VALUE"""),1.691)</f>
        <v>1.6910000000000001</v>
      </c>
      <c r="G268">
        <f ca="1">IFERROR(__xludf.DUMMYFUNCTION("""COMPUTED_VALUE"""),11)</f>
        <v>11</v>
      </c>
      <c r="H268">
        <f ca="1">IFERROR(__xludf.DUMMYFUNCTION("""COMPUTED_VALUE"""),224)</f>
        <v>224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IFERROR(__xludf.DUMMYFUNCTION("""COMPUTED_VALUE"""),"Luke Schniederjans")</f>
        <v>Luke Schniederjans</v>
      </c>
      <c r="D269">
        <f ca="1">IFERROR(__xludf.DUMMYFUNCTION("""COMPUTED_VALUE"""),4)</f>
        <v>4</v>
      </c>
      <c r="E269" t="str">
        <f ca="1">IFERROR(__xludf.DUMMYFUNCTION("""COMPUTED_VALUE"""),"13' 2""")</f>
        <v>13' 2"</v>
      </c>
      <c r="F269">
        <f ca="1">IFERROR(__xludf.DUMMYFUNCTION("""COMPUTED_VALUE"""),0.158)</f>
        <v>0.158</v>
      </c>
      <c r="G269">
        <f ca="1">IFERROR(__xludf.DUMMYFUNCTION("""COMPUTED_VALUE"""),1)</f>
        <v>1</v>
      </c>
      <c r="H269">
        <f ca="1">IFERROR(__xludf.DUMMYFUNCTION("""COMPUTED_VALUE"""),209)</f>
        <v>209</v>
      </c>
    </row>
    <row r="270" spans="1:8" ht="12.75">
      <c r="A270">
        <f ca="1">IFERROR(__xludf.DUMMYFUNCTION("""COMPUTED_VALUE"""),269)</f>
        <v>269</v>
      </c>
      <c r="B270">
        <f ca="1">IFERROR(__xludf.DUMMYFUNCTION("""COMPUTED_VALUE"""),261)</f>
        <v>261</v>
      </c>
      <c r="C270" t="str">
        <f ca="1">IFERROR(__xludf.DUMMYFUNCTION("""COMPUTED_VALUE"""),"Andy Zhang")</f>
        <v>Andy Zhang</v>
      </c>
      <c r="D270">
        <f ca="1">IFERROR(__xludf.DUMMYFUNCTION("""COMPUTED_VALUE"""),4)</f>
        <v>4</v>
      </c>
      <c r="E270" t="str">
        <f ca="1">IFERROR(__xludf.DUMMYFUNCTION("""COMPUTED_VALUE"""),"13' 6""")</f>
        <v>13' 6"</v>
      </c>
      <c r="F270">
        <f ca="1">IFERROR(__xludf.DUMMYFUNCTION("""COMPUTED_VALUE"""),1.133)</f>
        <v>1.133</v>
      </c>
      <c r="G270">
        <f ca="1">IFERROR(__xludf.DUMMYFUNCTION("""COMPUTED_VALUE"""),7)</f>
        <v>7</v>
      </c>
      <c r="H270">
        <f ca="1">IFERROR(__xludf.DUMMYFUNCTION("""COMPUTED_VALUE"""),235)</f>
        <v>235</v>
      </c>
    </row>
    <row r="271" spans="1:8" ht="12.75">
      <c r="A271" t="str">
        <f ca="1">IFERROR(__xludf.DUMMYFUNCTION("""COMPUTED_VALUE"""),"T270")</f>
        <v>T270</v>
      </c>
      <c r="B271" t="str">
        <f ca="1">IFERROR(__xludf.DUMMYFUNCTION("""COMPUTED_VALUE"""),"T262")</f>
        <v>T262</v>
      </c>
      <c r="C271" t="str">
        <f ca="1">IFERROR(__xludf.DUMMYFUNCTION("""COMPUTED_VALUE"""),"John Senden")</f>
        <v>John Senden</v>
      </c>
      <c r="D271">
        <f ca="1">IFERROR(__xludf.DUMMYFUNCTION("""COMPUTED_VALUE"""),8)</f>
        <v>8</v>
      </c>
      <c r="E271" t="str">
        <f ca="1">IFERROR(__xludf.DUMMYFUNCTION("""COMPUTED_VALUE"""),"13' 10""")</f>
        <v>13' 10"</v>
      </c>
      <c r="F271">
        <f ca="1">IFERROR(__xludf.DUMMYFUNCTION("""COMPUTED_VALUE"""),0.664)</f>
        <v>0.66400000000000003</v>
      </c>
      <c r="G271">
        <f ca="1">IFERROR(__xludf.DUMMYFUNCTION("""COMPUTED_VALUE"""),4)</f>
        <v>4</v>
      </c>
      <c r="H271">
        <f ca="1">IFERROR(__xludf.DUMMYFUNCTION("""COMPUTED_VALUE"""),206)</f>
        <v>206</v>
      </c>
    </row>
    <row r="272" spans="1:8" ht="12.75">
      <c r="A272" t="str">
        <f ca="1">IFERROR(__xludf.DUMMYFUNCTION("""COMPUTED_VALUE"""),"T270")</f>
        <v>T270</v>
      </c>
      <c r="B272" t="str">
        <f ca="1">IFERROR(__xludf.DUMMYFUNCTION("""COMPUTED_VALUE"""),"T262")</f>
        <v>T262</v>
      </c>
      <c r="C272" t="str">
        <f ca="1">IFERROR(__xludf.DUMMYFUNCTION("""COMPUTED_VALUE"""),"Kurt Kitayama")</f>
        <v>Kurt Kitayama</v>
      </c>
      <c r="D272">
        <f ca="1">IFERROR(__xludf.DUMMYFUNCTION("""COMPUTED_VALUE"""),4)</f>
        <v>4</v>
      </c>
      <c r="E272" t="str">
        <f ca="1">IFERROR(__xludf.DUMMYFUNCTION("""COMPUTED_VALUE"""),"13' 10""")</f>
        <v>13' 10"</v>
      </c>
      <c r="F272">
        <f ca="1">IFERROR(__xludf.DUMMYFUNCTION("""COMPUTED_VALUE"""),1.327)</f>
        <v>1.327</v>
      </c>
      <c r="G272">
        <f ca="1">IFERROR(__xludf.DUMMYFUNCTION("""COMPUTED_VALUE"""),8)</f>
        <v>8</v>
      </c>
      <c r="H272">
        <f ca="1">IFERROR(__xludf.DUMMYFUNCTION("""COMPUTED_VALUE"""),172)</f>
        <v>172</v>
      </c>
    </row>
    <row r="273" spans="1:8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IFERROR(__xludf.DUMMYFUNCTION("""COMPUTED_VALUE"""),"Marc Leishman")</f>
        <v>Marc Leishman</v>
      </c>
      <c r="D273">
        <f ca="1">IFERROR(__xludf.DUMMYFUNCTION("""COMPUTED_VALUE"""),10)</f>
        <v>10</v>
      </c>
      <c r="E273" t="str">
        <f ca="1">IFERROR(__xludf.DUMMYFUNCTION("""COMPUTED_VALUE"""),"14' 8""")</f>
        <v>14' 8"</v>
      </c>
      <c r="F273">
        <f ca="1">IFERROR(__xludf.DUMMYFUNCTION("""COMPUTED_VALUE"""),2.816)</f>
        <v>2.8159999999999998</v>
      </c>
      <c r="G273">
        <f ca="1">IFERROR(__xludf.DUMMYFUNCTION("""COMPUTED_VALUE"""),16)</f>
        <v>16</v>
      </c>
      <c r="H273">
        <f ca="1">IFERROR(__xludf.DUMMYFUNCTION("""COMPUTED_VALUE"""),235)</f>
        <v>235</v>
      </c>
    </row>
    <row r="274" spans="1:8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IFERROR(__xludf.DUMMYFUNCTION("""COMPUTED_VALUE"""),"Tae Hee Lee")</f>
        <v>Tae Hee Lee</v>
      </c>
      <c r="D274">
        <f ca="1">IFERROR(__xludf.DUMMYFUNCTION("""COMPUTED_VALUE"""),4)</f>
        <v>4</v>
      </c>
      <c r="E274" t="str">
        <f ca="1">IFERROR(__xludf.DUMMYFUNCTION("""COMPUTED_VALUE"""),"15' 1""")</f>
        <v>15' 1"</v>
      </c>
      <c r="F274">
        <f ca="1">IFERROR(__xludf.DUMMYFUNCTION("""COMPUTED_VALUE"""),0.543)</f>
        <v>0.54300000000000004</v>
      </c>
      <c r="G274">
        <f ca="1">IFERROR(__xludf.DUMMYFUNCTION("""COMPUTED_VALUE"""),3)</f>
        <v>3</v>
      </c>
      <c r="H274">
        <f ca="1">IFERROR(__xludf.DUMMYFUNCTION("""COMPUTED_VALUE"""),192)</f>
        <v>192</v>
      </c>
    </row>
    <row r="275" spans="1:8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IFERROR(__xludf.DUMMYFUNCTION("""COMPUTED_VALUE"""),"Matt Wallace")</f>
        <v>Matt Wallace</v>
      </c>
      <c r="D275">
        <f ca="1">IFERROR(__xludf.DUMMYFUNCTION("""COMPUTED_VALUE"""),4)</f>
        <v>4</v>
      </c>
      <c r="E275" t="str">
        <f ca="1">IFERROR(__xludf.DUMMYFUNCTION("""COMPUTED_VALUE"""),"19' 11""")</f>
        <v>19' 11"</v>
      </c>
      <c r="F275">
        <f ca="1">IFERROR(__xludf.DUMMYFUNCTION("""COMPUTED_VALUE"""),1.432)</f>
        <v>1.4319999999999999</v>
      </c>
      <c r="G275">
        <f ca="1">IFERROR(__xludf.DUMMYFUNCTION("""COMPUTED_VALUE"""),6)</f>
        <v>6</v>
      </c>
      <c r="H275">
        <f ca="1">IFERROR(__xludf.DUMMYFUNCTION("""COMPUTED_VALUE"""),284)</f>
        <v>284</v>
      </c>
    </row>
    <row r="276" spans="1:8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IFERROR(__xludf.DUMMYFUNCTION("""COMPUTED_VALUE"""),"Lucas Herbert")</f>
        <v>Lucas Herbert</v>
      </c>
      <c r="D276">
        <f ca="1">IFERROR(__xludf.DUMMYFUNCTION("""COMPUTED_VALUE"""),4)</f>
        <v>4</v>
      </c>
      <c r="E276" t="str">
        <f ca="1">IFERROR(__xludf.DUMMYFUNCTION("""COMPUTED_VALUE"""),"23' 9""")</f>
        <v>23' 9"</v>
      </c>
      <c r="F276">
        <f ca="1">IFERROR(__xludf.DUMMYFUNCTION("""COMPUTED_VALUE"""),1.141)</f>
        <v>1.141</v>
      </c>
      <c r="G276">
        <f ca="1">IFERROR(__xludf.DUMMYFUNCTION("""COMPUTED_VALUE"""),4)</f>
        <v>4</v>
      </c>
      <c r="H276">
        <f ca="1">IFERROR(__xludf.DUMMYFUNCTION("""COMPUTED_VALUE"""),235)</f>
        <v>235</v>
      </c>
    </row>
    <row r="277" spans="1:8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IFERROR(__xludf.DUMMYFUNCTION("""COMPUTED_VALUE"""),"Zack Sucher")</f>
        <v>Zack Sucher</v>
      </c>
      <c r="D277">
        <f ca="1">IFERROR(__xludf.DUMMYFUNCTION("""COMPUTED_VALUE"""),6)</f>
        <v>6</v>
      </c>
      <c r="E277" t="str">
        <f ca="1">IFERROR(__xludf.DUMMYFUNCTION("""COMPUTED_VALUE"""),"25' 1""")</f>
        <v>25' 1"</v>
      </c>
      <c r="F277">
        <f ca="1">IFERROR(__xludf.DUMMYFUNCTION("""COMPUTED_VALUE"""),0.301)</f>
        <v>0.30099999999999999</v>
      </c>
      <c r="G277">
        <f ca="1">IFERROR(__xludf.DUMMYFUNCTION("""COMPUTED_VALUE"""),1)</f>
        <v>1</v>
      </c>
      <c r="H277">
        <f ca="1">IFERROR(__xludf.DUMMYFUNCTION("""COMPUTED_VALUE"""),257)</f>
        <v>257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IFERROR(__xludf.DUMMYFUNCTION("importhtml(""http://www.pgatour.com/stats/stat.403.html"",""table"",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IFERROR(__xludf.DUMMYFUNCTION("""COMPUTED_VALUE"""),"Alex Cejka")</f>
        <v>Alex Cejka</v>
      </c>
      <c r="D2">
        <f ca="1">IFERROR(__xludf.DUMMYFUNCTION("""COMPUTED_VALUE"""),6)</f>
        <v>6</v>
      </c>
      <c r="E2">
        <f ca="1">IFERROR(__xludf.DUMMYFUNCTION("""COMPUTED_VALUE"""),100)</f>
        <v>100</v>
      </c>
      <c r="F2">
        <f ca="1">IFERROR(__xludf.DUMMYFUNCTION("""COMPUTED_VALUE"""),31)</f>
        <v>31</v>
      </c>
      <c r="G2">
        <f ca="1">IFERROR(__xludf.DUMMYFUNCTION("""COMPUTED_VALUE"""),31)</f>
        <v>31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IFERROR(__xludf.DUMMYFUNCTION("""COMPUTED_VALUE"""),"")</f>
        <v/>
      </c>
      <c r="C3" t="str">
        <f ca="1">IFERROR(__xludf.DUMMYFUNCTION("""COMPUTED_VALUE"""),"Padraig Harrington")</f>
        <v>Padraig Harrington</v>
      </c>
      <c r="D3">
        <f ca="1">IFERROR(__xludf.DUMMYFUNCTION("""COMPUTED_VALUE"""),8)</f>
        <v>8</v>
      </c>
      <c r="E3">
        <f ca="1">IFERROR(__xludf.DUMMYFUNCTION("""COMPUTED_VALUE"""),100)</f>
        <v>100</v>
      </c>
      <c r="F3">
        <f ca="1">IFERROR(__xludf.DUMMYFUNCTION("""COMPUTED_VALUE"""),60)</f>
        <v>60</v>
      </c>
      <c r="G3">
        <f ca="1">IFERROR(__xludf.DUMMYFUNCTION("""COMPUTED_VALUE"""),60)</f>
        <v>60</v>
      </c>
    </row>
    <row r="4" spans="1:7" ht="15.75" customHeight="1">
      <c r="A4" t="str">
        <f ca="1">IFERROR(__xludf.DUMMYFUNCTION("""COMPUTED_VALUE"""),"T1")</f>
        <v>T1</v>
      </c>
      <c r="B4" t="str">
        <f ca="1">IFERROR(__xludf.DUMMYFUNCTION("""COMPUTED_VALUE"""),"T1")</f>
        <v>T1</v>
      </c>
      <c r="C4" t="str">
        <f ca="1">IFERROR(__xludf.DUMMYFUNCTION("""COMPUTED_VALUE"""),"Parker McLachlin")</f>
        <v>Parker McLachlin</v>
      </c>
      <c r="D4">
        <f ca="1">IFERROR(__xludf.DUMMYFUNCTION("""COMPUTED_VALUE"""),4)</f>
        <v>4</v>
      </c>
      <c r="E4">
        <f ca="1">IFERROR(__xludf.DUMMYFUNCTION("""COMPUTED_VALUE"""),100)</f>
        <v>100</v>
      </c>
      <c r="F4">
        <f ca="1">IFERROR(__xludf.DUMMYFUNCTION("""COMPUTED_VALUE"""),24)</f>
        <v>24</v>
      </c>
      <c r="G4">
        <f ca="1">IFERROR(__xludf.DUMMYFUNCTION("""COMPUTED_VALUE"""),24)</f>
        <v>24</v>
      </c>
    </row>
    <row r="5" spans="1:7" ht="15.75" customHeight="1">
      <c r="A5" t="str">
        <f ca="1">IFERROR(__xludf.DUMMYFUNCTION("""COMPUTED_VALUE"""),"T1")</f>
        <v>T1</v>
      </c>
      <c r="B5" t="str">
        <f ca="1">IFERROR(__xludf.DUMMYFUNCTION("""COMPUTED_VALUE"""),"T1")</f>
        <v>T1</v>
      </c>
      <c r="C5" t="str">
        <f ca="1">IFERROR(__xludf.DUMMYFUNCTION("""COMPUTED_VALUE"""),"Louis Oosthuizen")</f>
        <v>Louis Oosthuizen</v>
      </c>
      <c r="D5">
        <f ca="1">IFERROR(__xludf.DUMMYFUNCTION("""COMPUTED_VALUE"""),12)</f>
        <v>12</v>
      </c>
      <c r="E5">
        <f ca="1">IFERROR(__xludf.DUMMYFUNCTION("""COMPUTED_VALUE"""),100)</f>
        <v>100</v>
      </c>
      <c r="F5">
        <f ca="1">IFERROR(__xludf.DUMMYFUNCTION("""COMPUTED_VALUE"""),160)</f>
        <v>160</v>
      </c>
      <c r="G5">
        <f ca="1">IFERROR(__xludf.DUMMYFUNCTION("""COMPUTED_VALUE"""),160)</f>
        <v>160</v>
      </c>
    </row>
    <row r="6" spans="1:7" ht="15.75" customHeight="1">
      <c r="A6" t="str">
        <f ca="1">IFERROR(__xludf.DUMMYFUNCTION("""COMPUTED_VALUE"""),"T1")</f>
        <v>T1</v>
      </c>
      <c r="B6" t="str">
        <f ca="1">IFERROR(__xludf.DUMMYFUNCTION("""COMPUTED_VALUE"""),"T1")</f>
        <v>T1</v>
      </c>
      <c r="C6" t="str">
        <f ca="1">IFERROR(__xludf.DUMMYFUNCTION("""COMPUTED_VALUE"""),"Seamus Power")</f>
        <v>Seamus Power</v>
      </c>
      <c r="D6">
        <f ca="1">IFERROR(__xludf.DUMMYFUNCTION("""COMPUTED_VALUE"""),8)</f>
        <v>8</v>
      </c>
      <c r="E6">
        <f ca="1">IFERROR(__xludf.DUMMYFUNCTION("""COMPUTED_VALUE"""),100)</f>
        <v>100</v>
      </c>
      <c r="F6">
        <f ca="1">IFERROR(__xludf.DUMMYFUNCTION("""COMPUTED_VALUE"""),29)</f>
        <v>29</v>
      </c>
      <c r="G6">
        <f ca="1">IFERROR(__xludf.DUMMYFUNCTION("""COMPUTED_VALUE"""),29)</f>
        <v>29</v>
      </c>
    </row>
    <row r="7" spans="1:7" ht="15.75" customHeight="1">
      <c r="A7" t="str">
        <f ca="1">IFERROR(__xludf.DUMMYFUNCTION("""COMPUTED_VALUE"""),"T1")</f>
        <v>T1</v>
      </c>
      <c r="B7" t="str">
        <f ca="1">IFERROR(__xludf.DUMMYFUNCTION("""COMPUTED_VALUE"""),"T1")</f>
        <v>T1</v>
      </c>
      <c r="C7" t="str">
        <f ca="1">IFERROR(__xludf.DUMMYFUNCTION("""COMPUTED_VALUE"""),"Roger Sloan")</f>
        <v>Roger Sloan</v>
      </c>
      <c r="D7">
        <f ca="1">IFERROR(__xludf.DUMMYFUNCTION("""COMPUTED_VALUE"""),12)</f>
        <v>12</v>
      </c>
      <c r="E7">
        <f ca="1">IFERROR(__xludf.DUMMYFUNCTION("""COMPUTED_VALUE"""),100)</f>
        <v>100</v>
      </c>
      <c r="F7">
        <f ca="1">IFERROR(__xludf.DUMMYFUNCTION("""COMPUTED_VALUE"""),87)</f>
        <v>87</v>
      </c>
      <c r="G7">
        <f ca="1">IFERROR(__xludf.DUMMYFUNCTION("""COMPUTED_VALUE"""),87)</f>
        <v>87</v>
      </c>
    </row>
    <row r="8" spans="1:7" ht="15.75" customHeight="1">
      <c r="A8" t="str">
        <f ca="1">IFERROR(__xludf.DUMMYFUNCTION("""COMPUTED_VALUE"""),"T1")</f>
        <v>T1</v>
      </c>
      <c r="B8" t="str">
        <f ca="1">IFERROR(__xludf.DUMMYFUNCTION("""COMPUTED_VALUE"""),"T1")</f>
        <v>T1</v>
      </c>
      <c r="C8" t="str">
        <f ca="1">IFERROR(__xludf.DUMMYFUNCTION("""COMPUTED_VALUE"""),"Gunn Charoenkul")</f>
        <v>Gunn Charoenkul</v>
      </c>
      <c r="D8">
        <f ca="1">IFERROR(__xludf.DUMMYFUNCTION("""COMPUTED_VALUE"""),4)</f>
        <v>4</v>
      </c>
      <c r="E8">
        <f ca="1">IFERROR(__xludf.DUMMYFUNCTION("""COMPUTED_VALUE"""),100)</f>
        <v>100</v>
      </c>
      <c r="F8">
        <f ca="1">IFERROR(__xludf.DUMMYFUNCTION("""COMPUTED_VALUE"""),53)</f>
        <v>53</v>
      </c>
      <c r="G8">
        <f ca="1">IFERROR(__xludf.DUMMYFUNCTION("""COMPUTED_VALUE"""),53)</f>
        <v>53</v>
      </c>
    </row>
    <row r="9" spans="1:7" ht="15.75" customHeight="1">
      <c r="A9" t="str">
        <f ca="1">IFERROR(__xludf.DUMMYFUNCTION("""COMPUTED_VALUE"""),"T1")</f>
        <v>T1</v>
      </c>
      <c r="B9" t="str">
        <f ca="1">IFERROR(__xludf.DUMMYFUNCTION("""COMPUTED_VALUE"""),"T1")</f>
        <v>T1</v>
      </c>
      <c r="C9" t="str">
        <f ca="1">IFERROR(__xludf.DUMMYFUNCTION("""COMPUTED_VALUE"""),"Chan Kim")</f>
        <v>Chan Kim</v>
      </c>
      <c r="D9">
        <f ca="1">IFERROR(__xludf.DUMMYFUNCTION("""COMPUTED_VALUE"""),6)</f>
        <v>6</v>
      </c>
      <c r="E9">
        <f ca="1">IFERROR(__xludf.DUMMYFUNCTION("""COMPUTED_VALUE"""),100)</f>
        <v>100</v>
      </c>
      <c r="F9">
        <f ca="1">IFERROR(__xludf.DUMMYFUNCTION("""COMPUTED_VALUE"""),92)</f>
        <v>92</v>
      </c>
      <c r="G9">
        <f ca="1">IFERROR(__xludf.DUMMYFUNCTION("""COMPUTED_VALUE"""),92)</f>
        <v>92</v>
      </c>
    </row>
    <row r="10" spans="1:7" ht="15.75" customHeight="1">
      <c r="A10" t="str">
        <f ca="1">IFERROR(__xludf.DUMMYFUNCTION("""COMPUTED_VALUE"""),"T1")</f>
        <v>T1</v>
      </c>
      <c r="B10" t="str">
        <f ca="1">IFERROR(__xludf.DUMMYFUNCTION("""COMPUTED_VALUE"""),"T1")</f>
        <v>T1</v>
      </c>
      <c r="C10" t="str">
        <f ca="1">IFERROR(__xludf.DUMMYFUNCTION("""COMPUTED_VALUE"""),"J.J. Spaun")</f>
        <v>J.J. Spaun</v>
      </c>
      <c r="D10">
        <f ca="1">IFERROR(__xludf.DUMMYFUNCTION("""COMPUTED_VALUE"""),10)</f>
        <v>10</v>
      </c>
      <c r="E10">
        <f ca="1">IFERROR(__xludf.DUMMYFUNCTION("""COMPUTED_VALUE"""),100)</f>
        <v>100</v>
      </c>
      <c r="F10">
        <f ca="1">IFERROR(__xludf.DUMMYFUNCTION("""COMPUTED_VALUE"""),83)</f>
        <v>83</v>
      </c>
      <c r="G10">
        <f ca="1">IFERROR(__xludf.DUMMYFUNCTION("""COMPUTED_VALUE"""),83)</f>
        <v>83</v>
      </c>
    </row>
    <row r="11" spans="1:7" ht="15.75" customHeight="1">
      <c r="A11" t="str">
        <f ca="1">IFERROR(__xludf.DUMMYFUNCTION("""COMPUTED_VALUE"""),"T1")</f>
        <v>T1</v>
      </c>
      <c r="B11" t="str">
        <f ca="1">IFERROR(__xludf.DUMMYFUNCTION("""COMPUTED_VALUE"""),"T1")</f>
        <v>T1</v>
      </c>
      <c r="C11" t="str">
        <f ca="1">IFERROR(__xludf.DUMMYFUNCTION("""COMPUTED_VALUE"""),"Dominic Bozzelli")</f>
        <v>Dominic Bozzelli</v>
      </c>
      <c r="D11">
        <f ca="1">IFERROR(__xludf.DUMMYFUNCTION("""COMPUTED_VALUE"""),8)</f>
        <v>8</v>
      </c>
      <c r="E11">
        <f ca="1">IFERROR(__xludf.DUMMYFUNCTION("""COMPUTED_VALUE"""),100)</f>
        <v>100</v>
      </c>
      <c r="F11">
        <f ca="1">IFERROR(__xludf.DUMMYFUNCTION("""COMPUTED_VALUE"""),28)</f>
        <v>28</v>
      </c>
      <c r="G11">
        <f ca="1">IFERROR(__xludf.DUMMYFUNCTION("""COMPUTED_VALUE"""),28)</f>
        <v>28</v>
      </c>
    </row>
    <row r="12" spans="1:7" ht="15.75" customHeight="1">
      <c r="A12" t="str">
        <f ca="1">IFERROR(__xludf.DUMMYFUNCTION("""COMPUTED_VALUE"""),"T1")</f>
        <v>T1</v>
      </c>
      <c r="B12" t="str">
        <f ca="1">IFERROR(__xludf.DUMMYFUNCTION("""COMPUTED_VALUE"""),"T1")</f>
        <v>T1</v>
      </c>
      <c r="C12" t="str">
        <f ca="1">IFERROR(__xludf.DUMMYFUNCTION("""COMPUTED_VALUE"""),"Jeongwoo Ham")</f>
        <v>Jeongwoo Ham</v>
      </c>
      <c r="D12">
        <f ca="1">IFERROR(__xludf.DUMMYFUNCTION("""COMPUTED_VALUE"""),4)</f>
        <v>4</v>
      </c>
      <c r="E12">
        <f ca="1">IFERROR(__xludf.DUMMYFUNCTION("""COMPUTED_VALUE"""),100)</f>
        <v>100</v>
      </c>
      <c r="F12">
        <f ca="1">IFERROR(__xludf.DUMMYFUNCTION("""COMPUTED_VALUE"""),53)</f>
        <v>53</v>
      </c>
      <c r="G12">
        <f ca="1">IFERROR(__xludf.DUMMYFUNCTION("""COMPUTED_VALUE"""),53)</f>
        <v>53</v>
      </c>
    </row>
    <row r="13" spans="1:7" ht="15.75" customHeight="1">
      <c r="A13" t="str">
        <f ca="1">IFERROR(__xludf.DUMMYFUNCTION("""COMPUTED_VALUE"""),"T1")</f>
        <v>T1</v>
      </c>
      <c r="B13" t="str">
        <f ca="1">IFERROR(__xludf.DUMMYFUNCTION("""COMPUTED_VALUE"""),"T1")</f>
        <v>T1</v>
      </c>
      <c r="C13" t="str">
        <f ca="1">IFERROR(__xludf.DUMMYFUNCTION("""COMPUTED_VALUE"""),"Rikuya Hoshino")</f>
        <v>Rikuya Hoshino</v>
      </c>
      <c r="D13">
        <f ca="1">IFERROR(__xludf.DUMMYFUNCTION("""COMPUTED_VALUE"""),4)</f>
        <v>4</v>
      </c>
      <c r="E13">
        <f ca="1">IFERROR(__xludf.DUMMYFUNCTION("""COMPUTED_VALUE"""),100)</f>
        <v>100</v>
      </c>
      <c r="F13">
        <f ca="1">IFERROR(__xludf.DUMMYFUNCTION("""COMPUTED_VALUE"""),53)</f>
        <v>53</v>
      </c>
      <c r="G13">
        <f ca="1">IFERROR(__xludf.DUMMYFUNCTION("""COMPUTED_VALUE"""),53)</f>
        <v>53</v>
      </c>
    </row>
    <row r="14" spans="1:7" ht="15.75" customHeight="1">
      <c r="A14" t="str">
        <f ca="1">IFERROR(__xludf.DUMMYFUNCTION("""COMPUTED_VALUE"""),"T1")</f>
        <v>T1</v>
      </c>
      <c r="B14" t="str">
        <f ca="1">IFERROR(__xludf.DUMMYFUNCTION("""COMPUTED_VALUE"""),"T1")</f>
        <v>T1</v>
      </c>
      <c r="C14" t="str">
        <f ca="1">IFERROR(__xludf.DUMMYFUNCTION("""COMPUTED_VALUE"""),"Michael Gellerman")</f>
        <v>Michael Gellerman</v>
      </c>
      <c r="D14">
        <f ca="1">IFERROR(__xludf.DUMMYFUNCTION("""COMPUTED_VALUE"""),5)</f>
        <v>5</v>
      </c>
      <c r="E14">
        <f ca="1">IFERROR(__xludf.DUMMYFUNCTION("""COMPUTED_VALUE"""),100)</f>
        <v>100</v>
      </c>
      <c r="F14">
        <f ca="1">IFERROR(__xludf.DUMMYFUNCTION("""COMPUTED_VALUE"""),28)</f>
        <v>28</v>
      </c>
      <c r="G14">
        <f ca="1">IFERROR(__xludf.DUMMYFUNCTION("""COMPUTED_VALUE"""),28)</f>
        <v>28</v>
      </c>
    </row>
    <row r="15" spans="1:7" ht="15.75" customHeight="1">
      <c r="A15" t="str">
        <f ca="1">IFERROR(__xludf.DUMMYFUNCTION("""COMPUTED_VALUE"""),"T1")</f>
        <v>T1</v>
      </c>
      <c r="B15" t="str">
        <f ca="1">IFERROR(__xludf.DUMMYFUNCTION("""COMPUTED_VALUE"""),"T1")</f>
        <v>T1</v>
      </c>
      <c r="C15" t="str">
        <f ca="1">IFERROR(__xludf.DUMMYFUNCTION("""COMPUTED_VALUE"""),"Tae Hee Lee")</f>
        <v>Tae Hee Lee</v>
      </c>
      <c r="D15">
        <f ca="1">IFERROR(__xludf.DUMMYFUNCTION("""COMPUTED_VALUE"""),4)</f>
        <v>4</v>
      </c>
      <c r="E15">
        <f ca="1">IFERROR(__xludf.DUMMYFUNCTION("""COMPUTED_VALUE"""),100)</f>
        <v>100</v>
      </c>
      <c r="F15">
        <f ca="1">IFERROR(__xludf.DUMMYFUNCTION("""COMPUTED_VALUE"""),50)</f>
        <v>50</v>
      </c>
      <c r="G15">
        <f ca="1">IFERROR(__xludf.DUMMYFUNCTION("""COMPUTED_VALUE"""),50)</f>
        <v>50</v>
      </c>
    </row>
    <row r="16" spans="1:7" ht="15.75" customHeight="1">
      <c r="A16" t="str">
        <f ca="1">IFERROR(__xludf.DUMMYFUNCTION("""COMPUTED_VALUE"""),"T1")</f>
        <v>T1</v>
      </c>
      <c r="B16" t="str">
        <f ca="1">IFERROR(__xludf.DUMMYFUNCTION("""COMPUTED_VALUE"""),"T1")</f>
        <v>T1</v>
      </c>
      <c r="C16" t="str">
        <f ca="1">IFERROR(__xludf.DUMMYFUNCTION("""COMPUTED_VALUE"""),"Hank Lebioda")</f>
        <v>Hank Lebioda</v>
      </c>
      <c r="D16">
        <f ca="1">IFERROR(__xludf.DUMMYFUNCTION("""COMPUTED_VALUE"""),14)</f>
        <v>14</v>
      </c>
      <c r="E16">
        <f ca="1">IFERROR(__xludf.DUMMYFUNCTION("""COMPUTED_VALUE"""),100)</f>
        <v>100</v>
      </c>
      <c r="F16">
        <f ca="1">IFERROR(__xludf.DUMMYFUNCTION("""COMPUTED_VALUE"""),87)</f>
        <v>87</v>
      </c>
      <c r="G16">
        <f ca="1">IFERROR(__xludf.DUMMYFUNCTION("""COMPUTED_VALUE"""),87)</f>
        <v>87</v>
      </c>
    </row>
    <row r="17" spans="1:7" ht="15.75" customHeight="1">
      <c r="A17" t="str">
        <f ca="1">IFERROR(__xludf.DUMMYFUNCTION("""COMPUTED_VALUE"""),"T1")</f>
        <v>T1</v>
      </c>
      <c r="B17" t="str">
        <f ca="1">IFERROR(__xludf.DUMMYFUNCTION("""COMPUTED_VALUE"""),"T1")</f>
        <v>T1</v>
      </c>
      <c r="C17" t="str">
        <f ca="1">IFERROR(__xludf.DUMMYFUNCTION("""COMPUTED_VALUE"""),"Seonghyeon Kim")</f>
        <v>Seonghyeon Kim</v>
      </c>
      <c r="D17">
        <f ca="1">IFERROR(__xludf.DUMMYFUNCTION("""COMPUTED_VALUE"""),4)</f>
        <v>4</v>
      </c>
      <c r="E17">
        <f ca="1">IFERROR(__xludf.DUMMYFUNCTION("""COMPUTED_VALUE"""),100)</f>
        <v>100</v>
      </c>
      <c r="F17">
        <f ca="1">IFERROR(__xludf.DUMMYFUNCTION("""COMPUTED_VALUE"""),52)</f>
        <v>52</v>
      </c>
      <c r="G17">
        <f ca="1">IFERROR(__xludf.DUMMYFUNCTION("""COMPUTED_VALUE"""),52)</f>
        <v>52</v>
      </c>
    </row>
    <row r="18" spans="1:7" ht="15.75" customHeight="1">
      <c r="A18" t="str">
        <f ca="1">IFERROR(__xludf.DUMMYFUNCTION("""COMPUTED_VALUE"""),"T1")</f>
        <v>T1</v>
      </c>
      <c r="B18" t="str">
        <f ca="1">IFERROR(__xludf.DUMMYFUNCTION("""COMPUTED_VALUE"""),"T1")</f>
        <v>T1</v>
      </c>
      <c r="C18" t="str">
        <f ca="1">IFERROR(__xludf.DUMMYFUNCTION("""COMPUTED_VALUE"""),"Justin Suh")</f>
        <v>Justin Suh</v>
      </c>
      <c r="D18">
        <f ca="1">IFERROR(__xludf.DUMMYFUNCTION("""COMPUTED_VALUE"""),10)</f>
        <v>10</v>
      </c>
      <c r="E18">
        <f ca="1">IFERROR(__xludf.DUMMYFUNCTION("""COMPUTED_VALUE"""),100)</f>
        <v>100</v>
      </c>
      <c r="F18">
        <f ca="1">IFERROR(__xludf.DUMMYFUNCTION("""COMPUTED_VALUE"""),52)</f>
        <v>52</v>
      </c>
      <c r="G18">
        <f ca="1">IFERROR(__xludf.DUMMYFUNCTION("""COMPUTED_VALUE"""),52)</f>
        <v>52</v>
      </c>
    </row>
    <row r="19" spans="1:7" ht="15.75" customHeight="1">
      <c r="A19" t="str">
        <f ca="1">IFERROR(__xludf.DUMMYFUNCTION("""COMPUTED_VALUE"""),"T1")</f>
        <v>T1</v>
      </c>
      <c r="B19" t="str">
        <f ca="1">IFERROR(__xludf.DUMMYFUNCTION("""COMPUTED_VALUE"""),"T1")</f>
        <v>T1</v>
      </c>
      <c r="C19" t="str">
        <f ca="1">IFERROR(__xludf.DUMMYFUNCTION("""COMPUTED_VALUE"""),"Akshay Bhatia")</f>
        <v>Akshay Bhatia</v>
      </c>
      <c r="D19">
        <f ca="1">IFERROR(__xludf.DUMMYFUNCTION("""COMPUTED_VALUE"""),6)</f>
        <v>6</v>
      </c>
      <c r="E19">
        <f ca="1">IFERROR(__xludf.DUMMYFUNCTION("""COMPUTED_VALUE"""),100)</f>
        <v>100</v>
      </c>
      <c r="F19">
        <f ca="1">IFERROR(__xludf.DUMMYFUNCTION("""COMPUTED_VALUE"""),54)</f>
        <v>54</v>
      </c>
      <c r="G19">
        <f ca="1">IFERROR(__xludf.DUMMYFUNCTION("""COMPUTED_VALUE"""),54)</f>
        <v>54</v>
      </c>
    </row>
    <row r="20" spans="1:7" ht="15.75" customHeight="1">
      <c r="A20" t="str">
        <f ca="1">IFERROR(__xludf.DUMMYFUNCTION("""COMPUTED_VALUE"""),"T1")</f>
        <v>T1</v>
      </c>
      <c r="B20" t="str">
        <f ca="1">IFERROR(__xludf.DUMMYFUNCTION("""COMPUTED_VALUE"""),"T1")</f>
        <v>T1</v>
      </c>
      <c r="C20" t="str">
        <f ca="1">IFERROR(__xludf.DUMMYFUNCTION("""COMPUTED_VALUE"""),"Luke Schniederjans")</f>
        <v>Luke Schniederjans</v>
      </c>
      <c r="D20">
        <f ca="1">IFERROR(__xludf.DUMMYFUNCTION("""COMPUTED_VALUE"""),4)</f>
        <v>4</v>
      </c>
      <c r="E20">
        <f ca="1">IFERROR(__xludf.DUMMYFUNCTION("""COMPUTED_VALUE"""),100)</f>
        <v>100</v>
      </c>
      <c r="F20">
        <f ca="1">IFERROR(__xludf.DUMMYFUNCTION("""COMPUTED_VALUE"""),27)</f>
        <v>27</v>
      </c>
      <c r="G20">
        <f ca="1">IFERROR(__xludf.DUMMYFUNCTION("""COMPUTED_VALUE"""),27)</f>
        <v>27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IFERROR(__xludf.DUMMYFUNCTION("""COMPUTED_VALUE"""),23)</f>
        <v>23</v>
      </c>
      <c r="C21" t="str">
        <f ca="1">IFERROR(__xludf.DUMMYFUNCTION("""COMPUTED_VALUE"""),"Richy Werenski")</f>
        <v>Richy Werenski</v>
      </c>
      <c r="D21">
        <f ca="1">IFERROR(__xludf.DUMMYFUNCTION("""COMPUTED_VALUE"""),16)</f>
        <v>16</v>
      </c>
      <c r="E21">
        <f ca="1">IFERROR(__xludf.DUMMYFUNCTION("""COMPUTED_VALUE"""),99.55)</f>
        <v>99.55</v>
      </c>
      <c r="F21">
        <f ca="1">IFERROR(__xludf.DUMMYFUNCTION("""COMPUTED_VALUE"""),222)</f>
        <v>222</v>
      </c>
      <c r="G21">
        <f ca="1">IFERROR(__xludf.DUMMYFUNCTION("""COMPUTED_VALUE"""),221)</f>
        <v>221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IFERROR(__xludf.DUMMYFUNCTION("""COMPUTED_VALUE"""),"Cameron Smith")</f>
        <v>Cameron Smith</v>
      </c>
      <c r="D22">
        <f ca="1">IFERROR(__xludf.DUMMYFUNCTION("""COMPUTED_VALUE"""),16)</f>
        <v>16</v>
      </c>
      <c r="E22">
        <f ca="1">IFERROR(__xludf.DUMMYFUNCTION("""COMPUTED_VALUE"""),99.53)</f>
        <v>99.53</v>
      </c>
      <c r="F22">
        <f ca="1">IFERROR(__xludf.DUMMYFUNCTION("""COMPUTED_VALUE"""),212)</f>
        <v>212</v>
      </c>
      <c r="G22">
        <f ca="1">IFERROR(__xludf.DUMMYFUNCTION("""COMPUTED_VALUE"""),211)</f>
        <v>211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IFERROR(__xludf.DUMMYFUNCTION("""COMPUTED_VALUE"""),25)</f>
        <v>25</v>
      </c>
      <c r="C23" t="str">
        <f ca="1">IFERROR(__xludf.DUMMYFUNCTION("""COMPUTED_VALUE"""),"Hudson Swafford")</f>
        <v>Hudson Swafford</v>
      </c>
      <c r="D23">
        <f ca="1">IFERROR(__xludf.DUMMYFUNCTION("""COMPUTED_VALUE"""),18)</f>
        <v>18</v>
      </c>
      <c r="E23">
        <f ca="1">IFERROR(__xludf.DUMMYFUNCTION("""COMPUTED_VALUE"""),99.31)</f>
        <v>99.31</v>
      </c>
      <c r="F23">
        <f ca="1">IFERROR(__xludf.DUMMYFUNCTION("""COMPUTED_VALUE"""),145)</f>
        <v>145</v>
      </c>
      <c r="G23">
        <f ca="1">IFERROR(__xludf.DUMMYFUNCTION("""COMPUTED_VALUE"""),144)</f>
        <v>144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IFERROR(__xludf.DUMMYFUNCTION("""COMPUTED_VALUE"""),26)</f>
        <v>26</v>
      </c>
      <c r="C24" t="str">
        <f ca="1">IFERROR(__xludf.DUMMYFUNCTION("""COMPUTED_VALUE"""),"Vincent Whaley")</f>
        <v>Vincent Whaley</v>
      </c>
      <c r="D24">
        <f ca="1">IFERROR(__xludf.DUMMYFUNCTION("""COMPUTED_VALUE"""),14)</f>
        <v>14</v>
      </c>
      <c r="E24">
        <f ca="1">IFERROR(__xludf.DUMMYFUNCTION("""COMPUTED_VALUE"""),99.12)</f>
        <v>99.12</v>
      </c>
      <c r="F24">
        <f ca="1">IFERROR(__xludf.DUMMYFUNCTION("""COMPUTED_VALUE"""),114)</f>
        <v>114</v>
      </c>
      <c r="G24">
        <f ca="1">IFERROR(__xludf.DUMMYFUNCTION("""COMPUTED_VALUE"""),113)</f>
        <v>113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IFERROR(__xludf.DUMMYFUNCTION("""COMPUTED_VALUE"""),"T1")</f>
        <v>T1</v>
      </c>
      <c r="C25" t="str">
        <f ca="1">IFERROR(__xludf.DUMMYFUNCTION("""COMPUTED_VALUE"""),"Isaiah Salinda")</f>
        <v>Isaiah Salinda</v>
      </c>
      <c r="D25">
        <f ca="1">IFERROR(__xludf.DUMMYFUNCTION("""COMPUTED_VALUE"""),8)</f>
        <v>8</v>
      </c>
      <c r="E25">
        <f ca="1">IFERROR(__xludf.DUMMYFUNCTION("""COMPUTED_VALUE"""),99.11)</f>
        <v>99.11</v>
      </c>
      <c r="F25">
        <f ca="1">IFERROR(__xludf.DUMMYFUNCTION("""COMPUTED_VALUE"""),112)</f>
        <v>112</v>
      </c>
      <c r="G25">
        <f ca="1">IFERROR(__xludf.DUMMYFUNCTION("""COMPUTED_VALUE"""),111)</f>
        <v>111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IFERROR(__xludf.DUMMYFUNCTION("""COMPUTED_VALUE"""),27)</f>
        <v>27</v>
      </c>
      <c r="C26" t="str">
        <f ca="1">IFERROR(__xludf.DUMMYFUNCTION("""COMPUTED_VALUE"""),"Matthew Wolff")</f>
        <v>Matthew Wolff</v>
      </c>
      <c r="D26">
        <f ca="1">IFERROR(__xludf.DUMMYFUNCTION("""COMPUTED_VALUE"""),16)</f>
        <v>16</v>
      </c>
      <c r="E26">
        <f ca="1">IFERROR(__xludf.DUMMYFUNCTION("""COMPUTED_VALUE"""),99.05)</f>
        <v>99.05</v>
      </c>
      <c r="F26">
        <f ca="1">IFERROR(__xludf.DUMMYFUNCTION("""COMPUTED_VALUE"""),211)</f>
        <v>211</v>
      </c>
      <c r="G26">
        <f ca="1">IFERROR(__xludf.DUMMYFUNCTION("""COMPUTED_VALUE"""),209)</f>
        <v>209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IFERROR(__xludf.DUMMYFUNCTION("""COMPUTED_VALUE"""),39)</f>
        <v>39</v>
      </c>
      <c r="C27" t="str">
        <f ca="1">IFERROR(__xludf.DUMMYFUNCTION("""COMPUTED_VALUE"""),"Patton Kizzire")</f>
        <v>Patton Kizzire</v>
      </c>
      <c r="D27">
        <f ca="1">IFERROR(__xludf.DUMMYFUNCTION("""COMPUTED_VALUE"""),18)</f>
        <v>18</v>
      </c>
      <c r="E27">
        <f ca="1">IFERROR(__xludf.DUMMYFUNCTION("""COMPUTED_VALUE"""),98.98)</f>
        <v>98.98</v>
      </c>
      <c r="F27">
        <f ca="1">IFERROR(__xludf.DUMMYFUNCTION("""COMPUTED_VALUE"""),197)</f>
        <v>197</v>
      </c>
      <c r="G27">
        <f ca="1">IFERROR(__xludf.DUMMYFUNCTION("""COMPUTED_VALUE"""),195)</f>
        <v>195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IFERROR(__xludf.DUMMYFUNCTION("""COMPUTED_VALUE"""),41)</f>
        <v>41</v>
      </c>
      <c r="C28" t="str">
        <f ca="1">IFERROR(__xludf.DUMMYFUNCTION("""COMPUTED_VALUE"""),"Brice Garnett")</f>
        <v>Brice Garnett</v>
      </c>
      <c r="D28">
        <f ca="1">IFERROR(__xludf.DUMMYFUNCTION("""COMPUTED_VALUE"""),22)</f>
        <v>22</v>
      </c>
      <c r="E28">
        <f ca="1">IFERROR(__xludf.DUMMYFUNCTION("""COMPUTED_VALUE"""),98.95)</f>
        <v>98.95</v>
      </c>
      <c r="F28">
        <f ca="1">IFERROR(__xludf.DUMMYFUNCTION("""COMPUTED_VALUE"""),190)</f>
        <v>190</v>
      </c>
      <c r="G28">
        <f ca="1">IFERROR(__xludf.DUMMYFUNCTION("""COMPUTED_VALUE"""),188)</f>
        <v>188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IFERROR(__xludf.DUMMYFUNCTION("""COMPUTED_VALUE"""),28)</f>
        <v>28</v>
      </c>
      <c r="C29" t="str">
        <f ca="1">IFERROR(__xludf.DUMMYFUNCTION("""COMPUTED_VALUE"""),"Mark Anderson")</f>
        <v>Mark Anderson</v>
      </c>
      <c r="D29">
        <f ca="1">IFERROR(__xludf.DUMMYFUNCTION("""COMPUTED_VALUE"""),14)</f>
        <v>14</v>
      </c>
      <c r="E29">
        <f ca="1">IFERROR(__xludf.DUMMYFUNCTION("""COMPUTED_VALUE"""),98.92)</f>
        <v>98.92</v>
      </c>
      <c r="F29">
        <f ca="1">IFERROR(__xludf.DUMMYFUNCTION("""COMPUTED_VALUE"""),93)</f>
        <v>93</v>
      </c>
      <c r="G29">
        <f ca="1">IFERROR(__xludf.DUMMYFUNCTION("""COMPUTED_VALUE"""),92)</f>
        <v>92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IFERROR(__xludf.DUMMYFUNCTION("""COMPUTED_VALUE"""),"T45")</f>
        <v>T45</v>
      </c>
      <c r="C30" t="str">
        <f ca="1">IFERROR(__xludf.DUMMYFUNCTION("""COMPUTED_VALUE"""),"Lee Westwood")</f>
        <v>Lee Westwood</v>
      </c>
      <c r="D30">
        <f ca="1">IFERROR(__xludf.DUMMYFUNCTION("""COMPUTED_VALUE"""),6)</f>
        <v>6</v>
      </c>
      <c r="E30">
        <f ca="1">IFERROR(__xludf.DUMMYFUNCTION("""COMPUTED_VALUE"""),98.88)</f>
        <v>98.88</v>
      </c>
      <c r="F30">
        <f ca="1">IFERROR(__xludf.DUMMYFUNCTION("""COMPUTED_VALUE"""),89)</f>
        <v>89</v>
      </c>
      <c r="G30">
        <f ca="1">IFERROR(__xludf.DUMMYFUNCTION("""COMPUTED_VALUE"""),88)</f>
        <v>88</v>
      </c>
    </row>
    <row r="31" spans="1:7" ht="12.75">
      <c r="A31">
        <f ca="1">IFERROR(__xludf.DUMMYFUNCTION("""COMPUTED_VALUE"""),30)</f>
        <v>30</v>
      </c>
      <c r="B31" t="str">
        <f ca="1">IFERROR(__xludf.DUMMYFUNCTION("""COMPUTED_VALUE"""),"T1")</f>
        <v>T1</v>
      </c>
      <c r="C31" t="str">
        <f ca="1">IFERROR(__xludf.DUMMYFUNCTION("""COMPUTED_VALUE"""),"Harold Varner III")</f>
        <v>Harold Varner III</v>
      </c>
      <c r="D31">
        <f ca="1">IFERROR(__xludf.DUMMYFUNCTION("""COMPUTED_VALUE"""),14)</f>
        <v>14</v>
      </c>
      <c r="E31">
        <f ca="1">IFERROR(__xludf.DUMMYFUNCTION("""COMPUTED_VALUE"""),98.82)</f>
        <v>98.82</v>
      </c>
      <c r="F31">
        <f ca="1">IFERROR(__xludf.DUMMYFUNCTION("""COMPUTED_VALUE"""),169)</f>
        <v>169</v>
      </c>
      <c r="G31">
        <f ca="1">IFERROR(__xludf.DUMMYFUNCTION("""COMPUTED_VALUE"""),167)</f>
        <v>167</v>
      </c>
    </row>
    <row r="32" spans="1:7" ht="12.75">
      <c r="A32" t="str">
        <f ca="1">IFERROR(__xludf.DUMMYFUNCTION("""COMPUTED_VALUE"""),"T31")</f>
        <v>T31</v>
      </c>
      <c r="B32" t="str">
        <f ca="1">IFERROR(__xludf.DUMMYFUNCTION("""COMPUTED_VALUE"""),"T1")</f>
        <v>T1</v>
      </c>
      <c r="C32" t="str">
        <f ca="1">IFERROR(__xludf.DUMMYFUNCTION("""COMPUTED_VALUE"""),"Bo Van Pelt")</f>
        <v>Bo Van Pelt</v>
      </c>
      <c r="D32">
        <f ca="1">IFERROR(__xludf.DUMMYFUNCTION("""COMPUTED_VALUE"""),10)</f>
        <v>10</v>
      </c>
      <c r="E32">
        <f ca="1">IFERROR(__xludf.DUMMYFUNCTION("""COMPUTED_VALUE"""),98.8)</f>
        <v>98.8</v>
      </c>
      <c r="F32">
        <f ca="1">IFERROR(__xludf.DUMMYFUNCTION("""COMPUTED_VALUE"""),83)</f>
        <v>83</v>
      </c>
      <c r="G32">
        <f ca="1">IFERROR(__xludf.DUMMYFUNCTION("""COMPUTED_VALUE"""),82)</f>
        <v>82</v>
      </c>
    </row>
    <row r="33" spans="1:7" ht="12.75">
      <c r="A33" t="str">
        <f ca="1">IFERROR(__xludf.DUMMYFUNCTION("""COMPUTED_VALUE"""),"T31")</f>
        <v>T31</v>
      </c>
      <c r="B33" t="str">
        <f ca="1">IFERROR(__xludf.DUMMYFUNCTION("""COMPUTED_VALUE"""),"T30")</f>
        <v>T30</v>
      </c>
      <c r="C33" t="str">
        <f ca="1">IFERROR(__xludf.DUMMYFUNCTION("""COMPUTED_VALUE"""),"Shaun Norris")</f>
        <v>Shaun Norris</v>
      </c>
      <c r="D33">
        <f ca="1">IFERROR(__xludf.DUMMYFUNCTION("""COMPUTED_VALUE"""),6)</f>
        <v>6</v>
      </c>
      <c r="E33">
        <f ca="1">IFERROR(__xludf.DUMMYFUNCTION("""COMPUTED_VALUE"""),98.8)</f>
        <v>98.8</v>
      </c>
      <c r="F33">
        <f ca="1">IFERROR(__xludf.DUMMYFUNCTION("""COMPUTED_VALUE"""),83)</f>
        <v>83</v>
      </c>
      <c r="G33">
        <f ca="1">IFERROR(__xludf.DUMMYFUNCTION("""COMPUTED_VALUE"""),82)</f>
        <v>82</v>
      </c>
    </row>
    <row r="34" spans="1:7" ht="12.75">
      <c r="A34" t="str">
        <f ca="1">IFERROR(__xludf.DUMMYFUNCTION("""COMPUTED_VALUE"""),"T31")</f>
        <v>T31</v>
      </c>
      <c r="B34" t="str">
        <f ca="1">IFERROR(__xludf.DUMMYFUNCTION("""COMPUTED_VALUE"""),"T61")</f>
        <v>T61</v>
      </c>
      <c r="C34" t="str">
        <f ca="1">IFERROR(__xludf.DUMMYFUNCTION("""COMPUTED_VALUE"""),"Brian Stuard")</f>
        <v>Brian Stuard</v>
      </c>
      <c r="D34">
        <f ca="1">IFERROR(__xludf.DUMMYFUNCTION("""COMPUTED_VALUE"""),18)</f>
        <v>18</v>
      </c>
      <c r="E34">
        <f ca="1">IFERROR(__xludf.DUMMYFUNCTION("""COMPUTED_VALUE"""),98.8)</f>
        <v>98.8</v>
      </c>
      <c r="F34">
        <f ca="1">IFERROR(__xludf.DUMMYFUNCTION("""COMPUTED_VALUE"""),167)</f>
        <v>167</v>
      </c>
      <c r="G34">
        <f ca="1">IFERROR(__xludf.DUMMYFUNCTION("""COMPUTED_VALUE"""),165)</f>
        <v>165</v>
      </c>
    </row>
    <row r="35" spans="1:7" ht="12.75">
      <c r="A35">
        <f ca="1">IFERROR(__xludf.DUMMYFUNCTION("""COMPUTED_VALUE"""),34)</f>
        <v>34</v>
      </c>
      <c r="B35" t="str">
        <f ca="1">IFERROR(__xludf.DUMMYFUNCTION("""COMPUTED_VALUE"""),"T32")</f>
        <v>T32</v>
      </c>
      <c r="C35" t="str">
        <f ca="1">IFERROR(__xludf.DUMMYFUNCTION("""COMPUTED_VALUE"""),"Tim Wilkinson")</f>
        <v>Tim Wilkinson</v>
      </c>
      <c r="D35">
        <f ca="1">IFERROR(__xludf.DUMMYFUNCTION("""COMPUTED_VALUE"""),12)</f>
        <v>12</v>
      </c>
      <c r="E35">
        <f ca="1">IFERROR(__xludf.DUMMYFUNCTION("""COMPUTED_VALUE"""),98.78)</f>
        <v>98.78</v>
      </c>
      <c r="F35">
        <f ca="1">IFERROR(__xludf.DUMMYFUNCTION("""COMPUTED_VALUE"""),82)</f>
        <v>82</v>
      </c>
      <c r="G35">
        <f ca="1">IFERROR(__xludf.DUMMYFUNCTION("""COMPUTED_VALUE"""),81)</f>
        <v>81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IFERROR(__xludf.DUMMYFUNCTION("""COMPUTED_VALUE"""),34)</f>
        <v>34</v>
      </c>
      <c r="C36" t="str">
        <f ca="1">IFERROR(__xludf.DUMMYFUNCTION("""COMPUTED_VALUE"""),"Ian Poulter")</f>
        <v>Ian Poulter</v>
      </c>
      <c r="D36">
        <f ca="1">IFERROR(__xludf.DUMMYFUNCTION("""COMPUTED_VALUE"""),6)</f>
        <v>6</v>
      </c>
      <c r="E36">
        <f ca="1">IFERROR(__xludf.DUMMYFUNCTION("""COMPUTED_VALUE"""),98.75)</f>
        <v>98.75</v>
      </c>
      <c r="F36">
        <f ca="1">IFERROR(__xludf.DUMMYFUNCTION("""COMPUTED_VALUE"""),80)</f>
        <v>80</v>
      </c>
      <c r="G36">
        <f ca="1">IFERROR(__xludf.DUMMYFUNCTION("""COMPUTED_VALUE"""),79)</f>
        <v>79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IFERROR(__xludf.DUMMYFUNCTION("""COMPUTED_VALUE"""),35)</f>
        <v>35</v>
      </c>
      <c r="C37" t="str">
        <f ca="1">IFERROR(__xludf.DUMMYFUNCTION("""COMPUTED_VALUE"""),"Tiger Woods")</f>
        <v>Tiger Woods</v>
      </c>
      <c r="D37">
        <f ca="1">IFERROR(__xludf.DUMMYFUNCTION("""COMPUTED_VALUE"""),6)</f>
        <v>6</v>
      </c>
      <c r="E37">
        <f ca="1">IFERROR(__xludf.DUMMYFUNCTION("""COMPUTED_VALUE"""),98.73)</f>
        <v>98.73</v>
      </c>
      <c r="F37">
        <f ca="1">IFERROR(__xludf.DUMMYFUNCTION("""COMPUTED_VALUE"""),79)</f>
        <v>79</v>
      </c>
      <c r="G37">
        <f ca="1">IFERROR(__xludf.DUMMYFUNCTION("""COMPUTED_VALUE"""),78)</f>
        <v>78</v>
      </c>
    </row>
    <row r="38" spans="1:7" ht="12.75">
      <c r="A38" t="str">
        <f ca="1">IFERROR(__xludf.DUMMYFUNCTION("""COMPUTED_VALUE"""),"T37")</f>
        <v>T37</v>
      </c>
      <c r="B38" t="str">
        <f ca="1">IFERROR(__xludf.DUMMYFUNCTION("""COMPUTED_VALUE"""),"T36")</f>
        <v>T36</v>
      </c>
      <c r="C38" t="str">
        <f ca="1">IFERROR(__xludf.DUMMYFUNCTION("""COMPUTED_VALUE"""),"Justin Thomas")</f>
        <v>Justin Thomas</v>
      </c>
      <c r="D38">
        <f ca="1">IFERROR(__xludf.DUMMYFUNCTION("""COMPUTED_VALUE"""),12)</f>
        <v>12</v>
      </c>
      <c r="E38">
        <f ca="1">IFERROR(__xludf.DUMMYFUNCTION("""COMPUTED_VALUE"""),98.68)</f>
        <v>98.68</v>
      </c>
      <c r="F38">
        <f ca="1">IFERROR(__xludf.DUMMYFUNCTION("""COMPUTED_VALUE"""),152)</f>
        <v>152</v>
      </c>
      <c r="G38">
        <f ca="1">IFERROR(__xludf.DUMMYFUNCTION("""COMPUTED_VALUE"""),150)</f>
        <v>150</v>
      </c>
    </row>
    <row r="39" spans="1:7" ht="12.75">
      <c r="A39" t="str">
        <f ca="1">IFERROR(__xludf.DUMMYFUNCTION("""COMPUTED_VALUE"""),"T37")</f>
        <v>T37</v>
      </c>
      <c r="B39" t="str">
        <f ca="1">IFERROR(__xludf.DUMMYFUNCTION("""COMPUTED_VALUE"""),"T36")</f>
        <v>T36</v>
      </c>
      <c r="C39" t="str">
        <f ca="1">IFERROR(__xludf.DUMMYFUNCTION("""COMPUTED_VALUE"""),"Xander Schauffele")</f>
        <v>Xander Schauffele</v>
      </c>
      <c r="D39">
        <f ca="1">IFERROR(__xludf.DUMMYFUNCTION("""COMPUTED_VALUE"""),12)</f>
        <v>12</v>
      </c>
      <c r="E39">
        <f ca="1">IFERROR(__xludf.DUMMYFUNCTION("""COMPUTED_VALUE"""),98.68)</f>
        <v>98.68</v>
      </c>
      <c r="F39">
        <f ca="1">IFERROR(__xludf.DUMMYFUNCTION("""COMPUTED_VALUE"""),151)</f>
        <v>151</v>
      </c>
      <c r="G39">
        <f ca="1">IFERROR(__xludf.DUMMYFUNCTION("""COMPUTED_VALUE"""),149)</f>
        <v>149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IFERROR(__xludf.DUMMYFUNCTION("""COMPUTED_VALUE"""),50)</f>
        <v>50</v>
      </c>
      <c r="C40" t="str">
        <f ca="1">IFERROR(__xludf.DUMMYFUNCTION("""COMPUTED_VALUE"""),"Xinjun Zhang")</f>
        <v>Xinjun Zhang</v>
      </c>
      <c r="D40">
        <f ca="1">IFERROR(__xludf.DUMMYFUNCTION("""COMPUTED_VALUE"""),14)</f>
        <v>14</v>
      </c>
      <c r="E40">
        <f ca="1">IFERROR(__xludf.DUMMYFUNCTION("""COMPUTED_VALUE"""),98.61)</f>
        <v>98.61</v>
      </c>
      <c r="F40">
        <f ca="1">IFERROR(__xludf.DUMMYFUNCTION("""COMPUTED_VALUE"""),144)</f>
        <v>144</v>
      </c>
      <c r="G40">
        <f ca="1">IFERROR(__xludf.DUMMYFUNCTION("""COMPUTED_VALUE"""),142)</f>
        <v>142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IFERROR(__xludf.DUMMYFUNCTION("""COMPUTED_VALUE"""),38)</f>
        <v>38</v>
      </c>
      <c r="C41" t="str">
        <f ca="1">IFERROR(__xludf.DUMMYFUNCTION("""COMPUTED_VALUE"""),"Doc Redman")</f>
        <v>Doc Redman</v>
      </c>
      <c r="D41">
        <f ca="1">IFERROR(__xludf.DUMMYFUNCTION("""COMPUTED_VALUE"""),18)</f>
        <v>18</v>
      </c>
      <c r="E41">
        <f ca="1">IFERROR(__xludf.DUMMYFUNCTION("""COMPUTED_VALUE"""),98.48)</f>
        <v>98.48</v>
      </c>
      <c r="F41">
        <f ca="1">IFERROR(__xludf.DUMMYFUNCTION("""COMPUTED_VALUE"""),198)</f>
        <v>198</v>
      </c>
      <c r="G41">
        <f ca="1">IFERROR(__xludf.DUMMYFUNCTION("""COMPUTED_VALUE"""),195)</f>
        <v>195</v>
      </c>
    </row>
    <row r="42" spans="1:7" ht="12.75">
      <c r="A42" t="str">
        <f ca="1">IFERROR(__xludf.DUMMYFUNCTION("""COMPUTED_VALUE"""),"T41")</f>
        <v>T41</v>
      </c>
      <c r="B42">
        <f ca="1">IFERROR(__xludf.DUMMYFUNCTION("""COMPUTED_VALUE"""),40)</f>
        <v>40</v>
      </c>
      <c r="C42" t="str">
        <f ca="1">IFERROR(__xludf.DUMMYFUNCTION("""COMPUTED_VALUE"""),"Will Gordon")</f>
        <v>Will Gordon</v>
      </c>
      <c r="D42">
        <f ca="1">IFERROR(__xludf.DUMMYFUNCTION("""COMPUTED_VALUE"""),20)</f>
        <v>20</v>
      </c>
      <c r="E42">
        <f ca="1">IFERROR(__xludf.DUMMYFUNCTION("""COMPUTED_VALUE"""),98.46)</f>
        <v>98.46</v>
      </c>
      <c r="F42">
        <f ca="1">IFERROR(__xludf.DUMMYFUNCTION("""COMPUTED_VALUE"""),195)</f>
        <v>195</v>
      </c>
      <c r="G42">
        <f ca="1">IFERROR(__xludf.DUMMYFUNCTION("""COMPUTED_VALUE"""),192)</f>
        <v>192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IFERROR(__xludf.DUMMYFUNCTION("""COMPUTED_VALUE"""),"T71")</f>
        <v>T71</v>
      </c>
      <c r="C43" t="str">
        <f ca="1">IFERROR(__xludf.DUMMYFUNCTION("""COMPUTED_VALUE"""),"Hunter Mahan")</f>
        <v>Hunter Mahan</v>
      </c>
      <c r="D43">
        <f ca="1">IFERROR(__xludf.DUMMYFUNCTION("""COMPUTED_VALUE"""),14)</f>
        <v>14</v>
      </c>
      <c r="E43">
        <f ca="1">IFERROR(__xludf.DUMMYFUNCTION("""COMPUTED_VALUE"""),98.46)</f>
        <v>98.46</v>
      </c>
      <c r="F43">
        <f ca="1">IFERROR(__xludf.DUMMYFUNCTION("""COMPUTED_VALUE"""),130)</f>
        <v>130</v>
      </c>
      <c r="G43">
        <f ca="1">IFERROR(__xludf.DUMMYFUNCTION("""COMPUTED_VALUE"""),128)</f>
        <v>128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IFERROR(__xludf.DUMMYFUNCTION("""COMPUTED_VALUE"""),91)</f>
        <v>91</v>
      </c>
      <c r="C44" t="str">
        <f ca="1">IFERROR(__xludf.DUMMYFUNCTION("""COMPUTED_VALUE"""),"Tyrrell Hatton")</f>
        <v>Tyrrell Hatton</v>
      </c>
      <c r="D44">
        <f ca="1">IFERROR(__xludf.DUMMYFUNCTION("""COMPUTED_VALUE"""),14)</f>
        <v>14</v>
      </c>
      <c r="E44">
        <f ca="1">IFERROR(__xludf.DUMMYFUNCTION("""COMPUTED_VALUE"""),98.41)</f>
        <v>98.41</v>
      </c>
      <c r="F44">
        <f ca="1">IFERROR(__xludf.DUMMYFUNCTION("""COMPUTED_VALUE"""),189)</f>
        <v>189</v>
      </c>
      <c r="G44">
        <f ca="1">IFERROR(__xludf.DUMMYFUNCTION("""COMPUTED_VALUE"""),186)</f>
        <v>186</v>
      </c>
    </row>
    <row r="45" spans="1:7" ht="12.75">
      <c r="A45" t="str">
        <f ca="1">IFERROR(__xludf.DUMMYFUNCTION("""COMPUTED_VALUE"""),"T44")</f>
        <v>T44</v>
      </c>
      <c r="B45" t="str">
        <f ca="1">IFERROR(__xludf.DUMMYFUNCTION("""COMPUTED_VALUE"""),"T86")</f>
        <v>T86</v>
      </c>
      <c r="C45" t="str">
        <f ca="1">IFERROR(__xludf.DUMMYFUNCTION("""COMPUTED_VALUE"""),"Mackenzie Hughes")</f>
        <v>Mackenzie Hughes</v>
      </c>
      <c r="D45">
        <f ca="1">IFERROR(__xludf.DUMMYFUNCTION("""COMPUTED_VALUE"""),18)</f>
        <v>18</v>
      </c>
      <c r="E45">
        <f ca="1">IFERROR(__xludf.DUMMYFUNCTION("""COMPUTED_VALUE"""),98.39)</f>
        <v>98.39</v>
      </c>
      <c r="F45">
        <f ca="1">IFERROR(__xludf.DUMMYFUNCTION("""COMPUTED_VALUE"""),186)</f>
        <v>186</v>
      </c>
      <c r="G45">
        <f ca="1">IFERROR(__xludf.DUMMYFUNCTION("""COMPUTED_VALUE"""),183)</f>
        <v>183</v>
      </c>
    </row>
    <row r="46" spans="1:7" ht="12.75">
      <c r="A46" t="str">
        <f ca="1">IFERROR(__xludf.DUMMYFUNCTION("""COMPUTED_VALUE"""),"T44")</f>
        <v>T44</v>
      </c>
      <c r="B46">
        <f ca="1">IFERROR(__xludf.DUMMYFUNCTION("""COMPUTED_VALUE"""),43)</f>
        <v>43</v>
      </c>
      <c r="C46" t="str">
        <f ca="1">IFERROR(__xludf.DUMMYFUNCTION("""COMPUTED_VALUE"""),"Sam Burns")</f>
        <v>Sam Burns</v>
      </c>
      <c r="D46">
        <f ca="1">IFERROR(__xludf.DUMMYFUNCTION("""COMPUTED_VALUE"""),18)</f>
        <v>18</v>
      </c>
      <c r="E46">
        <f ca="1">IFERROR(__xludf.DUMMYFUNCTION("""COMPUTED_VALUE"""),98.39)</f>
        <v>98.39</v>
      </c>
      <c r="F46">
        <f ca="1">IFERROR(__xludf.DUMMYFUNCTION("""COMPUTED_VALUE"""),186)</f>
        <v>186</v>
      </c>
      <c r="G46">
        <f ca="1">IFERROR(__xludf.DUMMYFUNCTION("""COMPUTED_VALUE"""),183)</f>
        <v>183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IFERROR(__xludf.DUMMYFUNCTION("""COMPUTED_VALUE"""),"T61")</f>
        <v>T61</v>
      </c>
      <c r="C47" t="str">
        <f ca="1">IFERROR(__xludf.DUMMYFUNCTION("""COMPUTED_VALUE"""),"Tom Hoge")</f>
        <v>Tom Hoge</v>
      </c>
      <c r="D47">
        <f ca="1">IFERROR(__xludf.DUMMYFUNCTION("""COMPUTED_VALUE"""),22)</f>
        <v>22</v>
      </c>
      <c r="E47">
        <f ca="1">IFERROR(__xludf.DUMMYFUNCTION("""COMPUTED_VALUE"""),98.32)</f>
        <v>98.32</v>
      </c>
      <c r="F47">
        <f ca="1">IFERROR(__xludf.DUMMYFUNCTION("""COMPUTED_VALUE"""),298)</f>
        <v>298</v>
      </c>
      <c r="G47">
        <f ca="1">IFERROR(__xludf.DUMMYFUNCTION("""COMPUTED_VALUE"""),293)</f>
        <v>293</v>
      </c>
    </row>
    <row r="48" spans="1:7" ht="12.75">
      <c r="A48" t="str">
        <f ca="1">IFERROR(__xludf.DUMMYFUNCTION("""COMPUTED_VALUE"""),"T46")</f>
        <v>T46</v>
      </c>
      <c r="B48">
        <f ca="1">IFERROR(__xludf.DUMMYFUNCTION("""COMPUTED_VALUE"""),78)</f>
        <v>78</v>
      </c>
      <c r="C48" t="str">
        <f ca="1">IFERROR(__xludf.DUMMYFUNCTION("""COMPUTED_VALUE"""),"Carlos Ortiz")</f>
        <v>Carlos Ortiz</v>
      </c>
      <c r="D48">
        <f ca="1">IFERROR(__xludf.DUMMYFUNCTION("""COMPUTED_VALUE"""),20)</f>
        <v>20</v>
      </c>
      <c r="E48">
        <f ca="1">IFERROR(__xludf.DUMMYFUNCTION("""COMPUTED_VALUE"""),98.32)</f>
        <v>98.32</v>
      </c>
      <c r="F48">
        <f ca="1">IFERROR(__xludf.DUMMYFUNCTION("""COMPUTED_VALUE"""),298)</f>
        <v>298</v>
      </c>
      <c r="G48">
        <f ca="1">IFERROR(__xludf.DUMMYFUNCTION("""COMPUTED_VALUE"""),293)</f>
        <v>293</v>
      </c>
    </row>
    <row r="49" spans="1:7" ht="12.75">
      <c r="A49" t="str">
        <f ca="1">IFERROR(__xludf.DUMMYFUNCTION("""COMPUTED_VALUE"""),"T48")</f>
        <v>T48</v>
      </c>
      <c r="B49" t="str">
        <f ca="1">IFERROR(__xludf.DUMMYFUNCTION("""COMPUTED_VALUE"""),"T110")</f>
        <v>T110</v>
      </c>
      <c r="C49" t="str">
        <f ca="1">IFERROR(__xludf.DUMMYFUNCTION("""COMPUTED_VALUE"""),"Russell Knox")</f>
        <v>Russell Knox</v>
      </c>
      <c r="D49">
        <f ca="1">IFERROR(__xludf.DUMMYFUNCTION("""COMPUTED_VALUE"""),16)</f>
        <v>16</v>
      </c>
      <c r="E49">
        <f ca="1">IFERROR(__xludf.DUMMYFUNCTION("""COMPUTED_VALUE"""),98.31)</f>
        <v>98.31</v>
      </c>
      <c r="F49">
        <f ca="1">IFERROR(__xludf.DUMMYFUNCTION("""COMPUTED_VALUE"""),177)</f>
        <v>177</v>
      </c>
      <c r="G49">
        <f ca="1">IFERROR(__xludf.DUMMYFUNCTION("""COMPUTED_VALUE"""),174)</f>
        <v>174</v>
      </c>
    </row>
    <row r="50" spans="1:7" ht="12.75">
      <c r="A50" t="str">
        <f ca="1">IFERROR(__xludf.DUMMYFUNCTION("""COMPUTED_VALUE"""),"T48")</f>
        <v>T48</v>
      </c>
      <c r="B50" t="str">
        <f ca="1">IFERROR(__xludf.DUMMYFUNCTION("""COMPUTED_VALUE"""),"T45")</f>
        <v>T45</v>
      </c>
      <c r="C50" t="str">
        <f ca="1">IFERROR(__xludf.DUMMYFUNCTION("""COMPUTED_VALUE"""),"Billy Horschel")</f>
        <v>Billy Horschel</v>
      </c>
      <c r="D50">
        <f ca="1">IFERROR(__xludf.DUMMYFUNCTION("""COMPUTED_VALUE"""),12)</f>
        <v>12</v>
      </c>
      <c r="E50">
        <f ca="1">IFERROR(__xludf.DUMMYFUNCTION("""COMPUTED_VALUE"""),98.31)</f>
        <v>98.31</v>
      </c>
      <c r="F50">
        <f ca="1">IFERROR(__xludf.DUMMYFUNCTION("""COMPUTED_VALUE"""),177)</f>
        <v>177</v>
      </c>
      <c r="G50">
        <f ca="1">IFERROR(__xludf.DUMMYFUNCTION("""COMPUTED_VALUE"""),174)</f>
        <v>174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IFERROR(__xludf.DUMMYFUNCTION("""COMPUTED_VALUE"""),44)</f>
        <v>44</v>
      </c>
      <c r="C51" t="str">
        <f ca="1">IFERROR(__xludf.DUMMYFUNCTION("""COMPUTED_VALUE"""),"Nate Lashley")</f>
        <v>Nate Lashley</v>
      </c>
      <c r="D51">
        <f ca="1">IFERROR(__xludf.DUMMYFUNCTION("""COMPUTED_VALUE"""),16)</f>
        <v>16</v>
      </c>
      <c r="E51">
        <f ca="1">IFERROR(__xludf.DUMMYFUNCTION("""COMPUTED_VALUE"""),98.3)</f>
        <v>98.3</v>
      </c>
      <c r="F51">
        <f ca="1">IFERROR(__xludf.DUMMYFUNCTION("""COMPUTED_VALUE"""),176)</f>
        <v>176</v>
      </c>
      <c r="G51">
        <f ca="1">IFERROR(__xludf.DUMMYFUNCTION("""COMPUTED_VALUE"""),173)</f>
        <v>173</v>
      </c>
    </row>
    <row r="52" spans="1:7" ht="12.75">
      <c r="A52" t="str">
        <f ca="1">IFERROR(__xludf.DUMMYFUNCTION("""COMPUTED_VALUE"""),"T51")</f>
        <v>T51</v>
      </c>
      <c r="B52" t="str">
        <f ca="1">IFERROR(__xludf.DUMMYFUNCTION("""COMPUTED_VALUE"""),"T47")</f>
        <v>T47</v>
      </c>
      <c r="C52" t="str">
        <f ca="1">IFERROR(__xludf.DUMMYFUNCTION("""COMPUTED_VALUE"""),"Jim Furyk")</f>
        <v>Jim Furyk</v>
      </c>
      <c r="D52">
        <f ca="1">IFERROR(__xludf.DUMMYFUNCTION("""COMPUTED_VALUE"""),4)</f>
        <v>4</v>
      </c>
      <c r="E52">
        <f ca="1">IFERROR(__xludf.DUMMYFUNCTION("""COMPUTED_VALUE"""),98.28)</f>
        <v>98.28</v>
      </c>
      <c r="F52">
        <f ca="1">IFERROR(__xludf.DUMMYFUNCTION("""COMPUTED_VALUE"""),58)</f>
        <v>58</v>
      </c>
      <c r="G52">
        <f ca="1">IFERROR(__xludf.DUMMYFUNCTION("""COMPUTED_VALUE"""),57)</f>
        <v>57</v>
      </c>
    </row>
    <row r="53" spans="1:7" ht="12.75">
      <c r="A53" t="str">
        <f ca="1">IFERROR(__xludf.DUMMYFUNCTION("""COMPUTED_VALUE"""),"T51")</f>
        <v>T51</v>
      </c>
      <c r="B53" t="str">
        <f ca="1">IFERROR(__xludf.DUMMYFUNCTION("""COMPUTED_VALUE"""),"T104")</f>
        <v>T104</v>
      </c>
      <c r="C53" t="str">
        <f ca="1">IFERROR(__xludf.DUMMYFUNCTION("""COMPUTED_VALUE"""),"D.A. Points")</f>
        <v>D.A. Points</v>
      </c>
      <c r="D53">
        <f ca="1">IFERROR(__xludf.DUMMYFUNCTION("""COMPUTED_VALUE"""),12)</f>
        <v>12</v>
      </c>
      <c r="E53">
        <f ca="1">IFERROR(__xludf.DUMMYFUNCTION("""COMPUTED_VALUE"""),98.28)</f>
        <v>98.28</v>
      </c>
      <c r="F53">
        <f ca="1">IFERROR(__xludf.DUMMYFUNCTION("""COMPUTED_VALUE"""),116)</f>
        <v>116</v>
      </c>
      <c r="G53">
        <f ca="1">IFERROR(__xludf.DUMMYFUNCTION("""COMPUTED_VALUE"""),114)</f>
        <v>114</v>
      </c>
    </row>
    <row r="54" spans="1:7" ht="12.75">
      <c r="A54" t="str">
        <f ca="1">IFERROR(__xludf.DUMMYFUNCTION("""COMPUTED_VALUE"""),"T51")</f>
        <v>T51</v>
      </c>
      <c r="B54" t="str">
        <f ca="1">IFERROR(__xludf.DUMMYFUNCTION("""COMPUTED_VALUE"""),"T47")</f>
        <v>T47</v>
      </c>
      <c r="C54" t="str">
        <f ca="1">IFERROR(__xludf.DUMMYFUNCTION("""COMPUTED_VALUE"""),"Chris Baker")</f>
        <v>Chris Baker</v>
      </c>
      <c r="D54">
        <f ca="1">IFERROR(__xludf.DUMMYFUNCTION("""COMPUTED_VALUE"""),8)</f>
        <v>8</v>
      </c>
      <c r="E54">
        <f ca="1">IFERROR(__xludf.DUMMYFUNCTION("""COMPUTED_VALUE"""),98.28)</f>
        <v>98.28</v>
      </c>
      <c r="F54">
        <f ca="1">IFERROR(__xludf.DUMMYFUNCTION("""COMPUTED_VALUE"""),58)</f>
        <v>58</v>
      </c>
      <c r="G54">
        <f ca="1">IFERROR(__xludf.DUMMYFUNCTION("""COMPUTED_VALUE"""),57)</f>
        <v>57</v>
      </c>
    </row>
    <row r="55" spans="1:7" ht="12.75">
      <c r="A55" t="str">
        <f ca="1">IFERROR(__xludf.DUMMYFUNCTION("""COMPUTED_VALUE"""),"T54")</f>
        <v>T54</v>
      </c>
      <c r="B55" t="str">
        <f ca="1">IFERROR(__xludf.DUMMYFUNCTION("""COMPUTED_VALUE"""),"T51")</f>
        <v>T51</v>
      </c>
      <c r="C55" t="str">
        <f ca="1">IFERROR(__xludf.DUMMYFUNCTION("""COMPUTED_VALUE"""),"Robert Streb")</f>
        <v>Robert Streb</v>
      </c>
      <c r="D55">
        <f ca="1">IFERROR(__xludf.DUMMYFUNCTION("""COMPUTED_VALUE"""),12)</f>
        <v>12</v>
      </c>
      <c r="E55">
        <f ca="1">IFERROR(__xludf.DUMMYFUNCTION("""COMPUTED_VALUE"""),98.25)</f>
        <v>98.25</v>
      </c>
      <c r="F55">
        <f ca="1">IFERROR(__xludf.DUMMYFUNCTION("""COMPUTED_VALUE"""),57)</f>
        <v>57</v>
      </c>
      <c r="G55">
        <f ca="1">IFERROR(__xludf.DUMMYFUNCTION("""COMPUTED_VALUE"""),56)</f>
        <v>56</v>
      </c>
    </row>
    <row r="56" spans="1:7" ht="12.75">
      <c r="A56" t="str">
        <f ca="1">IFERROR(__xludf.DUMMYFUNCTION("""COMPUTED_VALUE"""),"T54")</f>
        <v>T54</v>
      </c>
      <c r="B56" t="str">
        <f ca="1">IFERROR(__xludf.DUMMYFUNCTION("""COMPUTED_VALUE"""),"T51")</f>
        <v>T51</v>
      </c>
      <c r="C56" t="str">
        <f ca="1">IFERROR(__xludf.DUMMYFUNCTION("""COMPUTED_VALUE"""),"Mikumu Horikawa")</f>
        <v>Mikumu Horikawa</v>
      </c>
      <c r="D56">
        <f ca="1">IFERROR(__xludf.DUMMYFUNCTION("""COMPUTED_VALUE"""),4)</f>
        <v>4</v>
      </c>
      <c r="E56">
        <f ca="1">IFERROR(__xludf.DUMMYFUNCTION("""COMPUTED_VALUE"""),98.25)</f>
        <v>98.25</v>
      </c>
      <c r="F56">
        <f ca="1">IFERROR(__xludf.DUMMYFUNCTION("""COMPUTED_VALUE"""),57)</f>
        <v>57</v>
      </c>
      <c r="G56">
        <f ca="1">IFERROR(__xludf.DUMMYFUNCTION("""COMPUTED_VALUE"""),56)</f>
        <v>56</v>
      </c>
    </row>
    <row r="57" spans="1:7" ht="12.75">
      <c r="A57" t="str">
        <f ca="1">IFERROR(__xludf.DUMMYFUNCTION("""COMPUTED_VALUE"""),"T54")</f>
        <v>T54</v>
      </c>
      <c r="B57" t="str">
        <f ca="1">IFERROR(__xludf.DUMMYFUNCTION("""COMPUTED_VALUE"""),"T51")</f>
        <v>T51</v>
      </c>
      <c r="C57" t="str">
        <f ca="1">IFERROR(__xludf.DUMMYFUNCTION("""COMPUTED_VALUE"""),"Ricky Barnes")</f>
        <v>Ricky Barnes</v>
      </c>
      <c r="D57">
        <f ca="1">IFERROR(__xludf.DUMMYFUNCTION("""COMPUTED_VALUE"""),12)</f>
        <v>12</v>
      </c>
      <c r="E57">
        <f ca="1">IFERROR(__xludf.DUMMYFUNCTION("""COMPUTED_VALUE"""),98.25)</f>
        <v>98.25</v>
      </c>
      <c r="F57">
        <f ca="1">IFERROR(__xludf.DUMMYFUNCTION("""COMPUTED_VALUE"""),57)</f>
        <v>57</v>
      </c>
      <c r="G57">
        <f ca="1">IFERROR(__xludf.DUMMYFUNCTION("""COMPUTED_VALUE"""),56)</f>
        <v>56</v>
      </c>
    </row>
    <row r="58" spans="1:7" ht="12.75">
      <c r="A58" t="str">
        <f ca="1">IFERROR(__xludf.DUMMYFUNCTION("""COMPUTED_VALUE"""),"T54")</f>
        <v>T54</v>
      </c>
      <c r="B58" t="str">
        <f ca="1">IFERROR(__xludf.DUMMYFUNCTION("""COMPUTED_VALUE"""),"T51")</f>
        <v>T51</v>
      </c>
      <c r="C58" t="str">
        <f ca="1">IFERROR(__xludf.DUMMYFUNCTION("""COMPUTED_VALUE"""),"Anirban Lahiri")</f>
        <v>Anirban Lahiri</v>
      </c>
      <c r="D58">
        <f ca="1">IFERROR(__xludf.DUMMYFUNCTION("""COMPUTED_VALUE"""),16)</f>
        <v>16</v>
      </c>
      <c r="E58">
        <f ca="1">IFERROR(__xludf.DUMMYFUNCTION("""COMPUTED_VALUE"""),98.25)</f>
        <v>98.25</v>
      </c>
      <c r="F58">
        <f ca="1">IFERROR(__xludf.DUMMYFUNCTION("""COMPUTED_VALUE"""),114)</f>
        <v>114</v>
      </c>
      <c r="G58">
        <f ca="1">IFERROR(__xludf.DUMMYFUNCTION("""COMPUTED_VALUE"""),112)</f>
        <v>112</v>
      </c>
    </row>
    <row r="59" spans="1:7" ht="12.75">
      <c r="A59" t="str">
        <f ca="1">IFERROR(__xludf.DUMMYFUNCTION("""COMPUTED_VALUE"""),"T58")</f>
        <v>T58</v>
      </c>
      <c r="B59" t="str">
        <f ca="1">IFERROR(__xludf.DUMMYFUNCTION("""COMPUTED_VALUE"""),"")</f>
        <v/>
      </c>
      <c r="C59" t="str">
        <f ca="1">IFERROR(__xludf.DUMMYFUNCTION("""COMPUTED_VALUE"""),"Erik Barnes")</f>
        <v>Erik Barnes</v>
      </c>
      <c r="D59">
        <f ca="1">IFERROR(__xludf.DUMMYFUNCTION("""COMPUTED_VALUE"""),4)</f>
        <v>4</v>
      </c>
      <c r="E59">
        <f ca="1">IFERROR(__xludf.DUMMYFUNCTION("""COMPUTED_VALUE"""),98.21)</f>
        <v>98.21</v>
      </c>
      <c r="F59">
        <f ca="1">IFERROR(__xludf.DUMMYFUNCTION("""COMPUTED_VALUE"""),56)</f>
        <v>56</v>
      </c>
      <c r="G59">
        <f ca="1">IFERROR(__xludf.DUMMYFUNCTION("""COMPUTED_VALUE"""),55)</f>
        <v>55</v>
      </c>
    </row>
    <row r="60" spans="1:7" ht="12.75">
      <c r="A60" t="str">
        <f ca="1">IFERROR(__xludf.DUMMYFUNCTION("""COMPUTED_VALUE"""),"T58")</f>
        <v>T58</v>
      </c>
      <c r="B60" t="str">
        <f ca="1">IFERROR(__xludf.DUMMYFUNCTION("""COMPUTED_VALUE"""),"T57")</f>
        <v>T57</v>
      </c>
      <c r="C60" t="str">
        <f ca="1">IFERROR(__xludf.DUMMYFUNCTION("""COMPUTED_VALUE"""),"Sebastian Cappelen")</f>
        <v>Sebastian Cappelen</v>
      </c>
      <c r="D60">
        <f ca="1">IFERROR(__xludf.DUMMYFUNCTION("""COMPUTED_VALUE"""),8)</f>
        <v>8</v>
      </c>
      <c r="E60">
        <f ca="1">IFERROR(__xludf.DUMMYFUNCTION("""COMPUTED_VALUE"""),98.21)</f>
        <v>98.21</v>
      </c>
      <c r="F60">
        <f ca="1">IFERROR(__xludf.DUMMYFUNCTION("""COMPUTED_VALUE"""),56)</f>
        <v>56</v>
      </c>
      <c r="G60">
        <f ca="1">IFERROR(__xludf.DUMMYFUNCTION("""COMPUTED_VALUE"""),55)</f>
        <v>55</v>
      </c>
    </row>
    <row r="61" spans="1:7" ht="12.75">
      <c r="A61" t="str">
        <f ca="1">IFERROR(__xludf.DUMMYFUNCTION("""COMPUTED_VALUE"""),"T58")</f>
        <v>T58</v>
      </c>
      <c r="B61" t="str">
        <f ca="1">IFERROR(__xludf.DUMMYFUNCTION("""COMPUTED_VALUE"""),"T57")</f>
        <v>T57</v>
      </c>
      <c r="C61" t="str">
        <f ca="1">IFERROR(__xludf.DUMMYFUNCTION("""COMPUTED_VALUE"""),"Jon Rahm")</f>
        <v>Jon Rahm</v>
      </c>
      <c r="D61">
        <f ca="1">IFERROR(__xludf.DUMMYFUNCTION("""COMPUTED_VALUE"""),12)</f>
        <v>12</v>
      </c>
      <c r="E61">
        <f ca="1">IFERROR(__xludf.DUMMYFUNCTION("""COMPUTED_VALUE"""),98.21)</f>
        <v>98.21</v>
      </c>
      <c r="F61">
        <f ca="1">IFERROR(__xludf.DUMMYFUNCTION("""COMPUTED_VALUE"""),168)</f>
        <v>168</v>
      </c>
      <c r="G61">
        <f ca="1">IFERROR(__xludf.DUMMYFUNCTION("""COMPUTED_VALUE"""),165)</f>
        <v>165</v>
      </c>
    </row>
    <row r="62" spans="1:7" ht="12.75">
      <c r="A62" t="str">
        <f ca="1">IFERROR(__xludf.DUMMYFUNCTION("""COMPUTED_VALUE"""),"T61")</f>
        <v>T61</v>
      </c>
      <c r="B62" t="str">
        <f ca="1">IFERROR(__xludf.DUMMYFUNCTION("""COMPUTED_VALUE"""),"T51")</f>
        <v>T51</v>
      </c>
      <c r="C62" t="str">
        <f ca="1">IFERROR(__xludf.DUMMYFUNCTION("""COMPUTED_VALUE"""),"Brooks Koepka")</f>
        <v>Brooks Koepka</v>
      </c>
      <c r="D62">
        <f ca="1">IFERROR(__xludf.DUMMYFUNCTION("""COMPUTED_VALUE"""),8)</f>
        <v>8</v>
      </c>
      <c r="E62">
        <f ca="1">IFERROR(__xludf.DUMMYFUNCTION("""COMPUTED_VALUE"""),98.18)</f>
        <v>98.18</v>
      </c>
      <c r="F62">
        <f ca="1">IFERROR(__xludf.DUMMYFUNCTION("""COMPUTED_VALUE"""),110)</f>
        <v>110</v>
      </c>
      <c r="G62">
        <f ca="1">IFERROR(__xludf.DUMMYFUNCTION("""COMPUTED_VALUE"""),108)</f>
        <v>108</v>
      </c>
    </row>
    <row r="63" spans="1:7" ht="12.75">
      <c r="A63" t="str">
        <f ca="1">IFERROR(__xludf.DUMMYFUNCTION("""COMPUTED_VALUE"""),"T61")</f>
        <v>T61</v>
      </c>
      <c r="B63" t="str">
        <f ca="1">IFERROR(__xludf.DUMMYFUNCTION("""COMPUTED_VALUE"""),"T59")</f>
        <v>T59</v>
      </c>
      <c r="C63" t="str">
        <f ca="1">IFERROR(__xludf.DUMMYFUNCTION("""COMPUTED_VALUE"""),"Aaron Baddeley")</f>
        <v>Aaron Baddeley</v>
      </c>
      <c r="D63">
        <f ca="1">IFERROR(__xludf.DUMMYFUNCTION("""COMPUTED_VALUE"""),8)</f>
        <v>8</v>
      </c>
      <c r="E63">
        <f ca="1">IFERROR(__xludf.DUMMYFUNCTION("""COMPUTED_VALUE"""),98.18)</f>
        <v>98.18</v>
      </c>
      <c r="F63">
        <f ca="1">IFERROR(__xludf.DUMMYFUNCTION("""COMPUTED_VALUE"""),55)</f>
        <v>55</v>
      </c>
      <c r="G63">
        <f ca="1">IFERROR(__xludf.DUMMYFUNCTION("""COMPUTED_VALUE"""),54)</f>
        <v>54</v>
      </c>
    </row>
    <row r="64" spans="1:7" ht="12.75">
      <c r="A64" t="str">
        <f ca="1">IFERROR(__xludf.DUMMYFUNCTION("""COMPUTED_VALUE"""),"T61")</f>
        <v>T61</v>
      </c>
      <c r="B64" t="str">
        <f ca="1">IFERROR(__xludf.DUMMYFUNCTION("""COMPUTED_VALUE"""),"T59")</f>
        <v>T59</v>
      </c>
      <c r="C64" t="str">
        <f ca="1">IFERROR(__xludf.DUMMYFUNCTION("""COMPUTED_VALUE"""),"Jay McLuen")</f>
        <v>Jay McLuen</v>
      </c>
      <c r="D64">
        <f ca="1">IFERROR(__xludf.DUMMYFUNCTION("""COMPUTED_VALUE"""),4)</f>
        <v>4</v>
      </c>
      <c r="E64">
        <f ca="1">IFERROR(__xludf.DUMMYFUNCTION("""COMPUTED_VALUE"""),98.18)</f>
        <v>98.18</v>
      </c>
      <c r="F64">
        <f ca="1">IFERROR(__xludf.DUMMYFUNCTION("""COMPUTED_VALUE"""),55)</f>
        <v>55</v>
      </c>
      <c r="G64">
        <f ca="1">IFERROR(__xludf.DUMMYFUNCTION("""COMPUTED_VALUE"""),54)</f>
        <v>54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IFERROR(__xludf.DUMMYFUNCTION("""COMPUTED_VALUE"""),"T30")</f>
        <v>T30</v>
      </c>
      <c r="C65" t="str">
        <f ca="1">IFERROR(__xludf.DUMMYFUNCTION("""COMPUTED_VALUE"""),"Sam Ryder")</f>
        <v>Sam Ryder</v>
      </c>
      <c r="D65">
        <f ca="1">IFERROR(__xludf.DUMMYFUNCTION("""COMPUTED_VALUE"""),12)</f>
        <v>12</v>
      </c>
      <c r="E65">
        <f ca="1">IFERROR(__xludf.DUMMYFUNCTION("""COMPUTED_VALUE"""),98.17)</f>
        <v>98.17</v>
      </c>
      <c r="F65">
        <f ca="1">IFERROR(__xludf.DUMMYFUNCTION("""COMPUTED_VALUE"""),109)</f>
        <v>109</v>
      </c>
      <c r="G65">
        <f ca="1">IFERROR(__xludf.DUMMYFUNCTION("""COMPUTED_VALUE"""),107)</f>
        <v>107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IFERROR(__xludf.DUMMYFUNCTION("""COMPUTED_VALUE"""),"T61")</f>
        <v>T61</v>
      </c>
      <c r="C66" t="str">
        <f ca="1">IFERROR(__xludf.DUMMYFUNCTION("""COMPUTED_VALUE"""),"Chase Seiffert")</f>
        <v>Chase Seiffert</v>
      </c>
      <c r="D66">
        <f ca="1">IFERROR(__xludf.DUMMYFUNCTION("""COMPUTED_VALUE"""),14)</f>
        <v>14</v>
      </c>
      <c r="E66">
        <f ca="1">IFERROR(__xludf.DUMMYFUNCTION("""COMPUTED_VALUE"""),98.17)</f>
        <v>98.17</v>
      </c>
      <c r="F66">
        <f ca="1">IFERROR(__xludf.DUMMYFUNCTION("""COMPUTED_VALUE"""),109)</f>
        <v>109</v>
      </c>
      <c r="G66">
        <f ca="1">IFERROR(__xludf.DUMMYFUNCTION("""COMPUTED_VALUE"""),107)</f>
        <v>107</v>
      </c>
    </row>
    <row r="67" spans="1:7" ht="12.75">
      <c r="A67" t="str">
        <f ca="1">IFERROR(__xludf.DUMMYFUNCTION("""COMPUTED_VALUE"""),"T66")</f>
        <v>T66</v>
      </c>
      <c r="B67" t="str">
        <f ca="1">IFERROR(__xludf.DUMMYFUNCTION("""COMPUTED_VALUE"""),"T66")</f>
        <v>T66</v>
      </c>
      <c r="C67" t="str">
        <f ca="1">IFERROR(__xludf.DUMMYFUNCTION("""COMPUTED_VALUE"""),"Hanbyeol Kim")</f>
        <v>Hanbyeol Kim</v>
      </c>
      <c r="D67">
        <f ca="1">IFERROR(__xludf.DUMMYFUNCTION("""COMPUTED_VALUE"""),4)</f>
        <v>4</v>
      </c>
      <c r="E67">
        <f ca="1">IFERROR(__xludf.DUMMYFUNCTION("""COMPUTED_VALUE"""),98.15)</f>
        <v>98.15</v>
      </c>
      <c r="F67">
        <f ca="1">IFERROR(__xludf.DUMMYFUNCTION("""COMPUTED_VALUE"""),54)</f>
        <v>54</v>
      </c>
      <c r="G67">
        <f ca="1">IFERROR(__xludf.DUMMYFUNCTION("""COMPUTED_VALUE"""),53)</f>
        <v>53</v>
      </c>
    </row>
    <row r="68" spans="1:7" ht="12.75">
      <c r="A68" t="str">
        <f ca="1">IFERROR(__xludf.DUMMYFUNCTION("""COMPUTED_VALUE"""),"T66")</f>
        <v>T66</v>
      </c>
      <c r="B68" t="str">
        <f ca="1">IFERROR(__xludf.DUMMYFUNCTION("""COMPUTED_VALUE"""),"T66")</f>
        <v>T66</v>
      </c>
      <c r="C68" t="str">
        <f ca="1">IFERROR(__xludf.DUMMYFUNCTION("""COMPUTED_VALUE"""),"Steve Lewton")</f>
        <v>Steve Lewton</v>
      </c>
      <c r="D68">
        <f ca="1">IFERROR(__xludf.DUMMYFUNCTION("""COMPUTED_VALUE"""),4)</f>
        <v>4</v>
      </c>
      <c r="E68">
        <f ca="1">IFERROR(__xludf.DUMMYFUNCTION("""COMPUTED_VALUE"""),98.15)</f>
        <v>98.15</v>
      </c>
      <c r="F68">
        <f ca="1">IFERROR(__xludf.DUMMYFUNCTION("""COMPUTED_VALUE"""),54)</f>
        <v>54</v>
      </c>
      <c r="G68">
        <f ca="1">IFERROR(__xludf.DUMMYFUNCTION("""COMPUTED_VALUE"""),53)</f>
        <v>53</v>
      </c>
    </row>
    <row r="69" spans="1:7" ht="12.75">
      <c r="A69" t="str">
        <f ca="1">IFERROR(__xludf.DUMMYFUNCTION("""COMPUTED_VALUE"""),"T66")</f>
        <v>T66</v>
      </c>
      <c r="B69" t="str">
        <f ca="1">IFERROR(__xludf.DUMMYFUNCTION("""COMPUTED_VALUE"""),"T66")</f>
        <v>T66</v>
      </c>
      <c r="C69" t="str">
        <f ca="1">IFERROR(__xludf.DUMMYFUNCTION("""COMPUTED_VALUE"""),"Rhein Gibson")</f>
        <v>Rhein Gibson</v>
      </c>
      <c r="D69">
        <f ca="1">IFERROR(__xludf.DUMMYFUNCTION("""COMPUTED_VALUE"""),10)</f>
        <v>10</v>
      </c>
      <c r="E69">
        <f ca="1">IFERROR(__xludf.DUMMYFUNCTION("""COMPUTED_VALUE"""),98.15)</f>
        <v>98.15</v>
      </c>
      <c r="F69">
        <f ca="1">IFERROR(__xludf.DUMMYFUNCTION("""COMPUTED_VALUE"""),54)</f>
        <v>54</v>
      </c>
      <c r="G69">
        <f ca="1">IFERROR(__xludf.DUMMYFUNCTION("""COMPUTED_VALUE"""),53)</f>
        <v>53</v>
      </c>
    </row>
    <row r="70" spans="1:7" ht="12.75">
      <c r="A70" t="str">
        <f ca="1">IFERROR(__xludf.DUMMYFUNCTION("""COMPUTED_VALUE"""),"T69")</f>
        <v>T69</v>
      </c>
      <c r="B70" t="str">
        <f ca="1">IFERROR(__xludf.DUMMYFUNCTION("""COMPUTED_VALUE"""),"T71")</f>
        <v>T71</v>
      </c>
      <c r="C70" t="str">
        <f ca="1">IFERROR(__xludf.DUMMYFUNCTION("""COMPUTED_VALUE"""),"Renato Paratore")</f>
        <v>Renato Paratore</v>
      </c>
      <c r="D70">
        <f ca="1">IFERROR(__xludf.DUMMYFUNCTION("""COMPUTED_VALUE"""),4)</f>
        <v>4</v>
      </c>
      <c r="E70">
        <f ca="1">IFERROR(__xludf.DUMMYFUNCTION("""COMPUTED_VALUE"""),98.11)</f>
        <v>98.11</v>
      </c>
      <c r="F70">
        <f ca="1">IFERROR(__xludf.DUMMYFUNCTION("""COMPUTED_VALUE"""),53)</f>
        <v>53</v>
      </c>
      <c r="G70">
        <f ca="1">IFERROR(__xludf.DUMMYFUNCTION("""COMPUTED_VALUE"""),52)</f>
        <v>52</v>
      </c>
    </row>
    <row r="71" spans="1:7" ht="12.75">
      <c r="A71" t="str">
        <f ca="1">IFERROR(__xludf.DUMMYFUNCTION("""COMPUTED_VALUE"""),"T69")</f>
        <v>T69</v>
      </c>
      <c r="B71" t="str">
        <f ca="1">IFERROR(__xludf.DUMMYFUNCTION("""COMPUTED_VALUE"""),"T71")</f>
        <v>T71</v>
      </c>
      <c r="C71" t="str">
        <f ca="1">IFERROR(__xludf.DUMMYFUNCTION("""COMPUTED_VALUE"""),"Bud Cauley")</f>
        <v>Bud Cauley</v>
      </c>
      <c r="D71">
        <f ca="1">IFERROR(__xludf.DUMMYFUNCTION("""COMPUTED_VALUE"""),4)</f>
        <v>4</v>
      </c>
      <c r="E71">
        <f ca="1">IFERROR(__xludf.DUMMYFUNCTION("""COMPUTED_VALUE"""),98.11)</f>
        <v>98.11</v>
      </c>
      <c r="F71">
        <f ca="1">IFERROR(__xludf.DUMMYFUNCTION("""COMPUTED_VALUE"""),53)</f>
        <v>53</v>
      </c>
      <c r="G71">
        <f ca="1">IFERROR(__xludf.DUMMYFUNCTION("""COMPUTED_VALUE"""),52)</f>
        <v>52</v>
      </c>
    </row>
    <row r="72" spans="1:7" ht="12.75">
      <c r="A72">
        <f ca="1">IFERROR(__xludf.DUMMYFUNCTION("""COMPUTED_VALUE"""),71)</f>
        <v>71</v>
      </c>
      <c r="B72" t="str">
        <f ca="1">IFERROR(__xludf.DUMMYFUNCTION("""COMPUTED_VALUE"""),"")</f>
        <v/>
      </c>
      <c r="C72" t="str">
        <f ca="1">IFERROR(__xludf.DUMMYFUNCTION("""COMPUTED_VALUE"""),"Dawie van der Walt")</f>
        <v>Dawie van der Walt</v>
      </c>
      <c r="D72">
        <f ca="1">IFERROR(__xludf.DUMMYFUNCTION("""COMPUTED_VALUE"""),4)</f>
        <v>4</v>
      </c>
      <c r="E72">
        <f ca="1">IFERROR(__xludf.DUMMYFUNCTION("""COMPUTED_VALUE"""),98.08)</f>
        <v>98.08</v>
      </c>
      <c r="F72">
        <f ca="1">IFERROR(__xludf.DUMMYFUNCTION("""COMPUTED_VALUE"""),52)</f>
        <v>52</v>
      </c>
      <c r="G72">
        <f ca="1">IFERROR(__xludf.DUMMYFUNCTION("""COMPUTED_VALUE"""),51)</f>
        <v>51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IFERROR(__xludf.DUMMYFUNCTION("""COMPUTED_VALUE"""),74)</f>
        <v>74</v>
      </c>
      <c r="C73" t="str">
        <f ca="1">IFERROR(__xludf.DUMMYFUNCTION("""COMPUTED_VALUE"""),"Michael Gligic")</f>
        <v>Michael Gligic</v>
      </c>
      <c r="D73">
        <f ca="1">IFERROR(__xludf.DUMMYFUNCTION("""COMPUTED_VALUE"""),18)</f>
        <v>18</v>
      </c>
      <c r="E73">
        <f ca="1">IFERROR(__xludf.DUMMYFUNCTION("""COMPUTED_VALUE"""),98.06)</f>
        <v>98.06</v>
      </c>
      <c r="F73">
        <f ca="1">IFERROR(__xludf.DUMMYFUNCTION("""COMPUTED_VALUE"""),155)</f>
        <v>155</v>
      </c>
      <c r="G73">
        <f ca="1">IFERROR(__xludf.DUMMYFUNCTION("""COMPUTED_VALUE"""),152)</f>
        <v>152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IFERROR(__xludf.DUMMYFUNCTION("""COMPUTED_VALUE"""),75)</f>
        <v>75</v>
      </c>
      <c r="C74" t="str">
        <f ca="1">IFERROR(__xludf.DUMMYFUNCTION("""COMPUTED_VALUE"""),"Marc Leishman")</f>
        <v>Marc Leishman</v>
      </c>
      <c r="D74">
        <f ca="1">IFERROR(__xludf.DUMMYFUNCTION("""COMPUTED_VALUE"""),10)</f>
        <v>10</v>
      </c>
      <c r="E74">
        <f ca="1">IFERROR(__xludf.DUMMYFUNCTION("""COMPUTED_VALUE"""),98.01)</f>
        <v>98.01</v>
      </c>
      <c r="F74">
        <f ca="1">IFERROR(__xludf.DUMMYFUNCTION("""COMPUTED_VALUE"""),151)</f>
        <v>151</v>
      </c>
      <c r="G74">
        <f ca="1">IFERROR(__xludf.DUMMYFUNCTION("""COMPUTED_VALUE"""),148)</f>
        <v>148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IFERROR(__xludf.DUMMYFUNCTION("""COMPUTED_VALUE"""),"T76")</f>
        <v>T76</v>
      </c>
      <c r="C75" t="str">
        <f ca="1">IFERROR(__xludf.DUMMYFUNCTION("""COMPUTED_VALUE"""),"Brad Kennedy")</f>
        <v>Brad Kennedy</v>
      </c>
      <c r="D75">
        <f ca="1">IFERROR(__xludf.DUMMYFUNCTION("""COMPUTED_VALUE"""),4)</f>
        <v>4</v>
      </c>
      <c r="E75">
        <f ca="1">IFERROR(__xludf.DUMMYFUNCTION("""COMPUTED_VALUE"""),98)</f>
        <v>98</v>
      </c>
      <c r="F75">
        <f ca="1">IFERROR(__xludf.DUMMYFUNCTION("""COMPUTED_VALUE"""),50)</f>
        <v>50</v>
      </c>
      <c r="G75">
        <f ca="1">IFERROR(__xludf.DUMMYFUNCTION("""COMPUTED_VALUE"""),49)</f>
        <v>49</v>
      </c>
    </row>
    <row r="76" spans="1:7" ht="12.75">
      <c r="A76" t="str">
        <f ca="1">IFERROR(__xludf.DUMMYFUNCTION("""COMPUTED_VALUE"""),"T74")</f>
        <v>T74</v>
      </c>
      <c r="B76" t="str">
        <f ca="1">IFERROR(__xludf.DUMMYFUNCTION("""COMPUTED_VALUE"""),"T76")</f>
        <v>T76</v>
      </c>
      <c r="C76" t="str">
        <f ca="1">IFERROR(__xludf.DUMMYFUNCTION("""COMPUTED_VALUE"""),"Joel Dahmen")</f>
        <v>Joel Dahmen</v>
      </c>
      <c r="D76">
        <f ca="1">IFERROR(__xludf.DUMMYFUNCTION("""COMPUTED_VALUE"""),18)</f>
        <v>18</v>
      </c>
      <c r="E76">
        <f ca="1">IFERROR(__xludf.DUMMYFUNCTION("""COMPUTED_VALUE"""),98)</f>
        <v>98</v>
      </c>
      <c r="F76">
        <f ca="1">IFERROR(__xludf.DUMMYFUNCTION("""COMPUTED_VALUE"""),250)</f>
        <v>250</v>
      </c>
      <c r="G76">
        <f ca="1">IFERROR(__xludf.DUMMYFUNCTION("""COMPUTED_VALUE"""),245)</f>
        <v>245</v>
      </c>
    </row>
    <row r="77" spans="1:7" ht="12.75">
      <c r="A77" t="str">
        <f ca="1">IFERROR(__xludf.DUMMYFUNCTION("""COMPUTED_VALUE"""),"T74")</f>
        <v>T74</v>
      </c>
      <c r="B77">
        <f ca="1">IFERROR(__xludf.DUMMYFUNCTION("""COMPUTED_VALUE"""),56)</f>
        <v>56</v>
      </c>
      <c r="C77" t="str">
        <f ca="1">IFERROR(__xludf.DUMMYFUNCTION("""COMPUTED_VALUE"""),"Andrew Putnam")</f>
        <v>Andrew Putnam</v>
      </c>
      <c r="D77">
        <f ca="1">IFERROR(__xludf.DUMMYFUNCTION("""COMPUTED_VALUE"""),19)</f>
        <v>19</v>
      </c>
      <c r="E77">
        <f ca="1">IFERROR(__xludf.DUMMYFUNCTION("""COMPUTED_VALUE"""),98)</f>
        <v>98</v>
      </c>
      <c r="F77">
        <f ca="1">IFERROR(__xludf.DUMMYFUNCTION("""COMPUTED_VALUE"""),200)</f>
        <v>200</v>
      </c>
      <c r="G77">
        <f ca="1">IFERROR(__xludf.DUMMYFUNCTION("""COMPUTED_VALUE"""),196)</f>
        <v>196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IFERROR(__xludf.DUMMYFUNCTION("""COMPUTED_VALUE"""),85)</f>
        <v>85</v>
      </c>
      <c r="C78" t="str">
        <f ca="1">IFERROR(__xludf.DUMMYFUNCTION("""COMPUTED_VALUE"""),"Denny McCarthy")</f>
        <v>Denny McCarthy</v>
      </c>
      <c r="D78">
        <f ca="1">IFERROR(__xludf.DUMMYFUNCTION("""COMPUTED_VALUE"""),22)</f>
        <v>22</v>
      </c>
      <c r="E78">
        <f ca="1">IFERROR(__xludf.DUMMYFUNCTION("""COMPUTED_VALUE"""),97.98)</f>
        <v>97.98</v>
      </c>
      <c r="F78">
        <f ca="1">IFERROR(__xludf.DUMMYFUNCTION("""COMPUTED_VALUE"""),198)</f>
        <v>198</v>
      </c>
      <c r="G78">
        <f ca="1">IFERROR(__xludf.DUMMYFUNCTION("""COMPUTED_VALUE"""),194)</f>
        <v>194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IFERROR(__xludf.DUMMYFUNCTION("""COMPUTED_VALUE"""),"T79")</f>
        <v>T79</v>
      </c>
      <c r="C79" t="str">
        <f ca="1">IFERROR(__xludf.DUMMYFUNCTION("""COMPUTED_VALUE"""),"Jaekyeong Lee")</f>
        <v>Jaekyeong Lee</v>
      </c>
      <c r="D79">
        <f ca="1">IFERROR(__xludf.DUMMYFUNCTION("""COMPUTED_VALUE"""),4)</f>
        <v>4</v>
      </c>
      <c r="E79">
        <f ca="1">IFERROR(__xludf.DUMMYFUNCTION("""COMPUTED_VALUE"""),97.92)</f>
        <v>97.92</v>
      </c>
      <c r="F79">
        <f ca="1">IFERROR(__xludf.DUMMYFUNCTION("""COMPUTED_VALUE"""),48)</f>
        <v>48</v>
      </c>
      <c r="G79">
        <f ca="1">IFERROR(__xludf.DUMMYFUNCTION("""COMPUTED_VALUE"""),47)</f>
        <v>47</v>
      </c>
    </row>
    <row r="80" spans="1:7" ht="12.75">
      <c r="A80" t="str">
        <f ca="1">IFERROR(__xludf.DUMMYFUNCTION("""COMPUTED_VALUE"""),"T78")</f>
        <v>T78</v>
      </c>
      <c r="B80" t="str">
        <f ca="1">IFERROR(__xludf.DUMMYFUNCTION("""COMPUTED_VALUE"""),"T79")</f>
        <v>T79</v>
      </c>
      <c r="C80" t="str">
        <f ca="1">IFERROR(__xludf.DUMMYFUNCTION("""COMPUTED_VALUE"""),"Harris English")</f>
        <v>Harris English</v>
      </c>
      <c r="D80">
        <f ca="1">IFERROR(__xludf.DUMMYFUNCTION("""COMPUTED_VALUE"""),14)</f>
        <v>14</v>
      </c>
      <c r="E80">
        <f ca="1">IFERROR(__xludf.DUMMYFUNCTION("""COMPUTED_VALUE"""),97.92)</f>
        <v>97.92</v>
      </c>
      <c r="F80">
        <f ca="1">IFERROR(__xludf.DUMMYFUNCTION("""COMPUTED_VALUE"""),192)</f>
        <v>192</v>
      </c>
      <c r="G80">
        <f ca="1">IFERROR(__xludf.DUMMYFUNCTION("""COMPUTED_VALUE"""),188)</f>
        <v>188</v>
      </c>
    </row>
    <row r="81" spans="1:7" ht="12.75">
      <c r="A81" t="str">
        <f ca="1">IFERROR(__xludf.DUMMYFUNCTION("""COMPUTED_VALUE"""),"T78")</f>
        <v>T78</v>
      </c>
      <c r="B81" t="str">
        <f ca="1">IFERROR(__xludf.DUMMYFUNCTION("""COMPUTED_VALUE"""),"T86")</f>
        <v>T86</v>
      </c>
      <c r="C81" t="str">
        <f ca="1">IFERROR(__xludf.DUMMYFUNCTION("""COMPUTED_VALUE"""),"Jason Day")</f>
        <v>Jason Day</v>
      </c>
      <c r="D81">
        <f ca="1">IFERROR(__xludf.DUMMYFUNCTION("""COMPUTED_VALUE"""),17)</f>
        <v>17</v>
      </c>
      <c r="E81">
        <f ca="1">IFERROR(__xludf.DUMMYFUNCTION("""COMPUTED_VALUE"""),97.92)</f>
        <v>97.92</v>
      </c>
      <c r="F81">
        <f ca="1">IFERROR(__xludf.DUMMYFUNCTION("""COMPUTED_VALUE"""),240)</f>
        <v>240</v>
      </c>
      <c r="G81">
        <f ca="1">IFERROR(__xludf.DUMMYFUNCTION("""COMPUTED_VALUE"""),235)</f>
        <v>235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IFERROR(__xludf.DUMMYFUNCTION("""COMPUTED_VALUE"""),"T86")</f>
        <v>T86</v>
      </c>
      <c r="C82" t="str">
        <f ca="1">IFERROR(__xludf.DUMMYFUNCTION("""COMPUTED_VALUE"""),"Mark Hubbard")</f>
        <v>Mark Hubbard</v>
      </c>
      <c r="D82">
        <f ca="1">IFERROR(__xludf.DUMMYFUNCTION("""COMPUTED_VALUE"""),20)</f>
        <v>20</v>
      </c>
      <c r="E82">
        <f ca="1">IFERROR(__xludf.DUMMYFUNCTION("""COMPUTED_VALUE"""),97.9)</f>
        <v>97.9</v>
      </c>
      <c r="F82">
        <f ca="1">IFERROR(__xludf.DUMMYFUNCTION("""COMPUTED_VALUE"""),286)</f>
        <v>286</v>
      </c>
      <c r="G82">
        <f ca="1">IFERROR(__xludf.DUMMYFUNCTION("""COMPUTED_VALUE"""),280)</f>
        <v>280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IFERROR(__xludf.DUMMYFUNCTION("""COMPUTED_VALUE"""),42)</f>
        <v>42</v>
      </c>
      <c r="C83" t="str">
        <f ca="1">IFERROR(__xludf.DUMMYFUNCTION("""COMPUTED_VALUE"""),"Cameron Tringale")</f>
        <v>Cameron Tringale</v>
      </c>
      <c r="D83">
        <f ca="1">IFERROR(__xludf.DUMMYFUNCTION("""COMPUTED_VALUE"""),16)</f>
        <v>16</v>
      </c>
      <c r="E83">
        <f ca="1">IFERROR(__xludf.DUMMYFUNCTION("""COMPUTED_VALUE"""),97.89)</f>
        <v>97.89</v>
      </c>
      <c r="F83">
        <f ca="1">IFERROR(__xludf.DUMMYFUNCTION("""COMPUTED_VALUE"""),190)</f>
        <v>190</v>
      </c>
      <c r="G83">
        <f ca="1">IFERROR(__xludf.DUMMYFUNCTION("""COMPUTED_VALUE"""),186)</f>
        <v>186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IFERROR(__xludf.DUMMYFUNCTION("""COMPUTED_VALUE"""),82)</f>
        <v>82</v>
      </c>
      <c r="C84" t="str">
        <f ca="1">IFERROR(__xludf.DUMMYFUNCTION("""COMPUTED_VALUE"""),"Ryan Palmer")</f>
        <v>Ryan Palmer</v>
      </c>
      <c r="D84">
        <f ca="1">IFERROR(__xludf.DUMMYFUNCTION("""COMPUTED_VALUE"""),14)</f>
        <v>14</v>
      </c>
      <c r="E84">
        <f ca="1">IFERROR(__xludf.DUMMYFUNCTION("""COMPUTED_VALUE"""),97.88)</f>
        <v>97.88</v>
      </c>
      <c r="F84">
        <f ca="1">IFERROR(__xludf.DUMMYFUNCTION("""COMPUTED_VALUE"""),189)</f>
        <v>189</v>
      </c>
      <c r="G84">
        <f ca="1">IFERROR(__xludf.DUMMYFUNCTION("""COMPUTED_VALUE"""),185)</f>
        <v>185</v>
      </c>
    </row>
    <row r="85" spans="1:7" ht="12.75">
      <c r="A85" t="str">
        <f ca="1">IFERROR(__xludf.DUMMYFUNCTION("""COMPUTED_VALUE"""),"T84")</f>
        <v>T84</v>
      </c>
      <c r="B85">
        <f ca="1">IFERROR(__xludf.DUMMYFUNCTION("""COMPUTED_VALUE"""),70)</f>
        <v>70</v>
      </c>
      <c r="C85" t="str">
        <f ca="1">IFERROR(__xludf.DUMMYFUNCTION("""COMPUTED_VALUE"""),"Jordan Spieth")</f>
        <v>Jordan Spieth</v>
      </c>
      <c r="D85">
        <f ca="1">IFERROR(__xludf.DUMMYFUNCTION("""COMPUTED_VALUE"""),14)</f>
        <v>14</v>
      </c>
      <c r="E85">
        <f ca="1">IFERROR(__xludf.DUMMYFUNCTION("""COMPUTED_VALUE"""),97.87)</f>
        <v>97.87</v>
      </c>
      <c r="F85">
        <f ca="1">IFERROR(__xludf.DUMMYFUNCTION("""COMPUTED_VALUE"""),188)</f>
        <v>188</v>
      </c>
      <c r="G85">
        <f ca="1">IFERROR(__xludf.DUMMYFUNCTION("""COMPUTED_VALUE"""),184)</f>
        <v>184</v>
      </c>
    </row>
    <row r="86" spans="1:7" ht="12.75">
      <c r="A86" t="str">
        <f ca="1">IFERROR(__xludf.DUMMYFUNCTION("""COMPUTED_VALUE"""),"T84")</f>
        <v>T84</v>
      </c>
      <c r="B86">
        <f ca="1">IFERROR(__xludf.DUMMYFUNCTION("""COMPUTED_VALUE"""),83)</f>
        <v>83</v>
      </c>
      <c r="C86" t="str">
        <f ca="1">IFERROR(__xludf.DUMMYFUNCTION("""COMPUTED_VALUE"""),"Harry Higgs")</f>
        <v>Harry Higgs</v>
      </c>
      <c r="D86">
        <f ca="1">IFERROR(__xludf.DUMMYFUNCTION("""COMPUTED_VALUE"""),14)</f>
        <v>14</v>
      </c>
      <c r="E86">
        <f ca="1">IFERROR(__xludf.DUMMYFUNCTION("""COMPUTED_VALUE"""),97.87)</f>
        <v>97.87</v>
      </c>
      <c r="F86">
        <f ca="1">IFERROR(__xludf.DUMMYFUNCTION("""COMPUTED_VALUE"""),188)</f>
        <v>188</v>
      </c>
      <c r="G86">
        <f ca="1">IFERROR(__xludf.DUMMYFUNCTION("""COMPUTED_VALUE"""),184)</f>
        <v>184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IFERROR(__xludf.DUMMYFUNCTION("""COMPUTED_VALUE"""),95)</f>
        <v>95</v>
      </c>
      <c r="C87" t="str">
        <f ca="1">IFERROR(__xludf.DUMMYFUNCTION("""COMPUTED_VALUE"""),"Austin Cook")</f>
        <v>Austin Cook</v>
      </c>
      <c r="D87">
        <f ca="1">IFERROR(__xludf.DUMMYFUNCTION("""COMPUTED_VALUE"""),14)</f>
        <v>14</v>
      </c>
      <c r="E87">
        <f ca="1">IFERROR(__xludf.DUMMYFUNCTION("""COMPUTED_VALUE"""),97.85)</f>
        <v>97.85</v>
      </c>
      <c r="F87">
        <f ca="1">IFERROR(__xludf.DUMMYFUNCTION("""COMPUTED_VALUE"""),186)</f>
        <v>186</v>
      </c>
      <c r="G87">
        <f ca="1">IFERROR(__xludf.DUMMYFUNCTION("""COMPUTED_VALUE"""),182)</f>
        <v>182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IFERROR(__xludf.DUMMYFUNCTION("""COMPUTED_VALUE"""),84)</f>
        <v>84</v>
      </c>
      <c r="C88" t="str">
        <f ca="1">IFERROR(__xludf.DUMMYFUNCTION("""COMPUTED_VALUE"""),"MJ Daffue")</f>
        <v>MJ Daffue</v>
      </c>
      <c r="D88">
        <f ca="1">IFERROR(__xludf.DUMMYFUNCTION("""COMPUTED_VALUE"""),10)</f>
        <v>10</v>
      </c>
      <c r="E88">
        <f ca="1">IFERROR(__xludf.DUMMYFUNCTION("""COMPUTED_VALUE"""),97.84)</f>
        <v>97.84</v>
      </c>
      <c r="F88">
        <f ca="1">IFERROR(__xludf.DUMMYFUNCTION("""COMPUTED_VALUE"""),139)</f>
        <v>139</v>
      </c>
      <c r="G88">
        <f ca="1">IFERROR(__xludf.DUMMYFUNCTION("""COMPUTED_VALUE"""),136)</f>
        <v>136</v>
      </c>
    </row>
    <row r="89" spans="1:7" ht="12.75">
      <c r="A89">
        <f ca="1">IFERROR(__xludf.DUMMYFUNCTION("""COMPUTED_VALUE"""),88)</f>
        <v>88</v>
      </c>
      <c r="B89" t="str">
        <f ca="1">IFERROR(__xludf.DUMMYFUNCTION("""COMPUTED_VALUE"""),"T1")</f>
        <v>T1</v>
      </c>
      <c r="C89" t="str">
        <f ca="1">IFERROR(__xludf.DUMMYFUNCTION("""COMPUTED_VALUE"""),"Danny Willett")</f>
        <v>Danny Willett</v>
      </c>
      <c r="D89">
        <f ca="1">IFERROR(__xludf.DUMMYFUNCTION("""COMPUTED_VALUE"""),7)</f>
        <v>7</v>
      </c>
      <c r="E89">
        <f ca="1">IFERROR(__xludf.DUMMYFUNCTION("""COMPUTED_VALUE"""),97.83)</f>
        <v>97.83</v>
      </c>
      <c r="F89">
        <f ca="1">IFERROR(__xludf.DUMMYFUNCTION("""COMPUTED_VALUE"""),46)</f>
        <v>46</v>
      </c>
      <c r="G89">
        <f ca="1">IFERROR(__xludf.DUMMYFUNCTION("""COMPUTED_VALUE"""),45)</f>
        <v>45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IFERROR(__xludf.DUMMYFUNCTION("""COMPUTED_VALUE"""),116)</f>
        <v>116</v>
      </c>
      <c r="C90" t="str">
        <f ca="1">IFERROR(__xludf.DUMMYFUNCTION("""COMPUTED_VALUE"""),"Brian Harman")</f>
        <v>Brian Harman</v>
      </c>
      <c r="D90">
        <f ca="1">IFERROR(__xludf.DUMMYFUNCTION("""COMPUTED_VALUE"""),24)</f>
        <v>24</v>
      </c>
      <c r="E90">
        <f ca="1">IFERROR(__xludf.DUMMYFUNCTION("""COMPUTED_VALUE"""),97.81)</f>
        <v>97.81</v>
      </c>
      <c r="F90">
        <f ca="1">IFERROR(__xludf.DUMMYFUNCTION("""COMPUTED_VALUE"""),319)</f>
        <v>319</v>
      </c>
      <c r="G90">
        <f ca="1">IFERROR(__xludf.DUMMYFUNCTION("""COMPUTED_VALUE"""),312)</f>
        <v>312</v>
      </c>
    </row>
    <row r="91" spans="1:7" ht="12.75">
      <c r="A91" t="str">
        <f ca="1">IFERROR(__xludf.DUMMYFUNCTION("""COMPUTED_VALUE"""),"T90")</f>
        <v>T90</v>
      </c>
      <c r="B91" t="str">
        <f ca="1">IFERROR(__xludf.DUMMYFUNCTION("""COMPUTED_VALUE"""),"T147")</f>
        <v>T147</v>
      </c>
      <c r="C91" t="str">
        <f ca="1">IFERROR(__xludf.DUMMYFUNCTION("""COMPUTED_VALUE"""),"Vaughn Taylor")</f>
        <v>Vaughn Taylor</v>
      </c>
      <c r="D91">
        <f ca="1">IFERROR(__xludf.DUMMYFUNCTION("""COMPUTED_VALUE"""),12)</f>
        <v>12</v>
      </c>
      <c r="E91">
        <f ca="1">IFERROR(__xludf.DUMMYFUNCTION("""COMPUTED_VALUE"""),97.8)</f>
        <v>97.8</v>
      </c>
      <c r="F91">
        <f ca="1">IFERROR(__xludf.DUMMYFUNCTION("""COMPUTED_VALUE"""),91)</f>
        <v>91</v>
      </c>
      <c r="G91">
        <f ca="1">IFERROR(__xludf.DUMMYFUNCTION("""COMPUTED_VALUE"""),89)</f>
        <v>89</v>
      </c>
    </row>
    <row r="92" spans="1:7" ht="12.75">
      <c r="A92" t="str">
        <f ca="1">IFERROR(__xludf.DUMMYFUNCTION("""COMPUTED_VALUE"""),"T90")</f>
        <v>T90</v>
      </c>
      <c r="B92">
        <f ca="1">IFERROR(__xludf.DUMMYFUNCTION("""COMPUTED_VALUE"""),90)</f>
        <v>90</v>
      </c>
      <c r="C92" t="str">
        <f ca="1">IFERROR(__xludf.DUMMYFUNCTION("""COMPUTED_VALUE"""),"K.J. Choi")</f>
        <v>K.J. Choi</v>
      </c>
      <c r="D92">
        <f ca="1">IFERROR(__xludf.DUMMYFUNCTION("""COMPUTED_VALUE"""),6)</f>
        <v>6</v>
      </c>
      <c r="E92">
        <f ca="1">IFERROR(__xludf.DUMMYFUNCTION("""COMPUTED_VALUE"""),97.8)</f>
        <v>97.8</v>
      </c>
      <c r="F92">
        <f ca="1">IFERROR(__xludf.DUMMYFUNCTION("""COMPUTED_VALUE"""),91)</f>
        <v>91</v>
      </c>
      <c r="G92">
        <f ca="1">IFERROR(__xludf.DUMMYFUNCTION("""COMPUTED_VALUE"""),89)</f>
        <v>89</v>
      </c>
    </row>
    <row r="93" spans="1:7" ht="12.75">
      <c r="A93" t="str">
        <f ca="1">IFERROR(__xludf.DUMMYFUNCTION("""COMPUTED_VALUE"""),"T92")</f>
        <v>T92</v>
      </c>
      <c r="B93">
        <f ca="1">IFERROR(__xludf.DUMMYFUNCTION("""COMPUTED_VALUE"""),65)</f>
        <v>65</v>
      </c>
      <c r="C93" t="str">
        <f ca="1">IFERROR(__xludf.DUMMYFUNCTION("""COMPUTED_VALUE"""),"Russell Henley")</f>
        <v>Russell Henley</v>
      </c>
      <c r="D93">
        <f ca="1">IFERROR(__xludf.DUMMYFUNCTION("""COMPUTED_VALUE"""),16)</f>
        <v>16</v>
      </c>
      <c r="E93">
        <f ca="1">IFERROR(__xludf.DUMMYFUNCTION("""COMPUTED_VALUE"""),97.77)</f>
        <v>97.77</v>
      </c>
      <c r="F93">
        <f ca="1">IFERROR(__xludf.DUMMYFUNCTION("""COMPUTED_VALUE"""),224)</f>
        <v>224</v>
      </c>
      <c r="G93">
        <f ca="1">IFERROR(__xludf.DUMMYFUNCTION("""COMPUTED_VALUE"""),219)</f>
        <v>219</v>
      </c>
    </row>
    <row r="94" spans="1:7" ht="12.75">
      <c r="A94" t="str">
        <f ca="1">IFERROR(__xludf.DUMMYFUNCTION("""COMPUTED_VALUE"""),"T92")</f>
        <v>T92</v>
      </c>
      <c r="B94">
        <f ca="1">IFERROR(__xludf.DUMMYFUNCTION("""COMPUTED_VALUE"""),93)</f>
        <v>93</v>
      </c>
      <c r="C94" t="str">
        <f ca="1">IFERROR(__xludf.DUMMYFUNCTION("""COMPUTED_VALUE"""),"Abraham Ancer")</f>
        <v>Abraham Ancer</v>
      </c>
      <c r="D94">
        <f ca="1">IFERROR(__xludf.DUMMYFUNCTION("""COMPUTED_VALUE"""),16)</f>
        <v>16</v>
      </c>
      <c r="E94">
        <f ca="1">IFERROR(__xludf.DUMMYFUNCTION("""COMPUTED_VALUE"""),97.77)</f>
        <v>97.77</v>
      </c>
      <c r="F94">
        <f ca="1">IFERROR(__xludf.DUMMYFUNCTION("""COMPUTED_VALUE"""),224)</f>
        <v>224</v>
      </c>
      <c r="G94">
        <f ca="1">IFERROR(__xludf.DUMMYFUNCTION("""COMPUTED_VALUE"""),219)</f>
        <v>219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IFERROR(__xludf.DUMMYFUNCTION("""COMPUTED_VALUE"""),"T47")</f>
        <v>T47</v>
      </c>
      <c r="C95" t="str">
        <f ca="1">IFERROR(__xludf.DUMMYFUNCTION("""COMPUTED_VALUE"""),"Keith Mitchell")</f>
        <v>Keith Mitchell</v>
      </c>
      <c r="D95">
        <f ca="1">IFERROR(__xludf.DUMMYFUNCTION("""COMPUTED_VALUE"""),14)</f>
        <v>14</v>
      </c>
      <c r="E95">
        <f ca="1">IFERROR(__xludf.DUMMYFUNCTION("""COMPUTED_VALUE"""),97.75)</f>
        <v>97.75</v>
      </c>
      <c r="F95">
        <f ca="1">IFERROR(__xludf.DUMMYFUNCTION("""COMPUTED_VALUE"""),89)</f>
        <v>89</v>
      </c>
      <c r="G95">
        <f ca="1">IFERROR(__xludf.DUMMYFUNCTION("""COMPUTED_VALUE"""),87)</f>
        <v>87</v>
      </c>
    </row>
    <row r="96" spans="1:7" ht="12.75">
      <c r="A96" t="str">
        <f ca="1">IFERROR(__xludf.DUMMYFUNCTION("""COMPUTED_VALUE"""),"T94")</f>
        <v>T94</v>
      </c>
      <c r="B96">
        <f ca="1">IFERROR(__xludf.DUMMYFUNCTION("""COMPUTED_VALUE"""),94)</f>
        <v>94</v>
      </c>
      <c r="C96" t="str">
        <f ca="1">IFERROR(__xludf.DUMMYFUNCTION("""COMPUTED_VALUE"""),"William McGirt")</f>
        <v>William McGirt</v>
      </c>
      <c r="D96">
        <f ca="1">IFERROR(__xludf.DUMMYFUNCTION("""COMPUTED_VALUE"""),6)</f>
        <v>6</v>
      </c>
      <c r="E96">
        <f ca="1">IFERROR(__xludf.DUMMYFUNCTION("""COMPUTED_VALUE"""),97.75)</f>
        <v>97.75</v>
      </c>
      <c r="F96">
        <f ca="1">IFERROR(__xludf.DUMMYFUNCTION("""COMPUTED_VALUE"""),89)</f>
        <v>89</v>
      </c>
      <c r="G96">
        <f ca="1">IFERROR(__xludf.DUMMYFUNCTION("""COMPUTED_VALUE"""),87)</f>
        <v>87</v>
      </c>
    </row>
    <row r="97" spans="1:7" ht="12.75">
      <c r="A97">
        <f ca="1">IFERROR(__xludf.DUMMYFUNCTION("""COMPUTED_VALUE"""),96)</f>
        <v>96</v>
      </c>
      <c r="B97" t="str">
        <f ca="1">IFERROR(__xludf.DUMMYFUNCTION("""COMPUTED_VALUE"""),"T96")</f>
        <v>T96</v>
      </c>
      <c r="C97" t="str">
        <f ca="1">IFERROR(__xludf.DUMMYFUNCTION("""COMPUTED_VALUE"""),"Jim Herman")</f>
        <v>Jim Herman</v>
      </c>
      <c r="D97">
        <f ca="1">IFERROR(__xludf.DUMMYFUNCTION("""COMPUTED_VALUE"""),12)</f>
        <v>12</v>
      </c>
      <c r="E97">
        <f ca="1">IFERROR(__xludf.DUMMYFUNCTION("""COMPUTED_VALUE"""),97.71)</f>
        <v>97.71</v>
      </c>
      <c r="F97">
        <f ca="1">IFERROR(__xludf.DUMMYFUNCTION("""COMPUTED_VALUE"""),175)</f>
        <v>175</v>
      </c>
      <c r="G97">
        <f ca="1">IFERROR(__xludf.DUMMYFUNCTION("""COMPUTED_VALUE"""),171)</f>
        <v>171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IFERROR(__xludf.DUMMYFUNCTION("""COMPUTED_VALUE"""),81)</f>
        <v>81</v>
      </c>
      <c r="C98" t="str">
        <f ca="1">IFERROR(__xludf.DUMMYFUNCTION("""COMPUTED_VALUE"""),"Charl Schwartzel")</f>
        <v>Charl Schwartzel</v>
      </c>
      <c r="D98">
        <f ca="1">IFERROR(__xludf.DUMMYFUNCTION("""COMPUTED_VALUE"""),12)</f>
        <v>12</v>
      </c>
      <c r="E98">
        <f ca="1">IFERROR(__xludf.DUMMYFUNCTION("""COMPUTED_VALUE"""),97.7)</f>
        <v>97.7</v>
      </c>
      <c r="F98">
        <f ca="1">IFERROR(__xludf.DUMMYFUNCTION("""COMPUTED_VALUE"""),174)</f>
        <v>174</v>
      </c>
      <c r="G98">
        <f ca="1">IFERROR(__xludf.DUMMYFUNCTION("""COMPUTED_VALUE"""),170)</f>
        <v>170</v>
      </c>
    </row>
    <row r="99" spans="1:7" ht="12.75">
      <c r="A99">
        <f ca="1">IFERROR(__xludf.DUMMYFUNCTION("""COMPUTED_VALUE"""),98)</f>
        <v>98</v>
      </c>
      <c r="B99" t="str">
        <f ca="1">IFERROR(__xludf.DUMMYFUNCTION("""COMPUTED_VALUE"""),"T101")</f>
        <v>T101</v>
      </c>
      <c r="C99" t="str">
        <f ca="1">IFERROR(__xludf.DUMMYFUNCTION("""COMPUTED_VALUE"""),"Jason Kokrak")</f>
        <v>Jason Kokrak</v>
      </c>
      <c r="D99">
        <f ca="1">IFERROR(__xludf.DUMMYFUNCTION("""COMPUTED_VALUE"""),14)</f>
        <v>14</v>
      </c>
      <c r="E99">
        <f ca="1">IFERROR(__xludf.DUMMYFUNCTION("""COMPUTED_VALUE"""),97.69)</f>
        <v>97.69</v>
      </c>
      <c r="F99">
        <f ca="1">IFERROR(__xludf.DUMMYFUNCTION("""COMPUTED_VALUE"""),173)</f>
        <v>173</v>
      </c>
      <c r="G99">
        <f ca="1">IFERROR(__xludf.DUMMYFUNCTION("""COMPUTED_VALUE"""),169)</f>
        <v>169</v>
      </c>
    </row>
    <row r="100" spans="1:7" ht="12.75">
      <c r="A100" t="str">
        <f ca="1">IFERROR(__xludf.DUMMYFUNCTION("""COMPUTED_VALUE"""),"T99")</f>
        <v>T99</v>
      </c>
      <c r="B100" t="str">
        <f ca="1">IFERROR(__xludf.DUMMYFUNCTION("""COMPUTED_VALUE"""),"")</f>
        <v/>
      </c>
      <c r="C100" t="str">
        <f ca="1">IFERROR(__xludf.DUMMYFUNCTION("""COMPUTED_VALUE"""),"Greg Chalmers")</f>
        <v>Greg Chalmers</v>
      </c>
      <c r="D100">
        <f ca="1">IFERROR(__xludf.DUMMYFUNCTION("""COMPUTED_VALUE"""),6)</f>
        <v>6</v>
      </c>
      <c r="E100">
        <f ca="1">IFERROR(__xludf.DUMMYFUNCTION("""COMPUTED_VALUE"""),97.67)</f>
        <v>97.67</v>
      </c>
      <c r="F100">
        <f ca="1">IFERROR(__xludf.DUMMYFUNCTION("""COMPUTED_VALUE"""),86)</f>
        <v>86</v>
      </c>
      <c r="G100">
        <f ca="1">IFERROR(__xludf.DUMMYFUNCTION("""COMPUTED_VALUE"""),84)</f>
        <v>84</v>
      </c>
    </row>
    <row r="101" spans="1:7" ht="12.75">
      <c r="A101" t="str">
        <f ca="1">IFERROR(__xludf.DUMMYFUNCTION("""COMPUTED_VALUE"""),"T99")</f>
        <v>T99</v>
      </c>
      <c r="B101">
        <f ca="1">IFERROR(__xludf.DUMMYFUNCTION("""COMPUTED_VALUE"""),124)</f>
        <v>124</v>
      </c>
      <c r="C101" t="str">
        <f ca="1">IFERROR(__xludf.DUMMYFUNCTION("""COMPUTED_VALUE"""),"Matthew NeSmith")</f>
        <v>Matthew NeSmith</v>
      </c>
      <c r="D101">
        <f ca="1">IFERROR(__xludf.DUMMYFUNCTION("""COMPUTED_VALUE"""),16)</f>
        <v>16</v>
      </c>
      <c r="E101">
        <f ca="1">IFERROR(__xludf.DUMMYFUNCTION("""COMPUTED_VALUE"""),97.67)</f>
        <v>97.67</v>
      </c>
      <c r="F101">
        <f ca="1">IFERROR(__xludf.DUMMYFUNCTION("""COMPUTED_VALUE"""),172)</f>
        <v>172</v>
      </c>
      <c r="G101">
        <f ca="1">IFERROR(__xludf.DUMMYFUNCTION("""COMPUTED_VALUE"""),168)</f>
        <v>168</v>
      </c>
    </row>
    <row r="102" spans="1:7" ht="12.75">
      <c r="A102" t="str">
        <f ca="1">IFERROR(__xludf.DUMMYFUNCTION("""COMPUTED_VALUE"""),"T99")</f>
        <v>T99</v>
      </c>
      <c r="B102">
        <f ca="1">IFERROR(__xludf.DUMMYFUNCTION("""COMPUTED_VALUE"""),103)</f>
        <v>103</v>
      </c>
      <c r="C102" t="str">
        <f ca="1">IFERROR(__xludf.DUMMYFUNCTION("""COMPUTED_VALUE"""),"Joaquin Niemann")</f>
        <v>Joaquin Niemann</v>
      </c>
      <c r="D102">
        <f ca="1">IFERROR(__xludf.DUMMYFUNCTION("""COMPUTED_VALUE"""),16)</f>
        <v>16</v>
      </c>
      <c r="E102">
        <f ca="1">IFERROR(__xludf.DUMMYFUNCTION("""COMPUTED_VALUE"""),97.67)</f>
        <v>97.67</v>
      </c>
      <c r="F102">
        <f ca="1">IFERROR(__xludf.DUMMYFUNCTION("""COMPUTED_VALUE"""),215)</f>
        <v>215</v>
      </c>
      <c r="G102">
        <f ca="1">IFERROR(__xludf.DUMMYFUNCTION("""COMPUTED_VALUE"""),210)</f>
        <v>210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IFERROR(__xludf.DUMMYFUNCTION("""COMPUTED_VALUE"""),"T110")</f>
        <v>T110</v>
      </c>
      <c r="C103" t="str">
        <f ca="1">IFERROR(__xludf.DUMMYFUNCTION("""COMPUTED_VALUE"""),"Brandt Snedeker")</f>
        <v>Brandt Snedeker</v>
      </c>
      <c r="D103">
        <f ca="1">IFERROR(__xludf.DUMMYFUNCTION("""COMPUTED_VALUE"""),16)</f>
        <v>16</v>
      </c>
      <c r="E103">
        <f ca="1">IFERROR(__xludf.DUMMYFUNCTION("""COMPUTED_VALUE"""),97.64)</f>
        <v>97.64</v>
      </c>
      <c r="F103">
        <f ca="1">IFERROR(__xludf.DUMMYFUNCTION("""COMPUTED_VALUE"""),212)</f>
        <v>212</v>
      </c>
      <c r="G103">
        <f ca="1">IFERROR(__xludf.DUMMYFUNCTION("""COMPUTED_VALUE"""),207)</f>
        <v>207</v>
      </c>
    </row>
    <row r="104" spans="1:7" ht="12.75">
      <c r="A104">
        <f ca="1">IFERROR(__xludf.DUMMYFUNCTION("""COMPUTED_VALUE"""),103)</f>
        <v>103</v>
      </c>
      <c r="B104" t="str">
        <f ca="1">IFERROR(__xludf.DUMMYFUNCTION("""COMPUTED_VALUE"""),"")</f>
        <v/>
      </c>
      <c r="C104" t="str">
        <f ca="1">IFERROR(__xludf.DUMMYFUNCTION("""COMPUTED_VALUE"""),"Francesco Molinari")</f>
        <v>Francesco Molinari</v>
      </c>
      <c r="D104">
        <f ca="1">IFERROR(__xludf.DUMMYFUNCTION("""COMPUTED_VALUE"""),6)</f>
        <v>6</v>
      </c>
      <c r="E104">
        <f ca="1">IFERROR(__xludf.DUMMYFUNCTION("""COMPUTED_VALUE"""),97.59)</f>
        <v>97.59</v>
      </c>
      <c r="F104">
        <f ca="1">IFERROR(__xludf.DUMMYFUNCTION("""COMPUTED_VALUE"""),83)</f>
        <v>83</v>
      </c>
      <c r="G104">
        <f ca="1">IFERROR(__xludf.DUMMYFUNCTION("""COMPUTED_VALUE"""),81)</f>
        <v>81</v>
      </c>
    </row>
    <row r="105" spans="1:7" ht="12.75">
      <c r="A105">
        <f ca="1">IFERROR(__xludf.DUMMYFUNCTION("""COMPUTED_VALUE"""),104)</f>
        <v>104</v>
      </c>
      <c r="B105" t="str">
        <f ca="1">IFERROR(__xludf.DUMMYFUNCTION("""COMPUTED_VALUE"""),"T108")</f>
        <v>T108</v>
      </c>
      <c r="C105" t="str">
        <f ca="1">IFERROR(__xludf.DUMMYFUNCTION("""COMPUTED_VALUE"""),"Takumi Kanaya")</f>
        <v>Takumi Kanaya</v>
      </c>
      <c r="D105">
        <f ca="1">IFERROR(__xludf.DUMMYFUNCTION("""COMPUTED_VALUE"""),6)</f>
        <v>6</v>
      </c>
      <c r="E105">
        <f ca="1">IFERROR(__xludf.DUMMYFUNCTION("""COMPUTED_VALUE"""),97.56)</f>
        <v>97.56</v>
      </c>
      <c r="F105">
        <f ca="1">IFERROR(__xludf.DUMMYFUNCTION("""COMPUTED_VALUE"""),82)</f>
        <v>82</v>
      </c>
      <c r="G105">
        <f ca="1">IFERROR(__xludf.DUMMYFUNCTION("""COMPUTED_VALUE"""),80)</f>
        <v>80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IFERROR(__xludf.DUMMYFUNCTION("""COMPUTED_VALUE"""),"T61")</f>
        <v>T61</v>
      </c>
      <c r="C106" t="str">
        <f ca="1">IFERROR(__xludf.DUMMYFUNCTION("""COMPUTED_VALUE"""),"Maverick McNealy")</f>
        <v>Maverick McNealy</v>
      </c>
      <c r="D106">
        <f ca="1">IFERROR(__xludf.DUMMYFUNCTION("""COMPUTED_VALUE"""),16)</f>
        <v>16</v>
      </c>
      <c r="E106">
        <f ca="1">IFERROR(__xludf.DUMMYFUNCTION("""COMPUTED_VALUE"""),97.53)</f>
        <v>97.53</v>
      </c>
      <c r="F106">
        <f ca="1">IFERROR(__xludf.DUMMYFUNCTION("""COMPUTED_VALUE"""),162)</f>
        <v>162</v>
      </c>
      <c r="G106">
        <f ca="1">IFERROR(__xludf.DUMMYFUNCTION("""COMPUTED_VALUE"""),158)</f>
        <v>158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IFERROR(__xludf.DUMMYFUNCTION("""COMPUTED_VALUE"""),"T127")</f>
        <v>T127</v>
      </c>
      <c r="C107" t="str">
        <f ca="1">IFERROR(__xludf.DUMMYFUNCTION("""COMPUTED_VALUE"""),"Adam Schenk")</f>
        <v>Adam Schenk</v>
      </c>
      <c r="D107">
        <f ca="1">IFERROR(__xludf.DUMMYFUNCTION("""COMPUTED_VALUE"""),22)</f>
        <v>22</v>
      </c>
      <c r="E107">
        <f ca="1">IFERROR(__xludf.DUMMYFUNCTION("""COMPUTED_VALUE"""),97.51)</f>
        <v>97.51</v>
      </c>
      <c r="F107">
        <f ca="1">IFERROR(__xludf.DUMMYFUNCTION("""COMPUTED_VALUE"""),201)</f>
        <v>201</v>
      </c>
      <c r="G107">
        <f ca="1">IFERROR(__xludf.DUMMYFUNCTION("""COMPUTED_VALUE"""),196)</f>
        <v>196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IFERROR(__xludf.DUMMYFUNCTION("""COMPUTED_VALUE"""),112)</f>
        <v>112</v>
      </c>
      <c r="C108" t="str">
        <f ca="1">IFERROR(__xludf.DUMMYFUNCTION("""COMPUTED_VALUE"""),"Sahith Theegala")</f>
        <v>Sahith Theegala</v>
      </c>
      <c r="D108">
        <f ca="1">IFERROR(__xludf.DUMMYFUNCTION("""COMPUTED_VALUE"""),6)</f>
        <v>6</v>
      </c>
      <c r="E108">
        <f ca="1">IFERROR(__xludf.DUMMYFUNCTION("""COMPUTED_VALUE"""),97.5)</f>
        <v>97.5</v>
      </c>
      <c r="F108">
        <f ca="1">IFERROR(__xludf.DUMMYFUNCTION("""COMPUTED_VALUE"""),80)</f>
        <v>80</v>
      </c>
      <c r="G108">
        <f ca="1">IFERROR(__xludf.DUMMYFUNCTION("""COMPUTED_VALUE"""),78)</f>
        <v>78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IFERROR(__xludf.DUMMYFUNCTION("""COMPUTED_VALUE"""),"T86")</f>
        <v>T86</v>
      </c>
      <c r="C109" t="str">
        <f ca="1">IFERROR(__xludf.DUMMYFUNCTION("""COMPUTED_VALUE"""),"Charley Hoffman")</f>
        <v>Charley Hoffman</v>
      </c>
      <c r="D109">
        <f ca="1">IFERROR(__xludf.DUMMYFUNCTION("""COMPUTED_VALUE"""),20)</f>
        <v>20</v>
      </c>
      <c r="E109">
        <f ca="1">IFERROR(__xludf.DUMMYFUNCTION("""COMPUTED_VALUE"""),97.47)</f>
        <v>97.47</v>
      </c>
      <c r="F109">
        <f ca="1">IFERROR(__xludf.DUMMYFUNCTION("""COMPUTED_VALUE"""),198)</f>
        <v>198</v>
      </c>
      <c r="G109">
        <f ca="1">IFERROR(__xludf.DUMMYFUNCTION("""COMPUTED_VALUE"""),193)</f>
        <v>193</v>
      </c>
    </row>
    <row r="110" spans="1:7" ht="12.75">
      <c r="A110">
        <f ca="1">IFERROR(__xludf.DUMMYFUNCTION("""COMPUTED_VALUE"""),109)</f>
        <v>109</v>
      </c>
      <c r="B110" t="str">
        <f ca="1">IFERROR(__xludf.DUMMYFUNCTION("""COMPUTED_VALUE"""),"T96")</f>
        <v>T96</v>
      </c>
      <c r="C110" t="str">
        <f ca="1">IFERROR(__xludf.DUMMYFUNCTION("""COMPUTED_VALUE"""),"Talor Gooch")</f>
        <v>Talor Gooch</v>
      </c>
      <c r="D110">
        <f ca="1">IFERROR(__xludf.DUMMYFUNCTION("""COMPUTED_VALUE"""),20)</f>
        <v>20</v>
      </c>
      <c r="E110">
        <f ca="1">IFERROR(__xludf.DUMMYFUNCTION("""COMPUTED_VALUE"""),97.43)</f>
        <v>97.43</v>
      </c>
      <c r="F110">
        <f ca="1">IFERROR(__xludf.DUMMYFUNCTION("""COMPUTED_VALUE"""),272)</f>
        <v>272</v>
      </c>
      <c r="G110">
        <f ca="1">IFERROR(__xludf.DUMMYFUNCTION("""COMPUTED_VALUE"""),265)</f>
        <v>265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IFERROR(__xludf.DUMMYFUNCTION("""COMPUTED_VALUE"""),"T135")</f>
        <v>T135</v>
      </c>
      <c r="C111" t="str">
        <f ca="1">IFERROR(__xludf.DUMMYFUNCTION("""COMPUTED_VALUE"""),"Luke Donald")</f>
        <v>Luke Donald</v>
      </c>
      <c r="D111">
        <f ca="1">IFERROR(__xludf.DUMMYFUNCTION("""COMPUTED_VALUE"""),14)</f>
        <v>14</v>
      </c>
      <c r="E111">
        <f ca="1">IFERROR(__xludf.DUMMYFUNCTION("""COMPUTED_VALUE"""),97.4)</f>
        <v>97.4</v>
      </c>
      <c r="F111">
        <f ca="1">IFERROR(__xludf.DUMMYFUNCTION("""COMPUTED_VALUE"""),154)</f>
        <v>154</v>
      </c>
      <c r="G111">
        <f ca="1">IFERROR(__xludf.DUMMYFUNCTION("""COMPUTED_VALUE"""),150)</f>
        <v>150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IFERROR(__xludf.DUMMYFUNCTION("""COMPUTED_VALUE"""),"T104")</f>
        <v>T104</v>
      </c>
      <c r="C112" t="str">
        <f ca="1">IFERROR(__xludf.DUMMYFUNCTION("""COMPUTED_VALUE"""),"Michael Kim")</f>
        <v>Michael Kim</v>
      </c>
      <c r="D112">
        <f ca="1">IFERROR(__xludf.DUMMYFUNCTION("""COMPUTED_VALUE"""),12)</f>
        <v>12</v>
      </c>
      <c r="E112">
        <f ca="1">IFERROR(__xludf.DUMMYFUNCTION("""COMPUTED_VALUE"""),97.39)</f>
        <v>97.39</v>
      </c>
      <c r="F112">
        <f ca="1">IFERROR(__xludf.DUMMYFUNCTION("""COMPUTED_VALUE"""),115)</f>
        <v>115</v>
      </c>
      <c r="G112">
        <f ca="1">IFERROR(__xludf.DUMMYFUNCTION("""COMPUTED_VALUE"""),112)</f>
        <v>112</v>
      </c>
    </row>
    <row r="113" spans="1:7" ht="12.75">
      <c r="A113" t="str">
        <f ca="1">IFERROR(__xludf.DUMMYFUNCTION("""COMPUTED_VALUE"""),"T111")</f>
        <v>T111</v>
      </c>
      <c r="B113">
        <f ca="1">IFERROR(__xludf.DUMMYFUNCTION("""COMPUTED_VALUE"""),113)</f>
        <v>113</v>
      </c>
      <c r="C113" t="str">
        <f ca="1">IFERROR(__xludf.DUMMYFUNCTION("""COMPUTED_VALUE"""),"Daniel Berger")</f>
        <v>Daniel Berger</v>
      </c>
      <c r="D113">
        <f ca="1">IFERROR(__xludf.DUMMYFUNCTION("""COMPUTED_VALUE"""),12)</f>
        <v>12</v>
      </c>
      <c r="E113">
        <f ca="1">IFERROR(__xludf.DUMMYFUNCTION("""COMPUTED_VALUE"""),97.39)</f>
        <v>97.39</v>
      </c>
      <c r="F113">
        <f ca="1">IFERROR(__xludf.DUMMYFUNCTION("""COMPUTED_VALUE"""),153)</f>
        <v>153</v>
      </c>
      <c r="G113">
        <f ca="1">IFERROR(__xludf.DUMMYFUNCTION("""COMPUTED_VALUE"""),149)</f>
        <v>149</v>
      </c>
    </row>
    <row r="114" spans="1:7" ht="12.75">
      <c r="A114" t="str">
        <f ca="1">IFERROR(__xludf.DUMMYFUNCTION("""COMPUTED_VALUE"""),"T113")</f>
        <v>T113</v>
      </c>
      <c r="B114" t="str">
        <f ca="1">IFERROR(__xludf.DUMMYFUNCTION("""COMPUTED_VALUE"""),"T114")</f>
        <v>T114</v>
      </c>
      <c r="C114" t="str">
        <f ca="1">IFERROR(__xludf.DUMMYFUNCTION("""COMPUTED_VALUE"""),"Doug Ghim")</f>
        <v>Doug Ghim</v>
      </c>
      <c r="D114">
        <f ca="1">IFERROR(__xludf.DUMMYFUNCTION("""COMPUTED_VALUE"""),14)</f>
        <v>14</v>
      </c>
      <c r="E114">
        <f ca="1">IFERROR(__xludf.DUMMYFUNCTION("""COMPUTED_VALUE"""),97.37)</f>
        <v>97.37</v>
      </c>
      <c r="F114">
        <f ca="1">IFERROR(__xludf.DUMMYFUNCTION("""COMPUTED_VALUE"""),114)</f>
        <v>114</v>
      </c>
      <c r="G114">
        <f ca="1">IFERROR(__xludf.DUMMYFUNCTION("""COMPUTED_VALUE"""),111)</f>
        <v>111</v>
      </c>
    </row>
    <row r="115" spans="1:7" ht="12.75">
      <c r="A115" t="str">
        <f ca="1">IFERROR(__xludf.DUMMYFUNCTION("""COMPUTED_VALUE"""),"T113")</f>
        <v>T113</v>
      </c>
      <c r="B115" t="str">
        <f ca="1">IFERROR(__xludf.DUMMYFUNCTION("""COMPUTED_VALUE"""),"T129")</f>
        <v>T129</v>
      </c>
      <c r="C115" t="str">
        <f ca="1">IFERROR(__xludf.DUMMYFUNCTION("""COMPUTED_VALUE"""),"Dylan Frittelli")</f>
        <v>Dylan Frittelli</v>
      </c>
      <c r="D115">
        <f ca="1">IFERROR(__xludf.DUMMYFUNCTION("""COMPUTED_VALUE"""),16)</f>
        <v>16</v>
      </c>
      <c r="E115">
        <f ca="1">IFERROR(__xludf.DUMMYFUNCTION("""COMPUTED_VALUE"""),97.37)</f>
        <v>97.37</v>
      </c>
      <c r="F115">
        <f ca="1">IFERROR(__xludf.DUMMYFUNCTION("""COMPUTED_VALUE"""),228)</f>
        <v>228</v>
      </c>
      <c r="G115">
        <f ca="1">IFERROR(__xludf.DUMMYFUNCTION("""COMPUTED_VALUE"""),222)</f>
        <v>222</v>
      </c>
    </row>
    <row r="116" spans="1:7" ht="12.75">
      <c r="A116" t="str">
        <f ca="1">IFERROR(__xludf.DUMMYFUNCTION("""COMPUTED_VALUE"""),"T115")</f>
        <v>T115</v>
      </c>
      <c r="B116">
        <f ca="1">IFERROR(__xludf.DUMMYFUNCTION("""COMPUTED_VALUE"""),106)</f>
        <v>106</v>
      </c>
      <c r="C116" t="str">
        <f ca="1">IFERROR(__xludf.DUMMYFUNCTION("""COMPUTED_VALUE"""),"David Hearn")</f>
        <v>David Hearn</v>
      </c>
      <c r="D116">
        <f ca="1">IFERROR(__xludf.DUMMYFUNCTION("""COMPUTED_VALUE"""),16)</f>
        <v>16</v>
      </c>
      <c r="E116">
        <f ca="1">IFERROR(__xludf.DUMMYFUNCTION("""COMPUTED_VALUE"""),97.3)</f>
        <v>97.3</v>
      </c>
      <c r="F116">
        <f ca="1">IFERROR(__xludf.DUMMYFUNCTION("""COMPUTED_VALUE"""),111)</f>
        <v>111</v>
      </c>
      <c r="G116">
        <f ca="1">IFERROR(__xludf.DUMMYFUNCTION("""COMPUTED_VALUE"""),108)</f>
        <v>108</v>
      </c>
    </row>
    <row r="117" spans="1:7" ht="12.75">
      <c r="A117" t="str">
        <f ca="1">IFERROR(__xludf.DUMMYFUNCTION("""COMPUTED_VALUE"""),"T115")</f>
        <v>T115</v>
      </c>
      <c r="B117">
        <f ca="1">IFERROR(__xludf.DUMMYFUNCTION("""COMPUTED_VALUE"""),117)</f>
        <v>117</v>
      </c>
      <c r="C117" t="str">
        <f ca="1">IFERROR(__xludf.DUMMYFUNCTION("""COMPUTED_VALUE"""),"Patrick Cantlay")</f>
        <v>Patrick Cantlay</v>
      </c>
      <c r="D117">
        <f ca="1">IFERROR(__xludf.DUMMYFUNCTION("""COMPUTED_VALUE"""),16)</f>
        <v>16</v>
      </c>
      <c r="E117">
        <f ca="1">IFERROR(__xludf.DUMMYFUNCTION("""COMPUTED_VALUE"""),97.3)</f>
        <v>97.3</v>
      </c>
      <c r="F117">
        <f ca="1">IFERROR(__xludf.DUMMYFUNCTION("""COMPUTED_VALUE"""),222)</f>
        <v>222</v>
      </c>
      <c r="G117">
        <f ca="1">IFERROR(__xludf.DUMMYFUNCTION("""COMPUTED_VALUE"""),216)</f>
        <v>216</v>
      </c>
    </row>
    <row r="118" spans="1:7" ht="12.75">
      <c r="A118" t="str">
        <f ca="1">IFERROR(__xludf.DUMMYFUNCTION("""COMPUTED_VALUE"""),"T117")</f>
        <v>T117</v>
      </c>
      <c r="B118">
        <f ca="1">IFERROR(__xludf.DUMMYFUNCTION("""COMPUTED_VALUE"""),118)</f>
        <v>118</v>
      </c>
      <c r="C118" t="str">
        <f ca="1">IFERROR(__xludf.DUMMYFUNCTION("""COMPUTED_VALUE"""),"Patrick Reed")</f>
        <v>Patrick Reed</v>
      </c>
      <c r="D118">
        <f ca="1">IFERROR(__xludf.DUMMYFUNCTION("""COMPUTED_VALUE"""),8)</f>
        <v>8</v>
      </c>
      <c r="E118">
        <f ca="1">IFERROR(__xludf.DUMMYFUNCTION("""COMPUTED_VALUE"""),97.27)</f>
        <v>97.27</v>
      </c>
      <c r="F118">
        <f ca="1">IFERROR(__xludf.DUMMYFUNCTION("""COMPUTED_VALUE"""),110)</f>
        <v>110</v>
      </c>
      <c r="G118">
        <f ca="1">IFERROR(__xludf.DUMMYFUNCTION("""COMPUTED_VALUE"""),107)</f>
        <v>107</v>
      </c>
    </row>
    <row r="119" spans="1:7" ht="12.75">
      <c r="A119" t="str">
        <f ca="1">IFERROR(__xludf.DUMMYFUNCTION("""COMPUTED_VALUE"""),"T117")</f>
        <v>T117</v>
      </c>
      <c r="B119" t="str">
        <f ca="1">IFERROR(__xludf.DUMMYFUNCTION("""COMPUTED_VALUE"""),"T66")</f>
        <v>T66</v>
      </c>
      <c r="C119" t="str">
        <f ca="1">IFERROR(__xludf.DUMMYFUNCTION("""COMPUTED_VALUE"""),"Adam Scott")</f>
        <v>Adam Scott</v>
      </c>
      <c r="D119">
        <f ca="1">IFERROR(__xludf.DUMMYFUNCTION("""COMPUTED_VALUE"""),8)</f>
        <v>8</v>
      </c>
      <c r="E119">
        <f ca="1">IFERROR(__xludf.DUMMYFUNCTION("""COMPUTED_VALUE"""),97.27)</f>
        <v>97.27</v>
      </c>
      <c r="F119">
        <f ca="1">IFERROR(__xludf.DUMMYFUNCTION("""COMPUTED_VALUE"""),110)</f>
        <v>110</v>
      </c>
      <c r="G119">
        <f ca="1">IFERROR(__xludf.DUMMYFUNCTION("""COMPUTED_VALUE"""),107)</f>
        <v>107</v>
      </c>
    </row>
    <row r="120" spans="1:7" ht="12.75">
      <c r="A120" t="str">
        <f ca="1">IFERROR(__xludf.DUMMYFUNCTION("""COMPUTED_VALUE"""),"T119")</f>
        <v>T119</v>
      </c>
      <c r="B120" t="str">
        <f ca="1">IFERROR(__xludf.DUMMYFUNCTION("""COMPUTED_VALUE"""),"T99")</f>
        <v>T99</v>
      </c>
      <c r="C120" t="str">
        <f ca="1">IFERROR(__xludf.DUMMYFUNCTION("""COMPUTED_VALUE"""),"Jhonattan Vegas")</f>
        <v>Jhonattan Vegas</v>
      </c>
      <c r="D120">
        <f ca="1">IFERROR(__xludf.DUMMYFUNCTION("""COMPUTED_VALUE"""),16)</f>
        <v>16</v>
      </c>
      <c r="E120">
        <f ca="1">IFERROR(__xludf.DUMMYFUNCTION("""COMPUTED_VALUE"""),97.26)</f>
        <v>97.26</v>
      </c>
      <c r="F120">
        <f ca="1">IFERROR(__xludf.DUMMYFUNCTION("""COMPUTED_VALUE"""),146)</f>
        <v>146</v>
      </c>
      <c r="G120">
        <f ca="1">IFERROR(__xludf.DUMMYFUNCTION("""COMPUTED_VALUE"""),142)</f>
        <v>142</v>
      </c>
    </row>
    <row r="121" spans="1:7" ht="12.75">
      <c r="A121" t="str">
        <f ca="1">IFERROR(__xludf.DUMMYFUNCTION("""COMPUTED_VALUE"""),"T119")</f>
        <v>T119</v>
      </c>
      <c r="B121">
        <f ca="1">IFERROR(__xludf.DUMMYFUNCTION("""COMPUTED_VALUE"""),119)</f>
        <v>119</v>
      </c>
      <c r="C121" t="str">
        <f ca="1">IFERROR(__xludf.DUMMYFUNCTION("""COMPUTED_VALUE"""),"Adam Hadwin")</f>
        <v>Adam Hadwin</v>
      </c>
      <c r="D121">
        <f ca="1">IFERROR(__xludf.DUMMYFUNCTION("""COMPUTED_VALUE"""),16)</f>
        <v>16</v>
      </c>
      <c r="E121">
        <f ca="1">IFERROR(__xludf.DUMMYFUNCTION("""COMPUTED_VALUE"""),97.26)</f>
        <v>97.26</v>
      </c>
      <c r="F121">
        <f ca="1">IFERROR(__xludf.DUMMYFUNCTION("""COMPUTED_VALUE"""),219)</f>
        <v>219</v>
      </c>
      <c r="G121">
        <f ca="1">IFERROR(__xludf.DUMMYFUNCTION("""COMPUTED_VALUE"""),213)</f>
        <v>213</v>
      </c>
    </row>
    <row r="122" spans="1:7" ht="12.75">
      <c r="A122" t="str">
        <f ca="1">IFERROR(__xludf.DUMMYFUNCTION("""COMPUTED_VALUE"""),"T121")</f>
        <v>T121</v>
      </c>
      <c r="B122" t="str">
        <f ca="1">IFERROR(__xludf.DUMMYFUNCTION("""COMPUTED_VALUE"""),"T108")</f>
        <v>T108</v>
      </c>
      <c r="C122" t="str">
        <f ca="1">IFERROR(__xludf.DUMMYFUNCTION("""COMPUTED_VALUE"""),"Scottie Scheffler")</f>
        <v>Scottie Scheffler</v>
      </c>
      <c r="D122">
        <f ca="1">IFERROR(__xludf.DUMMYFUNCTION("""COMPUTED_VALUE"""),18)</f>
        <v>18</v>
      </c>
      <c r="E122">
        <f ca="1">IFERROR(__xludf.DUMMYFUNCTION("""COMPUTED_VALUE"""),97.25)</f>
        <v>97.25</v>
      </c>
      <c r="F122">
        <f ca="1">IFERROR(__xludf.DUMMYFUNCTION("""COMPUTED_VALUE"""),255)</f>
        <v>255</v>
      </c>
      <c r="G122">
        <f ca="1">IFERROR(__xludf.DUMMYFUNCTION("""COMPUTED_VALUE"""),248)</f>
        <v>248</v>
      </c>
    </row>
    <row r="123" spans="1:7" ht="12.75">
      <c r="A123" t="str">
        <f ca="1">IFERROR(__xludf.DUMMYFUNCTION("""COMPUTED_VALUE"""),"T121")</f>
        <v>T121</v>
      </c>
      <c r="B123">
        <f ca="1">IFERROR(__xludf.DUMMYFUNCTION("""COMPUTED_VALUE"""),120)</f>
        <v>120</v>
      </c>
      <c r="C123" t="str">
        <f ca="1">IFERROR(__xludf.DUMMYFUNCTION("""COMPUTED_VALUE"""),"Cameron Percy")</f>
        <v>Cameron Percy</v>
      </c>
      <c r="D123">
        <f ca="1">IFERROR(__xludf.DUMMYFUNCTION("""COMPUTED_VALUE"""),16)</f>
        <v>16</v>
      </c>
      <c r="E123">
        <f ca="1">IFERROR(__xludf.DUMMYFUNCTION("""COMPUTED_VALUE"""),97.25)</f>
        <v>97.25</v>
      </c>
      <c r="F123">
        <f ca="1">IFERROR(__xludf.DUMMYFUNCTION("""COMPUTED_VALUE"""),109)</f>
        <v>109</v>
      </c>
      <c r="G123">
        <f ca="1">IFERROR(__xludf.DUMMYFUNCTION("""COMPUTED_VALUE"""),106)</f>
        <v>106</v>
      </c>
    </row>
    <row r="124" spans="1:7" ht="12.75">
      <c r="A124" t="str">
        <f ca="1">IFERROR(__xludf.DUMMYFUNCTION("""COMPUTED_VALUE"""),"T123")</f>
        <v>T123</v>
      </c>
      <c r="B124" t="str">
        <f ca="1">IFERROR(__xludf.DUMMYFUNCTION("""COMPUTED_VALUE"""),"T114")</f>
        <v>T114</v>
      </c>
      <c r="C124" t="str">
        <f ca="1">IFERROR(__xludf.DUMMYFUNCTION("""COMPUTED_VALUE"""),"Ryan Armour")</f>
        <v>Ryan Armour</v>
      </c>
      <c r="D124">
        <f ca="1">IFERROR(__xludf.DUMMYFUNCTION("""COMPUTED_VALUE"""),16)</f>
        <v>16</v>
      </c>
      <c r="E124">
        <f ca="1">IFERROR(__xludf.DUMMYFUNCTION("""COMPUTED_VALUE"""),97.24)</f>
        <v>97.24</v>
      </c>
      <c r="F124">
        <f ca="1">IFERROR(__xludf.DUMMYFUNCTION("""COMPUTED_VALUE"""),145)</f>
        <v>145</v>
      </c>
      <c r="G124">
        <f ca="1">IFERROR(__xludf.DUMMYFUNCTION("""COMPUTED_VALUE"""),141)</f>
        <v>141</v>
      </c>
    </row>
    <row r="125" spans="1:7" ht="12.75">
      <c r="A125" t="str">
        <f ca="1">IFERROR(__xludf.DUMMYFUNCTION("""COMPUTED_VALUE"""),"T123")</f>
        <v>T123</v>
      </c>
      <c r="B125" t="str">
        <f ca="1">IFERROR(__xludf.DUMMYFUNCTION("""COMPUTED_VALUE"""),"T151")</f>
        <v>T151</v>
      </c>
      <c r="C125" t="str">
        <f ca="1">IFERROR(__xludf.DUMMYFUNCTION("""COMPUTED_VALUE"""),"Pat Perez")</f>
        <v>Pat Perez</v>
      </c>
      <c r="D125">
        <f ca="1">IFERROR(__xludf.DUMMYFUNCTION("""COMPUTED_VALUE"""),16)</f>
        <v>16</v>
      </c>
      <c r="E125">
        <f ca="1">IFERROR(__xludf.DUMMYFUNCTION("""COMPUTED_VALUE"""),97.24)</f>
        <v>97.24</v>
      </c>
      <c r="F125">
        <f ca="1">IFERROR(__xludf.DUMMYFUNCTION("""COMPUTED_VALUE"""),145)</f>
        <v>145</v>
      </c>
      <c r="G125">
        <f ca="1">IFERROR(__xludf.DUMMYFUNCTION("""COMPUTED_VALUE"""),141)</f>
        <v>141</v>
      </c>
    </row>
    <row r="126" spans="1:7" ht="12.75">
      <c r="A126" t="str">
        <f ca="1">IFERROR(__xludf.DUMMYFUNCTION("""COMPUTED_VALUE"""),"T123")</f>
        <v>T123</v>
      </c>
      <c r="B126">
        <f ca="1">IFERROR(__xludf.DUMMYFUNCTION("""COMPUTED_VALUE"""),121)</f>
        <v>121</v>
      </c>
      <c r="C126" t="str">
        <f ca="1">IFERROR(__xludf.DUMMYFUNCTION("""COMPUTED_VALUE"""),"Tommy Fleetwood")</f>
        <v>Tommy Fleetwood</v>
      </c>
      <c r="D126">
        <f ca="1">IFERROR(__xludf.DUMMYFUNCTION("""COMPUTED_VALUE"""),10)</f>
        <v>10</v>
      </c>
      <c r="E126">
        <f ca="1">IFERROR(__xludf.DUMMYFUNCTION("""COMPUTED_VALUE"""),97.24)</f>
        <v>97.24</v>
      </c>
      <c r="F126">
        <f ca="1">IFERROR(__xludf.DUMMYFUNCTION("""COMPUTED_VALUE"""),145)</f>
        <v>145</v>
      </c>
      <c r="G126">
        <f ca="1">IFERROR(__xludf.DUMMYFUNCTION("""COMPUTED_VALUE"""),141)</f>
        <v>141</v>
      </c>
    </row>
    <row r="127" spans="1:7" ht="12.75">
      <c r="A127" t="str">
        <f ca="1">IFERROR(__xludf.DUMMYFUNCTION("""COMPUTED_VALUE"""),"T126")</f>
        <v>T126</v>
      </c>
      <c r="B127" t="str">
        <f ca="1">IFERROR(__xludf.DUMMYFUNCTION("""COMPUTED_VALUE"""),"T225")</f>
        <v>T225</v>
      </c>
      <c r="C127" t="str">
        <f ca="1">IFERROR(__xludf.DUMMYFUNCTION("""COMPUTED_VALUE"""),"Dustin Johnson")</f>
        <v>Dustin Johnson</v>
      </c>
      <c r="D127">
        <f ca="1">IFERROR(__xludf.DUMMYFUNCTION("""COMPUTED_VALUE"""),8)</f>
        <v>8</v>
      </c>
      <c r="E127">
        <f ca="1">IFERROR(__xludf.DUMMYFUNCTION("""COMPUTED_VALUE"""),97.2)</f>
        <v>97.2</v>
      </c>
      <c r="F127">
        <f ca="1">IFERROR(__xludf.DUMMYFUNCTION("""COMPUTED_VALUE"""),107)</f>
        <v>107</v>
      </c>
      <c r="G127">
        <f ca="1">IFERROR(__xludf.DUMMYFUNCTION("""COMPUTED_VALUE"""),104)</f>
        <v>104</v>
      </c>
    </row>
    <row r="128" spans="1:7" ht="12.75">
      <c r="A128" t="str">
        <f ca="1">IFERROR(__xludf.DUMMYFUNCTION("""COMPUTED_VALUE"""),"T126")</f>
        <v>T126</v>
      </c>
      <c r="B128">
        <f ca="1">IFERROR(__xludf.DUMMYFUNCTION("""COMPUTED_VALUE"""),123)</f>
        <v>123</v>
      </c>
      <c r="C128" t="str">
        <f ca="1">IFERROR(__xludf.DUMMYFUNCTION("""COMPUTED_VALUE"""),"Will Zalatoris")</f>
        <v>Will Zalatoris</v>
      </c>
      <c r="D128">
        <f ca="1">IFERROR(__xludf.DUMMYFUNCTION("""COMPUTED_VALUE"""),18)</f>
        <v>18</v>
      </c>
      <c r="E128">
        <f ca="1">IFERROR(__xludf.DUMMYFUNCTION("""COMPUTED_VALUE"""),97.2)</f>
        <v>97.2</v>
      </c>
      <c r="F128">
        <f ca="1">IFERROR(__xludf.DUMMYFUNCTION("""COMPUTED_VALUE"""),143)</f>
        <v>143</v>
      </c>
      <c r="G128">
        <f ca="1">IFERROR(__xludf.DUMMYFUNCTION("""COMPUTED_VALUE"""),139)</f>
        <v>139</v>
      </c>
    </row>
    <row r="129" spans="1:7" ht="12.75">
      <c r="A129">
        <f ca="1">IFERROR(__xludf.DUMMYFUNCTION("""COMPUTED_VALUE"""),128)</f>
        <v>128</v>
      </c>
      <c r="B129" t="str">
        <f ca="1">IFERROR(__xludf.DUMMYFUNCTION("""COMPUTED_VALUE"""),"T96")</f>
        <v>T96</v>
      </c>
      <c r="C129" t="str">
        <f ca="1">IFERROR(__xludf.DUMMYFUNCTION("""COMPUTED_VALUE"""),"Sepp Straka")</f>
        <v>Sepp Straka</v>
      </c>
      <c r="D129">
        <f ca="1">IFERROR(__xludf.DUMMYFUNCTION("""COMPUTED_VALUE"""),22)</f>
        <v>22</v>
      </c>
      <c r="E129">
        <f ca="1">IFERROR(__xludf.DUMMYFUNCTION("""COMPUTED_VALUE"""),97.19)</f>
        <v>97.19</v>
      </c>
      <c r="F129">
        <f ca="1">IFERROR(__xludf.DUMMYFUNCTION("""COMPUTED_VALUE"""),178)</f>
        <v>178</v>
      </c>
      <c r="G129">
        <f ca="1">IFERROR(__xludf.DUMMYFUNCTION("""COMPUTED_VALUE"""),173)</f>
        <v>173</v>
      </c>
    </row>
    <row r="130" spans="1:7" ht="12.75">
      <c r="A130">
        <f ca="1">IFERROR(__xludf.DUMMYFUNCTION("""COMPUTED_VALUE"""),129)</f>
        <v>129</v>
      </c>
      <c r="B130" t="str">
        <f ca="1">IFERROR(__xludf.DUMMYFUNCTION("""COMPUTED_VALUE"""),"T156")</f>
        <v>T156</v>
      </c>
      <c r="C130" t="str">
        <f ca="1">IFERROR(__xludf.DUMMYFUNCTION("""COMPUTED_VALUE"""),"Scott Stallings")</f>
        <v>Scott Stallings</v>
      </c>
      <c r="D130">
        <f ca="1">IFERROR(__xludf.DUMMYFUNCTION("""COMPUTED_VALUE"""),14)</f>
        <v>14</v>
      </c>
      <c r="E130">
        <f ca="1">IFERROR(__xludf.DUMMYFUNCTION("""COMPUTED_VALUE"""),97.18)</f>
        <v>97.18</v>
      </c>
      <c r="F130">
        <f ca="1">IFERROR(__xludf.DUMMYFUNCTION("""COMPUTED_VALUE"""),142)</f>
        <v>142</v>
      </c>
      <c r="G130">
        <f ca="1">IFERROR(__xludf.DUMMYFUNCTION("""COMPUTED_VALUE"""),138)</f>
        <v>138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IFERROR(__xludf.DUMMYFUNCTION("""COMPUTED_VALUE"""),174)</f>
        <v>174</v>
      </c>
      <c r="C131" t="str">
        <f ca="1">IFERROR(__xludf.DUMMYFUNCTION("""COMPUTED_VALUE"""),"Lanto Griffin")</f>
        <v>Lanto Griffin</v>
      </c>
      <c r="D131">
        <f ca="1">IFERROR(__xludf.DUMMYFUNCTION("""COMPUTED_VALUE"""),18)</f>
        <v>18</v>
      </c>
      <c r="E131">
        <f ca="1">IFERROR(__xludf.DUMMYFUNCTION("""COMPUTED_VALUE"""),97.17)</f>
        <v>97.17</v>
      </c>
      <c r="F131">
        <f ca="1">IFERROR(__xludf.DUMMYFUNCTION("""COMPUTED_VALUE"""),247)</f>
        <v>247</v>
      </c>
      <c r="G131">
        <f ca="1">IFERROR(__xludf.DUMMYFUNCTION("""COMPUTED_VALUE"""),240)</f>
        <v>240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IFERROR(__xludf.DUMMYFUNCTION("""COMPUTED_VALUE"""),162)</f>
        <v>162</v>
      </c>
      <c r="C132" t="str">
        <f ca="1">IFERROR(__xludf.DUMMYFUNCTION("""COMPUTED_VALUE"""),"Erik van Rooyen")</f>
        <v>Erik van Rooyen</v>
      </c>
      <c r="D132">
        <f ca="1">IFERROR(__xludf.DUMMYFUNCTION("""COMPUTED_VALUE"""),10)</f>
        <v>10</v>
      </c>
      <c r="E132">
        <f ca="1">IFERROR(__xludf.DUMMYFUNCTION("""COMPUTED_VALUE"""),97.16)</f>
        <v>97.16</v>
      </c>
      <c r="F132">
        <f ca="1">IFERROR(__xludf.DUMMYFUNCTION("""COMPUTED_VALUE"""),141)</f>
        <v>141</v>
      </c>
      <c r="G132">
        <f ca="1">IFERROR(__xludf.DUMMYFUNCTION("""COMPUTED_VALUE"""),137)</f>
        <v>137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IFERROR(__xludf.DUMMYFUNCTION("""COMPUTED_VALUE"""),92)</f>
        <v>92</v>
      </c>
      <c r="C133" t="str">
        <f ca="1">IFERROR(__xludf.DUMMYFUNCTION("""COMPUTED_VALUE"""),"Martin Laird")</f>
        <v>Martin Laird</v>
      </c>
      <c r="D133">
        <f ca="1">IFERROR(__xludf.DUMMYFUNCTION("""COMPUTED_VALUE"""),16)</f>
        <v>16</v>
      </c>
      <c r="E133">
        <f ca="1">IFERROR(__xludf.DUMMYFUNCTION("""COMPUTED_VALUE"""),97.01)</f>
        <v>97.01</v>
      </c>
      <c r="F133">
        <f ca="1">IFERROR(__xludf.DUMMYFUNCTION("""COMPUTED_VALUE"""),167)</f>
        <v>167</v>
      </c>
      <c r="G133">
        <f ca="1">IFERROR(__xludf.DUMMYFUNCTION("""COMPUTED_VALUE"""),162)</f>
        <v>162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IFERROR(__xludf.DUMMYFUNCTION("""COMPUTED_VALUE"""),"T129")</f>
        <v>T129</v>
      </c>
      <c r="C134" t="str">
        <f ca="1">IFERROR(__xludf.DUMMYFUNCTION("""COMPUTED_VALUE"""),"Sebastián Muñoz")</f>
        <v>Sebastián Muñoz</v>
      </c>
      <c r="D134">
        <f ca="1">IFERROR(__xludf.DUMMYFUNCTION("""COMPUTED_VALUE"""),20)</f>
        <v>20</v>
      </c>
      <c r="E134">
        <f ca="1">IFERROR(__xludf.DUMMYFUNCTION("""COMPUTED_VALUE"""),97)</f>
        <v>97</v>
      </c>
      <c r="F134">
        <f ca="1">IFERROR(__xludf.DUMMYFUNCTION("""COMPUTED_VALUE"""),267)</f>
        <v>267</v>
      </c>
      <c r="G134">
        <f ca="1">IFERROR(__xludf.DUMMYFUNCTION("""COMPUTED_VALUE"""),259)</f>
        <v>259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IFERROR(__xludf.DUMMYFUNCTION("""COMPUTED_VALUE"""),"T171")</f>
        <v>T171</v>
      </c>
      <c r="C135" t="str">
        <f ca="1">IFERROR(__xludf.DUMMYFUNCTION("""COMPUTED_VALUE"""),"Sungjae Im")</f>
        <v>Sungjae Im</v>
      </c>
      <c r="D135">
        <f ca="1">IFERROR(__xludf.DUMMYFUNCTION("""COMPUTED_VALUE"""),24)</f>
        <v>24</v>
      </c>
      <c r="E135">
        <f ca="1">IFERROR(__xludf.DUMMYFUNCTION("""COMPUTED_VALUE"""),96.98)</f>
        <v>96.98</v>
      </c>
      <c r="F135">
        <f ca="1">IFERROR(__xludf.DUMMYFUNCTION("""COMPUTED_VALUE"""),331)</f>
        <v>331</v>
      </c>
      <c r="G135">
        <f ca="1">IFERROR(__xludf.DUMMYFUNCTION("""COMPUTED_VALUE"""),321)</f>
        <v>321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IFERROR(__xludf.DUMMYFUNCTION("""COMPUTED_VALUE"""),"T160")</f>
        <v>T160</v>
      </c>
      <c r="C136" t="str">
        <f ca="1">IFERROR(__xludf.DUMMYFUNCTION("""COMPUTED_VALUE"""),"Andrew Landry")</f>
        <v>Andrew Landry</v>
      </c>
      <c r="D136">
        <f ca="1">IFERROR(__xludf.DUMMYFUNCTION("""COMPUTED_VALUE"""),14)</f>
        <v>14</v>
      </c>
      <c r="E136">
        <f ca="1">IFERROR(__xludf.DUMMYFUNCTION("""COMPUTED_VALUE"""),96.98)</f>
        <v>96.98</v>
      </c>
      <c r="F136">
        <f ca="1">IFERROR(__xludf.DUMMYFUNCTION("""COMPUTED_VALUE"""),199)</f>
        <v>199</v>
      </c>
      <c r="G136">
        <f ca="1">IFERROR(__xludf.DUMMYFUNCTION("""COMPUTED_VALUE"""),193)</f>
        <v>193</v>
      </c>
    </row>
    <row r="137" spans="1:7" ht="12.75">
      <c r="A137" t="str">
        <f ca="1">IFERROR(__xludf.DUMMYFUNCTION("""COMPUTED_VALUE"""),"T136")</f>
        <v>T136</v>
      </c>
      <c r="B137">
        <f ca="1">IFERROR(__xludf.DUMMYFUNCTION("""COMPUTED_VALUE"""),194)</f>
        <v>194</v>
      </c>
      <c r="C137" t="str">
        <f ca="1">IFERROR(__xludf.DUMMYFUNCTION("""COMPUTED_VALUE"""),"Tony Finau")</f>
        <v>Tony Finau</v>
      </c>
      <c r="D137">
        <f ca="1">IFERROR(__xludf.DUMMYFUNCTION("""COMPUTED_VALUE"""),12)</f>
        <v>12</v>
      </c>
      <c r="E137">
        <f ca="1">IFERROR(__xludf.DUMMYFUNCTION("""COMPUTED_VALUE"""),96.97)</f>
        <v>96.97</v>
      </c>
      <c r="F137">
        <f ca="1">IFERROR(__xludf.DUMMYFUNCTION("""COMPUTED_VALUE"""),165)</f>
        <v>165</v>
      </c>
      <c r="G137">
        <f ca="1">IFERROR(__xludf.DUMMYFUNCTION("""COMPUTED_VALUE"""),160)</f>
        <v>160</v>
      </c>
    </row>
    <row r="138" spans="1:7" ht="12.75">
      <c r="A138" t="str">
        <f ca="1">IFERROR(__xludf.DUMMYFUNCTION("""COMPUTED_VALUE"""),"T136")</f>
        <v>T136</v>
      </c>
      <c r="B138">
        <f ca="1">IFERROR(__xludf.DUMMYFUNCTION("""COMPUTED_VALUE"""),122)</f>
        <v>122</v>
      </c>
      <c r="C138" t="str">
        <f ca="1">IFERROR(__xludf.DUMMYFUNCTION("""COMPUTED_VALUE"""),"James Hahn")</f>
        <v>James Hahn</v>
      </c>
      <c r="D138">
        <f ca="1">IFERROR(__xludf.DUMMYFUNCTION("""COMPUTED_VALUE"""),16)</f>
        <v>16</v>
      </c>
      <c r="E138">
        <f ca="1">IFERROR(__xludf.DUMMYFUNCTION("""COMPUTED_VALUE"""),96.97)</f>
        <v>96.97</v>
      </c>
      <c r="F138">
        <f ca="1">IFERROR(__xludf.DUMMYFUNCTION("""COMPUTED_VALUE"""),165)</f>
        <v>165</v>
      </c>
      <c r="G138">
        <f ca="1">IFERROR(__xludf.DUMMYFUNCTION("""COMPUTED_VALUE"""),160)</f>
        <v>160</v>
      </c>
    </row>
    <row r="139" spans="1:7" ht="12.75">
      <c r="A139" t="str">
        <f ca="1">IFERROR(__xludf.DUMMYFUNCTION("""COMPUTED_VALUE"""),"T136")</f>
        <v>T136</v>
      </c>
      <c r="B139" t="str">
        <f ca="1">IFERROR(__xludf.DUMMYFUNCTION("""COMPUTED_VALUE"""),"T32")</f>
        <v>T32</v>
      </c>
      <c r="C139" t="str">
        <f ca="1">IFERROR(__xludf.DUMMYFUNCTION("""COMPUTED_VALUE"""),"Stewart Cink")</f>
        <v>Stewart Cink</v>
      </c>
      <c r="D139">
        <f ca="1">IFERROR(__xludf.DUMMYFUNCTION("""COMPUTED_VALUE"""),18)</f>
        <v>18</v>
      </c>
      <c r="E139">
        <f ca="1">IFERROR(__xludf.DUMMYFUNCTION("""COMPUTED_VALUE"""),96.97)</f>
        <v>96.97</v>
      </c>
      <c r="F139">
        <f ca="1">IFERROR(__xludf.DUMMYFUNCTION("""COMPUTED_VALUE"""),198)</f>
        <v>198</v>
      </c>
      <c r="G139">
        <f ca="1">IFERROR(__xludf.DUMMYFUNCTION("""COMPUTED_VALUE"""),192)</f>
        <v>192</v>
      </c>
    </row>
    <row r="140" spans="1:7" ht="12.75">
      <c r="A140">
        <f ca="1">IFERROR(__xludf.DUMMYFUNCTION("""COMPUTED_VALUE"""),139)</f>
        <v>139</v>
      </c>
      <c r="B140" t="str">
        <f ca="1">IFERROR(__xludf.DUMMYFUNCTION("""COMPUTED_VALUE"""),"T140")</f>
        <v>T140</v>
      </c>
      <c r="C140" t="str">
        <f ca="1">IFERROR(__xludf.DUMMYFUNCTION("""COMPUTED_VALUE"""),"J.T. Poston")</f>
        <v>J.T. Poston</v>
      </c>
      <c r="D140">
        <f ca="1">IFERROR(__xludf.DUMMYFUNCTION("""COMPUTED_VALUE"""),18)</f>
        <v>18</v>
      </c>
      <c r="E140">
        <f ca="1">IFERROR(__xludf.DUMMYFUNCTION("""COMPUTED_VALUE"""),96.96)</f>
        <v>96.96</v>
      </c>
      <c r="F140">
        <f ca="1">IFERROR(__xludf.DUMMYFUNCTION("""COMPUTED_VALUE"""),230)</f>
        <v>230</v>
      </c>
      <c r="G140">
        <f ca="1">IFERROR(__xludf.DUMMYFUNCTION("""COMPUTED_VALUE"""),223)</f>
        <v>223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IFERROR(__xludf.DUMMYFUNCTION("""COMPUTED_VALUE"""),180)</f>
        <v>180</v>
      </c>
      <c r="C141" t="str">
        <f ca="1">IFERROR(__xludf.DUMMYFUNCTION("""COMPUTED_VALUE"""),"Jimmy Walker")</f>
        <v>Jimmy Walker</v>
      </c>
      <c r="D141">
        <f ca="1">IFERROR(__xludf.DUMMYFUNCTION("""COMPUTED_VALUE"""),10)</f>
        <v>10</v>
      </c>
      <c r="E141">
        <f ca="1">IFERROR(__xludf.DUMMYFUNCTION("""COMPUTED_VALUE"""),96.95)</f>
        <v>96.95</v>
      </c>
      <c r="F141">
        <f ca="1">IFERROR(__xludf.DUMMYFUNCTION("""COMPUTED_VALUE"""),131)</f>
        <v>131</v>
      </c>
      <c r="G141">
        <f ca="1">IFERROR(__xludf.DUMMYFUNCTION("""COMPUTED_VALUE"""),127)</f>
        <v>127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IFERROR(__xludf.DUMMYFUNCTION("""COMPUTED_VALUE"""),131)</f>
        <v>131</v>
      </c>
      <c r="C142" t="str">
        <f ca="1">IFERROR(__xludf.DUMMYFUNCTION("""COMPUTED_VALUE"""),"Nick Taylor")</f>
        <v>Nick Taylor</v>
      </c>
      <c r="D142">
        <f ca="1">IFERROR(__xludf.DUMMYFUNCTION("""COMPUTED_VALUE"""),12)</f>
        <v>12</v>
      </c>
      <c r="E142">
        <f ca="1">IFERROR(__xludf.DUMMYFUNCTION("""COMPUTED_VALUE"""),96.93)</f>
        <v>96.93</v>
      </c>
      <c r="F142">
        <f ca="1">IFERROR(__xludf.DUMMYFUNCTION("""COMPUTED_VALUE"""),163)</f>
        <v>163</v>
      </c>
      <c r="G142">
        <f ca="1">IFERROR(__xludf.DUMMYFUNCTION("""COMPUTED_VALUE"""),158)</f>
        <v>158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IFERROR(__xludf.DUMMYFUNCTION("""COMPUTED_VALUE"""),132)</f>
        <v>132</v>
      </c>
      <c r="C143" t="str">
        <f ca="1">IFERROR(__xludf.DUMMYFUNCTION("""COMPUTED_VALUE"""),"Rafa Cabrera Bello")</f>
        <v>Rafa Cabrera Bello</v>
      </c>
      <c r="D143">
        <f ca="1">IFERROR(__xludf.DUMMYFUNCTION("""COMPUTED_VALUE"""),14)</f>
        <v>14</v>
      </c>
      <c r="E143">
        <f ca="1">IFERROR(__xludf.DUMMYFUNCTION("""COMPUTED_VALUE"""),96.91)</f>
        <v>96.91</v>
      </c>
      <c r="F143">
        <f ca="1">IFERROR(__xludf.DUMMYFUNCTION("""COMPUTED_VALUE"""),162)</f>
        <v>162</v>
      </c>
      <c r="G143">
        <f ca="1">IFERROR(__xludf.DUMMYFUNCTION("""COMPUTED_VALUE"""),157)</f>
        <v>157</v>
      </c>
    </row>
    <row r="144" spans="1:7" ht="12.75">
      <c r="A144">
        <f ca="1">IFERROR(__xludf.DUMMYFUNCTION("""COMPUTED_VALUE"""),143)</f>
        <v>143</v>
      </c>
      <c r="B144" t="str">
        <f ca="1">IFERROR(__xludf.DUMMYFUNCTION("""COMPUTED_VALUE"""),"T165")</f>
        <v>T165</v>
      </c>
      <c r="C144" t="str">
        <f ca="1">IFERROR(__xludf.DUMMYFUNCTION("""COMPUTED_VALUE"""),"Aaron Wise")</f>
        <v>Aaron Wise</v>
      </c>
      <c r="D144">
        <f ca="1">IFERROR(__xludf.DUMMYFUNCTION("""COMPUTED_VALUE"""),16)</f>
        <v>16</v>
      </c>
      <c r="E144">
        <f ca="1">IFERROR(__xludf.DUMMYFUNCTION("""COMPUTED_VALUE"""),96.86)</f>
        <v>96.86</v>
      </c>
      <c r="F144">
        <f ca="1">IFERROR(__xludf.DUMMYFUNCTION("""COMPUTED_VALUE"""),159)</f>
        <v>159</v>
      </c>
      <c r="G144">
        <f ca="1">IFERROR(__xludf.DUMMYFUNCTION("""COMPUTED_VALUE"""),154)</f>
        <v>154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IFERROR(__xludf.DUMMYFUNCTION("""COMPUTED_VALUE"""),"T101")</f>
        <v>T101</v>
      </c>
      <c r="C145" t="str">
        <f ca="1">IFERROR(__xludf.DUMMYFUNCTION("""COMPUTED_VALUE"""),"Shane Lowry")</f>
        <v>Shane Lowry</v>
      </c>
      <c r="D145">
        <f ca="1">IFERROR(__xludf.DUMMYFUNCTION("""COMPUTED_VALUE"""),14)</f>
        <v>14</v>
      </c>
      <c r="E145">
        <f ca="1">IFERROR(__xludf.DUMMYFUNCTION("""COMPUTED_VALUE"""),96.84)</f>
        <v>96.84</v>
      </c>
      <c r="F145">
        <f ca="1">IFERROR(__xludf.DUMMYFUNCTION("""COMPUTED_VALUE"""),190)</f>
        <v>190</v>
      </c>
      <c r="G145">
        <f ca="1">IFERROR(__xludf.DUMMYFUNCTION("""COMPUTED_VALUE"""),184)</f>
        <v>184</v>
      </c>
    </row>
    <row r="146" spans="1:7" ht="12.75">
      <c r="A146">
        <f ca="1">IFERROR(__xludf.DUMMYFUNCTION("""COMPUTED_VALUE"""),145)</f>
        <v>145</v>
      </c>
      <c r="B146" t="str">
        <f ca="1">IFERROR(__xludf.DUMMYFUNCTION("""COMPUTED_VALUE"""),"T127")</f>
        <v>T127</v>
      </c>
      <c r="C146" t="str">
        <f ca="1">IFERROR(__xludf.DUMMYFUNCTION("""COMPUTED_VALUE"""),"Satoshi Kodaira")</f>
        <v>Satoshi Kodaira</v>
      </c>
      <c r="D146">
        <f ca="1">IFERROR(__xludf.DUMMYFUNCTION("""COMPUTED_VALUE"""),12)</f>
        <v>12</v>
      </c>
      <c r="E146">
        <f ca="1">IFERROR(__xludf.DUMMYFUNCTION("""COMPUTED_VALUE"""),96.82)</f>
        <v>96.82</v>
      </c>
      <c r="F146">
        <f ca="1">IFERROR(__xludf.DUMMYFUNCTION("""COMPUTED_VALUE"""),157)</f>
        <v>157</v>
      </c>
      <c r="G146">
        <f ca="1">IFERROR(__xludf.DUMMYFUNCTION("""COMPUTED_VALUE"""),152)</f>
        <v>152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IFERROR(__xludf.DUMMYFUNCTION("""COMPUTED_VALUE"""),192)</f>
        <v>192</v>
      </c>
      <c r="C147" t="str">
        <f ca="1">IFERROR(__xludf.DUMMYFUNCTION("""COMPUTED_VALUE"""),"Zach Johnson")</f>
        <v>Zach Johnson</v>
      </c>
      <c r="D147">
        <f ca="1">IFERROR(__xludf.DUMMYFUNCTION("""COMPUTED_VALUE"""),16)</f>
        <v>16</v>
      </c>
      <c r="E147">
        <f ca="1">IFERROR(__xludf.DUMMYFUNCTION("""COMPUTED_VALUE"""),96.79)</f>
        <v>96.79</v>
      </c>
      <c r="F147">
        <f ca="1">IFERROR(__xludf.DUMMYFUNCTION("""COMPUTED_VALUE"""),218)</f>
        <v>218</v>
      </c>
      <c r="G147">
        <f ca="1">IFERROR(__xludf.DUMMYFUNCTION("""COMPUTED_VALUE"""),211)</f>
        <v>211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IFERROR(__xludf.DUMMYFUNCTION("""COMPUTED_VALUE"""),"T204")</f>
        <v>T204</v>
      </c>
      <c r="C148" t="str">
        <f ca="1">IFERROR(__xludf.DUMMYFUNCTION("""COMPUTED_VALUE"""),"Kevin Stadler")</f>
        <v>Kevin Stadler</v>
      </c>
      <c r="D148">
        <f ca="1">IFERROR(__xludf.DUMMYFUNCTION("""COMPUTED_VALUE"""),8)</f>
        <v>8</v>
      </c>
      <c r="E148">
        <f ca="1">IFERROR(__xludf.DUMMYFUNCTION("""COMPUTED_VALUE"""),96.77)</f>
        <v>96.77</v>
      </c>
      <c r="F148">
        <f ca="1">IFERROR(__xludf.DUMMYFUNCTION("""COMPUTED_VALUE"""),93)</f>
        <v>93</v>
      </c>
      <c r="G148">
        <f ca="1">IFERROR(__xludf.DUMMYFUNCTION("""COMPUTED_VALUE"""),90)</f>
        <v>90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IFERROR(__xludf.DUMMYFUNCTION("""COMPUTED_VALUE"""),"T135")</f>
        <v>T135</v>
      </c>
      <c r="C149" t="str">
        <f ca="1">IFERROR(__xludf.DUMMYFUNCTION("""COMPUTED_VALUE"""),"Peter Malnati")</f>
        <v>Peter Malnati</v>
      </c>
      <c r="D149">
        <f ca="1">IFERROR(__xludf.DUMMYFUNCTION("""COMPUTED_VALUE"""),18)</f>
        <v>18</v>
      </c>
      <c r="E149">
        <f ca="1">IFERROR(__xludf.DUMMYFUNCTION("""COMPUTED_VALUE"""),96.77)</f>
        <v>96.77</v>
      </c>
      <c r="F149">
        <f ca="1">IFERROR(__xludf.DUMMYFUNCTION("""COMPUTED_VALUE"""),124)</f>
        <v>124</v>
      </c>
      <c r="G149">
        <f ca="1">IFERROR(__xludf.DUMMYFUNCTION("""COMPUTED_VALUE"""),120)</f>
        <v>120</v>
      </c>
    </row>
    <row r="150" spans="1:7" ht="12.75">
      <c r="A150" t="str">
        <f ca="1">IFERROR(__xludf.DUMMYFUNCTION("""COMPUTED_VALUE"""),"T147")</f>
        <v>T147</v>
      </c>
      <c r="B150" t="str">
        <f ca="1">IFERROR(__xludf.DUMMYFUNCTION("""COMPUTED_VALUE"""),"T135")</f>
        <v>T135</v>
      </c>
      <c r="C150" t="str">
        <f ca="1">IFERROR(__xludf.DUMMYFUNCTION("""COMPUTED_VALUE"""),"Chesson Hadley")</f>
        <v>Chesson Hadley</v>
      </c>
      <c r="D150">
        <f ca="1">IFERROR(__xludf.DUMMYFUNCTION("""COMPUTED_VALUE"""),16)</f>
        <v>16</v>
      </c>
      <c r="E150">
        <f ca="1">IFERROR(__xludf.DUMMYFUNCTION("""COMPUTED_VALUE"""),96.77)</f>
        <v>96.77</v>
      </c>
      <c r="F150">
        <f ca="1">IFERROR(__xludf.DUMMYFUNCTION("""COMPUTED_VALUE"""),155)</f>
        <v>155</v>
      </c>
      <c r="G150">
        <f ca="1">IFERROR(__xludf.DUMMYFUNCTION("""COMPUTED_VALUE"""),150)</f>
        <v>150</v>
      </c>
    </row>
    <row r="151" spans="1:7" ht="12.75">
      <c r="A151" t="str">
        <f ca="1">IFERROR(__xludf.DUMMYFUNCTION("""COMPUTED_VALUE"""),"T147")</f>
        <v>T147</v>
      </c>
      <c r="B151">
        <f ca="1">IFERROR(__xludf.DUMMYFUNCTION("""COMPUTED_VALUE"""),200)</f>
        <v>200</v>
      </c>
      <c r="C151" t="str">
        <f ca="1">IFERROR(__xludf.DUMMYFUNCTION("""COMPUTED_VALUE"""),"Kristoffer Ventura")</f>
        <v>Kristoffer Ventura</v>
      </c>
      <c r="D151">
        <f ca="1">IFERROR(__xludf.DUMMYFUNCTION("""COMPUTED_VALUE"""),20)</f>
        <v>20</v>
      </c>
      <c r="E151">
        <f ca="1">IFERROR(__xludf.DUMMYFUNCTION("""COMPUTED_VALUE"""),96.77)</f>
        <v>96.77</v>
      </c>
      <c r="F151">
        <f ca="1">IFERROR(__xludf.DUMMYFUNCTION("""COMPUTED_VALUE"""),186)</f>
        <v>186</v>
      </c>
      <c r="G151">
        <f ca="1">IFERROR(__xludf.DUMMYFUNCTION("""COMPUTED_VALUE"""),180)</f>
        <v>180</v>
      </c>
    </row>
    <row r="152" spans="1:7" ht="12.75">
      <c r="A152" t="str">
        <f ca="1">IFERROR(__xludf.DUMMYFUNCTION("""COMPUTED_VALUE"""),"T147")</f>
        <v>T147</v>
      </c>
      <c r="B152" t="str">
        <f ca="1">IFERROR(__xludf.DUMMYFUNCTION("""COMPUTED_VALUE"""),"T135")</f>
        <v>T135</v>
      </c>
      <c r="C152" t="str">
        <f ca="1">IFERROR(__xludf.DUMMYFUNCTION("""COMPUTED_VALUE"""),"Wes Roach")</f>
        <v>Wes Roach</v>
      </c>
      <c r="D152">
        <f ca="1">IFERROR(__xludf.DUMMYFUNCTION("""COMPUTED_VALUE"""),6)</f>
        <v>6</v>
      </c>
      <c r="E152">
        <f ca="1">IFERROR(__xludf.DUMMYFUNCTION("""COMPUTED_VALUE"""),96.77)</f>
        <v>96.77</v>
      </c>
      <c r="F152">
        <f ca="1">IFERROR(__xludf.DUMMYFUNCTION("""COMPUTED_VALUE"""),31)</f>
        <v>31</v>
      </c>
      <c r="G152">
        <f ca="1">IFERROR(__xludf.DUMMYFUNCTION("""COMPUTED_VALUE"""),30)</f>
        <v>30</v>
      </c>
    </row>
    <row r="153" spans="1:7" ht="12.75">
      <c r="A153" t="str">
        <f ca="1">IFERROR(__xludf.DUMMYFUNCTION("""COMPUTED_VALUE"""),"T152")</f>
        <v>T152</v>
      </c>
      <c r="B153">
        <f ca="1">IFERROR(__xludf.DUMMYFUNCTION("""COMPUTED_VALUE"""),197)</f>
        <v>197</v>
      </c>
      <c r="C153" t="str">
        <f ca="1">IFERROR(__xludf.DUMMYFUNCTION("""COMPUTED_VALUE"""),"Viktor Hovland")</f>
        <v>Viktor Hovland</v>
      </c>
      <c r="D153">
        <f ca="1">IFERROR(__xludf.DUMMYFUNCTION("""COMPUTED_VALUE"""),16)</f>
        <v>16</v>
      </c>
      <c r="E153">
        <f ca="1">IFERROR(__xludf.DUMMYFUNCTION("""COMPUTED_VALUE"""),96.71)</f>
        <v>96.71</v>
      </c>
      <c r="F153">
        <f ca="1">IFERROR(__xludf.DUMMYFUNCTION("""COMPUTED_VALUE"""),213)</f>
        <v>213</v>
      </c>
      <c r="G153">
        <f ca="1">IFERROR(__xludf.DUMMYFUNCTION("""COMPUTED_VALUE"""),206)</f>
        <v>206</v>
      </c>
    </row>
    <row r="154" spans="1:7" ht="12.75">
      <c r="A154" t="str">
        <f ca="1">IFERROR(__xludf.DUMMYFUNCTION("""COMPUTED_VALUE"""),"T152")</f>
        <v>T152</v>
      </c>
      <c r="B154">
        <f ca="1">IFERROR(__xludf.DUMMYFUNCTION("""COMPUTED_VALUE"""),125)</f>
        <v>125</v>
      </c>
      <c r="C154" t="str">
        <f ca="1">IFERROR(__xludf.DUMMYFUNCTION("""COMPUTED_VALUE"""),"Kevin Streelman")</f>
        <v>Kevin Streelman</v>
      </c>
      <c r="D154">
        <f ca="1">IFERROR(__xludf.DUMMYFUNCTION("""COMPUTED_VALUE"""),18)</f>
        <v>18</v>
      </c>
      <c r="E154">
        <f ca="1">IFERROR(__xludf.DUMMYFUNCTION("""COMPUTED_VALUE"""),96.71)</f>
        <v>96.71</v>
      </c>
      <c r="F154">
        <f ca="1">IFERROR(__xludf.DUMMYFUNCTION("""COMPUTED_VALUE"""),243)</f>
        <v>243</v>
      </c>
      <c r="G154">
        <f ca="1">IFERROR(__xludf.DUMMYFUNCTION("""COMPUTED_VALUE"""),235)</f>
        <v>235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IFERROR(__xludf.DUMMYFUNCTION("""COMPUTED_VALUE"""),139)</f>
        <v>139</v>
      </c>
      <c r="C155" t="str">
        <f ca="1">IFERROR(__xludf.DUMMYFUNCTION("""COMPUTED_VALUE"""),"Kyle Stanley")</f>
        <v>Kyle Stanley</v>
      </c>
      <c r="D155">
        <f ca="1">IFERROR(__xludf.DUMMYFUNCTION("""COMPUTED_VALUE"""),16)</f>
        <v>16</v>
      </c>
      <c r="E155">
        <f ca="1">IFERROR(__xludf.DUMMYFUNCTION("""COMPUTED_VALUE"""),96.69)</f>
        <v>96.69</v>
      </c>
      <c r="F155">
        <f ca="1">IFERROR(__xludf.DUMMYFUNCTION("""COMPUTED_VALUE"""),121)</f>
        <v>121</v>
      </c>
      <c r="G155">
        <f ca="1">IFERROR(__xludf.DUMMYFUNCTION("""COMPUTED_VALUE"""),117)</f>
        <v>117</v>
      </c>
    </row>
    <row r="156" spans="1:7" ht="12.75">
      <c r="A156" t="str">
        <f ca="1">IFERROR(__xludf.DUMMYFUNCTION("""COMPUTED_VALUE"""),"T155")</f>
        <v>T155</v>
      </c>
      <c r="B156" t="str">
        <f ca="1">IFERROR(__xludf.DUMMYFUNCTION("""COMPUTED_VALUE"""),"T140")</f>
        <v>T140</v>
      </c>
      <c r="C156" t="str">
        <f ca="1">IFERROR(__xludf.DUMMYFUNCTION("""COMPUTED_VALUE"""),"Sangmoon Bae")</f>
        <v>Sangmoon Bae</v>
      </c>
      <c r="D156">
        <f ca="1">IFERROR(__xludf.DUMMYFUNCTION("""COMPUTED_VALUE"""),8)</f>
        <v>8</v>
      </c>
      <c r="E156">
        <f ca="1">IFERROR(__xludf.DUMMYFUNCTION("""COMPUTED_VALUE"""),96.67)</f>
        <v>96.67</v>
      </c>
      <c r="F156">
        <f ca="1">IFERROR(__xludf.DUMMYFUNCTION("""COMPUTED_VALUE"""),30)</f>
        <v>30</v>
      </c>
      <c r="G156">
        <f ca="1">IFERROR(__xludf.DUMMYFUNCTION("""COMPUTED_VALUE"""),29)</f>
        <v>29</v>
      </c>
    </row>
    <row r="157" spans="1:7" ht="12.75">
      <c r="A157" t="str">
        <f ca="1">IFERROR(__xludf.DUMMYFUNCTION("""COMPUTED_VALUE"""),"T155")</f>
        <v>T155</v>
      </c>
      <c r="B157">
        <f ca="1">IFERROR(__xludf.DUMMYFUNCTION("""COMPUTED_VALUE"""),29)</f>
        <v>29</v>
      </c>
      <c r="C157" t="str">
        <f ca="1">IFERROR(__xludf.DUMMYFUNCTION("""COMPUTED_VALUE"""),"Ted Potter, Jr.")</f>
        <v>Ted Potter, Jr.</v>
      </c>
      <c r="D157">
        <f ca="1">IFERROR(__xludf.DUMMYFUNCTION("""COMPUTED_VALUE"""),8)</f>
        <v>8</v>
      </c>
      <c r="E157">
        <f ca="1">IFERROR(__xludf.DUMMYFUNCTION("""COMPUTED_VALUE"""),96.67)</f>
        <v>96.67</v>
      </c>
      <c r="F157">
        <f ca="1">IFERROR(__xludf.DUMMYFUNCTION("""COMPUTED_VALUE"""),120)</f>
        <v>120</v>
      </c>
      <c r="G157">
        <f ca="1">IFERROR(__xludf.DUMMYFUNCTION("""COMPUTED_VALUE"""),116)</f>
        <v>116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IFERROR(__xludf.DUMMYFUNCTION("""COMPUTED_VALUE"""),"T140")</f>
        <v>T140</v>
      </c>
      <c r="C158" t="str">
        <f ca="1">IFERROR(__xludf.DUMMYFUNCTION("""COMPUTED_VALUE"""),"George McNeill")</f>
        <v>George McNeill</v>
      </c>
      <c r="D158">
        <f ca="1">IFERROR(__xludf.DUMMYFUNCTION("""COMPUTED_VALUE"""),8)</f>
        <v>8</v>
      </c>
      <c r="E158">
        <f ca="1">IFERROR(__xludf.DUMMYFUNCTION("""COMPUTED_VALUE"""),96.67)</f>
        <v>96.67</v>
      </c>
      <c r="F158">
        <f ca="1">IFERROR(__xludf.DUMMYFUNCTION("""COMPUTED_VALUE"""),30)</f>
        <v>30</v>
      </c>
      <c r="G158">
        <f ca="1">IFERROR(__xludf.DUMMYFUNCTION("""COMPUTED_VALUE"""),29)</f>
        <v>29</v>
      </c>
    </row>
    <row r="159" spans="1:7" ht="12.75">
      <c r="A159" t="str">
        <f ca="1">IFERROR(__xludf.DUMMYFUNCTION("""COMPUTED_VALUE"""),"T155")</f>
        <v>T155</v>
      </c>
      <c r="B159" t="str">
        <f ca="1">IFERROR(__xludf.DUMMYFUNCTION("""COMPUTED_VALUE"""),"T140")</f>
        <v>T140</v>
      </c>
      <c r="C159" t="str">
        <f ca="1">IFERROR(__xludf.DUMMYFUNCTION("""COMPUTED_VALUE"""),"John Senden")</f>
        <v>John Senden</v>
      </c>
      <c r="D159">
        <f ca="1">IFERROR(__xludf.DUMMYFUNCTION("""COMPUTED_VALUE"""),8)</f>
        <v>8</v>
      </c>
      <c r="E159">
        <f ca="1">IFERROR(__xludf.DUMMYFUNCTION("""COMPUTED_VALUE"""),96.67)</f>
        <v>96.67</v>
      </c>
      <c r="F159">
        <f ca="1">IFERROR(__xludf.DUMMYFUNCTION("""COMPUTED_VALUE"""),30)</f>
        <v>30</v>
      </c>
      <c r="G159">
        <f ca="1">IFERROR(__xludf.DUMMYFUNCTION("""COMPUTED_VALUE"""),29)</f>
        <v>29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IFERROR(__xludf.DUMMYFUNCTION("""COMPUTED_VALUE"""),217)</f>
        <v>217</v>
      </c>
      <c r="C160" t="str">
        <f ca="1">IFERROR(__xludf.DUMMYFUNCTION("""COMPUTED_VALUE"""),"Jamie Lovemark")</f>
        <v>Jamie Lovemark</v>
      </c>
      <c r="D160">
        <f ca="1">IFERROR(__xludf.DUMMYFUNCTION("""COMPUTED_VALUE"""),18)</f>
        <v>18</v>
      </c>
      <c r="E160">
        <f ca="1">IFERROR(__xludf.DUMMYFUNCTION("""COMPUTED_VALUE"""),96.65)</f>
        <v>96.65</v>
      </c>
      <c r="F160">
        <f ca="1">IFERROR(__xludf.DUMMYFUNCTION("""COMPUTED_VALUE"""),179)</f>
        <v>179</v>
      </c>
      <c r="G160">
        <f ca="1">IFERROR(__xludf.DUMMYFUNCTION("""COMPUTED_VALUE"""),173)</f>
        <v>173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IFERROR(__xludf.DUMMYFUNCTION("""COMPUTED_VALUE"""),144)</f>
        <v>144</v>
      </c>
      <c r="C161" t="str">
        <f ca="1">IFERROR(__xludf.DUMMYFUNCTION("""COMPUTED_VALUE"""),"Joseph Bramlett")</f>
        <v>Joseph Bramlett</v>
      </c>
      <c r="D161">
        <f ca="1">IFERROR(__xludf.DUMMYFUNCTION("""COMPUTED_VALUE"""),18)</f>
        <v>18</v>
      </c>
      <c r="E161">
        <f ca="1">IFERROR(__xludf.DUMMYFUNCTION("""COMPUTED_VALUE"""),96.64)</f>
        <v>96.64</v>
      </c>
      <c r="F161">
        <f ca="1">IFERROR(__xludf.DUMMYFUNCTION("""COMPUTED_VALUE"""),149)</f>
        <v>149</v>
      </c>
      <c r="G161">
        <f ca="1">IFERROR(__xludf.DUMMYFUNCTION("""COMPUTED_VALUE"""),144)</f>
        <v>144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IFERROR(__xludf.DUMMYFUNCTION("""COMPUTED_VALUE"""),145)</f>
        <v>145</v>
      </c>
      <c r="C162" t="str">
        <f ca="1">IFERROR(__xludf.DUMMYFUNCTION("""COMPUTED_VALUE"""),"Collin Morikawa")</f>
        <v>Collin Morikawa</v>
      </c>
      <c r="D162">
        <f ca="1">IFERROR(__xludf.DUMMYFUNCTION("""COMPUTED_VALUE"""),12)</f>
        <v>12</v>
      </c>
      <c r="E162">
        <f ca="1">IFERROR(__xludf.DUMMYFUNCTION("""COMPUTED_VALUE"""),96.63)</f>
        <v>96.63</v>
      </c>
      <c r="F162">
        <f ca="1">IFERROR(__xludf.DUMMYFUNCTION("""COMPUTED_VALUE"""),178)</f>
        <v>178</v>
      </c>
      <c r="G162">
        <f ca="1">IFERROR(__xludf.DUMMYFUNCTION("""COMPUTED_VALUE"""),172)</f>
        <v>172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IFERROR(__xludf.DUMMYFUNCTION("""COMPUTED_VALUE"""),146)</f>
        <v>146</v>
      </c>
      <c r="C163" t="str">
        <f ca="1">IFERROR(__xludf.DUMMYFUNCTION("""COMPUTED_VALUE"""),"Brendan Steele")</f>
        <v>Brendan Steele</v>
      </c>
      <c r="D163">
        <f ca="1">IFERROR(__xludf.DUMMYFUNCTION("""COMPUTED_VALUE"""),14)</f>
        <v>14</v>
      </c>
      <c r="E163">
        <f ca="1">IFERROR(__xludf.DUMMYFUNCTION("""COMPUTED_VALUE"""),96.62)</f>
        <v>96.62</v>
      </c>
      <c r="F163">
        <f ca="1">IFERROR(__xludf.DUMMYFUNCTION("""COMPUTED_VALUE"""),207)</f>
        <v>207</v>
      </c>
      <c r="G163">
        <f ca="1">IFERROR(__xludf.DUMMYFUNCTION("""COMPUTED_VALUE"""),200)</f>
        <v>200</v>
      </c>
    </row>
    <row r="164" spans="1:7" ht="12.75">
      <c r="A164" t="str">
        <f ca="1">IFERROR(__xludf.DUMMYFUNCTION("""COMPUTED_VALUE"""),"T163")</f>
        <v>T163</v>
      </c>
      <c r="B164" t="str">
        <f ca="1">IFERROR(__xludf.DUMMYFUNCTION("""COMPUTED_VALUE"""),"T147")</f>
        <v>T147</v>
      </c>
      <c r="C164" t="str">
        <f ca="1">IFERROR(__xludf.DUMMYFUNCTION("""COMPUTED_VALUE"""),"Bernd Wiesberger")</f>
        <v>Bernd Wiesberger</v>
      </c>
      <c r="D164">
        <f ca="1">IFERROR(__xludf.DUMMYFUNCTION("""COMPUTED_VALUE"""),4)</f>
        <v>4</v>
      </c>
      <c r="E164">
        <f ca="1">IFERROR(__xludf.DUMMYFUNCTION("""COMPUTED_VALUE"""),96.61)</f>
        <v>96.61</v>
      </c>
      <c r="F164">
        <f ca="1">IFERROR(__xludf.DUMMYFUNCTION("""COMPUTED_VALUE"""),59)</f>
        <v>59</v>
      </c>
      <c r="G164">
        <f ca="1">IFERROR(__xludf.DUMMYFUNCTION("""COMPUTED_VALUE"""),57)</f>
        <v>57</v>
      </c>
    </row>
    <row r="165" spans="1:7" ht="12.75">
      <c r="A165" t="str">
        <f ca="1">IFERROR(__xludf.DUMMYFUNCTION("""COMPUTED_VALUE"""),"T163")</f>
        <v>T163</v>
      </c>
      <c r="B165" t="str">
        <f ca="1">IFERROR(__xludf.DUMMYFUNCTION("""COMPUTED_VALUE"""),"T147")</f>
        <v>T147</v>
      </c>
      <c r="C165" t="str">
        <f ca="1">IFERROR(__xludf.DUMMYFUNCTION("""COMPUTED_VALUE"""),"Nick Watney")</f>
        <v>Nick Watney</v>
      </c>
      <c r="D165">
        <f ca="1">IFERROR(__xludf.DUMMYFUNCTION("""COMPUTED_VALUE"""),10)</f>
        <v>10</v>
      </c>
      <c r="E165">
        <f ca="1">IFERROR(__xludf.DUMMYFUNCTION("""COMPUTED_VALUE"""),96.61)</f>
        <v>96.61</v>
      </c>
      <c r="F165">
        <f ca="1">IFERROR(__xludf.DUMMYFUNCTION("""COMPUTED_VALUE"""),118)</f>
        <v>118</v>
      </c>
      <c r="G165">
        <f ca="1">IFERROR(__xludf.DUMMYFUNCTION("""COMPUTED_VALUE"""),114)</f>
        <v>114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IFERROR(__xludf.DUMMYFUNCTION("""COMPUTED_VALUE"""),133)</f>
        <v>133</v>
      </c>
      <c r="C166" t="str">
        <f ca="1">IFERROR(__xludf.DUMMYFUNCTION("""COMPUTED_VALUE"""),"Rory Sabbatini")</f>
        <v>Rory Sabbatini</v>
      </c>
      <c r="D166">
        <f ca="1">IFERROR(__xludf.DUMMYFUNCTION("""COMPUTED_VALUE"""),13)</f>
        <v>13</v>
      </c>
      <c r="E166">
        <f ca="1">IFERROR(__xludf.DUMMYFUNCTION("""COMPUTED_VALUE"""),96.59)</f>
        <v>96.59</v>
      </c>
      <c r="F166">
        <f ca="1">IFERROR(__xludf.DUMMYFUNCTION("""COMPUTED_VALUE"""),176)</f>
        <v>176</v>
      </c>
      <c r="G166">
        <f ca="1">IFERROR(__xludf.DUMMYFUNCTION("""COMPUTED_VALUE"""),170)</f>
        <v>170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IFERROR(__xludf.DUMMYFUNCTION("""COMPUTED_VALUE"""),"T151")</f>
        <v>T151</v>
      </c>
      <c r="C167" t="str">
        <f ca="1">IFERROR(__xludf.DUMMYFUNCTION("""COMPUTED_VALUE"""),"Jazz Janewattananond")</f>
        <v>Jazz Janewattananond</v>
      </c>
      <c r="D167">
        <f ca="1">IFERROR(__xludf.DUMMYFUNCTION("""COMPUTED_VALUE"""),6)</f>
        <v>6</v>
      </c>
      <c r="E167">
        <f ca="1">IFERROR(__xludf.DUMMYFUNCTION("""COMPUTED_VALUE"""),96.55)</f>
        <v>96.55</v>
      </c>
      <c r="F167">
        <f ca="1">IFERROR(__xludf.DUMMYFUNCTION("""COMPUTED_VALUE"""),87)</f>
        <v>87</v>
      </c>
      <c r="G167">
        <f ca="1">IFERROR(__xludf.DUMMYFUNCTION("""COMPUTED_VALUE"""),84)</f>
        <v>84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IFERROR(__xludf.DUMMYFUNCTION("""COMPUTED_VALUE"""),"T99")</f>
        <v>T99</v>
      </c>
      <c r="C168" t="str">
        <f ca="1">IFERROR(__xludf.DUMMYFUNCTION("""COMPUTED_VALUE"""),"Martin Trainer")</f>
        <v>Martin Trainer</v>
      </c>
      <c r="D168">
        <f ca="1">IFERROR(__xludf.DUMMYFUNCTION("""COMPUTED_VALUE"""),10)</f>
        <v>10</v>
      </c>
      <c r="E168">
        <f ca="1">IFERROR(__xludf.DUMMYFUNCTION("""COMPUTED_VALUE"""),96.55)</f>
        <v>96.55</v>
      </c>
      <c r="F168">
        <f ca="1">IFERROR(__xludf.DUMMYFUNCTION("""COMPUTED_VALUE"""),116)</f>
        <v>116</v>
      </c>
      <c r="G168">
        <f ca="1">IFERROR(__xludf.DUMMYFUNCTION("""COMPUTED_VALUE"""),112)</f>
        <v>112</v>
      </c>
    </row>
    <row r="169" spans="1:7" ht="12.75">
      <c r="A169">
        <f ca="1">IFERROR(__xludf.DUMMYFUNCTION("""COMPUTED_VALUE"""),168)</f>
        <v>168</v>
      </c>
      <c r="B169" t="str">
        <f ca="1">IFERROR(__xludf.DUMMYFUNCTION("""COMPUTED_VALUE"""),"T156")</f>
        <v>T156</v>
      </c>
      <c r="C169" t="str">
        <f ca="1">IFERROR(__xludf.DUMMYFUNCTION("""COMPUTED_VALUE"""),"Joohyung Kim")</f>
        <v>Joohyung Kim</v>
      </c>
      <c r="D169">
        <f ca="1">IFERROR(__xludf.DUMMYFUNCTION("""COMPUTED_VALUE"""),12)</f>
        <v>12</v>
      </c>
      <c r="E169">
        <f ca="1">IFERROR(__xludf.DUMMYFUNCTION("""COMPUTED_VALUE"""),96.52)</f>
        <v>96.52</v>
      </c>
      <c r="F169">
        <f ca="1">IFERROR(__xludf.DUMMYFUNCTION("""COMPUTED_VALUE"""),115)</f>
        <v>115</v>
      </c>
      <c r="G169">
        <f ca="1">IFERROR(__xludf.DUMMYFUNCTION("""COMPUTED_VALUE"""),111)</f>
        <v>111</v>
      </c>
    </row>
    <row r="170" spans="1:7" ht="12.75">
      <c r="A170" t="str">
        <f ca="1">IFERROR(__xludf.DUMMYFUNCTION("""COMPUTED_VALUE"""),"T169")</f>
        <v>T169</v>
      </c>
      <c r="B170" t="str">
        <f ca="1">IFERROR(__xludf.DUMMYFUNCTION("""COMPUTED_VALUE"""),"T158")</f>
        <v>T158</v>
      </c>
      <c r="C170" t="str">
        <f ca="1">IFERROR(__xludf.DUMMYFUNCTION("""COMPUTED_VALUE"""),"Zac Blair")</f>
        <v>Zac Blair</v>
      </c>
      <c r="D170">
        <f ca="1">IFERROR(__xludf.DUMMYFUNCTION("""COMPUTED_VALUE"""),10)</f>
        <v>10</v>
      </c>
      <c r="E170">
        <f ca="1">IFERROR(__xludf.DUMMYFUNCTION("""COMPUTED_VALUE"""),96.51)</f>
        <v>96.51</v>
      </c>
      <c r="F170">
        <f ca="1">IFERROR(__xludf.DUMMYFUNCTION("""COMPUTED_VALUE"""),86)</f>
        <v>86</v>
      </c>
      <c r="G170">
        <f ca="1">IFERROR(__xludf.DUMMYFUNCTION("""COMPUTED_VALUE"""),83)</f>
        <v>83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IFERROR(__xludf.DUMMYFUNCTION("""COMPUTED_VALUE"""),"T158")</f>
        <v>T158</v>
      </c>
      <c r="C171" t="str">
        <f ca="1">IFERROR(__xludf.DUMMYFUNCTION("""COMPUTED_VALUE"""),"Bill Haas")</f>
        <v>Bill Haas</v>
      </c>
      <c r="D171">
        <f ca="1">IFERROR(__xludf.DUMMYFUNCTION("""COMPUTED_VALUE"""),10)</f>
        <v>10</v>
      </c>
      <c r="E171">
        <f ca="1">IFERROR(__xludf.DUMMYFUNCTION("""COMPUTED_VALUE"""),96.51)</f>
        <v>96.51</v>
      </c>
      <c r="F171">
        <f ca="1">IFERROR(__xludf.DUMMYFUNCTION("""COMPUTED_VALUE"""),86)</f>
        <v>86</v>
      </c>
      <c r="G171">
        <f ca="1">IFERROR(__xludf.DUMMYFUNCTION("""COMPUTED_VALUE"""),83)</f>
        <v>83</v>
      </c>
    </row>
    <row r="172" spans="1:7" ht="12.75">
      <c r="A172" t="str">
        <f ca="1">IFERROR(__xludf.DUMMYFUNCTION("""COMPUTED_VALUE"""),"T171")</f>
        <v>T171</v>
      </c>
      <c r="B172">
        <f ca="1">IFERROR(__xludf.DUMMYFUNCTION("""COMPUTED_VALUE"""),107)</f>
        <v>107</v>
      </c>
      <c r="C172" t="str">
        <f ca="1">IFERROR(__xludf.DUMMYFUNCTION("""COMPUTED_VALUE"""),"Emiliano Grillo")</f>
        <v>Emiliano Grillo</v>
      </c>
      <c r="D172">
        <f ca="1">IFERROR(__xludf.DUMMYFUNCTION("""COMPUTED_VALUE"""),22)</f>
        <v>22</v>
      </c>
      <c r="E172">
        <f ca="1">IFERROR(__xludf.DUMMYFUNCTION("""COMPUTED_VALUE"""),96.5)</f>
        <v>96.5</v>
      </c>
      <c r="F172">
        <f ca="1">IFERROR(__xludf.DUMMYFUNCTION("""COMPUTED_VALUE"""),200)</f>
        <v>200</v>
      </c>
      <c r="G172">
        <f ca="1">IFERROR(__xludf.DUMMYFUNCTION("""COMPUTED_VALUE"""),193)</f>
        <v>193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IFERROR(__xludf.DUMMYFUNCTION("""COMPUTED_VALUE"""),"T151")</f>
        <v>T151</v>
      </c>
      <c r="C173" t="str">
        <f ca="1">IFERROR(__xludf.DUMMYFUNCTION("""COMPUTED_VALUE"""),"Beau Hossler")</f>
        <v>Beau Hossler</v>
      </c>
      <c r="D173">
        <f ca="1">IFERROR(__xludf.DUMMYFUNCTION("""COMPUTED_VALUE"""),22)</f>
        <v>22</v>
      </c>
      <c r="E173">
        <f ca="1">IFERROR(__xludf.DUMMYFUNCTION("""COMPUTED_VALUE"""),96.5)</f>
        <v>96.5</v>
      </c>
      <c r="F173">
        <f ca="1">IFERROR(__xludf.DUMMYFUNCTION("""COMPUTED_VALUE"""),200)</f>
        <v>200</v>
      </c>
      <c r="G173">
        <f ca="1">IFERROR(__xludf.DUMMYFUNCTION("""COMPUTED_VALUE"""),193)</f>
        <v>193</v>
      </c>
    </row>
    <row r="174" spans="1:7" ht="12.75">
      <c r="A174" t="str">
        <f ca="1">IFERROR(__xludf.DUMMYFUNCTION("""COMPUTED_VALUE"""),"T171")</f>
        <v>T171</v>
      </c>
      <c r="B174" t="str">
        <f ca="1">IFERROR(__xludf.DUMMYFUNCTION("""COMPUTED_VALUE"""),"T163")</f>
        <v>T163</v>
      </c>
      <c r="C174" t="str">
        <f ca="1">IFERROR(__xludf.DUMMYFUNCTION("""COMPUTED_VALUE"""),"Tom Lewis")</f>
        <v>Tom Lewis</v>
      </c>
      <c r="D174">
        <f ca="1">IFERROR(__xludf.DUMMYFUNCTION("""COMPUTED_VALUE"""),12)</f>
        <v>12</v>
      </c>
      <c r="E174">
        <f ca="1">IFERROR(__xludf.DUMMYFUNCTION("""COMPUTED_VALUE"""),96.5)</f>
        <v>96.5</v>
      </c>
      <c r="F174">
        <f ca="1">IFERROR(__xludf.DUMMYFUNCTION("""COMPUTED_VALUE"""),143)</f>
        <v>143</v>
      </c>
      <c r="G174">
        <f ca="1">IFERROR(__xludf.DUMMYFUNCTION("""COMPUTED_VALUE"""),138)</f>
        <v>138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IFERROR(__xludf.DUMMYFUNCTION("""COMPUTED_VALUE"""),"T160")</f>
        <v>T160</v>
      </c>
      <c r="C175" t="str">
        <f ca="1">IFERROR(__xludf.DUMMYFUNCTION("""COMPUTED_VALUE"""),"Chris Stroud")</f>
        <v>Chris Stroud</v>
      </c>
      <c r="D175">
        <f ca="1">IFERROR(__xludf.DUMMYFUNCTION("""COMPUTED_VALUE"""),6)</f>
        <v>6</v>
      </c>
      <c r="E175">
        <f ca="1">IFERROR(__xludf.DUMMYFUNCTION("""COMPUTED_VALUE"""),96.49)</f>
        <v>96.49</v>
      </c>
      <c r="F175">
        <f ca="1">IFERROR(__xludf.DUMMYFUNCTION("""COMPUTED_VALUE"""),57)</f>
        <v>57</v>
      </c>
      <c r="G175">
        <f ca="1">IFERROR(__xludf.DUMMYFUNCTION("""COMPUTED_VALUE"""),55)</f>
        <v>55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IFERROR(__xludf.DUMMYFUNCTION("""COMPUTED_VALUE"""),"T163")</f>
        <v>T163</v>
      </c>
      <c r="C176" t="str">
        <f ca="1">IFERROR(__xludf.DUMMYFUNCTION("""COMPUTED_VALUE"""),"Kevin Na")</f>
        <v>Kevin Na</v>
      </c>
      <c r="D176">
        <f ca="1">IFERROR(__xludf.DUMMYFUNCTION("""COMPUTED_VALUE"""),14)</f>
        <v>14</v>
      </c>
      <c r="E176">
        <f ca="1">IFERROR(__xludf.DUMMYFUNCTION("""COMPUTED_VALUE"""),96.46)</f>
        <v>96.46</v>
      </c>
      <c r="F176">
        <f ca="1">IFERROR(__xludf.DUMMYFUNCTION("""COMPUTED_VALUE"""),198)</f>
        <v>198</v>
      </c>
      <c r="G176">
        <f ca="1">IFERROR(__xludf.DUMMYFUNCTION("""COMPUTED_VALUE"""),191)</f>
        <v>191</v>
      </c>
    </row>
    <row r="177" spans="1:7" ht="12.75">
      <c r="A177" t="str">
        <f ca="1">IFERROR(__xludf.DUMMYFUNCTION("""COMPUTED_VALUE"""),"T176")</f>
        <v>T176</v>
      </c>
      <c r="B177" t="str">
        <f ca="1">IFERROR(__xludf.DUMMYFUNCTION("""COMPUTED_VALUE"""),"T165")</f>
        <v>T165</v>
      </c>
      <c r="C177" t="str">
        <f ca="1">IFERROR(__xludf.DUMMYFUNCTION("""COMPUTED_VALUE"""),"Jonathan Byrd")</f>
        <v>Jonathan Byrd</v>
      </c>
      <c r="D177">
        <f ca="1">IFERROR(__xludf.DUMMYFUNCTION("""COMPUTED_VALUE"""),14)</f>
        <v>14</v>
      </c>
      <c r="E177">
        <f ca="1">IFERROR(__xludf.DUMMYFUNCTION("""COMPUTED_VALUE"""),96.43)</f>
        <v>96.43</v>
      </c>
      <c r="F177">
        <f ca="1">IFERROR(__xludf.DUMMYFUNCTION("""COMPUTED_VALUE"""),84)</f>
        <v>84</v>
      </c>
      <c r="G177">
        <f ca="1">IFERROR(__xludf.DUMMYFUNCTION("""COMPUTED_VALUE"""),81)</f>
        <v>81</v>
      </c>
    </row>
    <row r="178" spans="1:7" ht="12.75">
      <c r="A178" t="str">
        <f ca="1">IFERROR(__xludf.DUMMYFUNCTION("""COMPUTED_VALUE"""),"T176")</f>
        <v>T176</v>
      </c>
      <c r="B178" t="str">
        <f ca="1">IFERROR(__xludf.DUMMYFUNCTION("""COMPUTED_VALUE"""),"T165")</f>
        <v>T165</v>
      </c>
      <c r="C178" t="str">
        <f ca="1">IFERROR(__xludf.DUMMYFUNCTION("""COMPUTED_VALUE"""),"Rafael Campos")</f>
        <v>Rafael Campos</v>
      </c>
      <c r="D178">
        <f ca="1">IFERROR(__xludf.DUMMYFUNCTION("""COMPUTED_VALUE"""),6)</f>
        <v>6</v>
      </c>
      <c r="E178">
        <f ca="1">IFERROR(__xludf.DUMMYFUNCTION("""COMPUTED_VALUE"""),96.43)</f>
        <v>96.43</v>
      </c>
      <c r="F178">
        <f ca="1">IFERROR(__xludf.DUMMYFUNCTION("""COMPUTED_VALUE"""),28)</f>
        <v>28</v>
      </c>
      <c r="G178">
        <f ca="1">IFERROR(__xludf.DUMMYFUNCTION("""COMPUTED_VALUE"""),27)</f>
        <v>27</v>
      </c>
    </row>
    <row r="179" spans="1:7" ht="12.75">
      <c r="A179" t="str">
        <f ca="1">IFERROR(__xludf.DUMMYFUNCTION("""COMPUTED_VALUE"""),"T176")</f>
        <v>T176</v>
      </c>
      <c r="B179" t="str">
        <f ca="1">IFERROR(__xludf.DUMMYFUNCTION("""COMPUTED_VALUE"""),"T165")</f>
        <v>T165</v>
      </c>
      <c r="C179" t="str">
        <f ca="1">IFERROR(__xludf.DUMMYFUNCTION("""COMPUTED_VALUE"""),"Nelson Ledesma")</f>
        <v>Nelson Ledesma</v>
      </c>
      <c r="D179">
        <f ca="1">IFERROR(__xludf.DUMMYFUNCTION("""COMPUTED_VALUE"""),8)</f>
        <v>8</v>
      </c>
      <c r="E179">
        <f ca="1">IFERROR(__xludf.DUMMYFUNCTION("""COMPUTED_VALUE"""),96.43)</f>
        <v>96.43</v>
      </c>
      <c r="F179">
        <f ca="1">IFERROR(__xludf.DUMMYFUNCTION("""COMPUTED_VALUE"""),56)</f>
        <v>56</v>
      </c>
      <c r="G179">
        <f ca="1">IFERROR(__xludf.DUMMYFUNCTION("""COMPUTED_VALUE"""),54)</f>
        <v>54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IFERROR(__xludf.DUMMYFUNCTION("""COMPUTED_VALUE"""),169)</f>
        <v>169</v>
      </c>
      <c r="C180" t="str">
        <f ca="1">IFERROR(__xludf.DUMMYFUNCTION("""COMPUTED_VALUE"""),"Ryo Ishikawa")</f>
        <v>Ryo Ishikawa</v>
      </c>
      <c r="D180">
        <f ca="1">IFERROR(__xludf.DUMMYFUNCTION("""COMPUTED_VALUE"""),8)</f>
        <v>8</v>
      </c>
      <c r="E180">
        <f ca="1">IFERROR(__xludf.DUMMYFUNCTION("""COMPUTED_VALUE"""),96.4)</f>
        <v>96.4</v>
      </c>
      <c r="F180">
        <f ca="1">IFERROR(__xludf.DUMMYFUNCTION("""COMPUTED_VALUE"""),111)</f>
        <v>111</v>
      </c>
      <c r="G180">
        <f ca="1">IFERROR(__xludf.DUMMYFUNCTION("""COMPUTED_VALUE"""),107)</f>
        <v>107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IFERROR(__xludf.DUMMYFUNCTION("""COMPUTED_VALUE"""),126)</f>
        <v>126</v>
      </c>
      <c r="C181" t="str">
        <f ca="1">IFERROR(__xludf.DUMMYFUNCTION("""COMPUTED_VALUE"""),"Kevin Chappell")</f>
        <v>Kevin Chappell</v>
      </c>
      <c r="D181">
        <f ca="1">IFERROR(__xludf.DUMMYFUNCTION("""COMPUTED_VALUE"""),16)</f>
        <v>16</v>
      </c>
      <c r="E181">
        <f ca="1">IFERROR(__xludf.DUMMYFUNCTION("""COMPUTED_VALUE"""),96.39)</f>
        <v>96.39</v>
      </c>
      <c r="F181">
        <f ca="1">IFERROR(__xludf.DUMMYFUNCTION("""COMPUTED_VALUE"""),194)</f>
        <v>194</v>
      </c>
      <c r="G181">
        <f ca="1">IFERROR(__xludf.DUMMYFUNCTION("""COMPUTED_VALUE"""),187)</f>
        <v>187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IFERROR(__xludf.DUMMYFUNCTION("""COMPUTED_VALUE"""),170)</f>
        <v>170</v>
      </c>
      <c r="C182" t="str">
        <f ca="1">IFERROR(__xludf.DUMMYFUNCTION("""COMPUTED_VALUE"""),"Matt Kuchar")</f>
        <v>Matt Kuchar</v>
      </c>
      <c r="D182">
        <f ca="1">IFERROR(__xludf.DUMMYFUNCTION("""COMPUTED_VALUE"""),14)</f>
        <v>14</v>
      </c>
      <c r="E182">
        <f ca="1">IFERROR(__xludf.DUMMYFUNCTION("""COMPUTED_VALUE"""),96.37)</f>
        <v>96.37</v>
      </c>
      <c r="F182">
        <f ca="1">IFERROR(__xludf.DUMMYFUNCTION("""COMPUTED_VALUE"""),193)</f>
        <v>193</v>
      </c>
      <c r="G182">
        <f ca="1">IFERROR(__xludf.DUMMYFUNCTION("""COMPUTED_VALUE"""),186)</f>
        <v>186</v>
      </c>
    </row>
    <row r="183" spans="1:7" ht="12.75">
      <c r="A183">
        <f ca="1">IFERROR(__xludf.DUMMYFUNCTION("""COMPUTED_VALUE"""),182)</f>
        <v>182</v>
      </c>
      <c r="B183" t="str">
        <f ca="1">IFERROR(__xludf.DUMMYFUNCTION("""COMPUTED_VALUE"""),"T171")</f>
        <v>T171</v>
      </c>
      <c r="C183" t="str">
        <f ca="1">IFERROR(__xludf.DUMMYFUNCTION("""COMPUTED_VALUE"""),"Ben Taylor")</f>
        <v>Ben Taylor</v>
      </c>
      <c r="D183">
        <f ca="1">IFERROR(__xludf.DUMMYFUNCTION("""COMPUTED_VALUE"""),10)</f>
        <v>10</v>
      </c>
      <c r="E183">
        <f ca="1">IFERROR(__xludf.DUMMYFUNCTION("""COMPUTED_VALUE"""),96.36)</f>
        <v>96.36</v>
      </c>
      <c r="F183">
        <f ca="1">IFERROR(__xludf.DUMMYFUNCTION("""COMPUTED_VALUE"""),55)</f>
        <v>55</v>
      </c>
      <c r="G183">
        <f ca="1">IFERROR(__xludf.DUMMYFUNCTION("""COMPUTED_VALUE"""),53)</f>
        <v>53</v>
      </c>
    </row>
    <row r="184" spans="1:7" ht="12.75">
      <c r="A184">
        <f ca="1">IFERROR(__xludf.DUMMYFUNCTION("""COMPUTED_VALUE"""),183)</f>
        <v>183</v>
      </c>
      <c r="B184" t="str">
        <f ca="1">IFERROR(__xludf.DUMMYFUNCTION("""COMPUTED_VALUE"""),"T175")</f>
        <v>T175</v>
      </c>
      <c r="C184" t="str">
        <f ca="1">IFERROR(__xludf.DUMMYFUNCTION("""COMPUTED_VALUE"""),"C.T. Pan")</f>
        <v>C.T. Pan</v>
      </c>
      <c r="D184">
        <f ca="1">IFERROR(__xludf.DUMMYFUNCTION("""COMPUTED_VALUE"""),20)</f>
        <v>20</v>
      </c>
      <c r="E184">
        <f ca="1">IFERROR(__xludf.DUMMYFUNCTION("""COMPUTED_VALUE"""),96.35)</f>
        <v>96.35</v>
      </c>
      <c r="F184">
        <f ca="1">IFERROR(__xludf.DUMMYFUNCTION("""COMPUTED_VALUE"""),219)</f>
        <v>219</v>
      </c>
      <c r="G184">
        <f ca="1">IFERROR(__xludf.DUMMYFUNCTION("""COMPUTED_VALUE"""),211)</f>
        <v>211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IFERROR(__xludf.DUMMYFUNCTION("""COMPUTED_VALUE"""),173)</f>
        <v>173</v>
      </c>
      <c r="C185" t="str">
        <f ca="1">IFERROR(__xludf.DUMMYFUNCTION("""COMPUTED_VALUE"""),"Wesley Bryan")</f>
        <v>Wesley Bryan</v>
      </c>
      <c r="D185">
        <f ca="1">IFERROR(__xludf.DUMMYFUNCTION("""COMPUTED_VALUE"""),8)</f>
        <v>8</v>
      </c>
      <c r="E185">
        <f ca="1">IFERROR(__xludf.DUMMYFUNCTION("""COMPUTED_VALUE"""),96.34)</f>
        <v>96.34</v>
      </c>
      <c r="F185">
        <f ca="1">IFERROR(__xludf.DUMMYFUNCTION("""COMPUTED_VALUE"""),82)</f>
        <v>82</v>
      </c>
      <c r="G185">
        <f ca="1">IFERROR(__xludf.DUMMYFUNCTION("""COMPUTED_VALUE"""),79)</f>
        <v>79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IFERROR(__xludf.DUMMYFUNCTION("""COMPUTED_VALUE"""),"T175")</f>
        <v>T175</v>
      </c>
      <c r="C186" t="str">
        <f ca="1">IFERROR(__xludf.DUMMYFUNCTION("""COMPUTED_VALUE"""),"Gary Woodland")</f>
        <v>Gary Woodland</v>
      </c>
      <c r="D186">
        <f ca="1">IFERROR(__xludf.DUMMYFUNCTION("""COMPUTED_VALUE"""),6)</f>
        <v>6</v>
      </c>
      <c r="E186">
        <f ca="1">IFERROR(__xludf.DUMMYFUNCTION("""COMPUTED_VALUE"""),96.3)</f>
        <v>96.3</v>
      </c>
      <c r="F186">
        <f ca="1">IFERROR(__xludf.DUMMYFUNCTION("""COMPUTED_VALUE"""),81)</f>
        <v>81</v>
      </c>
      <c r="G186">
        <f ca="1">IFERROR(__xludf.DUMMYFUNCTION("""COMPUTED_VALUE"""),78)</f>
        <v>78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IFERROR(__xludf.DUMMYFUNCTION("""COMPUTED_VALUE"""),"T177")</f>
        <v>T177</v>
      </c>
      <c r="C187" t="str">
        <f ca="1">IFERROR(__xludf.DUMMYFUNCTION("""COMPUTED_VALUE"""),"Si Woo Kim")</f>
        <v>Si Woo Kim</v>
      </c>
      <c r="D187">
        <f ca="1">IFERROR(__xludf.DUMMYFUNCTION("""COMPUTED_VALUE"""),20)</f>
        <v>20</v>
      </c>
      <c r="E187">
        <f ca="1">IFERROR(__xludf.DUMMYFUNCTION("""COMPUTED_VALUE"""),96.18)</f>
        <v>96.18</v>
      </c>
      <c r="F187">
        <f ca="1">IFERROR(__xludf.DUMMYFUNCTION("""COMPUTED_VALUE"""),288)</f>
        <v>288</v>
      </c>
      <c r="G187">
        <f ca="1">IFERROR(__xludf.DUMMYFUNCTION("""COMPUTED_VALUE"""),277)</f>
        <v>277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IFERROR(__xludf.DUMMYFUNCTION("""COMPUTED_VALUE"""),184)</f>
        <v>184</v>
      </c>
      <c r="C188" t="str">
        <f ca="1">IFERROR(__xludf.DUMMYFUNCTION("""COMPUTED_VALUE"""),"Sergio Garcia")</f>
        <v>Sergio Garcia</v>
      </c>
      <c r="D188">
        <f ca="1">IFERROR(__xludf.DUMMYFUNCTION("""COMPUTED_VALUE"""),18)</f>
        <v>18</v>
      </c>
      <c r="E188">
        <f ca="1">IFERROR(__xludf.DUMMYFUNCTION("""COMPUTED_VALUE"""),96.17)</f>
        <v>96.17</v>
      </c>
      <c r="F188">
        <f ca="1">IFERROR(__xludf.DUMMYFUNCTION("""COMPUTED_VALUE"""),261)</f>
        <v>261</v>
      </c>
      <c r="G188">
        <f ca="1">IFERROR(__xludf.DUMMYFUNCTION("""COMPUTED_VALUE"""),251)</f>
        <v>251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IFERROR(__xludf.DUMMYFUNCTION("""COMPUTED_VALUE"""),"T177")</f>
        <v>T177</v>
      </c>
      <c r="C189" t="str">
        <f ca="1">IFERROR(__xludf.DUMMYFUNCTION("""COMPUTED_VALUE"""),"Johnson Wagner")</f>
        <v>Johnson Wagner</v>
      </c>
      <c r="D189">
        <f ca="1">IFERROR(__xludf.DUMMYFUNCTION("""COMPUTED_VALUE"""),8)</f>
        <v>8</v>
      </c>
      <c r="E189">
        <f ca="1">IFERROR(__xludf.DUMMYFUNCTION("""COMPUTED_VALUE"""),96.15)</f>
        <v>96.15</v>
      </c>
      <c r="F189">
        <f ca="1">IFERROR(__xludf.DUMMYFUNCTION("""COMPUTED_VALUE"""),26)</f>
        <v>26</v>
      </c>
      <c r="G189">
        <f ca="1">IFERROR(__xludf.DUMMYFUNCTION("""COMPUTED_VALUE"""),25)</f>
        <v>25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IFERROR(__xludf.DUMMYFUNCTION("""COMPUTED_VALUE"""),"T177")</f>
        <v>T177</v>
      </c>
      <c r="C190" t="str">
        <f ca="1">IFERROR(__xludf.DUMMYFUNCTION("""COMPUTED_VALUE"""),"Taylor Pendrith")</f>
        <v>Taylor Pendrith</v>
      </c>
      <c r="D190">
        <f ca="1">IFERROR(__xludf.DUMMYFUNCTION("""COMPUTED_VALUE"""),4)</f>
        <v>4</v>
      </c>
      <c r="E190">
        <f ca="1">IFERROR(__xludf.DUMMYFUNCTION("""COMPUTED_VALUE"""),96.15)</f>
        <v>96.15</v>
      </c>
      <c r="F190">
        <f ca="1">IFERROR(__xludf.DUMMYFUNCTION("""COMPUTED_VALUE"""),52)</f>
        <v>52</v>
      </c>
      <c r="G190">
        <f ca="1">IFERROR(__xludf.DUMMYFUNCTION("""COMPUTED_VALUE"""),50)</f>
        <v>50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IFERROR(__xludf.DUMMYFUNCTION("""COMPUTED_VALUE"""),155)</f>
        <v>155</v>
      </c>
      <c r="C191" t="str">
        <f ca="1">IFERROR(__xludf.DUMMYFUNCTION("""COMPUTED_VALUE"""),"Troy Merritt")</f>
        <v>Troy Merritt</v>
      </c>
      <c r="D191">
        <f ca="1">IFERROR(__xludf.DUMMYFUNCTION("""COMPUTED_VALUE"""),20)</f>
        <v>20</v>
      </c>
      <c r="E191">
        <f ca="1">IFERROR(__xludf.DUMMYFUNCTION("""COMPUTED_VALUE"""),96.12)</f>
        <v>96.12</v>
      </c>
      <c r="F191">
        <f ca="1">IFERROR(__xludf.DUMMYFUNCTION("""COMPUTED_VALUE"""),232)</f>
        <v>232</v>
      </c>
      <c r="G191">
        <f ca="1">IFERROR(__xludf.DUMMYFUNCTION("""COMPUTED_VALUE"""),223)</f>
        <v>223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IFERROR(__xludf.DUMMYFUNCTION("""COMPUTED_VALUE"""),186)</f>
        <v>186</v>
      </c>
      <c r="C192" t="str">
        <f ca="1">IFERROR(__xludf.DUMMYFUNCTION("""COMPUTED_VALUE"""),"Tyler Duncan")</f>
        <v>Tyler Duncan</v>
      </c>
      <c r="D192">
        <f ca="1">IFERROR(__xludf.DUMMYFUNCTION("""COMPUTED_VALUE"""),18)</f>
        <v>18</v>
      </c>
      <c r="E192">
        <f ca="1">IFERROR(__xludf.DUMMYFUNCTION("""COMPUTED_VALUE"""),96.09)</f>
        <v>96.09</v>
      </c>
      <c r="F192">
        <f ca="1">IFERROR(__xludf.DUMMYFUNCTION("""COMPUTED_VALUE"""),256)</f>
        <v>256</v>
      </c>
      <c r="G192">
        <f ca="1">IFERROR(__xludf.DUMMYFUNCTION("""COMPUTED_VALUE"""),246)</f>
        <v>246</v>
      </c>
    </row>
    <row r="193" spans="1:7" ht="12.75">
      <c r="A193" t="str">
        <f ca="1">IFERROR(__xludf.DUMMYFUNCTION("""COMPUTED_VALUE"""),"T192")</f>
        <v>T192</v>
      </c>
      <c r="B193" t="str">
        <f ca="1">IFERROR(__xludf.DUMMYFUNCTION("""COMPUTED_VALUE"""),"T181")</f>
        <v>T181</v>
      </c>
      <c r="C193" t="str">
        <f ca="1">IFERROR(__xludf.DUMMYFUNCTION("""COMPUTED_VALUE"""),"Matt Wallace")</f>
        <v>Matt Wallace</v>
      </c>
      <c r="D193">
        <f ca="1">IFERROR(__xludf.DUMMYFUNCTION("""COMPUTED_VALUE"""),4)</f>
        <v>4</v>
      </c>
      <c r="E193">
        <f ca="1">IFERROR(__xludf.DUMMYFUNCTION("""COMPUTED_VALUE"""),96.08)</f>
        <v>96.08</v>
      </c>
      <c r="F193">
        <f ca="1">IFERROR(__xludf.DUMMYFUNCTION("""COMPUTED_VALUE"""),51)</f>
        <v>51</v>
      </c>
      <c r="G193">
        <f ca="1">IFERROR(__xludf.DUMMYFUNCTION("""COMPUTED_VALUE"""),49)</f>
        <v>49</v>
      </c>
    </row>
    <row r="194" spans="1:7" ht="12.75">
      <c r="A194" t="str">
        <f ca="1">IFERROR(__xludf.DUMMYFUNCTION("""COMPUTED_VALUE"""),"T192")</f>
        <v>T192</v>
      </c>
      <c r="B194" t="str">
        <f ca="1">IFERROR(__xludf.DUMMYFUNCTION("""COMPUTED_VALUE"""),"T181")</f>
        <v>T181</v>
      </c>
      <c r="C194" t="str">
        <f ca="1">IFERROR(__xludf.DUMMYFUNCTION("""COMPUTED_VALUE"""),"Lucas Herbert")</f>
        <v>Lucas Herbert</v>
      </c>
      <c r="D194">
        <f ca="1">IFERROR(__xludf.DUMMYFUNCTION("""COMPUTED_VALUE"""),4)</f>
        <v>4</v>
      </c>
      <c r="E194">
        <f ca="1">IFERROR(__xludf.DUMMYFUNCTION("""COMPUTED_VALUE"""),96.08)</f>
        <v>96.08</v>
      </c>
      <c r="F194">
        <f ca="1">IFERROR(__xludf.DUMMYFUNCTION("""COMPUTED_VALUE"""),51)</f>
        <v>51</v>
      </c>
      <c r="G194">
        <f ca="1">IFERROR(__xludf.DUMMYFUNCTION("""COMPUTED_VALUE"""),49)</f>
        <v>49</v>
      </c>
    </row>
    <row r="195" spans="1:7" ht="12.75">
      <c r="A195" t="str">
        <f ca="1">IFERROR(__xludf.DUMMYFUNCTION("""COMPUTED_VALUE"""),"T192")</f>
        <v>T192</v>
      </c>
      <c r="B195">
        <f ca="1">IFERROR(__xludf.DUMMYFUNCTION("""COMPUTED_VALUE"""),220)</f>
        <v>220</v>
      </c>
      <c r="C195" t="str">
        <f ca="1">IFERROR(__xludf.DUMMYFUNCTION("""COMPUTED_VALUE"""),"Adam Long")</f>
        <v>Adam Long</v>
      </c>
      <c r="D195">
        <f ca="1">IFERROR(__xludf.DUMMYFUNCTION("""COMPUTED_VALUE"""),22)</f>
        <v>22</v>
      </c>
      <c r="E195">
        <f ca="1">IFERROR(__xludf.DUMMYFUNCTION("""COMPUTED_VALUE"""),96.08)</f>
        <v>96.08</v>
      </c>
      <c r="F195">
        <f ca="1">IFERROR(__xludf.DUMMYFUNCTION("""COMPUTED_VALUE"""),255)</f>
        <v>255</v>
      </c>
      <c r="G195">
        <f ca="1">IFERROR(__xludf.DUMMYFUNCTION("""COMPUTED_VALUE"""),245)</f>
        <v>245</v>
      </c>
    </row>
    <row r="196" spans="1:7" ht="12.75">
      <c r="A196" t="str">
        <f ca="1">IFERROR(__xludf.DUMMYFUNCTION("""COMPUTED_VALUE"""),"T192")</f>
        <v>T192</v>
      </c>
      <c r="B196" t="str">
        <f ca="1">IFERROR(__xludf.DUMMYFUNCTION("""COMPUTED_VALUE"""),"T181")</f>
        <v>T181</v>
      </c>
      <c r="C196" t="str">
        <f ca="1">IFERROR(__xludf.DUMMYFUNCTION("""COMPUTED_VALUE"""),"Byeong Hun An")</f>
        <v>Byeong Hun An</v>
      </c>
      <c r="D196">
        <f ca="1">IFERROR(__xludf.DUMMYFUNCTION("""COMPUTED_VALUE"""),14)</f>
        <v>14</v>
      </c>
      <c r="E196">
        <f ca="1">IFERROR(__xludf.DUMMYFUNCTION("""COMPUTED_VALUE"""),96.08)</f>
        <v>96.08</v>
      </c>
      <c r="F196">
        <f ca="1">IFERROR(__xludf.DUMMYFUNCTION("""COMPUTED_VALUE"""),204)</f>
        <v>204</v>
      </c>
      <c r="G196">
        <f ca="1">IFERROR(__xludf.DUMMYFUNCTION("""COMPUTED_VALUE"""),196)</f>
        <v>196</v>
      </c>
    </row>
    <row r="197" spans="1:7" ht="12.75">
      <c r="A197" t="str">
        <f ca="1">IFERROR(__xludf.DUMMYFUNCTION("""COMPUTED_VALUE"""),"T196")</f>
        <v>T196</v>
      </c>
      <c r="B197">
        <f ca="1">IFERROR(__xludf.DUMMYFUNCTION("""COMPUTED_VALUE"""),216)</f>
        <v>216</v>
      </c>
      <c r="C197" t="str">
        <f ca="1">IFERROR(__xludf.DUMMYFUNCTION("""COMPUTED_VALUE"""),"Hideki Matsuyama")</f>
        <v>Hideki Matsuyama</v>
      </c>
      <c r="D197">
        <f ca="1">IFERROR(__xludf.DUMMYFUNCTION("""COMPUTED_VALUE"""),18)</f>
        <v>18</v>
      </c>
      <c r="E197">
        <f ca="1">IFERROR(__xludf.DUMMYFUNCTION("""COMPUTED_VALUE"""),96.06)</f>
        <v>96.06</v>
      </c>
      <c r="F197">
        <f ca="1">IFERROR(__xludf.DUMMYFUNCTION("""COMPUTED_VALUE"""),254)</f>
        <v>254</v>
      </c>
      <c r="G197">
        <f ca="1">IFERROR(__xludf.DUMMYFUNCTION("""COMPUTED_VALUE"""),244)</f>
        <v>244</v>
      </c>
    </row>
    <row r="198" spans="1:7" ht="12.75">
      <c r="A198" t="str">
        <f ca="1">IFERROR(__xludf.DUMMYFUNCTION("""COMPUTED_VALUE"""),"T196")</f>
        <v>T196</v>
      </c>
      <c r="B198">
        <f ca="1">IFERROR(__xludf.DUMMYFUNCTION("""COMPUTED_VALUE"""),185)</f>
        <v>185</v>
      </c>
      <c r="C198" t="str">
        <f ca="1">IFERROR(__xludf.DUMMYFUNCTION("""COMPUTED_VALUE"""),"Chez Reavie")</f>
        <v>Chez Reavie</v>
      </c>
      <c r="D198">
        <f ca="1">IFERROR(__xludf.DUMMYFUNCTION("""COMPUTED_VALUE"""),14)</f>
        <v>14</v>
      </c>
      <c r="E198">
        <f ca="1">IFERROR(__xludf.DUMMYFUNCTION("""COMPUTED_VALUE"""),96.06)</f>
        <v>96.06</v>
      </c>
      <c r="F198">
        <f ca="1">IFERROR(__xludf.DUMMYFUNCTION("""COMPUTED_VALUE"""),203)</f>
        <v>203</v>
      </c>
      <c r="G198">
        <f ca="1">IFERROR(__xludf.DUMMYFUNCTION("""COMPUTED_VALUE"""),195)</f>
        <v>195</v>
      </c>
    </row>
    <row r="199" spans="1:7" ht="12.75">
      <c r="A199">
        <f ca="1">IFERROR(__xludf.DUMMYFUNCTION("""COMPUTED_VALUE"""),198)</f>
        <v>198</v>
      </c>
      <c r="B199" t="str">
        <f ca="1">IFERROR(__xludf.DUMMYFUNCTION("""COMPUTED_VALUE"""),"T151")</f>
        <v>T151</v>
      </c>
      <c r="C199" t="str">
        <f ca="1">IFERROR(__xludf.DUMMYFUNCTION("""COMPUTED_VALUE"""),"Bo Hoag")</f>
        <v>Bo Hoag</v>
      </c>
      <c r="D199">
        <f ca="1">IFERROR(__xludf.DUMMYFUNCTION("""COMPUTED_VALUE"""),14)</f>
        <v>14</v>
      </c>
      <c r="E199">
        <f ca="1">IFERROR(__xludf.DUMMYFUNCTION("""COMPUTED_VALUE"""),96.03)</f>
        <v>96.03</v>
      </c>
      <c r="F199">
        <f ca="1">IFERROR(__xludf.DUMMYFUNCTION("""COMPUTED_VALUE"""),151)</f>
        <v>151</v>
      </c>
      <c r="G199">
        <f ca="1">IFERROR(__xludf.DUMMYFUNCTION("""COMPUTED_VALUE"""),145)</f>
        <v>145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IFERROR(__xludf.DUMMYFUNCTION("""COMPUTED_VALUE"""),150)</f>
        <v>150</v>
      </c>
      <c r="C200" t="str">
        <f ca="1">IFERROR(__xludf.DUMMYFUNCTION("""COMPUTED_VALUE"""),"Henrik Norlander")</f>
        <v>Henrik Norlander</v>
      </c>
      <c r="D200">
        <f ca="1">IFERROR(__xludf.DUMMYFUNCTION("""COMPUTED_VALUE"""),16)</f>
        <v>16</v>
      </c>
      <c r="E200">
        <f ca="1">IFERROR(__xludf.DUMMYFUNCTION("""COMPUTED_VALUE"""),96)</f>
        <v>96</v>
      </c>
      <c r="F200">
        <f ca="1">IFERROR(__xludf.DUMMYFUNCTION("""COMPUTED_VALUE"""),175)</f>
        <v>175</v>
      </c>
      <c r="G200">
        <f ca="1">IFERROR(__xludf.DUMMYFUNCTION("""COMPUTED_VALUE"""),168)</f>
        <v>168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IFERROR(__xludf.DUMMYFUNCTION("""COMPUTED_VALUE"""),212)</f>
        <v>212</v>
      </c>
      <c r="C201" t="str">
        <f ca="1">IFERROR(__xludf.DUMMYFUNCTION("""COMPUTED_VALUE"""),"Lucas Glover")</f>
        <v>Lucas Glover</v>
      </c>
      <c r="D201">
        <f ca="1">IFERROR(__xludf.DUMMYFUNCTION("""COMPUTED_VALUE"""),12)</f>
        <v>12</v>
      </c>
      <c r="E201">
        <f ca="1">IFERROR(__xludf.DUMMYFUNCTION("""COMPUTED_VALUE"""),95.98)</f>
        <v>95.98</v>
      </c>
      <c r="F201">
        <f ca="1">IFERROR(__xludf.DUMMYFUNCTION("""COMPUTED_VALUE"""),174)</f>
        <v>174</v>
      </c>
      <c r="G201">
        <f ca="1">IFERROR(__xludf.DUMMYFUNCTION("""COMPUTED_VALUE"""),167)</f>
        <v>167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IFERROR(__xludf.DUMMYFUNCTION("""COMPUTED_VALUE"""),187)</f>
        <v>187</v>
      </c>
      <c r="C202" t="str">
        <f ca="1">IFERROR(__xludf.DUMMYFUNCTION("""COMPUTED_VALUE"""),"Brendon Todd")</f>
        <v>Brendon Todd</v>
      </c>
      <c r="D202">
        <f ca="1">IFERROR(__xludf.DUMMYFUNCTION("""COMPUTED_VALUE"""),14)</f>
        <v>14</v>
      </c>
      <c r="E202">
        <f ca="1">IFERROR(__xludf.DUMMYFUNCTION("""COMPUTED_VALUE"""),95.97)</f>
        <v>95.97</v>
      </c>
      <c r="F202">
        <f ca="1">IFERROR(__xludf.DUMMYFUNCTION("""COMPUTED_VALUE"""),149)</f>
        <v>149</v>
      </c>
      <c r="G202">
        <f ca="1">IFERROR(__xludf.DUMMYFUNCTION("""COMPUTED_VALUE"""),143)</f>
        <v>143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IFERROR(__xludf.DUMMYFUNCTION("""COMPUTED_VALUE"""),188)</f>
        <v>188</v>
      </c>
      <c r="C203" t="str">
        <f ca="1">IFERROR(__xludf.DUMMYFUNCTION("""COMPUTED_VALUE"""),"Rickie Fowler")</f>
        <v>Rickie Fowler</v>
      </c>
      <c r="D203">
        <f ca="1">IFERROR(__xludf.DUMMYFUNCTION("""COMPUTED_VALUE"""),14)</f>
        <v>14</v>
      </c>
      <c r="E203">
        <f ca="1">IFERROR(__xludf.DUMMYFUNCTION("""COMPUTED_VALUE"""),95.96)</f>
        <v>95.96</v>
      </c>
      <c r="F203">
        <f ca="1">IFERROR(__xludf.DUMMYFUNCTION("""COMPUTED_VALUE"""),198)</f>
        <v>198</v>
      </c>
      <c r="G203">
        <f ca="1">IFERROR(__xludf.DUMMYFUNCTION("""COMPUTED_VALUE"""),190)</f>
        <v>190</v>
      </c>
    </row>
    <row r="204" spans="1:7" ht="12.75">
      <c r="A204">
        <f ca="1">IFERROR(__xludf.DUMMYFUNCTION("""COMPUTED_VALUE"""),203)</f>
        <v>203</v>
      </c>
      <c r="B204" t="str">
        <f ca="1">IFERROR(__xludf.DUMMYFUNCTION("""COMPUTED_VALUE"""),"T230")</f>
        <v>T230</v>
      </c>
      <c r="C204" t="str">
        <f ca="1">IFERROR(__xludf.DUMMYFUNCTION("""COMPUTED_VALUE"""),"Fabián Gómez")</f>
        <v>Fabián Gómez</v>
      </c>
      <c r="D204">
        <f ca="1">IFERROR(__xludf.DUMMYFUNCTION("""COMPUTED_VALUE"""),16)</f>
        <v>16</v>
      </c>
      <c r="E204">
        <f ca="1">IFERROR(__xludf.DUMMYFUNCTION("""COMPUTED_VALUE"""),95.89)</f>
        <v>95.89</v>
      </c>
      <c r="F204">
        <f ca="1">IFERROR(__xludf.DUMMYFUNCTION("""COMPUTED_VALUE"""),146)</f>
        <v>146</v>
      </c>
      <c r="G204">
        <f ca="1">IFERROR(__xludf.DUMMYFUNCTION("""COMPUTED_VALUE"""),140)</f>
        <v>140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IFERROR(__xludf.DUMMYFUNCTION("""COMPUTED_VALUE"""),189)</f>
        <v>189</v>
      </c>
      <c r="C205" t="str">
        <f ca="1">IFERROR(__xludf.DUMMYFUNCTION("""COMPUTED_VALUE"""),"Paul Casey")</f>
        <v>Paul Casey</v>
      </c>
      <c r="D205">
        <f ca="1">IFERROR(__xludf.DUMMYFUNCTION("""COMPUTED_VALUE"""),14)</f>
        <v>14</v>
      </c>
      <c r="E205">
        <f ca="1">IFERROR(__xludf.DUMMYFUNCTION("""COMPUTED_VALUE"""),95.88)</f>
        <v>95.88</v>
      </c>
      <c r="F205">
        <f ca="1">IFERROR(__xludf.DUMMYFUNCTION("""COMPUTED_VALUE"""),194)</f>
        <v>194</v>
      </c>
      <c r="G205">
        <f ca="1">IFERROR(__xludf.DUMMYFUNCTION("""COMPUTED_VALUE"""),186)</f>
        <v>186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IFERROR(__xludf.DUMMYFUNCTION("""COMPUTED_VALUE"""),190)</f>
        <v>190</v>
      </c>
      <c r="C206" t="str">
        <f ca="1">IFERROR(__xludf.DUMMYFUNCTION("""COMPUTED_VALUE"""),"Kevin Kisner")</f>
        <v>Kevin Kisner</v>
      </c>
      <c r="D206">
        <f ca="1">IFERROR(__xludf.DUMMYFUNCTION("""COMPUTED_VALUE"""),10)</f>
        <v>10</v>
      </c>
      <c r="E206">
        <f ca="1">IFERROR(__xludf.DUMMYFUNCTION("""COMPUTED_VALUE"""),95.83)</f>
        <v>95.83</v>
      </c>
      <c r="F206">
        <f ca="1">IFERROR(__xludf.DUMMYFUNCTION("""COMPUTED_VALUE"""),144)</f>
        <v>144</v>
      </c>
      <c r="G206">
        <f ca="1">IFERROR(__xludf.DUMMYFUNCTION("""COMPUTED_VALUE"""),138)</f>
        <v>138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IFERROR(__xludf.DUMMYFUNCTION("""COMPUTED_VALUE"""),193)</f>
        <v>193</v>
      </c>
      <c r="C207" t="str">
        <f ca="1">IFERROR(__xludf.DUMMYFUNCTION("""COMPUTED_VALUE"""),"Alex Noren")</f>
        <v>Alex Noren</v>
      </c>
      <c r="D207">
        <f ca="1">IFERROR(__xludf.DUMMYFUNCTION("""COMPUTED_VALUE"""),14)</f>
        <v>14</v>
      </c>
      <c r="E207">
        <f ca="1">IFERROR(__xludf.DUMMYFUNCTION("""COMPUTED_VALUE"""),95.81)</f>
        <v>95.81</v>
      </c>
      <c r="F207">
        <f ca="1">IFERROR(__xludf.DUMMYFUNCTION("""COMPUTED_VALUE"""),191)</f>
        <v>191</v>
      </c>
      <c r="G207">
        <f ca="1">IFERROR(__xludf.DUMMYFUNCTION("""COMPUTED_VALUE"""),183)</f>
        <v>183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IFERROR(__xludf.DUMMYFUNCTION("""COMPUTED_VALUE"""),201)</f>
        <v>201</v>
      </c>
      <c r="C208" t="str">
        <f ca="1">IFERROR(__xludf.DUMMYFUNCTION("""COMPUTED_VALUE"""),"Corey Conners")</f>
        <v>Corey Conners</v>
      </c>
      <c r="D208">
        <f ca="1">IFERROR(__xludf.DUMMYFUNCTION("""COMPUTED_VALUE"""),20)</f>
        <v>20</v>
      </c>
      <c r="E208">
        <f ca="1">IFERROR(__xludf.DUMMYFUNCTION("""COMPUTED_VALUE"""),95.72)</f>
        <v>95.72</v>
      </c>
      <c r="F208">
        <f ca="1">IFERROR(__xludf.DUMMYFUNCTION("""COMPUTED_VALUE"""),257)</f>
        <v>257</v>
      </c>
      <c r="G208">
        <f ca="1">IFERROR(__xludf.DUMMYFUNCTION("""COMPUTED_VALUE"""),246)</f>
        <v>246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IFERROR(__xludf.DUMMYFUNCTION("""COMPUTED_VALUE"""),"T198")</f>
        <v>T198</v>
      </c>
      <c r="C209" t="str">
        <f ca="1">IFERROR(__xludf.DUMMYFUNCTION("""COMPUTED_VALUE"""),"Kelly Kraft")</f>
        <v>Kelly Kraft</v>
      </c>
      <c r="D209">
        <f ca="1">IFERROR(__xludf.DUMMYFUNCTION("""COMPUTED_VALUE"""),14)</f>
        <v>14</v>
      </c>
      <c r="E209">
        <f ca="1">IFERROR(__xludf.DUMMYFUNCTION("""COMPUTED_VALUE"""),95.69)</f>
        <v>95.69</v>
      </c>
      <c r="F209">
        <f ca="1">IFERROR(__xludf.DUMMYFUNCTION("""COMPUTED_VALUE"""),116)</f>
        <v>116</v>
      </c>
      <c r="G209">
        <f ca="1">IFERROR(__xludf.DUMMYFUNCTION("""COMPUTED_VALUE"""),111)</f>
        <v>111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IFERROR(__xludf.DUMMYFUNCTION("""COMPUTED_VALUE"""),195)</f>
        <v>195</v>
      </c>
      <c r="C210" t="str">
        <f ca="1">IFERROR(__xludf.DUMMYFUNCTION("""COMPUTED_VALUE"""),"D.J. Trahan")</f>
        <v>D.J. Trahan</v>
      </c>
      <c r="D210">
        <f ca="1">IFERROR(__xludf.DUMMYFUNCTION("""COMPUTED_VALUE"""),16)</f>
        <v>16</v>
      </c>
      <c r="E210">
        <f ca="1">IFERROR(__xludf.DUMMYFUNCTION("""COMPUTED_VALUE"""),95.61)</f>
        <v>95.61</v>
      </c>
      <c r="F210">
        <f ca="1">IFERROR(__xludf.DUMMYFUNCTION("""COMPUTED_VALUE"""),114)</f>
        <v>114</v>
      </c>
      <c r="G210">
        <f ca="1">IFERROR(__xludf.DUMMYFUNCTION("""COMPUTED_VALUE"""),109)</f>
        <v>109</v>
      </c>
    </row>
    <row r="211" spans="1:7" ht="12.75">
      <c r="A211">
        <f ca="1">IFERROR(__xludf.DUMMYFUNCTION("""COMPUTED_VALUE"""),210)</f>
        <v>210</v>
      </c>
      <c r="B211">
        <f ca="1">IFERROR(__xludf.DUMMYFUNCTION("""COMPUTED_VALUE"""),196)</f>
        <v>196</v>
      </c>
      <c r="C211" t="str">
        <f ca="1">IFERROR(__xludf.DUMMYFUNCTION("""COMPUTED_VALUE"""),"Webb Simpson")</f>
        <v>Webb Simpson</v>
      </c>
      <c r="D211">
        <f ca="1">IFERROR(__xludf.DUMMYFUNCTION("""COMPUTED_VALUE"""),12)</f>
        <v>12</v>
      </c>
      <c r="E211">
        <f ca="1">IFERROR(__xludf.DUMMYFUNCTION("""COMPUTED_VALUE"""),95.6)</f>
        <v>95.6</v>
      </c>
      <c r="F211">
        <f ca="1">IFERROR(__xludf.DUMMYFUNCTION("""COMPUTED_VALUE"""),159)</f>
        <v>159</v>
      </c>
      <c r="G211">
        <f ca="1">IFERROR(__xludf.DUMMYFUNCTION("""COMPUTED_VALUE"""),152)</f>
        <v>152</v>
      </c>
    </row>
    <row r="212" spans="1:7" ht="12.75">
      <c r="A212" t="str">
        <f ca="1">IFERROR(__xludf.DUMMYFUNCTION("""COMPUTED_VALUE"""),"T211")</f>
        <v>T211</v>
      </c>
      <c r="B212">
        <f ca="1">IFERROR(__xludf.DUMMYFUNCTION("""COMPUTED_VALUE"""),262)</f>
        <v>262</v>
      </c>
      <c r="C212" t="str">
        <f ca="1">IFERROR(__xludf.DUMMYFUNCTION("""COMPUTED_VALUE"""),"Chris Kirk")</f>
        <v>Chris Kirk</v>
      </c>
      <c r="D212">
        <f ca="1">IFERROR(__xludf.DUMMYFUNCTION("""COMPUTED_VALUE"""),10)</f>
        <v>10</v>
      </c>
      <c r="E212">
        <f ca="1">IFERROR(__xludf.DUMMYFUNCTION("""COMPUTED_VALUE"""),95.58)</f>
        <v>95.58</v>
      </c>
      <c r="F212">
        <f ca="1">IFERROR(__xludf.DUMMYFUNCTION("""COMPUTED_VALUE"""),113)</f>
        <v>113</v>
      </c>
      <c r="G212">
        <f ca="1">IFERROR(__xludf.DUMMYFUNCTION("""COMPUTED_VALUE"""),108)</f>
        <v>108</v>
      </c>
    </row>
    <row r="213" spans="1:7" ht="12.75">
      <c r="A213" t="str">
        <f ca="1">IFERROR(__xludf.DUMMYFUNCTION("""COMPUTED_VALUE"""),"T211")</f>
        <v>T211</v>
      </c>
      <c r="B213" t="str">
        <f ca="1">IFERROR(__xludf.DUMMYFUNCTION("""COMPUTED_VALUE"""),"T222")</f>
        <v>T222</v>
      </c>
      <c r="C213" t="str">
        <f ca="1">IFERROR(__xludf.DUMMYFUNCTION("""COMPUTED_VALUE"""),"John Huh")</f>
        <v>John Huh</v>
      </c>
      <c r="D213">
        <f ca="1">IFERROR(__xludf.DUMMYFUNCTION("""COMPUTED_VALUE"""),8)</f>
        <v>8</v>
      </c>
      <c r="E213">
        <f ca="1">IFERROR(__xludf.DUMMYFUNCTION("""COMPUTED_VALUE"""),95.58)</f>
        <v>95.58</v>
      </c>
      <c r="F213">
        <f ca="1">IFERROR(__xludf.DUMMYFUNCTION("""COMPUTED_VALUE"""),113)</f>
        <v>113</v>
      </c>
      <c r="G213">
        <f ca="1">IFERROR(__xludf.DUMMYFUNCTION("""COMPUTED_VALUE"""),108)</f>
        <v>108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IFERROR(__xludf.DUMMYFUNCTION("""COMPUTED_VALUE"""),214)</f>
        <v>214</v>
      </c>
      <c r="C214" t="str">
        <f ca="1">IFERROR(__xludf.DUMMYFUNCTION("""COMPUTED_VALUE"""),"Camilo Villegas")</f>
        <v>Camilo Villegas</v>
      </c>
      <c r="D214">
        <f ca="1">IFERROR(__xludf.DUMMYFUNCTION("""COMPUTED_VALUE"""),14)</f>
        <v>14</v>
      </c>
      <c r="E214">
        <f ca="1">IFERROR(__xludf.DUMMYFUNCTION("""COMPUTED_VALUE"""),95.57)</f>
        <v>95.57</v>
      </c>
      <c r="F214">
        <f ca="1">IFERROR(__xludf.DUMMYFUNCTION("""COMPUTED_VALUE"""),158)</f>
        <v>158</v>
      </c>
      <c r="G214">
        <f ca="1">IFERROR(__xludf.DUMMYFUNCTION("""COMPUTED_VALUE"""),151)</f>
        <v>151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IFERROR(__xludf.DUMMYFUNCTION("""COMPUTED_VALUE"""),208)</f>
        <v>208</v>
      </c>
      <c r="C215" t="str">
        <f ca="1">IFERROR(__xludf.DUMMYFUNCTION("""COMPUTED_VALUE"""),"Wyndham Clark")</f>
        <v>Wyndham Clark</v>
      </c>
      <c r="D215">
        <f ca="1">IFERROR(__xludf.DUMMYFUNCTION("""COMPUTED_VALUE"""),16)</f>
        <v>16</v>
      </c>
      <c r="E215">
        <f ca="1">IFERROR(__xludf.DUMMYFUNCTION("""COMPUTED_VALUE"""),95.53)</f>
        <v>95.53</v>
      </c>
      <c r="F215">
        <f ca="1">IFERROR(__xludf.DUMMYFUNCTION("""COMPUTED_VALUE"""),179)</f>
        <v>179</v>
      </c>
      <c r="G215">
        <f ca="1">IFERROR(__xludf.DUMMYFUNCTION("""COMPUTED_VALUE"""),171)</f>
        <v>171</v>
      </c>
    </row>
    <row r="216" spans="1:7" ht="12.75">
      <c r="A216" t="str">
        <f ca="1">IFERROR(__xludf.DUMMYFUNCTION("""COMPUTED_VALUE"""),"T215")</f>
        <v>T215</v>
      </c>
      <c r="B216" t="str">
        <f ca="1">IFERROR(__xludf.DUMMYFUNCTION("""COMPUTED_VALUE"""),"")</f>
        <v/>
      </c>
      <c r="C216" t="str">
        <f ca="1">IFERROR(__xludf.DUMMYFUNCTION("""COMPUTED_VALUE"""),"Justin Harding")</f>
        <v>Justin Harding</v>
      </c>
      <c r="D216">
        <f ca="1">IFERROR(__xludf.DUMMYFUNCTION("""COMPUTED_VALUE"""),6)</f>
        <v>6</v>
      </c>
      <c r="E216">
        <f ca="1">IFERROR(__xludf.DUMMYFUNCTION("""COMPUTED_VALUE"""),95.45)</f>
        <v>95.45</v>
      </c>
      <c r="F216">
        <f ca="1">IFERROR(__xludf.DUMMYFUNCTION("""COMPUTED_VALUE"""),88)</f>
        <v>88</v>
      </c>
      <c r="G216">
        <f ca="1">IFERROR(__xludf.DUMMYFUNCTION("""COMPUTED_VALUE"""),84)</f>
        <v>84</v>
      </c>
    </row>
    <row r="217" spans="1:7" ht="12.75">
      <c r="A217" t="str">
        <f ca="1">IFERROR(__xludf.DUMMYFUNCTION("""COMPUTED_VALUE"""),"T215")</f>
        <v>T215</v>
      </c>
      <c r="B217">
        <f ca="1">IFERROR(__xludf.DUMMYFUNCTION("""COMPUTED_VALUE"""),191)</f>
        <v>191</v>
      </c>
      <c r="C217" t="str">
        <f ca="1">IFERROR(__xludf.DUMMYFUNCTION("""COMPUTED_VALUE"""),"Kyoung-Hoon Lee")</f>
        <v>Kyoung-Hoon Lee</v>
      </c>
      <c r="D217">
        <f ca="1">IFERROR(__xludf.DUMMYFUNCTION("""COMPUTED_VALUE"""),20)</f>
        <v>20</v>
      </c>
      <c r="E217">
        <f ca="1">IFERROR(__xludf.DUMMYFUNCTION("""COMPUTED_VALUE"""),95.45)</f>
        <v>95.45</v>
      </c>
      <c r="F217">
        <f ca="1">IFERROR(__xludf.DUMMYFUNCTION("""COMPUTED_VALUE"""),198)</f>
        <v>198</v>
      </c>
      <c r="G217">
        <f ca="1">IFERROR(__xludf.DUMMYFUNCTION("""COMPUTED_VALUE"""),189)</f>
        <v>189</v>
      </c>
    </row>
    <row r="218" spans="1:7" ht="12.75">
      <c r="A218">
        <f ca="1">IFERROR(__xludf.DUMMYFUNCTION("""COMPUTED_VALUE"""),217)</f>
        <v>217</v>
      </c>
      <c r="B218" t="str">
        <f ca="1">IFERROR(__xludf.DUMMYFUNCTION("""COMPUTED_VALUE"""),"T202")</f>
        <v>T202</v>
      </c>
      <c r="C218" t="str">
        <f ca="1">IFERROR(__xludf.DUMMYFUNCTION("""COMPUTED_VALUE"""),"Bubba Watson")</f>
        <v>Bubba Watson</v>
      </c>
      <c r="D218">
        <f ca="1">IFERROR(__xludf.DUMMYFUNCTION("""COMPUTED_VALUE"""),12)</f>
        <v>12</v>
      </c>
      <c r="E218">
        <f ca="1">IFERROR(__xludf.DUMMYFUNCTION("""COMPUTED_VALUE"""),95.4)</f>
        <v>95.4</v>
      </c>
      <c r="F218">
        <f ca="1">IFERROR(__xludf.DUMMYFUNCTION("""COMPUTED_VALUE"""),174)</f>
        <v>174</v>
      </c>
      <c r="G218">
        <f ca="1">IFERROR(__xludf.DUMMYFUNCTION("""COMPUTED_VALUE"""),166)</f>
        <v>166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IFERROR(__xludf.DUMMYFUNCTION("""COMPUTED_VALUE"""),"T204")</f>
        <v>T204</v>
      </c>
      <c r="C219" t="str">
        <f ca="1">IFERROR(__xludf.DUMMYFUNCTION("""COMPUTED_VALUE"""),"Cameron Champ")</f>
        <v>Cameron Champ</v>
      </c>
      <c r="D219">
        <f ca="1">IFERROR(__xludf.DUMMYFUNCTION("""COMPUTED_VALUE"""),12)</f>
        <v>12</v>
      </c>
      <c r="E219">
        <f ca="1">IFERROR(__xludf.DUMMYFUNCTION("""COMPUTED_VALUE"""),95.38)</f>
        <v>95.38</v>
      </c>
      <c r="F219">
        <f ca="1">IFERROR(__xludf.DUMMYFUNCTION("""COMPUTED_VALUE"""),173)</f>
        <v>173</v>
      </c>
      <c r="G219">
        <f ca="1">IFERROR(__xludf.DUMMYFUNCTION("""COMPUTED_VALUE"""),165)</f>
        <v>165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IFERROR(__xludf.DUMMYFUNCTION("""COMPUTED_VALUE"""),239)</f>
        <v>239</v>
      </c>
      <c r="C220" t="str">
        <f ca="1">IFERROR(__xludf.DUMMYFUNCTION("""COMPUTED_VALUE"""),"Kevin Tway")</f>
        <v>Kevin Tway</v>
      </c>
      <c r="D220">
        <f ca="1">IFERROR(__xludf.DUMMYFUNCTION("""COMPUTED_VALUE"""),16)</f>
        <v>16</v>
      </c>
      <c r="E220">
        <f ca="1">IFERROR(__xludf.DUMMYFUNCTION("""COMPUTED_VALUE"""),95.35)</f>
        <v>95.35</v>
      </c>
      <c r="F220">
        <f ca="1">IFERROR(__xludf.DUMMYFUNCTION("""COMPUTED_VALUE"""),129)</f>
        <v>129</v>
      </c>
      <c r="G220">
        <f ca="1">IFERROR(__xludf.DUMMYFUNCTION("""COMPUTED_VALUE"""),123)</f>
        <v>123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IFERROR(__xludf.DUMMYFUNCTION("""COMPUTED_VALUE"""),209)</f>
        <v>209</v>
      </c>
      <c r="C221" t="str">
        <f ca="1">IFERROR(__xludf.DUMMYFUNCTION("""COMPUTED_VALUE"""),"J.B. Holmes")</f>
        <v>J.B. Holmes</v>
      </c>
      <c r="D221">
        <f ca="1">IFERROR(__xludf.DUMMYFUNCTION("""COMPUTED_VALUE"""),10)</f>
        <v>10</v>
      </c>
      <c r="E221">
        <f ca="1">IFERROR(__xludf.DUMMYFUNCTION("""COMPUTED_VALUE"""),95.33)</f>
        <v>95.33</v>
      </c>
      <c r="F221">
        <f ca="1">IFERROR(__xludf.DUMMYFUNCTION("""COMPUTED_VALUE"""),150)</f>
        <v>150</v>
      </c>
      <c r="G221">
        <f ca="1">IFERROR(__xludf.DUMMYFUNCTION("""COMPUTED_VALUE"""),143)</f>
        <v>143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IFERROR(__xludf.DUMMYFUNCTION("""COMPUTED_VALUE"""),210)</f>
        <v>210</v>
      </c>
      <c r="C222" t="str">
        <f ca="1">IFERROR(__xludf.DUMMYFUNCTION("""COMPUTED_VALUE"""),"Bryson DeChambeau")</f>
        <v>Bryson DeChambeau</v>
      </c>
      <c r="D222">
        <f ca="1">IFERROR(__xludf.DUMMYFUNCTION("""COMPUTED_VALUE"""),8)</f>
        <v>8</v>
      </c>
      <c r="E222">
        <f ca="1">IFERROR(__xludf.DUMMYFUNCTION("""COMPUTED_VALUE"""),95.28)</f>
        <v>95.28</v>
      </c>
      <c r="F222">
        <f ca="1">IFERROR(__xludf.DUMMYFUNCTION("""COMPUTED_VALUE"""),106)</f>
        <v>106</v>
      </c>
      <c r="G222">
        <f ca="1">IFERROR(__xludf.DUMMYFUNCTION("""COMPUTED_VALUE"""),101)</f>
        <v>101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IFERROR(__xludf.DUMMYFUNCTION("""COMPUTED_VALUE"""),211)</f>
        <v>211</v>
      </c>
      <c r="C223" t="str">
        <f ca="1">IFERROR(__xludf.DUMMYFUNCTION("""COMPUTED_VALUE"""),"Andy Zhang")</f>
        <v>Andy Zhang</v>
      </c>
      <c r="D223">
        <f ca="1">IFERROR(__xludf.DUMMYFUNCTION("""COMPUTED_VALUE"""),4)</f>
        <v>4</v>
      </c>
      <c r="E223">
        <f ca="1">IFERROR(__xludf.DUMMYFUNCTION("""COMPUTED_VALUE"""),95.24)</f>
        <v>95.24</v>
      </c>
      <c r="F223">
        <f ca="1">IFERROR(__xludf.DUMMYFUNCTION("""COMPUTED_VALUE"""),63)</f>
        <v>63</v>
      </c>
      <c r="G223">
        <f ca="1">IFERROR(__xludf.DUMMYFUNCTION("""COMPUTED_VALUE"""),60)</f>
        <v>60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IFERROR(__xludf.DUMMYFUNCTION("""COMPUTED_VALUE"""),213)</f>
        <v>213</v>
      </c>
      <c r="C224" t="str">
        <f ca="1">IFERROR(__xludf.DUMMYFUNCTION("""COMPUTED_VALUE"""),"Rob Oppenheim")</f>
        <v>Rob Oppenheim</v>
      </c>
      <c r="D224">
        <f ca="1">IFERROR(__xludf.DUMMYFUNCTION("""COMPUTED_VALUE"""),16)</f>
        <v>16</v>
      </c>
      <c r="E224">
        <f ca="1">IFERROR(__xludf.DUMMYFUNCTION("""COMPUTED_VALUE"""),95.17)</f>
        <v>95.17</v>
      </c>
      <c r="F224">
        <f ca="1">IFERROR(__xludf.DUMMYFUNCTION("""COMPUTED_VALUE"""),145)</f>
        <v>145</v>
      </c>
      <c r="G224">
        <f ca="1">IFERROR(__xludf.DUMMYFUNCTION("""COMPUTED_VALUE"""),138)</f>
        <v>138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IFERROR(__xludf.DUMMYFUNCTION("""COMPUTED_VALUE"""),228)</f>
        <v>228</v>
      </c>
      <c r="C225" t="str">
        <f ca="1">IFERROR(__xludf.DUMMYFUNCTION("""COMPUTED_VALUE"""),"Michael Thompson")</f>
        <v>Michael Thompson</v>
      </c>
      <c r="D225">
        <f ca="1">IFERROR(__xludf.DUMMYFUNCTION("""COMPUTED_VALUE"""),16)</f>
        <v>16</v>
      </c>
      <c r="E225">
        <f ca="1">IFERROR(__xludf.DUMMYFUNCTION("""COMPUTED_VALUE"""),95.05)</f>
        <v>95.05</v>
      </c>
      <c r="F225">
        <f ca="1">IFERROR(__xludf.DUMMYFUNCTION("""COMPUTED_VALUE"""),222)</f>
        <v>222</v>
      </c>
      <c r="G225">
        <f ca="1">IFERROR(__xludf.DUMMYFUNCTION("""COMPUTED_VALUE"""),211)</f>
        <v>211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IFERROR(__xludf.DUMMYFUNCTION("""COMPUTED_VALUE"""),218)</f>
        <v>218</v>
      </c>
      <c r="C226" t="str">
        <f ca="1">IFERROR(__xludf.DUMMYFUNCTION("""COMPUTED_VALUE"""),"Davis Riley")</f>
        <v>Davis Riley</v>
      </c>
      <c r="D226">
        <f ca="1">IFERROR(__xludf.DUMMYFUNCTION("""COMPUTED_VALUE"""),4)</f>
        <v>4</v>
      </c>
      <c r="E226">
        <f ca="1">IFERROR(__xludf.DUMMYFUNCTION("""COMPUTED_VALUE"""),95)</f>
        <v>95</v>
      </c>
      <c r="F226">
        <f ca="1">IFERROR(__xludf.DUMMYFUNCTION("""COMPUTED_VALUE"""),60)</f>
        <v>60</v>
      </c>
      <c r="G226">
        <f ca="1">IFERROR(__xludf.DUMMYFUNCTION("""COMPUTED_VALUE"""),57)</f>
        <v>57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IFERROR(__xludf.DUMMYFUNCTION("""COMPUTED_VALUE"""),224)</f>
        <v>224</v>
      </c>
      <c r="C227" t="str">
        <f ca="1">IFERROR(__xludf.DUMMYFUNCTION("""COMPUTED_VALUE"""),"Keegan Bradley")</f>
        <v>Keegan Bradley</v>
      </c>
      <c r="D227">
        <f ca="1">IFERROR(__xludf.DUMMYFUNCTION("""COMPUTED_VALUE"""),16)</f>
        <v>16</v>
      </c>
      <c r="E227">
        <f ca="1">IFERROR(__xludf.DUMMYFUNCTION("""COMPUTED_VALUE"""),94.98)</f>
        <v>94.98</v>
      </c>
      <c r="F227">
        <f ca="1">IFERROR(__xludf.DUMMYFUNCTION("""COMPUTED_VALUE"""),239)</f>
        <v>239</v>
      </c>
      <c r="G227">
        <f ca="1">IFERROR(__xludf.DUMMYFUNCTION("""COMPUTED_VALUE"""),227)</f>
        <v>227</v>
      </c>
    </row>
    <row r="228" spans="1:7" ht="12.75">
      <c r="A228">
        <f ca="1">IFERROR(__xludf.DUMMYFUNCTION("""COMPUTED_VALUE"""),227)</f>
        <v>227</v>
      </c>
      <c r="B228" t="str">
        <f ca="1">IFERROR(__xludf.DUMMYFUNCTION("""COMPUTED_VALUE"""),"T202")</f>
        <v>T202</v>
      </c>
      <c r="C228" t="str">
        <f ca="1">IFERROR(__xludf.DUMMYFUNCTION("""COMPUTED_VALUE"""),"Bronson Burgoon")</f>
        <v>Bronson Burgoon</v>
      </c>
      <c r="D228">
        <f ca="1">IFERROR(__xludf.DUMMYFUNCTION("""COMPUTED_VALUE"""),10)</f>
        <v>10</v>
      </c>
      <c r="E228">
        <f ca="1">IFERROR(__xludf.DUMMYFUNCTION("""COMPUTED_VALUE"""),94.96)</f>
        <v>94.96</v>
      </c>
      <c r="F228">
        <f ca="1">IFERROR(__xludf.DUMMYFUNCTION("""COMPUTED_VALUE"""),119)</f>
        <v>119</v>
      </c>
      <c r="G228">
        <f ca="1">IFERROR(__xludf.DUMMYFUNCTION("""COMPUTED_VALUE"""),113)</f>
        <v>113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IFERROR(__xludf.DUMMYFUNCTION("""COMPUTED_VALUE"""),219)</f>
        <v>219</v>
      </c>
      <c r="C229" t="str">
        <f ca="1">IFERROR(__xludf.DUMMYFUNCTION("""COMPUTED_VALUE"""),"Brian Gay")</f>
        <v>Brian Gay</v>
      </c>
      <c r="D229">
        <f ca="1">IFERROR(__xludf.DUMMYFUNCTION("""COMPUTED_VALUE"""),8)</f>
        <v>8</v>
      </c>
      <c r="E229">
        <f ca="1">IFERROR(__xludf.DUMMYFUNCTION("""COMPUTED_VALUE"""),94.92)</f>
        <v>94.92</v>
      </c>
      <c r="F229">
        <f ca="1">IFERROR(__xludf.DUMMYFUNCTION("""COMPUTED_VALUE"""),59)</f>
        <v>59</v>
      </c>
      <c r="G229">
        <f ca="1">IFERROR(__xludf.DUMMYFUNCTION("""COMPUTED_VALUE"""),56)</f>
        <v>56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IFERROR(__xludf.DUMMYFUNCTION("""COMPUTED_VALUE"""),221)</f>
        <v>221</v>
      </c>
      <c r="C230" t="str">
        <f ca="1">IFERROR(__xludf.DUMMYFUNCTION("""COMPUTED_VALUE"""),"Max Homa")</f>
        <v>Max Homa</v>
      </c>
      <c r="D230">
        <f ca="1">IFERROR(__xludf.DUMMYFUNCTION("""COMPUTED_VALUE"""),12)</f>
        <v>12</v>
      </c>
      <c r="E230">
        <f ca="1">IFERROR(__xludf.DUMMYFUNCTION("""COMPUTED_VALUE"""),94.87)</f>
        <v>94.87</v>
      </c>
      <c r="F230">
        <f ca="1">IFERROR(__xludf.DUMMYFUNCTION("""COMPUTED_VALUE"""),117)</f>
        <v>117</v>
      </c>
      <c r="G230">
        <f ca="1">IFERROR(__xludf.DUMMYFUNCTION("""COMPUTED_VALUE"""),111)</f>
        <v>111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IFERROR(__xludf.DUMMYFUNCTION("""COMPUTED_VALUE"""),244)</f>
        <v>244</v>
      </c>
      <c r="C231" t="str">
        <f ca="1">IFERROR(__xludf.DUMMYFUNCTION("""COMPUTED_VALUE"""),"Scott Brown")</f>
        <v>Scott Brown</v>
      </c>
      <c r="D231">
        <f ca="1">IFERROR(__xludf.DUMMYFUNCTION("""COMPUTED_VALUE"""),14)</f>
        <v>14</v>
      </c>
      <c r="E231">
        <f ca="1">IFERROR(__xludf.DUMMYFUNCTION("""COMPUTED_VALUE"""),94.84)</f>
        <v>94.84</v>
      </c>
      <c r="F231">
        <f ca="1">IFERROR(__xludf.DUMMYFUNCTION("""COMPUTED_VALUE"""),155)</f>
        <v>155</v>
      </c>
      <c r="G231">
        <f ca="1">IFERROR(__xludf.DUMMYFUNCTION("""COMPUTED_VALUE"""),147)</f>
        <v>147</v>
      </c>
    </row>
    <row r="232" spans="1:7" ht="12.75">
      <c r="A232">
        <f ca="1">IFERROR(__xludf.DUMMYFUNCTION("""COMPUTED_VALUE"""),231)</f>
        <v>231</v>
      </c>
      <c r="B232" t="str">
        <f ca="1">IFERROR(__xludf.DUMMYFUNCTION("""COMPUTED_VALUE"""),"T198")</f>
        <v>T198</v>
      </c>
      <c r="C232" t="str">
        <f ca="1">IFERROR(__xludf.DUMMYFUNCTION("""COMPUTED_VALUE"""),"Sean O'Hair")</f>
        <v>Sean O'Hair</v>
      </c>
      <c r="D232">
        <f ca="1">IFERROR(__xludf.DUMMYFUNCTION("""COMPUTED_VALUE"""),14)</f>
        <v>14</v>
      </c>
      <c r="E232">
        <f ca="1">IFERROR(__xludf.DUMMYFUNCTION("""COMPUTED_VALUE"""),94.77)</f>
        <v>94.77</v>
      </c>
      <c r="F232">
        <f ca="1">IFERROR(__xludf.DUMMYFUNCTION("""COMPUTED_VALUE"""),153)</f>
        <v>153</v>
      </c>
      <c r="G232">
        <f ca="1">IFERROR(__xludf.DUMMYFUNCTION("""COMPUTED_VALUE"""),145)</f>
        <v>145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IFERROR(__xludf.DUMMYFUNCTION("""COMPUTED_VALUE"""),235)</f>
        <v>235</v>
      </c>
      <c r="C233" t="str">
        <f ca="1">IFERROR(__xludf.DUMMYFUNCTION("""COMPUTED_VALUE"""),"Scott Piercy")</f>
        <v>Scott Piercy</v>
      </c>
      <c r="D233">
        <f ca="1">IFERROR(__xludf.DUMMYFUNCTION("""COMPUTED_VALUE"""),18)</f>
        <v>18</v>
      </c>
      <c r="E233">
        <f ca="1">IFERROR(__xludf.DUMMYFUNCTION("""COMPUTED_VALUE"""),94.76)</f>
        <v>94.76</v>
      </c>
      <c r="F233">
        <f ca="1">IFERROR(__xludf.DUMMYFUNCTION("""COMPUTED_VALUE"""),210)</f>
        <v>210</v>
      </c>
      <c r="G233">
        <f ca="1">IFERROR(__xludf.DUMMYFUNCTION("""COMPUTED_VALUE"""),199)</f>
        <v>199</v>
      </c>
    </row>
    <row r="234" spans="1:7" ht="12.75">
      <c r="A234">
        <f ca="1">IFERROR(__xludf.DUMMYFUNCTION("""COMPUTED_VALUE"""),233)</f>
        <v>233</v>
      </c>
      <c r="B234" t="str">
        <f ca="1">IFERROR(__xludf.DUMMYFUNCTION("""COMPUTED_VALUE"""),"T222")</f>
        <v>T222</v>
      </c>
      <c r="C234" t="str">
        <f ca="1">IFERROR(__xludf.DUMMYFUNCTION("""COMPUTED_VALUE"""),"Naoki Sekito")</f>
        <v>Naoki Sekito</v>
      </c>
      <c r="D234">
        <f ca="1">IFERROR(__xludf.DUMMYFUNCTION("""COMPUTED_VALUE"""),4)</f>
        <v>4</v>
      </c>
      <c r="E234">
        <f ca="1">IFERROR(__xludf.DUMMYFUNCTION("""COMPUTED_VALUE"""),94.74)</f>
        <v>94.74</v>
      </c>
      <c r="F234">
        <f ca="1">IFERROR(__xludf.DUMMYFUNCTION("""COMPUTED_VALUE"""),57)</f>
        <v>57</v>
      </c>
      <c r="G234">
        <f ca="1">IFERROR(__xludf.DUMMYFUNCTION("""COMPUTED_VALUE"""),54)</f>
        <v>54</v>
      </c>
    </row>
    <row r="235" spans="1:7" ht="12.75">
      <c r="A235">
        <f ca="1">IFERROR(__xludf.DUMMYFUNCTION("""COMPUTED_VALUE"""),234)</f>
        <v>234</v>
      </c>
      <c r="B235" t="str">
        <f ca="1">IFERROR(__xludf.DUMMYFUNCTION("""COMPUTED_VALUE"""),"T204")</f>
        <v>T204</v>
      </c>
      <c r="C235" t="str">
        <f ca="1">IFERROR(__xludf.DUMMYFUNCTION("""COMPUTED_VALUE"""),"Robby Shelton")</f>
        <v>Robby Shelton</v>
      </c>
      <c r="D235">
        <f ca="1">IFERROR(__xludf.DUMMYFUNCTION("""COMPUTED_VALUE"""),14)</f>
        <v>14</v>
      </c>
      <c r="E235">
        <f ca="1">IFERROR(__xludf.DUMMYFUNCTION("""COMPUTED_VALUE"""),94.71)</f>
        <v>94.71</v>
      </c>
      <c r="F235">
        <f ca="1">IFERROR(__xludf.DUMMYFUNCTION("""COMPUTED_VALUE"""),208)</f>
        <v>208</v>
      </c>
      <c r="G235">
        <f ca="1">IFERROR(__xludf.DUMMYFUNCTION("""COMPUTED_VALUE"""),197)</f>
        <v>197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IFERROR(__xludf.DUMMYFUNCTION("""COMPUTED_VALUE"""),243)</f>
        <v>243</v>
      </c>
      <c r="C236" t="str">
        <f ca="1">IFERROR(__xludf.DUMMYFUNCTION("""COMPUTED_VALUE"""),"Scott Harrington")</f>
        <v>Scott Harrington</v>
      </c>
      <c r="D236">
        <f ca="1">IFERROR(__xludf.DUMMYFUNCTION("""COMPUTED_VALUE"""),18)</f>
        <v>18</v>
      </c>
      <c r="E236">
        <f ca="1">IFERROR(__xludf.DUMMYFUNCTION("""COMPUTED_VALUE"""),94.67)</f>
        <v>94.67</v>
      </c>
      <c r="F236">
        <f ca="1">IFERROR(__xludf.DUMMYFUNCTION("""COMPUTED_VALUE"""),169)</f>
        <v>169</v>
      </c>
      <c r="G236">
        <f ca="1">IFERROR(__xludf.DUMMYFUNCTION("""COMPUTED_VALUE"""),160)</f>
        <v>160</v>
      </c>
    </row>
    <row r="237" spans="1:7" ht="12.75">
      <c r="A237" t="str">
        <f ca="1">IFERROR(__xludf.DUMMYFUNCTION("""COMPUTED_VALUE"""),"T236")</f>
        <v>T236</v>
      </c>
      <c r="B237" t="str">
        <f ca="1">IFERROR(__xludf.DUMMYFUNCTION("""COMPUTED_VALUE"""),"T225")</f>
        <v>T225</v>
      </c>
      <c r="C237" t="str">
        <f ca="1">IFERROR(__xludf.DUMMYFUNCTION("""COMPUTED_VALUE"""),"Kiradech Aphibarnrat")</f>
        <v>Kiradech Aphibarnrat</v>
      </c>
      <c r="D237">
        <f ca="1">IFERROR(__xludf.DUMMYFUNCTION("""COMPUTED_VALUE"""),12)</f>
        <v>12</v>
      </c>
      <c r="E237">
        <f ca="1">IFERROR(__xludf.DUMMYFUNCTION("""COMPUTED_VALUE"""),94.64)</f>
        <v>94.64</v>
      </c>
      <c r="F237">
        <f ca="1">IFERROR(__xludf.DUMMYFUNCTION("""COMPUTED_VALUE"""),56)</f>
        <v>56</v>
      </c>
      <c r="G237">
        <f ca="1">IFERROR(__xludf.DUMMYFUNCTION("""COMPUTED_VALUE"""),53)</f>
        <v>53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IFERROR(__xludf.DUMMYFUNCTION("""COMPUTED_VALUE"""),"T225")</f>
        <v>T225</v>
      </c>
      <c r="C238" t="str">
        <f ca="1">IFERROR(__xludf.DUMMYFUNCTION("""COMPUTED_VALUE"""),"Romain Langasque")</f>
        <v>Romain Langasque</v>
      </c>
      <c r="D238">
        <f ca="1">IFERROR(__xludf.DUMMYFUNCTION("""COMPUTED_VALUE"""),4)</f>
        <v>4</v>
      </c>
      <c r="E238">
        <f ca="1">IFERROR(__xludf.DUMMYFUNCTION("""COMPUTED_VALUE"""),94.64)</f>
        <v>94.64</v>
      </c>
      <c r="F238">
        <f ca="1">IFERROR(__xludf.DUMMYFUNCTION("""COMPUTED_VALUE"""),56)</f>
        <v>56</v>
      </c>
      <c r="G238">
        <f ca="1">IFERROR(__xludf.DUMMYFUNCTION("""COMPUTED_VALUE"""),53)</f>
        <v>53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IFERROR(__xludf.DUMMYFUNCTION("""COMPUTED_VALUE"""),229)</f>
        <v>229</v>
      </c>
      <c r="C239" t="str">
        <f ca="1">IFERROR(__xludf.DUMMYFUNCTION("""COMPUTED_VALUE"""),"Ryan Blaum")</f>
        <v>Ryan Blaum</v>
      </c>
      <c r="D239">
        <f ca="1">IFERROR(__xludf.DUMMYFUNCTION("""COMPUTED_VALUE"""),8)</f>
        <v>8</v>
      </c>
      <c r="E239">
        <f ca="1">IFERROR(__xludf.DUMMYFUNCTION("""COMPUTED_VALUE"""),94.44)</f>
        <v>94.44</v>
      </c>
      <c r="F239">
        <f ca="1">IFERROR(__xludf.DUMMYFUNCTION("""COMPUTED_VALUE"""),54)</f>
        <v>54</v>
      </c>
      <c r="G239">
        <f ca="1">IFERROR(__xludf.DUMMYFUNCTION("""COMPUTED_VALUE"""),51)</f>
        <v>51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IFERROR(__xludf.DUMMYFUNCTION("""COMPUTED_VALUE"""),"T230")</f>
        <v>T230</v>
      </c>
      <c r="C240" t="str">
        <f ca="1">IFERROR(__xludf.DUMMYFUNCTION("""COMPUTED_VALUE"""),"Brandon Hagy")</f>
        <v>Brandon Hagy</v>
      </c>
      <c r="D240">
        <f ca="1">IFERROR(__xludf.DUMMYFUNCTION("""COMPUTED_VALUE"""),10)</f>
        <v>10</v>
      </c>
      <c r="E240">
        <f ca="1">IFERROR(__xludf.DUMMYFUNCTION("""COMPUTED_VALUE"""),94.38)</f>
        <v>94.38</v>
      </c>
      <c r="F240">
        <f ca="1">IFERROR(__xludf.DUMMYFUNCTION("""COMPUTED_VALUE"""),89)</f>
        <v>89</v>
      </c>
      <c r="G240">
        <f ca="1">IFERROR(__xludf.DUMMYFUNCTION("""COMPUTED_VALUE"""),84)</f>
        <v>84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IFERROR(__xludf.DUMMYFUNCTION("""COMPUTED_VALUE"""),232)</f>
        <v>232</v>
      </c>
      <c r="C241" t="str">
        <f ca="1">IFERROR(__xludf.DUMMYFUNCTION("""COMPUTED_VALUE"""),"Tyler McCumber")</f>
        <v>Tyler McCumber</v>
      </c>
      <c r="D241">
        <f ca="1">IFERROR(__xludf.DUMMYFUNCTION("""COMPUTED_VALUE"""),14)</f>
        <v>14</v>
      </c>
      <c r="E241">
        <f ca="1">IFERROR(__xludf.DUMMYFUNCTION("""COMPUTED_VALUE"""),94.35)</f>
        <v>94.35</v>
      </c>
      <c r="F241">
        <f ca="1">IFERROR(__xludf.DUMMYFUNCTION("""COMPUTED_VALUE"""),124)</f>
        <v>124</v>
      </c>
      <c r="G241">
        <f ca="1">IFERROR(__xludf.DUMMYFUNCTION("""COMPUTED_VALUE"""),117)</f>
        <v>117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IFERROR(__xludf.DUMMYFUNCTION("""COMPUTED_VALUE"""),233)</f>
        <v>233</v>
      </c>
      <c r="C242" t="str">
        <f ca="1">IFERROR(__xludf.DUMMYFUNCTION("""COMPUTED_VALUE"""),"Stephan Jaeger")</f>
        <v>Stephan Jaeger</v>
      </c>
      <c r="D242">
        <f ca="1">IFERROR(__xludf.DUMMYFUNCTION("""COMPUTED_VALUE"""),4)</f>
        <v>4</v>
      </c>
      <c r="E242">
        <f ca="1">IFERROR(__xludf.DUMMYFUNCTION("""COMPUTED_VALUE"""),94.34)</f>
        <v>94.34</v>
      </c>
      <c r="F242">
        <f ca="1">IFERROR(__xludf.DUMMYFUNCTION("""COMPUTED_VALUE"""),53)</f>
        <v>53</v>
      </c>
      <c r="G242">
        <f ca="1">IFERROR(__xludf.DUMMYFUNCTION("""COMPUTED_VALUE"""),50)</f>
        <v>50</v>
      </c>
    </row>
    <row r="243" spans="1:7" ht="12.75">
      <c r="A243" t="str">
        <f ca="1">IFERROR(__xludf.DUMMYFUNCTION("""COMPUTED_VALUE"""),"T242")</f>
        <v>T242</v>
      </c>
      <c r="B243">
        <f ca="1">IFERROR(__xludf.DUMMYFUNCTION("""COMPUTED_VALUE"""),215)</f>
        <v>215</v>
      </c>
      <c r="C243" t="str">
        <f ca="1">IFERROR(__xludf.DUMMYFUNCTION("""COMPUTED_VALUE"""),"Cameron Davis")</f>
        <v>Cameron Davis</v>
      </c>
      <c r="D243">
        <f ca="1">IFERROR(__xludf.DUMMYFUNCTION("""COMPUTED_VALUE"""),16)</f>
        <v>16</v>
      </c>
      <c r="E243">
        <f ca="1">IFERROR(__xludf.DUMMYFUNCTION("""COMPUTED_VALUE"""),94.3)</f>
        <v>94.3</v>
      </c>
      <c r="F243">
        <f ca="1">IFERROR(__xludf.DUMMYFUNCTION("""COMPUTED_VALUE"""),228)</f>
        <v>228</v>
      </c>
      <c r="G243">
        <f ca="1">IFERROR(__xludf.DUMMYFUNCTION("""COMPUTED_VALUE"""),215)</f>
        <v>215</v>
      </c>
    </row>
    <row r="244" spans="1:7" ht="12.75">
      <c r="A244" t="str">
        <f ca="1">IFERROR(__xludf.DUMMYFUNCTION("""COMPUTED_VALUE"""),"T242")</f>
        <v>T242</v>
      </c>
      <c r="B244">
        <f ca="1">IFERROR(__xludf.DUMMYFUNCTION("""COMPUTED_VALUE"""),234)</f>
        <v>234</v>
      </c>
      <c r="C244" t="str">
        <f ca="1">IFERROR(__xludf.DUMMYFUNCTION("""COMPUTED_VALUE"""),"Branden Grace")</f>
        <v>Branden Grace</v>
      </c>
      <c r="D244">
        <f ca="1">IFERROR(__xludf.DUMMYFUNCTION("""COMPUTED_VALUE"""),16)</f>
        <v>16</v>
      </c>
      <c r="E244">
        <f ca="1">IFERROR(__xludf.DUMMYFUNCTION("""COMPUTED_VALUE"""),94.3)</f>
        <v>94.3</v>
      </c>
      <c r="F244">
        <f ca="1">IFERROR(__xludf.DUMMYFUNCTION("""COMPUTED_VALUE"""),158)</f>
        <v>158</v>
      </c>
      <c r="G244">
        <f ca="1">IFERROR(__xludf.DUMMYFUNCTION("""COMPUTED_VALUE"""),149)</f>
        <v>149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IFERROR(__xludf.DUMMYFUNCTION("""COMPUTED_VALUE"""),267)</f>
        <v>267</v>
      </c>
      <c r="C245" t="str">
        <f ca="1">IFERROR(__xludf.DUMMYFUNCTION("""COMPUTED_VALUE"""),"Graeme McDowell")</f>
        <v>Graeme McDowell</v>
      </c>
      <c r="D245">
        <f ca="1">IFERROR(__xludf.DUMMYFUNCTION("""COMPUTED_VALUE"""),8)</f>
        <v>8</v>
      </c>
      <c r="E245">
        <f ca="1">IFERROR(__xludf.DUMMYFUNCTION("""COMPUTED_VALUE"""),94.25)</f>
        <v>94.25</v>
      </c>
      <c r="F245">
        <f ca="1">IFERROR(__xludf.DUMMYFUNCTION("""COMPUTED_VALUE"""),87)</f>
        <v>87</v>
      </c>
      <c r="G245">
        <f ca="1">IFERROR(__xludf.DUMMYFUNCTION("""COMPUTED_VALUE"""),82)</f>
        <v>82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IFERROR(__xludf.DUMMYFUNCTION("""COMPUTED_VALUE"""),248)</f>
        <v>248</v>
      </c>
      <c r="C246" t="str">
        <f ca="1">IFERROR(__xludf.DUMMYFUNCTION("""COMPUTED_VALUE"""),"Grayson Murray")</f>
        <v>Grayson Murray</v>
      </c>
      <c r="D246">
        <f ca="1">IFERROR(__xludf.DUMMYFUNCTION("""COMPUTED_VALUE"""),10)</f>
        <v>10</v>
      </c>
      <c r="E246">
        <f ca="1">IFERROR(__xludf.DUMMYFUNCTION("""COMPUTED_VALUE"""),94.21)</f>
        <v>94.21</v>
      </c>
      <c r="F246">
        <f ca="1">IFERROR(__xludf.DUMMYFUNCTION("""COMPUTED_VALUE"""),121)</f>
        <v>121</v>
      </c>
      <c r="G246">
        <f ca="1">IFERROR(__xludf.DUMMYFUNCTION("""COMPUTED_VALUE"""),114)</f>
        <v>114</v>
      </c>
    </row>
    <row r="247" spans="1:7" ht="12.75">
      <c r="A247" t="str">
        <f ca="1">IFERROR(__xludf.DUMMYFUNCTION("""COMPUTED_VALUE"""),"T246")</f>
        <v>T246</v>
      </c>
      <c r="B247" t="str">
        <f ca="1">IFERROR(__xludf.DUMMYFUNCTION("""COMPUTED_VALUE"""),"T246")</f>
        <v>T246</v>
      </c>
      <c r="C247" t="str">
        <f ca="1">IFERROR(__xludf.DUMMYFUNCTION("""COMPUTED_VALUE"""),"Patrick Rodgers")</f>
        <v>Patrick Rodgers</v>
      </c>
      <c r="D247">
        <f ca="1">IFERROR(__xludf.DUMMYFUNCTION("""COMPUTED_VALUE"""),18)</f>
        <v>18</v>
      </c>
      <c r="E247">
        <f ca="1">IFERROR(__xludf.DUMMYFUNCTION("""COMPUTED_VALUE"""),94.19)</f>
        <v>94.19</v>
      </c>
      <c r="F247">
        <f ca="1">IFERROR(__xludf.DUMMYFUNCTION("""COMPUTED_VALUE"""),155)</f>
        <v>155</v>
      </c>
      <c r="G247">
        <f ca="1">IFERROR(__xludf.DUMMYFUNCTION("""COMPUTED_VALUE"""),146)</f>
        <v>146</v>
      </c>
    </row>
    <row r="248" spans="1:7" ht="12.75">
      <c r="A248" t="str">
        <f ca="1">IFERROR(__xludf.DUMMYFUNCTION("""COMPUTED_VALUE"""),"T246")</f>
        <v>T246</v>
      </c>
      <c r="B248">
        <f ca="1">IFERROR(__xludf.DUMMYFUNCTION("""COMPUTED_VALUE"""),251)</f>
        <v>251</v>
      </c>
      <c r="C248" t="str">
        <f ca="1">IFERROR(__xludf.DUMMYFUNCTION("""COMPUTED_VALUE"""),"Henrik Stenson")</f>
        <v>Henrik Stenson</v>
      </c>
      <c r="D248">
        <f ca="1">IFERROR(__xludf.DUMMYFUNCTION("""COMPUTED_VALUE"""),11)</f>
        <v>11</v>
      </c>
      <c r="E248">
        <f ca="1">IFERROR(__xludf.DUMMYFUNCTION("""COMPUTED_VALUE"""),94.19)</f>
        <v>94.19</v>
      </c>
      <c r="F248">
        <f ca="1">IFERROR(__xludf.DUMMYFUNCTION("""COMPUTED_VALUE"""),86)</f>
        <v>86</v>
      </c>
      <c r="G248">
        <f ca="1">IFERROR(__xludf.DUMMYFUNCTION("""COMPUTED_VALUE"""),81)</f>
        <v>81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IFERROR(__xludf.DUMMYFUNCTION("""COMPUTED_VALUE"""),207)</f>
        <v>207</v>
      </c>
      <c r="C249" t="str">
        <f ca="1">IFERROR(__xludf.DUMMYFUNCTION("""COMPUTED_VALUE"""),"Jason Dufner")</f>
        <v>Jason Dufner</v>
      </c>
      <c r="D249">
        <f ca="1">IFERROR(__xludf.DUMMYFUNCTION("""COMPUTED_VALUE"""),14)</f>
        <v>14</v>
      </c>
      <c r="E249">
        <f ca="1">IFERROR(__xludf.DUMMYFUNCTION("""COMPUTED_VALUE"""),94.12)</f>
        <v>94.12</v>
      </c>
      <c r="F249">
        <f ca="1">IFERROR(__xludf.DUMMYFUNCTION("""COMPUTED_VALUE"""),136)</f>
        <v>136</v>
      </c>
      <c r="G249">
        <f ca="1">IFERROR(__xludf.DUMMYFUNCTION("""COMPUTED_VALUE"""),128)</f>
        <v>128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IFERROR(__xludf.DUMMYFUNCTION("""COMPUTED_VALUE"""),236)</f>
        <v>236</v>
      </c>
      <c r="C250" t="str">
        <f ca="1">IFERROR(__xludf.DUMMYFUNCTION("""COMPUTED_VALUE"""),"Justin Rose")</f>
        <v>Justin Rose</v>
      </c>
      <c r="D250">
        <f ca="1">IFERROR(__xludf.DUMMYFUNCTION("""COMPUTED_VALUE"""),10)</f>
        <v>10</v>
      </c>
      <c r="E250">
        <f ca="1">IFERROR(__xludf.DUMMYFUNCTION("""COMPUTED_VALUE"""),94.03)</f>
        <v>94.03</v>
      </c>
      <c r="F250">
        <f ca="1">IFERROR(__xludf.DUMMYFUNCTION("""COMPUTED_VALUE"""),134)</f>
        <v>134</v>
      </c>
      <c r="G250">
        <f ca="1">IFERROR(__xludf.DUMMYFUNCTION("""COMPUTED_VALUE"""),126)</f>
        <v>126</v>
      </c>
    </row>
    <row r="251" spans="1:7" ht="12.75">
      <c r="A251" t="str">
        <f ca="1">IFERROR(__xludf.DUMMYFUNCTION("""COMPUTED_VALUE"""),"T250")</f>
        <v>T250</v>
      </c>
      <c r="B251" t="str">
        <f ca="1">IFERROR(__xludf.DUMMYFUNCTION("""COMPUTED_VALUE"""),"T237")</f>
        <v>T237</v>
      </c>
      <c r="C251" t="str">
        <f ca="1">IFERROR(__xludf.DUMMYFUNCTION("""COMPUTED_VALUE"""),"Charles Howell III")</f>
        <v>Charles Howell III</v>
      </c>
      <c r="D251">
        <f ca="1">IFERROR(__xludf.DUMMYFUNCTION("""COMPUTED_VALUE"""),10)</f>
        <v>10</v>
      </c>
      <c r="E251">
        <f ca="1">IFERROR(__xludf.DUMMYFUNCTION("""COMPUTED_VALUE"""),93.94)</f>
        <v>93.94</v>
      </c>
      <c r="F251">
        <f ca="1">IFERROR(__xludf.DUMMYFUNCTION("""COMPUTED_VALUE"""),99)</f>
        <v>99</v>
      </c>
      <c r="G251">
        <f ca="1">IFERROR(__xludf.DUMMYFUNCTION("""COMPUTED_VALUE"""),93)</f>
        <v>93</v>
      </c>
    </row>
    <row r="252" spans="1:7" ht="12.75">
      <c r="A252" t="str">
        <f ca="1">IFERROR(__xludf.DUMMYFUNCTION("""COMPUTED_VALUE"""),"T250")</f>
        <v>T250</v>
      </c>
      <c r="B252" t="str">
        <f ca="1">IFERROR(__xludf.DUMMYFUNCTION("""COMPUTED_VALUE"""),"T237")</f>
        <v>T237</v>
      </c>
      <c r="C252" t="str">
        <f ca="1">IFERROR(__xludf.DUMMYFUNCTION("""COMPUTED_VALUE"""),"Shawn Stefani")</f>
        <v>Shawn Stefani</v>
      </c>
      <c r="D252">
        <f ca="1">IFERROR(__xludf.DUMMYFUNCTION("""COMPUTED_VALUE"""),5)</f>
        <v>5</v>
      </c>
      <c r="E252">
        <f ca="1">IFERROR(__xludf.DUMMYFUNCTION("""COMPUTED_VALUE"""),93.94)</f>
        <v>93.94</v>
      </c>
      <c r="F252">
        <f ca="1">IFERROR(__xludf.DUMMYFUNCTION("""COMPUTED_VALUE"""),33)</f>
        <v>33</v>
      </c>
      <c r="G252">
        <f ca="1">IFERROR(__xludf.DUMMYFUNCTION("""COMPUTED_VALUE"""),31)</f>
        <v>31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IFERROR(__xludf.DUMMYFUNCTION("""COMPUTED_VALUE"""),240)</f>
        <v>240</v>
      </c>
      <c r="C253" t="str">
        <f ca="1">IFERROR(__xludf.DUMMYFUNCTION("""COMPUTED_VALUE"""),"Rory McIlroy")</f>
        <v>Rory McIlroy</v>
      </c>
      <c r="D253">
        <f ca="1">IFERROR(__xludf.DUMMYFUNCTION("""COMPUTED_VALUE"""),12)</f>
        <v>12</v>
      </c>
      <c r="E253">
        <f ca="1">IFERROR(__xludf.DUMMYFUNCTION("""COMPUTED_VALUE"""),93.87)</f>
        <v>93.87</v>
      </c>
      <c r="F253">
        <f ca="1">IFERROR(__xludf.DUMMYFUNCTION("""COMPUTED_VALUE"""),163)</f>
        <v>163</v>
      </c>
      <c r="G253">
        <f ca="1">IFERROR(__xludf.DUMMYFUNCTION("""COMPUTED_VALUE"""),153)</f>
        <v>153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IFERROR(__xludf.DUMMYFUNCTION("""COMPUTED_VALUE"""),241)</f>
        <v>241</v>
      </c>
      <c r="C254" t="str">
        <f ca="1">IFERROR(__xludf.DUMMYFUNCTION("""COMPUTED_VALUE"""),"Shugo Imahira")</f>
        <v>Shugo Imahira</v>
      </c>
      <c r="D254">
        <f ca="1">IFERROR(__xludf.DUMMYFUNCTION("""COMPUTED_VALUE"""),8)</f>
        <v>8</v>
      </c>
      <c r="E254">
        <f ca="1">IFERROR(__xludf.DUMMYFUNCTION("""COMPUTED_VALUE"""),93.81)</f>
        <v>93.81</v>
      </c>
      <c r="F254">
        <f ca="1">IFERROR(__xludf.DUMMYFUNCTION("""COMPUTED_VALUE"""),113)</f>
        <v>113</v>
      </c>
      <c r="G254">
        <f ca="1">IFERROR(__xludf.DUMMYFUNCTION("""COMPUTED_VALUE"""),106)</f>
        <v>106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IFERROR(__xludf.DUMMYFUNCTION("""COMPUTED_VALUE"""),256)</f>
        <v>256</v>
      </c>
      <c r="C255" t="str">
        <f ca="1">IFERROR(__xludf.DUMMYFUNCTION("""COMPUTED_VALUE"""),"Sung Kang")</f>
        <v>Sung Kang</v>
      </c>
      <c r="D255">
        <f ca="1">IFERROR(__xludf.DUMMYFUNCTION("""COMPUTED_VALUE"""),14)</f>
        <v>14</v>
      </c>
      <c r="E255">
        <f ca="1">IFERROR(__xludf.DUMMYFUNCTION("""COMPUTED_VALUE"""),93.75)</f>
        <v>93.75</v>
      </c>
      <c r="F255">
        <f ca="1">IFERROR(__xludf.DUMMYFUNCTION("""COMPUTED_VALUE"""),208)</f>
        <v>208</v>
      </c>
      <c r="G255">
        <f ca="1">IFERROR(__xludf.DUMMYFUNCTION("""COMPUTED_VALUE"""),195)</f>
        <v>195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IFERROR(__xludf.DUMMYFUNCTION("""COMPUTED_VALUE"""),134)</f>
        <v>134</v>
      </c>
      <c r="C256" t="str">
        <f ca="1">IFERROR(__xludf.DUMMYFUNCTION("""COMPUTED_VALUE"""),"Kramer Hickok")</f>
        <v>Kramer Hickok</v>
      </c>
      <c r="D256">
        <f ca="1">IFERROR(__xludf.DUMMYFUNCTION("""COMPUTED_VALUE"""),16)</f>
        <v>16</v>
      </c>
      <c r="E256">
        <f ca="1">IFERROR(__xludf.DUMMYFUNCTION("""COMPUTED_VALUE"""),93.7)</f>
        <v>93.7</v>
      </c>
      <c r="F256">
        <f ca="1">IFERROR(__xludf.DUMMYFUNCTION("""COMPUTED_VALUE"""),127)</f>
        <v>127</v>
      </c>
      <c r="G256">
        <f ca="1">IFERROR(__xludf.DUMMYFUNCTION("""COMPUTED_VALUE"""),119)</f>
        <v>119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IFERROR(__xludf.DUMMYFUNCTION("""COMPUTED_VALUE"""),242)</f>
        <v>242</v>
      </c>
      <c r="C257" t="str">
        <f ca="1">IFERROR(__xludf.DUMMYFUNCTION("""COMPUTED_VALUE"""),"Danny Lee")</f>
        <v>Danny Lee</v>
      </c>
      <c r="D257">
        <f ca="1">IFERROR(__xludf.DUMMYFUNCTION("""COMPUTED_VALUE"""),15)</f>
        <v>15</v>
      </c>
      <c r="E257">
        <f ca="1">IFERROR(__xludf.DUMMYFUNCTION("""COMPUTED_VALUE"""),93.64)</f>
        <v>93.64</v>
      </c>
      <c r="F257">
        <f ca="1">IFERROR(__xludf.DUMMYFUNCTION("""COMPUTED_VALUE"""),220)</f>
        <v>220</v>
      </c>
      <c r="G257">
        <f ca="1">IFERROR(__xludf.DUMMYFUNCTION("""COMPUTED_VALUE"""),206)</f>
        <v>206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IFERROR(__xludf.DUMMYFUNCTION("""COMPUTED_VALUE"""),"T246")</f>
        <v>T246</v>
      </c>
      <c r="C258" t="str">
        <f ca="1">IFERROR(__xludf.DUMMYFUNCTION("""COMPUTED_VALUE"""),"Matt Every")</f>
        <v>Matt Every</v>
      </c>
      <c r="D258">
        <f ca="1">IFERROR(__xludf.DUMMYFUNCTION("""COMPUTED_VALUE"""),8)</f>
        <v>8</v>
      </c>
      <c r="E258">
        <f ca="1">IFERROR(__xludf.DUMMYFUNCTION("""COMPUTED_VALUE"""),93.44)</f>
        <v>93.44</v>
      </c>
      <c r="F258">
        <f ca="1">IFERROR(__xludf.DUMMYFUNCTION("""COMPUTED_VALUE"""),61)</f>
        <v>61</v>
      </c>
      <c r="G258">
        <f ca="1">IFERROR(__xludf.DUMMYFUNCTION("""COMPUTED_VALUE"""),57)</f>
        <v>57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IFERROR(__xludf.DUMMYFUNCTION("""COMPUTED_VALUE"""),"T249")</f>
        <v>T249</v>
      </c>
      <c r="C259" t="str">
        <f ca="1">IFERROR(__xludf.DUMMYFUNCTION("""COMPUTED_VALUE"""),"Peter Uihlein")</f>
        <v>Peter Uihlein</v>
      </c>
      <c r="D259">
        <f ca="1">IFERROR(__xludf.DUMMYFUNCTION("""COMPUTED_VALUE"""),8)</f>
        <v>8</v>
      </c>
      <c r="E259">
        <f ca="1">IFERROR(__xludf.DUMMYFUNCTION("""COMPUTED_VALUE"""),93.33)</f>
        <v>93.33</v>
      </c>
      <c r="F259">
        <f ca="1">IFERROR(__xludf.DUMMYFUNCTION("""COMPUTED_VALUE"""),30)</f>
        <v>30</v>
      </c>
      <c r="G259">
        <f ca="1">IFERROR(__xludf.DUMMYFUNCTION("""COMPUTED_VALUE"""),28)</f>
        <v>28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IFERROR(__xludf.DUMMYFUNCTION("""COMPUTED_VALUE"""),"T249")</f>
        <v>T249</v>
      </c>
      <c r="C260" t="str">
        <f ca="1">IFERROR(__xludf.DUMMYFUNCTION("""COMPUTED_VALUE"""),"Josh Teater")</f>
        <v>Josh Teater</v>
      </c>
      <c r="D260">
        <f ca="1">IFERROR(__xludf.DUMMYFUNCTION("""COMPUTED_VALUE"""),6)</f>
        <v>6</v>
      </c>
      <c r="E260">
        <f ca="1">IFERROR(__xludf.DUMMYFUNCTION("""COMPUTED_VALUE"""),93.33)</f>
        <v>93.33</v>
      </c>
      <c r="F260">
        <f ca="1">IFERROR(__xludf.DUMMYFUNCTION("""COMPUTED_VALUE"""),30)</f>
        <v>30</v>
      </c>
      <c r="G260">
        <f ca="1">IFERROR(__xludf.DUMMYFUNCTION("""COMPUTED_VALUE"""),28)</f>
        <v>28</v>
      </c>
    </row>
    <row r="261" spans="1:7" ht="12.75">
      <c r="A261" t="str">
        <f ca="1">IFERROR(__xludf.DUMMYFUNCTION("""COMPUTED_VALUE"""),"T260")</f>
        <v>T260</v>
      </c>
      <c r="B261">
        <f ca="1">IFERROR(__xludf.DUMMYFUNCTION("""COMPUTED_VALUE"""),259)</f>
        <v>259</v>
      </c>
      <c r="C261" t="str">
        <f ca="1">IFERROR(__xludf.DUMMYFUNCTION("""COMPUTED_VALUE"""),"Phil Mickelson")</f>
        <v>Phil Mickelson</v>
      </c>
      <c r="D261">
        <f ca="1">IFERROR(__xludf.DUMMYFUNCTION("""COMPUTED_VALUE"""),12)</f>
        <v>12</v>
      </c>
      <c r="E261">
        <f ca="1">IFERROR(__xludf.DUMMYFUNCTION("""COMPUTED_VALUE"""),93.1)</f>
        <v>93.1</v>
      </c>
      <c r="F261">
        <f ca="1">IFERROR(__xludf.DUMMYFUNCTION("""COMPUTED_VALUE"""),174)</f>
        <v>174</v>
      </c>
      <c r="G261">
        <f ca="1">IFERROR(__xludf.DUMMYFUNCTION("""COMPUTED_VALUE"""),162)</f>
        <v>162</v>
      </c>
    </row>
    <row r="262" spans="1:7" ht="12.75">
      <c r="A262" t="str">
        <f ca="1">IFERROR(__xludf.DUMMYFUNCTION("""COMPUTED_VALUE"""),"T260")</f>
        <v>T260</v>
      </c>
      <c r="B262">
        <f ca="1">IFERROR(__xludf.DUMMYFUNCTION("""COMPUTED_VALUE"""),252)</f>
        <v>252</v>
      </c>
      <c r="C262" t="str">
        <f ca="1">IFERROR(__xludf.DUMMYFUNCTION("""COMPUTED_VALUE"""),"Kurt Kitayama")</f>
        <v>Kurt Kitayama</v>
      </c>
      <c r="D262">
        <f ca="1">IFERROR(__xludf.DUMMYFUNCTION("""COMPUTED_VALUE"""),4)</f>
        <v>4</v>
      </c>
      <c r="E262">
        <f ca="1">IFERROR(__xludf.DUMMYFUNCTION("""COMPUTED_VALUE"""),93.1)</f>
        <v>93.1</v>
      </c>
      <c r="F262">
        <f ca="1">IFERROR(__xludf.DUMMYFUNCTION("""COMPUTED_VALUE"""),29)</f>
        <v>29</v>
      </c>
      <c r="G262">
        <f ca="1">IFERROR(__xludf.DUMMYFUNCTION("""COMPUTED_VALUE"""),27)</f>
        <v>27</v>
      </c>
    </row>
    <row r="263" spans="1:7" ht="12.75">
      <c r="A263" t="str">
        <f ca="1">IFERROR(__xludf.DUMMYFUNCTION("""COMPUTED_VALUE"""),"T262")</f>
        <v>T262</v>
      </c>
      <c r="B263" t="str">
        <f ca="1">IFERROR(__xludf.DUMMYFUNCTION("""COMPUTED_VALUE"""),"T254")</f>
        <v>T254</v>
      </c>
      <c r="C263" t="str">
        <f ca="1">IFERROR(__xludf.DUMMYFUNCTION("""COMPUTED_VALUE"""),"George Markham")</f>
        <v>George Markham</v>
      </c>
      <c r="D263">
        <f ca="1">IFERROR(__xludf.DUMMYFUNCTION("""COMPUTED_VALUE"""),4)</f>
        <v>4</v>
      </c>
      <c r="E263">
        <f ca="1">IFERROR(__xludf.DUMMYFUNCTION("""COMPUTED_VALUE"""),92.86)</f>
        <v>92.86</v>
      </c>
      <c r="F263">
        <f ca="1">IFERROR(__xludf.DUMMYFUNCTION("""COMPUTED_VALUE"""),56)</f>
        <v>56</v>
      </c>
      <c r="G263">
        <f ca="1">IFERROR(__xludf.DUMMYFUNCTION("""COMPUTED_VALUE"""),52)</f>
        <v>52</v>
      </c>
    </row>
    <row r="264" spans="1:7" ht="12.75">
      <c r="A264" t="str">
        <f ca="1">IFERROR(__xludf.DUMMYFUNCTION("""COMPUTED_VALUE"""),"T262")</f>
        <v>T262</v>
      </c>
      <c r="B264" t="str">
        <f ca="1">IFERROR(__xludf.DUMMYFUNCTION("""COMPUTED_VALUE"""),"T254")</f>
        <v>T254</v>
      </c>
      <c r="C264" t="str">
        <f ca="1">IFERROR(__xludf.DUMMYFUNCTION("""COMPUTED_VALUE"""),"Thomas Detry")</f>
        <v>Thomas Detry</v>
      </c>
      <c r="D264">
        <f ca="1">IFERROR(__xludf.DUMMYFUNCTION("""COMPUTED_VALUE"""),8)</f>
        <v>8</v>
      </c>
      <c r="E264">
        <f ca="1">IFERROR(__xludf.DUMMYFUNCTION("""COMPUTED_VALUE"""),92.86)</f>
        <v>92.86</v>
      </c>
      <c r="F264">
        <f ca="1">IFERROR(__xludf.DUMMYFUNCTION("""COMPUTED_VALUE"""),56)</f>
        <v>56</v>
      </c>
      <c r="G264">
        <f ca="1">IFERROR(__xludf.DUMMYFUNCTION("""COMPUTED_VALUE"""),52)</f>
        <v>52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IFERROR(__xludf.DUMMYFUNCTION("""COMPUTED_VALUE"""),245)</f>
        <v>245</v>
      </c>
      <c r="C265" t="str">
        <f ca="1">IFERROR(__xludf.DUMMYFUNCTION("""COMPUTED_VALUE"""),"Luke List")</f>
        <v>Luke List</v>
      </c>
      <c r="D265">
        <f ca="1">IFERROR(__xludf.DUMMYFUNCTION("""COMPUTED_VALUE"""),18)</f>
        <v>18</v>
      </c>
      <c r="E265">
        <f ca="1">IFERROR(__xludf.DUMMYFUNCTION("""COMPUTED_VALUE"""),92.81)</f>
        <v>92.81</v>
      </c>
      <c r="F265">
        <f ca="1">IFERROR(__xludf.DUMMYFUNCTION("""COMPUTED_VALUE"""),153)</f>
        <v>153</v>
      </c>
      <c r="G265">
        <f ca="1">IFERROR(__xludf.DUMMYFUNCTION("""COMPUTED_VALUE"""),142)</f>
        <v>142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IFERROR(__xludf.DUMMYFUNCTION("""COMPUTED_VALUE"""),"Zack Sucher")</f>
        <v>Zack Sucher</v>
      </c>
      <c r="D266">
        <f ca="1">IFERROR(__xludf.DUMMYFUNCTION("""COMPUTED_VALUE"""),6)</f>
        <v>6</v>
      </c>
      <c r="E266">
        <f ca="1">IFERROR(__xludf.DUMMYFUNCTION("""COMPUTED_VALUE"""),92.59)</f>
        <v>92.59</v>
      </c>
      <c r="F266">
        <f ca="1">IFERROR(__xludf.DUMMYFUNCTION("""COMPUTED_VALUE"""),27)</f>
        <v>27</v>
      </c>
      <c r="G266">
        <f ca="1">IFERROR(__xludf.DUMMYFUNCTION("""COMPUTED_VALUE"""),25)</f>
        <v>25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IFERROR(__xludf.DUMMYFUNCTION("""COMPUTED_VALUE"""),261)</f>
        <v>261</v>
      </c>
      <c r="C267" t="str">
        <f ca="1">IFERROR(__xludf.DUMMYFUNCTION("""COMPUTED_VALUE"""),"Matt Jones")</f>
        <v>Matt Jones</v>
      </c>
      <c r="D267">
        <f ca="1">IFERROR(__xludf.DUMMYFUNCTION("""COMPUTED_VALUE"""),20)</f>
        <v>20</v>
      </c>
      <c r="E267">
        <f ca="1">IFERROR(__xludf.DUMMYFUNCTION("""COMPUTED_VALUE"""),92.53)</f>
        <v>92.53</v>
      </c>
      <c r="F267">
        <f ca="1">IFERROR(__xludf.DUMMYFUNCTION("""COMPUTED_VALUE"""),174)</f>
        <v>174</v>
      </c>
      <c r="G267">
        <f ca="1">IFERROR(__xludf.DUMMYFUNCTION("""COMPUTED_VALUE"""),161)</f>
        <v>161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IFERROR(__xludf.DUMMYFUNCTION("""COMPUTED_VALUE"""),258)</f>
        <v>258</v>
      </c>
      <c r="C268" t="str">
        <f ca="1">IFERROR(__xludf.DUMMYFUNCTION("""COMPUTED_VALUE"""),"Matthew Fitzpatrick")</f>
        <v>Matthew Fitzpatrick</v>
      </c>
      <c r="D268">
        <f ca="1">IFERROR(__xludf.DUMMYFUNCTION("""COMPUTED_VALUE"""),10)</f>
        <v>10</v>
      </c>
      <c r="E268">
        <f ca="1">IFERROR(__xludf.DUMMYFUNCTION("""COMPUTED_VALUE"""),92.48)</f>
        <v>92.48</v>
      </c>
      <c r="F268">
        <f ca="1">IFERROR(__xludf.DUMMYFUNCTION("""COMPUTED_VALUE"""),133)</f>
        <v>133</v>
      </c>
      <c r="G268">
        <f ca="1">IFERROR(__xludf.DUMMYFUNCTION("""COMPUTED_VALUE"""),123)</f>
        <v>123</v>
      </c>
    </row>
    <row r="269" spans="1:7" ht="12.75">
      <c r="A269" t="str">
        <f ca="1">IFERROR(__xludf.DUMMYFUNCTION("""COMPUTED_VALUE"""),"T268")</f>
        <v>T268</v>
      </c>
      <c r="B269">
        <f ca="1">IFERROR(__xludf.DUMMYFUNCTION("""COMPUTED_VALUE"""),260)</f>
        <v>260</v>
      </c>
      <c r="C269" t="str">
        <f ca="1">IFERROR(__xludf.DUMMYFUNCTION("""COMPUTED_VALUE"""),"Christiaan Bezuidenhout")</f>
        <v>Christiaan Bezuidenhout</v>
      </c>
      <c r="D269">
        <f ca="1">IFERROR(__xludf.DUMMYFUNCTION("""COMPUTED_VALUE"""),4)</f>
        <v>4</v>
      </c>
      <c r="E269">
        <f ca="1">IFERROR(__xludf.DUMMYFUNCTION("""COMPUTED_VALUE"""),92.31)</f>
        <v>92.31</v>
      </c>
      <c r="F269">
        <f ca="1">IFERROR(__xludf.DUMMYFUNCTION("""COMPUTED_VALUE"""),52)</f>
        <v>52</v>
      </c>
      <c r="G269">
        <f ca="1">IFERROR(__xludf.DUMMYFUNCTION("""COMPUTED_VALUE"""),48)</f>
        <v>48</v>
      </c>
    </row>
    <row r="270" spans="1:7" ht="12.75">
      <c r="A270" t="str">
        <f ca="1">IFERROR(__xludf.DUMMYFUNCTION("""COMPUTED_VALUE"""),"T268")</f>
        <v>T268</v>
      </c>
      <c r="B270">
        <f ca="1">IFERROR(__xludf.DUMMYFUNCTION("""COMPUTED_VALUE"""),253)</f>
        <v>253</v>
      </c>
      <c r="C270" t="str">
        <f ca="1">IFERROR(__xludf.DUMMYFUNCTION("""COMPUTED_VALUE"""),"Graham DeLaet")</f>
        <v>Graham DeLaet</v>
      </c>
      <c r="D270">
        <f ca="1">IFERROR(__xludf.DUMMYFUNCTION("""COMPUTED_VALUE"""),9)</f>
        <v>9</v>
      </c>
      <c r="E270">
        <f ca="1">IFERROR(__xludf.DUMMYFUNCTION("""COMPUTED_VALUE"""),92.31)</f>
        <v>92.31</v>
      </c>
      <c r="F270">
        <f ca="1">IFERROR(__xludf.DUMMYFUNCTION("""COMPUTED_VALUE"""),91)</f>
        <v>91</v>
      </c>
      <c r="G270">
        <f ca="1">IFERROR(__xludf.DUMMYFUNCTION("""COMPUTED_VALUE"""),84)</f>
        <v>84</v>
      </c>
    </row>
    <row r="271" spans="1:7" ht="12.75">
      <c r="A271">
        <f ca="1">IFERROR(__xludf.DUMMYFUNCTION("""COMPUTED_VALUE"""),270)</f>
        <v>270</v>
      </c>
      <c r="B271" t="str">
        <f ca="1">IFERROR(__xludf.DUMMYFUNCTION("""COMPUTED_VALUE"""),"")</f>
        <v/>
      </c>
      <c r="C271" t="str">
        <f ca="1">IFERROR(__xludf.DUMMYFUNCTION("""COMPUTED_VALUE"""),"Ollie Schniederjans")</f>
        <v>Ollie Schniederjans</v>
      </c>
      <c r="D271">
        <f ca="1">IFERROR(__xludf.DUMMYFUNCTION("""COMPUTED_VALUE"""),6)</f>
        <v>6</v>
      </c>
      <c r="E271">
        <f ca="1">IFERROR(__xludf.DUMMYFUNCTION("""COMPUTED_VALUE"""),92)</f>
        <v>92</v>
      </c>
      <c r="F271">
        <f ca="1">IFERROR(__xludf.DUMMYFUNCTION("""COMPUTED_VALUE"""),25)</f>
        <v>25</v>
      </c>
      <c r="G271">
        <f ca="1">IFERROR(__xludf.DUMMYFUNCTION("""COMPUTED_VALUE"""),23)</f>
        <v>23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IFERROR(__xludf.DUMMYFUNCTION("""COMPUTED_VALUE"""),"John Pak")</f>
        <v>John Pak</v>
      </c>
      <c r="D272">
        <f ca="1">IFERROR(__xludf.DUMMYFUNCTION("""COMPUTED_VALUE"""),4)</f>
        <v>4</v>
      </c>
      <c r="E272">
        <f ca="1">IFERROR(__xludf.DUMMYFUNCTION("""COMPUTED_VALUE"""),90.48)</f>
        <v>90.48</v>
      </c>
      <c r="F272">
        <f ca="1">IFERROR(__xludf.DUMMYFUNCTION("""COMPUTED_VALUE"""),63)</f>
        <v>63</v>
      </c>
      <c r="G272">
        <f ca="1">IFERROR(__xludf.DUMMYFUNCTION("""COMPUTED_VALUE"""),57)</f>
        <v>57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IFERROR(__xludf.DUMMYFUNCTION("""COMPUTED_VALUE"""),"Ryan Brehm")</f>
        <v>Ryan Brehm</v>
      </c>
      <c r="D273">
        <f ca="1">IFERROR(__xludf.DUMMYFUNCTION("""COMPUTED_VALUE"""),10)</f>
        <v>10</v>
      </c>
      <c r="E273">
        <f ca="1">IFERROR(__xludf.DUMMYFUNCTION("""COMPUTED_VALUE"""),90.32)</f>
        <v>90.32</v>
      </c>
      <c r="F273">
        <f ca="1">IFERROR(__xludf.DUMMYFUNCTION("""COMPUTED_VALUE"""),31)</f>
        <v>31</v>
      </c>
      <c r="G273">
        <f ca="1">IFERROR(__xludf.DUMMYFUNCTION("""COMPUTED_VALUE"""),28)</f>
        <v>28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IFERROR(__xludf.DUMMYFUNCTION("""COMPUTED_VALUE"""),265)</f>
        <v>265</v>
      </c>
      <c r="C274" t="str">
        <f ca="1">IFERROR(__xludf.DUMMYFUNCTION("""COMPUTED_VALUE"""),"Robert MacIntyre")</f>
        <v>Robert MacIntyre</v>
      </c>
      <c r="D274">
        <f ca="1">IFERROR(__xludf.DUMMYFUNCTION("""COMPUTED_VALUE"""),4)</f>
        <v>4</v>
      </c>
      <c r="E274">
        <f ca="1">IFERROR(__xludf.DUMMYFUNCTION("""COMPUTED_VALUE"""),90.16)</f>
        <v>90.16</v>
      </c>
      <c r="F274">
        <f ca="1">IFERROR(__xludf.DUMMYFUNCTION("""COMPUTED_VALUE"""),61)</f>
        <v>61</v>
      </c>
      <c r="G274">
        <f ca="1">IFERROR(__xludf.DUMMYFUNCTION("""COMPUTED_VALUE"""),55)</f>
        <v>55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IFERROR(__xludf.DUMMYFUNCTION("""COMPUTED_VALUE"""),266)</f>
        <v>266</v>
      </c>
      <c r="C275" t="str">
        <f ca="1">IFERROR(__xludf.DUMMYFUNCTION("""COMPUTED_VALUE"""),"Matthias Schwab")</f>
        <v>Matthias Schwab</v>
      </c>
      <c r="D275">
        <f ca="1">IFERROR(__xludf.DUMMYFUNCTION("""COMPUTED_VALUE"""),8)</f>
        <v>8</v>
      </c>
      <c r="E275">
        <f ca="1">IFERROR(__xludf.DUMMYFUNCTION("""COMPUTED_VALUE"""),89.71)</f>
        <v>89.71</v>
      </c>
      <c r="F275">
        <f ca="1">IFERROR(__xludf.DUMMYFUNCTION("""COMPUTED_VALUE"""),68)</f>
        <v>68</v>
      </c>
      <c r="G275">
        <f ca="1">IFERROR(__xludf.DUMMYFUNCTION("""COMPUTED_VALUE"""),61)</f>
        <v>61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IFERROR(__xludf.DUMMYFUNCTION("""COMPUTED_VALUE"""),"Thomas Pieters")</f>
        <v>Thomas Pieters</v>
      </c>
      <c r="D276">
        <f ca="1">IFERROR(__xludf.DUMMYFUNCTION("""COMPUTED_VALUE"""),4)</f>
        <v>4</v>
      </c>
      <c r="E276">
        <f ca="1">IFERROR(__xludf.DUMMYFUNCTION("""COMPUTED_VALUE"""),86.15)</f>
        <v>86.15</v>
      </c>
      <c r="F276">
        <f ca="1">IFERROR(__xludf.DUMMYFUNCTION("""COMPUTED_VALUE"""),65)</f>
        <v>65</v>
      </c>
      <c r="G276">
        <f ca="1">IFERROR(__xludf.DUMMYFUNCTION("""COMPUTED_VALUE"""),56)</f>
        <v>56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IFERROR(__xludf.DUMMYFUNCTION("""COMPUTED_VALUE"""),"Rasmus Hojgaard")</f>
        <v>Rasmus Hojgaard</v>
      </c>
      <c r="D277">
        <f ca="1">IFERROR(__xludf.DUMMYFUNCTION("""COMPUTED_VALUE"""),6)</f>
        <v>6</v>
      </c>
      <c r="E277">
        <f ca="1">IFERROR(__xludf.DUMMYFUNCTION("""COMPUTED_VALUE"""),84.85)</f>
        <v>84.85</v>
      </c>
      <c r="F277">
        <f ca="1">IFERROR(__xludf.DUMMYFUNCTION("""COMPUTED_VALUE"""),33)</f>
        <v>33</v>
      </c>
      <c r="G277">
        <f ca="1">IFERROR(__xludf.DUMMYFUNCTION("""COMPUTED_VALUE"""),28)</f>
        <v>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G266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IFERROR(__xludf.DUMMYFUNCTION("""COMPUTED_VALUE"""),"%")</f>
        <v>%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IFERROR(__xludf.DUMMYFUNCTION("""COMPUTED_VALUE"""),"")</f>
        <v/>
      </c>
      <c r="C2" t="str">
        <f ca="1">IFERROR(__xludf.DUMMYFUNCTION("""COMPUTED_VALUE"""),"Ollie Schniederjans")</f>
        <v>Ollie Schniederjans</v>
      </c>
      <c r="D2">
        <f ca="1">IFERROR(__xludf.DUMMYFUNCTION("""COMPUTED_VALUE"""),6)</f>
        <v>6</v>
      </c>
      <c r="E2">
        <f ca="1">IFERROR(__xludf.DUMMYFUNCTION("""COMPUTED_VALUE"""),90)</f>
        <v>90</v>
      </c>
      <c r="F2">
        <f ca="1">IFERROR(__xludf.DUMMYFUNCTION("""COMPUTED_VALUE"""),10)</f>
        <v>10</v>
      </c>
      <c r="G2">
        <f ca="1">IFERROR(__xludf.DUMMYFUNCTION("""COMPUTED_VALUE"""),9)</f>
        <v>9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IFERROR(__xludf.DUMMYFUNCTION("""COMPUTED_VALUE"""),1)</f>
        <v>1</v>
      </c>
      <c r="C3" t="str">
        <f ca="1">IFERROR(__xludf.DUMMYFUNCTION("""COMPUTED_VALUE"""),"Peter Malnati")</f>
        <v>Peter Malnati</v>
      </c>
      <c r="D3">
        <f ca="1">IFERROR(__xludf.DUMMYFUNCTION("""COMPUTED_VALUE"""),18)</f>
        <v>18</v>
      </c>
      <c r="E3">
        <f ca="1">IFERROR(__xludf.DUMMYFUNCTION("""COMPUTED_VALUE"""),82.22)</f>
        <v>82.22</v>
      </c>
      <c r="F3">
        <f ca="1">IFERROR(__xludf.DUMMYFUNCTION("""COMPUTED_VALUE"""),45)</f>
        <v>45</v>
      </c>
      <c r="G3">
        <f ca="1">IFERROR(__xludf.DUMMYFUNCTION("""COMPUTED_VALUE"""),37)</f>
        <v>37</v>
      </c>
    </row>
    <row r="4" spans="1:7" ht="15.75" customHeight="1">
      <c r="A4" t="str">
        <f ca="1">IFERROR(__xludf.DUMMYFUNCTION("""COMPUTED_VALUE"""),"T3")</f>
        <v>T3</v>
      </c>
      <c r="B4" t="str">
        <f ca="1">IFERROR(__xludf.DUMMYFUNCTION("""COMPUTED_VALUE"""),"T2")</f>
        <v>T2</v>
      </c>
      <c r="C4" t="str">
        <f ca="1">IFERROR(__xludf.DUMMYFUNCTION("""COMPUTED_VALUE"""),"Ben Taylor")</f>
        <v>Ben Taylor</v>
      </c>
      <c r="D4">
        <f ca="1">IFERROR(__xludf.DUMMYFUNCTION("""COMPUTED_VALUE"""),10)</f>
        <v>10</v>
      </c>
      <c r="E4">
        <f ca="1">IFERROR(__xludf.DUMMYFUNCTION("""COMPUTED_VALUE"""),76.92)</f>
        <v>76.92</v>
      </c>
      <c r="F4">
        <f ca="1">IFERROR(__xludf.DUMMYFUNCTION("""COMPUTED_VALUE"""),13)</f>
        <v>13</v>
      </c>
      <c r="G4">
        <f ca="1">IFERROR(__xludf.DUMMYFUNCTION("""COMPUTED_VALUE"""),10)</f>
        <v>10</v>
      </c>
    </row>
    <row r="5" spans="1:7" ht="15.75" customHeight="1">
      <c r="A5" t="str">
        <f ca="1">IFERROR(__xludf.DUMMYFUNCTION("""COMPUTED_VALUE"""),"T3")</f>
        <v>T3</v>
      </c>
      <c r="B5" t="str">
        <f ca="1">IFERROR(__xludf.DUMMYFUNCTION("""COMPUTED_VALUE"""),"T2")</f>
        <v>T2</v>
      </c>
      <c r="C5" t="str">
        <f ca="1">IFERROR(__xludf.DUMMYFUNCTION("""COMPUTED_VALUE"""),"Hanbyeol Kim")</f>
        <v>Hanbyeol Kim</v>
      </c>
      <c r="D5">
        <f ca="1">IFERROR(__xludf.DUMMYFUNCTION("""COMPUTED_VALUE"""),4)</f>
        <v>4</v>
      </c>
      <c r="E5">
        <f ca="1">IFERROR(__xludf.DUMMYFUNCTION("""COMPUTED_VALUE"""),76.92)</f>
        <v>76.92</v>
      </c>
      <c r="F5">
        <f ca="1">IFERROR(__xludf.DUMMYFUNCTION("""COMPUTED_VALUE"""),13)</f>
        <v>13</v>
      </c>
      <c r="G5">
        <f ca="1">IFERROR(__xludf.DUMMYFUNCTION("""COMPUTED_VALUE"""),10)</f>
        <v>10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IFERROR(__xludf.DUMMYFUNCTION("""COMPUTED_VALUE"""),"Xander Schauffele")</f>
        <v>Xander Schauffele</v>
      </c>
      <c r="D6">
        <f ca="1">IFERROR(__xludf.DUMMYFUNCTION("""COMPUTED_VALUE"""),12)</f>
        <v>12</v>
      </c>
      <c r="E6">
        <f ca="1">IFERROR(__xludf.DUMMYFUNCTION("""COMPUTED_VALUE"""),76)</f>
        <v>76</v>
      </c>
      <c r="F6">
        <f ca="1">IFERROR(__xludf.DUMMYFUNCTION("""COMPUTED_VALUE"""),50)</f>
        <v>50</v>
      </c>
      <c r="G6">
        <f ca="1">IFERROR(__xludf.DUMMYFUNCTION("""COMPUTED_VALUE"""),38)</f>
        <v>38</v>
      </c>
    </row>
    <row r="7" spans="1:7" ht="15.75" customHeight="1">
      <c r="A7">
        <f ca="1">IFERROR(__xludf.DUMMYFUNCTION("""COMPUTED_VALUE"""),6)</f>
        <v>6</v>
      </c>
      <c r="B7" t="str">
        <f ca="1">IFERROR(__xludf.DUMMYFUNCTION("""COMPUTED_VALUE"""),"T5")</f>
        <v>T5</v>
      </c>
      <c r="C7" t="str">
        <f ca="1">IFERROR(__xludf.DUMMYFUNCTION("""COMPUTED_VALUE"""),"Brad Kennedy")</f>
        <v>Brad Kennedy</v>
      </c>
      <c r="D7">
        <f ca="1">IFERROR(__xludf.DUMMYFUNCTION("""COMPUTED_VALUE"""),4)</f>
        <v>4</v>
      </c>
      <c r="E7">
        <f ca="1">IFERROR(__xludf.DUMMYFUNCTION("""COMPUTED_VALUE"""),75)</f>
        <v>75</v>
      </c>
      <c r="F7">
        <f ca="1">IFERROR(__xludf.DUMMYFUNCTION("""COMPUTED_VALUE"""),24)</f>
        <v>24</v>
      </c>
      <c r="G7">
        <f ca="1">IFERROR(__xludf.DUMMYFUNCTION("""COMPUTED_VALUE"""),18)</f>
        <v>18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IFERROR(__xludf.DUMMYFUNCTION("""COMPUTED_VALUE"""),"Jason Kokrak")</f>
        <v>Jason Kokrak</v>
      </c>
      <c r="D8">
        <f ca="1">IFERROR(__xludf.DUMMYFUNCTION("""COMPUTED_VALUE"""),14)</f>
        <v>14</v>
      </c>
      <c r="E8">
        <f ca="1">IFERROR(__xludf.DUMMYFUNCTION("""COMPUTED_VALUE"""),74.55)</f>
        <v>74.55</v>
      </c>
      <c r="F8">
        <f ca="1">IFERROR(__xludf.DUMMYFUNCTION("""COMPUTED_VALUE"""),55)</f>
        <v>55</v>
      </c>
      <c r="G8">
        <f ca="1">IFERROR(__xludf.DUMMYFUNCTION("""COMPUTED_VALUE"""),41)</f>
        <v>41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IFERROR(__xludf.DUMMYFUNCTION("""COMPUTED_VALUE"""),9)</f>
        <v>9</v>
      </c>
      <c r="C9" t="str">
        <f ca="1">IFERROR(__xludf.DUMMYFUNCTION("""COMPUTED_VALUE"""),"Shaun Norris")</f>
        <v>Shaun Norris</v>
      </c>
      <c r="D9">
        <f ca="1">IFERROR(__xludf.DUMMYFUNCTION("""COMPUTED_VALUE"""),6)</f>
        <v>6</v>
      </c>
      <c r="E9">
        <f ca="1">IFERROR(__xludf.DUMMYFUNCTION("""COMPUTED_VALUE"""),73.68)</f>
        <v>73.680000000000007</v>
      </c>
      <c r="F9">
        <f ca="1">IFERROR(__xludf.DUMMYFUNCTION("""COMPUTED_VALUE"""),19)</f>
        <v>19</v>
      </c>
      <c r="G9">
        <f ca="1">IFERROR(__xludf.DUMMYFUNCTION("""COMPUTED_VALUE"""),14)</f>
        <v>14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IFERROR(__xludf.DUMMYFUNCTION("""COMPUTED_VALUE"""),"T10")</f>
        <v>T10</v>
      </c>
      <c r="C10" t="str">
        <f ca="1">IFERROR(__xludf.DUMMYFUNCTION("""COMPUTED_VALUE"""),"Lucas Herbert")</f>
        <v>Lucas Herbert</v>
      </c>
      <c r="D10">
        <f ca="1">IFERROR(__xludf.DUMMYFUNCTION("""COMPUTED_VALUE"""),4)</f>
        <v>4</v>
      </c>
      <c r="E10">
        <f ca="1">IFERROR(__xludf.DUMMYFUNCTION("""COMPUTED_VALUE"""),73.33)</f>
        <v>73.33</v>
      </c>
      <c r="F10">
        <f ca="1">IFERROR(__xludf.DUMMYFUNCTION("""COMPUTED_VALUE"""),15)</f>
        <v>15</v>
      </c>
      <c r="G10">
        <f ca="1">IFERROR(__xludf.DUMMYFUNCTION("""COMPUTED_VALUE"""),11)</f>
        <v>11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IFERROR(__xludf.DUMMYFUNCTION("""COMPUTED_VALUE"""),"T10")</f>
        <v>T10</v>
      </c>
      <c r="C11" t="str">
        <f ca="1">IFERROR(__xludf.DUMMYFUNCTION("""COMPUTED_VALUE"""),"Mikumu Horikawa")</f>
        <v>Mikumu Horikawa</v>
      </c>
      <c r="D11">
        <f ca="1">IFERROR(__xludf.DUMMYFUNCTION("""COMPUTED_VALUE"""),4)</f>
        <v>4</v>
      </c>
      <c r="E11">
        <f ca="1">IFERROR(__xludf.DUMMYFUNCTION("""COMPUTED_VALUE"""),73.33)</f>
        <v>73.33</v>
      </c>
      <c r="F11">
        <f ca="1">IFERROR(__xludf.DUMMYFUNCTION("""COMPUTED_VALUE"""),15)</f>
        <v>15</v>
      </c>
      <c r="G11">
        <f ca="1">IFERROR(__xludf.DUMMYFUNCTION("""COMPUTED_VALUE"""),11)</f>
        <v>11</v>
      </c>
    </row>
    <row r="12" spans="1:7" ht="15.75" customHeight="1">
      <c r="A12" t="str">
        <f ca="1">IFERROR(__xludf.DUMMYFUNCTION("""COMPUTED_VALUE"""),"T9")</f>
        <v>T9</v>
      </c>
      <c r="B12" t="str">
        <f ca="1">IFERROR(__xludf.DUMMYFUNCTION("""COMPUTED_VALUE"""),"T10")</f>
        <v>T10</v>
      </c>
      <c r="C12" t="str">
        <f ca="1">IFERROR(__xludf.DUMMYFUNCTION("""COMPUTED_VALUE"""),"Chris Stroud")</f>
        <v>Chris Stroud</v>
      </c>
      <c r="D12">
        <f ca="1">IFERROR(__xludf.DUMMYFUNCTION("""COMPUTED_VALUE"""),6)</f>
        <v>6</v>
      </c>
      <c r="E12">
        <f ca="1">IFERROR(__xludf.DUMMYFUNCTION("""COMPUTED_VALUE"""),73.33)</f>
        <v>73.33</v>
      </c>
      <c r="F12">
        <f ca="1">IFERROR(__xludf.DUMMYFUNCTION("""COMPUTED_VALUE"""),15)</f>
        <v>15</v>
      </c>
      <c r="G12">
        <f ca="1">IFERROR(__xludf.DUMMYFUNCTION("""COMPUTED_VALUE"""),11)</f>
        <v>11</v>
      </c>
    </row>
    <row r="13" spans="1:7" ht="15.75" customHeight="1">
      <c r="A13" t="str">
        <f ca="1">IFERROR(__xludf.DUMMYFUNCTION("""COMPUTED_VALUE"""),"T9")</f>
        <v>T9</v>
      </c>
      <c r="B13">
        <f ca="1">IFERROR(__xludf.DUMMYFUNCTION("""COMPUTED_VALUE"""),16)</f>
        <v>16</v>
      </c>
      <c r="C13" t="str">
        <f ca="1">IFERROR(__xludf.DUMMYFUNCTION("""COMPUTED_VALUE"""),"David Hearn")</f>
        <v>David Hearn</v>
      </c>
      <c r="D13">
        <f ca="1">IFERROR(__xludf.DUMMYFUNCTION("""COMPUTED_VALUE"""),16)</f>
        <v>16</v>
      </c>
      <c r="E13">
        <f ca="1">IFERROR(__xludf.DUMMYFUNCTION("""COMPUTED_VALUE"""),73.33)</f>
        <v>73.33</v>
      </c>
      <c r="F13">
        <f ca="1">IFERROR(__xludf.DUMMYFUNCTION("""COMPUTED_VALUE"""),30)</f>
        <v>30</v>
      </c>
      <c r="G13">
        <f ca="1">IFERROR(__xludf.DUMMYFUNCTION("""COMPUTED_VALUE"""),22)</f>
        <v>22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IFERROR(__xludf.DUMMYFUNCTION("""COMPUTED_VALUE"""),"Jazz Janewattananond")</f>
        <v>Jazz Janewattananond</v>
      </c>
      <c r="D14">
        <f ca="1">IFERROR(__xludf.DUMMYFUNCTION("""COMPUTED_VALUE"""),6)</f>
        <v>6</v>
      </c>
      <c r="E14">
        <f ca="1">IFERROR(__xludf.DUMMYFUNCTION("""COMPUTED_VALUE"""),72.73)</f>
        <v>72.73</v>
      </c>
      <c r="F14">
        <f ca="1">IFERROR(__xludf.DUMMYFUNCTION("""COMPUTED_VALUE"""),22)</f>
        <v>22</v>
      </c>
      <c r="G14">
        <f ca="1">IFERROR(__xludf.DUMMYFUNCTION("""COMPUTED_VALUE"""),16)</f>
        <v>16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IFERROR(__xludf.DUMMYFUNCTION("""COMPUTED_VALUE"""),14)</f>
        <v>14</v>
      </c>
      <c r="C15" t="str">
        <f ca="1">IFERROR(__xludf.DUMMYFUNCTION("""COMPUTED_VALUE"""),"Rhein Gibson")</f>
        <v>Rhein Gibson</v>
      </c>
      <c r="D15">
        <f ca="1">IFERROR(__xludf.DUMMYFUNCTION("""COMPUTED_VALUE"""),10)</f>
        <v>10</v>
      </c>
      <c r="E15">
        <f ca="1">IFERROR(__xludf.DUMMYFUNCTION("""COMPUTED_VALUE"""),72.22)</f>
        <v>72.22</v>
      </c>
      <c r="F15">
        <f ca="1">IFERROR(__xludf.DUMMYFUNCTION("""COMPUTED_VALUE"""),18)</f>
        <v>18</v>
      </c>
      <c r="G15">
        <f ca="1">IFERROR(__xludf.DUMMYFUNCTION("""COMPUTED_VALUE"""),13)</f>
        <v>13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IFERROR(__xludf.DUMMYFUNCTION("""COMPUTED_VALUE"""),"Webb Simpson")</f>
        <v>Webb Simpson</v>
      </c>
      <c r="D16">
        <f ca="1">IFERROR(__xludf.DUMMYFUNCTION("""COMPUTED_VALUE"""),12)</f>
        <v>12</v>
      </c>
      <c r="E16">
        <f ca="1">IFERROR(__xludf.DUMMYFUNCTION("""COMPUTED_VALUE"""),72.13)</f>
        <v>72.13</v>
      </c>
      <c r="F16">
        <f ca="1">IFERROR(__xludf.DUMMYFUNCTION("""COMPUTED_VALUE"""),61)</f>
        <v>61</v>
      </c>
      <c r="G16">
        <f ca="1">IFERROR(__xludf.DUMMYFUNCTION("""COMPUTED_VALUE"""),44)</f>
        <v>44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IFERROR(__xludf.DUMMYFUNCTION("""COMPUTED_VALUE"""),18)</f>
        <v>18</v>
      </c>
      <c r="C17" t="str">
        <f ca="1">IFERROR(__xludf.DUMMYFUNCTION("""COMPUTED_VALUE"""),"Cameron Percy")</f>
        <v>Cameron Percy</v>
      </c>
      <c r="D17">
        <f ca="1">IFERROR(__xludf.DUMMYFUNCTION("""COMPUTED_VALUE"""),16)</f>
        <v>16</v>
      </c>
      <c r="E17">
        <f ca="1">IFERROR(__xludf.DUMMYFUNCTION("""COMPUTED_VALUE"""),70.97)</f>
        <v>70.97</v>
      </c>
      <c r="F17">
        <f ca="1">IFERROR(__xludf.DUMMYFUNCTION("""COMPUTED_VALUE"""),31)</f>
        <v>31</v>
      </c>
      <c r="G17">
        <f ca="1">IFERROR(__xludf.DUMMYFUNCTION("""COMPUTED_VALUE"""),22)</f>
        <v>22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IFERROR(__xludf.DUMMYFUNCTION("""COMPUTED_VALUE"""),19)</f>
        <v>19</v>
      </c>
      <c r="C18" t="str">
        <f ca="1">IFERROR(__xludf.DUMMYFUNCTION("""COMPUTED_VALUE"""),"Ryo Ishikawa")</f>
        <v>Ryo Ishikawa</v>
      </c>
      <c r="D18">
        <f ca="1">IFERROR(__xludf.DUMMYFUNCTION("""COMPUTED_VALUE"""),8)</f>
        <v>8</v>
      </c>
      <c r="E18">
        <f ca="1">IFERROR(__xludf.DUMMYFUNCTION("""COMPUTED_VALUE"""),70.59)</f>
        <v>70.59</v>
      </c>
      <c r="F18">
        <f ca="1">IFERROR(__xludf.DUMMYFUNCTION("""COMPUTED_VALUE"""),34)</f>
        <v>34</v>
      </c>
      <c r="G18">
        <f ca="1">IFERROR(__xludf.DUMMYFUNCTION("""COMPUTED_VALUE"""),24)</f>
        <v>24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IFERROR(__xludf.DUMMYFUNCTION("""COMPUTED_VALUE"""),20)</f>
        <v>20</v>
      </c>
      <c r="C19" t="str">
        <f ca="1">IFERROR(__xludf.DUMMYFUNCTION("""COMPUTED_VALUE"""),"Patrick Reed")</f>
        <v>Patrick Reed</v>
      </c>
      <c r="D19">
        <f ca="1">IFERROR(__xludf.DUMMYFUNCTION("""COMPUTED_VALUE"""),8)</f>
        <v>8</v>
      </c>
      <c r="E19">
        <f ca="1">IFERROR(__xludf.DUMMYFUNCTION("""COMPUTED_VALUE"""),70.37)</f>
        <v>70.37</v>
      </c>
      <c r="F19">
        <f ca="1">IFERROR(__xludf.DUMMYFUNCTION("""COMPUTED_VALUE"""),27)</f>
        <v>27</v>
      </c>
      <c r="G19">
        <f ca="1">IFERROR(__xludf.DUMMYFUNCTION("""COMPUTED_VALUE"""),19)</f>
        <v>19</v>
      </c>
    </row>
    <row r="20" spans="1:7" ht="15.75" customHeight="1">
      <c r="A20">
        <f ca="1">IFERROR(__xludf.DUMMYFUNCTION("""COMPUTED_VALUE"""),19)</f>
        <v>19</v>
      </c>
      <c r="B20" t="str">
        <f ca="1">IFERROR(__xludf.DUMMYFUNCTION("""COMPUTED_VALUE"""),"T54")</f>
        <v>T54</v>
      </c>
      <c r="C20" t="str">
        <f ca="1">IFERROR(__xludf.DUMMYFUNCTION("""COMPUTED_VALUE"""),"Adam Scott")</f>
        <v>Adam Scott</v>
      </c>
      <c r="D20">
        <f ca="1">IFERROR(__xludf.DUMMYFUNCTION("""COMPUTED_VALUE"""),8)</f>
        <v>8</v>
      </c>
      <c r="E20">
        <f ca="1">IFERROR(__xludf.DUMMYFUNCTION("""COMPUTED_VALUE"""),70.27)</f>
        <v>70.27</v>
      </c>
      <c r="F20">
        <f ca="1">IFERROR(__xludf.DUMMYFUNCTION("""COMPUTED_VALUE"""),37)</f>
        <v>37</v>
      </c>
      <c r="G20">
        <f ca="1">IFERROR(__xludf.DUMMYFUNCTION("""COMPUTED_VALUE"""),26)</f>
        <v>26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IFERROR(__xludf.DUMMYFUNCTION("""COMPUTED_VALUE"""),"T37")</f>
        <v>T37</v>
      </c>
      <c r="C21" t="str">
        <f ca="1">IFERROR(__xludf.DUMMYFUNCTION("""COMPUTED_VALUE"""),"Isaiah Salinda")</f>
        <v>Isaiah Salinda</v>
      </c>
      <c r="D21">
        <f ca="1">IFERROR(__xludf.DUMMYFUNCTION("""COMPUTED_VALUE"""),8)</f>
        <v>8</v>
      </c>
      <c r="E21">
        <f ca="1">IFERROR(__xludf.DUMMYFUNCTION("""COMPUTED_VALUE"""),70)</f>
        <v>70</v>
      </c>
      <c r="F21">
        <f ca="1">IFERROR(__xludf.DUMMYFUNCTION("""COMPUTED_VALUE"""),30)</f>
        <v>30</v>
      </c>
      <c r="G21">
        <f ca="1">IFERROR(__xludf.DUMMYFUNCTION("""COMPUTED_VALUE"""),21)</f>
        <v>21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IFERROR(__xludf.DUMMYFUNCTION("""COMPUTED_VALUE"""),8)</f>
        <v>8</v>
      </c>
      <c r="C22" t="str">
        <f ca="1">IFERROR(__xludf.DUMMYFUNCTION("""COMPUTED_VALUE"""),"J.T. Poston")</f>
        <v>J.T. Poston</v>
      </c>
      <c r="D22">
        <f ca="1">IFERROR(__xludf.DUMMYFUNCTION("""COMPUTED_VALUE"""),18)</f>
        <v>18</v>
      </c>
      <c r="E22">
        <f ca="1">IFERROR(__xludf.DUMMYFUNCTION("""COMPUTED_VALUE"""),69.77)</f>
        <v>69.77</v>
      </c>
      <c r="F22">
        <f ca="1">IFERROR(__xludf.DUMMYFUNCTION("""COMPUTED_VALUE"""),86)</f>
        <v>86</v>
      </c>
      <c r="G22">
        <f ca="1">IFERROR(__xludf.DUMMYFUNCTION("""COMPUTED_VALUE"""),60)</f>
        <v>60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IFERROR(__xludf.DUMMYFUNCTION("""COMPUTED_VALUE"""),"T25")</f>
        <v>T25</v>
      </c>
      <c r="C23" t="str">
        <f ca="1">IFERROR(__xludf.DUMMYFUNCTION("""COMPUTED_VALUE"""),"Brendon Todd")</f>
        <v>Brendon Todd</v>
      </c>
      <c r="D23">
        <f ca="1">IFERROR(__xludf.DUMMYFUNCTION("""COMPUTED_VALUE"""),14)</f>
        <v>14</v>
      </c>
      <c r="E23">
        <f ca="1">IFERROR(__xludf.DUMMYFUNCTION("""COMPUTED_VALUE"""),69.23)</f>
        <v>69.23</v>
      </c>
      <c r="F23">
        <f ca="1">IFERROR(__xludf.DUMMYFUNCTION("""COMPUTED_VALUE"""),65)</f>
        <v>65</v>
      </c>
      <c r="G23">
        <f ca="1">IFERROR(__xludf.DUMMYFUNCTION("""COMPUTED_VALUE"""),45)</f>
        <v>45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IFERROR(__xludf.DUMMYFUNCTION("""COMPUTED_VALUE"""),28)</f>
        <v>28</v>
      </c>
      <c r="C24" t="str">
        <f ca="1">IFERROR(__xludf.DUMMYFUNCTION("""COMPUTED_VALUE"""),"Chesson Hadley")</f>
        <v>Chesson Hadley</v>
      </c>
      <c r="D24">
        <f ca="1">IFERROR(__xludf.DUMMYFUNCTION("""COMPUTED_VALUE"""),16)</f>
        <v>16</v>
      </c>
      <c r="E24">
        <f ca="1">IFERROR(__xludf.DUMMYFUNCTION("""COMPUTED_VALUE"""),68.85)</f>
        <v>68.849999999999994</v>
      </c>
      <c r="F24">
        <f ca="1">IFERROR(__xludf.DUMMYFUNCTION("""COMPUTED_VALUE"""),61)</f>
        <v>61</v>
      </c>
      <c r="G24">
        <f ca="1">IFERROR(__xludf.DUMMYFUNCTION("""COMPUTED_VALUE"""),42)</f>
        <v>42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IFERROR(__xludf.DUMMYFUNCTION("""COMPUTED_VALUE"""),"T54")</f>
        <v>T54</v>
      </c>
      <c r="C25" t="str">
        <f ca="1">IFERROR(__xludf.DUMMYFUNCTION("""COMPUTED_VALUE"""),"Beau Hossler")</f>
        <v>Beau Hossler</v>
      </c>
      <c r="D25">
        <f ca="1">IFERROR(__xludf.DUMMYFUNCTION("""COMPUTED_VALUE"""),22)</f>
        <v>22</v>
      </c>
      <c r="E25">
        <f ca="1">IFERROR(__xludf.DUMMYFUNCTION("""COMPUTED_VALUE"""),68.63)</f>
        <v>68.63</v>
      </c>
      <c r="F25">
        <f ca="1">IFERROR(__xludf.DUMMYFUNCTION("""COMPUTED_VALUE"""),51)</f>
        <v>51</v>
      </c>
      <c r="G25">
        <f ca="1">IFERROR(__xludf.DUMMYFUNCTION("""COMPUTED_VALUE"""),35)</f>
        <v>35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IFERROR(__xludf.DUMMYFUNCTION("""COMPUTED_VALUE"""),"T21")</f>
        <v>T21</v>
      </c>
      <c r="C26" t="str">
        <f ca="1">IFERROR(__xludf.DUMMYFUNCTION("""COMPUTED_VALUE"""),"Bo Hoag")</f>
        <v>Bo Hoag</v>
      </c>
      <c r="D26">
        <f ca="1">IFERROR(__xludf.DUMMYFUNCTION("""COMPUTED_VALUE"""),14)</f>
        <v>14</v>
      </c>
      <c r="E26">
        <f ca="1">IFERROR(__xludf.DUMMYFUNCTION("""COMPUTED_VALUE"""),68.57)</f>
        <v>68.569999999999993</v>
      </c>
      <c r="F26">
        <f ca="1">IFERROR(__xludf.DUMMYFUNCTION("""COMPUTED_VALUE"""),35)</f>
        <v>35</v>
      </c>
      <c r="G26">
        <f ca="1">IFERROR(__xludf.DUMMYFUNCTION("""COMPUTED_VALUE"""),24)</f>
        <v>24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IFERROR(__xludf.DUMMYFUNCTION("""COMPUTED_VALUE"""),30)</f>
        <v>30</v>
      </c>
      <c r="C27" t="str">
        <f ca="1">IFERROR(__xludf.DUMMYFUNCTION("""COMPUTED_VALUE"""),"Joaquin Niemann")</f>
        <v>Joaquin Niemann</v>
      </c>
      <c r="D27">
        <f ca="1">IFERROR(__xludf.DUMMYFUNCTION("""COMPUTED_VALUE"""),16)</f>
        <v>16</v>
      </c>
      <c r="E27">
        <f ca="1">IFERROR(__xludf.DUMMYFUNCTION("""COMPUTED_VALUE"""),68)</f>
        <v>68</v>
      </c>
      <c r="F27">
        <f ca="1">IFERROR(__xludf.DUMMYFUNCTION("""COMPUTED_VALUE"""),75)</f>
        <v>75</v>
      </c>
      <c r="G27">
        <f ca="1">IFERROR(__xludf.DUMMYFUNCTION("""COMPUTED_VALUE"""),51)</f>
        <v>51</v>
      </c>
    </row>
    <row r="28" spans="1:7" ht="15.75" customHeight="1">
      <c r="A28" t="str">
        <f ca="1">IFERROR(__xludf.DUMMYFUNCTION("""COMPUTED_VALUE"""),"T27")</f>
        <v>T27</v>
      </c>
      <c r="B28" t="str">
        <f ca="1">IFERROR(__xludf.DUMMYFUNCTION("""COMPUTED_VALUE"""),"T31")</f>
        <v>T31</v>
      </c>
      <c r="C28" t="str">
        <f ca="1">IFERROR(__xludf.DUMMYFUNCTION("""COMPUTED_VALUE"""),"Sahith Theegala")</f>
        <v>Sahith Theegala</v>
      </c>
      <c r="D28">
        <f ca="1">IFERROR(__xludf.DUMMYFUNCTION("""COMPUTED_VALUE"""),6)</f>
        <v>6</v>
      </c>
      <c r="E28">
        <f ca="1">IFERROR(__xludf.DUMMYFUNCTION("""COMPUTED_VALUE"""),67.86)</f>
        <v>67.86</v>
      </c>
      <c r="F28">
        <f ca="1">IFERROR(__xludf.DUMMYFUNCTION("""COMPUTED_VALUE"""),28)</f>
        <v>28</v>
      </c>
      <c r="G28">
        <f ca="1">IFERROR(__xludf.DUMMYFUNCTION("""COMPUTED_VALUE"""),19)</f>
        <v>19</v>
      </c>
    </row>
    <row r="29" spans="1:7" ht="15.75" customHeight="1">
      <c r="A29" t="str">
        <f ca="1">IFERROR(__xludf.DUMMYFUNCTION("""COMPUTED_VALUE"""),"T27")</f>
        <v>T27</v>
      </c>
      <c r="B29">
        <f ca="1">IFERROR(__xludf.DUMMYFUNCTION("""COMPUTED_VALUE"""),48)</f>
        <v>48</v>
      </c>
      <c r="C29" t="str">
        <f ca="1">IFERROR(__xludf.DUMMYFUNCTION("""COMPUTED_VALUE"""),"Brice Garnett")</f>
        <v>Brice Garnett</v>
      </c>
      <c r="D29">
        <f ca="1">IFERROR(__xludf.DUMMYFUNCTION("""COMPUTED_VALUE"""),22)</f>
        <v>22</v>
      </c>
      <c r="E29">
        <f ca="1">IFERROR(__xludf.DUMMYFUNCTION("""COMPUTED_VALUE"""),67.86)</f>
        <v>67.86</v>
      </c>
      <c r="F29">
        <f ca="1">IFERROR(__xludf.DUMMYFUNCTION("""COMPUTED_VALUE"""),56)</f>
        <v>56</v>
      </c>
      <c r="G29">
        <f ca="1">IFERROR(__xludf.DUMMYFUNCTION("""COMPUTED_VALUE"""),38)</f>
        <v>38</v>
      </c>
    </row>
    <row r="30" spans="1:7" ht="15.75" customHeight="1">
      <c r="A30" t="str">
        <f ca="1">IFERROR(__xludf.DUMMYFUNCTION("""COMPUTED_VALUE"""),"T27")</f>
        <v>T27</v>
      </c>
      <c r="B30" t="str">
        <f ca="1">IFERROR(__xludf.DUMMYFUNCTION("""COMPUTED_VALUE"""),"T31")</f>
        <v>T31</v>
      </c>
      <c r="C30" t="str">
        <f ca="1">IFERROR(__xludf.DUMMYFUNCTION("""COMPUTED_VALUE"""),"Rory McIlroy")</f>
        <v>Rory McIlroy</v>
      </c>
      <c r="D30">
        <f ca="1">IFERROR(__xludf.DUMMYFUNCTION("""COMPUTED_VALUE"""),12)</f>
        <v>12</v>
      </c>
      <c r="E30">
        <f ca="1">IFERROR(__xludf.DUMMYFUNCTION("""COMPUTED_VALUE"""),67.86)</f>
        <v>67.86</v>
      </c>
      <c r="F30">
        <f ca="1">IFERROR(__xludf.DUMMYFUNCTION("""COMPUTED_VALUE"""),56)</f>
        <v>56</v>
      </c>
      <c r="G30">
        <f ca="1">IFERROR(__xludf.DUMMYFUNCTION("""COMPUTED_VALUE"""),38)</f>
        <v>38</v>
      </c>
    </row>
    <row r="31" spans="1:7" ht="12.75">
      <c r="A31">
        <f ca="1">IFERROR(__xludf.DUMMYFUNCTION("""COMPUTED_VALUE"""),30)</f>
        <v>30</v>
      </c>
      <c r="B31" t="str">
        <f ca="1">IFERROR(__xludf.DUMMYFUNCTION("""COMPUTED_VALUE"""),"T34")</f>
        <v>T34</v>
      </c>
      <c r="C31" t="str">
        <f ca="1">IFERROR(__xludf.DUMMYFUNCTION("""COMPUTED_VALUE"""),"Charles Howell III")</f>
        <v>Charles Howell III</v>
      </c>
      <c r="D31">
        <f ca="1">IFERROR(__xludf.DUMMYFUNCTION("""COMPUTED_VALUE"""),10)</f>
        <v>10</v>
      </c>
      <c r="E31">
        <f ca="1">IFERROR(__xludf.DUMMYFUNCTION("""COMPUTED_VALUE"""),67.39)</f>
        <v>67.39</v>
      </c>
      <c r="F31">
        <f ca="1">IFERROR(__xludf.DUMMYFUNCTION("""COMPUTED_VALUE"""),46)</f>
        <v>46</v>
      </c>
      <c r="G31">
        <f ca="1">IFERROR(__xludf.DUMMYFUNCTION("""COMPUTED_VALUE"""),31)</f>
        <v>31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IFERROR(__xludf.DUMMYFUNCTION("""COMPUTED_VALUE"""),36)</f>
        <v>36</v>
      </c>
      <c r="C32" t="str">
        <f ca="1">IFERROR(__xludf.DUMMYFUNCTION("""COMPUTED_VALUE"""),"Michael Gligic")</f>
        <v>Michael Gligic</v>
      </c>
      <c r="D32">
        <f ca="1">IFERROR(__xludf.DUMMYFUNCTION("""COMPUTED_VALUE"""),18)</f>
        <v>18</v>
      </c>
      <c r="E32">
        <f ca="1">IFERROR(__xludf.DUMMYFUNCTION("""COMPUTED_VALUE"""),67.35)</f>
        <v>67.349999999999994</v>
      </c>
      <c r="F32">
        <f ca="1">IFERROR(__xludf.DUMMYFUNCTION("""COMPUTED_VALUE"""),49)</f>
        <v>49</v>
      </c>
      <c r="G32">
        <f ca="1">IFERROR(__xludf.DUMMYFUNCTION("""COMPUTED_VALUE"""),33)</f>
        <v>33</v>
      </c>
    </row>
    <row r="33" spans="1:7" ht="12.75">
      <c r="A33" t="str">
        <f ca="1">IFERROR(__xludf.DUMMYFUNCTION("""COMPUTED_VALUE"""),"T32")</f>
        <v>T32</v>
      </c>
      <c r="B33" t="str">
        <f ca="1">IFERROR(__xludf.DUMMYFUNCTION("""COMPUTED_VALUE"""),"T37")</f>
        <v>T37</v>
      </c>
      <c r="C33" t="str">
        <f ca="1">IFERROR(__xludf.DUMMYFUNCTION("""COMPUTED_VALUE"""),"Takumi Kanaya")</f>
        <v>Takumi Kanaya</v>
      </c>
      <c r="D33">
        <f ca="1">IFERROR(__xludf.DUMMYFUNCTION("""COMPUTED_VALUE"""),6)</f>
        <v>6</v>
      </c>
      <c r="E33">
        <f ca="1">IFERROR(__xludf.DUMMYFUNCTION("""COMPUTED_VALUE"""),66.67)</f>
        <v>66.67</v>
      </c>
      <c r="F33">
        <f ca="1">IFERROR(__xludf.DUMMYFUNCTION("""COMPUTED_VALUE"""),24)</f>
        <v>24</v>
      </c>
      <c r="G33">
        <f ca="1">IFERROR(__xludf.DUMMYFUNCTION("""COMPUTED_VALUE"""),16)</f>
        <v>16</v>
      </c>
    </row>
    <row r="34" spans="1:7" ht="12.75">
      <c r="A34" t="str">
        <f ca="1">IFERROR(__xludf.DUMMYFUNCTION("""COMPUTED_VALUE"""),"T32")</f>
        <v>T32</v>
      </c>
      <c r="B34" t="str">
        <f ca="1">IFERROR(__xludf.DUMMYFUNCTION("""COMPUTED_VALUE"""),"T37")</f>
        <v>T37</v>
      </c>
      <c r="C34" t="str">
        <f ca="1">IFERROR(__xludf.DUMMYFUNCTION("""COMPUTED_VALUE"""),"Romain Langasque")</f>
        <v>Romain Langasque</v>
      </c>
      <c r="D34">
        <f ca="1">IFERROR(__xludf.DUMMYFUNCTION("""COMPUTED_VALUE"""),4)</f>
        <v>4</v>
      </c>
      <c r="E34">
        <f ca="1">IFERROR(__xludf.DUMMYFUNCTION("""COMPUTED_VALUE"""),66.67)</f>
        <v>66.67</v>
      </c>
      <c r="F34">
        <f ca="1">IFERROR(__xludf.DUMMYFUNCTION("""COMPUTED_VALUE"""),15)</f>
        <v>15</v>
      </c>
      <c r="G34">
        <f ca="1">IFERROR(__xludf.DUMMYFUNCTION("""COMPUTED_VALUE"""),10)</f>
        <v>10</v>
      </c>
    </row>
    <row r="35" spans="1:7" ht="12.75">
      <c r="A35" t="str">
        <f ca="1">IFERROR(__xludf.DUMMYFUNCTION("""COMPUTED_VALUE"""),"T32")</f>
        <v>T32</v>
      </c>
      <c r="B35" t="str">
        <f ca="1">IFERROR(__xludf.DUMMYFUNCTION("""COMPUTED_VALUE"""),"T37")</f>
        <v>T37</v>
      </c>
      <c r="C35" t="str">
        <f ca="1">IFERROR(__xludf.DUMMYFUNCTION("""COMPUTED_VALUE"""),"Cameron Smith")</f>
        <v>Cameron Smith</v>
      </c>
      <c r="D35">
        <f ca="1">IFERROR(__xludf.DUMMYFUNCTION("""COMPUTED_VALUE"""),16)</f>
        <v>16</v>
      </c>
      <c r="E35">
        <f ca="1">IFERROR(__xludf.DUMMYFUNCTION("""COMPUTED_VALUE"""),66.67)</f>
        <v>66.67</v>
      </c>
      <c r="F35">
        <f ca="1">IFERROR(__xludf.DUMMYFUNCTION("""COMPUTED_VALUE"""),72)</f>
        <v>72</v>
      </c>
      <c r="G35">
        <f ca="1">IFERROR(__xludf.DUMMYFUNCTION("""COMPUTED_VALUE"""),48)</f>
        <v>48</v>
      </c>
    </row>
    <row r="36" spans="1:7" ht="12.75">
      <c r="A36" t="str">
        <f ca="1">IFERROR(__xludf.DUMMYFUNCTION("""COMPUTED_VALUE"""),"T32")</f>
        <v>T32</v>
      </c>
      <c r="B36" t="str">
        <f ca="1">IFERROR(__xludf.DUMMYFUNCTION("""COMPUTED_VALUE"""),"T37")</f>
        <v>T37</v>
      </c>
      <c r="C36" t="str">
        <f ca="1">IFERROR(__xludf.DUMMYFUNCTION("""COMPUTED_VALUE"""),"Robert Streb")</f>
        <v>Robert Streb</v>
      </c>
      <c r="D36">
        <f ca="1">IFERROR(__xludf.DUMMYFUNCTION("""COMPUTED_VALUE"""),12)</f>
        <v>12</v>
      </c>
      <c r="E36">
        <f ca="1">IFERROR(__xludf.DUMMYFUNCTION("""COMPUTED_VALUE"""),66.67)</f>
        <v>66.67</v>
      </c>
      <c r="F36">
        <f ca="1">IFERROR(__xludf.DUMMYFUNCTION("""COMPUTED_VALUE"""),15)</f>
        <v>15</v>
      </c>
      <c r="G36">
        <f ca="1">IFERROR(__xludf.DUMMYFUNCTION("""COMPUTED_VALUE"""),10)</f>
        <v>10</v>
      </c>
    </row>
    <row r="37" spans="1:7" ht="12.75">
      <c r="A37" t="str">
        <f ca="1">IFERROR(__xludf.DUMMYFUNCTION("""COMPUTED_VALUE"""),"T32")</f>
        <v>T32</v>
      </c>
      <c r="B37" t="str">
        <f ca="1">IFERROR(__xludf.DUMMYFUNCTION("""COMPUTED_VALUE"""),"T37")</f>
        <v>T37</v>
      </c>
      <c r="C37" t="str">
        <f ca="1">IFERROR(__xludf.DUMMYFUNCTION("""COMPUTED_VALUE"""),"Harris English")</f>
        <v>Harris English</v>
      </c>
      <c r="D37">
        <f ca="1">IFERROR(__xludf.DUMMYFUNCTION("""COMPUTED_VALUE"""),14)</f>
        <v>14</v>
      </c>
      <c r="E37">
        <f ca="1">IFERROR(__xludf.DUMMYFUNCTION("""COMPUTED_VALUE"""),66.67)</f>
        <v>66.67</v>
      </c>
      <c r="F37">
        <f ca="1">IFERROR(__xludf.DUMMYFUNCTION("""COMPUTED_VALUE"""),60)</f>
        <v>60</v>
      </c>
      <c r="G37">
        <f ca="1">IFERROR(__xludf.DUMMYFUNCTION("""COMPUTED_VALUE"""),40)</f>
        <v>40</v>
      </c>
    </row>
    <row r="38" spans="1:7" ht="12.75">
      <c r="A38" t="str">
        <f ca="1">IFERROR(__xludf.DUMMYFUNCTION("""COMPUTED_VALUE"""),"T32")</f>
        <v>T32</v>
      </c>
      <c r="B38" t="str">
        <f ca="1">IFERROR(__xludf.DUMMYFUNCTION("""COMPUTED_VALUE"""),"T37")</f>
        <v>T37</v>
      </c>
      <c r="C38" t="str">
        <f ca="1">IFERROR(__xludf.DUMMYFUNCTION("""COMPUTED_VALUE"""),"Kevin Kisner")</f>
        <v>Kevin Kisner</v>
      </c>
      <c r="D38">
        <f ca="1">IFERROR(__xludf.DUMMYFUNCTION("""COMPUTED_VALUE"""),10)</f>
        <v>10</v>
      </c>
      <c r="E38">
        <f ca="1">IFERROR(__xludf.DUMMYFUNCTION("""COMPUTED_VALUE"""),66.67)</f>
        <v>66.67</v>
      </c>
      <c r="F38">
        <f ca="1">IFERROR(__xludf.DUMMYFUNCTION("""COMPUTED_VALUE"""),33)</f>
        <v>33</v>
      </c>
      <c r="G38">
        <f ca="1">IFERROR(__xludf.DUMMYFUNCTION("""COMPUTED_VALUE"""),22)</f>
        <v>22</v>
      </c>
    </row>
    <row r="39" spans="1:7" ht="12.75">
      <c r="A39" t="str">
        <f ca="1">IFERROR(__xludf.DUMMYFUNCTION("""COMPUTED_VALUE"""),"T32")</f>
        <v>T32</v>
      </c>
      <c r="B39" t="str">
        <f ca="1">IFERROR(__xludf.DUMMYFUNCTION("""COMPUTED_VALUE"""),"T37")</f>
        <v>T37</v>
      </c>
      <c r="C39" t="str">
        <f ca="1">IFERROR(__xludf.DUMMYFUNCTION("""COMPUTED_VALUE"""),"Kevin Streelman")</f>
        <v>Kevin Streelman</v>
      </c>
      <c r="D39">
        <f ca="1">IFERROR(__xludf.DUMMYFUNCTION("""COMPUTED_VALUE"""),18)</f>
        <v>18</v>
      </c>
      <c r="E39">
        <f ca="1">IFERROR(__xludf.DUMMYFUNCTION("""COMPUTED_VALUE"""),66.67)</f>
        <v>66.67</v>
      </c>
      <c r="F39">
        <f ca="1">IFERROR(__xludf.DUMMYFUNCTION("""COMPUTED_VALUE"""),84)</f>
        <v>84</v>
      </c>
      <c r="G39">
        <f ca="1">IFERROR(__xludf.DUMMYFUNCTION("""COMPUTED_VALUE"""),56)</f>
        <v>56</v>
      </c>
    </row>
    <row r="40" spans="1:7" ht="12.75">
      <c r="A40">
        <f ca="1">IFERROR(__xludf.DUMMYFUNCTION("""COMPUTED_VALUE"""),39)</f>
        <v>39</v>
      </c>
      <c r="B40" t="str">
        <f ca="1">IFERROR(__xludf.DUMMYFUNCTION("""COMPUTED_VALUE"""),"T5")</f>
        <v>T5</v>
      </c>
      <c r="C40" t="str">
        <f ca="1">IFERROR(__xludf.DUMMYFUNCTION("""COMPUTED_VALUE"""),"Charl Schwartzel")</f>
        <v>Charl Schwartzel</v>
      </c>
      <c r="D40">
        <f ca="1">IFERROR(__xludf.DUMMYFUNCTION("""COMPUTED_VALUE"""),12)</f>
        <v>12</v>
      </c>
      <c r="E40">
        <f ca="1">IFERROR(__xludf.DUMMYFUNCTION("""COMPUTED_VALUE"""),65.79)</f>
        <v>65.790000000000006</v>
      </c>
      <c r="F40">
        <f ca="1">IFERROR(__xludf.DUMMYFUNCTION("""COMPUTED_VALUE"""),38)</f>
        <v>38</v>
      </c>
      <c r="G40">
        <f ca="1">IFERROR(__xludf.DUMMYFUNCTION("""COMPUTED_VALUE"""),25)</f>
        <v>25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IFERROR(__xludf.DUMMYFUNCTION("""COMPUTED_VALUE"""),116)</f>
        <v>116</v>
      </c>
      <c r="C41" t="str">
        <f ca="1">IFERROR(__xludf.DUMMYFUNCTION("""COMPUTED_VALUE"""),"Mackenzie Hughes")</f>
        <v>Mackenzie Hughes</v>
      </c>
      <c r="D41">
        <f ca="1">IFERROR(__xludf.DUMMYFUNCTION("""COMPUTED_VALUE"""),18)</f>
        <v>18</v>
      </c>
      <c r="E41">
        <f ca="1">IFERROR(__xludf.DUMMYFUNCTION("""COMPUTED_VALUE"""),65.57)</f>
        <v>65.569999999999993</v>
      </c>
      <c r="F41">
        <f ca="1">IFERROR(__xludf.DUMMYFUNCTION("""COMPUTED_VALUE"""),61)</f>
        <v>61</v>
      </c>
      <c r="G41">
        <f ca="1">IFERROR(__xludf.DUMMYFUNCTION("""COMPUTED_VALUE"""),40)</f>
        <v>40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IFERROR(__xludf.DUMMYFUNCTION("""COMPUTED_VALUE"""),50)</f>
        <v>50</v>
      </c>
      <c r="C42" t="str">
        <f ca="1">IFERROR(__xludf.DUMMYFUNCTION("""COMPUTED_VALUE"""),"Joohyung Kim")</f>
        <v>Joohyung Kim</v>
      </c>
      <c r="D42">
        <f ca="1">IFERROR(__xludf.DUMMYFUNCTION("""COMPUTED_VALUE"""),12)</f>
        <v>12</v>
      </c>
      <c r="E42">
        <f ca="1">IFERROR(__xludf.DUMMYFUNCTION("""COMPUTED_VALUE"""),65.52)</f>
        <v>65.52</v>
      </c>
      <c r="F42">
        <f ca="1">IFERROR(__xludf.DUMMYFUNCTION("""COMPUTED_VALUE"""),29)</f>
        <v>29</v>
      </c>
      <c r="G42">
        <f ca="1">IFERROR(__xludf.DUMMYFUNCTION("""COMPUTED_VALUE"""),19)</f>
        <v>19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IFERROR(__xludf.DUMMYFUNCTION("""COMPUTED_VALUE"""),29)</f>
        <v>29</v>
      </c>
      <c r="C43" t="str">
        <f ca="1">IFERROR(__xludf.DUMMYFUNCTION("""COMPUTED_VALUE"""),"Denny McCarthy")</f>
        <v>Denny McCarthy</v>
      </c>
      <c r="D43">
        <f ca="1">IFERROR(__xludf.DUMMYFUNCTION("""COMPUTED_VALUE"""),22)</f>
        <v>22</v>
      </c>
      <c r="E43">
        <f ca="1">IFERROR(__xludf.DUMMYFUNCTION("""COMPUTED_VALUE"""),65.38)</f>
        <v>65.38</v>
      </c>
      <c r="F43">
        <f ca="1">IFERROR(__xludf.DUMMYFUNCTION("""COMPUTED_VALUE"""),52)</f>
        <v>52</v>
      </c>
      <c r="G43">
        <f ca="1">IFERROR(__xludf.DUMMYFUNCTION("""COMPUTED_VALUE"""),34)</f>
        <v>34</v>
      </c>
    </row>
    <row r="44" spans="1:7" ht="12.75">
      <c r="A44">
        <f ca="1">IFERROR(__xludf.DUMMYFUNCTION("""COMPUTED_VALUE"""),43)</f>
        <v>43</v>
      </c>
      <c r="B44" t="str">
        <f ca="1">IFERROR(__xludf.DUMMYFUNCTION("""COMPUTED_VALUE"""),"T25")</f>
        <v>T25</v>
      </c>
      <c r="C44" t="str">
        <f ca="1">IFERROR(__xludf.DUMMYFUNCTION("""COMPUTED_VALUE"""),"Maverick McNealy")</f>
        <v>Maverick McNealy</v>
      </c>
      <c r="D44">
        <f ca="1">IFERROR(__xludf.DUMMYFUNCTION("""COMPUTED_VALUE"""),16)</f>
        <v>16</v>
      </c>
      <c r="E44">
        <f ca="1">IFERROR(__xludf.DUMMYFUNCTION("""COMPUTED_VALUE"""),65.31)</f>
        <v>65.31</v>
      </c>
      <c r="F44">
        <f ca="1">IFERROR(__xludf.DUMMYFUNCTION("""COMPUTED_VALUE"""),49)</f>
        <v>49</v>
      </c>
      <c r="G44">
        <f ca="1">IFERROR(__xludf.DUMMYFUNCTION("""COMPUTED_VALUE"""),32)</f>
        <v>32</v>
      </c>
    </row>
    <row r="45" spans="1:7" ht="12.75">
      <c r="A45" t="str">
        <f ca="1">IFERROR(__xludf.DUMMYFUNCTION("""COMPUTED_VALUE"""),"T44")</f>
        <v>T44</v>
      </c>
      <c r="B45" t="str">
        <f ca="1">IFERROR(__xludf.DUMMYFUNCTION("""COMPUTED_VALUE"""),"T51")</f>
        <v>T51</v>
      </c>
      <c r="C45" t="str">
        <f ca="1">IFERROR(__xludf.DUMMYFUNCTION("""COMPUTED_VALUE"""),"Jaekyeong Lee")</f>
        <v>Jaekyeong Lee</v>
      </c>
      <c r="D45">
        <f ca="1">IFERROR(__xludf.DUMMYFUNCTION("""COMPUTED_VALUE"""),4)</f>
        <v>4</v>
      </c>
      <c r="E45">
        <f ca="1">IFERROR(__xludf.DUMMYFUNCTION("""COMPUTED_VALUE"""),65.22)</f>
        <v>65.22</v>
      </c>
      <c r="F45">
        <f ca="1">IFERROR(__xludf.DUMMYFUNCTION("""COMPUTED_VALUE"""),23)</f>
        <v>23</v>
      </c>
      <c r="G45">
        <f ca="1">IFERROR(__xludf.DUMMYFUNCTION("""COMPUTED_VALUE"""),15)</f>
        <v>15</v>
      </c>
    </row>
    <row r="46" spans="1:7" ht="12.75">
      <c r="A46" t="str">
        <f ca="1">IFERROR(__xludf.DUMMYFUNCTION("""COMPUTED_VALUE"""),"T44")</f>
        <v>T44</v>
      </c>
      <c r="B46" t="str">
        <f ca="1">IFERROR(__xludf.DUMMYFUNCTION("""COMPUTED_VALUE"""),"T51")</f>
        <v>T51</v>
      </c>
      <c r="C46" t="str">
        <f ca="1">IFERROR(__xludf.DUMMYFUNCTION("""COMPUTED_VALUE"""),"Christiaan Bezuidenhout")</f>
        <v>Christiaan Bezuidenhout</v>
      </c>
      <c r="D46">
        <f ca="1">IFERROR(__xludf.DUMMYFUNCTION("""COMPUTED_VALUE"""),4)</f>
        <v>4</v>
      </c>
      <c r="E46">
        <f ca="1">IFERROR(__xludf.DUMMYFUNCTION("""COMPUTED_VALUE"""),65.22)</f>
        <v>65.22</v>
      </c>
      <c r="F46">
        <f ca="1">IFERROR(__xludf.DUMMYFUNCTION("""COMPUTED_VALUE"""),23)</f>
        <v>23</v>
      </c>
      <c r="G46">
        <f ca="1">IFERROR(__xludf.DUMMYFUNCTION("""COMPUTED_VALUE"""),15)</f>
        <v>15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IFERROR(__xludf.DUMMYFUNCTION("""COMPUTED_VALUE"""),"T54")</f>
        <v>T54</v>
      </c>
      <c r="C47" t="str">
        <f ca="1">IFERROR(__xludf.DUMMYFUNCTION("""COMPUTED_VALUE"""),"Renato Paratore")</f>
        <v>Renato Paratore</v>
      </c>
      <c r="D47">
        <f ca="1">IFERROR(__xludf.DUMMYFUNCTION("""COMPUTED_VALUE"""),4)</f>
        <v>4</v>
      </c>
      <c r="E47">
        <f ca="1">IFERROR(__xludf.DUMMYFUNCTION("""COMPUTED_VALUE"""),65)</f>
        <v>65</v>
      </c>
      <c r="F47">
        <f ca="1">IFERROR(__xludf.DUMMYFUNCTION("""COMPUTED_VALUE"""),20)</f>
        <v>20</v>
      </c>
      <c r="G47">
        <f ca="1">IFERROR(__xludf.DUMMYFUNCTION("""COMPUTED_VALUE"""),13)</f>
        <v>13</v>
      </c>
    </row>
    <row r="48" spans="1:7" ht="12.75">
      <c r="A48" t="str">
        <f ca="1">IFERROR(__xludf.DUMMYFUNCTION("""COMPUTED_VALUE"""),"T46")</f>
        <v>T46</v>
      </c>
      <c r="B48" t="str">
        <f ca="1">IFERROR(__xludf.DUMMYFUNCTION("""COMPUTED_VALUE"""),"T54")</f>
        <v>T54</v>
      </c>
      <c r="C48" t="str">
        <f ca="1">IFERROR(__xludf.DUMMYFUNCTION("""COMPUTED_VALUE"""),"Ryan Blaum")</f>
        <v>Ryan Blaum</v>
      </c>
      <c r="D48">
        <f ca="1">IFERROR(__xludf.DUMMYFUNCTION("""COMPUTED_VALUE"""),8)</f>
        <v>8</v>
      </c>
      <c r="E48">
        <f ca="1">IFERROR(__xludf.DUMMYFUNCTION("""COMPUTED_VALUE"""),65)</f>
        <v>65</v>
      </c>
      <c r="F48">
        <f ca="1">IFERROR(__xludf.DUMMYFUNCTION("""COMPUTED_VALUE"""),20)</f>
        <v>20</v>
      </c>
      <c r="G48">
        <f ca="1">IFERROR(__xludf.DUMMYFUNCTION("""COMPUTED_VALUE"""),13)</f>
        <v>13</v>
      </c>
    </row>
    <row r="49" spans="1:7" ht="12.75">
      <c r="A49">
        <f ca="1">IFERROR(__xludf.DUMMYFUNCTION("""COMPUTED_VALUE"""),48)</f>
        <v>48</v>
      </c>
      <c r="B49" t="str">
        <f ca="1">IFERROR(__xludf.DUMMYFUNCTION("""COMPUTED_VALUE"""),"T51")</f>
        <v>T51</v>
      </c>
      <c r="C49" t="str">
        <f ca="1">IFERROR(__xludf.DUMMYFUNCTION("""COMPUTED_VALUE"""),"Adam Long")</f>
        <v>Adam Long</v>
      </c>
      <c r="D49">
        <f ca="1">IFERROR(__xludf.DUMMYFUNCTION("""COMPUTED_VALUE"""),22)</f>
        <v>22</v>
      </c>
      <c r="E49">
        <f ca="1">IFERROR(__xludf.DUMMYFUNCTION("""COMPUTED_VALUE"""),64.94)</f>
        <v>64.94</v>
      </c>
      <c r="F49">
        <f ca="1">IFERROR(__xludf.DUMMYFUNCTION("""COMPUTED_VALUE"""),77)</f>
        <v>77</v>
      </c>
      <c r="G49">
        <f ca="1">IFERROR(__xludf.DUMMYFUNCTION("""COMPUTED_VALUE"""),50)</f>
        <v>50</v>
      </c>
    </row>
    <row r="50" spans="1:7" ht="12.75">
      <c r="A50" t="str">
        <f ca="1">IFERROR(__xludf.DUMMYFUNCTION("""COMPUTED_VALUE"""),"T49")</f>
        <v>T49</v>
      </c>
      <c r="B50" t="str">
        <f ca="1">IFERROR(__xludf.DUMMYFUNCTION("""COMPUTED_VALUE"""),"")</f>
        <v/>
      </c>
      <c r="C50" t="str">
        <f ca="1">IFERROR(__xludf.DUMMYFUNCTION("""COMPUTED_VALUE"""),"Erik Barnes")</f>
        <v>Erik Barnes</v>
      </c>
      <c r="D50">
        <f ca="1">IFERROR(__xludf.DUMMYFUNCTION("""COMPUTED_VALUE"""),4)</f>
        <v>4</v>
      </c>
      <c r="E50">
        <f ca="1">IFERROR(__xludf.DUMMYFUNCTION("""COMPUTED_VALUE"""),64.71)</f>
        <v>64.709999999999994</v>
      </c>
      <c r="F50">
        <f ca="1">IFERROR(__xludf.DUMMYFUNCTION("""COMPUTED_VALUE"""),17)</f>
        <v>17</v>
      </c>
      <c r="G50">
        <f ca="1">IFERROR(__xludf.DUMMYFUNCTION("""COMPUTED_VALUE"""),11)</f>
        <v>11</v>
      </c>
    </row>
    <row r="51" spans="1:7" ht="12.75">
      <c r="A51" t="str">
        <f ca="1">IFERROR(__xludf.DUMMYFUNCTION("""COMPUTED_VALUE"""),"T49")</f>
        <v>T49</v>
      </c>
      <c r="B51">
        <f ca="1">IFERROR(__xludf.DUMMYFUNCTION("""COMPUTED_VALUE"""),58)</f>
        <v>58</v>
      </c>
      <c r="C51" t="str">
        <f ca="1">IFERROR(__xludf.DUMMYFUNCTION("""COMPUTED_VALUE"""),"Thomas Pieters")</f>
        <v>Thomas Pieters</v>
      </c>
      <c r="D51">
        <f ca="1">IFERROR(__xludf.DUMMYFUNCTION("""COMPUTED_VALUE"""),4)</f>
        <v>4</v>
      </c>
      <c r="E51">
        <f ca="1">IFERROR(__xludf.DUMMYFUNCTION("""COMPUTED_VALUE"""),64.71)</f>
        <v>64.709999999999994</v>
      </c>
      <c r="F51">
        <f ca="1">IFERROR(__xludf.DUMMYFUNCTION("""COMPUTED_VALUE"""),17)</f>
        <v>17</v>
      </c>
      <c r="G51">
        <f ca="1">IFERROR(__xludf.DUMMYFUNCTION("""COMPUTED_VALUE"""),11)</f>
        <v>11</v>
      </c>
    </row>
    <row r="52" spans="1:7" ht="12.75">
      <c r="A52">
        <f ca="1">IFERROR(__xludf.DUMMYFUNCTION("""COMPUTED_VALUE"""),51)</f>
        <v>51</v>
      </c>
      <c r="B52">
        <f ca="1">IFERROR(__xludf.DUMMYFUNCTION("""COMPUTED_VALUE"""),59)</f>
        <v>59</v>
      </c>
      <c r="C52" t="str">
        <f ca="1">IFERROR(__xludf.DUMMYFUNCTION("""COMPUTED_VALUE"""),"Rafa Cabrera Bello")</f>
        <v>Rafa Cabrera Bello</v>
      </c>
      <c r="D52">
        <f ca="1">IFERROR(__xludf.DUMMYFUNCTION("""COMPUTED_VALUE"""),14)</f>
        <v>14</v>
      </c>
      <c r="E52">
        <f ca="1">IFERROR(__xludf.DUMMYFUNCTION("""COMPUTED_VALUE"""),64.58)</f>
        <v>64.58</v>
      </c>
      <c r="F52">
        <f ca="1">IFERROR(__xludf.DUMMYFUNCTION("""COMPUTED_VALUE"""),48)</f>
        <v>48</v>
      </c>
      <c r="G52">
        <f ca="1">IFERROR(__xludf.DUMMYFUNCTION("""COMPUTED_VALUE"""),31)</f>
        <v>31</v>
      </c>
    </row>
    <row r="53" spans="1:7" ht="12.75">
      <c r="A53" t="str">
        <f ca="1">IFERROR(__xludf.DUMMYFUNCTION("""COMPUTED_VALUE"""),"T52")</f>
        <v>T52</v>
      </c>
      <c r="B53">
        <f ca="1">IFERROR(__xludf.DUMMYFUNCTION("""COMPUTED_VALUE"""),99)</f>
        <v>99</v>
      </c>
      <c r="C53" t="str">
        <f ca="1">IFERROR(__xludf.DUMMYFUNCTION("""COMPUTED_VALUE"""),"Tyrrell Hatton")</f>
        <v>Tyrrell Hatton</v>
      </c>
      <c r="D53">
        <f ca="1">IFERROR(__xludf.DUMMYFUNCTION("""COMPUTED_VALUE"""),14)</f>
        <v>14</v>
      </c>
      <c r="E53">
        <f ca="1">IFERROR(__xludf.DUMMYFUNCTION("""COMPUTED_VALUE"""),64.41)</f>
        <v>64.41</v>
      </c>
      <c r="F53">
        <f ca="1">IFERROR(__xludf.DUMMYFUNCTION("""COMPUTED_VALUE"""),59)</f>
        <v>59</v>
      </c>
      <c r="G53">
        <f ca="1">IFERROR(__xludf.DUMMYFUNCTION("""COMPUTED_VALUE"""),38)</f>
        <v>38</v>
      </c>
    </row>
    <row r="54" spans="1:7" ht="12.75">
      <c r="A54" t="str">
        <f ca="1">IFERROR(__xludf.DUMMYFUNCTION("""COMPUTED_VALUE"""),"T52")</f>
        <v>T52</v>
      </c>
      <c r="B54">
        <f ca="1">IFERROR(__xludf.DUMMYFUNCTION("""COMPUTED_VALUE"""),17)</f>
        <v>17</v>
      </c>
      <c r="C54" t="str">
        <f ca="1">IFERROR(__xludf.DUMMYFUNCTION("""COMPUTED_VALUE"""),"Emiliano Grillo")</f>
        <v>Emiliano Grillo</v>
      </c>
      <c r="D54">
        <f ca="1">IFERROR(__xludf.DUMMYFUNCTION("""COMPUTED_VALUE"""),22)</f>
        <v>22</v>
      </c>
      <c r="E54">
        <f ca="1">IFERROR(__xludf.DUMMYFUNCTION("""COMPUTED_VALUE"""),64.41)</f>
        <v>64.41</v>
      </c>
      <c r="F54">
        <f ca="1">IFERROR(__xludf.DUMMYFUNCTION("""COMPUTED_VALUE"""),59)</f>
        <v>59</v>
      </c>
      <c r="G54">
        <f ca="1">IFERROR(__xludf.DUMMYFUNCTION("""COMPUTED_VALUE"""),38)</f>
        <v>38</v>
      </c>
    </row>
    <row r="55" spans="1:7" ht="12.75">
      <c r="A55">
        <f ca="1">IFERROR(__xludf.DUMMYFUNCTION("""COMPUTED_VALUE"""),54)</f>
        <v>54</v>
      </c>
      <c r="B55" t="str">
        <f ca="1">IFERROR(__xludf.DUMMYFUNCTION("""COMPUTED_VALUE"""),"T34")</f>
        <v>T34</v>
      </c>
      <c r="C55" t="str">
        <f ca="1">IFERROR(__xludf.DUMMYFUNCTION("""COMPUTED_VALUE"""),"Phil Mickelson")</f>
        <v>Phil Mickelson</v>
      </c>
      <c r="D55">
        <f ca="1">IFERROR(__xludf.DUMMYFUNCTION("""COMPUTED_VALUE"""),12)</f>
        <v>12</v>
      </c>
      <c r="E55">
        <f ca="1">IFERROR(__xludf.DUMMYFUNCTION("""COMPUTED_VALUE"""),64.29)</f>
        <v>64.290000000000006</v>
      </c>
      <c r="F55">
        <f ca="1">IFERROR(__xludf.DUMMYFUNCTION("""COMPUTED_VALUE"""),56)</f>
        <v>56</v>
      </c>
      <c r="G55">
        <f ca="1">IFERROR(__xludf.DUMMYFUNCTION("""COMPUTED_VALUE"""),36)</f>
        <v>36</v>
      </c>
    </row>
    <row r="56" spans="1:7" ht="12.75">
      <c r="A56">
        <f ca="1">IFERROR(__xludf.DUMMYFUNCTION("""COMPUTED_VALUE"""),55)</f>
        <v>55</v>
      </c>
      <c r="B56" t="str">
        <f ca="1">IFERROR(__xludf.DUMMYFUNCTION("""COMPUTED_VALUE"""),"T37")</f>
        <v>T37</v>
      </c>
      <c r="C56" t="str">
        <f ca="1">IFERROR(__xludf.DUMMYFUNCTION("""COMPUTED_VALUE"""),"Jamie Lovemark")</f>
        <v>Jamie Lovemark</v>
      </c>
      <c r="D56">
        <f ca="1">IFERROR(__xludf.DUMMYFUNCTION("""COMPUTED_VALUE"""),18)</f>
        <v>18</v>
      </c>
      <c r="E56">
        <f ca="1">IFERROR(__xludf.DUMMYFUNCTION("""COMPUTED_VALUE"""),63.89)</f>
        <v>63.89</v>
      </c>
      <c r="F56">
        <f ca="1">IFERROR(__xludf.DUMMYFUNCTION("""COMPUTED_VALUE"""),36)</f>
        <v>36</v>
      </c>
      <c r="G56">
        <f ca="1">IFERROR(__xludf.DUMMYFUNCTION("""COMPUTED_VALUE"""),23)</f>
        <v>23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IFERROR(__xludf.DUMMYFUNCTION("""COMPUTED_VALUE"""),61)</f>
        <v>61</v>
      </c>
      <c r="C57" t="str">
        <f ca="1">IFERROR(__xludf.DUMMYFUNCTION("""COMPUTED_VALUE"""),"Matthew Wolff")</f>
        <v>Matthew Wolff</v>
      </c>
      <c r="D57">
        <f ca="1">IFERROR(__xludf.DUMMYFUNCTION("""COMPUTED_VALUE"""),16)</f>
        <v>16</v>
      </c>
      <c r="E57">
        <f ca="1">IFERROR(__xludf.DUMMYFUNCTION("""COMPUTED_VALUE"""),63.75)</f>
        <v>63.75</v>
      </c>
      <c r="F57">
        <f ca="1">IFERROR(__xludf.DUMMYFUNCTION("""COMPUTED_VALUE"""),80)</f>
        <v>80</v>
      </c>
      <c r="G57">
        <f ca="1">IFERROR(__xludf.DUMMYFUNCTION("""COMPUTED_VALUE"""),51)</f>
        <v>51</v>
      </c>
    </row>
    <row r="58" spans="1:7" ht="12.75">
      <c r="A58" t="str">
        <f ca="1">IFERROR(__xludf.DUMMYFUNCTION("""COMPUTED_VALUE"""),"T57")</f>
        <v>T57</v>
      </c>
      <c r="B58" t="str">
        <f ca="1">IFERROR(__xludf.DUMMYFUNCTION("""COMPUTED_VALUE"""),"T62")</f>
        <v>T62</v>
      </c>
      <c r="C58" t="str">
        <f ca="1">IFERROR(__xludf.DUMMYFUNCTION("""COMPUTED_VALUE"""),"Rasmus Hojgaard")</f>
        <v>Rasmus Hojgaard</v>
      </c>
      <c r="D58">
        <f ca="1">IFERROR(__xludf.DUMMYFUNCTION("""COMPUTED_VALUE"""),6)</f>
        <v>6</v>
      </c>
      <c r="E58">
        <f ca="1">IFERROR(__xludf.DUMMYFUNCTION("""COMPUTED_VALUE"""),63.64)</f>
        <v>63.64</v>
      </c>
      <c r="F58">
        <f ca="1">IFERROR(__xludf.DUMMYFUNCTION("""COMPUTED_VALUE"""),11)</f>
        <v>11</v>
      </c>
      <c r="G58">
        <f ca="1">IFERROR(__xludf.DUMMYFUNCTION("""COMPUTED_VALUE"""),7)</f>
        <v>7</v>
      </c>
    </row>
    <row r="59" spans="1:7" ht="12.75">
      <c r="A59" t="str">
        <f ca="1">IFERROR(__xludf.DUMMYFUNCTION("""COMPUTED_VALUE"""),"T57")</f>
        <v>T57</v>
      </c>
      <c r="B59" t="str">
        <f ca="1">IFERROR(__xludf.DUMMYFUNCTION("""COMPUTED_VALUE"""),"T62")</f>
        <v>T62</v>
      </c>
      <c r="C59" t="str">
        <f ca="1">IFERROR(__xludf.DUMMYFUNCTION("""COMPUTED_VALUE"""),"Kurt Kitayama")</f>
        <v>Kurt Kitayama</v>
      </c>
      <c r="D59">
        <f ca="1">IFERROR(__xludf.DUMMYFUNCTION("""COMPUTED_VALUE"""),4)</f>
        <v>4</v>
      </c>
      <c r="E59">
        <f ca="1">IFERROR(__xludf.DUMMYFUNCTION("""COMPUTED_VALUE"""),63.64)</f>
        <v>63.64</v>
      </c>
      <c r="F59">
        <f ca="1">IFERROR(__xludf.DUMMYFUNCTION("""COMPUTED_VALUE"""),11)</f>
        <v>11</v>
      </c>
      <c r="G59">
        <f ca="1">IFERROR(__xludf.DUMMYFUNCTION("""COMPUTED_VALUE"""),7)</f>
        <v>7</v>
      </c>
    </row>
    <row r="60" spans="1:7" ht="12.75">
      <c r="A60" t="str">
        <f ca="1">IFERROR(__xludf.DUMMYFUNCTION("""COMPUTED_VALUE"""),"T57")</f>
        <v>T57</v>
      </c>
      <c r="B60" t="str">
        <f ca="1">IFERROR(__xludf.DUMMYFUNCTION("""COMPUTED_VALUE"""),"T62")</f>
        <v>T62</v>
      </c>
      <c r="C60" t="str">
        <f ca="1">IFERROR(__xludf.DUMMYFUNCTION("""COMPUTED_VALUE"""),"Bud Cauley")</f>
        <v>Bud Cauley</v>
      </c>
      <c r="D60">
        <f ca="1">IFERROR(__xludf.DUMMYFUNCTION("""COMPUTED_VALUE"""),4)</f>
        <v>4</v>
      </c>
      <c r="E60">
        <f ca="1">IFERROR(__xludf.DUMMYFUNCTION("""COMPUTED_VALUE"""),63.64)</f>
        <v>63.64</v>
      </c>
      <c r="F60">
        <f ca="1">IFERROR(__xludf.DUMMYFUNCTION("""COMPUTED_VALUE"""),22)</f>
        <v>22</v>
      </c>
      <c r="G60">
        <f ca="1">IFERROR(__xludf.DUMMYFUNCTION("""COMPUTED_VALUE"""),14)</f>
        <v>14</v>
      </c>
    </row>
    <row r="61" spans="1:7" ht="12.75">
      <c r="A61" t="str">
        <f ca="1">IFERROR(__xludf.DUMMYFUNCTION("""COMPUTED_VALUE"""),"T57")</f>
        <v>T57</v>
      </c>
      <c r="B61" t="str">
        <f ca="1">IFERROR(__xludf.DUMMYFUNCTION("""COMPUTED_VALUE"""),"T62")</f>
        <v>T62</v>
      </c>
      <c r="C61" t="str">
        <f ca="1">IFERROR(__xludf.DUMMYFUNCTION("""COMPUTED_VALUE"""),"Gary Woodland")</f>
        <v>Gary Woodland</v>
      </c>
      <c r="D61">
        <f ca="1">IFERROR(__xludf.DUMMYFUNCTION("""COMPUTED_VALUE"""),6)</f>
        <v>6</v>
      </c>
      <c r="E61">
        <f ca="1">IFERROR(__xludf.DUMMYFUNCTION("""COMPUTED_VALUE"""),63.64)</f>
        <v>63.64</v>
      </c>
      <c r="F61">
        <f ca="1">IFERROR(__xludf.DUMMYFUNCTION("""COMPUTED_VALUE"""),22)</f>
        <v>22</v>
      </c>
      <c r="G61">
        <f ca="1">IFERROR(__xludf.DUMMYFUNCTION("""COMPUTED_VALUE"""),14)</f>
        <v>14</v>
      </c>
    </row>
    <row r="62" spans="1:7" ht="12.75">
      <c r="A62" t="str">
        <f ca="1">IFERROR(__xludf.DUMMYFUNCTION("""COMPUTED_VALUE"""),"T57")</f>
        <v>T57</v>
      </c>
      <c r="B62" t="str">
        <f ca="1">IFERROR(__xludf.DUMMYFUNCTION("""COMPUTED_VALUE"""),"T62")</f>
        <v>T62</v>
      </c>
      <c r="C62" t="str">
        <f ca="1">IFERROR(__xludf.DUMMYFUNCTION("""COMPUTED_VALUE"""),"Parker McLachlin")</f>
        <v>Parker McLachlin</v>
      </c>
      <c r="D62">
        <f ca="1">IFERROR(__xludf.DUMMYFUNCTION("""COMPUTED_VALUE"""),4)</f>
        <v>4</v>
      </c>
      <c r="E62">
        <f ca="1">IFERROR(__xludf.DUMMYFUNCTION("""COMPUTED_VALUE"""),63.64)</f>
        <v>63.64</v>
      </c>
      <c r="F62">
        <f ca="1">IFERROR(__xludf.DUMMYFUNCTION("""COMPUTED_VALUE"""),11)</f>
        <v>11</v>
      </c>
      <c r="G62">
        <f ca="1">IFERROR(__xludf.DUMMYFUNCTION("""COMPUTED_VALUE"""),7)</f>
        <v>7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IFERROR(__xludf.DUMMYFUNCTION("""COMPUTED_VALUE"""),68)</f>
        <v>68</v>
      </c>
      <c r="C63" t="str">
        <f ca="1">IFERROR(__xludf.DUMMYFUNCTION("""COMPUTED_VALUE"""),"Matt Kuchar")</f>
        <v>Matt Kuchar</v>
      </c>
      <c r="D63">
        <f ca="1">IFERROR(__xludf.DUMMYFUNCTION("""COMPUTED_VALUE"""),14)</f>
        <v>14</v>
      </c>
      <c r="E63">
        <f ca="1">IFERROR(__xludf.DUMMYFUNCTION("""COMPUTED_VALUE"""),63.51)</f>
        <v>63.51</v>
      </c>
      <c r="F63">
        <f ca="1">IFERROR(__xludf.DUMMYFUNCTION("""COMPUTED_VALUE"""),74)</f>
        <v>74</v>
      </c>
      <c r="G63">
        <f ca="1">IFERROR(__xludf.DUMMYFUNCTION("""COMPUTED_VALUE"""),47)</f>
        <v>47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IFERROR(__xludf.DUMMYFUNCTION("""COMPUTED_VALUE"""),23)</f>
        <v>23</v>
      </c>
      <c r="C64" t="str">
        <f ca="1">IFERROR(__xludf.DUMMYFUNCTION("""COMPUTED_VALUE"""),"Cameron Davis")</f>
        <v>Cameron Davis</v>
      </c>
      <c r="D64">
        <f ca="1">IFERROR(__xludf.DUMMYFUNCTION("""COMPUTED_VALUE"""),16)</f>
        <v>16</v>
      </c>
      <c r="E64">
        <f ca="1">IFERROR(__xludf.DUMMYFUNCTION("""COMPUTED_VALUE"""),63.24)</f>
        <v>63.24</v>
      </c>
      <c r="F64">
        <f ca="1">IFERROR(__xludf.DUMMYFUNCTION("""COMPUTED_VALUE"""),68)</f>
        <v>68</v>
      </c>
      <c r="G64">
        <f ca="1">IFERROR(__xludf.DUMMYFUNCTION("""COMPUTED_VALUE"""),43)</f>
        <v>43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IFERROR(__xludf.DUMMYFUNCTION("""COMPUTED_VALUE"""),"T69")</f>
        <v>T69</v>
      </c>
      <c r="C65" t="str">
        <f ca="1">IFERROR(__xludf.DUMMYFUNCTION("""COMPUTED_VALUE"""),"Wesley Bryan")</f>
        <v>Wesley Bryan</v>
      </c>
      <c r="D65">
        <f ca="1">IFERROR(__xludf.DUMMYFUNCTION("""COMPUTED_VALUE"""),8)</f>
        <v>8</v>
      </c>
      <c r="E65">
        <f ca="1">IFERROR(__xludf.DUMMYFUNCTION("""COMPUTED_VALUE"""),63.16)</f>
        <v>63.16</v>
      </c>
      <c r="F65">
        <f ca="1">IFERROR(__xludf.DUMMYFUNCTION("""COMPUTED_VALUE"""),19)</f>
        <v>19</v>
      </c>
      <c r="G65">
        <f ca="1">IFERROR(__xludf.DUMMYFUNCTION("""COMPUTED_VALUE"""),12)</f>
        <v>12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IFERROR(__xludf.DUMMYFUNCTION("""COMPUTED_VALUE"""),"T62")</f>
        <v>T62</v>
      </c>
      <c r="C66" t="str">
        <f ca="1">IFERROR(__xludf.DUMMYFUNCTION("""COMPUTED_VALUE"""),"Tom Lewis")</f>
        <v>Tom Lewis</v>
      </c>
      <c r="D66">
        <f ca="1">IFERROR(__xludf.DUMMYFUNCTION("""COMPUTED_VALUE"""),12)</f>
        <v>12</v>
      </c>
      <c r="E66">
        <f ca="1">IFERROR(__xludf.DUMMYFUNCTION("""COMPUTED_VALUE"""),63.16)</f>
        <v>63.16</v>
      </c>
      <c r="F66">
        <f ca="1">IFERROR(__xludf.DUMMYFUNCTION("""COMPUTED_VALUE"""),38)</f>
        <v>38</v>
      </c>
      <c r="G66">
        <f ca="1">IFERROR(__xludf.DUMMYFUNCTION("""COMPUTED_VALUE"""),24)</f>
        <v>24</v>
      </c>
    </row>
    <row r="67" spans="1:7" ht="12.75">
      <c r="A67" t="str">
        <f ca="1">IFERROR(__xludf.DUMMYFUNCTION("""COMPUTED_VALUE"""),"T66")</f>
        <v>T66</v>
      </c>
      <c r="B67">
        <f ca="1">IFERROR(__xludf.DUMMYFUNCTION("""COMPUTED_VALUE"""),115)</f>
        <v>115</v>
      </c>
      <c r="C67" t="str">
        <f ca="1">IFERROR(__xludf.DUMMYFUNCTION("""COMPUTED_VALUE"""),"Austin Cook")</f>
        <v>Austin Cook</v>
      </c>
      <c r="D67">
        <f ca="1">IFERROR(__xludf.DUMMYFUNCTION("""COMPUTED_VALUE"""),14)</f>
        <v>14</v>
      </c>
      <c r="E67">
        <f ca="1">IFERROR(__xludf.DUMMYFUNCTION("""COMPUTED_VALUE"""),62.9)</f>
        <v>62.9</v>
      </c>
      <c r="F67">
        <f ca="1">IFERROR(__xludf.DUMMYFUNCTION("""COMPUTED_VALUE"""),62)</f>
        <v>62</v>
      </c>
      <c r="G67">
        <f ca="1">IFERROR(__xludf.DUMMYFUNCTION("""COMPUTED_VALUE"""),39)</f>
        <v>39</v>
      </c>
    </row>
    <row r="68" spans="1:7" ht="12.75">
      <c r="A68" t="str">
        <f ca="1">IFERROR(__xludf.DUMMYFUNCTION("""COMPUTED_VALUE"""),"T66")</f>
        <v>T66</v>
      </c>
      <c r="B68">
        <f ca="1">IFERROR(__xludf.DUMMYFUNCTION("""COMPUTED_VALUE"""),72)</f>
        <v>72</v>
      </c>
      <c r="C68" t="str">
        <f ca="1">IFERROR(__xludf.DUMMYFUNCTION("""COMPUTED_VALUE"""),"Paul Casey")</f>
        <v>Paul Casey</v>
      </c>
      <c r="D68">
        <f ca="1">IFERROR(__xludf.DUMMYFUNCTION("""COMPUTED_VALUE"""),14)</f>
        <v>14</v>
      </c>
      <c r="E68">
        <f ca="1">IFERROR(__xludf.DUMMYFUNCTION("""COMPUTED_VALUE"""),62.9)</f>
        <v>62.9</v>
      </c>
      <c r="F68">
        <f ca="1">IFERROR(__xludf.DUMMYFUNCTION("""COMPUTED_VALUE"""),62)</f>
        <v>62</v>
      </c>
      <c r="G68">
        <f ca="1">IFERROR(__xludf.DUMMYFUNCTION("""COMPUTED_VALUE"""),39)</f>
        <v>39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IFERROR(__xludf.DUMMYFUNCTION("""COMPUTED_VALUE"""),60)</f>
        <v>60</v>
      </c>
      <c r="C69" t="str">
        <f ca="1">IFERROR(__xludf.DUMMYFUNCTION("""COMPUTED_VALUE"""),"Jimmy Walker")</f>
        <v>Jimmy Walker</v>
      </c>
      <c r="D69">
        <f ca="1">IFERROR(__xludf.DUMMYFUNCTION("""COMPUTED_VALUE"""),10)</f>
        <v>10</v>
      </c>
      <c r="E69">
        <f ca="1">IFERROR(__xludf.DUMMYFUNCTION("""COMPUTED_VALUE"""),62.71)</f>
        <v>62.71</v>
      </c>
      <c r="F69">
        <f ca="1">IFERROR(__xludf.DUMMYFUNCTION("""COMPUTED_VALUE"""),59)</f>
        <v>59</v>
      </c>
      <c r="G69">
        <f ca="1">IFERROR(__xludf.DUMMYFUNCTION("""COMPUTED_VALUE"""),37)</f>
        <v>37</v>
      </c>
    </row>
    <row r="70" spans="1:7" ht="12.75">
      <c r="A70" t="str">
        <f ca="1">IFERROR(__xludf.DUMMYFUNCTION("""COMPUTED_VALUE"""),"T69")</f>
        <v>T69</v>
      </c>
      <c r="B70" t="str">
        <f ca="1">IFERROR(__xludf.DUMMYFUNCTION("""COMPUTED_VALUE"""),"T76")</f>
        <v>T76</v>
      </c>
      <c r="C70" t="str">
        <f ca="1">IFERROR(__xludf.DUMMYFUNCTION("""COMPUTED_VALUE"""),"Bryson DeChambeau")</f>
        <v>Bryson DeChambeau</v>
      </c>
      <c r="D70">
        <f ca="1">IFERROR(__xludf.DUMMYFUNCTION("""COMPUTED_VALUE"""),8)</f>
        <v>8</v>
      </c>
      <c r="E70">
        <f ca="1">IFERROR(__xludf.DUMMYFUNCTION("""COMPUTED_VALUE"""),62.5)</f>
        <v>62.5</v>
      </c>
      <c r="F70">
        <f ca="1">IFERROR(__xludf.DUMMYFUNCTION("""COMPUTED_VALUE"""),32)</f>
        <v>32</v>
      </c>
      <c r="G70">
        <f ca="1">IFERROR(__xludf.DUMMYFUNCTION("""COMPUTED_VALUE"""),20)</f>
        <v>20</v>
      </c>
    </row>
    <row r="71" spans="1:7" ht="12.75">
      <c r="A71" t="str">
        <f ca="1">IFERROR(__xludf.DUMMYFUNCTION("""COMPUTED_VALUE"""),"T69")</f>
        <v>T69</v>
      </c>
      <c r="B71" t="str">
        <f ca="1">IFERROR(__xludf.DUMMYFUNCTION("""COMPUTED_VALUE"""),"T76")</f>
        <v>T76</v>
      </c>
      <c r="C71" t="str">
        <f ca="1">IFERROR(__xludf.DUMMYFUNCTION("""COMPUTED_VALUE"""),"Justin Thomas")</f>
        <v>Justin Thomas</v>
      </c>
      <c r="D71">
        <f ca="1">IFERROR(__xludf.DUMMYFUNCTION("""COMPUTED_VALUE"""),12)</f>
        <v>12</v>
      </c>
      <c r="E71">
        <f ca="1">IFERROR(__xludf.DUMMYFUNCTION("""COMPUTED_VALUE"""),62.5)</f>
        <v>62.5</v>
      </c>
      <c r="F71">
        <f ca="1">IFERROR(__xludf.DUMMYFUNCTION("""COMPUTED_VALUE"""),64)</f>
        <v>64</v>
      </c>
      <c r="G71">
        <f ca="1">IFERROR(__xludf.DUMMYFUNCTION("""COMPUTED_VALUE"""),40)</f>
        <v>40</v>
      </c>
    </row>
    <row r="72" spans="1:7" ht="12.75">
      <c r="A72" t="str">
        <f ca="1">IFERROR(__xludf.DUMMYFUNCTION("""COMPUTED_VALUE"""),"T69")</f>
        <v>T69</v>
      </c>
      <c r="B72" t="str">
        <f ca="1">IFERROR(__xludf.DUMMYFUNCTION("""COMPUTED_VALUE"""),"")</f>
        <v/>
      </c>
      <c r="C72" t="str">
        <f ca="1">IFERROR(__xludf.DUMMYFUNCTION("""COMPUTED_VALUE"""),"Dawie van der Walt")</f>
        <v>Dawie van der Walt</v>
      </c>
      <c r="D72">
        <f ca="1">IFERROR(__xludf.DUMMYFUNCTION("""COMPUTED_VALUE"""),4)</f>
        <v>4</v>
      </c>
      <c r="E72">
        <f ca="1">IFERROR(__xludf.DUMMYFUNCTION("""COMPUTED_VALUE"""),62.5)</f>
        <v>62.5</v>
      </c>
      <c r="F72">
        <f ca="1">IFERROR(__xludf.DUMMYFUNCTION("""COMPUTED_VALUE"""),16)</f>
        <v>16</v>
      </c>
      <c r="G72">
        <f ca="1">IFERROR(__xludf.DUMMYFUNCTION("""COMPUTED_VALUE"""),10)</f>
        <v>10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IFERROR(__xludf.DUMMYFUNCTION("""COMPUTED_VALUE"""),80)</f>
        <v>80</v>
      </c>
      <c r="C73" t="str">
        <f ca="1">IFERROR(__xludf.DUMMYFUNCTION("""COMPUTED_VALUE"""),"Patrick Cantlay")</f>
        <v>Patrick Cantlay</v>
      </c>
      <c r="D73">
        <f ca="1">IFERROR(__xludf.DUMMYFUNCTION("""COMPUTED_VALUE"""),16)</f>
        <v>16</v>
      </c>
      <c r="E73">
        <f ca="1">IFERROR(__xludf.DUMMYFUNCTION("""COMPUTED_VALUE"""),62.3)</f>
        <v>62.3</v>
      </c>
      <c r="F73">
        <f ca="1">IFERROR(__xludf.DUMMYFUNCTION("""COMPUTED_VALUE"""),61)</f>
        <v>61</v>
      </c>
      <c r="G73">
        <f ca="1">IFERROR(__xludf.DUMMYFUNCTION("""COMPUTED_VALUE"""),38)</f>
        <v>38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IFERROR(__xludf.DUMMYFUNCTION("""COMPUTED_VALUE"""),81)</f>
        <v>81</v>
      </c>
      <c r="C74" t="str">
        <f ca="1">IFERROR(__xludf.DUMMYFUNCTION("""COMPUTED_VALUE"""),"Sebastián Muñoz")</f>
        <v>Sebastián Muñoz</v>
      </c>
      <c r="D74">
        <f ca="1">IFERROR(__xludf.DUMMYFUNCTION("""COMPUTED_VALUE"""),20)</f>
        <v>20</v>
      </c>
      <c r="E74">
        <f ca="1">IFERROR(__xludf.DUMMYFUNCTION("""COMPUTED_VALUE"""),62.26)</f>
        <v>62.26</v>
      </c>
      <c r="F74">
        <f ca="1">IFERROR(__xludf.DUMMYFUNCTION("""COMPUTED_VALUE"""),106)</f>
        <v>106</v>
      </c>
      <c r="G74">
        <f ca="1">IFERROR(__xludf.DUMMYFUNCTION("""COMPUTED_VALUE"""),66)</f>
        <v>66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IFERROR(__xludf.DUMMYFUNCTION("""COMPUTED_VALUE"""),"T37")</f>
        <v>T37</v>
      </c>
      <c r="C75" t="str">
        <f ca="1">IFERROR(__xludf.DUMMYFUNCTION("""COMPUTED_VALUE"""),"Sam Ryder")</f>
        <v>Sam Ryder</v>
      </c>
      <c r="D75">
        <f ca="1">IFERROR(__xludf.DUMMYFUNCTION("""COMPUTED_VALUE"""),12)</f>
        <v>12</v>
      </c>
      <c r="E75">
        <f ca="1">IFERROR(__xludf.DUMMYFUNCTION("""COMPUTED_VALUE"""),62.07)</f>
        <v>62.07</v>
      </c>
      <c r="F75">
        <f ca="1">IFERROR(__xludf.DUMMYFUNCTION("""COMPUTED_VALUE"""),29)</f>
        <v>29</v>
      </c>
      <c r="G75">
        <f ca="1">IFERROR(__xludf.DUMMYFUNCTION("""COMPUTED_VALUE"""),18)</f>
        <v>18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IFERROR(__xludf.DUMMYFUNCTION("""COMPUTED_VALUE"""),"T84")</f>
        <v>T84</v>
      </c>
      <c r="C76" t="str">
        <f ca="1">IFERROR(__xludf.DUMMYFUNCTION("""COMPUTED_VALUE"""),"Seonghyeon Kim")</f>
        <v>Seonghyeon Kim</v>
      </c>
      <c r="D76">
        <f ca="1">IFERROR(__xludf.DUMMYFUNCTION("""COMPUTED_VALUE"""),4)</f>
        <v>4</v>
      </c>
      <c r="E76">
        <f ca="1">IFERROR(__xludf.DUMMYFUNCTION("""COMPUTED_VALUE"""),61.9)</f>
        <v>61.9</v>
      </c>
      <c r="F76">
        <f ca="1">IFERROR(__xludf.DUMMYFUNCTION("""COMPUTED_VALUE"""),21)</f>
        <v>21</v>
      </c>
      <c r="G76">
        <f ca="1">IFERROR(__xludf.DUMMYFUNCTION("""COMPUTED_VALUE"""),13)</f>
        <v>13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IFERROR(__xludf.DUMMYFUNCTION("""COMPUTED_VALUE"""),86)</f>
        <v>86</v>
      </c>
      <c r="C77" t="str">
        <f ca="1">IFERROR(__xludf.DUMMYFUNCTION("""COMPUTED_VALUE"""),"Harry Higgs")</f>
        <v>Harry Higgs</v>
      </c>
      <c r="D77">
        <f ca="1">IFERROR(__xludf.DUMMYFUNCTION("""COMPUTED_VALUE"""),14)</f>
        <v>14</v>
      </c>
      <c r="E77">
        <f ca="1">IFERROR(__xludf.DUMMYFUNCTION("""COMPUTED_VALUE"""),61.82)</f>
        <v>61.82</v>
      </c>
      <c r="F77">
        <f ca="1">IFERROR(__xludf.DUMMYFUNCTION("""COMPUTED_VALUE"""),55)</f>
        <v>55</v>
      </c>
      <c r="G77">
        <f ca="1">IFERROR(__xludf.DUMMYFUNCTION("""COMPUTED_VALUE"""),34)</f>
        <v>34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IFERROR(__xludf.DUMMYFUNCTION("""COMPUTED_VALUE"""),"T87")</f>
        <v>T87</v>
      </c>
      <c r="C78" t="str">
        <f ca="1">IFERROR(__xludf.DUMMYFUNCTION("""COMPUTED_VALUE"""),"Ian Poulter")</f>
        <v>Ian Poulter</v>
      </c>
      <c r="D78">
        <f ca="1">IFERROR(__xludf.DUMMYFUNCTION("""COMPUTED_VALUE"""),6)</f>
        <v>6</v>
      </c>
      <c r="E78">
        <f ca="1">IFERROR(__xludf.DUMMYFUNCTION("""COMPUTED_VALUE"""),61.76)</f>
        <v>61.76</v>
      </c>
      <c r="F78">
        <f ca="1">IFERROR(__xludf.DUMMYFUNCTION("""COMPUTED_VALUE"""),34)</f>
        <v>34</v>
      </c>
      <c r="G78">
        <f ca="1">IFERROR(__xludf.DUMMYFUNCTION("""COMPUTED_VALUE"""),21)</f>
        <v>21</v>
      </c>
    </row>
    <row r="79" spans="1:7" ht="12.75">
      <c r="A79" t="str">
        <f ca="1">IFERROR(__xludf.DUMMYFUNCTION("""COMPUTED_VALUE"""),"T78")</f>
        <v>T78</v>
      </c>
      <c r="B79" t="str">
        <f ca="1">IFERROR(__xludf.DUMMYFUNCTION("""COMPUTED_VALUE"""),"T90")</f>
        <v>T90</v>
      </c>
      <c r="C79" t="str">
        <f ca="1">IFERROR(__xludf.DUMMYFUNCTION("""COMPUTED_VALUE"""),"Roger Sloan")</f>
        <v>Roger Sloan</v>
      </c>
      <c r="D79">
        <f ca="1">IFERROR(__xludf.DUMMYFUNCTION("""COMPUTED_VALUE"""),12)</f>
        <v>12</v>
      </c>
      <c r="E79">
        <f ca="1">IFERROR(__xludf.DUMMYFUNCTION("""COMPUTED_VALUE"""),61.54)</f>
        <v>61.54</v>
      </c>
      <c r="F79">
        <f ca="1">IFERROR(__xludf.DUMMYFUNCTION("""COMPUTED_VALUE"""),26)</f>
        <v>26</v>
      </c>
      <c r="G79">
        <f ca="1">IFERROR(__xludf.DUMMYFUNCTION("""COMPUTED_VALUE"""),16)</f>
        <v>16</v>
      </c>
    </row>
    <row r="80" spans="1:7" ht="12.75">
      <c r="A80" t="str">
        <f ca="1">IFERROR(__xludf.DUMMYFUNCTION("""COMPUTED_VALUE"""),"T78")</f>
        <v>T78</v>
      </c>
      <c r="B80" t="str">
        <f ca="1">IFERROR(__xludf.DUMMYFUNCTION("""COMPUTED_VALUE"""),"T90")</f>
        <v>T90</v>
      </c>
      <c r="C80" t="str">
        <f ca="1">IFERROR(__xludf.DUMMYFUNCTION("""COMPUTED_VALUE"""),"Louis Oosthuizen")</f>
        <v>Louis Oosthuizen</v>
      </c>
      <c r="D80">
        <f ca="1">IFERROR(__xludf.DUMMYFUNCTION("""COMPUTED_VALUE"""),12)</f>
        <v>12</v>
      </c>
      <c r="E80">
        <f ca="1">IFERROR(__xludf.DUMMYFUNCTION("""COMPUTED_VALUE"""),61.54)</f>
        <v>61.54</v>
      </c>
      <c r="F80">
        <f ca="1">IFERROR(__xludf.DUMMYFUNCTION("""COMPUTED_VALUE"""),52)</f>
        <v>52</v>
      </c>
      <c r="G80">
        <f ca="1">IFERROR(__xludf.DUMMYFUNCTION("""COMPUTED_VALUE"""),32)</f>
        <v>32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IFERROR(__xludf.DUMMYFUNCTION("""COMPUTED_VALUE"""),"T132")</f>
        <v>T132</v>
      </c>
      <c r="C81" t="str">
        <f ca="1">IFERROR(__xludf.DUMMYFUNCTION("""COMPUTED_VALUE"""),"Tony Finau")</f>
        <v>Tony Finau</v>
      </c>
      <c r="D81">
        <f ca="1">IFERROR(__xludf.DUMMYFUNCTION("""COMPUTED_VALUE"""),12)</f>
        <v>12</v>
      </c>
      <c r="E81">
        <f ca="1">IFERROR(__xludf.DUMMYFUNCTION("""COMPUTED_VALUE"""),61.36)</f>
        <v>61.36</v>
      </c>
      <c r="F81">
        <f ca="1">IFERROR(__xludf.DUMMYFUNCTION("""COMPUTED_VALUE"""),44)</f>
        <v>44</v>
      </c>
      <c r="G81">
        <f ca="1">IFERROR(__xludf.DUMMYFUNCTION("""COMPUTED_VALUE"""),27)</f>
        <v>27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IFERROR(__xludf.DUMMYFUNCTION("""COMPUTED_VALUE"""),"T93")</f>
        <v>T93</v>
      </c>
      <c r="C82" t="str">
        <f ca="1">IFERROR(__xludf.DUMMYFUNCTION("""COMPUTED_VALUE"""),"Justin Rose")</f>
        <v>Justin Rose</v>
      </c>
      <c r="D82">
        <f ca="1">IFERROR(__xludf.DUMMYFUNCTION("""COMPUTED_VALUE"""),10)</f>
        <v>10</v>
      </c>
      <c r="E82">
        <f ca="1">IFERROR(__xludf.DUMMYFUNCTION("""COMPUTED_VALUE"""),61.22)</f>
        <v>61.22</v>
      </c>
      <c r="F82">
        <f ca="1">IFERROR(__xludf.DUMMYFUNCTION("""COMPUTED_VALUE"""),49)</f>
        <v>49</v>
      </c>
      <c r="G82">
        <f ca="1">IFERROR(__xludf.DUMMYFUNCTION("""COMPUTED_VALUE"""),30)</f>
        <v>30</v>
      </c>
    </row>
    <row r="83" spans="1:7" ht="12.75">
      <c r="A83">
        <f ca="1">IFERROR(__xludf.DUMMYFUNCTION("""COMPUTED_VALUE"""),82)</f>
        <v>82</v>
      </c>
      <c r="B83" t="str">
        <f ca="1">IFERROR(__xludf.DUMMYFUNCTION("""COMPUTED_VALUE"""),"T76")</f>
        <v>T76</v>
      </c>
      <c r="C83" t="str">
        <f ca="1">IFERROR(__xludf.DUMMYFUNCTION("""COMPUTED_VALUE"""),"Kyoung-Hoon Lee")</f>
        <v>Kyoung-Hoon Lee</v>
      </c>
      <c r="D83">
        <f ca="1">IFERROR(__xludf.DUMMYFUNCTION("""COMPUTED_VALUE"""),20)</f>
        <v>20</v>
      </c>
      <c r="E83">
        <f ca="1">IFERROR(__xludf.DUMMYFUNCTION("""COMPUTED_VALUE"""),61.19)</f>
        <v>61.19</v>
      </c>
      <c r="F83">
        <f ca="1">IFERROR(__xludf.DUMMYFUNCTION("""COMPUTED_VALUE"""),67)</f>
        <v>67</v>
      </c>
      <c r="G83">
        <f ca="1">IFERROR(__xludf.DUMMYFUNCTION("""COMPUTED_VALUE"""),41)</f>
        <v>41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IFERROR(__xludf.DUMMYFUNCTION("""COMPUTED_VALUE"""),75)</f>
        <v>75</v>
      </c>
      <c r="C84" t="str">
        <f ca="1">IFERROR(__xludf.DUMMYFUNCTION("""COMPUTED_VALUE"""),"Si Woo Kim")</f>
        <v>Si Woo Kim</v>
      </c>
      <c r="D84">
        <f ca="1">IFERROR(__xludf.DUMMYFUNCTION("""COMPUTED_VALUE"""),20)</f>
        <v>20</v>
      </c>
      <c r="E84">
        <f ca="1">IFERROR(__xludf.DUMMYFUNCTION("""COMPUTED_VALUE"""),61.18)</f>
        <v>61.18</v>
      </c>
      <c r="F84">
        <f ca="1">IFERROR(__xludf.DUMMYFUNCTION("""COMPUTED_VALUE"""),85)</f>
        <v>85</v>
      </c>
      <c r="G84">
        <f ca="1">IFERROR(__xludf.DUMMYFUNCTION("""COMPUTED_VALUE"""),52)</f>
        <v>52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IFERROR(__xludf.DUMMYFUNCTION("""COMPUTED_VALUE"""),98)</f>
        <v>98</v>
      </c>
      <c r="C85" t="str">
        <f ca="1">IFERROR(__xludf.DUMMYFUNCTION("""COMPUTED_VALUE"""),"Sergio Garcia")</f>
        <v>Sergio Garcia</v>
      </c>
      <c r="D85">
        <f ca="1">IFERROR(__xludf.DUMMYFUNCTION("""COMPUTED_VALUE"""),18)</f>
        <v>18</v>
      </c>
      <c r="E85">
        <f ca="1">IFERROR(__xludf.DUMMYFUNCTION("""COMPUTED_VALUE"""),60.98)</f>
        <v>60.98</v>
      </c>
      <c r="F85">
        <f ca="1">IFERROR(__xludf.DUMMYFUNCTION("""COMPUTED_VALUE"""),82)</f>
        <v>82</v>
      </c>
      <c r="G85">
        <f ca="1">IFERROR(__xludf.DUMMYFUNCTION("""COMPUTED_VALUE"""),50)</f>
        <v>50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IFERROR(__xludf.DUMMYFUNCTION("""COMPUTED_VALUE"""),120)</f>
        <v>120</v>
      </c>
      <c r="C86" t="str">
        <f ca="1">IFERROR(__xludf.DUMMYFUNCTION("""COMPUTED_VALUE"""),"Russell Henley")</f>
        <v>Russell Henley</v>
      </c>
      <c r="D86">
        <f ca="1">IFERROR(__xludf.DUMMYFUNCTION("""COMPUTED_VALUE"""),16)</f>
        <v>16</v>
      </c>
      <c r="E86">
        <f ca="1">IFERROR(__xludf.DUMMYFUNCTION("""COMPUTED_VALUE"""),60.94)</f>
        <v>60.94</v>
      </c>
      <c r="F86">
        <f ca="1">IFERROR(__xludf.DUMMYFUNCTION("""COMPUTED_VALUE"""),64)</f>
        <v>64</v>
      </c>
      <c r="G86">
        <f ca="1">IFERROR(__xludf.DUMMYFUNCTION("""COMPUTED_VALUE"""),39)</f>
        <v>39</v>
      </c>
    </row>
    <row r="87" spans="1:7" ht="12.75">
      <c r="A87" t="str">
        <f ca="1">IFERROR(__xludf.DUMMYFUNCTION("""COMPUTED_VALUE"""),"T86")</f>
        <v>T86</v>
      </c>
      <c r="B87">
        <f ca="1">IFERROR(__xludf.DUMMYFUNCTION("""COMPUTED_VALUE"""),96)</f>
        <v>96</v>
      </c>
      <c r="C87" t="str">
        <f ca="1">IFERROR(__xludf.DUMMYFUNCTION("""COMPUTED_VALUE"""),"Thomas Detry")</f>
        <v>Thomas Detry</v>
      </c>
      <c r="D87">
        <f ca="1">IFERROR(__xludf.DUMMYFUNCTION("""COMPUTED_VALUE"""),8)</f>
        <v>8</v>
      </c>
      <c r="E87">
        <f ca="1">IFERROR(__xludf.DUMMYFUNCTION("""COMPUTED_VALUE"""),60.87)</f>
        <v>60.87</v>
      </c>
      <c r="F87">
        <f ca="1">IFERROR(__xludf.DUMMYFUNCTION("""COMPUTED_VALUE"""),23)</f>
        <v>23</v>
      </c>
      <c r="G87">
        <f ca="1">IFERROR(__xludf.DUMMYFUNCTION("""COMPUTED_VALUE"""),14)</f>
        <v>14</v>
      </c>
    </row>
    <row r="88" spans="1:7" ht="12.75">
      <c r="A88" t="str">
        <f ca="1">IFERROR(__xludf.DUMMYFUNCTION("""COMPUTED_VALUE"""),"T86")</f>
        <v>T86</v>
      </c>
      <c r="B88" t="str">
        <f ca="1">IFERROR(__xludf.DUMMYFUNCTION("""COMPUTED_VALUE"""),"T101")</f>
        <v>T101</v>
      </c>
      <c r="C88" t="str">
        <f ca="1">IFERROR(__xludf.DUMMYFUNCTION("""COMPUTED_VALUE"""),"Bo Van Pelt")</f>
        <v>Bo Van Pelt</v>
      </c>
      <c r="D88">
        <f ca="1">IFERROR(__xludf.DUMMYFUNCTION("""COMPUTED_VALUE"""),10)</f>
        <v>10</v>
      </c>
      <c r="E88">
        <f ca="1">IFERROR(__xludf.DUMMYFUNCTION("""COMPUTED_VALUE"""),60.87)</f>
        <v>60.87</v>
      </c>
      <c r="F88">
        <f ca="1">IFERROR(__xludf.DUMMYFUNCTION("""COMPUTED_VALUE"""),23)</f>
        <v>23</v>
      </c>
      <c r="G88">
        <f ca="1">IFERROR(__xludf.DUMMYFUNCTION("""COMPUTED_VALUE"""),14)</f>
        <v>14</v>
      </c>
    </row>
    <row r="89" spans="1:7" ht="12.75">
      <c r="A89" t="str">
        <f ca="1">IFERROR(__xludf.DUMMYFUNCTION("""COMPUTED_VALUE"""),"T88")</f>
        <v>T88</v>
      </c>
      <c r="B89" t="str">
        <f ca="1">IFERROR(__xludf.DUMMYFUNCTION("""COMPUTED_VALUE"""),"T141")</f>
        <v>T141</v>
      </c>
      <c r="C89" t="str">
        <f ca="1">IFERROR(__xludf.DUMMYFUNCTION("""COMPUTED_VALUE"""),"Martin Trainer")</f>
        <v>Martin Trainer</v>
      </c>
      <c r="D89">
        <f ca="1">IFERROR(__xludf.DUMMYFUNCTION("""COMPUTED_VALUE"""),10)</f>
        <v>10</v>
      </c>
      <c r="E89">
        <f ca="1">IFERROR(__xludf.DUMMYFUNCTION("""COMPUTED_VALUE"""),60.71)</f>
        <v>60.71</v>
      </c>
      <c r="F89">
        <f ca="1">IFERROR(__xludf.DUMMYFUNCTION("""COMPUTED_VALUE"""),28)</f>
        <v>28</v>
      </c>
      <c r="G89">
        <f ca="1">IFERROR(__xludf.DUMMYFUNCTION("""COMPUTED_VALUE"""),17)</f>
        <v>17</v>
      </c>
    </row>
    <row r="90" spans="1:7" ht="12.75">
      <c r="A90" t="str">
        <f ca="1">IFERROR(__xludf.DUMMYFUNCTION("""COMPUTED_VALUE"""),"T88")</f>
        <v>T88</v>
      </c>
      <c r="B90">
        <f ca="1">IFERROR(__xludf.DUMMYFUNCTION("""COMPUTED_VALUE"""),97)</f>
        <v>97</v>
      </c>
      <c r="C90" t="str">
        <f ca="1">IFERROR(__xludf.DUMMYFUNCTION("""COMPUTED_VALUE"""),"Bill Haas")</f>
        <v>Bill Haas</v>
      </c>
      <c r="D90">
        <f ca="1">IFERROR(__xludf.DUMMYFUNCTION("""COMPUTED_VALUE"""),10)</f>
        <v>10</v>
      </c>
      <c r="E90">
        <f ca="1">IFERROR(__xludf.DUMMYFUNCTION("""COMPUTED_VALUE"""),60.71)</f>
        <v>60.71</v>
      </c>
      <c r="F90">
        <f ca="1">IFERROR(__xludf.DUMMYFUNCTION("""COMPUTED_VALUE"""),28)</f>
        <v>28</v>
      </c>
      <c r="G90">
        <f ca="1">IFERROR(__xludf.DUMMYFUNCTION("""COMPUTED_VALUE"""),17)</f>
        <v>17</v>
      </c>
    </row>
    <row r="91" spans="1:7" ht="12.75">
      <c r="A91">
        <f ca="1">IFERROR(__xludf.DUMMYFUNCTION("""COMPUTED_VALUE"""),90)</f>
        <v>90</v>
      </c>
      <c r="B91">
        <f ca="1">IFERROR(__xludf.DUMMYFUNCTION("""COMPUTED_VALUE"""),100)</f>
        <v>100</v>
      </c>
      <c r="C91" t="str">
        <f ca="1">IFERROR(__xludf.DUMMYFUNCTION("""COMPUTED_VALUE"""),"Tom Hoge")</f>
        <v>Tom Hoge</v>
      </c>
      <c r="D91">
        <f ca="1">IFERROR(__xludf.DUMMYFUNCTION("""COMPUTED_VALUE"""),22)</f>
        <v>22</v>
      </c>
      <c r="E91">
        <f ca="1">IFERROR(__xludf.DUMMYFUNCTION("""COMPUTED_VALUE"""),60.64)</f>
        <v>60.64</v>
      </c>
      <c r="F91">
        <f ca="1">IFERROR(__xludf.DUMMYFUNCTION("""COMPUTED_VALUE"""),94)</f>
        <v>94</v>
      </c>
      <c r="G91">
        <f ca="1">IFERROR(__xludf.DUMMYFUNCTION("""COMPUTED_VALUE"""),57)</f>
        <v>57</v>
      </c>
    </row>
    <row r="92" spans="1:7" ht="12.75">
      <c r="A92">
        <f ca="1">IFERROR(__xludf.DUMMYFUNCTION("""COMPUTED_VALUE"""),91)</f>
        <v>91</v>
      </c>
      <c r="B92" t="str">
        <f ca="1">IFERROR(__xludf.DUMMYFUNCTION("""COMPUTED_VALUE"""),"T84")</f>
        <v>T84</v>
      </c>
      <c r="C92" t="str">
        <f ca="1">IFERROR(__xludf.DUMMYFUNCTION("""COMPUTED_VALUE"""),"Jhonattan Vegas")</f>
        <v>Jhonattan Vegas</v>
      </c>
      <c r="D92">
        <f ca="1">IFERROR(__xludf.DUMMYFUNCTION("""COMPUTED_VALUE"""),16)</f>
        <v>16</v>
      </c>
      <c r="E92">
        <f ca="1">IFERROR(__xludf.DUMMYFUNCTION("""COMPUTED_VALUE"""),60.53)</f>
        <v>60.53</v>
      </c>
      <c r="F92">
        <f ca="1">IFERROR(__xludf.DUMMYFUNCTION("""COMPUTED_VALUE"""),38)</f>
        <v>38</v>
      </c>
      <c r="G92">
        <f ca="1">IFERROR(__xludf.DUMMYFUNCTION("""COMPUTED_VALUE"""),23)</f>
        <v>23</v>
      </c>
    </row>
    <row r="93" spans="1:7" ht="12.75">
      <c r="A93" t="str">
        <f ca="1">IFERROR(__xludf.DUMMYFUNCTION("""COMPUTED_VALUE"""),"T92")</f>
        <v>T92</v>
      </c>
      <c r="B93">
        <f ca="1">IFERROR(__xludf.DUMMYFUNCTION("""COMPUTED_VALUE"""),27)</f>
        <v>27</v>
      </c>
      <c r="C93" t="str">
        <f ca="1">IFERROR(__xludf.DUMMYFUNCTION("""COMPUTED_VALUE"""),"Brian Stuard")</f>
        <v>Brian Stuard</v>
      </c>
      <c r="D93">
        <f ca="1">IFERROR(__xludf.DUMMYFUNCTION("""COMPUTED_VALUE"""),18)</f>
        <v>18</v>
      </c>
      <c r="E93">
        <f ca="1">IFERROR(__xludf.DUMMYFUNCTION("""COMPUTED_VALUE"""),60.42)</f>
        <v>60.42</v>
      </c>
      <c r="F93">
        <f ca="1">IFERROR(__xludf.DUMMYFUNCTION("""COMPUTED_VALUE"""),48)</f>
        <v>48</v>
      </c>
      <c r="G93">
        <f ca="1">IFERROR(__xludf.DUMMYFUNCTION("""COMPUTED_VALUE"""),29)</f>
        <v>29</v>
      </c>
    </row>
    <row r="94" spans="1:7" ht="12.75">
      <c r="A94" t="str">
        <f ca="1">IFERROR(__xludf.DUMMYFUNCTION("""COMPUTED_VALUE"""),"T92")</f>
        <v>T92</v>
      </c>
      <c r="B94" t="str">
        <f ca="1">IFERROR(__xludf.DUMMYFUNCTION("""COMPUTED_VALUE"""),"T122")</f>
        <v>T122</v>
      </c>
      <c r="C94" t="str">
        <f ca="1">IFERROR(__xludf.DUMMYFUNCTION("""COMPUTED_VALUE"""),"Matt Jones")</f>
        <v>Matt Jones</v>
      </c>
      <c r="D94">
        <f ca="1">IFERROR(__xludf.DUMMYFUNCTION("""COMPUTED_VALUE"""),20)</f>
        <v>20</v>
      </c>
      <c r="E94">
        <f ca="1">IFERROR(__xludf.DUMMYFUNCTION("""COMPUTED_VALUE"""),60.42)</f>
        <v>60.42</v>
      </c>
      <c r="F94">
        <f ca="1">IFERROR(__xludf.DUMMYFUNCTION("""COMPUTED_VALUE"""),48)</f>
        <v>48</v>
      </c>
      <c r="G94">
        <f ca="1">IFERROR(__xludf.DUMMYFUNCTION("""COMPUTED_VALUE"""),29)</f>
        <v>29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IFERROR(__xludf.DUMMYFUNCTION("""COMPUTED_VALUE"""),"T101")</f>
        <v>T101</v>
      </c>
      <c r="C95" t="str">
        <f ca="1">IFERROR(__xludf.DUMMYFUNCTION("""COMPUTED_VALUE"""),"Hank Lebioda")</f>
        <v>Hank Lebioda</v>
      </c>
      <c r="D95">
        <f ca="1">IFERROR(__xludf.DUMMYFUNCTION("""COMPUTED_VALUE"""),14)</f>
        <v>14</v>
      </c>
      <c r="E95">
        <f ca="1">IFERROR(__xludf.DUMMYFUNCTION("""COMPUTED_VALUE"""),60)</f>
        <v>60</v>
      </c>
      <c r="F95">
        <f ca="1">IFERROR(__xludf.DUMMYFUNCTION("""COMPUTED_VALUE"""),20)</f>
        <v>20</v>
      </c>
      <c r="G95">
        <f ca="1">IFERROR(__xludf.DUMMYFUNCTION("""COMPUTED_VALUE"""),12)</f>
        <v>12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IFERROR(__xludf.DUMMYFUNCTION("""COMPUTED_VALUE"""),"T101")</f>
        <v>T101</v>
      </c>
      <c r="C96" t="str">
        <f ca="1">IFERROR(__xludf.DUMMYFUNCTION("""COMPUTED_VALUE"""),"Tae Hee Lee")</f>
        <v>Tae Hee Lee</v>
      </c>
      <c r="D96">
        <f ca="1">IFERROR(__xludf.DUMMYFUNCTION("""COMPUTED_VALUE"""),4)</f>
        <v>4</v>
      </c>
      <c r="E96">
        <f ca="1">IFERROR(__xludf.DUMMYFUNCTION("""COMPUTED_VALUE"""),60)</f>
        <v>60</v>
      </c>
      <c r="F96">
        <f ca="1">IFERROR(__xludf.DUMMYFUNCTION("""COMPUTED_VALUE"""),25)</f>
        <v>25</v>
      </c>
      <c r="G96">
        <f ca="1">IFERROR(__xludf.DUMMYFUNCTION("""COMPUTED_VALUE"""),15)</f>
        <v>15</v>
      </c>
    </row>
    <row r="97" spans="1:7" ht="12.75">
      <c r="A97" t="str">
        <f ca="1">IFERROR(__xludf.DUMMYFUNCTION("""COMPUTED_VALUE"""),"T94")</f>
        <v>T94</v>
      </c>
      <c r="B97" t="str">
        <f ca="1">IFERROR(__xludf.DUMMYFUNCTION("""COMPUTED_VALUE"""),"T101")</f>
        <v>T101</v>
      </c>
      <c r="C97" t="str">
        <f ca="1">IFERROR(__xludf.DUMMYFUNCTION("""COMPUTED_VALUE"""),"Brandon Hagy")</f>
        <v>Brandon Hagy</v>
      </c>
      <c r="D97">
        <f ca="1">IFERROR(__xludf.DUMMYFUNCTION("""COMPUTED_VALUE"""),10)</f>
        <v>10</v>
      </c>
      <c r="E97">
        <f ca="1">IFERROR(__xludf.DUMMYFUNCTION("""COMPUTED_VALUE"""),60)</f>
        <v>60</v>
      </c>
      <c r="F97">
        <f ca="1">IFERROR(__xludf.DUMMYFUNCTION("""COMPUTED_VALUE"""),25)</f>
        <v>25</v>
      </c>
      <c r="G97">
        <f ca="1">IFERROR(__xludf.DUMMYFUNCTION("""COMPUTED_VALUE"""),15)</f>
        <v>15</v>
      </c>
    </row>
    <row r="98" spans="1:7" ht="12.75">
      <c r="A98" t="str">
        <f ca="1">IFERROR(__xludf.DUMMYFUNCTION("""COMPUTED_VALUE"""),"T94")</f>
        <v>T94</v>
      </c>
      <c r="B98" t="str">
        <f ca="1">IFERROR(__xludf.DUMMYFUNCTION("""COMPUTED_VALUE"""),"T101")</f>
        <v>T101</v>
      </c>
      <c r="C98" t="str">
        <f ca="1">IFERROR(__xludf.DUMMYFUNCTION("""COMPUTED_VALUE"""),"Stephan Jaeger")</f>
        <v>Stephan Jaeger</v>
      </c>
      <c r="D98">
        <f ca="1">IFERROR(__xludf.DUMMYFUNCTION("""COMPUTED_VALUE"""),4)</f>
        <v>4</v>
      </c>
      <c r="E98">
        <f ca="1">IFERROR(__xludf.DUMMYFUNCTION("""COMPUTED_VALUE"""),60)</f>
        <v>60</v>
      </c>
      <c r="F98">
        <f ca="1">IFERROR(__xludf.DUMMYFUNCTION("""COMPUTED_VALUE"""),20)</f>
        <v>20</v>
      </c>
      <c r="G98">
        <f ca="1">IFERROR(__xludf.DUMMYFUNCTION("""COMPUTED_VALUE"""),12)</f>
        <v>12</v>
      </c>
    </row>
    <row r="99" spans="1:7" ht="12.75">
      <c r="A99" t="str">
        <f ca="1">IFERROR(__xludf.DUMMYFUNCTION("""COMPUTED_VALUE"""),"T94")</f>
        <v>T94</v>
      </c>
      <c r="B99" t="str">
        <f ca="1">IFERROR(__xludf.DUMMYFUNCTION("""COMPUTED_VALUE"""),"T101")</f>
        <v>T101</v>
      </c>
      <c r="C99" t="str">
        <f ca="1">IFERROR(__xludf.DUMMYFUNCTION("""COMPUTED_VALUE"""),"Joel Dahmen")</f>
        <v>Joel Dahmen</v>
      </c>
      <c r="D99">
        <f ca="1">IFERROR(__xludf.DUMMYFUNCTION("""COMPUTED_VALUE"""),18)</f>
        <v>18</v>
      </c>
      <c r="E99">
        <f ca="1">IFERROR(__xludf.DUMMYFUNCTION("""COMPUTED_VALUE"""),60)</f>
        <v>60</v>
      </c>
      <c r="F99">
        <f ca="1">IFERROR(__xludf.DUMMYFUNCTION("""COMPUTED_VALUE"""),75)</f>
        <v>75</v>
      </c>
      <c r="G99">
        <f ca="1">IFERROR(__xludf.DUMMYFUNCTION("""COMPUTED_VALUE"""),45)</f>
        <v>45</v>
      </c>
    </row>
    <row r="100" spans="1:7" ht="12.75">
      <c r="A100" t="str">
        <f ca="1">IFERROR(__xludf.DUMMYFUNCTION("""COMPUTED_VALUE"""),"T94")</f>
        <v>T94</v>
      </c>
      <c r="B100">
        <f ca="1">IFERROR(__xludf.DUMMYFUNCTION("""COMPUTED_VALUE"""),95)</f>
        <v>95</v>
      </c>
      <c r="C100" t="str">
        <f ca="1">IFERROR(__xludf.DUMMYFUNCTION("""COMPUTED_VALUE"""),"Cameron Tringale")</f>
        <v>Cameron Tringale</v>
      </c>
      <c r="D100">
        <f ca="1">IFERROR(__xludf.DUMMYFUNCTION("""COMPUTED_VALUE"""),16)</f>
        <v>16</v>
      </c>
      <c r="E100">
        <f ca="1">IFERROR(__xludf.DUMMYFUNCTION("""COMPUTED_VALUE"""),60)</f>
        <v>60</v>
      </c>
      <c r="F100">
        <f ca="1">IFERROR(__xludf.DUMMYFUNCTION("""COMPUTED_VALUE"""),55)</f>
        <v>55</v>
      </c>
      <c r="G100">
        <f ca="1">IFERROR(__xludf.DUMMYFUNCTION("""COMPUTED_VALUE"""),33)</f>
        <v>33</v>
      </c>
    </row>
    <row r="101" spans="1:7" ht="12.75">
      <c r="A101" t="str">
        <f ca="1">IFERROR(__xludf.DUMMYFUNCTION("""COMPUTED_VALUE"""),"T94")</f>
        <v>T94</v>
      </c>
      <c r="B101" t="str">
        <f ca="1">IFERROR(__xludf.DUMMYFUNCTION("""COMPUTED_VALUE"""),"T101")</f>
        <v>T101</v>
      </c>
      <c r="C101" t="str">
        <f ca="1">IFERROR(__xludf.DUMMYFUNCTION("""COMPUTED_VALUE"""),"William McGirt")</f>
        <v>William McGirt</v>
      </c>
      <c r="D101">
        <f ca="1">IFERROR(__xludf.DUMMYFUNCTION("""COMPUTED_VALUE"""),6)</f>
        <v>6</v>
      </c>
      <c r="E101">
        <f ca="1">IFERROR(__xludf.DUMMYFUNCTION("""COMPUTED_VALUE"""),60)</f>
        <v>60</v>
      </c>
      <c r="F101">
        <f ca="1">IFERROR(__xludf.DUMMYFUNCTION("""COMPUTED_VALUE"""),20)</f>
        <v>20</v>
      </c>
      <c r="G101">
        <f ca="1">IFERROR(__xludf.DUMMYFUNCTION("""COMPUTED_VALUE"""),12)</f>
        <v>12</v>
      </c>
    </row>
    <row r="102" spans="1:7" ht="12.75">
      <c r="A102" t="str">
        <f ca="1">IFERROR(__xludf.DUMMYFUNCTION("""COMPUTED_VALUE"""),"T94")</f>
        <v>T94</v>
      </c>
      <c r="B102" t="str">
        <f ca="1">IFERROR(__xludf.DUMMYFUNCTION("""COMPUTED_VALUE"""),"T21")</f>
        <v>T21</v>
      </c>
      <c r="C102" t="str">
        <f ca="1">IFERROR(__xludf.DUMMYFUNCTION("""COMPUTED_VALUE"""),"Scott Harrington")</f>
        <v>Scott Harrington</v>
      </c>
      <c r="D102">
        <f ca="1">IFERROR(__xludf.DUMMYFUNCTION("""COMPUTED_VALUE"""),18)</f>
        <v>18</v>
      </c>
      <c r="E102">
        <f ca="1">IFERROR(__xludf.DUMMYFUNCTION("""COMPUTED_VALUE"""),60)</f>
        <v>60</v>
      </c>
      <c r="F102">
        <f ca="1">IFERROR(__xludf.DUMMYFUNCTION("""COMPUTED_VALUE"""),55)</f>
        <v>55</v>
      </c>
      <c r="G102">
        <f ca="1">IFERROR(__xludf.DUMMYFUNCTION("""COMPUTED_VALUE"""),33)</f>
        <v>33</v>
      </c>
    </row>
    <row r="103" spans="1:7" ht="12.75">
      <c r="A103" t="str">
        <f ca="1">IFERROR(__xludf.DUMMYFUNCTION("""COMPUTED_VALUE"""),"T102")</f>
        <v>T102</v>
      </c>
      <c r="B103" t="str">
        <f ca="1">IFERROR(__xludf.DUMMYFUNCTION("""COMPUTED_VALUE"""),"T37")</f>
        <v>T37</v>
      </c>
      <c r="C103" t="str">
        <f ca="1">IFERROR(__xludf.DUMMYFUNCTION("""COMPUTED_VALUE"""),"Sam Burns")</f>
        <v>Sam Burns</v>
      </c>
      <c r="D103">
        <f ca="1">IFERROR(__xludf.DUMMYFUNCTION("""COMPUTED_VALUE"""),18)</f>
        <v>18</v>
      </c>
      <c r="E103">
        <f ca="1">IFERROR(__xludf.DUMMYFUNCTION("""COMPUTED_VALUE"""),59.7)</f>
        <v>59.7</v>
      </c>
      <c r="F103">
        <f ca="1">IFERROR(__xludf.DUMMYFUNCTION("""COMPUTED_VALUE"""),67)</f>
        <v>67</v>
      </c>
      <c r="G103">
        <f ca="1">IFERROR(__xludf.DUMMYFUNCTION("""COMPUTED_VALUE"""),40)</f>
        <v>40</v>
      </c>
    </row>
    <row r="104" spans="1:7" ht="12.75">
      <c r="A104" t="str">
        <f ca="1">IFERROR(__xludf.DUMMYFUNCTION("""COMPUTED_VALUE"""),"T102")</f>
        <v>T102</v>
      </c>
      <c r="B104">
        <f ca="1">IFERROR(__xludf.DUMMYFUNCTION("""COMPUTED_VALUE"""),113)</f>
        <v>113</v>
      </c>
      <c r="C104" t="str">
        <f ca="1">IFERROR(__xludf.DUMMYFUNCTION("""COMPUTED_VALUE"""),"Rickie Fowler")</f>
        <v>Rickie Fowler</v>
      </c>
      <c r="D104">
        <f ca="1">IFERROR(__xludf.DUMMYFUNCTION("""COMPUTED_VALUE"""),14)</f>
        <v>14</v>
      </c>
      <c r="E104">
        <f ca="1">IFERROR(__xludf.DUMMYFUNCTION("""COMPUTED_VALUE"""),59.7)</f>
        <v>59.7</v>
      </c>
      <c r="F104">
        <f ca="1">IFERROR(__xludf.DUMMYFUNCTION("""COMPUTED_VALUE"""),67)</f>
        <v>67</v>
      </c>
      <c r="G104">
        <f ca="1">IFERROR(__xludf.DUMMYFUNCTION("""COMPUTED_VALUE"""),40)</f>
        <v>40</v>
      </c>
    </row>
    <row r="105" spans="1:7" ht="12.75">
      <c r="A105" t="str">
        <f ca="1">IFERROR(__xludf.DUMMYFUNCTION("""COMPUTED_VALUE"""),"T104")</f>
        <v>T104</v>
      </c>
      <c r="B105" t="str">
        <f ca="1">IFERROR(__xludf.DUMMYFUNCTION("""COMPUTED_VALUE"""),"T101")</f>
        <v>T101</v>
      </c>
      <c r="C105" t="str">
        <f ca="1">IFERROR(__xludf.DUMMYFUNCTION("""COMPUTED_VALUE"""),"Alex Noren")</f>
        <v>Alex Noren</v>
      </c>
      <c r="D105">
        <f ca="1">IFERROR(__xludf.DUMMYFUNCTION("""COMPUTED_VALUE"""),14)</f>
        <v>14</v>
      </c>
      <c r="E105">
        <f ca="1">IFERROR(__xludf.DUMMYFUNCTION("""COMPUTED_VALUE"""),59.68)</f>
        <v>59.68</v>
      </c>
      <c r="F105">
        <f ca="1">IFERROR(__xludf.DUMMYFUNCTION("""COMPUTED_VALUE"""),62)</f>
        <v>62</v>
      </c>
      <c r="G105">
        <f ca="1">IFERROR(__xludf.DUMMYFUNCTION("""COMPUTED_VALUE"""),37)</f>
        <v>37</v>
      </c>
    </row>
    <row r="106" spans="1:7" ht="12.75">
      <c r="A106" t="str">
        <f ca="1">IFERROR(__xludf.DUMMYFUNCTION("""COMPUTED_VALUE"""),"T104")</f>
        <v>T104</v>
      </c>
      <c r="B106">
        <f ca="1">IFERROR(__xludf.DUMMYFUNCTION("""COMPUTED_VALUE"""),33)</f>
        <v>33</v>
      </c>
      <c r="C106" t="str">
        <f ca="1">IFERROR(__xludf.DUMMYFUNCTION("""COMPUTED_VALUE"""),"Zach Johnson")</f>
        <v>Zach Johnson</v>
      </c>
      <c r="D106">
        <f ca="1">IFERROR(__xludf.DUMMYFUNCTION("""COMPUTED_VALUE"""),16)</f>
        <v>16</v>
      </c>
      <c r="E106">
        <f ca="1">IFERROR(__xludf.DUMMYFUNCTION("""COMPUTED_VALUE"""),59.68)</f>
        <v>59.68</v>
      </c>
      <c r="F106">
        <f ca="1">IFERROR(__xludf.DUMMYFUNCTION("""COMPUTED_VALUE"""),62)</f>
        <v>62</v>
      </c>
      <c r="G106">
        <f ca="1">IFERROR(__xludf.DUMMYFUNCTION("""COMPUTED_VALUE"""),37)</f>
        <v>37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IFERROR(__xludf.DUMMYFUNCTION("""COMPUTED_VALUE"""),114)</f>
        <v>114</v>
      </c>
      <c r="C107" t="str">
        <f ca="1">IFERROR(__xludf.DUMMYFUNCTION("""COMPUTED_VALUE"""),"Nick Taylor")</f>
        <v>Nick Taylor</v>
      </c>
      <c r="D107">
        <f ca="1">IFERROR(__xludf.DUMMYFUNCTION("""COMPUTED_VALUE"""),12)</f>
        <v>12</v>
      </c>
      <c r="E107">
        <f ca="1">IFERROR(__xludf.DUMMYFUNCTION("""COMPUTED_VALUE"""),59.65)</f>
        <v>59.65</v>
      </c>
      <c r="F107">
        <f ca="1">IFERROR(__xludf.DUMMYFUNCTION("""COMPUTED_VALUE"""),57)</f>
        <v>57</v>
      </c>
      <c r="G107">
        <f ca="1">IFERROR(__xludf.DUMMYFUNCTION("""COMPUTED_VALUE"""),34)</f>
        <v>34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IFERROR(__xludf.DUMMYFUNCTION("""COMPUTED_VALUE"""),112)</f>
        <v>112</v>
      </c>
      <c r="C108" t="str">
        <f ca="1">IFERROR(__xludf.DUMMYFUNCTION("""COMPUTED_VALUE"""),"Brian Harman")</f>
        <v>Brian Harman</v>
      </c>
      <c r="D108">
        <f ca="1">IFERROR(__xludf.DUMMYFUNCTION("""COMPUTED_VALUE"""),24)</f>
        <v>24</v>
      </c>
      <c r="E108">
        <f ca="1">IFERROR(__xludf.DUMMYFUNCTION("""COMPUTED_VALUE"""),59.62)</f>
        <v>59.62</v>
      </c>
      <c r="F108">
        <f ca="1">IFERROR(__xludf.DUMMYFUNCTION("""COMPUTED_VALUE"""),104)</f>
        <v>104</v>
      </c>
      <c r="G108">
        <f ca="1">IFERROR(__xludf.DUMMYFUNCTION("""COMPUTED_VALUE"""),62)</f>
        <v>62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IFERROR(__xludf.DUMMYFUNCTION("""COMPUTED_VALUE"""),"T180")</f>
        <v>T180</v>
      </c>
      <c r="C109" t="str">
        <f ca="1">IFERROR(__xludf.DUMMYFUNCTION("""COMPUTED_VALUE"""),"Kristoffer Ventura")</f>
        <v>Kristoffer Ventura</v>
      </c>
      <c r="D109">
        <f ca="1">IFERROR(__xludf.DUMMYFUNCTION("""COMPUTED_VALUE"""),20)</f>
        <v>20</v>
      </c>
      <c r="E109">
        <f ca="1">IFERROR(__xludf.DUMMYFUNCTION("""COMPUTED_VALUE"""),59.57)</f>
        <v>59.57</v>
      </c>
      <c r="F109">
        <f ca="1">IFERROR(__xludf.DUMMYFUNCTION("""COMPUTED_VALUE"""),47)</f>
        <v>47</v>
      </c>
      <c r="G109">
        <f ca="1">IFERROR(__xludf.DUMMYFUNCTION("""COMPUTED_VALUE"""),28)</f>
        <v>28</v>
      </c>
    </row>
    <row r="110" spans="1:7" ht="12.75">
      <c r="A110">
        <f ca="1">IFERROR(__xludf.DUMMYFUNCTION("""COMPUTED_VALUE"""),109)</f>
        <v>109</v>
      </c>
      <c r="B110" t="str">
        <f ca="1">IFERROR(__xludf.DUMMYFUNCTION("""COMPUTED_VALUE"""),"T124")</f>
        <v>T124</v>
      </c>
      <c r="C110" t="str">
        <f ca="1">IFERROR(__xludf.DUMMYFUNCTION("""COMPUTED_VALUE"""),"Shane Lowry")</f>
        <v>Shane Lowry</v>
      </c>
      <c r="D110">
        <f ca="1">IFERROR(__xludf.DUMMYFUNCTION("""COMPUTED_VALUE"""),14)</f>
        <v>14</v>
      </c>
      <c r="E110">
        <f ca="1">IFERROR(__xludf.DUMMYFUNCTION("""COMPUTED_VALUE"""),59.46)</f>
        <v>59.46</v>
      </c>
      <c r="F110">
        <f ca="1">IFERROR(__xludf.DUMMYFUNCTION("""COMPUTED_VALUE"""),74)</f>
        <v>74</v>
      </c>
      <c r="G110">
        <f ca="1">IFERROR(__xludf.DUMMYFUNCTION("""COMPUTED_VALUE"""),44)</f>
        <v>44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IFERROR(__xludf.DUMMYFUNCTION("""COMPUTED_VALUE"""),"T118")</f>
        <v>T118</v>
      </c>
      <c r="C111" t="str">
        <f ca="1">IFERROR(__xludf.DUMMYFUNCTION("""COMPUTED_VALUE"""),"Richy Werenski")</f>
        <v>Richy Werenski</v>
      </c>
      <c r="D111">
        <f ca="1">IFERROR(__xludf.DUMMYFUNCTION("""COMPUTED_VALUE"""),16)</f>
        <v>16</v>
      </c>
      <c r="E111">
        <f ca="1">IFERROR(__xludf.DUMMYFUNCTION("""COMPUTED_VALUE"""),59.38)</f>
        <v>59.38</v>
      </c>
      <c r="F111">
        <f ca="1">IFERROR(__xludf.DUMMYFUNCTION("""COMPUTED_VALUE"""),64)</f>
        <v>64</v>
      </c>
      <c r="G111">
        <f ca="1">IFERROR(__xludf.DUMMYFUNCTION("""COMPUTED_VALUE"""),38)</f>
        <v>38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IFERROR(__xludf.DUMMYFUNCTION("""COMPUTED_VALUE"""),117)</f>
        <v>117</v>
      </c>
      <c r="C112" t="str">
        <f ca="1">IFERROR(__xludf.DUMMYFUNCTION("""COMPUTED_VALUE"""),"Tyler Duncan")</f>
        <v>Tyler Duncan</v>
      </c>
      <c r="D112">
        <f ca="1">IFERROR(__xludf.DUMMYFUNCTION("""COMPUTED_VALUE"""),18)</f>
        <v>18</v>
      </c>
      <c r="E112">
        <f ca="1">IFERROR(__xludf.DUMMYFUNCTION("""COMPUTED_VALUE"""),59.26)</f>
        <v>59.26</v>
      </c>
      <c r="F112">
        <f ca="1">IFERROR(__xludf.DUMMYFUNCTION("""COMPUTED_VALUE"""),81)</f>
        <v>81</v>
      </c>
      <c r="G112">
        <f ca="1">IFERROR(__xludf.DUMMYFUNCTION("""COMPUTED_VALUE"""),48)</f>
        <v>48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IFERROR(__xludf.DUMMYFUNCTION("""COMPUTED_VALUE"""),"T101")</f>
        <v>T101</v>
      </c>
      <c r="C113" t="str">
        <f ca="1">IFERROR(__xludf.DUMMYFUNCTION("""COMPUTED_VALUE"""),"Scott Piercy")</f>
        <v>Scott Piercy</v>
      </c>
      <c r="D113">
        <f ca="1">IFERROR(__xludf.DUMMYFUNCTION("""COMPUTED_VALUE"""),18)</f>
        <v>18</v>
      </c>
      <c r="E113">
        <f ca="1">IFERROR(__xludf.DUMMYFUNCTION("""COMPUTED_VALUE"""),59.26)</f>
        <v>59.26</v>
      </c>
      <c r="F113">
        <f ca="1">IFERROR(__xludf.DUMMYFUNCTION("""COMPUTED_VALUE"""),54)</f>
        <v>54</v>
      </c>
      <c r="G113">
        <f ca="1">IFERROR(__xludf.DUMMYFUNCTION("""COMPUTED_VALUE"""),32)</f>
        <v>32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IFERROR(__xludf.DUMMYFUNCTION("""COMPUTED_VALUE"""),49)</f>
        <v>49</v>
      </c>
      <c r="C114" t="str">
        <f ca="1">IFERROR(__xludf.DUMMYFUNCTION("""COMPUTED_VALUE"""),"Matthew NeSmith")</f>
        <v>Matthew NeSmith</v>
      </c>
      <c r="D114">
        <f ca="1">IFERROR(__xludf.DUMMYFUNCTION("""COMPUTED_VALUE"""),16)</f>
        <v>16</v>
      </c>
      <c r="E114">
        <f ca="1">IFERROR(__xludf.DUMMYFUNCTION("""COMPUTED_VALUE"""),59.18)</f>
        <v>59.18</v>
      </c>
      <c r="F114">
        <f ca="1">IFERROR(__xludf.DUMMYFUNCTION("""COMPUTED_VALUE"""),49)</f>
        <v>49</v>
      </c>
      <c r="G114">
        <f ca="1">IFERROR(__xludf.DUMMYFUNCTION("""COMPUTED_VALUE"""),29)</f>
        <v>29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IFERROR(__xludf.DUMMYFUNCTION("""COMPUTED_VALUE"""),121)</f>
        <v>121</v>
      </c>
      <c r="C115" t="str">
        <f ca="1">IFERROR(__xludf.DUMMYFUNCTION("""COMPUTED_VALUE"""),"Ryan Palmer")</f>
        <v>Ryan Palmer</v>
      </c>
      <c r="D115">
        <f ca="1">IFERROR(__xludf.DUMMYFUNCTION("""COMPUTED_VALUE"""),14)</f>
        <v>14</v>
      </c>
      <c r="E115">
        <f ca="1">IFERROR(__xludf.DUMMYFUNCTION("""COMPUTED_VALUE"""),59.02)</f>
        <v>59.02</v>
      </c>
      <c r="F115">
        <f ca="1">IFERROR(__xludf.DUMMYFUNCTION("""COMPUTED_VALUE"""),61)</f>
        <v>61</v>
      </c>
      <c r="G115">
        <f ca="1">IFERROR(__xludf.DUMMYFUNCTION("""COMPUTED_VALUE"""),36)</f>
        <v>36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IFERROR(__xludf.DUMMYFUNCTION("""COMPUTED_VALUE"""),"T122")</f>
        <v>T122</v>
      </c>
      <c r="C116" t="str">
        <f ca="1">IFERROR(__xludf.DUMMYFUNCTION("""COMPUTED_VALUE"""),"Jonathan Byrd")</f>
        <v>Jonathan Byrd</v>
      </c>
      <c r="D116">
        <f ca="1">IFERROR(__xludf.DUMMYFUNCTION("""COMPUTED_VALUE"""),14)</f>
        <v>14</v>
      </c>
      <c r="E116">
        <f ca="1">IFERROR(__xludf.DUMMYFUNCTION("""COMPUTED_VALUE"""),58.82)</f>
        <v>58.82</v>
      </c>
      <c r="F116">
        <f ca="1">IFERROR(__xludf.DUMMYFUNCTION("""COMPUTED_VALUE"""),34)</f>
        <v>34</v>
      </c>
      <c r="G116">
        <f ca="1">IFERROR(__xludf.DUMMYFUNCTION("""COMPUTED_VALUE"""),20)</f>
        <v>20</v>
      </c>
    </row>
    <row r="117" spans="1:7" ht="12.75">
      <c r="A117">
        <f ca="1">IFERROR(__xludf.DUMMYFUNCTION("""COMPUTED_VALUE"""),116)</f>
        <v>116</v>
      </c>
      <c r="B117" t="str">
        <f ca="1">IFERROR(__xludf.DUMMYFUNCTION("""COMPUTED_VALUE"""),"T195")</f>
        <v>T195</v>
      </c>
      <c r="C117" t="str">
        <f ca="1">IFERROR(__xludf.DUMMYFUNCTION("""COMPUTED_VALUE"""),"Sepp Straka")</f>
        <v>Sepp Straka</v>
      </c>
      <c r="D117">
        <f ca="1">IFERROR(__xludf.DUMMYFUNCTION("""COMPUTED_VALUE"""),22)</f>
        <v>22</v>
      </c>
      <c r="E117">
        <f ca="1">IFERROR(__xludf.DUMMYFUNCTION("""COMPUTED_VALUE"""),58.75)</f>
        <v>58.75</v>
      </c>
      <c r="F117">
        <f ca="1">IFERROR(__xludf.DUMMYFUNCTION("""COMPUTED_VALUE"""),80)</f>
        <v>80</v>
      </c>
      <c r="G117">
        <f ca="1">IFERROR(__xludf.DUMMYFUNCTION("""COMPUTED_VALUE"""),47)</f>
        <v>47</v>
      </c>
    </row>
    <row r="118" spans="1:7" ht="12.75">
      <c r="A118" t="str">
        <f ca="1">IFERROR(__xludf.DUMMYFUNCTION("""COMPUTED_VALUE"""),"T117")</f>
        <v>T117</v>
      </c>
      <c r="B118" t="str">
        <f ca="1">IFERROR(__xludf.DUMMYFUNCTION("""COMPUTED_VALUE"""),"T90")</f>
        <v>T90</v>
      </c>
      <c r="C118" t="str">
        <f ca="1">IFERROR(__xludf.DUMMYFUNCTION("""COMPUTED_VALUE"""),"Andrew Putnam")</f>
        <v>Andrew Putnam</v>
      </c>
      <c r="D118">
        <f ca="1">IFERROR(__xludf.DUMMYFUNCTION("""COMPUTED_VALUE"""),19)</f>
        <v>19</v>
      </c>
      <c r="E118">
        <f ca="1">IFERROR(__xludf.DUMMYFUNCTION("""COMPUTED_VALUE"""),58.73)</f>
        <v>58.73</v>
      </c>
      <c r="F118">
        <f ca="1">IFERROR(__xludf.DUMMYFUNCTION("""COMPUTED_VALUE"""),63)</f>
        <v>63</v>
      </c>
      <c r="G118">
        <f ca="1">IFERROR(__xludf.DUMMYFUNCTION("""COMPUTED_VALUE"""),37)</f>
        <v>37</v>
      </c>
    </row>
    <row r="119" spans="1:7" ht="12.75">
      <c r="A119" t="str">
        <f ca="1">IFERROR(__xludf.DUMMYFUNCTION("""COMPUTED_VALUE"""),"T117")</f>
        <v>T117</v>
      </c>
      <c r="B119" t="str">
        <f ca="1">IFERROR(__xludf.DUMMYFUNCTION("""COMPUTED_VALUE"""),"T82")</f>
        <v>T82</v>
      </c>
      <c r="C119" t="str">
        <f ca="1">IFERROR(__xludf.DUMMYFUNCTION("""COMPUTED_VALUE"""),"Satoshi Kodaira")</f>
        <v>Satoshi Kodaira</v>
      </c>
      <c r="D119">
        <f ca="1">IFERROR(__xludf.DUMMYFUNCTION("""COMPUTED_VALUE"""),12)</f>
        <v>12</v>
      </c>
      <c r="E119">
        <f ca="1">IFERROR(__xludf.DUMMYFUNCTION("""COMPUTED_VALUE"""),58.73)</f>
        <v>58.73</v>
      </c>
      <c r="F119">
        <f ca="1">IFERROR(__xludf.DUMMYFUNCTION("""COMPUTED_VALUE"""),63)</f>
        <v>63</v>
      </c>
      <c r="G119">
        <f ca="1">IFERROR(__xludf.DUMMYFUNCTION("""COMPUTED_VALUE"""),37)</f>
        <v>37</v>
      </c>
    </row>
    <row r="120" spans="1:7" ht="12.75">
      <c r="A120" t="str">
        <f ca="1">IFERROR(__xludf.DUMMYFUNCTION("""COMPUTED_VALUE"""),"T119")</f>
        <v>T119</v>
      </c>
      <c r="B120" t="str">
        <f ca="1">IFERROR(__xludf.DUMMYFUNCTION("""COMPUTED_VALUE"""),"T124")</f>
        <v>T124</v>
      </c>
      <c r="C120" t="str">
        <f ca="1">IFERROR(__xludf.DUMMYFUNCTION("""COMPUTED_VALUE"""),"Doug Ghim")</f>
        <v>Doug Ghim</v>
      </c>
      <c r="D120">
        <f ca="1">IFERROR(__xludf.DUMMYFUNCTION("""COMPUTED_VALUE"""),14)</f>
        <v>14</v>
      </c>
      <c r="E120">
        <f ca="1">IFERROR(__xludf.DUMMYFUNCTION("""COMPUTED_VALUE"""),58.62)</f>
        <v>58.62</v>
      </c>
      <c r="F120">
        <f ca="1">IFERROR(__xludf.DUMMYFUNCTION("""COMPUTED_VALUE"""),29)</f>
        <v>29</v>
      </c>
      <c r="G120">
        <f ca="1">IFERROR(__xludf.DUMMYFUNCTION("""COMPUTED_VALUE"""),17)</f>
        <v>17</v>
      </c>
    </row>
    <row r="121" spans="1:7" ht="12.75">
      <c r="A121" t="str">
        <f ca="1">IFERROR(__xludf.DUMMYFUNCTION("""COMPUTED_VALUE"""),"T119")</f>
        <v>T119</v>
      </c>
      <c r="B121" t="str">
        <f ca="1">IFERROR(__xludf.DUMMYFUNCTION("""COMPUTED_VALUE"""),"T157")</f>
        <v>T157</v>
      </c>
      <c r="C121" t="str">
        <f ca="1">IFERROR(__xludf.DUMMYFUNCTION("""COMPUTED_VALUE"""),"Brooks Koepka")</f>
        <v>Brooks Koepka</v>
      </c>
      <c r="D121">
        <f ca="1">IFERROR(__xludf.DUMMYFUNCTION("""COMPUTED_VALUE"""),8)</f>
        <v>8</v>
      </c>
      <c r="E121">
        <f ca="1">IFERROR(__xludf.DUMMYFUNCTION("""COMPUTED_VALUE"""),58.62)</f>
        <v>58.62</v>
      </c>
      <c r="F121">
        <f ca="1">IFERROR(__xludf.DUMMYFUNCTION("""COMPUTED_VALUE"""),29)</f>
        <v>29</v>
      </c>
      <c r="G121">
        <f ca="1">IFERROR(__xludf.DUMMYFUNCTION("""COMPUTED_VALUE"""),17)</f>
        <v>17</v>
      </c>
    </row>
    <row r="122" spans="1:7" ht="12.75">
      <c r="A122" t="str">
        <f ca="1">IFERROR(__xludf.DUMMYFUNCTION("""COMPUTED_VALUE"""),"T119")</f>
        <v>T119</v>
      </c>
      <c r="B122" t="str">
        <f ca="1">IFERROR(__xludf.DUMMYFUNCTION("""COMPUTED_VALUE"""),"T124")</f>
        <v>T124</v>
      </c>
      <c r="C122" t="str">
        <f ca="1">IFERROR(__xludf.DUMMYFUNCTION("""COMPUTED_VALUE"""),"Tim Wilkinson")</f>
        <v>Tim Wilkinson</v>
      </c>
      <c r="D122">
        <f ca="1">IFERROR(__xludf.DUMMYFUNCTION("""COMPUTED_VALUE"""),12)</f>
        <v>12</v>
      </c>
      <c r="E122">
        <f ca="1">IFERROR(__xludf.DUMMYFUNCTION("""COMPUTED_VALUE"""),58.62)</f>
        <v>58.62</v>
      </c>
      <c r="F122">
        <f ca="1">IFERROR(__xludf.DUMMYFUNCTION("""COMPUTED_VALUE"""),29)</f>
        <v>29</v>
      </c>
      <c r="G122">
        <f ca="1">IFERROR(__xludf.DUMMYFUNCTION("""COMPUTED_VALUE"""),17)</f>
        <v>17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IFERROR(__xludf.DUMMYFUNCTION("""COMPUTED_VALUE"""),150)</f>
        <v>150</v>
      </c>
      <c r="C123" t="str">
        <f ca="1">IFERROR(__xludf.DUMMYFUNCTION("""COMPUTED_VALUE"""),"Corey Conners")</f>
        <v>Corey Conners</v>
      </c>
      <c r="D123">
        <f ca="1">IFERROR(__xludf.DUMMYFUNCTION("""COMPUTED_VALUE"""),20)</f>
        <v>20</v>
      </c>
      <c r="E123">
        <f ca="1">IFERROR(__xludf.DUMMYFUNCTION("""COMPUTED_VALUE"""),58.57)</f>
        <v>58.57</v>
      </c>
      <c r="F123">
        <f ca="1">IFERROR(__xludf.DUMMYFUNCTION("""COMPUTED_VALUE"""),70)</f>
        <v>70</v>
      </c>
      <c r="G123">
        <f ca="1">IFERROR(__xludf.DUMMYFUNCTION("""COMPUTED_VALUE"""),41)</f>
        <v>41</v>
      </c>
    </row>
    <row r="124" spans="1:7" ht="12.75">
      <c r="A124">
        <f ca="1">IFERROR(__xludf.DUMMYFUNCTION("""COMPUTED_VALUE"""),123)</f>
        <v>123</v>
      </c>
      <c r="B124" t="str">
        <f ca="1">IFERROR(__xludf.DUMMYFUNCTION("""COMPUTED_VALUE"""),"T129")</f>
        <v>T129</v>
      </c>
      <c r="C124" t="str">
        <f ca="1">IFERROR(__xludf.DUMMYFUNCTION("""COMPUTED_VALUE"""),"Chase Seiffert")</f>
        <v>Chase Seiffert</v>
      </c>
      <c r="D124">
        <f ca="1">IFERROR(__xludf.DUMMYFUNCTION("""COMPUTED_VALUE"""),14)</f>
        <v>14</v>
      </c>
      <c r="E124">
        <f ca="1">IFERROR(__xludf.DUMMYFUNCTION("""COMPUTED_VALUE"""),58.54)</f>
        <v>58.54</v>
      </c>
      <c r="F124">
        <f ca="1">IFERROR(__xludf.DUMMYFUNCTION("""COMPUTED_VALUE"""),41)</f>
        <v>41</v>
      </c>
      <c r="G124">
        <f ca="1">IFERROR(__xludf.DUMMYFUNCTION("""COMPUTED_VALUE"""),24)</f>
        <v>24</v>
      </c>
    </row>
    <row r="125" spans="1:7" ht="12.75">
      <c r="A125" t="str">
        <f ca="1">IFERROR(__xludf.DUMMYFUNCTION("""COMPUTED_VALUE"""),"T124")</f>
        <v>T124</v>
      </c>
      <c r="B125" t="str">
        <f ca="1">IFERROR(__xludf.DUMMYFUNCTION("""COMPUTED_VALUE"""),"T157")</f>
        <v>T157</v>
      </c>
      <c r="C125" t="str">
        <f ca="1">IFERROR(__xludf.DUMMYFUNCTION("""COMPUTED_VALUE"""),"Aaron Wise")</f>
        <v>Aaron Wise</v>
      </c>
      <c r="D125">
        <f ca="1">IFERROR(__xludf.DUMMYFUNCTION("""COMPUTED_VALUE"""),16)</f>
        <v>16</v>
      </c>
      <c r="E125">
        <f ca="1">IFERROR(__xludf.DUMMYFUNCTION("""COMPUTED_VALUE"""),58.33)</f>
        <v>58.33</v>
      </c>
      <c r="F125">
        <f ca="1">IFERROR(__xludf.DUMMYFUNCTION("""COMPUTED_VALUE"""),60)</f>
        <v>60</v>
      </c>
      <c r="G125">
        <f ca="1">IFERROR(__xludf.DUMMYFUNCTION("""COMPUTED_VALUE"""),35)</f>
        <v>35</v>
      </c>
    </row>
    <row r="126" spans="1:7" ht="12.75">
      <c r="A126" t="str">
        <f ca="1">IFERROR(__xludf.DUMMYFUNCTION("""COMPUTED_VALUE"""),"T124")</f>
        <v>T124</v>
      </c>
      <c r="B126">
        <f ca="1">IFERROR(__xludf.DUMMYFUNCTION("""COMPUTED_VALUE"""),131)</f>
        <v>131</v>
      </c>
      <c r="C126" t="str">
        <f ca="1">IFERROR(__xludf.DUMMYFUNCTION("""COMPUTED_VALUE"""),"Matthew Fitzpatrick")</f>
        <v>Matthew Fitzpatrick</v>
      </c>
      <c r="D126">
        <f ca="1">IFERROR(__xludf.DUMMYFUNCTION("""COMPUTED_VALUE"""),10)</f>
        <v>10</v>
      </c>
      <c r="E126">
        <f ca="1">IFERROR(__xludf.DUMMYFUNCTION("""COMPUTED_VALUE"""),58.33)</f>
        <v>58.33</v>
      </c>
      <c r="F126">
        <f ca="1">IFERROR(__xludf.DUMMYFUNCTION("""COMPUTED_VALUE"""),48)</f>
        <v>48</v>
      </c>
      <c r="G126">
        <f ca="1">IFERROR(__xludf.DUMMYFUNCTION("""COMPUTED_VALUE"""),28)</f>
        <v>28</v>
      </c>
    </row>
    <row r="127" spans="1:7" ht="12.75">
      <c r="A127" t="str">
        <f ca="1">IFERROR(__xludf.DUMMYFUNCTION("""COMPUTED_VALUE"""),"T124")</f>
        <v>T124</v>
      </c>
      <c r="B127" t="str">
        <f ca="1">IFERROR(__xludf.DUMMYFUNCTION("""COMPUTED_VALUE"""),"T101")</f>
        <v>T101</v>
      </c>
      <c r="C127" t="str">
        <f ca="1">IFERROR(__xludf.DUMMYFUNCTION("""COMPUTED_VALUE"""),"Sung Kang")</f>
        <v>Sung Kang</v>
      </c>
      <c r="D127">
        <f ca="1">IFERROR(__xludf.DUMMYFUNCTION("""COMPUTED_VALUE"""),14)</f>
        <v>14</v>
      </c>
      <c r="E127">
        <f ca="1">IFERROR(__xludf.DUMMYFUNCTION("""COMPUTED_VALUE"""),58.33)</f>
        <v>58.33</v>
      </c>
      <c r="F127">
        <f ca="1">IFERROR(__xludf.DUMMYFUNCTION("""COMPUTED_VALUE"""),60)</f>
        <v>60</v>
      </c>
      <c r="G127">
        <f ca="1">IFERROR(__xludf.DUMMYFUNCTION("""COMPUTED_VALUE"""),35)</f>
        <v>35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IFERROR(__xludf.DUMMYFUNCTION("""COMPUTED_VALUE"""),"T171")</f>
        <v>T171</v>
      </c>
      <c r="C128" t="str">
        <f ca="1">IFERROR(__xludf.DUMMYFUNCTION("""COMPUTED_VALUE"""),"Fabián Gómez")</f>
        <v>Fabián Gómez</v>
      </c>
      <c r="D128">
        <f ca="1">IFERROR(__xludf.DUMMYFUNCTION("""COMPUTED_VALUE"""),16)</f>
        <v>16</v>
      </c>
      <c r="E128">
        <f ca="1">IFERROR(__xludf.DUMMYFUNCTION("""COMPUTED_VALUE"""),58.14)</f>
        <v>58.14</v>
      </c>
      <c r="F128">
        <f ca="1">IFERROR(__xludf.DUMMYFUNCTION("""COMPUTED_VALUE"""),43)</f>
        <v>43</v>
      </c>
      <c r="G128">
        <f ca="1">IFERROR(__xludf.DUMMYFUNCTION("""COMPUTED_VALUE"""),25)</f>
        <v>25</v>
      </c>
    </row>
    <row r="129" spans="1:7" ht="12.75">
      <c r="A129">
        <f ca="1">IFERROR(__xludf.DUMMYFUNCTION("""COMPUTED_VALUE"""),128)</f>
        <v>128</v>
      </c>
      <c r="B129" t="str">
        <f ca="1">IFERROR(__xludf.DUMMYFUNCTION("""COMPUTED_VALUE"""),"T132")</f>
        <v>T132</v>
      </c>
      <c r="C129" t="str">
        <f ca="1">IFERROR(__xludf.DUMMYFUNCTION("""COMPUTED_VALUE"""),"Kevin Na")</f>
        <v>Kevin Na</v>
      </c>
      <c r="D129">
        <f ca="1">IFERROR(__xludf.DUMMYFUNCTION("""COMPUTED_VALUE"""),14)</f>
        <v>14</v>
      </c>
      <c r="E129">
        <f ca="1">IFERROR(__xludf.DUMMYFUNCTION("""COMPUTED_VALUE"""),58.06)</f>
        <v>58.06</v>
      </c>
      <c r="F129">
        <f ca="1">IFERROR(__xludf.DUMMYFUNCTION("""COMPUTED_VALUE"""),62)</f>
        <v>62</v>
      </c>
      <c r="G129">
        <f ca="1">IFERROR(__xludf.DUMMYFUNCTION("""COMPUTED_VALUE"""),36)</f>
        <v>36</v>
      </c>
    </row>
    <row r="130" spans="1:7" ht="12.75">
      <c r="A130" t="str">
        <f ca="1">IFERROR(__xludf.DUMMYFUNCTION("""COMPUTED_VALUE"""),"T129")</f>
        <v>T129</v>
      </c>
      <c r="B130" t="str">
        <f ca="1">IFERROR(__xludf.DUMMYFUNCTION("""COMPUTED_VALUE"""),"T135")</f>
        <v>T135</v>
      </c>
      <c r="C130" t="str">
        <f ca="1">IFERROR(__xludf.DUMMYFUNCTION("""COMPUTED_VALUE"""),"Rikuya Hoshino")</f>
        <v>Rikuya Hoshino</v>
      </c>
      <c r="D130">
        <f ca="1">IFERROR(__xludf.DUMMYFUNCTION("""COMPUTED_VALUE"""),4)</f>
        <v>4</v>
      </c>
      <c r="E130">
        <f ca="1">IFERROR(__xludf.DUMMYFUNCTION("""COMPUTED_VALUE"""),57.89)</f>
        <v>57.89</v>
      </c>
      <c r="F130">
        <f ca="1">IFERROR(__xludf.DUMMYFUNCTION("""COMPUTED_VALUE"""),19)</f>
        <v>19</v>
      </c>
      <c r="G130">
        <f ca="1">IFERROR(__xludf.DUMMYFUNCTION("""COMPUTED_VALUE"""),11)</f>
        <v>11</v>
      </c>
    </row>
    <row r="131" spans="1:7" ht="12.75">
      <c r="A131" t="str">
        <f ca="1">IFERROR(__xludf.DUMMYFUNCTION("""COMPUTED_VALUE"""),"T129")</f>
        <v>T129</v>
      </c>
      <c r="B131" t="str">
        <f ca="1">IFERROR(__xludf.DUMMYFUNCTION("""COMPUTED_VALUE"""),"T135")</f>
        <v>T135</v>
      </c>
      <c r="C131" t="str">
        <f ca="1">IFERROR(__xludf.DUMMYFUNCTION("""COMPUTED_VALUE"""),"Nelson Ledesma")</f>
        <v>Nelson Ledesma</v>
      </c>
      <c r="D131">
        <f ca="1">IFERROR(__xludf.DUMMYFUNCTION("""COMPUTED_VALUE"""),8)</f>
        <v>8</v>
      </c>
      <c r="E131">
        <f ca="1">IFERROR(__xludf.DUMMYFUNCTION("""COMPUTED_VALUE"""),57.89)</f>
        <v>57.89</v>
      </c>
      <c r="F131">
        <f ca="1">IFERROR(__xludf.DUMMYFUNCTION("""COMPUTED_VALUE"""),19)</f>
        <v>19</v>
      </c>
      <c r="G131">
        <f ca="1">IFERROR(__xludf.DUMMYFUNCTION("""COMPUTED_VALUE"""),11)</f>
        <v>11</v>
      </c>
    </row>
    <row r="132" spans="1:7" ht="12.75">
      <c r="A132">
        <f ca="1">IFERROR(__xludf.DUMMYFUNCTION("""COMPUTED_VALUE"""),131)</f>
        <v>131</v>
      </c>
      <c r="B132" t="str">
        <f ca="1">IFERROR(__xludf.DUMMYFUNCTION("""COMPUTED_VALUE"""),"T93")</f>
        <v>T93</v>
      </c>
      <c r="C132" t="str">
        <f ca="1">IFERROR(__xludf.DUMMYFUNCTION("""COMPUTED_VALUE"""),"Lucas Glover")</f>
        <v>Lucas Glover</v>
      </c>
      <c r="D132">
        <f ca="1">IFERROR(__xludf.DUMMYFUNCTION("""COMPUTED_VALUE"""),12)</f>
        <v>12</v>
      </c>
      <c r="E132">
        <f ca="1">IFERROR(__xludf.DUMMYFUNCTION("""COMPUTED_VALUE"""),57.63)</f>
        <v>57.63</v>
      </c>
      <c r="F132">
        <f ca="1">IFERROR(__xludf.DUMMYFUNCTION("""COMPUTED_VALUE"""),59)</f>
        <v>59</v>
      </c>
      <c r="G132">
        <f ca="1">IFERROR(__xludf.DUMMYFUNCTION("""COMPUTED_VALUE"""),34)</f>
        <v>34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IFERROR(__xludf.DUMMYFUNCTION("""COMPUTED_VALUE"""),24)</f>
        <v>24</v>
      </c>
      <c r="C133" t="str">
        <f ca="1">IFERROR(__xludf.DUMMYFUNCTION("""COMPUTED_VALUE"""),"Michael Kim")</f>
        <v>Michael Kim</v>
      </c>
      <c r="D133">
        <f ca="1">IFERROR(__xludf.DUMMYFUNCTION("""COMPUTED_VALUE"""),12)</f>
        <v>12</v>
      </c>
      <c r="E133">
        <f ca="1">IFERROR(__xludf.DUMMYFUNCTION("""COMPUTED_VALUE"""),57.58)</f>
        <v>57.58</v>
      </c>
      <c r="F133">
        <f ca="1">IFERROR(__xludf.DUMMYFUNCTION("""COMPUTED_VALUE"""),33)</f>
        <v>33</v>
      </c>
      <c r="G133">
        <f ca="1">IFERROR(__xludf.DUMMYFUNCTION("""COMPUTED_VALUE"""),19)</f>
        <v>19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IFERROR(__xludf.DUMMYFUNCTION("""COMPUTED_VALUE"""),"T141")</f>
        <v>T141</v>
      </c>
      <c r="C134" t="str">
        <f ca="1">IFERROR(__xludf.DUMMYFUNCTION("""COMPUTED_VALUE"""),"C.T. Pan")</f>
        <v>C.T. Pan</v>
      </c>
      <c r="D134">
        <f ca="1">IFERROR(__xludf.DUMMYFUNCTION("""COMPUTED_VALUE"""),20)</f>
        <v>20</v>
      </c>
      <c r="E134">
        <f ca="1">IFERROR(__xludf.DUMMYFUNCTION("""COMPUTED_VALUE"""),57.38)</f>
        <v>57.38</v>
      </c>
      <c r="F134">
        <f ca="1">IFERROR(__xludf.DUMMYFUNCTION("""COMPUTED_VALUE"""),61)</f>
        <v>61</v>
      </c>
      <c r="G134">
        <f ca="1">IFERROR(__xludf.DUMMYFUNCTION("""COMPUTED_VALUE"""),35)</f>
        <v>35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IFERROR(__xludf.DUMMYFUNCTION("""COMPUTED_VALUE"""),"T147")</f>
        <v>T147</v>
      </c>
      <c r="C135" t="str">
        <f ca="1">IFERROR(__xludf.DUMMYFUNCTION("""COMPUTED_VALUE"""),"Kelly Kraft")</f>
        <v>Kelly Kraft</v>
      </c>
      <c r="D135">
        <f ca="1">IFERROR(__xludf.DUMMYFUNCTION("""COMPUTED_VALUE"""),14)</f>
        <v>14</v>
      </c>
      <c r="E135">
        <f ca="1">IFERROR(__xludf.DUMMYFUNCTION("""COMPUTED_VALUE"""),57.14)</f>
        <v>57.14</v>
      </c>
      <c r="F135">
        <f ca="1">IFERROR(__xludf.DUMMYFUNCTION("""COMPUTED_VALUE"""),35)</f>
        <v>35</v>
      </c>
      <c r="G135">
        <f ca="1">IFERROR(__xludf.DUMMYFUNCTION("""COMPUTED_VALUE"""),20)</f>
        <v>20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IFERROR(__xludf.DUMMYFUNCTION("""COMPUTED_VALUE"""),"T73")</f>
        <v>T73</v>
      </c>
      <c r="C136" t="str">
        <f ca="1">IFERROR(__xludf.DUMMYFUNCTION("""COMPUTED_VALUE"""),"Henrik Norlander")</f>
        <v>Henrik Norlander</v>
      </c>
      <c r="D136">
        <f ca="1">IFERROR(__xludf.DUMMYFUNCTION("""COMPUTED_VALUE"""),16)</f>
        <v>16</v>
      </c>
      <c r="E136">
        <f ca="1">IFERROR(__xludf.DUMMYFUNCTION("""COMPUTED_VALUE"""),57.14)</f>
        <v>57.14</v>
      </c>
      <c r="F136">
        <f ca="1">IFERROR(__xludf.DUMMYFUNCTION("""COMPUTED_VALUE"""),42)</f>
        <v>42</v>
      </c>
      <c r="G136">
        <f ca="1">IFERROR(__xludf.DUMMYFUNCTION("""COMPUTED_VALUE"""),24)</f>
        <v>24</v>
      </c>
    </row>
    <row r="137" spans="1:7" ht="12.75">
      <c r="A137">
        <f ca="1">IFERROR(__xludf.DUMMYFUNCTION("""COMPUTED_VALUE"""),136)</f>
        <v>136</v>
      </c>
      <c r="B137" t="str">
        <f ca="1">IFERROR(__xludf.DUMMYFUNCTION("""COMPUTED_VALUE"""),"T69")</f>
        <v>T69</v>
      </c>
      <c r="C137" t="str">
        <f ca="1">IFERROR(__xludf.DUMMYFUNCTION("""COMPUTED_VALUE"""),"John Huh")</f>
        <v>John Huh</v>
      </c>
      <c r="D137">
        <f ca="1">IFERROR(__xludf.DUMMYFUNCTION("""COMPUTED_VALUE"""),8)</f>
        <v>8</v>
      </c>
      <c r="E137">
        <f ca="1">IFERROR(__xludf.DUMMYFUNCTION("""COMPUTED_VALUE"""),56.76)</f>
        <v>56.76</v>
      </c>
      <c r="F137">
        <f ca="1">IFERROR(__xludf.DUMMYFUNCTION("""COMPUTED_VALUE"""),37)</f>
        <v>37</v>
      </c>
      <c r="G137">
        <f ca="1">IFERROR(__xludf.DUMMYFUNCTION("""COMPUTED_VALUE"""),21)</f>
        <v>21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IFERROR(__xludf.DUMMYFUNCTION("""COMPUTED_VALUE"""),146)</f>
        <v>146</v>
      </c>
      <c r="C138" t="str">
        <f ca="1">IFERROR(__xludf.DUMMYFUNCTION("""COMPUTED_VALUE"""),"Jason Day")</f>
        <v>Jason Day</v>
      </c>
      <c r="D138">
        <f ca="1">IFERROR(__xludf.DUMMYFUNCTION("""COMPUTED_VALUE"""),17)</f>
        <v>17</v>
      </c>
      <c r="E138">
        <f ca="1">IFERROR(__xludf.DUMMYFUNCTION("""COMPUTED_VALUE"""),56.72)</f>
        <v>56.72</v>
      </c>
      <c r="F138">
        <f ca="1">IFERROR(__xludf.DUMMYFUNCTION("""COMPUTED_VALUE"""),67)</f>
        <v>67</v>
      </c>
      <c r="G138">
        <f ca="1">IFERROR(__xludf.DUMMYFUNCTION("""COMPUTED_VALUE"""),38)</f>
        <v>38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IFERROR(__xludf.DUMMYFUNCTION("""COMPUTED_VALUE"""),145)</f>
        <v>145</v>
      </c>
      <c r="C139" t="str">
        <f ca="1">IFERROR(__xludf.DUMMYFUNCTION("""COMPUTED_VALUE"""),"J.J. Spaun")</f>
        <v>J.J. Spaun</v>
      </c>
      <c r="D139">
        <f ca="1">IFERROR(__xludf.DUMMYFUNCTION("""COMPUTED_VALUE"""),10)</f>
        <v>10</v>
      </c>
      <c r="E139">
        <f ca="1">IFERROR(__xludf.DUMMYFUNCTION("""COMPUTED_VALUE"""),56.67)</f>
        <v>56.67</v>
      </c>
      <c r="F139">
        <f ca="1">IFERROR(__xludf.DUMMYFUNCTION("""COMPUTED_VALUE"""),30)</f>
        <v>30</v>
      </c>
      <c r="G139">
        <f ca="1">IFERROR(__xludf.DUMMYFUNCTION("""COMPUTED_VALUE"""),17)</f>
        <v>17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IFERROR(__xludf.DUMMYFUNCTION("""COMPUTED_VALUE"""),"T147")</f>
        <v>T147</v>
      </c>
      <c r="C140" t="str">
        <f ca="1">IFERROR(__xludf.DUMMYFUNCTION("""COMPUTED_VALUE"""),"Taylor Pendrith")</f>
        <v>Taylor Pendrith</v>
      </c>
      <c r="D140">
        <f ca="1">IFERROR(__xludf.DUMMYFUNCTION("""COMPUTED_VALUE"""),4)</f>
        <v>4</v>
      </c>
      <c r="E140">
        <f ca="1">IFERROR(__xludf.DUMMYFUNCTION("""COMPUTED_VALUE"""),56.52)</f>
        <v>56.52</v>
      </c>
      <c r="F140">
        <f ca="1">IFERROR(__xludf.DUMMYFUNCTION("""COMPUTED_VALUE"""),23)</f>
        <v>23</v>
      </c>
      <c r="G140">
        <f ca="1">IFERROR(__xludf.DUMMYFUNCTION("""COMPUTED_VALUE"""),13)</f>
        <v>13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IFERROR(__xludf.DUMMYFUNCTION("""COMPUTED_VALUE"""),"T141")</f>
        <v>T141</v>
      </c>
      <c r="C141" t="str">
        <f ca="1">IFERROR(__xludf.DUMMYFUNCTION("""COMPUTED_VALUE"""),"Kevin Stadler")</f>
        <v>Kevin Stadler</v>
      </c>
      <c r="D141">
        <f ca="1">IFERROR(__xludf.DUMMYFUNCTION("""COMPUTED_VALUE"""),8)</f>
        <v>8</v>
      </c>
      <c r="E141">
        <f ca="1">IFERROR(__xludf.DUMMYFUNCTION("""COMPUTED_VALUE"""),56.52)</f>
        <v>56.52</v>
      </c>
      <c r="F141">
        <f ca="1">IFERROR(__xludf.DUMMYFUNCTION("""COMPUTED_VALUE"""),23)</f>
        <v>23</v>
      </c>
      <c r="G141">
        <f ca="1">IFERROR(__xludf.DUMMYFUNCTION("""COMPUTED_VALUE"""),13)</f>
        <v>13</v>
      </c>
    </row>
    <row r="142" spans="1:7" ht="12.75">
      <c r="A142" t="str">
        <f ca="1">IFERROR(__xludf.DUMMYFUNCTION("""COMPUTED_VALUE"""),"T139")</f>
        <v>T139</v>
      </c>
      <c r="B142" t="str">
        <f ca="1">IFERROR(__xludf.DUMMYFUNCTION("""COMPUTED_VALUE"""),"T73")</f>
        <v>T73</v>
      </c>
      <c r="C142" t="str">
        <f ca="1">IFERROR(__xludf.DUMMYFUNCTION("""COMPUTED_VALUE"""),"Jason Dufner")</f>
        <v>Jason Dufner</v>
      </c>
      <c r="D142">
        <f ca="1">IFERROR(__xludf.DUMMYFUNCTION("""COMPUTED_VALUE"""),14)</f>
        <v>14</v>
      </c>
      <c r="E142">
        <f ca="1">IFERROR(__xludf.DUMMYFUNCTION("""COMPUTED_VALUE"""),56.52)</f>
        <v>56.52</v>
      </c>
      <c r="F142">
        <f ca="1">IFERROR(__xludf.DUMMYFUNCTION("""COMPUTED_VALUE"""),46)</f>
        <v>46</v>
      </c>
      <c r="G142">
        <f ca="1">IFERROR(__xludf.DUMMYFUNCTION("""COMPUTED_VALUE"""),26)</f>
        <v>26</v>
      </c>
    </row>
    <row r="143" spans="1:7" ht="12.75">
      <c r="A143">
        <f ca="1">IFERROR(__xludf.DUMMYFUNCTION("""COMPUTED_VALUE"""),142)</f>
        <v>142</v>
      </c>
      <c r="B143" t="str">
        <f ca="1">IFERROR(__xludf.DUMMYFUNCTION("""COMPUTED_VALUE"""),"T204")</f>
        <v>T204</v>
      </c>
      <c r="C143" t="str">
        <f ca="1">IFERROR(__xludf.DUMMYFUNCTION("""COMPUTED_VALUE"""),"Hudson Swafford")</f>
        <v>Hudson Swafford</v>
      </c>
      <c r="D143">
        <f ca="1">IFERROR(__xludf.DUMMYFUNCTION("""COMPUTED_VALUE"""),18)</f>
        <v>18</v>
      </c>
      <c r="E143">
        <f ca="1">IFERROR(__xludf.DUMMYFUNCTION("""COMPUTED_VALUE"""),56.41)</f>
        <v>56.41</v>
      </c>
      <c r="F143">
        <f ca="1">IFERROR(__xludf.DUMMYFUNCTION("""COMPUTED_VALUE"""),39)</f>
        <v>39</v>
      </c>
      <c r="G143">
        <f ca="1">IFERROR(__xludf.DUMMYFUNCTION("""COMPUTED_VALUE"""),22)</f>
        <v>22</v>
      </c>
    </row>
    <row r="144" spans="1:7" ht="12.75">
      <c r="A144">
        <f ca="1">IFERROR(__xludf.DUMMYFUNCTION("""COMPUTED_VALUE"""),143)</f>
        <v>143</v>
      </c>
      <c r="B144" t="str">
        <f ca="1">IFERROR(__xludf.DUMMYFUNCTION("""COMPUTED_VALUE"""),"T76")</f>
        <v>T76</v>
      </c>
      <c r="C144" t="str">
        <f ca="1">IFERROR(__xludf.DUMMYFUNCTION("""COMPUTED_VALUE"""),"Charley Hoffman")</f>
        <v>Charley Hoffman</v>
      </c>
      <c r="D144">
        <f ca="1">IFERROR(__xludf.DUMMYFUNCTION("""COMPUTED_VALUE"""),20)</f>
        <v>20</v>
      </c>
      <c r="E144">
        <f ca="1">IFERROR(__xludf.DUMMYFUNCTION("""COMPUTED_VALUE"""),56.36)</f>
        <v>56.36</v>
      </c>
      <c r="F144">
        <f ca="1">IFERROR(__xludf.DUMMYFUNCTION("""COMPUTED_VALUE"""),55)</f>
        <v>55</v>
      </c>
      <c r="G144">
        <f ca="1">IFERROR(__xludf.DUMMYFUNCTION("""COMPUTED_VALUE"""),31)</f>
        <v>31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IFERROR(__xludf.DUMMYFUNCTION("""COMPUTED_VALUE"""),"T151")</f>
        <v>T151</v>
      </c>
      <c r="C145" t="str">
        <f ca="1">IFERROR(__xludf.DUMMYFUNCTION("""COMPUTED_VALUE"""),"George Markham")</f>
        <v>George Markham</v>
      </c>
      <c r="D145">
        <f ca="1">IFERROR(__xludf.DUMMYFUNCTION("""COMPUTED_VALUE"""),4)</f>
        <v>4</v>
      </c>
      <c r="E145">
        <f ca="1">IFERROR(__xludf.DUMMYFUNCTION("""COMPUTED_VALUE"""),56.25)</f>
        <v>56.25</v>
      </c>
      <c r="F145">
        <f ca="1">IFERROR(__xludf.DUMMYFUNCTION("""COMPUTED_VALUE"""),16)</f>
        <v>16</v>
      </c>
      <c r="G145">
        <f ca="1">IFERROR(__xludf.DUMMYFUNCTION("""COMPUTED_VALUE"""),9)</f>
        <v>9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IFERROR(__xludf.DUMMYFUNCTION("""COMPUTED_VALUE"""),"T151")</f>
        <v>T151</v>
      </c>
      <c r="C146" t="str">
        <f ca="1">IFERROR(__xludf.DUMMYFUNCTION("""COMPUTED_VALUE"""),"Matt Wallace")</f>
        <v>Matt Wallace</v>
      </c>
      <c r="D146">
        <f ca="1">IFERROR(__xludf.DUMMYFUNCTION("""COMPUTED_VALUE"""),4)</f>
        <v>4</v>
      </c>
      <c r="E146">
        <f ca="1">IFERROR(__xludf.DUMMYFUNCTION("""COMPUTED_VALUE"""),56.25)</f>
        <v>56.25</v>
      </c>
      <c r="F146">
        <f ca="1">IFERROR(__xludf.DUMMYFUNCTION("""COMPUTED_VALUE"""),32)</f>
        <v>32</v>
      </c>
      <c r="G146">
        <f ca="1">IFERROR(__xludf.DUMMYFUNCTION("""COMPUTED_VALUE"""),18)</f>
        <v>18</v>
      </c>
    </row>
    <row r="147" spans="1:7" ht="12.75">
      <c r="A147" t="str">
        <f ca="1">IFERROR(__xludf.DUMMYFUNCTION("""COMPUTED_VALUE"""),"T144")</f>
        <v>T144</v>
      </c>
      <c r="B147" t="str">
        <f ca="1">IFERROR(__xludf.DUMMYFUNCTION("""COMPUTED_VALUE"""),"T151")</f>
        <v>T151</v>
      </c>
      <c r="C147" t="str">
        <f ca="1">IFERROR(__xludf.DUMMYFUNCTION("""COMPUTED_VALUE"""),"Sebastian Cappelen")</f>
        <v>Sebastian Cappelen</v>
      </c>
      <c r="D147">
        <f ca="1">IFERROR(__xludf.DUMMYFUNCTION("""COMPUTED_VALUE"""),8)</f>
        <v>8</v>
      </c>
      <c r="E147">
        <f ca="1">IFERROR(__xludf.DUMMYFUNCTION("""COMPUTED_VALUE"""),56.25)</f>
        <v>56.25</v>
      </c>
      <c r="F147">
        <f ca="1">IFERROR(__xludf.DUMMYFUNCTION("""COMPUTED_VALUE"""),16)</f>
        <v>16</v>
      </c>
      <c r="G147">
        <f ca="1">IFERROR(__xludf.DUMMYFUNCTION("""COMPUTED_VALUE"""),9)</f>
        <v>9</v>
      </c>
    </row>
    <row r="148" spans="1:7" ht="12.75">
      <c r="A148" t="str">
        <f ca="1">IFERROR(__xludf.DUMMYFUNCTION("""COMPUTED_VALUE"""),"T144")</f>
        <v>T144</v>
      </c>
      <c r="B148" t="str">
        <f ca="1">IFERROR(__xludf.DUMMYFUNCTION("""COMPUTED_VALUE"""),"T151")</f>
        <v>T151</v>
      </c>
      <c r="C148" t="str">
        <f ca="1">IFERROR(__xludf.DUMMYFUNCTION("""COMPUTED_VALUE"""),"Anirban Lahiri")</f>
        <v>Anirban Lahiri</v>
      </c>
      <c r="D148">
        <f ca="1">IFERROR(__xludf.DUMMYFUNCTION("""COMPUTED_VALUE"""),16)</f>
        <v>16</v>
      </c>
      <c r="E148">
        <f ca="1">IFERROR(__xludf.DUMMYFUNCTION("""COMPUTED_VALUE"""),56.25)</f>
        <v>56.25</v>
      </c>
      <c r="F148">
        <f ca="1">IFERROR(__xludf.DUMMYFUNCTION("""COMPUTED_VALUE"""),32)</f>
        <v>32</v>
      </c>
      <c r="G148">
        <f ca="1">IFERROR(__xludf.DUMMYFUNCTION("""COMPUTED_VALUE"""),18)</f>
        <v>18</v>
      </c>
    </row>
    <row r="149" spans="1:7" ht="12.75">
      <c r="A149" t="str">
        <f ca="1">IFERROR(__xludf.DUMMYFUNCTION("""COMPUTED_VALUE"""),"T144")</f>
        <v>T144</v>
      </c>
      <c r="B149" t="str">
        <f ca="1">IFERROR(__xludf.DUMMYFUNCTION("""COMPUTED_VALUE"""),"T151")</f>
        <v>T151</v>
      </c>
      <c r="C149" t="str">
        <f ca="1">IFERROR(__xludf.DUMMYFUNCTION("""COMPUTED_VALUE"""),"Ricky Barnes")</f>
        <v>Ricky Barnes</v>
      </c>
      <c r="D149">
        <f ca="1">IFERROR(__xludf.DUMMYFUNCTION("""COMPUTED_VALUE"""),12)</f>
        <v>12</v>
      </c>
      <c r="E149">
        <f ca="1">IFERROR(__xludf.DUMMYFUNCTION("""COMPUTED_VALUE"""),56.25)</f>
        <v>56.25</v>
      </c>
      <c r="F149">
        <f ca="1">IFERROR(__xludf.DUMMYFUNCTION("""COMPUTED_VALUE"""),16)</f>
        <v>16</v>
      </c>
      <c r="G149">
        <f ca="1">IFERROR(__xludf.DUMMYFUNCTION("""COMPUTED_VALUE"""),9)</f>
        <v>9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IFERROR(__xludf.DUMMYFUNCTION("""COMPUTED_VALUE"""),156)</f>
        <v>156</v>
      </c>
      <c r="C150" t="str">
        <f ca="1">IFERROR(__xludf.DUMMYFUNCTION("""COMPUTED_VALUE"""),"MJ Daffue")</f>
        <v>MJ Daffue</v>
      </c>
      <c r="D150">
        <f ca="1">IFERROR(__xludf.DUMMYFUNCTION("""COMPUTED_VALUE"""),10)</f>
        <v>10</v>
      </c>
      <c r="E150">
        <f ca="1">IFERROR(__xludf.DUMMYFUNCTION("""COMPUTED_VALUE"""),56.1)</f>
        <v>56.1</v>
      </c>
      <c r="F150">
        <f ca="1">IFERROR(__xludf.DUMMYFUNCTION("""COMPUTED_VALUE"""),41)</f>
        <v>41</v>
      </c>
      <c r="G150">
        <f ca="1">IFERROR(__xludf.DUMMYFUNCTION("""COMPUTED_VALUE"""),23)</f>
        <v>23</v>
      </c>
    </row>
    <row r="151" spans="1:7" ht="12.75">
      <c r="A151" t="str">
        <f ca="1">IFERROR(__xludf.DUMMYFUNCTION("""COMPUTED_VALUE"""),"T150")</f>
        <v>T150</v>
      </c>
      <c r="B151">
        <f ca="1">IFERROR(__xludf.DUMMYFUNCTION("""COMPUTED_VALUE"""),175)</f>
        <v>175</v>
      </c>
      <c r="C151" t="str">
        <f ca="1">IFERROR(__xludf.DUMMYFUNCTION("""COMPUTED_VALUE"""),"Sungjae Im")</f>
        <v>Sungjae Im</v>
      </c>
      <c r="D151">
        <f ca="1">IFERROR(__xludf.DUMMYFUNCTION("""COMPUTED_VALUE"""),24)</f>
        <v>24</v>
      </c>
      <c r="E151">
        <f ca="1">IFERROR(__xludf.DUMMYFUNCTION("""COMPUTED_VALUE"""),56)</f>
        <v>56</v>
      </c>
      <c r="F151">
        <f ca="1">IFERROR(__xludf.DUMMYFUNCTION("""COMPUTED_VALUE"""),100)</f>
        <v>100</v>
      </c>
      <c r="G151">
        <f ca="1">IFERROR(__xludf.DUMMYFUNCTION("""COMPUTED_VALUE"""),56)</f>
        <v>56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IFERROR(__xludf.DUMMYFUNCTION("""COMPUTED_VALUE"""),"T101")</f>
        <v>T101</v>
      </c>
      <c r="C152" t="str">
        <f ca="1">IFERROR(__xludf.DUMMYFUNCTION("""COMPUTED_VALUE"""),"Grayson Murray")</f>
        <v>Grayson Murray</v>
      </c>
      <c r="D152">
        <f ca="1">IFERROR(__xludf.DUMMYFUNCTION("""COMPUTED_VALUE"""),10)</f>
        <v>10</v>
      </c>
      <c r="E152">
        <f ca="1">IFERROR(__xludf.DUMMYFUNCTION("""COMPUTED_VALUE"""),56)</f>
        <v>56</v>
      </c>
      <c r="F152">
        <f ca="1">IFERROR(__xludf.DUMMYFUNCTION("""COMPUTED_VALUE"""),25)</f>
        <v>25</v>
      </c>
      <c r="G152">
        <f ca="1">IFERROR(__xludf.DUMMYFUNCTION("""COMPUTED_VALUE"""),14)</f>
        <v>14</v>
      </c>
    </row>
    <row r="153" spans="1:7" ht="12.75">
      <c r="A153" t="str">
        <f ca="1">IFERROR(__xludf.DUMMYFUNCTION("""COMPUTED_VALUE"""),"T150")</f>
        <v>T150</v>
      </c>
      <c r="B153" t="str">
        <f ca="1">IFERROR(__xludf.DUMMYFUNCTION("""COMPUTED_VALUE"""),"T129")</f>
        <v>T129</v>
      </c>
      <c r="C153" t="str">
        <f ca="1">IFERROR(__xludf.DUMMYFUNCTION("""COMPUTED_VALUE"""),"Scott Stallings")</f>
        <v>Scott Stallings</v>
      </c>
      <c r="D153">
        <f ca="1">IFERROR(__xludf.DUMMYFUNCTION("""COMPUTED_VALUE"""),14)</f>
        <v>14</v>
      </c>
      <c r="E153">
        <f ca="1">IFERROR(__xludf.DUMMYFUNCTION("""COMPUTED_VALUE"""),56)</f>
        <v>56</v>
      </c>
      <c r="F153">
        <f ca="1">IFERROR(__xludf.DUMMYFUNCTION("""COMPUTED_VALUE"""),50)</f>
        <v>50</v>
      </c>
      <c r="G153">
        <f ca="1">IFERROR(__xludf.DUMMYFUNCTION("""COMPUTED_VALUE"""),28)</f>
        <v>28</v>
      </c>
    </row>
    <row r="154" spans="1:7" ht="12.75">
      <c r="A154">
        <f ca="1">IFERROR(__xludf.DUMMYFUNCTION("""COMPUTED_VALUE"""),153)</f>
        <v>153</v>
      </c>
      <c r="B154">
        <f ca="1">IFERROR(__xludf.DUMMYFUNCTION("""COMPUTED_VALUE"""),139)</f>
        <v>139</v>
      </c>
      <c r="C154" t="str">
        <f ca="1">IFERROR(__xludf.DUMMYFUNCTION("""COMPUTED_VALUE"""),"Stewart Cink")</f>
        <v>Stewart Cink</v>
      </c>
      <c r="D154">
        <f ca="1">IFERROR(__xludf.DUMMYFUNCTION("""COMPUTED_VALUE"""),18)</f>
        <v>18</v>
      </c>
      <c r="E154">
        <f ca="1">IFERROR(__xludf.DUMMYFUNCTION("""COMPUTED_VALUE"""),55.81)</f>
        <v>55.81</v>
      </c>
      <c r="F154">
        <f ca="1">IFERROR(__xludf.DUMMYFUNCTION("""COMPUTED_VALUE"""),43)</f>
        <v>43</v>
      </c>
      <c r="G154">
        <f ca="1">IFERROR(__xludf.DUMMYFUNCTION("""COMPUTED_VALUE"""),24)</f>
        <v>24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IFERROR(__xludf.DUMMYFUNCTION("""COMPUTED_VALUE"""),"T157")</f>
        <v>T157</v>
      </c>
      <c r="C155" t="str">
        <f ca="1">IFERROR(__xludf.DUMMYFUNCTION("""COMPUTED_VALUE"""),"Zac Blair")</f>
        <v>Zac Blair</v>
      </c>
      <c r="D155">
        <f ca="1">IFERROR(__xludf.DUMMYFUNCTION("""COMPUTED_VALUE"""),10)</f>
        <v>10</v>
      </c>
      <c r="E155">
        <f ca="1">IFERROR(__xludf.DUMMYFUNCTION("""COMPUTED_VALUE"""),55.56)</f>
        <v>55.56</v>
      </c>
      <c r="F155">
        <f ca="1">IFERROR(__xludf.DUMMYFUNCTION("""COMPUTED_VALUE"""),27)</f>
        <v>27</v>
      </c>
      <c r="G155">
        <f ca="1">IFERROR(__xludf.DUMMYFUNCTION("""COMPUTED_VALUE"""),15)</f>
        <v>15</v>
      </c>
    </row>
    <row r="156" spans="1:7" ht="12.75">
      <c r="A156" t="str">
        <f ca="1">IFERROR(__xludf.DUMMYFUNCTION("""COMPUTED_VALUE"""),"T154")</f>
        <v>T154</v>
      </c>
      <c r="B156">
        <f ca="1">IFERROR(__xludf.DUMMYFUNCTION("""COMPUTED_VALUE"""),178)</f>
        <v>178</v>
      </c>
      <c r="C156" t="str">
        <f ca="1">IFERROR(__xludf.DUMMYFUNCTION("""COMPUTED_VALUE"""),"Kevin Chappell")</f>
        <v>Kevin Chappell</v>
      </c>
      <c r="D156">
        <f ca="1">IFERROR(__xludf.DUMMYFUNCTION("""COMPUTED_VALUE"""),16)</f>
        <v>16</v>
      </c>
      <c r="E156">
        <f ca="1">IFERROR(__xludf.DUMMYFUNCTION("""COMPUTED_VALUE"""),55.56)</f>
        <v>55.56</v>
      </c>
      <c r="F156">
        <f ca="1">IFERROR(__xludf.DUMMYFUNCTION("""COMPUTED_VALUE"""),63)</f>
        <v>63</v>
      </c>
      <c r="G156">
        <f ca="1">IFERROR(__xludf.DUMMYFUNCTION("""COMPUTED_VALUE"""),35)</f>
        <v>35</v>
      </c>
    </row>
    <row r="157" spans="1:7" ht="12.75">
      <c r="A157" t="str">
        <f ca="1">IFERROR(__xludf.DUMMYFUNCTION("""COMPUTED_VALUE"""),"T154")</f>
        <v>T154</v>
      </c>
      <c r="B157" t="str">
        <f ca="1">IFERROR(__xludf.DUMMYFUNCTION("""COMPUTED_VALUE"""),"")</f>
        <v/>
      </c>
      <c r="C157" t="str">
        <f ca="1">IFERROR(__xludf.DUMMYFUNCTION("""COMPUTED_VALUE"""),"Justin Harding")</f>
        <v>Justin Harding</v>
      </c>
      <c r="D157">
        <f ca="1">IFERROR(__xludf.DUMMYFUNCTION("""COMPUTED_VALUE"""),6)</f>
        <v>6</v>
      </c>
      <c r="E157">
        <f ca="1">IFERROR(__xludf.DUMMYFUNCTION("""COMPUTED_VALUE"""),55.56)</f>
        <v>55.56</v>
      </c>
      <c r="F157">
        <f ca="1">IFERROR(__xludf.DUMMYFUNCTION("""COMPUTED_VALUE"""),27)</f>
        <v>27</v>
      </c>
      <c r="G157">
        <f ca="1">IFERROR(__xludf.DUMMYFUNCTION("""COMPUTED_VALUE"""),15)</f>
        <v>15</v>
      </c>
    </row>
    <row r="158" spans="1:7" ht="12.75">
      <c r="A158" t="str">
        <f ca="1">IFERROR(__xludf.DUMMYFUNCTION("""COMPUTED_VALUE"""),"T154")</f>
        <v>T154</v>
      </c>
      <c r="B158" t="str">
        <f ca="1">IFERROR(__xludf.DUMMYFUNCTION("""COMPUTED_VALUE"""),"T157")</f>
        <v>T157</v>
      </c>
      <c r="C158" t="str">
        <f ca="1">IFERROR(__xludf.DUMMYFUNCTION("""COMPUTED_VALUE"""),"Tiger Woods")</f>
        <v>Tiger Woods</v>
      </c>
      <c r="D158">
        <f ca="1">IFERROR(__xludf.DUMMYFUNCTION("""COMPUTED_VALUE"""),6)</f>
        <v>6</v>
      </c>
      <c r="E158">
        <f ca="1">IFERROR(__xludf.DUMMYFUNCTION("""COMPUTED_VALUE"""),55.56)</f>
        <v>55.56</v>
      </c>
      <c r="F158">
        <f ca="1">IFERROR(__xludf.DUMMYFUNCTION("""COMPUTED_VALUE"""),36)</f>
        <v>36</v>
      </c>
      <c r="G158">
        <f ca="1">IFERROR(__xludf.DUMMYFUNCTION("""COMPUTED_VALUE"""),20)</f>
        <v>20</v>
      </c>
    </row>
    <row r="159" spans="1:7" ht="12.75">
      <c r="A159" t="str">
        <f ca="1">IFERROR(__xludf.DUMMYFUNCTION("""COMPUTED_VALUE"""),"T158")</f>
        <v>T158</v>
      </c>
      <c r="B159">
        <f ca="1">IFERROR(__xludf.DUMMYFUNCTION("""COMPUTED_VALUE"""),162)</f>
        <v>162</v>
      </c>
      <c r="C159" t="str">
        <f ca="1">IFERROR(__xludf.DUMMYFUNCTION("""COMPUTED_VALUE"""),"Jon Rahm")</f>
        <v>Jon Rahm</v>
      </c>
      <c r="D159">
        <f ca="1">IFERROR(__xludf.DUMMYFUNCTION("""COMPUTED_VALUE"""),12)</f>
        <v>12</v>
      </c>
      <c r="E159">
        <f ca="1">IFERROR(__xludf.DUMMYFUNCTION("""COMPUTED_VALUE"""),55.36)</f>
        <v>55.36</v>
      </c>
      <c r="F159">
        <f ca="1">IFERROR(__xludf.DUMMYFUNCTION("""COMPUTED_VALUE"""),56)</f>
        <v>56</v>
      </c>
      <c r="G159">
        <f ca="1">IFERROR(__xludf.DUMMYFUNCTION("""COMPUTED_VALUE"""),31)</f>
        <v>31</v>
      </c>
    </row>
    <row r="160" spans="1:7" ht="12.75">
      <c r="A160" t="str">
        <f ca="1">IFERROR(__xludf.DUMMYFUNCTION("""COMPUTED_VALUE"""),"T158")</f>
        <v>T158</v>
      </c>
      <c r="B160">
        <f ca="1">IFERROR(__xludf.DUMMYFUNCTION("""COMPUTED_VALUE"""),140)</f>
        <v>140</v>
      </c>
      <c r="C160" t="str">
        <f ca="1">IFERROR(__xludf.DUMMYFUNCTION("""COMPUTED_VALUE"""),"Rory Sabbatini")</f>
        <v>Rory Sabbatini</v>
      </c>
      <c r="D160">
        <f ca="1">IFERROR(__xludf.DUMMYFUNCTION("""COMPUTED_VALUE"""),13)</f>
        <v>13</v>
      </c>
      <c r="E160">
        <f ca="1">IFERROR(__xludf.DUMMYFUNCTION("""COMPUTED_VALUE"""),55.36)</f>
        <v>55.36</v>
      </c>
      <c r="F160">
        <f ca="1">IFERROR(__xludf.DUMMYFUNCTION("""COMPUTED_VALUE"""),56)</f>
        <v>56</v>
      </c>
      <c r="G160">
        <f ca="1">IFERROR(__xludf.DUMMYFUNCTION("""COMPUTED_VALUE"""),31)</f>
        <v>31</v>
      </c>
    </row>
    <row r="161" spans="1:7" ht="12.75">
      <c r="A161">
        <f ca="1">IFERROR(__xludf.DUMMYFUNCTION("""COMPUTED_VALUE"""),160)</f>
        <v>160</v>
      </c>
      <c r="B161" t="str">
        <f ca="1">IFERROR(__xludf.DUMMYFUNCTION("""COMPUTED_VALUE"""),"T171")</f>
        <v>T171</v>
      </c>
      <c r="C161" t="str">
        <f ca="1">IFERROR(__xludf.DUMMYFUNCTION("""COMPUTED_VALUE"""),"Nate Lashley")</f>
        <v>Nate Lashley</v>
      </c>
      <c r="D161">
        <f ca="1">IFERROR(__xludf.DUMMYFUNCTION("""COMPUTED_VALUE"""),16)</f>
        <v>16</v>
      </c>
      <c r="E161">
        <f ca="1">IFERROR(__xludf.DUMMYFUNCTION("""COMPUTED_VALUE"""),55.26)</f>
        <v>55.26</v>
      </c>
      <c r="F161">
        <f ca="1">IFERROR(__xludf.DUMMYFUNCTION("""COMPUTED_VALUE"""),38)</f>
        <v>38</v>
      </c>
      <c r="G161">
        <f ca="1">IFERROR(__xludf.DUMMYFUNCTION("""COMPUTED_VALUE"""),21)</f>
        <v>21</v>
      </c>
    </row>
    <row r="162" spans="1:7" ht="12.75">
      <c r="A162" t="str">
        <f ca="1">IFERROR(__xludf.DUMMYFUNCTION("""COMPUTED_VALUE"""),"T161")</f>
        <v>T161</v>
      </c>
      <c r="B162">
        <f ca="1">IFERROR(__xludf.DUMMYFUNCTION("""COMPUTED_VALUE"""),89)</f>
        <v>89</v>
      </c>
      <c r="C162" t="str">
        <f ca="1">IFERROR(__xludf.DUMMYFUNCTION("""COMPUTED_VALUE"""),"Adam Schenk")</f>
        <v>Adam Schenk</v>
      </c>
      <c r="D162">
        <f ca="1">IFERROR(__xludf.DUMMYFUNCTION("""COMPUTED_VALUE"""),22)</f>
        <v>22</v>
      </c>
      <c r="E162">
        <f ca="1">IFERROR(__xludf.DUMMYFUNCTION("""COMPUTED_VALUE"""),55.17)</f>
        <v>55.17</v>
      </c>
      <c r="F162">
        <f ca="1">IFERROR(__xludf.DUMMYFUNCTION("""COMPUTED_VALUE"""),58)</f>
        <v>58</v>
      </c>
      <c r="G162">
        <f ca="1">IFERROR(__xludf.DUMMYFUNCTION("""COMPUTED_VALUE"""),32)</f>
        <v>32</v>
      </c>
    </row>
    <row r="163" spans="1:7" ht="12.75">
      <c r="A163" t="str">
        <f ca="1">IFERROR(__xludf.DUMMYFUNCTION("""COMPUTED_VALUE"""),"T161")</f>
        <v>T161</v>
      </c>
      <c r="B163" t="str">
        <f ca="1">IFERROR(__xludf.DUMMYFUNCTION("""COMPUTED_VALUE"""),"T163")</f>
        <v>T163</v>
      </c>
      <c r="C163" t="str">
        <f ca="1">IFERROR(__xludf.DUMMYFUNCTION("""COMPUTED_VALUE"""),"Adam Hadwin")</f>
        <v>Adam Hadwin</v>
      </c>
      <c r="D163">
        <f ca="1">IFERROR(__xludf.DUMMYFUNCTION("""COMPUTED_VALUE"""),16)</f>
        <v>16</v>
      </c>
      <c r="E163">
        <f ca="1">IFERROR(__xludf.DUMMYFUNCTION("""COMPUTED_VALUE"""),55.17)</f>
        <v>55.17</v>
      </c>
      <c r="F163">
        <f ca="1">IFERROR(__xludf.DUMMYFUNCTION("""COMPUTED_VALUE"""),87)</f>
        <v>87</v>
      </c>
      <c r="G163">
        <f ca="1">IFERROR(__xludf.DUMMYFUNCTION("""COMPUTED_VALUE"""),48)</f>
        <v>48</v>
      </c>
    </row>
    <row r="164" spans="1:7" ht="12.75">
      <c r="A164" t="str">
        <f ca="1">IFERROR(__xludf.DUMMYFUNCTION("""COMPUTED_VALUE"""),"T161")</f>
        <v>T161</v>
      </c>
      <c r="B164" t="str">
        <f ca="1">IFERROR(__xludf.DUMMYFUNCTION("""COMPUTED_VALUE"""),"T163")</f>
        <v>T163</v>
      </c>
      <c r="C164" t="str">
        <f ca="1">IFERROR(__xludf.DUMMYFUNCTION("""COMPUTED_VALUE"""),"Bubba Watson")</f>
        <v>Bubba Watson</v>
      </c>
      <c r="D164">
        <f ca="1">IFERROR(__xludf.DUMMYFUNCTION("""COMPUTED_VALUE"""),12)</f>
        <v>12</v>
      </c>
      <c r="E164">
        <f ca="1">IFERROR(__xludf.DUMMYFUNCTION("""COMPUTED_VALUE"""),55.17)</f>
        <v>55.17</v>
      </c>
      <c r="F164">
        <f ca="1">IFERROR(__xludf.DUMMYFUNCTION("""COMPUTED_VALUE"""),58)</f>
        <v>58</v>
      </c>
      <c r="G164">
        <f ca="1">IFERROR(__xludf.DUMMYFUNCTION("""COMPUTED_VALUE"""),32)</f>
        <v>32</v>
      </c>
    </row>
    <row r="165" spans="1:7" ht="12.75">
      <c r="A165">
        <f ca="1">IFERROR(__xludf.DUMMYFUNCTION("""COMPUTED_VALUE"""),164)</f>
        <v>164</v>
      </c>
      <c r="B165" t="str">
        <f ca="1">IFERROR(__xludf.DUMMYFUNCTION("""COMPUTED_VALUE"""),"T87")</f>
        <v>T87</v>
      </c>
      <c r="C165" t="str">
        <f ca="1">IFERROR(__xludf.DUMMYFUNCTION("""COMPUTED_VALUE"""),"Patton Kizzire")</f>
        <v>Patton Kizzire</v>
      </c>
      <c r="D165">
        <f ca="1">IFERROR(__xludf.DUMMYFUNCTION("""COMPUTED_VALUE"""),18)</f>
        <v>18</v>
      </c>
      <c r="E165">
        <f ca="1">IFERROR(__xludf.DUMMYFUNCTION("""COMPUTED_VALUE"""),54.9)</f>
        <v>54.9</v>
      </c>
      <c r="F165">
        <f ca="1">IFERROR(__xludf.DUMMYFUNCTION("""COMPUTED_VALUE"""),51)</f>
        <v>51</v>
      </c>
      <c r="G165">
        <f ca="1">IFERROR(__xludf.DUMMYFUNCTION("""COMPUTED_VALUE"""),28)</f>
        <v>28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IFERROR(__xludf.DUMMYFUNCTION("""COMPUTED_VALUE"""),"T167")</f>
        <v>T167</v>
      </c>
      <c r="C166" t="str">
        <f ca="1">IFERROR(__xludf.DUMMYFUNCTION("""COMPUTED_VALUE"""),"Viktor Hovland")</f>
        <v>Viktor Hovland</v>
      </c>
      <c r="D166">
        <f ca="1">IFERROR(__xludf.DUMMYFUNCTION("""COMPUTED_VALUE"""),16)</f>
        <v>16</v>
      </c>
      <c r="E166">
        <f ca="1">IFERROR(__xludf.DUMMYFUNCTION("""COMPUTED_VALUE"""),54.55)</f>
        <v>54.55</v>
      </c>
      <c r="F166">
        <f ca="1">IFERROR(__xludf.DUMMYFUNCTION("""COMPUTED_VALUE"""),77)</f>
        <v>77</v>
      </c>
      <c r="G166">
        <f ca="1">IFERROR(__xludf.DUMMYFUNCTION("""COMPUTED_VALUE"""),42)</f>
        <v>42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IFERROR(__xludf.DUMMYFUNCTION("""COMPUTED_VALUE"""),"T201")</f>
        <v>T201</v>
      </c>
      <c r="C167" t="str">
        <f ca="1">IFERROR(__xludf.DUMMYFUNCTION("""COMPUTED_VALUE"""),"Talor Gooch")</f>
        <v>Talor Gooch</v>
      </c>
      <c r="D167">
        <f ca="1">IFERROR(__xludf.DUMMYFUNCTION("""COMPUTED_VALUE"""),20)</f>
        <v>20</v>
      </c>
      <c r="E167">
        <f ca="1">IFERROR(__xludf.DUMMYFUNCTION("""COMPUTED_VALUE"""),54.55)</f>
        <v>54.55</v>
      </c>
      <c r="F167">
        <f ca="1">IFERROR(__xludf.DUMMYFUNCTION("""COMPUTED_VALUE"""),77)</f>
        <v>77</v>
      </c>
      <c r="G167">
        <f ca="1">IFERROR(__xludf.DUMMYFUNCTION("""COMPUTED_VALUE"""),42)</f>
        <v>42</v>
      </c>
    </row>
    <row r="168" spans="1:7" ht="12.75">
      <c r="A168" t="str">
        <f ca="1">IFERROR(__xludf.DUMMYFUNCTION("""COMPUTED_VALUE"""),"T165")</f>
        <v>T165</v>
      </c>
      <c r="B168" t="str">
        <f ca="1">IFERROR(__xludf.DUMMYFUNCTION("""COMPUTED_VALUE"""),"T195")</f>
        <v>T195</v>
      </c>
      <c r="C168" t="str">
        <f ca="1">IFERROR(__xludf.DUMMYFUNCTION("""COMPUTED_VALUE"""),"Hideki Matsuyama")</f>
        <v>Hideki Matsuyama</v>
      </c>
      <c r="D168">
        <f ca="1">IFERROR(__xludf.DUMMYFUNCTION("""COMPUTED_VALUE"""),18)</f>
        <v>18</v>
      </c>
      <c r="E168">
        <f ca="1">IFERROR(__xludf.DUMMYFUNCTION("""COMPUTED_VALUE"""),54.55)</f>
        <v>54.55</v>
      </c>
      <c r="F168">
        <f ca="1">IFERROR(__xludf.DUMMYFUNCTION("""COMPUTED_VALUE"""),77)</f>
        <v>77</v>
      </c>
      <c r="G168">
        <f ca="1">IFERROR(__xludf.DUMMYFUNCTION("""COMPUTED_VALUE"""),42)</f>
        <v>42</v>
      </c>
    </row>
    <row r="169" spans="1:7" ht="12.75">
      <c r="A169" t="str">
        <f ca="1">IFERROR(__xludf.DUMMYFUNCTION("""COMPUTED_VALUE"""),"T165")</f>
        <v>T165</v>
      </c>
      <c r="B169" t="str">
        <f ca="1">IFERROR(__xludf.DUMMYFUNCTION("""COMPUTED_VALUE"""),"T167")</f>
        <v>T167</v>
      </c>
      <c r="C169" t="str">
        <f ca="1">IFERROR(__xludf.DUMMYFUNCTION("""COMPUTED_VALUE"""),"Josh Teater")</f>
        <v>Josh Teater</v>
      </c>
      <c r="D169">
        <f ca="1">IFERROR(__xludf.DUMMYFUNCTION("""COMPUTED_VALUE"""),6)</f>
        <v>6</v>
      </c>
      <c r="E169">
        <f ca="1">IFERROR(__xludf.DUMMYFUNCTION("""COMPUTED_VALUE"""),54.55)</f>
        <v>54.55</v>
      </c>
      <c r="F169">
        <f ca="1">IFERROR(__xludf.DUMMYFUNCTION("""COMPUTED_VALUE"""),11)</f>
        <v>11</v>
      </c>
      <c r="G169">
        <f ca="1">IFERROR(__xludf.DUMMYFUNCTION("""COMPUTED_VALUE"""),6)</f>
        <v>6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IFERROR(__xludf.DUMMYFUNCTION("""COMPUTED_VALUE"""),"T195")</f>
        <v>T195</v>
      </c>
      <c r="C170" t="str">
        <f ca="1">IFERROR(__xludf.DUMMYFUNCTION("""COMPUTED_VALUE"""),"Scottie Scheffler")</f>
        <v>Scottie Scheffler</v>
      </c>
      <c r="D170">
        <f ca="1">IFERROR(__xludf.DUMMYFUNCTION("""COMPUTED_VALUE"""),18)</f>
        <v>18</v>
      </c>
      <c r="E170">
        <f ca="1">IFERROR(__xludf.DUMMYFUNCTION("""COMPUTED_VALUE"""),54.32)</f>
        <v>54.32</v>
      </c>
      <c r="F170">
        <f ca="1">IFERROR(__xludf.DUMMYFUNCTION("""COMPUTED_VALUE"""),81)</f>
        <v>81</v>
      </c>
      <c r="G170">
        <f ca="1">IFERROR(__xludf.DUMMYFUNCTION("""COMPUTED_VALUE"""),44)</f>
        <v>44</v>
      </c>
    </row>
    <row r="171" spans="1:7" ht="12.75">
      <c r="A171">
        <f ca="1">IFERROR(__xludf.DUMMYFUNCTION("""COMPUTED_VALUE"""),170)</f>
        <v>170</v>
      </c>
      <c r="B171" t="str">
        <f ca="1">IFERROR(__xludf.DUMMYFUNCTION("""COMPUTED_VALUE"""),"T124")</f>
        <v>T124</v>
      </c>
      <c r="C171" t="str">
        <f ca="1">IFERROR(__xludf.DUMMYFUNCTION("""COMPUTED_VALUE"""),"D.A. Points")</f>
        <v>D.A. Points</v>
      </c>
      <c r="D171">
        <f ca="1">IFERROR(__xludf.DUMMYFUNCTION("""COMPUTED_VALUE"""),12)</f>
        <v>12</v>
      </c>
      <c r="E171">
        <f ca="1">IFERROR(__xludf.DUMMYFUNCTION("""COMPUTED_VALUE"""),54.29)</f>
        <v>54.29</v>
      </c>
      <c r="F171">
        <f ca="1">IFERROR(__xludf.DUMMYFUNCTION("""COMPUTED_VALUE"""),35)</f>
        <v>35</v>
      </c>
      <c r="G171">
        <f ca="1">IFERROR(__xludf.DUMMYFUNCTION("""COMPUTED_VALUE"""),19)</f>
        <v>19</v>
      </c>
    </row>
    <row r="172" spans="1:7" ht="12.75">
      <c r="A172" t="str">
        <f ca="1">IFERROR(__xludf.DUMMYFUNCTION("""COMPUTED_VALUE"""),"T171")</f>
        <v>T171</v>
      </c>
      <c r="B172">
        <f ca="1">IFERROR(__xludf.DUMMYFUNCTION("""COMPUTED_VALUE"""),200)</f>
        <v>200</v>
      </c>
      <c r="C172" t="str">
        <f ca="1">IFERROR(__xludf.DUMMYFUNCTION("""COMPUTED_VALUE"""),"Will Gordon")</f>
        <v>Will Gordon</v>
      </c>
      <c r="D172">
        <f ca="1">IFERROR(__xludf.DUMMYFUNCTION("""COMPUTED_VALUE"""),20)</f>
        <v>20</v>
      </c>
      <c r="E172">
        <f ca="1">IFERROR(__xludf.DUMMYFUNCTION("""COMPUTED_VALUE"""),54.24)</f>
        <v>54.24</v>
      </c>
      <c r="F172">
        <f ca="1">IFERROR(__xludf.DUMMYFUNCTION("""COMPUTED_VALUE"""),59)</f>
        <v>59</v>
      </c>
      <c r="G172">
        <f ca="1">IFERROR(__xludf.DUMMYFUNCTION("""COMPUTED_VALUE"""),32)</f>
        <v>32</v>
      </c>
    </row>
    <row r="173" spans="1:7" ht="12.75">
      <c r="A173" t="str">
        <f ca="1">IFERROR(__xludf.DUMMYFUNCTION("""COMPUTED_VALUE"""),"T171")</f>
        <v>T171</v>
      </c>
      <c r="B173">
        <f ca="1">IFERROR(__xludf.DUMMYFUNCTION("""COMPUTED_VALUE"""),170)</f>
        <v>170</v>
      </c>
      <c r="C173" t="str">
        <f ca="1">IFERROR(__xludf.DUMMYFUNCTION("""COMPUTED_VALUE"""),"Brendan Steele")</f>
        <v>Brendan Steele</v>
      </c>
      <c r="D173">
        <f ca="1">IFERROR(__xludf.DUMMYFUNCTION("""COMPUTED_VALUE"""),14)</f>
        <v>14</v>
      </c>
      <c r="E173">
        <f ca="1">IFERROR(__xludf.DUMMYFUNCTION("""COMPUTED_VALUE"""),54.24)</f>
        <v>54.24</v>
      </c>
      <c r="F173">
        <f ca="1">IFERROR(__xludf.DUMMYFUNCTION("""COMPUTED_VALUE"""),59)</f>
        <v>59</v>
      </c>
      <c r="G173">
        <f ca="1">IFERROR(__xludf.DUMMYFUNCTION("""COMPUTED_VALUE"""),32)</f>
        <v>32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IFERROR(__xludf.DUMMYFUNCTION("""COMPUTED_VALUE"""),"T173")</f>
        <v>T173</v>
      </c>
      <c r="C174" t="str">
        <f ca="1">IFERROR(__xludf.DUMMYFUNCTION("""COMPUTED_VALUE"""),"Vincent Whaley")</f>
        <v>Vincent Whaley</v>
      </c>
      <c r="D174">
        <f ca="1">IFERROR(__xludf.DUMMYFUNCTION("""COMPUTED_VALUE"""),14)</f>
        <v>14</v>
      </c>
      <c r="E174">
        <f ca="1">IFERROR(__xludf.DUMMYFUNCTION("""COMPUTED_VALUE"""),54.05)</f>
        <v>54.05</v>
      </c>
      <c r="F174">
        <f ca="1">IFERROR(__xludf.DUMMYFUNCTION("""COMPUTED_VALUE"""),37)</f>
        <v>37</v>
      </c>
      <c r="G174">
        <f ca="1">IFERROR(__xludf.DUMMYFUNCTION("""COMPUTED_VALUE"""),20)</f>
        <v>20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IFERROR(__xludf.DUMMYFUNCTION("""COMPUTED_VALUE"""),"T173")</f>
        <v>T173</v>
      </c>
      <c r="C175" t="str">
        <f ca="1">IFERROR(__xludf.DUMMYFUNCTION("""COMPUTED_VALUE"""),"D.J. Trahan")</f>
        <v>D.J. Trahan</v>
      </c>
      <c r="D175">
        <f ca="1">IFERROR(__xludf.DUMMYFUNCTION("""COMPUTED_VALUE"""),16)</f>
        <v>16</v>
      </c>
      <c r="E175">
        <f ca="1">IFERROR(__xludf.DUMMYFUNCTION("""COMPUTED_VALUE"""),54.05)</f>
        <v>54.05</v>
      </c>
      <c r="F175">
        <f ca="1">IFERROR(__xludf.DUMMYFUNCTION("""COMPUTED_VALUE"""),37)</f>
        <v>37</v>
      </c>
      <c r="G175">
        <f ca="1">IFERROR(__xludf.DUMMYFUNCTION("""COMPUTED_VALUE"""),20)</f>
        <v>20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IFERROR(__xludf.DUMMYFUNCTION("""COMPUTED_VALUE"""),"T132")</f>
        <v>T132</v>
      </c>
      <c r="C176" t="str">
        <f ca="1">IFERROR(__xludf.DUMMYFUNCTION("""COMPUTED_VALUE"""),"Harold Varner III")</f>
        <v>Harold Varner III</v>
      </c>
      <c r="D176">
        <f ca="1">IFERROR(__xludf.DUMMYFUNCTION("""COMPUTED_VALUE"""),14)</f>
        <v>14</v>
      </c>
      <c r="E176">
        <f ca="1">IFERROR(__xludf.DUMMYFUNCTION("""COMPUTED_VALUE"""),54)</f>
        <v>54</v>
      </c>
      <c r="F176">
        <f ca="1">IFERROR(__xludf.DUMMYFUNCTION("""COMPUTED_VALUE"""),50)</f>
        <v>50</v>
      </c>
      <c r="G176">
        <f ca="1">IFERROR(__xludf.DUMMYFUNCTION("""COMPUTED_VALUE"""),27)</f>
        <v>27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IFERROR(__xludf.DUMMYFUNCTION("""COMPUTED_VALUE"""),166)</f>
        <v>166</v>
      </c>
      <c r="C177" t="str">
        <f ca="1">IFERROR(__xludf.DUMMYFUNCTION("""COMPUTED_VALUE"""),"Lanto Griffin")</f>
        <v>Lanto Griffin</v>
      </c>
      <c r="D177">
        <f ca="1">IFERROR(__xludf.DUMMYFUNCTION("""COMPUTED_VALUE"""),18)</f>
        <v>18</v>
      </c>
      <c r="E177">
        <f ca="1">IFERROR(__xludf.DUMMYFUNCTION("""COMPUTED_VALUE"""),53.85)</f>
        <v>53.85</v>
      </c>
      <c r="F177">
        <f ca="1">IFERROR(__xludf.DUMMYFUNCTION("""COMPUTED_VALUE"""),78)</f>
        <v>78</v>
      </c>
      <c r="G177">
        <f ca="1">IFERROR(__xludf.DUMMYFUNCTION("""COMPUTED_VALUE"""),42)</f>
        <v>42</v>
      </c>
    </row>
    <row r="178" spans="1:7" ht="12.75">
      <c r="A178">
        <f ca="1">IFERROR(__xludf.DUMMYFUNCTION("""COMPUTED_VALUE"""),177)</f>
        <v>177</v>
      </c>
      <c r="B178" t="str">
        <f ca="1">IFERROR(__xludf.DUMMYFUNCTION("""COMPUTED_VALUE"""),"T124")</f>
        <v>T124</v>
      </c>
      <c r="C178" t="str">
        <f ca="1">IFERROR(__xludf.DUMMYFUNCTION("""COMPUTED_VALUE"""),"Russell Knox")</f>
        <v>Russell Knox</v>
      </c>
      <c r="D178">
        <f ca="1">IFERROR(__xludf.DUMMYFUNCTION("""COMPUTED_VALUE"""),16)</f>
        <v>16</v>
      </c>
      <c r="E178">
        <f ca="1">IFERROR(__xludf.DUMMYFUNCTION("""COMPUTED_VALUE"""),53.66)</f>
        <v>53.66</v>
      </c>
      <c r="F178">
        <f ca="1">IFERROR(__xludf.DUMMYFUNCTION("""COMPUTED_VALUE"""),41)</f>
        <v>41</v>
      </c>
      <c r="G178">
        <f ca="1">IFERROR(__xludf.DUMMYFUNCTION("""COMPUTED_VALUE"""),22)</f>
        <v>22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IFERROR(__xludf.DUMMYFUNCTION("""COMPUTED_VALUE"""),216)</f>
        <v>216</v>
      </c>
      <c r="C179" t="str">
        <f ca="1">IFERROR(__xludf.DUMMYFUNCTION("""COMPUTED_VALUE"""),"Doc Redman")</f>
        <v>Doc Redman</v>
      </c>
      <c r="D179">
        <f ca="1">IFERROR(__xludf.DUMMYFUNCTION("""COMPUTED_VALUE"""),18)</f>
        <v>18</v>
      </c>
      <c r="E179">
        <f ca="1">IFERROR(__xludf.DUMMYFUNCTION("""COMPUTED_VALUE"""),53.57)</f>
        <v>53.57</v>
      </c>
      <c r="F179">
        <f ca="1">IFERROR(__xludf.DUMMYFUNCTION("""COMPUTED_VALUE"""),56)</f>
        <v>56</v>
      </c>
      <c r="G179">
        <f ca="1">IFERROR(__xludf.DUMMYFUNCTION("""COMPUTED_VALUE"""),30)</f>
        <v>30</v>
      </c>
    </row>
    <row r="180" spans="1:7" ht="12.75">
      <c r="A180" t="str">
        <f ca="1">IFERROR(__xludf.DUMMYFUNCTION("""COMPUTED_VALUE"""),"T179")</f>
        <v>T179</v>
      </c>
      <c r="B180" t="str">
        <f ca="1">IFERROR(__xludf.DUMMYFUNCTION("""COMPUTED_VALUE"""),"T135")</f>
        <v>T135</v>
      </c>
      <c r="C180" t="str">
        <f ca="1">IFERROR(__xludf.DUMMYFUNCTION("""COMPUTED_VALUE"""),"Keith Mitchell")</f>
        <v>Keith Mitchell</v>
      </c>
      <c r="D180">
        <f ca="1">IFERROR(__xludf.DUMMYFUNCTION("""COMPUTED_VALUE"""),14)</f>
        <v>14</v>
      </c>
      <c r="E180">
        <f ca="1">IFERROR(__xludf.DUMMYFUNCTION("""COMPUTED_VALUE"""),53.33)</f>
        <v>53.33</v>
      </c>
      <c r="F180">
        <f ca="1">IFERROR(__xludf.DUMMYFUNCTION("""COMPUTED_VALUE"""),30)</f>
        <v>30</v>
      </c>
      <c r="G180">
        <f ca="1">IFERROR(__xludf.DUMMYFUNCTION("""COMPUTED_VALUE"""),16)</f>
        <v>16</v>
      </c>
    </row>
    <row r="181" spans="1:7" ht="12.75">
      <c r="A181" t="str">
        <f ca="1">IFERROR(__xludf.DUMMYFUNCTION("""COMPUTED_VALUE"""),"T179")</f>
        <v>T179</v>
      </c>
      <c r="B181">
        <f ca="1">IFERROR(__xludf.DUMMYFUNCTION("""COMPUTED_VALUE"""),179)</f>
        <v>179</v>
      </c>
      <c r="C181" t="str">
        <f ca="1">IFERROR(__xludf.DUMMYFUNCTION("""COMPUTED_VALUE"""),"Steve Lewton")</f>
        <v>Steve Lewton</v>
      </c>
      <c r="D181">
        <f ca="1">IFERROR(__xludf.DUMMYFUNCTION("""COMPUTED_VALUE"""),4)</f>
        <v>4</v>
      </c>
      <c r="E181">
        <f ca="1">IFERROR(__xludf.DUMMYFUNCTION("""COMPUTED_VALUE"""),53.33)</f>
        <v>53.33</v>
      </c>
      <c r="F181">
        <f ca="1">IFERROR(__xludf.DUMMYFUNCTION("""COMPUTED_VALUE"""),15)</f>
        <v>15</v>
      </c>
      <c r="G181">
        <f ca="1">IFERROR(__xludf.DUMMYFUNCTION("""COMPUTED_VALUE"""),8)</f>
        <v>8</v>
      </c>
    </row>
    <row r="182" spans="1:7" ht="12.75">
      <c r="A182">
        <f ca="1">IFERROR(__xludf.DUMMYFUNCTION("""COMPUTED_VALUE"""),181)</f>
        <v>181</v>
      </c>
      <c r="B182" t="str">
        <f ca="1">IFERROR(__xludf.DUMMYFUNCTION("""COMPUTED_VALUE"""),"T141")</f>
        <v>T141</v>
      </c>
      <c r="C182" t="str">
        <f ca="1">IFERROR(__xludf.DUMMYFUNCTION("""COMPUTED_VALUE"""),"Dustin Johnson")</f>
        <v>Dustin Johnson</v>
      </c>
      <c r="D182">
        <f ca="1">IFERROR(__xludf.DUMMYFUNCTION("""COMPUTED_VALUE"""),8)</f>
        <v>8</v>
      </c>
      <c r="E182">
        <f ca="1">IFERROR(__xludf.DUMMYFUNCTION("""COMPUTED_VALUE"""),53.19)</f>
        <v>53.19</v>
      </c>
      <c r="F182">
        <f ca="1">IFERROR(__xludf.DUMMYFUNCTION("""COMPUTED_VALUE"""),47)</f>
        <v>47</v>
      </c>
      <c r="G182">
        <f ca="1">IFERROR(__xludf.DUMMYFUNCTION("""COMPUTED_VALUE"""),25)</f>
        <v>25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IFERROR(__xludf.DUMMYFUNCTION("""COMPUTED_VALUE"""),"T240")</f>
        <v>T240</v>
      </c>
      <c r="C183" t="str">
        <f ca="1">IFERROR(__xludf.DUMMYFUNCTION("""COMPUTED_VALUE"""),"Kramer Hickok")</f>
        <v>Kramer Hickok</v>
      </c>
      <c r="D183">
        <f ca="1">IFERROR(__xludf.DUMMYFUNCTION("""COMPUTED_VALUE"""),16)</f>
        <v>16</v>
      </c>
      <c r="E183">
        <f ca="1">IFERROR(__xludf.DUMMYFUNCTION("""COMPUTED_VALUE"""),53.13)</f>
        <v>53.13</v>
      </c>
      <c r="F183">
        <f ca="1">IFERROR(__xludf.DUMMYFUNCTION("""COMPUTED_VALUE"""),32)</f>
        <v>32</v>
      </c>
      <c r="G183">
        <f ca="1">IFERROR(__xludf.DUMMYFUNCTION("""COMPUTED_VALUE"""),17)</f>
        <v>17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IFERROR(__xludf.DUMMYFUNCTION("""COMPUTED_VALUE"""),"T184")</f>
        <v>T184</v>
      </c>
      <c r="C184" t="str">
        <f ca="1">IFERROR(__xludf.DUMMYFUNCTION("""COMPUTED_VALUE"""),"Sean O'Hair")</f>
        <v>Sean O'Hair</v>
      </c>
      <c r="D184">
        <f ca="1">IFERROR(__xludf.DUMMYFUNCTION("""COMPUTED_VALUE"""),14)</f>
        <v>14</v>
      </c>
      <c r="E184">
        <f ca="1">IFERROR(__xludf.DUMMYFUNCTION("""COMPUTED_VALUE"""),53.13)</f>
        <v>53.13</v>
      </c>
      <c r="F184">
        <f ca="1">IFERROR(__xludf.DUMMYFUNCTION("""COMPUTED_VALUE"""),32)</f>
        <v>32</v>
      </c>
      <c r="G184">
        <f ca="1">IFERROR(__xludf.DUMMYFUNCTION("""COMPUTED_VALUE"""),17)</f>
        <v>17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IFERROR(__xludf.DUMMYFUNCTION("""COMPUTED_VALUE"""),182)</f>
        <v>182</v>
      </c>
      <c r="C185" t="str">
        <f ca="1">IFERROR(__xludf.DUMMYFUNCTION("""COMPUTED_VALUE"""),"Billy Horschel")</f>
        <v>Billy Horschel</v>
      </c>
      <c r="D185">
        <f ca="1">IFERROR(__xludf.DUMMYFUNCTION("""COMPUTED_VALUE"""),12)</f>
        <v>12</v>
      </c>
      <c r="E185">
        <f ca="1">IFERROR(__xludf.DUMMYFUNCTION("""COMPUTED_VALUE"""),53.06)</f>
        <v>53.06</v>
      </c>
      <c r="F185">
        <f ca="1">IFERROR(__xludf.DUMMYFUNCTION("""COMPUTED_VALUE"""),49)</f>
        <v>49</v>
      </c>
      <c r="G185">
        <f ca="1">IFERROR(__xludf.DUMMYFUNCTION("""COMPUTED_VALUE"""),26)</f>
        <v>26</v>
      </c>
    </row>
    <row r="186" spans="1:7" ht="12.75">
      <c r="A186" t="str">
        <f ca="1">IFERROR(__xludf.DUMMYFUNCTION("""COMPUTED_VALUE"""),"T185")</f>
        <v>T185</v>
      </c>
      <c r="B186" t="str">
        <f ca="1">IFERROR(__xludf.DUMMYFUNCTION("""COMPUTED_VALUE"""),"T201")</f>
        <v>T201</v>
      </c>
      <c r="C186" t="str">
        <f ca="1">IFERROR(__xludf.DUMMYFUNCTION("""COMPUTED_VALUE"""),"Brandt Snedeker")</f>
        <v>Brandt Snedeker</v>
      </c>
      <c r="D186">
        <f ca="1">IFERROR(__xludf.DUMMYFUNCTION("""COMPUTED_VALUE"""),16)</f>
        <v>16</v>
      </c>
      <c r="E186">
        <f ca="1">IFERROR(__xludf.DUMMYFUNCTION("""COMPUTED_VALUE"""),52.94)</f>
        <v>52.94</v>
      </c>
      <c r="F186">
        <f ca="1">IFERROR(__xludf.DUMMYFUNCTION("""COMPUTED_VALUE"""),85)</f>
        <v>85</v>
      </c>
      <c r="G186">
        <f ca="1">IFERROR(__xludf.DUMMYFUNCTION("""COMPUTED_VALUE"""),45)</f>
        <v>45</v>
      </c>
    </row>
    <row r="187" spans="1:7" ht="12.75">
      <c r="A187" t="str">
        <f ca="1">IFERROR(__xludf.DUMMYFUNCTION("""COMPUTED_VALUE"""),"T185")</f>
        <v>T185</v>
      </c>
      <c r="B187">
        <f ca="1">IFERROR(__xludf.DUMMYFUNCTION("""COMPUTED_VALUE"""),183)</f>
        <v>183</v>
      </c>
      <c r="C187" t="str">
        <f ca="1">IFERROR(__xludf.DUMMYFUNCTION("""COMPUTED_VALUE"""),"Jay McLuen")</f>
        <v>Jay McLuen</v>
      </c>
      <c r="D187">
        <f ca="1">IFERROR(__xludf.DUMMYFUNCTION("""COMPUTED_VALUE"""),4)</f>
        <v>4</v>
      </c>
      <c r="E187">
        <f ca="1">IFERROR(__xludf.DUMMYFUNCTION("""COMPUTED_VALUE"""),52.94)</f>
        <v>52.94</v>
      </c>
      <c r="F187">
        <f ca="1">IFERROR(__xludf.DUMMYFUNCTION("""COMPUTED_VALUE"""),17)</f>
        <v>17</v>
      </c>
      <c r="G187">
        <f ca="1">IFERROR(__xludf.DUMMYFUNCTION("""COMPUTED_VALUE"""),9)</f>
        <v>9</v>
      </c>
    </row>
    <row r="188" spans="1:7" ht="12.75">
      <c r="A188" t="str">
        <f ca="1">IFERROR(__xludf.DUMMYFUNCTION("""COMPUTED_VALUE"""),"T185")</f>
        <v>T185</v>
      </c>
      <c r="B188" t="str">
        <f ca="1">IFERROR(__xludf.DUMMYFUNCTION("""COMPUTED_VALUE"""),"T147")</f>
        <v>T147</v>
      </c>
      <c r="C188" t="str">
        <f ca="1">IFERROR(__xludf.DUMMYFUNCTION("""COMPUTED_VALUE"""),"Henrik Stenson")</f>
        <v>Henrik Stenson</v>
      </c>
      <c r="D188">
        <f ca="1">IFERROR(__xludf.DUMMYFUNCTION("""COMPUTED_VALUE"""),11)</f>
        <v>11</v>
      </c>
      <c r="E188">
        <f ca="1">IFERROR(__xludf.DUMMYFUNCTION("""COMPUTED_VALUE"""),52.94)</f>
        <v>52.94</v>
      </c>
      <c r="F188">
        <f ca="1">IFERROR(__xludf.DUMMYFUNCTION("""COMPUTED_VALUE"""),34)</f>
        <v>34</v>
      </c>
      <c r="G188">
        <f ca="1">IFERROR(__xludf.DUMMYFUNCTION("""COMPUTED_VALUE"""),18)</f>
        <v>18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IFERROR(__xludf.DUMMYFUNCTION("""COMPUTED_VALUE"""),"T184")</f>
        <v>T184</v>
      </c>
      <c r="C189" t="str">
        <f ca="1">IFERROR(__xludf.DUMMYFUNCTION("""COMPUTED_VALUE"""),"John Pak")</f>
        <v>John Pak</v>
      </c>
      <c r="D189">
        <f ca="1">IFERROR(__xludf.DUMMYFUNCTION("""COMPUTED_VALUE"""),4)</f>
        <v>4</v>
      </c>
      <c r="E189">
        <f ca="1">IFERROR(__xludf.DUMMYFUNCTION("""COMPUTED_VALUE"""),52.63)</f>
        <v>52.63</v>
      </c>
      <c r="F189">
        <f ca="1">IFERROR(__xludf.DUMMYFUNCTION("""COMPUTED_VALUE"""),19)</f>
        <v>19</v>
      </c>
      <c r="G189">
        <f ca="1">IFERROR(__xludf.DUMMYFUNCTION("""COMPUTED_VALUE"""),10)</f>
        <v>10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IFERROR(__xludf.DUMMYFUNCTION("""COMPUTED_VALUE"""),"T82")</f>
        <v>T82</v>
      </c>
      <c r="C190" t="str">
        <f ca="1">IFERROR(__xludf.DUMMYFUNCTION("""COMPUTED_VALUE"""),"Martin Laird")</f>
        <v>Martin Laird</v>
      </c>
      <c r="D190">
        <f ca="1">IFERROR(__xludf.DUMMYFUNCTION("""COMPUTED_VALUE"""),16)</f>
        <v>16</v>
      </c>
      <c r="E190">
        <f ca="1">IFERROR(__xludf.DUMMYFUNCTION("""COMPUTED_VALUE"""),52.63)</f>
        <v>52.63</v>
      </c>
      <c r="F190">
        <f ca="1">IFERROR(__xludf.DUMMYFUNCTION("""COMPUTED_VALUE"""),57)</f>
        <v>57</v>
      </c>
      <c r="G190">
        <f ca="1">IFERROR(__xludf.DUMMYFUNCTION("""COMPUTED_VALUE"""),30)</f>
        <v>30</v>
      </c>
    </row>
    <row r="191" spans="1:7" ht="12.75">
      <c r="A191" t="str">
        <f ca="1">IFERROR(__xludf.DUMMYFUNCTION("""COMPUTED_VALUE"""),"T188")</f>
        <v>T188</v>
      </c>
      <c r="B191" t="str">
        <f ca="1">IFERROR(__xludf.DUMMYFUNCTION("""COMPUTED_VALUE"""),"T184")</f>
        <v>T184</v>
      </c>
      <c r="C191" t="str">
        <f ca="1">IFERROR(__xludf.DUMMYFUNCTION("""COMPUTED_VALUE"""),"Aaron Baddeley")</f>
        <v>Aaron Baddeley</v>
      </c>
      <c r="D191">
        <f ca="1">IFERROR(__xludf.DUMMYFUNCTION("""COMPUTED_VALUE"""),8)</f>
        <v>8</v>
      </c>
      <c r="E191">
        <f ca="1">IFERROR(__xludf.DUMMYFUNCTION("""COMPUTED_VALUE"""),52.63)</f>
        <v>52.63</v>
      </c>
      <c r="F191">
        <f ca="1">IFERROR(__xludf.DUMMYFUNCTION("""COMPUTED_VALUE"""),19)</f>
        <v>19</v>
      </c>
      <c r="G191">
        <f ca="1">IFERROR(__xludf.DUMMYFUNCTION("""COMPUTED_VALUE"""),10)</f>
        <v>10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IFERROR(__xludf.DUMMYFUNCTION("""COMPUTED_VALUE"""),188)</f>
        <v>188</v>
      </c>
      <c r="C192" t="str">
        <f ca="1">IFERROR(__xludf.DUMMYFUNCTION("""COMPUTED_VALUE"""),"Daniel Berger")</f>
        <v>Daniel Berger</v>
      </c>
      <c r="D192">
        <f ca="1">IFERROR(__xludf.DUMMYFUNCTION("""COMPUTED_VALUE"""),12)</f>
        <v>12</v>
      </c>
      <c r="E192">
        <f ca="1">IFERROR(__xludf.DUMMYFUNCTION("""COMPUTED_VALUE"""),52.54)</f>
        <v>52.54</v>
      </c>
      <c r="F192">
        <f ca="1">IFERROR(__xludf.DUMMYFUNCTION("""COMPUTED_VALUE"""),59)</f>
        <v>59</v>
      </c>
      <c r="G192">
        <f ca="1">IFERROR(__xludf.DUMMYFUNCTION("""COMPUTED_VALUE"""),31)</f>
        <v>31</v>
      </c>
    </row>
    <row r="193" spans="1:7" ht="12.75">
      <c r="A193" t="str">
        <f ca="1">IFERROR(__xludf.DUMMYFUNCTION("""COMPUTED_VALUE"""),"T192")</f>
        <v>T192</v>
      </c>
      <c r="B193" t="str">
        <f ca="1">IFERROR(__xludf.DUMMYFUNCTION("""COMPUTED_VALUE"""),"T69")</f>
        <v>T69</v>
      </c>
      <c r="C193" t="str">
        <f ca="1">IFERROR(__xludf.DUMMYFUNCTION("""COMPUTED_VALUE"""),"Max Homa")</f>
        <v>Max Homa</v>
      </c>
      <c r="D193">
        <f ca="1">IFERROR(__xludf.DUMMYFUNCTION("""COMPUTED_VALUE"""),12)</f>
        <v>12</v>
      </c>
      <c r="E193">
        <f ca="1">IFERROR(__xludf.DUMMYFUNCTION("""COMPUTED_VALUE"""),52.5)</f>
        <v>52.5</v>
      </c>
      <c r="F193">
        <f ca="1">IFERROR(__xludf.DUMMYFUNCTION("""COMPUTED_VALUE"""),40)</f>
        <v>40</v>
      </c>
      <c r="G193">
        <f ca="1">IFERROR(__xludf.DUMMYFUNCTION("""COMPUTED_VALUE"""),21)</f>
        <v>21</v>
      </c>
    </row>
    <row r="194" spans="1:7" ht="12.75">
      <c r="A194" t="str">
        <f ca="1">IFERROR(__xludf.DUMMYFUNCTION("""COMPUTED_VALUE"""),"T192")</f>
        <v>T192</v>
      </c>
      <c r="B194" t="str">
        <f ca="1">IFERROR(__xludf.DUMMYFUNCTION("""COMPUTED_VALUE"""),"T180")</f>
        <v>T180</v>
      </c>
      <c r="C194" t="str">
        <f ca="1">IFERROR(__xludf.DUMMYFUNCTION("""COMPUTED_VALUE"""),"Ryan Armour")</f>
        <v>Ryan Armour</v>
      </c>
      <c r="D194">
        <f ca="1">IFERROR(__xludf.DUMMYFUNCTION("""COMPUTED_VALUE"""),16)</f>
        <v>16</v>
      </c>
      <c r="E194">
        <f ca="1">IFERROR(__xludf.DUMMYFUNCTION("""COMPUTED_VALUE"""),52.5)</f>
        <v>52.5</v>
      </c>
      <c r="F194">
        <f ca="1">IFERROR(__xludf.DUMMYFUNCTION("""COMPUTED_VALUE"""),40)</f>
        <v>40</v>
      </c>
      <c r="G194">
        <f ca="1">IFERROR(__xludf.DUMMYFUNCTION("""COMPUTED_VALUE"""),21)</f>
        <v>21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IFERROR(__xludf.DUMMYFUNCTION("""COMPUTED_VALUE"""),189)</f>
        <v>189</v>
      </c>
      <c r="C195" t="str">
        <f ca="1">IFERROR(__xludf.DUMMYFUNCTION("""COMPUTED_VALUE"""),"Justin Suh")</f>
        <v>Justin Suh</v>
      </c>
      <c r="D195">
        <f ca="1">IFERROR(__xludf.DUMMYFUNCTION("""COMPUTED_VALUE"""),10)</f>
        <v>10</v>
      </c>
      <c r="E195">
        <f ca="1">IFERROR(__xludf.DUMMYFUNCTION("""COMPUTED_VALUE"""),52.38)</f>
        <v>52.38</v>
      </c>
      <c r="F195">
        <f ca="1">IFERROR(__xludf.DUMMYFUNCTION("""COMPUTED_VALUE"""),21)</f>
        <v>21</v>
      </c>
      <c r="G195">
        <f ca="1">IFERROR(__xludf.DUMMYFUNCTION("""COMPUTED_VALUE"""),11)</f>
        <v>11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IFERROR(__xludf.DUMMYFUNCTION("""COMPUTED_VALUE"""),190)</f>
        <v>190</v>
      </c>
      <c r="C196" t="str">
        <f ca="1">IFERROR(__xludf.DUMMYFUNCTION("""COMPUTED_VALUE"""),"Shugo Imahira")</f>
        <v>Shugo Imahira</v>
      </c>
      <c r="D196">
        <f ca="1">IFERROR(__xludf.DUMMYFUNCTION("""COMPUTED_VALUE"""),8)</f>
        <v>8</v>
      </c>
      <c r="E196">
        <f ca="1">IFERROR(__xludf.DUMMYFUNCTION("""COMPUTED_VALUE"""),52.27)</f>
        <v>52.27</v>
      </c>
      <c r="F196">
        <f ca="1">IFERROR(__xludf.DUMMYFUNCTION("""COMPUTED_VALUE"""),44)</f>
        <v>44</v>
      </c>
      <c r="G196">
        <f ca="1">IFERROR(__xludf.DUMMYFUNCTION("""COMPUTED_VALUE"""),23)</f>
        <v>23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IFERROR(__xludf.DUMMYFUNCTION("""COMPUTED_VALUE"""),192)</f>
        <v>192</v>
      </c>
      <c r="C197" t="str">
        <f ca="1">IFERROR(__xludf.DUMMYFUNCTION("""COMPUTED_VALUE"""),"Abraham Ancer")</f>
        <v>Abraham Ancer</v>
      </c>
      <c r="D197">
        <f ca="1">IFERROR(__xludf.DUMMYFUNCTION("""COMPUTED_VALUE"""),16)</f>
        <v>16</v>
      </c>
      <c r="E197">
        <f ca="1">IFERROR(__xludf.DUMMYFUNCTION("""COMPUTED_VALUE"""),52.05)</f>
        <v>52.05</v>
      </c>
      <c r="F197">
        <f ca="1">IFERROR(__xludf.DUMMYFUNCTION("""COMPUTED_VALUE"""),73)</f>
        <v>73</v>
      </c>
      <c r="G197">
        <f ca="1">IFERROR(__xludf.DUMMYFUNCTION("""COMPUTED_VALUE"""),38)</f>
        <v>38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IFERROR(__xludf.DUMMYFUNCTION("""COMPUTED_VALUE"""),243)</f>
        <v>243</v>
      </c>
      <c r="C198" t="str">
        <f ca="1">IFERROR(__xludf.DUMMYFUNCTION("""COMPUTED_VALUE"""),"Graeme McDowell")</f>
        <v>Graeme McDowell</v>
      </c>
      <c r="D198">
        <f ca="1">IFERROR(__xludf.DUMMYFUNCTION("""COMPUTED_VALUE"""),8)</f>
        <v>8</v>
      </c>
      <c r="E198">
        <f ca="1">IFERROR(__xludf.DUMMYFUNCTION("""COMPUTED_VALUE"""),52)</f>
        <v>52</v>
      </c>
      <c r="F198">
        <f ca="1">IFERROR(__xludf.DUMMYFUNCTION("""COMPUTED_VALUE"""),25)</f>
        <v>25</v>
      </c>
      <c r="G198">
        <f ca="1">IFERROR(__xludf.DUMMYFUNCTION("""COMPUTED_VALUE"""),13)</f>
        <v>13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IFERROR(__xludf.DUMMYFUNCTION("""COMPUTED_VALUE"""),193)</f>
        <v>193</v>
      </c>
      <c r="C199" t="str">
        <f ca="1">IFERROR(__xludf.DUMMYFUNCTION("""COMPUTED_VALUE"""),"Collin Morikawa")</f>
        <v>Collin Morikawa</v>
      </c>
      <c r="D199">
        <f ca="1">IFERROR(__xludf.DUMMYFUNCTION("""COMPUTED_VALUE"""),12)</f>
        <v>12</v>
      </c>
      <c r="E199">
        <f ca="1">IFERROR(__xludf.DUMMYFUNCTION("""COMPUTED_VALUE"""),51.85)</f>
        <v>51.85</v>
      </c>
      <c r="F199">
        <f ca="1">IFERROR(__xludf.DUMMYFUNCTION("""COMPUTED_VALUE"""),54)</f>
        <v>54</v>
      </c>
      <c r="G199">
        <f ca="1">IFERROR(__xludf.DUMMYFUNCTION("""COMPUTED_VALUE"""),28)</f>
        <v>28</v>
      </c>
    </row>
    <row r="200" spans="1:7" ht="12.75">
      <c r="A200" t="str">
        <f ca="1">IFERROR(__xludf.DUMMYFUNCTION("""COMPUTED_VALUE"""),"T199")</f>
        <v>T199</v>
      </c>
      <c r="B200">
        <f ca="1">IFERROR(__xludf.DUMMYFUNCTION("""COMPUTED_VALUE"""),169)</f>
        <v>169</v>
      </c>
      <c r="C200" t="str">
        <f ca="1">IFERROR(__xludf.DUMMYFUNCTION("""COMPUTED_VALUE"""),"Keegan Bradley")</f>
        <v>Keegan Bradley</v>
      </c>
      <c r="D200">
        <f ca="1">IFERROR(__xludf.DUMMYFUNCTION("""COMPUTED_VALUE"""),16)</f>
        <v>16</v>
      </c>
      <c r="E200">
        <f ca="1">IFERROR(__xludf.DUMMYFUNCTION("""COMPUTED_VALUE"""),51.61)</f>
        <v>51.61</v>
      </c>
      <c r="F200">
        <f ca="1">IFERROR(__xludf.DUMMYFUNCTION("""COMPUTED_VALUE"""),62)</f>
        <v>62</v>
      </c>
      <c r="G200">
        <f ca="1">IFERROR(__xludf.DUMMYFUNCTION("""COMPUTED_VALUE"""),32)</f>
        <v>32</v>
      </c>
    </row>
    <row r="201" spans="1:7" ht="12.75">
      <c r="A201" t="str">
        <f ca="1">IFERROR(__xludf.DUMMYFUNCTION("""COMPUTED_VALUE"""),"T199")</f>
        <v>T199</v>
      </c>
      <c r="B201" t="str">
        <f ca="1">IFERROR(__xludf.DUMMYFUNCTION("""COMPUTED_VALUE"""),"T198")</f>
        <v>T198</v>
      </c>
      <c r="C201" t="str">
        <f ca="1">IFERROR(__xludf.DUMMYFUNCTION("""COMPUTED_VALUE"""),"Nick Watney")</f>
        <v>Nick Watney</v>
      </c>
      <c r="D201">
        <f ca="1">IFERROR(__xludf.DUMMYFUNCTION("""COMPUTED_VALUE"""),10)</f>
        <v>10</v>
      </c>
      <c r="E201">
        <f ca="1">IFERROR(__xludf.DUMMYFUNCTION("""COMPUTED_VALUE"""),51.61)</f>
        <v>51.61</v>
      </c>
      <c r="F201">
        <f ca="1">IFERROR(__xludf.DUMMYFUNCTION("""COMPUTED_VALUE"""),31)</f>
        <v>31</v>
      </c>
      <c r="G201">
        <f ca="1">IFERROR(__xludf.DUMMYFUNCTION("""COMPUTED_VALUE"""),16)</f>
        <v>16</v>
      </c>
    </row>
    <row r="202" spans="1:7" ht="12.75">
      <c r="A202" t="str">
        <f ca="1">IFERROR(__xludf.DUMMYFUNCTION("""COMPUTED_VALUE"""),"T201")</f>
        <v>T201</v>
      </c>
      <c r="B202" t="str">
        <f ca="1">IFERROR(__xludf.DUMMYFUNCTION("""COMPUTED_VALUE"""),"T198")</f>
        <v>T198</v>
      </c>
      <c r="C202" t="str">
        <f ca="1">IFERROR(__xludf.DUMMYFUNCTION("""COMPUTED_VALUE"""),"Robby Shelton")</f>
        <v>Robby Shelton</v>
      </c>
      <c r="D202">
        <f ca="1">IFERROR(__xludf.DUMMYFUNCTION("""COMPUTED_VALUE"""),14)</f>
        <v>14</v>
      </c>
      <c r="E202">
        <f ca="1">IFERROR(__xludf.DUMMYFUNCTION("""COMPUTED_VALUE"""),51.47)</f>
        <v>51.47</v>
      </c>
      <c r="F202">
        <f ca="1">IFERROR(__xludf.DUMMYFUNCTION("""COMPUTED_VALUE"""),68)</f>
        <v>68</v>
      </c>
      <c r="G202">
        <f ca="1">IFERROR(__xludf.DUMMYFUNCTION("""COMPUTED_VALUE"""),35)</f>
        <v>35</v>
      </c>
    </row>
    <row r="203" spans="1:7" ht="12.75">
      <c r="A203" t="str">
        <f ca="1">IFERROR(__xludf.DUMMYFUNCTION("""COMPUTED_VALUE"""),"T201")</f>
        <v>T201</v>
      </c>
      <c r="B203" t="str">
        <f ca="1">IFERROR(__xludf.DUMMYFUNCTION("""COMPUTED_VALUE"""),"T184")</f>
        <v>T184</v>
      </c>
      <c r="C203" t="str">
        <f ca="1">IFERROR(__xludf.DUMMYFUNCTION("""COMPUTED_VALUE"""),"Andrew Landry")</f>
        <v>Andrew Landry</v>
      </c>
      <c r="D203">
        <f ca="1">IFERROR(__xludf.DUMMYFUNCTION("""COMPUTED_VALUE"""),14)</f>
        <v>14</v>
      </c>
      <c r="E203">
        <f ca="1">IFERROR(__xludf.DUMMYFUNCTION("""COMPUTED_VALUE"""),51.47)</f>
        <v>51.47</v>
      </c>
      <c r="F203">
        <f ca="1">IFERROR(__xludf.DUMMYFUNCTION("""COMPUTED_VALUE"""),68)</f>
        <v>68</v>
      </c>
      <c r="G203">
        <f ca="1">IFERROR(__xludf.DUMMYFUNCTION("""COMPUTED_VALUE"""),35)</f>
        <v>35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IFERROR(__xludf.DUMMYFUNCTION("""COMPUTED_VALUE"""),218)</f>
        <v>218</v>
      </c>
      <c r="C204" t="str">
        <f ca="1">IFERROR(__xludf.DUMMYFUNCTION("""COMPUTED_VALUE"""),"Dylan Frittelli")</f>
        <v>Dylan Frittelli</v>
      </c>
      <c r="D204">
        <f ca="1">IFERROR(__xludf.DUMMYFUNCTION("""COMPUTED_VALUE"""),16)</f>
        <v>16</v>
      </c>
      <c r="E204">
        <f ca="1">IFERROR(__xludf.DUMMYFUNCTION("""COMPUTED_VALUE"""),51.39)</f>
        <v>51.39</v>
      </c>
      <c r="F204">
        <f ca="1">IFERROR(__xludf.DUMMYFUNCTION("""COMPUTED_VALUE"""),72)</f>
        <v>72</v>
      </c>
      <c r="G204">
        <f ca="1">IFERROR(__xludf.DUMMYFUNCTION("""COMPUTED_VALUE"""),37)</f>
        <v>37</v>
      </c>
    </row>
    <row r="205" spans="1:7" ht="12.75">
      <c r="A205">
        <f ca="1">IFERROR(__xludf.DUMMYFUNCTION("""COMPUTED_VALUE"""),204)</f>
        <v>204</v>
      </c>
      <c r="B205" t="str">
        <f ca="1">IFERROR(__xludf.DUMMYFUNCTION("""COMPUTED_VALUE"""),"T176")</f>
        <v>T176</v>
      </c>
      <c r="C205" t="str">
        <f ca="1">IFERROR(__xludf.DUMMYFUNCTION("""COMPUTED_VALUE"""),"Chris Kirk")</f>
        <v>Chris Kirk</v>
      </c>
      <c r="D205">
        <f ca="1">IFERROR(__xludf.DUMMYFUNCTION("""COMPUTED_VALUE"""),10)</f>
        <v>10</v>
      </c>
      <c r="E205">
        <f ca="1">IFERROR(__xludf.DUMMYFUNCTION("""COMPUTED_VALUE"""),51.35)</f>
        <v>51.35</v>
      </c>
      <c r="F205">
        <f ca="1">IFERROR(__xludf.DUMMYFUNCTION("""COMPUTED_VALUE"""),37)</f>
        <v>37</v>
      </c>
      <c r="G205">
        <f ca="1">IFERROR(__xludf.DUMMYFUNCTION("""COMPUTED_VALUE"""),19)</f>
        <v>19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IFERROR(__xludf.DUMMYFUNCTION("""COMPUTED_VALUE"""),"T163")</f>
        <v>T163</v>
      </c>
      <c r="C206" t="str">
        <f ca="1">IFERROR(__xludf.DUMMYFUNCTION("""COMPUTED_VALUE"""),"Erik van Rooyen")</f>
        <v>Erik van Rooyen</v>
      </c>
      <c r="D206">
        <f ca="1">IFERROR(__xludf.DUMMYFUNCTION("""COMPUTED_VALUE"""),10)</f>
        <v>10</v>
      </c>
      <c r="E206">
        <f ca="1">IFERROR(__xludf.DUMMYFUNCTION("""COMPUTED_VALUE"""),51.22)</f>
        <v>51.22</v>
      </c>
      <c r="F206">
        <f ca="1">IFERROR(__xludf.DUMMYFUNCTION("""COMPUTED_VALUE"""),41)</f>
        <v>41</v>
      </c>
      <c r="G206">
        <f ca="1">IFERROR(__xludf.DUMMYFUNCTION("""COMPUTED_VALUE"""),21)</f>
        <v>21</v>
      </c>
    </row>
    <row r="207" spans="1:7" ht="12.75">
      <c r="A207" t="str">
        <f ca="1">IFERROR(__xludf.DUMMYFUNCTION("""COMPUTED_VALUE"""),"T205")</f>
        <v>T205</v>
      </c>
      <c r="B207">
        <f ca="1">IFERROR(__xludf.DUMMYFUNCTION("""COMPUTED_VALUE"""),225)</f>
        <v>225</v>
      </c>
      <c r="C207" t="str">
        <f ca="1">IFERROR(__xludf.DUMMYFUNCTION("""COMPUTED_VALUE"""),"Hunter Mahan")</f>
        <v>Hunter Mahan</v>
      </c>
      <c r="D207">
        <f ca="1">IFERROR(__xludf.DUMMYFUNCTION("""COMPUTED_VALUE"""),14)</f>
        <v>14</v>
      </c>
      <c r="E207">
        <f ca="1">IFERROR(__xludf.DUMMYFUNCTION("""COMPUTED_VALUE"""),51.22)</f>
        <v>51.22</v>
      </c>
      <c r="F207">
        <f ca="1">IFERROR(__xludf.DUMMYFUNCTION("""COMPUTED_VALUE"""),41)</f>
        <v>41</v>
      </c>
      <c r="G207">
        <f ca="1">IFERROR(__xludf.DUMMYFUNCTION("""COMPUTED_VALUE"""),21)</f>
        <v>21</v>
      </c>
    </row>
    <row r="208" spans="1:7" ht="12.75">
      <c r="A208">
        <f ca="1">IFERROR(__xludf.DUMMYFUNCTION("""COMPUTED_VALUE"""),207)</f>
        <v>207</v>
      </c>
      <c r="B208" t="str">
        <f ca="1">IFERROR(__xludf.DUMMYFUNCTION("""COMPUTED_VALUE"""),"T118")</f>
        <v>T118</v>
      </c>
      <c r="C208" t="str">
        <f ca="1">IFERROR(__xludf.DUMMYFUNCTION("""COMPUTED_VALUE"""),"James Hahn")</f>
        <v>James Hahn</v>
      </c>
      <c r="D208">
        <f ca="1">IFERROR(__xludf.DUMMYFUNCTION("""COMPUTED_VALUE"""),16)</f>
        <v>16</v>
      </c>
      <c r="E208">
        <f ca="1">IFERROR(__xludf.DUMMYFUNCTION("""COMPUTED_VALUE"""),51.11)</f>
        <v>51.11</v>
      </c>
      <c r="F208">
        <f ca="1">IFERROR(__xludf.DUMMYFUNCTION("""COMPUTED_VALUE"""),45)</f>
        <v>45</v>
      </c>
      <c r="G208">
        <f ca="1">IFERROR(__xludf.DUMMYFUNCTION("""COMPUTED_VALUE"""),23)</f>
        <v>23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IFERROR(__xludf.DUMMYFUNCTION("""COMPUTED_VALUE"""),"T204")</f>
        <v>T204</v>
      </c>
      <c r="C209" t="str">
        <f ca="1">IFERROR(__xludf.DUMMYFUNCTION("""COMPUTED_VALUE"""),"Wyndham Clark")</f>
        <v>Wyndham Clark</v>
      </c>
      <c r="D209">
        <f ca="1">IFERROR(__xludf.DUMMYFUNCTION("""COMPUTED_VALUE"""),16)</f>
        <v>16</v>
      </c>
      <c r="E209">
        <f ca="1">IFERROR(__xludf.DUMMYFUNCTION("""COMPUTED_VALUE"""),50.98)</f>
        <v>50.98</v>
      </c>
      <c r="F209">
        <f ca="1">IFERROR(__xludf.DUMMYFUNCTION("""COMPUTED_VALUE"""),51)</f>
        <v>51</v>
      </c>
      <c r="G209">
        <f ca="1">IFERROR(__xludf.DUMMYFUNCTION("""COMPUTED_VALUE"""),26)</f>
        <v>26</v>
      </c>
    </row>
    <row r="210" spans="1:7" ht="12.75">
      <c r="A210" t="str">
        <f ca="1">IFERROR(__xludf.DUMMYFUNCTION("""COMPUTED_VALUE"""),"T209")</f>
        <v>T209</v>
      </c>
      <c r="B210">
        <f ca="1">IFERROR(__xludf.DUMMYFUNCTION("""COMPUTED_VALUE"""),215)</f>
        <v>215</v>
      </c>
      <c r="C210" t="str">
        <f ca="1">IFERROR(__xludf.DUMMYFUNCTION("""COMPUTED_VALUE"""),"Jordan Spieth")</f>
        <v>Jordan Spieth</v>
      </c>
      <c r="D210">
        <f ca="1">IFERROR(__xludf.DUMMYFUNCTION("""COMPUTED_VALUE"""),14)</f>
        <v>14</v>
      </c>
      <c r="E210">
        <f ca="1">IFERROR(__xludf.DUMMYFUNCTION("""COMPUTED_VALUE"""),50.75)</f>
        <v>50.75</v>
      </c>
      <c r="F210">
        <f ca="1">IFERROR(__xludf.DUMMYFUNCTION("""COMPUTED_VALUE"""),67)</f>
        <v>67</v>
      </c>
      <c r="G210">
        <f ca="1">IFERROR(__xludf.DUMMYFUNCTION("""COMPUTED_VALUE"""),34)</f>
        <v>34</v>
      </c>
    </row>
    <row r="211" spans="1:7" ht="12.75">
      <c r="A211" t="str">
        <f ca="1">IFERROR(__xludf.DUMMYFUNCTION("""COMPUTED_VALUE"""),"T209")</f>
        <v>T209</v>
      </c>
      <c r="B211">
        <f ca="1">IFERROR(__xludf.DUMMYFUNCTION("""COMPUTED_VALUE"""),219)</f>
        <v>219</v>
      </c>
      <c r="C211" t="str">
        <f ca="1">IFERROR(__xludf.DUMMYFUNCTION("""COMPUTED_VALUE"""),"Troy Merritt")</f>
        <v>Troy Merritt</v>
      </c>
      <c r="D211">
        <f ca="1">IFERROR(__xludf.DUMMYFUNCTION("""COMPUTED_VALUE"""),20)</f>
        <v>20</v>
      </c>
      <c r="E211">
        <f ca="1">IFERROR(__xludf.DUMMYFUNCTION("""COMPUTED_VALUE"""),50.75)</f>
        <v>50.75</v>
      </c>
      <c r="F211">
        <f ca="1">IFERROR(__xludf.DUMMYFUNCTION("""COMPUTED_VALUE"""),67)</f>
        <v>67</v>
      </c>
      <c r="G211">
        <f ca="1">IFERROR(__xludf.DUMMYFUNCTION("""COMPUTED_VALUE"""),34)</f>
        <v>34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IFERROR(__xludf.DUMMYFUNCTION("""COMPUTED_VALUE"""),203)</f>
        <v>203</v>
      </c>
      <c r="C212" t="str">
        <f ca="1">IFERROR(__xludf.DUMMYFUNCTION("""COMPUTED_VALUE"""),"Danny Lee")</f>
        <v>Danny Lee</v>
      </c>
      <c r="D212">
        <f ca="1">IFERROR(__xludf.DUMMYFUNCTION("""COMPUTED_VALUE"""),15)</f>
        <v>15</v>
      </c>
      <c r="E212">
        <f ca="1">IFERROR(__xludf.DUMMYFUNCTION("""COMPUTED_VALUE"""),50.65)</f>
        <v>50.65</v>
      </c>
      <c r="F212">
        <f ca="1">IFERROR(__xludf.DUMMYFUNCTION("""COMPUTED_VALUE"""),77)</f>
        <v>77</v>
      </c>
      <c r="G212">
        <f ca="1">IFERROR(__xludf.DUMMYFUNCTION("""COMPUTED_VALUE"""),39)</f>
        <v>39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IFERROR(__xludf.DUMMYFUNCTION("""COMPUTED_VALUE"""),"T204")</f>
        <v>T204</v>
      </c>
      <c r="C213" t="str">
        <f ca="1">IFERROR(__xludf.DUMMYFUNCTION("""COMPUTED_VALUE"""),"Cameron Champ")</f>
        <v>Cameron Champ</v>
      </c>
      <c r="D213">
        <f ca="1">IFERROR(__xludf.DUMMYFUNCTION("""COMPUTED_VALUE"""),12)</f>
        <v>12</v>
      </c>
      <c r="E213">
        <f ca="1">IFERROR(__xludf.DUMMYFUNCTION("""COMPUTED_VALUE"""),50)</f>
        <v>50</v>
      </c>
      <c r="F213">
        <f ca="1">IFERROR(__xludf.DUMMYFUNCTION("""COMPUTED_VALUE"""),58)</f>
        <v>58</v>
      </c>
      <c r="G213">
        <f ca="1">IFERROR(__xludf.DUMMYFUNCTION("""COMPUTED_VALUE"""),29)</f>
        <v>29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IFERROR(__xludf.DUMMYFUNCTION("""COMPUTED_VALUE"""),"T204")</f>
        <v>T204</v>
      </c>
      <c r="C214" t="str">
        <f ca="1">IFERROR(__xludf.DUMMYFUNCTION("""COMPUTED_VALUE"""),"Robert MacIntyre")</f>
        <v>Robert MacIntyre</v>
      </c>
      <c r="D214">
        <f ca="1">IFERROR(__xludf.DUMMYFUNCTION("""COMPUTED_VALUE"""),4)</f>
        <v>4</v>
      </c>
      <c r="E214">
        <f ca="1">IFERROR(__xludf.DUMMYFUNCTION("""COMPUTED_VALUE"""),50)</f>
        <v>50</v>
      </c>
      <c r="F214">
        <f ca="1">IFERROR(__xludf.DUMMYFUNCTION("""COMPUTED_VALUE"""),20)</f>
        <v>20</v>
      </c>
      <c r="G214">
        <f ca="1">IFERROR(__xludf.DUMMYFUNCTION("""COMPUTED_VALUE"""),10)</f>
        <v>10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IFERROR(__xludf.DUMMYFUNCTION("""COMPUTED_VALUE"""),"T204")</f>
        <v>T204</v>
      </c>
      <c r="C215" t="str">
        <f ca="1">IFERROR(__xludf.DUMMYFUNCTION("""COMPUTED_VALUE"""),"Will Zalatoris")</f>
        <v>Will Zalatoris</v>
      </c>
      <c r="D215">
        <f ca="1">IFERROR(__xludf.DUMMYFUNCTION("""COMPUTED_VALUE"""),18)</f>
        <v>18</v>
      </c>
      <c r="E215">
        <f ca="1">IFERROR(__xludf.DUMMYFUNCTION("""COMPUTED_VALUE"""),50)</f>
        <v>50</v>
      </c>
      <c r="F215">
        <f ca="1">IFERROR(__xludf.DUMMYFUNCTION("""COMPUTED_VALUE"""),50)</f>
        <v>50</v>
      </c>
      <c r="G215">
        <f ca="1">IFERROR(__xludf.DUMMYFUNCTION("""COMPUTED_VALUE"""),25)</f>
        <v>25</v>
      </c>
    </row>
    <row r="216" spans="1:7" ht="12.75">
      <c r="A216" t="str">
        <f ca="1">IFERROR(__xludf.DUMMYFUNCTION("""COMPUTED_VALUE"""),"T212")</f>
        <v>T212</v>
      </c>
      <c r="B216">
        <f ca="1">IFERROR(__xludf.DUMMYFUNCTION("""COMPUTED_VALUE"""),191)</f>
        <v>191</v>
      </c>
      <c r="C216" t="str">
        <f ca="1">IFERROR(__xludf.DUMMYFUNCTION("""COMPUTED_VALUE"""),"Mark Hubbard")</f>
        <v>Mark Hubbard</v>
      </c>
      <c r="D216">
        <f ca="1">IFERROR(__xludf.DUMMYFUNCTION("""COMPUTED_VALUE"""),20)</f>
        <v>20</v>
      </c>
      <c r="E216">
        <f ca="1">IFERROR(__xludf.DUMMYFUNCTION("""COMPUTED_VALUE"""),50)</f>
        <v>50</v>
      </c>
      <c r="F216">
        <f ca="1">IFERROR(__xludf.DUMMYFUNCTION("""COMPUTED_VALUE"""),90)</f>
        <v>90</v>
      </c>
      <c r="G216">
        <f ca="1">IFERROR(__xludf.DUMMYFUNCTION("""COMPUTED_VALUE"""),45)</f>
        <v>45</v>
      </c>
    </row>
    <row r="217" spans="1:7" ht="12.75">
      <c r="A217" t="str">
        <f ca="1">IFERROR(__xludf.DUMMYFUNCTION("""COMPUTED_VALUE"""),"T212")</f>
        <v>T212</v>
      </c>
      <c r="B217" t="str">
        <f ca="1">IFERROR(__xludf.DUMMYFUNCTION("""COMPUTED_VALUE"""),"T204")</f>
        <v>T204</v>
      </c>
      <c r="C217" t="str">
        <f ca="1">IFERROR(__xludf.DUMMYFUNCTION("""COMPUTED_VALUE"""),"Mark Anderson")</f>
        <v>Mark Anderson</v>
      </c>
      <c r="D217">
        <f ca="1">IFERROR(__xludf.DUMMYFUNCTION("""COMPUTED_VALUE"""),14)</f>
        <v>14</v>
      </c>
      <c r="E217">
        <f ca="1">IFERROR(__xludf.DUMMYFUNCTION("""COMPUTED_VALUE"""),50)</f>
        <v>50</v>
      </c>
      <c r="F217">
        <f ca="1">IFERROR(__xludf.DUMMYFUNCTION("""COMPUTED_VALUE"""),20)</f>
        <v>20</v>
      </c>
      <c r="G217">
        <f ca="1">IFERROR(__xludf.DUMMYFUNCTION("""COMPUTED_VALUE"""),10)</f>
        <v>10</v>
      </c>
    </row>
    <row r="218" spans="1:7" ht="12.75">
      <c r="A218" t="str">
        <f ca="1">IFERROR(__xludf.DUMMYFUNCTION("""COMPUTED_VALUE"""),"T212")</f>
        <v>T212</v>
      </c>
      <c r="B218" t="str">
        <f ca="1">IFERROR(__xludf.DUMMYFUNCTION("""COMPUTED_VALUE"""),"T204")</f>
        <v>T204</v>
      </c>
      <c r="C218" t="str">
        <f ca="1">IFERROR(__xludf.DUMMYFUNCTION("""COMPUTED_VALUE"""),"Kyle Stanley")</f>
        <v>Kyle Stanley</v>
      </c>
      <c r="D218">
        <f ca="1">IFERROR(__xludf.DUMMYFUNCTION("""COMPUTED_VALUE"""),16)</f>
        <v>16</v>
      </c>
      <c r="E218">
        <f ca="1">IFERROR(__xludf.DUMMYFUNCTION("""COMPUTED_VALUE"""),50)</f>
        <v>50</v>
      </c>
      <c r="F218">
        <f ca="1">IFERROR(__xludf.DUMMYFUNCTION("""COMPUTED_VALUE"""),32)</f>
        <v>32</v>
      </c>
      <c r="G218">
        <f ca="1">IFERROR(__xludf.DUMMYFUNCTION("""COMPUTED_VALUE"""),16)</f>
        <v>16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IFERROR(__xludf.DUMMYFUNCTION("""COMPUTED_VALUE"""),"T204")</f>
        <v>T204</v>
      </c>
      <c r="C219" t="str">
        <f ca="1">IFERROR(__xludf.DUMMYFUNCTION("""COMPUTED_VALUE"""),"Michael Thompson")</f>
        <v>Michael Thompson</v>
      </c>
      <c r="D219">
        <f ca="1">IFERROR(__xludf.DUMMYFUNCTION("""COMPUTED_VALUE"""),16)</f>
        <v>16</v>
      </c>
      <c r="E219">
        <f ca="1">IFERROR(__xludf.DUMMYFUNCTION("""COMPUTED_VALUE"""),49.38)</f>
        <v>49.38</v>
      </c>
      <c r="F219">
        <f ca="1">IFERROR(__xludf.DUMMYFUNCTION("""COMPUTED_VALUE"""),81)</f>
        <v>81</v>
      </c>
      <c r="G219">
        <f ca="1">IFERROR(__xludf.DUMMYFUNCTION("""COMPUTED_VALUE"""),40)</f>
        <v>40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IFERROR(__xludf.DUMMYFUNCTION("""COMPUTED_VALUE"""),214)</f>
        <v>214</v>
      </c>
      <c r="C220" t="str">
        <f ca="1">IFERROR(__xludf.DUMMYFUNCTION("""COMPUTED_VALUE"""),"Chez Reavie")</f>
        <v>Chez Reavie</v>
      </c>
      <c r="D220">
        <f ca="1">IFERROR(__xludf.DUMMYFUNCTION("""COMPUTED_VALUE"""),14)</f>
        <v>14</v>
      </c>
      <c r="E220">
        <f ca="1">IFERROR(__xludf.DUMMYFUNCTION("""COMPUTED_VALUE"""),49.23)</f>
        <v>49.23</v>
      </c>
      <c r="F220">
        <f ca="1">IFERROR(__xludf.DUMMYFUNCTION("""COMPUTED_VALUE"""),65)</f>
        <v>65</v>
      </c>
      <c r="G220">
        <f ca="1">IFERROR(__xludf.DUMMYFUNCTION("""COMPUTED_VALUE"""),32)</f>
        <v>32</v>
      </c>
    </row>
    <row r="221" spans="1:7" ht="12.75">
      <c r="A221">
        <f ca="1">IFERROR(__xludf.DUMMYFUNCTION("""COMPUTED_VALUE"""),220)</f>
        <v>220</v>
      </c>
      <c r="B221" t="str">
        <f ca="1">IFERROR(__xludf.DUMMYFUNCTION("""COMPUTED_VALUE"""),"T223")</f>
        <v>T223</v>
      </c>
      <c r="C221" t="str">
        <f ca="1">IFERROR(__xludf.DUMMYFUNCTION("""COMPUTED_VALUE"""),"Carlos Ortiz")</f>
        <v>Carlos Ortiz</v>
      </c>
      <c r="D221">
        <f ca="1">IFERROR(__xludf.DUMMYFUNCTION("""COMPUTED_VALUE"""),20)</f>
        <v>20</v>
      </c>
      <c r="E221">
        <f ca="1">IFERROR(__xludf.DUMMYFUNCTION("""COMPUTED_VALUE"""),49.18)</f>
        <v>49.18</v>
      </c>
      <c r="F221">
        <f ca="1">IFERROR(__xludf.DUMMYFUNCTION("""COMPUTED_VALUE"""),61)</f>
        <v>61</v>
      </c>
      <c r="G221">
        <f ca="1">IFERROR(__xludf.DUMMYFUNCTION("""COMPUTED_VALUE"""),30)</f>
        <v>30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IFERROR(__xludf.DUMMYFUNCTION("""COMPUTED_VALUE"""),194)</f>
        <v>194</v>
      </c>
      <c r="C222" t="str">
        <f ca="1">IFERROR(__xludf.DUMMYFUNCTION("""COMPUTED_VALUE"""),"Ted Potter, Jr.")</f>
        <v>Ted Potter, Jr.</v>
      </c>
      <c r="D222">
        <f ca="1">IFERROR(__xludf.DUMMYFUNCTION("""COMPUTED_VALUE"""),8)</f>
        <v>8</v>
      </c>
      <c r="E222">
        <f ca="1">IFERROR(__xludf.DUMMYFUNCTION("""COMPUTED_VALUE"""),48.72)</f>
        <v>48.72</v>
      </c>
      <c r="F222">
        <f ca="1">IFERROR(__xludf.DUMMYFUNCTION("""COMPUTED_VALUE"""),39)</f>
        <v>39</v>
      </c>
      <c r="G222">
        <f ca="1">IFERROR(__xludf.DUMMYFUNCTION("""COMPUTED_VALUE"""),19)</f>
        <v>19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IFERROR(__xludf.DUMMYFUNCTION("""COMPUTED_VALUE"""),217)</f>
        <v>217</v>
      </c>
      <c r="C223" t="str">
        <f ca="1">IFERROR(__xludf.DUMMYFUNCTION("""COMPUTED_VALUE"""),"Rob Oppenheim")</f>
        <v>Rob Oppenheim</v>
      </c>
      <c r="D223">
        <f ca="1">IFERROR(__xludf.DUMMYFUNCTION("""COMPUTED_VALUE"""),16)</f>
        <v>16</v>
      </c>
      <c r="E223">
        <f ca="1">IFERROR(__xludf.DUMMYFUNCTION("""COMPUTED_VALUE"""),48.48)</f>
        <v>48.48</v>
      </c>
      <c r="F223">
        <f ca="1">IFERROR(__xludf.DUMMYFUNCTION("""COMPUTED_VALUE"""),33)</f>
        <v>33</v>
      </c>
      <c r="G223">
        <f ca="1">IFERROR(__xludf.DUMMYFUNCTION("""COMPUTED_VALUE"""),16)</f>
        <v>16</v>
      </c>
    </row>
    <row r="224" spans="1:7" ht="12.75">
      <c r="A224">
        <f ca="1">IFERROR(__xludf.DUMMYFUNCTION("""COMPUTED_VALUE"""),223)</f>
        <v>223</v>
      </c>
      <c r="B224" t="str">
        <f ca="1">IFERROR(__xludf.DUMMYFUNCTION("""COMPUTED_VALUE"""),"T135")</f>
        <v>T135</v>
      </c>
      <c r="C224" t="str">
        <f ca="1">IFERROR(__xludf.DUMMYFUNCTION("""COMPUTED_VALUE"""),"Lee Westwood")</f>
        <v>Lee Westwood</v>
      </c>
      <c r="D224">
        <f ca="1">IFERROR(__xludf.DUMMYFUNCTION("""COMPUTED_VALUE"""),6)</f>
        <v>6</v>
      </c>
      <c r="E224">
        <f ca="1">IFERROR(__xludf.DUMMYFUNCTION("""COMPUTED_VALUE"""),48)</f>
        <v>48</v>
      </c>
      <c r="F224">
        <f ca="1">IFERROR(__xludf.DUMMYFUNCTION("""COMPUTED_VALUE"""),25)</f>
        <v>25</v>
      </c>
      <c r="G224">
        <f ca="1">IFERROR(__xludf.DUMMYFUNCTION("""COMPUTED_VALUE"""),12)</f>
        <v>12</v>
      </c>
    </row>
    <row r="225" spans="1:7" ht="12.75">
      <c r="A225" t="str">
        <f ca="1">IFERROR(__xludf.DUMMYFUNCTION("""COMPUTED_VALUE"""),"T224")</f>
        <v>T224</v>
      </c>
      <c r="B225" t="str">
        <f ca="1">IFERROR(__xludf.DUMMYFUNCTION("""COMPUTED_VALUE"""),"T220")</f>
        <v>T220</v>
      </c>
      <c r="C225" t="str">
        <f ca="1">IFERROR(__xludf.DUMMYFUNCTION("""COMPUTED_VALUE"""),"Gunn Charoenkul")</f>
        <v>Gunn Charoenkul</v>
      </c>
      <c r="D225">
        <f ca="1">IFERROR(__xludf.DUMMYFUNCTION("""COMPUTED_VALUE"""),4)</f>
        <v>4</v>
      </c>
      <c r="E225">
        <f ca="1">IFERROR(__xludf.DUMMYFUNCTION("""COMPUTED_VALUE"""),47.83)</f>
        <v>47.83</v>
      </c>
      <c r="F225">
        <f ca="1">IFERROR(__xludf.DUMMYFUNCTION("""COMPUTED_VALUE"""),23)</f>
        <v>23</v>
      </c>
      <c r="G225">
        <f ca="1">IFERROR(__xludf.DUMMYFUNCTION("""COMPUTED_VALUE"""),11)</f>
        <v>11</v>
      </c>
    </row>
    <row r="226" spans="1:7" ht="12.75">
      <c r="A226" t="str">
        <f ca="1">IFERROR(__xludf.DUMMYFUNCTION("""COMPUTED_VALUE"""),"T224")</f>
        <v>T224</v>
      </c>
      <c r="B226" t="str">
        <f ca="1">IFERROR(__xludf.DUMMYFUNCTION("""COMPUTED_VALUE"""),"T204")</f>
        <v>T204</v>
      </c>
      <c r="C226" t="str">
        <f ca="1">IFERROR(__xludf.DUMMYFUNCTION("""COMPUTED_VALUE"""),"Luke List")</f>
        <v>Luke List</v>
      </c>
      <c r="D226">
        <f ca="1">IFERROR(__xludf.DUMMYFUNCTION("""COMPUTED_VALUE"""),18)</f>
        <v>18</v>
      </c>
      <c r="E226">
        <f ca="1">IFERROR(__xludf.DUMMYFUNCTION("""COMPUTED_VALUE"""),47.83)</f>
        <v>47.83</v>
      </c>
      <c r="F226">
        <f ca="1">IFERROR(__xludf.DUMMYFUNCTION("""COMPUTED_VALUE"""),46)</f>
        <v>46</v>
      </c>
      <c r="G226">
        <f ca="1">IFERROR(__xludf.DUMMYFUNCTION("""COMPUTED_VALUE"""),22)</f>
        <v>22</v>
      </c>
    </row>
    <row r="227" spans="1:7" ht="12.75">
      <c r="A227">
        <f ca="1">IFERROR(__xludf.DUMMYFUNCTION("""COMPUTED_VALUE"""),226)</f>
        <v>226</v>
      </c>
      <c r="B227" t="str">
        <f ca="1">IFERROR(__xludf.DUMMYFUNCTION("""COMPUTED_VALUE"""),"T204")</f>
        <v>T204</v>
      </c>
      <c r="C227" t="str">
        <f ca="1">IFERROR(__xludf.DUMMYFUNCTION("""COMPUTED_VALUE"""),"Xinjun Zhang")</f>
        <v>Xinjun Zhang</v>
      </c>
      <c r="D227">
        <f ca="1">IFERROR(__xludf.DUMMYFUNCTION("""COMPUTED_VALUE"""),14)</f>
        <v>14</v>
      </c>
      <c r="E227">
        <f ca="1">IFERROR(__xludf.DUMMYFUNCTION("""COMPUTED_VALUE"""),47.73)</f>
        <v>47.73</v>
      </c>
      <c r="F227">
        <f ca="1">IFERROR(__xludf.DUMMYFUNCTION("""COMPUTED_VALUE"""),44)</f>
        <v>44</v>
      </c>
      <c r="G227">
        <f ca="1">IFERROR(__xludf.DUMMYFUNCTION("""COMPUTED_VALUE"""),21)</f>
        <v>21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IFERROR(__xludf.DUMMYFUNCTION("""COMPUTED_VALUE"""),222)</f>
        <v>222</v>
      </c>
      <c r="C228" t="str">
        <f ca="1">IFERROR(__xludf.DUMMYFUNCTION("""COMPUTED_VALUE"""),"Jim Herman")</f>
        <v>Jim Herman</v>
      </c>
      <c r="D228">
        <f ca="1">IFERROR(__xludf.DUMMYFUNCTION("""COMPUTED_VALUE"""),12)</f>
        <v>12</v>
      </c>
      <c r="E228">
        <f ca="1">IFERROR(__xludf.DUMMYFUNCTION("""COMPUTED_VALUE"""),47.27)</f>
        <v>47.27</v>
      </c>
      <c r="F228">
        <f ca="1">IFERROR(__xludf.DUMMYFUNCTION("""COMPUTED_VALUE"""),55)</f>
        <v>55</v>
      </c>
      <c r="G228">
        <f ca="1">IFERROR(__xludf.DUMMYFUNCTION("""COMPUTED_VALUE"""),26)</f>
        <v>26</v>
      </c>
    </row>
    <row r="229" spans="1:7" ht="12.75">
      <c r="A229">
        <f ca="1">IFERROR(__xludf.DUMMYFUNCTION("""COMPUTED_VALUE"""),228)</f>
        <v>228</v>
      </c>
      <c r="B229" t="str">
        <f ca="1">IFERROR(__xludf.DUMMYFUNCTION("""COMPUTED_VALUE"""),"T223")</f>
        <v>T223</v>
      </c>
      <c r="C229" t="str">
        <f ca="1">IFERROR(__xludf.DUMMYFUNCTION("""COMPUTED_VALUE"""),"Chris Baker")</f>
        <v>Chris Baker</v>
      </c>
      <c r="D229">
        <f ca="1">IFERROR(__xludf.DUMMYFUNCTION("""COMPUTED_VALUE"""),8)</f>
        <v>8</v>
      </c>
      <c r="E229">
        <f ca="1">IFERROR(__xludf.DUMMYFUNCTION("""COMPUTED_VALUE"""),47.06)</f>
        <v>47.06</v>
      </c>
      <c r="F229">
        <f ca="1">IFERROR(__xludf.DUMMYFUNCTION("""COMPUTED_VALUE"""),17)</f>
        <v>17</v>
      </c>
      <c r="G229">
        <f ca="1">IFERROR(__xludf.DUMMYFUNCTION("""COMPUTED_VALUE"""),8)</f>
        <v>8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IFERROR(__xludf.DUMMYFUNCTION("""COMPUTED_VALUE"""),226)</f>
        <v>226</v>
      </c>
      <c r="C230" t="str">
        <f ca="1">IFERROR(__xludf.DUMMYFUNCTION("""COMPUTED_VALUE"""),"Marc Leishman")</f>
        <v>Marc Leishman</v>
      </c>
      <c r="D230">
        <f ca="1">IFERROR(__xludf.DUMMYFUNCTION("""COMPUTED_VALUE"""),10)</f>
        <v>10</v>
      </c>
      <c r="E230">
        <f ca="1">IFERROR(__xludf.DUMMYFUNCTION("""COMPUTED_VALUE"""),46.81)</f>
        <v>46.81</v>
      </c>
      <c r="F230">
        <f ca="1">IFERROR(__xludf.DUMMYFUNCTION("""COMPUTED_VALUE"""),47)</f>
        <v>47</v>
      </c>
      <c r="G230">
        <f ca="1">IFERROR(__xludf.DUMMYFUNCTION("""COMPUTED_VALUE"""),22)</f>
        <v>22</v>
      </c>
    </row>
    <row r="231" spans="1:7" ht="12.75">
      <c r="A231" t="str">
        <f ca="1">IFERROR(__xludf.DUMMYFUNCTION("""COMPUTED_VALUE"""),"T230")</f>
        <v>T230</v>
      </c>
      <c r="B231" t="str">
        <f ca="1">IFERROR(__xludf.DUMMYFUNCTION("""COMPUTED_VALUE"""),"T227")</f>
        <v>T227</v>
      </c>
      <c r="C231" t="str">
        <f ca="1">IFERROR(__xludf.DUMMYFUNCTION("""COMPUTED_VALUE"""),"Naoki Sekito")</f>
        <v>Naoki Sekito</v>
      </c>
      <c r="D231">
        <f ca="1">IFERROR(__xludf.DUMMYFUNCTION("""COMPUTED_VALUE"""),4)</f>
        <v>4</v>
      </c>
      <c r="E231">
        <f ca="1">IFERROR(__xludf.DUMMYFUNCTION("""COMPUTED_VALUE"""),46.67)</f>
        <v>46.67</v>
      </c>
      <c r="F231">
        <f ca="1">IFERROR(__xludf.DUMMYFUNCTION("""COMPUTED_VALUE"""),15)</f>
        <v>15</v>
      </c>
      <c r="G231">
        <f ca="1">IFERROR(__xludf.DUMMYFUNCTION("""COMPUTED_VALUE"""),7)</f>
        <v>7</v>
      </c>
    </row>
    <row r="232" spans="1:7" ht="12.75">
      <c r="A232" t="str">
        <f ca="1">IFERROR(__xludf.DUMMYFUNCTION("""COMPUTED_VALUE"""),"T230")</f>
        <v>T230</v>
      </c>
      <c r="B232" t="str">
        <f ca="1">IFERROR(__xludf.DUMMYFUNCTION("""COMPUTED_VALUE"""),"T227")</f>
        <v>T227</v>
      </c>
      <c r="C232" t="str">
        <f ca="1">IFERROR(__xludf.DUMMYFUNCTION("""COMPUTED_VALUE"""),"Matt Every")</f>
        <v>Matt Every</v>
      </c>
      <c r="D232">
        <f ca="1">IFERROR(__xludf.DUMMYFUNCTION("""COMPUTED_VALUE"""),8)</f>
        <v>8</v>
      </c>
      <c r="E232">
        <f ca="1">IFERROR(__xludf.DUMMYFUNCTION("""COMPUTED_VALUE"""),46.67)</f>
        <v>46.67</v>
      </c>
      <c r="F232">
        <f ca="1">IFERROR(__xludf.DUMMYFUNCTION("""COMPUTED_VALUE"""),15)</f>
        <v>15</v>
      </c>
      <c r="G232">
        <f ca="1">IFERROR(__xludf.DUMMYFUNCTION("""COMPUTED_VALUE"""),7)</f>
        <v>7</v>
      </c>
    </row>
    <row r="233" spans="1:7" ht="12.75">
      <c r="A233" t="str">
        <f ca="1">IFERROR(__xludf.DUMMYFUNCTION("""COMPUTED_VALUE"""),"T230")</f>
        <v>T230</v>
      </c>
      <c r="B233" t="str">
        <f ca="1">IFERROR(__xludf.DUMMYFUNCTION("""COMPUTED_VALUE"""),"T227")</f>
        <v>T227</v>
      </c>
      <c r="C233" t="str">
        <f ca="1">IFERROR(__xludf.DUMMYFUNCTION("""COMPUTED_VALUE"""),"Jim Furyk")</f>
        <v>Jim Furyk</v>
      </c>
      <c r="D233">
        <f ca="1">IFERROR(__xludf.DUMMYFUNCTION("""COMPUTED_VALUE"""),4)</f>
        <v>4</v>
      </c>
      <c r="E233">
        <f ca="1">IFERROR(__xludf.DUMMYFUNCTION("""COMPUTED_VALUE"""),46.67)</f>
        <v>46.67</v>
      </c>
      <c r="F233">
        <f ca="1">IFERROR(__xludf.DUMMYFUNCTION("""COMPUTED_VALUE"""),15)</f>
        <v>15</v>
      </c>
      <c r="G233">
        <f ca="1">IFERROR(__xludf.DUMMYFUNCTION("""COMPUTED_VALUE"""),7)</f>
        <v>7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IFERROR(__xludf.DUMMYFUNCTION("""COMPUTED_VALUE"""),230)</f>
        <v>230</v>
      </c>
      <c r="C234" t="str">
        <f ca="1">IFERROR(__xludf.DUMMYFUNCTION("""COMPUTED_VALUE"""),"Byeong Hun An")</f>
        <v>Byeong Hun An</v>
      </c>
      <c r="D234">
        <f ca="1">IFERROR(__xludf.DUMMYFUNCTION("""COMPUTED_VALUE"""),14)</f>
        <v>14</v>
      </c>
      <c r="E234">
        <f ca="1">IFERROR(__xludf.DUMMYFUNCTION("""COMPUTED_VALUE"""),46.58)</f>
        <v>46.58</v>
      </c>
      <c r="F234">
        <f ca="1">IFERROR(__xludf.DUMMYFUNCTION("""COMPUTED_VALUE"""),73)</f>
        <v>73</v>
      </c>
      <c r="G234">
        <f ca="1">IFERROR(__xludf.DUMMYFUNCTION("""COMPUTED_VALUE"""),34)</f>
        <v>34</v>
      </c>
    </row>
    <row r="235" spans="1:7" ht="12.75">
      <c r="A235" t="str">
        <f ca="1">IFERROR(__xludf.DUMMYFUNCTION("""COMPUTED_VALUE"""),"T234")</f>
        <v>T234</v>
      </c>
      <c r="B235" t="str">
        <f ca="1">IFERROR(__xludf.DUMMYFUNCTION("""COMPUTED_VALUE"""),"T231")</f>
        <v>T231</v>
      </c>
      <c r="C235" t="str">
        <f ca="1">IFERROR(__xludf.DUMMYFUNCTION("""COMPUTED_VALUE"""),"Akshay Bhatia")</f>
        <v>Akshay Bhatia</v>
      </c>
      <c r="D235">
        <f ca="1">IFERROR(__xludf.DUMMYFUNCTION("""COMPUTED_VALUE"""),6)</f>
        <v>6</v>
      </c>
      <c r="E235">
        <f ca="1">IFERROR(__xludf.DUMMYFUNCTION("""COMPUTED_VALUE"""),46.15)</f>
        <v>46.15</v>
      </c>
      <c r="F235">
        <f ca="1">IFERROR(__xludf.DUMMYFUNCTION("""COMPUTED_VALUE"""),13)</f>
        <v>13</v>
      </c>
      <c r="G235">
        <f ca="1">IFERROR(__xludf.DUMMYFUNCTION("""COMPUTED_VALUE"""),6)</f>
        <v>6</v>
      </c>
    </row>
    <row r="236" spans="1:7" ht="12.75">
      <c r="A236" t="str">
        <f ca="1">IFERROR(__xludf.DUMMYFUNCTION("""COMPUTED_VALUE"""),"T234")</f>
        <v>T234</v>
      </c>
      <c r="B236" t="str">
        <f ca="1">IFERROR(__xludf.DUMMYFUNCTION("""COMPUTED_VALUE"""),"T231")</f>
        <v>T231</v>
      </c>
      <c r="C236" t="str">
        <f ca="1">IFERROR(__xludf.DUMMYFUNCTION("""COMPUTED_VALUE"""),"Dominic Bozzelli")</f>
        <v>Dominic Bozzelli</v>
      </c>
      <c r="D236">
        <f ca="1">IFERROR(__xludf.DUMMYFUNCTION("""COMPUTED_VALUE"""),8)</f>
        <v>8</v>
      </c>
      <c r="E236">
        <f ca="1">IFERROR(__xludf.DUMMYFUNCTION("""COMPUTED_VALUE"""),46.15)</f>
        <v>46.15</v>
      </c>
      <c r="F236">
        <f ca="1">IFERROR(__xludf.DUMMYFUNCTION("""COMPUTED_VALUE"""),13)</f>
        <v>13</v>
      </c>
      <c r="G236">
        <f ca="1">IFERROR(__xludf.DUMMYFUNCTION("""COMPUTED_VALUE"""),6)</f>
        <v>6</v>
      </c>
    </row>
    <row r="237" spans="1:7" ht="12.75">
      <c r="A237">
        <f ca="1">IFERROR(__xludf.DUMMYFUNCTION("""COMPUTED_VALUE"""),236)</f>
        <v>236</v>
      </c>
      <c r="B237" t="str">
        <f ca="1">IFERROR(__xludf.DUMMYFUNCTION("""COMPUTED_VALUE"""),"T176")</f>
        <v>T176</v>
      </c>
      <c r="C237" t="str">
        <f ca="1">IFERROR(__xludf.DUMMYFUNCTION("""COMPUTED_VALUE"""),"Pat Perez")</f>
        <v>Pat Perez</v>
      </c>
      <c r="D237">
        <f ca="1">IFERROR(__xludf.DUMMYFUNCTION("""COMPUTED_VALUE"""),16)</f>
        <v>16</v>
      </c>
      <c r="E237">
        <f ca="1">IFERROR(__xludf.DUMMYFUNCTION("""COMPUTED_VALUE"""),45.71)</f>
        <v>45.71</v>
      </c>
      <c r="F237">
        <f ca="1">IFERROR(__xludf.DUMMYFUNCTION("""COMPUTED_VALUE"""),35)</f>
        <v>35</v>
      </c>
      <c r="G237">
        <f ca="1">IFERROR(__xludf.DUMMYFUNCTION("""COMPUTED_VALUE"""),16)</f>
        <v>16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IFERROR(__xludf.DUMMYFUNCTION("""COMPUTED_VALUE"""),250)</f>
        <v>250</v>
      </c>
      <c r="C238" t="str">
        <f ca="1">IFERROR(__xludf.DUMMYFUNCTION("""COMPUTED_VALUE"""),"Scott Brown")</f>
        <v>Scott Brown</v>
      </c>
      <c r="D238">
        <f ca="1">IFERROR(__xludf.DUMMYFUNCTION("""COMPUTED_VALUE"""),14)</f>
        <v>14</v>
      </c>
      <c r="E238">
        <f ca="1">IFERROR(__xludf.DUMMYFUNCTION("""COMPUTED_VALUE"""),45.45)</f>
        <v>45.45</v>
      </c>
      <c r="F238">
        <f ca="1">IFERROR(__xludf.DUMMYFUNCTION("""COMPUTED_VALUE"""),33)</f>
        <v>33</v>
      </c>
      <c r="G238">
        <f ca="1">IFERROR(__xludf.DUMMYFUNCTION("""COMPUTED_VALUE"""),15)</f>
        <v>15</v>
      </c>
    </row>
    <row r="239" spans="1:7" ht="12.75">
      <c r="A239">
        <f ca="1">IFERROR(__xludf.DUMMYFUNCTION("""COMPUTED_VALUE"""),238)</f>
        <v>238</v>
      </c>
      <c r="B239" t="str">
        <f ca="1">IFERROR(__xludf.DUMMYFUNCTION("""COMPUTED_VALUE"""),"T233")</f>
        <v>T233</v>
      </c>
      <c r="C239" t="str">
        <f ca="1">IFERROR(__xludf.DUMMYFUNCTION("""COMPUTED_VALUE"""),"Luke Donald")</f>
        <v>Luke Donald</v>
      </c>
      <c r="D239">
        <f ca="1">IFERROR(__xludf.DUMMYFUNCTION("""COMPUTED_VALUE"""),14)</f>
        <v>14</v>
      </c>
      <c r="E239">
        <f ca="1">IFERROR(__xludf.DUMMYFUNCTION("""COMPUTED_VALUE"""),45.16)</f>
        <v>45.16</v>
      </c>
      <c r="F239">
        <f ca="1">IFERROR(__xludf.DUMMYFUNCTION("""COMPUTED_VALUE"""),31)</f>
        <v>31</v>
      </c>
      <c r="G239">
        <f ca="1">IFERROR(__xludf.DUMMYFUNCTION("""COMPUTED_VALUE"""),14)</f>
        <v>14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IFERROR(__xludf.DUMMYFUNCTION("""COMPUTED_VALUE"""),"T233")</f>
        <v>T233</v>
      </c>
      <c r="C240" t="str">
        <f ca="1">IFERROR(__xludf.DUMMYFUNCTION("""COMPUTED_VALUE"""),"Tyler McCumber")</f>
        <v>Tyler McCumber</v>
      </c>
      <c r="D240">
        <f ca="1">IFERROR(__xludf.DUMMYFUNCTION("""COMPUTED_VALUE"""),14)</f>
        <v>14</v>
      </c>
      <c r="E240">
        <f ca="1">IFERROR(__xludf.DUMMYFUNCTION("""COMPUTED_VALUE"""),44.44)</f>
        <v>44.44</v>
      </c>
      <c r="F240">
        <f ca="1">IFERROR(__xludf.DUMMYFUNCTION("""COMPUTED_VALUE"""),36)</f>
        <v>36</v>
      </c>
      <c r="G240">
        <f ca="1">IFERROR(__xludf.DUMMYFUNCTION("""COMPUTED_VALUE"""),16)</f>
        <v>16</v>
      </c>
    </row>
    <row r="241" spans="1:7" ht="12.75">
      <c r="A241">
        <f ca="1">IFERROR(__xludf.DUMMYFUNCTION("""COMPUTED_VALUE"""),240)</f>
        <v>240</v>
      </c>
      <c r="B241" t="str">
        <f ca="1">IFERROR(__xludf.DUMMYFUNCTION("""COMPUTED_VALUE"""),"T235")</f>
        <v>T235</v>
      </c>
      <c r="C241" t="str">
        <f ca="1">IFERROR(__xludf.DUMMYFUNCTION("""COMPUTED_VALUE"""),"J.B. Holmes")</f>
        <v>J.B. Holmes</v>
      </c>
      <c r="D241">
        <f ca="1">IFERROR(__xludf.DUMMYFUNCTION("""COMPUTED_VALUE"""),10)</f>
        <v>10</v>
      </c>
      <c r="E241">
        <f ca="1">IFERROR(__xludf.DUMMYFUNCTION("""COMPUTED_VALUE"""),44.12)</f>
        <v>44.12</v>
      </c>
      <c r="F241">
        <f ca="1">IFERROR(__xludf.DUMMYFUNCTION("""COMPUTED_VALUE"""),34)</f>
        <v>34</v>
      </c>
      <c r="G241">
        <f ca="1">IFERROR(__xludf.DUMMYFUNCTION("""COMPUTED_VALUE"""),15)</f>
        <v>15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IFERROR(__xludf.DUMMYFUNCTION("""COMPUTED_VALUE"""),"")</f>
        <v/>
      </c>
      <c r="C242" t="str">
        <f ca="1">IFERROR(__xludf.DUMMYFUNCTION("""COMPUTED_VALUE"""),"Francesco Molinari")</f>
        <v>Francesco Molinari</v>
      </c>
      <c r="D242">
        <f ca="1">IFERROR(__xludf.DUMMYFUNCTION("""COMPUTED_VALUE"""),6)</f>
        <v>6</v>
      </c>
      <c r="E242">
        <f ca="1">IFERROR(__xludf.DUMMYFUNCTION("""COMPUTED_VALUE"""),43.75)</f>
        <v>43.75</v>
      </c>
      <c r="F242">
        <f ca="1">IFERROR(__xludf.DUMMYFUNCTION("""COMPUTED_VALUE"""),32)</f>
        <v>32</v>
      </c>
      <c r="G242">
        <f ca="1">IFERROR(__xludf.DUMMYFUNCTION("""COMPUTED_VALUE"""),14)</f>
        <v>14</v>
      </c>
    </row>
    <row r="243" spans="1:7" ht="12.75">
      <c r="A243" t="str">
        <f ca="1">IFERROR(__xludf.DUMMYFUNCTION("""COMPUTED_VALUE"""),"T242")</f>
        <v>T242</v>
      </c>
      <c r="B243" t="str">
        <f ca="1">IFERROR(__xludf.DUMMYFUNCTION("""COMPUTED_VALUE"""),"T237")</f>
        <v>T237</v>
      </c>
      <c r="C243" t="str">
        <f ca="1">IFERROR(__xludf.DUMMYFUNCTION("""COMPUTED_VALUE"""),"Jeongwoo Ham")</f>
        <v>Jeongwoo Ham</v>
      </c>
      <c r="D243">
        <f ca="1">IFERROR(__xludf.DUMMYFUNCTION("""COMPUTED_VALUE"""),4)</f>
        <v>4</v>
      </c>
      <c r="E243">
        <f ca="1">IFERROR(__xludf.DUMMYFUNCTION("""COMPUTED_VALUE"""),43.48)</f>
        <v>43.48</v>
      </c>
      <c r="F243">
        <f ca="1">IFERROR(__xludf.DUMMYFUNCTION("""COMPUTED_VALUE"""),23)</f>
        <v>23</v>
      </c>
      <c r="G243">
        <f ca="1">IFERROR(__xludf.DUMMYFUNCTION("""COMPUTED_VALUE"""),10)</f>
        <v>10</v>
      </c>
    </row>
    <row r="244" spans="1:7" ht="12.75">
      <c r="A244" t="str">
        <f ca="1">IFERROR(__xludf.DUMMYFUNCTION("""COMPUTED_VALUE"""),"T242")</f>
        <v>T242</v>
      </c>
      <c r="B244" t="str">
        <f ca="1">IFERROR(__xludf.DUMMYFUNCTION("""COMPUTED_VALUE"""),"T237")</f>
        <v>T237</v>
      </c>
      <c r="C244" t="str">
        <f ca="1">IFERROR(__xludf.DUMMYFUNCTION("""COMPUTED_VALUE"""),"Tommy Fleetwood")</f>
        <v>Tommy Fleetwood</v>
      </c>
      <c r="D244">
        <f ca="1">IFERROR(__xludf.DUMMYFUNCTION("""COMPUTED_VALUE"""),10)</f>
        <v>10</v>
      </c>
      <c r="E244">
        <f ca="1">IFERROR(__xludf.DUMMYFUNCTION("""COMPUTED_VALUE"""),43.48)</f>
        <v>43.48</v>
      </c>
      <c r="F244">
        <f ca="1">IFERROR(__xludf.DUMMYFUNCTION("""COMPUTED_VALUE"""),46)</f>
        <v>46</v>
      </c>
      <c r="G244">
        <f ca="1">IFERROR(__xludf.DUMMYFUNCTION("""COMPUTED_VALUE"""),20)</f>
        <v>20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IFERROR(__xludf.DUMMYFUNCTION("""COMPUTED_VALUE"""),239)</f>
        <v>239</v>
      </c>
      <c r="C245" t="str">
        <f ca="1">IFERROR(__xludf.DUMMYFUNCTION("""COMPUTED_VALUE"""),"Matthias Schwab")</f>
        <v>Matthias Schwab</v>
      </c>
      <c r="D245">
        <f ca="1">IFERROR(__xludf.DUMMYFUNCTION("""COMPUTED_VALUE"""),8)</f>
        <v>8</v>
      </c>
      <c r="E245">
        <f ca="1">IFERROR(__xludf.DUMMYFUNCTION("""COMPUTED_VALUE"""),42.86)</f>
        <v>42.86</v>
      </c>
      <c r="F245">
        <f ca="1">IFERROR(__xludf.DUMMYFUNCTION("""COMPUTED_VALUE"""),14)</f>
        <v>14</v>
      </c>
      <c r="G245">
        <f ca="1">IFERROR(__xludf.DUMMYFUNCTION("""COMPUTED_VALUE"""),6)</f>
        <v>6</v>
      </c>
    </row>
    <row r="246" spans="1:7" ht="12.75">
      <c r="A246">
        <f ca="1">IFERROR(__xludf.DUMMYFUNCTION("""COMPUTED_VALUE"""),245)</f>
        <v>245</v>
      </c>
      <c r="B246" t="str">
        <f ca="1">IFERROR(__xludf.DUMMYFUNCTION("""COMPUTED_VALUE"""),"T240")</f>
        <v>T240</v>
      </c>
      <c r="C246" t="str">
        <f ca="1">IFERROR(__xludf.DUMMYFUNCTION("""COMPUTED_VALUE"""),"Kiradech Aphibarnrat")</f>
        <v>Kiradech Aphibarnrat</v>
      </c>
      <c r="D246">
        <f ca="1">IFERROR(__xludf.DUMMYFUNCTION("""COMPUTED_VALUE"""),12)</f>
        <v>12</v>
      </c>
      <c r="E246">
        <f ca="1">IFERROR(__xludf.DUMMYFUNCTION("""COMPUTED_VALUE"""),42.11)</f>
        <v>42.11</v>
      </c>
      <c r="F246">
        <f ca="1">IFERROR(__xludf.DUMMYFUNCTION("""COMPUTED_VALUE"""),19)</f>
        <v>19</v>
      </c>
      <c r="G246">
        <f ca="1">IFERROR(__xludf.DUMMYFUNCTION("""COMPUTED_VALUE"""),8)</f>
        <v>8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IFERROR(__xludf.DUMMYFUNCTION("""COMPUTED_VALUE"""),242)</f>
        <v>242</v>
      </c>
      <c r="C247" t="str">
        <f ca="1">IFERROR(__xludf.DUMMYFUNCTION("""COMPUTED_VALUE"""),"Joseph Bramlett")</f>
        <v>Joseph Bramlett</v>
      </c>
      <c r="D247">
        <f ca="1">IFERROR(__xludf.DUMMYFUNCTION("""COMPUTED_VALUE"""),18)</f>
        <v>18</v>
      </c>
      <c r="E247">
        <f ca="1">IFERROR(__xludf.DUMMYFUNCTION("""COMPUTED_VALUE"""),41.86)</f>
        <v>41.86</v>
      </c>
      <c r="F247">
        <f ca="1">IFERROR(__xludf.DUMMYFUNCTION("""COMPUTED_VALUE"""),43)</f>
        <v>43</v>
      </c>
      <c r="G247">
        <f ca="1">IFERROR(__xludf.DUMMYFUNCTION("""COMPUTED_VALUE"""),18)</f>
        <v>18</v>
      </c>
    </row>
    <row r="248" spans="1:7" ht="12.75">
      <c r="A248">
        <f ca="1">IFERROR(__xludf.DUMMYFUNCTION("""COMPUTED_VALUE"""),247)</f>
        <v>247</v>
      </c>
      <c r="B248" t="str">
        <f ca="1">IFERROR(__xludf.DUMMYFUNCTION("""COMPUTED_VALUE"""),"T157")</f>
        <v>T157</v>
      </c>
      <c r="C248" t="str">
        <f ca="1">IFERROR(__xludf.DUMMYFUNCTION("""COMPUTED_VALUE"""),"Patrick Rodgers")</f>
        <v>Patrick Rodgers</v>
      </c>
      <c r="D248">
        <f ca="1">IFERROR(__xludf.DUMMYFUNCTION("""COMPUTED_VALUE"""),18)</f>
        <v>18</v>
      </c>
      <c r="E248">
        <f ca="1">IFERROR(__xludf.DUMMYFUNCTION("""COMPUTED_VALUE"""),41.67)</f>
        <v>41.67</v>
      </c>
      <c r="F248">
        <f ca="1">IFERROR(__xludf.DUMMYFUNCTION("""COMPUTED_VALUE"""),36)</f>
        <v>36</v>
      </c>
      <c r="G248">
        <f ca="1">IFERROR(__xludf.DUMMYFUNCTION("""COMPUTED_VALUE"""),15)</f>
        <v>15</v>
      </c>
    </row>
    <row r="249" spans="1:7" ht="12.75">
      <c r="A249">
        <f ca="1">IFERROR(__xludf.DUMMYFUNCTION("""COMPUTED_VALUE"""),248)</f>
        <v>248</v>
      </c>
      <c r="B249" t="str">
        <f ca="1">IFERROR(__xludf.DUMMYFUNCTION("""COMPUTED_VALUE"""),"T244")</f>
        <v>T244</v>
      </c>
      <c r="C249" t="str">
        <f ca="1">IFERROR(__xludf.DUMMYFUNCTION("""COMPUTED_VALUE"""),"Branden Grace")</f>
        <v>Branden Grace</v>
      </c>
      <c r="D249">
        <f ca="1">IFERROR(__xludf.DUMMYFUNCTION("""COMPUTED_VALUE"""),16)</f>
        <v>16</v>
      </c>
      <c r="E249">
        <f ca="1">IFERROR(__xludf.DUMMYFUNCTION("""COMPUTED_VALUE"""),41.18)</f>
        <v>41.18</v>
      </c>
      <c r="F249">
        <f ca="1">IFERROR(__xludf.DUMMYFUNCTION("""COMPUTED_VALUE"""),34)</f>
        <v>34</v>
      </c>
      <c r="G249">
        <f ca="1">IFERROR(__xludf.DUMMYFUNCTION("""COMPUTED_VALUE"""),14)</f>
        <v>14</v>
      </c>
    </row>
    <row r="250" spans="1:7" ht="12.75">
      <c r="A250" t="str">
        <f ca="1">IFERROR(__xludf.DUMMYFUNCTION("""COMPUTED_VALUE"""),"T249")</f>
        <v>T249</v>
      </c>
      <c r="B250" t="str">
        <f ca="1">IFERROR(__xludf.DUMMYFUNCTION("""COMPUTED_VALUE"""),"T244")</f>
        <v>T244</v>
      </c>
      <c r="C250" t="str">
        <f ca="1">IFERROR(__xludf.DUMMYFUNCTION("""COMPUTED_VALUE"""),"Sangmoon Bae")</f>
        <v>Sangmoon Bae</v>
      </c>
      <c r="D250">
        <f ca="1">IFERROR(__xludf.DUMMYFUNCTION("""COMPUTED_VALUE"""),8)</f>
        <v>8</v>
      </c>
      <c r="E250">
        <f ca="1">IFERROR(__xludf.DUMMYFUNCTION("""COMPUTED_VALUE"""),40)</f>
        <v>40</v>
      </c>
      <c r="F250">
        <f ca="1">IFERROR(__xludf.DUMMYFUNCTION("""COMPUTED_VALUE"""),10)</f>
        <v>10</v>
      </c>
      <c r="G250">
        <f ca="1">IFERROR(__xludf.DUMMYFUNCTION("""COMPUTED_VALUE"""),4)</f>
        <v>4</v>
      </c>
    </row>
    <row r="251" spans="1:7" ht="12.75">
      <c r="A251" t="str">
        <f ca="1">IFERROR(__xludf.DUMMYFUNCTION("""COMPUTED_VALUE"""),"T249")</f>
        <v>T249</v>
      </c>
      <c r="B251" t="str">
        <f ca="1">IFERROR(__xludf.DUMMYFUNCTION("""COMPUTED_VALUE"""),"T244")</f>
        <v>T244</v>
      </c>
      <c r="C251" t="str">
        <f ca="1">IFERROR(__xludf.DUMMYFUNCTION("""COMPUTED_VALUE"""),"George McNeill")</f>
        <v>George McNeill</v>
      </c>
      <c r="D251">
        <f ca="1">IFERROR(__xludf.DUMMYFUNCTION("""COMPUTED_VALUE"""),8)</f>
        <v>8</v>
      </c>
      <c r="E251">
        <f ca="1">IFERROR(__xludf.DUMMYFUNCTION("""COMPUTED_VALUE"""),40)</f>
        <v>40</v>
      </c>
      <c r="F251">
        <f ca="1">IFERROR(__xludf.DUMMYFUNCTION("""COMPUTED_VALUE"""),10)</f>
        <v>10</v>
      </c>
      <c r="G251">
        <f ca="1">IFERROR(__xludf.DUMMYFUNCTION("""COMPUTED_VALUE"""),4)</f>
        <v>4</v>
      </c>
    </row>
    <row r="252" spans="1:7" ht="12.75">
      <c r="A252" t="str">
        <f ca="1">IFERROR(__xludf.DUMMYFUNCTION("""COMPUTED_VALUE"""),"T249")</f>
        <v>T249</v>
      </c>
      <c r="B252" t="str">
        <f ca="1">IFERROR(__xludf.DUMMYFUNCTION("""COMPUTED_VALUE"""),"T244")</f>
        <v>T244</v>
      </c>
      <c r="C252" t="str">
        <f ca="1">IFERROR(__xludf.DUMMYFUNCTION("""COMPUTED_VALUE"""),"John Senden")</f>
        <v>John Senden</v>
      </c>
      <c r="D252">
        <f ca="1">IFERROR(__xludf.DUMMYFUNCTION("""COMPUTED_VALUE"""),8)</f>
        <v>8</v>
      </c>
      <c r="E252">
        <f ca="1">IFERROR(__xludf.DUMMYFUNCTION("""COMPUTED_VALUE"""),40)</f>
        <v>40</v>
      </c>
      <c r="F252">
        <f ca="1">IFERROR(__xludf.DUMMYFUNCTION("""COMPUTED_VALUE"""),10)</f>
        <v>10</v>
      </c>
      <c r="G252">
        <f ca="1">IFERROR(__xludf.DUMMYFUNCTION("""COMPUTED_VALUE"""),4)</f>
        <v>4</v>
      </c>
    </row>
    <row r="253" spans="1:7" ht="12.75">
      <c r="A253">
        <f ca="1">IFERROR(__xludf.DUMMYFUNCTION("""COMPUTED_VALUE"""),252)</f>
        <v>252</v>
      </c>
      <c r="B253" t="str">
        <f ca="1">IFERROR(__xludf.DUMMYFUNCTION("""COMPUTED_VALUE"""),"T220")</f>
        <v>T220</v>
      </c>
      <c r="C253" t="str">
        <f ca="1">IFERROR(__xludf.DUMMYFUNCTION("""COMPUTED_VALUE"""),"Bronson Burgoon")</f>
        <v>Bronson Burgoon</v>
      </c>
      <c r="D253">
        <f ca="1">IFERROR(__xludf.DUMMYFUNCTION("""COMPUTED_VALUE"""),10)</f>
        <v>10</v>
      </c>
      <c r="E253">
        <f ca="1">IFERROR(__xludf.DUMMYFUNCTION("""COMPUTED_VALUE"""),39.29)</f>
        <v>39.29</v>
      </c>
      <c r="F253">
        <f ca="1">IFERROR(__xludf.DUMMYFUNCTION("""COMPUTED_VALUE"""),28)</f>
        <v>28</v>
      </c>
      <c r="G253">
        <f ca="1">IFERROR(__xludf.DUMMYFUNCTION("""COMPUTED_VALUE"""),11)</f>
        <v>11</v>
      </c>
    </row>
    <row r="254" spans="1:7" ht="12.75">
      <c r="A254" t="str">
        <f ca="1">IFERROR(__xludf.DUMMYFUNCTION("""COMPUTED_VALUE"""),"T253")</f>
        <v>T253</v>
      </c>
      <c r="B254" t="str">
        <f ca="1">IFERROR(__xludf.DUMMYFUNCTION("""COMPUTED_VALUE"""),"T235")</f>
        <v>T235</v>
      </c>
      <c r="C254" t="str">
        <f ca="1">IFERROR(__xludf.DUMMYFUNCTION("""COMPUTED_VALUE"""),"Camilo Villegas")</f>
        <v>Camilo Villegas</v>
      </c>
      <c r="D254">
        <f ca="1">IFERROR(__xludf.DUMMYFUNCTION("""COMPUTED_VALUE"""),14)</f>
        <v>14</v>
      </c>
      <c r="E254">
        <f ca="1">IFERROR(__xludf.DUMMYFUNCTION("""COMPUTED_VALUE"""),39.13)</f>
        <v>39.130000000000003</v>
      </c>
      <c r="F254">
        <f ca="1">IFERROR(__xludf.DUMMYFUNCTION("""COMPUTED_VALUE"""),46)</f>
        <v>46</v>
      </c>
      <c r="G254">
        <f ca="1">IFERROR(__xludf.DUMMYFUNCTION("""COMPUTED_VALUE"""),18)</f>
        <v>18</v>
      </c>
    </row>
    <row r="255" spans="1:7" ht="12.75">
      <c r="A255" t="str">
        <f ca="1">IFERROR(__xludf.DUMMYFUNCTION("""COMPUTED_VALUE"""),"T253")</f>
        <v>T253</v>
      </c>
      <c r="B255">
        <f ca="1">IFERROR(__xludf.DUMMYFUNCTION("""COMPUTED_VALUE"""),248)</f>
        <v>248</v>
      </c>
      <c r="C255" t="str">
        <f ca="1">IFERROR(__xludf.DUMMYFUNCTION("""COMPUTED_VALUE"""),"K.J. Choi")</f>
        <v>K.J. Choi</v>
      </c>
      <c r="D255">
        <f ca="1">IFERROR(__xludf.DUMMYFUNCTION("""COMPUTED_VALUE"""),6)</f>
        <v>6</v>
      </c>
      <c r="E255">
        <f ca="1">IFERROR(__xludf.DUMMYFUNCTION("""COMPUTED_VALUE"""),39.13)</f>
        <v>39.130000000000003</v>
      </c>
      <c r="F255">
        <f ca="1">IFERROR(__xludf.DUMMYFUNCTION("""COMPUTED_VALUE"""),23)</f>
        <v>23</v>
      </c>
      <c r="G255">
        <f ca="1">IFERROR(__xludf.DUMMYFUNCTION("""COMPUTED_VALUE"""),9)</f>
        <v>9</v>
      </c>
    </row>
    <row r="256" spans="1:7" ht="12.75">
      <c r="A256">
        <f ca="1">IFERROR(__xludf.DUMMYFUNCTION("""COMPUTED_VALUE"""),255)</f>
        <v>255</v>
      </c>
      <c r="B256" t="str">
        <f ca="1">IFERROR(__xludf.DUMMYFUNCTION("""COMPUTED_VALUE"""),"")</f>
        <v/>
      </c>
      <c r="C256" t="str">
        <f ca="1">IFERROR(__xludf.DUMMYFUNCTION("""COMPUTED_VALUE"""),"Padraig Harrington")</f>
        <v>Padraig Harrington</v>
      </c>
      <c r="D256">
        <f ca="1">IFERROR(__xludf.DUMMYFUNCTION("""COMPUTED_VALUE"""),8)</f>
        <v>8</v>
      </c>
      <c r="E256">
        <f ca="1">IFERROR(__xludf.DUMMYFUNCTION("""COMPUTED_VALUE"""),36.84)</f>
        <v>36.840000000000003</v>
      </c>
      <c r="F256">
        <f ca="1">IFERROR(__xludf.DUMMYFUNCTION("""COMPUTED_VALUE"""),19)</f>
        <v>19</v>
      </c>
      <c r="G256">
        <f ca="1">IFERROR(__xludf.DUMMYFUNCTION("""COMPUTED_VALUE"""),7)</f>
        <v>7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IFERROR(__xludf.DUMMYFUNCTION("""COMPUTED_VALUE"""),251)</f>
        <v>251</v>
      </c>
      <c r="C257" t="str">
        <f ca="1">IFERROR(__xludf.DUMMYFUNCTION("""COMPUTED_VALUE"""),"Chan Kim")</f>
        <v>Chan Kim</v>
      </c>
      <c r="D257">
        <f ca="1">IFERROR(__xludf.DUMMYFUNCTION("""COMPUTED_VALUE"""),6)</f>
        <v>6</v>
      </c>
      <c r="E257">
        <f ca="1">IFERROR(__xludf.DUMMYFUNCTION("""COMPUTED_VALUE"""),36.36)</f>
        <v>36.36</v>
      </c>
      <c r="F257">
        <f ca="1">IFERROR(__xludf.DUMMYFUNCTION("""COMPUTED_VALUE"""),22)</f>
        <v>22</v>
      </c>
      <c r="G257">
        <f ca="1">IFERROR(__xludf.DUMMYFUNCTION("""COMPUTED_VALUE"""),8)</f>
        <v>8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IFERROR(__xludf.DUMMYFUNCTION("""COMPUTED_VALUE"""),"")</f>
        <v/>
      </c>
      <c r="C258" t="str">
        <f ca="1">IFERROR(__xludf.DUMMYFUNCTION("""COMPUTED_VALUE"""),"Greg Chalmers")</f>
        <v>Greg Chalmers</v>
      </c>
      <c r="D258">
        <f ca="1">IFERROR(__xludf.DUMMYFUNCTION("""COMPUTED_VALUE"""),6)</f>
        <v>6</v>
      </c>
      <c r="E258">
        <f ca="1">IFERROR(__xludf.DUMMYFUNCTION("""COMPUTED_VALUE"""),36)</f>
        <v>36</v>
      </c>
      <c r="F258">
        <f ca="1">IFERROR(__xludf.DUMMYFUNCTION("""COMPUTED_VALUE"""),25)</f>
        <v>25</v>
      </c>
      <c r="G258">
        <f ca="1">IFERROR(__xludf.DUMMYFUNCTION("""COMPUTED_VALUE"""),9)</f>
        <v>9</v>
      </c>
    </row>
    <row r="259" spans="1:7" ht="12.75">
      <c r="A259">
        <f ca="1">IFERROR(__xludf.DUMMYFUNCTION("""COMPUTED_VALUE"""),258)</f>
        <v>258</v>
      </c>
      <c r="B259" t="str">
        <f ca="1">IFERROR(__xludf.DUMMYFUNCTION("""COMPUTED_VALUE"""),"")</f>
        <v/>
      </c>
      <c r="C259" t="str">
        <f ca="1">IFERROR(__xludf.DUMMYFUNCTION("""COMPUTED_VALUE"""),"Graham DeLaet")</f>
        <v>Graham DeLaet</v>
      </c>
      <c r="D259">
        <f ca="1">IFERROR(__xludf.DUMMYFUNCTION("""COMPUTED_VALUE"""),9)</f>
        <v>9</v>
      </c>
      <c r="E259">
        <f ca="1">IFERROR(__xludf.DUMMYFUNCTION("""COMPUTED_VALUE"""),35.71)</f>
        <v>35.71</v>
      </c>
      <c r="F259">
        <f ca="1">IFERROR(__xludf.DUMMYFUNCTION("""COMPUTED_VALUE"""),14)</f>
        <v>14</v>
      </c>
      <c r="G259">
        <f ca="1">IFERROR(__xludf.DUMMYFUNCTION("""COMPUTED_VALUE"""),5)</f>
        <v>5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IFERROR(__xludf.DUMMYFUNCTION("""COMPUTED_VALUE"""),249)</f>
        <v>249</v>
      </c>
      <c r="C260" t="str">
        <f ca="1">IFERROR(__xludf.DUMMYFUNCTION("""COMPUTED_VALUE"""),"Kevin Tway")</f>
        <v>Kevin Tway</v>
      </c>
      <c r="D260">
        <f ca="1">IFERROR(__xludf.DUMMYFUNCTION("""COMPUTED_VALUE"""),16)</f>
        <v>16</v>
      </c>
      <c r="E260">
        <f ca="1">IFERROR(__xludf.DUMMYFUNCTION("""COMPUTED_VALUE"""),35.48)</f>
        <v>35.479999999999997</v>
      </c>
      <c r="F260">
        <f ca="1">IFERROR(__xludf.DUMMYFUNCTION("""COMPUTED_VALUE"""),31)</f>
        <v>31</v>
      </c>
      <c r="G260">
        <f ca="1">IFERROR(__xludf.DUMMYFUNCTION("""COMPUTED_VALUE"""),11)</f>
        <v>11</v>
      </c>
    </row>
    <row r="261" spans="1:7" ht="12.75">
      <c r="A261">
        <f ca="1">IFERROR(__xludf.DUMMYFUNCTION("""COMPUTED_VALUE"""),260)</f>
        <v>260</v>
      </c>
      <c r="B261" t="str">
        <f ca="1">IFERROR(__xludf.DUMMYFUNCTION("""COMPUTED_VALUE"""),"T252")</f>
        <v>T252</v>
      </c>
      <c r="C261" t="str">
        <f ca="1">IFERROR(__xludf.DUMMYFUNCTION("""COMPUTED_VALUE"""),"Brian Gay")</f>
        <v>Brian Gay</v>
      </c>
      <c r="D261">
        <f ca="1">IFERROR(__xludf.DUMMYFUNCTION("""COMPUTED_VALUE"""),8)</f>
        <v>8</v>
      </c>
      <c r="E261">
        <f ca="1">IFERROR(__xludf.DUMMYFUNCTION("""COMPUTED_VALUE"""),35.29)</f>
        <v>35.29</v>
      </c>
      <c r="F261">
        <f ca="1">IFERROR(__xludf.DUMMYFUNCTION("""COMPUTED_VALUE"""),17)</f>
        <v>17</v>
      </c>
      <c r="G261">
        <f ca="1">IFERROR(__xludf.DUMMYFUNCTION("""COMPUTED_VALUE"""),6)</f>
        <v>6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IFERROR(__xludf.DUMMYFUNCTION("""COMPUTED_VALUE"""),254)</f>
        <v>254</v>
      </c>
      <c r="C262" t="str">
        <f ca="1">IFERROR(__xludf.DUMMYFUNCTION("""COMPUTED_VALUE"""),"Davis Riley")</f>
        <v>Davis Riley</v>
      </c>
      <c r="D262">
        <f ca="1">IFERROR(__xludf.DUMMYFUNCTION("""COMPUTED_VALUE"""),4)</f>
        <v>4</v>
      </c>
      <c r="E262">
        <f ca="1">IFERROR(__xludf.DUMMYFUNCTION("""COMPUTED_VALUE"""),31.25)</f>
        <v>31.25</v>
      </c>
      <c r="F262">
        <f ca="1">IFERROR(__xludf.DUMMYFUNCTION("""COMPUTED_VALUE"""),16)</f>
        <v>16</v>
      </c>
      <c r="G262">
        <f ca="1">IFERROR(__xludf.DUMMYFUNCTION("""COMPUTED_VALUE"""),5)</f>
        <v>5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IFERROR(__xludf.DUMMYFUNCTION("""COMPUTED_VALUE"""),255)</f>
        <v>255</v>
      </c>
      <c r="C263" t="str">
        <f ca="1">IFERROR(__xludf.DUMMYFUNCTION("""COMPUTED_VALUE"""),"Andy Zhang")</f>
        <v>Andy Zhang</v>
      </c>
      <c r="D263">
        <f ca="1">IFERROR(__xludf.DUMMYFUNCTION("""COMPUTED_VALUE"""),4)</f>
        <v>4</v>
      </c>
      <c r="E263">
        <f ca="1">IFERROR(__xludf.DUMMYFUNCTION("""COMPUTED_VALUE"""),27.78)</f>
        <v>27.78</v>
      </c>
      <c r="F263">
        <f ca="1">IFERROR(__xludf.DUMMYFUNCTION("""COMPUTED_VALUE"""),18)</f>
        <v>18</v>
      </c>
      <c r="G263">
        <f ca="1">IFERROR(__xludf.DUMMYFUNCTION("""COMPUTED_VALUE"""),5)</f>
        <v>5</v>
      </c>
    </row>
    <row r="264" spans="1:7" ht="12.75">
      <c r="A264">
        <f ca="1">IFERROR(__xludf.DUMMYFUNCTION("""COMPUTED_VALUE"""),263)</f>
        <v>263</v>
      </c>
      <c r="B264" t="str">
        <f ca="1">IFERROR(__xludf.DUMMYFUNCTION("""COMPUTED_VALUE"""),"T252")</f>
        <v>T252</v>
      </c>
      <c r="C264" t="str">
        <f ca="1">IFERROR(__xludf.DUMMYFUNCTION("""COMPUTED_VALUE"""),"Vaughn Taylor")</f>
        <v>Vaughn Taylor</v>
      </c>
      <c r="D264">
        <f ca="1">IFERROR(__xludf.DUMMYFUNCTION("""COMPUTED_VALUE"""),12)</f>
        <v>12</v>
      </c>
      <c r="E264">
        <f ca="1">IFERROR(__xludf.DUMMYFUNCTION("""COMPUTED_VALUE"""),26.09)</f>
        <v>26.09</v>
      </c>
      <c r="F264">
        <f ca="1">IFERROR(__xludf.DUMMYFUNCTION("""COMPUTED_VALUE"""),23)</f>
        <v>23</v>
      </c>
      <c r="G264">
        <f ca="1">IFERROR(__xludf.DUMMYFUNCTION("""COMPUTED_VALUE"""),6)</f>
        <v>6</v>
      </c>
    </row>
    <row r="265" spans="1:7" ht="12.75">
      <c r="A265" t="str">
        <f ca="1">IFERROR(__xludf.DUMMYFUNCTION("""COMPUTED_VALUE"""),"T264")</f>
        <v>T264</v>
      </c>
      <c r="B265" t="str">
        <f ca="1">IFERROR(__xludf.DUMMYFUNCTION("""COMPUTED_VALUE"""),"")</f>
        <v/>
      </c>
      <c r="C265" t="str">
        <f ca="1">IFERROR(__xludf.DUMMYFUNCTION("""COMPUTED_VALUE"""),"Danny Willett")</f>
        <v>Danny Willett</v>
      </c>
      <c r="D265">
        <f ca="1">IFERROR(__xludf.DUMMYFUNCTION("""COMPUTED_VALUE"""),7)</f>
        <v>7</v>
      </c>
      <c r="E265">
        <f ca="1">IFERROR(__xludf.DUMMYFUNCTION("""COMPUTED_VALUE"""),25)</f>
        <v>25</v>
      </c>
      <c r="F265">
        <f ca="1">IFERROR(__xludf.DUMMYFUNCTION("""COMPUTED_VALUE"""),12)</f>
        <v>12</v>
      </c>
      <c r="G265">
        <f ca="1">IFERROR(__xludf.DUMMYFUNCTION("""COMPUTED_VALUE"""),3)</f>
        <v>3</v>
      </c>
    </row>
    <row r="266" spans="1:7" ht="12.75">
      <c r="A266" t="str">
        <f ca="1">IFERROR(__xludf.DUMMYFUNCTION("""COMPUTED_VALUE"""),"T264")</f>
        <v>T264</v>
      </c>
      <c r="B266">
        <f ca="1">IFERROR(__xludf.DUMMYFUNCTION("""COMPUTED_VALUE"""),256)</f>
        <v>256</v>
      </c>
      <c r="C266" t="str">
        <f ca="1">IFERROR(__xludf.DUMMYFUNCTION("""COMPUTED_VALUE"""),"Bernd Wiesberger")</f>
        <v>Bernd Wiesberger</v>
      </c>
      <c r="D266">
        <f ca="1">IFERROR(__xludf.DUMMYFUNCTION("""COMPUTED_VALUE"""),4)</f>
        <v>4</v>
      </c>
      <c r="E266">
        <f ca="1">IFERROR(__xludf.DUMMYFUNCTION("""COMPUTED_VALUE"""),25)</f>
        <v>25</v>
      </c>
      <c r="F266">
        <f ca="1">IFERROR(__xludf.DUMMYFUNCTION("""COMPUTED_VALUE"""),16)</f>
        <v>16</v>
      </c>
      <c r="G266">
        <f ca="1">IFERROR(__xludf.DUMMYFUNCTION("""COMPUTED_VALUE"""),4)</f>
        <v>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G244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IFERROR(__xludf.DUMMYFUNCTION("importhtml(""http://www.pgatour.com/stats/stat.405.html"",""table"",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IFERROR(__xludf.DUMMYFUNCTION("""COMPUTED_VALUE"""),"")</f>
        <v/>
      </c>
      <c r="C2" t="str">
        <f ca="1">IFERROR(__xludf.DUMMYFUNCTION("""COMPUTED_VALUE"""),"Dawie van der Walt")</f>
        <v>Dawie van der Walt</v>
      </c>
      <c r="D2">
        <f ca="1">IFERROR(__xludf.DUMMYFUNCTION("""COMPUTED_VALUE"""),4)</f>
        <v>4</v>
      </c>
      <c r="E2">
        <f ca="1">IFERROR(__xludf.DUMMYFUNCTION("""COMPUTED_VALUE"""),63.64)</f>
        <v>63.64</v>
      </c>
      <c r="F2">
        <f ca="1">IFERROR(__xludf.DUMMYFUNCTION("""COMPUTED_VALUE"""),11)</f>
        <v>11</v>
      </c>
      <c r="G2">
        <f ca="1">IFERROR(__xludf.DUMMYFUNCTION("""COMPUTED_VALUE"""),7)</f>
        <v>7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IFERROR(__xludf.DUMMYFUNCTION("""COMPUTED_VALUE"""),"T2")</f>
        <v>T2</v>
      </c>
      <c r="C3" t="str">
        <f ca="1">IFERROR(__xludf.DUMMYFUNCTION("""COMPUTED_VALUE"""),"Jason Kokrak")</f>
        <v>Jason Kokrak</v>
      </c>
      <c r="D3">
        <f ca="1">IFERROR(__xludf.DUMMYFUNCTION("""COMPUTED_VALUE"""),14)</f>
        <v>14</v>
      </c>
      <c r="E3">
        <f ca="1">IFERROR(__xludf.DUMMYFUNCTION("""COMPUTED_VALUE"""),56.41)</f>
        <v>56.41</v>
      </c>
      <c r="F3">
        <f ca="1">IFERROR(__xludf.DUMMYFUNCTION("""COMPUTED_VALUE"""),39)</f>
        <v>39</v>
      </c>
      <c r="G3">
        <f ca="1">IFERROR(__xludf.DUMMYFUNCTION("""COMPUTED_VALUE"""),22)</f>
        <v>22</v>
      </c>
    </row>
    <row r="4" spans="1:7" ht="15.75" customHeight="1">
      <c r="A4" t="str">
        <f ca="1">IFERROR(__xludf.DUMMYFUNCTION("""COMPUTED_VALUE"""),"T3")</f>
        <v>T3</v>
      </c>
      <c r="B4" t="str">
        <f ca="1">IFERROR(__xludf.DUMMYFUNCTION("""COMPUTED_VALUE"""),"T5")</f>
        <v>T5</v>
      </c>
      <c r="C4" t="str">
        <f ca="1">IFERROR(__xludf.DUMMYFUNCTION("""COMPUTED_VALUE"""),"Kiradech Aphibarnrat")</f>
        <v>Kiradech Aphibarnrat</v>
      </c>
      <c r="D4">
        <f ca="1">IFERROR(__xludf.DUMMYFUNCTION("""COMPUTED_VALUE"""),12)</f>
        <v>12</v>
      </c>
      <c r="E4">
        <f ca="1">IFERROR(__xludf.DUMMYFUNCTION("""COMPUTED_VALUE"""),54.55)</f>
        <v>54.55</v>
      </c>
      <c r="F4">
        <f ca="1">IFERROR(__xludf.DUMMYFUNCTION("""COMPUTED_VALUE"""),11)</f>
        <v>11</v>
      </c>
      <c r="G4">
        <f ca="1">IFERROR(__xludf.DUMMYFUNCTION("""COMPUTED_VALUE"""),6)</f>
        <v>6</v>
      </c>
    </row>
    <row r="5" spans="1:7" ht="15.75" customHeight="1">
      <c r="A5" t="str">
        <f ca="1">IFERROR(__xludf.DUMMYFUNCTION("""COMPUTED_VALUE"""),"T3")</f>
        <v>T3</v>
      </c>
      <c r="B5" t="str">
        <f ca="1">IFERROR(__xludf.DUMMYFUNCTION("""COMPUTED_VALUE"""),"T5")</f>
        <v>T5</v>
      </c>
      <c r="C5" t="str">
        <f ca="1">IFERROR(__xludf.DUMMYFUNCTION("""COMPUTED_VALUE"""),"Ben Taylor")</f>
        <v>Ben Taylor</v>
      </c>
      <c r="D5">
        <f ca="1">IFERROR(__xludf.DUMMYFUNCTION("""COMPUTED_VALUE"""),10)</f>
        <v>10</v>
      </c>
      <c r="E5">
        <f ca="1">IFERROR(__xludf.DUMMYFUNCTION("""COMPUTED_VALUE"""),54.55)</f>
        <v>54.55</v>
      </c>
      <c r="F5">
        <f ca="1">IFERROR(__xludf.DUMMYFUNCTION("""COMPUTED_VALUE"""),11)</f>
        <v>11</v>
      </c>
      <c r="G5">
        <f ca="1">IFERROR(__xludf.DUMMYFUNCTION("""COMPUTED_VALUE"""),6)</f>
        <v>6</v>
      </c>
    </row>
    <row r="6" spans="1:7" ht="15.75" customHeight="1">
      <c r="A6" t="str">
        <f ca="1">IFERROR(__xludf.DUMMYFUNCTION("""COMPUTED_VALUE"""),"T5")</f>
        <v>T5</v>
      </c>
      <c r="B6" t="str">
        <f ca="1">IFERROR(__xludf.DUMMYFUNCTION("""COMPUTED_VALUE"""),"T5")</f>
        <v>T5</v>
      </c>
      <c r="C6" t="str">
        <f ca="1">IFERROR(__xludf.DUMMYFUNCTION("""COMPUTED_VALUE"""),"James Hahn")</f>
        <v>James Hahn</v>
      </c>
      <c r="D6">
        <f ca="1">IFERROR(__xludf.DUMMYFUNCTION("""COMPUTED_VALUE"""),16)</f>
        <v>16</v>
      </c>
      <c r="E6">
        <f ca="1">IFERROR(__xludf.DUMMYFUNCTION("""COMPUTED_VALUE"""),52.94)</f>
        <v>52.94</v>
      </c>
      <c r="F6">
        <f ca="1">IFERROR(__xludf.DUMMYFUNCTION("""COMPUTED_VALUE"""),34)</f>
        <v>34</v>
      </c>
      <c r="G6">
        <f ca="1">IFERROR(__xludf.DUMMYFUNCTION("""COMPUTED_VALUE"""),18)</f>
        <v>18</v>
      </c>
    </row>
    <row r="7" spans="1:7" ht="15.75" customHeight="1">
      <c r="A7" t="str">
        <f ca="1">IFERROR(__xludf.DUMMYFUNCTION("""COMPUTED_VALUE"""),"T5")</f>
        <v>T5</v>
      </c>
      <c r="B7" t="str">
        <f ca="1">IFERROR(__xludf.DUMMYFUNCTION("""COMPUTED_VALUE"""),"T8")</f>
        <v>T8</v>
      </c>
      <c r="C7" t="str">
        <f ca="1">IFERROR(__xludf.DUMMYFUNCTION("""COMPUTED_VALUE"""),"Charles Howell III")</f>
        <v>Charles Howell III</v>
      </c>
      <c r="D7">
        <f ca="1">IFERROR(__xludf.DUMMYFUNCTION("""COMPUTED_VALUE"""),10)</f>
        <v>10</v>
      </c>
      <c r="E7">
        <f ca="1">IFERROR(__xludf.DUMMYFUNCTION("""COMPUTED_VALUE"""),52.94)</f>
        <v>52.94</v>
      </c>
      <c r="F7">
        <f ca="1">IFERROR(__xludf.DUMMYFUNCTION("""COMPUTED_VALUE"""),17)</f>
        <v>17</v>
      </c>
      <c r="G7">
        <f ca="1">IFERROR(__xludf.DUMMYFUNCTION("""COMPUTED_VALUE"""),9)</f>
        <v>9</v>
      </c>
    </row>
    <row r="8" spans="1:7" ht="15.75" customHeight="1">
      <c r="A8">
        <f ca="1">IFERROR(__xludf.DUMMYFUNCTION("""COMPUTED_VALUE"""),7)</f>
        <v>7</v>
      </c>
      <c r="B8" t="str">
        <f ca="1">IFERROR(__xludf.DUMMYFUNCTION("""COMPUTED_VALUE"""),"")</f>
        <v/>
      </c>
      <c r="C8" t="str">
        <f ca="1">IFERROR(__xludf.DUMMYFUNCTION("""COMPUTED_VALUE"""),"Brooks Koepka")</f>
        <v>Brooks Koepka</v>
      </c>
      <c r="D8">
        <f ca="1">IFERROR(__xludf.DUMMYFUNCTION("""COMPUTED_VALUE"""),8)</f>
        <v>8</v>
      </c>
      <c r="E8">
        <f ca="1">IFERROR(__xludf.DUMMYFUNCTION("""COMPUTED_VALUE"""),52.38)</f>
        <v>52.38</v>
      </c>
      <c r="F8">
        <f ca="1">IFERROR(__xludf.DUMMYFUNCTION("""COMPUTED_VALUE"""),21)</f>
        <v>21</v>
      </c>
      <c r="G8">
        <f ca="1">IFERROR(__xludf.DUMMYFUNCTION("""COMPUTED_VALUE"""),11)</f>
        <v>11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IFERROR(__xludf.DUMMYFUNCTION("""COMPUTED_VALUE"""),"T2")</f>
        <v>T2</v>
      </c>
      <c r="C9" t="str">
        <f ca="1">IFERROR(__xludf.DUMMYFUNCTION("""COMPUTED_VALUE"""),"Lanto Griffin")</f>
        <v>Lanto Griffin</v>
      </c>
      <c r="D9">
        <f ca="1">IFERROR(__xludf.DUMMYFUNCTION("""COMPUTED_VALUE"""),18)</f>
        <v>18</v>
      </c>
      <c r="E9">
        <f ca="1">IFERROR(__xludf.DUMMYFUNCTION("""COMPUTED_VALUE"""),51.92)</f>
        <v>51.92</v>
      </c>
      <c r="F9">
        <f ca="1">IFERROR(__xludf.DUMMYFUNCTION("""COMPUTED_VALUE"""),52)</f>
        <v>52</v>
      </c>
      <c r="G9">
        <f ca="1">IFERROR(__xludf.DUMMYFUNCTION("""COMPUTED_VALUE"""),27)</f>
        <v>27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IFERROR(__xludf.DUMMYFUNCTION("""COMPUTED_VALUE"""),"T10")</f>
        <v>T10</v>
      </c>
      <c r="C10" t="str">
        <f ca="1">IFERROR(__xludf.DUMMYFUNCTION("""COMPUTED_VALUE"""),"Peter Malnati")</f>
        <v>Peter Malnati</v>
      </c>
      <c r="D10">
        <f ca="1">IFERROR(__xludf.DUMMYFUNCTION("""COMPUTED_VALUE"""),18)</f>
        <v>18</v>
      </c>
      <c r="E10">
        <f ca="1">IFERROR(__xludf.DUMMYFUNCTION("""COMPUTED_VALUE"""),50)</f>
        <v>50</v>
      </c>
      <c r="F10">
        <f ca="1">IFERROR(__xludf.DUMMYFUNCTION("""COMPUTED_VALUE"""),22)</f>
        <v>22</v>
      </c>
      <c r="G10">
        <f ca="1">IFERROR(__xludf.DUMMYFUNCTION("""COMPUTED_VALUE"""),11)</f>
        <v>11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IFERROR(__xludf.DUMMYFUNCTION("""COMPUTED_VALUE"""),"T10")</f>
        <v>T10</v>
      </c>
      <c r="C11" t="str">
        <f ca="1">IFERROR(__xludf.DUMMYFUNCTION("""COMPUTED_VALUE"""),"Jaekyeong Lee")</f>
        <v>Jaekyeong Lee</v>
      </c>
      <c r="D11">
        <f ca="1">IFERROR(__xludf.DUMMYFUNCTION("""COMPUTED_VALUE"""),4)</f>
        <v>4</v>
      </c>
      <c r="E11">
        <f ca="1">IFERROR(__xludf.DUMMYFUNCTION("""COMPUTED_VALUE"""),50)</f>
        <v>50</v>
      </c>
      <c r="F11">
        <f ca="1">IFERROR(__xludf.DUMMYFUNCTION("""COMPUTED_VALUE"""),10)</f>
        <v>10</v>
      </c>
      <c r="G11">
        <f ca="1">IFERROR(__xludf.DUMMYFUNCTION("""COMPUTED_VALUE"""),5)</f>
        <v>5</v>
      </c>
    </row>
    <row r="12" spans="1:7" ht="15.75" customHeight="1">
      <c r="A12" t="str">
        <f ca="1">IFERROR(__xludf.DUMMYFUNCTION("""COMPUTED_VALUE"""),"T9")</f>
        <v>T9</v>
      </c>
      <c r="B12" t="str">
        <f ca="1">IFERROR(__xludf.DUMMYFUNCTION("""COMPUTED_VALUE"""),"T10")</f>
        <v>T10</v>
      </c>
      <c r="C12" t="str">
        <f ca="1">IFERROR(__xludf.DUMMYFUNCTION("""COMPUTED_VALUE"""),"Davis Riley")</f>
        <v>Davis Riley</v>
      </c>
      <c r="D12">
        <f ca="1">IFERROR(__xludf.DUMMYFUNCTION("""COMPUTED_VALUE"""),4)</f>
        <v>4</v>
      </c>
      <c r="E12">
        <f ca="1">IFERROR(__xludf.DUMMYFUNCTION("""COMPUTED_VALUE"""),50)</f>
        <v>50</v>
      </c>
      <c r="F12">
        <f ca="1">IFERROR(__xludf.DUMMYFUNCTION("""COMPUTED_VALUE"""),14)</f>
        <v>14</v>
      </c>
      <c r="G12">
        <f ca="1">IFERROR(__xludf.DUMMYFUNCTION("""COMPUTED_VALUE"""),7)</f>
        <v>7</v>
      </c>
    </row>
    <row r="13" spans="1:7" ht="15.75" customHeight="1">
      <c r="A13" t="str">
        <f ca="1">IFERROR(__xludf.DUMMYFUNCTION("""COMPUTED_VALUE"""),"T9")</f>
        <v>T9</v>
      </c>
      <c r="B13" t="str">
        <f ca="1">IFERROR(__xludf.DUMMYFUNCTION("""COMPUTED_VALUE"""),"T8")</f>
        <v>T8</v>
      </c>
      <c r="C13" t="str">
        <f ca="1">IFERROR(__xludf.DUMMYFUNCTION("""COMPUTED_VALUE"""),"Scott Harrington")</f>
        <v>Scott Harrington</v>
      </c>
      <c r="D13">
        <f ca="1">IFERROR(__xludf.DUMMYFUNCTION("""COMPUTED_VALUE"""),18)</f>
        <v>18</v>
      </c>
      <c r="E13">
        <f ca="1">IFERROR(__xludf.DUMMYFUNCTION("""COMPUTED_VALUE"""),50)</f>
        <v>50</v>
      </c>
      <c r="F13">
        <f ca="1">IFERROR(__xludf.DUMMYFUNCTION("""COMPUTED_VALUE"""),28)</f>
        <v>28</v>
      </c>
      <c r="G13">
        <f ca="1">IFERROR(__xludf.DUMMYFUNCTION("""COMPUTED_VALUE"""),14)</f>
        <v>14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IFERROR(__xludf.DUMMYFUNCTION("""COMPUTED_VALUE"""),15)</f>
        <v>15</v>
      </c>
      <c r="C14" t="str">
        <f ca="1">IFERROR(__xludf.DUMMYFUNCTION("""COMPUTED_VALUE"""),"Viktor Hovland")</f>
        <v>Viktor Hovland</v>
      </c>
      <c r="D14">
        <f ca="1">IFERROR(__xludf.DUMMYFUNCTION("""COMPUTED_VALUE"""),16)</f>
        <v>16</v>
      </c>
      <c r="E14">
        <f ca="1">IFERROR(__xludf.DUMMYFUNCTION("""COMPUTED_VALUE"""),49.06)</f>
        <v>49.06</v>
      </c>
      <c r="F14">
        <f ca="1">IFERROR(__xludf.DUMMYFUNCTION("""COMPUTED_VALUE"""),53)</f>
        <v>53</v>
      </c>
      <c r="G14">
        <f ca="1">IFERROR(__xludf.DUMMYFUNCTION("""COMPUTED_VALUE"""),26)</f>
        <v>26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IFERROR(__xludf.DUMMYFUNCTION("""COMPUTED_VALUE"""),24)</f>
        <v>24</v>
      </c>
      <c r="C15" t="str">
        <f ca="1">IFERROR(__xludf.DUMMYFUNCTION("""COMPUTED_VALUE"""),"Talor Gooch")</f>
        <v>Talor Gooch</v>
      </c>
      <c r="D15">
        <f ca="1">IFERROR(__xludf.DUMMYFUNCTION("""COMPUTED_VALUE"""),20)</f>
        <v>20</v>
      </c>
      <c r="E15">
        <f ca="1">IFERROR(__xludf.DUMMYFUNCTION("""COMPUTED_VALUE"""),48.08)</f>
        <v>48.08</v>
      </c>
      <c r="F15">
        <f ca="1">IFERROR(__xludf.DUMMYFUNCTION("""COMPUTED_VALUE"""),52)</f>
        <v>52</v>
      </c>
      <c r="G15">
        <f ca="1">IFERROR(__xludf.DUMMYFUNCTION("""COMPUTED_VALUE"""),25)</f>
        <v>25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IFERROR(__xludf.DUMMYFUNCTION("""COMPUTED_VALUE"""),1)</f>
        <v>1</v>
      </c>
      <c r="C16" t="str">
        <f ca="1">IFERROR(__xludf.DUMMYFUNCTION("""COMPUTED_VALUE"""),"Fabián Gómez")</f>
        <v>Fabián Gómez</v>
      </c>
      <c r="D16">
        <f ca="1">IFERROR(__xludf.DUMMYFUNCTION("""COMPUTED_VALUE"""),16)</f>
        <v>16</v>
      </c>
      <c r="E16">
        <f ca="1">IFERROR(__xludf.DUMMYFUNCTION("""COMPUTED_VALUE"""),47.06)</f>
        <v>47.06</v>
      </c>
      <c r="F16">
        <f ca="1">IFERROR(__xludf.DUMMYFUNCTION("""COMPUTED_VALUE"""),17)</f>
        <v>17</v>
      </c>
      <c r="G16">
        <f ca="1">IFERROR(__xludf.DUMMYFUNCTION("""COMPUTED_VALUE"""),8)</f>
        <v>8</v>
      </c>
    </row>
    <row r="17" spans="1:7" ht="15.75" customHeight="1">
      <c r="A17">
        <f ca="1">IFERROR(__xludf.DUMMYFUNCTION("""COMPUTED_VALUE"""),16)</f>
        <v>16</v>
      </c>
      <c r="B17" t="str">
        <f ca="1">IFERROR(__xludf.DUMMYFUNCTION("""COMPUTED_VALUE"""),"T16")</f>
        <v>T16</v>
      </c>
      <c r="C17" t="str">
        <f ca="1">IFERROR(__xludf.DUMMYFUNCTION("""COMPUTED_VALUE"""),"Justin Rose")</f>
        <v>Justin Rose</v>
      </c>
      <c r="D17">
        <f ca="1">IFERROR(__xludf.DUMMYFUNCTION("""COMPUTED_VALUE"""),10)</f>
        <v>10</v>
      </c>
      <c r="E17">
        <f ca="1">IFERROR(__xludf.DUMMYFUNCTION("""COMPUTED_VALUE"""),46.88)</f>
        <v>46.88</v>
      </c>
      <c r="F17">
        <f ca="1">IFERROR(__xludf.DUMMYFUNCTION("""COMPUTED_VALUE"""),32)</f>
        <v>32</v>
      </c>
      <c r="G17">
        <f ca="1">IFERROR(__xludf.DUMMYFUNCTION("""COMPUTED_VALUE"""),15)</f>
        <v>15</v>
      </c>
    </row>
    <row r="18" spans="1:7" ht="15.75" customHeight="1">
      <c r="A18">
        <f ca="1">IFERROR(__xludf.DUMMYFUNCTION("""COMPUTED_VALUE"""),17)</f>
        <v>17</v>
      </c>
      <c r="B18" t="str">
        <f ca="1">IFERROR(__xludf.DUMMYFUNCTION("""COMPUTED_VALUE"""),"T18")</f>
        <v>T18</v>
      </c>
      <c r="C18" t="str">
        <f ca="1">IFERROR(__xludf.DUMMYFUNCTION("""COMPUTED_VALUE"""),"Matt Jones")</f>
        <v>Matt Jones</v>
      </c>
      <c r="D18">
        <f ca="1">IFERROR(__xludf.DUMMYFUNCTION("""COMPUTED_VALUE"""),20)</f>
        <v>20</v>
      </c>
      <c r="E18">
        <f ca="1">IFERROR(__xludf.DUMMYFUNCTION("""COMPUTED_VALUE"""),46.67)</f>
        <v>46.67</v>
      </c>
      <c r="F18">
        <f ca="1">IFERROR(__xludf.DUMMYFUNCTION("""COMPUTED_VALUE"""),30)</f>
        <v>30</v>
      </c>
      <c r="G18">
        <f ca="1">IFERROR(__xludf.DUMMYFUNCTION("""COMPUTED_VALUE"""),14)</f>
        <v>14</v>
      </c>
    </row>
    <row r="19" spans="1:7" ht="15.75" customHeight="1">
      <c r="A19" t="str">
        <f ca="1">IFERROR(__xludf.DUMMYFUNCTION("""COMPUTED_VALUE"""),"T18")</f>
        <v>T18</v>
      </c>
      <c r="B19" t="str">
        <f ca="1">IFERROR(__xludf.DUMMYFUNCTION("""COMPUTED_VALUE"""),"T18")</f>
        <v>T18</v>
      </c>
      <c r="C19" t="str">
        <f ca="1">IFERROR(__xludf.DUMMYFUNCTION("""COMPUTED_VALUE"""),"Gary Woodland")</f>
        <v>Gary Woodland</v>
      </c>
      <c r="D19">
        <f ca="1">IFERROR(__xludf.DUMMYFUNCTION("""COMPUTED_VALUE"""),6)</f>
        <v>6</v>
      </c>
      <c r="E19">
        <f ca="1">IFERROR(__xludf.DUMMYFUNCTION("""COMPUTED_VALUE"""),46.15)</f>
        <v>46.15</v>
      </c>
      <c r="F19">
        <f ca="1">IFERROR(__xludf.DUMMYFUNCTION("""COMPUTED_VALUE"""),26)</f>
        <v>26</v>
      </c>
      <c r="G19">
        <f ca="1">IFERROR(__xludf.DUMMYFUNCTION("""COMPUTED_VALUE"""),12)</f>
        <v>12</v>
      </c>
    </row>
    <row r="20" spans="1:7" ht="15.75" customHeight="1">
      <c r="A20" t="str">
        <f ca="1">IFERROR(__xludf.DUMMYFUNCTION("""COMPUTED_VALUE"""),"T18")</f>
        <v>T18</v>
      </c>
      <c r="B20">
        <f ca="1">IFERROR(__xludf.DUMMYFUNCTION("""COMPUTED_VALUE"""),4)</f>
        <v>4</v>
      </c>
      <c r="C20" t="str">
        <f ca="1">IFERROR(__xludf.DUMMYFUNCTION("""COMPUTED_VALUE"""),"Kristoffer Ventura")</f>
        <v>Kristoffer Ventura</v>
      </c>
      <c r="D20">
        <f ca="1">IFERROR(__xludf.DUMMYFUNCTION("""COMPUTED_VALUE"""),20)</f>
        <v>20</v>
      </c>
      <c r="E20">
        <f ca="1">IFERROR(__xludf.DUMMYFUNCTION("""COMPUTED_VALUE"""),46.15)</f>
        <v>46.15</v>
      </c>
      <c r="F20">
        <f ca="1">IFERROR(__xludf.DUMMYFUNCTION("""COMPUTED_VALUE"""),39)</f>
        <v>39</v>
      </c>
      <c r="G20">
        <f ca="1">IFERROR(__xludf.DUMMYFUNCTION("""COMPUTED_VALUE"""),18)</f>
        <v>18</v>
      </c>
    </row>
    <row r="21" spans="1:7" ht="15.75" customHeight="1">
      <c r="A21" t="str">
        <f ca="1">IFERROR(__xludf.DUMMYFUNCTION("""COMPUTED_VALUE"""),"T18")</f>
        <v>T18</v>
      </c>
      <c r="B21" t="str">
        <f ca="1">IFERROR(__xludf.DUMMYFUNCTION("""COMPUTED_VALUE"""),"T18")</f>
        <v>T18</v>
      </c>
      <c r="C21" t="str">
        <f ca="1">IFERROR(__xludf.DUMMYFUNCTION("""COMPUTED_VALUE"""),"MJ Daffue")</f>
        <v>MJ Daffue</v>
      </c>
      <c r="D21">
        <f ca="1">IFERROR(__xludf.DUMMYFUNCTION("""COMPUTED_VALUE"""),10)</f>
        <v>10</v>
      </c>
      <c r="E21">
        <f ca="1">IFERROR(__xludf.DUMMYFUNCTION("""COMPUTED_VALUE"""),46.15)</f>
        <v>46.15</v>
      </c>
      <c r="F21">
        <f ca="1">IFERROR(__xludf.DUMMYFUNCTION("""COMPUTED_VALUE"""),26)</f>
        <v>26</v>
      </c>
      <c r="G21">
        <f ca="1">IFERROR(__xludf.DUMMYFUNCTION("""COMPUTED_VALUE"""),12)</f>
        <v>12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IFERROR(__xludf.DUMMYFUNCTION("""COMPUTED_VALUE"""),"T10")</f>
        <v>T10</v>
      </c>
      <c r="C22" t="str">
        <f ca="1">IFERROR(__xludf.DUMMYFUNCTION("""COMPUTED_VALUE"""),"Cameron Tringale")</f>
        <v>Cameron Tringale</v>
      </c>
      <c r="D22">
        <f ca="1">IFERROR(__xludf.DUMMYFUNCTION("""COMPUTED_VALUE"""),16)</f>
        <v>16</v>
      </c>
      <c r="E22">
        <f ca="1">IFERROR(__xludf.DUMMYFUNCTION("""COMPUTED_VALUE"""),45.95)</f>
        <v>45.95</v>
      </c>
      <c r="F22">
        <f ca="1">IFERROR(__xludf.DUMMYFUNCTION("""COMPUTED_VALUE"""),37)</f>
        <v>37</v>
      </c>
      <c r="G22">
        <f ca="1">IFERROR(__xludf.DUMMYFUNCTION("""COMPUTED_VALUE"""),17)</f>
        <v>17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IFERROR(__xludf.DUMMYFUNCTION("""COMPUTED_VALUE"""),"T10")</f>
        <v>T10</v>
      </c>
      <c r="C23" t="str">
        <f ca="1">IFERROR(__xludf.DUMMYFUNCTION("""COMPUTED_VALUE"""),"Brandt Snedeker")</f>
        <v>Brandt Snedeker</v>
      </c>
      <c r="D23">
        <f ca="1">IFERROR(__xludf.DUMMYFUNCTION("""COMPUTED_VALUE"""),16)</f>
        <v>16</v>
      </c>
      <c r="E23">
        <f ca="1">IFERROR(__xludf.DUMMYFUNCTION("""COMPUTED_VALUE"""),45.95)</f>
        <v>45.95</v>
      </c>
      <c r="F23">
        <f ca="1">IFERROR(__xludf.DUMMYFUNCTION("""COMPUTED_VALUE"""),37)</f>
        <v>37</v>
      </c>
      <c r="G23">
        <f ca="1">IFERROR(__xludf.DUMMYFUNCTION("""COMPUTED_VALUE"""),17)</f>
        <v>17</v>
      </c>
    </row>
    <row r="24" spans="1:7" ht="15.75" customHeight="1">
      <c r="A24">
        <f ca="1">IFERROR(__xludf.DUMMYFUNCTION("""COMPUTED_VALUE"""),23)</f>
        <v>23</v>
      </c>
      <c r="B24" t="str">
        <f ca="1">IFERROR(__xludf.DUMMYFUNCTION("""COMPUTED_VALUE"""),"T21")</f>
        <v>T21</v>
      </c>
      <c r="C24" t="str">
        <f ca="1">IFERROR(__xludf.DUMMYFUNCTION("""COMPUTED_VALUE"""),"Patrick Reed")</f>
        <v>Patrick Reed</v>
      </c>
      <c r="D24">
        <f ca="1">IFERROR(__xludf.DUMMYFUNCTION("""COMPUTED_VALUE"""),8)</f>
        <v>8</v>
      </c>
      <c r="E24">
        <f ca="1">IFERROR(__xludf.DUMMYFUNCTION("""COMPUTED_VALUE"""),45.83)</f>
        <v>45.83</v>
      </c>
      <c r="F24">
        <f ca="1">IFERROR(__xludf.DUMMYFUNCTION("""COMPUTED_VALUE"""),24)</f>
        <v>24</v>
      </c>
      <c r="G24">
        <f ca="1">IFERROR(__xludf.DUMMYFUNCTION("""COMPUTED_VALUE"""),11)</f>
        <v>11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IFERROR(__xludf.DUMMYFUNCTION("""COMPUTED_VALUE"""),"T21")</f>
        <v>T21</v>
      </c>
      <c r="C25" t="str">
        <f ca="1">IFERROR(__xludf.DUMMYFUNCTION("""COMPUTED_VALUE"""),"Sepp Straka")</f>
        <v>Sepp Straka</v>
      </c>
      <c r="D25">
        <f ca="1">IFERROR(__xludf.DUMMYFUNCTION("""COMPUTED_VALUE"""),22)</f>
        <v>22</v>
      </c>
      <c r="E25">
        <f ca="1">IFERROR(__xludf.DUMMYFUNCTION("""COMPUTED_VALUE"""),45)</f>
        <v>45</v>
      </c>
      <c r="F25">
        <f ca="1">IFERROR(__xludf.DUMMYFUNCTION("""COMPUTED_VALUE"""),40)</f>
        <v>40</v>
      </c>
      <c r="G25">
        <f ca="1">IFERROR(__xludf.DUMMYFUNCTION("""COMPUTED_VALUE"""),18)</f>
        <v>18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IFERROR(__xludf.DUMMYFUNCTION("""COMPUTED_VALUE"""),25)</f>
        <v>25</v>
      </c>
      <c r="C26" t="str">
        <f ca="1">IFERROR(__xludf.DUMMYFUNCTION("""COMPUTED_VALUE"""),"Brian Gay")</f>
        <v>Brian Gay</v>
      </c>
      <c r="D26">
        <f ca="1">IFERROR(__xludf.DUMMYFUNCTION("""COMPUTED_VALUE"""),8)</f>
        <v>8</v>
      </c>
      <c r="E26">
        <f ca="1">IFERROR(__xludf.DUMMYFUNCTION("""COMPUTED_VALUE"""),43.75)</f>
        <v>43.75</v>
      </c>
      <c r="F26">
        <f ca="1">IFERROR(__xludf.DUMMYFUNCTION("""COMPUTED_VALUE"""),16)</f>
        <v>16</v>
      </c>
      <c r="G26">
        <f ca="1">IFERROR(__xludf.DUMMYFUNCTION("""COMPUTED_VALUE"""),7)</f>
        <v>7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IFERROR(__xludf.DUMMYFUNCTION("""COMPUTED_VALUE"""),23)</f>
        <v>23</v>
      </c>
      <c r="C27" t="str">
        <f ca="1">IFERROR(__xludf.DUMMYFUNCTION("""COMPUTED_VALUE"""),"Shane Lowry")</f>
        <v>Shane Lowry</v>
      </c>
      <c r="D27">
        <f ca="1">IFERROR(__xludf.DUMMYFUNCTION("""COMPUTED_VALUE"""),14)</f>
        <v>14</v>
      </c>
      <c r="E27">
        <f ca="1">IFERROR(__xludf.DUMMYFUNCTION("""COMPUTED_VALUE"""),43.24)</f>
        <v>43.24</v>
      </c>
      <c r="F27">
        <f ca="1">IFERROR(__xludf.DUMMYFUNCTION("""COMPUTED_VALUE"""),37)</f>
        <v>37</v>
      </c>
      <c r="G27">
        <f ca="1">IFERROR(__xludf.DUMMYFUNCTION("""COMPUTED_VALUE"""),16)</f>
        <v>16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IFERROR(__xludf.DUMMYFUNCTION("""COMPUTED_VALUE"""),"T73")</f>
        <v>T73</v>
      </c>
      <c r="C28" t="str">
        <f ca="1">IFERROR(__xludf.DUMMYFUNCTION("""COMPUTED_VALUE"""),"Grayson Murray")</f>
        <v>Grayson Murray</v>
      </c>
      <c r="D28">
        <f ca="1">IFERROR(__xludf.DUMMYFUNCTION("""COMPUTED_VALUE"""),10)</f>
        <v>10</v>
      </c>
      <c r="E28">
        <f ca="1">IFERROR(__xludf.DUMMYFUNCTION("""COMPUTED_VALUE"""),42.86)</f>
        <v>42.86</v>
      </c>
      <c r="F28">
        <f ca="1">IFERROR(__xludf.DUMMYFUNCTION("""COMPUTED_VALUE"""),21)</f>
        <v>21</v>
      </c>
      <c r="G28">
        <f ca="1">IFERROR(__xludf.DUMMYFUNCTION("""COMPUTED_VALUE"""),9)</f>
        <v>9</v>
      </c>
    </row>
    <row r="29" spans="1:7" ht="15.75" customHeight="1">
      <c r="A29">
        <f ca="1">IFERROR(__xludf.DUMMYFUNCTION("""COMPUTED_VALUE"""),28)</f>
        <v>28</v>
      </c>
      <c r="B29" t="str">
        <f ca="1">IFERROR(__xludf.DUMMYFUNCTION("""COMPUTED_VALUE"""),"T51")</f>
        <v>T51</v>
      </c>
      <c r="C29" t="str">
        <f ca="1">IFERROR(__xludf.DUMMYFUNCTION("""COMPUTED_VALUE"""),"Aaron Wise")</f>
        <v>Aaron Wise</v>
      </c>
      <c r="D29">
        <f ca="1">IFERROR(__xludf.DUMMYFUNCTION("""COMPUTED_VALUE"""),16)</f>
        <v>16</v>
      </c>
      <c r="E29">
        <f ca="1">IFERROR(__xludf.DUMMYFUNCTION("""COMPUTED_VALUE"""),42.42)</f>
        <v>42.42</v>
      </c>
      <c r="F29">
        <f ca="1">IFERROR(__xludf.DUMMYFUNCTION("""COMPUTED_VALUE"""),33)</f>
        <v>33</v>
      </c>
      <c r="G29">
        <f ca="1">IFERROR(__xludf.DUMMYFUNCTION("""COMPUTED_VALUE"""),14)</f>
        <v>14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IFERROR(__xludf.DUMMYFUNCTION("""COMPUTED_VALUE"""),"T73")</f>
        <v>T73</v>
      </c>
      <c r="C30" t="str">
        <f ca="1">IFERROR(__xludf.DUMMYFUNCTION("""COMPUTED_VALUE"""),"Erik van Rooyen")</f>
        <v>Erik van Rooyen</v>
      </c>
      <c r="D30">
        <f ca="1">IFERROR(__xludf.DUMMYFUNCTION("""COMPUTED_VALUE"""),10)</f>
        <v>10</v>
      </c>
      <c r="E30">
        <f ca="1">IFERROR(__xludf.DUMMYFUNCTION("""COMPUTED_VALUE"""),42.31)</f>
        <v>42.31</v>
      </c>
      <c r="F30">
        <f ca="1">IFERROR(__xludf.DUMMYFUNCTION("""COMPUTED_VALUE"""),26)</f>
        <v>26</v>
      </c>
      <c r="G30">
        <f ca="1">IFERROR(__xludf.DUMMYFUNCTION("""COMPUTED_VALUE"""),11)</f>
        <v>11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IFERROR(__xludf.DUMMYFUNCTION("""COMPUTED_VALUE"""),29)</f>
        <v>29</v>
      </c>
      <c r="C31" t="str">
        <f ca="1">IFERROR(__xludf.DUMMYFUNCTION("""COMPUTED_VALUE"""),"Rob Oppenheim")</f>
        <v>Rob Oppenheim</v>
      </c>
      <c r="D31">
        <f ca="1">IFERROR(__xludf.DUMMYFUNCTION("""COMPUTED_VALUE"""),16)</f>
        <v>16</v>
      </c>
      <c r="E31">
        <f ca="1">IFERROR(__xludf.DUMMYFUNCTION("""COMPUTED_VALUE"""),41.94)</f>
        <v>41.94</v>
      </c>
      <c r="F31">
        <f ca="1">IFERROR(__xludf.DUMMYFUNCTION("""COMPUTED_VALUE"""),31)</f>
        <v>31</v>
      </c>
      <c r="G31">
        <f ca="1">IFERROR(__xludf.DUMMYFUNCTION("""COMPUTED_VALUE"""),13)</f>
        <v>13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IFERROR(__xludf.DUMMYFUNCTION("""COMPUTED_VALUE"""),30)</f>
        <v>30</v>
      </c>
      <c r="C32" t="str">
        <f ca="1">IFERROR(__xludf.DUMMYFUNCTION("""COMPUTED_VALUE"""),"Stephan Jaeger")</f>
        <v>Stephan Jaeger</v>
      </c>
      <c r="D32">
        <f ca="1">IFERROR(__xludf.DUMMYFUNCTION("""COMPUTED_VALUE"""),4)</f>
        <v>4</v>
      </c>
      <c r="E32">
        <f ca="1">IFERROR(__xludf.DUMMYFUNCTION("""COMPUTED_VALUE"""),41.67)</f>
        <v>41.67</v>
      </c>
      <c r="F32">
        <f ca="1">IFERROR(__xludf.DUMMYFUNCTION("""COMPUTED_VALUE"""),12)</f>
        <v>12</v>
      </c>
      <c r="G32">
        <f ca="1">IFERROR(__xludf.DUMMYFUNCTION("""COMPUTED_VALUE"""),5)</f>
        <v>5</v>
      </c>
    </row>
    <row r="33" spans="1:7" ht="12.75">
      <c r="A33" t="str">
        <f ca="1">IFERROR(__xludf.DUMMYFUNCTION("""COMPUTED_VALUE"""),"T32")</f>
        <v>T32</v>
      </c>
      <c r="B33">
        <f ca="1">IFERROR(__xludf.DUMMYFUNCTION("""COMPUTED_VALUE"""),31)</f>
        <v>31</v>
      </c>
      <c r="C33" t="str">
        <f ca="1">IFERROR(__xludf.DUMMYFUNCTION("""COMPUTED_VALUE"""),"Nick Taylor")</f>
        <v>Nick Taylor</v>
      </c>
      <c r="D33">
        <f ca="1">IFERROR(__xludf.DUMMYFUNCTION("""COMPUTED_VALUE"""),12)</f>
        <v>12</v>
      </c>
      <c r="E33">
        <f ca="1">IFERROR(__xludf.DUMMYFUNCTION("""COMPUTED_VALUE"""),41.38)</f>
        <v>41.38</v>
      </c>
      <c r="F33">
        <f ca="1">IFERROR(__xludf.DUMMYFUNCTION("""COMPUTED_VALUE"""),29)</f>
        <v>29</v>
      </c>
      <c r="G33">
        <f ca="1">IFERROR(__xludf.DUMMYFUNCTION("""COMPUTED_VALUE"""),12)</f>
        <v>12</v>
      </c>
    </row>
    <row r="34" spans="1:7" ht="12.75">
      <c r="A34" t="str">
        <f ca="1">IFERROR(__xludf.DUMMYFUNCTION("""COMPUTED_VALUE"""),"T32")</f>
        <v>T32</v>
      </c>
      <c r="B34" t="str">
        <f ca="1">IFERROR(__xludf.DUMMYFUNCTION("""COMPUTED_VALUE"""),"T67")</f>
        <v>T67</v>
      </c>
      <c r="C34" t="str">
        <f ca="1">IFERROR(__xludf.DUMMYFUNCTION("""COMPUTED_VALUE"""),"Pat Perez")</f>
        <v>Pat Perez</v>
      </c>
      <c r="D34">
        <f ca="1">IFERROR(__xludf.DUMMYFUNCTION("""COMPUTED_VALUE"""),16)</f>
        <v>16</v>
      </c>
      <c r="E34">
        <f ca="1">IFERROR(__xludf.DUMMYFUNCTION("""COMPUTED_VALUE"""),41.38)</f>
        <v>41.38</v>
      </c>
      <c r="F34">
        <f ca="1">IFERROR(__xludf.DUMMYFUNCTION("""COMPUTED_VALUE"""),29)</f>
        <v>29</v>
      </c>
      <c r="G34">
        <f ca="1">IFERROR(__xludf.DUMMYFUNCTION("""COMPUTED_VALUE"""),12)</f>
        <v>12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IFERROR(__xludf.DUMMYFUNCTION("""COMPUTED_VALUE"""),28)</f>
        <v>28</v>
      </c>
      <c r="C35" t="str">
        <f ca="1">IFERROR(__xludf.DUMMYFUNCTION("""COMPUTED_VALUE"""),"Luke List")</f>
        <v>Luke List</v>
      </c>
      <c r="D35">
        <f ca="1">IFERROR(__xludf.DUMMYFUNCTION("""COMPUTED_VALUE"""),18)</f>
        <v>18</v>
      </c>
      <c r="E35">
        <f ca="1">IFERROR(__xludf.DUMMYFUNCTION("""COMPUTED_VALUE"""),40.74)</f>
        <v>40.74</v>
      </c>
      <c r="F35">
        <f ca="1">IFERROR(__xludf.DUMMYFUNCTION("""COMPUTED_VALUE"""),27)</f>
        <v>27</v>
      </c>
      <c r="G35">
        <f ca="1">IFERROR(__xludf.DUMMYFUNCTION("""COMPUTED_VALUE"""),11)</f>
        <v>11</v>
      </c>
    </row>
    <row r="36" spans="1:7" ht="12.75">
      <c r="A36" t="str">
        <f ca="1">IFERROR(__xludf.DUMMYFUNCTION("""COMPUTED_VALUE"""),"T35")</f>
        <v>T35</v>
      </c>
      <c r="B36" t="str">
        <f ca="1">IFERROR(__xludf.DUMMYFUNCTION("""COMPUTED_VALUE"""),"T35")</f>
        <v>T35</v>
      </c>
      <c r="C36" t="str">
        <f ca="1">IFERROR(__xludf.DUMMYFUNCTION("""COMPUTED_VALUE"""),"Ian Poulter")</f>
        <v>Ian Poulter</v>
      </c>
      <c r="D36">
        <f ca="1">IFERROR(__xludf.DUMMYFUNCTION("""COMPUTED_VALUE"""),6)</f>
        <v>6</v>
      </c>
      <c r="E36">
        <f ca="1">IFERROR(__xludf.DUMMYFUNCTION("""COMPUTED_VALUE"""),40)</f>
        <v>40</v>
      </c>
      <c r="F36">
        <f ca="1">IFERROR(__xludf.DUMMYFUNCTION("""COMPUTED_VALUE"""),10)</f>
        <v>10</v>
      </c>
      <c r="G36">
        <f ca="1">IFERROR(__xludf.DUMMYFUNCTION("""COMPUTED_VALUE"""),4)</f>
        <v>4</v>
      </c>
    </row>
    <row r="37" spans="1:7" ht="12.75">
      <c r="A37" t="str">
        <f ca="1">IFERROR(__xludf.DUMMYFUNCTION("""COMPUTED_VALUE"""),"T35")</f>
        <v>T35</v>
      </c>
      <c r="B37" t="str">
        <f ca="1">IFERROR(__xludf.DUMMYFUNCTION("""COMPUTED_VALUE"""),"T35")</f>
        <v>T35</v>
      </c>
      <c r="C37" t="str">
        <f ca="1">IFERROR(__xludf.DUMMYFUNCTION("""COMPUTED_VALUE"""),"Thomas Pieters")</f>
        <v>Thomas Pieters</v>
      </c>
      <c r="D37">
        <f ca="1">IFERROR(__xludf.DUMMYFUNCTION("""COMPUTED_VALUE"""),4)</f>
        <v>4</v>
      </c>
      <c r="E37">
        <f ca="1">IFERROR(__xludf.DUMMYFUNCTION("""COMPUTED_VALUE"""),40)</f>
        <v>40</v>
      </c>
      <c r="F37">
        <f ca="1">IFERROR(__xludf.DUMMYFUNCTION("""COMPUTED_VALUE"""),10)</f>
        <v>10</v>
      </c>
      <c r="G37">
        <f ca="1">IFERROR(__xludf.DUMMYFUNCTION("""COMPUTED_VALUE"""),4)</f>
        <v>4</v>
      </c>
    </row>
    <row r="38" spans="1:7" ht="12.75">
      <c r="A38" t="str">
        <f ca="1">IFERROR(__xludf.DUMMYFUNCTION("""COMPUTED_VALUE"""),"T35")</f>
        <v>T35</v>
      </c>
      <c r="B38" t="str">
        <f ca="1">IFERROR(__xludf.DUMMYFUNCTION("""COMPUTED_VALUE"""),"T35")</f>
        <v>T35</v>
      </c>
      <c r="C38" t="str">
        <f ca="1">IFERROR(__xludf.DUMMYFUNCTION("""COMPUTED_VALUE"""),"Michael Gligic")</f>
        <v>Michael Gligic</v>
      </c>
      <c r="D38">
        <f ca="1">IFERROR(__xludf.DUMMYFUNCTION("""COMPUTED_VALUE"""),18)</f>
        <v>18</v>
      </c>
      <c r="E38">
        <f ca="1">IFERROR(__xludf.DUMMYFUNCTION("""COMPUTED_VALUE"""),40)</f>
        <v>40</v>
      </c>
      <c r="F38">
        <f ca="1">IFERROR(__xludf.DUMMYFUNCTION("""COMPUTED_VALUE"""),40)</f>
        <v>40</v>
      </c>
      <c r="G38">
        <f ca="1">IFERROR(__xludf.DUMMYFUNCTION("""COMPUTED_VALUE"""),16)</f>
        <v>16</v>
      </c>
    </row>
    <row r="39" spans="1:7" ht="12.75">
      <c r="A39" t="str">
        <f ca="1">IFERROR(__xludf.DUMMYFUNCTION("""COMPUTED_VALUE"""),"T35")</f>
        <v>T35</v>
      </c>
      <c r="B39" t="str">
        <f ca="1">IFERROR(__xludf.DUMMYFUNCTION("""COMPUTED_VALUE"""),"T35")</f>
        <v>T35</v>
      </c>
      <c r="C39" t="str">
        <f ca="1">IFERROR(__xludf.DUMMYFUNCTION("""COMPUTED_VALUE"""),"Tae Hee Lee")</f>
        <v>Tae Hee Lee</v>
      </c>
      <c r="D39">
        <f ca="1">IFERROR(__xludf.DUMMYFUNCTION("""COMPUTED_VALUE"""),4)</f>
        <v>4</v>
      </c>
      <c r="E39">
        <f ca="1">IFERROR(__xludf.DUMMYFUNCTION("""COMPUTED_VALUE"""),40)</f>
        <v>40</v>
      </c>
      <c r="F39">
        <f ca="1">IFERROR(__xludf.DUMMYFUNCTION("""COMPUTED_VALUE"""),10)</f>
        <v>10</v>
      </c>
      <c r="G39">
        <f ca="1">IFERROR(__xludf.DUMMYFUNCTION("""COMPUTED_VALUE"""),4)</f>
        <v>4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IFERROR(__xludf.DUMMYFUNCTION("""COMPUTED_VALUE"""),41)</f>
        <v>41</v>
      </c>
      <c r="C40" t="str">
        <f ca="1">IFERROR(__xludf.DUMMYFUNCTION("""COMPUTED_VALUE"""),"Ryan Palmer")</f>
        <v>Ryan Palmer</v>
      </c>
      <c r="D40">
        <f ca="1">IFERROR(__xludf.DUMMYFUNCTION("""COMPUTED_VALUE"""),14)</f>
        <v>14</v>
      </c>
      <c r="E40">
        <f ca="1">IFERROR(__xludf.DUMMYFUNCTION("""COMPUTED_VALUE"""),39.53)</f>
        <v>39.53</v>
      </c>
      <c r="F40">
        <f ca="1">IFERROR(__xludf.DUMMYFUNCTION("""COMPUTED_VALUE"""),43)</f>
        <v>43</v>
      </c>
      <c r="G40">
        <f ca="1">IFERROR(__xludf.DUMMYFUNCTION("""COMPUTED_VALUE"""),17)</f>
        <v>17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IFERROR(__xludf.DUMMYFUNCTION("""COMPUTED_VALUE"""),"T55")</f>
        <v>T55</v>
      </c>
      <c r="C41" t="str">
        <f ca="1">IFERROR(__xludf.DUMMYFUNCTION("""COMPUTED_VALUE"""),"Charley Hoffman")</f>
        <v>Charley Hoffman</v>
      </c>
      <c r="D41">
        <f ca="1">IFERROR(__xludf.DUMMYFUNCTION("""COMPUTED_VALUE"""),20)</f>
        <v>20</v>
      </c>
      <c r="E41">
        <f ca="1">IFERROR(__xludf.DUMMYFUNCTION("""COMPUTED_VALUE"""),39.47)</f>
        <v>39.47</v>
      </c>
      <c r="F41">
        <f ca="1">IFERROR(__xludf.DUMMYFUNCTION("""COMPUTED_VALUE"""),38)</f>
        <v>38</v>
      </c>
      <c r="G41">
        <f ca="1">IFERROR(__xludf.DUMMYFUNCTION("""COMPUTED_VALUE"""),15)</f>
        <v>15</v>
      </c>
    </row>
    <row r="42" spans="1:7" ht="12.75">
      <c r="A42">
        <f ca="1">IFERROR(__xludf.DUMMYFUNCTION("""COMPUTED_VALUE"""),41)</f>
        <v>41</v>
      </c>
      <c r="B42" t="str">
        <f ca="1">IFERROR(__xludf.DUMMYFUNCTION("""COMPUTED_VALUE"""),"T83")</f>
        <v>T83</v>
      </c>
      <c r="C42" t="str">
        <f ca="1">IFERROR(__xludf.DUMMYFUNCTION("""COMPUTED_VALUE"""),"Michael Thompson")</f>
        <v>Michael Thompson</v>
      </c>
      <c r="D42">
        <f ca="1">IFERROR(__xludf.DUMMYFUNCTION("""COMPUTED_VALUE"""),16)</f>
        <v>16</v>
      </c>
      <c r="E42">
        <f ca="1">IFERROR(__xludf.DUMMYFUNCTION("""COMPUTED_VALUE"""),39.39)</f>
        <v>39.39</v>
      </c>
      <c r="F42">
        <f ca="1">IFERROR(__xludf.DUMMYFUNCTION("""COMPUTED_VALUE"""),33)</f>
        <v>33</v>
      </c>
      <c r="G42">
        <f ca="1">IFERROR(__xludf.DUMMYFUNCTION("""COMPUTED_VALUE"""),13)</f>
        <v>13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IFERROR(__xludf.DUMMYFUNCTION("""COMPUTED_VALUE"""),63)</f>
        <v>63</v>
      </c>
      <c r="C43" t="str">
        <f ca="1">IFERROR(__xludf.DUMMYFUNCTION("""COMPUTED_VALUE"""),"J.T. Poston")</f>
        <v>J.T. Poston</v>
      </c>
      <c r="D43">
        <f ca="1">IFERROR(__xludf.DUMMYFUNCTION("""COMPUTED_VALUE"""),18)</f>
        <v>18</v>
      </c>
      <c r="E43">
        <f ca="1">IFERROR(__xludf.DUMMYFUNCTION("""COMPUTED_VALUE"""),39.34)</f>
        <v>39.340000000000003</v>
      </c>
      <c r="F43">
        <f ca="1">IFERROR(__xludf.DUMMYFUNCTION("""COMPUTED_VALUE"""),61)</f>
        <v>61</v>
      </c>
      <c r="G43">
        <f ca="1">IFERROR(__xludf.DUMMYFUNCTION("""COMPUTED_VALUE"""),24)</f>
        <v>24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IFERROR(__xludf.DUMMYFUNCTION("""COMPUTED_VALUE"""),"T16")</f>
        <v>T16</v>
      </c>
      <c r="C44" t="str">
        <f ca="1">IFERROR(__xludf.DUMMYFUNCTION("""COMPUTED_VALUE"""),"Zach Johnson")</f>
        <v>Zach Johnson</v>
      </c>
      <c r="D44">
        <f ca="1">IFERROR(__xludf.DUMMYFUNCTION("""COMPUTED_VALUE"""),16)</f>
        <v>16</v>
      </c>
      <c r="E44">
        <f ca="1">IFERROR(__xludf.DUMMYFUNCTION("""COMPUTED_VALUE"""),39.02)</f>
        <v>39.020000000000003</v>
      </c>
      <c r="F44">
        <f ca="1">IFERROR(__xludf.DUMMYFUNCTION("""COMPUTED_VALUE"""),41)</f>
        <v>41</v>
      </c>
      <c r="G44">
        <f ca="1">IFERROR(__xludf.DUMMYFUNCTION("""COMPUTED_VALUE"""),16)</f>
        <v>16</v>
      </c>
    </row>
    <row r="45" spans="1:7" ht="12.75">
      <c r="A45" t="str">
        <f ca="1">IFERROR(__xludf.DUMMYFUNCTION("""COMPUTED_VALUE"""),"T43")</f>
        <v>T43</v>
      </c>
      <c r="B45">
        <f ca="1">IFERROR(__xludf.DUMMYFUNCTION("""COMPUTED_VALUE"""),34)</f>
        <v>34</v>
      </c>
      <c r="C45" t="str">
        <f ca="1">IFERROR(__xludf.DUMMYFUNCTION("""COMPUTED_VALUE"""),"Rory Sabbatini")</f>
        <v>Rory Sabbatini</v>
      </c>
      <c r="D45">
        <f ca="1">IFERROR(__xludf.DUMMYFUNCTION("""COMPUTED_VALUE"""),13)</f>
        <v>13</v>
      </c>
      <c r="E45">
        <f ca="1">IFERROR(__xludf.DUMMYFUNCTION("""COMPUTED_VALUE"""),39.02)</f>
        <v>39.020000000000003</v>
      </c>
      <c r="F45">
        <f ca="1">IFERROR(__xludf.DUMMYFUNCTION("""COMPUTED_VALUE"""),41)</f>
        <v>41</v>
      </c>
      <c r="G45">
        <f ca="1">IFERROR(__xludf.DUMMYFUNCTION("""COMPUTED_VALUE"""),16)</f>
        <v>16</v>
      </c>
    </row>
    <row r="46" spans="1:7" ht="12.75">
      <c r="A46" t="str">
        <f ca="1">IFERROR(__xludf.DUMMYFUNCTION("""COMPUTED_VALUE"""),"T45")</f>
        <v>T45</v>
      </c>
      <c r="B46" t="str">
        <f ca="1">IFERROR(__xludf.DUMMYFUNCTION("""COMPUTED_VALUE"""),"T47")</f>
        <v>T47</v>
      </c>
      <c r="C46" t="str">
        <f ca="1">IFERROR(__xludf.DUMMYFUNCTION("""COMPUTED_VALUE"""),"Hunter Mahan")</f>
        <v>Hunter Mahan</v>
      </c>
      <c r="D46">
        <f ca="1">IFERROR(__xludf.DUMMYFUNCTION("""COMPUTED_VALUE"""),14)</f>
        <v>14</v>
      </c>
      <c r="E46">
        <f ca="1">IFERROR(__xludf.DUMMYFUNCTION("""COMPUTED_VALUE"""),38.89)</f>
        <v>38.89</v>
      </c>
      <c r="F46">
        <f ca="1">IFERROR(__xludf.DUMMYFUNCTION("""COMPUTED_VALUE"""),36)</f>
        <v>36</v>
      </c>
      <c r="G46">
        <f ca="1">IFERROR(__xludf.DUMMYFUNCTION("""COMPUTED_VALUE"""),14)</f>
        <v>14</v>
      </c>
    </row>
    <row r="47" spans="1:7" ht="12.75">
      <c r="A47" t="str">
        <f ca="1">IFERROR(__xludf.DUMMYFUNCTION("""COMPUTED_VALUE"""),"T45")</f>
        <v>T45</v>
      </c>
      <c r="B47" t="str">
        <f ca="1">IFERROR(__xludf.DUMMYFUNCTION("""COMPUTED_VALUE"""),"T44")</f>
        <v>T44</v>
      </c>
      <c r="C47" t="str">
        <f ca="1">IFERROR(__xludf.DUMMYFUNCTION("""COMPUTED_VALUE"""),"Anirban Lahiri")</f>
        <v>Anirban Lahiri</v>
      </c>
      <c r="D47">
        <f ca="1">IFERROR(__xludf.DUMMYFUNCTION("""COMPUTED_VALUE"""),16)</f>
        <v>16</v>
      </c>
      <c r="E47">
        <f ca="1">IFERROR(__xludf.DUMMYFUNCTION("""COMPUTED_VALUE"""),38.89)</f>
        <v>38.89</v>
      </c>
      <c r="F47">
        <f ca="1">IFERROR(__xludf.DUMMYFUNCTION("""COMPUTED_VALUE"""),18)</f>
        <v>18</v>
      </c>
      <c r="G47">
        <f ca="1">IFERROR(__xludf.DUMMYFUNCTION("""COMPUTED_VALUE"""),7)</f>
        <v>7</v>
      </c>
    </row>
    <row r="48" spans="1:7" ht="12.75">
      <c r="A48">
        <f ca="1">IFERROR(__xludf.DUMMYFUNCTION("""COMPUTED_VALUE"""),47)</f>
        <v>47</v>
      </c>
      <c r="B48" t="str">
        <f ca="1">IFERROR(__xludf.DUMMYFUNCTION("""COMPUTED_VALUE"""),"T49")</f>
        <v>T49</v>
      </c>
      <c r="C48" t="str">
        <f ca="1">IFERROR(__xludf.DUMMYFUNCTION("""COMPUTED_VALUE"""),"Matt Every")</f>
        <v>Matt Every</v>
      </c>
      <c r="D48">
        <f ca="1">IFERROR(__xludf.DUMMYFUNCTION("""COMPUTED_VALUE"""),8)</f>
        <v>8</v>
      </c>
      <c r="E48">
        <f ca="1">IFERROR(__xludf.DUMMYFUNCTION("""COMPUTED_VALUE"""),38.46)</f>
        <v>38.46</v>
      </c>
      <c r="F48">
        <f ca="1">IFERROR(__xludf.DUMMYFUNCTION("""COMPUTED_VALUE"""),13)</f>
        <v>13</v>
      </c>
      <c r="G48">
        <f ca="1">IFERROR(__xludf.DUMMYFUNCTION("""COMPUTED_VALUE"""),5)</f>
        <v>5</v>
      </c>
    </row>
    <row r="49" spans="1:7" ht="12.75">
      <c r="A49" t="str">
        <f ca="1">IFERROR(__xludf.DUMMYFUNCTION("""COMPUTED_VALUE"""),"T48")</f>
        <v>T48</v>
      </c>
      <c r="B49" t="str">
        <f ca="1">IFERROR(__xludf.DUMMYFUNCTION("""COMPUTED_VALUE"""),"T51")</f>
        <v>T51</v>
      </c>
      <c r="C49" t="str">
        <f ca="1">IFERROR(__xludf.DUMMYFUNCTION("""COMPUTED_VALUE"""),"Nick Watney")</f>
        <v>Nick Watney</v>
      </c>
      <c r="D49">
        <f ca="1">IFERROR(__xludf.DUMMYFUNCTION("""COMPUTED_VALUE"""),10)</f>
        <v>10</v>
      </c>
      <c r="E49">
        <f ca="1">IFERROR(__xludf.DUMMYFUNCTION("""COMPUTED_VALUE"""),38.1)</f>
        <v>38.1</v>
      </c>
      <c r="F49">
        <f ca="1">IFERROR(__xludf.DUMMYFUNCTION("""COMPUTED_VALUE"""),21)</f>
        <v>21</v>
      </c>
      <c r="G49">
        <f ca="1">IFERROR(__xludf.DUMMYFUNCTION("""COMPUTED_VALUE"""),8)</f>
        <v>8</v>
      </c>
    </row>
    <row r="50" spans="1:7" ht="12.75">
      <c r="A50" t="str">
        <f ca="1">IFERROR(__xludf.DUMMYFUNCTION("""COMPUTED_VALUE"""),"T48")</f>
        <v>T48</v>
      </c>
      <c r="B50" t="str">
        <f ca="1">IFERROR(__xludf.DUMMYFUNCTION("""COMPUTED_VALUE"""),"T223")</f>
        <v>T223</v>
      </c>
      <c r="C50" t="str">
        <f ca="1">IFERROR(__xludf.DUMMYFUNCTION("""COMPUTED_VALUE"""),"John Huh")</f>
        <v>John Huh</v>
      </c>
      <c r="D50">
        <f ca="1">IFERROR(__xludf.DUMMYFUNCTION("""COMPUTED_VALUE"""),8)</f>
        <v>8</v>
      </c>
      <c r="E50">
        <f ca="1">IFERROR(__xludf.DUMMYFUNCTION("""COMPUTED_VALUE"""),38.1)</f>
        <v>38.1</v>
      </c>
      <c r="F50">
        <f ca="1">IFERROR(__xludf.DUMMYFUNCTION("""COMPUTED_VALUE"""),21)</f>
        <v>21</v>
      </c>
      <c r="G50">
        <f ca="1">IFERROR(__xludf.DUMMYFUNCTION("""COMPUTED_VALUE"""),8)</f>
        <v>8</v>
      </c>
    </row>
    <row r="51" spans="1:7" ht="12.75">
      <c r="A51">
        <f ca="1">IFERROR(__xludf.DUMMYFUNCTION("""COMPUTED_VALUE"""),50)</f>
        <v>50</v>
      </c>
      <c r="B51" t="str">
        <f ca="1">IFERROR(__xludf.DUMMYFUNCTION("""COMPUTED_VALUE"""),"T55")</f>
        <v>T55</v>
      </c>
      <c r="C51" t="str">
        <f ca="1">IFERROR(__xludf.DUMMYFUNCTION("""COMPUTED_VALUE"""),"Joseph Bramlett")</f>
        <v>Joseph Bramlett</v>
      </c>
      <c r="D51">
        <f ca="1">IFERROR(__xludf.DUMMYFUNCTION("""COMPUTED_VALUE"""),18)</f>
        <v>18</v>
      </c>
      <c r="E51">
        <f ca="1">IFERROR(__xludf.DUMMYFUNCTION("""COMPUTED_VALUE"""),37.93)</f>
        <v>37.93</v>
      </c>
      <c r="F51">
        <f ca="1">IFERROR(__xludf.DUMMYFUNCTION("""COMPUTED_VALUE"""),29)</f>
        <v>29</v>
      </c>
      <c r="G51">
        <f ca="1">IFERROR(__xludf.DUMMYFUNCTION("""COMPUTED_VALUE"""),11)</f>
        <v>11</v>
      </c>
    </row>
    <row r="52" spans="1:7" ht="12.75">
      <c r="A52">
        <f ca="1">IFERROR(__xludf.DUMMYFUNCTION("""COMPUTED_VALUE"""),51)</f>
        <v>51</v>
      </c>
      <c r="B52" t="str">
        <f ca="1">IFERROR(__xludf.DUMMYFUNCTION("""COMPUTED_VALUE"""),"T44")</f>
        <v>T44</v>
      </c>
      <c r="C52" t="str">
        <f ca="1">IFERROR(__xludf.DUMMYFUNCTION("""COMPUTED_VALUE"""),"Brian Harman")</f>
        <v>Brian Harman</v>
      </c>
      <c r="D52">
        <f ca="1">IFERROR(__xludf.DUMMYFUNCTION("""COMPUTED_VALUE"""),24)</f>
        <v>24</v>
      </c>
      <c r="E52">
        <f ca="1">IFERROR(__xludf.DUMMYFUNCTION("""COMPUTED_VALUE"""),37.7)</f>
        <v>37.700000000000003</v>
      </c>
      <c r="F52">
        <f ca="1">IFERROR(__xludf.DUMMYFUNCTION("""COMPUTED_VALUE"""),61)</f>
        <v>61</v>
      </c>
      <c r="G52">
        <f ca="1">IFERROR(__xludf.DUMMYFUNCTION("""COMPUTED_VALUE"""),23)</f>
        <v>23</v>
      </c>
    </row>
    <row r="53" spans="1:7" ht="12.75">
      <c r="A53" t="str">
        <f ca="1">IFERROR(__xludf.DUMMYFUNCTION("""COMPUTED_VALUE"""),"T52")</f>
        <v>T52</v>
      </c>
      <c r="B53" t="str">
        <f ca="1">IFERROR(__xludf.DUMMYFUNCTION("""COMPUTED_VALUE"""),"T44")</f>
        <v>T44</v>
      </c>
      <c r="C53" t="str">
        <f ca="1">IFERROR(__xludf.DUMMYFUNCTION("""COMPUTED_VALUE"""),"Andrew Putnam")</f>
        <v>Andrew Putnam</v>
      </c>
      <c r="D53">
        <f ca="1">IFERROR(__xludf.DUMMYFUNCTION("""COMPUTED_VALUE"""),19)</f>
        <v>19</v>
      </c>
      <c r="E53">
        <f ca="1">IFERROR(__xludf.DUMMYFUNCTION("""COMPUTED_VALUE"""),37.5)</f>
        <v>37.5</v>
      </c>
      <c r="F53">
        <f ca="1">IFERROR(__xludf.DUMMYFUNCTION("""COMPUTED_VALUE"""),40)</f>
        <v>40</v>
      </c>
      <c r="G53">
        <f ca="1">IFERROR(__xludf.DUMMYFUNCTION("""COMPUTED_VALUE"""),15)</f>
        <v>15</v>
      </c>
    </row>
    <row r="54" spans="1:7" ht="12.75">
      <c r="A54" t="str">
        <f ca="1">IFERROR(__xludf.DUMMYFUNCTION("""COMPUTED_VALUE"""),"T52")</f>
        <v>T52</v>
      </c>
      <c r="B54">
        <f ca="1">IFERROR(__xludf.DUMMYFUNCTION("""COMPUTED_VALUE"""),33)</f>
        <v>33</v>
      </c>
      <c r="C54" t="str">
        <f ca="1">IFERROR(__xludf.DUMMYFUNCTION("""COMPUTED_VALUE"""),"Kevin Chappell")</f>
        <v>Kevin Chappell</v>
      </c>
      <c r="D54">
        <f ca="1">IFERROR(__xludf.DUMMYFUNCTION("""COMPUTED_VALUE"""),16)</f>
        <v>16</v>
      </c>
      <c r="E54">
        <f ca="1">IFERROR(__xludf.DUMMYFUNCTION("""COMPUTED_VALUE"""),37.5)</f>
        <v>37.5</v>
      </c>
      <c r="F54">
        <f ca="1">IFERROR(__xludf.DUMMYFUNCTION("""COMPUTED_VALUE"""),32)</f>
        <v>32</v>
      </c>
      <c r="G54">
        <f ca="1">IFERROR(__xludf.DUMMYFUNCTION("""COMPUTED_VALUE"""),12)</f>
        <v>12</v>
      </c>
    </row>
    <row r="55" spans="1:7" ht="12.75">
      <c r="A55" t="str">
        <f ca="1">IFERROR(__xludf.DUMMYFUNCTION("""COMPUTED_VALUE"""),"T52")</f>
        <v>T52</v>
      </c>
      <c r="B55" t="str">
        <f ca="1">IFERROR(__xludf.DUMMYFUNCTION("""COMPUTED_VALUE"""),"T51")</f>
        <v>T51</v>
      </c>
      <c r="C55" t="str">
        <f ca="1">IFERROR(__xludf.DUMMYFUNCTION("""COMPUTED_VALUE"""),"Satoshi Kodaira")</f>
        <v>Satoshi Kodaira</v>
      </c>
      <c r="D55">
        <f ca="1">IFERROR(__xludf.DUMMYFUNCTION("""COMPUTED_VALUE"""),12)</f>
        <v>12</v>
      </c>
      <c r="E55">
        <f ca="1">IFERROR(__xludf.DUMMYFUNCTION("""COMPUTED_VALUE"""),37.5)</f>
        <v>37.5</v>
      </c>
      <c r="F55">
        <f ca="1">IFERROR(__xludf.DUMMYFUNCTION("""COMPUTED_VALUE"""),32)</f>
        <v>32</v>
      </c>
      <c r="G55">
        <f ca="1">IFERROR(__xludf.DUMMYFUNCTION("""COMPUTED_VALUE"""),12)</f>
        <v>12</v>
      </c>
    </row>
    <row r="56" spans="1:7" ht="12.75">
      <c r="A56" t="str">
        <f ca="1">IFERROR(__xludf.DUMMYFUNCTION("""COMPUTED_VALUE"""),"T52")</f>
        <v>T52</v>
      </c>
      <c r="B56" t="str">
        <f ca="1">IFERROR(__xludf.DUMMYFUNCTION("""COMPUTED_VALUE"""),"T59")</f>
        <v>T59</v>
      </c>
      <c r="C56" t="str">
        <f ca="1">IFERROR(__xludf.DUMMYFUNCTION("""COMPUTED_VALUE"""),"Steve Lewton")</f>
        <v>Steve Lewton</v>
      </c>
      <c r="D56">
        <f ca="1">IFERROR(__xludf.DUMMYFUNCTION("""COMPUTED_VALUE"""),4)</f>
        <v>4</v>
      </c>
      <c r="E56">
        <f ca="1">IFERROR(__xludf.DUMMYFUNCTION("""COMPUTED_VALUE"""),37.5)</f>
        <v>37.5</v>
      </c>
      <c r="F56">
        <f ca="1">IFERROR(__xludf.DUMMYFUNCTION("""COMPUTED_VALUE"""),16)</f>
        <v>16</v>
      </c>
      <c r="G56">
        <f ca="1">IFERROR(__xludf.DUMMYFUNCTION("""COMPUTED_VALUE"""),6)</f>
        <v>6</v>
      </c>
    </row>
    <row r="57" spans="1:7" ht="12.75">
      <c r="A57" t="str">
        <f ca="1">IFERROR(__xludf.DUMMYFUNCTION("""COMPUTED_VALUE"""),"T52")</f>
        <v>T52</v>
      </c>
      <c r="B57" t="str">
        <f ca="1">IFERROR(__xludf.DUMMYFUNCTION("""COMPUTED_VALUE"""),"T59")</f>
        <v>T59</v>
      </c>
      <c r="C57" t="str">
        <f ca="1">IFERROR(__xludf.DUMMYFUNCTION("""COMPUTED_VALUE"""),"Lucas Herbert")</f>
        <v>Lucas Herbert</v>
      </c>
      <c r="D57">
        <f ca="1">IFERROR(__xludf.DUMMYFUNCTION("""COMPUTED_VALUE"""),4)</f>
        <v>4</v>
      </c>
      <c r="E57">
        <f ca="1">IFERROR(__xludf.DUMMYFUNCTION("""COMPUTED_VALUE"""),37.5)</f>
        <v>37.5</v>
      </c>
      <c r="F57">
        <f ca="1">IFERROR(__xludf.DUMMYFUNCTION("""COMPUTED_VALUE"""),16)</f>
        <v>16</v>
      </c>
      <c r="G57">
        <f ca="1">IFERROR(__xludf.DUMMYFUNCTION("""COMPUTED_VALUE"""),6)</f>
        <v>6</v>
      </c>
    </row>
    <row r="58" spans="1:7" ht="12.75">
      <c r="A58" t="str">
        <f ca="1">IFERROR(__xludf.DUMMYFUNCTION("""COMPUTED_VALUE"""),"T52")</f>
        <v>T52</v>
      </c>
      <c r="B58" t="str">
        <f ca="1">IFERROR(__xludf.DUMMYFUNCTION("""COMPUTED_VALUE"""),"T59")</f>
        <v>T59</v>
      </c>
      <c r="C58" t="str">
        <f ca="1">IFERROR(__xludf.DUMMYFUNCTION("""COMPUTED_VALUE"""),"Tyler McCumber")</f>
        <v>Tyler McCumber</v>
      </c>
      <c r="D58">
        <f ca="1">IFERROR(__xludf.DUMMYFUNCTION("""COMPUTED_VALUE"""),14)</f>
        <v>14</v>
      </c>
      <c r="E58">
        <f ca="1">IFERROR(__xludf.DUMMYFUNCTION("""COMPUTED_VALUE"""),37.5)</f>
        <v>37.5</v>
      </c>
      <c r="F58">
        <f ca="1">IFERROR(__xludf.DUMMYFUNCTION("""COMPUTED_VALUE"""),16)</f>
        <v>16</v>
      </c>
      <c r="G58">
        <f ca="1">IFERROR(__xludf.DUMMYFUNCTION("""COMPUTED_VALUE"""),6)</f>
        <v>6</v>
      </c>
    </row>
    <row r="59" spans="1:7" ht="12.75">
      <c r="A59" t="str">
        <f ca="1">IFERROR(__xludf.DUMMYFUNCTION("""COMPUTED_VALUE"""),"T52")</f>
        <v>T52</v>
      </c>
      <c r="B59" t="str">
        <f ca="1">IFERROR(__xludf.DUMMYFUNCTION("""COMPUTED_VALUE"""),"T59")</f>
        <v>T59</v>
      </c>
      <c r="C59" t="str">
        <f ca="1">IFERROR(__xludf.DUMMYFUNCTION("""COMPUTED_VALUE"""),"Chase Seiffert")</f>
        <v>Chase Seiffert</v>
      </c>
      <c r="D59">
        <f ca="1">IFERROR(__xludf.DUMMYFUNCTION("""COMPUTED_VALUE"""),14)</f>
        <v>14</v>
      </c>
      <c r="E59">
        <f ca="1">IFERROR(__xludf.DUMMYFUNCTION("""COMPUTED_VALUE"""),37.5)</f>
        <v>37.5</v>
      </c>
      <c r="F59">
        <f ca="1">IFERROR(__xludf.DUMMYFUNCTION("""COMPUTED_VALUE"""),24)</f>
        <v>24</v>
      </c>
      <c r="G59">
        <f ca="1">IFERROR(__xludf.DUMMYFUNCTION("""COMPUTED_VALUE"""),9)</f>
        <v>9</v>
      </c>
    </row>
    <row r="60" spans="1:7" ht="12.75">
      <c r="A60" t="str">
        <f ca="1">IFERROR(__xludf.DUMMYFUNCTION("""COMPUTED_VALUE"""),"T59")</f>
        <v>T59</v>
      </c>
      <c r="B60" t="str">
        <f ca="1">IFERROR(__xludf.DUMMYFUNCTION("""COMPUTED_VALUE"""),"T86")</f>
        <v>T86</v>
      </c>
      <c r="C60" t="str">
        <f ca="1">IFERROR(__xludf.DUMMYFUNCTION("""COMPUTED_VALUE"""),"Austin Cook")</f>
        <v>Austin Cook</v>
      </c>
      <c r="D60">
        <f ca="1">IFERROR(__xludf.DUMMYFUNCTION("""COMPUTED_VALUE"""),14)</f>
        <v>14</v>
      </c>
      <c r="E60">
        <f ca="1">IFERROR(__xludf.DUMMYFUNCTION("""COMPUTED_VALUE"""),37.25)</f>
        <v>37.25</v>
      </c>
      <c r="F60">
        <f ca="1">IFERROR(__xludf.DUMMYFUNCTION("""COMPUTED_VALUE"""),51)</f>
        <v>51</v>
      </c>
      <c r="G60">
        <f ca="1">IFERROR(__xludf.DUMMYFUNCTION("""COMPUTED_VALUE"""),19)</f>
        <v>19</v>
      </c>
    </row>
    <row r="61" spans="1:7" ht="12.75">
      <c r="A61" t="str">
        <f ca="1">IFERROR(__xludf.DUMMYFUNCTION("""COMPUTED_VALUE"""),"T59")</f>
        <v>T59</v>
      </c>
      <c r="B61">
        <f ca="1">IFERROR(__xludf.DUMMYFUNCTION("""COMPUTED_VALUE"""),58)</f>
        <v>58</v>
      </c>
      <c r="C61" t="str">
        <f ca="1">IFERROR(__xludf.DUMMYFUNCTION("""COMPUTED_VALUE"""),"Jason Day")</f>
        <v>Jason Day</v>
      </c>
      <c r="D61">
        <f ca="1">IFERROR(__xludf.DUMMYFUNCTION("""COMPUTED_VALUE"""),17)</f>
        <v>17</v>
      </c>
      <c r="E61">
        <f ca="1">IFERROR(__xludf.DUMMYFUNCTION("""COMPUTED_VALUE"""),37.25)</f>
        <v>37.25</v>
      </c>
      <c r="F61">
        <f ca="1">IFERROR(__xludf.DUMMYFUNCTION("""COMPUTED_VALUE"""),51)</f>
        <v>51</v>
      </c>
      <c r="G61">
        <f ca="1">IFERROR(__xludf.DUMMYFUNCTION("""COMPUTED_VALUE"""),19)</f>
        <v>19</v>
      </c>
    </row>
    <row r="62" spans="1:7" ht="12.75">
      <c r="A62">
        <f ca="1">IFERROR(__xludf.DUMMYFUNCTION("""COMPUTED_VALUE"""),61)</f>
        <v>61</v>
      </c>
      <c r="B62" t="str">
        <f ca="1">IFERROR(__xludf.DUMMYFUNCTION("""COMPUTED_VALUE"""),"T35")</f>
        <v>T35</v>
      </c>
      <c r="C62" t="str">
        <f ca="1">IFERROR(__xludf.DUMMYFUNCTION("""COMPUTED_VALUE"""),"Corey Conners")</f>
        <v>Corey Conners</v>
      </c>
      <c r="D62">
        <f ca="1">IFERROR(__xludf.DUMMYFUNCTION("""COMPUTED_VALUE"""),20)</f>
        <v>20</v>
      </c>
      <c r="E62">
        <f ca="1">IFERROR(__xludf.DUMMYFUNCTION("""COMPUTED_VALUE"""),37.21)</f>
        <v>37.21</v>
      </c>
      <c r="F62">
        <f ca="1">IFERROR(__xludf.DUMMYFUNCTION("""COMPUTED_VALUE"""),43)</f>
        <v>43</v>
      </c>
      <c r="G62">
        <f ca="1">IFERROR(__xludf.DUMMYFUNCTION("""COMPUTED_VALUE"""),16)</f>
        <v>16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IFERROR(__xludf.DUMMYFUNCTION("""COMPUTED_VALUE"""),65)</f>
        <v>65</v>
      </c>
      <c r="C63" t="str">
        <f ca="1">IFERROR(__xludf.DUMMYFUNCTION("""COMPUTED_VALUE"""),"Sungjae Im")</f>
        <v>Sungjae Im</v>
      </c>
      <c r="D63">
        <f ca="1">IFERROR(__xludf.DUMMYFUNCTION("""COMPUTED_VALUE"""),24)</f>
        <v>24</v>
      </c>
      <c r="E63">
        <f ca="1">IFERROR(__xludf.DUMMYFUNCTION("""COMPUTED_VALUE"""),37.18)</f>
        <v>37.18</v>
      </c>
      <c r="F63">
        <f ca="1">IFERROR(__xludf.DUMMYFUNCTION("""COMPUTED_VALUE"""),78)</f>
        <v>78</v>
      </c>
      <c r="G63">
        <f ca="1">IFERROR(__xludf.DUMMYFUNCTION("""COMPUTED_VALUE"""),29)</f>
        <v>29</v>
      </c>
    </row>
    <row r="64" spans="1:7" ht="12.75">
      <c r="A64">
        <f ca="1">IFERROR(__xludf.DUMMYFUNCTION("""COMPUTED_VALUE"""),63)</f>
        <v>63</v>
      </c>
      <c r="B64" t="str">
        <f ca="1">IFERROR(__xludf.DUMMYFUNCTION("""COMPUTED_VALUE"""),"T88")</f>
        <v>T88</v>
      </c>
      <c r="C64" t="str">
        <f ca="1">IFERROR(__xludf.DUMMYFUNCTION("""COMPUTED_VALUE"""),"Tyrrell Hatton")</f>
        <v>Tyrrell Hatton</v>
      </c>
      <c r="D64">
        <f ca="1">IFERROR(__xludf.DUMMYFUNCTION("""COMPUTED_VALUE"""),14)</f>
        <v>14</v>
      </c>
      <c r="E64">
        <f ca="1">IFERROR(__xludf.DUMMYFUNCTION("""COMPUTED_VALUE"""),37.14)</f>
        <v>37.14</v>
      </c>
      <c r="F64">
        <f ca="1">IFERROR(__xludf.DUMMYFUNCTION("""COMPUTED_VALUE"""),35)</f>
        <v>35</v>
      </c>
      <c r="G64">
        <f ca="1">IFERROR(__xludf.DUMMYFUNCTION("""COMPUTED_VALUE"""),13)</f>
        <v>13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IFERROR(__xludf.DUMMYFUNCTION("""COMPUTED_VALUE"""),64)</f>
        <v>64</v>
      </c>
      <c r="C65" t="str">
        <f ca="1">IFERROR(__xludf.DUMMYFUNCTION("""COMPUTED_VALUE"""),"Harry Higgs")</f>
        <v>Harry Higgs</v>
      </c>
      <c r="D65">
        <f ca="1">IFERROR(__xludf.DUMMYFUNCTION("""COMPUTED_VALUE"""),14)</f>
        <v>14</v>
      </c>
      <c r="E65">
        <f ca="1">IFERROR(__xludf.DUMMYFUNCTION("""COMPUTED_VALUE"""),36.96)</f>
        <v>36.96</v>
      </c>
      <c r="F65">
        <f ca="1">IFERROR(__xludf.DUMMYFUNCTION("""COMPUTED_VALUE"""),46)</f>
        <v>46</v>
      </c>
      <c r="G65">
        <f ca="1">IFERROR(__xludf.DUMMYFUNCTION("""COMPUTED_VALUE"""),17)</f>
        <v>17</v>
      </c>
    </row>
    <row r="66" spans="1:7" ht="12.75">
      <c r="A66" t="str">
        <f ca="1">IFERROR(__xludf.DUMMYFUNCTION("""COMPUTED_VALUE"""),"T65")</f>
        <v>T65</v>
      </c>
      <c r="B66">
        <f ca="1">IFERROR(__xludf.DUMMYFUNCTION("""COMPUTED_VALUE"""),66)</f>
        <v>66</v>
      </c>
      <c r="C66" t="str">
        <f ca="1">IFERROR(__xludf.DUMMYFUNCTION("""COMPUTED_VALUE"""),"Kevin Na")</f>
        <v>Kevin Na</v>
      </c>
      <c r="D66">
        <f ca="1">IFERROR(__xludf.DUMMYFUNCTION("""COMPUTED_VALUE"""),14)</f>
        <v>14</v>
      </c>
      <c r="E66">
        <f ca="1">IFERROR(__xludf.DUMMYFUNCTION("""COMPUTED_VALUE"""),36.84)</f>
        <v>36.840000000000003</v>
      </c>
      <c r="F66">
        <f ca="1">IFERROR(__xludf.DUMMYFUNCTION("""COMPUTED_VALUE"""),38)</f>
        <v>38</v>
      </c>
      <c r="G66">
        <f ca="1">IFERROR(__xludf.DUMMYFUNCTION("""COMPUTED_VALUE"""),14)</f>
        <v>14</v>
      </c>
    </row>
    <row r="67" spans="1:7" ht="12.75">
      <c r="A67" t="str">
        <f ca="1">IFERROR(__xludf.DUMMYFUNCTION("""COMPUTED_VALUE"""),"T65")</f>
        <v>T65</v>
      </c>
      <c r="B67" t="str">
        <f ca="1">IFERROR(__xludf.DUMMYFUNCTION("""COMPUTED_VALUE"""),"T55")</f>
        <v>T55</v>
      </c>
      <c r="C67" t="str">
        <f ca="1">IFERROR(__xludf.DUMMYFUNCTION("""COMPUTED_VALUE"""),"Jason Dufner")</f>
        <v>Jason Dufner</v>
      </c>
      <c r="D67">
        <f ca="1">IFERROR(__xludf.DUMMYFUNCTION("""COMPUTED_VALUE"""),14)</f>
        <v>14</v>
      </c>
      <c r="E67">
        <f ca="1">IFERROR(__xludf.DUMMYFUNCTION("""COMPUTED_VALUE"""),36.84)</f>
        <v>36.840000000000003</v>
      </c>
      <c r="F67">
        <f ca="1">IFERROR(__xludf.DUMMYFUNCTION("""COMPUTED_VALUE"""),38)</f>
        <v>38</v>
      </c>
      <c r="G67">
        <f ca="1">IFERROR(__xludf.DUMMYFUNCTION("""COMPUTED_VALUE"""),14)</f>
        <v>14</v>
      </c>
    </row>
    <row r="68" spans="1:7" ht="12.75">
      <c r="A68" t="str">
        <f ca="1">IFERROR(__xludf.DUMMYFUNCTION("""COMPUTED_VALUE"""),"T67")</f>
        <v>T67</v>
      </c>
      <c r="B68" t="str">
        <f ca="1">IFERROR(__xludf.DUMMYFUNCTION("""COMPUTED_VALUE"""),"T67")</f>
        <v>T67</v>
      </c>
      <c r="C68" t="str">
        <f ca="1">IFERROR(__xludf.DUMMYFUNCTION("""COMPUTED_VALUE"""),"Jeongwoo Ham")</f>
        <v>Jeongwoo Ham</v>
      </c>
      <c r="D68">
        <f ca="1">IFERROR(__xludf.DUMMYFUNCTION("""COMPUTED_VALUE"""),4)</f>
        <v>4</v>
      </c>
      <c r="E68">
        <f ca="1">IFERROR(__xludf.DUMMYFUNCTION("""COMPUTED_VALUE"""),36.36)</f>
        <v>36.36</v>
      </c>
      <c r="F68">
        <f ca="1">IFERROR(__xludf.DUMMYFUNCTION("""COMPUTED_VALUE"""),11)</f>
        <v>11</v>
      </c>
      <c r="G68">
        <f ca="1">IFERROR(__xludf.DUMMYFUNCTION("""COMPUTED_VALUE"""),4)</f>
        <v>4</v>
      </c>
    </row>
    <row r="69" spans="1:7" ht="12.75">
      <c r="A69" t="str">
        <f ca="1">IFERROR(__xludf.DUMMYFUNCTION("""COMPUTED_VALUE"""),"T67")</f>
        <v>T67</v>
      </c>
      <c r="B69" t="str">
        <f ca="1">IFERROR(__xludf.DUMMYFUNCTION("""COMPUTED_VALUE"""),"T67")</f>
        <v>T67</v>
      </c>
      <c r="C69" t="str">
        <f ca="1">IFERROR(__xludf.DUMMYFUNCTION("""COMPUTED_VALUE"""),"Naoki Sekito")</f>
        <v>Naoki Sekito</v>
      </c>
      <c r="D69">
        <f ca="1">IFERROR(__xludf.DUMMYFUNCTION("""COMPUTED_VALUE"""),4)</f>
        <v>4</v>
      </c>
      <c r="E69">
        <f ca="1">IFERROR(__xludf.DUMMYFUNCTION("""COMPUTED_VALUE"""),36.36)</f>
        <v>36.36</v>
      </c>
      <c r="F69">
        <f ca="1">IFERROR(__xludf.DUMMYFUNCTION("""COMPUTED_VALUE"""),11)</f>
        <v>11</v>
      </c>
      <c r="G69">
        <f ca="1">IFERROR(__xludf.DUMMYFUNCTION("""COMPUTED_VALUE"""),4)</f>
        <v>4</v>
      </c>
    </row>
    <row r="70" spans="1:7" ht="12.75">
      <c r="A70" t="str">
        <f ca="1">IFERROR(__xludf.DUMMYFUNCTION("""COMPUTED_VALUE"""),"T67")</f>
        <v>T67</v>
      </c>
      <c r="B70" t="str">
        <f ca="1">IFERROR(__xludf.DUMMYFUNCTION("""COMPUTED_VALUE"""),"T67")</f>
        <v>T67</v>
      </c>
      <c r="C70" t="str">
        <f ca="1">IFERROR(__xludf.DUMMYFUNCTION("""COMPUTED_VALUE"""),"Bryson DeChambeau")</f>
        <v>Bryson DeChambeau</v>
      </c>
      <c r="D70">
        <f ca="1">IFERROR(__xludf.DUMMYFUNCTION("""COMPUTED_VALUE"""),8)</f>
        <v>8</v>
      </c>
      <c r="E70">
        <f ca="1">IFERROR(__xludf.DUMMYFUNCTION("""COMPUTED_VALUE"""),36.36)</f>
        <v>36.36</v>
      </c>
      <c r="F70">
        <f ca="1">IFERROR(__xludf.DUMMYFUNCTION("""COMPUTED_VALUE"""),33)</f>
        <v>33</v>
      </c>
      <c r="G70">
        <f ca="1">IFERROR(__xludf.DUMMYFUNCTION("""COMPUTED_VALUE"""),12)</f>
        <v>12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IFERROR(__xludf.DUMMYFUNCTION("""COMPUTED_VALUE"""),72)</f>
        <v>72</v>
      </c>
      <c r="C71" t="str">
        <f ca="1">IFERROR(__xludf.DUMMYFUNCTION("""COMPUTED_VALUE"""),"Tommy Fleetwood")</f>
        <v>Tommy Fleetwood</v>
      </c>
      <c r="D71">
        <f ca="1">IFERROR(__xludf.DUMMYFUNCTION("""COMPUTED_VALUE"""),10)</f>
        <v>10</v>
      </c>
      <c r="E71">
        <f ca="1">IFERROR(__xludf.DUMMYFUNCTION("""COMPUTED_VALUE"""),36)</f>
        <v>36</v>
      </c>
      <c r="F71">
        <f ca="1">IFERROR(__xludf.DUMMYFUNCTION("""COMPUTED_VALUE"""),25)</f>
        <v>25</v>
      </c>
      <c r="G71">
        <f ca="1">IFERROR(__xludf.DUMMYFUNCTION("""COMPUTED_VALUE"""),9)</f>
        <v>9</v>
      </c>
    </row>
    <row r="72" spans="1:7" ht="12.75">
      <c r="A72">
        <f ca="1">IFERROR(__xludf.DUMMYFUNCTION("""COMPUTED_VALUE"""),71)</f>
        <v>71</v>
      </c>
      <c r="B72" t="str">
        <f ca="1">IFERROR(__xludf.DUMMYFUNCTION("""COMPUTED_VALUE"""),"T26")</f>
        <v>T26</v>
      </c>
      <c r="C72" t="str">
        <f ca="1">IFERROR(__xludf.DUMMYFUNCTION("""COMPUTED_VALUE"""),"Brice Garnett")</f>
        <v>Brice Garnett</v>
      </c>
      <c r="D72">
        <f ca="1">IFERROR(__xludf.DUMMYFUNCTION("""COMPUTED_VALUE"""),22)</f>
        <v>22</v>
      </c>
      <c r="E72">
        <f ca="1">IFERROR(__xludf.DUMMYFUNCTION("""COMPUTED_VALUE"""),35.9)</f>
        <v>35.9</v>
      </c>
      <c r="F72">
        <f ca="1">IFERROR(__xludf.DUMMYFUNCTION("""COMPUTED_VALUE"""),39)</f>
        <v>39</v>
      </c>
      <c r="G72">
        <f ca="1">IFERROR(__xludf.DUMMYFUNCTION("""COMPUTED_VALUE"""),14)</f>
        <v>14</v>
      </c>
    </row>
    <row r="73" spans="1:7" ht="12.75">
      <c r="A73">
        <f ca="1">IFERROR(__xludf.DUMMYFUNCTION("""COMPUTED_VALUE"""),72)</f>
        <v>72</v>
      </c>
      <c r="B73" t="str">
        <f ca="1">IFERROR(__xludf.DUMMYFUNCTION("""COMPUTED_VALUE"""),"T49")</f>
        <v>T49</v>
      </c>
      <c r="C73" t="str">
        <f ca="1">IFERROR(__xludf.DUMMYFUNCTION("""COMPUTED_VALUE"""),"Andrew Landry")</f>
        <v>Andrew Landry</v>
      </c>
      <c r="D73">
        <f ca="1">IFERROR(__xludf.DUMMYFUNCTION("""COMPUTED_VALUE"""),14)</f>
        <v>14</v>
      </c>
      <c r="E73">
        <f ca="1">IFERROR(__xludf.DUMMYFUNCTION("""COMPUTED_VALUE"""),35.48)</f>
        <v>35.479999999999997</v>
      </c>
      <c r="F73">
        <f ca="1">IFERROR(__xludf.DUMMYFUNCTION("""COMPUTED_VALUE"""),31)</f>
        <v>31</v>
      </c>
      <c r="G73">
        <f ca="1">IFERROR(__xludf.DUMMYFUNCTION("""COMPUTED_VALUE"""),11)</f>
        <v>11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IFERROR(__xludf.DUMMYFUNCTION("""COMPUTED_VALUE"""),32)</f>
        <v>32</v>
      </c>
      <c r="C74" t="str">
        <f ca="1">IFERROR(__xludf.DUMMYFUNCTION("""COMPUTED_VALUE"""),"C.T. Pan")</f>
        <v>C.T. Pan</v>
      </c>
      <c r="D74">
        <f ca="1">IFERROR(__xludf.DUMMYFUNCTION("""COMPUTED_VALUE"""),20)</f>
        <v>20</v>
      </c>
      <c r="E74">
        <f ca="1">IFERROR(__xludf.DUMMYFUNCTION("""COMPUTED_VALUE"""),35.42)</f>
        <v>35.42</v>
      </c>
      <c r="F74">
        <f ca="1">IFERROR(__xludf.DUMMYFUNCTION("""COMPUTED_VALUE"""),48)</f>
        <v>48</v>
      </c>
      <c r="G74">
        <f ca="1">IFERROR(__xludf.DUMMYFUNCTION("""COMPUTED_VALUE"""),17)</f>
        <v>17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IFERROR(__xludf.DUMMYFUNCTION("""COMPUTED_VALUE"""),"T76")</f>
        <v>T76</v>
      </c>
      <c r="C75" t="str">
        <f ca="1">IFERROR(__xludf.DUMMYFUNCTION("""COMPUTED_VALUE"""),"Rory McIlroy")</f>
        <v>Rory McIlroy</v>
      </c>
      <c r="D75">
        <f ca="1">IFERROR(__xludf.DUMMYFUNCTION("""COMPUTED_VALUE"""),12)</f>
        <v>12</v>
      </c>
      <c r="E75">
        <f ca="1">IFERROR(__xludf.DUMMYFUNCTION("""COMPUTED_VALUE"""),35.29)</f>
        <v>35.29</v>
      </c>
      <c r="F75">
        <f ca="1">IFERROR(__xludf.DUMMYFUNCTION("""COMPUTED_VALUE"""),34)</f>
        <v>34</v>
      </c>
      <c r="G75">
        <f ca="1">IFERROR(__xludf.DUMMYFUNCTION("""COMPUTED_VALUE"""),12)</f>
        <v>12</v>
      </c>
    </row>
    <row r="76" spans="1:7" ht="12.75">
      <c r="A76" t="str">
        <f ca="1">IFERROR(__xludf.DUMMYFUNCTION("""COMPUTED_VALUE"""),"T74")</f>
        <v>T74</v>
      </c>
      <c r="B76" t="str">
        <f ca="1">IFERROR(__xludf.DUMMYFUNCTION("""COMPUTED_VALUE"""),"T76")</f>
        <v>T76</v>
      </c>
      <c r="C76" t="str">
        <f ca="1">IFERROR(__xludf.DUMMYFUNCTION("""COMPUTED_VALUE"""),"Daniel Berger")</f>
        <v>Daniel Berger</v>
      </c>
      <c r="D76">
        <f ca="1">IFERROR(__xludf.DUMMYFUNCTION("""COMPUTED_VALUE"""),12)</f>
        <v>12</v>
      </c>
      <c r="E76">
        <f ca="1">IFERROR(__xludf.DUMMYFUNCTION("""COMPUTED_VALUE"""),35.29)</f>
        <v>35.29</v>
      </c>
      <c r="F76">
        <f ca="1">IFERROR(__xludf.DUMMYFUNCTION("""COMPUTED_VALUE"""),34)</f>
        <v>34</v>
      </c>
      <c r="G76">
        <f ca="1">IFERROR(__xludf.DUMMYFUNCTION("""COMPUTED_VALUE"""),12)</f>
        <v>12</v>
      </c>
    </row>
    <row r="77" spans="1:7" ht="12.75">
      <c r="A77" t="str">
        <f ca="1">IFERROR(__xludf.DUMMYFUNCTION("""COMPUTED_VALUE"""),"T74")</f>
        <v>T74</v>
      </c>
      <c r="B77" t="str">
        <f ca="1">IFERROR(__xludf.DUMMYFUNCTION("""COMPUTED_VALUE"""),"T88")</f>
        <v>T88</v>
      </c>
      <c r="C77" t="str">
        <f ca="1">IFERROR(__xludf.DUMMYFUNCTION("""COMPUTED_VALUE"""),"Harold Varner III")</f>
        <v>Harold Varner III</v>
      </c>
      <c r="D77">
        <f ca="1">IFERROR(__xludf.DUMMYFUNCTION("""COMPUTED_VALUE"""),14)</f>
        <v>14</v>
      </c>
      <c r="E77">
        <f ca="1">IFERROR(__xludf.DUMMYFUNCTION("""COMPUTED_VALUE"""),35.29)</f>
        <v>35.29</v>
      </c>
      <c r="F77">
        <f ca="1">IFERROR(__xludf.DUMMYFUNCTION("""COMPUTED_VALUE"""),34)</f>
        <v>34</v>
      </c>
      <c r="G77">
        <f ca="1">IFERROR(__xludf.DUMMYFUNCTION("""COMPUTED_VALUE"""),12)</f>
        <v>12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IFERROR(__xludf.DUMMYFUNCTION("""COMPUTED_VALUE"""),79)</f>
        <v>79</v>
      </c>
      <c r="C78" t="str">
        <f ca="1">IFERROR(__xludf.DUMMYFUNCTION("""COMPUTED_VALUE"""),"Chesson Hadley")</f>
        <v>Chesson Hadley</v>
      </c>
      <c r="D78">
        <f ca="1">IFERROR(__xludf.DUMMYFUNCTION("""COMPUTED_VALUE"""),16)</f>
        <v>16</v>
      </c>
      <c r="E78">
        <f ca="1">IFERROR(__xludf.DUMMYFUNCTION("""COMPUTED_VALUE"""),35.14)</f>
        <v>35.14</v>
      </c>
      <c r="F78">
        <f ca="1">IFERROR(__xludf.DUMMYFUNCTION("""COMPUTED_VALUE"""),37)</f>
        <v>37</v>
      </c>
      <c r="G78">
        <f ca="1">IFERROR(__xludf.DUMMYFUNCTION("""COMPUTED_VALUE"""),13)</f>
        <v>13</v>
      </c>
    </row>
    <row r="79" spans="1:7" ht="12.75">
      <c r="A79">
        <f ca="1">IFERROR(__xludf.DUMMYFUNCTION("""COMPUTED_VALUE"""),78)</f>
        <v>78</v>
      </c>
      <c r="B79" t="str">
        <f ca="1">IFERROR(__xludf.DUMMYFUNCTION("""COMPUTED_VALUE"""),"T80")</f>
        <v>T80</v>
      </c>
      <c r="C79" t="str">
        <f ca="1">IFERROR(__xludf.DUMMYFUNCTION("""COMPUTED_VALUE"""),"Ryo Ishikawa")</f>
        <v>Ryo Ishikawa</v>
      </c>
      <c r="D79">
        <f ca="1">IFERROR(__xludf.DUMMYFUNCTION("""COMPUTED_VALUE"""),8)</f>
        <v>8</v>
      </c>
      <c r="E79">
        <f ca="1">IFERROR(__xludf.DUMMYFUNCTION("""COMPUTED_VALUE"""),35)</f>
        <v>35</v>
      </c>
      <c r="F79">
        <f ca="1">IFERROR(__xludf.DUMMYFUNCTION("""COMPUTED_VALUE"""),20)</f>
        <v>20</v>
      </c>
      <c r="G79">
        <f ca="1">IFERROR(__xludf.DUMMYFUNCTION("""COMPUTED_VALUE"""),7)</f>
        <v>7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IFERROR(__xludf.DUMMYFUNCTION("""COMPUTED_VALUE"""),"T83")</f>
        <v>T83</v>
      </c>
      <c r="C80" t="str">
        <f ca="1">IFERROR(__xludf.DUMMYFUNCTION("""COMPUTED_VALUE"""),"Paul Casey")</f>
        <v>Paul Casey</v>
      </c>
      <c r="D80">
        <f ca="1">IFERROR(__xludf.DUMMYFUNCTION("""COMPUTED_VALUE"""),14)</f>
        <v>14</v>
      </c>
      <c r="E80">
        <f ca="1">IFERROR(__xludf.DUMMYFUNCTION("""COMPUTED_VALUE"""),34.62)</f>
        <v>34.619999999999997</v>
      </c>
      <c r="F80">
        <f ca="1">IFERROR(__xludf.DUMMYFUNCTION("""COMPUTED_VALUE"""),52)</f>
        <v>52</v>
      </c>
      <c r="G80">
        <f ca="1">IFERROR(__xludf.DUMMYFUNCTION("""COMPUTED_VALUE"""),18)</f>
        <v>18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IFERROR(__xludf.DUMMYFUNCTION("""COMPUTED_VALUE"""),"T83")</f>
        <v>T83</v>
      </c>
      <c r="C81" t="str">
        <f ca="1">IFERROR(__xludf.DUMMYFUNCTION("""COMPUTED_VALUE"""),"Wesley Bryan")</f>
        <v>Wesley Bryan</v>
      </c>
      <c r="D81">
        <f ca="1">IFERROR(__xludf.DUMMYFUNCTION("""COMPUTED_VALUE"""),8)</f>
        <v>8</v>
      </c>
      <c r="E81">
        <f ca="1">IFERROR(__xludf.DUMMYFUNCTION("""COMPUTED_VALUE"""),34.62)</f>
        <v>34.619999999999997</v>
      </c>
      <c r="F81">
        <f ca="1">IFERROR(__xludf.DUMMYFUNCTION("""COMPUTED_VALUE"""),26)</f>
        <v>26</v>
      </c>
      <c r="G81">
        <f ca="1">IFERROR(__xludf.DUMMYFUNCTION("""COMPUTED_VALUE"""),9)</f>
        <v>9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IFERROR(__xludf.DUMMYFUNCTION("""COMPUTED_VALUE"""),"T26")</f>
        <v>T26</v>
      </c>
      <c r="C82" t="str">
        <f ca="1">IFERROR(__xludf.DUMMYFUNCTION("""COMPUTED_VALUE"""),"Chris Kirk")</f>
        <v>Chris Kirk</v>
      </c>
      <c r="D82">
        <f ca="1">IFERROR(__xludf.DUMMYFUNCTION("""COMPUTED_VALUE"""),10)</f>
        <v>10</v>
      </c>
      <c r="E82">
        <f ca="1">IFERROR(__xludf.DUMMYFUNCTION("""COMPUTED_VALUE"""),34.48)</f>
        <v>34.479999999999997</v>
      </c>
      <c r="F82">
        <f ca="1">IFERROR(__xludf.DUMMYFUNCTION("""COMPUTED_VALUE"""),29)</f>
        <v>29</v>
      </c>
      <c r="G82">
        <f ca="1">IFERROR(__xludf.DUMMYFUNCTION("""COMPUTED_VALUE"""),10)</f>
        <v>10</v>
      </c>
    </row>
    <row r="83" spans="1:7" ht="12.75">
      <c r="A83">
        <f ca="1">IFERROR(__xludf.DUMMYFUNCTION("""COMPUTED_VALUE"""),82)</f>
        <v>82</v>
      </c>
      <c r="B83" t="str">
        <f ca="1">IFERROR(__xludf.DUMMYFUNCTION("""COMPUTED_VALUE"""),"T86")</f>
        <v>T86</v>
      </c>
      <c r="C83" t="str">
        <f ca="1">IFERROR(__xludf.DUMMYFUNCTION("""COMPUTED_VALUE"""),"Louis Oosthuizen")</f>
        <v>Louis Oosthuizen</v>
      </c>
      <c r="D83">
        <f ca="1">IFERROR(__xludf.DUMMYFUNCTION("""COMPUTED_VALUE"""),12)</f>
        <v>12</v>
      </c>
      <c r="E83">
        <f ca="1">IFERROR(__xludf.DUMMYFUNCTION("""COMPUTED_VALUE"""),34.29)</f>
        <v>34.29</v>
      </c>
      <c r="F83">
        <f ca="1">IFERROR(__xludf.DUMMYFUNCTION("""COMPUTED_VALUE"""),35)</f>
        <v>35</v>
      </c>
      <c r="G83">
        <f ca="1">IFERROR(__xludf.DUMMYFUNCTION("""COMPUTED_VALUE"""),12)</f>
        <v>12</v>
      </c>
    </row>
    <row r="84" spans="1:7" ht="12.75">
      <c r="A84">
        <f ca="1">IFERROR(__xludf.DUMMYFUNCTION("""COMPUTED_VALUE"""),83)</f>
        <v>83</v>
      </c>
      <c r="B84" t="str">
        <f ca="1">IFERROR(__xludf.DUMMYFUNCTION("""COMPUTED_VALUE"""),"T47")</f>
        <v>T47</v>
      </c>
      <c r="C84" t="str">
        <f ca="1">IFERROR(__xludf.DUMMYFUNCTION("""COMPUTED_VALUE"""),"Stewart Cink")</f>
        <v>Stewart Cink</v>
      </c>
      <c r="D84">
        <f ca="1">IFERROR(__xludf.DUMMYFUNCTION("""COMPUTED_VALUE"""),18)</f>
        <v>18</v>
      </c>
      <c r="E84">
        <f ca="1">IFERROR(__xludf.DUMMYFUNCTION("""COMPUTED_VALUE"""),34.21)</f>
        <v>34.21</v>
      </c>
      <c r="F84">
        <f ca="1">IFERROR(__xludf.DUMMYFUNCTION("""COMPUTED_VALUE"""),38)</f>
        <v>38</v>
      </c>
      <c r="G84">
        <f ca="1">IFERROR(__xludf.DUMMYFUNCTION("""COMPUTED_VALUE"""),13)</f>
        <v>13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IFERROR(__xludf.DUMMYFUNCTION("""COMPUTED_VALUE"""),42)</f>
        <v>42</v>
      </c>
      <c r="C85" t="str">
        <f ca="1">IFERROR(__xludf.DUMMYFUNCTION("""COMPUTED_VALUE"""),"Kevin Streelman")</f>
        <v>Kevin Streelman</v>
      </c>
      <c r="D85">
        <f ca="1">IFERROR(__xludf.DUMMYFUNCTION("""COMPUTED_VALUE"""),18)</f>
        <v>18</v>
      </c>
      <c r="E85">
        <f ca="1">IFERROR(__xludf.DUMMYFUNCTION("""COMPUTED_VALUE"""),34.09)</f>
        <v>34.090000000000003</v>
      </c>
      <c r="F85">
        <f ca="1">IFERROR(__xludf.DUMMYFUNCTION("""COMPUTED_VALUE"""),44)</f>
        <v>44</v>
      </c>
      <c r="G85">
        <f ca="1">IFERROR(__xludf.DUMMYFUNCTION("""COMPUTED_VALUE"""),15)</f>
        <v>15</v>
      </c>
    </row>
    <row r="86" spans="1:7" ht="12.75">
      <c r="A86" t="str">
        <f ca="1">IFERROR(__xludf.DUMMYFUNCTION("""COMPUTED_VALUE"""),"T85")</f>
        <v>T85</v>
      </c>
      <c r="B86" t="str">
        <f ca="1">IFERROR(__xludf.DUMMYFUNCTION("""COMPUTED_VALUE"""),"T76")</f>
        <v>T76</v>
      </c>
      <c r="C86" t="str">
        <f ca="1">IFERROR(__xludf.DUMMYFUNCTION("""COMPUTED_VALUE"""),"Alex Noren")</f>
        <v>Alex Noren</v>
      </c>
      <c r="D86">
        <f ca="1">IFERROR(__xludf.DUMMYFUNCTION("""COMPUTED_VALUE"""),14)</f>
        <v>14</v>
      </c>
      <c r="E86">
        <f ca="1">IFERROR(__xludf.DUMMYFUNCTION("""COMPUTED_VALUE"""),33.33)</f>
        <v>33.33</v>
      </c>
      <c r="F86">
        <f ca="1">IFERROR(__xludf.DUMMYFUNCTION("""COMPUTED_VALUE"""),39)</f>
        <v>39</v>
      </c>
      <c r="G86">
        <f ca="1">IFERROR(__xludf.DUMMYFUNCTION("""COMPUTED_VALUE"""),13)</f>
        <v>13</v>
      </c>
    </row>
    <row r="87" spans="1:7" ht="12.75">
      <c r="A87" t="str">
        <f ca="1">IFERROR(__xludf.DUMMYFUNCTION("""COMPUTED_VALUE"""),"T85")</f>
        <v>T85</v>
      </c>
      <c r="B87" t="str">
        <f ca="1">IFERROR(__xludf.DUMMYFUNCTION("""COMPUTED_VALUE"""),"T35")</f>
        <v>T35</v>
      </c>
      <c r="C87" t="str">
        <f ca="1">IFERROR(__xludf.DUMMYFUNCTION("""COMPUTED_VALUE"""),"David Hearn")</f>
        <v>David Hearn</v>
      </c>
      <c r="D87">
        <f ca="1">IFERROR(__xludf.DUMMYFUNCTION("""COMPUTED_VALUE"""),16)</f>
        <v>16</v>
      </c>
      <c r="E87">
        <f ca="1">IFERROR(__xludf.DUMMYFUNCTION("""COMPUTED_VALUE"""),33.33)</f>
        <v>33.33</v>
      </c>
      <c r="F87">
        <f ca="1">IFERROR(__xludf.DUMMYFUNCTION("""COMPUTED_VALUE"""),21)</f>
        <v>21</v>
      </c>
      <c r="G87">
        <f ca="1">IFERROR(__xludf.DUMMYFUNCTION("""COMPUTED_VALUE"""),7)</f>
        <v>7</v>
      </c>
    </row>
    <row r="88" spans="1:7" ht="12.75">
      <c r="A88" t="str">
        <f ca="1">IFERROR(__xludf.DUMMYFUNCTION("""COMPUTED_VALUE"""),"T85")</f>
        <v>T85</v>
      </c>
      <c r="B88" t="str">
        <f ca="1">IFERROR(__xludf.DUMMYFUNCTION("""COMPUTED_VALUE"""),"T88")</f>
        <v>T88</v>
      </c>
      <c r="C88" t="str">
        <f ca="1">IFERROR(__xludf.DUMMYFUNCTION("""COMPUTED_VALUE"""),"Tim Wilkinson")</f>
        <v>Tim Wilkinson</v>
      </c>
      <c r="D88">
        <f ca="1">IFERROR(__xludf.DUMMYFUNCTION("""COMPUTED_VALUE"""),12)</f>
        <v>12</v>
      </c>
      <c r="E88">
        <f ca="1">IFERROR(__xludf.DUMMYFUNCTION("""COMPUTED_VALUE"""),33.33)</f>
        <v>33.33</v>
      </c>
      <c r="F88">
        <f ca="1">IFERROR(__xludf.DUMMYFUNCTION("""COMPUTED_VALUE"""),12)</f>
        <v>12</v>
      </c>
      <c r="G88">
        <f ca="1">IFERROR(__xludf.DUMMYFUNCTION("""COMPUTED_VALUE"""),4)</f>
        <v>4</v>
      </c>
    </row>
    <row r="89" spans="1:7" ht="12.75">
      <c r="A89" t="str">
        <f ca="1">IFERROR(__xludf.DUMMYFUNCTION("""COMPUTED_VALUE"""),"T85")</f>
        <v>T85</v>
      </c>
      <c r="B89" t="str">
        <f ca="1">IFERROR(__xludf.DUMMYFUNCTION("""COMPUTED_VALUE"""),"")</f>
        <v/>
      </c>
      <c r="C89" t="str">
        <f ca="1">IFERROR(__xludf.DUMMYFUNCTION("""COMPUTED_VALUE"""),"Greg Chalmers")</f>
        <v>Greg Chalmers</v>
      </c>
      <c r="D89">
        <f ca="1">IFERROR(__xludf.DUMMYFUNCTION("""COMPUTED_VALUE"""),6)</f>
        <v>6</v>
      </c>
      <c r="E89">
        <f ca="1">IFERROR(__xludf.DUMMYFUNCTION("""COMPUTED_VALUE"""),33.33)</f>
        <v>33.33</v>
      </c>
      <c r="F89">
        <f ca="1">IFERROR(__xludf.DUMMYFUNCTION("""COMPUTED_VALUE"""),18)</f>
        <v>18</v>
      </c>
      <c r="G89">
        <f ca="1">IFERROR(__xludf.DUMMYFUNCTION("""COMPUTED_VALUE"""),6)</f>
        <v>6</v>
      </c>
    </row>
    <row r="90" spans="1:7" ht="12.75">
      <c r="A90" t="str">
        <f ca="1">IFERROR(__xludf.DUMMYFUNCTION("""COMPUTED_VALUE"""),"T85")</f>
        <v>T85</v>
      </c>
      <c r="B90" t="str">
        <f ca="1">IFERROR(__xludf.DUMMYFUNCTION("""COMPUTED_VALUE"""),"T88")</f>
        <v>T88</v>
      </c>
      <c r="C90" t="str">
        <f ca="1">IFERROR(__xludf.DUMMYFUNCTION("""COMPUTED_VALUE"""),"Ricky Barnes")</f>
        <v>Ricky Barnes</v>
      </c>
      <c r="D90">
        <f ca="1">IFERROR(__xludf.DUMMYFUNCTION("""COMPUTED_VALUE"""),12)</f>
        <v>12</v>
      </c>
      <c r="E90">
        <f ca="1">IFERROR(__xludf.DUMMYFUNCTION("""COMPUTED_VALUE"""),33.33)</f>
        <v>33.33</v>
      </c>
      <c r="F90">
        <f ca="1">IFERROR(__xludf.DUMMYFUNCTION("""COMPUTED_VALUE"""),12)</f>
        <v>12</v>
      </c>
      <c r="G90">
        <f ca="1">IFERROR(__xludf.DUMMYFUNCTION("""COMPUTED_VALUE"""),4)</f>
        <v>4</v>
      </c>
    </row>
    <row r="91" spans="1:7" ht="12.75">
      <c r="A91" t="str">
        <f ca="1">IFERROR(__xludf.DUMMYFUNCTION("""COMPUTED_VALUE"""),"T85")</f>
        <v>T85</v>
      </c>
      <c r="B91" t="str">
        <f ca="1">IFERROR(__xludf.DUMMYFUNCTION("""COMPUTED_VALUE"""),"T88")</f>
        <v>T88</v>
      </c>
      <c r="C91" t="str">
        <f ca="1">IFERROR(__xludf.DUMMYFUNCTION("""COMPUTED_VALUE"""),"Brendon Todd")</f>
        <v>Brendon Todd</v>
      </c>
      <c r="D91">
        <f ca="1">IFERROR(__xludf.DUMMYFUNCTION("""COMPUTED_VALUE"""),14)</f>
        <v>14</v>
      </c>
      <c r="E91">
        <f ca="1">IFERROR(__xludf.DUMMYFUNCTION("""COMPUTED_VALUE"""),33.33)</f>
        <v>33.33</v>
      </c>
      <c r="F91">
        <f ca="1">IFERROR(__xludf.DUMMYFUNCTION("""COMPUTED_VALUE"""),30)</f>
        <v>30</v>
      </c>
      <c r="G91">
        <f ca="1">IFERROR(__xludf.DUMMYFUNCTION("""COMPUTED_VALUE"""),10)</f>
        <v>10</v>
      </c>
    </row>
    <row r="92" spans="1:7" ht="12.75">
      <c r="A92" t="str">
        <f ca="1">IFERROR(__xludf.DUMMYFUNCTION("""COMPUTED_VALUE"""),"T85")</f>
        <v>T85</v>
      </c>
      <c r="B92" t="str">
        <f ca="1">IFERROR(__xludf.DUMMYFUNCTION("""COMPUTED_VALUE"""),"T215")</f>
        <v>T215</v>
      </c>
      <c r="C92" t="str">
        <f ca="1">IFERROR(__xludf.DUMMYFUNCTION("""COMPUTED_VALUE"""),"Scott Stallings")</f>
        <v>Scott Stallings</v>
      </c>
      <c r="D92">
        <f ca="1">IFERROR(__xludf.DUMMYFUNCTION("""COMPUTED_VALUE"""),14)</f>
        <v>14</v>
      </c>
      <c r="E92">
        <f ca="1">IFERROR(__xludf.DUMMYFUNCTION("""COMPUTED_VALUE"""),33.33)</f>
        <v>33.33</v>
      </c>
      <c r="F92">
        <f ca="1">IFERROR(__xludf.DUMMYFUNCTION("""COMPUTED_VALUE"""),21)</f>
        <v>21</v>
      </c>
      <c r="G92">
        <f ca="1">IFERROR(__xludf.DUMMYFUNCTION("""COMPUTED_VALUE"""),7)</f>
        <v>7</v>
      </c>
    </row>
    <row r="93" spans="1:7" ht="12.75">
      <c r="A93" t="str">
        <f ca="1">IFERROR(__xludf.DUMMYFUNCTION("""COMPUTED_VALUE"""),"T85")</f>
        <v>T85</v>
      </c>
      <c r="B93" t="str">
        <f ca="1">IFERROR(__xludf.DUMMYFUNCTION("""COMPUTED_VALUE"""),"T88")</f>
        <v>T88</v>
      </c>
      <c r="C93" t="str">
        <f ca="1">IFERROR(__xludf.DUMMYFUNCTION("""COMPUTED_VALUE"""),"Billy Horschel")</f>
        <v>Billy Horschel</v>
      </c>
      <c r="D93">
        <f ca="1">IFERROR(__xludf.DUMMYFUNCTION("""COMPUTED_VALUE"""),12)</f>
        <v>12</v>
      </c>
      <c r="E93">
        <f ca="1">IFERROR(__xludf.DUMMYFUNCTION("""COMPUTED_VALUE"""),33.33)</f>
        <v>33.33</v>
      </c>
      <c r="F93">
        <f ca="1">IFERROR(__xludf.DUMMYFUNCTION("""COMPUTED_VALUE"""),27)</f>
        <v>27</v>
      </c>
      <c r="G93">
        <f ca="1">IFERROR(__xludf.DUMMYFUNCTION("""COMPUTED_VALUE"""),9)</f>
        <v>9</v>
      </c>
    </row>
    <row r="94" spans="1:7" ht="12.75">
      <c r="A94" t="str">
        <f ca="1">IFERROR(__xludf.DUMMYFUNCTION("""COMPUTED_VALUE"""),"T85")</f>
        <v>T85</v>
      </c>
      <c r="B94" t="str">
        <f ca="1">IFERROR(__xludf.DUMMYFUNCTION("""COMPUTED_VALUE"""),"T88")</f>
        <v>T88</v>
      </c>
      <c r="C94" t="str">
        <f ca="1">IFERROR(__xludf.DUMMYFUNCTION("""COMPUTED_VALUE"""),"Takumi Kanaya")</f>
        <v>Takumi Kanaya</v>
      </c>
      <c r="D94">
        <f ca="1">IFERROR(__xludf.DUMMYFUNCTION("""COMPUTED_VALUE"""),6)</f>
        <v>6</v>
      </c>
      <c r="E94">
        <f ca="1">IFERROR(__xludf.DUMMYFUNCTION("""COMPUTED_VALUE"""),33.33)</f>
        <v>33.33</v>
      </c>
      <c r="F94">
        <f ca="1">IFERROR(__xludf.DUMMYFUNCTION("""COMPUTED_VALUE"""),15)</f>
        <v>15</v>
      </c>
      <c r="G94">
        <f ca="1">IFERROR(__xludf.DUMMYFUNCTION("""COMPUTED_VALUE"""),5)</f>
        <v>5</v>
      </c>
    </row>
    <row r="95" spans="1:7" ht="12.75">
      <c r="A95" t="str">
        <f ca="1">IFERROR(__xludf.DUMMYFUNCTION("""COMPUTED_VALUE"""),"T85")</f>
        <v>T85</v>
      </c>
      <c r="B95" t="str">
        <f ca="1">IFERROR(__xludf.DUMMYFUNCTION("""COMPUTED_VALUE"""),"T88")</f>
        <v>T88</v>
      </c>
      <c r="C95" t="str">
        <f ca="1">IFERROR(__xludf.DUMMYFUNCTION("""COMPUTED_VALUE"""),"George Markham")</f>
        <v>George Markham</v>
      </c>
      <c r="D95">
        <f ca="1">IFERROR(__xludf.DUMMYFUNCTION("""COMPUTED_VALUE"""),4)</f>
        <v>4</v>
      </c>
      <c r="E95">
        <f ca="1">IFERROR(__xludf.DUMMYFUNCTION("""COMPUTED_VALUE"""),33.33)</f>
        <v>33.33</v>
      </c>
      <c r="F95">
        <f ca="1">IFERROR(__xludf.DUMMYFUNCTION("""COMPUTED_VALUE"""),18)</f>
        <v>18</v>
      </c>
      <c r="G95">
        <f ca="1">IFERROR(__xludf.DUMMYFUNCTION("""COMPUTED_VALUE"""),6)</f>
        <v>6</v>
      </c>
    </row>
    <row r="96" spans="1:7" ht="12.75">
      <c r="A96" t="str">
        <f ca="1">IFERROR(__xludf.DUMMYFUNCTION("""COMPUTED_VALUE"""),"T85")</f>
        <v>T85</v>
      </c>
      <c r="B96" t="str">
        <f ca="1">IFERROR(__xludf.DUMMYFUNCTION("""COMPUTED_VALUE"""),"T80")</f>
        <v>T80</v>
      </c>
      <c r="C96" t="str">
        <f ca="1">IFERROR(__xludf.DUMMYFUNCTION("""COMPUTED_VALUE"""),"Martin Trainer")</f>
        <v>Martin Trainer</v>
      </c>
      <c r="D96">
        <f ca="1">IFERROR(__xludf.DUMMYFUNCTION("""COMPUTED_VALUE"""),10)</f>
        <v>10</v>
      </c>
      <c r="E96">
        <f ca="1">IFERROR(__xludf.DUMMYFUNCTION("""COMPUTED_VALUE"""),33.33)</f>
        <v>33.33</v>
      </c>
      <c r="F96">
        <f ca="1">IFERROR(__xludf.DUMMYFUNCTION("""COMPUTED_VALUE"""),27)</f>
        <v>27</v>
      </c>
      <c r="G96">
        <f ca="1">IFERROR(__xludf.DUMMYFUNCTION("""COMPUTED_VALUE"""),9)</f>
        <v>9</v>
      </c>
    </row>
    <row r="97" spans="1:7" ht="12.75">
      <c r="A97" t="str">
        <f ca="1">IFERROR(__xludf.DUMMYFUNCTION("""COMPUTED_VALUE"""),"T85")</f>
        <v>T85</v>
      </c>
      <c r="B97" t="str">
        <f ca="1">IFERROR(__xludf.DUMMYFUNCTION("""COMPUTED_VALUE"""),"T148")</f>
        <v>T148</v>
      </c>
      <c r="C97" t="str">
        <f ca="1">IFERROR(__xludf.DUMMYFUNCTION("""COMPUTED_VALUE"""),"Max Homa")</f>
        <v>Max Homa</v>
      </c>
      <c r="D97">
        <f ca="1">IFERROR(__xludf.DUMMYFUNCTION("""COMPUTED_VALUE"""),12)</f>
        <v>12</v>
      </c>
      <c r="E97">
        <f ca="1">IFERROR(__xludf.DUMMYFUNCTION("""COMPUTED_VALUE"""),33.33)</f>
        <v>33.33</v>
      </c>
      <c r="F97">
        <f ca="1">IFERROR(__xludf.DUMMYFUNCTION("""COMPUTED_VALUE"""),21)</f>
        <v>21</v>
      </c>
      <c r="G97">
        <f ca="1">IFERROR(__xludf.DUMMYFUNCTION("""COMPUTED_VALUE"""),7)</f>
        <v>7</v>
      </c>
    </row>
    <row r="98" spans="1:7" ht="12.75">
      <c r="A98" t="str">
        <f ca="1">IFERROR(__xludf.DUMMYFUNCTION("""COMPUTED_VALUE"""),"T97")</f>
        <v>T97</v>
      </c>
      <c r="B98">
        <f ca="1">IFERROR(__xludf.DUMMYFUNCTION("""COMPUTED_VALUE"""),100)</f>
        <v>100</v>
      </c>
      <c r="C98" t="str">
        <f ca="1">IFERROR(__xludf.DUMMYFUNCTION("""COMPUTED_VALUE"""),"Abraham Ancer")</f>
        <v>Abraham Ancer</v>
      </c>
      <c r="D98">
        <f ca="1">IFERROR(__xludf.DUMMYFUNCTION("""COMPUTED_VALUE"""),16)</f>
        <v>16</v>
      </c>
      <c r="E98">
        <f ca="1">IFERROR(__xludf.DUMMYFUNCTION("""COMPUTED_VALUE"""),32.56)</f>
        <v>32.56</v>
      </c>
      <c r="F98">
        <f ca="1">IFERROR(__xludf.DUMMYFUNCTION("""COMPUTED_VALUE"""),43)</f>
        <v>43</v>
      </c>
      <c r="G98">
        <f ca="1">IFERROR(__xludf.DUMMYFUNCTION("""COMPUTED_VALUE"""),14)</f>
        <v>14</v>
      </c>
    </row>
    <row r="99" spans="1:7" ht="12.75">
      <c r="A99" t="str">
        <f ca="1">IFERROR(__xludf.DUMMYFUNCTION("""COMPUTED_VALUE"""),"T97")</f>
        <v>T97</v>
      </c>
      <c r="B99" t="str">
        <f ca="1">IFERROR(__xludf.DUMMYFUNCTION("""COMPUTED_VALUE"""),"T101")</f>
        <v>T101</v>
      </c>
      <c r="C99" t="str">
        <f ca="1">IFERROR(__xludf.DUMMYFUNCTION("""COMPUTED_VALUE"""),"Dylan Frittelli")</f>
        <v>Dylan Frittelli</v>
      </c>
      <c r="D99">
        <f ca="1">IFERROR(__xludf.DUMMYFUNCTION("""COMPUTED_VALUE"""),16)</f>
        <v>16</v>
      </c>
      <c r="E99">
        <f ca="1">IFERROR(__xludf.DUMMYFUNCTION("""COMPUTED_VALUE"""),32.56)</f>
        <v>32.56</v>
      </c>
      <c r="F99">
        <f ca="1">IFERROR(__xludf.DUMMYFUNCTION("""COMPUTED_VALUE"""),43)</f>
        <v>43</v>
      </c>
      <c r="G99">
        <f ca="1">IFERROR(__xludf.DUMMYFUNCTION("""COMPUTED_VALUE"""),14)</f>
        <v>14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IFERROR(__xludf.DUMMYFUNCTION("""COMPUTED_VALUE"""),"T101")</f>
        <v>T101</v>
      </c>
      <c r="C100" t="str">
        <f ca="1">IFERROR(__xludf.DUMMYFUNCTION("""COMPUTED_VALUE"""),"Xander Schauffele")</f>
        <v>Xander Schauffele</v>
      </c>
      <c r="D100">
        <f ca="1">IFERROR(__xludf.DUMMYFUNCTION("""COMPUTED_VALUE"""),12)</f>
        <v>12</v>
      </c>
      <c r="E100">
        <f ca="1">IFERROR(__xludf.DUMMYFUNCTION("""COMPUTED_VALUE"""),32.5)</f>
        <v>32.5</v>
      </c>
      <c r="F100">
        <f ca="1">IFERROR(__xludf.DUMMYFUNCTION("""COMPUTED_VALUE"""),40)</f>
        <v>40</v>
      </c>
      <c r="G100">
        <f ca="1">IFERROR(__xludf.DUMMYFUNCTION("""COMPUTED_VALUE"""),13)</f>
        <v>13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IFERROR(__xludf.DUMMYFUNCTION("""COMPUTED_VALUE"""),43)</f>
        <v>43</v>
      </c>
      <c r="C101" t="str">
        <f ca="1">IFERROR(__xludf.DUMMYFUNCTION("""COMPUTED_VALUE"""),"Will Gordon")</f>
        <v>Will Gordon</v>
      </c>
      <c r="D101">
        <f ca="1">IFERROR(__xludf.DUMMYFUNCTION("""COMPUTED_VALUE"""),20)</f>
        <v>20</v>
      </c>
      <c r="E101">
        <f ca="1">IFERROR(__xludf.DUMMYFUNCTION("""COMPUTED_VALUE"""),32.43)</f>
        <v>32.43</v>
      </c>
      <c r="F101">
        <f ca="1">IFERROR(__xludf.DUMMYFUNCTION("""COMPUTED_VALUE"""),37)</f>
        <v>37</v>
      </c>
      <c r="G101">
        <f ca="1">IFERROR(__xludf.DUMMYFUNCTION("""COMPUTED_VALUE"""),12)</f>
        <v>12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IFERROR(__xludf.DUMMYFUNCTION("""COMPUTED_VALUE"""),106)</f>
        <v>106</v>
      </c>
      <c r="C102" t="str">
        <f ca="1">IFERROR(__xludf.DUMMYFUNCTION("""COMPUTED_VALUE"""),"Sebastián Muñoz")</f>
        <v>Sebastián Muñoz</v>
      </c>
      <c r="D102">
        <f ca="1">IFERROR(__xludf.DUMMYFUNCTION("""COMPUTED_VALUE"""),20)</f>
        <v>20</v>
      </c>
      <c r="E102">
        <f ca="1">IFERROR(__xludf.DUMMYFUNCTION("""COMPUTED_VALUE"""),32.08)</f>
        <v>32.08</v>
      </c>
      <c r="F102">
        <f ca="1">IFERROR(__xludf.DUMMYFUNCTION("""COMPUTED_VALUE"""),53)</f>
        <v>53</v>
      </c>
      <c r="G102">
        <f ca="1">IFERROR(__xludf.DUMMYFUNCTION("""COMPUTED_VALUE"""),17)</f>
        <v>17</v>
      </c>
    </row>
    <row r="103" spans="1:7" ht="12.75">
      <c r="A103" t="str">
        <f ca="1">IFERROR(__xludf.DUMMYFUNCTION("""COMPUTED_VALUE"""),"T102")</f>
        <v>T102</v>
      </c>
      <c r="B103" t="str">
        <f ca="1">IFERROR(__xludf.DUMMYFUNCTION("""COMPUTED_VALUE"""),"T107")</f>
        <v>T107</v>
      </c>
      <c r="C103" t="str">
        <f ca="1">IFERROR(__xludf.DUMMYFUNCTION("""COMPUTED_VALUE"""),"Cameron Smith")</f>
        <v>Cameron Smith</v>
      </c>
      <c r="D103">
        <f ca="1">IFERROR(__xludf.DUMMYFUNCTION("""COMPUTED_VALUE"""),16)</f>
        <v>16</v>
      </c>
      <c r="E103">
        <f ca="1">IFERROR(__xludf.DUMMYFUNCTION("""COMPUTED_VALUE"""),32)</f>
        <v>32</v>
      </c>
      <c r="F103">
        <f ca="1">IFERROR(__xludf.DUMMYFUNCTION("""COMPUTED_VALUE"""),50)</f>
        <v>50</v>
      </c>
      <c r="G103">
        <f ca="1">IFERROR(__xludf.DUMMYFUNCTION("""COMPUTED_VALUE"""),16)</f>
        <v>16</v>
      </c>
    </row>
    <row r="104" spans="1:7" ht="12.75">
      <c r="A104" t="str">
        <f ca="1">IFERROR(__xludf.DUMMYFUNCTION("""COMPUTED_VALUE"""),"T102")</f>
        <v>T102</v>
      </c>
      <c r="B104">
        <f ca="1">IFERROR(__xludf.DUMMYFUNCTION("""COMPUTED_VALUE"""),195)</f>
        <v>195</v>
      </c>
      <c r="C104" t="str">
        <f ca="1">IFERROR(__xludf.DUMMYFUNCTION("""COMPUTED_VALUE"""),"Sam Ryder")</f>
        <v>Sam Ryder</v>
      </c>
      <c r="D104">
        <f ca="1">IFERROR(__xludf.DUMMYFUNCTION("""COMPUTED_VALUE"""),12)</f>
        <v>12</v>
      </c>
      <c r="E104">
        <f ca="1">IFERROR(__xludf.DUMMYFUNCTION("""COMPUTED_VALUE"""),32)</f>
        <v>32</v>
      </c>
      <c r="F104">
        <f ca="1">IFERROR(__xludf.DUMMYFUNCTION("""COMPUTED_VALUE"""),25)</f>
        <v>25</v>
      </c>
      <c r="G104">
        <f ca="1">IFERROR(__xludf.DUMMYFUNCTION("""COMPUTED_VALUE"""),8)</f>
        <v>8</v>
      </c>
    </row>
    <row r="105" spans="1:7" ht="12.75">
      <c r="A105">
        <f ca="1">IFERROR(__xludf.DUMMYFUNCTION("""COMPUTED_VALUE"""),104)</f>
        <v>104</v>
      </c>
      <c r="B105" t="str">
        <f ca="1">IFERROR(__xludf.DUMMYFUNCTION("""COMPUTED_VALUE"""),"T109")</f>
        <v>T109</v>
      </c>
      <c r="C105" t="str">
        <f ca="1">IFERROR(__xludf.DUMMYFUNCTION("""COMPUTED_VALUE"""),"Doug Ghim")</f>
        <v>Doug Ghim</v>
      </c>
      <c r="D105">
        <f ca="1">IFERROR(__xludf.DUMMYFUNCTION("""COMPUTED_VALUE"""),14)</f>
        <v>14</v>
      </c>
      <c r="E105">
        <f ca="1">IFERROR(__xludf.DUMMYFUNCTION("""COMPUTED_VALUE"""),31.82)</f>
        <v>31.82</v>
      </c>
      <c r="F105">
        <f ca="1">IFERROR(__xludf.DUMMYFUNCTION("""COMPUTED_VALUE"""),22)</f>
        <v>22</v>
      </c>
      <c r="G105">
        <f ca="1">IFERROR(__xludf.DUMMYFUNCTION("""COMPUTED_VALUE"""),7)</f>
        <v>7</v>
      </c>
    </row>
    <row r="106" spans="1:7" ht="12.75">
      <c r="A106" t="str">
        <f ca="1">IFERROR(__xludf.DUMMYFUNCTION("""COMPUTED_VALUE"""),"T105")</f>
        <v>T105</v>
      </c>
      <c r="B106" t="str">
        <f ca="1">IFERROR(__xludf.DUMMYFUNCTION("""COMPUTED_VALUE"""),"T111")</f>
        <v>T111</v>
      </c>
      <c r="C106" t="str">
        <f ca="1">IFERROR(__xludf.DUMMYFUNCTION("""COMPUTED_VALUE"""),"Rickie Fowler")</f>
        <v>Rickie Fowler</v>
      </c>
      <c r="D106">
        <f ca="1">IFERROR(__xludf.DUMMYFUNCTION("""COMPUTED_VALUE"""),14)</f>
        <v>14</v>
      </c>
      <c r="E106">
        <f ca="1">IFERROR(__xludf.DUMMYFUNCTION("""COMPUTED_VALUE"""),31.58)</f>
        <v>31.58</v>
      </c>
      <c r="F106">
        <f ca="1">IFERROR(__xludf.DUMMYFUNCTION("""COMPUTED_VALUE"""),38)</f>
        <v>38</v>
      </c>
      <c r="G106">
        <f ca="1">IFERROR(__xludf.DUMMYFUNCTION("""COMPUTED_VALUE"""),12)</f>
        <v>12</v>
      </c>
    </row>
    <row r="107" spans="1:7" ht="12.75">
      <c r="A107" t="str">
        <f ca="1">IFERROR(__xludf.DUMMYFUNCTION("""COMPUTED_VALUE"""),"T105")</f>
        <v>T105</v>
      </c>
      <c r="B107">
        <f ca="1">IFERROR(__xludf.DUMMYFUNCTION("""COMPUTED_VALUE"""),99)</f>
        <v>99</v>
      </c>
      <c r="C107" t="str">
        <f ca="1">IFERROR(__xludf.DUMMYFUNCTION("""COMPUTED_VALUE"""),"Hideki Matsuyama")</f>
        <v>Hideki Matsuyama</v>
      </c>
      <c r="D107">
        <f ca="1">IFERROR(__xludf.DUMMYFUNCTION("""COMPUTED_VALUE"""),18)</f>
        <v>18</v>
      </c>
      <c r="E107">
        <f ca="1">IFERROR(__xludf.DUMMYFUNCTION("""COMPUTED_VALUE"""),31.58)</f>
        <v>31.58</v>
      </c>
      <c r="F107">
        <f ca="1">IFERROR(__xludf.DUMMYFUNCTION("""COMPUTED_VALUE"""),57)</f>
        <v>57</v>
      </c>
      <c r="G107">
        <f ca="1">IFERROR(__xludf.DUMMYFUNCTION("""COMPUTED_VALUE"""),18)</f>
        <v>18</v>
      </c>
    </row>
    <row r="108" spans="1:7" ht="12.75">
      <c r="A108" t="str">
        <f ca="1">IFERROR(__xludf.DUMMYFUNCTION("""COMPUTED_VALUE"""),"T105")</f>
        <v>T105</v>
      </c>
      <c r="B108" t="str">
        <f ca="1">IFERROR(__xludf.DUMMYFUNCTION("""COMPUTED_VALUE"""),"T111")</f>
        <v>T111</v>
      </c>
      <c r="C108" t="str">
        <f ca="1">IFERROR(__xludf.DUMMYFUNCTION("""COMPUTED_VALUE"""),"Cameron Percy")</f>
        <v>Cameron Percy</v>
      </c>
      <c r="D108">
        <f ca="1">IFERROR(__xludf.DUMMYFUNCTION("""COMPUTED_VALUE"""),16)</f>
        <v>16</v>
      </c>
      <c r="E108">
        <f ca="1">IFERROR(__xludf.DUMMYFUNCTION("""COMPUTED_VALUE"""),31.58)</f>
        <v>31.58</v>
      </c>
      <c r="F108">
        <f ca="1">IFERROR(__xludf.DUMMYFUNCTION("""COMPUTED_VALUE"""),19)</f>
        <v>19</v>
      </c>
      <c r="G108">
        <f ca="1">IFERROR(__xludf.DUMMYFUNCTION("""COMPUTED_VALUE"""),6)</f>
        <v>6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IFERROR(__xludf.DUMMYFUNCTION("""COMPUTED_VALUE"""),82)</f>
        <v>82</v>
      </c>
      <c r="C109" t="str">
        <f ca="1">IFERROR(__xludf.DUMMYFUNCTION("""COMPUTED_VALUE"""),"Sean O'Hair")</f>
        <v>Sean O'Hair</v>
      </c>
      <c r="D109">
        <f ca="1">IFERROR(__xludf.DUMMYFUNCTION("""COMPUTED_VALUE"""),14)</f>
        <v>14</v>
      </c>
      <c r="E109">
        <f ca="1">IFERROR(__xludf.DUMMYFUNCTION("""COMPUTED_VALUE"""),31.43)</f>
        <v>31.43</v>
      </c>
      <c r="F109">
        <f ca="1">IFERROR(__xludf.DUMMYFUNCTION("""COMPUTED_VALUE"""),35)</f>
        <v>35</v>
      </c>
      <c r="G109">
        <f ca="1">IFERROR(__xludf.DUMMYFUNCTION("""COMPUTED_VALUE"""),11)</f>
        <v>11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IFERROR(__xludf.DUMMYFUNCTION("""COMPUTED_VALUE"""),104)</f>
        <v>104</v>
      </c>
      <c r="C110" t="str">
        <f ca="1">IFERROR(__xludf.DUMMYFUNCTION("""COMPUTED_VALUE"""),"Tom Hoge")</f>
        <v>Tom Hoge</v>
      </c>
      <c r="D110">
        <f ca="1">IFERROR(__xludf.DUMMYFUNCTION("""COMPUTED_VALUE"""),22)</f>
        <v>22</v>
      </c>
      <c r="E110">
        <f ca="1">IFERROR(__xludf.DUMMYFUNCTION("""COMPUTED_VALUE"""),31.33)</f>
        <v>31.33</v>
      </c>
      <c r="F110">
        <f ca="1">IFERROR(__xludf.DUMMYFUNCTION("""COMPUTED_VALUE"""),83)</f>
        <v>83</v>
      </c>
      <c r="G110">
        <f ca="1">IFERROR(__xludf.DUMMYFUNCTION("""COMPUTED_VALUE"""),26)</f>
        <v>26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IFERROR(__xludf.DUMMYFUNCTION("""COMPUTED_VALUE"""),114)</f>
        <v>114</v>
      </c>
      <c r="C111" t="str">
        <f ca="1">IFERROR(__xludf.DUMMYFUNCTION("""COMPUTED_VALUE"""),"Justin Thomas")</f>
        <v>Justin Thomas</v>
      </c>
      <c r="D111">
        <f ca="1">IFERROR(__xludf.DUMMYFUNCTION("""COMPUTED_VALUE"""),12)</f>
        <v>12</v>
      </c>
      <c r="E111">
        <f ca="1">IFERROR(__xludf.DUMMYFUNCTION("""COMPUTED_VALUE"""),31.25)</f>
        <v>31.25</v>
      </c>
      <c r="F111">
        <f ca="1">IFERROR(__xludf.DUMMYFUNCTION("""COMPUTED_VALUE"""),32)</f>
        <v>32</v>
      </c>
      <c r="G111">
        <f ca="1">IFERROR(__xludf.DUMMYFUNCTION("""COMPUTED_VALUE"""),10)</f>
        <v>10</v>
      </c>
    </row>
    <row r="112" spans="1:7" ht="12.75">
      <c r="A112" t="str">
        <f ca="1">IFERROR(__xludf.DUMMYFUNCTION("""COMPUTED_VALUE"""),"T111")</f>
        <v>T111</v>
      </c>
      <c r="B112">
        <f ca="1">IFERROR(__xludf.DUMMYFUNCTION("""COMPUTED_VALUE"""),115)</f>
        <v>115</v>
      </c>
      <c r="C112" t="str">
        <f ca="1">IFERROR(__xludf.DUMMYFUNCTION("""COMPUTED_VALUE"""),"Webb Simpson")</f>
        <v>Webb Simpson</v>
      </c>
      <c r="D112">
        <f ca="1">IFERROR(__xludf.DUMMYFUNCTION("""COMPUTED_VALUE"""),12)</f>
        <v>12</v>
      </c>
      <c r="E112">
        <f ca="1">IFERROR(__xludf.DUMMYFUNCTION("""COMPUTED_VALUE"""),31.03)</f>
        <v>31.03</v>
      </c>
      <c r="F112">
        <f ca="1">IFERROR(__xludf.DUMMYFUNCTION("""COMPUTED_VALUE"""),29)</f>
        <v>29</v>
      </c>
      <c r="G112">
        <f ca="1">IFERROR(__xludf.DUMMYFUNCTION("""COMPUTED_VALUE"""),9)</f>
        <v>9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IFERROR(__xludf.DUMMYFUNCTION("""COMPUTED_VALUE"""),"T109")</f>
        <v>T109</v>
      </c>
      <c r="C113" t="str">
        <f ca="1">IFERROR(__xludf.DUMMYFUNCTION("""COMPUTED_VALUE"""),"Denny McCarthy")</f>
        <v>Denny McCarthy</v>
      </c>
      <c r="D113">
        <f ca="1">IFERROR(__xludf.DUMMYFUNCTION("""COMPUTED_VALUE"""),22)</f>
        <v>22</v>
      </c>
      <c r="E113">
        <f ca="1">IFERROR(__xludf.DUMMYFUNCTION("""COMPUTED_VALUE"""),31.03)</f>
        <v>31.03</v>
      </c>
      <c r="F113">
        <f ca="1">IFERROR(__xludf.DUMMYFUNCTION("""COMPUTED_VALUE"""),29)</f>
        <v>29</v>
      </c>
      <c r="G113">
        <f ca="1">IFERROR(__xludf.DUMMYFUNCTION("""COMPUTED_VALUE"""),9)</f>
        <v>9</v>
      </c>
    </row>
    <row r="114" spans="1:7" ht="12.75">
      <c r="A114">
        <f ca="1">IFERROR(__xludf.DUMMYFUNCTION("""COMPUTED_VALUE"""),113)</f>
        <v>113</v>
      </c>
      <c r="B114" t="str">
        <f ca="1">IFERROR(__xludf.DUMMYFUNCTION("""COMPUTED_VALUE"""),"T142")</f>
        <v>T142</v>
      </c>
      <c r="C114" t="str">
        <f ca="1">IFERROR(__xludf.DUMMYFUNCTION("""COMPUTED_VALUE"""),"Maverick McNealy")</f>
        <v>Maverick McNealy</v>
      </c>
      <c r="D114">
        <f ca="1">IFERROR(__xludf.DUMMYFUNCTION("""COMPUTED_VALUE"""),16)</f>
        <v>16</v>
      </c>
      <c r="E114">
        <f ca="1">IFERROR(__xludf.DUMMYFUNCTION("""COMPUTED_VALUE"""),30.95)</f>
        <v>30.95</v>
      </c>
      <c r="F114">
        <f ca="1">IFERROR(__xludf.DUMMYFUNCTION("""COMPUTED_VALUE"""),42)</f>
        <v>42</v>
      </c>
      <c r="G114">
        <f ca="1">IFERROR(__xludf.DUMMYFUNCTION("""COMPUTED_VALUE"""),13)</f>
        <v>13</v>
      </c>
    </row>
    <row r="115" spans="1:7" ht="12.75">
      <c r="A115" t="str">
        <f ca="1">IFERROR(__xludf.DUMMYFUNCTION("""COMPUTED_VALUE"""),"T114")</f>
        <v>T114</v>
      </c>
      <c r="B115" t="str">
        <f ca="1">IFERROR(__xludf.DUMMYFUNCTION("""COMPUTED_VALUE"""),"T116")</f>
        <v>T116</v>
      </c>
      <c r="C115" t="str">
        <f ca="1">IFERROR(__xludf.DUMMYFUNCTION("""COMPUTED_VALUE"""),"Taylor Pendrith")</f>
        <v>Taylor Pendrith</v>
      </c>
      <c r="D115">
        <f ca="1">IFERROR(__xludf.DUMMYFUNCTION("""COMPUTED_VALUE"""),4)</f>
        <v>4</v>
      </c>
      <c r="E115">
        <f ca="1">IFERROR(__xludf.DUMMYFUNCTION("""COMPUTED_VALUE"""),30.77)</f>
        <v>30.77</v>
      </c>
      <c r="F115">
        <f ca="1">IFERROR(__xludf.DUMMYFUNCTION("""COMPUTED_VALUE"""),13)</f>
        <v>13</v>
      </c>
      <c r="G115">
        <f ca="1">IFERROR(__xludf.DUMMYFUNCTION("""COMPUTED_VALUE"""),4)</f>
        <v>4</v>
      </c>
    </row>
    <row r="116" spans="1:7" ht="12.75">
      <c r="A116" t="str">
        <f ca="1">IFERROR(__xludf.DUMMYFUNCTION("""COMPUTED_VALUE"""),"T114")</f>
        <v>T114</v>
      </c>
      <c r="B116" t="str">
        <f ca="1">IFERROR(__xludf.DUMMYFUNCTION("""COMPUTED_VALUE"""),"T116")</f>
        <v>T116</v>
      </c>
      <c r="C116" t="str">
        <f ca="1">IFERROR(__xludf.DUMMYFUNCTION("""COMPUTED_VALUE"""),"Justin Suh")</f>
        <v>Justin Suh</v>
      </c>
      <c r="D116">
        <f ca="1">IFERROR(__xludf.DUMMYFUNCTION("""COMPUTED_VALUE"""),10)</f>
        <v>10</v>
      </c>
      <c r="E116">
        <f ca="1">IFERROR(__xludf.DUMMYFUNCTION("""COMPUTED_VALUE"""),30.77)</f>
        <v>30.77</v>
      </c>
      <c r="F116">
        <f ca="1">IFERROR(__xludf.DUMMYFUNCTION("""COMPUTED_VALUE"""),13)</f>
        <v>13</v>
      </c>
      <c r="G116">
        <f ca="1">IFERROR(__xludf.DUMMYFUNCTION("""COMPUTED_VALUE"""),4)</f>
        <v>4</v>
      </c>
    </row>
    <row r="117" spans="1:7" ht="12.75">
      <c r="A117" t="str">
        <f ca="1">IFERROR(__xludf.DUMMYFUNCTION("""COMPUTED_VALUE"""),"T114")</f>
        <v>T114</v>
      </c>
      <c r="B117" t="str">
        <f ca="1">IFERROR(__xludf.DUMMYFUNCTION("""COMPUTED_VALUE"""),"T116")</f>
        <v>T116</v>
      </c>
      <c r="C117" t="str">
        <f ca="1">IFERROR(__xludf.DUMMYFUNCTION("""COMPUTED_VALUE"""),"Sahith Theegala")</f>
        <v>Sahith Theegala</v>
      </c>
      <c r="D117">
        <f ca="1">IFERROR(__xludf.DUMMYFUNCTION("""COMPUTED_VALUE"""),6)</f>
        <v>6</v>
      </c>
      <c r="E117">
        <f ca="1">IFERROR(__xludf.DUMMYFUNCTION("""COMPUTED_VALUE"""),30.77)</f>
        <v>30.77</v>
      </c>
      <c r="F117">
        <f ca="1">IFERROR(__xludf.DUMMYFUNCTION("""COMPUTED_VALUE"""),13)</f>
        <v>13</v>
      </c>
      <c r="G117">
        <f ca="1">IFERROR(__xludf.DUMMYFUNCTION("""COMPUTED_VALUE"""),4)</f>
        <v>4</v>
      </c>
    </row>
    <row r="118" spans="1:7" ht="12.75">
      <c r="A118" t="str">
        <f ca="1">IFERROR(__xludf.DUMMYFUNCTION("""COMPUTED_VALUE"""),"T114")</f>
        <v>T114</v>
      </c>
      <c r="B118" t="str">
        <f ca="1">IFERROR(__xludf.DUMMYFUNCTION("""COMPUTED_VALUE"""),"T116")</f>
        <v>T116</v>
      </c>
      <c r="C118" t="str">
        <f ca="1">IFERROR(__xludf.DUMMYFUNCTION("""COMPUTED_VALUE"""),"Bronson Burgoon")</f>
        <v>Bronson Burgoon</v>
      </c>
      <c r="D118">
        <f ca="1">IFERROR(__xludf.DUMMYFUNCTION("""COMPUTED_VALUE"""),10)</f>
        <v>10</v>
      </c>
      <c r="E118">
        <f ca="1">IFERROR(__xludf.DUMMYFUNCTION("""COMPUTED_VALUE"""),30.77)</f>
        <v>30.77</v>
      </c>
      <c r="F118">
        <f ca="1">IFERROR(__xludf.DUMMYFUNCTION("""COMPUTED_VALUE"""),26)</f>
        <v>26</v>
      </c>
      <c r="G118">
        <f ca="1">IFERROR(__xludf.DUMMYFUNCTION("""COMPUTED_VALUE"""),8)</f>
        <v>8</v>
      </c>
    </row>
    <row r="119" spans="1:7" ht="12.75">
      <c r="A119" t="str">
        <f ca="1">IFERROR(__xludf.DUMMYFUNCTION("""COMPUTED_VALUE"""),"T114")</f>
        <v>T114</v>
      </c>
      <c r="B119" t="str">
        <f ca="1">IFERROR(__xludf.DUMMYFUNCTION("""COMPUTED_VALUE"""),"")</f>
        <v/>
      </c>
      <c r="C119" t="str">
        <f ca="1">IFERROR(__xludf.DUMMYFUNCTION("""COMPUTED_VALUE"""),"Lee Westwood")</f>
        <v>Lee Westwood</v>
      </c>
      <c r="D119">
        <f ca="1">IFERROR(__xludf.DUMMYFUNCTION("""COMPUTED_VALUE"""),6)</f>
        <v>6</v>
      </c>
      <c r="E119">
        <f ca="1">IFERROR(__xludf.DUMMYFUNCTION("""COMPUTED_VALUE"""),30.77)</f>
        <v>30.77</v>
      </c>
      <c r="F119">
        <f ca="1">IFERROR(__xludf.DUMMYFUNCTION("""COMPUTED_VALUE"""),13)</f>
        <v>13</v>
      </c>
      <c r="G119">
        <f ca="1">IFERROR(__xludf.DUMMYFUNCTION("""COMPUTED_VALUE"""),4)</f>
        <v>4</v>
      </c>
    </row>
    <row r="120" spans="1:7" ht="12.75">
      <c r="A120">
        <f ca="1">IFERROR(__xludf.DUMMYFUNCTION("""COMPUTED_VALUE"""),119)</f>
        <v>119</v>
      </c>
      <c r="B120" t="str">
        <f ca="1">IFERROR(__xludf.DUMMYFUNCTION("""COMPUTED_VALUE"""),"T120")</f>
        <v>T120</v>
      </c>
      <c r="C120" t="str">
        <f ca="1">IFERROR(__xludf.DUMMYFUNCTION("""COMPUTED_VALUE"""),"J.B. Holmes")</f>
        <v>J.B. Holmes</v>
      </c>
      <c r="D120">
        <f ca="1">IFERROR(__xludf.DUMMYFUNCTION("""COMPUTED_VALUE"""),10)</f>
        <v>10</v>
      </c>
      <c r="E120">
        <f ca="1">IFERROR(__xludf.DUMMYFUNCTION("""COMPUTED_VALUE"""),30.56)</f>
        <v>30.56</v>
      </c>
      <c r="F120">
        <f ca="1">IFERROR(__xludf.DUMMYFUNCTION("""COMPUTED_VALUE"""),36)</f>
        <v>36</v>
      </c>
      <c r="G120">
        <f ca="1">IFERROR(__xludf.DUMMYFUNCTION("""COMPUTED_VALUE"""),11)</f>
        <v>11</v>
      </c>
    </row>
    <row r="121" spans="1:7" ht="12.75">
      <c r="A121" t="str">
        <f ca="1">IFERROR(__xludf.DUMMYFUNCTION("""COMPUTED_VALUE"""),"T120")</f>
        <v>T120</v>
      </c>
      <c r="B121">
        <f ca="1">IFERROR(__xludf.DUMMYFUNCTION("""COMPUTED_VALUE"""),132)</f>
        <v>132</v>
      </c>
      <c r="C121" t="str">
        <f ca="1">IFERROR(__xludf.DUMMYFUNCTION("""COMPUTED_VALUE"""),"Si Woo Kim")</f>
        <v>Si Woo Kim</v>
      </c>
      <c r="D121">
        <f ca="1">IFERROR(__xludf.DUMMYFUNCTION("""COMPUTED_VALUE"""),20)</f>
        <v>20</v>
      </c>
      <c r="E121">
        <f ca="1">IFERROR(__xludf.DUMMYFUNCTION("""COMPUTED_VALUE"""),30.19)</f>
        <v>30.19</v>
      </c>
      <c r="F121">
        <f ca="1">IFERROR(__xludf.DUMMYFUNCTION("""COMPUTED_VALUE"""),53)</f>
        <v>53</v>
      </c>
      <c r="G121">
        <f ca="1">IFERROR(__xludf.DUMMYFUNCTION("""COMPUTED_VALUE"""),16)</f>
        <v>16</v>
      </c>
    </row>
    <row r="122" spans="1:7" ht="12.75">
      <c r="A122" t="str">
        <f ca="1">IFERROR(__xludf.DUMMYFUNCTION("""COMPUTED_VALUE"""),"T120")</f>
        <v>T120</v>
      </c>
      <c r="B122" t="str">
        <f ca="1">IFERROR(__xludf.DUMMYFUNCTION("""COMPUTED_VALUE"""),"T123")</f>
        <v>T123</v>
      </c>
      <c r="C122" t="str">
        <f ca="1">IFERROR(__xludf.DUMMYFUNCTION("""COMPUTED_VALUE"""),"Mark Hubbard")</f>
        <v>Mark Hubbard</v>
      </c>
      <c r="D122">
        <f ca="1">IFERROR(__xludf.DUMMYFUNCTION("""COMPUTED_VALUE"""),20)</f>
        <v>20</v>
      </c>
      <c r="E122">
        <f ca="1">IFERROR(__xludf.DUMMYFUNCTION("""COMPUTED_VALUE"""),30.19)</f>
        <v>30.19</v>
      </c>
      <c r="F122">
        <f ca="1">IFERROR(__xludf.DUMMYFUNCTION("""COMPUTED_VALUE"""),53)</f>
        <v>53</v>
      </c>
      <c r="G122">
        <f ca="1">IFERROR(__xludf.DUMMYFUNCTION("""COMPUTED_VALUE"""),16)</f>
        <v>16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IFERROR(__xludf.DUMMYFUNCTION("""COMPUTED_VALUE"""),"T88")</f>
        <v>T88</v>
      </c>
      <c r="C123" t="str">
        <f ca="1">IFERROR(__xludf.DUMMYFUNCTION("""COMPUTED_VALUE"""),"Kelly Kraft")</f>
        <v>Kelly Kraft</v>
      </c>
      <c r="D123">
        <f ca="1">IFERROR(__xludf.DUMMYFUNCTION("""COMPUTED_VALUE"""),14)</f>
        <v>14</v>
      </c>
      <c r="E123">
        <f ca="1">IFERROR(__xludf.DUMMYFUNCTION("""COMPUTED_VALUE"""),30)</f>
        <v>30</v>
      </c>
      <c r="F123">
        <f ca="1">IFERROR(__xludf.DUMMYFUNCTION("""COMPUTED_VALUE"""),20)</f>
        <v>20</v>
      </c>
      <c r="G123">
        <f ca="1">IFERROR(__xludf.DUMMYFUNCTION("""COMPUTED_VALUE"""),6)</f>
        <v>6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IFERROR(__xludf.DUMMYFUNCTION("""COMPUTED_VALUE"""),"T123")</f>
        <v>T123</v>
      </c>
      <c r="C124" t="str">
        <f ca="1">IFERROR(__xludf.DUMMYFUNCTION("""COMPUTED_VALUE"""),"Nelson Ledesma")</f>
        <v>Nelson Ledesma</v>
      </c>
      <c r="D124">
        <f ca="1">IFERROR(__xludf.DUMMYFUNCTION("""COMPUTED_VALUE"""),8)</f>
        <v>8</v>
      </c>
      <c r="E124">
        <f ca="1">IFERROR(__xludf.DUMMYFUNCTION("""COMPUTED_VALUE"""),30)</f>
        <v>30</v>
      </c>
      <c r="F124">
        <f ca="1">IFERROR(__xludf.DUMMYFUNCTION("""COMPUTED_VALUE"""),10)</f>
        <v>10</v>
      </c>
      <c r="G124">
        <f ca="1">IFERROR(__xludf.DUMMYFUNCTION("""COMPUTED_VALUE"""),3)</f>
        <v>3</v>
      </c>
    </row>
    <row r="125" spans="1:7" ht="12.75">
      <c r="A125" t="str">
        <f ca="1">IFERROR(__xludf.DUMMYFUNCTION("""COMPUTED_VALUE"""),"T122")</f>
        <v>T122</v>
      </c>
      <c r="B125" t="str">
        <f ca="1">IFERROR(__xludf.DUMMYFUNCTION("""COMPUTED_VALUE"""),"T123")</f>
        <v>T123</v>
      </c>
      <c r="C125" t="str">
        <f ca="1">IFERROR(__xludf.DUMMYFUNCTION("""COMPUTED_VALUE"""),"Matthew Fitzpatrick")</f>
        <v>Matthew Fitzpatrick</v>
      </c>
      <c r="D125">
        <f ca="1">IFERROR(__xludf.DUMMYFUNCTION("""COMPUTED_VALUE"""),10)</f>
        <v>10</v>
      </c>
      <c r="E125">
        <f ca="1">IFERROR(__xludf.DUMMYFUNCTION("""COMPUTED_VALUE"""),30)</f>
        <v>30</v>
      </c>
      <c r="F125">
        <f ca="1">IFERROR(__xludf.DUMMYFUNCTION("""COMPUTED_VALUE"""),30)</f>
        <v>30</v>
      </c>
      <c r="G125">
        <f ca="1">IFERROR(__xludf.DUMMYFUNCTION("""COMPUTED_VALUE"""),9)</f>
        <v>9</v>
      </c>
    </row>
    <row r="126" spans="1:7" ht="12.75">
      <c r="A126" t="str">
        <f ca="1">IFERROR(__xludf.DUMMYFUNCTION("""COMPUTED_VALUE"""),"T122")</f>
        <v>T122</v>
      </c>
      <c r="B126" t="str">
        <f ca="1">IFERROR(__xludf.DUMMYFUNCTION("""COMPUTED_VALUE"""),"T123")</f>
        <v>T123</v>
      </c>
      <c r="C126" t="str">
        <f ca="1">IFERROR(__xludf.DUMMYFUNCTION("""COMPUTED_VALUE"""),"Brandon Hagy")</f>
        <v>Brandon Hagy</v>
      </c>
      <c r="D126">
        <f ca="1">IFERROR(__xludf.DUMMYFUNCTION("""COMPUTED_VALUE"""),10)</f>
        <v>10</v>
      </c>
      <c r="E126">
        <f ca="1">IFERROR(__xludf.DUMMYFUNCTION("""COMPUTED_VALUE"""),30)</f>
        <v>30</v>
      </c>
      <c r="F126">
        <f ca="1">IFERROR(__xludf.DUMMYFUNCTION("""COMPUTED_VALUE"""),10)</f>
        <v>10</v>
      </c>
      <c r="G126">
        <f ca="1">IFERROR(__xludf.DUMMYFUNCTION("""COMPUTED_VALUE"""),3)</f>
        <v>3</v>
      </c>
    </row>
    <row r="127" spans="1:7" ht="12.75">
      <c r="A127" t="str">
        <f ca="1">IFERROR(__xludf.DUMMYFUNCTION("""COMPUTED_VALUE"""),"T122")</f>
        <v>T122</v>
      </c>
      <c r="B127" t="str">
        <f ca="1">IFERROR(__xludf.DUMMYFUNCTION("""COMPUTED_VALUE"""),"T123")</f>
        <v>T123</v>
      </c>
      <c r="C127" t="str">
        <f ca="1">IFERROR(__xludf.DUMMYFUNCTION("""COMPUTED_VALUE"""),"Rafa Cabrera Bello")</f>
        <v>Rafa Cabrera Bello</v>
      </c>
      <c r="D127">
        <f ca="1">IFERROR(__xludf.DUMMYFUNCTION("""COMPUTED_VALUE"""),14)</f>
        <v>14</v>
      </c>
      <c r="E127">
        <f ca="1">IFERROR(__xludf.DUMMYFUNCTION("""COMPUTED_VALUE"""),30)</f>
        <v>30</v>
      </c>
      <c r="F127">
        <f ca="1">IFERROR(__xludf.DUMMYFUNCTION("""COMPUTED_VALUE"""),30)</f>
        <v>30</v>
      </c>
      <c r="G127">
        <f ca="1">IFERROR(__xludf.DUMMYFUNCTION("""COMPUTED_VALUE"""),9)</f>
        <v>9</v>
      </c>
    </row>
    <row r="128" spans="1:7" ht="12.75">
      <c r="A128" t="str">
        <f ca="1">IFERROR(__xludf.DUMMYFUNCTION("""COMPUTED_VALUE"""),"T122")</f>
        <v>T122</v>
      </c>
      <c r="B128" t="str">
        <f ca="1">IFERROR(__xludf.DUMMYFUNCTION("""COMPUTED_VALUE"""),"T123")</f>
        <v>T123</v>
      </c>
      <c r="C128" t="str">
        <f ca="1">IFERROR(__xludf.DUMMYFUNCTION("""COMPUTED_VALUE"""),"Matt Kuchar")</f>
        <v>Matt Kuchar</v>
      </c>
      <c r="D128">
        <f ca="1">IFERROR(__xludf.DUMMYFUNCTION("""COMPUTED_VALUE"""),14)</f>
        <v>14</v>
      </c>
      <c r="E128">
        <f ca="1">IFERROR(__xludf.DUMMYFUNCTION("""COMPUTED_VALUE"""),30)</f>
        <v>30</v>
      </c>
      <c r="F128">
        <f ca="1">IFERROR(__xludf.DUMMYFUNCTION("""COMPUTED_VALUE"""),30)</f>
        <v>30</v>
      </c>
      <c r="G128">
        <f ca="1">IFERROR(__xludf.DUMMYFUNCTION("""COMPUTED_VALUE"""),9)</f>
        <v>9</v>
      </c>
    </row>
    <row r="129" spans="1:7" ht="12.75">
      <c r="A129" t="str">
        <f ca="1">IFERROR(__xludf.DUMMYFUNCTION("""COMPUTED_VALUE"""),"T122")</f>
        <v>T122</v>
      </c>
      <c r="B129" t="str">
        <f ca="1">IFERROR(__xludf.DUMMYFUNCTION("""COMPUTED_VALUE"""),"T160")</f>
        <v>T160</v>
      </c>
      <c r="C129" t="str">
        <f ca="1">IFERROR(__xludf.DUMMYFUNCTION("""COMPUTED_VALUE"""),"Tony Finau")</f>
        <v>Tony Finau</v>
      </c>
      <c r="D129">
        <f ca="1">IFERROR(__xludf.DUMMYFUNCTION("""COMPUTED_VALUE"""),12)</f>
        <v>12</v>
      </c>
      <c r="E129">
        <f ca="1">IFERROR(__xludf.DUMMYFUNCTION("""COMPUTED_VALUE"""),30)</f>
        <v>30</v>
      </c>
      <c r="F129">
        <f ca="1">IFERROR(__xludf.DUMMYFUNCTION("""COMPUTED_VALUE"""),50)</f>
        <v>50</v>
      </c>
      <c r="G129">
        <f ca="1">IFERROR(__xludf.DUMMYFUNCTION("""COMPUTED_VALUE"""),15)</f>
        <v>15</v>
      </c>
    </row>
    <row r="130" spans="1:7" ht="12.75">
      <c r="A130" t="str">
        <f ca="1">IFERROR(__xludf.DUMMYFUNCTION("""COMPUTED_VALUE"""),"T122")</f>
        <v>T122</v>
      </c>
      <c r="B130" t="str">
        <f ca="1">IFERROR(__xludf.DUMMYFUNCTION("""COMPUTED_VALUE"""),"T67")</f>
        <v>T67</v>
      </c>
      <c r="C130" t="str">
        <f ca="1">IFERROR(__xludf.DUMMYFUNCTION("""COMPUTED_VALUE"""),"Scott Brown")</f>
        <v>Scott Brown</v>
      </c>
      <c r="D130">
        <f ca="1">IFERROR(__xludf.DUMMYFUNCTION("""COMPUTED_VALUE"""),14)</f>
        <v>14</v>
      </c>
      <c r="E130">
        <f ca="1">IFERROR(__xludf.DUMMYFUNCTION("""COMPUTED_VALUE"""),30)</f>
        <v>30</v>
      </c>
      <c r="F130">
        <f ca="1">IFERROR(__xludf.DUMMYFUNCTION("""COMPUTED_VALUE"""),20)</f>
        <v>20</v>
      </c>
      <c r="G130">
        <f ca="1">IFERROR(__xludf.DUMMYFUNCTION("""COMPUTED_VALUE"""),6)</f>
        <v>6</v>
      </c>
    </row>
    <row r="131" spans="1:7" ht="12.75">
      <c r="A131" t="str">
        <f ca="1">IFERROR(__xludf.DUMMYFUNCTION("""COMPUTED_VALUE"""),"T122")</f>
        <v>T122</v>
      </c>
      <c r="B131">
        <f ca="1">IFERROR(__xludf.DUMMYFUNCTION("""COMPUTED_VALUE"""),159)</f>
        <v>159</v>
      </c>
      <c r="C131" t="str">
        <f ca="1">IFERROR(__xludf.DUMMYFUNCTION("""COMPUTED_VALUE"""),"Carlos Ortiz")</f>
        <v>Carlos Ortiz</v>
      </c>
      <c r="D131">
        <f ca="1">IFERROR(__xludf.DUMMYFUNCTION("""COMPUTED_VALUE"""),20)</f>
        <v>20</v>
      </c>
      <c r="E131">
        <f ca="1">IFERROR(__xludf.DUMMYFUNCTION("""COMPUTED_VALUE"""),30)</f>
        <v>30</v>
      </c>
      <c r="F131">
        <f ca="1">IFERROR(__xludf.DUMMYFUNCTION("""COMPUTED_VALUE"""),50)</f>
        <v>50</v>
      </c>
      <c r="G131">
        <f ca="1">IFERROR(__xludf.DUMMYFUNCTION("""COMPUTED_VALUE"""),15)</f>
        <v>15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IFERROR(__xludf.DUMMYFUNCTION("""COMPUTED_VALUE"""),105)</f>
        <v>105</v>
      </c>
      <c r="C132" t="str">
        <f ca="1">IFERROR(__xludf.DUMMYFUNCTION("""COMPUTED_VALUE"""),"Brian Stuard")</f>
        <v>Brian Stuard</v>
      </c>
      <c r="D132">
        <f ca="1">IFERROR(__xludf.DUMMYFUNCTION("""COMPUTED_VALUE"""),18)</f>
        <v>18</v>
      </c>
      <c r="E132">
        <f ca="1">IFERROR(__xludf.DUMMYFUNCTION("""COMPUTED_VALUE"""),29.73)</f>
        <v>29.73</v>
      </c>
      <c r="F132">
        <f ca="1">IFERROR(__xludf.DUMMYFUNCTION("""COMPUTED_VALUE"""),37)</f>
        <v>37</v>
      </c>
      <c r="G132">
        <f ca="1">IFERROR(__xludf.DUMMYFUNCTION("""COMPUTED_VALUE"""),11)</f>
        <v>11</v>
      </c>
    </row>
    <row r="133" spans="1:7" ht="12.75">
      <c r="A133">
        <f ca="1">IFERROR(__xludf.DUMMYFUNCTION("""COMPUTED_VALUE"""),132)</f>
        <v>132</v>
      </c>
      <c r="B133" t="str">
        <f ca="1">IFERROR(__xludf.DUMMYFUNCTION("""COMPUTED_VALUE"""),"T51")</f>
        <v>T51</v>
      </c>
      <c r="C133" t="str">
        <f ca="1">IFERROR(__xludf.DUMMYFUNCTION("""COMPUTED_VALUE"""),"Beau Hossler")</f>
        <v>Beau Hossler</v>
      </c>
      <c r="D133">
        <f ca="1">IFERROR(__xludf.DUMMYFUNCTION("""COMPUTED_VALUE"""),22)</f>
        <v>22</v>
      </c>
      <c r="E133">
        <f ca="1">IFERROR(__xludf.DUMMYFUNCTION("""COMPUTED_VALUE"""),29.63)</f>
        <v>29.63</v>
      </c>
      <c r="F133">
        <f ca="1">IFERROR(__xludf.DUMMYFUNCTION("""COMPUTED_VALUE"""),27)</f>
        <v>27</v>
      </c>
      <c r="G133">
        <f ca="1">IFERROR(__xludf.DUMMYFUNCTION("""COMPUTED_VALUE"""),8)</f>
        <v>8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IFERROR(__xludf.DUMMYFUNCTION("""COMPUTED_VALUE"""),210)</f>
        <v>210</v>
      </c>
      <c r="C134" t="str">
        <f ca="1">IFERROR(__xludf.DUMMYFUNCTION("""COMPUTED_VALUE"""),"Russell Knox")</f>
        <v>Russell Knox</v>
      </c>
      <c r="D134">
        <f ca="1">IFERROR(__xludf.DUMMYFUNCTION("""COMPUTED_VALUE"""),16)</f>
        <v>16</v>
      </c>
      <c r="E134">
        <f ca="1">IFERROR(__xludf.DUMMYFUNCTION("""COMPUTED_VALUE"""),29.55)</f>
        <v>29.55</v>
      </c>
      <c r="F134">
        <f ca="1">IFERROR(__xludf.DUMMYFUNCTION("""COMPUTED_VALUE"""),44)</f>
        <v>44</v>
      </c>
      <c r="G134">
        <f ca="1">IFERROR(__xludf.DUMMYFUNCTION("""COMPUTED_VALUE"""),13)</f>
        <v>13</v>
      </c>
    </row>
    <row r="135" spans="1:7" ht="12.75">
      <c r="A135" t="str">
        <f ca="1">IFERROR(__xludf.DUMMYFUNCTION("""COMPUTED_VALUE"""),"T134")</f>
        <v>T134</v>
      </c>
      <c r="B135">
        <f ca="1">IFERROR(__xludf.DUMMYFUNCTION("""COMPUTED_VALUE"""),154)</f>
        <v>154</v>
      </c>
      <c r="C135" t="str">
        <f ca="1">IFERROR(__xludf.DUMMYFUNCTION("""COMPUTED_VALUE"""),"Troy Merritt")</f>
        <v>Troy Merritt</v>
      </c>
      <c r="D135">
        <f ca="1">IFERROR(__xludf.DUMMYFUNCTION("""COMPUTED_VALUE"""),20)</f>
        <v>20</v>
      </c>
      <c r="E135">
        <f ca="1">IFERROR(__xludf.DUMMYFUNCTION("""COMPUTED_VALUE"""),29.41)</f>
        <v>29.41</v>
      </c>
      <c r="F135">
        <f ca="1">IFERROR(__xludf.DUMMYFUNCTION("""COMPUTED_VALUE"""),51)</f>
        <v>51</v>
      </c>
      <c r="G135">
        <f ca="1">IFERROR(__xludf.DUMMYFUNCTION("""COMPUTED_VALUE"""),15)</f>
        <v>15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IFERROR(__xludf.DUMMYFUNCTION("""COMPUTED_VALUE"""),"T177")</f>
        <v>T177</v>
      </c>
      <c r="C136" t="str">
        <f ca="1">IFERROR(__xludf.DUMMYFUNCTION("""COMPUTED_VALUE"""),"Henrik Norlander")</f>
        <v>Henrik Norlander</v>
      </c>
      <c r="D136">
        <f ca="1">IFERROR(__xludf.DUMMYFUNCTION("""COMPUTED_VALUE"""),16)</f>
        <v>16</v>
      </c>
      <c r="E136">
        <f ca="1">IFERROR(__xludf.DUMMYFUNCTION("""COMPUTED_VALUE"""),29.41)</f>
        <v>29.41</v>
      </c>
      <c r="F136">
        <f ca="1">IFERROR(__xludf.DUMMYFUNCTION("""COMPUTED_VALUE"""),34)</f>
        <v>34</v>
      </c>
      <c r="G136">
        <f ca="1">IFERROR(__xludf.DUMMYFUNCTION("""COMPUTED_VALUE"""),10)</f>
        <v>10</v>
      </c>
    </row>
    <row r="137" spans="1:7" ht="12.75">
      <c r="A137" t="str">
        <f ca="1">IFERROR(__xludf.DUMMYFUNCTION("""COMPUTED_VALUE"""),"T134")</f>
        <v>T134</v>
      </c>
      <c r="B137">
        <f ca="1">IFERROR(__xludf.DUMMYFUNCTION("""COMPUTED_VALUE"""),122)</f>
        <v>122</v>
      </c>
      <c r="C137" t="str">
        <f ca="1">IFERROR(__xludf.DUMMYFUNCTION("""COMPUTED_VALUE"""),"Mackenzie Hughes")</f>
        <v>Mackenzie Hughes</v>
      </c>
      <c r="D137">
        <f ca="1">IFERROR(__xludf.DUMMYFUNCTION("""COMPUTED_VALUE"""),18)</f>
        <v>18</v>
      </c>
      <c r="E137">
        <f ca="1">IFERROR(__xludf.DUMMYFUNCTION("""COMPUTED_VALUE"""),29.41)</f>
        <v>29.41</v>
      </c>
      <c r="F137">
        <f ca="1">IFERROR(__xludf.DUMMYFUNCTION("""COMPUTED_VALUE"""),34)</f>
        <v>34</v>
      </c>
      <c r="G137">
        <f ca="1">IFERROR(__xludf.DUMMYFUNCTION("""COMPUTED_VALUE"""),10)</f>
        <v>10</v>
      </c>
    </row>
    <row r="138" spans="1:7" ht="12.75">
      <c r="A138" t="str">
        <f ca="1">IFERROR(__xludf.DUMMYFUNCTION("""COMPUTED_VALUE"""),"T134")</f>
        <v>T134</v>
      </c>
      <c r="B138" t="str">
        <f ca="1">IFERROR(__xludf.DUMMYFUNCTION("""COMPUTED_VALUE"""),"T135")</f>
        <v>T135</v>
      </c>
      <c r="C138" t="str">
        <f ca="1">IFERROR(__xludf.DUMMYFUNCTION("""COMPUTED_VALUE"""),"Harris English")</f>
        <v>Harris English</v>
      </c>
      <c r="D138">
        <f ca="1">IFERROR(__xludf.DUMMYFUNCTION("""COMPUTED_VALUE"""),14)</f>
        <v>14</v>
      </c>
      <c r="E138">
        <f ca="1">IFERROR(__xludf.DUMMYFUNCTION("""COMPUTED_VALUE"""),29.41)</f>
        <v>29.41</v>
      </c>
      <c r="F138">
        <f ca="1">IFERROR(__xludf.DUMMYFUNCTION("""COMPUTED_VALUE"""),34)</f>
        <v>34</v>
      </c>
      <c r="G138">
        <f ca="1">IFERROR(__xludf.DUMMYFUNCTION("""COMPUTED_VALUE"""),10)</f>
        <v>10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IFERROR(__xludf.DUMMYFUNCTION("""COMPUTED_VALUE"""),174)</f>
        <v>174</v>
      </c>
      <c r="C139" t="str">
        <f ca="1">IFERROR(__xludf.DUMMYFUNCTION("""COMPUTED_VALUE"""),"Sam Burns")</f>
        <v>Sam Burns</v>
      </c>
      <c r="D139">
        <f ca="1">IFERROR(__xludf.DUMMYFUNCTION("""COMPUTED_VALUE"""),18)</f>
        <v>18</v>
      </c>
      <c r="E139">
        <f ca="1">IFERROR(__xludf.DUMMYFUNCTION("""COMPUTED_VALUE"""),29.17)</f>
        <v>29.17</v>
      </c>
      <c r="F139">
        <f ca="1">IFERROR(__xludf.DUMMYFUNCTION("""COMPUTED_VALUE"""),48)</f>
        <v>48</v>
      </c>
      <c r="G139">
        <f ca="1">IFERROR(__xludf.DUMMYFUNCTION("""COMPUTED_VALUE"""),14)</f>
        <v>14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IFERROR(__xludf.DUMMYFUNCTION("""COMPUTED_VALUE"""),140)</f>
        <v>140</v>
      </c>
      <c r="C140" t="str">
        <f ca="1">IFERROR(__xludf.DUMMYFUNCTION("""COMPUTED_VALUE"""),"Joel Dahmen")</f>
        <v>Joel Dahmen</v>
      </c>
      <c r="D140">
        <f ca="1">IFERROR(__xludf.DUMMYFUNCTION("""COMPUTED_VALUE"""),18)</f>
        <v>18</v>
      </c>
      <c r="E140">
        <f ca="1">IFERROR(__xludf.DUMMYFUNCTION("""COMPUTED_VALUE"""),29.09)</f>
        <v>29.09</v>
      </c>
      <c r="F140">
        <f ca="1">IFERROR(__xludf.DUMMYFUNCTION("""COMPUTED_VALUE"""),55)</f>
        <v>55</v>
      </c>
      <c r="G140">
        <f ca="1">IFERROR(__xludf.DUMMYFUNCTION("""COMPUTED_VALUE"""),16)</f>
        <v>16</v>
      </c>
    </row>
    <row r="141" spans="1:7" ht="12.75">
      <c r="A141">
        <f ca="1">IFERROR(__xludf.DUMMYFUNCTION("""COMPUTED_VALUE"""),140)</f>
        <v>140</v>
      </c>
      <c r="B141" t="str">
        <f ca="1">IFERROR(__xludf.DUMMYFUNCTION("""COMPUTED_VALUE"""),"T88")</f>
        <v>T88</v>
      </c>
      <c r="C141" t="str">
        <f ca="1">IFERROR(__xludf.DUMMYFUNCTION("""COMPUTED_VALUE"""),"Patrick Rodgers")</f>
        <v>Patrick Rodgers</v>
      </c>
      <c r="D141">
        <f ca="1">IFERROR(__xludf.DUMMYFUNCTION("""COMPUTED_VALUE"""),18)</f>
        <v>18</v>
      </c>
      <c r="E141">
        <f ca="1">IFERROR(__xludf.DUMMYFUNCTION("""COMPUTED_VALUE"""),29.03)</f>
        <v>29.03</v>
      </c>
      <c r="F141">
        <f ca="1">IFERROR(__xludf.DUMMYFUNCTION("""COMPUTED_VALUE"""),31)</f>
        <v>31</v>
      </c>
      <c r="G141">
        <f ca="1">IFERROR(__xludf.DUMMYFUNCTION("""COMPUTED_VALUE"""),9)</f>
        <v>9</v>
      </c>
    </row>
    <row r="142" spans="1:7" ht="12.75">
      <c r="A142" t="str">
        <f ca="1">IFERROR(__xludf.DUMMYFUNCTION("""COMPUTED_VALUE"""),"T141")</f>
        <v>T141</v>
      </c>
      <c r="B142">
        <f ca="1">IFERROR(__xludf.DUMMYFUNCTION("""COMPUTED_VALUE"""),141)</f>
        <v>141</v>
      </c>
      <c r="C142" t="str">
        <f ca="1">IFERROR(__xludf.DUMMYFUNCTION("""COMPUTED_VALUE"""),"Adam Hadwin")</f>
        <v>Adam Hadwin</v>
      </c>
      <c r="D142">
        <f ca="1">IFERROR(__xludf.DUMMYFUNCTION("""COMPUTED_VALUE"""),16)</f>
        <v>16</v>
      </c>
      <c r="E142">
        <f ca="1">IFERROR(__xludf.DUMMYFUNCTION("""COMPUTED_VALUE"""),28.95)</f>
        <v>28.95</v>
      </c>
      <c r="F142">
        <f ca="1">IFERROR(__xludf.DUMMYFUNCTION("""COMPUTED_VALUE"""),38)</f>
        <v>38</v>
      </c>
      <c r="G142">
        <f ca="1">IFERROR(__xludf.DUMMYFUNCTION("""COMPUTED_VALUE"""),11)</f>
        <v>11</v>
      </c>
    </row>
    <row r="143" spans="1:7" ht="12.75">
      <c r="A143" t="str">
        <f ca="1">IFERROR(__xludf.DUMMYFUNCTION("""COMPUTED_VALUE"""),"T141")</f>
        <v>T141</v>
      </c>
      <c r="B143" t="str">
        <f ca="1">IFERROR(__xludf.DUMMYFUNCTION("""COMPUTED_VALUE"""),"T123")</f>
        <v>T123</v>
      </c>
      <c r="C143" t="str">
        <f ca="1">IFERROR(__xludf.DUMMYFUNCTION("""COMPUTED_VALUE"""),"Patton Kizzire")</f>
        <v>Patton Kizzire</v>
      </c>
      <c r="D143">
        <f ca="1">IFERROR(__xludf.DUMMYFUNCTION("""COMPUTED_VALUE"""),18)</f>
        <v>18</v>
      </c>
      <c r="E143">
        <f ca="1">IFERROR(__xludf.DUMMYFUNCTION("""COMPUTED_VALUE"""),28.95)</f>
        <v>28.95</v>
      </c>
      <c r="F143">
        <f ca="1">IFERROR(__xludf.DUMMYFUNCTION("""COMPUTED_VALUE"""),38)</f>
        <v>38</v>
      </c>
      <c r="G143">
        <f ca="1">IFERROR(__xludf.DUMMYFUNCTION("""COMPUTED_VALUE"""),11)</f>
        <v>11</v>
      </c>
    </row>
    <row r="144" spans="1:7" ht="12.75">
      <c r="A144" t="str">
        <f ca="1">IFERROR(__xludf.DUMMYFUNCTION("""COMPUTED_VALUE"""),"T143")</f>
        <v>T143</v>
      </c>
      <c r="B144">
        <f ca="1">IFERROR(__xludf.DUMMYFUNCTION("""COMPUTED_VALUE"""),103)</f>
        <v>103</v>
      </c>
      <c r="C144" t="str">
        <f ca="1">IFERROR(__xludf.DUMMYFUNCTION("""COMPUTED_VALUE"""),"Keegan Bradley")</f>
        <v>Keegan Bradley</v>
      </c>
      <c r="D144">
        <f ca="1">IFERROR(__xludf.DUMMYFUNCTION("""COMPUTED_VALUE"""),16)</f>
        <v>16</v>
      </c>
      <c r="E144">
        <f ca="1">IFERROR(__xludf.DUMMYFUNCTION("""COMPUTED_VALUE"""),28.57)</f>
        <v>28.57</v>
      </c>
      <c r="F144">
        <f ca="1">IFERROR(__xludf.DUMMYFUNCTION("""COMPUTED_VALUE"""),42)</f>
        <v>42</v>
      </c>
      <c r="G144">
        <f ca="1">IFERROR(__xludf.DUMMYFUNCTION("""COMPUTED_VALUE"""),12)</f>
        <v>12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IFERROR(__xludf.DUMMYFUNCTION("""COMPUTED_VALUE"""),"T73")</f>
        <v>T73</v>
      </c>
      <c r="C145" t="str">
        <f ca="1">IFERROR(__xludf.DUMMYFUNCTION("""COMPUTED_VALUE"""),"Vaughn Taylor")</f>
        <v>Vaughn Taylor</v>
      </c>
      <c r="D145">
        <f ca="1">IFERROR(__xludf.DUMMYFUNCTION("""COMPUTED_VALUE"""),12)</f>
        <v>12</v>
      </c>
      <c r="E145">
        <f ca="1">IFERROR(__xludf.DUMMYFUNCTION("""COMPUTED_VALUE"""),28.57)</f>
        <v>28.57</v>
      </c>
      <c r="F145">
        <f ca="1">IFERROR(__xludf.DUMMYFUNCTION("""COMPUTED_VALUE"""),21)</f>
        <v>21</v>
      </c>
      <c r="G145">
        <f ca="1">IFERROR(__xludf.DUMMYFUNCTION("""COMPUTED_VALUE"""),6)</f>
        <v>6</v>
      </c>
    </row>
    <row r="146" spans="1:7" ht="12.75">
      <c r="A146" t="str">
        <f ca="1">IFERROR(__xludf.DUMMYFUNCTION("""COMPUTED_VALUE"""),"T143")</f>
        <v>T143</v>
      </c>
      <c r="B146" t="str">
        <f ca="1">IFERROR(__xludf.DUMMYFUNCTION("""COMPUTED_VALUE"""),"T197")</f>
        <v>T197</v>
      </c>
      <c r="C146" t="str">
        <f ca="1">IFERROR(__xludf.DUMMYFUNCTION("""COMPUTED_VALUE"""),"D.A. Points")</f>
        <v>D.A. Points</v>
      </c>
      <c r="D146">
        <f ca="1">IFERROR(__xludf.DUMMYFUNCTION("""COMPUTED_VALUE"""),12)</f>
        <v>12</v>
      </c>
      <c r="E146">
        <f ca="1">IFERROR(__xludf.DUMMYFUNCTION("""COMPUTED_VALUE"""),28.57)</f>
        <v>28.57</v>
      </c>
      <c r="F146">
        <f ca="1">IFERROR(__xludf.DUMMYFUNCTION("""COMPUTED_VALUE"""),21)</f>
        <v>21</v>
      </c>
      <c r="G146">
        <f ca="1">IFERROR(__xludf.DUMMYFUNCTION("""COMPUTED_VALUE"""),6)</f>
        <v>6</v>
      </c>
    </row>
    <row r="147" spans="1:7" ht="12.75">
      <c r="A147" t="str">
        <f ca="1">IFERROR(__xludf.DUMMYFUNCTION("""COMPUTED_VALUE"""),"T143")</f>
        <v>T143</v>
      </c>
      <c r="B147" t="str">
        <f ca="1">IFERROR(__xludf.DUMMYFUNCTION("""COMPUTED_VALUE"""),"T142")</f>
        <v>T142</v>
      </c>
      <c r="C147" t="str">
        <f ca="1">IFERROR(__xludf.DUMMYFUNCTION("""COMPUTED_VALUE"""),"Chan Kim")</f>
        <v>Chan Kim</v>
      </c>
      <c r="D147">
        <f ca="1">IFERROR(__xludf.DUMMYFUNCTION("""COMPUTED_VALUE"""),6)</f>
        <v>6</v>
      </c>
      <c r="E147">
        <f ca="1">IFERROR(__xludf.DUMMYFUNCTION("""COMPUTED_VALUE"""),28.57)</f>
        <v>28.57</v>
      </c>
      <c r="F147">
        <f ca="1">IFERROR(__xludf.DUMMYFUNCTION("""COMPUTED_VALUE"""),21)</f>
        <v>21</v>
      </c>
      <c r="G147">
        <f ca="1">IFERROR(__xludf.DUMMYFUNCTION("""COMPUTED_VALUE"""),6)</f>
        <v>6</v>
      </c>
    </row>
    <row r="148" spans="1:7" ht="12.75">
      <c r="A148" t="str">
        <f ca="1">IFERROR(__xludf.DUMMYFUNCTION("""COMPUTED_VALUE"""),"T143")</f>
        <v>T143</v>
      </c>
      <c r="B148" t="str">
        <f ca="1">IFERROR(__xludf.DUMMYFUNCTION("""COMPUTED_VALUE"""),"T142")</f>
        <v>T142</v>
      </c>
      <c r="C148" t="str">
        <f ca="1">IFERROR(__xludf.DUMMYFUNCTION("""COMPUTED_VALUE"""),"Joaquin Niemann")</f>
        <v>Joaquin Niemann</v>
      </c>
      <c r="D148">
        <f ca="1">IFERROR(__xludf.DUMMYFUNCTION("""COMPUTED_VALUE"""),16)</f>
        <v>16</v>
      </c>
      <c r="E148">
        <f ca="1">IFERROR(__xludf.DUMMYFUNCTION("""COMPUTED_VALUE"""),28.57)</f>
        <v>28.57</v>
      </c>
      <c r="F148">
        <f ca="1">IFERROR(__xludf.DUMMYFUNCTION("""COMPUTED_VALUE"""),42)</f>
        <v>42</v>
      </c>
      <c r="G148">
        <f ca="1">IFERROR(__xludf.DUMMYFUNCTION("""COMPUTED_VALUE"""),12)</f>
        <v>12</v>
      </c>
    </row>
    <row r="149" spans="1:7" ht="12.75">
      <c r="A149">
        <f ca="1">IFERROR(__xludf.DUMMYFUNCTION("""COMPUTED_VALUE"""),148)</f>
        <v>148</v>
      </c>
      <c r="B149">
        <f ca="1">IFERROR(__xludf.DUMMYFUNCTION("""COMPUTED_VALUE"""),187)</f>
        <v>187</v>
      </c>
      <c r="C149" t="str">
        <f ca="1">IFERROR(__xludf.DUMMYFUNCTION("""COMPUTED_VALUE"""),"Doc Redman")</f>
        <v>Doc Redman</v>
      </c>
      <c r="D149">
        <f ca="1">IFERROR(__xludf.DUMMYFUNCTION("""COMPUTED_VALUE"""),18)</f>
        <v>18</v>
      </c>
      <c r="E149">
        <f ca="1">IFERROR(__xludf.DUMMYFUNCTION("""COMPUTED_VALUE"""),28.21)</f>
        <v>28.21</v>
      </c>
      <c r="F149">
        <f ca="1">IFERROR(__xludf.DUMMYFUNCTION("""COMPUTED_VALUE"""),39)</f>
        <v>39</v>
      </c>
      <c r="G149">
        <f ca="1">IFERROR(__xludf.DUMMYFUNCTION("""COMPUTED_VALUE"""),11)</f>
        <v>11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IFERROR(__xludf.DUMMYFUNCTION("""COMPUTED_VALUE"""),145)</f>
        <v>145</v>
      </c>
      <c r="C150" t="str">
        <f ca="1">IFERROR(__xludf.DUMMYFUNCTION("""COMPUTED_VALUE"""),"Cameron Champ")</f>
        <v>Cameron Champ</v>
      </c>
      <c r="D150">
        <f ca="1">IFERROR(__xludf.DUMMYFUNCTION("""COMPUTED_VALUE"""),12)</f>
        <v>12</v>
      </c>
      <c r="E150">
        <f ca="1">IFERROR(__xludf.DUMMYFUNCTION("""COMPUTED_VALUE"""),28.13)</f>
        <v>28.13</v>
      </c>
      <c r="F150">
        <f ca="1">IFERROR(__xludf.DUMMYFUNCTION("""COMPUTED_VALUE"""),32)</f>
        <v>32</v>
      </c>
      <c r="G150">
        <f ca="1">IFERROR(__xludf.DUMMYFUNCTION("""COMPUTED_VALUE"""),9)</f>
        <v>9</v>
      </c>
    </row>
    <row r="151" spans="1:7" ht="12.75">
      <c r="A151" t="str">
        <f ca="1">IFERROR(__xludf.DUMMYFUNCTION("""COMPUTED_VALUE"""),"T150")</f>
        <v>T150</v>
      </c>
      <c r="B151">
        <f ca="1">IFERROR(__xludf.DUMMYFUNCTION("""COMPUTED_VALUE"""),133)</f>
        <v>133</v>
      </c>
      <c r="C151" t="str">
        <f ca="1">IFERROR(__xludf.DUMMYFUNCTION("""COMPUTED_VALUE"""),"Adam Long")</f>
        <v>Adam Long</v>
      </c>
      <c r="D151">
        <f ca="1">IFERROR(__xludf.DUMMYFUNCTION("""COMPUTED_VALUE"""),22)</f>
        <v>22</v>
      </c>
      <c r="E151">
        <f ca="1">IFERROR(__xludf.DUMMYFUNCTION("""COMPUTED_VALUE"""),28)</f>
        <v>28</v>
      </c>
      <c r="F151">
        <f ca="1">IFERROR(__xludf.DUMMYFUNCTION("""COMPUTED_VALUE"""),50)</f>
        <v>50</v>
      </c>
      <c r="G151">
        <f ca="1">IFERROR(__xludf.DUMMYFUNCTION("""COMPUTED_VALUE"""),14)</f>
        <v>14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IFERROR(__xludf.DUMMYFUNCTION("""COMPUTED_VALUE"""),"T197")</f>
        <v>T197</v>
      </c>
      <c r="C152" t="str">
        <f ca="1">IFERROR(__xludf.DUMMYFUNCTION("""COMPUTED_VALUE"""),"Dustin Johnson")</f>
        <v>Dustin Johnson</v>
      </c>
      <c r="D152">
        <f ca="1">IFERROR(__xludf.DUMMYFUNCTION("""COMPUTED_VALUE"""),8)</f>
        <v>8</v>
      </c>
      <c r="E152">
        <f ca="1">IFERROR(__xludf.DUMMYFUNCTION("""COMPUTED_VALUE"""),28)</f>
        <v>28</v>
      </c>
      <c r="F152">
        <f ca="1">IFERROR(__xludf.DUMMYFUNCTION("""COMPUTED_VALUE"""),25)</f>
        <v>25</v>
      </c>
      <c r="G152">
        <f ca="1">IFERROR(__xludf.DUMMYFUNCTION("""COMPUTED_VALUE"""),7)</f>
        <v>7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IFERROR(__xludf.DUMMYFUNCTION("""COMPUTED_VALUE"""),175)</f>
        <v>175</v>
      </c>
      <c r="C153" t="str">
        <f ca="1">IFERROR(__xludf.DUMMYFUNCTION("""COMPUTED_VALUE"""),"Cameron Davis")</f>
        <v>Cameron Davis</v>
      </c>
      <c r="D153">
        <f ca="1">IFERROR(__xludf.DUMMYFUNCTION("""COMPUTED_VALUE"""),16)</f>
        <v>16</v>
      </c>
      <c r="E153">
        <f ca="1">IFERROR(__xludf.DUMMYFUNCTION("""COMPUTED_VALUE"""),27.91)</f>
        <v>27.91</v>
      </c>
      <c r="F153">
        <f ca="1">IFERROR(__xludf.DUMMYFUNCTION("""COMPUTED_VALUE"""),43)</f>
        <v>43</v>
      </c>
      <c r="G153">
        <f ca="1">IFERROR(__xludf.DUMMYFUNCTION("""COMPUTED_VALUE"""),12)</f>
        <v>12</v>
      </c>
    </row>
    <row r="154" spans="1:7" ht="12.75">
      <c r="A154">
        <f ca="1">IFERROR(__xludf.DUMMYFUNCTION("""COMPUTED_VALUE"""),153)</f>
        <v>153</v>
      </c>
      <c r="B154">
        <f ca="1">IFERROR(__xludf.DUMMYFUNCTION("""COMPUTED_VALUE"""),146)</f>
        <v>146</v>
      </c>
      <c r="C154" t="str">
        <f ca="1">IFERROR(__xludf.DUMMYFUNCTION("""COMPUTED_VALUE"""),"Vincent Whaley")</f>
        <v>Vincent Whaley</v>
      </c>
      <c r="D154">
        <f ca="1">IFERROR(__xludf.DUMMYFUNCTION("""COMPUTED_VALUE"""),14)</f>
        <v>14</v>
      </c>
      <c r="E154">
        <f ca="1">IFERROR(__xludf.DUMMYFUNCTION("""COMPUTED_VALUE"""),27.78)</f>
        <v>27.78</v>
      </c>
      <c r="F154">
        <f ca="1">IFERROR(__xludf.DUMMYFUNCTION("""COMPUTED_VALUE"""),18)</f>
        <v>18</v>
      </c>
      <c r="G154">
        <f ca="1">IFERROR(__xludf.DUMMYFUNCTION("""COMPUTED_VALUE"""),5)</f>
        <v>5</v>
      </c>
    </row>
    <row r="155" spans="1:7" ht="12.75">
      <c r="A155">
        <f ca="1">IFERROR(__xludf.DUMMYFUNCTION("""COMPUTED_VALUE"""),154)</f>
        <v>154</v>
      </c>
      <c r="B155" t="str">
        <f ca="1">IFERROR(__xludf.DUMMYFUNCTION("""COMPUTED_VALUE"""),"T135")</f>
        <v>T135</v>
      </c>
      <c r="C155" t="str">
        <f ca="1">IFERROR(__xludf.DUMMYFUNCTION("""COMPUTED_VALUE"""),"Danny Lee")</f>
        <v>Danny Lee</v>
      </c>
      <c r="D155">
        <f ca="1">IFERROR(__xludf.DUMMYFUNCTION("""COMPUTED_VALUE"""),15)</f>
        <v>15</v>
      </c>
      <c r="E155">
        <f ca="1">IFERROR(__xludf.DUMMYFUNCTION("""COMPUTED_VALUE"""),27.66)</f>
        <v>27.66</v>
      </c>
      <c r="F155">
        <f ca="1">IFERROR(__xludf.DUMMYFUNCTION("""COMPUTED_VALUE"""),47)</f>
        <v>47</v>
      </c>
      <c r="G155">
        <f ca="1">IFERROR(__xludf.DUMMYFUNCTION("""COMPUTED_VALUE"""),13)</f>
        <v>13</v>
      </c>
    </row>
    <row r="156" spans="1:7" ht="12.75">
      <c r="A156" t="str">
        <f ca="1">IFERROR(__xludf.DUMMYFUNCTION("""COMPUTED_VALUE"""),"T155")</f>
        <v>T155</v>
      </c>
      <c r="B156">
        <f ca="1">IFERROR(__xludf.DUMMYFUNCTION("""COMPUTED_VALUE"""),134)</f>
        <v>134</v>
      </c>
      <c r="C156" t="str">
        <f ca="1">IFERROR(__xludf.DUMMYFUNCTION("""COMPUTED_VALUE"""),"Jordan Spieth")</f>
        <v>Jordan Spieth</v>
      </c>
      <c r="D156">
        <f ca="1">IFERROR(__xludf.DUMMYFUNCTION("""COMPUTED_VALUE"""),14)</f>
        <v>14</v>
      </c>
      <c r="E156">
        <f ca="1">IFERROR(__xludf.DUMMYFUNCTION("""COMPUTED_VALUE"""),27.45)</f>
        <v>27.45</v>
      </c>
      <c r="F156">
        <f ca="1">IFERROR(__xludf.DUMMYFUNCTION("""COMPUTED_VALUE"""),51)</f>
        <v>51</v>
      </c>
      <c r="G156">
        <f ca="1">IFERROR(__xludf.DUMMYFUNCTION("""COMPUTED_VALUE"""),14)</f>
        <v>14</v>
      </c>
    </row>
    <row r="157" spans="1:7" ht="12.75">
      <c r="A157" t="str">
        <f ca="1">IFERROR(__xludf.DUMMYFUNCTION("""COMPUTED_VALUE"""),"T155")</f>
        <v>T155</v>
      </c>
      <c r="B157">
        <f ca="1">IFERROR(__xludf.DUMMYFUNCTION("""COMPUTED_VALUE"""),147)</f>
        <v>147</v>
      </c>
      <c r="C157" t="str">
        <f ca="1">IFERROR(__xludf.DUMMYFUNCTION("""COMPUTED_VALUE"""),"Matthew Wolff")</f>
        <v>Matthew Wolff</v>
      </c>
      <c r="D157">
        <f ca="1">IFERROR(__xludf.DUMMYFUNCTION("""COMPUTED_VALUE"""),16)</f>
        <v>16</v>
      </c>
      <c r="E157">
        <f ca="1">IFERROR(__xludf.DUMMYFUNCTION("""COMPUTED_VALUE"""),27.45)</f>
        <v>27.45</v>
      </c>
      <c r="F157">
        <f ca="1">IFERROR(__xludf.DUMMYFUNCTION("""COMPUTED_VALUE"""),51)</f>
        <v>51</v>
      </c>
      <c r="G157">
        <f ca="1">IFERROR(__xludf.DUMMYFUNCTION("""COMPUTED_VALUE"""),14)</f>
        <v>14</v>
      </c>
    </row>
    <row r="158" spans="1:7" ht="12.75">
      <c r="A158" t="str">
        <f ca="1">IFERROR(__xludf.DUMMYFUNCTION("""COMPUTED_VALUE"""),"T157")</f>
        <v>T157</v>
      </c>
      <c r="B158" t="str">
        <f ca="1">IFERROR(__xludf.DUMMYFUNCTION("""COMPUTED_VALUE"""),"")</f>
        <v/>
      </c>
      <c r="C158" t="str">
        <f ca="1">IFERROR(__xludf.DUMMYFUNCTION("""COMPUTED_VALUE"""),"Erik Barnes")</f>
        <v>Erik Barnes</v>
      </c>
      <c r="D158">
        <f ca="1">IFERROR(__xludf.DUMMYFUNCTION("""COMPUTED_VALUE"""),4)</f>
        <v>4</v>
      </c>
      <c r="E158">
        <f ca="1">IFERROR(__xludf.DUMMYFUNCTION("""COMPUTED_VALUE"""),27.27)</f>
        <v>27.27</v>
      </c>
      <c r="F158">
        <f ca="1">IFERROR(__xludf.DUMMYFUNCTION("""COMPUTED_VALUE"""),11)</f>
        <v>11</v>
      </c>
      <c r="G158">
        <f ca="1">IFERROR(__xludf.DUMMYFUNCTION("""COMPUTED_VALUE"""),3)</f>
        <v>3</v>
      </c>
    </row>
    <row r="159" spans="1:7" ht="12.75">
      <c r="A159" t="str">
        <f ca="1">IFERROR(__xludf.DUMMYFUNCTION("""COMPUTED_VALUE"""),"T157")</f>
        <v>T157</v>
      </c>
      <c r="B159" t="str">
        <f ca="1">IFERROR(__xludf.DUMMYFUNCTION("""COMPUTED_VALUE"""),"T148")</f>
        <v>T148</v>
      </c>
      <c r="C159" t="str">
        <f ca="1">IFERROR(__xludf.DUMMYFUNCTION("""COMPUTED_VALUE"""),"Romain Langasque")</f>
        <v>Romain Langasque</v>
      </c>
      <c r="D159">
        <f ca="1">IFERROR(__xludf.DUMMYFUNCTION("""COMPUTED_VALUE"""),4)</f>
        <v>4</v>
      </c>
      <c r="E159">
        <f ca="1">IFERROR(__xludf.DUMMYFUNCTION("""COMPUTED_VALUE"""),27.27)</f>
        <v>27.27</v>
      </c>
      <c r="F159">
        <f ca="1">IFERROR(__xludf.DUMMYFUNCTION("""COMPUTED_VALUE"""),11)</f>
        <v>11</v>
      </c>
      <c r="G159">
        <f ca="1">IFERROR(__xludf.DUMMYFUNCTION("""COMPUTED_VALUE"""),3)</f>
        <v>3</v>
      </c>
    </row>
    <row r="160" spans="1:7" ht="12.75">
      <c r="A160" t="str">
        <f ca="1">IFERROR(__xludf.DUMMYFUNCTION("""COMPUTED_VALUE"""),"T157")</f>
        <v>T157</v>
      </c>
      <c r="B160" t="str">
        <f ca="1">IFERROR(__xludf.DUMMYFUNCTION("""COMPUTED_VALUE"""),"T148")</f>
        <v>T148</v>
      </c>
      <c r="C160" t="str">
        <f ca="1">IFERROR(__xludf.DUMMYFUNCTION("""COMPUTED_VALUE"""),"Renato Paratore")</f>
        <v>Renato Paratore</v>
      </c>
      <c r="D160">
        <f ca="1">IFERROR(__xludf.DUMMYFUNCTION("""COMPUTED_VALUE"""),4)</f>
        <v>4</v>
      </c>
      <c r="E160">
        <f ca="1">IFERROR(__xludf.DUMMYFUNCTION("""COMPUTED_VALUE"""),27.27)</f>
        <v>27.27</v>
      </c>
      <c r="F160">
        <f ca="1">IFERROR(__xludf.DUMMYFUNCTION("""COMPUTED_VALUE"""),11)</f>
        <v>11</v>
      </c>
      <c r="G160">
        <f ca="1">IFERROR(__xludf.DUMMYFUNCTION("""COMPUTED_VALUE"""),3)</f>
        <v>3</v>
      </c>
    </row>
    <row r="161" spans="1:7" ht="12.75">
      <c r="A161" t="str">
        <f ca="1">IFERROR(__xludf.DUMMYFUNCTION("""COMPUTED_VALUE"""),"T157")</f>
        <v>T157</v>
      </c>
      <c r="B161" t="str">
        <f ca="1">IFERROR(__xludf.DUMMYFUNCTION("""COMPUTED_VALUE"""),"T148")</f>
        <v>T148</v>
      </c>
      <c r="C161" t="str">
        <f ca="1">IFERROR(__xludf.DUMMYFUNCTION("""COMPUTED_VALUE"""),"Bud Cauley")</f>
        <v>Bud Cauley</v>
      </c>
      <c r="D161">
        <f ca="1">IFERROR(__xludf.DUMMYFUNCTION("""COMPUTED_VALUE"""),4)</f>
        <v>4</v>
      </c>
      <c r="E161">
        <f ca="1">IFERROR(__xludf.DUMMYFUNCTION("""COMPUTED_VALUE"""),27.27)</f>
        <v>27.27</v>
      </c>
      <c r="F161">
        <f ca="1">IFERROR(__xludf.DUMMYFUNCTION("""COMPUTED_VALUE"""),11)</f>
        <v>11</v>
      </c>
      <c r="G161">
        <f ca="1">IFERROR(__xludf.DUMMYFUNCTION("""COMPUTED_VALUE"""),3)</f>
        <v>3</v>
      </c>
    </row>
    <row r="162" spans="1:7" ht="12.75">
      <c r="A162" t="str">
        <f ca="1">IFERROR(__xludf.DUMMYFUNCTION("""COMPUTED_VALUE"""),"T157")</f>
        <v>T157</v>
      </c>
      <c r="B162" t="str">
        <f ca="1">IFERROR(__xludf.DUMMYFUNCTION("""COMPUTED_VALUE"""),"T148")</f>
        <v>T148</v>
      </c>
      <c r="C162" t="str">
        <f ca="1">IFERROR(__xludf.DUMMYFUNCTION("""COMPUTED_VALUE"""),"Thomas Detry")</f>
        <v>Thomas Detry</v>
      </c>
      <c r="D162">
        <f ca="1">IFERROR(__xludf.DUMMYFUNCTION("""COMPUTED_VALUE"""),8)</f>
        <v>8</v>
      </c>
      <c r="E162">
        <f ca="1">IFERROR(__xludf.DUMMYFUNCTION("""COMPUTED_VALUE"""),27.27)</f>
        <v>27.27</v>
      </c>
      <c r="F162">
        <f ca="1">IFERROR(__xludf.DUMMYFUNCTION("""COMPUTED_VALUE"""),11)</f>
        <v>11</v>
      </c>
      <c r="G162">
        <f ca="1">IFERROR(__xludf.DUMMYFUNCTION("""COMPUTED_VALUE"""),3)</f>
        <v>3</v>
      </c>
    </row>
    <row r="163" spans="1:7" ht="12.75">
      <c r="A163" t="str">
        <f ca="1">IFERROR(__xludf.DUMMYFUNCTION("""COMPUTED_VALUE"""),"T157")</f>
        <v>T157</v>
      </c>
      <c r="B163" t="str">
        <f ca="1">IFERROR(__xludf.DUMMYFUNCTION("""COMPUTED_VALUE"""),"T123")</f>
        <v>T123</v>
      </c>
      <c r="C163" t="str">
        <f ca="1">IFERROR(__xludf.DUMMYFUNCTION("""COMPUTED_VALUE"""),"Nate Lashley")</f>
        <v>Nate Lashley</v>
      </c>
      <c r="D163">
        <f ca="1">IFERROR(__xludf.DUMMYFUNCTION("""COMPUTED_VALUE"""),16)</f>
        <v>16</v>
      </c>
      <c r="E163">
        <f ca="1">IFERROR(__xludf.DUMMYFUNCTION("""COMPUTED_VALUE"""),27.27)</f>
        <v>27.27</v>
      </c>
      <c r="F163">
        <f ca="1">IFERROR(__xludf.DUMMYFUNCTION("""COMPUTED_VALUE"""),33)</f>
        <v>33</v>
      </c>
      <c r="G163">
        <f ca="1">IFERROR(__xludf.DUMMYFUNCTION("""COMPUTED_VALUE"""),9)</f>
        <v>9</v>
      </c>
    </row>
    <row r="164" spans="1:7" ht="12.75">
      <c r="A164" t="str">
        <f ca="1">IFERROR(__xludf.DUMMYFUNCTION("""COMPUTED_VALUE"""),"T157")</f>
        <v>T157</v>
      </c>
      <c r="B164" t="str">
        <f ca="1">IFERROR(__xludf.DUMMYFUNCTION("""COMPUTED_VALUE"""),"T148")</f>
        <v>T148</v>
      </c>
      <c r="C164" t="str">
        <f ca="1">IFERROR(__xludf.DUMMYFUNCTION("""COMPUTED_VALUE"""),"Jay McLuen")</f>
        <v>Jay McLuen</v>
      </c>
      <c r="D164">
        <f ca="1">IFERROR(__xludf.DUMMYFUNCTION("""COMPUTED_VALUE"""),4)</f>
        <v>4</v>
      </c>
      <c r="E164">
        <f ca="1">IFERROR(__xludf.DUMMYFUNCTION("""COMPUTED_VALUE"""),27.27)</f>
        <v>27.27</v>
      </c>
      <c r="F164">
        <f ca="1">IFERROR(__xludf.DUMMYFUNCTION("""COMPUTED_VALUE"""),11)</f>
        <v>11</v>
      </c>
      <c r="G164">
        <f ca="1">IFERROR(__xludf.DUMMYFUNCTION("""COMPUTED_VALUE"""),3)</f>
        <v>3</v>
      </c>
    </row>
    <row r="165" spans="1:7" ht="12.75">
      <c r="A165" t="str">
        <f ca="1">IFERROR(__xludf.DUMMYFUNCTION("""COMPUTED_VALUE"""),"T157")</f>
        <v>T157</v>
      </c>
      <c r="B165" t="str">
        <f ca="1">IFERROR(__xludf.DUMMYFUNCTION("""COMPUTED_VALUE"""),"T164")</f>
        <v>T164</v>
      </c>
      <c r="C165" t="str">
        <f ca="1">IFERROR(__xludf.DUMMYFUNCTION("""COMPUTED_VALUE"""),"Martin Laird")</f>
        <v>Martin Laird</v>
      </c>
      <c r="D165">
        <f ca="1">IFERROR(__xludf.DUMMYFUNCTION("""COMPUTED_VALUE"""),16)</f>
        <v>16</v>
      </c>
      <c r="E165">
        <f ca="1">IFERROR(__xludf.DUMMYFUNCTION("""COMPUTED_VALUE"""),27.27)</f>
        <v>27.27</v>
      </c>
      <c r="F165">
        <f ca="1">IFERROR(__xludf.DUMMYFUNCTION("""COMPUTED_VALUE"""),33)</f>
        <v>33</v>
      </c>
      <c r="G165">
        <f ca="1">IFERROR(__xludf.DUMMYFUNCTION("""COMPUTED_VALUE"""),9)</f>
        <v>9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IFERROR(__xludf.DUMMYFUNCTION("""COMPUTED_VALUE"""),155)</f>
        <v>155</v>
      </c>
      <c r="C166" t="str">
        <f ca="1">IFERROR(__xludf.DUMMYFUNCTION("""COMPUTED_VALUE"""),"K.J. Choi")</f>
        <v>K.J. Choi</v>
      </c>
      <c r="D166">
        <f ca="1">IFERROR(__xludf.DUMMYFUNCTION("""COMPUTED_VALUE"""),6)</f>
        <v>6</v>
      </c>
      <c r="E166">
        <f ca="1">IFERROR(__xludf.DUMMYFUNCTION("""COMPUTED_VALUE"""),26.92)</f>
        <v>26.92</v>
      </c>
      <c r="F166">
        <f ca="1">IFERROR(__xludf.DUMMYFUNCTION("""COMPUTED_VALUE"""),26)</f>
        <v>26</v>
      </c>
      <c r="G166">
        <f ca="1">IFERROR(__xludf.DUMMYFUNCTION("""COMPUTED_VALUE"""),7)</f>
        <v>7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IFERROR(__xludf.DUMMYFUNCTION("""COMPUTED_VALUE"""),"T156")</f>
        <v>T156</v>
      </c>
      <c r="C167" t="str">
        <f ca="1">IFERROR(__xludf.DUMMYFUNCTION("""COMPUTED_VALUE"""),"Aaron Baddeley")</f>
        <v>Aaron Baddeley</v>
      </c>
      <c r="D167">
        <f ca="1">IFERROR(__xludf.DUMMYFUNCTION("""COMPUTED_VALUE"""),8)</f>
        <v>8</v>
      </c>
      <c r="E167">
        <f ca="1">IFERROR(__xludf.DUMMYFUNCTION("""COMPUTED_VALUE"""),26.67)</f>
        <v>26.67</v>
      </c>
      <c r="F167">
        <f ca="1">IFERROR(__xludf.DUMMYFUNCTION("""COMPUTED_VALUE"""),15)</f>
        <v>15</v>
      </c>
      <c r="G167">
        <f ca="1">IFERROR(__xludf.DUMMYFUNCTION("""COMPUTED_VALUE"""),4)</f>
        <v>4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IFERROR(__xludf.DUMMYFUNCTION("""COMPUTED_VALUE"""),"T120")</f>
        <v>T120</v>
      </c>
      <c r="C168" t="str">
        <f ca="1">IFERROR(__xludf.DUMMYFUNCTION("""COMPUTED_VALUE"""),"Sergio Garcia")</f>
        <v>Sergio Garcia</v>
      </c>
      <c r="D168">
        <f ca="1">IFERROR(__xludf.DUMMYFUNCTION("""COMPUTED_VALUE"""),18)</f>
        <v>18</v>
      </c>
      <c r="E168">
        <f ca="1">IFERROR(__xludf.DUMMYFUNCTION("""COMPUTED_VALUE"""),26.67)</f>
        <v>26.67</v>
      </c>
      <c r="F168">
        <f ca="1">IFERROR(__xludf.DUMMYFUNCTION("""COMPUTED_VALUE"""),45)</f>
        <v>45</v>
      </c>
      <c r="G168">
        <f ca="1">IFERROR(__xludf.DUMMYFUNCTION("""COMPUTED_VALUE"""),12)</f>
        <v>12</v>
      </c>
    </row>
    <row r="169" spans="1:7" ht="12.75">
      <c r="A169" t="str">
        <f ca="1">IFERROR(__xludf.DUMMYFUNCTION("""COMPUTED_VALUE"""),"T166")</f>
        <v>T166</v>
      </c>
      <c r="B169" t="str">
        <f ca="1">IFERROR(__xludf.DUMMYFUNCTION("""COMPUTED_VALUE"""),"T156")</f>
        <v>T156</v>
      </c>
      <c r="C169" t="str">
        <f ca="1">IFERROR(__xludf.DUMMYFUNCTION("""COMPUTED_VALUE"""),"Hanbyeol Kim")</f>
        <v>Hanbyeol Kim</v>
      </c>
      <c r="D169">
        <f ca="1">IFERROR(__xludf.DUMMYFUNCTION("""COMPUTED_VALUE"""),4)</f>
        <v>4</v>
      </c>
      <c r="E169">
        <f ca="1">IFERROR(__xludf.DUMMYFUNCTION("""COMPUTED_VALUE"""),26.67)</f>
        <v>26.67</v>
      </c>
      <c r="F169">
        <f ca="1">IFERROR(__xludf.DUMMYFUNCTION("""COMPUTED_VALUE"""),15)</f>
        <v>15</v>
      </c>
      <c r="G169">
        <f ca="1">IFERROR(__xludf.DUMMYFUNCTION("""COMPUTED_VALUE"""),4)</f>
        <v>4</v>
      </c>
    </row>
    <row r="170" spans="1:7" ht="12.75">
      <c r="A170">
        <f ca="1">IFERROR(__xludf.DUMMYFUNCTION("""COMPUTED_VALUE"""),169)</f>
        <v>169</v>
      </c>
      <c r="B170">
        <f ca="1">IFERROR(__xludf.DUMMYFUNCTION("""COMPUTED_VALUE"""),137)</f>
        <v>137</v>
      </c>
      <c r="C170" t="str">
        <f ca="1">IFERROR(__xludf.DUMMYFUNCTION("""COMPUTED_VALUE"""),"Tyler Duncan")</f>
        <v>Tyler Duncan</v>
      </c>
      <c r="D170">
        <f ca="1">IFERROR(__xludf.DUMMYFUNCTION("""COMPUTED_VALUE"""),18)</f>
        <v>18</v>
      </c>
      <c r="E170">
        <f ca="1">IFERROR(__xludf.DUMMYFUNCTION("""COMPUTED_VALUE"""),26.53)</f>
        <v>26.53</v>
      </c>
      <c r="F170">
        <f ca="1">IFERROR(__xludf.DUMMYFUNCTION("""COMPUTED_VALUE"""),49)</f>
        <v>49</v>
      </c>
      <c r="G170">
        <f ca="1">IFERROR(__xludf.DUMMYFUNCTION("""COMPUTED_VALUE"""),13)</f>
        <v>13</v>
      </c>
    </row>
    <row r="171" spans="1:7" ht="12.75">
      <c r="A171">
        <f ca="1">IFERROR(__xludf.DUMMYFUNCTION("""COMPUTED_VALUE"""),170)</f>
        <v>170</v>
      </c>
      <c r="B171" t="str">
        <f ca="1">IFERROR(__xludf.DUMMYFUNCTION("""COMPUTED_VALUE"""),"T107")</f>
        <v>T107</v>
      </c>
      <c r="C171" t="str">
        <f ca="1">IFERROR(__xludf.DUMMYFUNCTION("""COMPUTED_VALUE"""),"Scott Piercy")</f>
        <v>Scott Piercy</v>
      </c>
      <c r="D171">
        <f ca="1">IFERROR(__xludf.DUMMYFUNCTION("""COMPUTED_VALUE"""),18)</f>
        <v>18</v>
      </c>
      <c r="E171">
        <f ca="1">IFERROR(__xludf.DUMMYFUNCTION("""COMPUTED_VALUE"""),26.32)</f>
        <v>26.32</v>
      </c>
      <c r="F171">
        <f ca="1">IFERROR(__xludf.DUMMYFUNCTION("""COMPUTED_VALUE"""),38)</f>
        <v>38</v>
      </c>
      <c r="G171">
        <f ca="1">IFERROR(__xludf.DUMMYFUNCTION("""COMPUTED_VALUE"""),10)</f>
        <v>10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IFERROR(__xludf.DUMMYFUNCTION("""COMPUTED_VALUE"""),"T123")</f>
        <v>T123</v>
      </c>
      <c r="C172" t="str">
        <f ca="1">IFERROR(__xludf.DUMMYFUNCTION("""COMPUTED_VALUE"""),"Russell Henley")</f>
        <v>Russell Henley</v>
      </c>
      <c r="D172">
        <f ca="1">IFERROR(__xludf.DUMMYFUNCTION("""COMPUTED_VALUE"""),16)</f>
        <v>16</v>
      </c>
      <c r="E172">
        <f ca="1">IFERROR(__xludf.DUMMYFUNCTION("""COMPUTED_VALUE"""),26.09)</f>
        <v>26.09</v>
      </c>
      <c r="F172">
        <f ca="1">IFERROR(__xludf.DUMMYFUNCTION("""COMPUTED_VALUE"""),46)</f>
        <v>46</v>
      </c>
      <c r="G172">
        <f ca="1">IFERROR(__xludf.DUMMYFUNCTION("""COMPUTED_VALUE"""),12)</f>
        <v>12</v>
      </c>
    </row>
    <row r="173" spans="1:7" ht="12.75">
      <c r="A173" t="str">
        <f ca="1">IFERROR(__xludf.DUMMYFUNCTION("""COMPUTED_VALUE"""),"T171")</f>
        <v>T171</v>
      </c>
      <c r="B173" t="str">
        <f ca="1">IFERROR(__xludf.DUMMYFUNCTION("""COMPUTED_VALUE"""),"T180")</f>
        <v>T180</v>
      </c>
      <c r="C173" t="str">
        <f ca="1">IFERROR(__xludf.DUMMYFUNCTION("""COMPUTED_VALUE"""),"Scottie Scheffler")</f>
        <v>Scottie Scheffler</v>
      </c>
      <c r="D173">
        <f ca="1">IFERROR(__xludf.DUMMYFUNCTION("""COMPUTED_VALUE"""),18)</f>
        <v>18</v>
      </c>
      <c r="E173">
        <f ca="1">IFERROR(__xludf.DUMMYFUNCTION("""COMPUTED_VALUE"""),26.09)</f>
        <v>26.09</v>
      </c>
      <c r="F173">
        <f ca="1">IFERROR(__xludf.DUMMYFUNCTION("""COMPUTED_VALUE"""),46)</f>
        <v>46</v>
      </c>
      <c r="G173">
        <f ca="1">IFERROR(__xludf.DUMMYFUNCTION("""COMPUTED_VALUE"""),12)</f>
        <v>12</v>
      </c>
    </row>
    <row r="174" spans="1:7" ht="12.75">
      <c r="A174">
        <f ca="1">IFERROR(__xludf.DUMMYFUNCTION("""COMPUTED_VALUE"""),173)</f>
        <v>173</v>
      </c>
      <c r="B174" t="str">
        <f ca="1">IFERROR(__xludf.DUMMYFUNCTION("""COMPUTED_VALUE"""),"T160")</f>
        <v>T160</v>
      </c>
      <c r="C174" t="str">
        <f ca="1">IFERROR(__xludf.DUMMYFUNCTION("""COMPUTED_VALUE"""),"Kyle Stanley")</f>
        <v>Kyle Stanley</v>
      </c>
      <c r="D174">
        <f ca="1">IFERROR(__xludf.DUMMYFUNCTION("""COMPUTED_VALUE"""),16)</f>
        <v>16</v>
      </c>
      <c r="E174">
        <f ca="1">IFERROR(__xludf.DUMMYFUNCTION("""COMPUTED_VALUE"""),25.93)</f>
        <v>25.93</v>
      </c>
      <c r="F174">
        <f ca="1">IFERROR(__xludf.DUMMYFUNCTION("""COMPUTED_VALUE"""),27)</f>
        <v>27</v>
      </c>
      <c r="G174">
        <f ca="1">IFERROR(__xludf.DUMMYFUNCTION("""COMPUTED_VALUE"""),7)</f>
        <v>7</v>
      </c>
    </row>
    <row r="175" spans="1:7" ht="12.75">
      <c r="A175" t="str">
        <f ca="1">IFERROR(__xludf.DUMMYFUNCTION("""COMPUTED_VALUE"""),"T174")</f>
        <v>T174</v>
      </c>
      <c r="B175">
        <f ca="1">IFERROR(__xludf.DUMMYFUNCTION("""COMPUTED_VALUE"""),176)</f>
        <v>176</v>
      </c>
      <c r="C175" t="str">
        <f ca="1">IFERROR(__xludf.DUMMYFUNCTION("""COMPUTED_VALUE"""),"Charl Schwartzel")</f>
        <v>Charl Schwartzel</v>
      </c>
      <c r="D175">
        <f ca="1">IFERROR(__xludf.DUMMYFUNCTION("""COMPUTED_VALUE"""),12)</f>
        <v>12</v>
      </c>
      <c r="E175">
        <f ca="1">IFERROR(__xludf.DUMMYFUNCTION("""COMPUTED_VALUE"""),25.81)</f>
        <v>25.81</v>
      </c>
      <c r="F175">
        <f ca="1">IFERROR(__xludf.DUMMYFUNCTION("""COMPUTED_VALUE"""),31)</f>
        <v>31</v>
      </c>
      <c r="G175">
        <f ca="1">IFERROR(__xludf.DUMMYFUNCTION("""COMPUTED_VALUE"""),8)</f>
        <v>8</v>
      </c>
    </row>
    <row r="176" spans="1:7" ht="12.75">
      <c r="A176" t="str">
        <f ca="1">IFERROR(__xludf.DUMMYFUNCTION("""COMPUTED_VALUE"""),"T174")</f>
        <v>T174</v>
      </c>
      <c r="B176">
        <f ca="1">IFERROR(__xludf.DUMMYFUNCTION("""COMPUTED_VALUE"""),162)</f>
        <v>162</v>
      </c>
      <c r="C176" t="str">
        <f ca="1">IFERROR(__xludf.DUMMYFUNCTION("""COMPUTED_VALUE"""),"Jon Rahm")</f>
        <v>Jon Rahm</v>
      </c>
      <c r="D176">
        <f ca="1">IFERROR(__xludf.DUMMYFUNCTION("""COMPUTED_VALUE"""),12)</f>
        <v>12</v>
      </c>
      <c r="E176">
        <f ca="1">IFERROR(__xludf.DUMMYFUNCTION("""COMPUTED_VALUE"""),25.81)</f>
        <v>25.81</v>
      </c>
      <c r="F176">
        <f ca="1">IFERROR(__xludf.DUMMYFUNCTION("""COMPUTED_VALUE"""),31)</f>
        <v>31</v>
      </c>
      <c r="G176">
        <f ca="1">IFERROR(__xludf.DUMMYFUNCTION("""COMPUTED_VALUE"""),8)</f>
        <v>8</v>
      </c>
    </row>
    <row r="177" spans="1:7" ht="12.75">
      <c r="A177" t="str">
        <f ca="1">IFERROR(__xludf.DUMMYFUNCTION("""COMPUTED_VALUE"""),"T176")</f>
        <v>T176</v>
      </c>
      <c r="B177">
        <f ca="1">IFERROR(__xludf.DUMMYFUNCTION("""COMPUTED_VALUE"""),163)</f>
        <v>163</v>
      </c>
      <c r="C177" t="str">
        <f ca="1">IFERROR(__xludf.DUMMYFUNCTION("""COMPUTED_VALUE"""),"Patrick Cantlay")</f>
        <v>Patrick Cantlay</v>
      </c>
      <c r="D177">
        <f ca="1">IFERROR(__xludf.DUMMYFUNCTION("""COMPUTED_VALUE"""),16)</f>
        <v>16</v>
      </c>
      <c r="E177">
        <f ca="1">IFERROR(__xludf.DUMMYFUNCTION("""COMPUTED_VALUE"""),25.58)</f>
        <v>25.58</v>
      </c>
      <c r="F177">
        <f ca="1">IFERROR(__xludf.DUMMYFUNCTION("""COMPUTED_VALUE"""),43)</f>
        <v>43</v>
      </c>
      <c r="G177">
        <f ca="1">IFERROR(__xludf.DUMMYFUNCTION("""COMPUTED_VALUE"""),11)</f>
        <v>11</v>
      </c>
    </row>
    <row r="178" spans="1:7" ht="12.75">
      <c r="A178" t="str">
        <f ca="1">IFERROR(__xludf.DUMMYFUNCTION("""COMPUTED_VALUE"""),"T176")</f>
        <v>T176</v>
      </c>
      <c r="B178">
        <f ca="1">IFERROR(__xludf.DUMMYFUNCTION("""COMPUTED_VALUE"""),173)</f>
        <v>173</v>
      </c>
      <c r="C178" t="str">
        <f ca="1">IFERROR(__xludf.DUMMYFUNCTION("""COMPUTED_VALUE"""),"Sung Kang")</f>
        <v>Sung Kang</v>
      </c>
      <c r="D178">
        <f ca="1">IFERROR(__xludf.DUMMYFUNCTION("""COMPUTED_VALUE"""),14)</f>
        <v>14</v>
      </c>
      <c r="E178">
        <f ca="1">IFERROR(__xludf.DUMMYFUNCTION("""COMPUTED_VALUE"""),25.58)</f>
        <v>25.58</v>
      </c>
      <c r="F178">
        <f ca="1">IFERROR(__xludf.DUMMYFUNCTION("""COMPUTED_VALUE"""),43)</f>
        <v>43</v>
      </c>
      <c r="G178">
        <f ca="1">IFERROR(__xludf.DUMMYFUNCTION("""COMPUTED_VALUE"""),11)</f>
        <v>11</v>
      </c>
    </row>
    <row r="179" spans="1:7" ht="12.75">
      <c r="A179" t="str">
        <f ca="1">IFERROR(__xludf.DUMMYFUNCTION("""COMPUTED_VALUE"""),"T178")</f>
        <v>T178</v>
      </c>
      <c r="B179" t="str">
        <f ca="1">IFERROR(__xludf.DUMMYFUNCTION("""COMPUTED_VALUE"""),"T164")</f>
        <v>T164</v>
      </c>
      <c r="C179" t="str">
        <f ca="1">IFERROR(__xludf.DUMMYFUNCTION("""COMPUTED_VALUE"""),"Shaun Norris")</f>
        <v>Shaun Norris</v>
      </c>
      <c r="D179">
        <f ca="1">IFERROR(__xludf.DUMMYFUNCTION("""COMPUTED_VALUE"""),6)</f>
        <v>6</v>
      </c>
      <c r="E179">
        <f ca="1">IFERROR(__xludf.DUMMYFUNCTION("""COMPUTED_VALUE"""),25)</f>
        <v>25</v>
      </c>
      <c r="F179">
        <f ca="1">IFERROR(__xludf.DUMMYFUNCTION("""COMPUTED_VALUE"""),16)</f>
        <v>16</v>
      </c>
      <c r="G179">
        <f ca="1">IFERROR(__xludf.DUMMYFUNCTION("""COMPUTED_VALUE"""),4)</f>
        <v>4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IFERROR(__xludf.DUMMYFUNCTION("""COMPUTED_VALUE"""),"T164")</f>
        <v>T164</v>
      </c>
      <c r="C180" t="str">
        <f ca="1">IFERROR(__xludf.DUMMYFUNCTION("""COMPUTED_VALUE"""),"D.J. Trahan")</f>
        <v>D.J. Trahan</v>
      </c>
      <c r="D180">
        <f ca="1">IFERROR(__xludf.DUMMYFUNCTION("""COMPUTED_VALUE"""),16)</f>
        <v>16</v>
      </c>
      <c r="E180">
        <f ca="1">IFERROR(__xludf.DUMMYFUNCTION("""COMPUTED_VALUE"""),25)</f>
        <v>25</v>
      </c>
      <c r="F180">
        <f ca="1">IFERROR(__xludf.DUMMYFUNCTION("""COMPUTED_VALUE"""),24)</f>
        <v>24</v>
      </c>
      <c r="G180">
        <f ca="1">IFERROR(__xludf.DUMMYFUNCTION("""COMPUTED_VALUE"""),6)</f>
        <v>6</v>
      </c>
    </row>
    <row r="181" spans="1:7" ht="12.75">
      <c r="A181" t="str">
        <f ca="1">IFERROR(__xludf.DUMMYFUNCTION("""COMPUTED_VALUE"""),"T178")</f>
        <v>T178</v>
      </c>
      <c r="B181" t="str">
        <f ca="1">IFERROR(__xludf.DUMMYFUNCTION("""COMPUTED_VALUE"""),"")</f>
        <v/>
      </c>
      <c r="C181" t="str">
        <f ca="1">IFERROR(__xludf.DUMMYFUNCTION("""COMPUTED_VALUE"""),"Francesco Molinari")</f>
        <v>Francesco Molinari</v>
      </c>
      <c r="D181">
        <f ca="1">IFERROR(__xludf.DUMMYFUNCTION("""COMPUTED_VALUE"""),6)</f>
        <v>6</v>
      </c>
      <c r="E181">
        <f ca="1">IFERROR(__xludf.DUMMYFUNCTION("""COMPUTED_VALUE"""),25)</f>
        <v>25</v>
      </c>
      <c r="F181">
        <f ca="1">IFERROR(__xludf.DUMMYFUNCTION("""COMPUTED_VALUE"""),12)</f>
        <v>12</v>
      </c>
      <c r="G181">
        <f ca="1">IFERROR(__xludf.DUMMYFUNCTION("""COMPUTED_VALUE"""),3)</f>
        <v>3</v>
      </c>
    </row>
    <row r="182" spans="1:7" ht="12.75">
      <c r="A182" t="str">
        <f ca="1">IFERROR(__xludf.DUMMYFUNCTION("""COMPUTED_VALUE"""),"T178")</f>
        <v>T178</v>
      </c>
      <c r="B182" t="str">
        <f ca="1">IFERROR(__xludf.DUMMYFUNCTION("""COMPUTED_VALUE"""),"T164")</f>
        <v>T164</v>
      </c>
      <c r="C182" t="str">
        <f ca="1">IFERROR(__xludf.DUMMYFUNCTION("""COMPUTED_VALUE"""),"Mark Anderson")</f>
        <v>Mark Anderson</v>
      </c>
      <c r="D182">
        <f ca="1">IFERROR(__xludf.DUMMYFUNCTION("""COMPUTED_VALUE"""),14)</f>
        <v>14</v>
      </c>
      <c r="E182">
        <f ca="1">IFERROR(__xludf.DUMMYFUNCTION("""COMPUTED_VALUE"""),25)</f>
        <v>25</v>
      </c>
      <c r="F182">
        <f ca="1">IFERROR(__xludf.DUMMYFUNCTION("""COMPUTED_VALUE"""),16)</f>
        <v>16</v>
      </c>
      <c r="G182">
        <f ca="1">IFERROR(__xludf.DUMMYFUNCTION("""COMPUTED_VALUE"""),4)</f>
        <v>4</v>
      </c>
    </row>
    <row r="183" spans="1:7" ht="12.75">
      <c r="A183" t="str">
        <f ca="1">IFERROR(__xludf.DUMMYFUNCTION("""COMPUTED_VALUE"""),"T178")</f>
        <v>T178</v>
      </c>
      <c r="B183">
        <f ca="1">IFERROR(__xludf.DUMMYFUNCTION("""COMPUTED_VALUE"""),158)</f>
        <v>158</v>
      </c>
      <c r="C183" t="str">
        <f ca="1">IFERROR(__xludf.DUMMYFUNCTION("""COMPUTED_VALUE"""),"Kyoung-Hoon Lee")</f>
        <v>Kyoung-Hoon Lee</v>
      </c>
      <c r="D183">
        <f ca="1">IFERROR(__xludf.DUMMYFUNCTION("""COMPUTED_VALUE"""),20)</f>
        <v>20</v>
      </c>
      <c r="E183">
        <f ca="1">IFERROR(__xludf.DUMMYFUNCTION("""COMPUTED_VALUE"""),25)</f>
        <v>25</v>
      </c>
      <c r="F183">
        <f ca="1">IFERROR(__xludf.DUMMYFUNCTION("""COMPUTED_VALUE"""),40)</f>
        <v>40</v>
      </c>
      <c r="G183">
        <f ca="1">IFERROR(__xludf.DUMMYFUNCTION("""COMPUTED_VALUE"""),10)</f>
        <v>10</v>
      </c>
    </row>
    <row r="184" spans="1:7" ht="12.75">
      <c r="A184" t="str">
        <f ca="1">IFERROR(__xludf.DUMMYFUNCTION("""COMPUTED_VALUE"""),"T178")</f>
        <v>T178</v>
      </c>
      <c r="B184" t="str">
        <f ca="1">IFERROR(__xludf.DUMMYFUNCTION("""COMPUTED_VALUE"""),"T164")</f>
        <v>T164</v>
      </c>
      <c r="C184" t="str">
        <f ca="1">IFERROR(__xludf.DUMMYFUNCTION("""COMPUTED_VALUE"""),"Mikumu Horikawa")</f>
        <v>Mikumu Horikawa</v>
      </c>
      <c r="D184">
        <f ca="1">IFERROR(__xludf.DUMMYFUNCTION("""COMPUTED_VALUE"""),4)</f>
        <v>4</v>
      </c>
      <c r="E184">
        <f ca="1">IFERROR(__xludf.DUMMYFUNCTION("""COMPUTED_VALUE"""),25)</f>
        <v>25</v>
      </c>
      <c r="F184">
        <f ca="1">IFERROR(__xludf.DUMMYFUNCTION("""COMPUTED_VALUE"""),12)</f>
        <v>12</v>
      </c>
      <c r="G184">
        <f ca="1">IFERROR(__xludf.DUMMYFUNCTION("""COMPUTED_VALUE"""),3)</f>
        <v>3</v>
      </c>
    </row>
    <row r="185" spans="1:7" ht="12.75">
      <c r="A185" t="str">
        <f ca="1">IFERROR(__xludf.DUMMYFUNCTION("""COMPUTED_VALUE"""),"T178")</f>
        <v>T178</v>
      </c>
      <c r="B185" t="str">
        <f ca="1">IFERROR(__xludf.DUMMYFUNCTION("""COMPUTED_VALUE"""),"T164")</f>
        <v>T164</v>
      </c>
      <c r="C185" t="str">
        <f ca="1">IFERROR(__xludf.DUMMYFUNCTION("""COMPUTED_VALUE"""),"Hank Lebioda")</f>
        <v>Hank Lebioda</v>
      </c>
      <c r="D185">
        <f ca="1">IFERROR(__xludf.DUMMYFUNCTION("""COMPUTED_VALUE"""),14)</f>
        <v>14</v>
      </c>
      <c r="E185">
        <f ca="1">IFERROR(__xludf.DUMMYFUNCTION("""COMPUTED_VALUE"""),25)</f>
        <v>25</v>
      </c>
      <c r="F185">
        <f ca="1">IFERROR(__xludf.DUMMYFUNCTION("""COMPUTED_VALUE"""),16)</f>
        <v>16</v>
      </c>
      <c r="G185">
        <f ca="1">IFERROR(__xludf.DUMMYFUNCTION("""COMPUTED_VALUE"""),4)</f>
        <v>4</v>
      </c>
    </row>
    <row r="186" spans="1:7" ht="12.75">
      <c r="A186" t="str">
        <f ca="1">IFERROR(__xludf.DUMMYFUNCTION("""COMPUTED_VALUE"""),"T178")</f>
        <v>T178</v>
      </c>
      <c r="B186" t="str">
        <f ca="1">IFERROR(__xludf.DUMMYFUNCTION("""COMPUTED_VALUE"""),"T164")</f>
        <v>T164</v>
      </c>
      <c r="C186" t="str">
        <f ca="1">IFERROR(__xludf.DUMMYFUNCTION("""COMPUTED_VALUE"""),"Seonghyeon Kim")</f>
        <v>Seonghyeon Kim</v>
      </c>
      <c r="D186">
        <f ca="1">IFERROR(__xludf.DUMMYFUNCTION("""COMPUTED_VALUE"""),4)</f>
        <v>4</v>
      </c>
      <c r="E186">
        <f ca="1">IFERROR(__xludf.DUMMYFUNCTION("""COMPUTED_VALUE"""),25)</f>
        <v>25</v>
      </c>
      <c r="F186">
        <f ca="1">IFERROR(__xludf.DUMMYFUNCTION("""COMPUTED_VALUE"""),12)</f>
        <v>12</v>
      </c>
      <c r="G186">
        <f ca="1">IFERROR(__xludf.DUMMYFUNCTION("""COMPUTED_VALUE"""),3)</f>
        <v>3</v>
      </c>
    </row>
    <row r="187" spans="1:7" ht="12.75">
      <c r="A187" t="str">
        <f ca="1">IFERROR(__xludf.DUMMYFUNCTION("""COMPUTED_VALUE"""),"T186")</f>
        <v>T186</v>
      </c>
      <c r="B187" t="str">
        <f ca="1">IFERROR(__xludf.DUMMYFUNCTION("""COMPUTED_VALUE"""),"T164")</f>
        <v>T164</v>
      </c>
      <c r="C187" t="str">
        <f ca="1">IFERROR(__xludf.DUMMYFUNCTION("""COMPUTED_VALUE"""),"Isaiah Salinda")</f>
        <v>Isaiah Salinda</v>
      </c>
      <c r="D187">
        <f ca="1">IFERROR(__xludf.DUMMYFUNCTION("""COMPUTED_VALUE"""),8)</f>
        <v>8</v>
      </c>
      <c r="E187">
        <f ca="1">IFERROR(__xludf.DUMMYFUNCTION("""COMPUTED_VALUE"""),24.14)</f>
        <v>24.14</v>
      </c>
      <c r="F187">
        <f ca="1">IFERROR(__xludf.DUMMYFUNCTION("""COMPUTED_VALUE"""),29)</f>
        <v>29</v>
      </c>
      <c r="G187">
        <f ca="1">IFERROR(__xludf.DUMMYFUNCTION("""COMPUTED_VALUE"""),7)</f>
        <v>7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IFERROR(__xludf.DUMMYFUNCTION("""COMPUTED_VALUE"""),"T138")</f>
        <v>T138</v>
      </c>
      <c r="C188" t="str">
        <f ca="1">IFERROR(__xludf.DUMMYFUNCTION("""COMPUTED_VALUE"""),"Phil Mickelson")</f>
        <v>Phil Mickelson</v>
      </c>
      <c r="D188">
        <f ca="1">IFERROR(__xludf.DUMMYFUNCTION("""COMPUTED_VALUE"""),12)</f>
        <v>12</v>
      </c>
      <c r="E188">
        <f ca="1">IFERROR(__xludf.DUMMYFUNCTION("""COMPUTED_VALUE"""),24.14)</f>
        <v>24.14</v>
      </c>
      <c r="F188">
        <f ca="1">IFERROR(__xludf.DUMMYFUNCTION("""COMPUTED_VALUE"""),29)</f>
        <v>29</v>
      </c>
      <c r="G188">
        <f ca="1">IFERROR(__xludf.DUMMYFUNCTION("""COMPUTED_VALUE"""),7)</f>
        <v>7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IFERROR(__xludf.DUMMYFUNCTION("""COMPUTED_VALUE"""),"T177")</f>
        <v>T177</v>
      </c>
      <c r="C189" t="str">
        <f ca="1">IFERROR(__xludf.DUMMYFUNCTION("""COMPUTED_VALUE"""),"Shugo Imahira")</f>
        <v>Shugo Imahira</v>
      </c>
      <c r="D189">
        <f ca="1">IFERROR(__xludf.DUMMYFUNCTION("""COMPUTED_VALUE"""),8)</f>
        <v>8</v>
      </c>
      <c r="E189">
        <f ca="1">IFERROR(__xludf.DUMMYFUNCTION("""COMPUTED_VALUE"""),23.81)</f>
        <v>23.81</v>
      </c>
      <c r="F189">
        <f ca="1">IFERROR(__xludf.DUMMYFUNCTION("""COMPUTED_VALUE"""),21)</f>
        <v>21</v>
      </c>
      <c r="G189">
        <f ca="1">IFERROR(__xludf.DUMMYFUNCTION("""COMPUTED_VALUE"""),5)</f>
        <v>5</v>
      </c>
    </row>
    <row r="190" spans="1:7" ht="12.75">
      <c r="A190" t="str">
        <f ca="1">IFERROR(__xludf.DUMMYFUNCTION("""COMPUTED_VALUE"""),"T188")</f>
        <v>T188</v>
      </c>
      <c r="B190">
        <f ca="1">IFERROR(__xludf.DUMMYFUNCTION("""COMPUTED_VALUE"""),185)</f>
        <v>185</v>
      </c>
      <c r="C190" t="str">
        <f ca="1">IFERROR(__xludf.DUMMYFUNCTION("""COMPUTED_VALUE"""),"Matthew NeSmith")</f>
        <v>Matthew NeSmith</v>
      </c>
      <c r="D190">
        <f ca="1">IFERROR(__xludf.DUMMYFUNCTION("""COMPUTED_VALUE"""),16)</f>
        <v>16</v>
      </c>
      <c r="E190">
        <f ca="1">IFERROR(__xludf.DUMMYFUNCTION("""COMPUTED_VALUE"""),23.81)</f>
        <v>23.81</v>
      </c>
      <c r="F190">
        <f ca="1">IFERROR(__xludf.DUMMYFUNCTION("""COMPUTED_VALUE"""),42)</f>
        <v>42</v>
      </c>
      <c r="G190">
        <f ca="1">IFERROR(__xludf.DUMMYFUNCTION("""COMPUTED_VALUE"""),10)</f>
        <v>10</v>
      </c>
    </row>
    <row r="191" spans="1:7" ht="12.75">
      <c r="A191" t="str">
        <f ca="1">IFERROR(__xludf.DUMMYFUNCTION("""COMPUTED_VALUE"""),"T188")</f>
        <v>T188</v>
      </c>
      <c r="B191" t="str">
        <f ca="1">IFERROR(__xludf.DUMMYFUNCTION("""COMPUTED_VALUE"""),"T177")</f>
        <v>T177</v>
      </c>
      <c r="C191" t="str">
        <f ca="1">IFERROR(__xludf.DUMMYFUNCTION("""COMPUTED_VALUE"""),"Will Zalatoris")</f>
        <v>Will Zalatoris</v>
      </c>
      <c r="D191">
        <f ca="1">IFERROR(__xludf.DUMMYFUNCTION("""COMPUTED_VALUE"""),18)</f>
        <v>18</v>
      </c>
      <c r="E191">
        <f ca="1">IFERROR(__xludf.DUMMYFUNCTION("""COMPUTED_VALUE"""),23.81)</f>
        <v>23.81</v>
      </c>
      <c r="F191">
        <f ca="1">IFERROR(__xludf.DUMMYFUNCTION("""COMPUTED_VALUE"""),21)</f>
        <v>21</v>
      </c>
      <c r="G191">
        <f ca="1">IFERROR(__xludf.DUMMYFUNCTION("""COMPUTED_VALUE"""),5)</f>
        <v>5</v>
      </c>
    </row>
    <row r="192" spans="1:7" ht="12.75">
      <c r="A192">
        <f ca="1">IFERROR(__xludf.DUMMYFUNCTION("""COMPUTED_VALUE"""),191)</f>
        <v>191</v>
      </c>
      <c r="B192" t="str">
        <f ca="1">IFERROR(__xludf.DUMMYFUNCTION("""COMPUTED_VALUE"""),"T88")</f>
        <v>T88</v>
      </c>
      <c r="C192" t="str">
        <f ca="1">IFERROR(__xludf.DUMMYFUNCTION("""COMPUTED_VALUE"""),"Jamie Lovemark")</f>
        <v>Jamie Lovemark</v>
      </c>
      <c r="D192">
        <f ca="1">IFERROR(__xludf.DUMMYFUNCTION("""COMPUTED_VALUE"""),18)</f>
        <v>18</v>
      </c>
      <c r="E192">
        <f ca="1">IFERROR(__xludf.DUMMYFUNCTION("""COMPUTED_VALUE"""),23.68)</f>
        <v>23.68</v>
      </c>
      <c r="F192">
        <f ca="1">IFERROR(__xludf.DUMMYFUNCTION("""COMPUTED_VALUE"""),38)</f>
        <v>38</v>
      </c>
      <c r="G192">
        <f ca="1">IFERROR(__xludf.DUMMYFUNCTION("""COMPUTED_VALUE"""),9)</f>
        <v>9</v>
      </c>
    </row>
    <row r="193" spans="1:7" ht="12.75">
      <c r="A193">
        <f ca="1">IFERROR(__xludf.DUMMYFUNCTION("""COMPUTED_VALUE"""),192)</f>
        <v>192</v>
      </c>
      <c r="B193" t="str">
        <f ca="1">IFERROR(__xludf.DUMMYFUNCTION("""COMPUTED_VALUE"""),"T180")</f>
        <v>T180</v>
      </c>
      <c r="C193" t="str">
        <f ca="1">IFERROR(__xludf.DUMMYFUNCTION("""COMPUTED_VALUE"""),"Kevin Kisner")</f>
        <v>Kevin Kisner</v>
      </c>
      <c r="D193">
        <f ca="1">IFERROR(__xludf.DUMMYFUNCTION("""COMPUTED_VALUE"""),10)</f>
        <v>10</v>
      </c>
      <c r="E193">
        <f ca="1">IFERROR(__xludf.DUMMYFUNCTION("""COMPUTED_VALUE"""),23.53)</f>
        <v>23.53</v>
      </c>
      <c r="F193">
        <f ca="1">IFERROR(__xludf.DUMMYFUNCTION("""COMPUTED_VALUE"""),34)</f>
        <v>34</v>
      </c>
      <c r="G193">
        <f ca="1">IFERROR(__xludf.DUMMYFUNCTION("""COMPUTED_VALUE"""),8)</f>
        <v>8</v>
      </c>
    </row>
    <row r="194" spans="1:7" ht="12.75">
      <c r="A194">
        <f ca="1">IFERROR(__xludf.DUMMYFUNCTION("""COMPUTED_VALUE"""),193)</f>
        <v>193</v>
      </c>
      <c r="B194" t="str">
        <f ca="1">IFERROR(__xludf.DUMMYFUNCTION("""COMPUTED_VALUE"""),"T138")</f>
        <v>T138</v>
      </c>
      <c r="C194" t="str">
        <f ca="1">IFERROR(__xludf.DUMMYFUNCTION("""COMPUTED_VALUE"""),"Camilo Villegas")</f>
        <v>Camilo Villegas</v>
      </c>
      <c r="D194">
        <f ca="1">IFERROR(__xludf.DUMMYFUNCTION("""COMPUTED_VALUE"""),14)</f>
        <v>14</v>
      </c>
      <c r="E194">
        <f ca="1">IFERROR(__xludf.DUMMYFUNCTION("""COMPUTED_VALUE"""),23.33)</f>
        <v>23.33</v>
      </c>
      <c r="F194">
        <f ca="1">IFERROR(__xludf.DUMMYFUNCTION("""COMPUTED_VALUE"""),30)</f>
        <v>30</v>
      </c>
      <c r="G194">
        <f ca="1">IFERROR(__xludf.DUMMYFUNCTION("""COMPUTED_VALUE"""),7)</f>
        <v>7</v>
      </c>
    </row>
    <row r="195" spans="1:7" ht="12.75">
      <c r="A195" t="str">
        <f ca="1">IFERROR(__xludf.DUMMYFUNCTION("""COMPUTED_VALUE"""),"T194")</f>
        <v>T194</v>
      </c>
      <c r="B195">
        <f ca="1">IFERROR(__xludf.DUMMYFUNCTION("""COMPUTED_VALUE"""),184)</f>
        <v>184</v>
      </c>
      <c r="C195" t="str">
        <f ca="1">IFERROR(__xludf.DUMMYFUNCTION("""COMPUTED_VALUE"""),"Marc Leishman")</f>
        <v>Marc Leishman</v>
      </c>
      <c r="D195">
        <f ca="1">IFERROR(__xludf.DUMMYFUNCTION("""COMPUTED_VALUE"""),10)</f>
        <v>10</v>
      </c>
      <c r="E195">
        <f ca="1">IFERROR(__xludf.DUMMYFUNCTION("""COMPUTED_VALUE"""),23.08)</f>
        <v>23.08</v>
      </c>
      <c r="F195">
        <f ca="1">IFERROR(__xludf.DUMMYFUNCTION("""COMPUTED_VALUE"""),26)</f>
        <v>26</v>
      </c>
      <c r="G195">
        <f ca="1">IFERROR(__xludf.DUMMYFUNCTION("""COMPUTED_VALUE"""),6)</f>
        <v>6</v>
      </c>
    </row>
    <row r="196" spans="1:7" ht="12.75">
      <c r="A196" t="str">
        <f ca="1">IFERROR(__xludf.DUMMYFUNCTION("""COMPUTED_VALUE"""),"T194")</f>
        <v>T194</v>
      </c>
      <c r="B196">
        <f ca="1">IFERROR(__xludf.DUMMYFUNCTION("""COMPUTED_VALUE"""),193)</f>
        <v>193</v>
      </c>
      <c r="C196" t="str">
        <f ca="1">IFERROR(__xludf.DUMMYFUNCTION("""COMPUTED_VALUE"""),"Emiliano Grillo")</f>
        <v>Emiliano Grillo</v>
      </c>
      <c r="D196">
        <f ca="1">IFERROR(__xludf.DUMMYFUNCTION("""COMPUTED_VALUE"""),22)</f>
        <v>22</v>
      </c>
      <c r="E196">
        <f ca="1">IFERROR(__xludf.DUMMYFUNCTION("""COMPUTED_VALUE"""),23.08)</f>
        <v>23.08</v>
      </c>
      <c r="F196">
        <f ca="1">IFERROR(__xludf.DUMMYFUNCTION("""COMPUTED_VALUE"""),39)</f>
        <v>39</v>
      </c>
      <c r="G196">
        <f ca="1">IFERROR(__xludf.DUMMYFUNCTION("""COMPUTED_VALUE"""),9)</f>
        <v>9</v>
      </c>
    </row>
    <row r="197" spans="1:7" ht="12.75">
      <c r="A197">
        <f ca="1">IFERROR(__xludf.DUMMYFUNCTION("""COMPUTED_VALUE"""),196)</f>
        <v>196</v>
      </c>
      <c r="B197" t="str">
        <f ca="1">IFERROR(__xludf.DUMMYFUNCTION("""COMPUTED_VALUE"""),"T188")</f>
        <v>T188</v>
      </c>
      <c r="C197" t="str">
        <f ca="1">IFERROR(__xludf.DUMMYFUNCTION("""COMPUTED_VALUE"""),"Luke Donald")</f>
        <v>Luke Donald</v>
      </c>
      <c r="D197">
        <f ca="1">IFERROR(__xludf.DUMMYFUNCTION("""COMPUTED_VALUE"""),14)</f>
        <v>14</v>
      </c>
      <c r="E197">
        <f ca="1">IFERROR(__xludf.DUMMYFUNCTION("""COMPUTED_VALUE"""),22.86)</f>
        <v>22.86</v>
      </c>
      <c r="F197">
        <f ca="1">IFERROR(__xludf.DUMMYFUNCTION("""COMPUTED_VALUE"""),35)</f>
        <v>35</v>
      </c>
      <c r="G197">
        <f ca="1">IFERROR(__xludf.DUMMYFUNCTION("""COMPUTED_VALUE"""),8)</f>
        <v>8</v>
      </c>
    </row>
    <row r="198" spans="1:7" ht="12.75">
      <c r="A198" t="str">
        <f ca="1">IFERROR(__xludf.DUMMYFUNCTION("""COMPUTED_VALUE"""),"T197")</f>
        <v>T197</v>
      </c>
      <c r="B198" t="str">
        <f ca="1">IFERROR(__xludf.DUMMYFUNCTION("""COMPUTED_VALUE"""),"T219")</f>
        <v>T219</v>
      </c>
      <c r="C198" t="str">
        <f ca="1">IFERROR(__xludf.DUMMYFUNCTION("""COMPUTED_VALUE"""),"Adam Scott")</f>
        <v>Adam Scott</v>
      </c>
      <c r="D198">
        <f ca="1">IFERROR(__xludf.DUMMYFUNCTION("""COMPUTED_VALUE"""),8)</f>
        <v>8</v>
      </c>
      <c r="E198">
        <f ca="1">IFERROR(__xludf.DUMMYFUNCTION("""COMPUTED_VALUE"""),22.22)</f>
        <v>22.22</v>
      </c>
      <c r="F198">
        <f ca="1">IFERROR(__xludf.DUMMYFUNCTION("""COMPUTED_VALUE"""),27)</f>
        <v>27</v>
      </c>
      <c r="G198">
        <f ca="1">IFERROR(__xludf.DUMMYFUNCTION("""COMPUTED_VALUE"""),6)</f>
        <v>6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IFERROR(__xludf.DUMMYFUNCTION("""COMPUTED_VALUE"""),"T164")</f>
        <v>T164</v>
      </c>
      <c r="C199" t="str">
        <f ca="1">IFERROR(__xludf.DUMMYFUNCTION("""COMPUTED_VALUE"""),"Lucas Glover")</f>
        <v>Lucas Glover</v>
      </c>
      <c r="D199">
        <f ca="1">IFERROR(__xludf.DUMMYFUNCTION("""COMPUTED_VALUE"""),12)</f>
        <v>12</v>
      </c>
      <c r="E199">
        <f ca="1">IFERROR(__xludf.DUMMYFUNCTION("""COMPUTED_VALUE"""),22.22)</f>
        <v>22.22</v>
      </c>
      <c r="F199">
        <f ca="1">IFERROR(__xludf.DUMMYFUNCTION("""COMPUTED_VALUE"""),27)</f>
        <v>27</v>
      </c>
      <c r="G199">
        <f ca="1">IFERROR(__xludf.DUMMYFUNCTION("""COMPUTED_VALUE"""),6)</f>
        <v>6</v>
      </c>
    </row>
    <row r="200" spans="1:7" ht="12.75">
      <c r="A200" t="str">
        <f ca="1">IFERROR(__xludf.DUMMYFUNCTION("""COMPUTED_VALUE"""),"T197")</f>
        <v>T197</v>
      </c>
      <c r="B200" t="str">
        <f ca="1">IFERROR(__xludf.DUMMYFUNCTION("""COMPUTED_VALUE"""),"T188")</f>
        <v>T188</v>
      </c>
      <c r="C200" t="str">
        <f ca="1">IFERROR(__xludf.DUMMYFUNCTION("""COMPUTED_VALUE"""),"Bubba Watson")</f>
        <v>Bubba Watson</v>
      </c>
      <c r="D200">
        <f ca="1">IFERROR(__xludf.DUMMYFUNCTION("""COMPUTED_VALUE"""),12)</f>
        <v>12</v>
      </c>
      <c r="E200">
        <f ca="1">IFERROR(__xludf.DUMMYFUNCTION("""COMPUTED_VALUE"""),22.22)</f>
        <v>22.22</v>
      </c>
      <c r="F200">
        <f ca="1">IFERROR(__xludf.DUMMYFUNCTION("""COMPUTED_VALUE"""),27)</f>
        <v>27</v>
      </c>
      <c r="G200">
        <f ca="1">IFERROR(__xludf.DUMMYFUNCTION("""COMPUTED_VALUE"""),6)</f>
        <v>6</v>
      </c>
    </row>
    <row r="201" spans="1:7" ht="12.75">
      <c r="A201" t="str">
        <f ca="1">IFERROR(__xludf.DUMMYFUNCTION("""COMPUTED_VALUE"""),"T197")</f>
        <v>T197</v>
      </c>
      <c r="B201" t="str">
        <f ca="1">IFERROR(__xludf.DUMMYFUNCTION("""COMPUTED_VALUE"""),"")</f>
        <v/>
      </c>
      <c r="C201" t="str">
        <f ca="1">IFERROR(__xludf.DUMMYFUNCTION("""COMPUTED_VALUE"""),"Graeme McDowell")</f>
        <v>Graeme McDowell</v>
      </c>
      <c r="D201">
        <f ca="1">IFERROR(__xludf.DUMMYFUNCTION("""COMPUTED_VALUE"""),8)</f>
        <v>8</v>
      </c>
      <c r="E201">
        <f ca="1">IFERROR(__xludf.DUMMYFUNCTION("""COMPUTED_VALUE"""),22.22)</f>
        <v>22.22</v>
      </c>
      <c r="F201">
        <f ca="1">IFERROR(__xludf.DUMMYFUNCTION("""COMPUTED_VALUE"""),18)</f>
        <v>18</v>
      </c>
      <c r="G201">
        <f ca="1">IFERROR(__xludf.DUMMYFUNCTION("""COMPUTED_VALUE"""),4)</f>
        <v>4</v>
      </c>
    </row>
    <row r="202" spans="1:7" ht="12.75">
      <c r="A202" t="str">
        <f ca="1">IFERROR(__xludf.DUMMYFUNCTION("""COMPUTED_VALUE"""),"T197")</f>
        <v>T197</v>
      </c>
      <c r="B202" t="str">
        <f ca="1">IFERROR(__xludf.DUMMYFUNCTION("""COMPUTED_VALUE"""),"T111")</f>
        <v>T111</v>
      </c>
      <c r="C202" t="str">
        <f ca="1">IFERROR(__xludf.DUMMYFUNCTION("""COMPUTED_VALUE"""),"Robby Shelton")</f>
        <v>Robby Shelton</v>
      </c>
      <c r="D202">
        <f ca="1">IFERROR(__xludf.DUMMYFUNCTION("""COMPUTED_VALUE"""),14)</f>
        <v>14</v>
      </c>
      <c r="E202">
        <f ca="1">IFERROR(__xludf.DUMMYFUNCTION("""COMPUTED_VALUE"""),22.22)</f>
        <v>22.22</v>
      </c>
      <c r="F202">
        <f ca="1">IFERROR(__xludf.DUMMYFUNCTION("""COMPUTED_VALUE"""),27)</f>
        <v>27</v>
      </c>
      <c r="G202">
        <f ca="1">IFERROR(__xludf.DUMMYFUNCTION("""COMPUTED_VALUE"""),6)</f>
        <v>6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IFERROR(__xludf.DUMMYFUNCTION("""COMPUTED_VALUE"""),192)</f>
        <v>192</v>
      </c>
      <c r="C203" t="str">
        <f ca="1">IFERROR(__xludf.DUMMYFUNCTION("""COMPUTED_VALUE"""),"Richy Werenski")</f>
        <v>Richy Werenski</v>
      </c>
      <c r="D203">
        <f ca="1">IFERROR(__xludf.DUMMYFUNCTION("""COMPUTED_VALUE"""),16)</f>
        <v>16</v>
      </c>
      <c r="E203">
        <f ca="1">IFERROR(__xludf.DUMMYFUNCTION("""COMPUTED_VALUE"""),21.95)</f>
        <v>21.95</v>
      </c>
      <c r="F203">
        <f ca="1">IFERROR(__xludf.DUMMYFUNCTION("""COMPUTED_VALUE"""),41)</f>
        <v>41</v>
      </c>
      <c r="G203">
        <f ca="1">IFERROR(__xludf.DUMMYFUNCTION("""COMPUTED_VALUE"""),9)</f>
        <v>9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IFERROR(__xludf.DUMMYFUNCTION("""COMPUTED_VALUE"""),186)</f>
        <v>186</v>
      </c>
      <c r="C204" t="str">
        <f ca="1">IFERROR(__xludf.DUMMYFUNCTION("""COMPUTED_VALUE"""),"Wyndham Clark")</f>
        <v>Wyndham Clark</v>
      </c>
      <c r="D204">
        <f ca="1">IFERROR(__xludf.DUMMYFUNCTION("""COMPUTED_VALUE"""),16)</f>
        <v>16</v>
      </c>
      <c r="E204">
        <f ca="1">IFERROR(__xludf.DUMMYFUNCTION("""COMPUTED_VALUE"""),21.43)</f>
        <v>21.43</v>
      </c>
      <c r="F204">
        <f ca="1">IFERROR(__xludf.DUMMYFUNCTION("""COMPUTED_VALUE"""),28)</f>
        <v>28</v>
      </c>
      <c r="G204">
        <f ca="1">IFERROR(__xludf.DUMMYFUNCTION("""COMPUTED_VALUE"""),6)</f>
        <v>6</v>
      </c>
    </row>
    <row r="205" spans="1:7" ht="12.75">
      <c r="A205" t="str">
        <f ca="1">IFERROR(__xludf.DUMMYFUNCTION("""COMPUTED_VALUE"""),"T204")</f>
        <v>T204</v>
      </c>
      <c r="B205">
        <f ca="1">IFERROR(__xludf.DUMMYFUNCTION("""COMPUTED_VALUE"""),194)</f>
        <v>194</v>
      </c>
      <c r="C205" t="str">
        <f ca="1">IFERROR(__xludf.DUMMYFUNCTION("""COMPUTED_VALUE"""),"Brendan Steele")</f>
        <v>Brendan Steele</v>
      </c>
      <c r="D205">
        <f ca="1">IFERROR(__xludf.DUMMYFUNCTION("""COMPUTED_VALUE"""),14)</f>
        <v>14</v>
      </c>
      <c r="E205">
        <f ca="1">IFERROR(__xludf.DUMMYFUNCTION("""COMPUTED_VALUE"""),21.21)</f>
        <v>21.21</v>
      </c>
      <c r="F205">
        <f ca="1">IFERROR(__xludf.DUMMYFUNCTION("""COMPUTED_VALUE"""),33)</f>
        <v>33</v>
      </c>
      <c r="G205">
        <f ca="1">IFERROR(__xludf.DUMMYFUNCTION("""COMPUTED_VALUE"""),7)</f>
        <v>7</v>
      </c>
    </row>
    <row r="206" spans="1:7" ht="12.75">
      <c r="A206" t="str">
        <f ca="1">IFERROR(__xludf.DUMMYFUNCTION("""COMPUTED_VALUE"""),"T204")</f>
        <v>T204</v>
      </c>
      <c r="B206">
        <f ca="1">IFERROR(__xludf.DUMMYFUNCTION("""COMPUTED_VALUE"""),203)</f>
        <v>203</v>
      </c>
      <c r="C206" t="str">
        <f ca="1">IFERROR(__xludf.DUMMYFUNCTION("""COMPUTED_VALUE"""),"Xinjun Zhang")</f>
        <v>Xinjun Zhang</v>
      </c>
      <c r="D206">
        <f ca="1">IFERROR(__xludf.DUMMYFUNCTION("""COMPUTED_VALUE"""),14)</f>
        <v>14</v>
      </c>
      <c r="E206">
        <f ca="1">IFERROR(__xludf.DUMMYFUNCTION("""COMPUTED_VALUE"""),21.21)</f>
        <v>21.21</v>
      </c>
      <c r="F206">
        <f ca="1">IFERROR(__xludf.DUMMYFUNCTION("""COMPUTED_VALUE"""),33)</f>
        <v>33</v>
      </c>
      <c r="G206">
        <f ca="1">IFERROR(__xludf.DUMMYFUNCTION("""COMPUTED_VALUE"""),7)</f>
        <v>7</v>
      </c>
    </row>
    <row r="207" spans="1:7" ht="12.75">
      <c r="A207">
        <f ca="1">IFERROR(__xludf.DUMMYFUNCTION("""COMPUTED_VALUE"""),206)</f>
        <v>206</v>
      </c>
      <c r="B207" t="str">
        <f ca="1">IFERROR(__xludf.DUMMYFUNCTION("""COMPUTED_VALUE"""),"T188")</f>
        <v>T188</v>
      </c>
      <c r="C207" t="str">
        <f ca="1">IFERROR(__xludf.DUMMYFUNCTION("""COMPUTED_VALUE"""),"Jimmy Walker")</f>
        <v>Jimmy Walker</v>
      </c>
      <c r="D207">
        <f ca="1">IFERROR(__xludf.DUMMYFUNCTION("""COMPUTED_VALUE"""),10)</f>
        <v>10</v>
      </c>
      <c r="E207">
        <f ca="1">IFERROR(__xludf.DUMMYFUNCTION("""COMPUTED_VALUE"""),21.05)</f>
        <v>21.05</v>
      </c>
      <c r="F207">
        <f ca="1">IFERROR(__xludf.DUMMYFUNCTION("""COMPUTED_VALUE"""),19)</f>
        <v>19</v>
      </c>
      <c r="G207">
        <f ca="1">IFERROR(__xludf.DUMMYFUNCTION("""COMPUTED_VALUE"""),4)</f>
        <v>4</v>
      </c>
    </row>
    <row r="208" spans="1:7" ht="12.75">
      <c r="A208">
        <f ca="1">IFERROR(__xludf.DUMMYFUNCTION("""COMPUTED_VALUE"""),207)</f>
        <v>207</v>
      </c>
      <c r="B208" t="str">
        <f ca="1">IFERROR(__xludf.DUMMYFUNCTION("""COMPUTED_VALUE"""),"T188")</f>
        <v>T188</v>
      </c>
      <c r="C208" t="str">
        <f ca="1">IFERROR(__xludf.DUMMYFUNCTION("""COMPUTED_VALUE"""),"Ryan Armour")</f>
        <v>Ryan Armour</v>
      </c>
      <c r="D208">
        <f ca="1">IFERROR(__xludf.DUMMYFUNCTION("""COMPUTED_VALUE"""),16)</f>
        <v>16</v>
      </c>
      <c r="E208">
        <f ca="1">IFERROR(__xludf.DUMMYFUNCTION("""COMPUTED_VALUE"""),20.59)</f>
        <v>20.59</v>
      </c>
      <c r="F208">
        <f ca="1">IFERROR(__xludf.DUMMYFUNCTION("""COMPUTED_VALUE"""),34)</f>
        <v>34</v>
      </c>
      <c r="G208">
        <f ca="1">IFERROR(__xludf.DUMMYFUNCTION("""COMPUTED_VALUE"""),7)</f>
        <v>7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IFERROR(__xludf.DUMMYFUNCTION("""COMPUTED_VALUE"""),196)</f>
        <v>196</v>
      </c>
      <c r="C209" t="str">
        <f ca="1">IFERROR(__xludf.DUMMYFUNCTION("""COMPUTED_VALUE"""),"Byeong Hun An")</f>
        <v>Byeong Hun An</v>
      </c>
      <c r="D209">
        <f ca="1">IFERROR(__xludf.DUMMYFUNCTION("""COMPUTED_VALUE"""),14)</f>
        <v>14</v>
      </c>
      <c r="E209">
        <f ca="1">IFERROR(__xludf.DUMMYFUNCTION("""COMPUTED_VALUE"""),20.45)</f>
        <v>20.45</v>
      </c>
      <c r="F209">
        <f ca="1">IFERROR(__xludf.DUMMYFUNCTION("""COMPUTED_VALUE"""),44)</f>
        <v>44</v>
      </c>
      <c r="G209">
        <f ca="1">IFERROR(__xludf.DUMMYFUNCTION("""COMPUTED_VALUE"""),9)</f>
        <v>9</v>
      </c>
    </row>
    <row r="210" spans="1:7" ht="12.75">
      <c r="A210" t="str">
        <f ca="1">IFERROR(__xludf.DUMMYFUNCTION("""COMPUTED_VALUE"""),"T209")</f>
        <v>T209</v>
      </c>
      <c r="B210" t="str">
        <f ca="1">IFERROR(__xludf.DUMMYFUNCTION("""COMPUTED_VALUE"""),"T197")</f>
        <v>T197</v>
      </c>
      <c r="C210" t="str">
        <f ca="1">IFERROR(__xludf.DUMMYFUNCTION("""COMPUTED_VALUE"""),"Gunn Charoenkul")</f>
        <v>Gunn Charoenkul</v>
      </c>
      <c r="D210">
        <f ca="1">IFERROR(__xludf.DUMMYFUNCTION("""COMPUTED_VALUE"""),4)</f>
        <v>4</v>
      </c>
      <c r="E210">
        <f ca="1">IFERROR(__xludf.DUMMYFUNCTION("""COMPUTED_VALUE"""),20)</f>
        <v>20</v>
      </c>
      <c r="F210">
        <f ca="1">IFERROR(__xludf.DUMMYFUNCTION("""COMPUTED_VALUE"""),10)</f>
        <v>10</v>
      </c>
      <c r="G210">
        <f ca="1">IFERROR(__xludf.DUMMYFUNCTION("""COMPUTED_VALUE"""),2)</f>
        <v>2</v>
      </c>
    </row>
    <row r="211" spans="1:7" ht="12.75">
      <c r="A211" t="str">
        <f ca="1">IFERROR(__xludf.DUMMYFUNCTION("""COMPUTED_VALUE"""),"T209")</f>
        <v>T209</v>
      </c>
      <c r="B211" t="str">
        <f ca="1">IFERROR(__xludf.DUMMYFUNCTION("""COMPUTED_VALUE"""),"T223")</f>
        <v>T223</v>
      </c>
      <c r="C211" t="str">
        <f ca="1">IFERROR(__xludf.DUMMYFUNCTION("""COMPUTED_VALUE"""),"Bo Van Pelt")</f>
        <v>Bo Van Pelt</v>
      </c>
      <c r="D211">
        <f ca="1">IFERROR(__xludf.DUMMYFUNCTION("""COMPUTED_VALUE"""),10)</f>
        <v>10</v>
      </c>
      <c r="E211">
        <f ca="1">IFERROR(__xludf.DUMMYFUNCTION("""COMPUTED_VALUE"""),20)</f>
        <v>20</v>
      </c>
      <c r="F211">
        <f ca="1">IFERROR(__xludf.DUMMYFUNCTION("""COMPUTED_VALUE"""),15)</f>
        <v>15</v>
      </c>
      <c r="G211">
        <f ca="1">IFERROR(__xludf.DUMMYFUNCTION("""COMPUTED_VALUE"""),3)</f>
        <v>3</v>
      </c>
    </row>
    <row r="212" spans="1:7" ht="12.75">
      <c r="A212" t="str">
        <f ca="1">IFERROR(__xludf.DUMMYFUNCTION("""COMPUTED_VALUE"""),"T209")</f>
        <v>T209</v>
      </c>
      <c r="B212" t="str">
        <f ca="1">IFERROR(__xludf.DUMMYFUNCTION("""COMPUTED_VALUE"""),"T197")</f>
        <v>T197</v>
      </c>
      <c r="C212" t="str">
        <f ca="1">IFERROR(__xludf.DUMMYFUNCTION("""COMPUTED_VALUE"""),"Jim Furyk")</f>
        <v>Jim Furyk</v>
      </c>
      <c r="D212">
        <f ca="1">IFERROR(__xludf.DUMMYFUNCTION("""COMPUTED_VALUE"""),4)</f>
        <v>4</v>
      </c>
      <c r="E212">
        <f ca="1">IFERROR(__xludf.DUMMYFUNCTION("""COMPUTED_VALUE"""),20)</f>
        <v>20</v>
      </c>
      <c r="F212">
        <f ca="1">IFERROR(__xludf.DUMMYFUNCTION("""COMPUTED_VALUE"""),15)</f>
        <v>15</v>
      </c>
      <c r="G212">
        <f ca="1">IFERROR(__xludf.DUMMYFUNCTION("""COMPUTED_VALUE"""),3)</f>
        <v>3</v>
      </c>
    </row>
    <row r="213" spans="1:7" ht="12.75">
      <c r="A213" t="str">
        <f ca="1">IFERROR(__xludf.DUMMYFUNCTION("""COMPUTED_VALUE"""),"T209")</f>
        <v>T209</v>
      </c>
      <c r="B213" t="str">
        <f ca="1">IFERROR(__xludf.DUMMYFUNCTION("""COMPUTED_VALUE"""),"T219")</f>
        <v>T219</v>
      </c>
      <c r="C213" t="str">
        <f ca="1">IFERROR(__xludf.DUMMYFUNCTION("""COMPUTED_VALUE"""),"Jhonattan Vegas")</f>
        <v>Jhonattan Vegas</v>
      </c>
      <c r="D213">
        <f ca="1">IFERROR(__xludf.DUMMYFUNCTION("""COMPUTED_VALUE"""),16)</f>
        <v>16</v>
      </c>
      <c r="E213">
        <f ca="1">IFERROR(__xludf.DUMMYFUNCTION("""COMPUTED_VALUE"""),20)</f>
        <v>20</v>
      </c>
      <c r="F213">
        <f ca="1">IFERROR(__xludf.DUMMYFUNCTION("""COMPUTED_VALUE"""),30)</f>
        <v>30</v>
      </c>
      <c r="G213">
        <f ca="1">IFERROR(__xludf.DUMMYFUNCTION("""COMPUTED_VALUE"""),6)</f>
        <v>6</v>
      </c>
    </row>
    <row r="214" spans="1:7" ht="12.75">
      <c r="A214" t="str">
        <f ca="1">IFERROR(__xludf.DUMMYFUNCTION("""COMPUTED_VALUE"""),"T209")</f>
        <v>T209</v>
      </c>
      <c r="B214" t="str">
        <f ca="1">IFERROR(__xludf.DUMMYFUNCTION("""COMPUTED_VALUE"""),"T197")</f>
        <v>T197</v>
      </c>
      <c r="C214" t="str">
        <f ca="1">IFERROR(__xludf.DUMMYFUNCTION("""COMPUTED_VALUE"""),"Chez Reavie")</f>
        <v>Chez Reavie</v>
      </c>
      <c r="D214">
        <f ca="1">IFERROR(__xludf.DUMMYFUNCTION("""COMPUTED_VALUE"""),14)</f>
        <v>14</v>
      </c>
      <c r="E214">
        <f ca="1">IFERROR(__xludf.DUMMYFUNCTION("""COMPUTED_VALUE"""),20)</f>
        <v>20</v>
      </c>
      <c r="F214">
        <f ca="1">IFERROR(__xludf.DUMMYFUNCTION("""COMPUTED_VALUE"""),40)</f>
        <v>40</v>
      </c>
      <c r="G214">
        <f ca="1">IFERROR(__xludf.DUMMYFUNCTION("""COMPUTED_VALUE"""),8)</f>
        <v>8</v>
      </c>
    </row>
    <row r="215" spans="1:7" ht="12.75">
      <c r="A215" t="str">
        <f ca="1">IFERROR(__xludf.DUMMYFUNCTION("""COMPUTED_VALUE"""),"T209")</f>
        <v>T209</v>
      </c>
      <c r="B215" t="str">
        <f ca="1">IFERROR(__xludf.DUMMYFUNCTION("""COMPUTED_VALUE"""),"T197")</f>
        <v>T197</v>
      </c>
      <c r="C215" t="str">
        <f ca="1">IFERROR(__xludf.DUMMYFUNCTION("""COMPUTED_VALUE"""),"Matt Wallace")</f>
        <v>Matt Wallace</v>
      </c>
      <c r="D215">
        <f ca="1">IFERROR(__xludf.DUMMYFUNCTION("""COMPUTED_VALUE"""),4)</f>
        <v>4</v>
      </c>
      <c r="E215">
        <f ca="1">IFERROR(__xludf.DUMMYFUNCTION("""COMPUTED_VALUE"""),20)</f>
        <v>20</v>
      </c>
      <c r="F215">
        <f ca="1">IFERROR(__xludf.DUMMYFUNCTION("""COMPUTED_VALUE"""),10)</f>
        <v>10</v>
      </c>
      <c r="G215">
        <f ca="1">IFERROR(__xludf.DUMMYFUNCTION("""COMPUTED_VALUE"""),2)</f>
        <v>2</v>
      </c>
    </row>
    <row r="216" spans="1:7" ht="12.75">
      <c r="A216" t="str">
        <f ca="1">IFERROR(__xludf.DUMMYFUNCTION("""COMPUTED_VALUE"""),"T209")</f>
        <v>T209</v>
      </c>
      <c r="B216" t="str">
        <f ca="1">IFERROR(__xludf.DUMMYFUNCTION("""COMPUTED_VALUE"""),"T180")</f>
        <v>T180</v>
      </c>
      <c r="C216" t="str">
        <f ca="1">IFERROR(__xludf.DUMMYFUNCTION("""COMPUTED_VALUE"""),"Michael Kim")</f>
        <v>Michael Kim</v>
      </c>
      <c r="D216">
        <f ca="1">IFERROR(__xludf.DUMMYFUNCTION("""COMPUTED_VALUE"""),12)</f>
        <v>12</v>
      </c>
      <c r="E216">
        <f ca="1">IFERROR(__xludf.DUMMYFUNCTION("""COMPUTED_VALUE"""),20)</f>
        <v>20</v>
      </c>
      <c r="F216">
        <f ca="1">IFERROR(__xludf.DUMMYFUNCTION("""COMPUTED_VALUE"""),20)</f>
        <v>20</v>
      </c>
      <c r="G216">
        <f ca="1">IFERROR(__xludf.DUMMYFUNCTION("""COMPUTED_VALUE"""),4)</f>
        <v>4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IFERROR(__xludf.DUMMYFUNCTION("""COMPUTED_VALUE"""),183)</f>
        <v>183</v>
      </c>
      <c r="C217" t="str">
        <f ca="1">IFERROR(__xludf.DUMMYFUNCTION("""COMPUTED_VALUE"""),"Branden Grace")</f>
        <v>Branden Grace</v>
      </c>
      <c r="D217">
        <f ca="1">IFERROR(__xludf.DUMMYFUNCTION("""COMPUTED_VALUE"""),16)</f>
        <v>16</v>
      </c>
      <c r="E217">
        <f ca="1">IFERROR(__xludf.DUMMYFUNCTION("""COMPUTED_VALUE"""),19.44)</f>
        <v>19.440000000000001</v>
      </c>
      <c r="F217">
        <f ca="1">IFERROR(__xludf.DUMMYFUNCTION("""COMPUTED_VALUE"""),36)</f>
        <v>36</v>
      </c>
      <c r="G217">
        <f ca="1">IFERROR(__xludf.DUMMYFUNCTION("""COMPUTED_VALUE"""),7)</f>
        <v>7</v>
      </c>
    </row>
    <row r="218" spans="1:7" ht="12.75">
      <c r="A218">
        <f ca="1">IFERROR(__xludf.DUMMYFUNCTION("""COMPUTED_VALUE"""),217)</f>
        <v>217</v>
      </c>
      <c r="B218" t="str">
        <f ca="1">IFERROR(__xludf.DUMMYFUNCTION("""COMPUTED_VALUE"""),"T204")</f>
        <v>T204</v>
      </c>
      <c r="C218" t="str">
        <f ca="1">IFERROR(__xludf.DUMMYFUNCTION("""COMPUTED_VALUE"""),"Tom Lewis")</f>
        <v>Tom Lewis</v>
      </c>
      <c r="D218">
        <f ca="1">IFERROR(__xludf.DUMMYFUNCTION("""COMPUTED_VALUE"""),12)</f>
        <v>12</v>
      </c>
      <c r="E218">
        <f ca="1">IFERROR(__xludf.DUMMYFUNCTION("""COMPUTED_VALUE"""),19.23)</f>
        <v>19.23</v>
      </c>
      <c r="F218">
        <f ca="1">IFERROR(__xludf.DUMMYFUNCTION("""COMPUTED_VALUE"""),26)</f>
        <v>26</v>
      </c>
      <c r="G218">
        <f ca="1">IFERROR(__xludf.DUMMYFUNCTION("""COMPUTED_VALUE"""),5)</f>
        <v>5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IFERROR(__xludf.DUMMYFUNCTION("""COMPUTED_VALUE"""),"T223")</f>
        <v>T223</v>
      </c>
      <c r="C219" t="str">
        <f ca="1">IFERROR(__xludf.DUMMYFUNCTION("""COMPUTED_VALUE"""),"Henrik Stenson")</f>
        <v>Henrik Stenson</v>
      </c>
      <c r="D219">
        <f ca="1">IFERROR(__xludf.DUMMYFUNCTION("""COMPUTED_VALUE"""),11)</f>
        <v>11</v>
      </c>
      <c r="E219">
        <f ca="1">IFERROR(__xludf.DUMMYFUNCTION("""COMPUTED_VALUE"""),18.75)</f>
        <v>18.75</v>
      </c>
      <c r="F219">
        <f ca="1">IFERROR(__xludf.DUMMYFUNCTION("""COMPUTED_VALUE"""),16)</f>
        <v>16</v>
      </c>
      <c r="G219">
        <f ca="1">IFERROR(__xludf.DUMMYFUNCTION("""COMPUTED_VALUE"""),3)</f>
        <v>3</v>
      </c>
    </row>
    <row r="220" spans="1:7" ht="12.75">
      <c r="A220" t="str">
        <f ca="1">IFERROR(__xludf.DUMMYFUNCTION("""COMPUTED_VALUE"""),"T219")</f>
        <v>T219</v>
      </c>
      <c r="B220" t="str">
        <f ca="1">IFERROR(__xludf.DUMMYFUNCTION("""COMPUTED_VALUE"""),"T204")</f>
        <v>T204</v>
      </c>
      <c r="C220" t="str">
        <f ca="1">IFERROR(__xludf.DUMMYFUNCTION("""COMPUTED_VALUE"""),"Bill Haas")</f>
        <v>Bill Haas</v>
      </c>
      <c r="D220">
        <f ca="1">IFERROR(__xludf.DUMMYFUNCTION("""COMPUTED_VALUE"""),10)</f>
        <v>10</v>
      </c>
      <c r="E220">
        <f ca="1">IFERROR(__xludf.DUMMYFUNCTION("""COMPUTED_VALUE"""),18.18)</f>
        <v>18.18</v>
      </c>
      <c r="F220">
        <f ca="1">IFERROR(__xludf.DUMMYFUNCTION("""COMPUTED_VALUE"""),11)</f>
        <v>11</v>
      </c>
      <c r="G220">
        <f ca="1">IFERROR(__xludf.DUMMYFUNCTION("""COMPUTED_VALUE"""),2)</f>
        <v>2</v>
      </c>
    </row>
    <row r="221" spans="1:7" ht="12.75">
      <c r="A221" t="str">
        <f ca="1">IFERROR(__xludf.DUMMYFUNCTION("""COMPUTED_VALUE"""),"T219")</f>
        <v>T219</v>
      </c>
      <c r="B221" t="str">
        <f ca="1">IFERROR(__xludf.DUMMYFUNCTION("""COMPUTED_VALUE"""),"T204")</f>
        <v>T204</v>
      </c>
      <c r="C221" t="str">
        <f ca="1">IFERROR(__xludf.DUMMYFUNCTION("""COMPUTED_VALUE"""),"Jonathan Byrd")</f>
        <v>Jonathan Byrd</v>
      </c>
      <c r="D221">
        <f ca="1">IFERROR(__xludf.DUMMYFUNCTION("""COMPUTED_VALUE"""),14)</f>
        <v>14</v>
      </c>
      <c r="E221">
        <f ca="1">IFERROR(__xludf.DUMMYFUNCTION("""COMPUTED_VALUE"""),18.18)</f>
        <v>18.18</v>
      </c>
      <c r="F221">
        <f ca="1">IFERROR(__xludf.DUMMYFUNCTION("""COMPUTED_VALUE"""),11)</f>
        <v>11</v>
      </c>
      <c r="G221">
        <f ca="1">IFERROR(__xludf.DUMMYFUNCTION("""COMPUTED_VALUE"""),2)</f>
        <v>2</v>
      </c>
    </row>
    <row r="222" spans="1:7" ht="12.75">
      <c r="A222" t="str">
        <f ca="1">IFERROR(__xludf.DUMMYFUNCTION("""COMPUTED_VALUE"""),"T219")</f>
        <v>T219</v>
      </c>
      <c r="B222" t="str">
        <f ca="1">IFERROR(__xludf.DUMMYFUNCTION("""COMPUTED_VALUE"""),"T204")</f>
        <v>T204</v>
      </c>
      <c r="C222" t="str">
        <f ca="1">IFERROR(__xludf.DUMMYFUNCTION("""COMPUTED_VALUE"""),"Zac Blair")</f>
        <v>Zac Blair</v>
      </c>
      <c r="D222">
        <f ca="1">IFERROR(__xludf.DUMMYFUNCTION("""COMPUTED_VALUE"""),10)</f>
        <v>10</v>
      </c>
      <c r="E222">
        <f ca="1">IFERROR(__xludf.DUMMYFUNCTION("""COMPUTED_VALUE"""),18.18)</f>
        <v>18.18</v>
      </c>
      <c r="F222">
        <f ca="1">IFERROR(__xludf.DUMMYFUNCTION("""COMPUTED_VALUE"""),22)</f>
        <v>22</v>
      </c>
      <c r="G222">
        <f ca="1">IFERROR(__xludf.DUMMYFUNCTION("""COMPUTED_VALUE"""),4)</f>
        <v>4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IFERROR(__xludf.DUMMYFUNCTION("""COMPUTED_VALUE"""),211)</f>
        <v>211</v>
      </c>
      <c r="C223" t="str">
        <f ca="1">IFERROR(__xludf.DUMMYFUNCTION("""COMPUTED_VALUE"""),"Adam Schenk")</f>
        <v>Adam Schenk</v>
      </c>
      <c r="D223">
        <f ca="1">IFERROR(__xludf.DUMMYFUNCTION("""COMPUTED_VALUE"""),22)</f>
        <v>22</v>
      </c>
      <c r="E223">
        <f ca="1">IFERROR(__xludf.DUMMYFUNCTION("""COMPUTED_VALUE"""),17.95)</f>
        <v>17.95</v>
      </c>
      <c r="F223">
        <f ca="1">IFERROR(__xludf.DUMMYFUNCTION("""COMPUTED_VALUE"""),39)</f>
        <v>39</v>
      </c>
      <c r="G223">
        <f ca="1">IFERROR(__xludf.DUMMYFUNCTION("""COMPUTED_VALUE"""),7)</f>
        <v>7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IFERROR(__xludf.DUMMYFUNCTION("""COMPUTED_VALUE"""),208)</f>
        <v>208</v>
      </c>
      <c r="C224" t="str">
        <f ca="1">IFERROR(__xludf.DUMMYFUNCTION("""COMPUTED_VALUE"""),"Collin Morikawa")</f>
        <v>Collin Morikawa</v>
      </c>
      <c r="D224">
        <f ca="1">IFERROR(__xludf.DUMMYFUNCTION("""COMPUTED_VALUE"""),12)</f>
        <v>12</v>
      </c>
      <c r="E224">
        <f ca="1">IFERROR(__xludf.DUMMYFUNCTION("""COMPUTED_VALUE"""),17.86)</f>
        <v>17.86</v>
      </c>
      <c r="F224">
        <f ca="1">IFERROR(__xludf.DUMMYFUNCTION("""COMPUTED_VALUE"""),28)</f>
        <v>28</v>
      </c>
      <c r="G224">
        <f ca="1">IFERROR(__xludf.DUMMYFUNCTION("""COMPUTED_VALUE"""),5)</f>
        <v>5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IFERROR(__xludf.DUMMYFUNCTION("""COMPUTED_VALUE"""),209)</f>
        <v>209</v>
      </c>
      <c r="C225" t="str">
        <f ca="1">IFERROR(__xludf.DUMMYFUNCTION("""COMPUTED_VALUE"""),"Joohyung Kim")</f>
        <v>Joohyung Kim</v>
      </c>
      <c r="D225">
        <f ca="1">IFERROR(__xludf.DUMMYFUNCTION("""COMPUTED_VALUE"""),12)</f>
        <v>12</v>
      </c>
      <c r="E225">
        <f ca="1">IFERROR(__xludf.DUMMYFUNCTION("""COMPUTED_VALUE"""),17.39)</f>
        <v>17.39</v>
      </c>
      <c r="F225">
        <f ca="1">IFERROR(__xludf.DUMMYFUNCTION("""COMPUTED_VALUE"""),23)</f>
        <v>23</v>
      </c>
      <c r="G225">
        <f ca="1">IFERROR(__xludf.DUMMYFUNCTION("""COMPUTED_VALUE"""),4)</f>
        <v>4</v>
      </c>
    </row>
    <row r="226" spans="1:7" ht="12.75">
      <c r="A226" t="str">
        <f ca="1">IFERROR(__xludf.DUMMYFUNCTION("""COMPUTED_VALUE"""),"T225")</f>
        <v>T225</v>
      </c>
      <c r="B226" t="str">
        <f ca="1">IFERROR(__xludf.DUMMYFUNCTION("""COMPUTED_VALUE"""),"")</f>
        <v/>
      </c>
      <c r="C226" t="str">
        <f ca="1">IFERROR(__xludf.DUMMYFUNCTION("""COMPUTED_VALUE"""),"Ted Potter, Jr.")</f>
        <v>Ted Potter, Jr.</v>
      </c>
      <c r="D226">
        <f ca="1">IFERROR(__xludf.DUMMYFUNCTION("""COMPUTED_VALUE"""),8)</f>
        <v>8</v>
      </c>
      <c r="E226">
        <f ca="1">IFERROR(__xludf.DUMMYFUNCTION("""COMPUTED_VALUE"""),16.67)</f>
        <v>16.670000000000002</v>
      </c>
      <c r="F226">
        <f ca="1">IFERROR(__xludf.DUMMYFUNCTION("""COMPUTED_VALUE"""),12)</f>
        <v>12</v>
      </c>
      <c r="G226">
        <f ca="1">IFERROR(__xludf.DUMMYFUNCTION("""COMPUTED_VALUE"""),2)</f>
        <v>2</v>
      </c>
    </row>
    <row r="227" spans="1:7" ht="12.75">
      <c r="A227" t="str">
        <f ca="1">IFERROR(__xludf.DUMMYFUNCTION("""COMPUTED_VALUE"""),"T225")</f>
        <v>T225</v>
      </c>
      <c r="B227" t="str">
        <f ca="1">IFERROR(__xludf.DUMMYFUNCTION("""COMPUTED_VALUE"""),"")</f>
        <v/>
      </c>
      <c r="C227" t="str">
        <f ca="1">IFERROR(__xludf.DUMMYFUNCTION("""COMPUTED_VALUE"""),"Justin Harding")</f>
        <v>Justin Harding</v>
      </c>
      <c r="D227">
        <f ca="1">IFERROR(__xludf.DUMMYFUNCTION("""COMPUTED_VALUE"""),6)</f>
        <v>6</v>
      </c>
      <c r="E227">
        <f ca="1">IFERROR(__xludf.DUMMYFUNCTION("""COMPUTED_VALUE"""),16.67)</f>
        <v>16.670000000000002</v>
      </c>
      <c r="F227">
        <f ca="1">IFERROR(__xludf.DUMMYFUNCTION("""COMPUTED_VALUE"""),18)</f>
        <v>18</v>
      </c>
      <c r="G227">
        <f ca="1">IFERROR(__xludf.DUMMYFUNCTION("""COMPUTED_VALUE"""),3)</f>
        <v>3</v>
      </c>
    </row>
    <row r="228" spans="1:7" ht="12.75">
      <c r="A228">
        <f ca="1">IFERROR(__xludf.DUMMYFUNCTION("""COMPUTED_VALUE"""),227)</f>
        <v>227</v>
      </c>
      <c r="B228" t="str">
        <f ca="1">IFERROR(__xludf.DUMMYFUNCTION("""COMPUTED_VALUE"""),"T221")</f>
        <v>T221</v>
      </c>
      <c r="C228" t="str">
        <f ca="1">IFERROR(__xludf.DUMMYFUNCTION("""COMPUTED_VALUE"""),"Hudson Swafford")</f>
        <v>Hudson Swafford</v>
      </c>
      <c r="D228">
        <f ca="1">IFERROR(__xludf.DUMMYFUNCTION("""COMPUTED_VALUE"""),18)</f>
        <v>18</v>
      </c>
      <c r="E228">
        <f ca="1">IFERROR(__xludf.DUMMYFUNCTION("""COMPUTED_VALUE"""),16)</f>
        <v>16</v>
      </c>
      <c r="F228">
        <f ca="1">IFERROR(__xludf.DUMMYFUNCTION("""COMPUTED_VALUE"""),25)</f>
        <v>25</v>
      </c>
      <c r="G228">
        <f ca="1">IFERROR(__xludf.DUMMYFUNCTION("""COMPUTED_VALUE"""),4)</f>
        <v>4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IFERROR(__xludf.DUMMYFUNCTION("""COMPUTED_VALUE"""),213)</f>
        <v>213</v>
      </c>
      <c r="C229" t="str">
        <f ca="1">IFERROR(__xludf.DUMMYFUNCTION("""COMPUTED_VALUE"""),"William McGirt")</f>
        <v>William McGirt</v>
      </c>
      <c r="D229">
        <f ca="1">IFERROR(__xludf.DUMMYFUNCTION("""COMPUTED_VALUE"""),6)</f>
        <v>6</v>
      </c>
      <c r="E229">
        <f ca="1">IFERROR(__xludf.DUMMYFUNCTION("""COMPUTED_VALUE"""),15.79)</f>
        <v>15.79</v>
      </c>
      <c r="F229">
        <f ca="1">IFERROR(__xludf.DUMMYFUNCTION("""COMPUTED_VALUE"""),19)</f>
        <v>19</v>
      </c>
      <c r="G229">
        <f ca="1">IFERROR(__xludf.DUMMYFUNCTION("""COMPUTED_VALUE"""),3)</f>
        <v>3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IFERROR(__xludf.DUMMYFUNCTION("""COMPUTED_VALUE"""),214)</f>
        <v>214</v>
      </c>
      <c r="C230" t="str">
        <f ca="1">IFERROR(__xludf.DUMMYFUNCTION("""COMPUTED_VALUE"""),"Jim Herman")</f>
        <v>Jim Herman</v>
      </c>
      <c r="D230">
        <f ca="1">IFERROR(__xludf.DUMMYFUNCTION("""COMPUTED_VALUE"""),12)</f>
        <v>12</v>
      </c>
      <c r="E230">
        <f ca="1">IFERROR(__xludf.DUMMYFUNCTION("""COMPUTED_VALUE"""),15.63)</f>
        <v>15.63</v>
      </c>
      <c r="F230">
        <f ca="1">IFERROR(__xludf.DUMMYFUNCTION("""COMPUTED_VALUE"""),32)</f>
        <v>32</v>
      </c>
      <c r="G230">
        <f ca="1">IFERROR(__xludf.DUMMYFUNCTION("""COMPUTED_VALUE"""),5)</f>
        <v>5</v>
      </c>
    </row>
    <row r="231" spans="1:7" ht="12.75">
      <c r="A231" t="str">
        <f ca="1">IFERROR(__xludf.DUMMYFUNCTION("""COMPUTED_VALUE"""),"T230")</f>
        <v>T230</v>
      </c>
      <c r="B231" t="str">
        <f ca="1">IFERROR(__xludf.DUMMYFUNCTION("""COMPUTED_VALUE"""),"T215")</f>
        <v>T215</v>
      </c>
      <c r="C231" t="str">
        <f ca="1">IFERROR(__xludf.DUMMYFUNCTION("""COMPUTED_VALUE"""),"Roger Sloan")</f>
        <v>Roger Sloan</v>
      </c>
      <c r="D231">
        <f ca="1">IFERROR(__xludf.DUMMYFUNCTION("""COMPUTED_VALUE"""),12)</f>
        <v>12</v>
      </c>
      <c r="E231">
        <f ca="1">IFERROR(__xludf.DUMMYFUNCTION("""COMPUTED_VALUE"""),15.38)</f>
        <v>15.38</v>
      </c>
      <c r="F231">
        <f ca="1">IFERROR(__xludf.DUMMYFUNCTION("""COMPUTED_VALUE"""),13)</f>
        <v>13</v>
      </c>
      <c r="G231">
        <f ca="1">IFERROR(__xludf.DUMMYFUNCTION("""COMPUTED_VALUE"""),2)</f>
        <v>2</v>
      </c>
    </row>
    <row r="232" spans="1:7" ht="12.75">
      <c r="A232" t="str">
        <f ca="1">IFERROR(__xludf.DUMMYFUNCTION("""COMPUTED_VALUE"""),"T230")</f>
        <v>T230</v>
      </c>
      <c r="B232">
        <f ca="1">IFERROR(__xludf.DUMMYFUNCTION("""COMPUTED_VALUE"""),212)</f>
        <v>212</v>
      </c>
      <c r="C232" t="str">
        <f ca="1">IFERROR(__xludf.DUMMYFUNCTION("""COMPUTED_VALUE"""),"Bo Hoag")</f>
        <v>Bo Hoag</v>
      </c>
      <c r="D232">
        <f ca="1">IFERROR(__xludf.DUMMYFUNCTION("""COMPUTED_VALUE"""),14)</f>
        <v>14</v>
      </c>
      <c r="E232">
        <f ca="1">IFERROR(__xludf.DUMMYFUNCTION("""COMPUTED_VALUE"""),15.38)</f>
        <v>15.38</v>
      </c>
      <c r="F232">
        <f ca="1">IFERROR(__xludf.DUMMYFUNCTION("""COMPUTED_VALUE"""),26)</f>
        <v>26</v>
      </c>
      <c r="G232">
        <f ca="1">IFERROR(__xludf.DUMMYFUNCTION("""COMPUTED_VALUE"""),4)</f>
        <v>4</v>
      </c>
    </row>
    <row r="233" spans="1:7" ht="12.75">
      <c r="A233" t="str">
        <f ca="1">IFERROR(__xludf.DUMMYFUNCTION("""COMPUTED_VALUE"""),"T230")</f>
        <v>T230</v>
      </c>
      <c r="B233" t="str">
        <f ca="1">IFERROR(__xludf.DUMMYFUNCTION("""COMPUTED_VALUE"""),"T215")</f>
        <v>T215</v>
      </c>
      <c r="C233" t="str">
        <f ca="1">IFERROR(__xludf.DUMMYFUNCTION("""COMPUTED_VALUE"""),"Tiger Woods")</f>
        <v>Tiger Woods</v>
      </c>
      <c r="D233">
        <f ca="1">IFERROR(__xludf.DUMMYFUNCTION("""COMPUTED_VALUE"""),6)</f>
        <v>6</v>
      </c>
      <c r="E233">
        <f ca="1">IFERROR(__xludf.DUMMYFUNCTION("""COMPUTED_VALUE"""),15.38)</f>
        <v>15.38</v>
      </c>
      <c r="F233">
        <f ca="1">IFERROR(__xludf.DUMMYFUNCTION("""COMPUTED_VALUE"""),13)</f>
        <v>13</v>
      </c>
      <c r="G233">
        <f ca="1">IFERROR(__xludf.DUMMYFUNCTION("""COMPUTED_VALUE"""),2)</f>
        <v>2</v>
      </c>
    </row>
    <row r="234" spans="1:7" ht="12.75">
      <c r="A234" t="str">
        <f ca="1">IFERROR(__xludf.DUMMYFUNCTION("""COMPUTED_VALUE"""),"T230")</f>
        <v>T230</v>
      </c>
      <c r="B234" t="str">
        <f ca="1">IFERROR(__xludf.DUMMYFUNCTION("""COMPUTED_VALUE"""),"")</f>
        <v/>
      </c>
      <c r="C234" t="str">
        <f ca="1">IFERROR(__xludf.DUMMYFUNCTION("""COMPUTED_VALUE"""),"Keith Mitchell")</f>
        <v>Keith Mitchell</v>
      </c>
      <c r="D234">
        <f ca="1">IFERROR(__xludf.DUMMYFUNCTION("""COMPUTED_VALUE"""),14)</f>
        <v>14</v>
      </c>
      <c r="E234">
        <f ca="1">IFERROR(__xludf.DUMMYFUNCTION("""COMPUTED_VALUE"""),15.38)</f>
        <v>15.38</v>
      </c>
      <c r="F234">
        <f ca="1">IFERROR(__xludf.DUMMYFUNCTION("""COMPUTED_VALUE"""),13)</f>
        <v>13</v>
      </c>
      <c r="G234">
        <f ca="1">IFERROR(__xludf.DUMMYFUNCTION("""COMPUTED_VALUE"""),2)</f>
        <v>2</v>
      </c>
    </row>
    <row r="235" spans="1:7" ht="12.75">
      <c r="A235" t="str">
        <f ca="1">IFERROR(__xludf.DUMMYFUNCTION("""COMPUTED_VALUE"""),"T230")</f>
        <v>T230</v>
      </c>
      <c r="B235" t="str">
        <f ca="1">IFERROR(__xludf.DUMMYFUNCTION("""COMPUTED_VALUE"""),"T215")</f>
        <v>T215</v>
      </c>
      <c r="C235" t="str">
        <f ca="1">IFERROR(__xludf.DUMMYFUNCTION("""COMPUTED_VALUE"""),"Christiaan Bezuidenhout")</f>
        <v>Christiaan Bezuidenhout</v>
      </c>
      <c r="D235">
        <f ca="1">IFERROR(__xludf.DUMMYFUNCTION("""COMPUTED_VALUE"""),4)</f>
        <v>4</v>
      </c>
      <c r="E235">
        <f ca="1">IFERROR(__xludf.DUMMYFUNCTION("""COMPUTED_VALUE"""),15.38)</f>
        <v>15.38</v>
      </c>
      <c r="F235">
        <f ca="1">IFERROR(__xludf.DUMMYFUNCTION("""COMPUTED_VALUE"""),13)</f>
        <v>13</v>
      </c>
      <c r="G235">
        <f ca="1">IFERROR(__xludf.DUMMYFUNCTION("""COMPUTED_VALUE"""),2)</f>
        <v>2</v>
      </c>
    </row>
    <row r="236" spans="1:7" ht="12.75">
      <c r="A236">
        <f ca="1">IFERROR(__xludf.DUMMYFUNCTION("""COMPUTED_VALUE"""),235)</f>
        <v>235</v>
      </c>
      <c r="B236" t="str">
        <f ca="1">IFERROR(__xludf.DUMMYFUNCTION("""COMPUTED_VALUE"""),"T227")</f>
        <v>T227</v>
      </c>
      <c r="C236" t="str">
        <f ca="1">IFERROR(__xludf.DUMMYFUNCTION("""COMPUTED_VALUE"""),"Kevin Tway")</f>
        <v>Kevin Tway</v>
      </c>
      <c r="D236">
        <f ca="1">IFERROR(__xludf.DUMMYFUNCTION("""COMPUTED_VALUE"""),16)</f>
        <v>16</v>
      </c>
      <c r="E236">
        <f ca="1">IFERROR(__xludf.DUMMYFUNCTION("""COMPUTED_VALUE"""),14.29)</f>
        <v>14.29</v>
      </c>
      <c r="F236">
        <f ca="1">IFERROR(__xludf.DUMMYFUNCTION("""COMPUTED_VALUE"""),14)</f>
        <v>14</v>
      </c>
      <c r="G236">
        <f ca="1">IFERROR(__xludf.DUMMYFUNCTION("""COMPUTED_VALUE"""),2)</f>
        <v>2</v>
      </c>
    </row>
    <row r="237" spans="1:7" ht="12.75">
      <c r="A237" t="str">
        <f ca="1">IFERROR(__xludf.DUMMYFUNCTION("""COMPUTED_VALUE"""),"T236")</f>
        <v>T236</v>
      </c>
      <c r="B237" t="str">
        <f ca="1">IFERROR(__xludf.DUMMYFUNCTION("""COMPUTED_VALUE"""),"T221")</f>
        <v>T221</v>
      </c>
      <c r="C237" t="str">
        <f ca="1">IFERROR(__xludf.DUMMYFUNCTION("""COMPUTED_VALUE"""),"Jazz Janewattananond")</f>
        <v>Jazz Janewattananond</v>
      </c>
      <c r="D237">
        <f ca="1">IFERROR(__xludf.DUMMYFUNCTION("""COMPUTED_VALUE"""),6)</f>
        <v>6</v>
      </c>
      <c r="E237">
        <f ca="1">IFERROR(__xludf.DUMMYFUNCTION("""COMPUTED_VALUE"""),11.11)</f>
        <v>11.11</v>
      </c>
      <c r="F237">
        <f ca="1">IFERROR(__xludf.DUMMYFUNCTION("""COMPUTED_VALUE"""),18)</f>
        <v>18</v>
      </c>
      <c r="G237">
        <f ca="1">IFERROR(__xludf.DUMMYFUNCTION("""COMPUTED_VALUE"""),2)</f>
        <v>2</v>
      </c>
    </row>
    <row r="238" spans="1:7" ht="12.75">
      <c r="A238" t="str">
        <f ca="1">IFERROR(__xludf.DUMMYFUNCTION("""COMPUTED_VALUE"""),"T236")</f>
        <v>T236</v>
      </c>
      <c r="B238" t="str">
        <f ca="1">IFERROR(__xludf.DUMMYFUNCTION("""COMPUTED_VALUE"""),"")</f>
        <v/>
      </c>
      <c r="C238" t="str">
        <f ca="1">IFERROR(__xludf.DUMMYFUNCTION("""COMPUTED_VALUE"""),"Kramer Hickok")</f>
        <v>Kramer Hickok</v>
      </c>
      <c r="D238">
        <f ca="1">IFERROR(__xludf.DUMMYFUNCTION("""COMPUTED_VALUE"""),16)</f>
        <v>16</v>
      </c>
      <c r="E238">
        <f ca="1">IFERROR(__xludf.DUMMYFUNCTION("""COMPUTED_VALUE"""),11.11)</f>
        <v>11.11</v>
      </c>
      <c r="F238">
        <f ca="1">IFERROR(__xludf.DUMMYFUNCTION("""COMPUTED_VALUE"""),18)</f>
        <v>18</v>
      </c>
      <c r="G238">
        <f ca="1">IFERROR(__xludf.DUMMYFUNCTION("""COMPUTED_VALUE"""),2)</f>
        <v>2</v>
      </c>
    </row>
    <row r="239" spans="1:7" ht="12.75">
      <c r="A239">
        <f ca="1">IFERROR(__xludf.DUMMYFUNCTION("""COMPUTED_VALUE"""),238)</f>
        <v>238</v>
      </c>
      <c r="B239" t="str">
        <f ca="1">IFERROR(__xludf.DUMMYFUNCTION("""COMPUTED_VALUE"""),"T227")</f>
        <v>T227</v>
      </c>
      <c r="C239" t="str">
        <f ca="1">IFERROR(__xludf.DUMMYFUNCTION("""COMPUTED_VALUE"""),"Robert Streb")</f>
        <v>Robert Streb</v>
      </c>
      <c r="D239">
        <f ca="1">IFERROR(__xludf.DUMMYFUNCTION("""COMPUTED_VALUE"""),12)</f>
        <v>12</v>
      </c>
      <c r="E239">
        <f ca="1">IFERROR(__xludf.DUMMYFUNCTION("""COMPUTED_VALUE"""),8.33)</f>
        <v>8.33</v>
      </c>
      <c r="F239">
        <f ca="1">IFERROR(__xludf.DUMMYFUNCTION("""COMPUTED_VALUE"""),12)</f>
        <v>12</v>
      </c>
      <c r="G239">
        <f ca="1">IFERROR(__xludf.DUMMYFUNCTION("""COMPUTED_VALUE"""),1)</f>
        <v>1</v>
      </c>
    </row>
    <row r="240" spans="1:7" ht="12.75">
      <c r="A240">
        <f ca="1">IFERROR(__xludf.DUMMYFUNCTION("""COMPUTED_VALUE"""),239)</f>
        <v>239</v>
      </c>
      <c r="B240" t="str">
        <f ca="1">IFERROR(__xludf.DUMMYFUNCTION("""COMPUTED_VALUE"""),"T223")</f>
        <v>T223</v>
      </c>
      <c r="C240" t="str">
        <f ca="1">IFERROR(__xludf.DUMMYFUNCTION("""COMPUTED_VALUE"""),"Graham DeLaet")</f>
        <v>Graham DeLaet</v>
      </c>
      <c r="D240">
        <f ca="1">IFERROR(__xludf.DUMMYFUNCTION("""COMPUTED_VALUE"""),9)</f>
        <v>9</v>
      </c>
      <c r="E240">
        <f ca="1">IFERROR(__xludf.DUMMYFUNCTION("""COMPUTED_VALUE"""),7.69)</f>
        <v>7.69</v>
      </c>
      <c r="F240">
        <f ca="1">IFERROR(__xludf.DUMMYFUNCTION("""COMPUTED_VALUE"""),13)</f>
        <v>13</v>
      </c>
      <c r="G240">
        <f ca="1">IFERROR(__xludf.DUMMYFUNCTION("""COMPUTED_VALUE"""),1)</f>
        <v>1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IFERROR(__xludf.DUMMYFUNCTION("""COMPUTED_VALUE"""),229)</f>
        <v>229</v>
      </c>
      <c r="C241" t="str">
        <f ca="1">IFERROR(__xludf.DUMMYFUNCTION("""COMPUTED_VALUE"""),"Sebastian Cappelen")</f>
        <v>Sebastian Cappelen</v>
      </c>
      <c r="D241">
        <f ca="1">IFERROR(__xludf.DUMMYFUNCTION("""COMPUTED_VALUE"""),8)</f>
        <v>8</v>
      </c>
      <c r="E241">
        <f ca="1">IFERROR(__xludf.DUMMYFUNCTION("""COMPUTED_VALUE"""),7.14)</f>
        <v>7.14</v>
      </c>
      <c r="F241">
        <f ca="1">IFERROR(__xludf.DUMMYFUNCTION("""COMPUTED_VALUE"""),14)</f>
        <v>14</v>
      </c>
      <c r="G241">
        <f ca="1">IFERROR(__xludf.DUMMYFUNCTION("""COMPUTED_VALUE"""),1)</f>
        <v>1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IFERROR(__xludf.DUMMYFUNCTION("""COMPUTED_VALUE"""),"T230")</f>
        <v>T230</v>
      </c>
      <c r="C242" t="str">
        <f ca="1">IFERROR(__xludf.DUMMYFUNCTION("""COMPUTED_VALUE"""),"J.J. Spaun")</f>
        <v>J.J. Spaun</v>
      </c>
      <c r="D242">
        <f ca="1">IFERROR(__xludf.DUMMYFUNCTION("""COMPUTED_VALUE"""),10)</f>
        <v>10</v>
      </c>
      <c r="E242">
        <f ca="1">IFERROR(__xludf.DUMMYFUNCTION("""COMPUTED_VALUE"""),6.25)</f>
        <v>6.25</v>
      </c>
      <c r="F242">
        <f ca="1">IFERROR(__xludf.DUMMYFUNCTION("""COMPUTED_VALUE"""),16)</f>
        <v>16</v>
      </c>
      <c r="G242">
        <f ca="1">IFERROR(__xludf.DUMMYFUNCTION("""COMPUTED_VALUE"""),1)</f>
        <v>1</v>
      </c>
    </row>
    <row r="243" spans="1:7" ht="12.75">
      <c r="A243">
        <f ca="1">IFERROR(__xludf.DUMMYFUNCTION("""COMPUTED_VALUE"""),242)</f>
        <v>242</v>
      </c>
      <c r="B243" t="str">
        <f ca="1">IFERROR(__xludf.DUMMYFUNCTION("""COMPUTED_VALUE"""),"T230")</f>
        <v>T230</v>
      </c>
      <c r="C243" t="str">
        <f ca="1">IFERROR(__xludf.DUMMYFUNCTION("""COMPUTED_VALUE"""),"Kevin Stadler")</f>
        <v>Kevin Stadler</v>
      </c>
      <c r="D243">
        <f ca="1">IFERROR(__xludf.DUMMYFUNCTION("""COMPUTED_VALUE"""),8)</f>
        <v>8</v>
      </c>
      <c r="E243">
        <f ca="1">IFERROR(__xludf.DUMMYFUNCTION("""COMPUTED_VALUE"""),4.35)</f>
        <v>4.3499999999999996</v>
      </c>
      <c r="F243">
        <f ca="1">IFERROR(__xludf.DUMMYFUNCTION("""COMPUTED_VALUE"""),23)</f>
        <v>23</v>
      </c>
      <c r="G243">
        <f ca="1">IFERROR(__xludf.DUMMYFUNCTION("""COMPUTED_VALUE"""),1)</f>
        <v>1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IFERROR(__xludf.DUMMYFUNCTION("""COMPUTED_VALUE"""),"")</f>
        <v/>
      </c>
      <c r="C244" t="str">
        <f ca="1">IFERROR(__xludf.DUMMYFUNCTION("""COMPUTED_VALUE"""),"Padraig Harrington")</f>
        <v>Padraig Harrington</v>
      </c>
      <c r="D244">
        <f ca="1">IFERROR(__xludf.DUMMYFUNCTION("""COMPUTED_VALUE"""),8)</f>
        <v>8</v>
      </c>
      <c r="E244">
        <f ca="1">IFERROR(__xludf.DUMMYFUNCTION("""COMPUTED_VALUE"""),0)</f>
        <v>0</v>
      </c>
      <c r="F244">
        <f ca="1">IFERROR(__xludf.DUMMYFUNCTION("""COMPUTED_VALUE"""),10)</f>
        <v>10</v>
      </c>
      <c r="G244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G209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IFERROR(__xludf.DUMMYFUNCTION("""COMPUTED_VALUE"""),"")</f>
        <v/>
      </c>
      <c r="C2" t="str">
        <f ca="1">IFERROR(__xludf.DUMMYFUNCTION("""COMPUTED_VALUE"""),"Francesco Molinari")</f>
        <v>Francesco Molinari</v>
      </c>
      <c r="D2">
        <f ca="1">IFERROR(__xludf.DUMMYFUNCTION("""COMPUTED_VALUE"""),6)</f>
        <v>6</v>
      </c>
      <c r="E2">
        <f ca="1">IFERROR(__xludf.DUMMYFUNCTION("""COMPUTED_VALUE"""),53.33)</f>
        <v>53.33</v>
      </c>
      <c r="F2">
        <f ca="1">IFERROR(__xludf.DUMMYFUNCTION("""COMPUTED_VALUE"""),15)</f>
        <v>15</v>
      </c>
      <c r="G2">
        <f ca="1">IFERROR(__xludf.DUMMYFUNCTION("""COMPUTED_VALUE"""),8)</f>
        <v>8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IFERROR(__xludf.DUMMYFUNCTION("""COMPUTED_VALUE"""),1)</f>
        <v>1</v>
      </c>
      <c r="C3" t="str">
        <f ca="1">IFERROR(__xludf.DUMMYFUNCTION("""COMPUTED_VALUE"""),"Daniel Berger")</f>
        <v>Daniel Berger</v>
      </c>
      <c r="D3">
        <f ca="1">IFERROR(__xludf.DUMMYFUNCTION("""COMPUTED_VALUE"""),12)</f>
        <v>12</v>
      </c>
      <c r="E3">
        <f ca="1">IFERROR(__xludf.DUMMYFUNCTION("""COMPUTED_VALUE"""),48)</f>
        <v>48</v>
      </c>
      <c r="F3">
        <f ca="1">IFERROR(__xludf.DUMMYFUNCTION("""COMPUTED_VALUE"""),25)</f>
        <v>25</v>
      </c>
      <c r="G3">
        <f ca="1">IFERROR(__xludf.DUMMYFUNCTION("""COMPUTED_VALUE"""),12)</f>
        <v>12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IFERROR(__xludf.DUMMYFUNCTION("""COMPUTED_VALUE"""),"Charles Howell III")</f>
        <v>Charles Howell III</v>
      </c>
      <c r="D4">
        <f ca="1">IFERROR(__xludf.DUMMYFUNCTION("""COMPUTED_VALUE"""),10)</f>
        <v>10</v>
      </c>
      <c r="E4">
        <f ca="1">IFERROR(__xludf.DUMMYFUNCTION("""COMPUTED_VALUE"""),42.11)</f>
        <v>42.11</v>
      </c>
      <c r="F4">
        <f ca="1">IFERROR(__xludf.DUMMYFUNCTION("""COMPUTED_VALUE"""),19)</f>
        <v>19</v>
      </c>
      <c r="G4">
        <f ca="1">IFERROR(__xludf.DUMMYFUNCTION("""COMPUTED_VALUE"""),8)</f>
        <v>8</v>
      </c>
    </row>
    <row r="5" spans="1:7" ht="15.75" customHeight="1">
      <c r="A5">
        <f ca="1">IFERROR(__xludf.DUMMYFUNCTION("""COMPUTED_VALUE"""),4)</f>
        <v>4</v>
      </c>
      <c r="B5" t="str">
        <f ca="1">IFERROR(__xludf.DUMMYFUNCTION("""COMPUTED_VALUE"""),"T3")</f>
        <v>T3</v>
      </c>
      <c r="C5" t="str">
        <f ca="1">IFERROR(__xludf.DUMMYFUNCTION("""COMPUTED_VALUE"""),"Christiaan Bezuidenhout")</f>
        <v>Christiaan Bezuidenhout</v>
      </c>
      <c r="D5">
        <f ca="1">IFERROR(__xludf.DUMMYFUNCTION("""COMPUTED_VALUE"""),4)</f>
        <v>4</v>
      </c>
      <c r="E5">
        <f ca="1">IFERROR(__xludf.DUMMYFUNCTION("""COMPUTED_VALUE"""),40)</f>
        <v>40</v>
      </c>
      <c r="F5">
        <f ca="1">IFERROR(__xludf.DUMMYFUNCTION("""COMPUTED_VALUE"""),10)</f>
        <v>10</v>
      </c>
      <c r="G5">
        <f ca="1">IFERROR(__xludf.DUMMYFUNCTION("""COMPUTED_VALUE"""),4)</f>
        <v>4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IFERROR(__xludf.DUMMYFUNCTION("""COMPUTED_VALUE"""),"Matthew Fitzpatrick")</f>
        <v>Matthew Fitzpatrick</v>
      </c>
      <c r="D6">
        <f ca="1">IFERROR(__xludf.DUMMYFUNCTION("""COMPUTED_VALUE"""),10)</f>
        <v>10</v>
      </c>
      <c r="E6">
        <f ca="1">IFERROR(__xludf.DUMMYFUNCTION("""COMPUTED_VALUE"""),38.46)</f>
        <v>38.46</v>
      </c>
      <c r="F6">
        <f ca="1">IFERROR(__xludf.DUMMYFUNCTION("""COMPUTED_VALUE"""),26)</f>
        <v>26</v>
      </c>
      <c r="G6">
        <f ca="1">IFERROR(__xludf.DUMMYFUNCTION("""COMPUTED_VALUE"""),10)</f>
        <v>10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IFERROR(__xludf.DUMMYFUNCTION("""COMPUTED_VALUE"""),"Brendon Todd")</f>
        <v>Brendon Todd</v>
      </c>
      <c r="D7">
        <f ca="1">IFERROR(__xludf.DUMMYFUNCTION("""COMPUTED_VALUE"""),14)</f>
        <v>14</v>
      </c>
      <c r="E7">
        <f ca="1">IFERROR(__xludf.DUMMYFUNCTION("""COMPUTED_VALUE"""),38.1)</f>
        <v>38.1</v>
      </c>
      <c r="F7">
        <f ca="1">IFERROR(__xludf.DUMMYFUNCTION("""COMPUTED_VALUE"""),21)</f>
        <v>21</v>
      </c>
      <c r="G7">
        <f ca="1">IFERROR(__xludf.DUMMYFUNCTION("""COMPUTED_VALUE"""),8)</f>
        <v>8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IFERROR(__xludf.DUMMYFUNCTION("""COMPUTED_VALUE"""),12)</f>
        <v>12</v>
      </c>
      <c r="C8" t="str">
        <f ca="1">IFERROR(__xludf.DUMMYFUNCTION("""COMPUTED_VALUE"""),"Alex Noren")</f>
        <v>Alex Noren</v>
      </c>
      <c r="D8">
        <f ca="1">IFERROR(__xludf.DUMMYFUNCTION("""COMPUTED_VALUE"""),14)</f>
        <v>14</v>
      </c>
      <c r="E8">
        <f ca="1">IFERROR(__xludf.DUMMYFUNCTION("""COMPUTED_VALUE"""),37.04)</f>
        <v>37.04</v>
      </c>
      <c r="F8">
        <f ca="1">IFERROR(__xludf.DUMMYFUNCTION("""COMPUTED_VALUE"""),27)</f>
        <v>27</v>
      </c>
      <c r="G8">
        <f ca="1">IFERROR(__xludf.DUMMYFUNCTION("""COMPUTED_VALUE"""),10)</f>
        <v>10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IFERROR(__xludf.DUMMYFUNCTION("""COMPUTED_VALUE"""),"Jordan Spieth")</f>
        <v>Jordan Spieth</v>
      </c>
      <c r="D9">
        <f ca="1">IFERROR(__xludf.DUMMYFUNCTION("""COMPUTED_VALUE"""),14)</f>
        <v>14</v>
      </c>
      <c r="E9">
        <f ca="1">IFERROR(__xludf.DUMMYFUNCTION("""COMPUTED_VALUE"""),36.84)</f>
        <v>36.840000000000003</v>
      </c>
      <c r="F9">
        <f ca="1">IFERROR(__xludf.DUMMYFUNCTION("""COMPUTED_VALUE"""),19)</f>
        <v>19</v>
      </c>
      <c r="G9">
        <f ca="1">IFERROR(__xludf.DUMMYFUNCTION("""COMPUTED_VALUE"""),7)</f>
        <v>7</v>
      </c>
    </row>
    <row r="10" spans="1:7" ht="15.75" customHeight="1">
      <c r="A10" t="str">
        <f ca="1">IFERROR(__xludf.DUMMYFUNCTION("""COMPUTED_VALUE"""),"T9")</f>
        <v>T9</v>
      </c>
      <c r="B10">
        <f ca="1">IFERROR(__xludf.DUMMYFUNCTION("""COMPUTED_VALUE"""),7)</f>
        <v>7</v>
      </c>
      <c r="C10" t="str">
        <f ca="1">IFERROR(__xludf.DUMMYFUNCTION("""COMPUTED_VALUE"""),"Justin Rose")</f>
        <v>Justin Rose</v>
      </c>
      <c r="D10">
        <f ca="1">IFERROR(__xludf.DUMMYFUNCTION("""COMPUTED_VALUE"""),10)</f>
        <v>10</v>
      </c>
      <c r="E10">
        <f ca="1">IFERROR(__xludf.DUMMYFUNCTION("""COMPUTED_VALUE"""),36.36)</f>
        <v>36.36</v>
      </c>
      <c r="F10">
        <f ca="1">IFERROR(__xludf.DUMMYFUNCTION("""COMPUTED_VALUE"""),11)</f>
        <v>11</v>
      </c>
      <c r="G10">
        <f ca="1">IFERROR(__xludf.DUMMYFUNCTION("""COMPUTED_VALUE"""),4)</f>
        <v>4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IFERROR(__xludf.DUMMYFUNCTION("""COMPUTED_VALUE"""),"")</f>
        <v/>
      </c>
      <c r="C11" t="str">
        <f ca="1">IFERROR(__xludf.DUMMYFUNCTION("""COMPUTED_VALUE"""),"Vaughn Taylor")</f>
        <v>Vaughn Taylor</v>
      </c>
      <c r="D11">
        <f ca="1">IFERROR(__xludf.DUMMYFUNCTION("""COMPUTED_VALUE"""),12)</f>
        <v>12</v>
      </c>
      <c r="E11">
        <f ca="1">IFERROR(__xludf.DUMMYFUNCTION("""COMPUTED_VALUE"""),36.36)</f>
        <v>36.36</v>
      </c>
      <c r="F11">
        <f ca="1">IFERROR(__xludf.DUMMYFUNCTION("""COMPUTED_VALUE"""),11)</f>
        <v>11</v>
      </c>
      <c r="G11">
        <f ca="1">IFERROR(__xludf.DUMMYFUNCTION("""COMPUTED_VALUE"""),4)</f>
        <v>4</v>
      </c>
    </row>
    <row r="12" spans="1:7" ht="15.75" customHeight="1">
      <c r="A12">
        <f ca="1">IFERROR(__xludf.DUMMYFUNCTION("""COMPUTED_VALUE"""),11)</f>
        <v>11</v>
      </c>
      <c r="B12" t="str">
        <f ca="1">IFERROR(__xludf.DUMMYFUNCTION("""COMPUTED_VALUE"""),"T9")</f>
        <v>T9</v>
      </c>
      <c r="C12" t="str">
        <f ca="1">IFERROR(__xludf.DUMMYFUNCTION("""COMPUTED_VALUE"""),"Ryan Armour")</f>
        <v>Ryan Armour</v>
      </c>
      <c r="D12">
        <f ca="1">IFERROR(__xludf.DUMMYFUNCTION("""COMPUTED_VALUE"""),16)</f>
        <v>16</v>
      </c>
      <c r="E12">
        <f ca="1">IFERROR(__xludf.DUMMYFUNCTION("""COMPUTED_VALUE"""),33.33)</f>
        <v>33.33</v>
      </c>
      <c r="F12">
        <f ca="1">IFERROR(__xludf.DUMMYFUNCTION("""COMPUTED_VALUE"""),24)</f>
        <v>24</v>
      </c>
      <c r="G12">
        <f ca="1">IFERROR(__xludf.DUMMYFUNCTION("""COMPUTED_VALUE"""),8)</f>
        <v>8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IFERROR(__xludf.DUMMYFUNCTION("""COMPUTED_VALUE"""),"Rafa Cabrera Bello")</f>
        <v>Rafa Cabrera Bello</v>
      </c>
      <c r="D13">
        <f ca="1">IFERROR(__xludf.DUMMYFUNCTION("""COMPUTED_VALUE"""),14)</f>
        <v>14</v>
      </c>
      <c r="E13">
        <f ca="1">IFERROR(__xludf.DUMMYFUNCTION("""COMPUTED_VALUE"""),32)</f>
        <v>32</v>
      </c>
      <c r="F13">
        <f ca="1">IFERROR(__xludf.DUMMYFUNCTION("""COMPUTED_VALUE"""),25)</f>
        <v>25</v>
      </c>
      <c r="G13">
        <f ca="1">IFERROR(__xludf.DUMMYFUNCTION("""COMPUTED_VALUE"""),8)</f>
        <v>8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IFERROR(__xludf.DUMMYFUNCTION("""COMPUTED_VALUE"""),"T3")</f>
        <v>T3</v>
      </c>
      <c r="C14" t="str">
        <f ca="1">IFERROR(__xludf.DUMMYFUNCTION("""COMPUTED_VALUE"""),"Pat Perez")</f>
        <v>Pat Perez</v>
      </c>
      <c r="D14">
        <f ca="1">IFERROR(__xludf.DUMMYFUNCTION("""COMPUTED_VALUE"""),16)</f>
        <v>16</v>
      </c>
      <c r="E14">
        <f ca="1">IFERROR(__xludf.DUMMYFUNCTION("""COMPUTED_VALUE"""),31.82)</f>
        <v>31.82</v>
      </c>
      <c r="F14">
        <f ca="1">IFERROR(__xludf.DUMMYFUNCTION("""COMPUTED_VALUE"""),22)</f>
        <v>22</v>
      </c>
      <c r="G14">
        <f ca="1">IFERROR(__xludf.DUMMYFUNCTION("""COMPUTED_VALUE"""),7)</f>
        <v>7</v>
      </c>
    </row>
    <row r="15" spans="1:7" ht="15.75" customHeight="1">
      <c r="A15" t="str">
        <f ca="1">IFERROR(__xludf.DUMMYFUNCTION("""COMPUTED_VALUE"""),"T14")</f>
        <v>T14</v>
      </c>
      <c r="B15" t="str">
        <f ca="1">IFERROR(__xludf.DUMMYFUNCTION("""COMPUTED_VALUE"""),"T13")</f>
        <v>T13</v>
      </c>
      <c r="C15" t="str">
        <f ca="1">IFERROR(__xludf.DUMMYFUNCTION("""COMPUTED_VALUE"""),"Ryan Palmer")</f>
        <v>Ryan Palmer</v>
      </c>
      <c r="D15">
        <f ca="1">IFERROR(__xludf.DUMMYFUNCTION("""COMPUTED_VALUE"""),14)</f>
        <v>14</v>
      </c>
      <c r="E15">
        <f ca="1">IFERROR(__xludf.DUMMYFUNCTION("""COMPUTED_VALUE"""),31.58)</f>
        <v>31.58</v>
      </c>
      <c r="F15">
        <f ca="1">IFERROR(__xludf.DUMMYFUNCTION("""COMPUTED_VALUE"""),19)</f>
        <v>19</v>
      </c>
      <c r="G15">
        <f ca="1">IFERROR(__xludf.DUMMYFUNCTION("""COMPUTED_VALUE"""),6)</f>
        <v>6</v>
      </c>
    </row>
    <row r="16" spans="1:7" ht="15.75" customHeight="1">
      <c r="A16" t="str">
        <f ca="1">IFERROR(__xludf.DUMMYFUNCTION("""COMPUTED_VALUE"""),"T14")</f>
        <v>T14</v>
      </c>
      <c r="B16" t="str">
        <f ca="1">IFERROR(__xludf.DUMMYFUNCTION("""COMPUTED_VALUE"""),"T13")</f>
        <v>T13</v>
      </c>
      <c r="C16" t="str">
        <f ca="1">IFERROR(__xludf.DUMMYFUNCTION("""COMPUTED_VALUE"""),"Harris English")</f>
        <v>Harris English</v>
      </c>
      <c r="D16">
        <f ca="1">IFERROR(__xludf.DUMMYFUNCTION("""COMPUTED_VALUE"""),14)</f>
        <v>14</v>
      </c>
      <c r="E16">
        <f ca="1">IFERROR(__xludf.DUMMYFUNCTION("""COMPUTED_VALUE"""),31.58)</f>
        <v>31.58</v>
      </c>
      <c r="F16">
        <f ca="1">IFERROR(__xludf.DUMMYFUNCTION("""COMPUTED_VALUE"""),19)</f>
        <v>19</v>
      </c>
      <c r="G16">
        <f ca="1">IFERROR(__xludf.DUMMYFUNCTION("""COMPUTED_VALUE"""),6)</f>
        <v>6</v>
      </c>
    </row>
    <row r="17" spans="1:7" ht="15.75" customHeight="1">
      <c r="A17">
        <f ca="1">IFERROR(__xludf.DUMMYFUNCTION("""COMPUTED_VALUE"""),16)</f>
        <v>16</v>
      </c>
      <c r="B17" t="str">
        <f ca="1">IFERROR(__xludf.DUMMYFUNCTION("""COMPUTED_VALUE"""),"T32")</f>
        <v>T32</v>
      </c>
      <c r="C17" t="str">
        <f ca="1">IFERROR(__xludf.DUMMYFUNCTION("""COMPUTED_VALUE"""),"Patton Kizzire")</f>
        <v>Patton Kizzire</v>
      </c>
      <c r="D17">
        <f ca="1">IFERROR(__xludf.DUMMYFUNCTION("""COMPUTED_VALUE"""),18)</f>
        <v>18</v>
      </c>
      <c r="E17">
        <f ca="1">IFERROR(__xludf.DUMMYFUNCTION("""COMPUTED_VALUE"""),30.77)</f>
        <v>30.77</v>
      </c>
      <c r="F17">
        <f ca="1">IFERROR(__xludf.DUMMYFUNCTION("""COMPUTED_VALUE"""),26)</f>
        <v>26</v>
      </c>
      <c r="G17">
        <f ca="1">IFERROR(__xludf.DUMMYFUNCTION("""COMPUTED_VALUE"""),8)</f>
        <v>8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IFERROR(__xludf.DUMMYFUNCTION("""COMPUTED_VALUE"""),16)</f>
        <v>16</v>
      </c>
      <c r="C18" t="str">
        <f ca="1">IFERROR(__xludf.DUMMYFUNCTION("""COMPUTED_VALUE"""),"Mark Hubbard")</f>
        <v>Mark Hubbard</v>
      </c>
      <c r="D18">
        <f ca="1">IFERROR(__xludf.DUMMYFUNCTION("""COMPUTED_VALUE"""),20)</f>
        <v>20</v>
      </c>
      <c r="E18">
        <f ca="1">IFERROR(__xludf.DUMMYFUNCTION("""COMPUTED_VALUE"""),30.23)</f>
        <v>30.23</v>
      </c>
      <c r="F18">
        <f ca="1">IFERROR(__xludf.DUMMYFUNCTION("""COMPUTED_VALUE"""),43)</f>
        <v>43</v>
      </c>
      <c r="G18">
        <f ca="1">IFERROR(__xludf.DUMMYFUNCTION("""COMPUTED_VALUE"""),13)</f>
        <v>13</v>
      </c>
    </row>
    <row r="19" spans="1:7" ht="15.75" customHeight="1">
      <c r="A19" t="str">
        <f ca="1">IFERROR(__xludf.DUMMYFUNCTION("""COMPUTED_VALUE"""),"T18")</f>
        <v>T18</v>
      </c>
      <c r="B19" t="str">
        <f ca="1">IFERROR(__xludf.DUMMYFUNCTION("""COMPUTED_VALUE"""),"T72")</f>
        <v>T72</v>
      </c>
      <c r="C19" t="str">
        <f ca="1">IFERROR(__xludf.DUMMYFUNCTION("""COMPUTED_VALUE"""),"Erik van Rooyen")</f>
        <v>Erik van Rooyen</v>
      </c>
      <c r="D19">
        <f ca="1">IFERROR(__xludf.DUMMYFUNCTION("""COMPUTED_VALUE"""),10)</f>
        <v>10</v>
      </c>
      <c r="E19">
        <f ca="1">IFERROR(__xludf.DUMMYFUNCTION("""COMPUTED_VALUE"""),30)</f>
        <v>30</v>
      </c>
      <c r="F19">
        <f ca="1">IFERROR(__xludf.DUMMYFUNCTION("""COMPUTED_VALUE"""),20)</f>
        <v>20</v>
      </c>
      <c r="G19">
        <f ca="1">IFERROR(__xludf.DUMMYFUNCTION("""COMPUTED_VALUE"""),6)</f>
        <v>6</v>
      </c>
    </row>
    <row r="20" spans="1:7" ht="15.75" customHeight="1">
      <c r="A20" t="str">
        <f ca="1">IFERROR(__xludf.DUMMYFUNCTION("""COMPUTED_VALUE"""),"T18")</f>
        <v>T18</v>
      </c>
      <c r="B20" t="str">
        <f ca="1">IFERROR(__xludf.DUMMYFUNCTION("""COMPUTED_VALUE"""),"T19")</f>
        <v>T19</v>
      </c>
      <c r="C20" t="str">
        <f ca="1">IFERROR(__xludf.DUMMYFUNCTION("""COMPUTED_VALUE"""),"Hank Lebioda")</f>
        <v>Hank Lebioda</v>
      </c>
      <c r="D20">
        <f ca="1">IFERROR(__xludf.DUMMYFUNCTION("""COMPUTED_VALUE"""),14)</f>
        <v>14</v>
      </c>
      <c r="E20">
        <f ca="1">IFERROR(__xludf.DUMMYFUNCTION("""COMPUTED_VALUE"""),30)</f>
        <v>30</v>
      </c>
      <c r="F20">
        <f ca="1">IFERROR(__xludf.DUMMYFUNCTION("""COMPUTED_VALUE"""),10)</f>
        <v>10</v>
      </c>
      <c r="G20">
        <f ca="1">IFERROR(__xludf.DUMMYFUNCTION("""COMPUTED_VALUE"""),3)</f>
        <v>3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IFERROR(__xludf.DUMMYFUNCTION("""COMPUTED_VALUE"""),"T25")</f>
        <v>T25</v>
      </c>
      <c r="C21" t="str">
        <f ca="1">IFERROR(__xludf.DUMMYFUNCTION("""COMPUTED_VALUE"""),"Jhonattan Vegas")</f>
        <v>Jhonattan Vegas</v>
      </c>
      <c r="D21">
        <f ca="1">IFERROR(__xludf.DUMMYFUNCTION("""COMPUTED_VALUE"""),16)</f>
        <v>16</v>
      </c>
      <c r="E21">
        <f ca="1">IFERROR(__xludf.DUMMYFUNCTION("""COMPUTED_VALUE"""),29.41)</f>
        <v>29.41</v>
      </c>
      <c r="F21">
        <f ca="1">IFERROR(__xludf.DUMMYFUNCTION("""COMPUTED_VALUE"""),17)</f>
        <v>17</v>
      </c>
      <c r="G21">
        <f ca="1">IFERROR(__xludf.DUMMYFUNCTION("""COMPUTED_VALUE"""),5)</f>
        <v>5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IFERROR(__xludf.DUMMYFUNCTION("""COMPUTED_VALUE"""),"T65")</f>
        <v>T65</v>
      </c>
      <c r="C22" t="str">
        <f ca="1">IFERROR(__xludf.DUMMYFUNCTION("""COMPUTED_VALUE"""),"Zach Johnson")</f>
        <v>Zach Johnson</v>
      </c>
      <c r="D22">
        <f ca="1">IFERROR(__xludf.DUMMYFUNCTION("""COMPUTED_VALUE"""),16)</f>
        <v>16</v>
      </c>
      <c r="E22">
        <f ca="1">IFERROR(__xludf.DUMMYFUNCTION("""COMPUTED_VALUE"""),28.57)</f>
        <v>28.57</v>
      </c>
      <c r="F22">
        <f ca="1">IFERROR(__xludf.DUMMYFUNCTION("""COMPUTED_VALUE"""),35)</f>
        <v>35</v>
      </c>
      <c r="G22">
        <f ca="1">IFERROR(__xludf.DUMMYFUNCTION("""COMPUTED_VALUE"""),10)</f>
        <v>10</v>
      </c>
    </row>
    <row r="23" spans="1:7" ht="15.75" customHeight="1">
      <c r="A23" t="str">
        <f ca="1">IFERROR(__xludf.DUMMYFUNCTION("""COMPUTED_VALUE"""),"T21")</f>
        <v>T21</v>
      </c>
      <c r="B23">
        <f ca="1">IFERROR(__xludf.DUMMYFUNCTION("""COMPUTED_VALUE"""),30)</f>
        <v>30</v>
      </c>
      <c r="C23" t="str">
        <f ca="1">IFERROR(__xludf.DUMMYFUNCTION("""COMPUTED_VALUE"""),"Kevin Chappell")</f>
        <v>Kevin Chappell</v>
      </c>
      <c r="D23">
        <f ca="1">IFERROR(__xludf.DUMMYFUNCTION("""COMPUTED_VALUE"""),16)</f>
        <v>16</v>
      </c>
      <c r="E23">
        <f ca="1">IFERROR(__xludf.DUMMYFUNCTION("""COMPUTED_VALUE"""),28.57)</f>
        <v>28.57</v>
      </c>
      <c r="F23">
        <f ca="1">IFERROR(__xludf.DUMMYFUNCTION("""COMPUTED_VALUE"""),21)</f>
        <v>21</v>
      </c>
      <c r="G23">
        <f ca="1">IFERROR(__xludf.DUMMYFUNCTION("""COMPUTED_VALUE"""),6)</f>
        <v>6</v>
      </c>
    </row>
    <row r="24" spans="1:7" ht="15.75" customHeight="1">
      <c r="A24" t="str">
        <f ca="1">IFERROR(__xludf.DUMMYFUNCTION("""COMPUTED_VALUE"""),"T21")</f>
        <v>T21</v>
      </c>
      <c r="B24">
        <f ca="1">IFERROR(__xludf.DUMMYFUNCTION("""COMPUTED_VALUE"""),18)</f>
        <v>18</v>
      </c>
      <c r="C24" t="str">
        <f ca="1">IFERROR(__xludf.DUMMYFUNCTION("""COMPUTED_VALUE"""),"Andrew Putnam")</f>
        <v>Andrew Putnam</v>
      </c>
      <c r="D24">
        <f ca="1">IFERROR(__xludf.DUMMYFUNCTION("""COMPUTED_VALUE"""),19)</f>
        <v>19</v>
      </c>
      <c r="E24">
        <f ca="1">IFERROR(__xludf.DUMMYFUNCTION("""COMPUTED_VALUE"""),28.57)</f>
        <v>28.57</v>
      </c>
      <c r="F24">
        <f ca="1">IFERROR(__xludf.DUMMYFUNCTION("""COMPUTED_VALUE"""),35)</f>
        <v>35</v>
      </c>
      <c r="G24">
        <f ca="1">IFERROR(__xludf.DUMMYFUNCTION("""COMPUTED_VALUE"""),10)</f>
        <v>10</v>
      </c>
    </row>
    <row r="25" spans="1:7" ht="15.75" customHeight="1">
      <c r="A25" t="str">
        <f ca="1">IFERROR(__xludf.DUMMYFUNCTION("""COMPUTED_VALUE"""),"T21")</f>
        <v>T21</v>
      </c>
      <c r="B25" t="str">
        <f ca="1">IFERROR(__xludf.DUMMYFUNCTION("""COMPUTED_VALUE"""),"T25")</f>
        <v>T25</v>
      </c>
      <c r="C25" t="str">
        <f ca="1">IFERROR(__xludf.DUMMYFUNCTION("""COMPUTED_VALUE"""),"Brandon Hagy")</f>
        <v>Brandon Hagy</v>
      </c>
      <c r="D25">
        <f ca="1">IFERROR(__xludf.DUMMYFUNCTION("""COMPUTED_VALUE"""),10)</f>
        <v>10</v>
      </c>
      <c r="E25">
        <f ca="1">IFERROR(__xludf.DUMMYFUNCTION("""COMPUTED_VALUE"""),28.57)</f>
        <v>28.57</v>
      </c>
      <c r="F25">
        <f ca="1">IFERROR(__xludf.DUMMYFUNCTION("""COMPUTED_VALUE"""),14)</f>
        <v>14</v>
      </c>
      <c r="G25">
        <f ca="1">IFERROR(__xludf.DUMMYFUNCTION("""COMPUTED_VALUE"""),4)</f>
        <v>4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IFERROR(__xludf.DUMMYFUNCTION("""COMPUTED_VALUE"""),"T28")</f>
        <v>T28</v>
      </c>
      <c r="C26" t="str">
        <f ca="1">IFERROR(__xludf.DUMMYFUNCTION("""COMPUTED_VALUE"""),"Joel Dahmen")</f>
        <v>Joel Dahmen</v>
      </c>
      <c r="D26">
        <f ca="1">IFERROR(__xludf.DUMMYFUNCTION("""COMPUTED_VALUE"""),18)</f>
        <v>18</v>
      </c>
      <c r="E26">
        <f ca="1">IFERROR(__xludf.DUMMYFUNCTION("""COMPUTED_VALUE"""),28.13)</f>
        <v>28.13</v>
      </c>
      <c r="F26">
        <f ca="1">IFERROR(__xludf.DUMMYFUNCTION("""COMPUTED_VALUE"""),32)</f>
        <v>32</v>
      </c>
      <c r="G26">
        <f ca="1">IFERROR(__xludf.DUMMYFUNCTION("""COMPUTED_VALUE"""),9)</f>
        <v>9</v>
      </c>
    </row>
    <row r="27" spans="1:7" ht="15.75" customHeight="1">
      <c r="A27">
        <f ca="1">IFERROR(__xludf.DUMMYFUNCTION("""COMPUTED_VALUE"""),26)</f>
        <v>26</v>
      </c>
      <c r="B27" t="str">
        <f ca="1">IFERROR(__xludf.DUMMYFUNCTION("""COMPUTED_VALUE"""),"T13")</f>
        <v>T13</v>
      </c>
      <c r="C27" t="str">
        <f ca="1">IFERROR(__xludf.DUMMYFUNCTION("""COMPUTED_VALUE"""),"Brandt Snedeker")</f>
        <v>Brandt Snedeker</v>
      </c>
      <c r="D27">
        <f ca="1">IFERROR(__xludf.DUMMYFUNCTION("""COMPUTED_VALUE"""),16)</f>
        <v>16</v>
      </c>
      <c r="E27">
        <f ca="1">IFERROR(__xludf.DUMMYFUNCTION("""COMPUTED_VALUE"""),28)</f>
        <v>28</v>
      </c>
      <c r="F27">
        <f ca="1">IFERROR(__xludf.DUMMYFUNCTION("""COMPUTED_VALUE"""),25)</f>
        <v>25</v>
      </c>
      <c r="G27">
        <f ca="1">IFERROR(__xludf.DUMMYFUNCTION("""COMPUTED_VALUE"""),7)</f>
        <v>7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IFERROR(__xludf.DUMMYFUNCTION("""COMPUTED_VALUE"""),"T36")</f>
        <v>T36</v>
      </c>
      <c r="C28" t="str">
        <f ca="1">IFERROR(__xludf.DUMMYFUNCTION("""COMPUTED_VALUE"""),"Patrick Rodgers")</f>
        <v>Patrick Rodgers</v>
      </c>
      <c r="D28">
        <f ca="1">IFERROR(__xludf.DUMMYFUNCTION("""COMPUTED_VALUE"""),18)</f>
        <v>18</v>
      </c>
      <c r="E28">
        <f ca="1">IFERROR(__xludf.DUMMYFUNCTION("""COMPUTED_VALUE"""),27.78)</f>
        <v>27.78</v>
      </c>
      <c r="F28">
        <f ca="1">IFERROR(__xludf.DUMMYFUNCTION("""COMPUTED_VALUE"""),18)</f>
        <v>18</v>
      </c>
      <c r="G28">
        <f ca="1">IFERROR(__xludf.DUMMYFUNCTION("""COMPUTED_VALUE"""),5)</f>
        <v>5</v>
      </c>
    </row>
    <row r="29" spans="1:7" ht="15.75" customHeight="1">
      <c r="A29">
        <f ca="1">IFERROR(__xludf.DUMMYFUNCTION("""COMPUTED_VALUE"""),28)</f>
        <v>28</v>
      </c>
      <c r="B29" t="str">
        <f ca="1">IFERROR(__xludf.DUMMYFUNCTION("""COMPUTED_VALUE"""),"T22")</f>
        <v>T22</v>
      </c>
      <c r="C29" t="str">
        <f ca="1">IFERROR(__xludf.DUMMYFUNCTION("""COMPUTED_VALUE"""),"Martin Laird")</f>
        <v>Martin Laird</v>
      </c>
      <c r="D29">
        <f ca="1">IFERROR(__xludf.DUMMYFUNCTION("""COMPUTED_VALUE"""),16)</f>
        <v>16</v>
      </c>
      <c r="E29">
        <f ca="1">IFERROR(__xludf.DUMMYFUNCTION("""COMPUTED_VALUE"""),27.59)</f>
        <v>27.59</v>
      </c>
      <c r="F29">
        <f ca="1">IFERROR(__xludf.DUMMYFUNCTION("""COMPUTED_VALUE"""),29)</f>
        <v>29</v>
      </c>
      <c r="G29">
        <f ca="1">IFERROR(__xludf.DUMMYFUNCTION("""COMPUTED_VALUE"""),8)</f>
        <v>8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IFERROR(__xludf.DUMMYFUNCTION("""COMPUTED_VALUE"""),31)</f>
        <v>31</v>
      </c>
      <c r="C30" t="str">
        <f ca="1">IFERROR(__xludf.DUMMYFUNCTION("""COMPUTED_VALUE"""),"Patrick Cantlay")</f>
        <v>Patrick Cantlay</v>
      </c>
      <c r="D30">
        <f ca="1">IFERROR(__xludf.DUMMYFUNCTION("""COMPUTED_VALUE"""),16)</f>
        <v>16</v>
      </c>
      <c r="E30">
        <f ca="1">IFERROR(__xludf.DUMMYFUNCTION("""COMPUTED_VALUE"""),27.5)</f>
        <v>27.5</v>
      </c>
      <c r="F30">
        <f ca="1">IFERROR(__xludf.DUMMYFUNCTION("""COMPUTED_VALUE"""),40)</f>
        <v>40</v>
      </c>
      <c r="G30">
        <f ca="1">IFERROR(__xludf.DUMMYFUNCTION("""COMPUTED_VALUE"""),11)</f>
        <v>11</v>
      </c>
    </row>
    <row r="31" spans="1:7" ht="12.75">
      <c r="A31" t="str">
        <f ca="1">IFERROR(__xludf.DUMMYFUNCTION("""COMPUTED_VALUE"""),"T30")</f>
        <v>T30</v>
      </c>
      <c r="B31" t="str">
        <f ca="1">IFERROR(__xludf.DUMMYFUNCTION("""COMPUTED_VALUE"""),"T32")</f>
        <v>T32</v>
      </c>
      <c r="C31" t="str">
        <f ca="1">IFERROR(__xludf.DUMMYFUNCTION("""COMPUTED_VALUE"""),"Justin Thomas")</f>
        <v>Justin Thomas</v>
      </c>
      <c r="D31">
        <f ca="1">IFERROR(__xludf.DUMMYFUNCTION("""COMPUTED_VALUE"""),12)</f>
        <v>12</v>
      </c>
      <c r="E31">
        <f ca="1">IFERROR(__xludf.DUMMYFUNCTION("""COMPUTED_VALUE"""),27.27)</f>
        <v>27.27</v>
      </c>
      <c r="F31">
        <f ca="1">IFERROR(__xludf.DUMMYFUNCTION("""COMPUTED_VALUE"""),22)</f>
        <v>22</v>
      </c>
      <c r="G31">
        <f ca="1">IFERROR(__xludf.DUMMYFUNCTION("""COMPUTED_VALUE"""),6)</f>
        <v>6</v>
      </c>
    </row>
    <row r="32" spans="1:7" ht="12.75">
      <c r="A32" t="str">
        <f ca="1">IFERROR(__xludf.DUMMYFUNCTION("""COMPUTED_VALUE"""),"T30")</f>
        <v>T30</v>
      </c>
      <c r="B32" t="str">
        <f ca="1">IFERROR(__xludf.DUMMYFUNCTION("""COMPUTED_VALUE"""),"")</f>
        <v/>
      </c>
      <c r="C32" t="str">
        <f ca="1">IFERROR(__xludf.DUMMYFUNCTION("""COMPUTED_VALUE"""),"Lucas Glover")</f>
        <v>Lucas Glover</v>
      </c>
      <c r="D32">
        <f ca="1">IFERROR(__xludf.DUMMYFUNCTION("""COMPUTED_VALUE"""),12)</f>
        <v>12</v>
      </c>
      <c r="E32">
        <f ca="1">IFERROR(__xludf.DUMMYFUNCTION("""COMPUTED_VALUE"""),27.27)</f>
        <v>27.27</v>
      </c>
      <c r="F32">
        <f ca="1">IFERROR(__xludf.DUMMYFUNCTION("""COMPUTED_VALUE"""),11)</f>
        <v>11</v>
      </c>
      <c r="G32">
        <f ca="1">IFERROR(__xludf.DUMMYFUNCTION("""COMPUTED_VALUE"""),3)</f>
        <v>3</v>
      </c>
    </row>
    <row r="33" spans="1:7" ht="12.75">
      <c r="A33" t="str">
        <f ca="1">IFERROR(__xludf.DUMMYFUNCTION("""COMPUTED_VALUE"""),"T30")</f>
        <v>T30</v>
      </c>
      <c r="B33" t="str">
        <f ca="1">IFERROR(__xludf.DUMMYFUNCTION("""COMPUTED_VALUE"""),"T32")</f>
        <v>T32</v>
      </c>
      <c r="C33" t="str">
        <f ca="1">IFERROR(__xludf.DUMMYFUNCTION("""COMPUTED_VALUE"""),"Shaun Norris")</f>
        <v>Shaun Norris</v>
      </c>
      <c r="D33">
        <f ca="1">IFERROR(__xludf.DUMMYFUNCTION("""COMPUTED_VALUE"""),6)</f>
        <v>6</v>
      </c>
      <c r="E33">
        <f ca="1">IFERROR(__xludf.DUMMYFUNCTION("""COMPUTED_VALUE"""),27.27)</f>
        <v>27.27</v>
      </c>
      <c r="F33">
        <f ca="1">IFERROR(__xludf.DUMMYFUNCTION("""COMPUTED_VALUE"""),11)</f>
        <v>11</v>
      </c>
      <c r="G33">
        <f ca="1">IFERROR(__xludf.DUMMYFUNCTION("""COMPUTED_VALUE"""),3)</f>
        <v>3</v>
      </c>
    </row>
    <row r="34" spans="1:7" ht="12.75">
      <c r="A34" t="str">
        <f ca="1">IFERROR(__xludf.DUMMYFUNCTION("""COMPUTED_VALUE"""),"T30")</f>
        <v>T30</v>
      </c>
      <c r="B34" t="str">
        <f ca="1">IFERROR(__xludf.DUMMYFUNCTION("""COMPUTED_VALUE"""),"T32")</f>
        <v>T32</v>
      </c>
      <c r="C34" t="str">
        <f ca="1">IFERROR(__xludf.DUMMYFUNCTION("""COMPUTED_VALUE"""),"Doc Redman")</f>
        <v>Doc Redman</v>
      </c>
      <c r="D34">
        <f ca="1">IFERROR(__xludf.DUMMYFUNCTION("""COMPUTED_VALUE"""),18)</f>
        <v>18</v>
      </c>
      <c r="E34">
        <f ca="1">IFERROR(__xludf.DUMMYFUNCTION("""COMPUTED_VALUE"""),27.27)</f>
        <v>27.27</v>
      </c>
      <c r="F34">
        <f ca="1">IFERROR(__xludf.DUMMYFUNCTION("""COMPUTED_VALUE"""),33)</f>
        <v>33</v>
      </c>
      <c r="G34">
        <f ca="1">IFERROR(__xludf.DUMMYFUNCTION("""COMPUTED_VALUE"""),9)</f>
        <v>9</v>
      </c>
    </row>
    <row r="35" spans="1:7" ht="12.75">
      <c r="A35">
        <f ca="1">IFERROR(__xludf.DUMMYFUNCTION("""COMPUTED_VALUE"""),34)</f>
        <v>34</v>
      </c>
      <c r="B35" t="str">
        <f ca="1">IFERROR(__xludf.DUMMYFUNCTION("""COMPUTED_VALUE"""),"T28")</f>
        <v>T28</v>
      </c>
      <c r="C35" t="str">
        <f ca="1">IFERROR(__xludf.DUMMYFUNCTION("""COMPUTED_VALUE"""),"Talor Gooch")</f>
        <v>Talor Gooch</v>
      </c>
      <c r="D35">
        <f ca="1">IFERROR(__xludf.DUMMYFUNCTION("""COMPUTED_VALUE"""),20)</f>
        <v>20</v>
      </c>
      <c r="E35">
        <f ca="1">IFERROR(__xludf.DUMMYFUNCTION("""COMPUTED_VALUE"""),26.83)</f>
        <v>26.83</v>
      </c>
      <c r="F35">
        <f ca="1">IFERROR(__xludf.DUMMYFUNCTION("""COMPUTED_VALUE"""),41)</f>
        <v>41</v>
      </c>
      <c r="G35">
        <f ca="1">IFERROR(__xludf.DUMMYFUNCTION("""COMPUTED_VALUE"""),11)</f>
        <v>11</v>
      </c>
    </row>
    <row r="36" spans="1:7" ht="12.75">
      <c r="A36" t="str">
        <f ca="1">IFERROR(__xludf.DUMMYFUNCTION("""COMPUTED_VALUE"""),"T35")</f>
        <v>T35</v>
      </c>
      <c r="B36" t="str">
        <f ca="1">IFERROR(__xludf.DUMMYFUNCTION("""COMPUTED_VALUE"""),"T36")</f>
        <v>T36</v>
      </c>
      <c r="C36" t="str">
        <f ca="1">IFERROR(__xludf.DUMMYFUNCTION("""COMPUTED_VALUE"""),"Matthew Wolff")</f>
        <v>Matthew Wolff</v>
      </c>
      <c r="D36">
        <f ca="1">IFERROR(__xludf.DUMMYFUNCTION("""COMPUTED_VALUE"""),16)</f>
        <v>16</v>
      </c>
      <c r="E36">
        <f ca="1">IFERROR(__xludf.DUMMYFUNCTION("""COMPUTED_VALUE"""),26.67)</f>
        <v>26.67</v>
      </c>
      <c r="F36">
        <f ca="1">IFERROR(__xludf.DUMMYFUNCTION("""COMPUTED_VALUE"""),30)</f>
        <v>30</v>
      </c>
      <c r="G36">
        <f ca="1">IFERROR(__xludf.DUMMYFUNCTION("""COMPUTED_VALUE"""),8)</f>
        <v>8</v>
      </c>
    </row>
    <row r="37" spans="1:7" ht="12.75">
      <c r="A37" t="str">
        <f ca="1">IFERROR(__xludf.DUMMYFUNCTION("""COMPUTED_VALUE"""),"T35")</f>
        <v>T35</v>
      </c>
      <c r="B37" t="str">
        <f ca="1">IFERROR(__xludf.DUMMYFUNCTION("""COMPUTED_VALUE"""),"")</f>
        <v/>
      </c>
      <c r="C37" t="str">
        <f ca="1">IFERROR(__xludf.DUMMYFUNCTION("""COMPUTED_VALUE"""),"Greg Chalmers")</f>
        <v>Greg Chalmers</v>
      </c>
      <c r="D37">
        <f ca="1">IFERROR(__xludf.DUMMYFUNCTION("""COMPUTED_VALUE"""),6)</f>
        <v>6</v>
      </c>
      <c r="E37">
        <f ca="1">IFERROR(__xludf.DUMMYFUNCTION("""COMPUTED_VALUE"""),26.67)</f>
        <v>26.67</v>
      </c>
      <c r="F37">
        <f ca="1">IFERROR(__xludf.DUMMYFUNCTION("""COMPUTED_VALUE"""),15)</f>
        <v>15</v>
      </c>
      <c r="G37">
        <f ca="1">IFERROR(__xludf.DUMMYFUNCTION("""COMPUTED_VALUE"""),4)</f>
        <v>4</v>
      </c>
    </row>
    <row r="38" spans="1:7" ht="12.75">
      <c r="A38" t="str">
        <f ca="1">IFERROR(__xludf.DUMMYFUNCTION("""COMPUTED_VALUE"""),"T35")</f>
        <v>T35</v>
      </c>
      <c r="B38" t="str">
        <f ca="1">IFERROR(__xludf.DUMMYFUNCTION("""COMPUTED_VALUE"""),"T63")</f>
        <v>T63</v>
      </c>
      <c r="C38" t="str">
        <f ca="1">IFERROR(__xludf.DUMMYFUNCTION("""COMPUTED_VALUE"""),"Michael Thompson")</f>
        <v>Michael Thompson</v>
      </c>
      <c r="D38">
        <f ca="1">IFERROR(__xludf.DUMMYFUNCTION("""COMPUTED_VALUE"""),16)</f>
        <v>16</v>
      </c>
      <c r="E38">
        <f ca="1">IFERROR(__xludf.DUMMYFUNCTION("""COMPUTED_VALUE"""),26.67)</f>
        <v>26.67</v>
      </c>
      <c r="F38">
        <f ca="1">IFERROR(__xludf.DUMMYFUNCTION("""COMPUTED_VALUE"""),30)</f>
        <v>30</v>
      </c>
      <c r="G38">
        <f ca="1">IFERROR(__xludf.DUMMYFUNCTION("""COMPUTED_VALUE"""),8)</f>
        <v>8</v>
      </c>
    </row>
    <row r="39" spans="1:7" ht="12.75">
      <c r="A39" t="str">
        <f ca="1">IFERROR(__xludf.DUMMYFUNCTION("""COMPUTED_VALUE"""),"T38")</f>
        <v>T38</v>
      </c>
      <c r="B39">
        <f ca="1">IFERROR(__xludf.DUMMYFUNCTION("""COMPUTED_VALUE"""),38)</f>
        <v>38</v>
      </c>
      <c r="C39" t="str">
        <f ca="1">IFERROR(__xludf.DUMMYFUNCTION("""COMPUTED_VALUE"""),"Rob Oppenheim")</f>
        <v>Rob Oppenheim</v>
      </c>
      <c r="D39">
        <f ca="1">IFERROR(__xludf.DUMMYFUNCTION("""COMPUTED_VALUE"""),16)</f>
        <v>16</v>
      </c>
      <c r="E39">
        <f ca="1">IFERROR(__xludf.DUMMYFUNCTION("""COMPUTED_VALUE"""),26.32)</f>
        <v>26.32</v>
      </c>
      <c r="F39">
        <f ca="1">IFERROR(__xludf.DUMMYFUNCTION("""COMPUTED_VALUE"""),19)</f>
        <v>19</v>
      </c>
      <c r="G39">
        <f ca="1">IFERROR(__xludf.DUMMYFUNCTION("""COMPUTED_VALUE"""),5)</f>
        <v>5</v>
      </c>
    </row>
    <row r="40" spans="1:7" ht="12.75">
      <c r="A40" t="str">
        <f ca="1">IFERROR(__xludf.DUMMYFUNCTION("""COMPUTED_VALUE"""),"T38")</f>
        <v>T38</v>
      </c>
      <c r="B40" t="str">
        <f ca="1">IFERROR(__xludf.DUMMYFUNCTION("""COMPUTED_VALUE"""),"T116")</f>
        <v>T116</v>
      </c>
      <c r="C40" t="str">
        <f ca="1">IFERROR(__xludf.DUMMYFUNCTION("""COMPUTED_VALUE"""),"Michael Kim")</f>
        <v>Michael Kim</v>
      </c>
      <c r="D40">
        <f ca="1">IFERROR(__xludf.DUMMYFUNCTION("""COMPUTED_VALUE"""),12)</f>
        <v>12</v>
      </c>
      <c r="E40">
        <f ca="1">IFERROR(__xludf.DUMMYFUNCTION("""COMPUTED_VALUE"""),26.32)</f>
        <v>26.32</v>
      </c>
      <c r="F40">
        <f ca="1">IFERROR(__xludf.DUMMYFUNCTION("""COMPUTED_VALUE"""),19)</f>
        <v>19</v>
      </c>
      <c r="G40">
        <f ca="1">IFERROR(__xludf.DUMMYFUNCTION("""COMPUTED_VALUE"""),5)</f>
        <v>5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IFERROR(__xludf.DUMMYFUNCTION("""COMPUTED_VALUE"""),39)</f>
        <v>39</v>
      </c>
      <c r="C41" t="str">
        <f ca="1">IFERROR(__xludf.DUMMYFUNCTION("""COMPUTED_VALUE"""),"Webb Simpson")</f>
        <v>Webb Simpson</v>
      </c>
      <c r="D41">
        <f ca="1">IFERROR(__xludf.DUMMYFUNCTION("""COMPUTED_VALUE"""),12)</f>
        <v>12</v>
      </c>
      <c r="E41">
        <f ca="1">IFERROR(__xludf.DUMMYFUNCTION("""COMPUTED_VALUE"""),26.09)</f>
        <v>26.09</v>
      </c>
      <c r="F41">
        <f ca="1">IFERROR(__xludf.DUMMYFUNCTION("""COMPUTED_VALUE"""),23)</f>
        <v>23</v>
      </c>
      <c r="G41">
        <f ca="1">IFERROR(__xludf.DUMMYFUNCTION("""COMPUTED_VALUE"""),6)</f>
        <v>6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IFERROR(__xludf.DUMMYFUNCTION("""COMPUTED_VALUE"""),40)</f>
        <v>40</v>
      </c>
      <c r="C42" t="str">
        <f ca="1">IFERROR(__xludf.DUMMYFUNCTION("""COMPUTED_VALUE"""),"Jason Kokrak")</f>
        <v>Jason Kokrak</v>
      </c>
      <c r="D42">
        <f ca="1">IFERROR(__xludf.DUMMYFUNCTION("""COMPUTED_VALUE"""),14)</f>
        <v>14</v>
      </c>
      <c r="E42">
        <f ca="1">IFERROR(__xludf.DUMMYFUNCTION("""COMPUTED_VALUE"""),25.71)</f>
        <v>25.71</v>
      </c>
      <c r="F42">
        <f ca="1">IFERROR(__xludf.DUMMYFUNCTION("""COMPUTED_VALUE"""),35)</f>
        <v>35</v>
      </c>
      <c r="G42">
        <f ca="1">IFERROR(__xludf.DUMMYFUNCTION("""COMPUTED_VALUE"""),9)</f>
        <v>9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IFERROR(__xludf.DUMMYFUNCTION("""COMPUTED_VALUE"""),17)</f>
        <v>17</v>
      </c>
      <c r="C43" t="str">
        <f ca="1">IFERROR(__xludf.DUMMYFUNCTION("""COMPUTED_VALUE"""),"Kristoffer Ventura")</f>
        <v>Kristoffer Ventura</v>
      </c>
      <c r="D43">
        <f ca="1">IFERROR(__xludf.DUMMYFUNCTION("""COMPUTED_VALUE"""),20)</f>
        <v>20</v>
      </c>
      <c r="E43">
        <f ca="1">IFERROR(__xludf.DUMMYFUNCTION("""COMPUTED_VALUE"""),25.64)</f>
        <v>25.64</v>
      </c>
      <c r="F43">
        <f ca="1">IFERROR(__xludf.DUMMYFUNCTION("""COMPUTED_VALUE"""),39)</f>
        <v>39</v>
      </c>
      <c r="G43">
        <f ca="1">IFERROR(__xludf.DUMMYFUNCTION("""COMPUTED_VALUE"""),10)</f>
        <v>10</v>
      </c>
    </row>
    <row r="44" spans="1:7" ht="12.75">
      <c r="A44">
        <f ca="1">IFERROR(__xludf.DUMMYFUNCTION("""COMPUTED_VALUE"""),43)</f>
        <v>43</v>
      </c>
      <c r="B44" t="str">
        <f ca="1">IFERROR(__xludf.DUMMYFUNCTION("""COMPUTED_VALUE"""),"T41")</f>
        <v>T41</v>
      </c>
      <c r="C44" t="str">
        <f ca="1">IFERROR(__xludf.DUMMYFUNCTION("""COMPUTED_VALUE"""),"Brian Harman")</f>
        <v>Brian Harman</v>
      </c>
      <c r="D44">
        <f ca="1">IFERROR(__xludf.DUMMYFUNCTION("""COMPUTED_VALUE"""),24)</f>
        <v>24</v>
      </c>
      <c r="E44">
        <f ca="1">IFERROR(__xludf.DUMMYFUNCTION("""COMPUTED_VALUE"""),25.42)</f>
        <v>25.42</v>
      </c>
      <c r="F44">
        <f ca="1">IFERROR(__xludf.DUMMYFUNCTION("""COMPUTED_VALUE"""),59)</f>
        <v>59</v>
      </c>
      <c r="G44">
        <f ca="1">IFERROR(__xludf.DUMMYFUNCTION("""COMPUTED_VALUE"""),15)</f>
        <v>15</v>
      </c>
    </row>
    <row r="45" spans="1:7" ht="12.75">
      <c r="A45" t="str">
        <f ca="1">IFERROR(__xludf.DUMMYFUNCTION("""COMPUTED_VALUE"""),"T44")</f>
        <v>T44</v>
      </c>
      <c r="B45" t="str">
        <f ca="1">IFERROR(__xludf.DUMMYFUNCTION("""COMPUTED_VALUE"""),"T63")</f>
        <v>T63</v>
      </c>
      <c r="C45" t="str">
        <f ca="1">IFERROR(__xludf.DUMMYFUNCTION("""COMPUTED_VALUE"""),"Henrik Norlander")</f>
        <v>Henrik Norlander</v>
      </c>
      <c r="D45">
        <f ca="1">IFERROR(__xludf.DUMMYFUNCTION("""COMPUTED_VALUE"""),16)</f>
        <v>16</v>
      </c>
      <c r="E45">
        <f ca="1">IFERROR(__xludf.DUMMYFUNCTION("""COMPUTED_VALUE"""),25)</f>
        <v>25</v>
      </c>
      <c r="F45">
        <f ca="1">IFERROR(__xludf.DUMMYFUNCTION("""COMPUTED_VALUE"""),24)</f>
        <v>24</v>
      </c>
      <c r="G45">
        <f ca="1">IFERROR(__xludf.DUMMYFUNCTION("""COMPUTED_VALUE"""),6)</f>
        <v>6</v>
      </c>
    </row>
    <row r="46" spans="1:7" ht="12.75">
      <c r="A46" t="str">
        <f ca="1">IFERROR(__xludf.DUMMYFUNCTION("""COMPUTED_VALUE"""),"T44")</f>
        <v>T44</v>
      </c>
      <c r="B46" t="str">
        <f ca="1">IFERROR(__xludf.DUMMYFUNCTION("""COMPUTED_VALUE"""),"T103")</f>
        <v>T103</v>
      </c>
      <c r="C46" t="str">
        <f ca="1">IFERROR(__xludf.DUMMYFUNCTION("""COMPUTED_VALUE"""),"Emiliano Grillo")</f>
        <v>Emiliano Grillo</v>
      </c>
      <c r="D46">
        <f ca="1">IFERROR(__xludf.DUMMYFUNCTION("""COMPUTED_VALUE"""),22)</f>
        <v>22</v>
      </c>
      <c r="E46">
        <f ca="1">IFERROR(__xludf.DUMMYFUNCTION("""COMPUTED_VALUE"""),25)</f>
        <v>25</v>
      </c>
      <c r="F46">
        <f ca="1">IFERROR(__xludf.DUMMYFUNCTION("""COMPUTED_VALUE"""),28)</f>
        <v>28</v>
      </c>
      <c r="G46">
        <f ca="1">IFERROR(__xludf.DUMMYFUNCTION("""COMPUTED_VALUE"""),7)</f>
        <v>7</v>
      </c>
    </row>
    <row r="47" spans="1:7" ht="12.75">
      <c r="A47" t="str">
        <f ca="1">IFERROR(__xludf.DUMMYFUNCTION("""COMPUTED_VALUE"""),"T44")</f>
        <v>T44</v>
      </c>
      <c r="B47" t="str">
        <f ca="1">IFERROR(__xludf.DUMMYFUNCTION("""COMPUTED_VALUE"""),"T41")</f>
        <v>T41</v>
      </c>
      <c r="C47" t="str">
        <f ca="1">IFERROR(__xludf.DUMMYFUNCTION("""COMPUTED_VALUE"""),"Rickie Fowler")</f>
        <v>Rickie Fowler</v>
      </c>
      <c r="D47">
        <f ca="1">IFERROR(__xludf.DUMMYFUNCTION("""COMPUTED_VALUE"""),14)</f>
        <v>14</v>
      </c>
      <c r="E47">
        <f ca="1">IFERROR(__xludf.DUMMYFUNCTION("""COMPUTED_VALUE"""),25)</f>
        <v>25</v>
      </c>
      <c r="F47">
        <f ca="1">IFERROR(__xludf.DUMMYFUNCTION("""COMPUTED_VALUE"""),20)</f>
        <v>20</v>
      </c>
      <c r="G47">
        <f ca="1">IFERROR(__xludf.DUMMYFUNCTION("""COMPUTED_VALUE"""),5)</f>
        <v>5</v>
      </c>
    </row>
    <row r="48" spans="1:7" ht="12.75">
      <c r="A48" t="str">
        <f ca="1">IFERROR(__xludf.DUMMYFUNCTION("""COMPUTED_VALUE"""),"T44")</f>
        <v>T44</v>
      </c>
      <c r="B48" t="str">
        <f ca="1">IFERROR(__xludf.DUMMYFUNCTION("""COMPUTED_VALUE"""),"T41")</f>
        <v>T41</v>
      </c>
      <c r="C48" t="str">
        <f ca="1">IFERROR(__xludf.DUMMYFUNCTION("""COMPUTED_VALUE"""),"Michael Gligic")</f>
        <v>Michael Gligic</v>
      </c>
      <c r="D48">
        <f ca="1">IFERROR(__xludf.DUMMYFUNCTION("""COMPUTED_VALUE"""),18)</f>
        <v>18</v>
      </c>
      <c r="E48">
        <f ca="1">IFERROR(__xludf.DUMMYFUNCTION("""COMPUTED_VALUE"""),25)</f>
        <v>25</v>
      </c>
      <c r="F48">
        <f ca="1">IFERROR(__xludf.DUMMYFUNCTION("""COMPUTED_VALUE"""),28)</f>
        <v>28</v>
      </c>
      <c r="G48">
        <f ca="1">IFERROR(__xludf.DUMMYFUNCTION("""COMPUTED_VALUE"""),7)</f>
        <v>7</v>
      </c>
    </row>
    <row r="49" spans="1:7" ht="12.75">
      <c r="A49" t="str">
        <f ca="1">IFERROR(__xludf.DUMMYFUNCTION("""COMPUTED_VALUE"""),"T44")</f>
        <v>T44</v>
      </c>
      <c r="B49" t="str">
        <f ca="1">IFERROR(__xludf.DUMMYFUNCTION("""COMPUTED_VALUE"""),"T41")</f>
        <v>T41</v>
      </c>
      <c r="C49" t="str">
        <f ca="1">IFERROR(__xludf.DUMMYFUNCTION("""COMPUTED_VALUE"""),"Adam Hadwin")</f>
        <v>Adam Hadwin</v>
      </c>
      <c r="D49">
        <f ca="1">IFERROR(__xludf.DUMMYFUNCTION("""COMPUTED_VALUE"""),16)</f>
        <v>16</v>
      </c>
      <c r="E49">
        <f ca="1">IFERROR(__xludf.DUMMYFUNCTION("""COMPUTED_VALUE"""),25)</f>
        <v>25</v>
      </c>
      <c r="F49">
        <f ca="1">IFERROR(__xludf.DUMMYFUNCTION("""COMPUTED_VALUE"""),32)</f>
        <v>32</v>
      </c>
      <c r="G49">
        <f ca="1">IFERROR(__xludf.DUMMYFUNCTION("""COMPUTED_VALUE"""),8)</f>
        <v>8</v>
      </c>
    </row>
    <row r="50" spans="1:7" ht="12.75">
      <c r="A50" t="str">
        <f ca="1">IFERROR(__xludf.DUMMYFUNCTION("""COMPUTED_VALUE"""),"T44")</f>
        <v>T44</v>
      </c>
      <c r="B50" t="str">
        <f ca="1">IFERROR(__xludf.DUMMYFUNCTION("""COMPUTED_VALUE"""),"T60")</f>
        <v>T60</v>
      </c>
      <c r="C50" t="str">
        <f ca="1">IFERROR(__xludf.DUMMYFUNCTION("""COMPUTED_VALUE"""),"Hideki Matsuyama")</f>
        <v>Hideki Matsuyama</v>
      </c>
      <c r="D50">
        <f ca="1">IFERROR(__xludf.DUMMYFUNCTION("""COMPUTED_VALUE"""),18)</f>
        <v>18</v>
      </c>
      <c r="E50">
        <f ca="1">IFERROR(__xludf.DUMMYFUNCTION("""COMPUTED_VALUE"""),25)</f>
        <v>25</v>
      </c>
      <c r="F50">
        <f ca="1">IFERROR(__xludf.DUMMYFUNCTION("""COMPUTED_VALUE"""),32)</f>
        <v>32</v>
      </c>
      <c r="G50">
        <f ca="1">IFERROR(__xludf.DUMMYFUNCTION("""COMPUTED_VALUE"""),8)</f>
        <v>8</v>
      </c>
    </row>
    <row r="51" spans="1:7" ht="12.75">
      <c r="A51" t="str">
        <f ca="1">IFERROR(__xludf.DUMMYFUNCTION("""COMPUTED_VALUE"""),"T44")</f>
        <v>T44</v>
      </c>
      <c r="B51" t="str">
        <f ca="1">IFERROR(__xludf.DUMMYFUNCTION("""COMPUTED_VALUE"""),"T41")</f>
        <v>T41</v>
      </c>
      <c r="C51" t="str">
        <f ca="1">IFERROR(__xludf.DUMMYFUNCTION("""COMPUTED_VALUE"""),"Billy Horschel")</f>
        <v>Billy Horschel</v>
      </c>
      <c r="D51">
        <f ca="1">IFERROR(__xludf.DUMMYFUNCTION("""COMPUTED_VALUE"""),12)</f>
        <v>12</v>
      </c>
      <c r="E51">
        <f ca="1">IFERROR(__xludf.DUMMYFUNCTION("""COMPUTED_VALUE"""),25)</f>
        <v>25</v>
      </c>
      <c r="F51">
        <f ca="1">IFERROR(__xludf.DUMMYFUNCTION("""COMPUTED_VALUE"""),16)</f>
        <v>16</v>
      </c>
      <c r="G51">
        <f ca="1">IFERROR(__xludf.DUMMYFUNCTION("""COMPUTED_VALUE"""),4)</f>
        <v>4</v>
      </c>
    </row>
    <row r="52" spans="1:7" ht="12.75">
      <c r="A52" t="str">
        <f ca="1">IFERROR(__xludf.DUMMYFUNCTION("""COMPUTED_VALUE"""),"T44")</f>
        <v>T44</v>
      </c>
      <c r="B52" t="str">
        <f ca="1">IFERROR(__xludf.DUMMYFUNCTION("""COMPUTED_VALUE"""),"T41")</f>
        <v>T41</v>
      </c>
      <c r="C52" t="str">
        <f ca="1">IFERROR(__xludf.DUMMYFUNCTION("""COMPUTED_VALUE"""),"Tiger Woods")</f>
        <v>Tiger Woods</v>
      </c>
      <c r="D52">
        <f ca="1">IFERROR(__xludf.DUMMYFUNCTION("""COMPUTED_VALUE"""),6)</f>
        <v>6</v>
      </c>
      <c r="E52">
        <f ca="1">IFERROR(__xludf.DUMMYFUNCTION("""COMPUTED_VALUE"""),25)</f>
        <v>25</v>
      </c>
      <c r="F52">
        <f ca="1">IFERROR(__xludf.DUMMYFUNCTION("""COMPUTED_VALUE"""),12)</f>
        <v>12</v>
      </c>
      <c r="G52">
        <f ca="1">IFERROR(__xludf.DUMMYFUNCTION("""COMPUTED_VALUE"""),3)</f>
        <v>3</v>
      </c>
    </row>
    <row r="53" spans="1:7" ht="12.75">
      <c r="A53" t="str">
        <f ca="1">IFERROR(__xludf.DUMMYFUNCTION("""COMPUTED_VALUE"""),"T44")</f>
        <v>T44</v>
      </c>
      <c r="B53" t="str">
        <f ca="1">IFERROR(__xludf.DUMMYFUNCTION("""COMPUTED_VALUE"""),"T160")</f>
        <v>T160</v>
      </c>
      <c r="C53" t="str">
        <f ca="1">IFERROR(__xludf.DUMMYFUNCTION("""COMPUTED_VALUE"""),"Henrik Stenson")</f>
        <v>Henrik Stenson</v>
      </c>
      <c r="D53">
        <f ca="1">IFERROR(__xludf.DUMMYFUNCTION("""COMPUTED_VALUE"""),11)</f>
        <v>11</v>
      </c>
      <c r="E53">
        <f ca="1">IFERROR(__xludf.DUMMYFUNCTION("""COMPUTED_VALUE"""),25)</f>
        <v>25</v>
      </c>
      <c r="F53">
        <f ca="1">IFERROR(__xludf.DUMMYFUNCTION("""COMPUTED_VALUE"""),12)</f>
        <v>12</v>
      </c>
      <c r="G53">
        <f ca="1">IFERROR(__xludf.DUMMYFUNCTION("""COMPUTED_VALUE"""),3)</f>
        <v>3</v>
      </c>
    </row>
    <row r="54" spans="1:7" ht="12.75">
      <c r="A54" t="str">
        <f ca="1">IFERROR(__xludf.DUMMYFUNCTION("""COMPUTED_VALUE"""),"T44")</f>
        <v>T44</v>
      </c>
      <c r="B54" t="str">
        <f ca="1">IFERROR(__xludf.DUMMYFUNCTION("""COMPUTED_VALUE"""),"T41")</f>
        <v>T41</v>
      </c>
      <c r="C54" t="str">
        <f ca="1">IFERROR(__xludf.DUMMYFUNCTION("""COMPUTED_VALUE"""),"D.J. Trahan")</f>
        <v>D.J. Trahan</v>
      </c>
      <c r="D54">
        <f ca="1">IFERROR(__xludf.DUMMYFUNCTION("""COMPUTED_VALUE"""),16)</f>
        <v>16</v>
      </c>
      <c r="E54">
        <f ca="1">IFERROR(__xludf.DUMMYFUNCTION("""COMPUTED_VALUE"""),25)</f>
        <v>25</v>
      </c>
      <c r="F54">
        <f ca="1">IFERROR(__xludf.DUMMYFUNCTION("""COMPUTED_VALUE"""),16)</f>
        <v>16</v>
      </c>
      <c r="G54">
        <f ca="1">IFERROR(__xludf.DUMMYFUNCTION("""COMPUTED_VALUE"""),4)</f>
        <v>4</v>
      </c>
    </row>
    <row r="55" spans="1:7" ht="12.75">
      <c r="A55" t="str">
        <f ca="1">IFERROR(__xludf.DUMMYFUNCTION("""COMPUTED_VALUE"""),"T44")</f>
        <v>T44</v>
      </c>
      <c r="B55">
        <f ca="1">IFERROR(__xludf.DUMMYFUNCTION("""COMPUTED_VALUE"""),59)</f>
        <v>59</v>
      </c>
      <c r="C55" t="str">
        <f ca="1">IFERROR(__xludf.DUMMYFUNCTION("""COMPUTED_VALUE"""),"Tom Hoge")</f>
        <v>Tom Hoge</v>
      </c>
      <c r="D55">
        <f ca="1">IFERROR(__xludf.DUMMYFUNCTION("""COMPUTED_VALUE"""),22)</f>
        <v>22</v>
      </c>
      <c r="E55">
        <f ca="1">IFERROR(__xludf.DUMMYFUNCTION("""COMPUTED_VALUE"""),25)</f>
        <v>25</v>
      </c>
      <c r="F55">
        <f ca="1">IFERROR(__xludf.DUMMYFUNCTION("""COMPUTED_VALUE"""),32)</f>
        <v>32</v>
      </c>
      <c r="G55">
        <f ca="1">IFERROR(__xludf.DUMMYFUNCTION("""COMPUTED_VALUE"""),8)</f>
        <v>8</v>
      </c>
    </row>
    <row r="56" spans="1:7" ht="12.75">
      <c r="A56" t="str">
        <f ca="1">IFERROR(__xludf.DUMMYFUNCTION("""COMPUTED_VALUE"""),"T44")</f>
        <v>T44</v>
      </c>
      <c r="B56" t="str">
        <f ca="1">IFERROR(__xludf.DUMMYFUNCTION("""COMPUTED_VALUE"""),"T9")</f>
        <v>T9</v>
      </c>
      <c r="C56" t="str">
        <f ca="1">IFERROR(__xludf.DUMMYFUNCTION("""COMPUTED_VALUE"""),"Cameron Davis")</f>
        <v>Cameron Davis</v>
      </c>
      <c r="D56">
        <f ca="1">IFERROR(__xludf.DUMMYFUNCTION("""COMPUTED_VALUE"""),16)</f>
        <v>16</v>
      </c>
      <c r="E56">
        <f ca="1">IFERROR(__xludf.DUMMYFUNCTION("""COMPUTED_VALUE"""),25)</f>
        <v>25</v>
      </c>
      <c r="F56">
        <f ca="1">IFERROR(__xludf.DUMMYFUNCTION("""COMPUTED_VALUE"""),32)</f>
        <v>32</v>
      </c>
      <c r="G56">
        <f ca="1">IFERROR(__xludf.DUMMYFUNCTION("""COMPUTED_VALUE"""),8)</f>
        <v>8</v>
      </c>
    </row>
    <row r="57" spans="1:7" ht="12.75">
      <c r="A57" t="str">
        <f ca="1">IFERROR(__xludf.DUMMYFUNCTION("""COMPUTED_VALUE"""),"T44")</f>
        <v>T44</v>
      </c>
      <c r="B57" t="str">
        <f ca="1">IFERROR(__xludf.DUMMYFUNCTION("""COMPUTED_VALUE"""),"T41")</f>
        <v>T41</v>
      </c>
      <c r="C57" t="str">
        <f ca="1">IFERROR(__xludf.DUMMYFUNCTION("""COMPUTED_VALUE"""),"Cameron Champ")</f>
        <v>Cameron Champ</v>
      </c>
      <c r="D57">
        <f ca="1">IFERROR(__xludf.DUMMYFUNCTION("""COMPUTED_VALUE"""),12)</f>
        <v>12</v>
      </c>
      <c r="E57">
        <f ca="1">IFERROR(__xludf.DUMMYFUNCTION("""COMPUTED_VALUE"""),25)</f>
        <v>25</v>
      </c>
      <c r="F57">
        <f ca="1">IFERROR(__xludf.DUMMYFUNCTION("""COMPUTED_VALUE"""),16)</f>
        <v>16</v>
      </c>
      <c r="G57">
        <f ca="1">IFERROR(__xludf.DUMMYFUNCTION("""COMPUTED_VALUE"""),4)</f>
        <v>4</v>
      </c>
    </row>
    <row r="58" spans="1:7" ht="12.75">
      <c r="A58">
        <f ca="1">IFERROR(__xludf.DUMMYFUNCTION("""COMPUTED_VALUE"""),57)</f>
        <v>57</v>
      </c>
      <c r="B58">
        <f ca="1">IFERROR(__xludf.DUMMYFUNCTION("""COMPUTED_VALUE"""),51)</f>
        <v>51</v>
      </c>
      <c r="C58" t="str">
        <f ca="1">IFERROR(__xludf.DUMMYFUNCTION("""COMPUTED_VALUE"""),"Joaquin Niemann")</f>
        <v>Joaquin Niemann</v>
      </c>
      <c r="D58">
        <f ca="1">IFERROR(__xludf.DUMMYFUNCTION("""COMPUTED_VALUE"""),16)</f>
        <v>16</v>
      </c>
      <c r="E58">
        <f ca="1">IFERROR(__xludf.DUMMYFUNCTION("""COMPUTED_VALUE"""),24.32)</f>
        <v>24.32</v>
      </c>
      <c r="F58">
        <f ca="1">IFERROR(__xludf.DUMMYFUNCTION("""COMPUTED_VALUE"""),37)</f>
        <v>37</v>
      </c>
      <c r="G58">
        <f ca="1">IFERROR(__xludf.DUMMYFUNCTION("""COMPUTED_VALUE"""),9)</f>
        <v>9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IFERROR(__xludf.DUMMYFUNCTION("""COMPUTED_VALUE"""),52)</f>
        <v>52</v>
      </c>
      <c r="C59" t="str">
        <f ca="1">IFERROR(__xludf.DUMMYFUNCTION("""COMPUTED_VALUE"""),"Richy Werenski")</f>
        <v>Richy Werenski</v>
      </c>
      <c r="D59">
        <f ca="1">IFERROR(__xludf.DUMMYFUNCTION("""COMPUTED_VALUE"""),16)</f>
        <v>16</v>
      </c>
      <c r="E59">
        <f ca="1">IFERROR(__xludf.DUMMYFUNCTION("""COMPUTED_VALUE"""),24.24)</f>
        <v>24.24</v>
      </c>
      <c r="F59">
        <f ca="1">IFERROR(__xludf.DUMMYFUNCTION("""COMPUTED_VALUE"""),33)</f>
        <v>33</v>
      </c>
      <c r="G59">
        <f ca="1">IFERROR(__xludf.DUMMYFUNCTION("""COMPUTED_VALUE"""),8)</f>
        <v>8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IFERROR(__xludf.DUMMYFUNCTION("""COMPUTED_VALUE"""),"T53")</f>
        <v>T53</v>
      </c>
      <c r="C60" t="str">
        <f ca="1">IFERROR(__xludf.DUMMYFUNCTION("""COMPUTED_VALUE"""),"Nick Taylor")</f>
        <v>Nick Taylor</v>
      </c>
      <c r="D60">
        <f ca="1">IFERROR(__xludf.DUMMYFUNCTION("""COMPUTED_VALUE"""),12)</f>
        <v>12</v>
      </c>
      <c r="E60">
        <f ca="1">IFERROR(__xludf.DUMMYFUNCTION("""COMPUTED_VALUE"""),24.14)</f>
        <v>24.14</v>
      </c>
      <c r="F60">
        <f ca="1">IFERROR(__xludf.DUMMYFUNCTION("""COMPUTED_VALUE"""),29)</f>
        <v>29</v>
      </c>
      <c r="G60">
        <f ca="1">IFERROR(__xludf.DUMMYFUNCTION("""COMPUTED_VALUE"""),7)</f>
        <v>7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IFERROR(__xludf.DUMMYFUNCTION("""COMPUTED_VALUE"""),55)</f>
        <v>55</v>
      </c>
      <c r="C61" t="str">
        <f ca="1">IFERROR(__xludf.DUMMYFUNCTION("""COMPUTED_VALUE"""),"Peter Malnati")</f>
        <v>Peter Malnati</v>
      </c>
      <c r="D61">
        <f ca="1">IFERROR(__xludf.DUMMYFUNCTION("""COMPUTED_VALUE"""),18)</f>
        <v>18</v>
      </c>
      <c r="E61">
        <f ca="1">IFERROR(__xludf.DUMMYFUNCTION("""COMPUTED_VALUE"""),24)</f>
        <v>24</v>
      </c>
      <c r="F61">
        <f ca="1">IFERROR(__xludf.DUMMYFUNCTION("""COMPUTED_VALUE"""),25)</f>
        <v>25</v>
      </c>
      <c r="G61">
        <f ca="1">IFERROR(__xludf.DUMMYFUNCTION("""COMPUTED_VALUE"""),6)</f>
        <v>6</v>
      </c>
    </row>
    <row r="62" spans="1:7" ht="12.75">
      <c r="A62" t="str">
        <f ca="1">IFERROR(__xludf.DUMMYFUNCTION("""COMPUTED_VALUE"""),"T61")</f>
        <v>T61</v>
      </c>
      <c r="B62" t="str">
        <f ca="1">IFERROR(__xludf.DUMMYFUNCTION("""COMPUTED_VALUE"""),"T60")</f>
        <v>T60</v>
      </c>
      <c r="C62" t="str">
        <f ca="1">IFERROR(__xludf.DUMMYFUNCTION("""COMPUTED_VALUE"""),"Satoshi Kodaira")</f>
        <v>Satoshi Kodaira</v>
      </c>
      <c r="D62">
        <f ca="1">IFERROR(__xludf.DUMMYFUNCTION("""COMPUTED_VALUE"""),12)</f>
        <v>12</v>
      </c>
      <c r="E62">
        <f ca="1">IFERROR(__xludf.DUMMYFUNCTION("""COMPUTED_VALUE"""),23.81)</f>
        <v>23.81</v>
      </c>
      <c r="F62">
        <f ca="1">IFERROR(__xludf.DUMMYFUNCTION("""COMPUTED_VALUE"""),21)</f>
        <v>21</v>
      </c>
      <c r="G62">
        <f ca="1">IFERROR(__xludf.DUMMYFUNCTION("""COMPUTED_VALUE"""),5)</f>
        <v>5</v>
      </c>
    </row>
    <row r="63" spans="1:7" ht="12.75">
      <c r="A63" t="str">
        <f ca="1">IFERROR(__xludf.DUMMYFUNCTION("""COMPUTED_VALUE"""),"T61")</f>
        <v>T61</v>
      </c>
      <c r="B63">
        <f ca="1">IFERROR(__xludf.DUMMYFUNCTION("""COMPUTED_VALUE"""),24)</f>
        <v>24</v>
      </c>
      <c r="C63" t="str">
        <f ca="1">IFERROR(__xludf.DUMMYFUNCTION("""COMPUTED_VALUE"""),"Hunter Mahan")</f>
        <v>Hunter Mahan</v>
      </c>
      <c r="D63">
        <f ca="1">IFERROR(__xludf.DUMMYFUNCTION("""COMPUTED_VALUE"""),14)</f>
        <v>14</v>
      </c>
      <c r="E63">
        <f ca="1">IFERROR(__xludf.DUMMYFUNCTION("""COMPUTED_VALUE"""),23.81)</f>
        <v>23.81</v>
      </c>
      <c r="F63">
        <f ca="1">IFERROR(__xludf.DUMMYFUNCTION("""COMPUTED_VALUE"""),21)</f>
        <v>21</v>
      </c>
      <c r="G63">
        <f ca="1">IFERROR(__xludf.DUMMYFUNCTION("""COMPUTED_VALUE"""),5)</f>
        <v>5</v>
      </c>
    </row>
    <row r="64" spans="1:7" ht="12.75">
      <c r="A64" t="str">
        <f ca="1">IFERROR(__xludf.DUMMYFUNCTION("""COMPUTED_VALUE"""),"T61")</f>
        <v>T61</v>
      </c>
      <c r="B64">
        <f ca="1">IFERROR(__xludf.DUMMYFUNCTION("""COMPUTED_VALUE"""),56)</f>
        <v>56</v>
      </c>
      <c r="C64" t="str">
        <f ca="1">IFERROR(__xludf.DUMMYFUNCTION("""COMPUTED_VALUE"""),"Rory McIlroy")</f>
        <v>Rory McIlroy</v>
      </c>
      <c r="D64">
        <f ca="1">IFERROR(__xludf.DUMMYFUNCTION("""COMPUTED_VALUE"""),12)</f>
        <v>12</v>
      </c>
      <c r="E64">
        <f ca="1">IFERROR(__xludf.DUMMYFUNCTION("""COMPUTED_VALUE"""),23.81)</f>
        <v>23.81</v>
      </c>
      <c r="F64">
        <f ca="1">IFERROR(__xludf.DUMMYFUNCTION("""COMPUTED_VALUE"""),21)</f>
        <v>21</v>
      </c>
      <c r="G64">
        <f ca="1">IFERROR(__xludf.DUMMYFUNCTION("""COMPUTED_VALUE"""),5)</f>
        <v>5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IFERROR(__xludf.DUMMYFUNCTION("""COMPUTED_VALUE"""),"T22")</f>
        <v>T22</v>
      </c>
      <c r="C65" t="str">
        <f ca="1">IFERROR(__xludf.DUMMYFUNCTION("""COMPUTED_VALUE"""),"Sung Kang")</f>
        <v>Sung Kang</v>
      </c>
      <c r="D65">
        <f ca="1">IFERROR(__xludf.DUMMYFUNCTION("""COMPUTED_VALUE"""),14)</f>
        <v>14</v>
      </c>
      <c r="E65">
        <f ca="1">IFERROR(__xludf.DUMMYFUNCTION("""COMPUTED_VALUE"""),23.53)</f>
        <v>23.53</v>
      </c>
      <c r="F65">
        <f ca="1">IFERROR(__xludf.DUMMYFUNCTION("""COMPUTED_VALUE"""),34)</f>
        <v>34</v>
      </c>
      <c r="G65">
        <f ca="1">IFERROR(__xludf.DUMMYFUNCTION("""COMPUTED_VALUE"""),8)</f>
        <v>8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IFERROR(__xludf.DUMMYFUNCTION("""COMPUTED_VALUE"""),"T19")</f>
        <v>T19</v>
      </c>
      <c r="C66" t="str">
        <f ca="1">IFERROR(__xludf.DUMMYFUNCTION("""COMPUTED_VALUE"""),"Brian Stuard")</f>
        <v>Brian Stuard</v>
      </c>
      <c r="D66">
        <f ca="1">IFERROR(__xludf.DUMMYFUNCTION("""COMPUTED_VALUE"""),18)</f>
        <v>18</v>
      </c>
      <c r="E66">
        <f ca="1">IFERROR(__xludf.DUMMYFUNCTION("""COMPUTED_VALUE"""),23.53)</f>
        <v>23.53</v>
      </c>
      <c r="F66">
        <f ca="1">IFERROR(__xludf.DUMMYFUNCTION("""COMPUTED_VALUE"""),17)</f>
        <v>17</v>
      </c>
      <c r="G66">
        <f ca="1">IFERROR(__xludf.DUMMYFUNCTION("""COMPUTED_VALUE"""),4)</f>
        <v>4</v>
      </c>
    </row>
    <row r="67" spans="1:7" ht="12.75">
      <c r="A67" t="str">
        <f ca="1">IFERROR(__xludf.DUMMYFUNCTION("""COMPUTED_VALUE"""),"T64")</f>
        <v>T64</v>
      </c>
      <c r="B67" t="str">
        <f ca="1">IFERROR(__xludf.DUMMYFUNCTION("""COMPUTED_VALUE"""),"T72")</f>
        <v>T72</v>
      </c>
      <c r="C67" t="str">
        <f ca="1">IFERROR(__xludf.DUMMYFUNCTION("""COMPUTED_VALUE"""),"Xinjun Zhang")</f>
        <v>Xinjun Zhang</v>
      </c>
      <c r="D67">
        <f ca="1">IFERROR(__xludf.DUMMYFUNCTION("""COMPUTED_VALUE"""),14)</f>
        <v>14</v>
      </c>
      <c r="E67">
        <f ca="1">IFERROR(__xludf.DUMMYFUNCTION("""COMPUTED_VALUE"""),23.53)</f>
        <v>23.53</v>
      </c>
      <c r="F67">
        <f ca="1">IFERROR(__xludf.DUMMYFUNCTION("""COMPUTED_VALUE"""),17)</f>
        <v>17</v>
      </c>
      <c r="G67">
        <f ca="1">IFERROR(__xludf.DUMMYFUNCTION("""COMPUTED_VALUE"""),4)</f>
        <v>4</v>
      </c>
    </row>
    <row r="68" spans="1:7" ht="12.75">
      <c r="A68" t="str">
        <f ca="1">IFERROR(__xludf.DUMMYFUNCTION("""COMPUTED_VALUE"""),"T64")</f>
        <v>T64</v>
      </c>
      <c r="B68" t="str">
        <f ca="1">IFERROR(__xludf.DUMMYFUNCTION("""COMPUTED_VALUE"""),"T41")</f>
        <v>T41</v>
      </c>
      <c r="C68" t="str">
        <f ca="1">IFERROR(__xludf.DUMMYFUNCTION("""COMPUTED_VALUE"""),"Kevin Tway")</f>
        <v>Kevin Tway</v>
      </c>
      <c r="D68">
        <f ca="1">IFERROR(__xludf.DUMMYFUNCTION("""COMPUTED_VALUE"""),16)</f>
        <v>16</v>
      </c>
      <c r="E68">
        <f ca="1">IFERROR(__xludf.DUMMYFUNCTION("""COMPUTED_VALUE"""),23.53)</f>
        <v>23.53</v>
      </c>
      <c r="F68">
        <f ca="1">IFERROR(__xludf.DUMMYFUNCTION("""COMPUTED_VALUE"""),17)</f>
        <v>17</v>
      </c>
      <c r="G68">
        <f ca="1">IFERROR(__xludf.DUMMYFUNCTION("""COMPUTED_VALUE"""),4)</f>
        <v>4</v>
      </c>
    </row>
    <row r="69" spans="1:7" ht="12.75">
      <c r="A69" t="str">
        <f ca="1">IFERROR(__xludf.DUMMYFUNCTION("""COMPUTED_VALUE"""),"T64")</f>
        <v>T64</v>
      </c>
      <c r="B69" t="str">
        <f ca="1">IFERROR(__xludf.DUMMYFUNCTION("""COMPUTED_VALUE"""),"T101")</f>
        <v>T101</v>
      </c>
      <c r="C69" t="str">
        <f ca="1">IFERROR(__xludf.DUMMYFUNCTION("""COMPUTED_VALUE"""),"Scottie Scheffler")</f>
        <v>Scottie Scheffler</v>
      </c>
      <c r="D69">
        <f ca="1">IFERROR(__xludf.DUMMYFUNCTION("""COMPUTED_VALUE"""),18)</f>
        <v>18</v>
      </c>
      <c r="E69">
        <f ca="1">IFERROR(__xludf.DUMMYFUNCTION("""COMPUTED_VALUE"""),23.53)</f>
        <v>23.53</v>
      </c>
      <c r="F69">
        <f ca="1">IFERROR(__xludf.DUMMYFUNCTION("""COMPUTED_VALUE"""),34)</f>
        <v>34</v>
      </c>
      <c r="G69">
        <f ca="1">IFERROR(__xludf.DUMMYFUNCTION("""COMPUTED_VALUE"""),8)</f>
        <v>8</v>
      </c>
    </row>
    <row r="70" spans="1:7" ht="12.75">
      <c r="A70">
        <f ca="1">IFERROR(__xludf.DUMMYFUNCTION("""COMPUTED_VALUE"""),69)</f>
        <v>69</v>
      </c>
      <c r="B70" t="str">
        <f ca="1">IFERROR(__xludf.DUMMYFUNCTION("""COMPUTED_VALUE"""),"T60")</f>
        <v>T60</v>
      </c>
      <c r="C70" t="str">
        <f ca="1">IFERROR(__xludf.DUMMYFUNCTION("""COMPUTED_VALUE"""),"Will Zalatoris")</f>
        <v>Will Zalatoris</v>
      </c>
      <c r="D70">
        <f ca="1">IFERROR(__xludf.DUMMYFUNCTION("""COMPUTED_VALUE"""),18)</f>
        <v>18</v>
      </c>
      <c r="E70">
        <f ca="1">IFERROR(__xludf.DUMMYFUNCTION("""COMPUTED_VALUE"""),23.08)</f>
        <v>23.08</v>
      </c>
      <c r="F70">
        <f ca="1">IFERROR(__xludf.DUMMYFUNCTION("""COMPUTED_VALUE"""),13)</f>
        <v>13</v>
      </c>
      <c r="G70">
        <f ca="1">IFERROR(__xludf.DUMMYFUNCTION("""COMPUTED_VALUE"""),3)</f>
        <v>3</v>
      </c>
    </row>
    <row r="71" spans="1:7" ht="12.75">
      <c r="A71" t="str">
        <f ca="1">IFERROR(__xludf.DUMMYFUNCTION("""COMPUTED_VALUE"""),"T70")</f>
        <v>T70</v>
      </c>
      <c r="B71">
        <f ca="1">IFERROR(__xludf.DUMMYFUNCTION("""COMPUTED_VALUE"""),57)</f>
        <v>57</v>
      </c>
      <c r="C71" t="str">
        <f ca="1">IFERROR(__xludf.DUMMYFUNCTION("""COMPUTED_VALUE"""),"Sungjae Im")</f>
        <v>Sungjae Im</v>
      </c>
      <c r="D71">
        <f ca="1">IFERROR(__xludf.DUMMYFUNCTION("""COMPUTED_VALUE"""),24)</f>
        <v>24</v>
      </c>
      <c r="E71">
        <f ca="1">IFERROR(__xludf.DUMMYFUNCTION("""COMPUTED_VALUE"""),22.73)</f>
        <v>22.73</v>
      </c>
      <c r="F71">
        <f ca="1">IFERROR(__xludf.DUMMYFUNCTION("""COMPUTED_VALUE"""),44)</f>
        <v>44</v>
      </c>
      <c r="G71">
        <f ca="1">IFERROR(__xludf.DUMMYFUNCTION("""COMPUTED_VALUE"""),10)</f>
        <v>10</v>
      </c>
    </row>
    <row r="72" spans="1:7" ht="12.75">
      <c r="A72" t="str">
        <f ca="1">IFERROR(__xludf.DUMMYFUNCTION("""COMPUTED_VALUE"""),"T70")</f>
        <v>T70</v>
      </c>
      <c r="B72" t="str">
        <f ca="1">IFERROR(__xludf.DUMMYFUNCTION("""COMPUTED_VALUE"""),"T150")</f>
        <v>T150</v>
      </c>
      <c r="C72" t="str">
        <f ca="1">IFERROR(__xludf.DUMMYFUNCTION("""COMPUTED_VALUE"""),"Mackenzie Hughes")</f>
        <v>Mackenzie Hughes</v>
      </c>
      <c r="D72">
        <f ca="1">IFERROR(__xludf.DUMMYFUNCTION("""COMPUTED_VALUE"""),18)</f>
        <v>18</v>
      </c>
      <c r="E72">
        <f ca="1">IFERROR(__xludf.DUMMYFUNCTION("""COMPUTED_VALUE"""),22.73)</f>
        <v>22.73</v>
      </c>
      <c r="F72">
        <f ca="1">IFERROR(__xludf.DUMMYFUNCTION("""COMPUTED_VALUE"""),22)</f>
        <v>22</v>
      </c>
      <c r="G72">
        <f ca="1">IFERROR(__xludf.DUMMYFUNCTION("""COMPUTED_VALUE"""),5)</f>
        <v>5</v>
      </c>
    </row>
    <row r="73" spans="1:7" ht="12.75">
      <c r="A73" t="str">
        <f ca="1">IFERROR(__xludf.DUMMYFUNCTION("""COMPUTED_VALUE"""),"T70")</f>
        <v>T70</v>
      </c>
      <c r="B73" t="str">
        <f ca="1">IFERROR(__xludf.DUMMYFUNCTION("""COMPUTED_VALUE"""),"T25")</f>
        <v>T25</v>
      </c>
      <c r="C73" t="str">
        <f ca="1">IFERROR(__xludf.DUMMYFUNCTION("""COMPUTED_VALUE"""),"Charley Hoffman")</f>
        <v>Charley Hoffman</v>
      </c>
      <c r="D73">
        <f ca="1">IFERROR(__xludf.DUMMYFUNCTION("""COMPUTED_VALUE"""),20)</f>
        <v>20</v>
      </c>
      <c r="E73">
        <f ca="1">IFERROR(__xludf.DUMMYFUNCTION("""COMPUTED_VALUE"""),22.73)</f>
        <v>22.73</v>
      </c>
      <c r="F73">
        <f ca="1">IFERROR(__xludf.DUMMYFUNCTION("""COMPUTED_VALUE"""),22)</f>
        <v>22</v>
      </c>
      <c r="G73">
        <f ca="1">IFERROR(__xludf.DUMMYFUNCTION("""COMPUTED_VALUE"""),5)</f>
        <v>5</v>
      </c>
    </row>
    <row r="74" spans="1:7" ht="12.75">
      <c r="A74" t="str">
        <f ca="1">IFERROR(__xludf.DUMMYFUNCTION("""COMPUTED_VALUE"""),"T73")</f>
        <v>T73</v>
      </c>
      <c r="B74" t="str">
        <f ca="1">IFERROR(__xludf.DUMMYFUNCTION("""COMPUTED_VALUE"""),"T65")</f>
        <v>T65</v>
      </c>
      <c r="C74" t="str">
        <f ca="1">IFERROR(__xludf.DUMMYFUNCTION("""COMPUTED_VALUE"""),"Matt Jones")</f>
        <v>Matt Jones</v>
      </c>
      <c r="D74">
        <f ca="1">IFERROR(__xludf.DUMMYFUNCTION("""COMPUTED_VALUE"""),20)</f>
        <v>20</v>
      </c>
      <c r="E74">
        <f ca="1">IFERROR(__xludf.DUMMYFUNCTION("""COMPUTED_VALUE"""),22.58)</f>
        <v>22.58</v>
      </c>
      <c r="F74">
        <f ca="1">IFERROR(__xludf.DUMMYFUNCTION("""COMPUTED_VALUE"""),31)</f>
        <v>31</v>
      </c>
      <c r="G74">
        <f ca="1">IFERROR(__xludf.DUMMYFUNCTION("""COMPUTED_VALUE"""),7)</f>
        <v>7</v>
      </c>
    </row>
    <row r="75" spans="1:7" ht="12.75">
      <c r="A75" t="str">
        <f ca="1">IFERROR(__xludf.DUMMYFUNCTION("""COMPUTED_VALUE"""),"T73")</f>
        <v>T73</v>
      </c>
      <c r="B75" t="str">
        <f ca="1">IFERROR(__xludf.DUMMYFUNCTION("""COMPUTED_VALUE"""),"T79")</f>
        <v>T79</v>
      </c>
      <c r="C75" t="str">
        <f ca="1">IFERROR(__xludf.DUMMYFUNCTION("""COMPUTED_VALUE"""),"Russell Henley")</f>
        <v>Russell Henley</v>
      </c>
      <c r="D75">
        <f ca="1">IFERROR(__xludf.DUMMYFUNCTION("""COMPUTED_VALUE"""),16)</f>
        <v>16</v>
      </c>
      <c r="E75">
        <f ca="1">IFERROR(__xludf.DUMMYFUNCTION("""COMPUTED_VALUE"""),22.58)</f>
        <v>22.58</v>
      </c>
      <c r="F75">
        <f ca="1">IFERROR(__xludf.DUMMYFUNCTION("""COMPUTED_VALUE"""),31)</f>
        <v>31</v>
      </c>
      <c r="G75">
        <f ca="1">IFERROR(__xludf.DUMMYFUNCTION("""COMPUTED_VALUE"""),7)</f>
        <v>7</v>
      </c>
    </row>
    <row r="76" spans="1:7" ht="12.75">
      <c r="A76" t="str">
        <f ca="1">IFERROR(__xludf.DUMMYFUNCTION("""COMPUTED_VALUE"""),"T75")</f>
        <v>T75</v>
      </c>
      <c r="B76" t="str">
        <f ca="1">IFERROR(__xludf.DUMMYFUNCTION("""COMPUTED_VALUE"""),"T81")</f>
        <v>T81</v>
      </c>
      <c r="C76" t="str">
        <f ca="1">IFERROR(__xludf.DUMMYFUNCTION("""COMPUTED_VALUE"""),"Cameron Tringale")</f>
        <v>Cameron Tringale</v>
      </c>
      <c r="D76">
        <f ca="1">IFERROR(__xludf.DUMMYFUNCTION("""COMPUTED_VALUE"""),16)</f>
        <v>16</v>
      </c>
      <c r="E76">
        <f ca="1">IFERROR(__xludf.DUMMYFUNCTION("""COMPUTED_VALUE"""),22.22)</f>
        <v>22.22</v>
      </c>
      <c r="F76">
        <f ca="1">IFERROR(__xludf.DUMMYFUNCTION("""COMPUTED_VALUE"""),27)</f>
        <v>27</v>
      </c>
      <c r="G76">
        <f ca="1">IFERROR(__xludf.DUMMYFUNCTION("""COMPUTED_VALUE"""),6)</f>
        <v>6</v>
      </c>
    </row>
    <row r="77" spans="1:7" ht="12.75">
      <c r="A77" t="str">
        <f ca="1">IFERROR(__xludf.DUMMYFUNCTION("""COMPUTED_VALUE"""),"T75")</f>
        <v>T75</v>
      </c>
      <c r="B77" t="str">
        <f ca="1">IFERROR(__xludf.DUMMYFUNCTION("""COMPUTED_VALUE"""),"T65")</f>
        <v>T65</v>
      </c>
      <c r="C77" t="str">
        <f ca="1">IFERROR(__xludf.DUMMYFUNCTION("""COMPUTED_VALUE"""),"Jim Herman")</f>
        <v>Jim Herman</v>
      </c>
      <c r="D77">
        <f ca="1">IFERROR(__xludf.DUMMYFUNCTION("""COMPUTED_VALUE"""),12)</f>
        <v>12</v>
      </c>
      <c r="E77">
        <f ca="1">IFERROR(__xludf.DUMMYFUNCTION("""COMPUTED_VALUE"""),22.22)</f>
        <v>22.22</v>
      </c>
      <c r="F77">
        <f ca="1">IFERROR(__xludf.DUMMYFUNCTION("""COMPUTED_VALUE"""),27)</f>
        <v>27</v>
      </c>
      <c r="G77">
        <f ca="1">IFERROR(__xludf.DUMMYFUNCTION("""COMPUTED_VALUE"""),6)</f>
        <v>6</v>
      </c>
    </row>
    <row r="78" spans="1:7" ht="12.75">
      <c r="A78" t="str">
        <f ca="1">IFERROR(__xludf.DUMMYFUNCTION("""COMPUTED_VALUE"""),"T77")</f>
        <v>T77</v>
      </c>
      <c r="B78" t="str">
        <f ca="1">IFERROR(__xludf.DUMMYFUNCTION("""COMPUTED_VALUE"""),"T53")</f>
        <v>T53</v>
      </c>
      <c r="C78" t="str">
        <f ca="1">IFERROR(__xludf.DUMMYFUNCTION("""COMPUTED_VALUE"""),"Carlos Ortiz")</f>
        <v>Carlos Ortiz</v>
      </c>
      <c r="D78">
        <f ca="1">IFERROR(__xludf.DUMMYFUNCTION("""COMPUTED_VALUE"""),20)</f>
        <v>20</v>
      </c>
      <c r="E78">
        <f ca="1">IFERROR(__xludf.DUMMYFUNCTION("""COMPUTED_VALUE"""),21.62)</f>
        <v>21.62</v>
      </c>
      <c r="F78">
        <f ca="1">IFERROR(__xludf.DUMMYFUNCTION("""COMPUTED_VALUE"""),37)</f>
        <v>37</v>
      </c>
      <c r="G78">
        <f ca="1">IFERROR(__xludf.DUMMYFUNCTION("""COMPUTED_VALUE"""),8)</f>
        <v>8</v>
      </c>
    </row>
    <row r="79" spans="1:7" ht="12.75">
      <c r="A79" t="str">
        <f ca="1">IFERROR(__xludf.DUMMYFUNCTION("""COMPUTED_VALUE"""),"T77")</f>
        <v>T77</v>
      </c>
      <c r="B79">
        <f ca="1">IFERROR(__xludf.DUMMYFUNCTION("""COMPUTED_VALUE"""),70)</f>
        <v>70</v>
      </c>
      <c r="C79" t="str">
        <f ca="1">IFERROR(__xludf.DUMMYFUNCTION("""COMPUTED_VALUE"""),"Kevin Streelman")</f>
        <v>Kevin Streelman</v>
      </c>
      <c r="D79">
        <f ca="1">IFERROR(__xludf.DUMMYFUNCTION("""COMPUTED_VALUE"""),18)</f>
        <v>18</v>
      </c>
      <c r="E79">
        <f ca="1">IFERROR(__xludf.DUMMYFUNCTION("""COMPUTED_VALUE"""),21.62)</f>
        <v>21.62</v>
      </c>
      <c r="F79">
        <f ca="1">IFERROR(__xludf.DUMMYFUNCTION("""COMPUTED_VALUE"""),37)</f>
        <v>37</v>
      </c>
      <c r="G79">
        <f ca="1">IFERROR(__xludf.DUMMYFUNCTION("""COMPUTED_VALUE"""),8)</f>
        <v>8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IFERROR(__xludf.DUMMYFUNCTION("""COMPUTED_VALUE"""),"T41")</f>
        <v>T41</v>
      </c>
      <c r="C80" t="str">
        <f ca="1">IFERROR(__xludf.DUMMYFUNCTION("""COMPUTED_VALUE"""),"C.T. Pan")</f>
        <v>C.T. Pan</v>
      </c>
      <c r="D80">
        <f ca="1">IFERROR(__xludf.DUMMYFUNCTION("""COMPUTED_VALUE"""),20)</f>
        <v>20</v>
      </c>
      <c r="E80">
        <f ca="1">IFERROR(__xludf.DUMMYFUNCTION("""COMPUTED_VALUE"""),21.43)</f>
        <v>21.43</v>
      </c>
      <c r="F80">
        <f ca="1">IFERROR(__xludf.DUMMYFUNCTION("""COMPUTED_VALUE"""),42)</f>
        <v>42</v>
      </c>
      <c r="G80">
        <f ca="1">IFERROR(__xludf.DUMMYFUNCTION("""COMPUTED_VALUE"""),9)</f>
        <v>9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IFERROR(__xludf.DUMMYFUNCTION("""COMPUTED_VALUE"""),"")</f>
        <v/>
      </c>
      <c r="C81" t="str">
        <f ca="1">IFERROR(__xludf.DUMMYFUNCTION("""COMPUTED_VALUE"""),"Brooks Koepka")</f>
        <v>Brooks Koepka</v>
      </c>
      <c r="D81">
        <f ca="1">IFERROR(__xludf.DUMMYFUNCTION("""COMPUTED_VALUE"""),8)</f>
        <v>8</v>
      </c>
      <c r="E81">
        <f ca="1">IFERROR(__xludf.DUMMYFUNCTION("""COMPUTED_VALUE"""),21.43)</f>
        <v>21.43</v>
      </c>
      <c r="F81">
        <f ca="1">IFERROR(__xludf.DUMMYFUNCTION("""COMPUTED_VALUE"""),14)</f>
        <v>14</v>
      </c>
      <c r="G81">
        <f ca="1">IFERROR(__xludf.DUMMYFUNCTION("""COMPUTED_VALUE"""),3)</f>
        <v>3</v>
      </c>
    </row>
    <row r="82" spans="1:7" ht="12.75">
      <c r="A82" t="str">
        <f ca="1">IFERROR(__xludf.DUMMYFUNCTION("""COMPUTED_VALUE"""),"T79")</f>
        <v>T79</v>
      </c>
      <c r="B82" t="str">
        <f ca="1">IFERROR(__xludf.DUMMYFUNCTION("""COMPUTED_VALUE"""),"T72")</f>
        <v>T72</v>
      </c>
      <c r="C82" t="str">
        <f ca="1">IFERROR(__xludf.DUMMYFUNCTION("""COMPUTED_VALUE"""),"Wesley Bryan")</f>
        <v>Wesley Bryan</v>
      </c>
      <c r="D82">
        <f ca="1">IFERROR(__xludf.DUMMYFUNCTION("""COMPUTED_VALUE"""),8)</f>
        <v>8</v>
      </c>
      <c r="E82">
        <f ca="1">IFERROR(__xludf.DUMMYFUNCTION("""COMPUTED_VALUE"""),21.43)</f>
        <v>21.43</v>
      </c>
      <c r="F82">
        <f ca="1">IFERROR(__xludf.DUMMYFUNCTION("""COMPUTED_VALUE"""),14)</f>
        <v>14</v>
      </c>
      <c r="G82">
        <f ca="1">IFERROR(__xludf.DUMMYFUNCTION("""COMPUTED_VALUE"""),3)</f>
        <v>3</v>
      </c>
    </row>
    <row r="83" spans="1:7" ht="12.75">
      <c r="A83" t="str">
        <f ca="1">IFERROR(__xludf.DUMMYFUNCTION("""COMPUTED_VALUE"""),"T82")</f>
        <v>T82</v>
      </c>
      <c r="B83" t="str">
        <f ca="1">IFERROR(__xludf.DUMMYFUNCTION("""COMPUTED_VALUE"""),"T72")</f>
        <v>T72</v>
      </c>
      <c r="C83" t="str">
        <f ca="1">IFERROR(__xludf.DUMMYFUNCTION("""COMPUTED_VALUE"""),"Grayson Murray")</f>
        <v>Grayson Murray</v>
      </c>
      <c r="D83">
        <f ca="1">IFERROR(__xludf.DUMMYFUNCTION("""COMPUTED_VALUE"""),10)</f>
        <v>10</v>
      </c>
      <c r="E83">
        <f ca="1">IFERROR(__xludf.DUMMYFUNCTION("""COMPUTED_VALUE"""),21.05)</f>
        <v>21.05</v>
      </c>
      <c r="F83">
        <f ca="1">IFERROR(__xludf.DUMMYFUNCTION("""COMPUTED_VALUE"""),19)</f>
        <v>19</v>
      </c>
      <c r="G83">
        <f ca="1">IFERROR(__xludf.DUMMYFUNCTION("""COMPUTED_VALUE"""),4)</f>
        <v>4</v>
      </c>
    </row>
    <row r="84" spans="1:7" ht="12.75">
      <c r="A84" t="str">
        <f ca="1">IFERROR(__xludf.DUMMYFUNCTION("""COMPUTED_VALUE"""),"T82")</f>
        <v>T82</v>
      </c>
      <c r="B84" t="str">
        <f ca="1">IFERROR(__xludf.DUMMYFUNCTION("""COMPUTED_VALUE"""),"T77")</f>
        <v>T77</v>
      </c>
      <c r="C84" t="str">
        <f ca="1">IFERROR(__xludf.DUMMYFUNCTION("""COMPUTED_VALUE"""),"Patrick Reed")</f>
        <v>Patrick Reed</v>
      </c>
      <c r="D84">
        <f ca="1">IFERROR(__xludf.DUMMYFUNCTION("""COMPUTED_VALUE"""),8)</f>
        <v>8</v>
      </c>
      <c r="E84">
        <f ca="1">IFERROR(__xludf.DUMMYFUNCTION("""COMPUTED_VALUE"""),21.05)</f>
        <v>21.05</v>
      </c>
      <c r="F84">
        <f ca="1">IFERROR(__xludf.DUMMYFUNCTION("""COMPUTED_VALUE"""),19)</f>
        <v>19</v>
      </c>
      <c r="G84">
        <f ca="1">IFERROR(__xludf.DUMMYFUNCTION("""COMPUTED_VALUE"""),4)</f>
        <v>4</v>
      </c>
    </row>
    <row r="85" spans="1:7" ht="12.75">
      <c r="A85" t="str">
        <f ca="1">IFERROR(__xludf.DUMMYFUNCTION("""COMPUTED_VALUE"""),"T82")</f>
        <v>T82</v>
      </c>
      <c r="B85" t="str">
        <f ca="1">IFERROR(__xludf.DUMMYFUNCTION("""COMPUTED_VALUE"""),"T65")</f>
        <v>T65</v>
      </c>
      <c r="C85" t="str">
        <f ca="1">IFERROR(__xludf.DUMMYFUNCTION("""COMPUTED_VALUE"""),"Phil Mickelson")</f>
        <v>Phil Mickelson</v>
      </c>
      <c r="D85">
        <f ca="1">IFERROR(__xludf.DUMMYFUNCTION("""COMPUTED_VALUE"""),12)</f>
        <v>12</v>
      </c>
      <c r="E85">
        <f ca="1">IFERROR(__xludf.DUMMYFUNCTION("""COMPUTED_VALUE"""),21.05)</f>
        <v>21.05</v>
      </c>
      <c r="F85">
        <f ca="1">IFERROR(__xludf.DUMMYFUNCTION("""COMPUTED_VALUE"""),19)</f>
        <v>19</v>
      </c>
      <c r="G85">
        <f ca="1">IFERROR(__xludf.DUMMYFUNCTION("""COMPUTED_VALUE"""),4)</f>
        <v>4</v>
      </c>
    </row>
    <row r="86" spans="1:7" ht="12.75">
      <c r="A86" t="str">
        <f ca="1">IFERROR(__xludf.DUMMYFUNCTION("""COMPUTED_VALUE"""),"T85")</f>
        <v>T85</v>
      </c>
      <c r="B86" t="str">
        <f ca="1">IFERROR(__xludf.DUMMYFUNCTION("""COMPUTED_VALUE"""),"T81")</f>
        <v>T81</v>
      </c>
      <c r="C86" t="str">
        <f ca="1">IFERROR(__xludf.DUMMYFUNCTION("""COMPUTED_VALUE"""),"Ricky Barnes")</f>
        <v>Ricky Barnes</v>
      </c>
      <c r="D86">
        <f ca="1">IFERROR(__xludf.DUMMYFUNCTION("""COMPUTED_VALUE"""),12)</f>
        <v>12</v>
      </c>
      <c r="E86">
        <f ca="1">IFERROR(__xludf.DUMMYFUNCTION("""COMPUTED_VALUE"""),20)</f>
        <v>20</v>
      </c>
      <c r="F86">
        <f ca="1">IFERROR(__xludf.DUMMYFUNCTION("""COMPUTED_VALUE"""),10)</f>
        <v>10</v>
      </c>
      <c r="G86">
        <f ca="1">IFERROR(__xludf.DUMMYFUNCTION("""COMPUTED_VALUE"""),2)</f>
        <v>2</v>
      </c>
    </row>
    <row r="87" spans="1:7" ht="12.75">
      <c r="A87" t="str">
        <f ca="1">IFERROR(__xludf.DUMMYFUNCTION("""COMPUTED_VALUE"""),"T85")</f>
        <v>T85</v>
      </c>
      <c r="B87" t="str">
        <f ca="1">IFERROR(__xludf.DUMMYFUNCTION("""COMPUTED_VALUE"""),"")</f>
        <v/>
      </c>
      <c r="C87" t="str">
        <f ca="1">IFERROR(__xludf.DUMMYFUNCTION("""COMPUTED_VALUE"""),"Graeme McDowell")</f>
        <v>Graeme McDowell</v>
      </c>
      <c r="D87">
        <f ca="1">IFERROR(__xludf.DUMMYFUNCTION("""COMPUTED_VALUE"""),8)</f>
        <v>8</v>
      </c>
      <c r="E87">
        <f ca="1">IFERROR(__xludf.DUMMYFUNCTION("""COMPUTED_VALUE"""),20)</f>
        <v>20</v>
      </c>
      <c r="F87">
        <f ca="1">IFERROR(__xludf.DUMMYFUNCTION("""COMPUTED_VALUE"""),15)</f>
        <v>15</v>
      </c>
      <c r="G87">
        <f ca="1">IFERROR(__xludf.DUMMYFUNCTION("""COMPUTED_VALUE"""),3)</f>
        <v>3</v>
      </c>
    </row>
    <row r="88" spans="1:7" ht="12.75">
      <c r="A88" t="str">
        <f ca="1">IFERROR(__xludf.DUMMYFUNCTION("""COMPUTED_VALUE"""),"T85")</f>
        <v>T85</v>
      </c>
      <c r="B88" t="str">
        <f ca="1">IFERROR(__xludf.DUMMYFUNCTION("""COMPUTED_VALUE"""),"T81")</f>
        <v>T81</v>
      </c>
      <c r="C88" t="str">
        <f ca="1">IFERROR(__xludf.DUMMYFUNCTION("""COMPUTED_VALUE"""),"Jimmy Walker")</f>
        <v>Jimmy Walker</v>
      </c>
      <c r="D88">
        <f ca="1">IFERROR(__xludf.DUMMYFUNCTION("""COMPUTED_VALUE"""),10)</f>
        <v>10</v>
      </c>
      <c r="E88">
        <f ca="1">IFERROR(__xludf.DUMMYFUNCTION("""COMPUTED_VALUE"""),20)</f>
        <v>20</v>
      </c>
      <c r="F88">
        <f ca="1">IFERROR(__xludf.DUMMYFUNCTION("""COMPUTED_VALUE"""),20)</f>
        <v>20</v>
      </c>
      <c r="G88">
        <f ca="1">IFERROR(__xludf.DUMMYFUNCTION("""COMPUTED_VALUE"""),4)</f>
        <v>4</v>
      </c>
    </row>
    <row r="89" spans="1:7" ht="12.75">
      <c r="A89" t="str">
        <f ca="1">IFERROR(__xludf.DUMMYFUNCTION("""COMPUTED_VALUE"""),"T85")</f>
        <v>T85</v>
      </c>
      <c r="B89" t="str">
        <f ca="1">IFERROR(__xludf.DUMMYFUNCTION("""COMPUTED_VALUE"""),"T81")</f>
        <v>T81</v>
      </c>
      <c r="C89" t="str">
        <f ca="1">IFERROR(__xludf.DUMMYFUNCTION("""COMPUTED_VALUE"""),"Robert Streb")</f>
        <v>Robert Streb</v>
      </c>
      <c r="D89">
        <f ca="1">IFERROR(__xludf.DUMMYFUNCTION("""COMPUTED_VALUE"""),12)</f>
        <v>12</v>
      </c>
      <c r="E89">
        <f ca="1">IFERROR(__xludf.DUMMYFUNCTION("""COMPUTED_VALUE"""),20)</f>
        <v>20</v>
      </c>
      <c r="F89">
        <f ca="1">IFERROR(__xludf.DUMMYFUNCTION("""COMPUTED_VALUE"""),10)</f>
        <v>10</v>
      </c>
      <c r="G89">
        <f ca="1">IFERROR(__xludf.DUMMYFUNCTION("""COMPUTED_VALUE"""),2)</f>
        <v>2</v>
      </c>
    </row>
    <row r="90" spans="1:7" ht="12.75">
      <c r="A90" t="str">
        <f ca="1">IFERROR(__xludf.DUMMYFUNCTION("""COMPUTED_VALUE"""),"T85")</f>
        <v>T85</v>
      </c>
      <c r="B90" t="str">
        <f ca="1">IFERROR(__xludf.DUMMYFUNCTION("""COMPUTED_VALUE"""),"T81")</f>
        <v>T81</v>
      </c>
      <c r="C90" t="str">
        <f ca="1">IFERROR(__xludf.DUMMYFUNCTION("""COMPUTED_VALUE"""),"Byeong Hun An")</f>
        <v>Byeong Hun An</v>
      </c>
      <c r="D90">
        <f ca="1">IFERROR(__xludf.DUMMYFUNCTION("""COMPUTED_VALUE"""),14)</f>
        <v>14</v>
      </c>
      <c r="E90">
        <f ca="1">IFERROR(__xludf.DUMMYFUNCTION("""COMPUTED_VALUE"""),20)</f>
        <v>20</v>
      </c>
      <c r="F90">
        <f ca="1">IFERROR(__xludf.DUMMYFUNCTION("""COMPUTED_VALUE"""),25)</f>
        <v>25</v>
      </c>
      <c r="G90">
        <f ca="1">IFERROR(__xludf.DUMMYFUNCTION("""COMPUTED_VALUE"""),5)</f>
        <v>5</v>
      </c>
    </row>
    <row r="91" spans="1:7" ht="12.75">
      <c r="A91" t="str">
        <f ca="1">IFERROR(__xludf.DUMMYFUNCTION("""COMPUTED_VALUE"""),"T85")</f>
        <v>T85</v>
      </c>
      <c r="B91" t="str">
        <f ca="1">IFERROR(__xludf.DUMMYFUNCTION("""COMPUTED_VALUE"""),"T19")</f>
        <v>T19</v>
      </c>
      <c r="C91" t="str">
        <f ca="1">IFERROR(__xludf.DUMMYFUNCTION("""COMPUTED_VALUE"""),"John Huh")</f>
        <v>John Huh</v>
      </c>
      <c r="D91">
        <f ca="1">IFERROR(__xludf.DUMMYFUNCTION("""COMPUTED_VALUE"""),8)</f>
        <v>8</v>
      </c>
      <c r="E91">
        <f ca="1">IFERROR(__xludf.DUMMYFUNCTION("""COMPUTED_VALUE"""),20)</f>
        <v>20</v>
      </c>
      <c r="F91">
        <f ca="1">IFERROR(__xludf.DUMMYFUNCTION("""COMPUTED_VALUE"""),15)</f>
        <v>15</v>
      </c>
      <c r="G91">
        <f ca="1">IFERROR(__xludf.DUMMYFUNCTION("""COMPUTED_VALUE"""),3)</f>
        <v>3</v>
      </c>
    </row>
    <row r="92" spans="1:7" ht="12.75">
      <c r="A92" t="str">
        <f ca="1">IFERROR(__xludf.DUMMYFUNCTION("""COMPUTED_VALUE"""),"T85")</f>
        <v>T85</v>
      </c>
      <c r="B92" t="str">
        <f ca="1">IFERROR(__xludf.DUMMYFUNCTION("""COMPUTED_VALUE"""),"T81")</f>
        <v>T81</v>
      </c>
      <c r="C92" t="str">
        <f ca="1">IFERROR(__xludf.DUMMYFUNCTION("""COMPUTED_VALUE"""),"Chris Baker")</f>
        <v>Chris Baker</v>
      </c>
      <c r="D92">
        <f ca="1">IFERROR(__xludf.DUMMYFUNCTION("""COMPUTED_VALUE"""),8)</f>
        <v>8</v>
      </c>
      <c r="E92">
        <f ca="1">IFERROR(__xludf.DUMMYFUNCTION("""COMPUTED_VALUE"""),20)</f>
        <v>20</v>
      </c>
      <c r="F92">
        <f ca="1">IFERROR(__xludf.DUMMYFUNCTION("""COMPUTED_VALUE"""),15)</f>
        <v>15</v>
      </c>
      <c r="G92">
        <f ca="1">IFERROR(__xludf.DUMMYFUNCTION("""COMPUTED_VALUE"""),3)</f>
        <v>3</v>
      </c>
    </row>
    <row r="93" spans="1:7" ht="12.75">
      <c r="A93" t="str">
        <f ca="1">IFERROR(__xludf.DUMMYFUNCTION("""COMPUTED_VALUE"""),"T85")</f>
        <v>T85</v>
      </c>
      <c r="B93" t="str">
        <f ca="1">IFERROR(__xludf.DUMMYFUNCTION("""COMPUTED_VALUE"""),"T81")</f>
        <v>T81</v>
      </c>
      <c r="C93" t="str">
        <f ca="1">IFERROR(__xludf.DUMMYFUNCTION("""COMPUTED_VALUE"""),"Kevin Kisner")</f>
        <v>Kevin Kisner</v>
      </c>
      <c r="D93">
        <f ca="1">IFERROR(__xludf.DUMMYFUNCTION("""COMPUTED_VALUE"""),10)</f>
        <v>10</v>
      </c>
      <c r="E93">
        <f ca="1">IFERROR(__xludf.DUMMYFUNCTION("""COMPUTED_VALUE"""),20)</f>
        <v>20</v>
      </c>
      <c r="F93">
        <f ca="1">IFERROR(__xludf.DUMMYFUNCTION("""COMPUTED_VALUE"""),15)</f>
        <v>15</v>
      </c>
      <c r="G93">
        <f ca="1">IFERROR(__xludf.DUMMYFUNCTION("""COMPUTED_VALUE"""),3)</f>
        <v>3</v>
      </c>
    </row>
    <row r="94" spans="1:7" ht="12.75">
      <c r="A94" t="str">
        <f ca="1">IFERROR(__xludf.DUMMYFUNCTION("""COMPUTED_VALUE"""),"T85")</f>
        <v>T85</v>
      </c>
      <c r="B94" t="str">
        <f ca="1">IFERROR(__xludf.DUMMYFUNCTION("""COMPUTED_VALUE"""),"")</f>
        <v/>
      </c>
      <c r="C94" t="str">
        <f ca="1">IFERROR(__xludf.DUMMYFUNCTION("""COMPUTED_VALUE"""),"Chris Kirk")</f>
        <v>Chris Kirk</v>
      </c>
      <c r="D94">
        <f ca="1">IFERROR(__xludf.DUMMYFUNCTION("""COMPUTED_VALUE"""),10)</f>
        <v>10</v>
      </c>
      <c r="E94">
        <f ca="1">IFERROR(__xludf.DUMMYFUNCTION("""COMPUTED_VALUE"""),20)</f>
        <v>20</v>
      </c>
      <c r="F94">
        <f ca="1">IFERROR(__xludf.DUMMYFUNCTION("""COMPUTED_VALUE"""),10)</f>
        <v>10</v>
      </c>
      <c r="G94">
        <f ca="1">IFERROR(__xludf.DUMMYFUNCTION("""COMPUTED_VALUE"""),2)</f>
        <v>2</v>
      </c>
    </row>
    <row r="95" spans="1:7" ht="12.75">
      <c r="A95" t="str">
        <f ca="1">IFERROR(__xludf.DUMMYFUNCTION("""COMPUTED_VALUE"""),"T85")</f>
        <v>T85</v>
      </c>
      <c r="B95" t="str">
        <f ca="1">IFERROR(__xludf.DUMMYFUNCTION("""COMPUTED_VALUE"""),"T81")</f>
        <v>T81</v>
      </c>
      <c r="C95" t="str">
        <f ca="1">IFERROR(__xludf.DUMMYFUNCTION("""COMPUTED_VALUE"""),"Takumi Kanaya")</f>
        <v>Takumi Kanaya</v>
      </c>
      <c r="D95">
        <f ca="1">IFERROR(__xludf.DUMMYFUNCTION("""COMPUTED_VALUE"""),6)</f>
        <v>6</v>
      </c>
      <c r="E95">
        <f ca="1">IFERROR(__xludf.DUMMYFUNCTION("""COMPUTED_VALUE"""),20)</f>
        <v>20</v>
      </c>
      <c r="F95">
        <f ca="1">IFERROR(__xludf.DUMMYFUNCTION("""COMPUTED_VALUE"""),10)</f>
        <v>10</v>
      </c>
      <c r="G95">
        <f ca="1">IFERROR(__xludf.DUMMYFUNCTION("""COMPUTED_VALUE"""),2)</f>
        <v>2</v>
      </c>
    </row>
    <row r="96" spans="1:7" ht="12.75">
      <c r="A96" t="str">
        <f ca="1">IFERROR(__xludf.DUMMYFUNCTION("""COMPUTED_VALUE"""),"T85")</f>
        <v>T85</v>
      </c>
      <c r="B96" t="str">
        <f ca="1">IFERROR(__xludf.DUMMYFUNCTION("""COMPUTED_VALUE"""),"T81")</f>
        <v>T81</v>
      </c>
      <c r="C96" t="str">
        <f ca="1">IFERROR(__xludf.DUMMYFUNCTION("""COMPUTED_VALUE"""),"Doug Ghim")</f>
        <v>Doug Ghim</v>
      </c>
      <c r="D96">
        <f ca="1">IFERROR(__xludf.DUMMYFUNCTION("""COMPUTED_VALUE"""),14)</f>
        <v>14</v>
      </c>
      <c r="E96">
        <f ca="1">IFERROR(__xludf.DUMMYFUNCTION("""COMPUTED_VALUE"""),20)</f>
        <v>20</v>
      </c>
      <c r="F96">
        <f ca="1">IFERROR(__xludf.DUMMYFUNCTION("""COMPUTED_VALUE"""),15)</f>
        <v>15</v>
      </c>
      <c r="G96">
        <f ca="1">IFERROR(__xludf.DUMMYFUNCTION("""COMPUTED_VALUE"""),3)</f>
        <v>3</v>
      </c>
    </row>
    <row r="97" spans="1:7" ht="12.75">
      <c r="A97" t="str">
        <f ca="1">IFERROR(__xludf.DUMMYFUNCTION("""COMPUTED_VALUE"""),"T85")</f>
        <v>T85</v>
      </c>
      <c r="B97" t="str">
        <f ca="1">IFERROR(__xludf.DUMMYFUNCTION("""COMPUTED_VALUE"""),"T81")</f>
        <v>T81</v>
      </c>
      <c r="C97" t="str">
        <f ca="1">IFERROR(__xludf.DUMMYFUNCTION("""COMPUTED_VALUE"""),"Sahith Theegala")</f>
        <v>Sahith Theegala</v>
      </c>
      <c r="D97">
        <f ca="1">IFERROR(__xludf.DUMMYFUNCTION("""COMPUTED_VALUE"""),6)</f>
        <v>6</v>
      </c>
      <c r="E97">
        <f ca="1">IFERROR(__xludf.DUMMYFUNCTION("""COMPUTED_VALUE"""),20)</f>
        <v>20</v>
      </c>
      <c r="F97">
        <f ca="1">IFERROR(__xludf.DUMMYFUNCTION("""COMPUTED_VALUE"""),10)</f>
        <v>10</v>
      </c>
      <c r="G97">
        <f ca="1">IFERROR(__xludf.DUMMYFUNCTION("""COMPUTED_VALUE"""),2)</f>
        <v>2</v>
      </c>
    </row>
    <row r="98" spans="1:7" ht="12.75">
      <c r="A98" t="str">
        <f ca="1">IFERROR(__xludf.DUMMYFUNCTION("""COMPUTED_VALUE"""),"T85")</f>
        <v>T85</v>
      </c>
      <c r="B98" t="str">
        <f ca="1">IFERROR(__xludf.DUMMYFUNCTION("""COMPUTED_VALUE"""),"T81")</f>
        <v>T81</v>
      </c>
      <c r="C98" t="str">
        <f ca="1">IFERROR(__xludf.DUMMYFUNCTION("""COMPUTED_VALUE"""),"Zac Blair")</f>
        <v>Zac Blair</v>
      </c>
      <c r="D98">
        <f ca="1">IFERROR(__xludf.DUMMYFUNCTION("""COMPUTED_VALUE"""),10)</f>
        <v>10</v>
      </c>
      <c r="E98">
        <f ca="1">IFERROR(__xludf.DUMMYFUNCTION("""COMPUTED_VALUE"""),20)</f>
        <v>20</v>
      </c>
      <c r="F98">
        <f ca="1">IFERROR(__xludf.DUMMYFUNCTION("""COMPUTED_VALUE"""),15)</f>
        <v>15</v>
      </c>
      <c r="G98">
        <f ca="1">IFERROR(__xludf.DUMMYFUNCTION("""COMPUTED_VALUE"""),3)</f>
        <v>3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IFERROR(__xludf.DUMMYFUNCTION("""COMPUTED_VALUE"""),97)</f>
        <v>97</v>
      </c>
      <c r="C99" t="str">
        <f ca="1">IFERROR(__xludf.DUMMYFUNCTION("""COMPUTED_VALUE"""),"Jon Rahm")</f>
        <v>Jon Rahm</v>
      </c>
      <c r="D99">
        <f ca="1">IFERROR(__xludf.DUMMYFUNCTION("""COMPUTED_VALUE"""),12)</f>
        <v>12</v>
      </c>
      <c r="E99">
        <f ca="1">IFERROR(__xludf.DUMMYFUNCTION("""COMPUTED_VALUE"""),19.44)</f>
        <v>19.440000000000001</v>
      </c>
      <c r="F99">
        <f ca="1">IFERROR(__xludf.DUMMYFUNCTION("""COMPUTED_VALUE"""),36)</f>
        <v>36</v>
      </c>
      <c r="G99">
        <f ca="1">IFERROR(__xludf.DUMMYFUNCTION("""COMPUTED_VALUE"""),7)</f>
        <v>7</v>
      </c>
    </row>
    <row r="100" spans="1:7" ht="12.75">
      <c r="A100">
        <f ca="1">IFERROR(__xludf.DUMMYFUNCTION("""COMPUTED_VALUE"""),99)</f>
        <v>99</v>
      </c>
      <c r="B100" t="str">
        <f ca="1">IFERROR(__xludf.DUMMYFUNCTION("""COMPUTED_VALUE"""),"T81")</f>
        <v>T81</v>
      </c>
      <c r="C100" t="str">
        <f ca="1">IFERROR(__xludf.DUMMYFUNCTION("""COMPUTED_VALUE"""),"Will Gordon")</f>
        <v>Will Gordon</v>
      </c>
      <c r="D100">
        <f ca="1">IFERROR(__xludf.DUMMYFUNCTION("""COMPUTED_VALUE"""),20)</f>
        <v>20</v>
      </c>
      <c r="E100">
        <f ca="1">IFERROR(__xludf.DUMMYFUNCTION("""COMPUTED_VALUE"""),19.35)</f>
        <v>19.350000000000001</v>
      </c>
      <c r="F100">
        <f ca="1">IFERROR(__xludf.DUMMYFUNCTION("""COMPUTED_VALUE"""),31)</f>
        <v>31</v>
      </c>
      <c r="G100">
        <f ca="1">IFERROR(__xludf.DUMMYFUNCTION("""COMPUTED_VALUE"""),6)</f>
        <v>6</v>
      </c>
    </row>
    <row r="101" spans="1:7" ht="12.75">
      <c r="A101" t="str">
        <f ca="1">IFERROR(__xludf.DUMMYFUNCTION("""COMPUTED_VALUE"""),"T100")</f>
        <v>T100</v>
      </c>
      <c r="B101" t="str">
        <f ca="1">IFERROR(__xludf.DUMMYFUNCTION("""COMPUTED_VALUE"""),"T77")</f>
        <v>T77</v>
      </c>
      <c r="C101" t="str">
        <f ca="1">IFERROR(__xludf.DUMMYFUNCTION("""COMPUTED_VALUE"""),"Troy Merritt")</f>
        <v>Troy Merritt</v>
      </c>
      <c r="D101">
        <f ca="1">IFERROR(__xludf.DUMMYFUNCTION("""COMPUTED_VALUE"""),20)</f>
        <v>20</v>
      </c>
      <c r="E101">
        <f ca="1">IFERROR(__xludf.DUMMYFUNCTION("""COMPUTED_VALUE"""),19.23)</f>
        <v>19.23</v>
      </c>
      <c r="F101">
        <f ca="1">IFERROR(__xludf.DUMMYFUNCTION("""COMPUTED_VALUE"""),26)</f>
        <v>26</v>
      </c>
      <c r="G101">
        <f ca="1">IFERROR(__xludf.DUMMYFUNCTION("""COMPUTED_VALUE"""),5)</f>
        <v>5</v>
      </c>
    </row>
    <row r="102" spans="1:7" ht="12.75">
      <c r="A102" t="str">
        <f ca="1">IFERROR(__xludf.DUMMYFUNCTION("""COMPUTED_VALUE"""),"T100")</f>
        <v>T100</v>
      </c>
      <c r="B102" t="str">
        <f ca="1">IFERROR(__xludf.DUMMYFUNCTION("""COMPUTED_VALUE"""),"T138")</f>
        <v>T138</v>
      </c>
      <c r="C102" t="str">
        <f ca="1">IFERROR(__xludf.DUMMYFUNCTION("""COMPUTED_VALUE"""),"Scott Piercy")</f>
        <v>Scott Piercy</v>
      </c>
      <c r="D102">
        <f ca="1">IFERROR(__xludf.DUMMYFUNCTION("""COMPUTED_VALUE"""),18)</f>
        <v>18</v>
      </c>
      <c r="E102">
        <f ca="1">IFERROR(__xludf.DUMMYFUNCTION("""COMPUTED_VALUE"""),19.23)</f>
        <v>19.23</v>
      </c>
      <c r="F102">
        <f ca="1">IFERROR(__xludf.DUMMYFUNCTION("""COMPUTED_VALUE"""),26)</f>
        <v>26</v>
      </c>
      <c r="G102">
        <f ca="1">IFERROR(__xludf.DUMMYFUNCTION("""COMPUTED_VALUE"""),5)</f>
        <v>5</v>
      </c>
    </row>
    <row r="103" spans="1:7" ht="12.75">
      <c r="A103" t="str">
        <f ca="1">IFERROR(__xludf.DUMMYFUNCTION("""COMPUTED_VALUE"""),"T102")</f>
        <v>T102</v>
      </c>
      <c r="B103" t="str">
        <f ca="1">IFERROR(__xludf.DUMMYFUNCTION("""COMPUTED_VALUE"""),"T65")</f>
        <v>T65</v>
      </c>
      <c r="C103" t="str">
        <f ca="1">IFERROR(__xludf.DUMMYFUNCTION("""COMPUTED_VALUE"""),"Lanto Griffin")</f>
        <v>Lanto Griffin</v>
      </c>
      <c r="D103">
        <f ca="1">IFERROR(__xludf.DUMMYFUNCTION("""COMPUTED_VALUE"""),18)</f>
        <v>18</v>
      </c>
      <c r="E103">
        <f ca="1">IFERROR(__xludf.DUMMYFUNCTION("""COMPUTED_VALUE"""),19.05)</f>
        <v>19.05</v>
      </c>
      <c r="F103">
        <f ca="1">IFERROR(__xludf.DUMMYFUNCTION("""COMPUTED_VALUE"""),42)</f>
        <v>42</v>
      </c>
      <c r="G103">
        <f ca="1">IFERROR(__xludf.DUMMYFUNCTION("""COMPUTED_VALUE"""),8)</f>
        <v>8</v>
      </c>
    </row>
    <row r="104" spans="1:7" ht="12.75">
      <c r="A104" t="str">
        <f ca="1">IFERROR(__xludf.DUMMYFUNCTION("""COMPUTED_VALUE"""),"T102")</f>
        <v>T102</v>
      </c>
      <c r="B104" t="str">
        <f ca="1">IFERROR(__xludf.DUMMYFUNCTION("""COMPUTED_VALUE"""),"T81")</f>
        <v>T81</v>
      </c>
      <c r="C104" t="str">
        <f ca="1">IFERROR(__xludf.DUMMYFUNCTION("""COMPUTED_VALUE"""),"Tyler Duncan")</f>
        <v>Tyler Duncan</v>
      </c>
      <c r="D104">
        <f ca="1">IFERROR(__xludf.DUMMYFUNCTION("""COMPUTED_VALUE"""),18)</f>
        <v>18</v>
      </c>
      <c r="E104">
        <f ca="1">IFERROR(__xludf.DUMMYFUNCTION("""COMPUTED_VALUE"""),19.05)</f>
        <v>19.05</v>
      </c>
      <c r="F104">
        <f ca="1">IFERROR(__xludf.DUMMYFUNCTION("""COMPUTED_VALUE"""),42)</f>
        <v>42</v>
      </c>
      <c r="G104">
        <f ca="1">IFERROR(__xludf.DUMMYFUNCTION("""COMPUTED_VALUE"""),8)</f>
        <v>8</v>
      </c>
    </row>
    <row r="105" spans="1:7" ht="12.75">
      <c r="A105" t="str">
        <f ca="1">IFERROR(__xludf.DUMMYFUNCTION("""COMPUTED_VALUE"""),"T102")</f>
        <v>T102</v>
      </c>
      <c r="B105">
        <f ca="1">IFERROR(__xludf.DUMMYFUNCTION("""COMPUTED_VALUE"""),58)</f>
        <v>58</v>
      </c>
      <c r="C105" t="str">
        <f ca="1">IFERROR(__xludf.DUMMYFUNCTION("""COMPUTED_VALUE"""),"Matthew NeSmith")</f>
        <v>Matthew NeSmith</v>
      </c>
      <c r="D105">
        <f ca="1">IFERROR(__xludf.DUMMYFUNCTION("""COMPUTED_VALUE"""),16)</f>
        <v>16</v>
      </c>
      <c r="E105">
        <f ca="1">IFERROR(__xludf.DUMMYFUNCTION("""COMPUTED_VALUE"""),19.05)</f>
        <v>19.05</v>
      </c>
      <c r="F105">
        <f ca="1">IFERROR(__xludf.DUMMYFUNCTION("""COMPUTED_VALUE"""),21)</f>
        <v>21</v>
      </c>
      <c r="G105">
        <f ca="1">IFERROR(__xludf.DUMMYFUNCTION("""COMPUTED_VALUE"""),4)</f>
        <v>4</v>
      </c>
    </row>
    <row r="106" spans="1:7" ht="12.75">
      <c r="A106" t="str">
        <f ca="1">IFERROR(__xludf.DUMMYFUNCTION("""COMPUTED_VALUE"""),"T105")</f>
        <v>T105</v>
      </c>
      <c r="B106">
        <f ca="1">IFERROR(__xludf.DUMMYFUNCTION("""COMPUTED_VALUE"""),98)</f>
        <v>98</v>
      </c>
      <c r="C106" t="str">
        <f ca="1">IFERROR(__xludf.DUMMYFUNCTION("""COMPUTED_VALUE"""),"Danny Lee")</f>
        <v>Danny Lee</v>
      </c>
      <c r="D106">
        <f ca="1">IFERROR(__xludf.DUMMYFUNCTION("""COMPUTED_VALUE"""),15)</f>
        <v>15</v>
      </c>
      <c r="E106">
        <f ca="1">IFERROR(__xludf.DUMMYFUNCTION("""COMPUTED_VALUE"""),18.75)</f>
        <v>18.75</v>
      </c>
      <c r="F106">
        <f ca="1">IFERROR(__xludf.DUMMYFUNCTION("""COMPUTED_VALUE"""),32)</f>
        <v>32</v>
      </c>
      <c r="G106">
        <f ca="1">IFERROR(__xludf.DUMMYFUNCTION("""COMPUTED_VALUE"""),6)</f>
        <v>6</v>
      </c>
    </row>
    <row r="107" spans="1:7" ht="12.75">
      <c r="A107" t="str">
        <f ca="1">IFERROR(__xludf.DUMMYFUNCTION("""COMPUTED_VALUE"""),"T105")</f>
        <v>T105</v>
      </c>
      <c r="B107" t="str">
        <f ca="1">IFERROR(__xludf.DUMMYFUNCTION("""COMPUTED_VALUE"""),"T116")</f>
        <v>T116</v>
      </c>
      <c r="C107" t="str">
        <f ca="1">IFERROR(__xludf.DUMMYFUNCTION("""COMPUTED_VALUE"""),"Luke Donald")</f>
        <v>Luke Donald</v>
      </c>
      <c r="D107">
        <f ca="1">IFERROR(__xludf.DUMMYFUNCTION("""COMPUTED_VALUE"""),14)</f>
        <v>14</v>
      </c>
      <c r="E107">
        <f ca="1">IFERROR(__xludf.DUMMYFUNCTION("""COMPUTED_VALUE"""),18.75)</f>
        <v>18.75</v>
      </c>
      <c r="F107">
        <f ca="1">IFERROR(__xludf.DUMMYFUNCTION("""COMPUTED_VALUE"""),32)</f>
        <v>32</v>
      </c>
      <c r="G107">
        <f ca="1">IFERROR(__xludf.DUMMYFUNCTION("""COMPUTED_VALUE"""),6)</f>
        <v>6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IFERROR(__xludf.DUMMYFUNCTION("""COMPUTED_VALUE"""),"T72")</f>
        <v>T72</v>
      </c>
      <c r="C108" t="str">
        <f ca="1">IFERROR(__xludf.DUMMYFUNCTION("""COMPUTED_VALUE"""),"Sean O'Hair")</f>
        <v>Sean O'Hair</v>
      </c>
      <c r="D108">
        <f ca="1">IFERROR(__xludf.DUMMYFUNCTION("""COMPUTED_VALUE"""),14)</f>
        <v>14</v>
      </c>
      <c r="E108">
        <f ca="1">IFERROR(__xludf.DUMMYFUNCTION("""COMPUTED_VALUE"""),18.52)</f>
        <v>18.52</v>
      </c>
      <c r="F108">
        <f ca="1">IFERROR(__xludf.DUMMYFUNCTION("""COMPUTED_VALUE"""),27)</f>
        <v>27</v>
      </c>
      <c r="G108">
        <f ca="1">IFERROR(__xludf.DUMMYFUNCTION("""COMPUTED_VALUE"""),5)</f>
        <v>5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IFERROR(__xludf.DUMMYFUNCTION("""COMPUTED_VALUE"""),"T106")</f>
        <v>T106</v>
      </c>
      <c r="C109" t="str">
        <f ca="1">IFERROR(__xludf.DUMMYFUNCTION("""COMPUTED_VALUE"""),"Tony Finau")</f>
        <v>Tony Finau</v>
      </c>
      <c r="D109">
        <f ca="1">IFERROR(__xludf.DUMMYFUNCTION("""COMPUTED_VALUE"""),12)</f>
        <v>12</v>
      </c>
      <c r="E109">
        <f ca="1">IFERROR(__xludf.DUMMYFUNCTION("""COMPUTED_VALUE"""),18.52)</f>
        <v>18.52</v>
      </c>
      <c r="F109">
        <f ca="1">IFERROR(__xludf.DUMMYFUNCTION("""COMPUTED_VALUE"""),27)</f>
        <v>27</v>
      </c>
      <c r="G109">
        <f ca="1">IFERROR(__xludf.DUMMYFUNCTION("""COMPUTED_VALUE"""),5)</f>
        <v>5</v>
      </c>
    </row>
    <row r="110" spans="1:7" ht="12.75">
      <c r="A110" t="str">
        <f ca="1">IFERROR(__xludf.DUMMYFUNCTION("""COMPUTED_VALUE"""),"T107")</f>
        <v>T107</v>
      </c>
      <c r="B110">
        <f ca="1">IFERROR(__xludf.DUMMYFUNCTION("""COMPUTED_VALUE"""),71)</f>
        <v>71</v>
      </c>
      <c r="C110" t="str">
        <f ca="1">IFERROR(__xludf.DUMMYFUNCTION("""COMPUTED_VALUE"""),"Sepp Straka")</f>
        <v>Sepp Straka</v>
      </c>
      <c r="D110">
        <f ca="1">IFERROR(__xludf.DUMMYFUNCTION("""COMPUTED_VALUE"""),22)</f>
        <v>22</v>
      </c>
      <c r="E110">
        <f ca="1">IFERROR(__xludf.DUMMYFUNCTION("""COMPUTED_VALUE"""),18.52)</f>
        <v>18.52</v>
      </c>
      <c r="F110">
        <f ca="1">IFERROR(__xludf.DUMMYFUNCTION("""COMPUTED_VALUE"""),27)</f>
        <v>27</v>
      </c>
      <c r="G110">
        <f ca="1">IFERROR(__xludf.DUMMYFUNCTION("""COMPUTED_VALUE"""),5)</f>
        <v>5</v>
      </c>
    </row>
    <row r="111" spans="1:7" ht="12.75">
      <c r="A111" t="str">
        <f ca="1">IFERROR(__xludf.DUMMYFUNCTION("""COMPUTED_VALUE"""),"T110")</f>
        <v>T110</v>
      </c>
      <c r="B111" t="str">
        <f ca="1">IFERROR(__xludf.DUMMYFUNCTION("""COMPUTED_VALUE"""),"T103")</f>
        <v>T103</v>
      </c>
      <c r="C111" t="str">
        <f ca="1">IFERROR(__xludf.DUMMYFUNCTION("""COMPUTED_VALUE"""),"Paul Casey")</f>
        <v>Paul Casey</v>
      </c>
      <c r="D111">
        <f ca="1">IFERROR(__xludf.DUMMYFUNCTION("""COMPUTED_VALUE"""),14)</f>
        <v>14</v>
      </c>
      <c r="E111">
        <f ca="1">IFERROR(__xludf.DUMMYFUNCTION("""COMPUTED_VALUE"""),18.18)</f>
        <v>18.18</v>
      </c>
      <c r="F111">
        <f ca="1">IFERROR(__xludf.DUMMYFUNCTION("""COMPUTED_VALUE"""),22)</f>
        <v>22</v>
      </c>
      <c r="G111">
        <f ca="1">IFERROR(__xludf.DUMMYFUNCTION("""COMPUTED_VALUE"""),4)</f>
        <v>4</v>
      </c>
    </row>
    <row r="112" spans="1:7" ht="12.75">
      <c r="A112" t="str">
        <f ca="1">IFERROR(__xludf.DUMMYFUNCTION("""COMPUTED_VALUE"""),"T110")</f>
        <v>T110</v>
      </c>
      <c r="B112">
        <f ca="1">IFERROR(__xludf.DUMMYFUNCTION("""COMPUTED_VALUE"""),113)</f>
        <v>113</v>
      </c>
      <c r="C112" t="str">
        <f ca="1">IFERROR(__xludf.DUMMYFUNCTION("""COMPUTED_VALUE"""),"Rory Sabbatini")</f>
        <v>Rory Sabbatini</v>
      </c>
      <c r="D112">
        <f ca="1">IFERROR(__xludf.DUMMYFUNCTION("""COMPUTED_VALUE"""),13)</f>
        <v>13</v>
      </c>
      <c r="E112">
        <f ca="1">IFERROR(__xludf.DUMMYFUNCTION("""COMPUTED_VALUE"""),18.18)</f>
        <v>18.18</v>
      </c>
      <c r="F112">
        <f ca="1">IFERROR(__xludf.DUMMYFUNCTION("""COMPUTED_VALUE"""),33)</f>
        <v>33</v>
      </c>
      <c r="G112">
        <f ca="1">IFERROR(__xludf.DUMMYFUNCTION("""COMPUTED_VALUE"""),6)</f>
        <v>6</v>
      </c>
    </row>
    <row r="113" spans="1:7" ht="12.75">
      <c r="A113" t="str">
        <f ca="1">IFERROR(__xludf.DUMMYFUNCTION("""COMPUTED_VALUE"""),"T110")</f>
        <v>T110</v>
      </c>
      <c r="B113">
        <f ca="1">IFERROR(__xludf.DUMMYFUNCTION("""COMPUTED_VALUE"""),179)</f>
        <v>179</v>
      </c>
      <c r="C113" t="str">
        <f ca="1">IFERROR(__xludf.DUMMYFUNCTION("""COMPUTED_VALUE"""),"Luke List")</f>
        <v>Luke List</v>
      </c>
      <c r="D113">
        <f ca="1">IFERROR(__xludf.DUMMYFUNCTION("""COMPUTED_VALUE"""),18)</f>
        <v>18</v>
      </c>
      <c r="E113">
        <f ca="1">IFERROR(__xludf.DUMMYFUNCTION("""COMPUTED_VALUE"""),18.18)</f>
        <v>18.18</v>
      </c>
      <c r="F113">
        <f ca="1">IFERROR(__xludf.DUMMYFUNCTION("""COMPUTED_VALUE"""),22)</f>
        <v>22</v>
      </c>
      <c r="G113">
        <f ca="1">IFERROR(__xludf.DUMMYFUNCTION("""COMPUTED_VALUE"""),4)</f>
        <v>4</v>
      </c>
    </row>
    <row r="114" spans="1:7" ht="12.75">
      <c r="A114" t="str">
        <f ca="1">IFERROR(__xludf.DUMMYFUNCTION("""COMPUTED_VALUE"""),"T110")</f>
        <v>T110</v>
      </c>
      <c r="B114" t="str">
        <f ca="1">IFERROR(__xludf.DUMMYFUNCTION("""COMPUTED_VALUE"""),"T103")</f>
        <v>T103</v>
      </c>
      <c r="C114" t="str">
        <f ca="1">IFERROR(__xludf.DUMMYFUNCTION("""COMPUTED_VALUE"""),"Jonathan Byrd")</f>
        <v>Jonathan Byrd</v>
      </c>
      <c r="D114">
        <f ca="1">IFERROR(__xludf.DUMMYFUNCTION("""COMPUTED_VALUE"""),14)</f>
        <v>14</v>
      </c>
      <c r="E114">
        <f ca="1">IFERROR(__xludf.DUMMYFUNCTION("""COMPUTED_VALUE"""),18.18)</f>
        <v>18.18</v>
      </c>
      <c r="F114">
        <f ca="1">IFERROR(__xludf.DUMMYFUNCTION("""COMPUTED_VALUE"""),11)</f>
        <v>11</v>
      </c>
      <c r="G114">
        <f ca="1">IFERROR(__xludf.DUMMYFUNCTION("""COMPUTED_VALUE"""),2)</f>
        <v>2</v>
      </c>
    </row>
    <row r="115" spans="1:7" ht="12.75">
      <c r="A115" t="str">
        <f ca="1">IFERROR(__xludf.DUMMYFUNCTION("""COMPUTED_VALUE"""),"T114")</f>
        <v>T114</v>
      </c>
      <c r="B115" t="str">
        <f ca="1">IFERROR(__xludf.DUMMYFUNCTION("""COMPUTED_VALUE"""),"T150")</f>
        <v>T150</v>
      </c>
      <c r="C115" t="str">
        <f ca="1">IFERROR(__xludf.DUMMYFUNCTION("""COMPUTED_VALUE"""),"Beau Hossler")</f>
        <v>Beau Hossler</v>
      </c>
      <c r="D115">
        <f ca="1">IFERROR(__xludf.DUMMYFUNCTION("""COMPUTED_VALUE"""),22)</f>
        <v>22</v>
      </c>
      <c r="E115">
        <f ca="1">IFERROR(__xludf.DUMMYFUNCTION("""COMPUTED_VALUE"""),17.86)</f>
        <v>17.86</v>
      </c>
      <c r="F115">
        <f ca="1">IFERROR(__xludf.DUMMYFUNCTION("""COMPUTED_VALUE"""),28)</f>
        <v>28</v>
      </c>
      <c r="G115">
        <f ca="1">IFERROR(__xludf.DUMMYFUNCTION("""COMPUTED_VALUE"""),5)</f>
        <v>5</v>
      </c>
    </row>
    <row r="116" spans="1:7" ht="12.75">
      <c r="A116" t="str">
        <f ca="1">IFERROR(__xludf.DUMMYFUNCTION("""COMPUTED_VALUE"""),"T114")</f>
        <v>T114</v>
      </c>
      <c r="B116" t="str">
        <f ca="1">IFERROR(__xludf.DUMMYFUNCTION("""COMPUTED_VALUE"""),"T138")</f>
        <v>T138</v>
      </c>
      <c r="C116" t="str">
        <f ca="1">IFERROR(__xludf.DUMMYFUNCTION("""COMPUTED_VALUE"""),"Russell Knox")</f>
        <v>Russell Knox</v>
      </c>
      <c r="D116">
        <f ca="1">IFERROR(__xludf.DUMMYFUNCTION("""COMPUTED_VALUE"""),16)</f>
        <v>16</v>
      </c>
      <c r="E116">
        <f ca="1">IFERROR(__xludf.DUMMYFUNCTION("""COMPUTED_VALUE"""),17.86)</f>
        <v>17.86</v>
      </c>
      <c r="F116">
        <f ca="1">IFERROR(__xludf.DUMMYFUNCTION("""COMPUTED_VALUE"""),28)</f>
        <v>28</v>
      </c>
      <c r="G116">
        <f ca="1">IFERROR(__xludf.DUMMYFUNCTION("""COMPUTED_VALUE"""),5)</f>
        <v>5</v>
      </c>
    </row>
    <row r="117" spans="1:7" ht="12.75">
      <c r="A117" t="str">
        <f ca="1">IFERROR(__xludf.DUMMYFUNCTION("""COMPUTED_VALUE"""),"T114")</f>
        <v>T114</v>
      </c>
      <c r="B117" t="str">
        <f ca="1">IFERROR(__xludf.DUMMYFUNCTION("""COMPUTED_VALUE"""),"T116")</f>
        <v>T116</v>
      </c>
      <c r="C117" t="str">
        <f ca="1">IFERROR(__xludf.DUMMYFUNCTION("""COMPUTED_VALUE"""),"Viktor Hovland")</f>
        <v>Viktor Hovland</v>
      </c>
      <c r="D117">
        <f ca="1">IFERROR(__xludf.DUMMYFUNCTION("""COMPUTED_VALUE"""),16)</f>
        <v>16</v>
      </c>
      <c r="E117">
        <f ca="1">IFERROR(__xludf.DUMMYFUNCTION("""COMPUTED_VALUE"""),17.86)</f>
        <v>17.86</v>
      </c>
      <c r="F117">
        <f ca="1">IFERROR(__xludf.DUMMYFUNCTION("""COMPUTED_VALUE"""),28)</f>
        <v>28</v>
      </c>
      <c r="G117">
        <f ca="1">IFERROR(__xludf.DUMMYFUNCTION("""COMPUTED_VALUE"""),5)</f>
        <v>5</v>
      </c>
    </row>
    <row r="118" spans="1:7" ht="12.75">
      <c r="A118" t="str">
        <f ca="1">IFERROR(__xludf.DUMMYFUNCTION("""COMPUTED_VALUE"""),"T114")</f>
        <v>T114</v>
      </c>
      <c r="B118" t="str">
        <f ca="1">IFERROR(__xludf.DUMMYFUNCTION("""COMPUTED_VALUE"""),"T132")</f>
        <v>T132</v>
      </c>
      <c r="C118" t="str">
        <f ca="1">IFERROR(__xludf.DUMMYFUNCTION("""COMPUTED_VALUE"""),"Wyndham Clark")</f>
        <v>Wyndham Clark</v>
      </c>
      <c r="D118">
        <f ca="1">IFERROR(__xludf.DUMMYFUNCTION("""COMPUTED_VALUE"""),16)</f>
        <v>16</v>
      </c>
      <c r="E118">
        <f ca="1">IFERROR(__xludf.DUMMYFUNCTION("""COMPUTED_VALUE"""),17.86)</f>
        <v>17.86</v>
      </c>
      <c r="F118">
        <f ca="1">IFERROR(__xludf.DUMMYFUNCTION("""COMPUTED_VALUE"""),28)</f>
        <v>28</v>
      </c>
      <c r="G118">
        <f ca="1">IFERROR(__xludf.DUMMYFUNCTION("""COMPUTED_VALUE"""),5)</f>
        <v>5</v>
      </c>
    </row>
    <row r="119" spans="1:7" ht="12.75">
      <c r="A119" t="str">
        <f ca="1">IFERROR(__xludf.DUMMYFUNCTION("""COMPUTED_VALUE"""),"T118")</f>
        <v>T118</v>
      </c>
      <c r="B119" t="str">
        <f ca="1">IFERROR(__xludf.DUMMYFUNCTION("""COMPUTED_VALUE"""),"")</f>
        <v/>
      </c>
      <c r="C119" t="str">
        <f ca="1">IFERROR(__xludf.DUMMYFUNCTION("""COMPUTED_VALUE"""),"Dustin Johnson")</f>
        <v>Dustin Johnson</v>
      </c>
      <c r="D119">
        <f ca="1">IFERROR(__xludf.DUMMYFUNCTION("""COMPUTED_VALUE"""),8)</f>
        <v>8</v>
      </c>
      <c r="E119">
        <f ca="1">IFERROR(__xludf.DUMMYFUNCTION("""COMPUTED_VALUE"""),17.65)</f>
        <v>17.649999999999999</v>
      </c>
      <c r="F119">
        <f ca="1">IFERROR(__xludf.DUMMYFUNCTION("""COMPUTED_VALUE"""),17)</f>
        <v>17</v>
      </c>
      <c r="G119">
        <f ca="1">IFERROR(__xludf.DUMMYFUNCTION("""COMPUTED_VALUE"""),3)</f>
        <v>3</v>
      </c>
    </row>
    <row r="120" spans="1:7" ht="12.75">
      <c r="A120" t="str">
        <f ca="1">IFERROR(__xludf.DUMMYFUNCTION("""COMPUTED_VALUE"""),"T118")</f>
        <v>T118</v>
      </c>
      <c r="B120" t="str">
        <f ca="1">IFERROR(__xludf.DUMMYFUNCTION("""COMPUTED_VALUE"""),"T106")</f>
        <v>T106</v>
      </c>
      <c r="C120" t="str">
        <f ca="1">IFERROR(__xludf.DUMMYFUNCTION("""COMPUTED_VALUE"""),"Ryo Ishikawa")</f>
        <v>Ryo Ishikawa</v>
      </c>
      <c r="D120">
        <f ca="1">IFERROR(__xludf.DUMMYFUNCTION("""COMPUTED_VALUE"""),8)</f>
        <v>8</v>
      </c>
      <c r="E120">
        <f ca="1">IFERROR(__xludf.DUMMYFUNCTION("""COMPUTED_VALUE"""),17.65)</f>
        <v>17.649999999999999</v>
      </c>
      <c r="F120">
        <f ca="1">IFERROR(__xludf.DUMMYFUNCTION("""COMPUTED_VALUE"""),17)</f>
        <v>17</v>
      </c>
      <c r="G120">
        <f ca="1">IFERROR(__xludf.DUMMYFUNCTION("""COMPUTED_VALUE"""),3)</f>
        <v>3</v>
      </c>
    </row>
    <row r="121" spans="1:7" ht="12.75">
      <c r="A121" t="str">
        <f ca="1">IFERROR(__xludf.DUMMYFUNCTION("""COMPUTED_VALUE"""),"T118")</f>
        <v>T118</v>
      </c>
      <c r="B121" t="str">
        <f ca="1">IFERROR(__xludf.DUMMYFUNCTION("""COMPUTED_VALUE"""),"T106")</f>
        <v>T106</v>
      </c>
      <c r="C121" t="str">
        <f ca="1">IFERROR(__xludf.DUMMYFUNCTION("""COMPUTED_VALUE"""),"Nick Watney")</f>
        <v>Nick Watney</v>
      </c>
      <c r="D121">
        <f ca="1">IFERROR(__xludf.DUMMYFUNCTION("""COMPUTED_VALUE"""),10)</f>
        <v>10</v>
      </c>
      <c r="E121">
        <f ca="1">IFERROR(__xludf.DUMMYFUNCTION("""COMPUTED_VALUE"""),17.65)</f>
        <v>17.649999999999999</v>
      </c>
      <c r="F121">
        <f ca="1">IFERROR(__xludf.DUMMYFUNCTION("""COMPUTED_VALUE"""),17)</f>
        <v>17</v>
      </c>
      <c r="G121">
        <f ca="1">IFERROR(__xludf.DUMMYFUNCTION("""COMPUTED_VALUE"""),3)</f>
        <v>3</v>
      </c>
    </row>
    <row r="122" spans="1:7" ht="12.75">
      <c r="A122" t="str">
        <f ca="1">IFERROR(__xludf.DUMMYFUNCTION("""COMPUTED_VALUE"""),"T118")</f>
        <v>T118</v>
      </c>
      <c r="B122" t="str">
        <f ca="1">IFERROR(__xludf.DUMMYFUNCTION("""COMPUTED_VALUE"""),"T141")</f>
        <v>T141</v>
      </c>
      <c r="C122" t="str">
        <f ca="1">IFERROR(__xludf.DUMMYFUNCTION("""COMPUTED_VALUE"""),"David Hearn")</f>
        <v>David Hearn</v>
      </c>
      <c r="D122">
        <f ca="1">IFERROR(__xludf.DUMMYFUNCTION("""COMPUTED_VALUE"""),16)</f>
        <v>16</v>
      </c>
      <c r="E122">
        <f ca="1">IFERROR(__xludf.DUMMYFUNCTION("""COMPUTED_VALUE"""),17.65)</f>
        <v>17.649999999999999</v>
      </c>
      <c r="F122">
        <f ca="1">IFERROR(__xludf.DUMMYFUNCTION("""COMPUTED_VALUE"""),17)</f>
        <v>17</v>
      </c>
      <c r="G122">
        <f ca="1">IFERROR(__xludf.DUMMYFUNCTION("""COMPUTED_VALUE"""),3)</f>
        <v>3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IFERROR(__xludf.DUMMYFUNCTION("""COMPUTED_VALUE"""),"T111")</f>
        <v>T111</v>
      </c>
      <c r="C123" t="str">
        <f ca="1">IFERROR(__xludf.DUMMYFUNCTION("""COMPUTED_VALUE"""),"Cameron Percy")</f>
        <v>Cameron Percy</v>
      </c>
      <c r="D123">
        <f ca="1">IFERROR(__xludf.DUMMYFUNCTION("""COMPUTED_VALUE"""),16)</f>
        <v>16</v>
      </c>
      <c r="E123">
        <f ca="1">IFERROR(__xludf.DUMMYFUNCTION("""COMPUTED_VALUE"""),17.39)</f>
        <v>17.39</v>
      </c>
      <c r="F123">
        <f ca="1">IFERROR(__xludf.DUMMYFUNCTION("""COMPUTED_VALUE"""),23)</f>
        <v>23</v>
      </c>
      <c r="G123">
        <f ca="1">IFERROR(__xludf.DUMMYFUNCTION("""COMPUTED_VALUE"""),4)</f>
        <v>4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IFERROR(__xludf.DUMMYFUNCTION("""COMPUTED_VALUE"""),"T99")</f>
        <v>T99</v>
      </c>
      <c r="C124" t="str">
        <f ca="1">IFERROR(__xludf.DUMMYFUNCTION("""COMPUTED_VALUE"""),"Robby Shelton")</f>
        <v>Robby Shelton</v>
      </c>
      <c r="D124">
        <f ca="1">IFERROR(__xludf.DUMMYFUNCTION("""COMPUTED_VALUE"""),14)</f>
        <v>14</v>
      </c>
      <c r="E124">
        <f ca="1">IFERROR(__xludf.DUMMYFUNCTION("""COMPUTED_VALUE"""),17.39)</f>
        <v>17.39</v>
      </c>
      <c r="F124">
        <f ca="1">IFERROR(__xludf.DUMMYFUNCTION("""COMPUTED_VALUE"""),23)</f>
        <v>23</v>
      </c>
      <c r="G124">
        <f ca="1">IFERROR(__xludf.DUMMYFUNCTION("""COMPUTED_VALUE"""),4)</f>
        <v>4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IFERROR(__xludf.DUMMYFUNCTION("""COMPUTED_VALUE"""),114)</f>
        <v>114</v>
      </c>
      <c r="C125" t="str">
        <f ca="1">IFERROR(__xludf.DUMMYFUNCTION("""COMPUTED_VALUE"""),"Harry Higgs")</f>
        <v>Harry Higgs</v>
      </c>
      <c r="D125">
        <f ca="1">IFERROR(__xludf.DUMMYFUNCTION("""COMPUTED_VALUE"""),14)</f>
        <v>14</v>
      </c>
      <c r="E125">
        <f ca="1">IFERROR(__xludf.DUMMYFUNCTION("""COMPUTED_VALUE"""),17.14)</f>
        <v>17.14</v>
      </c>
      <c r="F125">
        <f ca="1">IFERROR(__xludf.DUMMYFUNCTION("""COMPUTED_VALUE"""),35)</f>
        <v>35</v>
      </c>
      <c r="G125">
        <f ca="1">IFERROR(__xludf.DUMMYFUNCTION("""COMPUTED_VALUE"""),6)</f>
        <v>6</v>
      </c>
    </row>
    <row r="126" spans="1:7" ht="12.75">
      <c r="A126" t="str">
        <f ca="1">IFERROR(__xludf.DUMMYFUNCTION("""COMPUTED_VALUE"""),"T125")</f>
        <v>T125</v>
      </c>
      <c r="B126">
        <f ca="1">IFERROR(__xludf.DUMMYFUNCTION("""COMPUTED_VALUE"""),115)</f>
        <v>115</v>
      </c>
      <c r="C126" t="str">
        <f ca="1">IFERROR(__xludf.DUMMYFUNCTION("""COMPUTED_VALUE"""),"Keegan Bradley")</f>
        <v>Keegan Bradley</v>
      </c>
      <c r="D126">
        <f ca="1">IFERROR(__xludf.DUMMYFUNCTION("""COMPUTED_VALUE"""),16)</f>
        <v>16</v>
      </c>
      <c r="E126">
        <f ca="1">IFERROR(__xludf.DUMMYFUNCTION("""COMPUTED_VALUE"""),16.67)</f>
        <v>16.670000000000002</v>
      </c>
      <c r="F126">
        <f ca="1">IFERROR(__xludf.DUMMYFUNCTION("""COMPUTED_VALUE"""),48)</f>
        <v>48</v>
      </c>
      <c r="G126">
        <f ca="1">IFERROR(__xludf.DUMMYFUNCTION("""COMPUTED_VALUE"""),8)</f>
        <v>8</v>
      </c>
    </row>
    <row r="127" spans="1:7" ht="12.75">
      <c r="A127" t="str">
        <f ca="1">IFERROR(__xludf.DUMMYFUNCTION("""COMPUTED_VALUE"""),"T125")</f>
        <v>T125</v>
      </c>
      <c r="B127" t="str">
        <f ca="1">IFERROR(__xludf.DUMMYFUNCTION("""COMPUTED_VALUE"""),"T101")</f>
        <v>T101</v>
      </c>
      <c r="C127" t="str">
        <f ca="1">IFERROR(__xludf.DUMMYFUNCTION("""COMPUTED_VALUE"""),"Andrew Landry")</f>
        <v>Andrew Landry</v>
      </c>
      <c r="D127">
        <f ca="1">IFERROR(__xludf.DUMMYFUNCTION("""COMPUTED_VALUE"""),14)</f>
        <v>14</v>
      </c>
      <c r="E127">
        <f ca="1">IFERROR(__xludf.DUMMYFUNCTION("""COMPUTED_VALUE"""),16.67)</f>
        <v>16.670000000000002</v>
      </c>
      <c r="F127">
        <f ca="1">IFERROR(__xludf.DUMMYFUNCTION("""COMPUTED_VALUE"""),30)</f>
        <v>30</v>
      </c>
      <c r="G127">
        <f ca="1">IFERROR(__xludf.DUMMYFUNCTION("""COMPUTED_VALUE"""),5)</f>
        <v>5</v>
      </c>
    </row>
    <row r="128" spans="1:7" ht="12.75">
      <c r="A128" t="str">
        <f ca="1">IFERROR(__xludf.DUMMYFUNCTION("""COMPUTED_VALUE"""),"T125")</f>
        <v>T125</v>
      </c>
      <c r="B128" t="str">
        <f ca="1">IFERROR(__xludf.DUMMYFUNCTION("""COMPUTED_VALUE"""),"T116")</f>
        <v>T116</v>
      </c>
      <c r="C128" t="str">
        <f ca="1">IFERROR(__xludf.DUMMYFUNCTION("""COMPUTED_VALUE"""),"Tommy Fleetwood")</f>
        <v>Tommy Fleetwood</v>
      </c>
      <c r="D128">
        <f ca="1">IFERROR(__xludf.DUMMYFUNCTION("""COMPUTED_VALUE"""),10)</f>
        <v>10</v>
      </c>
      <c r="E128">
        <f ca="1">IFERROR(__xludf.DUMMYFUNCTION("""COMPUTED_VALUE"""),16.67)</f>
        <v>16.670000000000002</v>
      </c>
      <c r="F128">
        <f ca="1">IFERROR(__xludf.DUMMYFUNCTION("""COMPUTED_VALUE"""),18)</f>
        <v>18</v>
      </c>
      <c r="G128">
        <f ca="1">IFERROR(__xludf.DUMMYFUNCTION("""COMPUTED_VALUE"""),3)</f>
        <v>3</v>
      </c>
    </row>
    <row r="129" spans="1:7" ht="12.75">
      <c r="A129" t="str">
        <f ca="1">IFERROR(__xludf.DUMMYFUNCTION("""COMPUTED_VALUE"""),"T125")</f>
        <v>T125</v>
      </c>
      <c r="B129" t="str">
        <f ca="1">IFERROR(__xludf.DUMMYFUNCTION("""COMPUTED_VALUE"""),"T126")</f>
        <v>T126</v>
      </c>
      <c r="C129" t="str">
        <f ca="1">IFERROR(__xludf.DUMMYFUNCTION("""COMPUTED_VALUE"""),"Dylan Frittelli")</f>
        <v>Dylan Frittelli</v>
      </c>
      <c r="D129">
        <f ca="1">IFERROR(__xludf.DUMMYFUNCTION("""COMPUTED_VALUE"""),16)</f>
        <v>16</v>
      </c>
      <c r="E129">
        <f ca="1">IFERROR(__xludf.DUMMYFUNCTION("""COMPUTED_VALUE"""),16.67)</f>
        <v>16.670000000000002</v>
      </c>
      <c r="F129">
        <f ca="1">IFERROR(__xludf.DUMMYFUNCTION("""COMPUTED_VALUE"""),30)</f>
        <v>30</v>
      </c>
      <c r="G129">
        <f ca="1">IFERROR(__xludf.DUMMYFUNCTION("""COMPUTED_VALUE"""),5)</f>
        <v>5</v>
      </c>
    </row>
    <row r="130" spans="1:7" ht="12.75">
      <c r="A130" t="str">
        <f ca="1">IFERROR(__xludf.DUMMYFUNCTION("""COMPUTED_VALUE"""),"T125")</f>
        <v>T125</v>
      </c>
      <c r="B130" t="str">
        <f ca="1">IFERROR(__xludf.DUMMYFUNCTION("""COMPUTED_VALUE"""),"T116")</f>
        <v>T116</v>
      </c>
      <c r="C130" t="str">
        <f ca="1">IFERROR(__xludf.DUMMYFUNCTION("""COMPUTED_VALUE"""),"Abraham Ancer")</f>
        <v>Abraham Ancer</v>
      </c>
      <c r="D130">
        <f ca="1">IFERROR(__xludf.DUMMYFUNCTION("""COMPUTED_VALUE"""),16)</f>
        <v>16</v>
      </c>
      <c r="E130">
        <f ca="1">IFERROR(__xludf.DUMMYFUNCTION("""COMPUTED_VALUE"""),16.67)</f>
        <v>16.670000000000002</v>
      </c>
      <c r="F130">
        <f ca="1">IFERROR(__xludf.DUMMYFUNCTION("""COMPUTED_VALUE"""),30)</f>
        <v>30</v>
      </c>
      <c r="G130">
        <f ca="1">IFERROR(__xludf.DUMMYFUNCTION("""COMPUTED_VALUE"""),5)</f>
        <v>5</v>
      </c>
    </row>
    <row r="131" spans="1:7" ht="12.75">
      <c r="A131" t="str">
        <f ca="1">IFERROR(__xludf.DUMMYFUNCTION("""COMPUTED_VALUE"""),"T125")</f>
        <v>T125</v>
      </c>
      <c r="B131" t="str">
        <f ca="1">IFERROR(__xludf.DUMMYFUNCTION("""COMPUTED_VALUE"""),"T79")</f>
        <v>T79</v>
      </c>
      <c r="C131" t="str">
        <f ca="1">IFERROR(__xludf.DUMMYFUNCTION("""COMPUTED_VALUE"""),"Corey Conners")</f>
        <v>Corey Conners</v>
      </c>
      <c r="D131">
        <f ca="1">IFERROR(__xludf.DUMMYFUNCTION("""COMPUTED_VALUE"""),20)</f>
        <v>20</v>
      </c>
      <c r="E131">
        <f ca="1">IFERROR(__xludf.DUMMYFUNCTION("""COMPUTED_VALUE"""),16.67)</f>
        <v>16.670000000000002</v>
      </c>
      <c r="F131">
        <f ca="1">IFERROR(__xludf.DUMMYFUNCTION("""COMPUTED_VALUE"""),30)</f>
        <v>30</v>
      </c>
      <c r="G131">
        <f ca="1">IFERROR(__xludf.DUMMYFUNCTION("""COMPUTED_VALUE"""),5)</f>
        <v>5</v>
      </c>
    </row>
    <row r="132" spans="1:7" ht="12.75">
      <c r="A132" t="str">
        <f ca="1">IFERROR(__xludf.DUMMYFUNCTION("""COMPUTED_VALUE"""),"T125")</f>
        <v>T125</v>
      </c>
      <c r="B132" t="str">
        <f ca="1">IFERROR(__xludf.DUMMYFUNCTION("""COMPUTED_VALUE"""),"T116")</f>
        <v>T116</v>
      </c>
      <c r="C132" t="str">
        <f ca="1">IFERROR(__xludf.DUMMYFUNCTION("""COMPUTED_VALUE"""),"Xander Schauffele")</f>
        <v>Xander Schauffele</v>
      </c>
      <c r="D132">
        <f ca="1">IFERROR(__xludf.DUMMYFUNCTION("""COMPUTED_VALUE"""),12)</f>
        <v>12</v>
      </c>
      <c r="E132">
        <f ca="1">IFERROR(__xludf.DUMMYFUNCTION("""COMPUTED_VALUE"""),16.67)</f>
        <v>16.670000000000002</v>
      </c>
      <c r="F132">
        <f ca="1">IFERROR(__xludf.DUMMYFUNCTION("""COMPUTED_VALUE"""),24)</f>
        <v>24</v>
      </c>
      <c r="G132">
        <f ca="1">IFERROR(__xludf.DUMMYFUNCTION("""COMPUTED_VALUE"""),4)</f>
        <v>4</v>
      </c>
    </row>
    <row r="133" spans="1:7" ht="12.75">
      <c r="A133" t="str">
        <f ca="1">IFERROR(__xludf.DUMMYFUNCTION("""COMPUTED_VALUE"""),"T125")</f>
        <v>T125</v>
      </c>
      <c r="B133" t="str">
        <f ca="1">IFERROR(__xludf.DUMMYFUNCTION("""COMPUTED_VALUE"""),"T116")</f>
        <v>T116</v>
      </c>
      <c r="C133" t="str">
        <f ca="1">IFERROR(__xludf.DUMMYFUNCTION("""COMPUTED_VALUE"""),"Joohyung Kim")</f>
        <v>Joohyung Kim</v>
      </c>
      <c r="D133">
        <f ca="1">IFERROR(__xludf.DUMMYFUNCTION("""COMPUTED_VALUE"""),12)</f>
        <v>12</v>
      </c>
      <c r="E133">
        <f ca="1">IFERROR(__xludf.DUMMYFUNCTION("""COMPUTED_VALUE"""),16.67)</f>
        <v>16.670000000000002</v>
      </c>
      <c r="F133">
        <f ca="1">IFERROR(__xludf.DUMMYFUNCTION("""COMPUTED_VALUE"""),18)</f>
        <v>18</v>
      </c>
      <c r="G133">
        <f ca="1">IFERROR(__xludf.DUMMYFUNCTION("""COMPUTED_VALUE"""),3)</f>
        <v>3</v>
      </c>
    </row>
    <row r="134" spans="1:7" ht="12.75">
      <c r="A134" t="str">
        <f ca="1">IFERROR(__xludf.DUMMYFUNCTION("""COMPUTED_VALUE"""),"T125")</f>
        <v>T125</v>
      </c>
      <c r="B134" t="str">
        <f ca="1">IFERROR(__xludf.DUMMYFUNCTION("""COMPUTED_VALUE"""),"T116")</f>
        <v>T116</v>
      </c>
      <c r="C134" t="str">
        <f ca="1">IFERROR(__xludf.DUMMYFUNCTION("""COMPUTED_VALUE"""),"Bryson DeChambeau")</f>
        <v>Bryson DeChambeau</v>
      </c>
      <c r="D134">
        <f ca="1">IFERROR(__xludf.DUMMYFUNCTION("""COMPUTED_VALUE"""),8)</f>
        <v>8</v>
      </c>
      <c r="E134">
        <f ca="1">IFERROR(__xludf.DUMMYFUNCTION("""COMPUTED_VALUE"""),16.67)</f>
        <v>16.670000000000002</v>
      </c>
      <c r="F134">
        <f ca="1">IFERROR(__xludf.DUMMYFUNCTION("""COMPUTED_VALUE"""),12)</f>
        <v>12</v>
      </c>
      <c r="G134">
        <f ca="1">IFERROR(__xludf.DUMMYFUNCTION("""COMPUTED_VALUE"""),2)</f>
        <v>2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IFERROR(__xludf.DUMMYFUNCTION("""COMPUTED_VALUE"""),"T126")</f>
        <v>T126</v>
      </c>
      <c r="C135" t="str">
        <f ca="1">IFERROR(__xludf.DUMMYFUNCTION("""COMPUTED_VALUE"""),"MJ Daffue")</f>
        <v>MJ Daffue</v>
      </c>
      <c r="D135">
        <f ca="1">IFERROR(__xludf.DUMMYFUNCTION("""COMPUTED_VALUE"""),10)</f>
        <v>10</v>
      </c>
      <c r="E135">
        <f ca="1">IFERROR(__xludf.DUMMYFUNCTION("""COMPUTED_VALUE"""),16)</f>
        <v>16</v>
      </c>
      <c r="F135">
        <f ca="1">IFERROR(__xludf.DUMMYFUNCTION("""COMPUTED_VALUE"""),25)</f>
        <v>25</v>
      </c>
      <c r="G135">
        <f ca="1">IFERROR(__xludf.DUMMYFUNCTION("""COMPUTED_VALUE"""),4)</f>
        <v>4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IFERROR(__xludf.DUMMYFUNCTION("""COMPUTED_VALUE"""),"T111")</f>
        <v>T111</v>
      </c>
      <c r="C136" t="str">
        <f ca="1">IFERROR(__xludf.DUMMYFUNCTION("""COMPUTED_VALUE"""),"Charl Schwartzel")</f>
        <v>Charl Schwartzel</v>
      </c>
      <c r="D136">
        <f ca="1">IFERROR(__xludf.DUMMYFUNCTION("""COMPUTED_VALUE"""),12)</f>
        <v>12</v>
      </c>
      <c r="E136">
        <f ca="1">IFERROR(__xludf.DUMMYFUNCTION("""COMPUTED_VALUE"""),16)</f>
        <v>16</v>
      </c>
      <c r="F136">
        <f ca="1">IFERROR(__xludf.DUMMYFUNCTION("""COMPUTED_VALUE"""),25)</f>
        <v>25</v>
      </c>
      <c r="G136">
        <f ca="1">IFERROR(__xludf.DUMMYFUNCTION("""COMPUTED_VALUE"""),4)</f>
        <v>4</v>
      </c>
    </row>
    <row r="137" spans="1:7" ht="12.75">
      <c r="A137" t="str">
        <f ca="1">IFERROR(__xludf.DUMMYFUNCTION("""COMPUTED_VALUE"""),"T136")</f>
        <v>T136</v>
      </c>
      <c r="B137">
        <f ca="1">IFERROR(__xludf.DUMMYFUNCTION("""COMPUTED_VALUE"""),131)</f>
        <v>131</v>
      </c>
      <c r="C137" t="str">
        <f ca="1">IFERROR(__xludf.DUMMYFUNCTION("""COMPUTED_VALUE"""),"Chez Reavie")</f>
        <v>Chez Reavie</v>
      </c>
      <c r="D137">
        <f ca="1">IFERROR(__xludf.DUMMYFUNCTION("""COMPUTED_VALUE"""),14)</f>
        <v>14</v>
      </c>
      <c r="E137">
        <f ca="1">IFERROR(__xludf.DUMMYFUNCTION("""COMPUTED_VALUE"""),15.63)</f>
        <v>15.63</v>
      </c>
      <c r="F137">
        <f ca="1">IFERROR(__xludf.DUMMYFUNCTION("""COMPUTED_VALUE"""),32)</f>
        <v>32</v>
      </c>
      <c r="G137">
        <f ca="1">IFERROR(__xludf.DUMMYFUNCTION("""COMPUTED_VALUE"""),5)</f>
        <v>5</v>
      </c>
    </row>
    <row r="138" spans="1:7" ht="12.75">
      <c r="A138" t="str">
        <f ca="1">IFERROR(__xludf.DUMMYFUNCTION("""COMPUTED_VALUE"""),"T136")</f>
        <v>T136</v>
      </c>
      <c r="B138" t="str">
        <f ca="1">IFERROR(__xludf.DUMMYFUNCTION("""COMPUTED_VALUE"""),"T116")</f>
        <v>T116</v>
      </c>
      <c r="C138" t="str">
        <f ca="1">IFERROR(__xludf.DUMMYFUNCTION("""COMPUTED_VALUE"""),"J.T. Poston")</f>
        <v>J.T. Poston</v>
      </c>
      <c r="D138">
        <f ca="1">IFERROR(__xludf.DUMMYFUNCTION("""COMPUTED_VALUE"""),18)</f>
        <v>18</v>
      </c>
      <c r="E138">
        <f ca="1">IFERROR(__xludf.DUMMYFUNCTION("""COMPUTED_VALUE"""),15.63)</f>
        <v>15.63</v>
      </c>
      <c r="F138">
        <f ca="1">IFERROR(__xludf.DUMMYFUNCTION("""COMPUTED_VALUE"""),32)</f>
        <v>32</v>
      </c>
      <c r="G138">
        <f ca="1">IFERROR(__xludf.DUMMYFUNCTION("""COMPUTED_VALUE"""),5)</f>
        <v>5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IFERROR(__xludf.DUMMYFUNCTION("""COMPUTED_VALUE"""),"T132")</f>
        <v>T132</v>
      </c>
      <c r="C139" t="str">
        <f ca="1">IFERROR(__xludf.DUMMYFUNCTION("""COMPUTED_VALUE"""),"Tyler McCumber")</f>
        <v>Tyler McCumber</v>
      </c>
      <c r="D139">
        <f ca="1">IFERROR(__xludf.DUMMYFUNCTION("""COMPUTED_VALUE"""),14)</f>
        <v>14</v>
      </c>
      <c r="E139">
        <f ca="1">IFERROR(__xludf.DUMMYFUNCTION("""COMPUTED_VALUE"""),15.38)</f>
        <v>15.38</v>
      </c>
      <c r="F139">
        <f ca="1">IFERROR(__xludf.DUMMYFUNCTION("""COMPUTED_VALUE"""),13)</f>
        <v>13</v>
      </c>
      <c r="G139">
        <f ca="1">IFERROR(__xludf.DUMMYFUNCTION("""COMPUTED_VALUE"""),2)</f>
        <v>2</v>
      </c>
    </row>
    <row r="140" spans="1:7" ht="12.75">
      <c r="A140" t="str">
        <f ca="1">IFERROR(__xludf.DUMMYFUNCTION("""COMPUTED_VALUE"""),"T138")</f>
        <v>T138</v>
      </c>
      <c r="B140" t="str">
        <f ca="1">IFERROR(__xludf.DUMMYFUNCTION("""COMPUTED_VALUE"""),"T129")</f>
        <v>T129</v>
      </c>
      <c r="C140" t="str">
        <f ca="1">IFERROR(__xludf.DUMMYFUNCTION("""COMPUTED_VALUE"""),"Ted Potter, Jr.")</f>
        <v>Ted Potter, Jr.</v>
      </c>
      <c r="D140">
        <f ca="1">IFERROR(__xludf.DUMMYFUNCTION("""COMPUTED_VALUE"""),8)</f>
        <v>8</v>
      </c>
      <c r="E140">
        <f ca="1">IFERROR(__xludf.DUMMYFUNCTION("""COMPUTED_VALUE"""),15.38)</f>
        <v>15.38</v>
      </c>
      <c r="F140">
        <f ca="1">IFERROR(__xludf.DUMMYFUNCTION("""COMPUTED_VALUE"""),26)</f>
        <v>26</v>
      </c>
      <c r="G140">
        <f ca="1">IFERROR(__xludf.DUMMYFUNCTION("""COMPUTED_VALUE"""),4)</f>
        <v>4</v>
      </c>
    </row>
    <row r="141" spans="1:7" ht="12.75">
      <c r="A141" t="str">
        <f ca="1">IFERROR(__xludf.DUMMYFUNCTION("""COMPUTED_VALUE"""),"T138")</f>
        <v>T138</v>
      </c>
      <c r="B141" t="str">
        <f ca="1">IFERROR(__xludf.DUMMYFUNCTION("""COMPUTED_VALUE"""),"T160")</f>
        <v>T160</v>
      </c>
      <c r="C141" t="str">
        <f ca="1">IFERROR(__xludf.DUMMYFUNCTION("""COMPUTED_VALUE"""),"Lee Westwood")</f>
        <v>Lee Westwood</v>
      </c>
      <c r="D141">
        <f ca="1">IFERROR(__xludf.DUMMYFUNCTION("""COMPUTED_VALUE"""),6)</f>
        <v>6</v>
      </c>
      <c r="E141">
        <f ca="1">IFERROR(__xludf.DUMMYFUNCTION("""COMPUTED_VALUE"""),15.38)</f>
        <v>15.38</v>
      </c>
      <c r="F141">
        <f ca="1">IFERROR(__xludf.DUMMYFUNCTION("""COMPUTED_VALUE"""),13)</f>
        <v>13</v>
      </c>
      <c r="G141">
        <f ca="1">IFERROR(__xludf.DUMMYFUNCTION("""COMPUTED_VALUE"""),2)</f>
        <v>2</v>
      </c>
    </row>
    <row r="142" spans="1:7" ht="12.75">
      <c r="A142" t="str">
        <f ca="1">IFERROR(__xludf.DUMMYFUNCTION("""COMPUTED_VALUE"""),"T138")</f>
        <v>T138</v>
      </c>
      <c r="B142" t="str">
        <f ca="1">IFERROR(__xludf.DUMMYFUNCTION("""COMPUTED_VALUE"""),"T106")</f>
        <v>T106</v>
      </c>
      <c r="C142" t="str">
        <f ca="1">IFERROR(__xludf.DUMMYFUNCTION("""COMPUTED_VALUE"""),"Tyrrell Hatton")</f>
        <v>Tyrrell Hatton</v>
      </c>
      <c r="D142">
        <f ca="1">IFERROR(__xludf.DUMMYFUNCTION("""COMPUTED_VALUE"""),14)</f>
        <v>14</v>
      </c>
      <c r="E142">
        <f ca="1">IFERROR(__xludf.DUMMYFUNCTION("""COMPUTED_VALUE"""),15.38)</f>
        <v>15.38</v>
      </c>
      <c r="F142">
        <f ca="1">IFERROR(__xludf.DUMMYFUNCTION("""COMPUTED_VALUE"""),26)</f>
        <v>26</v>
      </c>
      <c r="G142">
        <f ca="1">IFERROR(__xludf.DUMMYFUNCTION("""COMPUTED_VALUE"""),4)</f>
        <v>4</v>
      </c>
    </row>
    <row r="143" spans="1:7" ht="12.75">
      <c r="A143" t="str">
        <f ca="1">IFERROR(__xludf.DUMMYFUNCTION("""COMPUTED_VALUE"""),"T138")</f>
        <v>T138</v>
      </c>
      <c r="B143" t="str">
        <f ca="1">IFERROR(__xludf.DUMMYFUNCTION("""COMPUTED_VALUE"""),"T132")</f>
        <v>T132</v>
      </c>
      <c r="C143" t="str">
        <f ca="1">IFERROR(__xludf.DUMMYFUNCTION("""COMPUTED_VALUE"""),"Mikumu Horikawa")</f>
        <v>Mikumu Horikawa</v>
      </c>
      <c r="D143">
        <f ca="1">IFERROR(__xludf.DUMMYFUNCTION("""COMPUTED_VALUE"""),4)</f>
        <v>4</v>
      </c>
      <c r="E143">
        <f ca="1">IFERROR(__xludf.DUMMYFUNCTION("""COMPUTED_VALUE"""),15.38)</f>
        <v>15.38</v>
      </c>
      <c r="F143">
        <f ca="1">IFERROR(__xludf.DUMMYFUNCTION("""COMPUTED_VALUE"""),13)</f>
        <v>13</v>
      </c>
      <c r="G143">
        <f ca="1">IFERROR(__xludf.DUMMYFUNCTION("""COMPUTED_VALUE"""),2)</f>
        <v>2</v>
      </c>
    </row>
    <row r="144" spans="1:7" ht="12.75">
      <c r="A144">
        <f ca="1">IFERROR(__xludf.DUMMYFUNCTION("""COMPUTED_VALUE"""),143)</f>
        <v>143</v>
      </c>
      <c r="B144" t="str">
        <f ca="1">IFERROR(__xludf.DUMMYFUNCTION("""COMPUTED_VALUE"""),"T138")</f>
        <v>T138</v>
      </c>
      <c r="C144" t="str">
        <f ca="1">IFERROR(__xludf.DUMMYFUNCTION("""COMPUTED_VALUE"""),"Bubba Watson")</f>
        <v>Bubba Watson</v>
      </c>
      <c r="D144">
        <f ca="1">IFERROR(__xludf.DUMMYFUNCTION("""COMPUTED_VALUE"""),12)</f>
        <v>12</v>
      </c>
      <c r="E144">
        <f ca="1">IFERROR(__xludf.DUMMYFUNCTION("""COMPUTED_VALUE"""),15)</f>
        <v>15</v>
      </c>
      <c r="F144">
        <f ca="1">IFERROR(__xludf.DUMMYFUNCTION("""COMPUTED_VALUE"""),20)</f>
        <v>20</v>
      </c>
      <c r="G144">
        <f ca="1">IFERROR(__xludf.DUMMYFUNCTION("""COMPUTED_VALUE"""),3)</f>
        <v>3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IFERROR(__xludf.DUMMYFUNCTION("""COMPUTED_VALUE"""),"T150")</f>
        <v>T150</v>
      </c>
      <c r="C145" t="str">
        <f ca="1">IFERROR(__xludf.DUMMYFUNCTION("""COMPUTED_VALUE"""),"Shane Lowry")</f>
        <v>Shane Lowry</v>
      </c>
      <c r="D145">
        <f ca="1">IFERROR(__xludf.DUMMYFUNCTION("""COMPUTED_VALUE"""),14)</f>
        <v>14</v>
      </c>
      <c r="E145">
        <f ca="1">IFERROR(__xludf.DUMMYFUNCTION("""COMPUTED_VALUE"""),14.81)</f>
        <v>14.81</v>
      </c>
      <c r="F145">
        <f ca="1">IFERROR(__xludf.DUMMYFUNCTION("""COMPUTED_VALUE"""),27)</f>
        <v>27</v>
      </c>
      <c r="G145">
        <f ca="1">IFERROR(__xludf.DUMMYFUNCTION("""COMPUTED_VALUE"""),4)</f>
        <v>4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IFERROR(__xludf.DUMMYFUNCTION("""COMPUTED_VALUE"""),"T81")</f>
        <v>T81</v>
      </c>
      <c r="C146" t="str">
        <f ca="1">IFERROR(__xludf.DUMMYFUNCTION("""COMPUTED_VALUE"""),"Adam Schenk")</f>
        <v>Adam Schenk</v>
      </c>
      <c r="D146">
        <f ca="1">IFERROR(__xludf.DUMMYFUNCTION("""COMPUTED_VALUE"""),22)</f>
        <v>22</v>
      </c>
      <c r="E146">
        <f ca="1">IFERROR(__xludf.DUMMYFUNCTION("""COMPUTED_VALUE"""),14.81)</f>
        <v>14.81</v>
      </c>
      <c r="F146">
        <f ca="1">IFERROR(__xludf.DUMMYFUNCTION("""COMPUTED_VALUE"""),27)</f>
        <v>27</v>
      </c>
      <c r="G146">
        <f ca="1">IFERROR(__xludf.DUMMYFUNCTION("""COMPUTED_VALUE"""),4)</f>
        <v>4</v>
      </c>
    </row>
    <row r="147" spans="1:7" ht="12.75">
      <c r="A147" t="str">
        <f ca="1">IFERROR(__xludf.DUMMYFUNCTION("""COMPUTED_VALUE"""),"T146")</f>
        <v>T146</v>
      </c>
      <c r="B147" t="str">
        <f ca="1">IFERROR(__xludf.DUMMYFUNCTION("""COMPUTED_VALUE"""),"T141")</f>
        <v>T141</v>
      </c>
      <c r="C147" t="str">
        <f ca="1">IFERROR(__xludf.DUMMYFUNCTION("""COMPUTED_VALUE"""),"J.J. Spaun")</f>
        <v>J.J. Spaun</v>
      </c>
      <c r="D147">
        <f ca="1">IFERROR(__xludf.DUMMYFUNCTION("""COMPUTED_VALUE"""),10)</f>
        <v>10</v>
      </c>
      <c r="E147">
        <f ca="1">IFERROR(__xludf.DUMMYFUNCTION("""COMPUTED_VALUE"""),14.29)</f>
        <v>14.29</v>
      </c>
      <c r="F147">
        <f ca="1">IFERROR(__xludf.DUMMYFUNCTION("""COMPUTED_VALUE"""),14)</f>
        <v>14</v>
      </c>
      <c r="G147">
        <f ca="1">IFERROR(__xludf.DUMMYFUNCTION("""COMPUTED_VALUE"""),2)</f>
        <v>2</v>
      </c>
    </row>
    <row r="148" spans="1:7" ht="12.75">
      <c r="A148" t="str">
        <f ca="1">IFERROR(__xludf.DUMMYFUNCTION("""COMPUTED_VALUE"""),"T146")</f>
        <v>T146</v>
      </c>
      <c r="B148" t="str">
        <f ca="1">IFERROR(__xludf.DUMMYFUNCTION("""COMPUTED_VALUE"""),"T99")</f>
        <v>T99</v>
      </c>
      <c r="C148" t="str">
        <f ca="1">IFERROR(__xludf.DUMMYFUNCTION("""COMPUTED_VALUE"""),"Sam Ryder")</f>
        <v>Sam Ryder</v>
      </c>
      <c r="D148">
        <f ca="1">IFERROR(__xludf.DUMMYFUNCTION("""COMPUTED_VALUE"""),12)</f>
        <v>12</v>
      </c>
      <c r="E148">
        <f ca="1">IFERROR(__xludf.DUMMYFUNCTION("""COMPUTED_VALUE"""),14.29)</f>
        <v>14.29</v>
      </c>
      <c r="F148">
        <f ca="1">IFERROR(__xludf.DUMMYFUNCTION("""COMPUTED_VALUE"""),21)</f>
        <v>21</v>
      </c>
      <c r="G148">
        <f ca="1">IFERROR(__xludf.DUMMYFUNCTION("""COMPUTED_VALUE"""),3)</f>
        <v>3</v>
      </c>
    </row>
    <row r="149" spans="1:7" ht="12.75">
      <c r="A149" t="str">
        <f ca="1">IFERROR(__xludf.DUMMYFUNCTION("""COMPUTED_VALUE"""),"T146")</f>
        <v>T146</v>
      </c>
      <c r="B149" t="str">
        <f ca="1">IFERROR(__xludf.DUMMYFUNCTION("""COMPUTED_VALUE"""),"T141")</f>
        <v>T141</v>
      </c>
      <c r="C149" t="str">
        <f ca="1">IFERROR(__xludf.DUMMYFUNCTION("""COMPUTED_VALUE"""),"Chesson Hadley")</f>
        <v>Chesson Hadley</v>
      </c>
      <c r="D149">
        <f ca="1">IFERROR(__xludf.DUMMYFUNCTION("""COMPUTED_VALUE"""),16)</f>
        <v>16</v>
      </c>
      <c r="E149">
        <f ca="1">IFERROR(__xludf.DUMMYFUNCTION("""COMPUTED_VALUE"""),14.29)</f>
        <v>14.29</v>
      </c>
      <c r="F149">
        <f ca="1">IFERROR(__xludf.DUMMYFUNCTION("""COMPUTED_VALUE"""),21)</f>
        <v>21</v>
      </c>
      <c r="G149">
        <f ca="1">IFERROR(__xludf.DUMMYFUNCTION("""COMPUTED_VALUE"""),3)</f>
        <v>3</v>
      </c>
    </row>
    <row r="150" spans="1:7" ht="12.75">
      <c r="A150" t="str">
        <f ca="1">IFERROR(__xludf.DUMMYFUNCTION("""COMPUTED_VALUE"""),"T146")</f>
        <v>T146</v>
      </c>
      <c r="B150" t="str">
        <f ca="1">IFERROR(__xludf.DUMMYFUNCTION("""COMPUTED_VALUE"""),"T106")</f>
        <v>T106</v>
      </c>
      <c r="C150" t="str">
        <f ca="1">IFERROR(__xludf.DUMMYFUNCTION("""COMPUTED_VALUE"""),"Scott Stallings")</f>
        <v>Scott Stallings</v>
      </c>
      <c r="D150">
        <f ca="1">IFERROR(__xludf.DUMMYFUNCTION("""COMPUTED_VALUE"""),14)</f>
        <v>14</v>
      </c>
      <c r="E150">
        <f ca="1">IFERROR(__xludf.DUMMYFUNCTION("""COMPUTED_VALUE"""),14.29)</f>
        <v>14.29</v>
      </c>
      <c r="F150">
        <f ca="1">IFERROR(__xludf.DUMMYFUNCTION("""COMPUTED_VALUE"""),21)</f>
        <v>21</v>
      </c>
      <c r="G150">
        <f ca="1">IFERROR(__xludf.DUMMYFUNCTION("""COMPUTED_VALUE"""),3)</f>
        <v>3</v>
      </c>
    </row>
    <row r="151" spans="1:7" ht="12.75">
      <c r="A151" t="str">
        <f ca="1">IFERROR(__xludf.DUMMYFUNCTION("""COMPUTED_VALUE"""),"T146")</f>
        <v>T146</v>
      </c>
      <c r="B151" t="str">
        <f ca="1">IFERROR(__xludf.DUMMYFUNCTION("""COMPUTED_VALUE"""),"T141")</f>
        <v>T141</v>
      </c>
      <c r="C151" t="str">
        <f ca="1">IFERROR(__xludf.DUMMYFUNCTION("""COMPUTED_VALUE"""),"Louis Oosthuizen")</f>
        <v>Louis Oosthuizen</v>
      </c>
      <c r="D151">
        <f ca="1">IFERROR(__xludf.DUMMYFUNCTION("""COMPUTED_VALUE"""),12)</f>
        <v>12</v>
      </c>
      <c r="E151">
        <f ca="1">IFERROR(__xludf.DUMMYFUNCTION("""COMPUTED_VALUE"""),14.29)</f>
        <v>14.29</v>
      </c>
      <c r="F151">
        <f ca="1">IFERROR(__xludf.DUMMYFUNCTION("""COMPUTED_VALUE"""),21)</f>
        <v>21</v>
      </c>
      <c r="G151">
        <f ca="1">IFERROR(__xludf.DUMMYFUNCTION("""COMPUTED_VALUE"""),3)</f>
        <v>3</v>
      </c>
    </row>
    <row r="152" spans="1:7" ht="12.75">
      <c r="A152" t="str">
        <f ca="1">IFERROR(__xludf.DUMMYFUNCTION("""COMPUTED_VALUE"""),"T146")</f>
        <v>T146</v>
      </c>
      <c r="B152" t="str">
        <f ca="1">IFERROR(__xludf.DUMMYFUNCTION("""COMPUTED_VALUE"""),"T141")</f>
        <v>T141</v>
      </c>
      <c r="C152" t="str">
        <f ca="1">IFERROR(__xludf.DUMMYFUNCTION("""COMPUTED_VALUE"""),"J.B. Holmes")</f>
        <v>J.B. Holmes</v>
      </c>
      <c r="D152">
        <f ca="1">IFERROR(__xludf.DUMMYFUNCTION("""COMPUTED_VALUE"""),10)</f>
        <v>10</v>
      </c>
      <c r="E152">
        <f ca="1">IFERROR(__xludf.DUMMYFUNCTION("""COMPUTED_VALUE"""),14.29)</f>
        <v>14.29</v>
      </c>
      <c r="F152">
        <f ca="1">IFERROR(__xludf.DUMMYFUNCTION("""COMPUTED_VALUE"""),21)</f>
        <v>21</v>
      </c>
      <c r="G152">
        <f ca="1">IFERROR(__xludf.DUMMYFUNCTION("""COMPUTED_VALUE"""),3)</f>
        <v>3</v>
      </c>
    </row>
    <row r="153" spans="1:7" ht="12.75">
      <c r="A153" t="str">
        <f ca="1">IFERROR(__xludf.DUMMYFUNCTION("""COMPUTED_VALUE"""),"T146")</f>
        <v>T146</v>
      </c>
      <c r="B153" t="str">
        <f ca="1">IFERROR(__xludf.DUMMYFUNCTION("""COMPUTED_VALUE"""),"T132")</f>
        <v>T132</v>
      </c>
      <c r="C153" t="str">
        <f ca="1">IFERROR(__xludf.DUMMYFUNCTION("""COMPUTED_VALUE"""),"Fabián Gómez")</f>
        <v>Fabián Gómez</v>
      </c>
      <c r="D153">
        <f ca="1">IFERROR(__xludf.DUMMYFUNCTION("""COMPUTED_VALUE"""),16)</f>
        <v>16</v>
      </c>
      <c r="E153">
        <f ca="1">IFERROR(__xludf.DUMMYFUNCTION("""COMPUTED_VALUE"""),14.29)</f>
        <v>14.29</v>
      </c>
      <c r="F153">
        <f ca="1">IFERROR(__xludf.DUMMYFUNCTION("""COMPUTED_VALUE"""),21)</f>
        <v>21</v>
      </c>
      <c r="G153">
        <f ca="1">IFERROR(__xludf.DUMMYFUNCTION("""COMPUTED_VALUE"""),3)</f>
        <v>3</v>
      </c>
    </row>
    <row r="154" spans="1:7" ht="12.75">
      <c r="A154" t="str">
        <f ca="1">IFERROR(__xludf.DUMMYFUNCTION("""COMPUTED_VALUE"""),"T146")</f>
        <v>T146</v>
      </c>
      <c r="B154" t="str">
        <f ca="1">IFERROR(__xludf.DUMMYFUNCTION("""COMPUTED_VALUE"""),"T126")</f>
        <v>T126</v>
      </c>
      <c r="C154" t="str">
        <f ca="1">IFERROR(__xludf.DUMMYFUNCTION("""COMPUTED_VALUE"""),"Sergio Garcia")</f>
        <v>Sergio Garcia</v>
      </c>
      <c r="D154">
        <f ca="1">IFERROR(__xludf.DUMMYFUNCTION("""COMPUTED_VALUE"""),18)</f>
        <v>18</v>
      </c>
      <c r="E154">
        <f ca="1">IFERROR(__xludf.DUMMYFUNCTION("""COMPUTED_VALUE"""),14.29)</f>
        <v>14.29</v>
      </c>
      <c r="F154">
        <f ca="1">IFERROR(__xludf.DUMMYFUNCTION("""COMPUTED_VALUE"""),28)</f>
        <v>28</v>
      </c>
      <c r="G154">
        <f ca="1">IFERROR(__xludf.DUMMYFUNCTION("""COMPUTED_VALUE"""),4)</f>
        <v>4</v>
      </c>
    </row>
    <row r="155" spans="1:7" ht="12.75">
      <c r="A155" t="str">
        <f ca="1">IFERROR(__xludf.DUMMYFUNCTION("""COMPUTED_VALUE"""),"T146")</f>
        <v>T146</v>
      </c>
      <c r="B155" t="str">
        <f ca="1">IFERROR(__xludf.DUMMYFUNCTION("""COMPUTED_VALUE"""),"T150")</f>
        <v>T150</v>
      </c>
      <c r="C155" t="str">
        <f ca="1">IFERROR(__xludf.DUMMYFUNCTION("""COMPUTED_VALUE"""),"Jason Dufner")</f>
        <v>Jason Dufner</v>
      </c>
      <c r="D155">
        <f ca="1">IFERROR(__xludf.DUMMYFUNCTION("""COMPUTED_VALUE"""),14)</f>
        <v>14</v>
      </c>
      <c r="E155">
        <f ca="1">IFERROR(__xludf.DUMMYFUNCTION("""COMPUTED_VALUE"""),14.29)</f>
        <v>14.29</v>
      </c>
      <c r="F155">
        <f ca="1">IFERROR(__xludf.DUMMYFUNCTION("""COMPUTED_VALUE"""),28)</f>
        <v>28</v>
      </c>
      <c r="G155">
        <f ca="1">IFERROR(__xludf.DUMMYFUNCTION("""COMPUTED_VALUE"""),4)</f>
        <v>4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IFERROR(__xludf.DUMMYFUNCTION("""COMPUTED_VALUE"""),146)</f>
        <v>146</v>
      </c>
      <c r="C156" t="str">
        <f ca="1">IFERROR(__xludf.DUMMYFUNCTION("""COMPUTED_VALUE"""),"Sebastián Muñoz")</f>
        <v>Sebastián Muñoz</v>
      </c>
      <c r="D156">
        <f ca="1">IFERROR(__xludf.DUMMYFUNCTION("""COMPUTED_VALUE"""),20)</f>
        <v>20</v>
      </c>
      <c r="E156">
        <f ca="1">IFERROR(__xludf.DUMMYFUNCTION("""COMPUTED_VALUE"""),13.95)</f>
        <v>13.95</v>
      </c>
      <c r="F156">
        <f ca="1">IFERROR(__xludf.DUMMYFUNCTION("""COMPUTED_VALUE"""),43)</f>
        <v>43</v>
      </c>
      <c r="G156">
        <f ca="1">IFERROR(__xludf.DUMMYFUNCTION("""COMPUTED_VALUE"""),6)</f>
        <v>6</v>
      </c>
    </row>
    <row r="157" spans="1:7" ht="12.75">
      <c r="A157">
        <f ca="1">IFERROR(__xludf.DUMMYFUNCTION("""COMPUTED_VALUE"""),156)</f>
        <v>156</v>
      </c>
      <c r="B157" t="str">
        <f ca="1">IFERROR(__xludf.DUMMYFUNCTION("""COMPUTED_VALUE"""),"T150")</f>
        <v>T150</v>
      </c>
      <c r="C157" t="str">
        <f ca="1">IFERROR(__xludf.DUMMYFUNCTION("""COMPUTED_VALUE"""),"Stewart Cink")</f>
        <v>Stewart Cink</v>
      </c>
      <c r="D157">
        <f ca="1">IFERROR(__xludf.DUMMYFUNCTION("""COMPUTED_VALUE"""),18)</f>
        <v>18</v>
      </c>
      <c r="E157">
        <f ca="1">IFERROR(__xludf.DUMMYFUNCTION("""COMPUTED_VALUE"""),13.89)</f>
        <v>13.89</v>
      </c>
      <c r="F157">
        <f ca="1">IFERROR(__xludf.DUMMYFUNCTION("""COMPUTED_VALUE"""),36)</f>
        <v>36</v>
      </c>
      <c r="G157">
        <f ca="1">IFERROR(__xludf.DUMMYFUNCTION("""COMPUTED_VALUE"""),5)</f>
        <v>5</v>
      </c>
    </row>
    <row r="158" spans="1:7" ht="12.75">
      <c r="A158" t="str">
        <f ca="1">IFERROR(__xludf.DUMMYFUNCTION("""COMPUTED_VALUE"""),"T157")</f>
        <v>T157</v>
      </c>
      <c r="B158" t="str">
        <f ca="1">IFERROR(__xludf.DUMMYFUNCTION("""COMPUTED_VALUE"""),"T175")</f>
        <v>T175</v>
      </c>
      <c r="C158" t="str">
        <f ca="1">IFERROR(__xludf.DUMMYFUNCTION("""COMPUTED_VALUE"""),"Bo Van Pelt")</f>
        <v>Bo Van Pelt</v>
      </c>
      <c r="D158">
        <f ca="1">IFERROR(__xludf.DUMMYFUNCTION("""COMPUTED_VALUE"""),10)</f>
        <v>10</v>
      </c>
      <c r="E158">
        <f ca="1">IFERROR(__xludf.DUMMYFUNCTION("""COMPUTED_VALUE"""),13.64)</f>
        <v>13.64</v>
      </c>
      <c r="F158">
        <f ca="1">IFERROR(__xludf.DUMMYFUNCTION("""COMPUTED_VALUE"""),22)</f>
        <v>22</v>
      </c>
      <c r="G158">
        <f ca="1">IFERROR(__xludf.DUMMYFUNCTION("""COMPUTED_VALUE"""),3)</f>
        <v>3</v>
      </c>
    </row>
    <row r="159" spans="1:7" ht="12.75">
      <c r="A159" t="str">
        <f ca="1">IFERROR(__xludf.DUMMYFUNCTION("""COMPUTED_VALUE"""),"T157")</f>
        <v>T157</v>
      </c>
      <c r="B159">
        <f ca="1">IFERROR(__xludf.DUMMYFUNCTION("""COMPUTED_VALUE"""),147)</f>
        <v>147</v>
      </c>
      <c r="C159" t="str">
        <f ca="1">IFERROR(__xludf.DUMMYFUNCTION("""COMPUTED_VALUE"""),"Joseph Bramlett")</f>
        <v>Joseph Bramlett</v>
      </c>
      <c r="D159">
        <f ca="1">IFERROR(__xludf.DUMMYFUNCTION("""COMPUTED_VALUE"""),18)</f>
        <v>18</v>
      </c>
      <c r="E159">
        <f ca="1">IFERROR(__xludf.DUMMYFUNCTION("""COMPUTED_VALUE"""),13.64)</f>
        <v>13.64</v>
      </c>
      <c r="F159">
        <f ca="1">IFERROR(__xludf.DUMMYFUNCTION("""COMPUTED_VALUE"""),22)</f>
        <v>22</v>
      </c>
      <c r="G159">
        <f ca="1">IFERROR(__xludf.DUMMYFUNCTION("""COMPUTED_VALUE"""),3)</f>
        <v>3</v>
      </c>
    </row>
    <row r="160" spans="1:7" ht="12.75">
      <c r="A160" t="str">
        <f ca="1">IFERROR(__xludf.DUMMYFUNCTION("""COMPUTED_VALUE"""),"T157")</f>
        <v>T157</v>
      </c>
      <c r="B160" t="str">
        <f ca="1">IFERROR(__xludf.DUMMYFUNCTION("""COMPUTED_VALUE"""),"T150")</f>
        <v>T150</v>
      </c>
      <c r="C160" t="str">
        <f ca="1">IFERROR(__xludf.DUMMYFUNCTION("""COMPUTED_VALUE"""),"Denny McCarthy")</f>
        <v>Denny McCarthy</v>
      </c>
      <c r="D160">
        <f ca="1">IFERROR(__xludf.DUMMYFUNCTION("""COMPUTED_VALUE"""),22)</f>
        <v>22</v>
      </c>
      <c r="E160">
        <f ca="1">IFERROR(__xludf.DUMMYFUNCTION("""COMPUTED_VALUE"""),13.64)</f>
        <v>13.64</v>
      </c>
      <c r="F160">
        <f ca="1">IFERROR(__xludf.DUMMYFUNCTION("""COMPUTED_VALUE"""),22)</f>
        <v>22</v>
      </c>
      <c r="G160">
        <f ca="1">IFERROR(__xludf.DUMMYFUNCTION("""COMPUTED_VALUE"""),3)</f>
        <v>3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IFERROR(__xludf.DUMMYFUNCTION("""COMPUTED_VALUE"""),137)</f>
        <v>137</v>
      </c>
      <c r="C161" t="str">
        <f ca="1">IFERROR(__xludf.DUMMYFUNCTION("""COMPUTED_VALUE"""),"Si Woo Kim")</f>
        <v>Si Woo Kim</v>
      </c>
      <c r="D161">
        <f ca="1">IFERROR(__xludf.DUMMYFUNCTION("""COMPUTED_VALUE"""),20)</f>
        <v>20</v>
      </c>
      <c r="E161">
        <f ca="1">IFERROR(__xludf.DUMMYFUNCTION("""COMPUTED_VALUE"""),13.51)</f>
        <v>13.51</v>
      </c>
      <c r="F161">
        <f ca="1">IFERROR(__xludf.DUMMYFUNCTION("""COMPUTED_VALUE"""),37)</f>
        <v>37</v>
      </c>
      <c r="G161">
        <f ca="1">IFERROR(__xludf.DUMMYFUNCTION("""COMPUTED_VALUE"""),5)</f>
        <v>5</v>
      </c>
    </row>
    <row r="162" spans="1:7" ht="12.75">
      <c r="A162" t="str">
        <f ca="1">IFERROR(__xludf.DUMMYFUNCTION("""COMPUTED_VALUE"""),"T161")</f>
        <v>T161</v>
      </c>
      <c r="B162" t="str">
        <f ca="1">IFERROR(__xludf.DUMMYFUNCTION("""COMPUTED_VALUE"""),"")</f>
        <v/>
      </c>
      <c r="C162" t="str">
        <f ca="1">IFERROR(__xludf.DUMMYFUNCTION("""COMPUTED_VALUE"""),"Maverick McNealy")</f>
        <v>Maverick McNealy</v>
      </c>
      <c r="D162">
        <f ca="1">IFERROR(__xludf.DUMMYFUNCTION("""COMPUTED_VALUE"""),16)</f>
        <v>16</v>
      </c>
      <c r="E162">
        <f ca="1">IFERROR(__xludf.DUMMYFUNCTION("""COMPUTED_VALUE"""),13.33)</f>
        <v>13.33</v>
      </c>
      <c r="F162">
        <f ca="1">IFERROR(__xludf.DUMMYFUNCTION("""COMPUTED_VALUE"""),15)</f>
        <v>15</v>
      </c>
      <c r="G162">
        <f ca="1">IFERROR(__xludf.DUMMYFUNCTION("""COMPUTED_VALUE"""),2)</f>
        <v>2</v>
      </c>
    </row>
    <row r="163" spans="1:7" ht="12.75">
      <c r="A163" t="str">
        <f ca="1">IFERROR(__xludf.DUMMYFUNCTION("""COMPUTED_VALUE"""),"T161")</f>
        <v>T161</v>
      </c>
      <c r="B163" t="str">
        <f ca="1">IFERROR(__xludf.DUMMYFUNCTION("""COMPUTED_VALUE"""),"T116")</f>
        <v>T116</v>
      </c>
      <c r="C163" t="str">
        <f ca="1">IFERROR(__xludf.DUMMYFUNCTION("""COMPUTED_VALUE"""),"Branden Grace")</f>
        <v>Branden Grace</v>
      </c>
      <c r="D163">
        <f ca="1">IFERROR(__xludf.DUMMYFUNCTION("""COMPUTED_VALUE"""),16)</f>
        <v>16</v>
      </c>
      <c r="E163">
        <f ca="1">IFERROR(__xludf.DUMMYFUNCTION("""COMPUTED_VALUE"""),13.33)</f>
        <v>13.33</v>
      </c>
      <c r="F163">
        <f ca="1">IFERROR(__xludf.DUMMYFUNCTION("""COMPUTED_VALUE"""),15)</f>
        <v>15</v>
      </c>
      <c r="G163">
        <f ca="1">IFERROR(__xludf.DUMMYFUNCTION("""COMPUTED_VALUE"""),2)</f>
        <v>2</v>
      </c>
    </row>
    <row r="164" spans="1:7" ht="12.75">
      <c r="A164" t="str">
        <f ca="1">IFERROR(__xludf.DUMMYFUNCTION("""COMPUTED_VALUE"""),"T161")</f>
        <v>T161</v>
      </c>
      <c r="B164" t="str">
        <f ca="1">IFERROR(__xludf.DUMMYFUNCTION("""COMPUTED_VALUE"""),"T129")</f>
        <v>T129</v>
      </c>
      <c r="C164" t="str">
        <f ca="1">IFERROR(__xludf.DUMMYFUNCTION("""COMPUTED_VALUE"""),"James Hahn")</f>
        <v>James Hahn</v>
      </c>
      <c r="D164">
        <f ca="1">IFERROR(__xludf.DUMMYFUNCTION("""COMPUTED_VALUE"""),16)</f>
        <v>16</v>
      </c>
      <c r="E164">
        <f ca="1">IFERROR(__xludf.DUMMYFUNCTION("""COMPUTED_VALUE"""),13.33)</f>
        <v>13.33</v>
      </c>
      <c r="F164">
        <f ca="1">IFERROR(__xludf.DUMMYFUNCTION("""COMPUTED_VALUE"""),30)</f>
        <v>30</v>
      </c>
      <c r="G164">
        <f ca="1">IFERROR(__xludf.DUMMYFUNCTION("""COMPUTED_VALUE"""),4)</f>
        <v>4</v>
      </c>
    </row>
    <row r="165" spans="1:7" ht="12.75">
      <c r="A165" t="str">
        <f ca="1">IFERROR(__xludf.DUMMYFUNCTION("""COMPUTED_VALUE"""),"T161")</f>
        <v>T161</v>
      </c>
      <c r="B165" t="str">
        <f ca="1">IFERROR(__xludf.DUMMYFUNCTION("""COMPUTED_VALUE"""),"T81")</f>
        <v>T81</v>
      </c>
      <c r="C165" t="str">
        <f ca="1">IFERROR(__xludf.DUMMYFUNCTION("""COMPUTED_VALUE"""),"D.A. Points")</f>
        <v>D.A. Points</v>
      </c>
      <c r="D165">
        <f ca="1">IFERROR(__xludf.DUMMYFUNCTION("""COMPUTED_VALUE"""),12)</f>
        <v>12</v>
      </c>
      <c r="E165">
        <f ca="1">IFERROR(__xludf.DUMMYFUNCTION("""COMPUTED_VALUE"""),13.33)</f>
        <v>13.33</v>
      </c>
      <c r="F165">
        <f ca="1">IFERROR(__xludf.DUMMYFUNCTION("""COMPUTED_VALUE"""),15)</f>
        <v>15</v>
      </c>
      <c r="G165">
        <f ca="1">IFERROR(__xludf.DUMMYFUNCTION("""COMPUTED_VALUE"""),2)</f>
        <v>2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IFERROR(__xludf.DUMMYFUNCTION("""COMPUTED_VALUE"""),149)</f>
        <v>149</v>
      </c>
      <c r="C166" t="str">
        <f ca="1">IFERROR(__xludf.DUMMYFUNCTION("""COMPUTED_VALUE"""),"Collin Morikawa")</f>
        <v>Collin Morikawa</v>
      </c>
      <c r="D166">
        <f ca="1">IFERROR(__xludf.DUMMYFUNCTION("""COMPUTED_VALUE"""),12)</f>
        <v>12</v>
      </c>
      <c r="E166">
        <f ca="1">IFERROR(__xludf.DUMMYFUNCTION("""COMPUTED_VALUE"""),13.04)</f>
        <v>13.04</v>
      </c>
      <c r="F166">
        <f ca="1">IFERROR(__xludf.DUMMYFUNCTION("""COMPUTED_VALUE"""),23)</f>
        <v>23</v>
      </c>
      <c r="G166">
        <f ca="1">IFERROR(__xludf.DUMMYFUNCTION("""COMPUTED_VALUE"""),3)</f>
        <v>3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IFERROR(__xludf.DUMMYFUNCTION("""COMPUTED_VALUE"""),"T150")</f>
        <v>T150</v>
      </c>
      <c r="C167" t="str">
        <f ca="1">IFERROR(__xludf.DUMMYFUNCTION("""COMPUTED_VALUE"""),"Jazz Janewattananond")</f>
        <v>Jazz Janewattananond</v>
      </c>
      <c r="D167">
        <f ca="1">IFERROR(__xludf.DUMMYFUNCTION("""COMPUTED_VALUE"""),6)</f>
        <v>6</v>
      </c>
      <c r="E167">
        <f ca="1">IFERROR(__xludf.DUMMYFUNCTION("""COMPUTED_VALUE"""),12.5)</f>
        <v>12.5</v>
      </c>
      <c r="F167">
        <f ca="1">IFERROR(__xludf.DUMMYFUNCTION("""COMPUTED_VALUE"""),16)</f>
        <v>16</v>
      </c>
      <c r="G167">
        <f ca="1">IFERROR(__xludf.DUMMYFUNCTION("""COMPUTED_VALUE"""),2)</f>
        <v>2</v>
      </c>
    </row>
    <row r="168" spans="1:7" ht="12.75">
      <c r="A168" t="str">
        <f ca="1">IFERROR(__xludf.DUMMYFUNCTION("""COMPUTED_VALUE"""),"T166")</f>
        <v>T166</v>
      </c>
      <c r="B168" t="str">
        <f ca="1">IFERROR(__xludf.DUMMYFUNCTION("""COMPUTED_VALUE"""),"T167")</f>
        <v>T167</v>
      </c>
      <c r="C168" t="str">
        <f ca="1">IFERROR(__xludf.DUMMYFUNCTION("""COMPUTED_VALUE"""),"Max Homa")</f>
        <v>Max Homa</v>
      </c>
      <c r="D168">
        <f ca="1">IFERROR(__xludf.DUMMYFUNCTION("""COMPUTED_VALUE"""),12)</f>
        <v>12</v>
      </c>
      <c r="E168">
        <f ca="1">IFERROR(__xludf.DUMMYFUNCTION("""COMPUTED_VALUE"""),12.5)</f>
        <v>12.5</v>
      </c>
      <c r="F168">
        <f ca="1">IFERROR(__xludf.DUMMYFUNCTION("""COMPUTED_VALUE"""),24)</f>
        <v>24</v>
      </c>
      <c r="G168">
        <f ca="1">IFERROR(__xludf.DUMMYFUNCTION("""COMPUTED_VALUE"""),3)</f>
        <v>3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IFERROR(__xludf.DUMMYFUNCTION("""COMPUTED_VALUE"""),157)</f>
        <v>157</v>
      </c>
      <c r="C169" t="str">
        <f ca="1">IFERROR(__xludf.DUMMYFUNCTION("""COMPUTED_VALUE"""),"Kevin Na")</f>
        <v>Kevin Na</v>
      </c>
      <c r="D169">
        <f ca="1">IFERROR(__xludf.DUMMYFUNCTION("""COMPUTED_VALUE"""),14)</f>
        <v>14</v>
      </c>
      <c r="E169">
        <f ca="1">IFERROR(__xludf.DUMMYFUNCTION("""COMPUTED_VALUE"""),12)</f>
        <v>12</v>
      </c>
      <c r="F169">
        <f ca="1">IFERROR(__xludf.DUMMYFUNCTION("""COMPUTED_VALUE"""),25)</f>
        <v>25</v>
      </c>
      <c r="G169">
        <f ca="1">IFERROR(__xludf.DUMMYFUNCTION("""COMPUTED_VALUE"""),3)</f>
        <v>3</v>
      </c>
    </row>
    <row r="170" spans="1:7" ht="12.75">
      <c r="A170" t="str">
        <f ca="1">IFERROR(__xludf.DUMMYFUNCTION("""COMPUTED_VALUE"""),"T169")</f>
        <v>T169</v>
      </c>
      <c r="B170">
        <f ca="1">IFERROR(__xludf.DUMMYFUNCTION("""COMPUTED_VALUE"""),158)</f>
        <v>158</v>
      </c>
      <c r="C170" t="str">
        <f ca="1">IFERROR(__xludf.DUMMYFUNCTION("""COMPUTED_VALUE"""),"William McGirt")</f>
        <v>William McGirt</v>
      </c>
      <c r="D170">
        <f ca="1">IFERROR(__xludf.DUMMYFUNCTION("""COMPUTED_VALUE"""),6)</f>
        <v>6</v>
      </c>
      <c r="E170">
        <f ca="1">IFERROR(__xludf.DUMMYFUNCTION("""COMPUTED_VALUE"""),11.76)</f>
        <v>11.76</v>
      </c>
      <c r="F170">
        <f ca="1">IFERROR(__xludf.DUMMYFUNCTION("""COMPUTED_VALUE"""),17)</f>
        <v>17</v>
      </c>
      <c r="G170">
        <f ca="1">IFERROR(__xludf.DUMMYFUNCTION("""COMPUTED_VALUE"""),2)</f>
        <v>2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IFERROR(__xludf.DUMMYFUNCTION("""COMPUTED_VALUE"""),"T81")</f>
        <v>T81</v>
      </c>
      <c r="C171" t="str">
        <f ca="1">IFERROR(__xludf.DUMMYFUNCTION("""COMPUTED_VALUE"""),"Kramer Hickok")</f>
        <v>Kramer Hickok</v>
      </c>
      <c r="D171">
        <f ca="1">IFERROR(__xludf.DUMMYFUNCTION("""COMPUTED_VALUE"""),16)</f>
        <v>16</v>
      </c>
      <c r="E171">
        <f ca="1">IFERROR(__xludf.DUMMYFUNCTION("""COMPUTED_VALUE"""),11.76)</f>
        <v>11.76</v>
      </c>
      <c r="F171">
        <f ca="1">IFERROR(__xludf.DUMMYFUNCTION("""COMPUTED_VALUE"""),17)</f>
        <v>17</v>
      </c>
      <c r="G171">
        <f ca="1">IFERROR(__xludf.DUMMYFUNCTION("""COMPUTED_VALUE"""),2)</f>
        <v>2</v>
      </c>
    </row>
    <row r="172" spans="1:7" ht="12.75">
      <c r="A172" t="str">
        <f ca="1">IFERROR(__xludf.DUMMYFUNCTION("""COMPUTED_VALUE"""),"T171")</f>
        <v>T171</v>
      </c>
      <c r="B172" t="str">
        <f ca="1">IFERROR(__xludf.DUMMYFUNCTION("""COMPUTED_VALUE"""),"T132")</f>
        <v>T132</v>
      </c>
      <c r="C172" t="str">
        <f ca="1">IFERROR(__xludf.DUMMYFUNCTION("""COMPUTED_VALUE"""),"Tom Lewis")</f>
        <v>Tom Lewis</v>
      </c>
      <c r="D172">
        <f ca="1">IFERROR(__xludf.DUMMYFUNCTION("""COMPUTED_VALUE"""),12)</f>
        <v>12</v>
      </c>
      <c r="E172">
        <f ca="1">IFERROR(__xludf.DUMMYFUNCTION("""COMPUTED_VALUE"""),11.11)</f>
        <v>11.11</v>
      </c>
      <c r="F172">
        <f ca="1">IFERROR(__xludf.DUMMYFUNCTION("""COMPUTED_VALUE"""),18)</f>
        <v>18</v>
      </c>
      <c r="G172">
        <f ca="1">IFERROR(__xludf.DUMMYFUNCTION("""COMPUTED_VALUE"""),2)</f>
        <v>2</v>
      </c>
    </row>
    <row r="173" spans="1:7" ht="12.75">
      <c r="A173" t="str">
        <f ca="1">IFERROR(__xludf.DUMMYFUNCTION("""COMPUTED_VALUE"""),"T171")</f>
        <v>T171</v>
      </c>
      <c r="B173">
        <f ca="1">IFERROR(__xludf.DUMMYFUNCTION("""COMPUTED_VALUE"""),183)</f>
        <v>183</v>
      </c>
      <c r="C173" t="str">
        <f ca="1">IFERROR(__xludf.DUMMYFUNCTION("""COMPUTED_VALUE"""),"Nate Lashley")</f>
        <v>Nate Lashley</v>
      </c>
      <c r="D173">
        <f ca="1">IFERROR(__xludf.DUMMYFUNCTION("""COMPUTED_VALUE"""),16)</f>
        <v>16</v>
      </c>
      <c r="E173">
        <f ca="1">IFERROR(__xludf.DUMMYFUNCTION("""COMPUTED_VALUE"""),11.11)</f>
        <v>11.11</v>
      </c>
      <c r="F173">
        <f ca="1">IFERROR(__xludf.DUMMYFUNCTION("""COMPUTED_VALUE"""),27)</f>
        <v>27</v>
      </c>
      <c r="G173">
        <f ca="1">IFERROR(__xludf.DUMMYFUNCTION("""COMPUTED_VALUE"""),3)</f>
        <v>3</v>
      </c>
    </row>
    <row r="174" spans="1:7" ht="12.75">
      <c r="A174" t="str">
        <f ca="1">IFERROR(__xludf.DUMMYFUNCTION("""COMPUTED_VALUE"""),"T171")</f>
        <v>T171</v>
      </c>
      <c r="B174">
        <f ca="1">IFERROR(__xludf.DUMMYFUNCTION("""COMPUTED_VALUE"""),148)</f>
        <v>148</v>
      </c>
      <c r="C174" t="str">
        <f ca="1">IFERROR(__xludf.DUMMYFUNCTION("""COMPUTED_VALUE"""),"Camilo Villegas")</f>
        <v>Camilo Villegas</v>
      </c>
      <c r="D174">
        <f ca="1">IFERROR(__xludf.DUMMYFUNCTION("""COMPUTED_VALUE"""),14)</f>
        <v>14</v>
      </c>
      <c r="E174">
        <f ca="1">IFERROR(__xludf.DUMMYFUNCTION("""COMPUTED_VALUE"""),11.11)</f>
        <v>11.11</v>
      </c>
      <c r="F174">
        <f ca="1">IFERROR(__xludf.DUMMYFUNCTION("""COMPUTED_VALUE"""),18)</f>
        <v>18</v>
      </c>
      <c r="G174">
        <f ca="1">IFERROR(__xludf.DUMMYFUNCTION("""COMPUTED_VALUE"""),2)</f>
        <v>2</v>
      </c>
    </row>
    <row r="175" spans="1:7" ht="12.75">
      <c r="A175" t="str">
        <f ca="1">IFERROR(__xludf.DUMMYFUNCTION("""COMPUTED_VALUE"""),"T171")</f>
        <v>T171</v>
      </c>
      <c r="B175" t="str">
        <f ca="1">IFERROR(__xludf.DUMMYFUNCTION("""COMPUTED_VALUE"""),"T160")</f>
        <v>T160</v>
      </c>
      <c r="C175" t="str">
        <f ca="1">IFERROR(__xludf.DUMMYFUNCTION("""COMPUTED_VALUE"""),"Jamie Lovemark")</f>
        <v>Jamie Lovemark</v>
      </c>
      <c r="D175">
        <f ca="1">IFERROR(__xludf.DUMMYFUNCTION("""COMPUTED_VALUE"""),18)</f>
        <v>18</v>
      </c>
      <c r="E175">
        <f ca="1">IFERROR(__xludf.DUMMYFUNCTION("""COMPUTED_VALUE"""),11.11)</f>
        <v>11.11</v>
      </c>
      <c r="F175">
        <f ca="1">IFERROR(__xludf.DUMMYFUNCTION("""COMPUTED_VALUE"""),27)</f>
        <v>27</v>
      </c>
      <c r="G175">
        <f ca="1">IFERROR(__xludf.DUMMYFUNCTION("""COMPUTED_VALUE"""),3)</f>
        <v>3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IFERROR(__xludf.DUMMYFUNCTION("""COMPUTED_VALUE"""),"T167")</f>
        <v>T167</v>
      </c>
      <c r="C176" t="str">
        <f ca="1">IFERROR(__xludf.DUMMYFUNCTION("""COMPUTED_VALUE"""),"Scott Harrington")</f>
        <v>Scott Harrington</v>
      </c>
      <c r="D176">
        <f ca="1">IFERROR(__xludf.DUMMYFUNCTION("""COMPUTED_VALUE"""),18)</f>
        <v>18</v>
      </c>
      <c r="E176">
        <f ca="1">IFERROR(__xludf.DUMMYFUNCTION("""COMPUTED_VALUE"""),10.53)</f>
        <v>10.53</v>
      </c>
      <c r="F176">
        <f ca="1">IFERROR(__xludf.DUMMYFUNCTION("""COMPUTED_VALUE"""),19)</f>
        <v>19</v>
      </c>
      <c r="G176">
        <f ca="1">IFERROR(__xludf.DUMMYFUNCTION("""COMPUTED_VALUE"""),2)</f>
        <v>2</v>
      </c>
    </row>
    <row r="177" spans="1:7" ht="12.75">
      <c r="A177" t="str">
        <f ca="1">IFERROR(__xludf.DUMMYFUNCTION("""COMPUTED_VALUE"""),"T176")</f>
        <v>T176</v>
      </c>
      <c r="B177" t="str">
        <f ca="1">IFERROR(__xludf.DUMMYFUNCTION("""COMPUTED_VALUE"""),"T160")</f>
        <v>T160</v>
      </c>
      <c r="C177" t="str">
        <f ca="1">IFERROR(__xludf.DUMMYFUNCTION("""COMPUTED_VALUE"""),"Scott Brown")</f>
        <v>Scott Brown</v>
      </c>
      <c r="D177">
        <f ca="1">IFERROR(__xludf.DUMMYFUNCTION("""COMPUTED_VALUE"""),14)</f>
        <v>14</v>
      </c>
      <c r="E177">
        <f ca="1">IFERROR(__xludf.DUMMYFUNCTION("""COMPUTED_VALUE"""),10)</f>
        <v>10</v>
      </c>
      <c r="F177">
        <f ca="1">IFERROR(__xludf.DUMMYFUNCTION("""COMPUTED_VALUE"""),20)</f>
        <v>20</v>
      </c>
      <c r="G177">
        <f ca="1">IFERROR(__xludf.DUMMYFUNCTION("""COMPUTED_VALUE"""),2)</f>
        <v>2</v>
      </c>
    </row>
    <row r="178" spans="1:7" ht="12.75">
      <c r="A178" t="str">
        <f ca="1">IFERROR(__xludf.DUMMYFUNCTION("""COMPUTED_VALUE"""),"T176")</f>
        <v>T176</v>
      </c>
      <c r="B178" t="str">
        <f ca="1">IFERROR(__xludf.DUMMYFUNCTION("""COMPUTED_VALUE"""),"")</f>
        <v/>
      </c>
      <c r="C178" t="str">
        <f ca="1">IFERROR(__xludf.DUMMYFUNCTION("""COMPUTED_VALUE"""),"Kelly Kraft")</f>
        <v>Kelly Kraft</v>
      </c>
      <c r="D178">
        <f ca="1">IFERROR(__xludf.DUMMYFUNCTION("""COMPUTED_VALUE"""),14)</f>
        <v>14</v>
      </c>
      <c r="E178">
        <f ca="1">IFERROR(__xludf.DUMMYFUNCTION("""COMPUTED_VALUE"""),10)</f>
        <v>10</v>
      </c>
      <c r="F178">
        <f ca="1">IFERROR(__xludf.DUMMYFUNCTION("""COMPUTED_VALUE"""),10)</f>
        <v>10</v>
      </c>
      <c r="G178">
        <f ca="1">IFERROR(__xludf.DUMMYFUNCTION("""COMPUTED_VALUE"""),1)</f>
        <v>1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IFERROR(__xludf.DUMMYFUNCTION("""COMPUTED_VALUE"""),184)</f>
        <v>184</v>
      </c>
      <c r="C179" t="str">
        <f ca="1">IFERROR(__xludf.DUMMYFUNCTION("""COMPUTED_VALUE"""),"Aaron Wise")</f>
        <v>Aaron Wise</v>
      </c>
      <c r="D179">
        <f ca="1">IFERROR(__xludf.DUMMYFUNCTION("""COMPUTED_VALUE"""),16)</f>
        <v>16</v>
      </c>
      <c r="E179">
        <f ca="1">IFERROR(__xludf.DUMMYFUNCTION("""COMPUTED_VALUE"""),9.68)</f>
        <v>9.68</v>
      </c>
      <c r="F179">
        <f ca="1">IFERROR(__xludf.DUMMYFUNCTION("""COMPUTED_VALUE"""),31)</f>
        <v>31</v>
      </c>
      <c r="G179">
        <f ca="1">IFERROR(__xludf.DUMMYFUNCTION("""COMPUTED_VALUE"""),3)</f>
        <v>3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IFERROR(__xludf.DUMMYFUNCTION("""COMPUTED_VALUE"""),181)</f>
        <v>181</v>
      </c>
      <c r="C180" t="str">
        <f ca="1">IFERROR(__xludf.DUMMYFUNCTION("""COMPUTED_VALUE"""),"Adam Long")</f>
        <v>Adam Long</v>
      </c>
      <c r="D180">
        <f ca="1">IFERROR(__xludf.DUMMYFUNCTION("""COMPUTED_VALUE"""),22)</f>
        <v>22</v>
      </c>
      <c r="E180">
        <f ca="1">IFERROR(__xludf.DUMMYFUNCTION("""COMPUTED_VALUE"""),9.09)</f>
        <v>9.09</v>
      </c>
      <c r="F180">
        <f ca="1">IFERROR(__xludf.DUMMYFUNCTION("""COMPUTED_VALUE"""),44)</f>
        <v>44</v>
      </c>
      <c r="G180">
        <f ca="1">IFERROR(__xludf.DUMMYFUNCTION("""COMPUTED_VALUE"""),4)</f>
        <v>4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IFERROR(__xludf.DUMMYFUNCTION("""COMPUTED_VALUE"""),159)</f>
        <v>159</v>
      </c>
      <c r="C181" t="str">
        <f ca="1">IFERROR(__xludf.DUMMYFUNCTION("""COMPUTED_VALUE"""),"Sam Burns")</f>
        <v>Sam Burns</v>
      </c>
      <c r="D181">
        <f ca="1">IFERROR(__xludf.DUMMYFUNCTION("""COMPUTED_VALUE"""),18)</f>
        <v>18</v>
      </c>
      <c r="E181">
        <f ca="1">IFERROR(__xludf.DUMMYFUNCTION("""COMPUTED_VALUE"""),8.82)</f>
        <v>8.82</v>
      </c>
      <c r="F181">
        <f ca="1">IFERROR(__xludf.DUMMYFUNCTION("""COMPUTED_VALUE"""),34)</f>
        <v>34</v>
      </c>
      <c r="G181">
        <f ca="1">IFERROR(__xludf.DUMMYFUNCTION("""COMPUTED_VALUE"""),3)</f>
        <v>3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IFERROR(__xludf.DUMMYFUNCTION("""COMPUTED_VALUE"""),182)</f>
        <v>182</v>
      </c>
      <c r="C182" t="str">
        <f ca="1">IFERROR(__xludf.DUMMYFUNCTION("""COMPUTED_VALUE"""),"Austin Cook")</f>
        <v>Austin Cook</v>
      </c>
      <c r="D182">
        <f ca="1">IFERROR(__xludf.DUMMYFUNCTION("""COMPUTED_VALUE"""),14)</f>
        <v>14</v>
      </c>
      <c r="E182">
        <f ca="1">IFERROR(__xludf.DUMMYFUNCTION("""COMPUTED_VALUE"""),8.7)</f>
        <v>8.6999999999999993</v>
      </c>
      <c r="F182">
        <f ca="1">IFERROR(__xludf.DUMMYFUNCTION("""COMPUTED_VALUE"""),23)</f>
        <v>23</v>
      </c>
      <c r="G182">
        <f ca="1">IFERROR(__xludf.DUMMYFUNCTION("""COMPUTED_VALUE"""),2)</f>
        <v>2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IFERROR(__xludf.DUMMYFUNCTION("""COMPUTED_VALUE"""),"")</f>
        <v/>
      </c>
      <c r="C183" t="str">
        <f ca="1">IFERROR(__xludf.DUMMYFUNCTION("""COMPUTED_VALUE"""),"Martin Trainer")</f>
        <v>Martin Trainer</v>
      </c>
      <c r="D183">
        <f ca="1">IFERROR(__xludf.DUMMYFUNCTION("""COMPUTED_VALUE"""),10)</f>
        <v>10</v>
      </c>
      <c r="E183">
        <f ca="1">IFERROR(__xludf.DUMMYFUNCTION("""COMPUTED_VALUE"""),8.33)</f>
        <v>8.33</v>
      </c>
      <c r="F183">
        <f ca="1">IFERROR(__xludf.DUMMYFUNCTION("""COMPUTED_VALUE"""),12)</f>
        <v>12</v>
      </c>
      <c r="G183">
        <f ca="1">IFERROR(__xludf.DUMMYFUNCTION("""COMPUTED_VALUE"""),1)</f>
        <v>1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IFERROR(__xludf.DUMMYFUNCTION("""COMPUTED_VALUE"""),"")</f>
        <v/>
      </c>
      <c r="C184" t="str">
        <f ca="1">IFERROR(__xludf.DUMMYFUNCTION("""COMPUTED_VALUE"""),"Erik Barnes")</f>
        <v>Erik Barnes</v>
      </c>
      <c r="D184">
        <f ca="1">IFERROR(__xludf.DUMMYFUNCTION("""COMPUTED_VALUE"""),4)</f>
        <v>4</v>
      </c>
      <c r="E184">
        <f ca="1">IFERROR(__xludf.DUMMYFUNCTION("""COMPUTED_VALUE"""),8.33)</f>
        <v>8.33</v>
      </c>
      <c r="F184">
        <f ca="1">IFERROR(__xludf.DUMMYFUNCTION("""COMPUTED_VALUE"""),12)</f>
        <v>12</v>
      </c>
      <c r="G184">
        <f ca="1">IFERROR(__xludf.DUMMYFUNCTION("""COMPUTED_VALUE"""),1)</f>
        <v>1</v>
      </c>
    </row>
    <row r="185" spans="1:7" ht="12.75">
      <c r="A185">
        <f ca="1">IFERROR(__xludf.DUMMYFUNCTION("""COMPUTED_VALUE"""),184)</f>
        <v>184</v>
      </c>
      <c r="B185" t="str">
        <f ca="1">IFERROR(__xludf.DUMMYFUNCTION("""COMPUTED_VALUE"""),"T167")</f>
        <v>T167</v>
      </c>
      <c r="C185" t="str">
        <f ca="1">IFERROR(__xludf.DUMMYFUNCTION("""COMPUTED_VALUE"""),"Brice Garnett")</f>
        <v>Brice Garnett</v>
      </c>
      <c r="D185">
        <f ca="1">IFERROR(__xludf.DUMMYFUNCTION("""COMPUTED_VALUE"""),22)</f>
        <v>22</v>
      </c>
      <c r="E185">
        <f ca="1">IFERROR(__xludf.DUMMYFUNCTION("""COMPUTED_VALUE"""),8.11)</f>
        <v>8.11</v>
      </c>
      <c r="F185">
        <f ca="1">IFERROR(__xludf.DUMMYFUNCTION("""COMPUTED_VALUE"""),37)</f>
        <v>37</v>
      </c>
      <c r="G185">
        <f ca="1">IFERROR(__xludf.DUMMYFUNCTION("""COMPUTED_VALUE"""),3)</f>
        <v>3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IFERROR(__xludf.DUMMYFUNCTION("""COMPUTED_VALUE"""),"T165")</f>
        <v>T165</v>
      </c>
      <c r="C186" t="str">
        <f ca="1">IFERROR(__xludf.DUMMYFUNCTION("""COMPUTED_VALUE"""),"Brendan Steele")</f>
        <v>Brendan Steele</v>
      </c>
      <c r="D186">
        <f ca="1">IFERROR(__xludf.DUMMYFUNCTION("""COMPUTED_VALUE"""),14)</f>
        <v>14</v>
      </c>
      <c r="E186">
        <f ca="1">IFERROR(__xludf.DUMMYFUNCTION("""COMPUTED_VALUE"""),8)</f>
        <v>8</v>
      </c>
      <c r="F186">
        <f ca="1">IFERROR(__xludf.DUMMYFUNCTION("""COMPUTED_VALUE"""),25)</f>
        <v>25</v>
      </c>
      <c r="G186">
        <f ca="1">IFERROR(__xludf.DUMMYFUNCTION("""COMPUTED_VALUE"""),2)</f>
        <v>2</v>
      </c>
    </row>
    <row r="187" spans="1:7" ht="12.75">
      <c r="A187" t="str">
        <f ca="1">IFERROR(__xludf.DUMMYFUNCTION("""COMPUTED_VALUE"""),"T186")</f>
        <v>T186</v>
      </c>
      <c r="B187" t="str">
        <f ca="1">IFERROR(__xludf.DUMMYFUNCTION("""COMPUTED_VALUE"""),"T167")</f>
        <v>T167</v>
      </c>
      <c r="C187" t="str">
        <f ca="1">IFERROR(__xludf.DUMMYFUNCTION("""COMPUTED_VALUE"""),"Kyle Stanley")</f>
        <v>Kyle Stanley</v>
      </c>
      <c r="D187">
        <f ca="1">IFERROR(__xludf.DUMMYFUNCTION("""COMPUTED_VALUE"""),16)</f>
        <v>16</v>
      </c>
      <c r="E187">
        <f ca="1">IFERROR(__xludf.DUMMYFUNCTION("""COMPUTED_VALUE"""),7.69)</f>
        <v>7.69</v>
      </c>
      <c r="F187">
        <f ca="1">IFERROR(__xludf.DUMMYFUNCTION("""COMPUTED_VALUE"""),13)</f>
        <v>13</v>
      </c>
      <c r="G187">
        <f ca="1">IFERROR(__xludf.DUMMYFUNCTION("""COMPUTED_VALUE"""),1)</f>
        <v>1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IFERROR(__xludf.DUMMYFUNCTION("""COMPUTED_VALUE"""),"T167")</f>
        <v>T167</v>
      </c>
      <c r="C188" t="str">
        <f ca="1">IFERROR(__xludf.DUMMYFUNCTION("""COMPUTED_VALUE"""),"Marc Leishman")</f>
        <v>Marc Leishman</v>
      </c>
      <c r="D188">
        <f ca="1">IFERROR(__xludf.DUMMYFUNCTION("""COMPUTED_VALUE"""),10)</f>
        <v>10</v>
      </c>
      <c r="E188">
        <f ca="1">IFERROR(__xludf.DUMMYFUNCTION("""COMPUTED_VALUE"""),7.69)</f>
        <v>7.69</v>
      </c>
      <c r="F188">
        <f ca="1">IFERROR(__xludf.DUMMYFUNCTION("""COMPUTED_VALUE"""),13)</f>
        <v>13</v>
      </c>
      <c r="G188">
        <f ca="1">IFERROR(__xludf.DUMMYFUNCTION("""COMPUTED_VALUE"""),1)</f>
        <v>1</v>
      </c>
    </row>
    <row r="189" spans="1:7" ht="12.75">
      <c r="A189" t="str">
        <f ca="1">IFERROR(__xludf.DUMMYFUNCTION("""COMPUTED_VALUE"""),"T186")</f>
        <v>T186</v>
      </c>
      <c r="B189" t="str">
        <f ca="1">IFERROR(__xludf.DUMMYFUNCTION("""COMPUTED_VALUE"""),"T167")</f>
        <v>T167</v>
      </c>
      <c r="C189" t="str">
        <f ca="1">IFERROR(__xludf.DUMMYFUNCTION("""COMPUTED_VALUE"""),"Bill Haas")</f>
        <v>Bill Haas</v>
      </c>
      <c r="D189">
        <f ca="1">IFERROR(__xludf.DUMMYFUNCTION("""COMPUTED_VALUE"""),10)</f>
        <v>10</v>
      </c>
      <c r="E189">
        <f ca="1">IFERROR(__xludf.DUMMYFUNCTION("""COMPUTED_VALUE"""),7.69)</f>
        <v>7.69</v>
      </c>
      <c r="F189">
        <f ca="1">IFERROR(__xludf.DUMMYFUNCTION("""COMPUTED_VALUE"""),13)</f>
        <v>13</v>
      </c>
      <c r="G189">
        <f ca="1">IFERROR(__xludf.DUMMYFUNCTION("""COMPUTED_VALUE"""),1)</f>
        <v>1</v>
      </c>
    </row>
    <row r="190" spans="1:7" ht="12.75">
      <c r="A190" t="str">
        <f ca="1">IFERROR(__xludf.DUMMYFUNCTION("""COMPUTED_VALUE"""),"T186")</f>
        <v>T186</v>
      </c>
      <c r="B190" t="str">
        <f ca="1">IFERROR(__xludf.DUMMYFUNCTION("""COMPUTED_VALUE"""),"T167")</f>
        <v>T167</v>
      </c>
      <c r="C190" t="str">
        <f ca="1">IFERROR(__xludf.DUMMYFUNCTION("""COMPUTED_VALUE"""),"Cameron Smith")</f>
        <v>Cameron Smith</v>
      </c>
      <c r="D190">
        <f ca="1">IFERROR(__xludf.DUMMYFUNCTION("""COMPUTED_VALUE"""),16)</f>
        <v>16</v>
      </c>
      <c r="E190">
        <f ca="1">IFERROR(__xludf.DUMMYFUNCTION("""COMPUTED_VALUE"""),7.69)</f>
        <v>7.69</v>
      </c>
      <c r="F190">
        <f ca="1">IFERROR(__xludf.DUMMYFUNCTION("""COMPUTED_VALUE"""),26)</f>
        <v>26</v>
      </c>
      <c r="G190">
        <f ca="1">IFERROR(__xludf.DUMMYFUNCTION("""COMPUTED_VALUE"""),2)</f>
        <v>2</v>
      </c>
    </row>
    <row r="191" spans="1:7" ht="12.75">
      <c r="A191" t="str">
        <f ca="1">IFERROR(__xludf.DUMMYFUNCTION("""COMPUTED_VALUE"""),"T190")</f>
        <v>T190</v>
      </c>
      <c r="B191">
        <f ca="1">IFERROR(__xludf.DUMMYFUNCTION("""COMPUTED_VALUE"""),174)</f>
        <v>174</v>
      </c>
      <c r="C191" t="str">
        <f ca="1">IFERROR(__xludf.DUMMYFUNCTION("""COMPUTED_VALUE"""),"Matt Kuchar")</f>
        <v>Matt Kuchar</v>
      </c>
      <c r="D191">
        <f ca="1">IFERROR(__xludf.DUMMYFUNCTION("""COMPUTED_VALUE"""),14)</f>
        <v>14</v>
      </c>
      <c r="E191">
        <f ca="1">IFERROR(__xludf.DUMMYFUNCTION("""COMPUTED_VALUE"""),7.41)</f>
        <v>7.41</v>
      </c>
      <c r="F191">
        <f ca="1">IFERROR(__xludf.DUMMYFUNCTION("""COMPUTED_VALUE"""),27)</f>
        <v>27</v>
      </c>
      <c r="G191">
        <f ca="1">IFERROR(__xludf.DUMMYFUNCTION("""COMPUTED_VALUE"""),2)</f>
        <v>2</v>
      </c>
    </row>
    <row r="192" spans="1:7" ht="12.75">
      <c r="A192" t="str">
        <f ca="1">IFERROR(__xludf.DUMMYFUNCTION("""COMPUTED_VALUE"""),"T190")</f>
        <v>T190</v>
      </c>
      <c r="B192">
        <f ca="1">IFERROR(__xludf.DUMMYFUNCTION("""COMPUTED_VALUE"""),185)</f>
        <v>185</v>
      </c>
      <c r="C192" t="str">
        <f ca="1">IFERROR(__xludf.DUMMYFUNCTION("""COMPUTED_VALUE"""),"Jason Day")</f>
        <v>Jason Day</v>
      </c>
      <c r="D192">
        <f ca="1">IFERROR(__xludf.DUMMYFUNCTION("""COMPUTED_VALUE"""),17)</f>
        <v>17</v>
      </c>
      <c r="E192">
        <f ca="1">IFERROR(__xludf.DUMMYFUNCTION("""COMPUTED_VALUE"""),7.41)</f>
        <v>7.41</v>
      </c>
      <c r="F192">
        <f ca="1">IFERROR(__xludf.DUMMYFUNCTION("""COMPUTED_VALUE"""),27)</f>
        <v>27</v>
      </c>
      <c r="G192">
        <f ca="1">IFERROR(__xludf.DUMMYFUNCTION("""COMPUTED_VALUE"""),2)</f>
        <v>2</v>
      </c>
    </row>
    <row r="193" spans="1:7" ht="12.75">
      <c r="A193" t="str">
        <f ca="1">IFERROR(__xludf.DUMMYFUNCTION("""COMPUTED_VALUE"""),"T192")</f>
        <v>T192</v>
      </c>
      <c r="B193" t="str">
        <f ca="1">IFERROR(__xludf.DUMMYFUNCTION("""COMPUTED_VALUE"""),"T175")</f>
        <v>T175</v>
      </c>
      <c r="C193" t="str">
        <f ca="1">IFERROR(__xludf.DUMMYFUNCTION("""COMPUTED_VALUE"""),"Gary Woodland")</f>
        <v>Gary Woodland</v>
      </c>
      <c r="D193">
        <f ca="1">IFERROR(__xludf.DUMMYFUNCTION("""COMPUTED_VALUE"""),6)</f>
        <v>6</v>
      </c>
      <c r="E193">
        <f ca="1">IFERROR(__xludf.DUMMYFUNCTION("""COMPUTED_VALUE"""),7.14)</f>
        <v>7.14</v>
      </c>
      <c r="F193">
        <f ca="1">IFERROR(__xludf.DUMMYFUNCTION("""COMPUTED_VALUE"""),14)</f>
        <v>14</v>
      </c>
      <c r="G193">
        <f ca="1">IFERROR(__xludf.DUMMYFUNCTION("""COMPUTED_VALUE"""),1)</f>
        <v>1</v>
      </c>
    </row>
    <row r="194" spans="1:7" ht="12.75">
      <c r="A194" t="str">
        <f ca="1">IFERROR(__xludf.DUMMYFUNCTION("""COMPUTED_VALUE"""),"T192")</f>
        <v>T192</v>
      </c>
      <c r="B194" t="str">
        <f ca="1">IFERROR(__xludf.DUMMYFUNCTION("""COMPUTED_VALUE"""),"T175")</f>
        <v>T175</v>
      </c>
      <c r="C194" t="str">
        <f ca="1">IFERROR(__xludf.DUMMYFUNCTION("""COMPUTED_VALUE"""),"Chase Seiffert")</f>
        <v>Chase Seiffert</v>
      </c>
      <c r="D194">
        <f ca="1">IFERROR(__xludf.DUMMYFUNCTION("""COMPUTED_VALUE"""),14)</f>
        <v>14</v>
      </c>
      <c r="E194">
        <f ca="1">IFERROR(__xludf.DUMMYFUNCTION("""COMPUTED_VALUE"""),7.14)</f>
        <v>7.14</v>
      </c>
      <c r="F194">
        <f ca="1">IFERROR(__xludf.DUMMYFUNCTION("""COMPUTED_VALUE"""),14)</f>
        <v>14</v>
      </c>
      <c r="G194">
        <f ca="1">IFERROR(__xludf.DUMMYFUNCTION("""COMPUTED_VALUE"""),1)</f>
        <v>1</v>
      </c>
    </row>
    <row r="195" spans="1:7" ht="12.75">
      <c r="A195">
        <f ca="1">IFERROR(__xludf.DUMMYFUNCTION("""COMPUTED_VALUE"""),194)</f>
        <v>194</v>
      </c>
      <c r="B195" t="str">
        <f ca="1">IFERROR(__xludf.DUMMYFUNCTION("""COMPUTED_VALUE"""),"T165")</f>
        <v>T165</v>
      </c>
      <c r="C195" t="str">
        <f ca="1">IFERROR(__xludf.DUMMYFUNCTION("""COMPUTED_VALUE"""),"Hudson Swafford")</f>
        <v>Hudson Swafford</v>
      </c>
      <c r="D195">
        <f ca="1">IFERROR(__xludf.DUMMYFUNCTION("""COMPUTED_VALUE"""),18)</f>
        <v>18</v>
      </c>
      <c r="E195">
        <f ca="1">IFERROR(__xludf.DUMMYFUNCTION("""COMPUTED_VALUE"""),6.67)</f>
        <v>6.67</v>
      </c>
      <c r="F195">
        <f ca="1">IFERROR(__xludf.DUMMYFUNCTION("""COMPUTED_VALUE"""),30)</f>
        <v>30</v>
      </c>
      <c r="G195">
        <f ca="1">IFERROR(__xludf.DUMMYFUNCTION("""COMPUTED_VALUE"""),2)</f>
        <v>2</v>
      </c>
    </row>
    <row r="196" spans="1:7" ht="12.75">
      <c r="A196" t="str">
        <f ca="1">IFERROR(__xludf.DUMMYFUNCTION("""COMPUTED_VALUE"""),"T195")</f>
        <v>T195</v>
      </c>
      <c r="B196">
        <f ca="1">IFERROR(__xludf.DUMMYFUNCTION("""COMPUTED_VALUE"""),180)</f>
        <v>180</v>
      </c>
      <c r="C196" t="str">
        <f ca="1">IFERROR(__xludf.DUMMYFUNCTION("""COMPUTED_VALUE"""),"Anirban Lahiri")</f>
        <v>Anirban Lahiri</v>
      </c>
      <c r="D196">
        <f ca="1">IFERROR(__xludf.DUMMYFUNCTION("""COMPUTED_VALUE"""),16)</f>
        <v>16</v>
      </c>
      <c r="E196">
        <f ca="1">IFERROR(__xludf.DUMMYFUNCTION("""COMPUTED_VALUE"""),6.25)</f>
        <v>6.25</v>
      </c>
      <c r="F196">
        <f ca="1">IFERROR(__xludf.DUMMYFUNCTION("""COMPUTED_VALUE"""),16)</f>
        <v>16</v>
      </c>
      <c r="G196">
        <f ca="1">IFERROR(__xludf.DUMMYFUNCTION("""COMPUTED_VALUE"""),1)</f>
        <v>1</v>
      </c>
    </row>
    <row r="197" spans="1:7" ht="12.75">
      <c r="A197" t="str">
        <f ca="1">IFERROR(__xludf.DUMMYFUNCTION("""COMPUTED_VALUE"""),"T195")</f>
        <v>T195</v>
      </c>
      <c r="B197" t="str">
        <f ca="1">IFERROR(__xludf.DUMMYFUNCTION("""COMPUTED_VALUE"""),"")</f>
        <v/>
      </c>
      <c r="C197" t="str">
        <f ca="1">IFERROR(__xludf.DUMMYFUNCTION("""COMPUTED_VALUE"""),"Adam Scott")</f>
        <v>Adam Scott</v>
      </c>
      <c r="D197">
        <f ca="1">IFERROR(__xludf.DUMMYFUNCTION("""COMPUTED_VALUE"""),8)</f>
        <v>8</v>
      </c>
      <c r="E197">
        <f ca="1">IFERROR(__xludf.DUMMYFUNCTION("""COMPUTED_VALUE"""),6.25)</f>
        <v>6.25</v>
      </c>
      <c r="F197">
        <f ca="1">IFERROR(__xludf.DUMMYFUNCTION("""COMPUTED_VALUE"""),16)</f>
        <v>16</v>
      </c>
      <c r="G197">
        <f ca="1">IFERROR(__xludf.DUMMYFUNCTION("""COMPUTED_VALUE"""),1)</f>
        <v>1</v>
      </c>
    </row>
    <row r="198" spans="1:7" ht="12.75">
      <c r="A198" t="str">
        <f ca="1">IFERROR(__xludf.DUMMYFUNCTION("""COMPUTED_VALUE"""),"T195")</f>
        <v>T195</v>
      </c>
      <c r="B198" t="str">
        <f ca="1">IFERROR(__xludf.DUMMYFUNCTION("""COMPUTED_VALUE"""),"T160")</f>
        <v>T160</v>
      </c>
      <c r="C198" t="str">
        <f ca="1">IFERROR(__xludf.DUMMYFUNCTION("""COMPUTED_VALUE"""),"Harold Varner III")</f>
        <v>Harold Varner III</v>
      </c>
      <c r="D198">
        <f ca="1">IFERROR(__xludf.DUMMYFUNCTION("""COMPUTED_VALUE"""),14)</f>
        <v>14</v>
      </c>
      <c r="E198">
        <f ca="1">IFERROR(__xludf.DUMMYFUNCTION("""COMPUTED_VALUE"""),6.25)</f>
        <v>6.25</v>
      </c>
      <c r="F198">
        <f ca="1">IFERROR(__xludf.DUMMYFUNCTION("""COMPUTED_VALUE"""),16)</f>
        <v>16</v>
      </c>
      <c r="G198">
        <f ca="1">IFERROR(__xludf.DUMMYFUNCTION("""COMPUTED_VALUE"""),1)</f>
        <v>1</v>
      </c>
    </row>
    <row r="199" spans="1:7" ht="12.75">
      <c r="A199">
        <f ca="1">IFERROR(__xludf.DUMMYFUNCTION("""COMPUTED_VALUE"""),198)</f>
        <v>198</v>
      </c>
      <c r="B199" t="str">
        <f ca="1">IFERROR(__xludf.DUMMYFUNCTION("""COMPUTED_VALUE"""),"")</f>
        <v/>
      </c>
      <c r="C199" t="str">
        <f ca="1">IFERROR(__xludf.DUMMYFUNCTION("""COMPUTED_VALUE"""),"Isaiah Salinda")</f>
        <v>Isaiah Salinda</v>
      </c>
      <c r="D199">
        <f ca="1">IFERROR(__xludf.DUMMYFUNCTION("""COMPUTED_VALUE"""),8)</f>
        <v>8</v>
      </c>
      <c r="E199">
        <f ca="1">IFERROR(__xludf.DUMMYFUNCTION("""COMPUTED_VALUE"""),5.88)</f>
        <v>5.88</v>
      </c>
      <c r="F199">
        <f ca="1">IFERROR(__xludf.DUMMYFUNCTION("""COMPUTED_VALUE"""),17)</f>
        <v>17</v>
      </c>
      <c r="G199">
        <f ca="1">IFERROR(__xludf.DUMMYFUNCTION("""COMPUTED_VALUE"""),1)</f>
        <v>1</v>
      </c>
    </row>
    <row r="200" spans="1:7" ht="12.75">
      <c r="A200" t="str">
        <f ca="1">IFERROR(__xludf.DUMMYFUNCTION("""COMPUTED_VALUE"""),"T199")</f>
        <v>T199</v>
      </c>
      <c r="B200" t="str">
        <f ca="1">IFERROR(__xludf.DUMMYFUNCTION("""COMPUTED_VALUE"""),"T187")</f>
        <v>T187</v>
      </c>
      <c r="C200" t="str">
        <f ca="1">IFERROR(__xludf.DUMMYFUNCTION("""COMPUTED_VALUE"""),"Bronson Burgoon")</f>
        <v>Bronson Burgoon</v>
      </c>
      <c r="D200">
        <f ca="1">IFERROR(__xludf.DUMMYFUNCTION("""COMPUTED_VALUE"""),10)</f>
        <v>10</v>
      </c>
      <c r="E200">
        <f ca="1">IFERROR(__xludf.DUMMYFUNCTION("""COMPUTED_VALUE"""),5.26)</f>
        <v>5.26</v>
      </c>
      <c r="F200">
        <f ca="1">IFERROR(__xludf.DUMMYFUNCTION("""COMPUTED_VALUE"""),19)</f>
        <v>19</v>
      </c>
      <c r="G200">
        <f ca="1">IFERROR(__xludf.DUMMYFUNCTION("""COMPUTED_VALUE"""),1)</f>
        <v>1</v>
      </c>
    </row>
    <row r="201" spans="1:7" ht="12.75">
      <c r="A201" t="str">
        <f ca="1">IFERROR(__xludf.DUMMYFUNCTION("""COMPUTED_VALUE"""),"T199")</f>
        <v>T199</v>
      </c>
      <c r="B201" t="str">
        <f ca="1">IFERROR(__xludf.DUMMYFUNCTION("""COMPUTED_VALUE"""),"T175")</f>
        <v>T175</v>
      </c>
      <c r="C201" t="str">
        <f ca="1">IFERROR(__xludf.DUMMYFUNCTION("""COMPUTED_VALUE"""),"Bo Hoag")</f>
        <v>Bo Hoag</v>
      </c>
      <c r="D201">
        <f ca="1">IFERROR(__xludf.DUMMYFUNCTION("""COMPUTED_VALUE"""),14)</f>
        <v>14</v>
      </c>
      <c r="E201">
        <f ca="1">IFERROR(__xludf.DUMMYFUNCTION("""COMPUTED_VALUE"""),5.26)</f>
        <v>5.26</v>
      </c>
      <c r="F201">
        <f ca="1">IFERROR(__xludf.DUMMYFUNCTION("""COMPUTED_VALUE"""),19)</f>
        <v>19</v>
      </c>
      <c r="G201">
        <f ca="1">IFERROR(__xludf.DUMMYFUNCTION("""COMPUTED_VALUE"""),1)</f>
        <v>1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IFERROR(__xludf.DUMMYFUNCTION("""COMPUTED_VALUE"""),186)</f>
        <v>186</v>
      </c>
      <c r="C202" t="str">
        <f ca="1">IFERROR(__xludf.DUMMYFUNCTION("""COMPUTED_VALUE"""),"Kyoung-Hoon Lee")</f>
        <v>Kyoung-Hoon Lee</v>
      </c>
      <c r="D202">
        <f ca="1">IFERROR(__xludf.DUMMYFUNCTION("""COMPUTED_VALUE"""),20)</f>
        <v>20</v>
      </c>
      <c r="E202">
        <f ca="1">IFERROR(__xludf.DUMMYFUNCTION("""COMPUTED_VALUE"""),4)</f>
        <v>4</v>
      </c>
      <c r="F202">
        <f ca="1">IFERROR(__xludf.DUMMYFUNCTION("""COMPUTED_VALUE"""),25)</f>
        <v>25</v>
      </c>
      <c r="G202">
        <f ca="1">IFERROR(__xludf.DUMMYFUNCTION("""COMPUTED_VALUE"""),1)</f>
        <v>1</v>
      </c>
    </row>
    <row r="203" spans="1:7" ht="12.75">
      <c r="A203" t="str">
        <f ca="1">IFERROR(__xludf.DUMMYFUNCTION("""COMPUTED_VALUE"""),"T202")</f>
        <v>T202</v>
      </c>
      <c r="B203" t="str">
        <f ca="1">IFERROR(__xludf.DUMMYFUNCTION("""COMPUTED_VALUE"""),"T187")</f>
        <v>T187</v>
      </c>
      <c r="C203" t="str">
        <f ca="1">IFERROR(__xludf.DUMMYFUNCTION("""COMPUTED_VALUE"""),"Mark Anderson")</f>
        <v>Mark Anderson</v>
      </c>
      <c r="D203">
        <f ca="1">IFERROR(__xludf.DUMMYFUNCTION("""COMPUTED_VALUE"""),14)</f>
        <v>14</v>
      </c>
      <c r="E203">
        <f ca="1">IFERROR(__xludf.DUMMYFUNCTION("""COMPUTED_VALUE"""),0)</f>
        <v>0</v>
      </c>
      <c r="F203">
        <f ca="1">IFERROR(__xludf.DUMMYFUNCTION("""COMPUTED_VALUE"""),10)</f>
        <v>10</v>
      </c>
      <c r="G203" t="str">
        <f ca="1">IFERROR(__xludf.DUMMYFUNCTION("""COMPUTED_VALUE"""),"")</f>
        <v/>
      </c>
    </row>
    <row r="204" spans="1:7" ht="12.75">
      <c r="A204" t="str">
        <f ca="1">IFERROR(__xludf.DUMMYFUNCTION("""COMPUTED_VALUE"""),"T202")</f>
        <v>T202</v>
      </c>
      <c r="B204" t="str">
        <f ca="1">IFERROR(__xludf.DUMMYFUNCTION("""COMPUTED_VALUE"""),"T187")</f>
        <v>T187</v>
      </c>
      <c r="C204" t="str">
        <f ca="1">IFERROR(__xludf.DUMMYFUNCTION("""COMPUTED_VALUE"""),"Roger Sloan")</f>
        <v>Roger Sloan</v>
      </c>
      <c r="D204">
        <f ca="1">IFERROR(__xludf.DUMMYFUNCTION("""COMPUTED_VALUE"""),12)</f>
        <v>12</v>
      </c>
      <c r="E204">
        <f ca="1">IFERROR(__xludf.DUMMYFUNCTION("""COMPUTED_VALUE"""),0)</f>
        <v>0</v>
      </c>
      <c r="F204">
        <f ca="1">IFERROR(__xludf.DUMMYFUNCTION("""COMPUTED_VALUE"""),12)</f>
        <v>12</v>
      </c>
      <c r="G204" t="str">
        <f ca="1">IFERROR(__xludf.DUMMYFUNCTION("""COMPUTED_VALUE"""),"")</f>
        <v/>
      </c>
    </row>
    <row r="205" spans="1:7" ht="12.75">
      <c r="A205" t="str">
        <f ca="1">IFERROR(__xludf.DUMMYFUNCTION("""COMPUTED_VALUE"""),"T202")</f>
        <v>T202</v>
      </c>
      <c r="B205" t="str">
        <f ca="1">IFERROR(__xludf.DUMMYFUNCTION("""COMPUTED_VALUE"""),"T187")</f>
        <v>T187</v>
      </c>
      <c r="C205" t="str">
        <f ca="1">IFERROR(__xludf.DUMMYFUNCTION("""COMPUTED_VALUE"""),"Chan Kim")</f>
        <v>Chan Kim</v>
      </c>
      <c r="D205">
        <f ca="1">IFERROR(__xludf.DUMMYFUNCTION("""COMPUTED_VALUE"""),6)</f>
        <v>6</v>
      </c>
      <c r="E205">
        <f ca="1">IFERROR(__xludf.DUMMYFUNCTION("""COMPUTED_VALUE"""),0)</f>
        <v>0</v>
      </c>
      <c r="F205">
        <f ca="1">IFERROR(__xludf.DUMMYFUNCTION("""COMPUTED_VALUE"""),13)</f>
        <v>13</v>
      </c>
      <c r="G205" t="str">
        <f ca="1">IFERROR(__xludf.DUMMYFUNCTION("""COMPUTED_VALUE"""),"")</f>
        <v/>
      </c>
    </row>
    <row r="206" spans="1:7" ht="12.75">
      <c r="A206" t="str">
        <f ca="1">IFERROR(__xludf.DUMMYFUNCTION("""COMPUTED_VALUE"""),"T202")</f>
        <v>T202</v>
      </c>
      <c r="B206" t="str">
        <f ca="1">IFERROR(__xludf.DUMMYFUNCTION("""COMPUTED_VALUE"""),"T187")</f>
        <v>T187</v>
      </c>
      <c r="C206" t="str">
        <f ca="1">IFERROR(__xludf.DUMMYFUNCTION("""COMPUTED_VALUE"""),"Graham DeLaet")</f>
        <v>Graham DeLaet</v>
      </c>
      <c r="D206">
        <f ca="1">IFERROR(__xludf.DUMMYFUNCTION("""COMPUTED_VALUE"""),9)</f>
        <v>9</v>
      </c>
      <c r="E206">
        <f ca="1">IFERROR(__xludf.DUMMYFUNCTION("""COMPUTED_VALUE"""),0)</f>
        <v>0</v>
      </c>
      <c r="F206">
        <f ca="1">IFERROR(__xludf.DUMMYFUNCTION("""COMPUTED_VALUE"""),16)</f>
        <v>16</v>
      </c>
      <c r="G206" t="str">
        <f ca="1">IFERROR(__xludf.DUMMYFUNCTION("""COMPUTED_VALUE"""),"")</f>
        <v/>
      </c>
    </row>
    <row r="207" spans="1:7" ht="12.75">
      <c r="A207" t="str">
        <f ca="1">IFERROR(__xludf.DUMMYFUNCTION("""COMPUTED_VALUE"""),"T202")</f>
        <v>T202</v>
      </c>
      <c r="B207" t="str">
        <f ca="1">IFERROR(__xludf.DUMMYFUNCTION("""COMPUTED_VALUE"""),"T187")</f>
        <v>T187</v>
      </c>
      <c r="C207" t="str">
        <f ca="1">IFERROR(__xludf.DUMMYFUNCTION("""COMPUTED_VALUE"""),"Tim Wilkinson")</f>
        <v>Tim Wilkinson</v>
      </c>
      <c r="D207">
        <f ca="1">IFERROR(__xludf.DUMMYFUNCTION("""COMPUTED_VALUE"""),12)</f>
        <v>12</v>
      </c>
      <c r="E207">
        <f ca="1">IFERROR(__xludf.DUMMYFUNCTION("""COMPUTED_VALUE"""),0)</f>
        <v>0</v>
      </c>
      <c r="F207">
        <f ca="1">IFERROR(__xludf.DUMMYFUNCTION("""COMPUTED_VALUE"""),10)</f>
        <v>10</v>
      </c>
      <c r="G207" t="str">
        <f ca="1">IFERROR(__xludf.DUMMYFUNCTION("""COMPUTED_VALUE"""),"")</f>
        <v/>
      </c>
    </row>
    <row r="208" spans="1:7" ht="12.75">
      <c r="A208" t="str">
        <f ca="1">IFERROR(__xludf.DUMMYFUNCTION("""COMPUTED_VALUE"""),"T202")</f>
        <v>T202</v>
      </c>
      <c r="B208" t="str">
        <f ca="1">IFERROR(__xludf.DUMMYFUNCTION("""COMPUTED_VALUE"""),"T187")</f>
        <v>T187</v>
      </c>
      <c r="C208" t="str">
        <f ca="1">IFERROR(__xludf.DUMMYFUNCTION("""COMPUTED_VALUE"""),"John Pak")</f>
        <v>John Pak</v>
      </c>
      <c r="D208">
        <f ca="1">IFERROR(__xludf.DUMMYFUNCTION("""COMPUTED_VALUE"""),4)</f>
        <v>4</v>
      </c>
      <c r="E208">
        <f ca="1">IFERROR(__xludf.DUMMYFUNCTION("""COMPUTED_VALUE"""),0)</f>
        <v>0</v>
      </c>
      <c r="F208">
        <f ca="1">IFERROR(__xludf.DUMMYFUNCTION("""COMPUTED_VALUE"""),10)</f>
        <v>10</v>
      </c>
      <c r="G208" t="str">
        <f ca="1">IFERROR(__xludf.DUMMYFUNCTION("""COMPUTED_VALUE"""),"")</f>
        <v/>
      </c>
    </row>
    <row r="209" spans="1:7" ht="12.75">
      <c r="A209" t="str">
        <f ca="1">IFERROR(__xludf.DUMMYFUNCTION("""COMPUTED_VALUE"""),"T202")</f>
        <v>T202</v>
      </c>
      <c r="B209" t="str">
        <f ca="1">IFERROR(__xludf.DUMMYFUNCTION("""COMPUTED_VALUE"""),"")</f>
        <v/>
      </c>
      <c r="C209" t="str">
        <f ca="1">IFERROR(__xludf.DUMMYFUNCTION("""COMPUTED_VALUE"""),"Keith Mitchell")</f>
        <v>Keith Mitchell</v>
      </c>
      <c r="D209">
        <f ca="1">IFERROR(__xludf.DUMMYFUNCTION("""COMPUTED_VALUE"""),14)</f>
        <v>14</v>
      </c>
      <c r="E209">
        <f ca="1">IFERROR(__xludf.DUMMYFUNCTION("""COMPUTED_VALUE"""),0)</f>
        <v>0</v>
      </c>
      <c r="F209">
        <f ca="1">IFERROR(__xludf.DUMMYFUNCTION("""COMPUTED_VALUE"""),12)</f>
        <v>12</v>
      </c>
      <c r="G209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G183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IFERROR(__xludf.DUMMYFUNCTION("""COMPUTED_VALUE"""),"Bronson Burgoon")</f>
        <v>Bronson Burgoon</v>
      </c>
      <c r="D2">
        <f ca="1">IFERROR(__xludf.DUMMYFUNCTION("""COMPUTED_VALUE"""),10)</f>
        <v>10</v>
      </c>
      <c r="E2">
        <f ca="1">IFERROR(__xludf.DUMMYFUNCTION("""COMPUTED_VALUE"""),53.85)</f>
        <v>53.85</v>
      </c>
      <c r="F2">
        <f ca="1">IFERROR(__xludf.DUMMYFUNCTION("""COMPUTED_VALUE"""),13)</f>
        <v>13</v>
      </c>
      <c r="G2">
        <f ca="1">IFERROR(__xludf.DUMMYFUNCTION("""COMPUTED_VALUE"""),7)</f>
        <v>7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IFERROR(__xludf.DUMMYFUNCTION("""COMPUTED_VALUE"""),3)</f>
        <v>3</v>
      </c>
      <c r="C3" t="str">
        <f ca="1">IFERROR(__xludf.DUMMYFUNCTION("""COMPUTED_VALUE"""),"Jay McLuen")</f>
        <v>Jay McLuen</v>
      </c>
      <c r="D3">
        <f ca="1">IFERROR(__xludf.DUMMYFUNCTION("""COMPUTED_VALUE"""),4)</f>
        <v>4</v>
      </c>
      <c r="E3">
        <f ca="1">IFERROR(__xludf.DUMMYFUNCTION("""COMPUTED_VALUE"""),36.36)</f>
        <v>36.36</v>
      </c>
      <c r="F3">
        <f ca="1">IFERROR(__xludf.DUMMYFUNCTION("""COMPUTED_VALUE"""),11)</f>
        <v>11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IFERROR(__xludf.DUMMYFUNCTION("""COMPUTED_VALUE"""),"Tom Lewis")</f>
        <v>Tom Lewis</v>
      </c>
      <c r="D4">
        <f ca="1">IFERROR(__xludf.DUMMYFUNCTION("""COMPUTED_VALUE"""),12)</f>
        <v>12</v>
      </c>
      <c r="E4">
        <f ca="1">IFERROR(__xludf.DUMMYFUNCTION("""COMPUTED_VALUE"""),35.29)</f>
        <v>35.29</v>
      </c>
      <c r="F4">
        <f ca="1">IFERROR(__xludf.DUMMYFUNCTION("""COMPUTED_VALUE"""),17)</f>
        <v>17</v>
      </c>
      <c r="G4">
        <f ca="1">IFERROR(__xludf.DUMMYFUNCTION("""COMPUTED_VALUE"""),6)</f>
        <v>6</v>
      </c>
    </row>
    <row r="5" spans="1:7" ht="15.75" customHeight="1">
      <c r="A5" t="str">
        <f ca="1">IFERROR(__xludf.DUMMYFUNCTION("""COMPUTED_VALUE"""),"T4")</f>
        <v>T4</v>
      </c>
      <c r="B5" t="str">
        <f ca="1">IFERROR(__xludf.DUMMYFUNCTION("""COMPUTED_VALUE"""),"")</f>
        <v/>
      </c>
      <c r="C5" t="str">
        <f ca="1">IFERROR(__xludf.DUMMYFUNCTION("""COMPUTED_VALUE"""),"Tony Finau")</f>
        <v>Tony Finau</v>
      </c>
      <c r="D5">
        <f ca="1">IFERROR(__xludf.DUMMYFUNCTION("""COMPUTED_VALUE"""),12)</f>
        <v>12</v>
      </c>
      <c r="E5">
        <f ca="1">IFERROR(__xludf.DUMMYFUNCTION("""COMPUTED_VALUE"""),33.33)</f>
        <v>33.33</v>
      </c>
      <c r="F5">
        <f ca="1">IFERROR(__xludf.DUMMYFUNCTION("""COMPUTED_VALUE"""),12)</f>
        <v>12</v>
      </c>
      <c r="G5">
        <f ca="1">IFERROR(__xludf.DUMMYFUNCTION("""COMPUTED_VALUE"""),4)</f>
        <v>4</v>
      </c>
    </row>
    <row r="6" spans="1:7" ht="15.75" customHeight="1">
      <c r="A6" t="str">
        <f ca="1">IFERROR(__xludf.DUMMYFUNCTION("""COMPUTED_VALUE"""),"T4")</f>
        <v>T4</v>
      </c>
      <c r="B6" t="str">
        <f ca="1">IFERROR(__xludf.DUMMYFUNCTION("""COMPUTED_VALUE"""),"T4")</f>
        <v>T4</v>
      </c>
      <c r="C6" t="str">
        <f ca="1">IFERROR(__xludf.DUMMYFUNCTION("""COMPUTED_VALUE"""),"Takumi Kanaya")</f>
        <v>Takumi Kanaya</v>
      </c>
      <c r="D6">
        <f ca="1">IFERROR(__xludf.DUMMYFUNCTION("""COMPUTED_VALUE"""),6)</f>
        <v>6</v>
      </c>
      <c r="E6">
        <f ca="1">IFERROR(__xludf.DUMMYFUNCTION("""COMPUTED_VALUE"""),33.33)</f>
        <v>33.33</v>
      </c>
      <c r="F6">
        <f ca="1">IFERROR(__xludf.DUMMYFUNCTION("""COMPUTED_VALUE"""),12)</f>
        <v>12</v>
      </c>
      <c r="G6">
        <f ca="1">IFERROR(__xludf.DUMMYFUNCTION("""COMPUTED_VALUE"""),4)</f>
        <v>4</v>
      </c>
    </row>
    <row r="7" spans="1:7" ht="15.75" customHeight="1">
      <c r="A7" t="str">
        <f ca="1">IFERROR(__xludf.DUMMYFUNCTION("""COMPUTED_VALUE"""),"T4")</f>
        <v>T4</v>
      </c>
      <c r="B7" t="str">
        <f ca="1">IFERROR(__xludf.DUMMYFUNCTION("""COMPUTED_VALUE"""),"T4")</f>
        <v>T4</v>
      </c>
      <c r="C7" t="str">
        <f ca="1">IFERROR(__xludf.DUMMYFUNCTION("""COMPUTED_VALUE"""),"Joohyung Kim")</f>
        <v>Joohyung Kim</v>
      </c>
      <c r="D7">
        <f ca="1">IFERROR(__xludf.DUMMYFUNCTION("""COMPUTED_VALUE"""),12)</f>
        <v>12</v>
      </c>
      <c r="E7">
        <f ca="1">IFERROR(__xludf.DUMMYFUNCTION("""COMPUTED_VALUE"""),33.33)</f>
        <v>33.33</v>
      </c>
      <c r="F7">
        <f ca="1">IFERROR(__xludf.DUMMYFUNCTION("""COMPUTED_VALUE"""),12)</f>
        <v>12</v>
      </c>
      <c r="G7">
        <f ca="1">IFERROR(__xludf.DUMMYFUNCTION("""COMPUTED_VALUE"""),4)</f>
        <v>4</v>
      </c>
    </row>
    <row r="8" spans="1:7" ht="15.75" customHeight="1">
      <c r="A8" t="str">
        <f ca="1">IFERROR(__xludf.DUMMYFUNCTION("""COMPUTED_VALUE"""),"T7")</f>
        <v>T7</v>
      </c>
      <c r="B8" t="str">
        <f ca="1">IFERROR(__xludf.DUMMYFUNCTION("""COMPUTED_VALUE"""),"T6")</f>
        <v>T6</v>
      </c>
      <c r="C8" t="str">
        <f ca="1">IFERROR(__xludf.DUMMYFUNCTION("""COMPUTED_VALUE"""),"Matthew Fitzpatrick")</f>
        <v>Matthew Fitzpatrick</v>
      </c>
      <c r="D8">
        <f ca="1">IFERROR(__xludf.DUMMYFUNCTION("""COMPUTED_VALUE"""),10)</f>
        <v>10</v>
      </c>
      <c r="E8">
        <f ca="1">IFERROR(__xludf.DUMMYFUNCTION("""COMPUTED_VALUE"""),30.77)</f>
        <v>30.77</v>
      </c>
      <c r="F8">
        <f ca="1">IFERROR(__xludf.DUMMYFUNCTION("""COMPUTED_VALUE"""),13)</f>
        <v>13</v>
      </c>
      <c r="G8">
        <f ca="1">IFERROR(__xludf.DUMMYFUNCTION("""COMPUTED_VALUE"""),4)</f>
        <v>4</v>
      </c>
    </row>
    <row r="9" spans="1:7" ht="15.75" customHeight="1">
      <c r="A9" t="str">
        <f ca="1">IFERROR(__xludf.DUMMYFUNCTION("""COMPUTED_VALUE"""),"T7")</f>
        <v>T7</v>
      </c>
      <c r="B9" t="str">
        <f ca="1">IFERROR(__xludf.DUMMYFUNCTION("""COMPUTED_VALUE"""),"T6")</f>
        <v>T6</v>
      </c>
      <c r="C9" t="str">
        <f ca="1">IFERROR(__xludf.DUMMYFUNCTION("""COMPUTED_VALUE"""),"Kevin Kisner")</f>
        <v>Kevin Kisner</v>
      </c>
      <c r="D9">
        <f ca="1">IFERROR(__xludf.DUMMYFUNCTION("""COMPUTED_VALUE"""),10)</f>
        <v>10</v>
      </c>
      <c r="E9">
        <f ca="1">IFERROR(__xludf.DUMMYFUNCTION("""COMPUTED_VALUE"""),30.77)</f>
        <v>30.77</v>
      </c>
      <c r="F9">
        <f ca="1">IFERROR(__xludf.DUMMYFUNCTION("""COMPUTED_VALUE"""),13)</f>
        <v>13</v>
      </c>
      <c r="G9">
        <f ca="1">IFERROR(__xludf.DUMMYFUNCTION("""COMPUTED_VALUE"""),4)</f>
        <v>4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IFERROR(__xludf.DUMMYFUNCTION("""COMPUTED_VALUE"""),12)</f>
        <v>12</v>
      </c>
      <c r="C10" t="str">
        <f ca="1">IFERROR(__xludf.DUMMYFUNCTION("""COMPUTED_VALUE"""),"Jason Dufner")</f>
        <v>Jason Dufner</v>
      </c>
      <c r="D10">
        <f ca="1">IFERROR(__xludf.DUMMYFUNCTION("""COMPUTED_VALUE"""),14)</f>
        <v>14</v>
      </c>
      <c r="E10">
        <f ca="1">IFERROR(__xludf.DUMMYFUNCTION("""COMPUTED_VALUE"""),27.78)</f>
        <v>27.78</v>
      </c>
      <c r="F10">
        <f ca="1">IFERROR(__xludf.DUMMYFUNCTION("""COMPUTED_VALUE"""),18)</f>
        <v>18</v>
      </c>
      <c r="G10">
        <f ca="1">IFERROR(__xludf.DUMMYFUNCTION("""COMPUTED_VALUE"""),5)</f>
        <v>5</v>
      </c>
    </row>
    <row r="11" spans="1:7" ht="15.75" customHeight="1">
      <c r="A11" t="str">
        <f ca="1">IFERROR(__xludf.DUMMYFUNCTION("""COMPUTED_VALUE"""),"T10")</f>
        <v>T10</v>
      </c>
      <c r="B11" t="str">
        <f ca="1">IFERROR(__xludf.DUMMYFUNCTION("""COMPUTED_VALUE"""),"T9")</f>
        <v>T9</v>
      </c>
      <c r="C11" t="str">
        <f ca="1">IFERROR(__xludf.DUMMYFUNCTION("""COMPUTED_VALUE"""),"Tommy Fleetwood")</f>
        <v>Tommy Fleetwood</v>
      </c>
      <c r="D11">
        <f ca="1">IFERROR(__xludf.DUMMYFUNCTION("""COMPUTED_VALUE"""),10)</f>
        <v>10</v>
      </c>
      <c r="E11">
        <f ca="1">IFERROR(__xludf.DUMMYFUNCTION("""COMPUTED_VALUE"""),27.27)</f>
        <v>27.27</v>
      </c>
      <c r="F11">
        <f ca="1">IFERROR(__xludf.DUMMYFUNCTION("""COMPUTED_VALUE"""),11)</f>
        <v>11</v>
      </c>
      <c r="G11">
        <f ca="1">IFERROR(__xludf.DUMMYFUNCTION("""COMPUTED_VALUE"""),3)</f>
        <v>3</v>
      </c>
    </row>
    <row r="12" spans="1:7" ht="15.75" customHeight="1">
      <c r="A12" t="str">
        <f ca="1">IFERROR(__xludf.DUMMYFUNCTION("""COMPUTED_VALUE"""),"T10")</f>
        <v>T10</v>
      </c>
      <c r="B12" t="str">
        <f ca="1">IFERROR(__xludf.DUMMYFUNCTION("""COMPUTED_VALUE"""),"T29")</f>
        <v>T29</v>
      </c>
      <c r="C12" t="str">
        <f ca="1">IFERROR(__xludf.DUMMYFUNCTION("""COMPUTED_VALUE"""),"Sam Ryder")</f>
        <v>Sam Ryder</v>
      </c>
      <c r="D12">
        <f ca="1">IFERROR(__xludf.DUMMYFUNCTION("""COMPUTED_VALUE"""),12)</f>
        <v>12</v>
      </c>
      <c r="E12">
        <f ca="1">IFERROR(__xludf.DUMMYFUNCTION("""COMPUTED_VALUE"""),27.27)</f>
        <v>27.27</v>
      </c>
      <c r="F12">
        <f ca="1">IFERROR(__xludf.DUMMYFUNCTION("""COMPUTED_VALUE"""),11)</f>
        <v>11</v>
      </c>
      <c r="G12">
        <f ca="1">IFERROR(__xludf.DUMMYFUNCTION("""COMPUTED_VALUE"""),3)</f>
        <v>3</v>
      </c>
    </row>
    <row r="13" spans="1:7" ht="15.75" customHeight="1">
      <c r="A13" t="str">
        <f ca="1">IFERROR(__xludf.DUMMYFUNCTION("""COMPUTED_VALUE"""),"T10")</f>
        <v>T10</v>
      </c>
      <c r="B13" t="str">
        <f ca="1">IFERROR(__xludf.DUMMYFUNCTION("""COMPUTED_VALUE"""),"T9")</f>
        <v>T9</v>
      </c>
      <c r="C13" t="str">
        <f ca="1">IFERROR(__xludf.DUMMYFUNCTION("""COMPUTED_VALUE"""),"Sahith Theegala")</f>
        <v>Sahith Theegala</v>
      </c>
      <c r="D13">
        <f ca="1">IFERROR(__xludf.DUMMYFUNCTION("""COMPUTED_VALUE"""),6)</f>
        <v>6</v>
      </c>
      <c r="E13">
        <f ca="1">IFERROR(__xludf.DUMMYFUNCTION("""COMPUTED_VALUE"""),27.27)</f>
        <v>27.27</v>
      </c>
      <c r="F13">
        <f ca="1">IFERROR(__xludf.DUMMYFUNCTION("""COMPUTED_VALUE"""),11)</f>
        <v>11</v>
      </c>
      <c r="G13">
        <f ca="1">IFERROR(__xludf.DUMMYFUNCTION("""COMPUTED_VALUE"""),3)</f>
        <v>3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IFERROR(__xludf.DUMMYFUNCTION("""COMPUTED_VALUE"""),"T9")</f>
        <v>T9</v>
      </c>
      <c r="C14" t="str">
        <f ca="1">IFERROR(__xludf.DUMMYFUNCTION("""COMPUTED_VALUE"""),"David Hearn")</f>
        <v>David Hearn</v>
      </c>
      <c r="D14">
        <f ca="1">IFERROR(__xludf.DUMMYFUNCTION("""COMPUTED_VALUE"""),16)</f>
        <v>16</v>
      </c>
      <c r="E14">
        <f ca="1">IFERROR(__xludf.DUMMYFUNCTION("""COMPUTED_VALUE"""),26.67)</f>
        <v>26.67</v>
      </c>
      <c r="F14">
        <f ca="1">IFERROR(__xludf.DUMMYFUNCTION("""COMPUTED_VALUE"""),15)</f>
        <v>15</v>
      </c>
      <c r="G14">
        <f ca="1">IFERROR(__xludf.DUMMYFUNCTION("""COMPUTED_VALUE"""),4)</f>
        <v>4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IFERROR(__xludf.DUMMYFUNCTION("""COMPUTED_VALUE"""),13)</f>
        <v>13</v>
      </c>
      <c r="C15" t="str">
        <f ca="1">IFERROR(__xludf.DUMMYFUNCTION("""COMPUTED_VALUE"""),"Cameron Percy")</f>
        <v>Cameron Percy</v>
      </c>
      <c r="D15">
        <f ca="1">IFERROR(__xludf.DUMMYFUNCTION("""COMPUTED_VALUE"""),16)</f>
        <v>16</v>
      </c>
      <c r="E15">
        <f ca="1">IFERROR(__xludf.DUMMYFUNCTION("""COMPUTED_VALUE"""),26.32)</f>
        <v>26.32</v>
      </c>
      <c r="F15">
        <f ca="1">IFERROR(__xludf.DUMMYFUNCTION("""COMPUTED_VALUE"""),19)</f>
        <v>19</v>
      </c>
      <c r="G15">
        <f ca="1">IFERROR(__xludf.DUMMYFUNCTION("""COMPUTED_VALUE"""),5)</f>
        <v>5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IFERROR(__xludf.DUMMYFUNCTION("""COMPUTED_VALUE"""),8)</f>
        <v>8</v>
      </c>
      <c r="C16" t="str">
        <f ca="1">IFERROR(__xludf.DUMMYFUNCTION("""COMPUTED_VALUE"""),"Patton Kizzire")</f>
        <v>Patton Kizzire</v>
      </c>
      <c r="D16">
        <f ca="1">IFERROR(__xludf.DUMMYFUNCTION("""COMPUTED_VALUE"""),18)</f>
        <v>18</v>
      </c>
      <c r="E16">
        <f ca="1">IFERROR(__xludf.DUMMYFUNCTION("""COMPUTED_VALUE"""),26.09)</f>
        <v>26.09</v>
      </c>
      <c r="F16">
        <f ca="1">IFERROR(__xludf.DUMMYFUNCTION("""COMPUTED_VALUE"""),23)</f>
        <v>23</v>
      </c>
      <c r="G16">
        <f ca="1">IFERROR(__xludf.DUMMYFUNCTION("""COMPUTED_VALUE"""),6)</f>
        <v>6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IFERROR(__xludf.DUMMYFUNCTION("""COMPUTED_VALUE"""),"T14")</f>
        <v>T14</v>
      </c>
      <c r="C17" t="str">
        <f ca="1">IFERROR(__xludf.DUMMYFUNCTION("""COMPUTED_VALUE"""),"Jason Kokrak")</f>
        <v>Jason Kokrak</v>
      </c>
      <c r="D17">
        <f ca="1">IFERROR(__xludf.DUMMYFUNCTION("""COMPUTED_VALUE"""),14)</f>
        <v>14</v>
      </c>
      <c r="E17">
        <f ca="1">IFERROR(__xludf.DUMMYFUNCTION("""COMPUTED_VALUE"""),25)</f>
        <v>25</v>
      </c>
      <c r="F17">
        <f ca="1">IFERROR(__xludf.DUMMYFUNCTION("""COMPUTED_VALUE"""),20)</f>
        <v>20</v>
      </c>
      <c r="G17">
        <f ca="1">IFERROR(__xludf.DUMMYFUNCTION("""COMPUTED_VALUE"""),5)</f>
        <v>5</v>
      </c>
    </row>
    <row r="18" spans="1:7" ht="15.75" customHeight="1">
      <c r="A18" t="str">
        <f ca="1">IFERROR(__xludf.DUMMYFUNCTION("""COMPUTED_VALUE"""),"T16")</f>
        <v>T16</v>
      </c>
      <c r="B18" t="str">
        <f ca="1">IFERROR(__xludf.DUMMYFUNCTION("""COMPUTED_VALUE"""),"T14")</f>
        <v>T14</v>
      </c>
      <c r="C18" t="str">
        <f ca="1">IFERROR(__xludf.DUMMYFUNCTION("""COMPUTED_VALUE"""),"Harry Higgs")</f>
        <v>Harry Higgs</v>
      </c>
      <c r="D18">
        <f ca="1">IFERROR(__xludf.DUMMYFUNCTION("""COMPUTED_VALUE"""),14)</f>
        <v>14</v>
      </c>
      <c r="E18">
        <f ca="1">IFERROR(__xludf.DUMMYFUNCTION("""COMPUTED_VALUE"""),25)</f>
        <v>25</v>
      </c>
      <c r="F18">
        <f ca="1">IFERROR(__xludf.DUMMYFUNCTION("""COMPUTED_VALUE"""),20)</f>
        <v>20</v>
      </c>
      <c r="G18">
        <f ca="1">IFERROR(__xludf.DUMMYFUNCTION("""COMPUTED_VALUE"""),5)</f>
        <v>5</v>
      </c>
    </row>
    <row r="19" spans="1:7" ht="15.75" customHeight="1">
      <c r="A19">
        <f ca="1">IFERROR(__xludf.DUMMYFUNCTION("""COMPUTED_VALUE"""),18)</f>
        <v>18</v>
      </c>
      <c r="B19" t="str">
        <f ca="1">IFERROR(__xludf.DUMMYFUNCTION("""COMPUTED_VALUE"""),"T18")</f>
        <v>T18</v>
      </c>
      <c r="C19" t="str">
        <f ca="1">IFERROR(__xludf.DUMMYFUNCTION("""COMPUTED_VALUE"""),"Ryan Blaum")</f>
        <v>Ryan Blaum</v>
      </c>
      <c r="D19">
        <f ca="1">IFERROR(__xludf.DUMMYFUNCTION("""COMPUTED_VALUE"""),8)</f>
        <v>8</v>
      </c>
      <c r="E19">
        <f ca="1">IFERROR(__xludf.DUMMYFUNCTION("""COMPUTED_VALUE"""),23.08)</f>
        <v>23.08</v>
      </c>
      <c r="F19">
        <f ca="1">IFERROR(__xludf.DUMMYFUNCTION("""COMPUTED_VALUE"""),13)</f>
        <v>13</v>
      </c>
      <c r="G19">
        <f ca="1">IFERROR(__xludf.DUMMYFUNCTION("""COMPUTED_VALUE"""),3)</f>
        <v>3</v>
      </c>
    </row>
    <row r="20" spans="1:7" ht="15.75" customHeight="1">
      <c r="A20" t="str">
        <f ca="1">IFERROR(__xludf.DUMMYFUNCTION("""COMPUTED_VALUE"""),"T19")</f>
        <v>T19</v>
      </c>
      <c r="B20" t="str">
        <f ca="1">IFERROR(__xludf.DUMMYFUNCTION("""COMPUTED_VALUE"""),"T23")</f>
        <v>T23</v>
      </c>
      <c r="C20" t="str">
        <f ca="1">IFERROR(__xludf.DUMMYFUNCTION("""COMPUTED_VALUE"""),"Adam Hadwin")</f>
        <v>Adam Hadwin</v>
      </c>
      <c r="D20">
        <f ca="1">IFERROR(__xludf.DUMMYFUNCTION("""COMPUTED_VALUE"""),16)</f>
        <v>16</v>
      </c>
      <c r="E20">
        <f ca="1">IFERROR(__xludf.DUMMYFUNCTION("""COMPUTED_VALUE"""),22.22)</f>
        <v>22.22</v>
      </c>
      <c r="F20">
        <f ca="1">IFERROR(__xludf.DUMMYFUNCTION("""COMPUTED_VALUE"""),18)</f>
        <v>18</v>
      </c>
      <c r="G20">
        <f ca="1">IFERROR(__xludf.DUMMYFUNCTION("""COMPUTED_VALUE"""),4)</f>
        <v>4</v>
      </c>
    </row>
    <row r="21" spans="1:7" ht="15.75" customHeight="1">
      <c r="A21" t="str">
        <f ca="1">IFERROR(__xludf.DUMMYFUNCTION("""COMPUTED_VALUE"""),"T19")</f>
        <v>T19</v>
      </c>
      <c r="B21" t="str">
        <f ca="1">IFERROR(__xludf.DUMMYFUNCTION("""COMPUTED_VALUE"""),"T23")</f>
        <v>T23</v>
      </c>
      <c r="C21" t="str">
        <f ca="1">IFERROR(__xludf.DUMMYFUNCTION("""COMPUTED_VALUE"""),"Justin Thomas")</f>
        <v>Justin Thomas</v>
      </c>
      <c r="D21">
        <f ca="1">IFERROR(__xludf.DUMMYFUNCTION("""COMPUTED_VALUE"""),12)</f>
        <v>12</v>
      </c>
      <c r="E21">
        <f ca="1">IFERROR(__xludf.DUMMYFUNCTION("""COMPUTED_VALUE"""),22.22)</f>
        <v>22.22</v>
      </c>
      <c r="F21">
        <f ca="1">IFERROR(__xludf.DUMMYFUNCTION("""COMPUTED_VALUE"""),18)</f>
        <v>18</v>
      </c>
      <c r="G21">
        <f ca="1">IFERROR(__xludf.DUMMYFUNCTION("""COMPUTED_VALUE"""),4)</f>
        <v>4</v>
      </c>
    </row>
    <row r="22" spans="1:7" ht="15.75" customHeight="1">
      <c r="A22" t="str">
        <f ca="1">IFERROR(__xludf.DUMMYFUNCTION("""COMPUTED_VALUE"""),"T19")</f>
        <v>T19</v>
      </c>
      <c r="B22" t="str">
        <f ca="1">IFERROR(__xludf.DUMMYFUNCTION("""COMPUTED_VALUE"""),"T14")</f>
        <v>T14</v>
      </c>
      <c r="C22" t="str">
        <f ca="1">IFERROR(__xludf.DUMMYFUNCTION("""COMPUTED_VALUE"""),"Adam Schenk")</f>
        <v>Adam Schenk</v>
      </c>
      <c r="D22">
        <f ca="1">IFERROR(__xludf.DUMMYFUNCTION("""COMPUTED_VALUE"""),22)</f>
        <v>22</v>
      </c>
      <c r="E22">
        <f ca="1">IFERROR(__xludf.DUMMYFUNCTION("""COMPUTED_VALUE"""),22.22)</f>
        <v>22.22</v>
      </c>
      <c r="F22">
        <f ca="1">IFERROR(__xludf.DUMMYFUNCTION("""COMPUTED_VALUE"""),18)</f>
        <v>18</v>
      </c>
      <c r="G22">
        <f ca="1">IFERROR(__xludf.DUMMYFUNCTION("""COMPUTED_VALUE"""),4)</f>
        <v>4</v>
      </c>
    </row>
    <row r="23" spans="1:7" ht="15.75" customHeight="1">
      <c r="A23" t="str">
        <f ca="1">IFERROR(__xludf.DUMMYFUNCTION("""COMPUTED_VALUE"""),"T19")</f>
        <v>T19</v>
      </c>
      <c r="B23" t="str">
        <f ca="1">IFERROR(__xludf.DUMMYFUNCTION("""COMPUTED_VALUE"""),"T23")</f>
        <v>T23</v>
      </c>
      <c r="C23" t="str">
        <f ca="1">IFERROR(__xludf.DUMMYFUNCTION("""COMPUTED_VALUE"""),"Robby Shelton")</f>
        <v>Robby Shelton</v>
      </c>
      <c r="D23">
        <f ca="1">IFERROR(__xludf.DUMMYFUNCTION("""COMPUTED_VALUE"""),14)</f>
        <v>14</v>
      </c>
      <c r="E23">
        <f ca="1">IFERROR(__xludf.DUMMYFUNCTION("""COMPUTED_VALUE"""),22.22)</f>
        <v>22.22</v>
      </c>
      <c r="F23">
        <f ca="1">IFERROR(__xludf.DUMMYFUNCTION("""COMPUTED_VALUE"""),18)</f>
        <v>18</v>
      </c>
      <c r="G23">
        <f ca="1">IFERROR(__xludf.DUMMYFUNCTION("""COMPUTED_VALUE"""),4)</f>
        <v>4</v>
      </c>
    </row>
    <row r="24" spans="1:7" ht="15.75" customHeight="1">
      <c r="A24" t="str">
        <f ca="1">IFERROR(__xludf.DUMMYFUNCTION("""COMPUTED_VALUE"""),"T23")</f>
        <v>T23</v>
      </c>
      <c r="B24" t="str">
        <f ca="1">IFERROR(__xludf.DUMMYFUNCTION("""COMPUTED_VALUE"""),"T29")</f>
        <v>T29</v>
      </c>
      <c r="C24" t="str">
        <f ca="1">IFERROR(__xludf.DUMMYFUNCTION("""COMPUTED_VALUE"""),"Aaron Wise")</f>
        <v>Aaron Wise</v>
      </c>
      <c r="D24">
        <f ca="1">IFERROR(__xludf.DUMMYFUNCTION("""COMPUTED_VALUE"""),16)</f>
        <v>16</v>
      </c>
      <c r="E24">
        <f ca="1">IFERROR(__xludf.DUMMYFUNCTION("""COMPUTED_VALUE"""),21.43)</f>
        <v>21.43</v>
      </c>
      <c r="F24">
        <f ca="1">IFERROR(__xludf.DUMMYFUNCTION("""COMPUTED_VALUE"""),14)</f>
        <v>14</v>
      </c>
      <c r="G24">
        <f ca="1">IFERROR(__xludf.DUMMYFUNCTION("""COMPUTED_VALUE"""),3)</f>
        <v>3</v>
      </c>
    </row>
    <row r="25" spans="1:7" ht="15.75" customHeight="1">
      <c r="A25" t="str">
        <f ca="1">IFERROR(__xludf.DUMMYFUNCTION("""COMPUTED_VALUE"""),"T23")</f>
        <v>T23</v>
      </c>
      <c r="B25" t="str">
        <f ca="1">IFERROR(__xludf.DUMMYFUNCTION("""COMPUTED_VALUE"""),"")</f>
        <v/>
      </c>
      <c r="C25" t="str">
        <f ca="1">IFERROR(__xludf.DUMMYFUNCTION("""COMPUTED_VALUE"""),"Bo Van Pelt")</f>
        <v>Bo Van Pelt</v>
      </c>
      <c r="D25">
        <f ca="1">IFERROR(__xludf.DUMMYFUNCTION("""COMPUTED_VALUE"""),10)</f>
        <v>10</v>
      </c>
      <c r="E25">
        <f ca="1">IFERROR(__xludf.DUMMYFUNCTION("""COMPUTED_VALUE"""),21.43)</f>
        <v>21.43</v>
      </c>
      <c r="F25">
        <f ca="1">IFERROR(__xludf.DUMMYFUNCTION("""COMPUTED_VALUE"""),14)</f>
        <v>14</v>
      </c>
      <c r="G25">
        <f ca="1">IFERROR(__xludf.DUMMYFUNCTION("""COMPUTED_VALUE"""),3)</f>
        <v>3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IFERROR(__xludf.DUMMYFUNCTION("""COMPUTED_VALUE"""),"T113")</f>
        <v>T113</v>
      </c>
      <c r="C26" t="str">
        <f ca="1">IFERROR(__xludf.DUMMYFUNCTION("""COMPUTED_VALUE"""),"Cameron Davis")</f>
        <v>Cameron Davis</v>
      </c>
      <c r="D26">
        <f ca="1">IFERROR(__xludf.DUMMYFUNCTION("""COMPUTED_VALUE"""),16)</f>
        <v>16</v>
      </c>
      <c r="E26">
        <f ca="1">IFERROR(__xludf.DUMMYFUNCTION("""COMPUTED_VALUE"""),21.05)</f>
        <v>21.05</v>
      </c>
      <c r="F26">
        <f ca="1">IFERROR(__xludf.DUMMYFUNCTION("""COMPUTED_VALUE"""),19)</f>
        <v>19</v>
      </c>
      <c r="G26">
        <f ca="1">IFERROR(__xludf.DUMMYFUNCTION("""COMPUTED_VALUE"""),4)</f>
        <v>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IFERROR(__xludf.DUMMYFUNCTION("""COMPUTED_VALUE"""),28)</f>
        <v>28</v>
      </c>
      <c r="C27" t="str">
        <f ca="1">IFERROR(__xludf.DUMMYFUNCTION("""COMPUTED_VALUE"""),"Louis Oosthuizen")</f>
        <v>Louis Oosthuizen</v>
      </c>
      <c r="D27">
        <f ca="1">IFERROR(__xludf.DUMMYFUNCTION("""COMPUTED_VALUE"""),12)</f>
        <v>12</v>
      </c>
      <c r="E27">
        <f ca="1">IFERROR(__xludf.DUMMYFUNCTION("""COMPUTED_VALUE"""),20.83)</f>
        <v>20.83</v>
      </c>
      <c r="F27">
        <f ca="1">IFERROR(__xludf.DUMMYFUNCTION("""COMPUTED_VALUE"""),24)</f>
        <v>24</v>
      </c>
      <c r="G27">
        <f ca="1">IFERROR(__xludf.DUMMYFUNCTION("""COMPUTED_VALUE"""),5)</f>
        <v>5</v>
      </c>
    </row>
    <row r="28" spans="1:7" ht="15.75" customHeight="1">
      <c r="A28" t="str">
        <f ca="1">IFERROR(__xludf.DUMMYFUNCTION("""COMPUTED_VALUE"""),"T27")</f>
        <v>T27</v>
      </c>
      <c r="B28" t="str">
        <f ca="1">IFERROR(__xludf.DUMMYFUNCTION("""COMPUTED_VALUE"""),"")</f>
        <v/>
      </c>
      <c r="C28" t="str">
        <f ca="1">IFERROR(__xludf.DUMMYFUNCTION("""COMPUTED_VALUE"""),"Adam Scott")</f>
        <v>Adam Scott</v>
      </c>
      <c r="D28">
        <f ca="1">IFERROR(__xludf.DUMMYFUNCTION("""COMPUTED_VALUE"""),8)</f>
        <v>8</v>
      </c>
      <c r="E28">
        <f ca="1">IFERROR(__xludf.DUMMYFUNCTION("""COMPUTED_VALUE"""),20)</f>
        <v>20</v>
      </c>
      <c r="F28">
        <f ca="1">IFERROR(__xludf.DUMMYFUNCTION("""COMPUTED_VALUE"""),10)</f>
        <v>10</v>
      </c>
      <c r="G28">
        <f ca="1">IFERROR(__xludf.DUMMYFUNCTION("""COMPUTED_VALUE"""),2)</f>
        <v>2</v>
      </c>
    </row>
    <row r="29" spans="1:7" ht="15.75" customHeight="1">
      <c r="A29" t="str">
        <f ca="1">IFERROR(__xludf.DUMMYFUNCTION("""COMPUTED_VALUE"""),"T27")</f>
        <v>T27</v>
      </c>
      <c r="B29" t="str">
        <f ca="1">IFERROR(__xludf.DUMMYFUNCTION("""COMPUTED_VALUE"""),"T29")</f>
        <v>T29</v>
      </c>
      <c r="C29" t="str">
        <f ca="1">IFERROR(__xludf.DUMMYFUNCTION("""COMPUTED_VALUE"""),"Stewart Cink")</f>
        <v>Stewart Cink</v>
      </c>
      <c r="D29">
        <f ca="1">IFERROR(__xludf.DUMMYFUNCTION("""COMPUTED_VALUE"""),18)</f>
        <v>18</v>
      </c>
      <c r="E29">
        <f ca="1">IFERROR(__xludf.DUMMYFUNCTION("""COMPUTED_VALUE"""),20)</f>
        <v>20</v>
      </c>
      <c r="F29">
        <f ca="1">IFERROR(__xludf.DUMMYFUNCTION("""COMPUTED_VALUE"""),25)</f>
        <v>25</v>
      </c>
      <c r="G29">
        <f ca="1">IFERROR(__xludf.DUMMYFUNCTION("""COMPUTED_VALUE"""),5)</f>
        <v>5</v>
      </c>
    </row>
    <row r="30" spans="1:7" ht="15.75" customHeight="1">
      <c r="A30" t="str">
        <f ca="1">IFERROR(__xludf.DUMMYFUNCTION("""COMPUTED_VALUE"""),"T27")</f>
        <v>T27</v>
      </c>
      <c r="B30" t="str">
        <f ca="1">IFERROR(__xludf.DUMMYFUNCTION("""COMPUTED_VALUE"""),"T77")</f>
        <v>T77</v>
      </c>
      <c r="C30" t="str">
        <f ca="1">IFERROR(__xludf.DUMMYFUNCTION("""COMPUTED_VALUE"""),"Brandt Snedeker")</f>
        <v>Brandt Snedeker</v>
      </c>
      <c r="D30">
        <f ca="1">IFERROR(__xludf.DUMMYFUNCTION("""COMPUTED_VALUE"""),16)</f>
        <v>16</v>
      </c>
      <c r="E30">
        <f ca="1">IFERROR(__xludf.DUMMYFUNCTION("""COMPUTED_VALUE"""),20)</f>
        <v>20</v>
      </c>
      <c r="F30">
        <f ca="1">IFERROR(__xludf.DUMMYFUNCTION("""COMPUTED_VALUE"""),25)</f>
        <v>25</v>
      </c>
      <c r="G30">
        <f ca="1">IFERROR(__xludf.DUMMYFUNCTION("""COMPUTED_VALUE"""),5)</f>
        <v>5</v>
      </c>
    </row>
    <row r="31" spans="1:7" ht="12.75">
      <c r="A31" t="str">
        <f ca="1">IFERROR(__xludf.DUMMYFUNCTION("""COMPUTED_VALUE"""),"T27")</f>
        <v>T27</v>
      </c>
      <c r="B31" t="str">
        <f ca="1">IFERROR(__xludf.DUMMYFUNCTION("""COMPUTED_VALUE"""),"T29")</f>
        <v>T29</v>
      </c>
      <c r="C31" t="str">
        <f ca="1">IFERROR(__xludf.DUMMYFUNCTION("""COMPUTED_VALUE"""),"Rob Oppenheim")</f>
        <v>Rob Oppenheim</v>
      </c>
      <c r="D31">
        <f ca="1">IFERROR(__xludf.DUMMYFUNCTION("""COMPUTED_VALUE"""),16)</f>
        <v>16</v>
      </c>
      <c r="E31">
        <f ca="1">IFERROR(__xludf.DUMMYFUNCTION("""COMPUTED_VALUE"""),20)</f>
        <v>20</v>
      </c>
      <c r="F31">
        <f ca="1">IFERROR(__xludf.DUMMYFUNCTION("""COMPUTED_VALUE"""),20)</f>
        <v>20</v>
      </c>
      <c r="G31">
        <f ca="1">IFERROR(__xludf.DUMMYFUNCTION("""COMPUTED_VALUE"""),4)</f>
        <v>4</v>
      </c>
    </row>
    <row r="32" spans="1:7" ht="12.75">
      <c r="A32" t="str">
        <f ca="1">IFERROR(__xludf.DUMMYFUNCTION("""COMPUTED_VALUE"""),"T27")</f>
        <v>T27</v>
      </c>
      <c r="B32" t="str">
        <f ca="1">IFERROR(__xludf.DUMMYFUNCTION("""COMPUTED_VALUE"""),"T77")</f>
        <v>T77</v>
      </c>
      <c r="C32" t="str">
        <f ca="1">IFERROR(__xludf.DUMMYFUNCTION("""COMPUTED_VALUE"""),"Satoshi Kodaira")</f>
        <v>Satoshi Kodaira</v>
      </c>
      <c r="D32">
        <f ca="1">IFERROR(__xludf.DUMMYFUNCTION("""COMPUTED_VALUE"""),12)</f>
        <v>12</v>
      </c>
      <c r="E32">
        <f ca="1">IFERROR(__xludf.DUMMYFUNCTION("""COMPUTED_VALUE"""),20)</f>
        <v>20</v>
      </c>
      <c r="F32">
        <f ca="1">IFERROR(__xludf.DUMMYFUNCTION("""COMPUTED_VALUE"""),25)</f>
        <v>25</v>
      </c>
      <c r="G32">
        <f ca="1">IFERROR(__xludf.DUMMYFUNCTION("""COMPUTED_VALUE"""),5)</f>
        <v>5</v>
      </c>
    </row>
    <row r="33" spans="1:7" ht="12.75">
      <c r="A33" t="str">
        <f ca="1">IFERROR(__xludf.DUMMYFUNCTION("""COMPUTED_VALUE"""),"T27")</f>
        <v>T27</v>
      </c>
      <c r="B33" t="str">
        <f ca="1">IFERROR(__xludf.DUMMYFUNCTION("""COMPUTED_VALUE"""),"T49")</f>
        <v>T49</v>
      </c>
      <c r="C33" t="str">
        <f ca="1">IFERROR(__xludf.DUMMYFUNCTION("""COMPUTED_VALUE"""),"Hudson Swafford")</f>
        <v>Hudson Swafford</v>
      </c>
      <c r="D33">
        <f ca="1">IFERROR(__xludf.DUMMYFUNCTION("""COMPUTED_VALUE"""),18)</f>
        <v>18</v>
      </c>
      <c r="E33">
        <f ca="1">IFERROR(__xludf.DUMMYFUNCTION("""COMPUTED_VALUE"""),20)</f>
        <v>20</v>
      </c>
      <c r="F33">
        <f ca="1">IFERROR(__xludf.DUMMYFUNCTION("""COMPUTED_VALUE"""),15)</f>
        <v>15</v>
      </c>
      <c r="G33">
        <f ca="1">IFERROR(__xludf.DUMMYFUNCTION("""COMPUTED_VALUE"""),3)</f>
        <v>3</v>
      </c>
    </row>
    <row r="34" spans="1:7" ht="12.75">
      <c r="A34" t="str">
        <f ca="1">IFERROR(__xludf.DUMMYFUNCTION("""COMPUTED_VALUE"""),"T27")</f>
        <v>T27</v>
      </c>
      <c r="B34" t="str">
        <f ca="1">IFERROR(__xludf.DUMMYFUNCTION("""COMPUTED_VALUE"""),"T29")</f>
        <v>T29</v>
      </c>
      <c r="C34" t="str">
        <f ca="1">IFERROR(__xludf.DUMMYFUNCTION("""COMPUTED_VALUE"""),"Daniel Berger")</f>
        <v>Daniel Berger</v>
      </c>
      <c r="D34">
        <f ca="1">IFERROR(__xludf.DUMMYFUNCTION("""COMPUTED_VALUE"""),12)</f>
        <v>12</v>
      </c>
      <c r="E34">
        <f ca="1">IFERROR(__xludf.DUMMYFUNCTION("""COMPUTED_VALUE"""),20)</f>
        <v>20</v>
      </c>
      <c r="F34">
        <f ca="1">IFERROR(__xludf.DUMMYFUNCTION("""COMPUTED_VALUE"""),15)</f>
        <v>15</v>
      </c>
      <c r="G34">
        <f ca="1">IFERROR(__xludf.DUMMYFUNCTION("""COMPUTED_VALUE"""),3)</f>
        <v>3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IFERROR(__xludf.DUMMYFUNCTION("""COMPUTED_VALUE"""),22)</f>
        <v>22</v>
      </c>
      <c r="C35" t="str">
        <f ca="1">IFERROR(__xludf.DUMMYFUNCTION("""COMPUTED_VALUE"""),"Tom Hoge")</f>
        <v>Tom Hoge</v>
      </c>
      <c r="D35">
        <f ca="1">IFERROR(__xludf.DUMMYFUNCTION("""COMPUTED_VALUE"""),22)</f>
        <v>22</v>
      </c>
      <c r="E35">
        <f ca="1">IFERROR(__xludf.DUMMYFUNCTION("""COMPUTED_VALUE"""),19.23)</f>
        <v>19.23</v>
      </c>
      <c r="F35">
        <f ca="1">IFERROR(__xludf.DUMMYFUNCTION("""COMPUTED_VALUE"""),26)</f>
        <v>26</v>
      </c>
      <c r="G35">
        <f ca="1">IFERROR(__xludf.DUMMYFUNCTION("""COMPUTED_VALUE"""),5)</f>
        <v>5</v>
      </c>
    </row>
    <row r="36" spans="1:7" ht="12.75">
      <c r="A36" t="str">
        <f ca="1">IFERROR(__xludf.DUMMYFUNCTION("""COMPUTED_VALUE"""),"T35")</f>
        <v>T35</v>
      </c>
      <c r="B36">
        <f ca="1">IFERROR(__xludf.DUMMYFUNCTION("""COMPUTED_VALUE"""),39)</f>
        <v>39</v>
      </c>
      <c r="C36" t="str">
        <f ca="1">IFERROR(__xludf.DUMMYFUNCTION("""COMPUTED_VALUE"""),"Cameron Smith")</f>
        <v>Cameron Smith</v>
      </c>
      <c r="D36">
        <f ca="1">IFERROR(__xludf.DUMMYFUNCTION("""COMPUTED_VALUE"""),16)</f>
        <v>16</v>
      </c>
      <c r="E36">
        <f ca="1">IFERROR(__xludf.DUMMYFUNCTION("""COMPUTED_VALUE"""),19.05)</f>
        <v>19.05</v>
      </c>
      <c r="F36">
        <f ca="1">IFERROR(__xludf.DUMMYFUNCTION("""COMPUTED_VALUE"""),21)</f>
        <v>21</v>
      </c>
      <c r="G36">
        <f ca="1">IFERROR(__xludf.DUMMYFUNCTION("""COMPUTED_VALUE"""),4)</f>
        <v>4</v>
      </c>
    </row>
    <row r="37" spans="1:7" ht="12.75">
      <c r="A37" t="str">
        <f ca="1">IFERROR(__xludf.DUMMYFUNCTION("""COMPUTED_VALUE"""),"T35")</f>
        <v>T35</v>
      </c>
      <c r="B37">
        <f ca="1">IFERROR(__xludf.DUMMYFUNCTION("""COMPUTED_VALUE"""),26)</f>
        <v>26</v>
      </c>
      <c r="C37" t="str">
        <f ca="1">IFERROR(__xludf.DUMMYFUNCTION("""COMPUTED_VALUE"""),"Tyrrell Hatton")</f>
        <v>Tyrrell Hatton</v>
      </c>
      <c r="D37">
        <f ca="1">IFERROR(__xludf.DUMMYFUNCTION("""COMPUTED_VALUE"""),14)</f>
        <v>14</v>
      </c>
      <c r="E37">
        <f ca="1">IFERROR(__xludf.DUMMYFUNCTION("""COMPUTED_VALUE"""),19.05)</f>
        <v>19.05</v>
      </c>
      <c r="F37">
        <f ca="1">IFERROR(__xludf.DUMMYFUNCTION("""COMPUTED_VALUE"""),21)</f>
        <v>21</v>
      </c>
      <c r="G37">
        <f ca="1">IFERROR(__xludf.DUMMYFUNCTION("""COMPUTED_VALUE"""),4)</f>
        <v>4</v>
      </c>
    </row>
    <row r="38" spans="1:7" ht="12.75">
      <c r="A38" t="str">
        <f ca="1">IFERROR(__xludf.DUMMYFUNCTION("""COMPUTED_VALUE"""),"T37")</f>
        <v>T37</v>
      </c>
      <c r="B38" t="str">
        <f ca="1">IFERROR(__xludf.DUMMYFUNCTION("""COMPUTED_VALUE"""),"T18")</f>
        <v>T18</v>
      </c>
      <c r="C38" t="str">
        <f ca="1">IFERROR(__xludf.DUMMYFUNCTION("""COMPUTED_VALUE"""),"Jamie Lovemark")</f>
        <v>Jamie Lovemark</v>
      </c>
      <c r="D38">
        <f ca="1">IFERROR(__xludf.DUMMYFUNCTION("""COMPUTED_VALUE"""),18)</f>
        <v>18</v>
      </c>
      <c r="E38">
        <f ca="1">IFERROR(__xludf.DUMMYFUNCTION("""COMPUTED_VALUE"""),18.75)</f>
        <v>18.75</v>
      </c>
      <c r="F38">
        <f ca="1">IFERROR(__xludf.DUMMYFUNCTION("""COMPUTED_VALUE"""),16)</f>
        <v>16</v>
      </c>
      <c r="G38">
        <f ca="1">IFERROR(__xludf.DUMMYFUNCTION("""COMPUTED_VALUE"""),3)</f>
        <v>3</v>
      </c>
    </row>
    <row r="39" spans="1:7" ht="12.75">
      <c r="A39" t="str">
        <f ca="1">IFERROR(__xludf.DUMMYFUNCTION("""COMPUTED_VALUE"""),"T37")</f>
        <v>T37</v>
      </c>
      <c r="B39">
        <f ca="1">IFERROR(__xludf.DUMMYFUNCTION("""COMPUTED_VALUE"""),41)</f>
        <v>41</v>
      </c>
      <c r="C39" t="str">
        <f ca="1">IFERROR(__xludf.DUMMYFUNCTION("""COMPUTED_VALUE"""),"Jonathan Byrd")</f>
        <v>Jonathan Byrd</v>
      </c>
      <c r="D39">
        <f ca="1">IFERROR(__xludf.DUMMYFUNCTION("""COMPUTED_VALUE"""),14)</f>
        <v>14</v>
      </c>
      <c r="E39">
        <f ca="1">IFERROR(__xludf.DUMMYFUNCTION("""COMPUTED_VALUE"""),18.75)</f>
        <v>18.75</v>
      </c>
      <c r="F39">
        <f ca="1">IFERROR(__xludf.DUMMYFUNCTION("""COMPUTED_VALUE"""),16)</f>
        <v>16</v>
      </c>
      <c r="G39">
        <f ca="1">IFERROR(__xludf.DUMMYFUNCTION("""COMPUTED_VALUE"""),3)</f>
        <v>3</v>
      </c>
    </row>
    <row r="40" spans="1:7" ht="12.75">
      <c r="A40" t="str">
        <f ca="1">IFERROR(__xludf.DUMMYFUNCTION("""COMPUTED_VALUE"""),"T39")</f>
        <v>T39</v>
      </c>
      <c r="B40" t="str">
        <f ca="1">IFERROR(__xludf.DUMMYFUNCTION("""COMPUTED_VALUE"""),"T29")</f>
        <v>T29</v>
      </c>
      <c r="C40" t="str">
        <f ca="1">IFERROR(__xludf.DUMMYFUNCTION("""COMPUTED_VALUE"""),"Charley Hoffman")</f>
        <v>Charley Hoffman</v>
      </c>
      <c r="D40">
        <f ca="1">IFERROR(__xludf.DUMMYFUNCTION("""COMPUTED_VALUE"""),20)</f>
        <v>20</v>
      </c>
      <c r="E40">
        <f ca="1">IFERROR(__xludf.DUMMYFUNCTION("""COMPUTED_VALUE"""),18.18)</f>
        <v>18.18</v>
      </c>
      <c r="F40">
        <f ca="1">IFERROR(__xludf.DUMMYFUNCTION("""COMPUTED_VALUE"""),22)</f>
        <v>22</v>
      </c>
      <c r="G40">
        <f ca="1">IFERROR(__xludf.DUMMYFUNCTION("""COMPUTED_VALUE"""),4)</f>
        <v>4</v>
      </c>
    </row>
    <row r="41" spans="1:7" ht="12.75">
      <c r="A41" t="str">
        <f ca="1">IFERROR(__xludf.DUMMYFUNCTION("""COMPUTED_VALUE"""),"T39")</f>
        <v>T39</v>
      </c>
      <c r="B41" t="str">
        <f ca="1">IFERROR(__xludf.DUMMYFUNCTION("""COMPUTED_VALUE"""),"T42")</f>
        <v>T42</v>
      </c>
      <c r="C41" t="str">
        <f ca="1">IFERROR(__xludf.DUMMYFUNCTION("""COMPUTED_VALUE"""),"D.J. Trahan")</f>
        <v>D.J. Trahan</v>
      </c>
      <c r="D41">
        <f ca="1">IFERROR(__xludf.DUMMYFUNCTION("""COMPUTED_VALUE"""),16)</f>
        <v>16</v>
      </c>
      <c r="E41">
        <f ca="1">IFERROR(__xludf.DUMMYFUNCTION("""COMPUTED_VALUE"""),18.18)</f>
        <v>18.18</v>
      </c>
      <c r="F41">
        <f ca="1">IFERROR(__xludf.DUMMYFUNCTION("""COMPUTED_VALUE"""),11)</f>
        <v>11</v>
      </c>
      <c r="G41">
        <f ca="1">IFERROR(__xludf.DUMMYFUNCTION("""COMPUTED_VALUE"""),2)</f>
        <v>2</v>
      </c>
    </row>
    <row r="42" spans="1:7" ht="12.75">
      <c r="A42" t="str">
        <f ca="1">IFERROR(__xludf.DUMMYFUNCTION("""COMPUTED_VALUE"""),"T39")</f>
        <v>T39</v>
      </c>
      <c r="B42">
        <f ca="1">IFERROR(__xludf.DUMMYFUNCTION("""COMPUTED_VALUE"""),40)</f>
        <v>40</v>
      </c>
      <c r="C42" t="str">
        <f ca="1">IFERROR(__xludf.DUMMYFUNCTION("""COMPUTED_VALUE"""),"Brian Harman")</f>
        <v>Brian Harman</v>
      </c>
      <c r="D42">
        <f ca="1">IFERROR(__xludf.DUMMYFUNCTION("""COMPUTED_VALUE"""),24)</f>
        <v>24</v>
      </c>
      <c r="E42">
        <f ca="1">IFERROR(__xludf.DUMMYFUNCTION("""COMPUTED_VALUE"""),18.18)</f>
        <v>18.18</v>
      </c>
      <c r="F42">
        <f ca="1">IFERROR(__xludf.DUMMYFUNCTION("""COMPUTED_VALUE"""),44)</f>
        <v>44</v>
      </c>
      <c r="G42">
        <f ca="1">IFERROR(__xludf.DUMMYFUNCTION("""COMPUTED_VALUE"""),8)</f>
        <v>8</v>
      </c>
    </row>
    <row r="43" spans="1:7" ht="12.75">
      <c r="A43" t="str">
        <f ca="1">IFERROR(__xludf.DUMMYFUNCTION("""COMPUTED_VALUE"""),"T39")</f>
        <v>T39</v>
      </c>
      <c r="B43" t="str">
        <f ca="1">IFERROR(__xludf.DUMMYFUNCTION("""COMPUTED_VALUE"""),"T42")</f>
        <v>T42</v>
      </c>
      <c r="C43" t="str">
        <f ca="1">IFERROR(__xludf.DUMMYFUNCTION("""COMPUTED_VALUE"""),"Rafa Cabrera Bello")</f>
        <v>Rafa Cabrera Bello</v>
      </c>
      <c r="D43">
        <f ca="1">IFERROR(__xludf.DUMMYFUNCTION("""COMPUTED_VALUE"""),14)</f>
        <v>14</v>
      </c>
      <c r="E43">
        <f ca="1">IFERROR(__xludf.DUMMYFUNCTION("""COMPUTED_VALUE"""),18.18)</f>
        <v>18.18</v>
      </c>
      <c r="F43">
        <f ca="1">IFERROR(__xludf.DUMMYFUNCTION("""COMPUTED_VALUE"""),22)</f>
        <v>22</v>
      </c>
      <c r="G43">
        <f ca="1">IFERROR(__xludf.DUMMYFUNCTION("""COMPUTED_VALUE"""),4)</f>
        <v>4</v>
      </c>
    </row>
    <row r="44" spans="1:7" ht="12.75">
      <c r="A44" t="str">
        <f ca="1">IFERROR(__xludf.DUMMYFUNCTION("""COMPUTED_VALUE"""),"T39")</f>
        <v>T39</v>
      </c>
      <c r="B44" t="str">
        <f ca="1">IFERROR(__xludf.DUMMYFUNCTION("""COMPUTED_VALUE"""),"T49")</f>
        <v>T49</v>
      </c>
      <c r="C44" t="str">
        <f ca="1">IFERROR(__xludf.DUMMYFUNCTION("""COMPUTED_VALUE"""),"Mackenzie Hughes")</f>
        <v>Mackenzie Hughes</v>
      </c>
      <c r="D44">
        <f ca="1">IFERROR(__xludf.DUMMYFUNCTION("""COMPUTED_VALUE"""),18)</f>
        <v>18</v>
      </c>
      <c r="E44">
        <f ca="1">IFERROR(__xludf.DUMMYFUNCTION("""COMPUTED_VALUE"""),18.18)</f>
        <v>18.18</v>
      </c>
      <c r="F44">
        <f ca="1">IFERROR(__xludf.DUMMYFUNCTION("""COMPUTED_VALUE"""),22)</f>
        <v>22</v>
      </c>
      <c r="G44">
        <f ca="1">IFERROR(__xludf.DUMMYFUNCTION("""COMPUTED_VALUE"""),4)</f>
        <v>4</v>
      </c>
    </row>
    <row r="45" spans="1:7" ht="12.75">
      <c r="A45" t="str">
        <f ca="1">IFERROR(__xludf.DUMMYFUNCTION("""COMPUTED_VALUE"""),"T39")</f>
        <v>T39</v>
      </c>
      <c r="B45" t="str">
        <f ca="1">IFERROR(__xludf.DUMMYFUNCTION("""COMPUTED_VALUE"""),"T42")</f>
        <v>T42</v>
      </c>
      <c r="C45" t="str">
        <f ca="1">IFERROR(__xludf.DUMMYFUNCTION("""COMPUTED_VALUE"""),"J.J. Spaun")</f>
        <v>J.J. Spaun</v>
      </c>
      <c r="D45">
        <f ca="1">IFERROR(__xludf.DUMMYFUNCTION("""COMPUTED_VALUE"""),10)</f>
        <v>10</v>
      </c>
      <c r="E45">
        <f ca="1">IFERROR(__xludf.DUMMYFUNCTION("""COMPUTED_VALUE"""),18.18)</f>
        <v>18.18</v>
      </c>
      <c r="F45">
        <f ca="1">IFERROR(__xludf.DUMMYFUNCTION("""COMPUTED_VALUE"""),11)</f>
        <v>11</v>
      </c>
      <c r="G45">
        <f ca="1">IFERROR(__xludf.DUMMYFUNCTION("""COMPUTED_VALUE"""),2)</f>
        <v>2</v>
      </c>
    </row>
    <row r="46" spans="1:7" ht="12.75">
      <c r="A46" t="str">
        <f ca="1">IFERROR(__xludf.DUMMYFUNCTION("""COMPUTED_VALUE"""),"T39")</f>
        <v>T39</v>
      </c>
      <c r="B46" t="str">
        <f ca="1">IFERROR(__xludf.DUMMYFUNCTION("""COMPUTED_VALUE"""),"T42")</f>
        <v>T42</v>
      </c>
      <c r="C46" t="str">
        <f ca="1">IFERROR(__xludf.DUMMYFUNCTION("""COMPUTED_VALUE"""),"Chase Seiffert")</f>
        <v>Chase Seiffert</v>
      </c>
      <c r="D46">
        <f ca="1">IFERROR(__xludf.DUMMYFUNCTION("""COMPUTED_VALUE"""),14)</f>
        <v>14</v>
      </c>
      <c r="E46">
        <f ca="1">IFERROR(__xludf.DUMMYFUNCTION("""COMPUTED_VALUE"""),18.18)</f>
        <v>18.18</v>
      </c>
      <c r="F46">
        <f ca="1">IFERROR(__xludf.DUMMYFUNCTION("""COMPUTED_VALUE"""),11)</f>
        <v>11</v>
      </c>
      <c r="G46">
        <f ca="1">IFERROR(__xludf.DUMMYFUNCTION("""COMPUTED_VALUE"""),2)</f>
        <v>2</v>
      </c>
    </row>
    <row r="47" spans="1:7" ht="12.75">
      <c r="A47" t="str">
        <f ca="1">IFERROR(__xludf.DUMMYFUNCTION("""COMPUTED_VALUE"""),"T39")</f>
        <v>T39</v>
      </c>
      <c r="B47" t="str">
        <f ca="1">IFERROR(__xludf.DUMMYFUNCTION("""COMPUTED_VALUE"""),"T121")</f>
        <v>T121</v>
      </c>
      <c r="C47" t="str">
        <f ca="1">IFERROR(__xludf.DUMMYFUNCTION("""COMPUTED_VALUE"""),"C.T. Pan")</f>
        <v>C.T. Pan</v>
      </c>
      <c r="D47">
        <f ca="1">IFERROR(__xludf.DUMMYFUNCTION("""COMPUTED_VALUE"""),20)</f>
        <v>20</v>
      </c>
      <c r="E47">
        <f ca="1">IFERROR(__xludf.DUMMYFUNCTION("""COMPUTED_VALUE"""),18.18)</f>
        <v>18.18</v>
      </c>
      <c r="F47">
        <f ca="1">IFERROR(__xludf.DUMMYFUNCTION("""COMPUTED_VALUE"""),22)</f>
        <v>22</v>
      </c>
      <c r="G47">
        <f ca="1">IFERROR(__xludf.DUMMYFUNCTION("""COMPUTED_VALUE"""),4)</f>
        <v>4</v>
      </c>
    </row>
    <row r="48" spans="1:7" ht="12.75">
      <c r="A48" t="str">
        <f ca="1">IFERROR(__xludf.DUMMYFUNCTION("""COMPUTED_VALUE"""),"T39")</f>
        <v>T39</v>
      </c>
      <c r="B48" t="str">
        <f ca="1">IFERROR(__xludf.DUMMYFUNCTION("""COMPUTED_VALUE"""),"T55")</f>
        <v>T55</v>
      </c>
      <c r="C48" t="str">
        <f ca="1">IFERROR(__xludf.DUMMYFUNCTION("""COMPUTED_VALUE"""),"Sam Burns")</f>
        <v>Sam Burns</v>
      </c>
      <c r="D48">
        <f ca="1">IFERROR(__xludf.DUMMYFUNCTION("""COMPUTED_VALUE"""),18)</f>
        <v>18</v>
      </c>
      <c r="E48">
        <f ca="1">IFERROR(__xludf.DUMMYFUNCTION("""COMPUTED_VALUE"""),18.18)</f>
        <v>18.18</v>
      </c>
      <c r="F48">
        <f ca="1">IFERROR(__xludf.DUMMYFUNCTION("""COMPUTED_VALUE"""),22)</f>
        <v>22</v>
      </c>
      <c r="G48">
        <f ca="1">IFERROR(__xludf.DUMMYFUNCTION("""COMPUTED_VALUE"""),4)</f>
        <v>4</v>
      </c>
    </row>
    <row r="49" spans="1:7" ht="12.75">
      <c r="A49" t="str">
        <f ca="1">IFERROR(__xludf.DUMMYFUNCTION("""COMPUTED_VALUE"""),"T39")</f>
        <v>T39</v>
      </c>
      <c r="B49" t="str">
        <f ca="1">IFERROR(__xludf.DUMMYFUNCTION("""COMPUTED_VALUE"""),"T18")</f>
        <v>T18</v>
      </c>
      <c r="C49" t="str">
        <f ca="1">IFERROR(__xludf.DUMMYFUNCTION("""COMPUTED_VALUE"""),"Doc Redman")</f>
        <v>Doc Redman</v>
      </c>
      <c r="D49">
        <f ca="1">IFERROR(__xludf.DUMMYFUNCTION("""COMPUTED_VALUE"""),18)</f>
        <v>18</v>
      </c>
      <c r="E49">
        <f ca="1">IFERROR(__xludf.DUMMYFUNCTION("""COMPUTED_VALUE"""),18.18)</f>
        <v>18.18</v>
      </c>
      <c r="F49">
        <f ca="1">IFERROR(__xludf.DUMMYFUNCTION("""COMPUTED_VALUE"""),22)</f>
        <v>22</v>
      </c>
      <c r="G49">
        <f ca="1">IFERROR(__xludf.DUMMYFUNCTION("""COMPUTED_VALUE"""),4)</f>
        <v>4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IFERROR(__xludf.DUMMYFUNCTION("""COMPUTED_VALUE"""),"T18")</f>
        <v>T18</v>
      </c>
      <c r="C50" t="str">
        <f ca="1">IFERROR(__xludf.DUMMYFUNCTION("""COMPUTED_VALUE"""),"Denny McCarthy")</f>
        <v>Denny McCarthy</v>
      </c>
      <c r="D50">
        <f ca="1">IFERROR(__xludf.DUMMYFUNCTION("""COMPUTED_VALUE"""),22)</f>
        <v>22</v>
      </c>
      <c r="E50">
        <f ca="1">IFERROR(__xludf.DUMMYFUNCTION("""COMPUTED_VALUE"""),17.95)</f>
        <v>17.95</v>
      </c>
      <c r="F50">
        <f ca="1">IFERROR(__xludf.DUMMYFUNCTION("""COMPUTED_VALUE"""),39)</f>
        <v>39</v>
      </c>
      <c r="G50">
        <f ca="1">IFERROR(__xludf.DUMMYFUNCTION("""COMPUTED_VALUE"""),7)</f>
        <v>7</v>
      </c>
    </row>
    <row r="51" spans="1:7" ht="12.75">
      <c r="A51" t="str">
        <f ca="1">IFERROR(__xludf.DUMMYFUNCTION("""COMPUTED_VALUE"""),"T50")</f>
        <v>T50</v>
      </c>
      <c r="B51" t="str">
        <f ca="1">IFERROR(__xludf.DUMMYFUNCTION("""COMPUTED_VALUE"""),"T61")</f>
        <v>T61</v>
      </c>
      <c r="C51" t="str">
        <f ca="1">IFERROR(__xludf.DUMMYFUNCTION("""COMPUTED_VALUE"""),"Troy Merritt")</f>
        <v>Troy Merritt</v>
      </c>
      <c r="D51">
        <f ca="1">IFERROR(__xludf.DUMMYFUNCTION("""COMPUTED_VALUE"""),20)</f>
        <v>20</v>
      </c>
      <c r="E51">
        <f ca="1">IFERROR(__xludf.DUMMYFUNCTION("""COMPUTED_VALUE"""),17.86)</f>
        <v>17.86</v>
      </c>
      <c r="F51">
        <f ca="1">IFERROR(__xludf.DUMMYFUNCTION("""COMPUTED_VALUE"""),28)</f>
        <v>28</v>
      </c>
      <c r="G51">
        <f ca="1">IFERROR(__xludf.DUMMYFUNCTION("""COMPUTED_VALUE"""),5)</f>
        <v>5</v>
      </c>
    </row>
    <row r="52" spans="1:7" ht="12.75">
      <c r="A52" t="str">
        <f ca="1">IFERROR(__xludf.DUMMYFUNCTION("""COMPUTED_VALUE"""),"T50")</f>
        <v>T50</v>
      </c>
      <c r="B52" t="str">
        <f ca="1">IFERROR(__xludf.DUMMYFUNCTION("""COMPUTED_VALUE"""),"T14")</f>
        <v>T14</v>
      </c>
      <c r="C52" t="str">
        <f ca="1">IFERROR(__xludf.DUMMYFUNCTION("""COMPUTED_VALUE"""),"Corey Conners")</f>
        <v>Corey Conners</v>
      </c>
      <c r="D52">
        <f ca="1">IFERROR(__xludf.DUMMYFUNCTION("""COMPUTED_VALUE"""),20)</f>
        <v>20</v>
      </c>
      <c r="E52">
        <f ca="1">IFERROR(__xludf.DUMMYFUNCTION("""COMPUTED_VALUE"""),17.86)</f>
        <v>17.86</v>
      </c>
      <c r="F52">
        <f ca="1">IFERROR(__xludf.DUMMYFUNCTION("""COMPUTED_VALUE"""),28)</f>
        <v>28</v>
      </c>
      <c r="G52">
        <f ca="1">IFERROR(__xludf.DUMMYFUNCTION("""COMPUTED_VALUE"""),5)</f>
        <v>5</v>
      </c>
    </row>
    <row r="53" spans="1:7" ht="12.75">
      <c r="A53" t="str">
        <f ca="1">IFERROR(__xludf.DUMMYFUNCTION("""COMPUTED_VALUE"""),"T52")</f>
        <v>T52</v>
      </c>
      <c r="B53" t="str">
        <f ca="1">IFERROR(__xludf.DUMMYFUNCTION("""COMPUTED_VALUE"""),"T61")</f>
        <v>T61</v>
      </c>
      <c r="C53" t="str">
        <f ca="1">IFERROR(__xludf.DUMMYFUNCTION("""COMPUTED_VALUE"""),"Phil Mickelson")</f>
        <v>Phil Mickelson</v>
      </c>
      <c r="D53">
        <f ca="1">IFERROR(__xludf.DUMMYFUNCTION("""COMPUTED_VALUE"""),12)</f>
        <v>12</v>
      </c>
      <c r="E53">
        <f ca="1">IFERROR(__xludf.DUMMYFUNCTION("""COMPUTED_VALUE"""),17.65)</f>
        <v>17.649999999999999</v>
      </c>
      <c r="F53">
        <f ca="1">IFERROR(__xludf.DUMMYFUNCTION("""COMPUTED_VALUE"""),17)</f>
        <v>17</v>
      </c>
      <c r="G53">
        <f ca="1">IFERROR(__xludf.DUMMYFUNCTION("""COMPUTED_VALUE"""),3)</f>
        <v>3</v>
      </c>
    </row>
    <row r="54" spans="1:7" ht="12.75">
      <c r="A54" t="str">
        <f ca="1">IFERROR(__xludf.DUMMYFUNCTION("""COMPUTED_VALUE"""),"T52")</f>
        <v>T52</v>
      </c>
      <c r="B54">
        <f ca="1">IFERROR(__xludf.DUMMYFUNCTION("""COMPUTED_VALUE"""),48)</f>
        <v>48</v>
      </c>
      <c r="C54" t="str">
        <f ca="1">IFERROR(__xludf.DUMMYFUNCTION("""COMPUTED_VALUE"""),"Bubba Watson")</f>
        <v>Bubba Watson</v>
      </c>
      <c r="D54">
        <f ca="1">IFERROR(__xludf.DUMMYFUNCTION("""COMPUTED_VALUE"""),12)</f>
        <v>12</v>
      </c>
      <c r="E54">
        <f ca="1">IFERROR(__xludf.DUMMYFUNCTION("""COMPUTED_VALUE"""),17.65)</f>
        <v>17.649999999999999</v>
      </c>
      <c r="F54">
        <f ca="1">IFERROR(__xludf.DUMMYFUNCTION("""COMPUTED_VALUE"""),17)</f>
        <v>17</v>
      </c>
      <c r="G54">
        <f ca="1">IFERROR(__xludf.DUMMYFUNCTION("""COMPUTED_VALUE"""),3)</f>
        <v>3</v>
      </c>
    </row>
    <row r="55" spans="1:7" ht="12.75">
      <c r="A55">
        <f ca="1">IFERROR(__xludf.DUMMYFUNCTION("""COMPUTED_VALUE"""),54)</f>
        <v>54</v>
      </c>
      <c r="B55" t="str">
        <f ca="1">IFERROR(__xludf.DUMMYFUNCTION("""COMPUTED_VALUE"""),"T29")</f>
        <v>T29</v>
      </c>
      <c r="C55" t="str">
        <f ca="1">IFERROR(__xludf.DUMMYFUNCTION("""COMPUTED_VALUE"""),"Adam Long")</f>
        <v>Adam Long</v>
      </c>
      <c r="D55">
        <f ca="1">IFERROR(__xludf.DUMMYFUNCTION("""COMPUTED_VALUE"""),22)</f>
        <v>22</v>
      </c>
      <c r="E55">
        <f ca="1">IFERROR(__xludf.DUMMYFUNCTION("""COMPUTED_VALUE"""),17.39)</f>
        <v>17.39</v>
      </c>
      <c r="F55">
        <f ca="1">IFERROR(__xludf.DUMMYFUNCTION("""COMPUTED_VALUE"""),23)</f>
        <v>23</v>
      </c>
      <c r="G55">
        <f ca="1">IFERROR(__xludf.DUMMYFUNCTION("""COMPUTED_VALUE"""),4)</f>
        <v>4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IFERROR(__xludf.DUMMYFUNCTION("""COMPUTED_VALUE"""),27)</f>
        <v>27</v>
      </c>
      <c r="C56" t="str">
        <f ca="1">IFERROR(__xludf.DUMMYFUNCTION("""COMPUTED_VALUE"""),"Russell Henley")</f>
        <v>Russell Henley</v>
      </c>
      <c r="D56">
        <f ca="1">IFERROR(__xludf.DUMMYFUNCTION("""COMPUTED_VALUE"""),16)</f>
        <v>16</v>
      </c>
      <c r="E56">
        <f ca="1">IFERROR(__xludf.DUMMYFUNCTION("""COMPUTED_VALUE"""),17.24)</f>
        <v>17.239999999999998</v>
      </c>
      <c r="F56">
        <f ca="1">IFERROR(__xludf.DUMMYFUNCTION("""COMPUTED_VALUE"""),29)</f>
        <v>29</v>
      </c>
      <c r="G56">
        <f ca="1">IFERROR(__xludf.DUMMYFUNCTION("""COMPUTED_VALUE"""),5)</f>
        <v>5</v>
      </c>
    </row>
    <row r="57" spans="1:7" ht="12.75">
      <c r="A57" t="str">
        <f ca="1">IFERROR(__xludf.DUMMYFUNCTION("""COMPUTED_VALUE"""),"T56")</f>
        <v>T56</v>
      </c>
      <c r="B57" t="str">
        <f ca="1">IFERROR(__xludf.DUMMYFUNCTION("""COMPUTED_VALUE"""),"")</f>
        <v/>
      </c>
      <c r="C57" t="str">
        <f ca="1">IFERROR(__xludf.DUMMYFUNCTION("""COMPUTED_VALUE"""),"Harold Varner III")</f>
        <v>Harold Varner III</v>
      </c>
      <c r="D57">
        <f ca="1">IFERROR(__xludf.DUMMYFUNCTION("""COMPUTED_VALUE"""),14)</f>
        <v>14</v>
      </c>
      <c r="E57">
        <f ca="1">IFERROR(__xludf.DUMMYFUNCTION("""COMPUTED_VALUE"""),16.67)</f>
        <v>16.670000000000002</v>
      </c>
      <c r="F57">
        <f ca="1">IFERROR(__xludf.DUMMYFUNCTION("""COMPUTED_VALUE"""),18)</f>
        <v>18</v>
      </c>
      <c r="G57">
        <f ca="1">IFERROR(__xludf.DUMMYFUNCTION("""COMPUTED_VALUE"""),3)</f>
        <v>3</v>
      </c>
    </row>
    <row r="58" spans="1:7" ht="12.75">
      <c r="A58" t="str">
        <f ca="1">IFERROR(__xludf.DUMMYFUNCTION("""COMPUTED_VALUE"""),"T56")</f>
        <v>T56</v>
      </c>
      <c r="B58" t="str">
        <f ca="1">IFERROR(__xludf.DUMMYFUNCTION("""COMPUTED_VALUE"""),"T42")</f>
        <v>T42</v>
      </c>
      <c r="C58" t="str">
        <f ca="1">IFERROR(__xludf.DUMMYFUNCTION("""COMPUTED_VALUE"""),"Branden Grace")</f>
        <v>Branden Grace</v>
      </c>
      <c r="D58">
        <f ca="1">IFERROR(__xludf.DUMMYFUNCTION("""COMPUTED_VALUE"""),16)</f>
        <v>16</v>
      </c>
      <c r="E58">
        <f ca="1">IFERROR(__xludf.DUMMYFUNCTION("""COMPUTED_VALUE"""),16.67)</f>
        <v>16.670000000000002</v>
      </c>
      <c r="F58">
        <f ca="1">IFERROR(__xludf.DUMMYFUNCTION("""COMPUTED_VALUE"""),12)</f>
        <v>12</v>
      </c>
      <c r="G58">
        <f ca="1">IFERROR(__xludf.DUMMYFUNCTION("""COMPUTED_VALUE"""),2)</f>
        <v>2</v>
      </c>
    </row>
    <row r="59" spans="1:7" ht="12.75">
      <c r="A59" t="str">
        <f ca="1">IFERROR(__xludf.DUMMYFUNCTION("""COMPUTED_VALUE"""),"T56")</f>
        <v>T56</v>
      </c>
      <c r="B59" t="str">
        <f ca="1">IFERROR(__xludf.DUMMYFUNCTION("""COMPUTED_VALUE"""),"T29")</f>
        <v>T29</v>
      </c>
      <c r="C59" t="str">
        <f ca="1">IFERROR(__xludf.DUMMYFUNCTION("""COMPUTED_VALUE"""),"Jimmy Walker")</f>
        <v>Jimmy Walker</v>
      </c>
      <c r="D59">
        <f ca="1">IFERROR(__xludf.DUMMYFUNCTION("""COMPUTED_VALUE"""),10)</f>
        <v>10</v>
      </c>
      <c r="E59">
        <f ca="1">IFERROR(__xludf.DUMMYFUNCTION("""COMPUTED_VALUE"""),16.67)</f>
        <v>16.670000000000002</v>
      </c>
      <c r="F59">
        <f ca="1">IFERROR(__xludf.DUMMYFUNCTION("""COMPUTED_VALUE"""),18)</f>
        <v>18</v>
      </c>
      <c r="G59">
        <f ca="1">IFERROR(__xludf.DUMMYFUNCTION("""COMPUTED_VALUE"""),3)</f>
        <v>3</v>
      </c>
    </row>
    <row r="60" spans="1:7" ht="12.75">
      <c r="A60" t="str">
        <f ca="1">IFERROR(__xludf.DUMMYFUNCTION("""COMPUTED_VALUE"""),"T56")</f>
        <v>T56</v>
      </c>
      <c r="B60" t="str">
        <f ca="1">IFERROR(__xludf.DUMMYFUNCTION("""COMPUTED_VALUE"""),"")</f>
        <v/>
      </c>
      <c r="C60" t="str">
        <f ca="1">IFERROR(__xludf.DUMMYFUNCTION("""COMPUTED_VALUE"""),"Hunter Mahan")</f>
        <v>Hunter Mahan</v>
      </c>
      <c r="D60">
        <f ca="1">IFERROR(__xludf.DUMMYFUNCTION("""COMPUTED_VALUE"""),14)</f>
        <v>14</v>
      </c>
      <c r="E60">
        <f ca="1">IFERROR(__xludf.DUMMYFUNCTION("""COMPUTED_VALUE"""),16.67)</f>
        <v>16.670000000000002</v>
      </c>
      <c r="F60">
        <f ca="1">IFERROR(__xludf.DUMMYFUNCTION("""COMPUTED_VALUE"""),12)</f>
        <v>12</v>
      </c>
      <c r="G60">
        <f ca="1">IFERROR(__xludf.DUMMYFUNCTION("""COMPUTED_VALUE"""),2)</f>
        <v>2</v>
      </c>
    </row>
    <row r="61" spans="1:7" ht="12.75">
      <c r="A61" t="str">
        <f ca="1">IFERROR(__xludf.DUMMYFUNCTION("""COMPUTED_VALUE"""),"T56")</f>
        <v>T56</v>
      </c>
      <c r="B61" t="str">
        <f ca="1">IFERROR(__xludf.DUMMYFUNCTION("""COMPUTED_VALUE"""),"T29")</f>
        <v>T29</v>
      </c>
      <c r="C61" t="str">
        <f ca="1">IFERROR(__xludf.DUMMYFUNCTION("""COMPUTED_VALUE"""),"Maverick McNealy")</f>
        <v>Maverick McNealy</v>
      </c>
      <c r="D61">
        <f ca="1">IFERROR(__xludf.DUMMYFUNCTION("""COMPUTED_VALUE"""),16)</f>
        <v>16</v>
      </c>
      <c r="E61">
        <f ca="1">IFERROR(__xludf.DUMMYFUNCTION("""COMPUTED_VALUE"""),16.67)</f>
        <v>16.670000000000002</v>
      </c>
      <c r="F61">
        <f ca="1">IFERROR(__xludf.DUMMYFUNCTION("""COMPUTED_VALUE"""),18)</f>
        <v>18</v>
      </c>
      <c r="G61">
        <f ca="1">IFERROR(__xludf.DUMMYFUNCTION("""COMPUTED_VALUE"""),3)</f>
        <v>3</v>
      </c>
    </row>
    <row r="62" spans="1:7" ht="12.75">
      <c r="A62" t="str">
        <f ca="1">IFERROR(__xludf.DUMMYFUNCTION("""COMPUTED_VALUE"""),"T56")</f>
        <v>T56</v>
      </c>
      <c r="B62" t="str">
        <f ca="1">IFERROR(__xludf.DUMMYFUNCTION("""COMPUTED_VALUE"""),"T49")</f>
        <v>T49</v>
      </c>
      <c r="C62" t="str">
        <f ca="1">IFERROR(__xludf.DUMMYFUNCTION("""COMPUTED_VALUE"""),"Jon Rahm")</f>
        <v>Jon Rahm</v>
      </c>
      <c r="D62">
        <f ca="1">IFERROR(__xludf.DUMMYFUNCTION("""COMPUTED_VALUE"""),12)</f>
        <v>12</v>
      </c>
      <c r="E62">
        <f ca="1">IFERROR(__xludf.DUMMYFUNCTION("""COMPUTED_VALUE"""),16.67)</f>
        <v>16.670000000000002</v>
      </c>
      <c r="F62">
        <f ca="1">IFERROR(__xludf.DUMMYFUNCTION("""COMPUTED_VALUE"""),18)</f>
        <v>18</v>
      </c>
      <c r="G62">
        <f ca="1">IFERROR(__xludf.DUMMYFUNCTION("""COMPUTED_VALUE"""),3)</f>
        <v>3</v>
      </c>
    </row>
    <row r="63" spans="1:7" ht="12.75">
      <c r="A63" t="str">
        <f ca="1">IFERROR(__xludf.DUMMYFUNCTION("""COMPUTED_VALUE"""),"T62")</f>
        <v>T62</v>
      </c>
      <c r="B63" t="str">
        <f ca="1">IFERROR(__xludf.DUMMYFUNCTION("""COMPUTED_VALUE"""),"T77")</f>
        <v>T77</v>
      </c>
      <c r="C63" t="str">
        <f ca="1">IFERROR(__xludf.DUMMYFUNCTION("""COMPUTED_VALUE"""),"Will Gordon")</f>
        <v>Will Gordon</v>
      </c>
      <c r="D63">
        <f ca="1">IFERROR(__xludf.DUMMYFUNCTION("""COMPUTED_VALUE"""),20)</f>
        <v>20</v>
      </c>
      <c r="E63">
        <f ca="1">IFERROR(__xludf.DUMMYFUNCTION("""COMPUTED_VALUE"""),16)</f>
        <v>16</v>
      </c>
      <c r="F63">
        <f ca="1">IFERROR(__xludf.DUMMYFUNCTION("""COMPUTED_VALUE"""),25)</f>
        <v>25</v>
      </c>
      <c r="G63">
        <f ca="1">IFERROR(__xludf.DUMMYFUNCTION("""COMPUTED_VALUE"""),4)</f>
        <v>4</v>
      </c>
    </row>
    <row r="64" spans="1:7" ht="12.75">
      <c r="A64" t="str">
        <f ca="1">IFERROR(__xludf.DUMMYFUNCTION("""COMPUTED_VALUE"""),"T62")</f>
        <v>T62</v>
      </c>
      <c r="B64">
        <f ca="1">IFERROR(__xludf.DUMMYFUNCTION("""COMPUTED_VALUE"""),53)</f>
        <v>53</v>
      </c>
      <c r="C64" t="str">
        <f ca="1">IFERROR(__xludf.DUMMYFUNCTION("""COMPUTED_VALUE"""),"Patrick Cantlay")</f>
        <v>Patrick Cantlay</v>
      </c>
      <c r="D64">
        <f ca="1">IFERROR(__xludf.DUMMYFUNCTION("""COMPUTED_VALUE"""),16)</f>
        <v>16</v>
      </c>
      <c r="E64">
        <f ca="1">IFERROR(__xludf.DUMMYFUNCTION("""COMPUTED_VALUE"""),16)</f>
        <v>16</v>
      </c>
      <c r="F64">
        <f ca="1">IFERROR(__xludf.DUMMYFUNCTION("""COMPUTED_VALUE"""),25)</f>
        <v>25</v>
      </c>
      <c r="G64">
        <f ca="1">IFERROR(__xludf.DUMMYFUNCTION("""COMPUTED_VALUE"""),4)</f>
        <v>4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IFERROR(__xludf.DUMMYFUNCTION("""COMPUTED_VALUE"""),"T68")</f>
        <v>T68</v>
      </c>
      <c r="C65" t="str">
        <f ca="1">IFERROR(__xludf.DUMMYFUNCTION("""COMPUTED_VALUE"""),"Patrick Rodgers")</f>
        <v>Patrick Rodgers</v>
      </c>
      <c r="D65">
        <f ca="1">IFERROR(__xludf.DUMMYFUNCTION("""COMPUTED_VALUE"""),18)</f>
        <v>18</v>
      </c>
      <c r="E65">
        <f ca="1">IFERROR(__xludf.DUMMYFUNCTION("""COMPUTED_VALUE"""),15.79)</f>
        <v>15.79</v>
      </c>
      <c r="F65">
        <f ca="1">IFERROR(__xludf.DUMMYFUNCTION("""COMPUTED_VALUE"""),19)</f>
        <v>19</v>
      </c>
      <c r="G65">
        <f ca="1">IFERROR(__xludf.DUMMYFUNCTION("""COMPUTED_VALUE"""),3)</f>
        <v>3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IFERROR(__xludf.DUMMYFUNCTION("""COMPUTED_VALUE"""),"T61")</f>
        <v>T61</v>
      </c>
      <c r="C66" t="str">
        <f ca="1">IFERROR(__xludf.DUMMYFUNCTION("""COMPUTED_VALUE"""),"Austin Cook")</f>
        <v>Austin Cook</v>
      </c>
      <c r="D66">
        <f ca="1">IFERROR(__xludf.DUMMYFUNCTION("""COMPUTED_VALUE"""),14)</f>
        <v>14</v>
      </c>
      <c r="E66">
        <f ca="1">IFERROR(__xludf.DUMMYFUNCTION("""COMPUTED_VALUE"""),15.79)</f>
        <v>15.79</v>
      </c>
      <c r="F66">
        <f ca="1">IFERROR(__xludf.DUMMYFUNCTION("""COMPUTED_VALUE"""),19)</f>
        <v>19</v>
      </c>
      <c r="G66">
        <f ca="1">IFERROR(__xludf.DUMMYFUNCTION("""COMPUTED_VALUE"""),3)</f>
        <v>3</v>
      </c>
    </row>
    <row r="67" spans="1:7" ht="12.75">
      <c r="A67" t="str">
        <f ca="1">IFERROR(__xludf.DUMMYFUNCTION("""COMPUTED_VALUE"""),"T66")</f>
        <v>T66</v>
      </c>
      <c r="B67" t="str">
        <f ca="1">IFERROR(__xludf.DUMMYFUNCTION("""COMPUTED_VALUE"""),"T55")</f>
        <v>T55</v>
      </c>
      <c r="C67" t="str">
        <f ca="1">IFERROR(__xludf.DUMMYFUNCTION("""COMPUTED_VALUE"""),"Sebastián Muñoz")</f>
        <v>Sebastián Muñoz</v>
      </c>
      <c r="D67">
        <f ca="1">IFERROR(__xludf.DUMMYFUNCTION("""COMPUTED_VALUE"""),20)</f>
        <v>20</v>
      </c>
      <c r="E67">
        <f ca="1">IFERROR(__xludf.DUMMYFUNCTION("""COMPUTED_VALUE"""),15.38)</f>
        <v>15.38</v>
      </c>
      <c r="F67">
        <f ca="1">IFERROR(__xludf.DUMMYFUNCTION("""COMPUTED_VALUE"""),39)</f>
        <v>39</v>
      </c>
      <c r="G67">
        <f ca="1">IFERROR(__xludf.DUMMYFUNCTION("""COMPUTED_VALUE"""),6)</f>
        <v>6</v>
      </c>
    </row>
    <row r="68" spans="1:7" ht="12.75">
      <c r="A68" t="str">
        <f ca="1">IFERROR(__xludf.DUMMYFUNCTION("""COMPUTED_VALUE"""),"T66")</f>
        <v>T66</v>
      </c>
      <c r="B68" t="str">
        <f ca="1">IFERROR(__xludf.DUMMYFUNCTION("""COMPUTED_VALUE"""),"")</f>
        <v/>
      </c>
      <c r="C68" t="str">
        <f ca="1">IFERROR(__xludf.DUMMYFUNCTION("""COMPUTED_VALUE"""),"Isaiah Salinda")</f>
        <v>Isaiah Salinda</v>
      </c>
      <c r="D68">
        <f ca="1">IFERROR(__xludf.DUMMYFUNCTION("""COMPUTED_VALUE"""),8)</f>
        <v>8</v>
      </c>
      <c r="E68">
        <f ca="1">IFERROR(__xludf.DUMMYFUNCTION("""COMPUTED_VALUE"""),15.38)</f>
        <v>15.38</v>
      </c>
      <c r="F68">
        <f ca="1">IFERROR(__xludf.DUMMYFUNCTION("""COMPUTED_VALUE"""),13)</f>
        <v>13</v>
      </c>
      <c r="G68">
        <f ca="1">IFERROR(__xludf.DUMMYFUNCTION("""COMPUTED_VALUE"""),2)</f>
        <v>2</v>
      </c>
    </row>
    <row r="69" spans="1:7" ht="12.75">
      <c r="A69" t="str">
        <f ca="1">IFERROR(__xludf.DUMMYFUNCTION("""COMPUTED_VALUE"""),"T66")</f>
        <v>T66</v>
      </c>
      <c r="B69" t="str">
        <f ca="1">IFERROR(__xludf.DUMMYFUNCTION("""COMPUTED_VALUE"""),"")</f>
        <v/>
      </c>
      <c r="C69" t="str">
        <f ca="1">IFERROR(__xludf.DUMMYFUNCTION("""COMPUTED_VALUE"""),"Chris Kirk")</f>
        <v>Chris Kirk</v>
      </c>
      <c r="D69">
        <f ca="1">IFERROR(__xludf.DUMMYFUNCTION("""COMPUTED_VALUE"""),10)</f>
        <v>10</v>
      </c>
      <c r="E69">
        <f ca="1">IFERROR(__xludf.DUMMYFUNCTION("""COMPUTED_VALUE"""),15.38)</f>
        <v>15.38</v>
      </c>
      <c r="F69">
        <f ca="1">IFERROR(__xludf.DUMMYFUNCTION("""COMPUTED_VALUE"""),13)</f>
        <v>13</v>
      </c>
      <c r="G69">
        <f ca="1">IFERROR(__xludf.DUMMYFUNCTION("""COMPUTED_VALUE"""),2)</f>
        <v>2</v>
      </c>
    </row>
    <row r="70" spans="1:7" ht="12.75">
      <c r="A70" t="str">
        <f ca="1">IFERROR(__xludf.DUMMYFUNCTION("""COMPUTED_VALUE"""),"T66")</f>
        <v>T66</v>
      </c>
      <c r="B70" t="str">
        <f ca="1">IFERROR(__xludf.DUMMYFUNCTION("""COMPUTED_VALUE"""),"T29")</f>
        <v>T29</v>
      </c>
      <c r="C70" t="str">
        <f ca="1">IFERROR(__xludf.DUMMYFUNCTION("""COMPUTED_VALUE"""),"Kevin Chappell")</f>
        <v>Kevin Chappell</v>
      </c>
      <c r="D70">
        <f ca="1">IFERROR(__xludf.DUMMYFUNCTION("""COMPUTED_VALUE"""),16)</f>
        <v>16</v>
      </c>
      <c r="E70">
        <f ca="1">IFERROR(__xludf.DUMMYFUNCTION("""COMPUTED_VALUE"""),15.38)</f>
        <v>15.38</v>
      </c>
      <c r="F70">
        <f ca="1">IFERROR(__xludf.DUMMYFUNCTION("""COMPUTED_VALUE"""),26)</f>
        <v>26</v>
      </c>
      <c r="G70">
        <f ca="1">IFERROR(__xludf.DUMMYFUNCTION("""COMPUTED_VALUE"""),4)</f>
        <v>4</v>
      </c>
    </row>
    <row r="71" spans="1:7" ht="12.75">
      <c r="A71" t="str">
        <f ca="1">IFERROR(__xludf.DUMMYFUNCTION("""COMPUTED_VALUE"""),"T66")</f>
        <v>T66</v>
      </c>
      <c r="B71" t="str">
        <f ca="1">IFERROR(__xludf.DUMMYFUNCTION("""COMPUTED_VALUE"""),"T55")</f>
        <v>T55</v>
      </c>
      <c r="C71" t="str">
        <f ca="1">IFERROR(__xludf.DUMMYFUNCTION("""COMPUTED_VALUE"""),"Nick Watney")</f>
        <v>Nick Watney</v>
      </c>
      <c r="D71">
        <f ca="1">IFERROR(__xludf.DUMMYFUNCTION("""COMPUTED_VALUE"""),10)</f>
        <v>10</v>
      </c>
      <c r="E71">
        <f ca="1">IFERROR(__xludf.DUMMYFUNCTION("""COMPUTED_VALUE"""),15.38)</f>
        <v>15.38</v>
      </c>
      <c r="F71">
        <f ca="1">IFERROR(__xludf.DUMMYFUNCTION("""COMPUTED_VALUE"""),13)</f>
        <v>13</v>
      </c>
      <c r="G71">
        <f ca="1">IFERROR(__xludf.DUMMYFUNCTION("""COMPUTED_VALUE"""),2)</f>
        <v>2</v>
      </c>
    </row>
    <row r="72" spans="1:7" ht="12.75">
      <c r="A72" t="str">
        <f ca="1">IFERROR(__xludf.DUMMYFUNCTION("""COMPUTED_VALUE"""),"T71")</f>
        <v>T71</v>
      </c>
      <c r="B72" t="str">
        <f ca="1">IFERROR(__xludf.DUMMYFUNCTION("""COMPUTED_VALUE"""),"T49")</f>
        <v>T49</v>
      </c>
      <c r="C72" t="str">
        <f ca="1">IFERROR(__xludf.DUMMYFUNCTION("""COMPUTED_VALUE"""),"Kyoung-Hoon Lee")</f>
        <v>Kyoung-Hoon Lee</v>
      </c>
      <c r="D72">
        <f ca="1">IFERROR(__xludf.DUMMYFUNCTION("""COMPUTED_VALUE"""),20)</f>
        <v>20</v>
      </c>
      <c r="E72">
        <f ca="1">IFERROR(__xludf.DUMMYFUNCTION("""COMPUTED_VALUE"""),14.81)</f>
        <v>14.81</v>
      </c>
      <c r="F72">
        <f ca="1">IFERROR(__xludf.DUMMYFUNCTION("""COMPUTED_VALUE"""),27)</f>
        <v>27</v>
      </c>
      <c r="G72">
        <f ca="1">IFERROR(__xludf.DUMMYFUNCTION("""COMPUTED_VALUE"""),4)</f>
        <v>4</v>
      </c>
    </row>
    <row r="73" spans="1:7" ht="12.75">
      <c r="A73" t="str">
        <f ca="1">IFERROR(__xludf.DUMMYFUNCTION("""COMPUTED_VALUE"""),"T71")</f>
        <v>T71</v>
      </c>
      <c r="B73" t="str">
        <f ca="1">IFERROR(__xludf.DUMMYFUNCTION("""COMPUTED_VALUE"""),"T59")</f>
        <v>T59</v>
      </c>
      <c r="C73" t="str">
        <f ca="1">IFERROR(__xludf.DUMMYFUNCTION("""COMPUTED_VALUE"""),"Brian Stuard")</f>
        <v>Brian Stuard</v>
      </c>
      <c r="D73">
        <f ca="1">IFERROR(__xludf.DUMMYFUNCTION("""COMPUTED_VALUE"""),18)</f>
        <v>18</v>
      </c>
      <c r="E73">
        <f ca="1">IFERROR(__xludf.DUMMYFUNCTION("""COMPUTED_VALUE"""),14.81)</f>
        <v>14.81</v>
      </c>
      <c r="F73">
        <f ca="1">IFERROR(__xludf.DUMMYFUNCTION("""COMPUTED_VALUE"""),27)</f>
        <v>27</v>
      </c>
      <c r="G73">
        <f ca="1">IFERROR(__xludf.DUMMYFUNCTION("""COMPUTED_VALUE"""),4)</f>
        <v>4</v>
      </c>
    </row>
    <row r="74" spans="1:7" ht="12.75">
      <c r="A74" t="str">
        <f ca="1">IFERROR(__xludf.DUMMYFUNCTION("""COMPUTED_VALUE"""),"T71")</f>
        <v>T71</v>
      </c>
      <c r="B74" t="str">
        <f ca="1">IFERROR(__xludf.DUMMYFUNCTION("""COMPUTED_VALUE"""),"T72")</f>
        <v>T72</v>
      </c>
      <c r="C74" t="str">
        <f ca="1">IFERROR(__xludf.DUMMYFUNCTION("""COMPUTED_VALUE"""),"Michael Thompson")</f>
        <v>Michael Thompson</v>
      </c>
      <c r="D74">
        <f ca="1">IFERROR(__xludf.DUMMYFUNCTION("""COMPUTED_VALUE"""),16)</f>
        <v>16</v>
      </c>
      <c r="E74">
        <f ca="1">IFERROR(__xludf.DUMMYFUNCTION("""COMPUTED_VALUE"""),14.81)</f>
        <v>14.81</v>
      </c>
      <c r="F74">
        <f ca="1">IFERROR(__xludf.DUMMYFUNCTION("""COMPUTED_VALUE"""),27)</f>
        <v>27</v>
      </c>
      <c r="G74">
        <f ca="1">IFERROR(__xludf.DUMMYFUNCTION("""COMPUTED_VALUE"""),4)</f>
        <v>4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IFERROR(__xludf.DUMMYFUNCTION("""COMPUTED_VALUE"""),"T42")</f>
        <v>T42</v>
      </c>
      <c r="C75" t="str">
        <f ca="1">IFERROR(__xludf.DUMMYFUNCTION("""COMPUTED_VALUE"""),"Grayson Murray")</f>
        <v>Grayson Murray</v>
      </c>
      <c r="D75">
        <f ca="1">IFERROR(__xludf.DUMMYFUNCTION("""COMPUTED_VALUE"""),10)</f>
        <v>10</v>
      </c>
      <c r="E75">
        <f ca="1">IFERROR(__xludf.DUMMYFUNCTION("""COMPUTED_VALUE"""),14.29)</f>
        <v>14.29</v>
      </c>
      <c r="F75">
        <f ca="1">IFERROR(__xludf.DUMMYFUNCTION("""COMPUTED_VALUE"""),14)</f>
        <v>14</v>
      </c>
      <c r="G75">
        <f ca="1">IFERROR(__xludf.DUMMYFUNCTION("""COMPUTED_VALUE"""),2)</f>
        <v>2</v>
      </c>
    </row>
    <row r="76" spans="1:7" ht="12.75">
      <c r="A76" t="str">
        <f ca="1">IFERROR(__xludf.DUMMYFUNCTION("""COMPUTED_VALUE"""),"T74")</f>
        <v>T74</v>
      </c>
      <c r="B76">
        <f ca="1">IFERROR(__xludf.DUMMYFUNCTION("""COMPUTED_VALUE"""),54)</f>
        <v>54</v>
      </c>
      <c r="C76" t="str">
        <f ca="1">IFERROR(__xludf.DUMMYFUNCTION("""COMPUTED_VALUE"""),"Alex Noren")</f>
        <v>Alex Noren</v>
      </c>
      <c r="D76">
        <f ca="1">IFERROR(__xludf.DUMMYFUNCTION("""COMPUTED_VALUE"""),14)</f>
        <v>14</v>
      </c>
      <c r="E76">
        <f ca="1">IFERROR(__xludf.DUMMYFUNCTION("""COMPUTED_VALUE"""),14.29)</f>
        <v>14.29</v>
      </c>
      <c r="F76">
        <f ca="1">IFERROR(__xludf.DUMMYFUNCTION("""COMPUTED_VALUE"""),21)</f>
        <v>21</v>
      </c>
      <c r="G76">
        <f ca="1">IFERROR(__xludf.DUMMYFUNCTION("""COMPUTED_VALUE"""),3)</f>
        <v>3</v>
      </c>
    </row>
    <row r="77" spans="1:7" ht="12.75">
      <c r="A77" t="str">
        <f ca="1">IFERROR(__xludf.DUMMYFUNCTION("""COMPUTED_VALUE"""),"T74")</f>
        <v>T74</v>
      </c>
      <c r="B77" t="str">
        <f ca="1">IFERROR(__xludf.DUMMYFUNCTION("""COMPUTED_VALUE"""),"T61")</f>
        <v>T61</v>
      </c>
      <c r="C77" t="str">
        <f ca="1">IFERROR(__xludf.DUMMYFUNCTION("""COMPUTED_VALUE"""),"J.B. Holmes")</f>
        <v>J.B. Holmes</v>
      </c>
      <c r="D77">
        <f ca="1">IFERROR(__xludf.DUMMYFUNCTION("""COMPUTED_VALUE"""),10)</f>
        <v>10</v>
      </c>
      <c r="E77">
        <f ca="1">IFERROR(__xludf.DUMMYFUNCTION("""COMPUTED_VALUE"""),14.29)</f>
        <v>14.29</v>
      </c>
      <c r="F77">
        <f ca="1">IFERROR(__xludf.DUMMYFUNCTION("""COMPUTED_VALUE"""),14)</f>
        <v>14</v>
      </c>
      <c r="G77">
        <f ca="1">IFERROR(__xludf.DUMMYFUNCTION("""COMPUTED_VALUE"""),2)</f>
        <v>2</v>
      </c>
    </row>
    <row r="78" spans="1:7" ht="12.75">
      <c r="A78" t="str">
        <f ca="1">IFERROR(__xludf.DUMMYFUNCTION("""COMPUTED_VALUE"""),"T74")</f>
        <v>T74</v>
      </c>
      <c r="B78" t="str">
        <f ca="1">IFERROR(__xludf.DUMMYFUNCTION("""COMPUTED_VALUE"""),"T61")</f>
        <v>T61</v>
      </c>
      <c r="C78" t="str">
        <f ca="1">IFERROR(__xludf.DUMMYFUNCTION("""COMPUTED_VALUE"""),"Xander Schauffele")</f>
        <v>Xander Schauffele</v>
      </c>
      <c r="D78">
        <f ca="1">IFERROR(__xludf.DUMMYFUNCTION("""COMPUTED_VALUE"""),12)</f>
        <v>12</v>
      </c>
      <c r="E78">
        <f ca="1">IFERROR(__xludf.DUMMYFUNCTION("""COMPUTED_VALUE"""),14.29)</f>
        <v>14.29</v>
      </c>
      <c r="F78">
        <f ca="1">IFERROR(__xludf.DUMMYFUNCTION("""COMPUTED_VALUE"""),14)</f>
        <v>14</v>
      </c>
      <c r="G78">
        <f ca="1">IFERROR(__xludf.DUMMYFUNCTION("""COMPUTED_VALUE"""),2)</f>
        <v>2</v>
      </c>
    </row>
    <row r="79" spans="1:7" ht="12.75">
      <c r="A79" t="str">
        <f ca="1">IFERROR(__xludf.DUMMYFUNCTION("""COMPUTED_VALUE"""),"T78")</f>
        <v>T78</v>
      </c>
      <c r="B79">
        <f ca="1">IFERROR(__xludf.DUMMYFUNCTION("""COMPUTED_VALUE"""),71)</f>
        <v>71</v>
      </c>
      <c r="C79" t="str">
        <f ca="1">IFERROR(__xludf.DUMMYFUNCTION("""COMPUTED_VALUE"""),"Jason Day")</f>
        <v>Jason Day</v>
      </c>
      <c r="D79">
        <f ca="1">IFERROR(__xludf.DUMMYFUNCTION("""COMPUTED_VALUE"""),17)</f>
        <v>17</v>
      </c>
      <c r="E79">
        <f ca="1">IFERROR(__xludf.DUMMYFUNCTION("""COMPUTED_VALUE"""),13.33)</f>
        <v>13.33</v>
      </c>
      <c r="F79">
        <f ca="1">IFERROR(__xludf.DUMMYFUNCTION("""COMPUTED_VALUE"""),30)</f>
        <v>30</v>
      </c>
      <c r="G79">
        <f ca="1">IFERROR(__xludf.DUMMYFUNCTION("""COMPUTED_VALUE"""),4)</f>
        <v>4</v>
      </c>
    </row>
    <row r="80" spans="1:7" ht="12.75">
      <c r="A80" t="str">
        <f ca="1">IFERROR(__xludf.DUMMYFUNCTION("""COMPUTED_VALUE"""),"T78")</f>
        <v>T78</v>
      </c>
      <c r="B80" t="str">
        <f ca="1">IFERROR(__xludf.DUMMYFUNCTION("""COMPUTED_VALUE"""),"T68")</f>
        <v>T68</v>
      </c>
      <c r="C80" t="str">
        <f ca="1">IFERROR(__xludf.DUMMYFUNCTION("""COMPUTED_VALUE"""),"Justin Rose")</f>
        <v>Justin Rose</v>
      </c>
      <c r="D80">
        <f ca="1">IFERROR(__xludf.DUMMYFUNCTION("""COMPUTED_VALUE"""),10)</f>
        <v>10</v>
      </c>
      <c r="E80">
        <f ca="1">IFERROR(__xludf.DUMMYFUNCTION("""COMPUTED_VALUE"""),13.33)</f>
        <v>13.33</v>
      </c>
      <c r="F80">
        <f ca="1">IFERROR(__xludf.DUMMYFUNCTION("""COMPUTED_VALUE"""),15)</f>
        <v>15</v>
      </c>
      <c r="G80">
        <f ca="1">IFERROR(__xludf.DUMMYFUNCTION("""COMPUTED_VALUE"""),2)</f>
        <v>2</v>
      </c>
    </row>
    <row r="81" spans="1:7" ht="12.75">
      <c r="A81" t="str">
        <f ca="1">IFERROR(__xludf.DUMMYFUNCTION("""COMPUTED_VALUE"""),"T80")</f>
        <v>T80</v>
      </c>
      <c r="B81" t="str">
        <f ca="1">IFERROR(__xludf.DUMMYFUNCTION("""COMPUTED_VALUE"""),"T72")</f>
        <v>T72</v>
      </c>
      <c r="C81" t="str">
        <f ca="1">IFERROR(__xludf.DUMMYFUNCTION("""COMPUTED_VALUE"""),"Ian Poulter")</f>
        <v>Ian Poulter</v>
      </c>
      <c r="D81">
        <f ca="1">IFERROR(__xludf.DUMMYFUNCTION("""COMPUTED_VALUE"""),6)</f>
        <v>6</v>
      </c>
      <c r="E81">
        <f ca="1">IFERROR(__xludf.DUMMYFUNCTION("""COMPUTED_VALUE"""),12.5)</f>
        <v>12.5</v>
      </c>
      <c r="F81">
        <f ca="1">IFERROR(__xludf.DUMMYFUNCTION("""COMPUTED_VALUE"""),16)</f>
        <v>16</v>
      </c>
      <c r="G81">
        <f ca="1">IFERROR(__xludf.DUMMYFUNCTION("""COMPUTED_VALUE"""),2)</f>
        <v>2</v>
      </c>
    </row>
    <row r="82" spans="1:7" ht="12.75">
      <c r="A82" t="str">
        <f ca="1">IFERROR(__xludf.DUMMYFUNCTION("""COMPUTED_VALUE"""),"T80")</f>
        <v>T80</v>
      </c>
      <c r="B82" t="str">
        <f ca="1">IFERROR(__xludf.DUMMYFUNCTION("""COMPUTED_VALUE"""),"T77")</f>
        <v>T77</v>
      </c>
      <c r="C82" t="str">
        <f ca="1">IFERROR(__xludf.DUMMYFUNCTION("""COMPUTED_VALUE"""),"Kristoffer Ventura")</f>
        <v>Kristoffer Ventura</v>
      </c>
      <c r="D82">
        <f ca="1">IFERROR(__xludf.DUMMYFUNCTION("""COMPUTED_VALUE"""),20)</f>
        <v>20</v>
      </c>
      <c r="E82">
        <f ca="1">IFERROR(__xludf.DUMMYFUNCTION("""COMPUTED_VALUE"""),12.5)</f>
        <v>12.5</v>
      </c>
      <c r="F82">
        <f ca="1">IFERROR(__xludf.DUMMYFUNCTION("""COMPUTED_VALUE"""),24)</f>
        <v>24</v>
      </c>
      <c r="G82">
        <f ca="1">IFERROR(__xludf.DUMMYFUNCTION("""COMPUTED_VALUE"""),3)</f>
        <v>3</v>
      </c>
    </row>
    <row r="83" spans="1:7" ht="12.75">
      <c r="A83" t="str">
        <f ca="1">IFERROR(__xludf.DUMMYFUNCTION("""COMPUTED_VALUE"""),"T80")</f>
        <v>T80</v>
      </c>
      <c r="B83" t="str">
        <f ca="1">IFERROR(__xludf.DUMMYFUNCTION("""COMPUTED_VALUE"""),"T72")</f>
        <v>T72</v>
      </c>
      <c r="C83" t="str">
        <f ca="1">IFERROR(__xludf.DUMMYFUNCTION("""COMPUTED_VALUE"""),"Jim Herman")</f>
        <v>Jim Herman</v>
      </c>
      <c r="D83">
        <f ca="1">IFERROR(__xludf.DUMMYFUNCTION("""COMPUTED_VALUE"""),12)</f>
        <v>12</v>
      </c>
      <c r="E83">
        <f ca="1">IFERROR(__xludf.DUMMYFUNCTION("""COMPUTED_VALUE"""),12.5)</f>
        <v>12.5</v>
      </c>
      <c r="F83">
        <f ca="1">IFERROR(__xludf.DUMMYFUNCTION("""COMPUTED_VALUE"""),16)</f>
        <v>16</v>
      </c>
      <c r="G83">
        <f ca="1">IFERROR(__xludf.DUMMYFUNCTION("""COMPUTED_VALUE"""),2)</f>
        <v>2</v>
      </c>
    </row>
    <row r="84" spans="1:7" ht="12.75">
      <c r="A84" t="str">
        <f ca="1">IFERROR(__xludf.DUMMYFUNCTION("""COMPUTED_VALUE"""),"T80")</f>
        <v>T80</v>
      </c>
      <c r="B84" t="str">
        <f ca="1">IFERROR(__xludf.DUMMYFUNCTION("""COMPUTED_VALUE"""),"T61")</f>
        <v>T61</v>
      </c>
      <c r="C84" t="str">
        <f ca="1">IFERROR(__xludf.DUMMYFUNCTION("""COMPUTED_VALUE"""),"Scott Stallings")</f>
        <v>Scott Stallings</v>
      </c>
      <c r="D84">
        <f ca="1">IFERROR(__xludf.DUMMYFUNCTION("""COMPUTED_VALUE"""),14)</f>
        <v>14</v>
      </c>
      <c r="E84">
        <f ca="1">IFERROR(__xludf.DUMMYFUNCTION("""COMPUTED_VALUE"""),12.5)</f>
        <v>12.5</v>
      </c>
      <c r="F84">
        <f ca="1">IFERROR(__xludf.DUMMYFUNCTION("""COMPUTED_VALUE"""),16)</f>
        <v>16</v>
      </c>
      <c r="G84">
        <f ca="1">IFERROR(__xludf.DUMMYFUNCTION("""COMPUTED_VALUE"""),2)</f>
        <v>2</v>
      </c>
    </row>
    <row r="85" spans="1:7" ht="12.75">
      <c r="A85" t="str">
        <f ca="1">IFERROR(__xludf.DUMMYFUNCTION("""COMPUTED_VALUE"""),"T80")</f>
        <v>T80</v>
      </c>
      <c r="B85" t="str">
        <f ca="1">IFERROR(__xludf.DUMMYFUNCTION("""COMPUTED_VALUE"""),"T72")</f>
        <v>T72</v>
      </c>
      <c r="C85" t="str">
        <f ca="1">IFERROR(__xludf.DUMMYFUNCTION("""COMPUTED_VALUE"""),"Richy Werenski")</f>
        <v>Richy Werenski</v>
      </c>
      <c r="D85">
        <f ca="1">IFERROR(__xludf.DUMMYFUNCTION("""COMPUTED_VALUE"""),16)</f>
        <v>16</v>
      </c>
      <c r="E85">
        <f ca="1">IFERROR(__xludf.DUMMYFUNCTION("""COMPUTED_VALUE"""),12.5)</f>
        <v>12.5</v>
      </c>
      <c r="F85">
        <f ca="1">IFERROR(__xludf.DUMMYFUNCTION("""COMPUTED_VALUE"""),24)</f>
        <v>24</v>
      </c>
      <c r="G85">
        <f ca="1">IFERROR(__xludf.DUMMYFUNCTION("""COMPUTED_VALUE"""),3)</f>
        <v>3</v>
      </c>
    </row>
    <row r="86" spans="1:7" ht="12.75">
      <c r="A86">
        <f ca="1">IFERROR(__xludf.DUMMYFUNCTION("""COMPUTED_VALUE"""),85)</f>
        <v>85</v>
      </c>
      <c r="B86" t="str">
        <f ca="1">IFERROR(__xludf.DUMMYFUNCTION("""COMPUTED_VALUE"""),"T59")</f>
        <v>T59</v>
      </c>
      <c r="C86" t="str">
        <f ca="1">IFERROR(__xludf.DUMMYFUNCTION("""COMPUTED_VALUE"""),"Dylan Frittelli")</f>
        <v>Dylan Frittelli</v>
      </c>
      <c r="D86">
        <f ca="1">IFERROR(__xludf.DUMMYFUNCTION("""COMPUTED_VALUE"""),16)</f>
        <v>16</v>
      </c>
      <c r="E86">
        <f ca="1">IFERROR(__xludf.DUMMYFUNCTION("""COMPUTED_VALUE"""),12)</f>
        <v>12</v>
      </c>
      <c r="F86">
        <f ca="1">IFERROR(__xludf.DUMMYFUNCTION("""COMPUTED_VALUE"""),25)</f>
        <v>25</v>
      </c>
      <c r="G86">
        <f ca="1">IFERROR(__xludf.DUMMYFUNCTION("""COMPUTED_VALUE"""),3)</f>
        <v>3</v>
      </c>
    </row>
    <row r="87" spans="1:7" ht="12.75">
      <c r="A87" t="str">
        <f ca="1">IFERROR(__xludf.DUMMYFUNCTION("""COMPUTED_VALUE"""),"T86")</f>
        <v>T86</v>
      </c>
      <c r="B87" t="str">
        <f ca="1">IFERROR(__xludf.DUMMYFUNCTION("""COMPUTED_VALUE"""),"T61")</f>
        <v>T61</v>
      </c>
      <c r="C87" t="str">
        <f ca="1">IFERROR(__xludf.DUMMYFUNCTION("""COMPUTED_VALUE"""),"Scottie Scheffler")</f>
        <v>Scottie Scheffler</v>
      </c>
      <c r="D87">
        <f ca="1">IFERROR(__xludf.DUMMYFUNCTION("""COMPUTED_VALUE"""),18)</f>
        <v>18</v>
      </c>
      <c r="E87">
        <f ca="1">IFERROR(__xludf.DUMMYFUNCTION("""COMPUTED_VALUE"""),11.54)</f>
        <v>11.54</v>
      </c>
      <c r="F87">
        <f ca="1">IFERROR(__xludf.DUMMYFUNCTION("""COMPUTED_VALUE"""),26)</f>
        <v>26</v>
      </c>
      <c r="G87">
        <f ca="1">IFERROR(__xludf.DUMMYFUNCTION("""COMPUTED_VALUE"""),3)</f>
        <v>3</v>
      </c>
    </row>
    <row r="88" spans="1:7" ht="12.75">
      <c r="A88" t="str">
        <f ca="1">IFERROR(__xludf.DUMMYFUNCTION("""COMPUTED_VALUE"""),"T86")</f>
        <v>T86</v>
      </c>
      <c r="B88" t="str">
        <f ca="1">IFERROR(__xludf.DUMMYFUNCTION("""COMPUTED_VALUE"""),"T89")</f>
        <v>T89</v>
      </c>
      <c r="C88" t="str">
        <f ca="1">IFERROR(__xludf.DUMMYFUNCTION("""COMPUTED_VALUE"""),"J.T. Poston")</f>
        <v>J.T. Poston</v>
      </c>
      <c r="D88">
        <f ca="1">IFERROR(__xludf.DUMMYFUNCTION("""COMPUTED_VALUE"""),18)</f>
        <v>18</v>
      </c>
      <c r="E88">
        <f ca="1">IFERROR(__xludf.DUMMYFUNCTION("""COMPUTED_VALUE"""),11.54)</f>
        <v>11.54</v>
      </c>
      <c r="F88">
        <f ca="1">IFERROR(__xludf.DUMMYFUNCTION("""COMPUTED_VALUE"""),26)</f>
        <v>26</v>
      </c>
      <c r="G88">
        <f ca="1">IFERROR(__xludf.DUMMYFUNCTION("""COMPUTED_VALUE"""),3)</f>
        <v>3</v>
      </c>
    </row>
    <row r="89" spans="1:7" ht="12.75">
      <c r="A89" t="str">
        <f ca="1">IFERROR(__xludf.DUMMYFUNCTION("""COMPUTED_VALUE"""),"T88")</f>
        <v>T88</v>
      </c>
      <c r="B89" t="str">
        <f ca="1">IFERROR(__xludf.DUMMYFUNCTION("""COMPUTED_VALUE"""),"T84")</f>
        <v>T84</v>
      </c>
      <c r="C89" t="str">
        <f ca="1">IFERROR(__xludf.DUMMYFUNCTION("""COMPUTED_VALUE"""),"Will Zalatoris")</f>
        <v>Will Zalatoris</v>
      </c>
      <c r="D89">
        <f ca="1">IFERROR(__xludf.DUMMYFUNCTION("""COMPUTED_VALUE"""),18)</f>
        <v>18</v>
      </c>
      <c r="E89">
        <f ca="1">IFERROR(__xludf.DUMMYFUNCTION("""COMPUTED_VALUE"""),11.11)</f>
        <v>11.11</v>
      </c>
      <c r="F89">
        <f ca="1">IFERROR(__xludf.DUMMYFUNCTION("""COMPUTED_VALUE"""),18)</f>
        <v>18</v>
      </c>
      <c r="G89">
        <f ca="1">IFERROR(__xludf.DUMMYFUNCTION("""COMPUTED_VALUE"""),2)</f>
        <v>2</v>
      </c>
    </row>
    <row r="90" spans="1:7" ht="12.75">
      <c r="A90" t="str">
        <f ca="1">IFERROR(__xludf.DUMMYFUNCTION("""COMPUTED_VALUE"""),"T88")</f>
        <v>T88</v>
      </c>
      <c r="B90" t="str">
        <f ca="1">IFERROR(__xludf.DUMMYFUNCTION("""COMPUTED_VALUE"""),"T55")</f>
        <v>T55</v>
      </c>
      <c r="C90" t="str">
        <f ca="1">IFERROR(__xludf.DUMMYFUNCTION("""COMPUTED_VALUE"""),"Hideki Matsuyama")</f>
        <v>Hideki Matsuyama</v>
      </c>
      <c r="D90">
        <f ca="1">IFERROR(__xludf.DUMMYFUNCTION("""COMPUTED_VALUE"""),18)</f>
        <v>18</v>
      </c>
      <c r="E90">
        <f ca="1">IFERROR(__xludf.DUMMYFUNCTION("""COMPUTED_VALUE"""),11.11)</f>
        <v>11.11</v>
      </c>
      <c r="F90">
        <f ca="1">IFERROR(__xludf.DUMMYFUNCTION("""COMPUTED_VALUE"""),18)</f>
        <v>18</v>
      </c>
      <c r="G90">
        <f ca="1">IFERROR(__xludf.DUMMYFUNCTION("""COMPUTED_VALUE"""),2)</f>
        <v>2</v>
      </c>
    </row>
    <row r="91" spans="1:7" ht="12.75">
      <c r="A91" t="str">
        <f ca="1">IFERROR(__xludf.DUMMYFUNCTION("""COMPUTED_VALUE"""),"T88")</f>
        <v>T88</v>
      </c>
      <c r="B91">
        <f ca="1">IFERROR(__xludf.DUMMYFUNCTION("""COMPUTED_VALUE"""),133)</f>
        <v>133</v>
      </c>
      <c r="C91" t="str">
        <f ca="1">IFERROR(__xludf.DUMMYFUNCTION("""COMPUTED_VALUE"""),"Zach Johnson")</f>
        <v>Zach Johnson</v>
      </c>
      <c r="D91">
        <f ca="1">IFERROR(__xludf.DUMMYFUNCTION("""COMPUTED_VALUE"""),16)</f>
        <v>16</v>
      </c>
      <c r="E91">
        <f ca="1">IFERROR(__xludf.DUMMYFUNCTION("""COMPUTED_VALUE"""),11.11)</f>
        <v>11.11</v>
      </c>
      <c r="F91">
        <f ca="1">IFERROR(__xludf.DUMMYFUNCTION("""COMPUTED_VALUE"""),27)</f>
        <v>27</v>
      </c>
      <c r="G91">
        <f ca="1">IFERROR(__xludf.DUMMYFUNCTION("""COMPUTED_VALUE"""),3)</f>
        <v>3</v>
      </c>
    </row>
    <row r="92" spans="1:7" ht="12.75">
      <c r="A92" t="str">
        <f ca="1">IFERROR(__xludf.DUMMYFUNCTION("""COMPUTED_VALUE"""),"T88")</f>
        <v>T88</v>
      </c>
      <c r="B92" t="str">
        <f ca="1">IFERROR(__xludf.DUMMYFUNCTION("""COMPUTED_VALUE"""),"T84")</f>
        <v>T84</v>
      </c>
      <c r="C92" t="str">
        <f ca="1">IFERROR(__xludf.DUMMYFUNCTION("""COMPUTED_VALUE"""),"Matt Kuchar")</f>
        <v>Matt Kuchar</v>
      </c>
      <c r="D92">
        <f ca="1">IFERROR(__xludf.DUMMYFUNCTION("""COMPUTED_VALUE"""),14)</f>
        <v>14</v>
      </c>
      <c r="E92">
        <f ca="1">IFERROR(__xludf.DUMMYFUNCTION("""COMPUTED_VALUE"""),11.11)</f>
        <v>11.11</v>
      </c>
      <c r="F92">
        <f ca="1">IFERROR(__xludf.DUMMYFUNCTION("""COMPUTED_VALUE"""),18)</f>
        <v>18</v>
      </c>
      <c r="G92">
        <f ca="1">IFERROR(__xludf.DUMMYFUNCTION("""COMPUTED_VALUE"""),2)</f>
        <v>2</v>
      </c>
    </row>
    <row r="93" spans="1:7" ht="12.75">
      <c r="A93" t="str">
        <f ca="1">IFERROR(__xludf.DUMMYFUNCTION("""COMPUTED_VALUE"""),"T88")</f>
        <v>T88</v>
      </c>
      <c r="B93" t="str">
        <f ca="1">IFERROR(__xludf.DUMMYFUNCTION("""COMPUTED_VALUE"""),"T77")</f>
        <v>T77</v>
      </c>
      <c r="C93" t="str">
        <f ca="1">IFERROR(__xludf.DUMMYFUNCTION("""COMPUTED_VALUE"""),"Pat Perez")</f>
        <v>Pat Perez</v>
      </c>
      <c r="D93">
        <f ca="1">IFERROR(__xludf.DUMMYFUNCTION("""COMPUTED_VALUE"""),16)</f>
        <v>16</v>
      </c>
      <c r="E93">
        <f ca="1">IFERROR(__xludf.DUMMYFUNCTION("""COMPUTED_VALUE"""),11.11)</f>
        <v>11.11</v>
      </c>
      <c r="F93">
        <f ca="1">IFERROR(__xludf.DUMMYFUNCTION("""COMPUTED_VALUE"""),18)</f>
        <v>18</v>
      </c>
      <c r="G93">
        <f ca="1">IFERROR(__xludf.DUMMYFUNCTION("""COMPUTED_VALUE"""),2)</f>
        <v>2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IFERROR(__xludf.DUMMYFUNCTION("""COMPUTED_VALUE"""),88)</f>
        <v>88</v>
      </c>
      <c r="C94" t="str">
        <f ca="1">IFERROR(__xludf.DUMMYFUNCTION("""COMPUTED_VALUE"""),"Rickie Fowler")</f>
        <v>Rickie Fowler</v>
      </c>
      <c r="D94">
        <f ca="1">IFERROR(__xludf.DUMMYFUNCTION("""COMPUTED_VALUE"""),14)</f>
        <v>14</v>
      </c>
      <c r="E94">
        <f ca="1">IFERROR(__xludf.DUMMYFUNCTION("""COMPUTED_VALUE"""),10.71)</f>
        <v>10.71</v>
      </c>
      <c r="F94">
        <f ca="1">IFERROR(__xludf.DUMMYFUNCTION("""COMPUTED_VALUE"""),28)</f>
        <v>28</v>
      </c>
      <c r="G94">
        <f ca="1">IFERROR(__xludf.DUMMYFUNCTION("""COMPUTED_VALUE"""),3)</f>
        <v>3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IFERROR(__xludf.DUMMYFUNCTION("""COMPUTED_VALUE"""),"T77")</f>
        <v>T77</v>
      </c>
      <c r="C95" t="str">
        <f ca="1">IFERROR(__xludf.DUMMYFUNCTION("""COMPUTED_VALUE"""),"Keegan Bradley")</f>
        <v>Keegan Bradley</v>
      </c>
      <c r="D95">
        <f ca="1">IFERROR(__xludf.DUMMYFUNCTION("""COMPUTED_VALUE"""),16)</f>
        <v>16</v>
      </c>
      <c r="E95">
        <f ca="1">IFERROR(__xludf.DUMMYFUNCTION("""COMPUTED_VALUE"""),10.53)</f>
        <v>10.53</v>
      </c>
      <c r="F95">
        <f ca="1">IFERROR(__xludf.DUMMYFUNCTION("""COMPUTED_VALUE"""),19)</f>
        <v>19</v>
      </c>
      <c r="G95">
        <f ca="1">IFERROR(__xludf.DUMMYFUNCTION("""COMPUTED_VALUE"""),2)</f>
        <v>2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IFERROR(__xludf.DUMMYFUNCTION("""COMPUTED_VALUE"""),"T143")</f>
        <v>T143</v>
      </c>
      <c r="C96" t="str">
        <f ca="1">IFERROR(__xludf.DUMMYFUNCTION("""COMPUTED_VALUE"""),"Sepp Straka")</f>
        <v>Sepp Straka</v>
      </c>
      <c r="D96">
        <f ca="1">IFERROR(__xludf.DUMMYFUNCTION("""COMPUTED_VALUE"""),22)</f>
        <v>22</v>
      </c>
      <c r="E96">
        <f ca="1">IFERROR(__xludf.DUMMYFUNCTION("""COMPUTED_VALUE"""),10.53)</f>
        <v>10.53</v>
      </c>
      <c r="F96">
        <f ca="1">IFERROR(__xludf.DUMMYFUNCTION("""COMPUTED_VALUE"""),19)</f>
        <v>19</v>
      </c>
      <c r="G96">
        <f ca="1">IFERROR(__xludf.DUMMYFUNCTION("""COMPUTED_VALUE"""),2)</f>
        <v>2</v>
      </c>
    </row>
    <row r="97" spans="1:7" ht="12.75">
      <c r="A97" t="str">
        <f ca="1">IFERROR(__xludf.DUMMYFUNCTION("""COMPUTED_VALUE"""),"T96")</f>
        <v>T96</v>
      </c>
      <c r="B97" t="str">
        <f ca="1">IFERROR(__xludf.DUMMYFUNCTION("""COMPUTED_VALUE"""),"T72")</f>
        <v>T72</v>
      </c>
      <c r="C97" t="str">
        <f ca="1">IFERROR(__xludf.DUMMYFUNCTION("""COMPUTED_VALUE"""),"Talor Gooch")</f>
        <v>Talor Gooch</v>
      </c>
      <c r="D97">
        <f ca="1">IFERROR(__xludf.DUMMYFUNCTION("""COMPUTED_VALUE"""),20)</f>
        <v>20</v>
      </c>
      <c r="E97">
        <f ca="1">IFERROR(__xludf.DUMMYFUNCTION("""COMPUTED_VALUE"""),10.34)</f>
        <v>10.34</v>
      </c>
      <c r="F97">
        <f ca="1">IFERROR(__xludf.DUMMYFUNCTION("""COMPUTED_VALUE"""),29)</f>
        <v>29</v>
      </c>
      <c r="G97">
        <f ca="1">IFERROR(__xludf.DUMMYFUNCTION("""COMPUTED_VALUE"""),3)</f>
        <v>3</v>
      </c>
    </row>
    <row r="98" spans="1:7" ht="12.75">
      <c r="A98" t="str">
        <f ca="1">IFERROR(__xludf.DUMMYFUNCTION("""COMPUTED_VALUE"""),"T96")</f>
        <v>T96</v>
      </c>
      <c r="B98">
        <f ca="1">IFERROR(__xludf.DUMMYFUNCTION("""COMPUTED_VALUE"""),91)</f>
        <v>91</v>
      </c>
      <c r="C98" t="str">
        <f ca="1">IFERROR(__xludf.DUMMYFUNCTION("""COMPUTED_VALUE"""),"Brendan Steele")</f>
        <v>Brendan Steele</v>
      </c>
      <c r="D98">
        <f ca="1">IFERROR(__xludf.DUMMYFUNCTION("""COMPUTED_VALUE"""),14)</f>
        <v>14</v>
      </c>
      <c r="E98">
        <f ca="1">IFERROR(__xludf.DUMMYFUNCTION("""COMPUTED_VALUE"""),10.34)</f>
        <v>10.34</v>
      </c>
      <c r="F98">
        <f ca="1">IFERROR(__xludf.DUMMYFUNCTION("""COMPUTED_VALUE"""),29)</f>
        <v>29</v>
      </c>
      <c r="G98">
        <f ca="1">IFERROR(__xludf.DUMMYFUNCTION("""COMPUTED_VALUE"""),3)</f>
        <v>3</v>
      </c>
    </row>
    <row r="99" spans="1:7" ht="12.75">
      <c r="A99" t="str">
        <f ca="1">IFERROR(__xludf.DUMMYFUNCTION("""COMPUTED_VALUE"""),"T98")</f>
        <v>T98</v>
      </c>
      <c r="B99" t="str">
        <f ca="1">IFERROR(__xludf.DUMMYFUNCTION("""COMPUTED_VALUE"""),"")</f>
        <v/>
      </c>
      <c r="C99" t="str">
        <f ca="1">IFERROR(__xludf.DUMMYFUNCTION("""COMPUTED_VALUE"""),"Justin Harding")</f>
        <v>Justin Harding</v>
      </c>
      <c r="D99">
        <f ca="1">IFERROR(__xludf.DUMMYFUNCTION("""COMPUTED_VALUE"""),6)</f>
        <v>6</v>
      </c>
      <c r="E99">
        <f ca="1">IFERROR(__xludf.DUMMYFUNCTION("""COMPUTED_VALUE"""),10)</f>
        <v>10</v>
      </c>
      <c r="F99">
        <f ca="1">IFERROR(__xludf.DUMMYFUNCTION("""COMPUTED_VALUE"""),10)</f>
        <v>10</v>
      </c>
      <c r="G99">
        <f ca="1">IFERROR(__xludf.DUMMYFUNCTION("""COMPUTED_VALUE"""),1)</f>
        <v>1</v>
      </c>
    </row>
    <row r="100" spans="1:7" ht="12.75">
      <c r="A100" t="str">
        <f ca="1">IFERROR(__xludf.DUMMYFUNCTION("""COMPUTED_VALUE"""),"T98")</f>
        <v>T98</v>
      </c>
      <c r="B100" t="str">
        <f ca="1">IFERROR(__xludf.DUMMYFUNCTION("""COMPUTED_VALUE"""),"T131")</f>
        <v>T131</v>
      </c>
      <c r="C100" t="str">
        <f ca="1">IFERROR(__xludf.DUMMYFUNCTION("""COMPUTED_VALUE"""),"Martin Laird")</f>
        <v>Martin Laird</v>
      </c>
      <c r="D100">
        <f ca="1">IFERROR(__xludf.DUMMYFUNCTION("""COMPUTED_VALUE"""),16)</f>
        <v>16</v>
      </c>
      <c r="E100">
        <f ca="1">IFERROR(__xludf.DUMMYFUNCTION("""COMPUTED_VALUE"""),10)</f>
        <v>10</v>
      </c>
      <c r="F100">
        <f ca="1">IFERROR(__xludf.DUMMYFUNCTION("""COMPUTED_VALUE"""),20)</f>
        <v>20</v>
      </c>
      <c r="G100">
        <f ca="1">IFERROR(__xludf.DUMMYFUNCTION("""COMPUTED_VALUE"""),2)</f>
        <v>2</v>
      </c>
    </row>
    <row r="101" spans="1:7" ht="12.75">
      <c r="A101" t="str">
        <f ca="1">IFERROR(__xludf.DUMMYFUNCTION("""COMPUTED_VALUE"""),"T98")</f>
        <v>T98</v>
      </c>
      <c r="B101" t="str">
        <f ca="1">IFERROR(__xludf.DUMMYFUNCTION("""COMPUTED_VALUE"""),"T121")</f>
        <v>T121</v>
      </c>
      <c r="C101" t="str">
        <f ca="1">IFERROR(__xludf.DUMMYFUNCTION("""COMPUTED_VALUE"""),"James Hahn")</f>
        <v>James Hahn</v>
      </c>
      <c r="D101">
        <f ca="1">IFERROR(__xludf.DUMMYFUNCTION("""COMPUTED_VALUE"""),16)</f>
        <v>16</v>
      </c>
      <c r="E101">
        <f ca="1">IFERROR(__xludf.DUMMYFUNCTION("""COMPUTED_VALUE"""),10)</f>
        <v>10</v>
      </c>
      <c r="F101">
        <f ca="1">IFERROR(__xludf.DUMMYFUNCTION("""COMPUTED_VALUE"""),20)</f>
        <v>20</v>
      </c>
      <c r="G101">
        <f ca="1">IFERROR(__xludf.DUMMYFUNCTION("""COMPUTED_VALUE"""),2)</f>
        <v>2</v>
      </c>
    </row>
    <row r="102" spans="1:7" ht="12.75">
      <c r="A102" t="str">
        <f ca="1">IFERROR(__xludf.DUMMYFUNCTION("""COMPUTED_VALUE"""),"T98")</f>
        <v>T98</v>
      </c>
      <c r="B102" t="str">
        <f ca="1">IFERROR(__xludf.DUMMYFUNCTION("""COMPUTED_VALUE"""),"T92")</f>
        <v>T92</v>
      </c>
      <c r="C102" t="str">
        <f ca="1">IFERROR(__xludf.DUMMYFUNCTION("""COMPUTED_VALUE"""),"Brendon Todd")</f>
        <v>Brendon Todd</v>
      </c>
      <c r="D102">
        <f ca="1">IFERROR(__xludf.DUMMYFUNCTION("""COMPUTED_VALUE"""),14)</f>
        <v>14</v>
      </c>
      <c r="E102">
        <f ca="1">IFERROR(__xludf.DUMMYFUNCTION("""COMPUTED_VALUE"""),10)</f>
        <v>10</v>
      </c>
      <c r="F102">
        <f ca="1">IFERROR(__xludf.DUMMYFUNCTION("""COMPUTED_VALUE"""),20)</f>
        <v>20</v>
      </c>
      <c r="G102">
        <f ca="1">IFERROR(__xludf.DUMMYFUNCTION("""COMPUTED_VALUE"""),2)</f>
        <v>2</v>
      </c>
    </row>
    <row r="103" spans="1:7" ht="12.75">
      <c r="A103" t="str">
        <f ca="1">IFERROR(__xludf.DUMMYFUNCTION("""COMPUTED_VALUE"""),"T98")</f>
        <v>T98</v>
      </c>
      <c r="B103" t="str">
        <f ca="1">IFERROR(__xludf.DUMMYFUNCTION("""COMPUTED_VALUE"""),"T92")</f>
        <v>T92</v>
      </c>
      <c r="C103" t="str">
        <f ca="1">IFERROR(__xludf.DUMMYFUNCTION("""COMPUTED_VALUE"""),"Harris English")</f>
        <v>Harris English</v>
      </c>
      <c r="D103">
        <f ca="1">IFERROR(__xludf.DUMMYFUNCTION("""COMPUTED_VALUE"""),14)</f>
        <v>14</v>
      </c>
      <c r="E103">
        <f ca="1">IFERROR(__xludf.DUMMYFUNCTION("""COMPUTED_VALUE"""),10)</f>
        <v>10</v>
      </c>
      <c r="F103">
        <f ca="1">IFERROR(__xludf.DUMMYFUNCTION("""COMPUTED_VALUE"""),20)</f>
        <v>20</v>
      </c>
      <c r="G103">
        <f ca="1">IFERROR(__xludf.DUMMYFUNCTION("""COMPUTED_VALUE"""),2)</f>
        <v>2</v>
      </c>
    </row>
    <row r="104" spans="1:7" ht="12.75">
      <c r="A104" t="str">
        <f ca="1">IFERROR(__xludf.DUMMYFUNCTION("""COMPUTED_VALUE"""),"T98")</f>
        <v>T98</v>
      </c>
      <c r="B104" t="str">
        <f ca="1">IFERROR(__xludf.DUMMYFUNCTION("""COMPUTED_VALUE"""),"T92")</f>
        <v>T92</v>
      </c>
      <c r="C104" t="str">
        <f ca="1">IFERROR(__xludf.DUMMYFUNCTION("""COMPUTED_VALUE"""),"Chesson Hadley")</f>
        <v>Chesson Hadley</v>
      </c>
      <c r="D104">
        <f ca="1">IFERROR(__xludf.DUMMYFUNCTION("""COMPUTED_VALUE"""),16)</f>
        <v>16</v>
      </c>
      <c r="E104">
        <f ca="1">IFERROR(__xludf.DUMMYFUNCTION("""COMPUTED_VALUE"""),10)</f>
        <v>10</v>
      </c>
      <c r="F104">
        <f ca="1">IFERROR(__xludf.DUMMYFUNCTION("""COMPUTED_VALUE"""),20)</f>
        <v>20</v>
      </c>
      <c r="G104">
        <f ca="1">IFERROR(__xludf.DUMMYFUNCTION("""COMPUTED_VALUE"""),2)</f>
        <v>2</v>
      </c>
    </row>
    <row r="105" spans="1:7" ht="12.75">
      <c r="A105" t="str">
        <f ca="1">IFERROR(__xludf.DUMMYFUNCTION("""COMPUTED_VALUE"""),"T98")</f>
        <v>T98</v>
      </c>
      <c r="B105" t="str">
        <f ca="1">IFERROR(__xludf.DUMMYFUNCTION("""COMPUTED_VALUE"""),"T92")</f>
        <v>T92</v>
      </c>
      <c r="C105" t="str">
        <f ca="1">IFERROR(__xludf.DUMMYFUNCTION("""COMPUTED_VALUE"""),"Abraham Ancer")</f>
        <v>Abraham Ancer</v>
      </c>
      <c r="D105">
        <f ca="1">IFERROR(__xludf.DUMMYFUNCTION("""COMPUTED_VALUE"""),16)</f>
        <v>16</v>
      </c>
      <c r="E105">
        <f ca="1">IFERROR(__xludf.DUMMYFUNCTION("""COMPUTED_VALUE"""),10)</f>
        <v>10</v>
      </c>
      <c r="F105">
        <f ca="1">IFERROR(__xludf.DUMMYFUNCTION("""COMPUTED_VALUE"""),20)</f>
        <v>20</v>
      </c>
      <c r="G105">
        <f ca="1">IFERROR(__xludf.DUMMYFUNCTION("""COMPUTED_VALUE"""),2)</f>
        <v>2</v>
      </c>
    </row>
    <row r="106" spans="1:7" ht="12.75">
      <c r="A106" t="str">
        <f ca="1">IFERROR(__xludf.DUMMYFUNCTION("""COMPUTED_VALUE"""),"T98")</f>
        <v>T98</v>
      </c>
      <c r="B106" t="str">
        <f ca="1">IFERROR(__xludf.DUMMYFUNCTION("""COMPUTED_VALUE"""),"T92")</f>
        <v>T92</v>
      </c>
      <c r="C106" t="str">
        <f ca="1">IFERROR(__xludf.DUMMYFUNCTION("""COMPUTED_VALUE"""),"Zac Blair")</f>
        <v>Zac Blair</v>
      </c>
      <c r="D106">
        <f ca="1">IFERROR(__xludf.DUMMYFUNCTION("""COMPUTED_VALUE"""),10)</f>
        <v>10</v>
      </c>
      <c r="E106">
        <f ca="1">IFERROR(__xludf.DUMMYFUNCTION("""COMPUTED_VALUE"""),10)</f>
        <v>10</v>
      </c>
      <c r="F106">
        <f ca="1">IFERROR(__xludf.DUMMYFUNCTION("""COMPUTED_VALUE"""),10)</f>
        <v>10</v>
      </c>
      <c r="G106">
        <f ca="1">IFERROR(__xludf.DUMMYFUNCTION("""COMPUTED_VALUE"""),1)</f>
        <v>1</v>
      </c>
    </row>
    <row r="107" spans="1:7" ht="12.75">
      <c r="A107" t="str">
        <f ca="1">IFERROR(__xludf.DUMMYFUNCTION("""COMPUTED_VALUE"""),"T98")</f>
        <v>T98</v>
      </c>
      <c r="B107" t="str">
        <f ca="1">IFERROR(__xludf.DUMMYFUNCTION("""COMPUTED_VALUE"""),"T92")</f>
        <v>T92</v>
      </c>
      <c r="C107" t="str">
        <f ca="1">IFERROR(__xludf.DUMMYFUNCTION("""COMPUTED_VALUE"""),"Akshay Bhatia")</f>
        <v>Akshay Bhatia</v>
      </c>
      <c r="D107">
        <f ca="1">IFERROR(__xludf.DUMMYFUNCTION("""COMPUTED_VALUE"""),6)</f>
        <v>6</v>
      </c>
      <c r="E107">
        <f ca="1">IFERROR(__xludf.DUMMYFUNCTION("""COMPUTED_VALUE"""),10)</f>
        <v>10</v>
      </c>
      <c r="F107">
        <f ca="1">IFERROR(__xludf.DUMMYFUNCTION("""COMPUTED_VALUE"""),10)</f>
        <v>10</v>
      </c>
      <c r="G107">
        <f ca="1">IFERROR(__xludf.DUMMYFUNCTION("""COMPUTED_VALUE"""),1)</f>
        <v>1</v>
      </c>
    </row>
    <row r="108" spans="1:7" ht="12.75">
      <c r="A108" t="str">
        <f ca="1">IFERROR(__xludf.DUMMYFUNCTION("""COMPUTED_VALUE"""),"T107")</f>
        <v>T107</v>
      </c>
      <c r="B108">
        <f ca="1">IFERROR(__xludf.DUMMYFUNCTION("""COMPUTED_VALUE"""),83)</f>
        <v>83</v>
      </c>
      <c r="C108" t="str">
        <f ca="1">IFERROR(__xludf.DUMMYFUNCTION("""COMPUTED_VALUE"""),"Beau Hossler")</f>
        <v>Beau Hossler</v>
      </c>
      <c r="D108">
        <f ca="1">IFERROR(__xludf.DUMMYFUNCTION("""COMPUTED_VALUE"""),22)</f>
        <v>22</v>
      </c>
      <c r="E108">
        <f ca="1">IFERROR(__xludf.DUMMYFUNCTION("""COMPUTED_VALUE"""),9.68)</f>
        <v>9.68</v>
      </c>
      <c r="F108">
        <f ca="1">IFERROR(__xludf.DUMMYFUNCTION("""COMPUTED_VALUE"""),31)</f>
        <v>31</v>
      </c>
      <c r="G108">
        <f ca="1">IFERROR(__xludf.DUMMYFUNCTION("""COMPUTED_VALUE"""),3)</f>
        <v>3</v>
      </c>
    </row>
    <row r="109" spans="1:7" ht="12.75">
      <c r="A109" t="str">
        <f ca="1">IFERROR(__xludf.DUMMYFUNCTION("""COMPUTED_VALUE"""),"T107")</f>
        <v>T107</v>
      </c>
      <c r="B109">
        <f ca="1">IFERROR(__xludf.DUMMYFUNCTION("""COMPUTED_VALUE"""),100)</f>
        <v>100</v>
      </c>
      <c r="C109" t="str">
        <f ca="1">IFERROR(__xludf.DUMMYFUNCTION("""COMPUTED_VALUE"""),"Kevin Na")</f>
        <v>Kevin Na</v>
      </c>
      <c r="D109">
        <f ca="1">IFERROR(__xludf.DUMMYFUNCTION("""COMPUTED_VALUE"""),14)</f>
        <v>14</v>
      </c>
      <c r="E109">
        <f ca="1">IFERROR(__xludf.DUMMYFUNCTION("""COMPUTED_VALUE"""),9.68)</f>
        <v>9.68</v>
      </c>
      <c r="F109">
        <f ca="1">IFERROR(__xludf.DUMMYFUNCTION("""COMPUTED_VALUE"""),31)</f>
        <v>31</v>
      </c>
      <c r="G109">
        <f ca="1">IFERROR(__xludf.DUMMYFUNCTION("""COMPUTED_VALUE"""),3)</f>
        <v>3</v>
      </c>
    </row>
    <row r="110" spans="1:7" ht="12.75">
      <c r="A110" t="str">
        <f ca="1">IFERROR(__xludf.DUMMYFUNCTION("""COMPUTED_VALUE"""),"T109")</f>
        <v>T109</v>
      </c>
      <c r="B110" t="str">
        <f ca="1">IFERROR(__xludf.DUMMYFUNCTION("""COMPUTED_VALUE"""),"T101")</f>
        <v>T101</v>
      </c>
      <c r="C110" t="str">
        <f ca="1">IFERROR(__xludf.DUMMYFUNCTION("""COMPUTED_VALUE"""),"Paul Casey")</f>
        <v>Paul Casey</v>
      </c>
      <c r="D110">
        <f ca="1">IFERROR(__xludf.DUMMYFUNCTION("""COMPUTED_VALUE"""),14)</f>
        <v>14</v>
      </c>
      <c r="E110">
        <f ca="1">IFERROR(__xludf.DUMMYFUNCTION("""COMPUTED_VALUE"""),9.52)</f>
        <v>9.52</v>
      </c>
      <c r="F110">
        <f ca="1">IFERROR(__xludf.DUMMYFUNCTION("""COMPUTED_VALUE"""),21)</f>
        <v>21</v>
      </c>
      <c r="G110">
        <f ca="1">IFERROR(__xludf.DUMMYFUNCTION("""COMPUTED_VALUE"""),2)</f>
        <v>2</v>
      </c>
    </row>
    <row r="111" spans="1:7" ht="12.75">
      <c r="A111" t="str">
        <f ca="1">IFERROR(__xludf.DUMMYFUNCTION("""COMPUTED_VALUE"""),"T109")</f>
        <v>T109</v>
      </c>
      <c r="B111" t="str">
        <f ca="1">IFERROR(__xludf.DUMMYFUNCTION("""COMPUTED_VALUE"""),"T89")</f>
        <v>T89</v>
      </c>
      <c r="C111" t="str">
        <f ca="1">IFERROR(__xludf.DUMMYFUNCTION("""COMPUTED_VALUE"""),"Lucas Glover")</f>
        <v>Lucas Glover</v>
      </c>
      <c r="D111">
        <f ca="1">IFERROR(__xludf.DUMMYFUNCTION("""COMPUTED_VALUE"""),12)</f>
        <v>12</v>
      </c>
      <c r="E111">
        <f ca="1">IFERROR(__xludf.DUMMYFUNCTION("""COMPUTED_VALUE"""),9.52)</f>
        <v>9.52</v>
      </c>
      <c r="F111">
        <f ca="1">IFERROR(__xludf.DUMMYFUNCTION("""COMPUTED_VALUE"""),21)</f>
        <v>21</v>
      </c>
      <c r="G111">
        <f ca="1">IFERROR(__xludf.DUMMYFUNCTION("""COMPUTED_VALUE"""),2)</f>
        <v>2</v>
      </c>
    </row>
    <row r="112" spans="1:7" ht="12.75">
      <c r="A112" t="str">
        <f ca="1">IFERROR(__xludf.DUMMYFUNCTION("""COMPUTED_VALUE"""),"T109")</f>
        <v>T109</v>
      </c>
      <c r="B112" t="str">
        <f ca="1">IFERROR(__xludf.DUMMYFUNCTION("""COMPUTED_VALUE"""),"T101")</f>
        <v>T101</v>
      </c>
      <c r="C112" t="str">
        <f ca="1">IFERROR(__xludf.DUMMYFUNCTION("""COMPUTED_VALUE"""),"Rory McIlroy")</f>
        <v>Rory McIlroy</v>
      </c>
      <c r="D112">
        <f ca="1">IFERROR(__xludf.DUMMYFUNCTION("""COMPUTED_VALUE"""),12)</f>
        <v>12</v>
      </c>
      <c r="E112">
        <f ca="1">IFERROR(__xludf.DUMMYFUNCTION("""COMPUTED_VALUE"""),9.52)</f>
        <v>9.52</v>
      </c>
      <c r="F112">
        <f ca="1">IFERROR(__xludf.DUMMYFUNCTION("""COMPUTED_VALUE"""),21)</f>
        <v>21</v>
      </c>
      <c r="G112">
        <f ca="1">IFERROR(__xludf.DUMMYFUNCTION("""COMPUTED_VALUE"""),2)</f>
        <v>2</v>
      </c>
    </row>
    <row r="113" spans="1:7" ht="12.75">
      <c r="A113" t="str">
        <f ca="1">IFERROR(__xludf.DUMMYFUNCTION("""COMPUTED_VALUE"""),"T109")</f>
        <v>T109</v>
      </c>
      <c r="B113" t="str">
        <f ca="1">IFERROR(__xludf.DUMMYFUNCTION("""COMPUTED_VALUE"""),"T68")</f>
        <v>T68</v>
      </c>
      <c r="C113" t="str">
        <f ca="1">IFERROR(__xludf.DUMMYFUNCTION("""COMPUTED_VALUE"""),"Brice Garnett")</f>
        <v>Brice Garnett</v>
      </c>
      <c r="D113">
        <f ca="1">IFERROR(__xludf.DUMMYFUNCTION("""COMPUTED_VALUE"""),22)</f>
        <v>22</v>
      </c>
      <c r="E113">
        <f ca="1">IFERROR(__xludf.DUMMYFUNCTION("""COMPUTED_VALUE"""),9.52)</f>
        <v>9.52</v>
      </c>
      <c r="F113">
        <f ca="1">IFERROR(__xludf.DUMMYFUNCTION("""COMPUTED_VALUE"""),21)</f>
        <v>21</v>
      </c>
      <c r="G113">
        <f ca="1">IFERROR(__xludf.DUMMYFUNCTION("""COMPUTED_VALUE"""),2)</f>
        <v>2</v>
      </c>
    </row>
    <row r="114" spans="1:7" ht="12.75">
      <c r="A114" t="str">
        <f ca="1">IFERROR(__xludf.DUMMYFUNCTION("""COMPUTED_VALUE"""),"T113")</f>
        <v>T113</v>
      </c>
      <c r="B114" t="str">
        <f ca="1">IFERROR(__xludf.DUMMYFUNCTION("""COMPUTED_VALUE"""),"T104")</f>
        <v>T104</v>
      </c>
      <c r="C114" t="str">
        <f ca="1">IFERROR(__xludf.DUMMYFUNCTION("""COMPUTED_VALUE"""),"Matt Every")</f>
        <v>Matt Every</v>
      </c>
      <c r="D114">
        <f ca="1">IFERROR(__xludf.DUMMYFUNCTION("""COMPUTED_VALUE"""),8)</f>
        <v>8</v>
      </c>
      <c r="E114">
        <f ca="1">IFERROR(__xludf.DUMMYFUNCTION("""COMPUTED_VALUE"""),9.09)</f>
        <v>9.09</v>
      </c>
      <c r="F114">
        <f ca="1">IFERROR(__xludf.DUMMYFUNCTION("""COMPUTED_VALUE"""),11)</f>
        <v>11</v>
      </c>
      <c r="G114">
        <f ca="1">IFERROR(__xludf.DUMMYFUNCTION("""COMPUTED_VALUE"""),1)</f>
        <v>1</v>
      </c>
    </row>
    <row r="115" spans="1:7" ht="12.75">
      <c r="A115" t="str">
        <f ca="1">IFERROR(__xludf.DUMMYFUNCTION("""COMPUTED_VALUE"""),"T113")</f>
        <v>T113</v>
      </c>
      <c r="B115" t="str">
        <f ca="1">IFERROR(__xludf.DUMMYFUNCTION("""COMPUTED_VALUE"""),"T104")</f>
        <v>T104</v>
      </c>
      <c r="C115" t="str">
        <f ca="1">IFERROR(__xludf.DUMMYFUNCTION("""COMPUTED_VALUE"""),"Rory Sabbatini")</f>
        <v>Rory Sabbatini</v>
      </c>
      <c r="D115">
        <f ca="1">IFERROR(__xludf.DUMMYFUNCTION("""COMPUTED_VALUE"""),13)</f>
        <v>13</v>
      </c>
      <c r="E115">
        <f ca="1">IFERROR(__xludf.DUMMYFUNCTION("""COMPUTED_VALUE"""),9.09)</f>
        <v>9.09</v>
      </c>
      <c r="F115">
        <f ca="1">IFERROR(__xludf.DUMMYFUNCTION("""COMPUTED_VALUE"""),11)</f>
        <v>11</v>
      </c>
      <c r="G115">
        <f ca="1">IFERROR(__xludf.DUMMYFUNCTION("""COMPUTED_VALUE"""),1)</f>
        <v>1</v>
      </c>
    </row>
    <row r="116" spans="1:7" ht="12.75">
      <c r="A116" t="str">
        <f ca="1">IFERROR(__xludf.DUMMYFUNCTION("""COMPUTED_VALUE"""),"T113")</f>
        <v>T113</v>
      </c>
      <c r="B116" t="str">
        <f ca="1">IFERROR(__xludf.DUMMYFUNCTION("""COMPUTED_VALUE"""),"T84")</f>
        <v>T84</v>
      </c>
      <c r="C116" t="str">
        <f ca="1">IFERROR(__xludf.DUMMYFUNCTION("""COMPUTED_VALUE"""),"Mark Hubbard")</f>
        <v>Mark Hubbard</v>
      </c>
      <c r="D116">
        <f ca="1">IFERROR(__xludf.DUMMYFUNCTION("""COMPUTED_VALUE"""),20)</f>
        <v>20</v>
      </c>
      <c r="E116">
        <f ca="1">IFERROR(__xludf.DUMMYFUNCTION("""COMPUTED_VALUE"""),9.09)</f>
        <v>9.09</v>
      </c>
      <c r="F116">
        <f ca="1">IFERROR(__xludf.DUMMYFUNCTION("""COMPUTED_VALUE"""),22)</f>
        <v>22</v>
      </c>
      <c r="G116">
        <f ca="1">IFERROR(__xludf.DUMMYFUNCTION("""COMPUTED_VALUE"""),2)</f>
        <v>2</v>
      </c>
    </row>
    <row r="117" spans="1:7" ht="12.75">
      <c r="A117" t="str">
        <f ca="1">IFERROR(__xludf.DUMMYFUNCTION("""COMPUTED_VALUE"""),"T113")</f>
        <v>T113</v>
      </c>
      <c r="B117" t="str">
        <f ca="1">IFERROR(__xludf.DUMMYFUNCTION("""COMPUTED_VALUE"""),"T140")</f>
        <v>T140</v>
      </c>
      <c r="C117" t="str">
        <f ca="1">IFERROR(__xludf.DUMMYFUNCTION("""COMPUTED_VALUE"""),"Carlos Ortiz")</f>
        <v>Carlos Ortiz</v>
      </c>
      <c r="D117">
        <f ca="1">IFERROR(__xludf.DUMMYFUNCTION("""COMPUTED_VALUE"""),20)</f>
        <v>20</v>
      </c>
      <c r="E117">
        <f ca="1">IFERROR(__xludf.DUMMYFUNCTION("""COMPUTED_VALUE"""),9.09)</f>
        <v>9.09</v>
      </c>
      <c r="F117">
        <f ca="1">IFERROR(__xludf.DUMMYFUNCTION("""COMPUTED_VALUE"""),33)</f>
        <v>33</v>
      </c>
      <c r="G117">
        <f ca="1">IFERROR(__xludf.DUMMYFUNCTION("""COMPUTED_VALUE"""),3)</f>
        <v>3</v>
      </c>
    </row>
    <row r="118" spans="1:7" ht="12.75">
      <c r="A118" t="str">
        <f ca="1">IFERROR(__xludf.DUMMYFUNCTION("""COMPUTED_VALUE"""),"T113")</f>
        <v>T113</v>
      </c>
      <c r="B118" t="str">
        <f ca="1">IFERROR(__xludf.DUMMYFUNCTION("""COMPUTED_VALUE"""),"T104")</f>
        <v>T104</v>
      </c>
      <c r="C118" t="str">
        <f ca="1">IFERROR(__xludf.DUMMYFUNCTION("""COMPUTED_VALUE"""),"Mark Anderson")</f>
        <v>Mark Anderson</v>
      </c>
      <c r="D118">
        <f ca="1">IFERROR(__xludf.DUMMYFUNCTION("""COMPUTED_VALUE"""),14)</f>
        <v>14</v>
      </c>
      <c r="E118">
        <f ca="1">IFERROR(__xludf.DUMMYFUNCTION("""COMPUTED_VALUE"""),9.09)</f>
        <v>9.09</v>
      </c>
      <c r="F118">
        <f ca="1">IFERROR(__xludf.DUMMYFUNCTION("""COMPUTED_VALUE"""),11)</f>
        <v>11</v>
      </c>
      <c r="G118">
        <f ca="1">IFERROR(__xludf.DUMMYFUNCTION("""COMPUTED_VALUE"""),1)</f>
        <v>1</v>
      </c>
    </row>
    <row r="119" spans="1:7" ht="12.75">
      <c r="A119" t="str">
        <f ca="1">IFERROR(__xludf.DUMMYFUNCTION("""COMPUTED_VALUE"""),"T113")</f>
        <v>T113</v>
      </c>
      <c r="B119" t="str">
        <f ca="1">IFERROR(__xludf.DUMMYFUNCTION("""COMPUTED_VALUE"""),"T104")</f>
        <v>T104</v>
      </c>
      <c r="C119" t="str">
        <f ca="1">IFERROR(__xludf.DUMMYFUNCTION("""COMPUTED_VALUE"""),"Brandon Hagy")</f>
        <v>Brandon Hagy</v>
      </c>
      <c r="D119">
        <f ca="1">IFERROR(__xludf.DUMMYFUNCTION("""COMPUTED_VALUE"""),10)</f>
        <v>10</v>
      </c>
      <c r="E119">
        <f ca="1">IFERROR(__xludf.DUMMYFUNCTION("""COMPUTED_VALUE"""),9.09)</f>
        <v>9.09</v>
      </c>
      <c r="F119">
        <f ca="1">IFERROR(__xludf.DUMMYFUNCTION("""COMPUTED_VALUE"""),11)</f>
        <v>11</v>
      </c>
      <c r="G119">
        <f ca="1">IFERROR(__xludf.DUMMYFUNCTION("""COMPUTED_VALUE"""),1)</f>
        <v>1</v>
      </c>
    </row>
    <row r="120" spans="1:7" ht="12.75">
      <c r="A120">
        <f ca="1">IFERROR(__xludf.DUMMYFUNCTION("""COMPUTED_VALUE"""),119)</f>
        <v>119</v>
      </c>
      <c r="B120">
        <f ca="1">IFERROR(__xludf.DUMMYFUNCTION("""COMPUTED_VALUE"""),120)</f>
        <v>120</v>
      </c>
      <c r="C120" t="str">
        <f ca="1">IFERROR(__xludf.DUMMYFUNCTION("""COMPUTED_VALUE"""),"Si Woo Kim")</f>
        <v>Si Woo Kim</v>
      </c>
      <c r="D120">
        <f ca="1">IFERROR(__xludf.DUMMYFUNCTION("""COMPUTED_VALUE"""),20)</f>
        <v>20</v>
      </c>
      <c r="E120">
        <f ca="1">IFERROR(__xludf.DUMMYFUNCTION("""COMPUTED_VALUE"""),8.82)</f>
        <v>8.82</v>
      </c>
      <c r="F120">
        <f ca="1">IFERROR(__xludf.DUMMYFUNCTION("""COMPUTED_VALUE"""),34)</f>
        <v>34</v>
      </c>
      <c r="G120">
        <f ca="1">IFERROR(__xludf.DUMMYFUNCTION("""COMPUTED_VALUE"""),3)</f>
        <v>3</v>
      </c>
    </row>
    <row r="121" spans="1:7" ht="12.75">
      <c r="A121" t="str">
        <f ca="1">IFERROR(__xludf.DUMMYFUNCTION("""COMPUTED_VALUE"""),"T120")</f>
        <v>T120</v>
      </c>
      <c r="B121" t="str">
        <f ca="1">IFERROR(__xludf.DUMMYFUNCTION("""COMPUTED_VALUE"""),"T110")</f>
        <v>T110</v>
      </c>
      <c r="C121" t="str">
        <f ca="1">IFERROR(__xludf.DUMMYFUNCTION("""COMPUTED_VALUE"""),"Erik van Rooyen")</f>
        <v>Erik van Rooyen</v>
      </c>
      <c r="D121">
        <f ca="1">IFERROR(__xludf.DUMMYFUNCTION("""COMPUTED_VALUE"""),10)</f>
        <v>10</v>
      </c>
      <c r="E121">
        <f ca="1">IFERROR(__xludf.DUMMYFUNCTION("""COMPUTED_VALUE"""),8.7)</f>
        <v>8.6999999999999993</v>
      </c>
      <c r="F121">
        <f ca="1">IFERROR(__xludf.DUMMYFUNCTION("""COMPUTED_VALUE"""),23)</f>
        <v>23</v>
      </c>
      <c r="G121">
        <f ca="1">IFERROR(__xludf.DUMMYFUNCTION("""COMPUTED_VALUE"""),2)</f>
        <v>2</v>
      </c>
    </row>
    <row r="122" spans="1:7" ht="12.75">
      <c r="A122" t="str">
        <f ca="1">IFERROR(__xludf.DUMMYFUNCTION("""COMPUTED_VALUE"""),"T120")</f>
        <v>T120</v>
      </c>
      <c r="B122" t="str">
        <f ca="1">IFERROR(__xludf.DUMMYFUNCTION("""COMPUTED_VALUE"""),"T92")</f>
        <v>T92</v>
      </c>
      <c r="C122" t="str">
        <f ca="1">IFERROR(__xludf.DUMMYFUNCTION("""COMPUTED_VALUE"""),"Matthew NeSmith")</f>
        <v>Matthew NeSmith</v>
      </c>
      <c r="D122">
        <f ca="1">IFERROR(__xludf.DUMMYFUNCTION("""COMPUTED_VALUE"""),16)</f>
        <v>16</v>
      </c>
      <c r="E122">
        <f ca="1">IFERROR(__xludf.DUMMYFUNCTION("""COMPUTED_VALUE"""),8.7)</f>
        <v>8.6999999999999993</v>
      </c>
      <c r="F122">
        <f ca="1">IFERROR(__xludf.DUMMYFUNCTION("""COMPUTED_VALUE"""),23)</f>
        <v>23</v>
      </c>
      <c r="G122">
        <f ca="1">IFERROR(__xludf.DUMMYFUNCTION("""COMPUTED_VALUE"""),2)</f>
        <v>2</v>
      </c>
    </row>
    <row r="123" spans="1:7" ht="12.75">
      <c r="A123" t="str">
        <f ca="1">IFERROR(__xludf.DUMMYFUNCTION("""COMPUTED_VALUE"""),"T120")</f>
        <v>T120</v>
      </c>
      <c r="B123" t="str">
        <f ca="1">IFERROR(__xludf.DUMMYFUNCTION("""COMPUTED_VALUE"""),"T143")</f>
        <v>T143</v>
      </c>
      <c r="C123" t="str">
        <f ca="1">IFERROR(__xludf.DUMMYFUNCTION("""COMPUTED_VALUE"""),"Danny Lee")</f>
        <v>Danny Lee</v>
      </c>
      <c r="D123">
        <f ca="1">IFERROR(__xludf.DUMMYFUNCTION("""COMPUTED_VALUE"""),15)</f>
        <v>15</v>
      </c>
      <c r="E123">
        <f ca="1">IFERROR(__xludf.DUMMYFUNCTION("""COMPUTED_VALUE"""),8.7)</f>
        <v>8.6999999999999993</v>
      </c>
      <c r="F123">
        <f ca="1">IFERROR(__xludf.DUMMYFUNCTION("""COMPUTED_VALUE"""),23)</f>
        <v>23</v>
      </c>
      <c r="G123">
        <f ca="1">IFERROR(__xludf.DUMMYFUNCTION("""COMPUTED_VALUE"""),2)</f>
        <v>2</v>
      </c>
    </row>
    <row r="124" spans="1:7" ht="12.75">
      <c r="A124" t="str">
        <f ca="1">IFERROR(__xludf.DUMMYFUNCTION("""COMPUTED_VALUE"""),"T123")</f>
        <v>T123</v>
      </c>
      <c r="B124" t="str">
        <f ca="1">IFERROR(__xludf.DUMMYFUNCTION("""COMPUTED_VALUE"""),"")</f>
        <v/>
      </c>
      <c r="C124" t="str">
        <f ca="1">IFERROR(__xludf.DUMMYFUNCTION("""COMPUTED_VALUE"""),"Russell Knox")</f>
        <v>Russell Knox</v>
      </c>
      <c r="D124">
        <f ca="1">IFERROR(__xludf.DUMMYFUNCTION("""COMPUTED_VALUE"""),16)</f>
        <v>16</v>
      </c>
      <c r="E124">
        <f ca="1">IFERROR(__xludf.DUMMYFUNCTION("""COMPUTED_VALUE"""),8.33)</f>
        <v>8.33</v>
      </c>
      <c r="F124">
        <f ca="1">IFERROR(__xludf.DUMMYFUNCTION("""COMPUTED_VALUE"""),12)</f>
        <v>12</v>
      </c>
      <c r="G124">
        <f ca="1">IFERROR(__xludf.DUMMYFUNCTION("""COMPUTED_VALUE"""),1)</f>
        <v>1</v>
      </c>
    </row>
    <row r="125" spans="1:7" ht="12.75">
      <c r="A125" t="str">
        <f ca="1">IFERROR(__xludf.DUMMYFUNCTION("""COMPUTED_VALUE"""),"T123")</f>
        <v>T123</v>
      </c>
      <c r="B125" t="str">
        <f ca="1">IFERROR(__xludf.DUMMYFUNCTION("""COMPUTED_VALUE"""),"")</f>
        <v/>
      </c>
      <c r="C125" t="str">
        <f ca="1">IFERROR(__xludf.DUMMYFUNCTION("""COMPUTED_VALUE"""),"Jordan Spieth")</f>
        <v>Jordan Spieth</v>
      </c>
      <c r="D125">
        <f ca="1">IFERROR(__xludf.DUMMYFUNCTION("""COMPUTED_VALUE"""),14)</f>
        <v>14</v>
      </c>
      <c r="E125">
        <f ca="1">IFERROR(__xludf.DUMMYFUNCTION("""COMPUTED_VALUE"""),8.33)</f>
        <v>8.33</v>
      </c>
      <c r="F125">
        <f ca="1">IFERROR(__xludf.DUMMYFUNCTION("""COMPUTED_VALUE"""),12)</f>
        <v>12</v>
      </c>
      <c r="G125">
        <f ca="1">IFERROR(__xludf.DUMMYFUNCTION("""COMPUTED_VALUE"""),1)</f>
        <v>1</v>
      </c>
    </row>
    <row r="126" spans="1:7" ht="12.75">
      <c r="A126" t="str">
        <f ca="1">IFERROR(__xludf.DUMMYFUNCTION("""COMPUTED_VALUE"""),"T123")</f>
        <v>T123</v>
      </c>
      <c r="B126" t="str">
        <f ca="1">IFERROR(__xludf.DUMMYFUNCTION("""COMPUTED_VALUE"""),"")</f>
        <v/>
      </c>
      <c r="C126" t="str">
        <f ca="1">IFERROR(__xludf.DUMMYFUNCTION("""COMPUTED_VALUE"""),"Sean O'Hair")</f>
        <v>Sean O'Hair</v>
      </c>
      <c r="D126">
        <f ca="1">IFERROR(__xludf.DUMMYFUNCTION("""COMPUTED_VALUE"""),14)</f>
        <v>14</v>
      </c>
      <c r="E126">
        <f ca="1">IFERROR(__xludf.DUMMYFUNCTION("""COMPUTED_VALUE"""),8.33)</f>
        <v>8.33</v>
      </c>
      <c r="F126">
        <f ca="1">IFERROR(__xludf.DUMMYFUNCTION("""COMPUTED_VALUE"""),12)</f>
        <v>12</v>
      </c>
      <c r="G126">
        <f ca="1">IFERROR(__xludf.DUMMYFUNCTION("""COMPUTED_VALUE"""),1)</f>
        <v>1</v>
      </c>
    </row>
    <row r="127" spans="1:7" ht="12.75">
      <c r="A127" t="str">
        <f ca="1">IFERROR(__xludf.DUMMYFUNCTION("""COMPUTED_VALUE"""),"T123")</f>
        <v>T123</v>
      </c>
      <c r="B127" t="str">
        <f ca="1">IFERROR(__xludf.DUMMYFUNCTION("""COMPUTED_VALUE"""),"")</f>
        <v/>
      </c>
      <c r="C127" t="str">
        <f ca="1">IFERROR(__xludf.DUMMYFUNCTION("""COMPUTED_VALUE"""),"D.A. Points")</f>
        <v>D.A. Points</v>
      </c>
      <c r="D127">
        <f ca="1">IFERROR(__xludf.DUMMYFUNCTION("""COMPUTED_VALUE"""),12)</f>
        <v>12</v>
      </c>
      <c r="E127">
        <f ca="1">IFERROR(__xludf.DUMMYFUNCTION("""COMPUTED_VALUE"""),8.33)</f>
        <v>8.33</v>
      </c>
      <c r="F127">
        <f ca="1">IFERROR(__xludf.DUMMYFUNCTION("""COMPUTED_VALUE"""),12)</f>
        <v>12</v>
      </c>
      <c r="G127">
        <f ca="1">IFERROR(__xludf.DUMMYFUNCTION("""COMPUTED_VALUE"""),1)</f>
        <v>1</v>
      </c>
    </row>
    <row r="128" spans="1:7" ht="12.75">
      <c r="A128" t="str">
        <f ca="1">IFERROR(__xludf.DUMMYFUNCTION("""COMPUTED_VALUE"""),"T123")</f>
        <v>T123</v>
      </c>
      <c r="B128" t="str">
        <f ca="1">IFERROR(__xludf.DUMMYFUNCTION("""COMPUTED_VALUE"""),"T110")</f>
        <v>T110</v>
      </c>
      <c r="C128" t="str">
        <f ca="1">IFERROR(__xludf.DUMMYFUNCTION("""COMPUTED_VALUE"""),"Scott Brown")</f>
        <v>Scott Brown</v>
      </c>
      <c r="D128">
        <f ca="1">IFERROR(__xludf.DUMMYFUNCTION("""COMPUTED_VALUE"""),14)</f>
        <v>14</v>
      </c>
      <c r="E128">
        <f ca="1">IFERROR(__xludf.DUMMYFUNCTION("""COMPUTED_VALUE"""),8.33)</f>
        <v>8.33</v>
      </c>
      <c r="F128">
        <f ca="1">IFERROR(__xludf.DUMMYFUNCTION("""COMPUTED_VALUE"""),12)</f>
        <v>12</v>
      </c>
      <c r="G128">
        <f ca="1">IFERROR(__xludf.DUMMYFUNCTION("""COMPUTED_VALUE"""),1)</f>
        <v>1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IFERROR(__xludf.DUMMYFUNCTION("""COMPUTED_VALUE"""),"T113")</f>
        <v>T113</v>
      </c>
      <c r="C129" t="str">
        <f ca="1">IFERROR(__xludf.DUMMYFUNCTION("""COMPUTED_VALUE"""),"Shaun Norris")</f>
        <v>Shaun Norris</v>
      </c>
      <c r="D129">
        <f ca="1">IFERROR(__xludf.DUMMYFUNCTION("""COMPUTED_VALUE"""),6)</f>
        <v>6</v>
      </c>
      <c r="E129">
        <f ca="1">IFERROR(__xludf.DUMMYFUNCTION("""COMPUTED_VALUE"""),7.69)</f>
        <v>7.69</v>
      </c>
      <c r="F129">
        <f ca="1">IFERROR(__xludf.DUMMYFUNCTION("""COMPUTED_VALUE"""),13)</f>
        <v>13</v>
      </c>
      <c r="G129">
        <f ca="1">IFERROR(__xludf.DUMMYFUNCTION("""COMPUTED_VALUE"""),1)</f>
        <v>1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IFERROR(__xludf.DUMMYFUNCTION("""COMPUTED_VALUE"""),"")</f>
        <v/>
      </c>
      <c r="C130" t="str">
        <f ca="1">IFERROR(__xludf.DUMMYFUNCTION("""COMPUTED_VALUE"""),"Brooks Koepka")</f>
        <v>Brooks Koepka</v>
      </c>
      <c r="D130">
        <f ca="1">IFERROR(__xludf.DUMMYFUNCTION("""COMPUTED_VALUE"""),8)</f>
        <v>8</v>
      </c>
      <c r="E130">
        <f ca="1">IFERROR(__xludf.DUMMYFUNCTION("""COMPUTED_VALUE"""),7.69)</f>
        <v>7.69</v>
      </c>
      <c r="F130">
        <f ca="1">IFERROR(__xludf.DUMMYFUNCTION("""COMPUTED_VALUE"""),13)</f>
        <v>13</v>
      </c>
      <c r="G130">
        <f ca="1">IFERROR(__xludf.DUMMYFUNCTION("""COMPUTED_VALUE"""),1)</f>
        <v>1</v>
      </c>
    </row>
    <row r="131" spans="1:7" ht="12.75">
      <c r="A131" t="str">
        <f ca="1">IFERROR(__xludf.DUMMYFUNCTION("""COMPUTED_VALUE"""),"T128")</f>
        <v>T128</v>
      </c>
      <c r="B131" t="str">
        <f ca="1">IFERROR(__xludf.DUMMYFUNCTION("""COMPUTED_VALUE"""),"T92")</f>
        <v>T92</v>
      </c>
      <c r="C131" t="str">
        <f ca="1">IFERROR(__xludf.DUMMYFUNCTION("""COMPUTED_VALUE"""),"Andrew Landry")</f>
        <v>Andrew Landry</v>
      </c>
      <c r="D131">
        <f ca="1">IFERROR(__xludf.DUMMYFUNCTION("""COMPUTED_VALUE"""),14)</f>
        <v>14</v>
      </c>
      <c r="E131">
        <f ca="1">IFERROR(__xludf.DUMMYFUNCTION("""COMPUTED_VALUE"""),7.69)</f>
        <v>7.69</v>
      </c>
      <c r="F131">
        <f ca="1">IFERROR(__xludf.DUMMYFUNCTION("""COMPUTED_VALUE"""),13)</f>
        <v>13</v>
      </c>
      <c r="G131">
        <f ca="1">IFERROR(__xludf.DUMMYFUNCTION("""COMPUTED_VALUE"""),1)</f>
        <v>1</v>
      </c>
    </row>
    <row r="132" spans="1:7" ht="12.75">
      <c r="A132" t="str">
        <f ca="1">IFERROR(__xludf.DUMMYFUNCTION("""COMPUTED_VALUE"""),"T128")</f>
        <v>T128</v>
      </c>
      <c r="B132" t="str">
        <f ca="1">IFERROR(__xludf.DUMMYFUNCTION("""COMPUTED_VALUE"""),"T143")</f>
        <v>T143</v>
      </c>
      <c r="C132" t="str">
        <f ca="1">IFERROR(__xludf.DUMMYFUNCTION("""COMPUTED_VALUE"""),"Xinjun Zhang")</f>
        <v>Xinjun Zhang</v>
      </c>
      <c r="D132">
        <f ca="1">IFERROR(__xludf.DUMMYFUNCTION("""COMPUTED_VALUE"""),14)</f>
        <v>14</v>
      </c>
      <c r="E132">
        <f ca="1">IFERROR(__xludf.DUMMYFUNCTION("""COMPUTED_VALUE"""),7.69)</f>
        <v>7.69</v>
      </c>
      <c r="F132">
        <f ca="1">IFERROR(__xludf.DUMMYFUNCTION("""COMPUTED_VALUE"""),13)</f>
        <v>13</v>
      </c>
      <c r="G132">
        <f ca="1">IFERROR(__xludf.DUMMYFUNCTION("""COMPUTED_VALUE"""),1)</f>
        <v>1</v>
      </c>
    </row>
    <row r="133" spans="1:7" ht="12.75">
      <c r="A133" t="str">
        <f ca="1">IFERROR(__xludf.DUMMYFUNCTION("""COMPUTED_VALUE"""),"T128")</f>
        <v>T128</v>
      </c>
      <c r="B133" t="str">
        <f ca="1">IFERROR(__xludf.DUMMYFUNCTION("""COMPUTED_VALUE"""),"T113")</f>
        <v>T113</v>
      </c>
      <c r="C133" t="str">
        <f ca="1">IFERROR(__xludf.DUMMYFUNCTION("""COMPUTED_VALUE"""),"Jazz Janewattananond")</f>
        <v>Jazz Janewattananond</v>
      </c>
      <c r="D133">
        <f ca="1">IFERROR(__xludf.DUMMYFUNCTION("""COMPUTED_VALUE"""),6)</f>
        <v>6</v>
      </c>
      <c r="E133">
        <f ca="1">IFERROR(__xludf.DUMMYFUNCTION("""COMPUTED_VALUE"""),7.69)</f>
        <v>7.69</v>
      </c>
      <c r="F133">
        <f ca="1">IFERROR(__xludf.DUMMYFUNCTION("""COMPUTED_VALUE"""),13)</f>
        <v>13</v>
      </c>
      <c r="G133">
        <f ca="1">IFERROR(__xludf.DUMMYFUNCTION("""COMPUTED_VALUE"""),1)</f>
        <v>1</v>
      </c>
    </row>
    <row r="134" spans="1:7" ht="12.75">
      <c r="A134" t="str">
        <f ca="1">IFERROR(__xludf.DUMMYFUNCTION("""COMPUTED_VALUE"""),"T128")</f>
        <v>T128</v>
      </c>
      <c r="B134" t="str">
        <f ca="1">IFERROR(__xludf.DUMMYFUNCTION("""COMPUTED_VALUE"""),"")</f>
        <v/>
      </c>
      <c r="C134" t="str">
        <f ca="1">IFERROR(__xludf.DUMMYFUNCTION("""COMPUTED_VALUE"""),"Kramer Hickok")</f>
        <v>Kramer Hickok</v>
      </c>
      <c r="D134">
        <f ca="1">IFERROR(__xludf.DUMMYFUNCTION("""COMPUTED_VALUE"""),16)</f>
        <v>16</v>
      </c>
      <c r="E134">
        <f ca="1">IFERROR(__xludf.DUMMYFUNCTION("""COMPUTED_VALUE"""),7.69)</f>
        <v>7.69</v>
      </c>
      <c r="F134">
        <f ca="1">IFERROR(__xludf.DUMMYFUNCTION("""COMPUTED_VALUE"""),13)</f>
        <v>13</v>
      </c>
      <c r="G134">
        <f ca="1">IFERROR(__xludf.DUMMYFUNCTION("""COMPUTED_VALUE"""),1)</f>
        <v>1</v>
      </c>
    </row>
    <row r="135" spans="1:7" ht="12.75">
      <c r="A135" t="str">
        <f ca="1">IFERROR(__xludf.DUMMYFUNCTION("""COMPUTED_VALUE"""),"T128")</f>
        <v>T128</v>
      </c>
      <c r="B135" t="str">
        <f ca="1">IFERROR(__xludf.DUMMYFUNCTION("""COMPUTED_VALUE"""),"T113")</f>
        <v>T113</v>
      </c>
      <c r="C135" t="str">
        <f ca="1">IFERROR(__xludf.DUMMYFUNCTION("""COMPUTED_VALUE"""),"Doug Ghim")</f>
        <v>Doug Ghim</v>
      </c>
      <c r="D135">
        <f ca="1">IFERROR(__xludf.DUMMYFUNCTION("""COMPUTED_VALUE"""),14)</f>
        <v>14</v>
      </c>
      <c r="E135">
        <f ca="1">IFERROR(__xludf.DUMMYFUNCTION("""COMPUTED_VALUE"""),7.69)</f>
        <v>7.69</v>
      </c>
      <c r="F135">
        <f ca="1">IFERROR(__xludf.DUMMYFUNCTION("""COMPUTED_VALUE"""),13)</f>
        <v>13</v>
      </c>
      <c r="G135">
        <f ca="1">IFERROR(__xludf.DUMMYFUNCTION("""COMPUTED_VALUE"""),1)</f>
        <v>1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IFERROR(__xludf.DUMMYFUNCTION("""COMPUTED_VALUE"""),"T84")</f>
        <v>T84</v>
      </c>
      <c r="C136" t="str">
        <f ca="1">IFERROR(__xludf.DUMMYFUNCTION("""COMPUTED_VALUE"""),"Viktor Hovland")</f>
        <v>Viktor Hovland</v>
      </c>
      <c r="D136">
        <f ca="1">IFERROR(__xludf.DUMMYFUNCTION("""COMPUTED_VALUE"""),16)</f>
        <v>16</v>
      </c>
      <c r="E136">
        <f ca="1">IFERROR(__xludf.DUMMYFUNCTION("""COMPUTED_VALUE"""),7.41)</f>
        <v>7.41</v>
      </c>
      <c r="F136">
        <f ca="1">IFERROR(__xludf.DUMMYFUNCTION("""COMPUTED_VALUE"""),27)</f>
        <v>27</v>
      </c>
      <c r="G136">
        <f ca="1">IFERROR(__xludf.DUMMYFUNCTION("""COMPUTED_VALUE"""),2)</f>
        <v>2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IFERROR(__xludf.DUMMYFUNCTION("""COMPUTED_VALUE"""),"T101")</f>
        <v>T101</v>
      </c>
      <c r="C137" t="str">
        <f ca="1">IFERROR(__xludf.DUMMYFUNCTION("""COMPUTED_VALUE"""),"Cameron Tringale")</f>
        <v>Cameron Tringale</v>
      </c>
      <c r="D137">
        <f ca="1">IFERROR(__xludf.DUMMYFUNCTION("""COMPUTED_VALUE"""),16)</f>
        <v>16</v>
      </c>
      <c r="E137">
        <f ca="1">IFERROR(__xludf.DUMMYFUNCTION("""COMPUTED_VALUE"""),7.41)</f>
        <v>7.41</v>
      </c>
      <c r="F137">
        <f ca="1">IFERROR(__xludf.DUMMYFUNCTION("""COMPUTED_VALUE"""),27)</f>
        <v>27</v>
      </c>
      <c r="G137">
        <f ca="1">IFERROR(__xludf.DUMMYFUNCTION("""COMPUTED_VALUE"""),2)</f>
        <v>2</v>
      </c>
    </row>
    <row r="138" spans="1:7" ht="12.75">
      <c r="A138" t="str">
        <f ca="1">IFERROR(__xludf.DUMMYFUNCTION("""COMPUTED_VALUE"""),"T135")</f>
        <v>T135</v>
      </c>
      <c r="B138">
        <f ca="1">IFERROR(__xludf.DUMMYFUNCTION("""COMPUTED_VALUE"""),109)</f>
        <v>109</v>
      </c>
      <c r="C138" t="str">
        <f ca="1">IFERROR(__xludf.DUMMYFUNCTION("""COMPUTED_VALUE"""),"Kevin Streelman")</f>
        <v>Kevin Streelman</v>
      </c>
      <c r="D138">
        <f ca="1">IFERROR(__xludf.DUMMYFUNCTION("""COMPUTED_VALUE"""),18)</f>
        <v>18</v>
      </c>
      <c r="E138">
        <f ca="1">IFERROR(__xludf.DUMMYFUNCTION("""COMPUTED_VALUE"""),7.41)</f>
        <v>7.41</v>
      </c>
      <c r="F138">
        <f ca="1">IFERROR(__xludf.DUMMYFUNCTION("""COMPUTED_VALUE"""),27)</f>
        <v>27</v>
      </c>
      <c r="G138">
        <f ca="1">IFERROR(__xludf.DUMMYFUNCTION("""COMPUTED_VALUE"""),2)</f>
        <v>2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IFERROR(__xludf.DUMMYFUNCTION("""COMPUTED_VALUE"""),"")</f>
        <v/>
      </c>
      <c r="C139" t="str">
        <f ca="1">IFERROR(__xludf.DUMMYFUNCTION("""COMPUTED_VALUE"""),"Matt Jones")</f>
        <v>Matt Jones</v>
      </c>
      <c r="D139">
        <f ca="1">IFERROR(__xludf.DUMMYFUNCTION("""COMPUTED_VALUE"""),20)</f>
        <v>20</v>
      </c>
      <c r="E139">
        <f ca="1">IFERROR(__xludf.DUMMYFUNCTION("""COMPUTED_VALUE"""),7.14)</f>
        <v>7.14</v>
      </c>
      <c r="F139">
        <f ca="1">IFERROR(__xludf.DUMMYFUNCTION("""COMPUTED_VALUE"""),14)</f>
        <v>14</v>
      </c>
      <c r="G139">
        <f ca="1">IFERROR(__xludf.DUMMYFUNCTION("""COMPUTED_VALUE"""),1)</f>
        <v>1</v>
      </c>
    </row>
    <row r="140" spans="1:7" ht="12.75">
      <c r="A140" t="str">
        <f ca="1">IFERROR(__xludf.DUMMYFUNCTION("""COMPUTED_VALUE"""),"T138")</f>
        <v>T138</v>
      </c>
      <c r="B140" t="str">
        <f ca="1">IFERROR(__xludf.DUMMYFUNCTION("""COMPUTED_VALUE"""),"T117")</f>
        <v>T117</v>
      </c>
      <c r="C140" t="str">
        <f ca="1">IFERROR(__xludf.DUMMYFUNCTION("""COMPUTED_VALUE"""),"Ryo Ishikawa")</f>
        <v>Ryo Ishikawa</v>
      </c>
      <c r="D140">
        <f ca="1">IFERROR(__xludf.DUMMYFUNCTION("""COMPUTED_VALUE"""),8)</f>
        <v>8</v>
      </c>
      <c r="E140">
        <f ca="1">IFERROR(__xludf.DUMMYFUNCTION("""COMPUTED_VALUE"""),7.14)</f>
        <v>7.14</v>
      </c>
      <c r="F140">
        <f ca="1">IFERROR(__xludf.DUMMYFUNCTION("""COMPUTED_VALUE"""),14)</f>
        <v>14</v>
      </c>
      <c r="G140">
        <f ca="1">IFERROR(__xludf.DUMMYFUNCTION("""COMPUTED_VALUE"""),1)</f>
        <v>1</v>
      </c>
    </row>
    <row r="141" spans="1:7" ht="12.75">
      <c r="A141" t="str">
        <f ca="1">IFERROR(__xludf.DUMMYFUNCTION("""COMPUTED_VALUE"""),"T138")</f>
        <v>T138</v>
      </c>
      <c r="B141" t="str">
        <f ca="1">IFERROR(__xludf.DUMMYFUNCTION("""COMPUTED_VALUE"""),"T143")</f>
        <v>T143</v>
      </c>
      <c r="C141" t="str">
        <f ca="1">IFERROR(__xludf.DUMMYFUNCTION("""COMPUTED_VALUE"""),"Bo Hoag")</f>
        <v>Bo Hoag</v>
      </c>
      <c r="D141">
        <f ca="1">IFERROR(__xludf.DUMMYFUNCTION("""COMPUTED_VALUE"""),14)</f>
        <v>14</v>
      </c>
      <c r="E141">
        <f ca="1">IFERROR(__xludf.DUMMYFUNCTION("""COMPUTED_VALUE"""),7.14)</f>
        <v>7.14</v>
      </c>
      <c r="F141">
        <f ca="1">IFERROR(__xludf.DUMMYFUNCTION("""COMPUTED_VALUE"""),14)</f>
        <v>14</v>
      </c>
      <c r="G141">
        <f ca="1">IFERROR(__xludf.DUMMYFUNCTION("""COMPUTED_VALUE"""),1)</f>
        <v>1</v>
      </c>
    </row>
    <row r="142" spans="1:7" ht="12.75">
      <c r="A142" t="str">
        <f ca="1">IFERROR(__xludf.DUMMYFUNCTION("""COMPUTED_VALUE"""),"T138")</f>
        <v>T138</v>
      </c>
      <c r="B142" t="str">
        <f ca="1">IFERROR(__xludf.DUMMYFUNCTION("""COMPUTED_VALUE"""),"T117")</f>
        <v>T117</v>
      </c>
      <c r="C142" t="str">
        <f ca="1">IFERROR(__xludf.DUMMYFUNCTION("""COMPUTED_VALUE"""),"Bryson DeChambeau")</f>
        <v>Bryson DeChambeau</v>
      </c>
      <c r="D142">
        <f ca="1">IFERROR(__xludf.DUMMYFUNCTION("""COMPUTED_VALUE"""),8)</f>
        <v>8</v>
      </c>
      <c r="E142">
        <f ca="1">IFERROR(__xludf.DUMMYFUNCTION("""COMPUTED_VALUE"""),7.14)</f>
        <v>7.14</v>
      </c>
      <c r="F142">
        <f ca="1">IFERROR(__xludf.DUMMYFUNCTION("""COMPUTED_VALUE"""),14)</f>
        <v>14</v>
      </c>
      <c r="G142">
        <f ca="1">IFERROR(__xludf.DUMMYFUNCTION("""COMPUTED_VALUE"""),1)</f>
        <v>1</v>
      </c>
    </row>
    <row r="143" spans="1:7" ht="12.75">
      <c r="A143" t="str">
        <f ca="1">IFERROR(__xludf.DUMMYFUNCTION("""COMPUTED_VALUE"""),"T138")</f>
        <v>T138</v>
      </c>
      <c r="B143" t="str">
        <f ca="1">IFERROR(__xludf.DUMMYFUNCTION("""COMPUTED_VALUE"""),"T117")</f>
        <v>T117</v>
      </c>
      <c r="C143" t="str">
        <f ca="1">IFERROR(__xludf.DUMMYFUNCTION("""COMPUTED_VALUE"""),"Collin Morikawa")</f>
        <v>Collin Morikawa</v>
      </c>
      <c r="D143">
        <f ca="1">IFERROR(__xludf.DUMMYFUNCTION("""COMPUTED_VALUE"""),12)</f>
        <v>12</v>
      </c>
      <c r="E143">
        <f ca="1">IFERROR(__xludf.DUMMYFUNCTION("""COMPUTED_VALUE"""),7.14)</f>
        <v>7.14</v>
      </c>
      <c r="F143">
        <f ca="1">IFERROR(__xludf.DUMMYFUNCTION("""COMPUTED_VALUE"""),14)</f>
        <v>14</v>
      </c>
      <c r="G143">
        <f ca="1">IFERROR(__xludf.DUMMYFUNCTION("""COMPUTED_VALUE"""),1)</f>
        <v>1</v>
      </c>
    </row>
    <row r="144" spans="1:7" ht="12.75">
      <c r="A144" t="str">
        <f ca="1">IFERROR(__xludf.DUMMYFUNCTION("""COMPUTED_VALUE"""),"T143")</f>
        <v>T143</v>
      </c>
      <c r="B144" t="str">
        <f ca="1">IFERROR(__xludf.DUMMYFUNCTION("""COMPUTED_VALUE"""),"T121")</f>
        <v>T121</v>
      </c>
      <c r="C144" t="str">
        <f ca="1">IFERROR(__xludf.DUMMYFUNCTION("""COMPUTED_VALUE"""),"MJ Daffue")</f>
        <v>MJ Daffue</v>
      </c>
      <c r="D144">
        <f ca="1">IFERROR(__xludf.DUMMYFUNCTION("""COMPUTED_VALUE"""),10)</f>
        <v>10</v>
      </c>
      <c r="E144">
        <f ca="1">IFERROR(__xludf.DUMMYFUNCTION("""COMPUTED_VALUE"""),6.67)</f>
        <v>6.67</v>
      </c>
      <c r="F144">
        <f ca="1">IFERROR(__xludf.DUMMYFUNCTION("""COMPUTED_VALUE"""),15)</f>
        <v>15</v>
      </c>
      <c r="G144">
        <f ca="1">IFERROR(__xludf.DUMMYFUNCTION("""COMPUTED_VALUE"""),1)</f>
        <v>1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IFERROR(__xludf.DUMMYFUNCTION("""COMPUTED_VALUE"""),"T121")</f>
        <v>T121</v>
      </c>
      <c r="C145" t="str">
        <f ca="1">IFERROR(__xludf.DUMMYFUNCTION("""COMPUTED_VALUE"""),"Roger Sloan")</f>
        <v>Roger Sloan</v>
      </c>
      <c r="D145">
        <f ca="1">IFERROR(__xludf.DUMMYFUNCTION("""COMPUTED_VALUE"""),12)</f>
        <v>12</v>
      </c>
      <c r="E145">
        <f ca="1">IFERROR(__xludf.DUMMYFUNCTION("""COMPUTED_VALUE"""),6.67)</f>
        <v>6.67</v>
      </c>
      <c r="F145">
        <f ca="1">IFERROR(__xludf.DUMMYFUNCTION("""COMPUTED_VALUE"""),15)</f>
        <v>15</v>
      </c>
      <c r="G145">
        <f ca="1">IFERROR(__xludf.DUMMYFUNCTION("""COMPUTED_VALUE"""),1)</f>
        <v>1</v>
      </c>
    </row>
    <row r="146" spans="1:7" ht="12.75">
      <c r="A146" t="str">
        <f ca="1">IFERROR(__xludf.DUMMYFUNCTION("""COMPUTED_VALUE"""),"T143")</f>
        <v>T143</v>
      </c>
      <c r="B146" t="str">
        <f ca="1">IFERROR(__xludf.DUMMYFUNCTION("""COMPUTED_VALUE"""),"")</f>
        <v/>
      </c>
      <c r="C146" t="str">
        <f ca="1">IFERROR(__xludf.DUMMYFUNCTION("""COMPUTED_VALUE"""),"Jhonattan Vegas")</f>
        <v>Jhonattan Vegas</v>
      </c>
      <c r="D146">
        <f ca="1">IFERROR(__xludf.DUMMYFUNCTION("""COMPUTED_VALUE"""),16)</f>
        <v>16</v>
      </c>
      <c r="E146">
        <f ca="1">IFERROR(__xludf.DUMMYFUNCTION("""COMPUTED_VALUE"""),6.67)</f>
        <v>6.67</v>
      </c>
      <c r="F146">
        <f ca="1">IFERROR(__xludf.DUMMYFUNCTION("""COMPUTED_VALUE"""),15)</f>
        <v>15</v>
      </c>
      <c r="G146">
        <f ca="1">IFERROR(__xludf.DUMMYFUNCTION("""COMPUTED_VALUE"""),1)</f>
        <v>1</v>
      </c>
    </row>
    <row r="147" spans="1:7" ht="12.75">
      <c r="A147" t="str">
        <f ca="1">IFERROR(__xludf.DUMMYFUNCTION("""COMPUTED_VALUE"""),"T143")</f>
        <v>T143</v>
      </c>
      <c r="B147" t="str">
        <f ca="1">IFERROR(__xludf.DUMMYFUNCTION("""COMPUTED_VALUE"""),"")</f>
        <v/>
      </c>
      <c r="C147" t="str">
        <f ca="1">IFERROR(__xludf.DUMMYFUNCTION("""COMPUTED_VALUE"""),"Nate Lashley")</f>
        <v>Nate Lashley</v>
      </c>
      <c r="D147">
        <f ca="1">IFERROR(__xludf.DUMMYFUNCTION("""COMPUTED_VALUE"""),16)</f>
        <v>16</v>
      </c>
      <c r="E147">
        <f ca="1">IFERROR(__xludf.DUMMYFUNCTION("""COMPUTED_VALUE"""),6.67)</f>
        <v>6.67</v>
      </c>
      <c r="F147">
        <f ca="1">IFERROR(__xludf.DUMMYFUNCTION("""COMPUTED_VALUE"""),15)</f>
        <v>15</v>
      </c>
      <c r="G147">
        <f ca="1">IFERROR(__xludf.DUMMYFUNCTION("""COMPUTED_VALUE"""),1)</f>
        <v>1</v>
      </c>
    </row>
    <row r="148" spans="1:7" ht="12.75">
      <c r="A148" t="str">
        <f ca="1">IFERROR(__xludf.DUMMYFUNCTION("""COMPUTED_VALUE"""),"T143")</f>
        <v>T143</v>
      </c>
      <c r="B148" t="str">
        <f ca="1">IFERROR(__xludf.DUMMYFUNCTION("""COMPUTED_VALUE"""),"T121")</f>
        <v>T121</v>
      </c>
      <c r="C148" t="str">
        <f ca="1">IFERROR(__xludf.DUMMYFUNCTION("""COMPUTED_VALUE"""),"Webb Simpson")</f>
        <v>Webb Simpson</v>
      </c>
      <c r="D148">
        <f ca="1">IFERROR(__xludf.DUMMYFUNCTION("""COMPUTED_VALUE"""),12)</f>
        <v>12</v>
      </c>
      <c r="E148">
        <f ca="1">IFERROR(__xludf.DUMMYFUNCTION("""COMPUTED_VALUE"""),6.67)</f>
        <v>6.67</v>
      </c>
      <c r="F148">
        <f ca="1">IFERROR(__xludf.DUMMYFUNCTION("""COMPUTED_VALUE"""),15)</f>
        <v>15</v>
      </c>
      <c r="G148">
        <f ca="1">IFERROR(__xludf.DUMMYFUNCTION("""COMPUTED_VALUE"""),1)</f>
        <v>1</v>
      </c>
    </row>
    <row r="149" spans="1:7" ht="12.75">
      <c r="A149">
        <f ca="1">IFERROR(__xludf.DUMMYFUNCTION("""COMPUTED_VALUE"""),148)</f>
        <v>148</v>
      </c>
      <c r="B149" t="str">
        <f ca="1">IFERROR(__xludf.DUMMYFUNCTION("""COMPUTED_VALUE"""),"T126")</f>
        <v>T126</v>
      </c>
      <c r="C149" t="str">
        <f ca="1">IFERROR(__xludf.DUMMYFUNCTION("""COMPUTED_VALUE"""),"Tyler McCumber")</f>
        <v>Tyler McCumber</v>
      </c>
      <c r="D149">
        <f ca="1">IFERROR(__xludf.DUMMYFUNCTION("""COMPUTED_VALUE"""),14)</f>
        <v>14</v>
      </c>
      <c r="E149">
        <f ca="1">IFERROR(__xludf.DUMMYFUNCTION("""COMPUTED_VALUE"""),6.25)</f>
        <v>6.25</v>
      </c>
      <c r="F149">
        <f ca="1">IFERROR(__xludf.DUMMYFUNCTION("""COMPUTED_VALUE"""),16)</f>
        <v>16</v>
      </c>
      <c r="G149">
        <f ca="1">IFERROR(__xludf.DUMMYFUNCTION("""COMPUTED_VALUE"""),1)</f>
        <v>1</v>
      </c>
    </row>
    <row r="150" spans="1:7" ht="12.75">
      <c r="A150">
        <f ca="1">IFERROR(__xludf.DUMMYFUNCTION("""COMPUTED_VALUE"""),149)</f>
        <v>149</v>
      </c>
      <c r="B150" t="str">
        <f ca="1">IFERROR(__xludf.DUMMYFUNCTION("""COMPUTED_VALUE"""),"T104")</f>
        <v>T104</v>
      </c>
      <c r="C150" t="str">
        <f ca="1">IFERROR(__xludf.DUMMYFUNCTION("""COMPUTED_VALUE"""),"Scott Harrington")</f>
        <v>Scott Harrington</v>
      </c>
      <c r="D150">
        <f ca="1">IFERROR(__xludf.DUMMYFUNCTION("""COMPUTED_VALUE"""),18)</f>
        <v>18</v>
      </c>
      <c r="E150">
        <f ca="1">IFERROR(__xludf.DUMMYFUNCTION("""COMPUTED_VALUE"""),5.88)</f>
        <v>5.88</v>
      </c>
      <c r="F150">
        <f ca="1">IFERROR(__xludf.DUMMYFUNCTION("""COMPUTED_VALUE"""),17)</f>
        <v>17</v>
      </c>
      <c r="G150">
        <f ca="1">IFERROR(__xludf.DUMMYFUNCTION("""COMPUTED_VALUE"""),1)</f>
        <v>1</v>
      </c>
    </row>
    <row r="151" spans="1:7" ht="12.75">
      <c r="A151" t="str">
        <f ca="1">IFERROR(__xludf.DUMMYFUNCTION("""COMPUTED_VALUE"""),"T150")</f>
        <v>T150</v>
      </c>
      <c r="B151" t="str">
        <f ca="1">IFERROR(__xludf.DUMMYFUNCTION("""COMPUTED_VALUE"""),"T143")</f>
        <v>T143</v>
      </c>
      <c r="C151" t="str">
        <f ca="1">IFERROR(__xludf.DUMMYFUNCTION("""COMPUTED_VALUE"""),"Henrik Norlander")</f>
        <v>Henrik Norlander</v>
      </c>
      <c r="D151">
        <f ca="1">IFERROR(__xludf.DUMMYFUNCTION("""COMPUTED_VALUE"""),16)</f>
        <v>16</v>
      </c>
      <c r="E151">
        <f ca="1">IFERROR(__xludf.DUMMYFUNCTION("""COMPUTED_VALUE"""),5.56)</f>
        <v>5.56</v>
      </c>
      <c r="F151">
        <f ca="1">IFERROR(__xludf.DUMMYFUNCTION("""COMPUTED_VALUE"""),18)</f>
        <v>18</v>
      </c>
      <c r="G151">
        <f ca="1">IFERROR(__xludf.DUMMYFUNCTION("""COMPUTED_VALUE"""),1)</f>
        <v>1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IFERROR(__xludf.DUMMYFUNCTION("""COMPUTED_VALUE"""),"T131")</f>
        <v>T131</v>
      </c>
      <c r="C152" t="str">
        <f ca="1">IFERROR(__xludf.DUMMYFUNCTION("""COMPUTED_VALUE"""),"Matthew Wolff")</f>
        <v>Matthew Wolff</v>
      </c>
      <c r="D152">
        <f ca="1">IFERROR(__xludf.DUMMYFUNCTION("""COMPUTED_VALUE"""),16)</f>
        <v>16</v>
      </c>
      <c r="E152">
        <f ca="1">IFERROR(__xludf.DUMMYFUNCTION("""COMPUTED_VALUE"""),5.56)</f>
        <v>5.56</v>
      </c>
      <c r="F152">
        <f ca="1">IFERROR(__xludf.DUMMYFUNCTION("""COMPUTED_VALUE"""),18)</f>
        <v>18</v>
      </c>
      <c r="G152">
        <f ca="1">IFERROR(__xludf.DUMMYFUNCTION("""COMPUTED_VALUE"""),1)</f>
        <v>1</v>
      </c>
    </row>
    <row r="153" spans="1:7" ht="12.75">
      <c r="A153">
        <f ca="1">IFERROR(__xludf.DUMMYFUNCTION("""COMPUTED_VALUE"""),152)</f>
        <v>152</v>
      </c>
      <c r="B153" t="str">
        <f ca="1">IFERROR(__xludf.DUMMYFUNCTION("""COMPUTED_VALUE"""),"T126")</f>
        <v>T126</v>
      </c>
      <c r="C153" t="str">
        <f ca="1">IFERROR(__xludf.DUMMYFUNCTION("""COMPUTED_VALUE"""),"Ryan Armour")</f>
        <v>Ryan Armour</v>
      </c>
      <c r="D153">
        <f ca="1">IFERROR(__xludf.DUMMYFUNCTION("""COMPUTED_VALUE"""),16)</f>
        <v>16</v>
      </c>
      <c r="E153">
        <f ca="1">IFERROR(__xludf.DUMMYFUNCTION("""COMPUTED_VALUE"""),5)</f>
        <v>5</v>
      </c>
      <c r="F153">
        <f ca="1">IFERROR(__xludf.DUMMYFUNCTION("""COMPUTED_VALUE"""),20)</f>
        <v>20</v>
      </c>
      <c r="G153">
        <f ca="1">IFERROR(__xludf.DUMMYFUNCTION("""COMPUTED_VALUE"""),1)</f>
        <v>1</v>
      </c>
    </row>
    <row r="154" spans="1:7" ht="12.75">
      <c r="A154">
        <f ca="1">IFERROR(__xludf.DUMMYFUNCTION("""COMPUTED_VALUE"""),153)</f>
        <v>153</v>
      </c>
      <c r="B154" t="str">
        <f ca="1">IFERROR(__xludf.DUMMYFUNCTION("""COMPUTED_VALUE"""),"T128")</f>
        <v>T128</v>
      </c>
      <c r="C154" t="str">
        <f ca="1">IFERROR(__xludf.DUMMYFUNCTION("""COMPUTED_VALUE"""),"Sungjae Im")</f>
        <v>Sungjae Im</v>
      </c>
      <c r="D154">
        <f ca="1">IFERROR(__xludf.DUMMYFUNCTION("""COMPUTED_VALUE"""),24)</f>
        <v>24</v>
      </c>
      <c r="E154">
        <f ca="1">IFERROR(__xludf.DUMMYFUNCTION("""COMPUTED_VALUE"""),4.88)</f>
        <v>4.88</v>
      </c>
      <c r="F154">
        <f ca="1">IFERROR(__xludf.DUMMYFUNCTION("""COMPUTED_VALUE"""),41)</f>
        <v>41</v>
      </c>
      <c r="G154">
        <f ca="1">IFERROR(__xludf.DUMMYFUNCTION("""COMPUTED_VALUE"""),2)</f>
        <v>2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IFERROR(__xludf.DUMMYFUNCTION("""COMPUTED_VALUE"""),134)</f>
        <v>134</v>
      </c>
      <c r="C155" t="str">
        <f ca="1">IFERROR(__xludf.DUMMYFUNCTION("""COMPUTED_VALUE"""),"Michael Gligic")</f>
        <v>Michael Gligic</v>
      </c>
      <c r="D155">
        <f ca="1">IFERROR(__xludf.DUMMYFUNCTION("""COMPUTED_VALUE"""),18)</f>
        <v>18</v>
      </c>
      <c r="E155">
        <f ca="1">IFERROR(__xludf.DUMMYFUNCTION("""COMPUTED_VALUE"""),4.76)</f>
        <v>4.76</v>
      </c>
      <c r="F155">
        <f ca="1">IFERROR(__xludf.DUMMYFUNCTION("""COMPUTED_VALUE"""),21)</f>
        <v>21</v>
      </c>
      <c r="G155">
        <f ca="1">IFERROR(__xludf.DUMMYFUNCTION("""COMPUTED_VALUE"""),1)</f>
        <v>1</v>
      </c>
    </row>
    <row r="156" spans="1:7" ht="12.75">
      <c r="A156" t="str">
        <f ca="1">IFERROR(__xludf.DUMMYFUNCTION("""COMPUTED_VALUE"""),"T155")</f>
        <v>T155</v>
      </c>
      <c r="B156" t="str">
        <f ca="1">IFERROR(__xludf.DUMMYFUNCTION("""COMPUTED_VALUE"""),"T110")</f>
        <v>T110</v>
      </c>
      <c r="C156" t="str">
        <f ca="1">IFERROR(__xludf.DUMMYFUNCTION("""COMPUTED_VALUE"""),"Lanto Griffin")</f>
        <v>Lanto Griffin</v>
      </c>
      <c r="D156">
        <f ca="1">IFERROR(__xludf.DUMMYFUNCTION("""COMPUTED_VALUE"""),18)</f>
        <v>18</v>
      </c>
      <c r="E156">
        <f ca="1">IFERROR(__xludf.DUMMYFUNCTION("""COMPUTED_VALUE"""),4.55)</f>
        <v>4.55</v>
      </c>
      <c r="F156">
        <f ca="1">IFERROR(__xludf.DUMMYFUNCTION("""COMPUTED_VALUE"""),22)</f>
        <v>22</v>
      </c>
      <c r="G156">
        <f ca="1">IFERROR(__xludf.DUMMYFUNCTION("""COMPUTED_VALUE"""),1)</f>
        <v>1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IFERROR(__xludf.DUMMYFUNCTION("""COMPUTED_VALUE"""),"T135")</f>
        <v>T135</v>
      </c>
      <c r="C157" t="str">
        <f ca="1">IFERROR(__xludf.DUMMYFUNCTION("""COMPUTED_VALUE"""),"Byeong Hun An")</f>
        <v>Byeong Hun An</v>
      </c>
      <c r="D157">
        <f ca="1">IFERROR(__xludf.DUMMYFUNCTION("""COMPUTED_VALUE"""),14)</f>
        <v>14</v>
      </c>
      <c r="E157">
        <f ca="1">IFERROR(__xludf.DUMMYFUNCTION("""COMPUTED_VALUE"""),4.55)</f>
        <v>4.55</v>
      </c>
      <c r="F157">
        <f ca="1">IFERROR(__xludf.DUMMYFUNCTION("""COMPUTED_VALUE"""),22)</f>
        <v>22</v>
      </c>
      <c r="G157">
        <f ca="1">IFERROR(__xludf.DUMMYFUNCTION("""COMPUTED_VALUE"""),1)</f>
        <v>1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IFERROR(__xludf.DUMMYFUNCTION("""COMPUTED_VALUE"""),"T135")</f>
        <v>T135</v>
      </c>
      <c r="C158" t="str">
        <f ca="1">IFERROR(__xludf.DUMMYFUNCTION("""COMPUTED_VALUE"""),"Ryan Palmer")</f>
        <v>Ryan Palmer</v>
      </c>
      <c r="D158">
        <f ca="1">IFERROR(__xludf.DUMMYFUNCTION("""COMPUTED_VALUE"""),14)</f>
        <v>14</v>
      </c>
      <c r="E158">
        <f ca="1">IFERROR(__xludf.DUMMYFUNCTION("""COMPUTED_VALUE"""),4.55)</f>
        <v>4.55</v>
      </c>
      <c r="F158">
        <f ca="1">IFERROR(__xludf.DUMMYFUNCTION("""COMPUTED_VALUE"""),22)</f>
        <v>22</v>
      </c>
      <c r="G158">
        <f ca="1">IFERROR(__xludf.DUMMYFUNCTION("""COMPUTED_VALUE"""),1)</f>
        <v>1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IFERROR(__xludf.DUMMYFUNCTION("""COMPUTED_VALUE"""),137)</f>
        <v>137</v>
      </c>
      <c r="C159" t="str">
        <f ca="1">IFERROR(__xludf.DUMMYFUNCTION("""COMPUTED_VALUE"""),"Nick Taylor")</f>
        <v>Nick Taylor</v>
      </c>
      <c r="D159">
        <f ca="1">IFERROR(__xludf.DUMMYFUNCTION("""COMPUTED_VALUE"""),12)</f>
        <v>12</v>
      </c>
      <c r="E159">
        <f ca="1">IFERROR(__xludf.DUMMYFUNCTION("""COMPUTED_VALUE"""),4.35)</f>
        <v>4.3499999999999996</v>
      </c>
      <c r="F159">
        <f ca="1">IFERROR(__xludf.DUMMYFUNCTION("""COMPUTED_VALUE"""),23)</f>
        <v>23</v>
      </c>
      <c r="G159">
        <f ca="1">IFERROR(__xludf.DUMMYFUNCTION("""COMPUTED_VALUE"""),1)</f>
        <v>1</v>
      </c>
    </row>
    <row r="160" spans="1:7" ht="12.75">
      <c r="A160" t="str">
        <f ca="1">IFERROR(__xludf.DUMMYFUNCTION("""COMPUTED_VALUE"""),"T159")</f>
        <v>T159</v>
      </c>
      <c r="B160" t="str">
        <f ca="1">IFERROR(__xludf.DUMMYFUNCTION("""COMPUTED_VALUE"""),"T128")</f>
        <v>T128</v>
      </c>
      <c r="C160" t="str">
        <f ca="1">IFERROR(__xludf.DUMMYFUNCTION("""COMPUTED_VALUE"""),"Scott Piercy")</f>
        <v>Scott Piercy</v>
      </c>
      <c r="D160">
        <f ca="1">IFERROR(__xludf.DUMMYFUNCTION("""COMPUTED_VALUE"""),18)</f>
        <v>18</v>
      </c>
      <c r="E160">
        <f ca="1">IFERROR(__xludf.DUMMYFUNCTION("""COMPUTED_VALUE"""),4.17)</f>
        <v>4.17</v>
      </c>
      <c r="F160">
        <f ca="1">IFERROR(__xludf.DUMMYFUNCTION("""COMPUTED_VALUE"""),24)</f>
        <v>24</v>
      </c>
      <c r="G160">
        <f ca="1">IFERROR(__xludf.DUMMYFUNCTION("""COMPUTED_VALUE"""),1)</f>
        <v>1</v>
      </c>
    </row>
    <row r="161" spans="1:7" ht="12.75">
      <c r="A161" t="str">
        <f ca="1">IFERROR(__xludf.DUMMYFUNCTION("""COMPUTED_VALUE"""),"T159")</f>
        <v>T159</v>
      </c>
      <c r="B161" t="str">
        <f ca="1">IFERROR(__xludf.DUMMYFUNCTION("""COMPUTED_VALUE"""),"T128")</f>
        <v>T128</v>
      </c>
      <c r="C161" t="str">
        <f ca="1">IFERROR(__xludf.DUMMYFUNCTION("""COMPUTED_VALUE"""),"Shane Lowry")</f>
        <v>Shane Lowry</v>
      </c>
      <c r="D161">
        <f ca="1">IFERROR(__xludf.DUMMYFUNCTION("""COMPUTED_VALUE"""),14)</f>
        <v>14</v>
      </c>
      <c r="E161">
        <f ca="1">IFERROR(__xludf.DUMMYFUNCTION("""COMPUTED_VALUE"""),4.17)</f>
        <v>4.17</v>
      </c>
      <c r="F161">
        <f ca="1">IFERROR(__xludf.DUMMYFUNCTION("""COMPUTED_VALUE"""),24)</f>
        <v>24</v>
      </c>
      <c r="G161">
        <f ca="1">IFERROR(__xludf.DUMMYFUNCTION("""COMPUTED_VALUE"""),1)</f>
        <v>1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IFERROR(__xludf.DUMMYFUNCTION("""COMPUTED_VALUE"""),139)</f>
        <v>139</v>
      </c>
      <c r="C162" t="str">
        <f ca="1">IFERROR(__xludf.DUMMYFUNCTION("""COMPUTED_VALUE"""),"Tyler Duncan")</f>
        <v>Tyler Duncan</v>
      </c>
      <c r="D162">
        <f ca="1">IFERROR(__xludf.DUMMYFUNCTION("""COMPUTED_VALUE"""),18)</f>
        <v>18</v>
      </c>
      <c r="E162">
        <f ca="1">IFERROR(__xludf.DUMMYFUNCTION("""COMPUTED_VALUE"""),3.85)</f>
        <v>3.85</v>
      </c>
      <c r="F162">
        <f ca="1">IFERROR(__xludf.DUMMYFUNCTION("""COMPUTED_VALUE"""),26)</f>
        <v>26</v>
      </c>
      <c r="G162">
        <f ca="1">IFERROR(__xludf.DUMMYFUNCTION("""COMPUTED_VALUE"""),1)</f>
        <v>1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IFERROR(__xludf.DUMMYFUNCTION("""COMPUTED_VALUE"""),138)</f>
        <v>138</v>
      </c>
      <c r="C163" t="str">
        <f ca="1">IFERROR(__xludf.DUMMYFUNCTION("""COMPUTED_VALUE"""),"Andrew Putnam")</f>
        <v>Andrew Putnam</v>
      </c>
      <c r="D163">
        <f ca="1">IFERROR(__xludf.DUMMYFUNCTION("""COMPUTED_VALUE"""),19)</f>
        <v>19</v>
      </c>
      <c r="E163">
        <f ca="1">IFERROR(__xludf.DUMMYFUNCTION("""COMPUTED_VALUE"""),3.7)</f>
        <v>3.7</v>
      </c>
      <c r="F163">
        <f ca="1">IFERROR(__xludf.DUMMYFUNCTION("""COMPUTED_VALUE"""),27)</f>
        <v>27</v>
      </c>
      <c r="G163">
        <f ca="1">IFERROR(__xludf.DUMMYFUNCTION("""COMPUTED_VALUE"""),1)</f>
        <v>1</v>
      </c>
    </row>
    <row r="164" spans="1:7" ht="12.75">
      <c r="A164">
        <f ca="1">IFERROR(__xludf.DUMMYFUNCTION("""COMPUTED_VALUE"""),163)</f>
        <v>163</v>
      </c>
      <c r="B164" t="str">
        <f ca="1">IFERROR(__xludf.DUMMYFUNCTION("""COMPUTED_VALUE"""),"T140")</f>
        <v>T140</v>
      </c>
      <c r="C164" t="str">
        <f ca="1">IFERROR(__xludf.DUMMYFUNCTION("""COMPUTED_VALUE"""),"Emiliano Grillo")</f>
        <v>Emiliano Grillo</v>
      </c>
      <c r="D164">
        <f ca="1">IFERROR(__xludf.DUMMYFUNCTION("""COMPUTED_VALUE"""),22)</f>
        <v>22</v>
      </c>
      <c r="E164">
        <f ca="1">IFERROR(__xludf.DUMMYFUNCTION("""COMPUTED_VALUE"""),3.23)</f>
        <v>3.23</v>
      </c>
      <c r="F164">
        <f ca="1">IFERROR(__xludf.DUMMYFUNCTION("""COMPUTED_VALUE"""),31)</f>
        <v>31</v>
      </c>
      <c r="G164">
        <f ca="1">IFERROR(__xludf.DUMMYFUNCTION("""COMPUTED_VALUE"""),1)</f>
        <v>1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IFERROR(__xludf.DUMMYFUNCTION("""COMPUTED_VALUE"""),142)</f>
        <v>142</v>
      </c>
      <c r="C165" t="str">
        <f ca="1">IFERROR(__xludf.DUMMYFUNCTION("""COMPUTED_VALUE"""),"Sergio Garcia")</f>
        <v>Sergio Garcia</v>
      </c>
      <c r="D165">
        <f ca="1">IFERROR(__xludf.DUMMYFUNCTION("""COMPUTED_VALUE"""),18)</f>
        <v>18</v>
      </c>
      <c r="E165">
        <f ca="1">IFERROR(__xludf.DUMMYFUNCTION("""COMPUTED_VALUE"""),3.13)</f>
        <v>3.13</v>
      </c>
      <c r="F165">
        <f ca="1">IFERROR(__xludf.DUMMYFUNCTION("""COMPUTED_VALUE"""),32)</f>
        <v>32</v>
      </c>
      <c r="G165">
        <f ca="1">IFERROR(__xludf.DUMMYFUNCTION("""COMPUTED_VALUE"""),1)</f>
        <v>1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IFERROR(__xludf.DUMMYFUNCTION("""COMPUTED_VALUE"""),"T143")</f>
        <v>T143</v>
      </c>
      <c r="C166" t="str">
        <f ca="1">IFERROR(__xludf.DUMMYFUNCTION("""COMPUTED_VALUE"""),"K.J. Choi")</f>
        <v>K.J. Choi</v>
      </c>
      <c r="D166">
        <f ca="1">IFERROR(__xludf.DUMMYFUNCTION("""COMPUTED_VALUE"""),6)</f>
        <v>6</v>
      </c>
      <c r="E166">
        <f ca="1">IFERROR(__xludf.DUMMYFUNCTION("""COMPUTED_VALUE"""),0)</f>
        <v>0</v>
      </c>
      <c r="F166">
        <f ca="1">IFERROR(__xludf.DUMMYFUNCTION("""COMPUTED_VALUE"""),12)</f>
        <v>12</v>
      </c>
      <c r="G166" t="str">
        <f ca="1">IFERROR(__xludf.DUMMYFUNCTION("""COMPUTED_VALUE"""),"")</f>
        <v/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IFERROR(__xludf.DUMMYFUNCTION("""COMPUTED_VALUE"""),"T143")</f>
        <v>T143</v>
      </c>
      <c r="C167" t="str">
        <f ca="1">IFERROR(__xludf.DUMMYFUNCTION("""COMPUTED_VALUE"""),"Charl Schwartzel")</f>
        <v>Charl Schwartzel</v>
      </c>
      <c r="D167">
        <f ca="1">IFERROR(__xludf.DUMMYFUNCTION("""COMPUTED_VALUE"""),12)</f>
        <v>12</v>
      </c>
      <c r="E167">
        <f ca="1">IFERROR(__xludf.DUMMYFUNCTION("""COMPUTED_VALUE"""),0)</f>
        <v>0</v>
      </c>
      <c r="F167">
        <f ca="1">IFERROR(__xludf.DUMMYFUNCTION("""COMPUTED_VALUE"""),18)</f>
        <v>18</v>
      </c>
      <c r="G167" t="str">
        <f ca="1">IFERROR(__xludf.DUMMYFUNCTION("""COMPUTED_VALUE"""),"")</f>
        <v/>
      </c>
    </row>
    <row r="168" spans="1:7" ht="12.75">
      <c r="A168" t="str">
        <f ca="1">IFERROR(__xludf.DUMMYFUNCTION("""COMPUTED_VALUE"""),"T165")</f>
        <v>T165</v>
      </c>
      <c r="B168" t="str">
        <f ca="1">IFERROR(__xludf.DUMMYFUNCTION("""COMPUTED_VALUE"""),"T143")</f>
        <v>T143</v>
      </c>
      <c r="C168" t="str">
        <f ca="1">IFERROR(__xludf.DUMMYFUNCTION("""COMPUTED_VALUE"""),"Chez Reavie")</f>
        <v>Chez Reavie</v>
      </c>
      <c r="D168">
        <f ca="1">IFERROR(__xludf.DUMMYFUNCTION("""COMPUTED_VALUE"""),14)</f>
        <v>14</v>
      </c>
      <c r="E168">
        <f ca="1">IFERROR(__xludf.DUMMYFUNCTION("""COMPUTED_VALUE"""),0)</f>
        <v>0</v>
      </c>
      <c r="F168">
        <f ca="1">IFERROR(__xludf.DUMMYFUNCTION("""COMPUTED_VALUE"""),20)</f>
        <v>20</v>
      </c>
      <c r="G168" t="str">
        <f ca="1">IFERROR(__xludf.DUMMYFUNCTION("""COMPUTED_VALUE"""),"")</f>
        <v/>
      </c>
    </row>
    <row r="169" spans="1:7" ht="12.75">
      <c r="A169" t="str">
        <f ca="1">IFERROR(__xludf.DUMMYFUNCTION("""COMPUTED_VALUE"""),"T165")</f>
        <v>T165</v>
      </c>
      <c r="B169" t="str">
        <f ca="1">IFERROR(__xludf.DUMMYFUNCTION("""COMPUTED_VALUE"""),"T143")</f>
        <v>T143</v>
      </c>
      <c r="C169" t="str">
        <f ca="1">IFERROR(__xludf.DUMMYFUNCTION("""COMPUTED_VALUE"""),"Marc Leishman")</f>
        <v>Marc Leishman</v>
      </c>
      <c r="D169">
        <f ca="1">IFERROR(__xludf.DUMMYFUNCTION("""COMPUTED_VALUE"""),10)</f>
        <v>10</v>
      </c>
      <c r="E169">
        <f ca="1">IFERROR(__xludf.DUMMYFUNCTION("""COMPUTED_VALUE"""),0)</f>
        <v>0</v>
      </c>
      <c r="F169">
        <f ca="1">IFERROR(__xludf.DUMMYFUNCTION("""COMPUTED_VALUE"""),21)</f>
        <v>21</v>
      </c>
      <c r="G169" t="str">
        <f ca="1">IFERROR(__xludf.DUMMYFUNCTION("""COMPUTED_VALUE"""),"")</f>
        <v/>
      </c>
    </row>
    <row r="170" spans="1:7" ht="12.75">
      <c r="A170" t="str">
        <f ca="1">IFERROR(__xludf.DUMMYFUNCTION("""COMPUTED_VALUE"""),"T165")</f>
        <v>T165</v>
      </c>
      <c r="B170" t="str">
        <f ca="1">IFERROR(__xludf.DUMMYFUNCTION("""COMPUTED_VALUE"""),"")</f>
        <v/>
      </c>
      <c r="C170" t="str">
        <f ca="1">IFERROR(__xludf.DUMMYFUNCTION("""COMPUTED_VALUE"""),"Ted Potter, Jr.")</f>
        <v>Ted Potter, Jr.</v>
      </c>
      <c r="D170">
        <f ca="1">IFERROR(__xludf.DUMMYFUNCTION("""COMPUTED_VALUE"""),8)</f>
        <v>8</v>
      </c>
      <c r="E170">
        <f ca="1">IFERROR(__xludf.DUMMYFUNCTION("""COMPUTED_VALUE"""),0)</f>
        <v>0</v>
      </c>
      <c r="F170">
        <f ca="1">IFERROR(__xludf.DUMMYFUNCTION("""COMPUTED_VALUE"""),10)</f>
        <v>10</v>
      </c>
      <c r="G170" t="str">
        <f ca="1">IFERROR(__xludf.DUMMYFUNCTION("""COMPUTED_VALUE"""),"")</f>
        <v/>
      </c>
    </row>
    <row r="171" spans="1:7" ht="12.75">
      <c r="A171" t="str">
        <f ca="1">IFERROR(__xludf.DUMMYFUNCTION("""COMPUTED_VALUE"""),"T165")</f>
        <v>T165</v>
      </c>
      <c r="B171" t="str">
        <f ca="1">IFERROR(__xludf.DUMMYFUNCTION("""COMPUTED_VALUE"""),"T143")</f>
        <v>T143</v>
      </c>
      <c r="C171" t="str">
        <f ca="1">IFERROR(__xludf.DUMMYFUNCTION("""COMPUTED_VALUE"""),"Camilo Villegas")</f>
        <v>Camilo Villegas</v>
      </c>
      <c r="D171">
        <f ca="1">IFERROR(__xludf.DUMMYFUNCTION("""COMPUTED_VALUE"""),14)</f>
        <v>14</v>
      </c>
      <c r="E171">
        <f ca="1">IFERROR(__xludf.DUMMYFUNCTION("""COMPUTED_VALUE"""),0)</f>
        <v>0</v>
      </c>
      <c r="F171">
        <f ca="1">IFERROR(__xludf.DUMMYFUNCTION("""COMPUTED_VALUE"""),17)</f>
        <v>17</v>
      </c>
      <c r="G171" t="str">
        <f ca="1">IFERROR(__xludf.DUMMYFUNCTION("""COMPUTED_VALUE"""),"")</f>
        <v/>
      </c>
    </row>
    <row r="172" spans="1:7" ht="12.75">
      <c r="A172" t="str">
        <f ca="1">IFERROR(__xludf.DUMMYFUNCTION("""COMPUTED_VALUE"""),"T165")</f>
        <v>T165</v>
      </c>
      <c r="B172" t="str">
        <f ca="1">IFERROR(__xludf.DUMMYFUNCTION("""COMPUTED_VALUE"""),"T143")</f>
        <v>T143</v>
      </c>
      <c r="C172" t="str">
        <f ca="1">IFERROR(__xludf.DUMMYFUNCTION("""COMPUTED_VALUE"""),"Luke List")</f>
        <v>Luke List</v>
      </c>
      <c r="D172">
        <f ca="1">IFERROR(__xludf.DUMMYFUNCTION("""COMPUTED_VALUE"""),18)</f>
        <v>18</v>
      </c>
      <c r="E172">
        <f ca="1">IFERROR(__xludf.DUMMYFUNCTION("""COMPUTED_VALUE"""),0)</f>
        <v>0</v>
      </c>
      <c r="F172">
        <f ca="1">IFERROR(__xludf.DUMMYFUNCTION("""COMPUTED_VALUE"""),12)</f>
        <v>12</v>
      </c>
      <c r="G172" t="str">
        <f ca="1">IFERROR(__xludf.DUMMYFUNCTION("""COMPUTED_VALUE"""),"")</f>
        <v/>
      </c>
    </row>
    <row r="173" spans="1:7" ht="12.75">
      <c r="A173" t="str">
        <f ca="1">IFERROR(__xludf.DUMMYFUNCTION("""COMPUTED_VALUE"""),"T165")</f>
        <v>T165</v>
      </c>
      <c r="B173" t="str">
        <f ca="1">IFERROR(__xludf.DUMMYFUNCTION("""COMPUTED_VALUE"""),"")</f>
        <v/>
      </c>
      <c r="C173" t="str">
        <f ca="1">IFERROR(__xludf.DUMMYFUNCTION("""COMPUTED_VALUE"""),"Graham DeLaet")</f>
        <v>Graham DeLaet</v>
      </c>
      <c r="D173">
        <f ca="1">IFERROR(__xludf.DUMMYFUNCTION("""COMPUTED_VALUE"""),9)</f>
        <v>9</v>
      </c>
      <c r="E173">
        <f ca="1">IFERROR(__xludf.DUMMYFUNCTION("""COMPUTED_VALUE"""),0)</f>
        <v>0</v>
      </c>
      <c r="F173">
        <f ca="1">IFERROR(__xludf.DUMMYFUNCTION("""COMPUTED_VALUE"""),10)</f>
        <v>10</v>
      </c>
      <c r="G173" t="str">
        <f ca="1">IFERROR(__xludf.DUMMYFUNCTION("""COMPUTED_VALUE"""),"")</f>
        <v/>
      </c>
    </row>
    <row r="174" spans="1:7" ht="12.75">
      <c r="A174" t="str">
        <f ca="1">IFERROR(__xludf.DUMMYFUNCTION("""COMPUTED_VALUE"""),"T165")</f>
        <v>T165</v>
      </c>
      <c r="B174" t="str">
        <f ca="1">IFERROR(__xludf.DUMMYFUNCTION("""COMPUTED_VALUE"""),"T143")</f>
        <v>T143</v>
      </c>
      <c r="C174" t="str">
        <f ca="1">IFERROR(__xludf.DUMMYFUNCTION("""COMPUTED_VALUE"""),"Sung Kang")</f>
        <v>Sung Kang</v>
      </c>
      <c r="D174">
        <f ca="1">IFERROR(__xludf.DUMMYFUNCTION("""COMPUTED_VALUE"""),14)</f>
        <v>14</v>
      </c>
      <c r="E174">
        <f ca="1">IFERROR(__xludf.DUMMYFUNCTION("""COMPUTED_VALUE"""),0)</f>
        <v>0</v>
      </c>
      <c r="F174">
        <f ca="1">IFERROR(__xludf.DUMMYFUNCTION("""COMPUTED_VALUE"""),17)</f>
        <v>17</v>
      </c>
      <c r="G174" t="str">
        <f ca="1">IFERROR(__xludf.DUMMYFUNCTION("""COMPUTED_VALUE"""),"")</f>
        <v/>
      </c>
    </row>
    <row r="175" spans="1:7" ht="12.75">
      <c r="A175" t="str">
        <f ca="1">IFERROR(__xludf.DUMMYFUNCTION("""COMPUTED_VALUE"""),"T165")</f>
        <v>T165</v>
      </c>
      <c r="B175" t="str">
        <f ca="1">IFERROR(__xludf.DUMMYFUNCTION("""COMPUTED_VALUE"""),"")</f>
        <v/>
      </c>
      <c r="C175" t="str">
        <f ca="1">IFERROR(__xludf.DUMMYFUNCTION("""COMPUTED_VALUE"""),"Fabián Gómez")</f>
        <v>Fabián Gómez</v>
      </c>
      <c r="D175">
        <f ca="1">IFERROR(__xludf.DUMMYFUNCTION("""COMPUTED_VALUE"""),16)</f>
        <v>16</v>
      </c>
      <c r="E175">
        <f ca="1">IFERROR(__xludf.DUMMYFUNCTION("""COMPUTED_VALUE"""),0)</f>
        <v>0</v>
      </c>
      <c r="F175">
        <f ca="1">IFERROR(__xludf.DUMMYFUNCTION("""COMPUTED_VALUE"""),10)</f>
        <v>10</v>
      </c>
      <c r="G175" t="str">
        <f ca="1">IFERROR(__xludf.DUMMYFUNCTION("""COMPUTED_VALUE"""),"")</f>
        <v/>
      </c>
    </row>
    <row r="176" spans="1:7" ht="12.75">
      <c r="A176" t="str">
        <f ca="1">IFERROR(__xludf.DUMMYFUNCTION("""COMPUTED_VALUE"""),"T165")</f>
        <v>T165</v>
      </c>
      <c r="B176" t="str">
        <f ca="1">IFERROR(__xludf.DUMMYFUNCTION("""COMPUTED_VALUE"""),"T143")</f>
        <v>T143</v>
      </c>
      <c r="C176" t="str">
        <f ca="1">IFERROR(__xludf.DUMMYFUNCTION("""COMPUTED_VALUE"""),"Billy Horschel")</f>
        <v>Billy Horschel</v>
      </c>
      <c r="D176">
        <f ca="1">IFERROR(__xludf.DUMMYFUNCTION("""COMPUTED_VALUE"""),12)</f>
        <v>12</v>
      </c>
      <c r="E176">
        <f ca="1">IFERROR(__xludf.DUMMYFUNCTION("""COMPUTED_VALUE"""),0)</f>
        <v>0</v>
      </c>
      <c r="F176">
        <f ca="1">IFERROR(__xludf.DUMMYFUNCTION("""COMPUTED_VALUE"""),17)</f>
        <v>17</v>
      </c>
      <c r="G176" t="str">
        <f ca="1">IFERROR(__xludf.DUMMYFUNCTION("""COMPUTED_VALUE"""),"")</f>
        <v/>
      </c>
    </row>
    <row r="177" spans="1:7" ht="12.75">
      <c r="A177" t="str">
        <f ca="1">IFERROR(__xludf.DUMMYFUNCTION("""COMPUTED_VALUE"""),"T165")</f>
        <v>T165</v>
      </c>
      <c r="B177" t="str">
        <f ca="1">IFERROR(__xludf.DUMMYFUNCTION("""COMPUTED_VALUE"""),"T143")</f>
        <v>T143</v>
      </c>
      <c r="C177" t="str">
        <f ca="1">IFERROR(__xludf.DUMMYFUNCTION("""COMPUTED_VALUE"""),"Matthias Schwab")</f>
        <v>Matthias Schwab</v>
      </c>
      <c r="D177">
        <f ca="1">IFERROR(__xludf.DUMMYFUNCTION("""COMPUTED_VALUE"""),8)</f>
        <v>8</v>
      </c>
      <c r="E177">
        <f ca="1">IFERROR(__xludf.DUMMYFUNCTION("""COMPUTED_VALUE"""),0)</f>
        <v>0</v>
      </c>
      <c r="F177">
        <f ca="1">IFERROR(__xludf.DUMMYFUNCTION("""COMPUTED_VALUE"""),11)</f>
        <v>11</v>
      </c>
      <c r="G177" t="str">
        <f ca="1">IFERROR(__xludf.DUMMYFUNCTION("""COMPUTED_VALUE"""),"")</f>
        <v/>
      </c>
    </row>
    <row r="178" spans="1:7" ht="12.75">
      <c r="A178" t="str">
        <f ca="1">IFERROR(__xludf.DUMMYFUNCTION("""COMPUTED_VALUE"""),"T165")</f>
        <v>T165</v>
      </c>
      <c r="B178" t="str">
        <f ca="1">IFERROR(__xludf.DUMMYFUNCTION("""COMPUTED_VALUE"""),"T143")</f>
        <v>T143</v>
      </c>
      <c r="C178" t="str">
        <f ca="1">IFERROR(__xludf.DUMMYFUNCTION("""COMPUTED_VALUE"""),"Joel Dahmen")</f>
        <v>Joel Dahmen</v>
      </c>
      <c r="D178">
        <f ca="1">IFERROR(__xludf.DUMMYFUNCTION("""COMPUTED_VALUE"""),18)</f>
        <v>18</v>
      </c>
      <c r="E178">
        <f ca="1">IFERROR(__xludf.DUMMYFUNCTION("""COMPUTED_VALUE"""),0)</f>
        <v>0</v>
      </c>
      <c r="F178">
        <f ca="1">IFERROR(__xludf.DUMMYFUNCTION("""COMPUTED_VALUE"""),27)</f>
        <v>27</v>
      </c>
      <c r="G178" t="str">
        <f ca="1">IFERROR(__xludf.DUMMYFUNCTION("""COMPUTED_VALUE"""),"")</f>
        <v/>
      </c>
    </row>
    <row r="179" spans="1:7" ht="12.75">
      <c r="A179" t="str">
        <f ca="1">IFERROR(__xludf.DUMMYFUNCTION("""COMPUTED_VALUE"""),"T165")</f>
        <v>T165</v>
      </c>
      <c r="B179" t="str">
        <f ca="1">IFERROR(__xludf.DUMMYFUNCTION("""COMPUTED_VALUE"""),"T143")</f>
        <v>T143</v>
      </c>
      <c r="C179" t="str">
        <f ca="1">IFERROR(__xludf.DUMMYFUNCTION("""COMPUTED_VALUE"""),"Joseph Bramlett")</f>
        <v>Joseph Bramlett</v>
      </c>
      <c r="D179">
        <f ca="1">IFERROR(__xludf.DUMMYFUNCTION("""COMPUTED_VALUE"""),18)</f>
        <v>18</v>
      </c>
      <c r="E179">
        <f ca="1">IFERROR(__xludf.DUMMYFUNCTION("""COMPUTED_VALUE"""),0)</f>
        <v>0</v>
      </c>
      <c r="F179">
        <f ca="1">IFERROR(__xludf.DUMMYFUNCTION("""COMPUTED_VALUE"""),12)</f>
        <v>12</v>
      </c>
      <c r="G179" t="str">
        <f ca="1">IFERROR(__xludf.DUMMYFUNCTION("""COMPUTED_VALUE"""),"")</f>
        <v/>
      </c>
    </row>
    <row r="180" spans="1:7" ht="12.75">
      <c r="A180" t="str">
        <f ca="1">IFERROR(__xludf.DUMMYFUNCTION("""COMPUTED_VALUE"""),"T165")</f>
        <v>T165</v>
      </c>
      <c r="B180" t="str">
        <f ca="1">IFERROR(__xludf.DUMMYFUNCTION("""COMPUTED_VALUE"""),"T143")</f>
        <v>T143</v>
      </c>
      <c r="C180" t="str">
        <f ca="1">IFERROR(__xludf.DUMMYFUNCTION("""COMPUTED_VALUE"""),"Joaquin Niemann")</f>
        <v>Joaquin Niemann</v>
      </c>
      <c r="D180">
        <f ca="1">IFERROR(__xludf.DUMMYFUNCTION("""COMPUTED_VALUE"""),16)</f>
        <v>16</v>
      </c>
      <c r="E180">
        <f ca="1">IFERROR(__xludf.DUMMYFUNCTION("""COMPUTED_VALUE"""),0)</f>
        <v>0</v>
      </c>
      <c r="F180">
        <f ca="1">IFERROR(__xludf.DUMMYFUNCTION("""COMPUTED_VALUE"""),17)</f>
        <v>17</v>
      </c>
      <c r="G180" t="str">
        <f ca="1">IFERROR(__xludf.DUMMYFUNCTION("""COMPUTED_VALUE"""),"")</f>
        <v/>
      </c>
    </row>
    <row r="181" spans="1:7" ht="12.75">
      <c r="A181" t="str">
        <f ca="1">IFERROR(__xludf.DUMMYFUNCTION("""COMPUTED_VALUE"""),"T165")</f>
        <v>T165</v>
      </c>
      <c r="B181" t="str">
        <f ca="1">IFERROR(__xludf.DUMMYFUNCTION("""COMPUTED_VALUE"""),"")</f>
        <v/>
      </c>
      <c r="C181" t="str">
        <f ca="1">IFERROR(__xludf.DUMMYFUNCTION("""COMPUTED_VALUE"""),"Wyndham Clark")</f>
        <v>Wyndham Clark</v>
      </c>
      <c r="D181">
        <f ca="1">IFERROR(__xludf.DUMMYFUNCTION("""COMPUTED_VALUE"""),16)</f>
        <v>16</v>
      </c>
      <c r="E181">
        <f ca="1">IFERROR(__xludf.DUMMYFUNCTION("""COMPUTED_VALUE"""),0)</f>
        <v>0</v>
      </c>
      <c r="F181">
        <f ca="1">IFERROR(__xludf.DUMMYFUNCTION("""COMPUTED_VALUE"""),11)</f>
        <v>11</v>
      </c>
      <c r="G181" t="str">
        <f ca="1">IFERROR(__xludf.DUMMYFUNCTION("""COMPUTED_VALUE"""),"")</f>
        <v/>
      </c>
    </row>
    <row r="182" spans="1:7" ht="12.75">
      <c r="A182" t="str">
        <f ca="1">IFERROR(__xludf.DUMMYFUNCTION("""COMPUTED_VALUE"""),"T165")</f>
        <v>T165</v>
      </c>
      <c r="B182" t="str">
        <f ca="1">IFERROR(__xludf.DUMMYFUNCTION("""COMPUTED_VALUE"""),"T143")</f>
        <v>T143</v>
      </c>
      <c r="C182" t="str">
        <f ca="1">IFERROR(__xludf.DUMMYFUNCTION("""COMPUTED_VALUE"""),"Vincent Whaley")</f>
        <v>Vincent Whaley</v>
      </c>
      <c r="D182">
        <f ca="1">IFERROR(__xludf.DUMMYFUNCTION("""COMPUTED_VALUE"""),14)</f>
        <v>14</v>
      </c>
      <c r="E182">
        <f ca="1">IFERROR(__xludf.DUMMYFUNCTION("""COMPUTED_VALUE"""),0)</f>
        <v>0</v>
      </c>
      <c r="F182">
        <f ca="1">IFERROR(__xludf.DUMMYFUNCTION("""COMPUTED_VALUE"""),20)</f>
        <v>20</v>
      </c>
      <c r="G182" t="str">
        <f ca="1">IFERROR(__xludf.DUMMYFUNCTION("""COMPUTED_VALUE"""),"")</f>
        <v/>
      </c>
    </row>
    <row r="183" spans="1:7" ht="12.75">
      <c r="A183" t="str">
        <f ca="1">IFERROR(__xludf.DUMMYFUNCTION("""COMPUTED_VALUE"""),"T165")</f>
        <v>T165</v>
      </c>
      <c r="B183" t="str">
        <f ca="1">IFERROR(__xludf.DUMMYFUNCTION("""COMPUTED_VALUE"""),"T143")</f>
        <v>T143</v>
      </c>
      <c r="C183" t="str">
        <f ca="1">IFERROR(__xludf.DUMMYFUNCTION("""COMPUTED_VALUE"""),"Cameron Champ")</f>
        <v>Cameron Champ</v>
      </c>
      <c r="D183">
        <f ca="1">IFERROR(__xludf.DUMMYFUNCTION("""COMPUTED_VALUE"""),12)</f>
        <v>12</v>
      </c>
      <c r="E183">
        <f ca="1">IFERROR(__xludf.DUMMYFUNCTION("""COMPUTED_VALUE"""),0)</f>
        <v>0</v>
      </c>
      <c r="F183">
        <f ca="1">IFERROR(__xludf.DUMMYFUNCTION("""COMPUTED_VALUE"""),16)</f>
        <v>16</v>
      </c>
      <c r="G183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G269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IFERROR(__xludf.DUMMYFUNCTION("importhtml(""http://www.pgatour.com/stats/stat.408.html"",""table"",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IFERROR(__xludf.DUMMYFUNCTION("""COMPUTED_VALUE"""),"Aaron Baddeley")</f>
        <v>Aaron Baddeley</v>
      </c>
      <c r="D2">
        <f ca="1">IFERROR(__xludf.DUMMYFUNCTION("""COMPUTED_VALUE"""),8)</f>
        <v>8</v>
      </c>
      <c r="E2">
        <f ca="1">IFERROR(__xludf.DUMMYFUNCTION("""COMPUTED_VALUE"""),20)</f>
        <v>20</v>
      </c>
      <c r="F2">
        <f ca="1">IFERROR(__xludf.DUMMYFUNCTION("""COMPUTED_VALUE"""),20)</f>
        <v>20</v>
      </c>
      <c r="G2">
        <f ca="1">IFERROR(__xludf.DUMMYFUNCTION("""COMPUTED_VALUE"""),4)</f>
        <v>4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IFERROR(__xludf.DUMMYFUNCTION("""COMPUTED_VALUE"""),"Sebastian Cappelen")</f>
        <v>Sebastian Cappelen</v>
      </c>
      <c r="D3">
        <f ca="1">IFERROR(__xludf.DUMMYFUNCTION("""COMPUTED_VALUE"""),8)</f>
        <v>8</v>
      </c>
      <c r="E3">
        <f ca="1">IFERROR(__xludf.DUMMYFUNCTION("""COMPUTED_VALUE"""),20)</f>
        <v>20</v>
      </c>
      <c r="F3">
        <f ca="1">IFERROR(__xludf.DUMMYFUNCTION("""COMPUTED_VALUE"""),10)</f>
        <v>10</v>
      </c>
      <c r="G3">
        <f ca="1">IFERROR(__xludf.DUMMYFUNCTION("""COMPUTED_VALUE"""),2)</f>
        <v>2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IFERROR(__xludf.DUMMYFUNCTION("""COMPUTED_VALUE"""),"Chris Baker")</f>
        <v>Chris Baker</v>
      </c>
      <c r="D4">
        <f ca="1">IFERROR(__xludf.DUMMYFUNCTION("""COMPUTED_VALUE"""),8)</f>
        <v>8</v>
      </c>
      <c r="E4">
        <f ca="1">IFERROR(__xludf.DUMMYFUNCTION("""COMPUTED_VALUE"""),18.75)</f>
        <v>18.75</v>
      </c>
      <c r="F4">
        <f ca="1">IFERROR(__xludf.DUMMYFUNCTION("""COMPUTED_VALUE"""),16)</f>
        <v>16</v>
      </c>
      <c r="G4">
        <f ca="1">IFERROR(__xludf.DUMMYFUNCTION("""COMPUTED_VALUE"""),3)</f>
        <v>3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IFERROR(__xludf.DUMMYFUNCTION("""COMPUTED_VALUE"""),"Johnson Wagner")</f>
        <v>Johnson Wagner</v>
      </c>
      <c r="D5">
        <f ca="1">IFERROR(__xludf.DUMMYFUNCTION("""COMPUTED_VALUE"""),8)</f>
        <v>8</v>
      </c>
      <c r="E5">
        <f ca="1">IFERROR(__xludf.DUMMYFUNCTION("""COMPUTED_VALUE"""),18.18)</f>
        <v>18.18</v>
      </c>
      <c r="F5">
        <f ca="1">IFERROR(__xludf.DUMMYFUNCTION("""COMPUTED_VALUE"""),11)</f>
        <v>11</v>
      </c>
      <c r="G5">
        <f ca="1">IFERROR(__xludf.DUMMYFUNCTION("""COMPUTED_VALUE"""),2)</f>
        <v>2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IFERROR(__xludf.DUMMYFUNCTION("""COMPUTED_VALUE"""),"Kiradech Aphibarnrat")</f>
        <v>Kiradech Aphibarnrat</v>
      </c>
      <c r="D6">
        <f ca="1">IFERROR(__xludf.DUMMYFUNCTION("""COMPUTED_VALUE"""),12)</f>
        <v>12</v>
      </c>
      <c r="E6">
        <f ca="1">IFERROR(__xludf.DUMMYFUNCTION("""COMPUTED_VALUE"""),16.67)</f>
        <v>16.670000000000002</v>
      </c>
      <c r="F6">
        <f ca="1">IFERROR(__xludf.DUMMYFUNCTION("""COMPUTED_VALUE"""),12)</f>
        <v>12</v>
      </c>
      <c r="G6">
        <f ca="1">IFERROR(__xludf.DUMMYFUNCTION("""COMPUTED_VALUE"""),2)</f>
        <v>2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IFERROR(__xludf.DUMMYFUNCTION("""COMPUTED_VALUE"""),"Justin Suh")</f>
        <v>Justin Suh</v>
      </c>
      <c r="D7">
        <f ca="1">IFERROR(__xludf.DUMMYFUNCTION("""COMPUTED_VALUE"""),10)</f>
        <v>10</v>
      </c>
      <c r="E7">
        <f ca="1">IFERROR(__xludf.DUMMYFUNCTION("""COMPUTED_VALUE"""),16)</f>
        <v>16</v>
      </c>
      <c r="F7">
        <f ca="1">IFERROR(__xludf.DUMMYFUNCTION("""COMPUTED_VALUE"""),25)</f>
        <v>25</v>
      </c>
      <c r="G7">
        <f ca="1">IFERROR(__xludf.DUMMYFUNCTION("""COMPUTED_VALUE"""),4)</f>
        <v>4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IFERROR(__xludf.DUMMYFUNCTION("""COMPUTED_VALUE"""),9)</f>
        <v>9</v>
      </c>
      <c r="C8" t="str">
        <f ca="1">IFERROR(__xludf.DUMMYFUNCTION("""COMPUTED_VALUE"""),"Steve Lewton")</f>
        <v>Steve Lewton</v>
      </c>
      <c r="D8">
        <f ca="1">IFERROR(__xludf.DUMMYFUNCTION("""COMPUTED_VALUE"""),4)</f>
        <v>4</v>
      </c>
      <c r="E8">
        <f ca="1">IFERROR(__xludf.DUMMYFUNCTION("""COMPUTED_VALUE"""),14.29)</f>
        <v>14.29</v>
      </c>
      <c r="F8">
        <f ca="1">IFERROR(__xludf.DUMMYFUNCTION("""COMPUTED_VALUE"""),14)</f>
        <v>14</v>
      </c>
      <c r="G8">
        <f ca="1">IFERROR(__xludf.DUMMYFUNCTION("""COMPUTED_VALUE"""),2)</f>
        <v>2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IFERROR(__xludf.DUMMYFUNCTION("""COMPUTED_VALUE"""),"T10")</f>
        <v>T10</v>
      </c>
      <c r="C9" t="str">
        <f ca="1">IFERROR(__xludf.DUMMYFUNCTION("""COMPUTED_VALUE"""),"Hunter Mahan")</f>
        <v>Hunter Mahan</v>
      </c>
      <c r="D9">
        <f ca="1">IFERROR(__xludf.DUMMYFUNCTION("""COMPUTED_VALUE"""),14)</f>
        <v>14</v>
      </c>
      <c r="E9">
        <f ca="1">IFERROR(__xludf.DUMMYFUNCTION("""COMPUTED_VALUE"""),13.95)</f>
        <v>13.95</v>
      </c>
      <c r="F9">
        <f ca="1">IFERROR(__xludf.DUMMYFUNCTION("""COMPUTED_VALUE"""),43)</f>
        <v>43</v>
      </c>
      <c r="G9">
        <f ca="1">IFERROR(__xludf.DUMMYFUNCTION("""COMPUTED_VALUE"""),6)</f>
        <v>6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IFERROR(__xludf.DUMMYFUNCTION("""COMPUTED_VALUE"""),12)</f>
        <v>12</v>
      </c>
      <c r="C10" t="str">
        <f ca="1">IFERROR(__xludf.DUMMYFUNCTION("""COMPUTED_VALUE"""),"Bryson DeChambeau")</f>
        <v>Bryson DeChambeau</v>
      </c>
      <c r="D10">
        <f ca="1">IFERROR(__xludf.DUMMYFUNCTION("""COMPUTED_VALUE"""),8)</f>
        <v>8</v>
      </c>
      <c r="E10">
        <f ca="1">IFERROR(__xludf.DUMMYFUNCTION("""COMPUTED_VALUE"""),13.51)</f>
        <v>13.51</v>
      </c>
      <c r="F10">
        <f ca="1">IFERROR(__xludf.DUMMYFUNCTION("""COMPUTED_VALUE"""),37)</f>
        <v>37</v>
      </c>
      <c r="G10">
        <f ca="1">IFERROR(__xludf.DUMMYFUNCTION("""COMPUTED_VALUE"""),5)</f>
        <v>5</v>
      </c>
    </row>
    <row r="11" spans="1:7" ht="15.75" customHeight="1">
      <c r="A11" t="str">
        <f ca="1">IFERROR(__xludf.DUMMYFUNCTION("""COMPUTED_VALUE"""),"T10")</f>
        <v>T10</v>
      </c>
      <c r="B11" t="str">
        <f ca="1">IFERROR(__xludf.DUMMYFUNCTION("""COMPUTED_VALUE"""),"T13")</f>
        <v>T13</v>
      </c>
      <c r="C11" t="str">
        <f ca="1">IFERROR(__xludf.DUMMYFUNCTION("""COMPUTED_VALUE"""),"Romain Langasque")</f>
        <v>Romain Langasque</v>
      </c>
      <c r="D11">
        <f ca="1">IFERROR(__xludf.DUMMYFUNCTION("""COMPUTED_VALUE"""),4)</f>
        <v>4</v>
      </c>
      <c r="E11">
        <f ca="1">IFERROR(__xludf.DUMMYFUNCTION("""COMPUTED_VALUE"""),13.33)</f>
        <v>13.33</v>
      </c>
      <c r="F11">
        <f ca="1">IFERROR(__xludf.DUMMYFUNCTION("""COMPUTED_VALUE"""),30)</f>
        <v>30</v>
      </c>
      <c r="G11">
        <f ca="1">IFERROR(__xludf.DUMMYFUNCTION("""COMPUTED_VALUE"""),4)</f>
        <v>4</v>
      </c>
    </row>
    <row r="12" spans="1:7" ht="15.75" customHeight="1">
      <c r="A12" t="str">
        <f ca="1">IFERROR(__xludf.DUMMYFUNCTION("""COMPUTED_VALUE"""),"T10")</f>
        <v>T10</v>
      </c>
      <c r="B12" t="str">
        <f ca="1">IFERROR(__xludf.DUMMYFUNCTION("""COMPUTED_VALUE"""),"T7")</f>
        <v>T7</v>
      </c>
      <c r="C12" t="str">
        <f ca="1">IFERROR(__xludf.DUMMYFUNCTION("""COMPUTED_VALUE"""),"Scott Brown")</f>
        <v>Scott Brown</v>
      </c>
      <c r="D12">
        <f ca="1">IFERROR(__xludf.DUMMYFUNCTION("""COMPUTED_VALUE"""),14)</f>
        <v>14</v>
      </c>
      <c r="E12">
        <f ca="1">IFERROR(__xludf.DUMMYFUNCTION("""COMPUTED_VALUE"""),13.33)</f>
        <v>13.33</v>
      </c>
      <c r="F12">
        <f ca="1">IFERROR(__xludf.DUMMYFUNCTION("""COMPUTED_VALUE"""),45)</f>
        <v>45</v>
      </c>
      <c r="G12">
        <f ca="1">IFERROR(__xludf.DUMMYFUNCTION("""COMPUTED_VALUE"""),6)</f>
        <v>6</v>
      </c>
    </row>
    <row r="13" spans="1:7" ht="15.75" customHeight="1">
      <c r="A13">
        <f ca="1">IFERROR(__xludf.DUMMYFUNCTION("""COMPUTED_VALUE"""),12)</f>
        <v>12</v>
      </c>
      <c r="B13" t="str">
        <f ca="1">IFERROR(__xludf.DUMMYFUNCTION("""COMPUTED_VALUE"""),"T54")</f>
        <v>T54</v>
      </c>
      <c r="C13" t="str">
        <f ca="1">IFERROR(__xludf.DUMMYFUNCTION("""COMPUTED_VALUE"""),"James Hahn")</f>
        <v>James Hahn</v>
      </c>
      <c r="D13">
        <f ca="1">IFERROR(__xludf.DUMMYFUNCTION("""COMPUTED_VALUE"""),16)</f>
        <v>16</v>
      </c>
      <c r="E13">
        <f ca="1">IFERROR(__xludf.DUMMYFUNCTION("""COMPUTED_VALUE"""),13.11)</f>
        <v>13.11</v>
      </c>
      <c r="F13">
        <f ca="1">IFERROR(__xludf.DUMMYFUNCTION("""COMPUTED_VALUE"""),61)</f>
        <v>61</v>
      </c>
      <c r="G13">
        <f ca="1">IFERROR(__xludf.DUMMYFUNCTION("""COMPUTED_VALUE"""),8)</f>
        <v>8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IFERROR(__xludf.DUMMYFUNCTION("""COMPUTED_VALUE"""),"T15")</f>
        <v>T15</v>
      </c>
      <c r="C14" t="str">
        <f ca="1">IFERROR(__xludf.DUMMYFUNCTION("""COMPUTED_VALUE"""),"J.B. Holmes")</f>
        <v>J.B. Holmes</v>
      </c>
      <c r="D14">
        <f ca="1">IFERROR(__xludf.DUMMYFUNCTION("""COMPUTED_VALUE"""),10)</f>
        <v>10</v>
      </c>
      <c r="E14">
        <f ca="1">IFERROR(__xludf.DUMMYFUNCTION("""COMPUTED_VALUE"""),12.82)</f>
        <v>12.82</v>
      </c>
      <c r="F14">
        <f ca="1">IFERROR(__xludf.DUMMYFUNCTION("""COMPUTED_VALUE"""),39)</f>
        <v>39</v>
      </c>
      <c r="G14">
        <f ca="1">IFERROR(__xludf.DUMMYFUNCTION("""COMPUTED_VALUE"""),5)</f>
        <v>5</v>
      </c>
    </row>
    <row r="15" spans="1:7" ht="15.75" customHeight="1">
      <c r="A15">
        <f ca="1">IFERROR(__xludf.DUMMYFUNCTION("""COMPUTED_VALUE"""),14)</f>
        <v>14</v>
      </c>
      <c r="B15" t="str">
        <f ca="1">IFERROR(__xludf.DUMMYFUNCTION("""COMPUTED_VALUE"""),"T13")</f>
        <v>T13</v>
      </c>
      <c r="C15" t="str">
        <f ca="1">IFERROR(__xludf.DUMMYFUNCTION("""COMPUTED_VALUE"""),"Jordan Spieth")</f>
        <v>Jordan Spieth</v>
      </c>
      <c r="D15">
        <f ca="1">IFERROR(__xludf.DUMMYFUNCTION("""COMPUTED_VALUE"""),14)</f>
        <v>14</v>
      </c>
      <c r="E15">
        <f ca="1">IFERROR(__xludf.DUMMYFUNCTION("""COMPUTED_VALUE"""),12.24)</f>
        <v>12.24</v>
      </c>
      <c r="F15">
        <f ca="1">IFERROR(__xludf.DUMMYFUNCTION("""COMPUTED_VALUE"""),49)</f>
        <v>49</v>
      </c>
      <c r="G15">
        <f ca="1">IFERROR(__xludf.DUMMYFUNCTION("""COMPUTED_VALUE"""),6)</f>
        <v>6</v>
      </c>
    </row>
    <row r="16" spans="1:7" ht="15.75" customHeight="1">
      <c r="A16">
        <f ca="1">IFERROR(__xludf.DUMMYFUNCTION("""COMPUTED_VALUE"""),15)</f>
        <v>15</v>
      </c>
      <c r="B16" t="str">
        <f ca="1">IFERROR(__xludf.DUMMYFUNCTION("""COMPUTED_VALUE"""),"T18")</f>
        <v>T18</v>
      </c>
      <c r="C16" t="str">
        <f ca="1">IFERROR(__xludf.DUMMYFUNCTION("""COMPUTED_VALUE"""),"Akshay Bhatia")</f>
        <v>Akshay Bhatia</v>
      </c>
      <c r="D16">
        <f ca="1">IFERROR(__xludf.DUMMYFUNCTION("""COMPUTED_VALUE"""),6)</f>
        <v>6</v>
      </c>
      <c r="E16">
        <f ca="1">IFERROR(__xludf.DUMMYFUNCTION("""COMPUTED_VALUE"""),11.76)</f>
        <v>11.76</v>
      </c>
      <c r="F16">
        <f ca="1">IFERROR(__xludf.DUMMYFUNCTION("""COMPUTED_VALUE"""),17)</f>
        <v>17</v>
      </c>
      <c r="G16">
        <f ca="1">IFERROR(__xludf.DUMMYFUNCTION("""COMPUTED_VALUE"""),2)</f>
        <v>2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IFERROR(__xludf.DUMMYFUNCTION("""COMPUTED_VALUE"""),20)</f>
        <v>20</v>
      </c>
      <c r="C17" t="str">
        <f ca="1">IFERROR(__xludf.DUMMYFUNCTION("""COMPUTED_VALUE"""),"Chez Reavie")</f>
        <v>Chez Reavie</v>
      </c>
      <c r="D17">
        <f ca="1">IFERROR(__xludf.DUMMYFUNCTION("""COMPUTED_VALUE"""),14)</f>
        <v>14</v>
      </c>
      <c r="E17">
        <f ca="1">IFERROR(__xludf.DUMMYFUNCTION("""COMPUTED_VALUE"""),11.54)</f>
        <v>11.54</v>
      </c>
      <c r="F17">
        <f ca="1">IFERROR(__xludf.DUMMYFUNCTION("""COMPUTED_VALUE"""),52)</f>
        <v>52</v>
      </c>
      <c r="G17">
        <f ca="1">IFERROR(__xludf.DUMMYFUNCTION("""COMPUTED_VALUE"""),6)</f>
        <v>6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IFERROR(__xludf.DUMMYFUNCTION("""COMPUTED_VALUE"""),17)</f>
        <v>17</v>
      </c>
      <c r="C18" t="str">
        <f ca="1">IFERROR(__xludf.DUMMYFUNCTION("""COMPUTED_VALUE"""),"Kristoffer Ventura")</f>
        <v>Kristoffer Ventura</v>
      </c>
      <c r="D18">
        <f ca="1">IFERROR(__xludf.DUMMYFUNCTION("""COMPUTED_VALUE"""),20)</f>
        <v>20</v>
      </c>
      <c r="E18">
        <f ca="1">IFERROR(__xludf.DUMMYFUNCTION("""COMPUTED_VALUE"""),11.48)</f>
        <v>11.48</v>
      </c>
      <c r="F18">
        <f ca="1">IFERROR(__xludf.DUMMYFUNCTION("""COMPUTED_VALUE"""),61)</f>
        <v>61</v>
      </c>
      <c r="G18">
        <f ca="1">IFERROR(__xludf.DUMMYFUNCTION("""COMPUTED_VALUE"""),7)</f>
        <v>7</v>
      </c>
    </row>
    <row r="19" spans="1:7" ht="15.75" customHeight="1">
      <c r="A19" t="str">
        <f ca="1">IFERROR(__xludf.DUMMYFUNCTION("""COMPUTED_VALUE"""),"T18")</f>
        <v>T18</v>
      </c>
      <c r="B19" t="str">
        <f ca="1">IFERROR(__xludf.DUMMYFUNCTION("""COMPUTED_VALUE"""),"T22")</f>
        <v>T22</v>
      </c>
      <c r="C19" t="str">
        <f ca="1">IFERROR(__xludf.DUMMYFUNCTION("""COMPUTED_VALUE"""),"Naoki Sekito")</f>
        <v>Naoki Sekito</v>
      </c>
      <c r="D19">
        <f ca="1">IFERROR(__xludf.DUMMYFUNCTION("""COMPUTED_VALUE"""),4)</f>
        <v>4</v>
      </c>
      <c r="E19">
        <f ca="1">IFERROR(__xludf.DUMMYFUNCTION("""COMPUTED_VALUE"""),11.11)</f>
        <v>11.11</v>
      </c>
      <c r="F19">
        <f ca="1">IFERROR(__xludf.DUMMYFUNCTION("""COMPUTED_VALUE"""),18)</f>
        <v>18</v>
      </c>
      <c r="G19">
        <f ca="1">IFERROR(__xludf.DUMMYFUNCTION("""COMPUTED_VALUE"""),2)</f>
        <v>2</v>
      </c>
    </row>
    <row r="20" spans="1:7" ht="15.75" customHeight="1">
      <c r="A20" t="str">
        <f ca="1">IFERROR(__xludf.DUMMYFUNCTION("""COMPUTED_VALUE"""),"T18")</f>
        <v>T18</v>
      </c>
      <c r="B20" t="str">
        <f ca="1">IFERROR(__xludf.DUMMYFUNCTION("""COMPUTED_VALUE"""),"T36")</f>
        <v>T36</v>
      </c>
      <c r="C20" t="str">
        <f ca="1">IFERROR(__xludf.DUMMYFUNCTION("""COMPUTED_VALUE"""),"Graeme McDowell")</f>
        <v>Graeme McDowell</v>
      </c>
      <c r="D20">
        <f ca="1">IFERROR(__xludf.DUMMYFUNCTION("""COMPUTED_VALUE"""),8)</f>
        <v>8</v>
      </c>
      <c r="E20">
        <f ca="1">IFERROR(__xludf.DUMMYFUNCTION("""COMPUTED_VALUE"""),11.11)</f>
        <v>11.11</v>
      </c>
      <c r="F20">
        <f ca="1">IFERROR(__xludf.DUMMYFUNCTION("""COMPUTED_VALUE"""),27)</f>
        <v>27</v>
      </c>
      <c r="G20">
        <f ca="1">IFERROR(__xludf.DUMMYFUNCTION("""COMPUTED_VALUE"""),3)</f>
        <v>3</v>
      </c>
    </row>
    <row r="21" spans="1:7" ht="15.75" customHeight="1">
      <c r="A21" t="str">
        <f ca="1">IFERROR(__xludf.DUMMYFUNCTION("""COMPUTED_VALUE"""),"T18")</f>
        <v>T18</v>
      </c>
      <c r="B21" t="str">
        <f ca="1">IFERROR(__xludf.DUMMYFUNCTION("""COMPUTED_VALUE"""),"T22")</f>
        <v>T22</v>
      </c>
      <c r="C21" t="str">
        <f ca="1">IFERROR(__xludf.DUMMYFUNCTION("""COMPUTED_VALUE"""),"Jay McLuen")</f>
        <v>Jay McLuen</v>
      </c>
      <c r="D21">
        <f ca="1">IFERROR(__xludf.DUMMYFUNCTION("""COMPUTED_VALUE"""),4)</f>
        <v>4</v>
      </c>
      <c r="E21">
        <f ca="1">IFERROR(__xludf.DUMMYFUNCTION("""COMPUTED_VALUE"""),11.11)</f>
        <v>11.11</v>
      </c>
      <c r="F21">
        <f ca="1">IFERROR(__xludf.DUMMYFUNCTION("""COMPUTED_VALUE"""),18)</f>
        <v>18</v>
      </c>
      <c r="G21">
        <f ca="1">IFERROR(__xludf.DUMMYFUNCTION("""COMPUTED_VALUE"""),2)</f>
        <v>2</v>
      </c>
    </row>
    <row r="22" spans="1:7" ht="15.75" customHeight="1">
      <c r="A22" t="str">
        <f ca="1">IFERROR(__xludf.DUMMYFUNCTION("""COMPUTED_VALUE"""),"T18")</f>
        <v>T18</v>
      </c>
      <c r="B22">
        <f ca="1">IFERROR(__xludf.DUMMYFUNCTION("""COMPUTED_VALUE"""),61)</f>
        <v>61</v>
      </c>
      <c r="C22" t="str">
        <f ca="1">IFERROR(__xludf.DUMMYFUNCTION("""COMPUTED_VALUE"""),"Rory Sabbatini")</f>
        <v>Rory Sabbatini</v>
      </c>
      <c r="D22">
        <f ca="1">IFERROR(__xludf.DUMMYFUNCTION("""COMPUTED_VALUE"""),13)</f>
        <v>13</v>
      </c>
      <c r="E22">
        <f ca="1">IFERROR(__xludf.DUMMYFUNCTION("""COMPUTED_VALUE"""),11.11)</f>
        <v>11.11</v>
      </c>
      <c r="F22">
        <f ca="1">IFERROR(__xludf.DUMMYFUNCTION("""COMPUTED_VALUE"""),63)</f>
        <v>63</v>
      </c>
      <c r="G22">
        <f ca="1">IFERROR(__xludf.DUMMYFUNCTION("""COMPUTED_VALUE"""),7)</f>
        <v>7</v>
      </c>
    </row>
    <row r="23" spans="1:7" ht="15.75" customHeight="1">
      <c r="A23" t="str">
        <f ca="1">IFERROR(__xludf.DUMMYFUNCTION("""COMPUTED_VALUE"""),"T18")</f>
        <v>T18</v>
      </c>
      <c r="B23" t="str">
        <f ca="1">IFERROR(__xludf.DUMMYFUNCTION("""COMPUTED_VALUE"""),"T22")</f>
        <v>T22</v>
      </c>
      <c r="C23" t="str">
        <f ca="1">IFERROR(__xludf.DUMMYFUNCTION("""COMPUTED_VALUE"""),"Brendon Todd")</f>
        <v>Brendon Todd</v>
      </c>
      <c r="D23">
        <f ca="1">IFERROR(__xludf.DUMMYFUNCTION("""COMPUTED_VALUE"""),14)</f>
        <v>14</v>
      </c>
      <c r="E23">
        <f ca="1">IFERROR(__xludf.DUMMYFUNCTION("""COMPUTED_VALUE"""),11.11)</f>
        <v>11.11</v>
      </c>
      <c r="F23">
        <f ca="1">IFERROR(__xludf.DUMMYFUNCTION("""COMPUTED_VALUE"""),54)</f>
        <v>54</v>
      </c>
      <c r="G23">
        <f ca="1">IFERROR(__xludf.DUMMYFUNCTION("""COMPUTED_VALUE"""),6)</f>
        <v>6</v>
      </c>
    </row>
    <row r="24" spans="1:7" ht="15.75" customHeight="1">
      <c r="A24">
        <f ca="1">IFERROR(__xludf.DUMMYFUNCTION("""COMPUTED_VALUE"""),23)</f>
        <v>23</v>
      </c>
      <c r="B24" t="str">
        <f ca="1">IFERROR(__xludf.DUMMYFUNCTION("""COMPUTED_VALUE"""),"T28")</f>
        <v>T28</v>
      </c>
      <c r="C24" t="str">
        <f ca="1">IFERROR(__xludf.DUMMYFUNCTION("""COMPUTED_VALUE"""),"Hanbyeol Kim")</f>
        <v>Hanbyeol Kim</v>
      </c>
      <c r="D24">
        <f ca="1">IFERROR(__xludf.DUMMYFUNCTION("""COMPUTED_VALUE"""),4)</f>
        <v>4</v>
      </c>
      <c r="E24">
        <f ca="1">IFERROR(__xludf.DUMMYFUNCTION("""COMPUTED_VALUE"""),10.53)</f>
        <v>10.53</v>
      </c>
      <c r="F24">
        <f ca="1">IFERROR(__xludf.DUMMYFUNCTION("""COMPUTED_VALUE"""),19)</f>
        <v>19</v>
      </c>
      <c r="G24">
        <f ca="1">IFERROR(__xludf.DUMMYFUNCTION("""COMPUTED_VALUE"""),2)</f>
        <v>2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IFERROR(__xludf.DUMMYFUNCTION("""COMPUTED_VALUE"""),27)</f>
        <v>27</v>
      </c>
      <c r="C25" t="str">
        <f ca="1">IFERROR(__xludf.DUMMYFUNCTION("""COMPUTED_VALUE"""),"C.T. Pan")</f>
        <v>C.T. Pan</v>
      </c>
      <c r="D25">
        <f ca="1">IFERROR(__xludf.DUMMYFUNCTION("""COMPUTED_VALUE"""),20)</f>
        <v>20</v>
      </c>
      <c r="E25">
        <f ca="1">IFERROR(__xludf.DUMMYFUNCTION("""COMPUTED_VALUE"""),10.45)</f>
        <v>10.45</v>
      </c>
      <c r="F25">
        <f ca="1">IFERROR(__xludf.DUMMYFUNCTION("""COMPUTED_VALUE"""),67)</f>
        <v>67</v>
      </c>
      <c r="G25">
        <f ca="1">IFERROR(__xludf.DUMMYFUNCTION("""COMPUTED_VALUE"""),7)</f>
        <v>7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IFERROR(__xludf.DUMMYFUNCTION("""COMPUTED_VALUE"""),30)</f>
        <v>30</v>
      </c>
      <c r="C26" t="str">
        <f ca="1">IFERROR(__xludf.DUMMYFUNCTION("""COMPUTED_VALUE"""),"Abraham Ancer")</f>
        <v>Abraham Ancer</v>
      </c>
      <c r="D26">
        <f ca="1">IFERROR(__xludf.DUMMYFUNCTION("""COMPUTED_VALUE"""),16)</f>
        <v>16</v>
      </c>
      <c r="E26">
        <f ca="1">IFERROR(__xludf.DUMMYFUNCTION("""COMPUTED_VALUE"""),10.39)</f>
        <v>10.39</v>
      </c>
      <c r="F26">
        <f ca="1">IFERROR(__xludf.DUMMYFUNCTION("""COMPUTED_VALUE"""),77)</f>
        <v>77</v>
      </c>
      <c r="G26">
        <f ca="1">IFERROR(__xludf.DUMMYFUNCTION("""COMPUTED_VALUE"""),8)</f>
        <v>8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IFERROR(__xludf.DUMMYFUNCTION("""COMPUTED_VALUE"""),31)</f>
        <v>31</v>
      </c>
      <c r="C27" t="str">
        <f ca="1">IFERROR(__xludf.DUMMYFUNCTION("""COMPUTED_VALUE"""),"Shugo Imahira")</f>
        <v>Shugo Imahira</v>
      </c>
      <c r="D27">
        <f ca="1">IFERROR(__xludf.DUMMYFUNCTION("""COMPUTED_VALUE"""),8)</f>
        <v>8</v>
      </c>
      <c r="E27">
        <f ca="1">IFERROR(__xludf.DUMMYFUNCTION("""COMPUTED_VALUE"""),10.26)</f>
        <v>10.26</v>
      </c>
      <c r="F27">
        <f ca="1">IFERROR(__xludf.DUMMYFUNCTION("""COMPUTED_VALUE"""),39)</f>
        <v>39</v>
      </c>
      <c r="G27">
        <f ca="1">IFERROR(__xludf.DUMMYFUNCTION("""COMPUTED_VALUE"""),4)</f>
        <v>4</v>
      </c>
    </row>
    <row r="28" spans="1:7" ht="15.75" customHeight="1">
      <c r="A28" t="str">
        <f ca="1">IFERROR(__xludf.DUMMYFUNCTION("""COMPUTED_VALUE"""),"T27")</f>
        <v>T27</v>
      </c>
      <c r="B28" t="str">
        <f ca="1">IFERROR(__xludf.DUMMYFUNCTION("""COMPUTED_VALUE"""),"T32")</f>
        <v>T32</v>
      </c>
      <c r="C28" t="str">
        <f ca="1">IFERROR(__xludf.DUMMYFUNCTION("""COMPUTED_VALUE"""),"Rory McIlroy")</f>
        <v>Rory McIlroy</v>
      </c>
      <c r="D28">
        <f ca="1">IFERROR(__xludf.DUMMYFUNCTION("""COMPUTED_VALUE"""),12)</f>
        <v>12</v>
      </c>
      <c r="E28">
        <f ca="1">IFERROR(__xludf.DUMMYFUNCTION("""COMPUTED_VALUE"""),10.2)</f>
        <v>10.199999999999999</v>
      </c>
      <c r="F28">
        <f ca="1">IFERROR(__xludf.DUMMYFUNCTION("""COMPUTED_VALUE"""),49)</f>
        <v>49</v>
      </c>
      <c r="G28">
        <f ca="1">IFERROR(__xludf.DUMMYFUNCTION("""COMPUTED_VALUE"""),5)</f>
        <v>5</v>
      </c>
    </row>
    <row r="29" spans="1:7" ht="15.75" customHeight="1">
      <c r="A29" t="str">
        <f ca="1">IFERROR(__xludf.DUMMYFUNCTION("""COMPUTED_VALUE"""),"T27")</f>
        <v>T27</v>
      </c>
      <c r="B29" t="str">
        <f ca="1">IFERROR(__xludf.DUMMYFUNCTION("""COMPUTED_VALUE"""),"T32")</f>
        <v>T32</v>
      </c>
      <c r="C29" t="str">
        <f ca="1">IFERROR(__xludf.DUMMYFUNCTION("""COMPUTED_VALUE"""),"Daniel Berger")</f>
        <v>Daniel Berger</v>
      </c>
      <c r="D29">
        <f ca="1">IFERROR(__xludf.DUMMYFUNCTION("""COMPUTED_VALUE"""),12)</f>
        <v>12</v>
      </c>
      <c r="E29">
        <f ca="1">IFERROR(__xludf.DUMMYFUNCTION("""COMPUTED_VALUE"""),10.2)</f>
        <v>10.199999999999999</v>
      </c>
      <c r="F29">
        <f ca="1">IFERROR(__xludf.DUMMYFUNCTION("""COMPUTED_VALUE"""),49)</f>
        <v>49</v>
      </c>
      <c r="G29">
        <f ca="1">IFERROR(__xludf.DUMMYFUNCTION("""COMPUTED_VALUE"""),5)</f>
        <v>5</v>
      </c>
    </row>
    <row r="30" spans="1:7" ht="15.75" customHeight="1">
      <c r="A30" t="str">
        <f ca="1">IFERROR(__xludf.DUMMYFUNCTION("""COMPUTED_VALUE"""),"T29")</f>
        <v>T29</v>
      </c>
      <c r="B30" t="str">
        <f ca="1">IFERROR(__xludf.DUMMYFUNCTION("""COMPUTED_VALUE"""),"T36")</f>
        <v>T36</v>
      </c>
      <c r="C30" t="str">
        <f ca="1">IFERROR(__xludf.DUMMYFUNCTION("""COMPUTED_VALUE"""),"J.J. Spaun")</f>
        <v>J.J. Spaun</v>
      </c>
      <c r="D30">
        <f ca="1">IFERROR(__xludf.DUMMYFUNCTION("""COMPUTED_VALUE"""),10)</f>
        <v>10</v>
      </c>
      <c r="E30">
        <f ca="1">IFERROR(__xludf.DUMMYFUNCTION("""COMPUTED_VALUE"""),10)</f>
        <v>10</v>
      </c>
      <c r="F30">
        <f ca="1">IFERROR(__xludf.DUMMYFUNCTION("""COMPUTED_VALUE"""),20)</f>
        <v>20</v>
      </c>
      <c r="G30">
        <f ca="1">IFERROR(__xludf.DUMMYFUNCTION("""COMPUTED_VALUE"""),2)</f>
        <v>2</v>
      </c>
    </row>
    <row r="31" spans="1:7" ht="12.75">
      <c r="A31" t="str">
        <f ca="1">IFERROR(__xludf.DUMMYFUNCTION("""COMPUTED_VALUE"""),"T29")</f>
        <v>T29</v>
      </c>
      <c r="B31">
        <f ca="1">IFERROR(__xludf.DUMMYFUNCTION("""COMPUTED_VALUE"""),35)</f>
        <v>35</v>
      </c>
      <c r="C31" t="str">
        <f ca="1">IFERROR(__xludf.DUMMYFUNCTION("""COMPUTED_VALUE"""),"Andrew Putnam")</f>
        <v>Andrew Putnam</v>
      </c>
      <c r="D31">
        <f ca="1">IFERROR(__xludf.DUMMYFUNCTION("""COMPUTED_VALUE"""),19)</f>
        <v>19</v>
      </c>
      <c r="E31">
        <f ca="1">IFERROR(__xludf.DUMMYFUNCTION("""COMPUTED_VALUE"""),10)</f>
        <v>10</v>
      </c>
      <c r="F31">
        <f ca="1">IFERROR(__xludf.DUMMYFUNCTION("""COMPUTED_VALUE"""),70)</f>
        <v>70</v>
      </c>
      <c r="G31">
        <f ca="1">IFERROR(__xludf.DUMMYFUNCTION("""COMPUTED_VALUE"""),7)</f>
        <v>7</v>
      </c>
    </row>
    <row r="32" spans="1:7" ht="12.75">
      <c r="A32" t="str">
        <f ca="1">IFERROR(__xludf.DUMMYFUNCTION("""COMPUTED_VALUE"""),"T29")</f>
        <v>T29</v>
      </c>
      <c r="B32" t="str">
        <f ca="1">IFERROR(__xludf.DUMMYFUNCTION("""COMPUTED_VALUE"""),"T36")</f>
        <v>T36</v>
      </c>
      <c r="C32" t="str">
        <f ca="1">IFERROR(__xludf.DUMMYFUNCTION("""COMPUTED_VALUE"""),"Wesley Bryan")</f>
        <v>Wesley Bryan</v>
      </c>
      <c r="D32">
        <f ca="1">IFERROR(__xludf.DUMMYFUNCTION("""COMPUTED_VALUE"""),8)</f>
        <v>8</v>
      </c>
      <c r="E32">
        <f ca="1">IFERROR(__xludf.DUMMYFUNCTION("""COMPUTED_VALUE"""),10)</f>
        <v>10</v>
      </c>
      <c r="F32">
        <f ca="1">IFERROR(__xludf.DUMMYFUNCTION("""COMPUTED_VALUE"""),20)</f>
        <v>20</v>
      </c>
      <c r="G32">
        <f ca="1">IFERROR(__xludf.DUMMYFUNCTION("""COMPUTED_VALUE"""),2)</f>
        <v>2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IFERROR(__xludf.DUMMYFUNCTION("""COMPUTED_VALUE"""),21)</f>
        <v>21</v>
      </c>
      <c r="C33" t="str">
        <f ca="1">IFERROR(__xludf.DUMMYFUNCTION("""COMPUTED_VALUE"""),"Charl Schwartzel")</f>
        <v>Charl Schwartzel</v>
      </c>
      <c r="D33">
        <f ca="1">IFERROR(__xludf.DUMMYFUNCTION("""COMPUTED_VALUE"""),12)</f>
        <v>12</v>
      </c>
      <c r="E33">
        <f ca="1">IFERROR(__xludf.DUMMYFUNCTION("""COMPUTED_VALUE"""),9.84)</f>
        <v>9.84</v>
      </c>
      <c r="F33">
        <f ca="1">IFERROR(__xludf.DUMMYFUNCTION("""COMPUTED_VALUE"""),61)</f>
        <v>61</v>
      </c>
      <c r="G33">
        <f ca="1">IFERROR(__xludf.DUMMYFUNCTION("""COMPUTED_VALUE"""),6)</f>
        <v>6</v>
      </c>
    </row>
    <row r="34" spans="1:7" ht="12.75">
      <c r="A34">
        <f ca="1">IFERROR(__xludf.DUMMYFUNCTION("""COMPUTED_VALUE"""),33)</f>
        <v>33</v>
      </c>
      <c r="B34" t="str">
        <f ca="1">IFERROR(__xludf.DUMMYFUNCTION("""COMPUTED_VALUE"""),"T50")</f>
        <v>T50</v>
      </c>
      <c r="C34" t="str">
        <f ca="1">IFERROR(__xludf.DUMMYFUNCTION("""COMPUTED_VALUE"""),"Wyndham Clark")</f>
        <v>Wyndham Clark</v>
      </c>
      <c r="D34">
        <f ca="1">IFERROR(__xludf.DUMMYFUNCTION("""COMPUTED_VALUE"""),16)</f>
        <v>16</v>
      </c>
      <c r="E34">
        <f ca="1">IFERROR(__xludf.DUMMYFUNCTION("""COMPUTED_VALUE"""),9.62)</f>
        <v>9.6199999999999992</v>
      </c>
      <c r="F34">
        <f ca="1">IFERROR(__xludf.DUMMYFUNCTION("""COMPUTED_VALUE"""),52)</f>
        <v>52</v>
      </c>
      <c r="G34">
        <f ca="1">IFERROR(__xludf.DUMMYFUNCTION("""COMPUTED_VALUE"""),5)</f>
        <v>5</v>
      </c>
    </row>
    <row r="35" spans="1:7" ht="12.75">
      <c r="A35" t="str">
        <f ca="1">IFERROR(__xludf.DUMMYFUNCTION("""COMPUTED_VALUE"""),"T34")</f>
        <v>T34</v>
      </c>
      <c r="B35" t="str">
        <f ca="1">IFERROR(__xludf.DUMMYFUNCTION("""COMPUTED_VALUE"""),"T44")</f>
        <v>T44</v>
      </c>
      <c r="C35" t="str">
        <f ca="1">IFERROR(__xludf.DUMMYFUNCTION("""COMPUTED_VALUE"""),"Tyrrell Hatton")</f>
        <v>Tyrrell Hatton</v>
      </c>
      <c r="D35">
        <f ca="1">IFERROR(__xludf.DUMMYFUNCTION("""COMPUTED_VALUE"""),14)</f>
        <v>14</v>
      </c>
      <c r="E35">
        <f ca="1">IFERROR(__xludf.DUMMYFUNCTION("""COMPUTED_VALUE"""),9.52)</f>
        <v>9.52</v>
      </c>
      <c r="F35">
        <f ca="1">IFERROR(__xludf.DUMMYFUNCTION("""COMPUTED_VALUE"""),63)</f>
        <v>63</v>
      </c>
      <c r="G35">
        <f ca="1">IFERROR(__xludf.DUMMYFUNCTION("""COMPUTED_VALUE"""),6)</f>
        <v>6</v>
      </c>
    </row>
    <row r="36" spans="1:7" ht="12.75">
      <c r="A36" t="str">
        <f ca="1">IFERROR(__xludf.DUMMYFUNCTION("""COMPUTED_VALUE"""),"T34")</f>
        <v>T34</v>
      </c>
      <c r="B36" t="str">
        <f ca="1">IFERROR(__xludf.DUMMYFUNCTION("""COMPUTED_VALUE"""),"T44")</f>
        <v>T44</v>
      </c>
      <c r="C36" t="str">
        <f ca="1">IFERROR(__xludf.DUMMYFUNCTION("""COMPUTED_VALUE"""),"Robert Streb")</f>
        <v>Robert Streb</v>
      </c>
      <c r="D36">
        <f ca="1">IFERROR(__xludf.DUMMYFUNCTION("""COMPUTED_VALUE"""),12)</f>
        <v>12</v>
      </c>
      <c r="E36">
        <f ca="1">IFERROR(__xludf.DUMMYFUNCTION("""COMPUTED_VALUE"""),9.52)</f>
        <v>9.52</v>
      </c>
      <c r="F36">
        <f ca="1">IFERROR(__xludf.DUMMYFUNCTION("""COMPUTED_VALUE"""),21)</f>
        <v>21</v>
      </c>
      <c r="G36">
        <f ca="1">IFERROR(__xludf.DUMMYFUNCTION("""COMPUTED_VALUE"""),2)</f>
        <v>2</v>
      </c>
    </row>
    <row r="37" spans="1:7" ht="12.75">
      <c r="A37" t="str">
        <f ca="1">IFERROR(__xludf.DUMMYFUNCTION("""COMPUTED_VALUE"""),"T34")</f>
        <v>T34</v>
      </c>
      <c r="B37" t="str">
        <f ca="1">IFERROR(__xludf.DUMMYFUNCTION("""COMPUTED_VALUE"""),"T44")</f>
        <v>T44</v>
      </c>
      <c r="C37" t="str">
        <f ca="1">IFERROR(__xludf.DUMMYFUNCTION("""COMPUTED_VALUE"""),"Gunn Charoenkul")</f>
        <v>Gunn Charoenkul</v>
      </c>
      <c r="D37">
        <f ca="1">IFERROR(__xludf.DUMMYFUNCTION("""COMPUTED_VALUE"""),4)</f>
        <v>4</v>
      </c>
      <c r="E37">
        <f ca="1">IFERROR(__xludf.DUMMYFUNCTION("""COMPUTED_VALUE"""),9.52)</f>
        <v>9.52</v>
      </c>
      <c r="F37">
        <f ca="1">IFERROR(__xludf.DUMMYFUNCTION("""COMPUTED_VALUE"""),21)</f>
        <v>21</v>
      </c>
      <c r="G37">
        <f ca="1">IFERROR(__xludf.DUMMYFUNCTION("""COMPUTED_VALUE"""),2)</f>
        <v>2</v>
      </c>
    </row>
    <row r="38" spans="1:7" ht="12.75">
      <c r="A38" t="str">
        <f ca="1">IFERROR(__xludf.DUMMYFUNCTION("""COMPUTED_VALUE"""),"T34")</f>
        <v>T34</v>
      </c>
      <c r="B38" t="str">
        <f ca="1">IFERROR(__xludf.DUMMYFUNCTION("""COMPUTED_VALUE"""),"T44")</f>
        <v>T44</v>
      </c>
      <c r="C38" t="str">
        <f ca="1">IFERROR(__xludf.DUMMYFUNCTION("""COMPUTED_VALUE"""),"Thomas Detry")</f>
        <v>Thomas Detry</v>
      </c>
      <c r="D38">
        <f ca="1">IFERROR(__xludf.DUMMYFUNCTION("""COMPUTED_VALUE"""),8)</f>
        <v>8</v>
      </c>
      <c r="E38">
        <f ca="1">IFERROR(__xludf.DUMMYFUNCTION("""COMPUTED_VALUE"""),9.52)</f>
        <v>9.52</v>
      </c>
      <c r="F38">
        <f ca="1">IFERROR(__xludf.DUMMYFUNCTION("""COMPUTED_VALUE"""),21)</f>
        <v>21</v>
      </c>
      <c r="G38">
        <f ca="1">IFERROR(__xludf.DUMMYFUNCTION("""COMPUTED_VALUE"""),2)</f>
        <v>2</v>
      </c>
    </row>
    <row r="39" spans="1:7" ht="12.75">
      <c r="A39" t="str">
        <f ca="1">IFERROR(__xludf.DUMMYFUNCTION("""COMPUTED_VALUE"""),"T34")</f>
        <v>T34</v>
      </c>
      <c r="B39" t="str">
        <f ca="1">IFERROR(__xludf.DUMMYFUNCTION("""COMPUTED_VALUE"""),"T7")</f>
        <v>T7</v>
      </c>
      <c r="C39" t="str">
        <f ca="1">IFERROR(__xludf.DUMMYFUNCTION("""COMPUTED_VALUE"""),"Kevin Tway")</f>
        <v>Kevin Tway</v>
      </c>
      <c r="D39">
        <f ca="1">IFERROR(__xludf.DUMMYFUNCTION("""COMPUTED_VALUE"""),16)</f>
        <v>16</v>
      </c>
      <c r="E39">
        <f ca="1">IFERROR(__xludf.DUMMYFUNCTION("""COMPUTED_VALUE"""),9.52)</f>
        <v>9.52</v>
      </c>
      <c r="F39">
        <f ca="1">IFERROR(__xludf.DUMMYFUNCTION("""COMPUTED_VALUE"""),42)</f>
        <v>42</v>
      </c>
      <c r="G39">
        <f ca="1">IFERROR(__xludf.DUMMYFUNCTION("""COMPUTED_VALUE"""),4)</f>
        <v>4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IFERROR(__xludf.DUMMYFUNCTION("""COMPUTED_VALUE"""),64)</f>
        <v>64</v>
      </c>
      <c r="C40" t="str">
        <f ca="1">IFERROR(__xludf.DUMMYFUNCTION("""COMPUTED_VALUE"""),"Zach Johnson")</f>
        <v>Zach Johnson</v>
      </c>
      <c r="D40">
        <f ca="1">IFERROR(__xludf.DUMMYFUNCTION("""COMPUTED_VALUE"""),16)</f>
        <v>16</v>
      </c>
      <c r="E40">
        <f ca="1">IFERROR(__xludf.DUMMYFUNCTION("""COMPUTED_VALUE"""),9.47)</f>
        <v>9.4700000000000006</v>
      </c>
      <c r="F40">
        <f ca="1">IFERROR(__xludf.DUMMYFUNCTION("""COMPUTED_VALUE"""),95)</f>
        <v>95</v>
      </c>
      <c r="G40">
        <f ca="1">IFERROR(__xludf.DUMMYFUNCTION("""COMPUTED_VALUE"""),9)</f>
        <v>9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IFERROR(__xludf.DUMMYFUNCTION("""COMPUTED_VALUE"""),49)</f>
        <v>49</v>
      </c>
      <c r="C41" t="str">
        <f ca="1">IFERROR(__xludf.DUMMYFUNCTION("""COMPUTED_VALUE"""),"Xander Schauffele")</f>
        <v>Xander Schauffele</v>
      </c>
      <c r="D41">
        <f ca="1">IFERROR(__xludf.DUMMYFUNCTION("""COMPUTED_VALUE"""),12)</f>
        <v>12</v>
      </c>
      <c r="E41">
        <f ca="1">IFERROR(__xludf.DUMMYFUNCTION("""COMPUTED_VALUE"""),9.43)</f>
        <v>9.43</v>
      </c>
      <c r="F41">
        <f ca="1">IFERROR(__xludf.DUMMYFUNCTION("""COMPUTED_VALUE"""),53)</f>
        <v>53</v>
      </c>
      <c r="G41">
        <f ca="1">IFERROR(__xludf.DUMMYFUNCTION("""COMPUTED_VALUE"""),5)</f>
        <v>5</v>
      </c>
    </row>
    <row r="42" spans="1:7" ht="12.75">
      <c r="A42" t="str">
        <f ca="1">IFERROR(__xludf.DUMMYFUNCTION("""COMPUTED_VALUE"""),"T41")</f>
        <v>T41</v>
      </c>
      <c r="B42" t="str">
        <f ca="1">IFERROR(__xludf.DUMMYFUNCTION("""COMPUTED_VALUE"""),"T10")</f>
        <v>T10</v>
      </c>
      <c r="C42" t="str">
        <f ca="1">IFERROR(__xludf.DUMMYFUNCTION("""COMPUTED_VALUE"""),"Sam Burns")</f>
        <v>Sam Burns</v>
      </c>
      <c r="D42">
        <f ca="1">IFERROR(__xludf.DUMMYFUNCTION("""COMPUTED_VALUE"""),18)</f>
        <v>18</v>
      </c>
      <c r="E42">
        <f ca="1">IFERROR(__xludf.DUMMYFUNCTION("""COMPUTED_VALUE"""),9.09)</f>
        <v>9.09</v>
      </c>
      <c r="F42">
        <f ca="1">IFERROR(__xludf.DUMMYFUNCTION("""COMPUTED_VALUE"""),55)</f>
        <v>55</v>
      </c>
      <c r="G42">
        <f ca="1">IFERROR(__xludf.DUMMYFUNCTION("""COMPUTED_VALUE"""),5)</f>
        <v>5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IFERROR(__xludf.DUMMYFUNCTION("""COMPUTED_VALUE"""),"T50")</f>
        <v>T50</v>
      </c>
      <c r="C43" t="str">
        <f ca="1">IFERROR(__xludf.DUMMYFUNCTION("""COMPUTED_VALUE"""),"Zack Sucher")</f>
        <v>Zack Sucher</v>
      </c>
      <c r="D43">
        <f ca="1">IFERROR(__xludf.DUMMYFUNCTION("""COMPUTED_VALUE"""),6)</f>
        <v>6</v>
      </c>
      <c r="E43">
        <f ca="1">IFERROR(__xludf.DUMMYFUNCTION("""COMPUTED_VALUE"""),9.09)</f>
        <v>9.09</v>
      </c>
      <c r="F43">
        <f ca="1">IFERROR(__xludf.DUMMYFUNCTION("""COMPUTED_VALUE"""),11)</f>
        <v>11</v>
      </c>
      <c r="G43">
        <f ca="1">IFERROR(__xludf.DUMMYFUNCTION("""COMPUTED_VALUE"""),1)</f>
        <v>1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IFERROR(__xludf.DUMMYFUNCTION("""COMPUTED_VALUE"""),"T36")</f>
        <v>T36</v>
      </c>
      <c r="C44" t="str">
        <f ca="1">IFERROR(__xludf.DUMMYFUNCTION("""COMPUTED_VALUE"""),"Beau Hossler")</f>
        <v>Beau Hossler</v>
      </c>
      <c r="D44">
        <f ca="1">IFERROR(__xludf.DUMMYFUNCTION("""COMPUTED_VALUE"""),22)</f>
        <v>22</v>
      </c>
      <c r="E44">
        <f ca="1">IFERROR(__xludf.DUMMYFUNCTION("""COMPUTED_VALUE"""),8.96)</f>
        <v>8.9600000000000009</v>
      </c>
      <c r="F44">
        <f ca="1">IFERROR(__xludf.DUMMYFUNCTION("""COMPUTED_VALUE"""),67)</f>
        <v>67</v>
      </c>
      <c r="G44">
        <f ca="1">IFERROR(__xludf.DUMMYFUNCTION("""COMPUTED_VALUE"""),6)</f>
        <v>6</v>
      </c>
    </row>
    <row r="45" spans="1:7" ht="12.75">
      <c r="A45" t="str">
        <f ca="1">IFERROR(__xludf.DUMMYFUNCTION("""COMPUTED_VALUE"""),"T43")</f>
        <v>T43</v>
      </c>
      <c r="B45">
        <f ca="1">IFERROR(__xludf.DUMMYFUNCTION("""COMPUTED_VALUE"""),56)</f>
        <v>56</v>
      </c>
      <c r="C45" t="str">
        <f ca="1">IFERROR(__xludf.DUMMYFUNCTION("""COMPUTED_VALUE"""),"Stewart Cink")</f>
        <v>Stewart Cink</v>
      </c>
      <c r="D45">
        <f ca="1">IFERROR(__xludf.DUMMYFUNCTION("""COMPUTED_VALUE"""),18)</f>
        <v>18</v>
      </c>
      <c r="E45">
        <f ca="1">IFERROR(__xludf.DUMMYFUNCTION("""COMPUTED_VALUE"""),8.96)</f>
        <v>8.9600000000000009</v>
      </c>
      <c r="F45">
        <f ca="1">IFERROR(__xludf.DUMMYFUNCTION("""COMPUTED_VALUE"""),67)</f>
        <v>67</v>
      </c>
      <c r="G45">
        <f ca="1">IFERROR(__xludf.DUMMYFUNCTION("""COMPUTED_VALUE"""),6)</f>
        <v>6</v>
      </c>
    </row>
    <row r="46" spans="1:7" ht="12.75">
      <c r="A46" t="str">
        <f ca="1">IFERROR(__xludf.DUMMYFUNCTION("""COMPUTED_VALUE"""),"T43")</f>
        <v>T43</v>
      </c>
      <c r="B46" t="str">
        <f ca="1">IFERROR(__xludf.DUMMYFUNCTION("""COMPUTED_VALUE"""),"T75")</f>
        <v>T75</v>
      </c>
      <c r="C46" t="str">
        <f ca="1">IFERROR(__xludf.DUMMYFUNCTION("""COMPUTED_VALUE"""),"Brice Garnett")</f>
        <v>Brice Garnett</v>
      </c>
      <c r="D46">
        <f ca="1">IFERROR(__xludf.DUMMYFUNCTION("""COMPUTED_VALUE"""),22)</f>
        <v>22</v>
      </c>
      <c r="E46">
        <f ca="1">IFERROR(__xludf.DUMMYFUNCTION("""COMPUTED_VALUE"""),8.96)</f>
        <v>8.9600000000000009</v>
      </c>
      <c r="F46">
        <f ca="1">IFERROR(__xludf.DUMMYFUNCTION("""COMPUTED_VALUE"""),67)</f>
        <v>67</v>
      </c>
      <c r="G46">
        <f ca="1">IFERROR(__xludf.DUMMYFUNCTION("""COMPUTED_VALUE"""),6)</f>
        <v>6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IFERROR(__xludf.DUMMYFUNCTION("""COMPUTED_VALUE"""),"T90")</f>
        <v>T90</v>
      </c>
      <c r="C47" t="str">
        <f ca="1">IFERROR(__xludf.DUMMYFUNCTION("""COMPUTED_VALUE"""),"Kelly Kraft")</f>
        <v>Kelly Kraft</v>
      </c>
      <c r="D47">
        <f ca="1">IFERROR(__xludf.DUMMYFUNCTION("""COMPUTED_VALUE"""),14)</f>
        <v>14</v>
      </c>
      <c r="E47">
        <f ca="1">IFERROR(__xludf.DUMMYFUNCTION("""COMPUTED_VALUE"""),8.82)</f>
        <v>8.82</v>
      </c>
      <c r="F47">
        <f ca="1">IFERROR(__xludf.DUMMYFUNCTION("""COMPUTED_VALUE"""),34)</f>
        <v>34</v>
      </c>
      <c r="G47">
        <f ca="1">IFERROR(__xludf.DUMMYFUNCTION("""COMPUTED_VALUE"""),3)</f>
        <v>3</v>
      </c>
    </row>
    <row r="48" spans="1:7" ht="12.75">
      <c r="A48" t="str">
        <f ca="1">IFERROR(__xludf.DUMMYFUNCTION("""COMPUTED_VALUE"""),"T46")</f>
        <v>T46</v>
      </c>
      <c r="B48" t="str">
        <f ca="1">IFERROR(__xludf.DUMMYFUNCTION("""COMPUTED_VALUE"""),"T54")</f>
        <v>T54</v>
      </c>
      <c r="C48" t="str">
        <f ca="1">IFERROR(__xludf.DUMMYFUNCTION("""COMPUTED_VALUE"""),"Joohyung Kim")</f>
        <v>Joohyung Kim</v>
      </c>
      <c r="D48">
        <f ca="1">IFERROR(__xludf.DUMMYFUNCTION("""COMPUTED_VALUE"""),12)</f>
        <v>12</v>
      </c>
      <c r="E48">
        <f ca="1">IFERROR(__xludf.DUMMYFUNCTION("""COMPUTED_VALUE"""),8.82)</f>
        <v>8.82</v>
      </c>
      <c r="F48">
        <f ca="1">IFERROR(__xludf.DUMMYFUNCTION("""COMPUTED_VALUE"""),34)</f>
        <v>34</v>
      </c>
      <c r="G48">
        <f ca="1">IFERROR(__xludf.DUMMYFUNCTION("""COMPUTED_VALUE"""),3)</f>
        <v>3</v>
      </c>
    </row>
    <row r="49" spans="1:7" ht="12.75">
      <c r="A49" t="str">
        <f ca="1">IFERROR(__xludf.DUMMYFUNCTION("""COMPUTED_VALUE"""),"T48")</f>
        <v>T48</v>
      </c>
      <c r="B49" t="str">
        <f ca="1">IFERROR(__xludf.DUMMYFUNCTION("""COMPUTED_VALUE"""),"T57")</f>
        <v>T57</v>
      </c>
      <c r="C49" t="str">
        <f ca="1">IFERROR(__xludf.DUMMYFUNCTION("""COMPUTED_VALUE"""),"Stephan Jaeger")</f>
        <v>Stephan Jaeger</v>
      </c>
      <c r="D49">
        <f ca="1">IFERROR(__xludf.DUMMYFUNCTION("""COMPUTED_VALUE"""),4)</f>
        <v>4</v>
      </c>
      <c r="E49">
        <f ca="1">IFERROR(__xludf.DUMMYFUNCTION("""COMPUTED_VALUE"""),8.7)</f>
        <v>8.6999999999999993</v>
      </c>
      <c r="F49">
        <f ca="1">IFERROR(__xludf.DUMMYFUNCTION("""COMPUTED_VALUE"""),23)</f>
        <v>23</v>
      </c>
      <c r="G49">
        <f ca="1">IFERROR(__xludf.DUMMYFUNCTION("""COMPUTED_VALUE"""),2)</f>
        <v>2</v>
      </c>
    </row>
    <row r="50" spans="1:7" ht="12.75">
      <c r="A50" t="str">
        <f ca="1">IFERROR(__xludf.DUMMYFUNCTION("""COMPUTED_VALUE"""),"T48")</f>
        <v>T48</v>
      </c>
      <c r="B50" t="str">
        <f ca="1">IFERROR(__xludf.DUMMYFUNCTION("""COMPUTED_VALUE"""),"T36")</f>
        <v>T36</v>
      </c>
      <c r="C50" t="str">
        <f ca="1">IFERROR(__xludf.DUMMYFUNCTION("""COMPUTED_VALUE"""),"Branden Grace")</f>
        <v>Branden Grace</v>
      </c>
      <c r="D50">
        <f ca="1">IFERROR(__xludf.DUMMYFUNCTION("""COMPUTED_VALUE"""),16)</f>
        <v>16</v>
      </c>
      <c r="E50">
        <f ca="1">IFERROR(__xludf.DUMMYFUNCTION("""COMPUTED_VALUE"""),8.7)</f>
        <v>8.6999999999999993</v>
      </c>
      <c r="F50">
        <f ca="1">IFERROR(__xludf.DUMMYFUNCTION("""COMPUTED_VALUE"""),46)</f>
        <v>46</v>
      </c>
      <c r="G50">
        <f ca="1">IFERROR(__xludf.DUMMYFUNCTION("""COMPUTED_VALUE"""),4)</f>
        <v>4</v>
      </c>
    </row>
    <row r="51" spans="1:7" ht="12.75">
      <c r="A51" t="str">
        <f ca="1">IFERROR(__xludf.DUMMYFUNCTION("""COMPUTED_VALUE"""),"T48")</f>
        <v>T48</v>
      </c>
      <c r="B51" t="str">
        <f ca="1">IFERROR(__xludf.DUMMYFUNCTION("""COMPUTED_VALUE"""),"T57")</f>
        <v>T57</v>
      </c>
      <c r="C51" t="str">
        <f ca="1">IFERROR(__xludf.DUMMYFUNCTION("""COMPUTED_VALUE"""),"Bill Haas")</f>
        <v>Bill Haas</v>
      </c>
      <c r="D51">
        <f ca="1">IFERROR(__xludf.DUMMYFUNCTION("""COMPUTED_VALUE"""),10)</f>
        <v>10</v>
      </c>
      <c r="E51">
        <f ca="1">IFERROR(__xludf.DUMMYFUNCTION("""COMPUTED_VALUE"""),8.7)</f>
        <v>8.6999999999999993</v>
      </c>
      <c r="F51">
        <f ca="1">IFERROR(__xludf.DUMMYFUNCTION("""COMPUTED_VALUE"""),23)</f>
        <v>23</v>
      </c>
      <c r="G51">
        <f ca="1">IFERROR(__xludf.DUMMYFUNCTION("""COMPUTED_VALUE"""),2)</f>
        <v>2</v>
      </c>
    </row>
    <row r="52" spans="1:7" ht="12.75">
      <c r="A52" t="str">
        <f ca="1">IFERROR(__xludf.DUMMYFUNCTION("""COMPUTED_VALUE"""),"T51")</f>
        <v>T51</v>
      </c>
      <c r="B52" t="str">
        <f ca="1">IFERROR(__xludf.DUMMYFUNCTION("""COMPUTED_VALUE"""),"T213")</f>
        <v>T213</v>
      </c>
      <c r="C52" t="str">
        <f ca="1">IFERROR(__xludf.DUMMYFUNCTION("""COMPUTED_VALUE"""),"Dustin Johnson")</f>
        <v>Dustin Johnson</v>
      </c>
      <c r="D52">
        <f ca="1">IFERROR(__xludf.DUMMYFUNCTION("""COMPUTED_VALUE"""),8)</f>
        <v>8</v>
      </c>
      <c r="E52">
        <f ca="1">IFERROR(__xludf.DUMMYFUNCTION("""COMPUTED_VALUE"""),8.57)</f>
        <v>8.57</v>
      </c>
      <c r="F52">
        <f ca="1">IFERROR(__xludf.DUMMYFUNCTION("""COMPUTED_VALUE"""),35)</f>
        <v>35</v>
      </c>
      <c r="G52">
        <f ca="1">IFERROR(__xludf.DUMMYFUNCTION("""COMPUTED_VALUE"""),3)</f>
        <v>3</v>
      </c>
    </row>
    <row r="53" spans="1:7" ht="12.75">
      <c r="A53" t="str">
        <f ca="1">IFERROR(__xludf.DUMMYFUNCTION("""COMPUTED_VALUE"""),"T51")</f>
        <v>T51</v>
      </c>
      <c r="B53" t="str">
        <f ca="1">IFERROR(__xludf.DUMMYFUNCTION("""COMPUTED_VALUE"""),"T62")</f>
        <v>T62</v>
      </c>
      <c r="C53" t="str">
        <f ca="1">IFERROR(__xludf.DUMMYFUNCTION("""COMPUTED_VALUE"""),"Anirban Lahiri")</f>
        <v>Anirban Lahiri</v>
      </c>
      <c r="D53">
        <f ca="1">IFERROR(__xludf.DUMMYFUNCTION("""COMPUTED_VALUE"""),16)</f>
        <v>16</v>
      </c>
      <c r="E53">
        <f ca="1">IFERROR(__xludf.DUMMYFUNCTION("""COMPUTED_VALUE"""),8.57)</f>
        <v>8.57</v>
      </c>
      <c r="F53">
        <f ca="1">IFERROR(__xludf.DUMMYFUNCTION("""COMPUTED_VALUE"""),35)</f>
        <v>35</v>
      </c>
      <c r="G53">
        <f ca="1">IFERROR(__xludf.DUMMYFUNCTION("""COMPUTED_VALUE"""),3)</f>
        <v>3</v>
      </c>
    </row>
    <row r="54" spans="1:7" ht="12.75">
      <c r="A54" t="str">
        <f ca="1">IFERROR(__xludf.DUMMYFUNCTION("""COMPUTED_VALUE"""),"T51")</f>
        <v>T51</v>
      </c>
      <c r="B54" t="str">
        <f ca="1">IFERROR(__xludf.DUMMYFUNCTION("""COMPUTED_VALUE"""),"T62")</f>
        <v>T62</v>
      </c>
      <c r="C54" t="str">
        <f ca="1">IFERROR(__xludf.DUMMYFUNCTION("""COMPUTED_VALUE"""),"Vincent Whaley")</f>
        <v>Vincent Whaley</v>
      </c>
      <c r="D54">
        <f ca="1">IFERROR(__xludf.DUMMYFUNCTION("""COMPUTED_VALUE"""),14)</f>
        <v>14</v>
      </c>
      <c r="E54">
        <f ca="1">IFERROR(__xludf.DUMMYFUNCTION("""COMPUTED_VALUE"""),8.57)</f>
        <v>8.57</v>
      </c>
      <c r="F54">
        <f ca="1">IFERROR(__xludf.DUMMYFUNCTION("""COMPUTED_VALUE"""),35)</f>
        <v>35</v>
      </c>
      <c r="G54">
        <f ca="1">IFERROR(__xludf.DUMMYFUNCTION("""COMPUTED_VALUE"""),3)</f>
        <v>3</v>
      </c>
    </row>
    <row r="55" spans="1:7" ht="12.75">
      <c r="A55">
        <f ca="1">IFERROR(__xludf.DUMMYFUNCTION("""COMPUTED_VALUE"""),54)</f>
        <v>54</v>
      </c>
      <c r="B55" t="str">
        <f ca="1">IFERROR(__xludf.DUMMYFUNCTION("""COMPUTED_VALUE"""),"T81")</f>
        <v>T81</v>
      </c>
      <c r="C55" t="str">
        <f ca="1">IFERROR(__xludf.DUMMYFUNCTION("""COMPUTED_VALUE"""),"Kevin Chappell")</f>
        <v>Kevin Chappell</v>
      </c>
      <c r="D55">
        <f ca="1">IFERROR(__xludf.DUMMYFUNCTION("""COMPUTED_VALUE"""),16)</f>
        <v>16</v>
      </c>
      <c r="E55">
        <f ca="1">IFERROR(__xludf.DUMMYFUNCTION("""COMPUTED_VALUE"""),8.47)</f>
        <v>8.4700000000000006</v>
      </c>
      <c r="F55">
        <f ca="1">IFERROR(__xludf.DUMMYFUNCTION("""COMPUTED_VALUE"""),59)</f>
        <v>59</v>
      </c>
      <c r="G55">
        <f ca="1">IFERROR(__xludf.DUMMYFUNCTION("""COMPUTED_VALUE"""),5)</f>
        <v>5</v>
      </c>
    </row>
    <row r="56" spans="1:7" ht="12.75">
      <c r="A56" t="str">
        <f ca="1">IFERROR(__xludf.DUMMYFUNCTION("""COMPUTED_VALUE"""),"T55")</f>
        <v>T55</v>
      </c>
      <c r="B56" t="str">
        <f ca="1">IFERROR(__xludf.DUMMYFUNCTION("""COMPUTED_VALUE"""),"T36")</f>
        <v>T36</v>
      </c>
      <c r="C56" t="str">
        <f ca="1">IFERROR(__xludf.DUMMYFUNCTION("""COMPUTED_VALUE"""),"Danny Willett")</f>
        <v>Danny Willett</v>
      </c>
      <c r="D56">
        <f ca="1">IFERROR(__xludf.DUMMYFUNCTION("""COMPUTED_VALUE"""),7)</f>
        <v>7</v>
      </c>
      <c r="E56">
        <f ca="1">IFERROR(__xludf.DUMMYFUNCTION("""COMPUTED_VALUE"""),8.33)</f>
        <v>8.33</v>
      </c>
      <c r="F56">
        <f ca="1">IFERROR(__xludf.DUMMYFUNCTION("""COMPUTED_VALUE"""),12)</f>
        <v>12</v>
      </c>
      <c r="G56">
        <f ca="1">IFERROR(__xludf.DUMMYFUNCTION("""COMPUTED_VALUE"""),1)</f>
        <v>1</v>
      </c>
    </row>
    <row r="57" spans="1:7" ht="12.75">
      <c r="A57" t="str">
        <f ca="1">IFERROR(__xludf.DUMMYFUNCTION("""COMPUTED_VALUE"""),"T55")</f>
        <v>T55</v>
      </c>
      <c r="B57" t="str">
        <f ca="1">IFERROR(__xludf.DUMMYFUNCTION("""COMPUTED_VALUE"""),"T65")</f>
        <v>T65</v>
      </c>
      <c r="C57" t="str">
        <f ca="1">IFERROR(__xludf.DUMMYFUNCTION("""COMPUTED_VALUE"""),"Seamus Power")</f>
        <v>Seamus Power</v>
      </c>
      <c r="D57">
        <f ca="1">IFERROR(__xludf.DUMMYFUNCTION("""COMPUTED_VALUE"""),8)</f>
        <v>8</v>
      </c>
      <c r="E57">
        <f ca="1">IFERROR(__xludf.DUMMYFUNCTION("""COMPUTED_VALUE"""),8.33)</f>
        <v>8.33</v>
      </c>
      <c r="F57">
        <f ca="1">IFERROR(__xludf.DUMMYFUNCTION("""COMPUTED_VALUE"""),12)</f>
        <v>12</v>
      </c>
      <c r="G57">
        <f ca="1">IFERROR(__xludf.DUMMYFUNCTION("""COMPUTED_VALUE"""),1)</f>
        <v>1</v>
      </c>
    </row>
    <row r="58" spans="1:7" ht="12.75">
      <c r="A58" t="str">
        <f ca="1">IFERROR(__xludf.DUMMYFUNCTION("""COMPUTED_VALUE"""),"T55")</f>
        <v>T55</v>
      </c>
      <c r="B58" t="str">
        <f ca="1">IFERROR(__xludf.DUMMYFUNCTION("""COMPUTED_VALUE"""),"T65")</f>
        <v>T65</v>
      </c>
      <c r="C58" t="str">
        <f ca="1">IFERROR(__xludf.DUMMYFUNCTION("""COMPUTED_VALUE"""),"Parker McLachlin")</f>
        <v>Parker McLachlin</v>
      </c>
      <c r="D58">
        <f ca="1">IFERROR(__xludf.DUMMYFUNCTION("""COMPUTED_VALUE"""),4)</f>
        <v>4</v>
      </c>
      <c r="E58">
        <f ca="1">IFERROR(__xludf.DUMMYFUNCTION("""COMPUTED_VALUE"""),8.33)</f>
        <v>8.33</v>
      </c>
      <c r="F58">
        <f ca="1">IFERROR(__xludf.DUMMYFUNCTION("""COMPUTED_VALUE"""),12)</f>
        <v>12</v>
      </c>
      <c r="G58">
        <f ca="1">IFERROR(__xludf.DUMMYFUNCTION("""COMPUTED_VALUE"""),1)</f>
        <v>1</v>
      </c>
    </row>
    <row r="59" spans="1:7" ht="12.75">
      <c r="A59" t="str">
        <f ca="1">IFERROR(__xludf.DUMMYFUNCTION("""COMPUTED_VALUE"""),"T55")</f>
        <v>T55</v>
      </c>
      <c r="B59" t="str">
        <f ca="1">IFERROR(__xludf.DUMMYFUNCTION("""COMPUTED_VALUE"""),"")</f>
        <v/>
      </c>
      <c r="C59" t="str">
        <f ca="1">IFERROR(__xludf.DUMMYFUNCTION("""COMPUTED_VALUE"""),"Greg Chalmers")</f>
        <v>Greg Chalmers</v>
      </c>
      <c r="D59">
        <f ca="1">IFERROR(__xludf.DUMMYFUNCTION("""COMPUTED_VALUE"""),6)</f>
        <v>6</v>
      </c>
      <c r="E59">
        <f ca="1">IFERROR(__xludf.DUMMYFUNCTION("""COMPUTED_VALUE"""),8.33)</f>
        <v>8.33</v>
      </c>
      <c r="F59">
        <f ca="1">IFERROR(__xludf.DUMMYFUNCTION("""COMPUTED_VALUE"""),24)</f>
        <v>24</v>
      </c>
      <c r="G59">
        <f ca="1">IFERROR(__xludf.DUMMYFUNCTION("""COMPUTED_VALUE"""),2)</f>
        <v>2</v>
      </c>
    </row>
    <row r="60" spans="1:7" ht="12.75">
      <c r="A60" t="str">
        <f ca="1">IFERROR(__xludf.DUMMYFUNCTION("""COMPUTED_VALUE"""),"T55")</f>
        <v>T55</v>
      </c>
      <c r="B60" t="str">
        <f ca="1">IFERROR(__xludf.DUMMYFUNCTION("""COMPUTED_VALUE"""),"T15")</f>
        <v>T15</v>
      </c>
      <c r="C60" t="str">
        <f ca="1">IFERROR(__xludf.DUMMYFUNCTION("""COMPUTED_VALUE"""),"Austin Cook")</f>
        <v>Austin Cook</v>
      </c>
      <c r="D60">
        <f ca="1">IFERROR(__xludf.DUMMYFUNCTION("""COMPUTED_VALUE"""),14)</f>
        <v>14</v>
      </c>
      <c r="E60">
        <f ca="1">IFERROR(__xludf.DUMMYFUNCTION("""COMPUTED_VALUE"""),8.33)</f>
        <v>8.33</v>
      </c>
      <c r="F60">
        <f ca="1">IFERROR(__xludf.DUMMYFUNCTION("""COMPUTED_VALUE"""),60)</f>
        <v>60</v>
      </c>
      <c r="G60">
        <f ca="1">IFERROR(__xludf.DUMMYFUNCTION("""COMPUTED_VALUE"""),5)</f>
        <v>5</v>
      </c>
    </row>
    <row r="61" spans="1:7" ht="12.75">
      <c r="A61" t="str">
        <f ca="1">IFERROR(__xludf.DUMMYFUNCTION("""COMPUTED_VALUE"""),"T55")</f>
        <v>T55</v>
      </c>
      <c r="B61" t="str">
        <f ca="1">IFERROR(__xludf.DUMMYFUNCTION("""COMPUTED_VALUE"""),"T65")</f>
        <v>T65</v>
      </c>
      <c r="C61" t="str">
        <f ca="1">IFERROR(__xludf.DUMMYFUNCTION("""COMPUTED_VALUE"""),"Jaekyeong Lee")</f>
        <v>Jaekyeong Lee</v>
      </c>
      <c r="D61">
        <f ca="1">IFERROR(__xludf.DUMMYFUNCTION("""COMPUTED_VALUE"""),4)</f>
        <v>4</v>
      </c>
      <c r="E61">
        <f ca="1">IFERROR(__xludf.DUMMYFUNCTION("""COMPUTED_VALUE"""),8.33)</f>
        <v>8.33</v>
      </c>
      <c r="F61">
        <f ca="1">IFERROR(__xludf.DUMMYFUNCTION("""COMPUTED_VALUE"""),12)</f>
        <v>12</v>
      </c>
      <c r="G61">
        <f ca="1">IFERROR(__xludf.DUMMYFUNCTION("""COMPUTED_VALUE"""),1)</f>
        <v>1</v>
      </c>
    </row>
    <row r="62" spans="1:7" ht="12.75">
      <c r="A62" t="str">
        <f ca="1">IFERROR(__xludf.DUMMYFUNCTION("""COMPUTED_VALUE"""),"T55")</f>
        <v>T55</v>
      </c>
      <c r="B62" t="str">
        <f ca="1">IFERROR(__xludf.DUMMYFUNCTION("""COMPUTED_VALUE"""),"T65")</f>
        <v>T65</v>
      </c>
      <c r="C62" t="str">
        <f ca="1">IFERROR(__xludf.DUMMYFUNCTION("""COMPUTED_VALUE"""),"Jazz Janewattananond")</f>
        <v>Jazz Janewattananond</v>
      </c>
      <c r="D62">
        <f ca="1">IFERROR(__xludf.DUMMYFUNCTION("""COMPUTED_VALUE"""),6)</f>
        <v>6</v>
      </c>
      <c r="E62">
        <f ca="1">IFERROR(__xludf.DUMMYFUNCTION("""COMPUTED_VALUE"""),8.33)</f>
        <v>8.33</v>
      </c>
      <c r="F62">
        <f ca="1">IFERROR(__xludf.DUMMYFUNCTION("""COMPUTED_VALUE"""),36)</f>
        <v>36</v>
      </c>
      <c r="G62">
        <f ca="1">IFERROR(__xludf.DUMMYFUNCTION("""COMPUTED_VALUE"""),3)</f>
        <v>3</v>
      </c>
    </row>
    <row r="63" spans="1:7" ht="12.75">
      <c r="A63" t="str">
        <f ca="1">IFERROR(__xludf.DUMMYFUNCTION("""COMPUTED_VALUE"""),"T55")</f>
        <v>T55</v>
      </c>
      <c r="B63" t="str">
        <f ca="1">IFERROR(__xludf.DUMMYFUNCTION("""COMPUTED_VALUE"""),"T22")</f>
        <v>T22</v>
      </c>
      <c r="C63" t="str">
        <f ca="1">IFERROR(__xludf.DUMMYFUNCTION("""COMPUTED_VALUE"""),"Brooks Koepka")</f>
        <v>Brooks Koepka</v>
      </c>
      <c r="D63">
        <f ca="1">IFERROR(__xludf.DUMMYFUNCTION("""COMPUTED_VALUE"""),8)</f>
        <v>8</v>
      </c>
      <c r="E63">
        <f ca="1">IFERROR(__xludf.DUMMYFUNCTION("""COMPUTED_VALUE"""),8.33)</f>
        <v>8.33</v>
      </c>
      <c r="F63">
        <f ca="1">IFERROR(__xludf.DUMMYFUNCTION("""COMPUTED_VALUE"""),36)</f>
        <v>36</v>
      </c>
      <c r="G63">
        <f ca="1">IFERROR(__xludf.DUMMYFUNCTION("""COMPUTED_VALUE"""),3)</f>
        <v>3</v>
      </c>
    </row>
    <row r="64" spans="1:7" ht="12.75">
      <c r="A64" t="str">
        <f ca="1">IFERROR(__xludf.DUMMYFUNCTION("""COMPUTED_VALUE"""),"T55")</f>
        <v>T55</v>
      </c>
      <c r="B64" t="str">
        <f ca="1">IFERROR(__xludf.DUMMYFUNCTION("""COMPUTED_VALUE"""),"T65")</f>
        <v>T65</v>
      </c>
      <c r="C64" t="str">
        <f ca="1">IFERROR(__xludf.DUMMYFUNCTION("""COMPUTED_VALUE"""),"Zac Blair")</f>
        <v>Zac Blair</v>
      </c>
      <c r="D64">
        <f ca="1">IFERROR(__xludf.DUMMYFUNCTION("""COMPUTED_VALUE"""),10)</f>
        <v>10</v>
      </c>
      <c r="E64">
        <f ca="1">IFERROR(__xludf.DUMMYFUNCTION("""COMPUTED_VALUE"""),8.33)</f>
        <v>8.33</v>
      </c>
      <c r="F64">
        <f ca="1">IFERROR(__xludf.DUMMYFUNCTION("""COMPUTED_VALUE"""),24)</f>
        <v>24</v>
      </c>
      <c r="G64">
        <f ca="1">IFERROR(__xludf.DUMMYFUNCTION("""COMPUTED_VALUE"""),2)</f>
        <v>2</v>
      </c>
    </row>
    <row r="65" spans="1:7" ht="12.75">
      <c r="A65" t="str">
        <f ca="1">IFERROR(__xludf.DUMMYFUNCTION("""COMPUTED_VALUE"""),"T55")</f>
        <v>T55</v>
      </c>
      <c r="B65" t="str">
        <f ca="1">IFERROR(__xludf.DUMMYFUNCTION("""COMPUTED_VALUE"""),"T65")</f>
        <v>T65</v>
      </c>
      <c r="C65" t="str">
        <f ca="1">IFERROR(__xludf.DUMMYFUNCTION("""COMPUTED_VALUE"""),"Harry Higgs")</f>
        <v>Harry Higgs</v>
      </c>
      <c r="D65">
        <f ca="1">IFERROR(__xludf.DUMMYFUNCTION("""COMPUTED_VALUE"""),14)</f>
        <v>14</v>
      </c>
      <c r="E65">
        <f ca="1">IFERROR(__xludf.DUMMYFUNCTION("""COMPUTED_VALUE"""),8.33)</f>
        <v>8.33</v>
      </c>
      <c r="F65">
        <f ca="1">IFERROR(__xludf.DUMMYFUNCTION("""COMPUTED_VALUE"""),48)</f>
        <v>48</v>
      </c>
      <c r="G65">
        <f ca="1">IFERROR(__xludf.DUMMYFUNCTION("""COMPUTED_VALUE"""),4)</f>
        <v>4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IFERROR(__xludf.DUMMYFUNCTION("""COMPUTED_VALUE"""),"T73")</f>
        <v>T73</v>
      </c>
      <c r="C66" t="str">
        <f ca="1">IFERROR(__xludf.DUMMYFUNCTION("""COMPUTED_VALUE"""),"Richy Werenski")</f>
        <v>Richy Werenski</v>
      </c>
      <c r="D66">
        <f ca="1">IFERROR(__xludf.DUMMYFUNCTION("""COMPUTED_VALUE"""),16)</f>
        <v>16</v>
      </c>
      <c r="E66">
        <f ca="1">IFERROR(__xludf.DUMMYFUNCTION("""COMPUTED_VALUE"""),8.2)</f>
        <v>8.1999999999999993</v>
      </c>
      <c r="F66">
        <f ca="1">IFERROR(__xludf.DUMMYFUNCTION("""COMPUTED_VALUE"""),61)</f>
        <v>61</v>
      </c>
      <c r="G66">
        <f ca="1">IFERROR(__xludf.DUMMYFUNCTION("""COMPUTED_VALUE"""),5)</f>
        <v>5</v>
      </c>
    </row>
    <row r="67" spans="1:7" ht="12.75">
      <c r="A67" t="str">
        <f ca="1">IFERROR(__xludf.DUMMYFUNCTION("""COMPUTED_VALUE"""),"T66")</f>
        <v>T66</v>
      </c>
      <c r="B67" t="str">
        <f ca="1">IFERROR(__xludf.DUMMYFUNCTION("""COMPUTED_VALUE"""),"T75")</f>
        <v>T75</v>
      </c>
      <c r="C67" t="str">
        <f ca="1">IFERROR(__xludf.DUMMYFUNCTION("""COMPUTED_VALUE"""),"Will Zalatoris")</f>
        <v>Will Zalatoris</v>
      </c>
      <c r="D67">
        <f ca="1">IFERROR(__xludf.DUMMYFUNCTION("""COMPUTED_VALUE"""),18)</f>
        <v>18</v>
      </c>
      <c r="E67">
        <f ca="1">IFERROR(__xludf.DUMMYFUNCTION("""COMPUTED_VALUE"""),8.16)</f>
        <v>8.16</v>
      </c>
      <c r="F67">
        <f ca="1">IFERROR(__xludf.DUMMYFUNCTION("""COMPUTED_VALUE"""),49)</f>
        <v>49</v>
      </c>
      <c r="G67">
        <f ca="1">IFERROR(__xludf.DUMMYFUNCTION("""COMPUTED_VALUE"""),4)</f>
        <v>4</v>
      </c>
    </row>
    <row r="68" spans="1:7" ht="12.75">
      <c r="A68" t="str">
        <f ca="1">IFERROR(__xludf.DUMMYFUNCTION("""COMPUTED_VALUE"""),"T66")</f>
        <v>T66</v>
      </c>
      <c r="B68" t="str">
        <f ca="1">IFERROR(__xludf.DUMMYFUNCTION("""COMPUTED_VALUE"""),"T44")</f>
        <v>T44</v>
      </c>
      <c r="C68" t="str">
        <f ca="1">IFERROR(__xludf.DUMMYFUNCTION("""COMPUTED_VALUE"""),"Kyoung-Hoon Lee")</f>
        <v>Kyoung-Hoon Lee</v>
      </c>
      <c r="D68">
        <f ca="1">IFERROR(__xludf.DUMMYFUNCTION("""COMPUTED_VALUE"""),20)</f>
        <v>20</v>
      </c>
      <c r="E68">
        <f ca="1">IFERROR(__xludf.DUMMYFUNCTION("""COMPUTED_VALUE"""),8.16)</f>
        <v>8.16</v>
      </c>
      <c r="F68">
        <f ca="1">IFERROR(__xludf.DUMMYFUNCTION("""COMPUTED_VALUE"""),49)</f>
        <v>49</v>
      </c>
      <c r="G68">
        <f ca="1">IFERROR(__xludf.DUMMYFUNCTION("""COMPUTED_VALUE"""),4)</f>
        <v>4</v>
      </c>
    </row>
    <row r="69" spans="1:7" ht="12.75">
      <c r="A69">
        <f ca="1">IFERROR(__xludf.DUMMYFUNCTION("""COMPUTED_VALUE"""),68)</f>
        <v>68</v>
      </c>
      <c r="B69" t="str">
        <f ca="1">IFERROR(__xludf.DUMMYFUNCTION("""COMPUTED_VALUE"""),"T77")</f>
        <v>T77</v>
      </c>
      <c r="C69" t="str">
        <f ca="1">IFERROR(__xludf.DUMMYFUNCTION("""COMPUTED_VALUE"""),"Cameron Smith")</f>
        <v>Cameron Smith</v>
      </c>
      <c r="D69">
        <f ca="1">IFERROR(__xludf.DUMMYFUNCTION("""COMPUTED_VALUE"""),16)</f>
        <v>16</v>
      </c>
      <c r="E69">
        <f ca="1">IFERROR(__xludf.DUMMYFUNCTION("""COMPUTED_VALUE"""),8.11)</f>
        <v>8.11</v>
      </c>
      <c r="F69">
        <f ca="1">IFERROR(__xludf.DUMMYFUNCTION("""COMPUTED_VALUE"""),74)</f>
        <v>74</v>
      </c>
      <c r="G69">
        <f ca="1">IFERROR(__xludf.DUMMYFUNCTION("""COMPUTED_VALUE"""),6)</f>
        <v>6</v>
      </c>
    </row>
    <row r="70" spans="1:7" ht="12.75">
      <c r="A70" t="str">
        <f ca="1">IFERROR(__xludf.DUMMYFUNCTION("""COMPUTED_VALUE"""),"T69")</f>
        <v>T69</v>
      </c>
      <c r="B70">
        <f ca="1">IFERROR(__xludf.DUMMYFUNCTION("""COMPUTED_VALUE"""),80)</f>
        <v>80</v>
      </c>
      <c r="C70" t="str">
        <f ca="1">IFERROR(__xludf.DUMMYFUNCTION("""COMPUTED_VALUE"""),"Bernd Wiesberger")</f>
        <v>Bernd Wiesberger</v>
      </c>
      <c r="D70">
        <f ca="1">IFERROR(__xludf.DUMMYFUNCTION("""COMPUTED_VALUE"""),4)</f>
        <v>4</v>
      </c>
      <c r="E70">
        <f ca="1">IFERROR(__xludf.DUMMYFUNCTION("""COMPUTED_VALUE"""),8)</f>
        <v>8</v>
      </c>
      <c r="F70">
        <f ca="1">IFERROR(__xludf.DUMMYFUNCTION("""COMPUTED_VALUE"""),25)</f>
        <v>25</v>
      </c>
      <c r="G70">
        <f ca="1">IFERROR(__xludf.DUMMYFUNCTION("""COMPUTED_VALUE"""),2)</f>
        <v>2</v>
      </c>
    </row>
    <row r="71" spans="1:7" ht="12.75">
      <c r="A71" t="str">
        <f ca="1">IFERROR(__xludf.DUMMYFUNCTION("""COMPUTED_VALUE"""),"T69")</f>
        <v>T69</v>
      </c>
      <c r="B71" t="str">
        <f ca="1">IFERROR(__xludf.DUMMYFUNCTION("""COMPUTED_VALUE"""),"T28")</f>
        <v>T28</v>
      </c>
      <c r="C71" t="str">
        <f ca="1">IFERROR(__xludf.DUMMYFUNCTION("""COMPUTED_VALUE"""),"Bo Van Pelt")</f>
        <v>Bo Van Pelt</v>
      </c>
      <c r="D71">
        <f ca="1">IFERROR(__xludf.DUMMYFUNCTION("""COMPUTED_VALUE"""),10)</f>
        <v>10</v>
      </c>
      <c r="E71">
        <f ca="1">IFERROR(__xludf.DUMMYFUNCTION("""COMPUTED_VALUE"""),8)</f>
        <v>8</v>
      </c>
      <c r="F71">
        <f ca="1">IFERROR(__xludf.DUMMYFUNCTION("""COMPUTED_VALUE"""),25)</f>
        <v>25</v>
      </c>
      <c r="G71">
        <f ca="1">IFERROR(__xludf.DUMMYFUNCTION("""COMPUTED_VALUE"""),2)</f>
        <v>2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IFERROR(__xludf.DUMMYFUNCTION("""COMPUTED_VALUE"""),43)</f>
        <v>43</v>
      </c>
      <c r="C72" t="str">
        <f ca="1">IFERROR(__xludf.DUMMYFUNCTION("""COMPUTED_VALUE"""),"Mackenzie Hughes")</f>
        <v>Mackenzie Hughes</v>
      </c>
      <c r="D72">
        <f ca="1">IFERROR(__xludf.DUMMYFUNCTION("""COMPUTED_VALUE"""),18)</f>
        <v>18</v>
      </c>
      <c r="E72">
        <f ca="1">IFERROR(__xludf.DUMMYFUNCTION("""COMPUTED_VALUE"""),7.94)</f>
        <v>7.94</v>
      </c>
      <c r="F72">
        <f ca="1">IFERROR(__xludf.DUMMYFUNCTION("""COMPUTED_VALUE"""),63)</f>
        <v>63</v>
      </c>
      <c r="G72">
        <f ca="1">IFERROR(__xludf.DUMMYFUNCTION("""COMPUTED_VALUE"""),5)</f>
        <v>5</v>
      </c>
    </row>
    <row r="73" spans="1:7" ht="12.75">
      <c r="A73" t="str">
        <f ca="1">IFERROR(__xludf.DUMMYFUNCTION("""COMPUTED_VALUE"""),"T72")</f>
        <v>T72</v>
      </c>
      <c r="B73" t="str">
        <f ca="1">IFERROR(__xludf.DUMMYFUNCTION("""COMPUTED_VALUE"""),"T36")</f>
        <v>T36</v>
      </c>
      <c r="C73" t="str">
        <f ca="1">IFERROR(__xludf.DUMMYFUNCTION("""COMPUTED_VALUE"""),"Maverick McNealy")</f>
        <v>Maverick McNealy</v>
      </c>
      <c r="D73">
        <f ca="1">IFERROR(__xludf.DUMMYFUNCTION("""COMPUTED_VALUE"""),16)</f>
        <v>16</v>
      </c>
      <c r="E73">
        <f ca="1">IFERROR(__xludf.DUMMYFUNCTION("""COMPUTED_VALUE"""),7.84)</f>
        <v>7.84</v>
      </c>
      <c r="F73">
        <f ca="1">IFERROR(__xludf.DUMMYFUNCTION("""COMPUTED_VALUE"""),51)</f>
        <v>51</v>
      </c>
      <c r="G73">
        <f ca="1">IFERROR(__xludf.DUMMYFUNCTION("""COMPUTED_VALUE"""),4)</f>
        <v>4</v>
      </c>
    </row>
    <row r="74" spans="1:7" ht="12.75">
      <c r="A74" t="str">
        <f ca="1">IFERROR(__xludf.DUMMYFUNCTION("""COMPUTED_VALUE"""),"T72")</f>
        <v>T72</v>
      </c>
      <c r="B74" t="str">
        <f ca="1">IFERROR(__xludf.DUMMYFUNCTION("""COMPUTED_VALUE"""),"T18")</f>
        <v>T18</v>
      </c>
      <c r="C74" t="str">
        <f ca="1">IFERROR(__xludf.DUMMYFUNCTION("""COMPUTED_VALUE"""),"Satoshi Kodaira")</f>
        <v>Satoshi Kodaira</v>
      </c>
      <c r="D74">
        <f ca="1">IFERROR(__xludf.DUMMYFUNCTION("""COMPUTED_VALUE"""),12)</f>
        <v>12</v>
      </c>
      <c r="E74">
        <f ca="1">IFERROR(__xludf.DUMMYFUNCTION("""COMPUTED_VALUE"""),7.84)</f>
        <v>7.84</v>
      </c>
      <c r="F74">
        <f ca="1">IFERROR(__xludf.DUMMYFUNCTION("""COMPUTED_VALUE"""),51)</f>
        <v>51</v>
      </c>
      <c r="G74">
        <f ca="1">IFERROR(__xludf.DUMMYFUNCTION("""COMPUTED_VALUE"""),4)</f>
        <v>4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IFERROR(__xludf.DUMMYFUNCTION("""COMPUTED_VALUE"""),"T57")</f>
        <v>T57</v>
      </c>
      <c r="C75" t="str">
        <f ca="1">IFERROR(__xludf.DUMMYFUNCTION("""COMPUTED_VALUE"""),"Brandt Snedeker")</f>
        <v>Brandt Snedeker</v>
      </c>
      <c r="D75">
        <f ca="1">IFERROR(__xludf.DUMMYFUNCTION("""COMPUTED_VALUE"""),16)</f>
        <v>16</v>
      </c>
      <c r="E75">
        <f ca="1">IFERROR(__xludf.DUMMYFUNCTION("""COMPUTED_VALUE"""),7.81)</f>
        <v>7.81</v>
      </c>
      <c r="F75">
        <f ca="1">IFERROR(__xludf.DUMMYFUNCTION("""COMPUTED_VALUE"""),64)</f>
        <v>64</v>
      </c>
      <c r="G75">
        <f ca="1">IFERROR(__xludf.DUMMYFUNCTION("""COMPUTED_VALUE"""),5)</f>
        <v>5</v>
      </c>
    </row>
    <row r="76" spans="1:7" ht="12.75">
      <c r="A76" t="str">
        <f ca="1">IFERROR(__xludf.DUMMYFUNCTION("""COMPUTED_VALUE"""),"T75")</f>
        <v>T75</v>
      </c>
      <c r="B76" t="str">
        <f ca="1">IFERROR(__xludf.DUMMYFUNCTION("""COMPUTED_VALUE"""),"")</f>
        <v/>
      </c>
      <c r="C76" t="str">
        <f ca="1">IFERROR(__xludf.DUMMYFUNCTION("""COMPUTED_VALUE"""),"Ollie Schniederjans")</f>
        <v>Ollie Schniederjans</v>
      </c>
      <c r="D76">
        <f ca="1">IFERROR(__xludf.DUMMYFUNCTION("""COMPUTED_VALUE"""),6)</f>
        <v>6</v>
      </c>
      <c r="E76">
        <f ca="1">IFERROR(__xludf.DUMMYFUNCTION("""COMPUTED_VALUE"""),7.69)</f>
        <v>7.69</v>
      </c>
      <c r="F76">
        <f ca="1">IFERROR(__xludf.DUMMYFUNCTION("""COMPUTED_VALUE"""),13)</f>
        <v>13</v>
      </c>
      <c r="G76">
        <f ca="1">IFERROR(__xludf.DUMMYFUNCTION("""COMPUTED_VALUE"""),1)</f>
        <v>1</v>
      </c>
    </row>
    <row r="77" spans="1:7" ht="12.75">
      <c r="A77" t="str">
        <f ca="1">IFERROR(__xludf.DUMMYFUNCTION("""COMPUTED_VALUE"""),"T75")</f>
        <v>T75</v>
      </c>
      <c r="B77" t="str">
        <f ca="1">IFERROR(__xludf.DUMMYFUNCTION("""COMPUTED_VALUE"""),"T81")</f>
        <v>T81</v>
      </c>
      <c r="C77" t="str">
        <f ca="1">IFERROR(__xludf.DUMMYFUNCTION("""COMPUTED_VALUE"""),"Matt Wallace")</f>
        <v>Matt Wallace</v>
      </c>
      <c r="D77">
        <f ca="1">IFERROR(__xludf.DUMMYFUNCTION("""COMPUTED_VALUE"""),4)</f>
        <v>4</v>
      </c>
      <c r="E77">
        <f ca="1">IFERROR(__xludf.DUMMYFUNCTION("""COMPUTED_VALUE"""),7.69)</f>
        <v>7.69</v>
      </c>
      <c r="F77">
        <f ca="1">IFERROR(__xludf.DUMMYFUNCTION("""COMPUTED_VALUE"""),26)</f>
        <v>26</v>
      </c>
      <c r="G77">
        <f ca="1">IFERROR(__xludf.DUMMYFUNCTION("""COMPUTED_VALUE"""),2)</f>
        <v>2</v>
      </c>
    </row>
    <row r="78" spans="1:7" ht="12.75">
      <c r="A78" t="str">
        <f ca="1">IFERROR(__xludf.DUMMYFUNCTION("""COMPUTED_VALUE"""),"T75")</f>
        <v>T75</v>
      </c>
      <c r="B78" t="str">
        <f ca="1">IFERROR(__xludf.DUMMYFUNCTION("""COMPUTED_VALUE"""),"T77")</f>
        <v>T77</v>
      </c>
      <c r="C78" t="str">
        <f ca="1">IFERROR(__xludf.DUMMYFUNCTION("""COMPUTED_VALUE"""),"J.T. Poston")</f>
        <v>J.T. Poston</v>
      </c>
      <c r="D78">
        <f ca="1">IFERROR(__xludf.DUMMYFUNCTION("""COMPUTED_VALUE"""),18)</f>
        <v>18</v>
      </c>
      <c r="E78">
        <f ca="1">IFERROR(__xludf.DUMMYFUNCTION("""COMPUTED_VALUE"""),7.69)</f>
        <v>7.69</v>
      </c>
      <c r="F78">
        <f ca="1">IFERROR(__xludf.DUMMYFUNCTION("""COMPUTED_VALUE"""),91)</f>
        <v>91</v>
      </c>
      <c r="G78">
        <f ca="1">IFERROR(__xludf.DUMMYFUNCTION("""COMPUTED_VALUE"""),7)</f>
        <v>7</v>
      </c>
    </row>
    <row r="79" spans="1:7" ht="12.75">
      <c r="A79" t="str">
        <f ca="1">IFERROR(__xludf.DUMMYFUNCTION("""COMPUTED_VALUE"""),"T75")</f>
        <v>T75</v>
      </c>
      <c r="B79" t="str">
        <f ca="1">IFERROR(__xludf.DUMMYFUNCTION("""COMPUTED_VALUE"""),"T81")</f>
        <v>T81</v>
      </c>
      <c r="C79" t="str">
        <f ca="1">IFERROR(__xludf.DUMMYFUNCTION("""COMPUTED_VALUE"""),"Sahith Theegala")</f>
        <v>Sahith Theegala</v>
      </c>
      <c r="D79">
        <f ca="1">IFERROR(__xludf.DUMMYFUNCTION("""COMPUTED_VALUE"""),6)</f>
        <v>6</v>
      </c>
      <c r="E79">
        <f ca="1">IFERROR(__xludf.DUMMYFUNCTION("""COMPUTED_VALUE"""),7.69)</f>
        <v>7.69</v>
      </c>
      <c r="F79">
        <f ca="1">IFERROR(__xludf.DUMMYFUNCTION("""COMPUTED_VALUE"""),26)</f>
        <v>26</v>
      </c>
      <c r="G79">
        <f ca="1">IFERROR(__xludf.DUMMYFUNCTION("""COMPUTED_VALUE"""),2)</f>
        <v>2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IFERROR(__xludf.DUMMYFUNCTION("""COMPUTED_VALUE"""),26)</f>
        <v>26</v>
      </c>
      <c r="C80" t="str">
        <f ca="1">IFERROR(__xludf.DUMMYFUNCTION("""COMPUTED_VALUE"""),"Cameron Tringale")</f>
        <v>Cameron Tringale</v>
      </c>
      <c r="D80">
        <f ca="1">IFERROR(__xludf.DUMMYFUNCTION("""COMPUTED_VALUE"""),16)</f>
        <v>16</v>
      </c>
      <c r="E80">
        <f ca="1">IFERROR(__xludf.DUMMYFUNCTION("""COMPUTED_VALUE"""),7.58)</f>
        <v>7.58</v>
      </c>
      <c r="F80">
        <f ca="1">IFERROR(__xludf.DUMMYFUNCTION("""COMPUTED_VALUE"""),66)</f>
        <v>66</v>
      </c>
      <c r="G80">
        <f ca="1">IFERROR(__xludf.DUMMYFUNCTION("""COMPUTED_VALUE"""),5)</f>
        <v>5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IFERROR(__xludf.DUMMYFUNCTION("""COMPUTED_VALUE"""),"T87")</f>
        <v>T87</v>
      </c>
      <c r="C81" t="str">
        <f ca="1">IFERROR(__xludf.DUMMYFUNCTION("""COMPUTED_VALUE"""),"John Pak")</f>
        <v>John Pak</v>
      </c>
      <c r="D81">
        <f ca="1">IFERROR(__xludf.DUMMYFUNCTION("""COMPUTED_VALUE"""),4)</f>
        <v>4</v>
      </c>
      <c r="E81">
        <f ca="1">IFERROR(__xludf.DUMMYFUNCTION("""COMPUTED_VALUE"""),7.41)</f>
        <v>7.41</v>
      </c>
      <c r="F81">
        <f ca="1">IFERROR(__xludf.DUMMYFUNCTION("""COMPUTED_VALUE"""),27)</f>
        <v>27</v>
      </c>
      <c r="G81">
        <f ca="1">IFERROR(__xludf.DUMMYFUNCTION("""COMPUTED_VALUE"""),2)</f>
        <v>2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IFERROR(__xludf.DUMMYFUNCTION("""COMPUTED_VALUE"""),"T32")</f>
        <v>T32</v>
      </c>
      <c r="C82" t="str">
        <f ca="1">IFERROR(__xludf.DUMMYFUNCTION("""COMPUTED_VALUE"""),"Adam Long")</f>
        <v>Adam Long</v>
      </c>
      <c r="D82">
        <f ca="1">IFERROR(__xludf.DUMMYFUNCTION("""COMPUTED_VALUE"""),22)</f>
        <v>22</v>
      </c>
      <c r="E82">
        <f ca="1">IFERROR(__xludf.DUMMYFUNCTION("""COMPUTED_VALUE"""),7.35)</f>
        <v>7.35</v>
      </c>
      <c r="F82">
        <f ca="1">IFERROR(__xludf.DUMMYFUNCTION("""COMPUTED_VALUE"""),68)</f>
        <v>68</v>
      </c>
      <c r="G82">
        <f ca="1">IFERROR(__xludf.DUMMYFUNCTION("""COMPUTED_VALUE"""),5)</f>
        <v>5</v>
      </c>
    </row>
    <row r="83" spans="1:7" ht="12.75">
      <c r="A83" t="str">
        <f ca="1">IFERROR(__xludf.DUMMYFUNCTION("""COMPUTED_VALUE"""),"T82")</f>
        <v>T82</v>
      </c>
      <c r="B83" t="str">
        <f ca="1">IFERROR(__xludf.DUMMYFUNCTION("""COMPUTED_VALUE"""),"T73")</f>
        <v>T73</v>
      </c>
      <c r="C83" t="str">
        <f ca="1">IFERROR(__xludf.DUMMYFUNCTION("""COMPUTED_VALUE"""),"Jason Day")</f>
        <v>Jason Day</v>
      </c>
      <c r="D83">
        <f ca="1">IFERROR(__xludf.DUMMYFUNCTION("""COMPUTED_VALUE"""),17)</f>
        <v>17</v>
      </c>
      <c r="E83">
        <f ca="1">IFERROR(__xludf.DUMMYFUNCTION("""COMPUTED_VALUE"""),7.32)</f>
        <v>7.32</v>
      </c>
      <c r="F83">
        <f ca="1">IFERROR(__xludf.DUMMYFUNCTION("""COMPUTED_VALUE"""),82)</f>
        <v>82</v>
      </c>
      <c r="G83">
        <f ca="1">IFERROR(__xludf.DUMMYFUNCTION("""COMPUTED_VALUE"""),6)</f>
        <v>6</v>
      </c>
    </row>
    <row r="84" spans="1:7" ht="12.75">
      <c r="A84" t="str">
        <f ca="1">IFERROR(__xludf.DUMMYFUNCTION("""COMPUTED_VALUE"""),"T82")</f>
        <v>T82</v>
      </c>
      <c r="B84">
        <f ca="1">IFERROR(__xludf.DUMMYFUNCTION("""COMPUTED_VALUE"""),89)</f>
        <v>89</v>
      </c>
      <c r="C84" t="str">
        <f ca="1">IFERROR(__xludf.DUMMYFUNCTION("""COMPUTED_VALUE"""),"Tommy Fleetwood")</f>
        <v>Tommy Fleetwood</v>
      </c>
      <c r="D84">
        <f ca="1">IFERROR(__xludf.DUMMYFUNCTION("""COMPUTED_VALUE"""),10)</f>
        <v>10</v>
      </c>
      <c r="E84">
        <f ca="1">IFERROR(__xludf.DUMMYFUNCTION("""COMPUTED_VALUE"""),7.32)</f>
        <v>7.32</v>
      </c>
      <c r="F84">
        <f ca="1">IFERROR(__xludf.DUMMYFUNCTION("""COMPUTED_VALUE"""),41)</f>
        <v>41</v>
      </c>
      <c r="G84">
        <f ca="1">IFERROR(__xludf.DUMMYFUNCTION("""COMPUTED_VALUE"""),3)</f>
        <v>3</v>
      </c>
    </row>
    <row r="85" spans="1:7" ht="12.75">
      <c r="A85" t="str">
        <f ca="1">IFERROR(__xludf.DUMMYFUNCTION("""COMPUTED_VALUE"""),"T84")</f>
        <v>T84</v>
      </c>
      <c r="B85" t="str">
        <f ca="1">IFERROR(__xludf.DUMMYFUNCTION("""COMPUTED_VALUE"""),"T57")</f>
        <v>T57</v>
      </c>
      <c r="C85" t="str">
        <f ca="1">IFERROR(__xludf.DUMMYFUNCTION("""COMPUTED_VALUE"""),"Bronson Burgoon")</f>
        <v>Bronson Burgoon</v>
      </c>
      <c r="D85">
        <f ca="1">IFERROR(__xludf.DUMMYFUNCTION("""COMPUTED_VALUE"""),10)</f>
        <v>10</v>
      </c>
      <c r="E85">
        <f ca="1">IFERROR(__xludf.DUMMYFUNCTION("""COMPUTED_VALUE"""),7.14)</f>
        <v>7.14</v>
      </c>
      <c r="F85">
        <f ca="1">IFERROR(__xludf.DUMMYFUNCTION("""COMPUTED_VALUE"""),28)</f>
        <v>28</v>
      </c>
      <c r="G85">
        <f ca="1">IFERROR(__xludf.DUMMYFUNCTION("""COMPUTED_VALUE"""),2)</f>
        <v>2</v>
      </c>
    </row>
    <row r="86" spans="1:7" ht="12.75">
      <c r="A86" t="str">
        <f ca="1">IFERROR(__xludf.DUMMYFUNCTION("""COMPUTED_VALUE"""),"T84")</f>
        <v>T84</v>
      </c>
      <c r="B86" t="str">
        <f ca="1">IFERROR(__xludf.DUMMYFUNCTION("""COMPUTED_VALUE"""),"T90")</f>
        <v>T90</v>
      </c>
      <c r="C86" t="str">
        <f ca="1">IFERROR(__xludf.DUMMYFUNCTION("""COMPUTED_VALUE"""),"John Senden")</f>
        <v>John Senden</v>
      </c>
      <c r="D86">
        <f ca="1">IFERROR(__xludf.DUMMYFUNCTION("""COMPUTED_VALUE"""),8)</f>
        <v>8</v>
      </c>
      <c r="E86">
        <f ca="1">IFERROR(__xludf.DUMMYFUNCTION("""COMPUTED_VALUE"""),7.14)</f>
        <v>7.14</v>
      </c>
      <c r="F86">
        <f ca="1">IFERROR(__xludf.DUMMYFUNCTION("""COMPUTED_VALUE"""),14)</f>
        <v>14</v>
      </c>
      <c r="G86">
        <f ca="1">IFERROR(__xludf.DUMMYFUNCTION("""COMPUTED_VALUE"""),1)</f>
        <v>1</v>
      </c>
    </row>
    <row r="87" spans="1:7" ht="12.75">
      <c r="A87" t="str">
        <f ca="1">IFERROR(__xludf.DUMMYFUNCTION("""COMPUTED_VALUE"""),"T84")</f>
        <v>T84</v>
      </c>
      <c r="B87" t="str">
        <f ca="1">IFERROR(__xludf.DUMMYFUNCTION("""COMPUTED_VALUE"""),"T90")</f>
        <v>T90</v>
      </c>
      <c r="C87" t="str">
        <f ca="1">IFERROR(__xludf.DUMMYFUNCTION("""COMPUTED_VALUE"""),"Tiger Woods")</f>
        <v>Tiger Woods</v>
      </c>
      <c r="D87">
        <f ca="1">IFERROR(__xludf.DUMMYFUNCTION("""COMPUTED_VALUE"""),6)</f>
        <v>6</v>
      </c>
      <c r="E87">
        <f ca="1">IFERROR(__xludf.DUMMYFUNCTION("""COMPUTED_VALUE"""),7.14)</f>
        <v>7.14</v>
      </c>
      <c r="F87">
        <f ca="1">IFERROR(__xludf.DUMMYFUNCTION("""COMPUTED_VALUE"""),28)</f>
        <v>28</v>
      </c>
      <c r="G87">
        <f ca="1">IFERROR(__xludf.DUMMYFUNCTION("""COMPUTED_VALUE"""),2)</f>
        <v>2</v>
      </c>
    </row>
    <row r="88" spans="1:7" ht="12.75">
      <c r="A88" t="str">
        <f ca="1">IFERROR(__xludf.DUMMYFUNCTION("""COMPUTED_VALUE"""),"T84")</f>
        <v>T84</v>
      </c>
      <c r="B88" t="str">
        <f ca="1">IFERROR(__xludf.DUMMYFUNCTION("""COMPUTED_VALUE"""),"T90")</f>
        <v>T90</v>
      </c>
      <c r="C88" t="str">
        <f ca="1">IFERROR(__xludf.DUMMYFUNCTION("""COMPUTED_VALUE"""),"Charles Howell III")</f>
        <v>Charles Howell III</v>
      </c>
      <c r="D88">
        <f ca="1">IFERROR(__xludf.DUMMYFUNCTION("""COMPUTED_VALUE"""),10)</f>
        <v>10</v>
      </c>
      <c r="E88">
        <f ca="1">IFERROR(__xludf.DUMMYFUNCTION("""COMPUTED_VALUE"""),7.14)</f>
        <v>7.14</v>
      </c>
      <c r="F88">
        <f ca="1">IFERROR(__xludf.DUMMYFUNCTION("""COMPUTED_VALUE"""),42)</f>
        <v>42</v>
      </c>
      <c r="G88">
        <f ca="1">IFERROR(__xludf.DUMMYFUNCTION("""COMPUTED_VALUE"""),3)</f>
        <v>3</v>
      </c>
    </row>
    <row r="89" spans="1:7" ht="12.75">
      <c r="A89" t="str">
        <f ca="1">IFERROR(__xludf.DUMMYFUNCTION("""COMPUTED_VALUE"""),"T84")</f>
        <v>T84</v>
      </c>
      <c r="B89" t="str">
        <f ca="1">IFERROR(__xludf.DUMMYFUNCTION("""COMPUTED_VALUE"""),"T90")</f>
        <v>T90</v>
      </c>
      <c r="C89" t="str">
        <f ca="1">IFERROR(__xludf.DUMMYFUNCTION("""COMPUTED_VALUE"""),"Peter Malnati")</f>
        <v>Peter Malnati</v>
      </c>
      <c r="D89">
        <f ca="1">IFERROR(__xludf.DUMMYFUNCTION("""COMPUTED_VALUE"""),18)</f>
        <v>18</v>
      </c>
      <c r="E89">
        <f ca="1">IFERROR(__xludf.DUMMYFUNCTION("""COMPUTED_VALUE"""),7.14)</f>
        <v>7.14</v>
      </c>
      <c r="F89">
        <f ca="1">IFERROR(__xludf.DUMMYFUNCTION("""COMPUTED_VALUE"""),42)</f>
        <v>42</v>
      </c>
      <c r="G89">
        <f ca="1">IFERROR(__xludf.DUMMYFUNCTION("""COMPUTED_VALUE"""),3)</f>
        <v>3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IFERROR(__xludf.DUMMYFUNCTION("""COMPUTED_VALUE"""),53)</f>
        <v>53</v>
      </c>
      <c r="C90" t="str">
        <f ca="1">IFERROR(__xludf.DUMMYFUNCTION("""COMPUTED_VALUE"""),"Troy Merritt")</f>
        <v>Troy Merritt</v>
      </c>
      <c r="D90">
        <f ca="1">IFERROR(__xludf.DUMMYFUNCTION("""COMPUTED_VALUE"""),20)</f>
        <v>20</v>
      </c>
      <c r="E90">
        <f ca="1">IFERROR(__xludf.DUMMYFUNCTION("""COMPUTED_VALUE"""),7.04)</f>
        <v>7.04</v>
      </c>
      <c r="F90">
        <f ca="1">IFERROR(__xludf.DUMMYFUNCTION("""COMPUTED_VALUE"""),71)</f>
        <v>71</v>
      </c>
      <c r="G90">
        <f ca="1">IFERROR(__xludf.DUMMYFUNCTION("""COMPUTED_VALUE"""),5)</f>
        <v>5</v>
      </c>
    </row>
    <row r="91" spans="1:7" ht="12.75">
      <c r="A91">
        <f ca="1">IFERROR(__xludf.DUMMYFUNCTION("""COMPUTED_VALUE"""),90)</f>
        <v>90</v>
      </c>
      <c r="B91" t="str">
        <f ca="1">IFERROR(__xludf.DUMMYFUNCTION("""COMPUTED_VALUE"""),"T81")</f>
        <v>T81</v>
      </c>
      <c r="C91" t="str">
        <f ca="1">IFERROR(__xludf.DUMMYFUNCTION("""COMPUTED_VALUE"""),"Sepp Straka")</f>
        <v>Sepp Straka</v>
      </c>
      <c r="D91">
        <f ca="1">IFERROR(__xludf.DUMMYFUNCTION("""COMPUTED_VALUE"""),22)</f>
        <v>22</v>
      </c>
      <c r="E91">
        <f ca="1">IFERROR(__xludf.DUMMYFUNCTION("""COMPUTED_VALUE"""),7.02)</f>
        <v>7.02</v>
      </c>
      <c r="F91">
        <f ca="1">IFERROR(__xludf.DUMMYFUNCTION("""COMPUTED_VALUE"""),57)</f>
        <v>57</v>
      </c>
      <c r="G91">
        <f ca="1">IFERROR(__xludf.DUMMYFUNCTION("""COMPUTED_VALUE"""),4)</f>
        <v>4</v>
      </c>
    </row>
    <row r="92" spans="1:7" ht="12.75">
      <c r="A92">
        <f ca="1">IFERROR(__xludf.DUMMYFUNCTION("""COMPUTED_VALUE"""),91)</f>
        <v>91</v>
      </c>
      <c r="B92" t="str">
        <f ca="1">IFERROR(__xludf.DUMMYFUNCTION("""COMPUTED_VALUE"""),"T109")</f>
        <v>T109</v>
      </c>
      <c r="C92" t="str">
        <f ca="1">IFERROR(__xludf.DUMMYFUNCTION("""COMPUTED_VALUE"""),"Xinjun Zhang")</f>
        <v>Xinjun Zhang</v>
      </c>
      <c r="D92">
        <f ca="1">IFERROR(__xludf.DUMMYFUNCTION("""COMPUTED_VALUE"""),14)</f>
        <v>14</v>
      </c>
      <c r="E92">
        <f ca="1">IFERROR(__xludf.DUMMYFUNCTION("""COMPUTED_VALUE"""),6.98)</f>
        <v>6.98</v>
      </c>
      <c r="F92">
        <f ca="1">IFERROR(__xludf.DUMMYFUNCTION("""COMPUTED_VALUE"""),43)</f>
        <v>43</v>
      </c>
      <c r="G92">
        <f ca="1">IFERROR(__xludf.DUMMYFUNCTION("""COMPUTED_VALUE"""),3)</f>
        <v>3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IFERROR(__xludf.DUMMYFUNCTION("""COMPUTED_VALUE"""),85)</f>
        <v>85</v>
      </c>
      <c r="C93" t="str">
        <f ca="1">IFERROR(__xludf.DUMMYFUNCTION("""COMPUTED_VALUE"""),"Sungjae Im")</f>
        <v>Sungjae Im</v>
      </c>
      <c r="D93">
        <f ca="1">IFERROR(__xludf.DUMMYFUNCTION("""COMPUTED_VALUE"""),24)</f>
        <v>24</v>
      </c>
      <c r="E93">
        <f ca="1">IFERROR(__xludf.DUMMYFUNCTION("""COMPUTED_VALUE"""),6.96)</f>
        <v>6.96</v>
      </c>
      <c r="F93">
        <f ca="1">IFERROR(__xludf.DUMMYFUNCTION("""COMPUTED_VALUE"""),115)</f>
        <v>115</v>
      </c>
      <c r="G93">
        <f ca="1">IFERROR(__xludf.DUMMYFUNCTION("""COMPUTED_VALUE"""),8)</f>
        <v>8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IFERROR(__xludf.DUMMYFUNCTION("""COMPUTED_VALUE"""),124)</f>
        <v>124</v>
      </c>
      <c r="C94" t="str">
        <f ca="1">IFERROR(__xludf.DUMMYFUNCTION("""COMPUTED_VALUE"""),"Tyler Duncan")</f>
        <v>Tyler Duncan</v>
      </c>
      <c r="D94">
        <f ca="1">IFERROR(__xludf.DUMMYFUNCTION("""COMPUTED_VALUE"""),18)</f>
        <v>18</v>
      </c>
      <c r="E94">
        <f ca="1">IFERROR(__xludf.DUMMYFUNCTION("""COMPUTED_VALUE"""),6.94)</f>
        <v>6.94</v>
      </c>
      <c r="F94">
        <f ca="1">IFERROR(__xludf.DUMMYFUNCTION("""COMPUTED_VALUE"""),72)</f>
        <v>72</v>
      </c>
      <c r="G94">
        <f ca="1">IFERROR(__xludf.DUMMYFUNCTION("""COMPUTED_VALUE"""),5)</f>
        <v>5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IFERROR(__xludf.DUMMYFUNCTION("""COMPUTED_VALUE"""),"T97")</f>
        <v>T97</v>
      </c>
      <c r="C95" t="str">
        <f ca="1">IFERROR(__xludf.DUMMYFUNCTION("""COMPUTED_VALUE"""),"Tyler McCumber")</f>
        <v>Tyler McCumber</v>
      </c>
      <c r="D95">
        <f ca="1">IFERROR(__xludf.DUMMYFUNCTION("""COMPUTED_VALUE"""),14)</f>
        <v>14</v>
      </c>
      <c r="E95">
        <f ca="1">IFERROR(__xludf.DUMMYFUNCTION("""COMPUTED_VALUE"""),6.9)</f>
        <v>6.9</v>
      </c>
      <c r="F95">
        <f ca="1">IFERROR(__xludf.DUMMYFUNCTION("""COMPUTED_VALUE"""),29)</f>
        <v>29</v>
      </c>
      <c r="G95">
        <f ca="1">IFERROR(__xludf.DUMMYFUNCTION("""COMPUTED_VALUE"""),2)</f>
        <v>2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IFERROR(__xludf.DUMMYFUNCTION("""COMPUTED_VALUE"""),"T50")</f>
        <v>T50</v>
      </c>
      <c r="C96" t="str">
        <f ca="1">IFERROR(__xludf.DUMMYFUNCTION("""COMPUTED_VALUE"""),"Ryan Armour")</f>
        <v>Ryan Armour</v>
      </c>
      <c r="D96">
        <f ca="1">IFERROR(__xludf.DUMMYFUNCTION("""COMPUTED_VALUE"""),16)</f>
        <v>16</v>
      </c>
      <c r="E96">
        <f ca="1">IFERROR(__xludf.DUMMYFUNCTION("""COMPUTED_VALUE"""),6.9)</f>
        <v>6.9</v>
      </c>
      <c r="F96">
        <f ca="1">IFERROR(__xludf.DUMMYFUNCTION("""COMPUTED_VALUE"""),29)</f>
        <v>29</v>
      </c>
      <c r="G96">
        <f ca="1">IFERROR(__xludf.DUMMYFUNCTION("""COMPUTED_VALUE"""),2)</f>
        <v>2</v>
      </c>
    </row>
    <row r="97" spans="1:7" ht="12.75">
      <c r="A97" t="str">
        <f ca="1">IFERROR(__xludf.DUMMYFUNCTION("""COMPUTED_VALUE"""),"T94")</f>
        <v>T94</v>
      </c>
      <c r="B97" t="str">
        <f ca="1">IFERROR(__xludf.DUMMYFUNCTION("""COMPUTED_VALUE"""),"T97")</f>
        <v>T97</v>
      </c>
      <c r="C97" t="str">
        <f ca="1">IFERROR(__xludf.DUMMYFUNCTION("""COMPUTED_VALUE"""),"Shaun Norris")</f>
        <v>Shaun Norris</v>
      </c>
      <c r="D97">
        <f ca="1">IFERROR(__xludf.DUMMYFUNCTION("""COMPUTED_VALUE"""),6)</f>
        <v>6</v>
      </c>
      <c r="E97">
        <f ca="1">IFERROR(__xludf.DUMMYFUNCTION("""COMPUTED_VALUE"""),6.9)</f>
        <v>6.9</v>
      </c>
      <c r="F97">
        <f ca="1">IFERROR(__xludf.DUMMYFUNCTION("""COMPUTED_VALUE"""),29)</f>
        <v>29</v>
      </c>
      <c r="G97">
        <f ca="1">IFERROR(__xludf.DUMMYFUNCTION("""COMPUTED_VALUE"""),2)</f>
        <v>2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IFERROR(__xludf.DUMMYFUNCTION("""COMPUTED_VALUE"""),"T100")</f>
        <v>T100</v>
      </c>
      <c r="C98" t="str">
        <f ca="1">IFERROR(__xludf.DUMMYFUNCTION("""COMPUTED_VALUE"""),"Marc Leishman")</f>
        <v>Marc Leishman</v>
      </c>
      <c r="D98">
        <f ca="1">IFERROR(__xludf.DUMMYFUNCTION("""COMPUTED_VALUE"""),10)</f>
        <v>10</v>
      </c>
      <c r="E98">
        <f ca="1">IFERROR(__xludf.DUMMYFUNCTION("""COMPUTED_VALUE"""),6.82)</f>
        <v>6.82</v>
      </c>
      <c r="F98">
        <f ca="1">IFERROR(__xludf.DUMMYFUNCTION("""COMPUTED_VALUE"""),44)</f>
        <v>44</v>
      </c>
      <c r="G98">
        <f ca="1">IFERROR(__xludf.DUMMYFUNCTION("""COMPUTED_VALUE"""),3)</f>
        <v>3</v>
      </c>
    </row>
    <row r="99" spans="1:7" ht="12.75">
      <c r="A99" t="str">
        <f ca="1">IFERROR(__xludf.DUMMYFUNCTION("""COMPUTED_VALUE"""),"T97")</f>
        <v>T97</v>
      </c>
      <c r="B99">
        <f ca="1">IFERROR(__xludf.DUMMYFUNCTION("""COMPUTED_VALUE"""),86)</f>
        <v>86</v>
      </c>
      <c r="C99" t="str">
        <f ca="1">IFERROR(__xludf.DUMMYFUNCTION("""COMPUTED_VALUE"""),"Corey Conners")</f>
        <v>Corey Conners</v>
      </c>
      <c r="D99">
        <f ca="1">IFERROR(__xludf.DUMMYFUNCTION("""COMPUTED_VALUE"""),20)</f>
        <v>20</v>
      </c>
      <c r="E99">
        <f ca="1">IFERROR(__xludf.DUMMYFUNCTION("""COMPUTED_VALUE"""),6.82)</f>
        <v>6.82</v>
      </c>
      <c r="F99">
        <f ca="1">IFERROR(__xludf.DUMMYFUNCTION("""COMPUTED_VALUE"""),88)</f>
        <v>88</v>
      </c>
      <c r="G99">
        <f ca="1">IFERROR(__xludf.DUMMYFUNCTION("""COMPUTED_VALUE"""),6)</f>
        <v>6</v>
      </c>
    </row>
    <row r="100" spans="1:7" ht="12.75">
      <c r="A100" t="str">
        <f ca="1">IFERROR(__xludf.DUMMYFUNCTION("""COMPUTED_VALUE"""),"T97")</f>
        <v>T97</v>
      </c>
      <c r="B100" t="str">
        <f ca="1">IFERROR(__xludf.DUMMYFUNCTION("""COMPUTED_VALUE"""),"T168")</f>
        <v>T168</v>
      </c>
      <c r="C100" t="str">
        <f ca="1">IFERROR(__xludf.DUMMYFUNCTION("""COMPUTED_VALUE"""),"Erik van Rooyen")</f>
        <v>Erik van Rooyen</v>
      </c>
      <c r="D100">
        <f ca="1">IFERROR(__xludf.DUMMYFUNCTION("""COMPUTED_VALUE"""),10)</f>
        <v>10</v>
      </c>
      <c r="E100">
        <f ca="1">IFERROR(__xludf.DUMMYFUNCTION("""COMPUTED_VALUE"""),6.82)</f>
        <v>6.82</v>
      </c>
      <c r="F100">
        <f ca="1">IFERROR(__xludf.DUMMYFUNCTION("""COMPUTED_VALUE"""),44)</f>
        <v>44</v>
      </c>
      <c r="G100">
        <f ca="1">IFERROR(__xludf.DUMMYFUNCTION("""COMPUTED_VALUE"""),3)</f>
        <v>3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IFERROR(__xludf.DUMMYFUNCTION("""COMPUTED_VALUE"""),"T103")</f>
        <v>T103</v>
      </c>
      <c r="C101" t="str">
        <f ca="1">IFERROR(__xludf.DUMMYFUNCTION("""COMPUTED_VALUE"""),"Brendan Steele")</f>
        <v>Brendan Steele</v>
      </c>
      <c r="D101">
        <f ca="1">IFERROR(__xludf.DUMMYFUNCTION("""COMPUTED_VALUE"""),14)</f>
        <v>14</v>
      </c>
      <c r="E101">
        <f ca="1">IFERROR(__xludf.DUMMYFUNCTION("""COMPUTED_VALUE"""),6.78)</f>
        <v>6.78</v>
      </c>
      <c r="F101">
        <f ca="1">IFERROR(__xludf.DUMMYFUNCTION("""COMPUTED_VALUE"""),59)</f>
        <v>59</v>
      </c>
      <c r="G101">
        <f ca="1">IFERROR(__xludf.DUMMYFUNCTION("""COMPUTED_VALUE"""),4)</f>
        <v>4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IFERROR(__xludf.DUMMYFUNCTION("""COMPUTED_VALUE"""),"T106")</f>
        <v>T106</v>
      </c>
      <c r="C102" t="str">
        <f ca="1">IFERROR(__xludf.DUMMYFUNCTION("""COMPUTED_VALUE"""),"Nick Taylor")</f>
        <v>Nick Taylor</v>
      </c>
      <c r="D102">
        <f ca="1">IFERROR(__xludf.DUMMYFUNCTION("""COMPUTED_VALUE"""),12)</f>
        <v>12</v>
      </c>
      <c r="E102">
        <f ca="1">IFERROR(__xludf.DUMMYFUNCTION("""COMPUTED_VALUE"""),6.67)</f>
        <v>6.67</v>
      </c>
      <c r="F102">
        <f ca="1">IFERROR(__xludf.DUMMYFUNCTION("""COMPUTED_VALUE"""),45)</f>
        <v>45</v>
      </c>
      <c r="G102">
        <f ca="1">IFERROR(__xludf.DUMMYFUNCTION("""COMPUTED_VALUE"""),3)</f>
        <v>3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IFERROR(__xludf.DUMMYFUNCTION("""COMPUTED_VALUE"""),"T128")</f>
        <v>T128</v>
      </c>
      <c r="C103" t="str">
        <f ca="1">IFERROR(__xludf.DUMMYFUNCTION("""COMPUTED_VALUE"""),"Keith Mitchell")</f>
        <v>Keith Mitchell</v>
      </c>
      <c r="D103">
        <f ca="1">IFERROR(__xludf.DUMMYFUNCTION("""COMPUTED_VALUE"""),14)</f>
        <v>14</v>
      </c>
      <c r="E103">
        <f ca="1">IFERROR(__xludf.DUMMYFUNCTION("""COMPUTED_VALUE"""),6.67)</f>
        <v>6.67</v>
      </c>
      <c r="F103">
        <f ca="1">IFERROR(__xludf.DUMMYFUNCTION("""COMPUTED_VALUE"""),30)</f>
        <v>30</v>
      </c>
      <c r="G103">
        <f ca="1">IFERROR(__xludf.DUMMYFUNCTION("""COMPUTED_VALUE"""),2)</f>
        <v>2</v>
      </c>
    </row>
    <row r="104" spans="1:7" ht="12.75">
      <c r="A104" t="str">
        <f ca="1">IFERROR(__xludf.DUMMYFUNCTION("""COMPUTED_VALUE"""),"T101")</f>
        <v>T101</v>
      </c>
      <c r="B104" t="str">
        <f ca="1">IFERROR(__xludf.DUMMYFUNCTION("""COMPUTED_VALUE"""),"T106")</f>
        <v>T106</v>
      </c>
      <c r="C104" t="str">
        <f ca="1">IFERROR(__xludf.DUMMYFUNCTION("""COMPUTED_VALUE"""),"George Markham")</f>
        <v>George Markham</v>
      </c>
      <c r="D104">
        <f ca="1">IFERROR(__xludf.DUMMYFUNCTION("""COMPUTED_VALUE"""),4)</f>
        <v>4</v>
      </c>
      <c r="E104">
        <f ca="1">IFERROR(__xludf.DUMMYFUNCTION("""COMPUTED_VALUE"""),6.67)</f>
        <v>6.67</v>
      </c>
      <c r="F104">
        <f ca="1">IFERROR(__xludf.DUMMYFUNCTION("""COMPUTED_VALUE"""),15)</f>
        <v>15</v>
      </c>
      <c r="G104">
        <f ca="1">IFERROR(__xludf.DUMMYFUNCTION("""COMPUTED_VALUE"""),1)</f>
        <v>1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IFERROR(__xludf.DUMMYFUNCTION("""COMPUTED_VALUE"""),188)</f>
        <v>188</v>
      </c>
      <c r="C105" t="str">
        <f ca="1">IFERROR(__xludf.DUMMYFUNCTION("""COMPUTED_VALUE"""),"Scottie Scheffler")</f>
        <v>Scottie Scheffler</v>
      </c>
      <c r="D105">
        <f ca="1">IFERROR(__xludf.DUMMYFUNCTION("""COMPUTED_VALUE"""),18)</f>
        <v>18</v>
      </c>
      <c r="E105">
        <f ca="1">IFERROR(__xludf.DUMMYFUNCTION("""COMPUTED_VALUE"""),6.58)</f>
        <v>6.58</v>
      </c>
      <c r="F105">
        <f ca="1">IFERROR(__xludf.DUMMYFUNCTION("""COMPUTED_VALUE"""),76)</f>
        <v>76</v>
      </c>
      <c r="G105">
        <f ca="1">IFERROR(__xludf.DUMMYFUNCTION("""COMPUTED_VALUE"""),5)</f>
        <v>5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IFERROR(__xludf.DUMMYFUNCTION("""COMPUTED_VALUE"""),105)</f>
        <v>105</v>
      </c>
      <c r="C106" t="str">
        <f ca="1">IFERROR(__xludf.DUMMYFUNCTION("""COMPUTED_VALUE"""),"Talor Gooch")</f>
        <v>Talor Gooch</v>
      </c>
      <c r="D106">
        <f ca="1">IFERROR(__xludf.DUMMYFUNCTION("""COMPUTED_VALUE"""),20)</f>
        <v>20</v>
      </c>
      <c r="E106">
        <f ca="1">IFERROR(__xludf.DUMMYFUNCTION("""COMPUTED_VALUE"""),6.52)</f>
        <v>6.52</v>
      </c>
      <c r="F106">
        <f ca="1">IFERROR(__xludf.DUMMYFUNCTION("""COMPUTED_VALUE"""),92)</f>
        <v>92</v>
      </c>
      <c r="G106">
        <f ca="1">IFERROR(__xludf.DUMMYFUNCTION("""COMPUTED_VALUE"""),6)</f>
        <v>6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IFERROR(__xludf.DUMMYFUNCTION("""COMPUTED_VALUE"""),108)</f>
        <v>108</v>
      </c>
      <c r="C107" t="str">
        <f ca="1">IFERROR(__xludf.DUMMYFUNCTION("""COMPUTED_VALUE"""),"Joaquin Niemann")</f>
        <v>Joaquin Niemann</v>
      </c>
      <c r="D107">
        <f ca="1">IFERROR(__xludf.DUMMYFUNCTION("""COMPUTED_VALUE"""),16)</f>
        <v>16</v>
      </c>
      <c r="E107">
        <f ca="1">IFERROR(__xludf.DUMMYFUNCTION("""COMPUTED_VALUE"""),6.49)</f>
        <v>6.49</v>
      </c>
      <c r="F107">
        <f ca="1">IFERROR(__xludf.DUMMYFUNCTION("""COMPUTED_VALUE"""),77)</f>
        <v>77</v>
      </c>
      <c r="G107">
        <f ca="1">IFERROR(__xludf.DUMMYFUNCTION("""COMPUTED_VALUE"""),5)</f>
        <v>5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IFERROR(__xludf.DUMMYFUNCTION("""COMPUTED_VALUE"""),"T65")</f>
        <v>T65</v>
      </c>
      <c r="C108" t="str">
        <f ca="1">IFERROR(__xludf.DUMMYFUNCTION("""COMPUTED_VALUE"""),"Russell Henley")</f>
        <v>Russell Henley</v>
      </c>
      <c r="D108">
        <f ca="1">IFERROR(__xludf.DUMMYFUNCTION("""COMPUTED_VALUE"""),16)</f>
        <v>16</v>
      </c>
      <c r="E108">
        <f ca="1">IFERROR(__xludf.DUMMYFUNCTION("""COMPUTED_VALUE"""),6.45)</f>
        <v>6.45</v>
      </c>
      <c r="F108">
        <f ca="1">IFERROR(__xludf.DUMMYFUNCTION("""COMPUTED_VALUE"""),62)</f>
        <v>62</v>
      </c>
      <c r="G108">
        <f ca="1">IFERROR(__xludf.DUMMYFUNCTION("""COMPUTED_VALUE"""),4)</f>
        <v>4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IFERROR(__xludf.DUMMYFUNCTION("""COMPUTED_VALUE"""),"T109")</f>
        <v>T109</v>
      </c>
      <c r="C109" t="str">
        <f ca="1">IFERROR(__xludf.DUMMYFUNCTION("""COMPUTED_VALUE"""),"Tim Wilkinson")</f>
        <v>Tim Wilkinson</v>
      </c>
      <c r="D109">
        <f ca="1">IFERROR(__xludf.DUMMYFUNCTION("""COMPUTED_VALUE"""),12)</f>
        <v>12</v>
      </c>
      <c r="E109">
        <f ca="1">IFERROR(__xludf.DUMMYFUNCTION("""COMPUTED_VALUE"""),6.45)</f>
        <v>6.45</v>
      </c>
      <c r="F109">
        <f ca="1">IFERROR(__xludf.DUMMYFUNCTION("""COMPUTED_VALUE"""),31)</f>
        <v>31</v>
      </c>
      <c r="G109">
        <f ca="1">IFERROR(__xludf.DUMMYFUNCTION("""COMPUTED_VALUE"""),2)</f>
        <v>2</v>
      </c>
    </row>
    <row r="110" spans="1:7" ht="12.75">
      <c r="A110" t="str">
        <f ca="1">IFERROR(__xludf.DUMMYFUNCTION("""COMPUTED_VALUE"""),"T107")</f>
        <v>T107</v>
      </c>
      <c r="B110" t="str">
        <f ca="1">IFERROR(__xludf.DUMMYFUNCTION("""COMPUTED_VALUE"""),"T109")</f>
        <v>T109</v>
      </c>
      <c r="C110" t="str">
        <f ca="1">IFERROR(__xludf.DUMMYFUNCTION("""COMPUTED_VALUE"""),"Rafa Cabrera Bello")</f>
        <v>Rafa Cabrera Bello</v>
      </c>
      <c r="D110">
        <f ca="1">IFERROR(__xludf.DUMMYFUNCTION("""COMPUTED_VALUE"""),14)</f>
        <v>14</v>
      </c>
      <c r="E110">
        <f ca="1">IFERROR(__xludf.DUMMYFUNCTION("""COMPUTED_VALUE"""),6.45)</f>
        <v>6.45</v>
      </c>
      <c r="F110">
        <f ca="1">IFERROR(__xludf.DUMMYFUNCTION("""COMPUTED_VALUE"""),62)</f>
        <v>62</v>
      </c>
      <c r="G110">
        <f ca="1">IFERROR(__xludf.DUMMYFUNCTION("""COMPUTED_VALUE"""),4)</f>
        <v>4</v>
      </c>
    </row>
    <row r="111" spans="1:7" ht="12.75">
      <c r="A111" t="str">
        <f ca="1">IFERROR(__xludf.DUMMYFUNCTION("""COMPUTED_VALUE"""),"T107")</f>
        <v>T107</v>
      </c>
      <c r="B111" t="str">
        <f ca="1">IFERROR(__xludf.DUMMYFUNCTION("""COMPUTED_VALUE"""),"T109")</f>
        <v>T109</v>
      </c>
      <c r="C111" t="str">
        <f ca="1">IFERROR(__xludf.DUMMYFUNCTION("""COMPUTED_VALUE"""),"D.J. Trahan")</f>
        <v>D.J. Trahan</v>
      </c>
      <c r="D111">
        <f ca="1">IFERROR(__xludf.DUMMYFUNCTION("""COMPUTED_VALUE"""),16)</f>
        <v>16</v>
      </c>
      <c r="E111">
        <f ca="1">IFERROR(__xludf.DUMMYFUNCTION("""COMPUTED_VALUE"""),6.45)</f>
        <v>6.45</v>
      </c>
      <c r="F111">
        <f ca="1">IFERROR(__xludf.DUMMYFUNCTION("""COMPUTED_VALUE"""),31)</f>
        <v>31</v>
      </c>
      <c r="G111">
        <f ca="1">IFERROR(__xludf.DUMMYFUNCTION("""COMPUTED_VALUE"""),2)</f>
        <v>2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IFERROR(__xludf.DUMMYFUNCTION("""COMPUTED_VALUE"""),"T115")</f>
        <v>T115</v>
      </c>
      <c r="C112" t="str">
        <f ca="1">IFERROR(__xludf.DUMMYFUNCTION("""COMPUTED_VALUE"""),"Bubba Watson")</f>
        <v>Bubba Watson</v>
      </c>
      <c r="D112">
        <f ca="1">IFERROR(__xludf.DUMMYFUNCTION("""COMPUTED_VALUE"""),12)</f>
        <v>12</v>
      </c>
      <c r="E112">
        <f ca="1">IFERROR(__xludf.DUMMYFUNCTION("""COMPUTED_VALUE"""),6.35)</f>
        <v>6.35</v>
      </c>
      <c r="F112">
        <f ca="1">IFERROR(__xludf.DUMMYFUNCTION("""COMPUTED_VALUE"""),63)</f>
        <v>63</v>
      </c>
      <c r="G112">
        <f ca="1">IFERROR(__xludf.DUMMYFUNCTION("""COMPUTED_VALUE"""),4)</f>
        <v>4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IFERROR(__xludf.DUMMYFUNCTION("""COMPUTED_VALUE"""),"T125")</f>
        <v>T125</v>
      </c>
      <c r="C113" t="str">
        <f ca="1">IFERROR(__xludf.DUMMYFUNCTION("""COMPUTED_VALUE"""),"Emiliano Grillo")</f>
        <v>Emiliano Grillo</v>
      </c>
      <c r="D113">
        <f ca="1">IFERROR(__xludf.DUMMYFUNCTION("""COMPUTED_VALUE"""),22)</f>
        <v>22</v>
      </c>
      <c r="E113">
        <f ca="1">IFERROR(__xludf.DUMMYFUNCTION("""COMPUTED_VALUE"""),6.35)</f>
        <v>6.35</v>
      </c>
      <c r="F113">
        <f ca="1">IFERROR(__xludf.DUMMYFUNCTION("""COMPUTED_VALUE"""),63)</f>
        <v>63</v>
      </c>
      <c r="G113">
        <f ca="1">IFERROR(__xludf.DUMMYFUNCTION("""COMPUTED_VALUE"""),4)</f>
        <v>4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IFERROR(__xludf.DUMMYFUNCTION("""COMPUTED_VALUE"""),"T115")</f>
        <v>T115</v>
      </c>
      <c r="C114" t="str">
        <f ca="1">IFERROR(__xludf.DUMMYFUNCTION("""COMPUTED_VALUE"""),"Chesson Hadley")</f>
        <v>Chesson Hadley</v>
      </c>
      <c r="D114">
        <f ca="1">IFERROR(__xludf.DUMMYFUNCTION("""COMPUTED_VALUE"""),16)</f>
        <v>16</v>
      </c>
      <c r="E114">
        <f ca="1">IFERROR(__xludf.DUMMYFUNCTION("""COMPUTED_VALUE"""),6.35)</f>
        <v>6.35</v>
      </c>
      <c r="F114">
        <f ca="1">IFERROR(__xludf.DUMMYFUNCTION("""COMPUTED_VALUE"""),63)</f>
        <v>63</v>
      </c>
      <c r="G114">
        <f ca="1">IFERROR(__xludf.DUMMYFUNCTION("""COMPUTED_VALUE"""),4)</f>
        <v>4</v>
      </c>
    </row>
    <row r="115" spans="1:7" ht="12.75">
      <c r="A115" t="str">
        <f ca="1">IFERROR(__xludf.DUMMYFUNCTION("""COMPUTED_VALUE"""),"T111")</f>
        <v>T111</v>
      </c>
      <c r="B115" t="str">
        <f ca="1">IFERROR(__xludf.DUMMYFUNCTION("""COMPUTED_VALUE"""),"T97")</f>
        <v>T97</v>
      </c>
      <c r="C115" t="str">
        <f ca="1">IFERROR(__xludf.DUMMYFUNCTION("""COMPUTED_VALUE"""),"Robby Shelton")</f>
        <v>Robby Shelton</v>
      </c>
      <c r="D115">
        <f ca="1">IFERROR(__xludf.DUMMYFUNCTION("""COMPUTED_VALUE"""),14)</f>
        <v>14</v>
      </c>
      <c r="E115">
        <f ca="1">IFERROR(__xludf.DUMMYFUNCTION("""COMPUTED_VALUE"""),6.35)</f>
        <v>6.35</v>
      </c>
      <c r="F115">
        <f ca="1">IFERROR(__xludf.DUMMYFUNCTION("""COMPUTED_VALUE"""),63)</f>
        <v>63</v>
      </c>
      <c r="G115">
        <f ca="1">IFERROR(__xludf.DUMMYFUNCTION("""COMPUTED_VALUE"""),4)</f>
        <v>4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IFERROR(__xludf.DUMMYFUNCTION("""COMPUTED_VALUE"""),"T132")</f>
        <v>T132</v>
      </c>
      <c r="C116" t="str">
        <f ca="1">IFERROR(__xludf.DUMMYFUNCTION("""COMPUTED_VALUE"""),"Carlos Ortiz")</f>
        <v>Carlos Ortiz</v>
      </c>
      <c r="D116">
        <f ca="1">IFERROR(__xludf.DUMMYFUNCTION("""COMPUTED_VALUE"""),20)</f>
        <v>20</v>
      </c>
      <c r="E116">
        <f ca="1">IFERROR(__xludf.DUMMYFUNCTION("""COMPUTED_VALUE"""),6.32)</f>
        <v>6.32</v>
      </c>
      <c r="F116">
        <f ca="1">IFERROR(__xludf.DUMMYFUNCTION("""COMPUTED_VALUE"""),95)</f>
        <v>95</v>
      </c>
      <c r="G116">
        <f ca="1">IFERROR(__xludf.DUMMYFUNCTION("""COMPUTED_VALUE"""),6)</f>
        <v>6</v>
      </c>
    </row>
    <row r="117" spans="1:7" ht="12.75">
      <c r="A117" t="str">
        <f ca="1">IFERROR(__xludf.DUMMYFUNCTION("""COMPUTED_VALUE"""),"T116")</f>
        <v>T116</v>
      </c>
      <c r="B117" t="str">
        <f ca="1">IFERROR(__xludf.DUMMYFUNCTION("""COMPUTED_VALUE"""),"T117")</f>
        <v>T117</v>
      </c>
      <c r="C117" t="str">
        <f ca="1">IFERROR(__xludf.DUMMYFUNCTION("""COMPUTED_VALUE"""),"Patrick Cantlay")</f>
        <v>Patrick Cantlay</v>
      </c>
      <c r="D117">
        <f ca="1">IFERROR(__xludf.DUMMYFUNCTION("""COMPUTED_VALUE"""),16)</f>
        <v>16</v>
      </c>
      <c r="E117">
        <f ca="1">IFERROR(__xludf.DUMMYFUNCTION("""COMPUTED_VALUE"""),6.25)</f>
        <v>6.25</v>
      </c>
      <c r="F117">
        <f ca="1">IFERROR(__xludf.DUMMYFUNCTION("""COMPUTED_VALUE"""),64)</f>
        <v>64</v>
      </c>
      <c r="G117">
        <f ca="1">IFERROR(__xludf.DUMMYFUNCTION("""COMPUTED_VALUE"""),4)</f>
        <v>4</v>
      </c>
    </row>
    <row r="118" spans="1:7" ht="12.75">
      <c r="A118" t="str">
        <f ca="1">IFERROR(__xludf.DUMMYFUNCTION("""COMPUTED_VALUE"""),"T116")</f>
        <v>T116</v>
      </c>
      <c r="B118" t="str">
        <f ca="1">IFERROR(__xludf.DUMMYFUNCTION("""COMPUTED_VALUE"""),"T117")</f>
        <v>T117</v>
      </c>
      <c r="C118" t="str">
        <f ca="1">IFERROR(__xludf.DUMMYFUNCTION("""COMPUTED_VALUE"""),"Rikuya Hoshino")</f>
        <v>Rikuya Hoshino</v>
      </c>
      <c r="D118">
        <f ca="1">IFERROR(__xludf.DUMMYFUNCTION("""COMPUTED_VALUE"""),4)</f>
        <v>4</v>
      </c>
      <c r="E118">
        <f ca="1">IFERROR(__xludf.DUMMYFUNCTION("""COMPUTED_VALUE"""),6.25)</f>
        <v>6.25</v>
      </c>
      <c r="F118">
        <f ca="1">IFERROR(__xludf.DUMMYFUNCTION("""COMPUTED_VALUE"""),16)</f>
        <v>16</v>
      </c>
      <c r="G118">
        <f ca="1">IFERROR(__xludf.DUMMYFUNCTION("""COMPUTED_VALUE"""),1)</f>
        <v>1</v>
      </c>
    </row>
    <row r="119" spans="1:7" ht="12.75">
      <c r="A119" t="str">
        <f ca="1">IFERROR(__xludf.DUMMYFUNCTION("""COMPUTED_VALUE"""),"T116")</f>
        <v>T116</v>
      </c>
      <c r="B119" t="str">
        <f ca="1">IFERROR(__xludf.DUMMYFUNCTION("""COMPUTED_VALUE"""),"T117")</f>
        <v>T117</v>
      </c>
      <c r="C119" t="str">
        <f ca="1">IFERROR(__xludf.DUMMYFUNCTION("""COMPUTED_VALUE"""),"Seonghyeon Kim")</f>
        <v>Seonghyeon Kim</v>
      </c>
      <c r="D119">
        <f ca="1">IFERROR(__xludf.DUMMYFUNCTION("""COMPUTED_VALUE"""),4)</f>
        <v>4</v>
      </c>
      <c r="E119">
        <f ca="1">IFERROR(__xludf.DUMMYFUNCTION("""COMPUTED_VALUE"""),6.25)</f>
        <v>6.25</v>
      </c>
      <c r="F119">
        <f ca="1">IFERROR(__xludf.DUMMYFUNCTION("""COMPUTED_VALUE"""),16)</f>
        <v>16</v>
      </c>
      <c r="G119">
        <f ca="1">IFERROR(__xludf.DUMMYFUNCTION("""COMPUTED_VALUE"""),1)</f>
        <v>1</v>
      </c>
    </row>
    <row r="120" spans="1:7" ht="12.75">
      <c r="A120" t="str">
        <f ca="1">IFERROR(__xludf.DUMMYFUNCTION("""COMPUTED_VALUE"""),"T116")</f>
        <v>T116</v>
      </c>
      <c r="B120" t="str">
        <f ca="1">IFERROR(__xludf.DUMMYFUNCTION("""COMPUTED_VALUE"""),"T117")</f>
        <v>T117</v>
      </c>
      <c r="C120" t="str">
        <f ca="1">IFERROR(__xludf.DUMMYFUNCTION("""COMPUTED_VALUE"""),"Doug Ghim")</f>
        <v>Doug Ghim</v>
      </c>
      <c r="D120">
        <f ca="1">IFERROR(__xludf.DUMMYFUNCTION("""COMPUTED_VALUE"""),14)</f>
        <v>14</v>
      </c>
      <c r="E120">
        <f ca="1">IFERROR(__xludf.DUMMYFUNCTION("""COMPUTED_VALUE"""),6.25)</f>
        <v>6.25</v>
      </c>
      <c r="F120">
        <f ca="1">IFERROR(__xludf.DUMMYFUNCTION("""COMPUTED_VALUE"""),32)</f>
        <v>32</v>
      </c>
      <c r="G120">
        <f ca="1">IFERROR(__xludf.DUMMYFUNCTION("""COMPUTED_VALUE"""),2)</f>
        <v>2</v>
      </c>
    </row>
    <row r="121" spans="1:7" ht="12.75">
      <c r="A121" t="str">
        <f ca="1">IFERROR(__xludf.DUMMYFUNCTION("""COMPUTED_VALUE"""),"T116")</f>
        <v>T116</v>
      </c>
      <c r="B121" t="str">
        <f ca="1">IFERROR(__xludf.DUMMYFUNCTION("""COMPUTED_VALUE"""),"T117")</f>
        <v>T117</v>
      </c>
      <c r="C121" t="str">
        <f ca="1">IFERROR(__xludf.DUMMYFUNCTION("""COMPUTED_VALUE"""),"Kyle Stanley")</f>
        <v>Kyle Stanley</v>
      </c>
      <c r="D121">
        <f ca="1">IFERROR(__xludf.DUMMYFUNCTION("""COMPUTED_VALUE"""),16)</f>
        <v>16</v>
      </c>
      <c r="E121">
        <f ca="1">IFERROR(__xludf.DUMMYFUNCTION("""COMPUTED_VALUE"""),6.25)</f>
        <v>6.25</v>
      </c>
      <c r="F121">
        <f ca="1">IFERROR(__xludf.DUMMYFUNCTION("""COMPUTED_VALUE"""),32)</f>
        <v>32</v>
      </c>
      <c r="G121">
        <f ca="1">IFERROR(__xludf.DUMMYFUNCTION("""COMPUTED_VALUE"""),2)</f>
        <v>2</v>
      </c>
    </row>
    <row r="122" spans="1:7" ht="12.75">
      <c r="A122" t="str">
        <f ca="1">IFERROR(__xludf.DUMMYFUNCTION("""COMPUTED_VALUE"""),"T116")</f>
        <v>T116</v>
      </c>
      <c r="B122" t="str">
        <f ca="1">IFERROR(__xludf.DUMMYFUNCTION("""COMPUTED_VALUE"""),"")</f>
        <v/>
      </c>
      <c r="C122" t="str">
        <f ca="1">IFERROR(__xludf.DUMMYFUNCTION("""COMPUTED_VALUE"""),"Justin Harding")</f>
        <v>Justin Harding</v>
      </c>
      <c r="D122">
        <f ca="1">IFERROR(__xludf.DUMMYFUNCTION("""COMPUTED_VALUE"""),6)</f>
        <v>6</v>
      </c>
      <c r="E122">
        <f ca="1">IFERROR(__xludf.DUMMYFUNCTION("""COMPUTED_VALUE"""),6.25)</f>
        <v>6.25</v>
      </c>
      <c r="F122">
        <f ca="1">IFERROR(__xludf.DUMMYFUNCTION("""COMPUTED_VALUE"""),32)</f>
        <v>32</v>
      </c>
      <c r="G122">
        <f ca="1">IFERROR(__xludf.DUMMYFUNCTION("""COMPUTED_VALUE"""),2)</f>
        <v>2</v>
      </c>
    </row>
    <row r="123" spans="1:7" ht="12.75">
      <c r="A123" t="str">
        <f ca="1">IFERROR(__xludf.DUMMYFUNCTION("""COMPUTED_VALUE"""),"T116")</f>
        <v>T116</v>
      </c>
      <c r="B123" t="str">
        <f ca="1">IFERROR(__xludf.DUMMYFUNCTION("""COMPUTED_VALUE"""),"T141")</f>
        <v>T141</v>
      </c>
      <c r="C123" t="str">
        <f ca="1">IFERROR(__xludf.DUMMYFUNCTION("""COMPUTED_VALUE"""),"Adam Scott")</f>
        <v>Adam Scott</v>
      </c>
      <c r="D123">
        <f ca="1">IFERROR(__xludf.DUMMYFUNCTION("""COMPUTED_VALUE"""),8)</f>
        <v>8</v>
      </c>
      <c r="E123">
        <f ca="1">IFERROR(__xludf.DUMMYFUNCTION("""COMPUTED_VALUE"""),6.25)</f>
        <v>6.25</v>
      </c>
      <c r="F123">
        <f ca="1">IFERROR(__xludf.DUMMYFUNCTION("""COMPUTED_VALUE"""),32)</f>
        <v>32</v>
      </c>
      <c r="G123">
        <f ca="1">IFERROR(__xludf.DUMMYFUNCTION("""COMPUTED_VALUE"""),2)</f>
        <v>2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IFERROR(__xludf.DUMMYFUNCTION("""COMPUTED_VALUE"""),123)</f>
        <v>123</v>
      </c>
      <c r="C124" t="str">
        <f ca="1">IFERROR(__xludf.DUMMYFUNCTION("""COMPUTED_VALUE"""),"Joel Dahmen")</f>
        <v>Joel Dahmen</v>
      </c>
      <c r="D124">
        <f ca="1">IFERROR(__xludf.DUMMYFUNCTION("""COMPUTED_VALUE"""),18)</f>
        <v>18</v>
      </c>
      <c r="E124">
        <f ca="1">IFERROR(__xludf.DUMMYFUNCTION("""COMPUTED_VALUE"""),6.17)</f>
        <v>6.17</v>
      </c>
      <c r="F124">
        <f ca="1">IFERROR(__xludf.DUMMYFUNCTION("""COMPUTED_VALUE"""),81)</f>
        <v>81</v>
      </c>
      <c r="G124">
        <f ca="1">IFERROR(__xludf.DUMMYFUNCTION("""COMPUTED_VALUE"""),5)</f>
        <v>5</v>
      </c>
    </row>
    <row r="125" spans="1:7" ht="12.75">
      <c r="A125">
        <f ca="1">IFERROR(__xludf.DUMMYFUNCTION("""COMPUTED_VALUE"""),124)</f>
        <v>124</v>
      </c>
      <c r="B125" t="str">
        <f ca="1">IFERROR(__xludf.DUMMYFUNCTION("""COMPUTED_VALUE"""),"T132")</f>
        <v>T132</v>
      </c>
      <c r="C125" t="str">
        <f ca="1">IFERROR(__xludf.DUMMYFUNCTION("""COMPUTED_VALUE"""),"Hudson Swafford")</f>
        <v>Hudson Swafford</v>
      </c>
      <c r="D125">
        <f ca="1">IFERROR(__xludf.DUMMYFUNCTION("""COMPUTED_VALUE"""),18)</f>
        <v>18</v>
      </c>
      <c r="E125">
        <f ca="1">IFERROR(__xludf.DUMMYFUNCTION("""COMPUTED_VALUE"""),6.12)</f>
        <v>6.12</v>
      </c>
      <c r="F125">
        <f ca="1">IFERROR(__xludf.DUMMYFUNCTION("""COMPUTED_VALUE"""),49)</f>
        <v>49</v>
      </c>
      <c r="G125">
        <f ca="1">IFERROR(__xludf.DUMMYFUNCTION("""COMPUTED_VALUE"""),3)</f>
        <v>3</v>
      </c>
    </row>
    <row r="126" spans="1:7" ht="12.75">
      <c r="A126">
        <f ca="1">IFERROR(__xludf.DUMMYFUNCTION("""COMPUTED_VALUE"""),125)</f>
        <v>125</v>
      </c>
      <c r="B126" t="str">
        <f ca="1">IFERROR(__xludf.DUMMYFUNCTION("""COMPUTED_VALUE"""),"T109")</f>
        <v>T109</v>
      </c>
      <c r="C126" t="str">
        <f ca="1">IFERROR(__xludf.DUMMYFUNCTION("""COMPUTED_VALUE"""),"Lanto Griffin")</f>
        <v>Lanto Griffin</v>
      </c>
      <c r="D126">
        <f ca="1">IFERROR(__xludf.DUMMYFUNCTION("""COMPUTED_VALUE"""),18)</f>
        <v>18</v>
      </c>
      <c r="E126">
        <f ca="1">IFERROR(__xludf.DUMMYFUNCTION("""COMPUTED_VALUE"""),6.1)</f>
        <v>6.1</v>
      </c>
      <c r="F126">
        <f ca="1">IFERROR(__xludf.DUMMYFUNCTION("""COMPUTED_VALUE"""),82)</f>
        <v>82</v>
      </c>
      <c r="G126">
        <f ca="1">IFERROR(__xludf.DUMMYFUNCTION("""COMPUTED_VALUE"""),5)</f>
        <v>5</v>
      </c>
    </row>
    <row r="127" spans="1:7" ht="12.75">
      <c r="A127">
        <f ca="1">IFERROR(__xludf.DUMMYFUNCTION("""COMPUTED_VALUE"""),126)</f>
        <v>126</v>
      </c>
      <c r="B127" t="str">
        <f ca="1">IFERROR(__xludf.DUMMYFUNCTION("""COMPUTED_VALUE"""),"T125")</f>
        <v>T125</v>
      </c>
      <c r="C127" t="str">
        <f ca="1">IFERROR(__xludf.DUMMYFUNCTION("""COMPUTED_VALUE"""),"Jim Herman")</f>
        <v>Jim Herman</v>
      </c>
      <c r="D127">
        <f ca="1">IFERROR(__xludf.DUMMYFUNCTION("""COMPUTED_VALUE"""),12)</f>
        <v>12</v>
      </c>
      <c r="E127">
        <f ca="1">IFERROR(__xludf.DUMMYFUNCTION("""COMPUTED_VALUE"""),6)</f>
        <v>6</v>
      </c>
      <c r="F127">
        <f ca="1">IFERROR(__xludf.DUMMYFUNCTION("""COMPUTED_VALUE"""),50)</f>
        <v>50</v>
      </c>
      <c r="G127">
        <f ca="1">IFERROR(__xludf.DUMMYFUNCTION("""COMPUTED_VALUE"""),3)</f>
        <v>3</v>
      </c>
    </row>
    <row r="128" spans="1:7" ht="12.75">
      <c r="A128">
        <f ca="1">IFERROR(__xludf.DUMMYFUNCTION("""COMPUTED_VALUE"""),127)</f>
        <v>127</v>
      </c>
      <c r="B128" t="str">
        <f ca="1">IFERROR(__xludf.DUMMYFUNCTION("""COMPUTED_VALUE"""),"T103")</f>
        <v>T103</v>
      </c>
      <c r="C128" t="str">
        <f ca="1">IFERROR(__xludf.DUMMYFUNCTION("""COMPUTED_VALUE"""),"Adam Schenk")</f>
        <v>Adam Schenk</v>
      </c>
      <c r="D128">
        <f ca="1">IFERROR(__xludf.DUMMYFUNCTION("""COMPUTED_VALUE"""),22)</f>
        <v>22</v>
      </c>
      <c r="E128">
        <f ca="1">IFERROR(__xludf.DUMMYFUNCTION("""COMPUTED_VALUE"""),5.97)</f>
        <v>5.97</v>
      </c>
      <c r="F128">
        <f ca="1">IFERROR(__xludf.DUMMYFUNCTION("""COMPUTED_VALUE"""),67)</f>
        <v>67</v>
      </c>
      <c r="G128">
        <f ca="1">IFERROR(__xludf.DUMMYFUNCTION("""COMPUTED_VALUE"""),4)</f>
        <v>4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IFERROR(__xludf.DUMMYFUNCTION("""COMPUTED_VALUE"""),"T128")</f>
        <v>T128</v>
      </c>
      <c r="C129" t="str">
        <f ca="1">IFERROR(__xludf.DUMMYFUNCTION("""COMPUTED_VALUE"""),"Christiaan Bezuidenhout")</f>
        <v>Christiaan Bezuidenhout</v>
      </c>
      <c r="D129">
        <f ca="1">IFERROR(__xludf.DUMMYFUNCTION("""COMPUTED_VALUE"""),4)</f>
        <v>4</v>
      </c>
      <c r="E129">
        <f ca="1">IFERROR(__xludf.DUMMYFUNCTION("""COMPUTED_VALUE"""),5.88)</f>
        <v>5.88</v>
      </c>
      <c r="F129">
        <f ca="1">IFERROR(__xludf.DUMMYFUNCTION("""COMPUTED_VALUE"""),17)</f>
        <v>17</v>
      </c>
      <c r="G129">
        <f ca="1">IFERROR(__xludf.DUMMYFUNCTION("""COMPUTED_VALUE"""),1)</f>
        <v>1</v>
      </c>
    </row>
    <row r="130" spans="1:7" ht="12.75">
      <c r="A130" t="str">
        <f ca="1">IFERROR(__xludf.DUMMYFUNCTION("""COMPUTED_VALUE"""),"T128")</f>
        <v>T128</v>
      </c>
      <c r="B130">
        <f ca="1">IFERROR(__xludf.DUMMYFUNCTION("""COMPUTED_VALUE"""),95)</f>
        <v>95</v>
      </c>
      <c r="C130" t="str">
        <f ca="1">IFERROR(__xludf.DUMMYFUNCTION("""COMPUTED_VALUE"""),"Dylan Frittelli")</f>
        <v>Dylan Frittelli</v>
      </c>
      <c r="D130">
        <f ca="1">IFERROR(__xludf.DUMMYFUNCTION("""COMPUTED_VALUE"""),16)</f>
        <v>16</v>
      </c>
      <c r="E130">
        <f ca="1">IFERROR(__xludf.DUMMYFUNCTION("""COMPUTED_VALUE"""),5.88)</f>
        <v>5.88</v>
      </c>
      <c r="F130">
        <f ca="1">IFERROR(__xludf.DUMMYFUNCTION("""COMPUTED_VALUE"""),68)</f>
        <v>68</v>
      </c>
      <c r="G130">
        <f ca="1">IFERROR(__xludf.DUMMYFUNCTION("""COMPUTED_VALUE"""),4)</f>
        <v>4</v>
      </c>
    </row>
    <row r="131" spans="1:7" ht="12.75">
      <c r="A131" t="str">
        <f ca="1">IFERROR(__xludf.DUMMYFUNCTION("""COMPUTED_VALUE"""),"T128")</f>
        <v>T128</v>
      </c>
      <c r="B131" t="str">
        <f ca="1">IFERROR(__xludf.DUMMYFUNCTION("""COMPUTED_VALUE"""),"T128")</f>
        <v>T128</v>
      </c>
      <c r="C131" t="str">
        <f ca="1">IFERROR(__xludf.DUMMYFUNCTION("""COMPUTED_VALUE"""),"Matt Every")</f>
        <v>Matt Every</v>
      </c>
      <c r="D131">
        <f ca="1">IFERROR(__xludf.DUMMYFUNCTION("""COMPUTED_VALUE"""),8)</f>
        <v>8</v>
      </c>
      <c r="E131">
        <f ca="1">IFERROR(__xludf.DUMMYFUNCTION("""COMPUTED_VALUE"""),5.88)</f>
        <v>5.88</v>
      </c>
      <c r="F131">
        <f ca="1">IFERROR(__xludf.DUMMYFUNCTION("""COMPUTED_VALUE"""),17)</f>
        <v>17</v>
      </c>
      <c r="G131">
        <f ca="1">IFERROR(__xludf.DUMMYFUNCTION("""COMPUTED_VALUE"""),1)</f>
        <v>1</v>
      </c>
    </row>
    <row r="132" spans="1:7" ht="12.75">
      <c r="A132" t="str">
        <f ca="1">IFERROR(__xludf.DUMMYFUNCTION("""COMPUTED_VALUE"""),"T128")</f>
        <v>T128</v>
      </c>
      <c r="B132" t="str">
        <f ca="1">IFERROR(__xludf.DUMMYFUNCTION("""COMPUTED_VALUE"""),"T128")</f>
        <v>T128</v>
      </c>
      <c r="C132" t="str">
        <f ca="1">IFERROR(__xludf.DUMMYFUNCTION("""COMPUTED_VALUE"""),"Jim Furyk")</f>
        <v>Jim Furyk</v>
      </c>
      <c r="D132">
        <f ca="1">IFERROR(__xludf.DUMMYFUNCTION("""COMPUTED_VALUE"""),4)</f>
        <v>4</v>
      </c>
      <c r="E132">
        <f ca="1">IFERROR(__xludf.DUMMYFUNCTION("""COMPUTED_VALUE"""),5.88)</f>
        <v>5.88</v>
      </c>
      <c r="F132">
        <f ca="1">IFERROR(__xludf.DUMMYFUNCTION("""COMPUTED_VALUE"""),17)</f>
        <v>17</v>
      </c>
      <c r="G132">
        <f ca="1">IFERROR(__xludf.DUMMYFUNCTION("""COMPUTED_VALUE"""),1)</f>
        <v>1</v>
      </c>
    </row>
    <row r="133" spans="1:7" ht="12.75">
      <c r="A133">
        <f ca="1">IFERROR(__xludf.DUMMYFUNCTION("""COMPUTED_VALUE"""),132)</f>
        <v>132</v>
      </c>
      <c r="B133" t="str">
        <f ca="1">IFERROR(__xludf.DUMMYFUNCTION("""COMPUTED_VALUE"""),"T100")</f>
        <v>T100</v>
      </c>
      <c r="C133" t="str">
        <f ca="1">IFERROR(__xludf.DUMMYFUNCTION("""COMPUTED_VALUE"""),"Brian Harman")</f>
        <v>Brian Harman</v>
      </c>
      <c r="D133">
        <f ca="1">IFERROR(__xludf.DUMMYFUNCTION("""COMPUTED_VALUE"""),24)</f>
        <v>24</v>
      </c>
      <c r="E133">
        <f ca="1">IFERROR(__xludf.DUMMYFUNCTION("""COMPUTED_VALUE"""),5.83)</f>
        <v>5.83</v>
      </c>
      <c r="F133">
        <f ca="1">IFERROR(__xludf.DUMMYFUNCTION("""COMPUTED_VALUE"""),103)</f>
        <v>103</v>
      </c>
      <c r="G133">
        <f ca="1">IFERROR(__xludf.DUMMYFUNCTION("""COMPUTED_VALUE"""),6)</f>
        <v>6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IFERROR(__xludf.DUMMYFUNCTION("""COMPUTED_VALUE"""),"T109")</f>
        <v>T109</v>
      </c>
      <c r="C134" t="str">
        <f ca="1">IFERROR(__xludf.DUMMYFUNCTION("""COMPUTED_VALUE"""),"Henrik Norlander")</f>
        <v>Henrik Norlander</v>
      </c>
      <c r="D134">
        <f ca="1">IFERROR(__xludf.DUMMYFUNCTION("""COMPUTED_VALUE"""),16)</f>
        <v>16</v>
      </c>
      <c r="E134">
        <f ca="1">IFERROR(__xludf.DUMMYFUNCTION("""COMPUTED_VALUE"""),5.8)</f>
        <v>5.8</v>
      </c>
      <c r="F134">
        <f ca="1">IFERROR(__xludf.DUMMYFUNCTION("""COMPUTED_VALUE"""),69)</f>
        <v>69</v>
      </c>
      <c r="G134">
        <f ca="1">IFERROR(__xludf.DUMMYFUNCTION("""COMPUTED_VALUE"""),4)</f>
        <v>4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IFERROR(__xludf.DUMMYFUNCTION("""COMPUTED_VALUE"""),134)</f>
        <v>134</v>
      </c>
      <c r="C135" t="str">
        <f ca="1">IFERROR(__xludf.DUMMYFUNCTION("""COMPUTED_VALUE"""),"Kevin Na")</f>
        <v>Kevin Na</v>
      </c>
      <c r="D135">
        <f ca="1">IFERROR(__xludf.DUMMYFUNCTION("""COMPUTED_VALUE"""),14)</f>
        <v>14</v>
      </c>
      <c r="E135">
        <f ca="1">IFERROR(__xludf.DUMMYFUNCTION("""COMPUTED_VALUE"""),5.66)</f>
        <v>5.66</v>
      </c>
      <c r="F135">
        <f ca="1">IFERROR(__xludf.DUMMYFUNCTION("""COMPUTED_VALUE"""),53)</f>
        <v>53</v>
      </c>
      <c r="G135">
        <f ca="1">IFERROR(__xludf.DUMMYFUNCTION("""COMPUTED_VALUE"""),3)</f>
        <v>3</v>
      </c>
    </row>
    <row r="136" spans="1:7" ht="12.75">
      <c r="A136">
        <f ca="1">IFERROR(__xludf.DUMMYFUNCTION("""COMPUTED_VALUE"""),135)</f>
        <v>135</v>
      </c>
      <c r="B136" t="str">
        <f ca="1">IFERROR(__xludf.DUMMYFUNCTION("""COMPUTED_VALUE"""),"T180")</f>
        <v>T180</v>
      </c>
      <c r="C136" t="str">
        <f ca="1">IFERROR(__xludf.DUMMYFUNCTION("""COMPUTED_VALUE"""),"Hideki Matsuyama")</f>
        <v>Hideki Matsuyama</v>
      </c>
      <c r="D136">
        <f ca="1">IFERROR(__xludf.DUMMYFUNCTION("""COMPUTED_VALUE"""),18)</f>
        <v>18</v>
      </c>
      <c r="E136">
        <f ca="1">IFERROR(__xludf.DUMMYFUNCTION("""COMPUTED_VALUE"""),5.63)</f>
        <v>5.63</v>
      </c>
      <c r="F136">
        <f ca="1">IFERROR(__xludf.DUMMYFUNCTION("""COMPUTED_VALUE"""),71)</f>
        <v>71</v>
      </c>
      <c r="G136">
        <f ca="1">IFERROR(__xludf.DUMMYFUNCTION("""COMPUTED_VALUE"""),4)</f>
        <v>4</v>
      </c>
    </row>
    <row r="137" spans="1:7" ht="12.75">
      <c r="A137" t="str">
        <f ca="1">IFERROR(__xludf.DUMMYFUNCTION("""COMPUTED_VALUE"""),"T136")</f>
        <v>T136</v>
      </c>
      <c r="B137" t="str">
        <f ca="1">IFERROR(__xludf.DUMMYFUNCTION("""COMPUTED_VALUE"""),"T135")</f>
        <v>T135</v>
      </c>
      <c r="C137" t="str">
        <f ca="1">IFERROR(__xludf.DUMMYFUNCTION("""COMPUTED_VALUE"""),"Chris Stroud")</f>
        <v>Chris Stroud</v>
      </c>
      <c r="D137">
        <f ca="1">IFERROR(__xludf.DUMMYFUNCTION("""COMPUTED_VALUE"""),6)</f>
        <v>6</v>
      </c>
      <c r="E137">
        <f ca="1">IFERROR(__xludf.DUMMYFUNCTION("""COMPUTED_VALUE"""),5.56)</f>
        <v>5.56</v>
      </c>
      <c r="F137">
        <f ca="1">IFERROR(__xludf.DUMMYFUNCTION("""COMPUTED_VALUE"""),18)</f>
        <v>18</v>
      </c>
      <c r="G137">
        <f ca="1">IFERROR(__xludf.DUMMYFUNCTION("""COMPUTED_VALUE"""),1)</f>
        <v>1</v>
      </c>
    </row>
    <row r="138" spans="1:7" ht="12.75">
      <c r="A138" t="str">
        <f ca="1">IFERROR(__xludf.DUMMYFUNCTION("""COMPUTED_VALUE"""),"T136")</f>
        <v>T136</v>
      </c>
      <c r="B138" t="str">
        <f ca="1">IFERROR(__xludf.DUMMYFUNCTION("""COMPUTED_VALUE"""),"T135")</f>
        <v>T135</v>
      </c>
      <c r="C138" t="str">
        <f ca="1">IFERROR(__xludf.DUMMYFUNCTION("""COMPUTED_VALUE"""),"Brad Kennedy")</f>
        <v>Brad Kennedy</v>
      </c>
      <c r="D138">
        <f ca="1">IFERROR(__xludf.DUMMYFUNCTION("""COMPUTED_VALUE"""),4)</f>
        <v>4</v>
      </c>
      <c r="E138">
        <f ca="1">IFERROR(__xludf.DUMMYFUNCTION("""COMPUTED_VALUE"""),5.56)</f>
        <v>5.56</v>
      </c>
      <c r="F138">
        <f ca="1">IFERROR(__xludf.DUMMYFUNCTION("""COMPUTED_VALUE"""),18)</f>
        <v>18</v>
      </c>
      <c r="G138">
        <f ca="1">IFERROR(__xludf.DUMMYFUNCTION("""COMPUTED_VALUE"""),1)</f>
        <v>1</v>
      </c>
    </row>
    <row r="139" spans="1:7" ht="12.75">
      <c r="A139" t="str">
        <f ca="1">IFERROR(__xludf.DUMMYFUNCTION("""COMPUTED_VALUE"""),"T136")</f>
        <v>T136</v>
      </c>
      <c r="B139" t="str">
        <f ca="1">IFERROR(__xludf.DUMMYFUNCTION("""COMPUTED_VALUE"""),"T135")</f>
        <v>T135</v>
      </c>
      <c r="C139" t="str">
        <f ca="1">IFERROR(__xludf.DUMMYFUNCTION("""COMPUTED_VALUE"""),"Roger Sloan")</f>
        <v>Roger Sloan</v>
      </c>
      <c r="D139">
        <f ca="1">IFERROR(__xludf.DUMMYFUNCTION("""COMPUTED_VALUE"""),12)</f>
        <v>12</v>
      </c>
      <c r="E139">
        <f ca="1">IFERROR(__xludf.DUMMYFUNCTION("""COMPUTED_VALUE"""),5.56)</f>
        <v>5.56</v>
      </c>
      <c r="F139">
        <f ca="1">IFERROR(__xludf.DUMMYFUNCTION("""COMPUTED_VALUE"""),18)</f>
        <v>18</v>
      </c>
      <c r="G139">
        <f ca="1">IFERROR(__xludf.DUMMYFUNCTION("""COMPUTED_VALUE"""),1)</f>
        <v>1</v>
      </c>
    </row>
    <row r="140" spans="1:7" ht="12.75">
      <c r="A140" t="str">
        <f ca="1">IFERROR(__xludf.DUMMYFUNCTION("""COMPUTED_VALUE"""),"T139")</f>
        <v>T139</v>
      </c>
      <c r="B140">
        <f ca="1">IFERROR(__xludf.DUMMYFUNCTION("""COMPUTED_VALUE"""),167)</f>
        <v>167</v>
      </c>
      <c r="C140" t="str">
        <f ca="1">IFERROR(__xludf.DUMMYFUNCTION("""COMPUTED_VALUE"""),"Si Woo Kim")</f>
        <v>Si Woo Kim</v>
      </c>
      <c r="D140">
        <f ca="1">IFERROR(__xludf.DUMMYFUNCTION("""COMPUTED_VALUE"""),20)</f>
        <v>20</v>
      </c>
      <c r="E140">
        <f ca="1">IFERROR(__xludf.DUMMYFUNCTION("""COMPUTED_VALUE"""),5.26)</f>
        <v>5.26</v>
      </c>
      <c r="F140">
        <f ca="1">IFERROR(__xludf.DUMMYFUNCTION("""COMPUTED_VALUE"""),76)</f>
        <v>76</v>
      </c>
      <c r="G140">
        <f ca="1">IFERROR(__xludf.DUMMYFUNCTION("""COMPUTED_VALUE"""),4)</f>
        <v>4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IFERROR(__xludf.DUMMYFUNCTION("""COMPUTED_VALUE"""),"T148")</f>
        <v>T148</v>
      </c>
      <c r="C141" t="str">
        <f ca="1">IFERROR(__xludf.DUMMYFUNCTION("""COMPUTED_VALUE"""),"Doc Redman")</f>
        <v>Doc Redman</v>
      </c>
      <c r="D141">
        <f ca="1">IFERROR(__xludf.DUMMYFUNCTION("""COMPUTED_VALUE"""),18)</f>
        <v>18</v>
      </c>
      <c r="E141">
        <f ca="1">IFERROR(__xludf.DUMMYFUNCTION("""COMPUTED_VALUE"""),5.26)</f>
        <v>5.26</v>
      </c>
      <c r="F141">
        <f ca="1">IFERROR(__xludf.DUMMYFUNCTION("""COMPUTED_VALUE"""),57)</f>
        <v>57</v>
      </c>
      <c r="G141">
        <f ca="1">IFERROR(__xludf.DUMMYFUNCTION("""COMPUTED_VALUE"""),3)</f>
        <v>3</v>
      </c>
    </row>
    <row r="142" spans="1:7" ht="12.75">
      <c r="A142" t="str">
        <f ca="1">IFERROR(__xludf.DUMMYFUNCTION("""COMPUTED_VALUE"""),"T139")</f>
        <v>T139</v>
      </c>
      <c r="B142" t="str">
        <f ca="1">IFERROR(__xludf.DUMMYFUNCTION("""COMPUTED_VALUE"""),"T141")</f>
        <v>T141</v>
      </c>
      <c r="C142" t="str">
        <f ca="1">IFERROR(__xludf.DUMMYFUNCTION("""COMPUTED_VALUE"""),"Justin Rose")</f>
        <v>Justin Rose</v>
      </c>
      <c r="D142">
        <f ca="1">IFERROR(__xludf.DUMMYFUNCTION("""COMPUTED_VALUE"""),10)</f>
        <v>10</v>
      </c>
      <c r="E142">
        <f ca="1">IFERROR(__xludf.DUMMYFUNCTION("""COMPUTED_VALUE"""),5.26)</f>
        <v>5.26</v>
      </c>
      <c r="F142">
        <f ca="1">IFERROR(__xludf.DUMMYFUNCTION("""COMPUTED_VALUE"""),38)</f>
        <v>38</v>
      </c>
      <c r="G142">
        <f ca="1">IFERROR(__xludf.DUMMYFUNCTION("""COMPUTED_VALUE"""),2)</f>
        <v>2</v>
      </c>
    </row>
    <row r="143" spans="1:7" ht="12.75">
      <c r="A143" t="str">
        <f ca="1">IFERROR(__xludf.DUMMYFUNCTION("""COMPUTED_VALUE"""),"T139")</f>
        <v>T139</v>
      </c>
      <c r="B143" t="str">
        <f ca="1">IFERROR(__xludf.DUMMYFUNCTION("""COMPUTED_VALUE"""),"T87")</f>
        <v>T87</v>
      </c>
      <c r="C143" t="str">
        <f ca="1">IFERROR(__xludf.DUMMYFUNCTION("""COMPUTED_VALUE"""),"Jimmy Walker")</f>
        <v>Jimmy Walker</v>
      </c>
      <c r="D143">
        <f ca="1">IFERROR(__xludf.DUMMYFUNCTION("""COMPUTED_VALUE"""),10)</f>
        <v>10</v>
      </c>
      <c r="E143">
        <f ca="1">IFERROR(__xludf.DUMMYFUNCTION("""COMPUTED_VALUE"""),5.26)</f>
        <v>5.26</v>
      </c>
      <c r="F143">
        <f ca="1">IFERROR(__xludf.DUMMYFUNCTION("""COMPUTED_VALUE"""),38)</f>
        <v>38</v>
      </c>
      <c r="G143">
        <f ca="1">IFERROR(__xludf.DUMMYFUNCTION("""COMPUTED_VALUE"""),2)</f>
        <v>2</v>
      </c>
    </row>
    <row r="144" spans="1:7" ht="12.75">
      <c r="A144" t="str">
        <f ca="1">IFERROR(__xludf.DUMMYFUNCTION("""COMPUTED_VALUE"""),"T139")</f>
        <v>T139</v>
      </c>
      <c r="B144" t="str">
        <f ca="1">IFERROR(__xludf.DUMMYFUNCTION("""COMPUTED_VALUE"""),"T141")</f>
        <v>T141</v>
      </c>
      <c r="C144" t="str">
        <f ca="1">IFERROR(__xludf.DUMMYFUNCTION("""COMPUTED_VALUE"""),"Rob Oppenheim")</f>
        <v>Rob Oppenheim</v>
      </c>
      <c r="D144">
        <f ca="1">IFERROR(__xludf.DUMMYFUNCTION("""COMPUTED_VALUE"""),16)</f>
        <v>16</v>
      </c>
      <c r="E144">
        <f ca="1">IFERROR(__xludf.DUMMYFUNCTION("""COMPUTED_VALUE"""),5.26)</f>
        <v>5.26</v>
      </c>
      <c r="F144">
        <f ca="1">IFERROR(__xludf.DUMMYFUNCTION("""COMPUTED_VALUE"""),38)</f>
        <v>38</v>
      </c>
      <c r="G144">
        <f ca="1">IFERROR(__xludf.DUMMYFUNCTION("""COMPUTED_VALUE"""),2)</f>
        <v>2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IFERROR(__xludf.DUMMYFUNCTION("""COMPUTED_VALUE"""),"T162")</f>
        <v>T162</v>
      </c>
      <c r="C145" t="str">
        <f ca="1">IFERROR(__xludf.DUMMYFUNCTION("""COMPUTED_VALUE"""),"Kevin Streelman")</f>
        <v>Kevin Streelman</v>
      </c>
      <c r="D145">
        <f ca="1">IFERROR(__xludf.DUMMYFUNCTION("""COMPUTED_VALUE"""),18)</f>
        <v>18</v>
      </c>
      <c r="E145">
        <f ca="1">IFERROR(__xludf.DUMMYFUNCTION("""COMPUTED_VALUE"""),5.13)</f>
        <v>5.13</v>
      </c>
      <c r="F145">
        <f ca="1">IFERROR(__xludf.DUMMYFUNCTION("""COMPUTED_VALUE"""),78)</f>
        <v>78</v>
      </c>
      <c r="G145">
        <f ca="1">IFERROR(__xludf.DUMMYFUNCTION("""COMPUTED_VALUE"""),4)</f>
        <v>4</v>
      </c>
    </row>
    <row r="146" spans="1:7" ht="12.75">
      <c r="A146" t="str">
        <f ca="1">IFERROR(__xludf.DUMMYFUNCTION("""COMPUTED_VALUE"""),"T145")</f>
        <v>T145</v>
      </c>
      <c r="B146" t="str">
        <f ca="1">IFERROR(__xludf.DUMMYFUNCTION("""COMPUTED_VALUE"""),"T213")</f>
        <v>T213</v>
      </c>
      <c r="C146" t="str">
        <f ca="1">IFERROR(__xludf.DUMMYFUNCTION("""COMPUTED_VALUE"""),"Scott Piercy")</f>
        <v>Scott Piercy</v>
      </c>
      <c r="D146">
        <f ca="1">IFERROR(__xludf.DUMMYFUNCTION("""COMPUTED_VALUE"""),18)</f>
        <v>18</v>
      </c>
      <c r="E146">
        <f ca="1">IFERROR(__xludf.DUMMYFUNCTION("""COMPUTED_VALUE"""),5.08)</f>
        <v>5.08</v>
      </c>
      <c r="F146">
        <f ca="1">IFERROR(__xludf.DUMMYFUNCTION("""COMPUTED_VALUE"""),59)</f>
        <v>59</v>
      </c>
      <c r="G146">
        <f ca="1">IFERROR(__xludf.DUMMYFUNCTION("""COMPUTED_VALUE"""),3)</f>
        <v>3</v>
      </c>
    </row>
    <row r="147" spans="1:7" ht="12.75">
      <c r="A147" t="str">
        <f ca="1">IFERROR(__xludf.DUMMYFUNCTION("""COMPUTED_VALUE"""),"T145")</f>
        <v>T145</v>
      </c>
      <c r="B147" t="str">
        <f ca="1">IFERROR(__xludf.DUMMYFUNCTION("""COMPUTED_VALUE"""),"T117")</f>
        <v>T117</v>
      </c>
      <c r="C147" t="str">
        <f ca="1">IFERROR(__xludf.DUMMYFUNCTION("""COMPUTED_VALUE"""),"Martin Laird")</f>
        <v>Martin Laird</v>
      </c>
      <c r="D147">
        <f ca="1">IFERROR(__xludf.DUMMYFUNCTION("""COMPUTED_VALUE"""),16)</f>
        <v>16</v>
      </c>
      <c r="E147">
        <f ca="1">IFERROR(__xludf.DUMMYFUNCTION("""COMPUTED_VALUE"""),5.08)</f>
        <v>5.08</v>
      </c>
      <c r="F147">
        <f ca="1">IFERROR(__xludf.DUMMYFUNCTION("""COMPUTED_VALUE"""),59)</f>
        <v>59</v>
      </c>
      <c r="G147">
        <f ca="1">IFERROR(__xludf.DUMMYFUNCTION("""COMPUTED_VALUE"""),3)</f>
        <v>3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IFERROR(__xludf.DUMMYFUNCTION("""COMPUTED_VALUE"""),"T77")</f>
        <v>T77</v>
      </c>
      <c r="C148" t="str">
        <f ca="1">IFERROR(__xludf.DUMMYFUNCTION("""COMPUTED_VALUE"""),"Matt Jones")</f>
        <v>Matt Jones</v>
      </c>
      <c r="D148">
        <f ca="1">IFERROR(__xludf.DUMMYFUNCTION("""COMPUTED_VALUE"""),20)</f>
        <v>20</v>
      </c>
      <c r="E148">
        <f ca="1">IFERROR(__xludf.DUMMYFUNCTION("""COMPUTED_VALUE"""),5)</f>
        <v>5</v>
      </c>
      <c r="F148">
        <f ca="1">IFERROR(__xludf.DUMMYFUNCTION("""COMPUTED_VALUE"""),60)</f>
        <v>60</v>
      </c>
      <c r="G148">
        <f ca="1">IFERROR(__xludf.DUMMYFUNCTION("""COMPUTED_VALUE"""),3)</f>
        <v>3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IFERROR(__xludf.DUMMYFUNCTION("""COMPUTED_VALUE"""),"")</f>
        <v/>
      </c>
      <c r="C149" t="str">
        <f ca="1">IFERROR(__xludf.DUMMYFUNCTION("""COMPUTED_VALUE"""),"Padraig Harrington")</f>
        <v>Padraig Harrington</v>
      </c>
      <c r="D149">
        <f ca="1">IFERROR(__xludf.DUMMYFUNCTION("""COMPUTED_VALUE"""),8)</f>
        <v>8</v>
      </c>
      <c r="E149">
        <f ca="1">IFERROR(__xludf.DUMMYFUNCTION("""COMPUTED_VALUE"""),5)</f>
        <v>5</v>
      </c>
      <c r="F149">
        <f ca="1">IFERROR(__xludf.DUMMYFUNCTION("""COMPUTED_VALUE"""),20)</f>
        <v>20</v>
      </c>
      <c r="G149">
        <f ca="1">IFERROR(__xludf.DUMMYFUNCTION("""COMPUTED_VALUE"""),1)</f>
        <v>1</v>
      </c>
    </row>
    <row r="150" spans="1:7" ht="12.75">
      <c r="A150" t="str">
        <f ca="1">IFERROR(__xludf.DUMMYFUNCTION("""COMPUTED_VALUE"""),"T147")</f>
        <v>T147</v>
      </c>
      <c r="B150" t="str">
        <f ca="1">IFERROR(__xludf.DUMMYFUNCTION("""COMPUTED_VALUE"""),"T145")</f>
        <v>T145</v>
      </c>
      <c r="C150" t="str">
        <f ca="1">IFERROR(__xludf.DUMMYFUNCTION("""COMPUTED_VALUE"""),"Robert MacIntyre")</f>
        <v>Robert MacIntyre</v>
      </c>
      <c r="D150">
        <f ca="1">IFERROR(__xludf.DUMMYFUNCTION("""COMPUTED_VALUE"""),4)</f>
        <v>4</v>
      </c>
      <c r="E150">
        <f ca="1">IFERROR(__xludf.DUMMYFUNCTION("""COMPUTED_VALUE"""),5)</f>
        <v>5</v>
      </c>
      <c r="F150">
        <f ca="1">IFERROR(__xludf.DUMMYFUNCTION("""COMPUTED_VALUE"""),20)</f>
        <v>20</v>
      </c>
      <c r="G150">
        <f ca="1">IFERROR(__xludf.DUMMYFUNCTION("""COMPUTED_VALUE"""),1)</f>
        <v>1</v>
      </c>
    </row>
    <row r="151" spans="1:7" ht="12.75">
      <c r="A151" t="str">
        <f ca="1">IFERROR(__xludf.DUMMYFUNCTION("""COMPUTED_VALUE"""),"T147")</f>
        <v>T147</v>
      </c>
      <c r="B151" t="str">
        <f ca="1">IFERROR(__xludf.DUMMYFUNCTION("""COMPUTED_VALUE"""),"T145")</f>
        <v>T145</v>
      </c>
      <c r="C151" t="str">
        <f ca="1">IFERROR(__xludf.DUMMYFUNCTION("""COMPUTED_VALUE"""),"Lucas Herbert")</f>
        <v>Lucas Herbert</v>
      </c>
      <c r="D151">
        <f ca="1">IFERROR(__xludf.DUMMYFUNCTION("""COMPUTED_VALUE"""),4)</f>
        <v>4</v>
      </c>
      <c r="E151">
        <f ca="1">IFERROR(__xludf.DUMMYFUNCTION("""COMPUTED_VALUE"""),5)</f>
        <v>5</v>
      </c>
      <c r="F151">
        <f ca="1">IFERROR(__xludf.DUMMYFUNCTION("""COMPUTED_VALUE"""),20)</f>
        <v>20</v>
      </c>
      <c r="G151">
        <f ca="1">IFERROR(__xludf.DUMMYFUNCTION("""COMPUTED_VALUE"""),1)</f>
        <v>1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IFERROR(__xludf.DUMMYFUNCTION("""COMPUTED_VALUE"""),140)</f>
        <v>140</v>
      </c>
      <c r="C152" t="str">
        <f ca="1">IFERROR(__xludf.DUMMYFUNCTION("""COMPUTED_VALUE"""),"Sergio Garcia")</f>
        <v>Sergio Garcia</v>
      </c>
      <c r="D152">
        <f ca="1">IFERROR(__xludf.DUMMYFUNCTION("""COMPUTED_VALUE"""),18)</f>
        <v>18</v>
      </c>
      <c r="E152">
        <f ca="1">IFERROR(__xludf.DUMMYFUNCTION("""COMPUTED_VALUE"""),4.94)</f>
        <v>4.9400000000000004</v>
      </c>
      <c r="F152">
        <f ca="1">IFERROR(__xludf.DUMMYFUNCTION("""COMPUTED_VALUE"""),81)</f>
        <v>81</v>
      </c>
      <c r="G152">
        <f ca="1">IFERROR(__xludf.DUMMYFUNCTION("""COMPUTED_VALUE"""),4)</f>
        <v>4</v>
      </c>
    </row>
    <row r="153" spans="1:7" ht="12.75">
      <c r="A153">
        <f ca="1">IFERROR(__xludf.DUMMYFUNCTION("""COMPUTED_VALUE"""),152)</f>
        <v>152</v>
      </c>
      <c r="B153" t="str">
        <f ca="1">IFERROR(__xludf.DUMMYFUNCTION("""COMPUTED_VALUE"""),"T145")</f>
        <v>T145</v>
      </c>
      <c r="C153" t="str">
        <f ca="1">IFERROR(__xludf.DUMMYFUNCTION("""COMPUTED_VALUE"""),"Harold Varner III")</f>
        <v>Harold Varner III</v>
      </c>
      <c r="D153">
        <f ca="1">IFERROR(__xludf.DUMMYFUNCTION("""COMPUTED_VALUE"""),14)</f>
        <v>14</v>
      </c>
      <c r="E153">
        <f ca="1">IFERROR(__xludf.DUMMYFUNCTION("""COMPUTED_VALUE"""),4.92)</f>
        <v>4.92</v>
      </c>
      <c r="F153">
        <f ca="1">IFERROR(__xludf.DUMMYFUNCTION("""COMPUTED_VALUE"""),61)</f>
        <v>61</v>
      </c>
      <c r="G153">
        <f ca="1">IFERROR(__xludf.DUMMYFUNCTION("""COMPUTED_VALUE"""),3)</f>
        <v>3</v>
      </c>
    </row>
    <row r="154" spans="1:7" ht="12.75">
      <c r="A154" t="str">
        <f ca="1">IFERROR(__xludf.DUMMYFUNCTION("""COMPUTED_VALUE"""),"T153")</f>
        <v>T153</v>
      </c>
      <c r="B154">
        <f ca="1">IFERROR(__xludf.DUMMYFUNCTION("""COMPUTED_VALUE"""),156)</f>
        <v>156</v>
      </c>
      <c r="C154" t="str">
        <f ca="1">IFERROR(__xludf.DUMMYFUNCTION("""COMPUTED_VALUE"""),"Will Gordon")</f>
        <v>Will Gordon</v>
      </c>
      <c r="D154">
        <f ca="1">IFERROR(__xludf.DUMMYFUNCTION("""COMPUTED_VALUE"""),20)</f>
        <v>20</v>
      </c>
      <c r="E154">
        <f ca="1">IFERROR(__xludf.DUMMYFUNCTION("""COMPUTED_VALUE"""),4.84)</f>
        <v>4.84</v>
      </c>
      <c r="F154">
        <f ca="1">IFERROR(__xludf.DUMMYFUNCTION("""COMPUTED_VALUE"""),62)</f>
        <v>62</v>
      </c>
      <c r="G154">
        <f ca="1">IFERROR(__xludf.DUMMYFUNCTION("""COMPUTED_VALUE"""),3)</f>
        <v>3</v>
      </c>
    </row>
    <row r="155" spans="1:7" ht="12.75">
      <c r="A155" t="str">
        <f ca="1">IFERROR(__xludf.DUMMYFUNCTION("""COMPUTED_VALUE"""),"T153")</f>
        <v>T153</v>
      </c>
      <c r="B155" t="str">
        <f ca="1">IFERROR(__xludf.DUMMYFUNCTION("""COMPUTED_VALUE"""),"T100")</f>
        <v>T100</v>
      </c>
      <c r="C155" t="str">
        <f ca="1">IFERROR(__xludf.DUMMYFUNCTION("""COMPUTED_VALUE"""),"Nate Lashley")</f>
        <v>Nate Lashley</v>
      </c>
      <c r="D155">
        <f ca="1">IFERROR(__xludf.DUMMYFUNCTION("""COMPUTED_VALUE"""),16)</f>
        <v>16</v>
      </c>
      <c r="E155">
        <f ca="1">IFERROR(__xludf.DUMMYFUNCTION("""COMPUTED_VALUE"""),4.84)</f>
        <v>4.84</v>
      </c>
      <c r="F155">
        <f ca="1">IFERROR(__xludf.DUMMYFUNCTION("""COMPUTED_VALUE"""),62)</f>
        <v>62</v>
      </c>
      <c r="G155">
        <f ca="1">IFERROR(__xludf.DUMMYFUNCTION("""COMPUTED_VALUE"""),3)</f>
        <v>3</v>
      </c>
    </row>
    <row r="156" spans="1:7" ht="12.75">
      <c r="A156" t="str">
        <f ca="1">IFERROR(__xludf.DUMMYFUNCTION("""COMPUTED_VALUE"""),"T155")</f>
        <v>T155</v>
      </c>
      <c r="B156" t="str">
        <f ca="1">IFERROR(__xludf.DUMMYFUNCTION("""COMPUTED_VALUE"""),"T182")</f>
        <v>T182</v>
      </c>
      <c r="C156" t="str">
        <f ca="1">IFERROR(__xludf.DUMMYFUNCTION("""COMPUTED_VALUE"""),"Fabián Gómez")</f>
        <v>Fabián Gómez</v>
      </c>
      <c r="D156">
        <f ca="1">IFERROR(__xludf.DUMMYFUNCTION("""COMPUTED_VALUE"""),16)</f>
        <v>16</v>
      </c>
      <c r="E156">
        <f ca="1">IFERROR(__xludf.DUMMYFUNCTION("""COMPUTED_VALUE"""),4.76)</f>
        <v>4.76</v>
      </c>
      <c r="F156">
        <f ca="1">IFERROR(__xludf.DUMMYFUNCTION("""COMPUTED_VALUE"""),42)</f>
        <v>42</v>
      </c>
      <c r="G156">
        <f ca="1">IFERROR(__xludf.DUMMYFUNCTION("""COMPUTED_VALUE"""),2)</f>
        <v>2</v>
      </c>
    </row>
    <row r="157" spans="1:7" ht="12.75">
      <c r="A157" t="str">
        <f ca="1">IFERROR(__xludf.DUMMYFUNCTION("""COMPUTED_VALUE"""),"T155")</f>
        <v>T155</v>
      </c>
      <c r="B157" t="str">
        <f ca="1">IFERROR(__xludf.DUMMYFUNCTION("""COMPUTED_VALUE"""),"T213")</f>
        <v>T213</v>
      </c>
      <c r="C157" t="str">
        <f ca="1">IFERROR(__xludf.DUMMYFUNCTION("""COMPUTED_VALUE"""),"Vaughn Taylor")</f>
        <v>Vaughn Taylor</v>
      </c>
      <c r="D157">
        <f ca="1">IFERROR(__xludf.DUMMYFUNCTION("""COMPUTED_VALUE"""),12)</f>
        <v>12</v>
      </c>
      <c r="E157">
        <f ca="1">IFERROR(__xludf.DUMMYFUNCTION("""COMPUTED_VALUE"""),4.76)</f>
        <v>4.76</v>
      </c>
      <c r="F157">
        <f ca="1">IFERROR(__xludf.DUMMYFUNCTION("""COMPUTED_VALUE"""),21)</f>
        <v>21</v>
      </c>
      <c r="G157">
        <f ca="1">IFERROR(__xludf.DUMMYFUNCTION("""COMPUTED_VALUE"""),1)</f>
        <v>1</v>
      </c>
    </row>
    <row r="158" spans="1:7" ht="12.75">
      <c r="A158" t="str">
        <f ca="1">IFERROR(__xludf.DUMMYFUNCTION("""COMPUTED_VALUE"""),"T155")</f>
        <v>T155</v>
      </c>
      <c r="B158" t="str">
        <f ca="1">IFERROR(__xludf.DUMMYFUNCTION("""COMPUTED_VALUE"""),"")</f>
        <v/>
      </c>
      <c r="C158" t="str">
        <f ca="1">IFERROR(__xludf.DUMMYFUNCTION("""COMPUTED_VALUE"""),"Francesco Molinari")</f>
        <v>Francesco Molinari</v>
      </c>
      <c r="D158">
        <f ca="1">IFERROR(__xludf.DUMMYFUNCTION("""COMPUTED_VALUE"""),6)</f>
        <v>6</v>
      </c>
      <c r="E158">
        <f ca="1">IFERROR(__xludf.DUMMYFUNCTION("""COMPUTED_VALUE"""),4.76)</f>
        <v>4.76</v>
      </c>
      <c r="F158">
        <f ca="1">IFERROR(__xludf.DUMMYFUNCTION("""COMPUTED_VALUE"""),21)</f>
        <v>21</v>
      </c>
      <c r="G158">
        <f ca="1">IFERROR(__xludf.DUMMYFUNCTION("""COMPUTED_VALUE"""),1)</f>
        <v>1</v>
      </c>
    </row>
    <row r="159" spans="1:7" ht="12.75">
      <c r="A159" t="str">
        <f ca="1">IFERROR(__xludf.DUMMYFUNCTION("""COMPUTED_VALUE"""),"T155")</f>
        <v>T155</v>
      </c>
      <c r="B159">
        <f ca="1">IFERROR(__xludf.DUMMYFUNCTION("""COMPUTED_VALUE"""),96)</f>
        <v>96</v>
      </c>
      <c r="C159" t="str">
        <f ca="1">IFERROR(__xludf.DUMMYFUNCTION("""COMPUTED_VALUE"""),"Denny McCarthy")</f>
        <v>Denny McCarthy</v>
      </c>
      <c r="D159">
        <f ca="1">IFERROR(__xludf.DUMMYFUNCTION("""COMPUTED_VALUE"""),22)</f>
        <v>22</v>
      </c>
      <c r="E159">
        <f ca="1">IFERROR(__xludf.DUMMYFUNCTION("""COMPUTED_VALUE"""),4.76)</f>
        <v>4.76</v>
      </c>
      <c r="F159">
        <f ca="1">IFERROR(__xludf.DUMMYFUNCTION("""COMPUTED_VALUE"""),63)</f>
        <v>63</v>
      </c>
      <c r="G159">
        <f ca="1">IFERROR(__xludf.DUMMYFUNCTION("""COMPUTED_VALUE"""),3)</f>
        <v>3</v>
      </c>
    </row>
    <row r="160" spans="1:7" ht="12.75">
      <c r="A160" t="str">
        <f ca="1">IFERROR(__xludf.DUMMYFUNCTION("""COMPUTED_VALUE"""),"T155")</f>
        <v>T155</v>
      </c>
      <c r="B160" t="str">
        <f ca="1">IFERROR(__xludf.DUMMYFUNCTION("""COMPUTED_VALUE"""),"T151")</f>
        <v>T151</v>
      </c>
      <c r="C160" t="str">
        <f ca="1">IFERROR(__xludf.DUMMYFUNCTION("""COMPUTED_VALUE"""),"Matthew Fitzpatrick")</f>
        <v>Matthew Fitzpatrick</v>
      </c>
      <c r="D160">
        <f ca="1">IFERROR(__xludf.DUMMYFUNCTION("""COMPUTED_VALUE"""),10)</f>
        <v>10</v>
      </c>
      <c r="E160">
        <f ca="1">IFERROR(__xludf.DUMMYFUNCTION("""COMPUTED_VALUE"""),4.76)</f>
        <v>4.76</v>
      </c>
      <c r="F160">
        <f ca="1">IFERROR(__xludf.DUMMYFUNCTION("""COMPUTED_VALUE"""),42)</f>
        <v>42</v>
      </c>
      <c r="G160">
        <f ca="1">IFERROR(__xludf.DUMMYFUNCTION("""COMPUTED_VALUE"""),2)</f>
        <v>2</v>
      </c>
    </row>
    <row r="161" spans="1:7" ht="12.75">
      <c r="A161" t="str">
        <f ca="1">IFERROR(__xludf.DUMMYFUNCTION("""COMPUTED_VALUE"""),"T160")</f>
        <v>T160</v>
      </c>
      <c r="B161" t="str">
        <f ca="1">IFERROR(__xludf.DUMMYFUNCTION("""COMPUTED_VALUE"""),"T154")</f>
        <v>T154</v>
      </c>
      <c r="C161" t="str">
        <f ca="1">IFERROR(__xludf.DUMMYFUNCTION("""COMPUTED_VALUE"""),"Joseph Bramlett")</f>
        <v>Joseph Bramlett</v>
      </c>
      <c r="D161">
        <f ca="1">IFERROR(__xludf.DUMMYFUNCTION("""COMPUTED_VALUE"""),18)</f>
        <v>18</v>
      </c>
      <c r="E161">
        <f ca="1">IFERROR(__xludf.DUMMYFUNCTION("""COMPUTED_VALUE"""),4.65)</f>
        <v>4.6500000000000004</v>
      </c>
      <c r="F161">
        <f ca="1">IFERROR(__xludf.DUMMYFUNCTION("""COMPUTED_VALUE"""),43)</f>
        <v>43</v>
      </c>
      <c r="G161">
        <f ca="1">IFERROR(__xludf.DUMMYFUNCTION("""COMPUTED_VALUE"""),2)</f>
        <v>2</v>
      </c>
    </row>
    <row r="162" spans="1:7" ht="12.75">
      <c r="A162" t="str">
        <f ca="1">IFERROR(__xludf.DUMMYFUNCTION("""COMPUTED_VALUE"""),"T160")</f>
        <v>T160</v>
      </c>
      <c r="B162" t="str">
        <f ca="1">IFERROR(__xludf.DUMMYFUNCTION("""COMPUTED_VALUE"""),"T154")</f>
        <v>T154</v>
      </c>
      <c r="C162" t="str">
        <f ca="1">IFERROR(__xludf.DUMMYFUNCTION("""COMPUTED_VALUE"""),"Kevin Kisner")</f>
        <v>Kevin Kisner</v>
      </c>
      <c r="D162">
        <f ca="1">IFERROR(__xludf.DUMMYFUNCTION("""COMPUTED_VALUE"""),10)</f>
        <v>10</v>
      </c>
      <c r="E162">
        <f ca="1">IFERROR(__xludf.DUMMYFUNCTION("""COMPUTED_VALUE"""),4.65)</f>
        <v>4.6500000000000004</v>
      </c>
      <c r="F162">
        <f ca="1">IFERROR(__xludf.DUMMYFUNCTION("""COMPUTED_VALUE"""),43)</f>
        <v>43</v>
      </c>
      <c r="G162">
        <f ca="1">IFERROR(__xludf.DUMMYFUNCTION("""COMPUTED_VALUE"""),2)</f>
        <v>2</v>
      </c>
    </row>
    <row r="163" spans="1:7" ht="12.75">
      <c r="A163">
        <f ca="1">IFERROR(__xludf.DUMMYFUNCTION("""COMPUTED_VALUE"""),162)</f>
        <v>162</v>
      </c>
      <c r="B163" t="str">
        <f ca="1">IFERROR(__xludf.DUMMYFUNCTION("""COMPUTED_VALUE"""),"T168")</f>
        <v>T168</v>
      </c>
      <c r="C163" t="str">
        <f ca="1">IFERROR(__xludf.DUMMYFUNCTION("""COMPUTED_VALUE"""),"Mark Hubbard")</f>
        <v>Mark Hubbard</v>
      </c>
      <c r="D163">
        <f ca="1">IFERROR(__xludf.DUMMYFUNCTION("""COMPUTED_VALUE"""),20)</f>
        <v>20</v>
      </c>
      <c r="E163">
        <f ca="1">IFERROR(__xludf.DUMMYFUNCTION("""COMPUTED_VALUE"""),4.55)</f>
        <v>4.55</v>
      </c>
      <c r="F163">
        <f ca="1">IFERROR(__xludf.DUMMYFUNCTION("""COMPUTED_VALUE"""),66)</f>
        <v>66</v>
      </c>
      <c r="G163">
        <f ca="1">IFERROR(__xludf.DUMMYFUNCTION("""COMPUTED_VALUE"""),3)</f>
        <v>3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IFERROR(__xludf.DUMMYFUNCTION("""COMPUTED_VALUE"""),150)</f>
        <v>150</v>
      </c>
      <c r="C164" t="str">
        <f ca="1">IFERROR(__xludf.DUMMYFUNCTION("""COMPUTED_VALUE"""),"Lucas Glover")</f>
        <v>Lucas Glover</v>
      </c>
      <c r="D164">
        <f ca="1">IFERROR(__xludf.DUMMYFUNCTION("""COMPUTED_VALUE"""),12)</f>
        <v>12</v>
      </c>
      <c r="E164">
        <f ca="1">IFERROR(__xludf.DUMMYFUNCTION("""COMPUTED_VALUE"""),4.48)</f>
        <v>4.4800000000000004</v>
      </c>
      <c r="F164">
        <f ca="1">IFERROR(__xludf.DUMMYFUNCTION("""COMPUTED_VALUE"""),67)</f>
        <v>67</v>
      </c>
      <c r="G164">
        <f ca="1">IFERROR(__xludf.DUMMYFUNCTION("""COMPUTED_VALUE"""),3)</f>
        <v>3</v>
      </c>
    </row>
    <row r="165" spans="1:7" ht="12.75">
      <c r="A165">
        <f ca="1">IFERROR(__xludf.DUMMYFUNCTION("""COMPUTED_VALUE"""),164)</f>
        <v>164</v>
      </c>
      <c r="B165" t="str">
        <f ca="1">IFERROR(__xludf.DUMMYFUNCTION("""COMPUTED_VALUE"""),"T157")</f>
        <v>T157</v>
      </c>
      <c r="C165" t="str">
        <f ca="1">IFERROR(__xludf.DUMMYFUNCTION("""COMPUTED_VALUE"""),"Jon Rahm")</f>
        <v>Jon Rahm</v>
      </c>
      <c r="D165">
        <f ca="1">IFERROR(__xludf.DUMMYFUNCTION("""COMPUTED_VALUE"""),12)</f>
        <v>12</v>
      </c>
      <c r="E165">
        <f ca="1">IFERROR(__xludf.DUMMYFUNCTION("""COMPUTED_VALUE"""),4.44)</f>
        <v>4.4400000000000004</v>
      </c>
      <c r="F165">
        <f ca="1">IFERROR(__xludf.DUMMYFUNCTION("""COMPUTED_VALUE"""),45)</f>
        <v>45</v>
      </c>
      <c r="G165">
        <f ca="1">IFERROR(__xludf.DUMMYFUNCTION("""COMPUTED_VALUE"""),2)</f>
        <v>2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IFERROR(__xludf.DUMMYFUNCTION("""COMPUTED_VALUE"""),"T159")</f>
        <v>T159</v>
      </c>
      <c r="C166" t="str">
        <f ca="1">IFERROR(__xludf.DUMMYFUNCTION("""COMPUTED_VALUE"""),"Harris English")</f>
        <v>Harris English</v>
      </c>
      <c r="D166">
        <f ca="1">IFERROR(__xludf.DUMMYFUNCTION("""COMPUTED_VALUE"""),14)</f>
        <v>14</v>
      </c>
      <c r="E166">
        <f ca="1">IFERROR(__xludf.DUMMYFUNCTION("""COMPUTED_VALUE"""),4.41)</f>
        <v>4.41</v>
      </c>
      <c r="F166">
        <f ca="1">IFERROR(__xludf.DUMMYFUNCTION("""COMPUTED_VALUE"""),68)</f>
        <v>68</v>
      </c>
      <c r="G166">
        <f ca="1">IFERROR(__xludf.DUMMYFUNCTION("""COMPUTED_VALUE"""),3)</f>
        <v>3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IFERROR(__xludf.DUMMYFUNCTION("""COMPUTED_VALUE"""),"T159")</f>
        <v>T159</v>
      </c>
      <c r="C167" t="str">
        <f ca="1">IFERROR(__xludf.DUMMYFUNCTION("""COMPUTED_VALUE"""),"Matt Kuchar")</f>
        <v>Matt Kuchar</v>
      </c>
      <c r="D167">
        <f ca="1">IFERROR(__xludf.DUMMYFUNCTION("""COMPUTED_VALUE"""),14)</f>
        <v>14</v>
      </c>
      <c r="E167">
        <f ca="1">IFERROR(__xludf.DUMMYFUNCTION("""COMPUTED_VALUE"""),4.41)</f>
        <v>4.41</v>
      </c>
      <c r="F167">
        <f ca="1">IFERROR(__xludf.DUMMYFUNCTION("""COMPUTED_VALUE"""),68)</f>
        <v>68</v>
      </c>
      <c r="G167">
        <f ca="1">IFERROR(__xludf.DUMMYFUNCTION("""COMPUTED_VALUE"""),3)</f>
        <v>3</v>
      </c>
    </row>
    <row r="168" spans="1:7" ht="12.75">
      <c r="A168" t="str">
        <f ca="1">IFERROR(__xludf.DUMMYFUNCTION("""COMPUTED_VALUE"""),"T165")</f>
        <v>T165</v>
      </c>
      <c r="B168" t="str">
        <f ca="1">IFERROR(__xludf.DUMMYFUNCTION("""COMPUTED_VALUE"""),"T125")</f>
        <v>T125</v>
      </c>
      <c r="C168" t="str">
        <f ca="1">IFERROR(__xludf.DUMMYFUNCTION("""COMPUTED_VALUE"""),"Shane Lowry")</f>
        <v>Shane Lowry</v>
      </c>
      <c r="D168">
        <f ca="1">IFERROR(__xludf.DUMMYFUNCTION("""COMPUTED_VALUE"""),14)</f>
        <v>14</v>
      </c>
      <c r="E168">
        <f ca="1">IFERROR(__xludf.DUMMYFUNCTION("""COMPUTED_VALUE"""),4.41)</f>
        <v>4.41</v>
      </c>
      <c r="F168">
        <f ca="1">IFERROR(__xludf.DUMMYFUNCTION("""COMPUTED_VALUE"""),68)</f>
        <v>68</v>
      </c>
      <c r="G168">
        <f ca="1">IFERROR(__xludf.DUMMYFUNCTION("""COMPUTED_VALUE"""),3)</f>
        <v>3</v>
      </c>
    </row>
    <row r="169" spans="1:7" ht="12.75">
      <c r="A169" t="str">
        <f ca="1">IFERROR(__xludf.DUMMYFUNCTION("""COMPUTED_VALUE"""),"T165")</f>
        <v>T165</v>
      </c>
      <c r="B169" t="str">
        <f ca="1">IFERROR(__xludf.DUMMYFUNCTION("""COMPUTED_VALUE"""),"T159")</f>
        <v>T159</v>
      </c>
      <c r="C169" t="str">
        <f ca="1">IFERROR(__xludf.DUMMYFUNCTION("""COMPUTED_VALUE"""),"Adam Hadwin")</f>
        <v>Adam Hadwin</v>
      </c>
      <c r="D169">
        <f ca="1">IFERROR(__xludf.DUMMYFUNCTION("""COMPUTED_VALUE"""),16)</f>
        <v>16</v>
      </c>
      <c r="E169">
        <f ca="1">IFERROR(__xludf.DUMMYFUNCTION("""COMPUTED_VALUE"""),4.41)</f>
        <v>4.41</v>
      </c>
      <c r="F169">
        <f ca="1">IFERROR(__xludf.DUMMYFUNCTION("""COMPUTED_VALUE"""),68)</f>
        <v>68</v>
      </c>
      <c r="G169">
        <f ca="1">IFERROR(__xludf.DUMMYFUNCTION("""COMPUTED_VALUE"""),3)</f>
        <v>3</v>
      </c>
    </row>
    <row r="170" spans="1:7" ht="12.75">
      <c r="A170" t="str">
        <f ca="1">IFERROR(__xludf.DUMMYFUNCTION("""COMPUTED_VALUE"""),"T165")</f>
        <v>T165</v>
      </c>
      <c r="B170" t="str">
        <f ca="1">IFERROR(__xludf.DUMMYFUNCTION("""COMPUTED_VALUE"""),"T180")</f>
        <v>T180</v>
      </c>
      <c r="C170" t="str">
        <f ca="1">IFERROR(__xludf.DUMMYFUNCTION("""COMPUTED_VALUE"""),"Michael Thompson")</f>
        <v>Michael Thompson</v>
      </c>
      <c r="D170">
        <f ca="1">IFERROR(__xludf.DUMMYFUNCTION("""COMPUTED_VALUE"""),16)</f>
        <v>16</v>
      </c>
      <c r="E170">
        <f ca="1">IFERROR(__xludf.DUMMYFUNCTION("""COMPUTED_VALUE"""),4.41)</f>
        <v>4.41</v>
      </c>
      <c r="F170">
        <f ca="1">IFERROR(__xludf.DUMMYFUNCTION("""COMPUTED_VALUE"""),68)</f>
        <v>68</v>
      </c>
      <c r="G170">
        <f ca="1">IFERROR(__xludf.DUMMYFUNCTION("""COMPUTED_VALUE"""),3)</f>
        <v>3</v>
      </c>
    </row>
    <row r="171" spans="1:7" ht="12.75">
      <c r="A171" t="str">
        <f ca="1">IFERROR(__xludf.DUMMYFUNCTION("""COMPUTED_VALUE"""),"T170")</f>
        <v>T170</v>
      </c>
      <c r="B171" t="str">
        <f ca="1">IFERROR(__xludf.DUMMYFUNCTION("""COMPUTED_VALUE"""),"T162")</f>
        <v>T162</v>
      </c>
      <c r="C171" t="str">
        <f ca="1">IFERROR(__xludf.DUMMYFUNCTION("""COMPUTED_VALUE"""),"K.J. Choi")</f>
        <v>K.J. Choi</v>
      </c>
      <c r="D171">
        <f ca="1">IFERROR(__xludf.DUMMYFUNCTION("""COMPUTED_VALUE"""),6)</f>
        <v>6</v>
      </c>
      <c r="E171">
        <f ca="1">IFERROR(__xludf.DUMMYFUNCTION("""COMPUTED_VALUE"""),4.35)</f>
        <v>4.3499999999999996</v>
      </c>
      <c r="F171">
        <f ca="1">IFERROR(__xludf.DUMMYFUNCTION("""COMPUTED_VALUE"""),23)</f>
        <v>23</v>
      </c>
      <c r="G171">
        <f ca="1">IFERROR(__xludf.DUMMYFUNCTION("""COMPUTED_VALUE"""),1)</f>
        <v>1</v>
      </c>
    </row>
    <row r="172" spans="1:7" ht="12.75">
      <c r="A172" t="str">
        <f ca="1">IFERROR(__xludf.DUMMYFUNCTION("""COMPUTED_VALUE"""),"T170")</f>
        <v>T170</v>
      </c>
      <c r="B172" t="str">
        <f ca="1">IFERROR(__xludf.DUMMYFUNCTION("""COMPUTED_VALUE"""),"T162")</f>
        <v>T162</v>
      </c>
      <c r="C172" t="str">
        <f ca="1">IFERROR(__xludf.DUMMYFUNCTION("""COMPUTED_VALUE"""),"Justin Thomas")</f>
        <v>Justin Thomas</v>
      </c>
      <c r="D172">
        <f ca="1">IFERROR(__xludf.DUMMYFUNCTION("""COMPUTED_VALUE"""),12)</f>
        <v>12</v>
      </c>
      <c r="E172">
        <f ca="1">IFERROR(__xludf.DUMMYFUNCTION("""COMPUTED_VALUE"""),4.35)</f>
        <v>4.3499999999999996</v>
      </c>
      <c r="F172">
        <f ca="1">IFERROR(__xludf.DUMMYFUNCTION("""COMPUTED_VALUE"""),46)</f>
        <v>46</v>
      </c>
      <c r="G172">
        <f ca="1">IFERROR(__xludf.DUMMYFUNCTION("""COMPUTED_VALUE"""),2)</f>
        <v>2</v>
      </c>
    </row>
    <row r="173" spans="1:7" ht="12.75">
      <c r="A173" t="str">
        <f ca="1">IFERROR(__xludf.DUMMYFUNCTION("""COMPUTED_VALUE"""),"T170")</f>
        <v>T170</v>
      </c>
      <c r="B173" t="str">
        <f ca="1">IFERROR(__xludf.DUMMYFUNCTION("""COMPUTED_VALUE"""),"T162")</f>
        <v>T162</v>
      </c>
      <c r="C173" t="str">
        <f ca="1">IFERROR(__xludf.DUMMYFUNCTION("""COMPUTED_VALUE"""),"Andy Zhang")</f>
        <v>Andy Zhang</v>
      </c>
      <c r="D173">
        <f ca="1">IFERROR(__xludf.DUMMYFUNCTION("""COMPUTED_VALUE"""),4)</f>
        <v>4</v>
      </c>
      <c r="E173">
        <f ca="1">IFERROR(__xludf.DUMMYFUNCTION("""COMPUTED_VALUE"""),4.35)</f>
        <v>4.3499999999999996</v>
      </c>
      <c r="F173">
        <f ca="1">IFERROR(__xludf.DUMMYFUNCTION("""COMPUTED_VALUE"""),23)</f>
        <v>23</v>
      </c>
      <c r="G173">
        <f ca="1">IFERROR(__xludf.DUMMYFUNCTION("""COMPUTED_VALUE"""),1)</f>
        <v>1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IFERROR(__xludf.DUMMYFUNCTION("""COMPUTED_VALUE"""),"T168")</f>
        <v>T168</v>
      </c>
      <c r="C174" t="str">
        <f ca="1">IFERROR(__xludf.DUMMYFUNCTION("""COMPUTED_VALUE"""),"Ryan Palmer")</f>
        <v>Ryan Palmer</v>
      </c>
      <c r="D174">
        <f ca="1">IFERROR(__xludf.DUMMYFUNCTION("""COMPUTED_VALUE"""),14)</f>
        <v>14</v>
      </c>
      <c r="E174">
        <f ca="1">IFERROR(__xludf.DUMMYFUNCTION("""COMPUTED_VALUE"""),4.17)</f>
        <v>4.17</v>
      </c>
      <c r="F174">
        <f ca="1">IFERROR(__xludf.DUMMYFUNCTION("""COMPUTED_VALUE"""),72)</f>
        <v>72</v>
      </c>
      <c r="G174">
        <f ca="1">IFERROR(__xludf.DUMMYFUNCTION("""COMPUTED_VALUE"""),3)</f>
        <v>3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IFERROR(__xludf.DUMMYFUNCTION("""COMPUTED_VALUE"""),"T135")</f>
        <v>T135</v>
      </c>
      <c r="C175" t="str">
        <f ca="1">IFERROR(__xludf.DUMMYFUNCTION("""COMPUTED_VALUE"""),"Tony Finau")</f>
        <v>Tony Finau</v>
      </c>
      <c r="D175">
        <f ca="1">IFERROR(__xludf.DUMMYFUNCTION("""COMPUTED_VALUE"""),12)</f>
        <v>12</v>
      </c>
      <c r="E175">
        <f ca="1">IFERROR(__xludf.DUMMYFUNCTION("""COMPUTED_VALUE"""),4.17)</f>
        <v>4.17</v>
      </c>
      <c r="F175">
        <f ca="1">IFERROR(__xludf.DUMMYFUNCTION("""COMPUTED_VALUE"""),48)</f>
        <v>48</v>
      </c>
      <c r="G175">
        <f ca="1">IFERROR(__xludf.DUMMYFUNCTION("""COMPUTED_VALUE"""),2)</f>
        <v>2</v>
      </c>
    </row>
    <row r="176" spans="1:7" ht="12.75">
      <c r="A176" t="str">
        <f ca="1">IFERROR(__xludf.DUMMYFUNCTION("""COMPUTED_VALUE"""),"T173")</f>
        <v>T173</v>
      </c>
      <c r="B176" t="str">
        <f ca="1">IFERROR(__xludf.DUMMYFUNCTION("""COMPUTED_VALUE"""),"T168")</f>
        <v>T168</v>
      </c>
      <c r="C176" t="str">
        <f ca="1">IFERROR(__xludf.DUMMYFUNCTION("""COMPUTED_VALUE"""),"Webb Simpson")</f>
        <v>Webb Simpson</v>
      </c>
      <c r="D176">
        <f ca="1">IFERROR(__xludf.DUMMYFUNCTION("""COMPUTED_VALUE"""),12)</f>
        <v>12</v>
      </c>
      <c r="E176">
        <f ca="1">IFERROR(__xludf.DUMMYFUNCTION("""COMPUTED_VALUE"""),4.17)</f>
        <v>4.17</v>
      </c>
      <c r="F176">
        <f ca="1">IFERROR(__xludf.DUMMYFUNCTION("""COMPUTED_VALUE"""),48)</f>
        <v>48</v>
      </c>
      <c r="G176">
        <f ca="1">IFERROR(__xludf.DUMMYFUNCTION("""COMPUTED_VALUE"""),2)</f>
        <v>2</v>
      </c>
    </row>
    <row r="177" spans="1:7" ht="12.75">
      <c r="A177" t="str">
        <f ca="1">IFERROR(__xludf.DUMMYFUNCTION("""COMPUTED_VALUE"""),"T176")</f>
        <v>T176</v>
      </c>
      <c r="B177" t="str">
        <f ca="1">IFERROR(__xludf.DUMMYFUNCTION("""COMPUTED_VALUE"""),"T173")</f>
        <v>T173</v>
      </c>
      <c r="C177" t="str">
        <f ca="1">IFERROR(__xludf.DUMMYFUNCTION("""COMPUTED_VALUE"""),"Michael Gligic")</f>
        <v>Michael Gligic</v>
      </c>
      <c r="D177">
        <f ca="1">IFERROR(__xludf.DUMMYFUNCTION("""COMPUTED_VALUE"""),18)</f>
        <v>18</v>
      </c>
      <c r="E177">
        <f ca="1">IFERROR(__xludf.DUMMYFUNCTION("""COMPUTED_VALUE"""),4.08)</f>
        <v>4.08</v>
      </c>
      <c r="F177">
        <f ca="1">IFERROR(__xludf.DUMMYFUNCTION("""COMPUTED_VALUE"""),49)</f>
        <v>49</v>
      </c>
      <c r="G177">
        <f ca="1">IFERROR(__xludf.DUMMYFUNCTION("""COMPUTED_VALUE"""),2)</f>
        <v>2</v>
      </c>
    </row>
    <row r="178" spans="1:7" ht="12.75">
      <c r="A178" t="str">
        <f ca="1">IFERROR(__xludf.DUMMYFUNCTION("""COMPUTED_VALUE"""),"T176")</f>
        <v>T176</v>
      </c>
      <c r="B178" t="str">
        <f ca="1">IFERROR(__xludf.DUMMYFUNCTION("""COMPUTED_VALUE"""),"T141")</f>
        <v>T141</v>
      </c>
      <c r="C178" t="str">
        <f ca="1">IFERROR(__xludf.DUMMYFUNCTION("""COMPUTED_VALUE"""),"Bo Hoag")</f>
        <v>Bo Hoag</v>
      </c>
      <c r="D178">
        <f ca="1">IFERROR(__xludf.DUMMYFUNCTION("""COMPUTED_VALUE"""),14)</f>
        <v>14</v>
      </c>
      <c r="E178">
        <f ca="1">IFERROR(__xludf.DUMMYFUNCTION("""COMPUTED_VALUE"""),4.08)</f>
        <v>4.08</v>
      </c>
      <c r="F178">
        <f ca="1">IFERROR(__xludf.DUMMYFUNCTION("""COMPUTED_VALUE"""),49)</f>
        <v>49</v>
      </c>
      <c r="G178">
        <f ca="1">IFERROR(__xludf.DUMMYFUNCTION("""COMPUTED_VALUE"""),2)</f>
        <v>2</v>
      </c>
    </row>
    <row r="179" spans="1:7" ht="12.75">
      <c r="A179" t="str">
        <f ca="1">IFERROR(__xludf.DUMMYFUNCTION("""COMPUTED_VALUE"""),"T176")</f>
        <v>T176</v>
      </c>
      <c r="B179" t="str">
        <f ca="1">IFERROR(__xludf.DUMMYFUNCTION("""COMPUTED_VALUE"""),"T173")</f>
        <v>T173</v>
      </c>
      <c r="C179" t="str">
        <f ca="1">IFERROR(__xludf.DUMMYFUNCTION("""COMPUTED_VALUE"""),"Collin Morikawa")</f>
        <v>Collin Morikawa</v>
      </c>
      <c r="D179">
        <f ca="1">IFERROR(__xludf.DUMMYFUNCTION("""COMPUTED_VALUE"""),12)</f>
        <v>12</v>
      </c>
      <c r="E179">
        <f ca="1">IFERROR(__xludf.DUMMYFUNCTION("""COMPUTED_VALUE"""),4.08)</f>
        <v>4.08</v>
      </c>
      <c r="F179">
        <f ca="1">IFERROR(__xludf.DUMMYFUNCTION("""COMPUTED_VALUE"""),49)</f>
        <v>49</v>
      </c>
      <c r="G179">
        <f ca="1">IFERROR(__xludf.DUMMYFUNCTION("""COMPUTED_VALUE"""),2)</f>
        <v>2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IFERROR(__xludf.DUMMYFUNCTION("""COMPUTED_VALUE"""),153)</f>
        <v>153</v>
      </c>
      <c r="C180" t="str">
        <f ca="1">IFERROR(__xludf.DUMMYFUNCTION("""COMPUTED_VALUE"""),"Keegan Bradley")</f>
        <v>Keegan Bradley</v>
      </c>
      <c r="D180">
        <f ca="1">IFERROR(__xludf.DUMMYFUNCTION("""COMPUTED_VALUE"""),16)</f>
        <v>16</v>
      </c>
      <c r="E180">
        <f ca="1">IFERROR(__xludf.DUMMYFUNCTION("""COMPUTED_VALUE"""),4.05)</f>
        <v>4.05</v>
      </c>
      <c r="F180">
        <f ca="1">IFERROR(__xludf.DUMMYFUNCTION("""COMPUTED_VALUE"""),74)</f>
        <v>74</v>
      </c>
      <c r="G180">
        <f ca="1">IFERROR(__xludf.DUMMYFUNCTION("""COMPUTED_VALUE"""),3)</f>
        <v>3</v>
      </c>
    </row>
    <row r="181" spans="1:7" ht="12.75">
      <c r="A181" t="str">
        <f ca="1">IFERROR(__xludf.DUMMYFUNCTION("""COMPUTED_VALUE"""),"T180")</f>
        <v>T180</v>
      </c>
      <c r="B181" t="str">
        <f ca="1">IFERROR(__xludf.DUMMYFUNCTION("""COMPUTED_VALUE"""),"T176")</f>
        <v>T176</v>
      </c>
      <c r="C181" t="str">
        <f ca="1">IFERROR(__xludf.DUMMYFUNCTION("""COMPUTED_VALUE"""),"Ian Poulter")</f>
        <v>Ian Poulter</v>
      </c>
      <c r="D181">
        <f ca="1">IFERROR(__xludf.DUMMYFUNCTION("""COMPUTED_VALUE"""),6)</f>
        <v>6</v>
      </c>
      <c r="E181">
        <f ca="1">IFERROR(__xludf.DUMMYFUNCTION("""COMPUTED_VALUE"""),4)</f>
        <v>4</v>
      </c>
      <c r="F181">
        <f ca="1">IFERROR(__xludf.DUMMYFUNCTION("""COMPUTED_VALUE"""),25)</f>
        <v>25</v>
      </c>
      <c r="G181">
        <f ca="1">IFERROR(__xludf.DUMMYFUNCTION("""COMPUTED_VALUE"""),1)</f>
        <v>1</v>
      </c>
    </row>
    <row r="182" spans="1:7" ht="12.75">
      <c r="A182" t="str">
        <f ca="1">IFERROR(__xludf.DUMMYFUNCTION("""COMPUTED_VALUE"""),"T180")</f>
        <v>T180</v>
      </c>
      <c r="B182" t="str">
        <f ca="1">IFERROR(__xludf.DUMMYFUNCTION("""COMPUTED_VALUE"""),"T213")</f>
        <v>T213</v>
      </c>
      <c r="C182" t="str">
        <f ca="1">IFERROR(__xludf.DUMMYFUNCTION("""COMPUTED_VALUE"""),"Kevin Stadler")</f>
        <v>Kevin Stadler</v>
      </c>
      <c r="D182">
        <f ca="1">IFERROR(__xludf.DUMMYFUNCTION("""COMPUTED_VALUE"""),8)</f>
        <v>8</v>
      </c>
      <c r="E182">
        <f ca="1">IFERROR(__xludf.DUMMYFUNCTION("""COMPUTED_VALUE"""),4)</f>
        <v>4</v>
      </c>
      <c r="F182">
        <f ca="1">IFERROR(__xludf.DUMMYFUNCTION("""COMPUTED_VALUE"""),25)</f>
        <v>25</v>
      </c>
      <c r="G182">
        <f ca="1">IFERROR(__xludf.DUMMYFUNCTION("""COMPUTED_VALUE"""),1)</f>
        <v>1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IFERROR(__xludf.DUMMYFUNCTION("""COMPUTED_VALUE"""),"T148")</f>
        <v>T148</v>
      </c>
      <c r="C183" t="str">
        <f ca="1">IFERROR(__xludf.DUMMYFUNCTION("""COMPUTED_VALUE"""),"Phil Mickelson")</f>
        <v>Phil Mickelson</v>
      </c>
      <c r="D183">
        <f ca="1">IFERROR(__xludf.DUMMYFUNCTION("""COMPUTED_VALUE"""),12)</f>
        <v>12</v>
      </c>
      <c r="E183">
        <f ca="1">IFERROR(__xludf.DUMMYFUNCTION("""COMPUTED_VALUE"""),3.85)</f>
        <v>3.85</v>
      </c>
      <c r="F183">
        <f ca="1">IFERROR(__xludf.DUMMYFUNCTION("""COMPUTED_VALUE"""),52)</f>
        <v>52</v>
      </c>
      <c r="G183">
        <f ca="1">IFERROR(__xludf.DUMMYFUNCTION("""COMPUTED_VALUE"""),2)</f>
        <v>2</v>
      </c>
    </row>
    <row r="184" spans="1:7" ht="12.75">
      <c r="A184" t="str">
        <f ca="1">IFERROR(__xludf.DUMMYFUNCTION("""COMPUTED_VALUE"""),"T182")</f>
        <v>T182</v>
      </c>
      <c r="B184">
        <f ca="1">IFERROR(__xludf.DUMMYFUNCTION("""COMPUTED_VALUE"""),166)</f>
        <v>166</v>
      </c>
      <c r="C184" t="str">
        <f ca="1">IFERROR(__xludf.DUMMYFUNCTION("""COMPUTED_VALUE"""),"Danny Lee")</f>
        <v>Danny Lee</v>
      </c>
      <c r="D184">
        <f ca="1">IFERROR(__xludf.DUMMYFUNCTION("""COMPUTED_VALUE"""),15)</f>
        <v>15</v>
      </c>
      <c r="E184">
        <f ca="1">IFERROR(__xludf.DUMMYFUNCTION("""COMPUTED_VALUE"""),3.85)</f>
        <v>3.85</v>
      </c>
      <c r="F184">
        <f ca="1">IFERROR(__xludf.DUMMYFUNCTION("""COMPUTED_VALUE"""),52)</f>
        <v>52</v>
      </c>
      <c r="G184">
        <f ca="1">IFERROR(__xludf.DUMMYFUNCTION("""COMPUTED_VALUE"""),2)</f>
        <v>2</v>
      </c>
    </row>
    <row r="185" spans="1:7" ht="12.75">
      <c r="A185" t="str">
        <f ca="1">IFERROR(__xludf.DUMMYFUNCTION("""COMPUTED_VALUE"""),"T182")</f>
        <v>T182</v>
      </c>
      <c r="B185" t="str">
        <f ca="1">IFERROR(__xludf.DUMMYFUNCTION("""COMPUTED_VALUE"""),"T182")</f>
        <v>T182</v>
      </c>
      <c r="C185" t="str">
        <f ca="1">IFERROR(__xludf.DUMMYFUNCTION("""COMPUTED_VALUE"""),"Cameron Champ")</f>
        <v>Cameron Champ</v>
      </c>
      <c r="D185">
        <f ca="1">IFERROR(__xludf.DUMMYFUNCTION("""COMPUTED_VALUE"""),12)</f>
        <v>12</v>
      </c>
      <c r="E185">
        <f ca="1">IFERROR(__xludf.DUMMYFUNCTION("""COMPUTED_VALUE"""),3.85)</f>
        <v>3.85</v>
      </c>
      <c r="F185">
        <f ca="1">IFERROR(__xludf.DUMMYFUNCTION("""COMPUTED_VALUE"""),52)</f>
        <v>52</v>
      </c>
      <c r="G185">
        <f ca="1">IFERROR(__xludf.DUMMYFUNCTION("""COMPUTED_VALUE"""),2)</f>
        <v>2</v>
      </c>
    </row>
    <row r="186" spans="1:7" ht="12.75">
      <c r="A186" t="str">
        <f ca="1">IFERROR(__xludf.DUMMYFUNCTION("""COMPUTED_VALUE"""),"T185")</f>
        <v>T185</v>
      </c>
      <c r="B186" t="str">
        <f ca="1">IFERROR(__xludf.DUMMYFUNCTION("""COMPUTED_VALUE"""),"T168")</f>
        <v>T168</v>
      </c>
      <c r="C186" t="str">
        <f ca="1">IFERROR(__xludf.DUMMYFUNCTION("""COMPUTED_VALUE"""),"Andrew Landry")</f>
        <v>Andrew Landry</v>
      </c>
      <c r="D186">
        <f ca="1">IFERROR(__xludf.DUMMYFUNCTION("""COMPUTED_VALUE"""),14)</f>
        <v>14</v>
      </c>
      <c r="E186">
        <f ca="1">IFERROR(__xludf.DUMMYFUNCTION("""COMPUTED_VALUE"""),3.7)</f>
        <v>3.7</v>
      </c>
      <c r="F186">
        <f ca="1">IFERROR(__xludf.DUMMYFUNCTION("""COMPUTED_VALUE"""),54)</f>
        <v>54</v>
      </c>
      <c r="G186">
        <f ca="1">IFERROR(__xludf.DUMMYFUNCTION("""COMPUTED_VALUE"""),2)</f>
        <v>2</v>
      </c>
    </row>
    <row r="187" spans="1:7" ht="12.75">
      <c r="A187" t="str">
        <f ca="1">IFERROR(__xludf.DUMMYFUNCTION("""COMPUTED_VALUE"""),"T185")</f>
        <v>T185</v>
      </c>
      <c r="B187" t="str">
        <f ca="1">IFERROR(__xludf.DUMMYFUNCTION("""COMPUTED_VALUE"""),"T173")</f>
        <v>T173</v>
      </c>
      <c r="C187" t="str">
        <f ca="1">IFERROR(__xludf.DUMMYFUNCTION("""COMPUTED_VALUE"""),"Matthew NeSmith")</f>
        <v>Matthew NeSmith</v>
      </c>
      <c r="D187">
        <f ca="1">IFERROR(__xludf.DUMMYFUNCTION("""COMPUTED_VALUE"""),16)</f>
        <v>16</v>
      </c>
      <c r="E187">
        <f ca="1">IFERROR(__xludf.DUMMYFUNCTION("""COMPUTED_VALUE"""),3.7)</f>
        <v>3.7</v>
      </c>
      <c r="F187">
        <f ca="1">IFERROR(__xludf.DUMMYFUNCTION("""COMPUTED_VALUE"""),54)</f>
        <v>54</v>
      </c>
      <c r="G187">
        <f ca="1">IFERROR(__xludf.DUMMYFUNCTION("""COMPUTED_VALUE"""),2)</f>
        <v>2</v>
      </c>
    </row>
    <row r="188" spans="1:7" ht="12.75">
      <c r="A188" t="str">
        <f ca="1">IFERROR(__xludf.DUMMYFUNCTION("""COMPUTED_VALUE"""),"T185")</f>
        <v>T185</v>
      </c>
      <c r="B188" t="str">
        <f ca="1">IFERROR(__xludf.DUMMYFUNCTION("""COMPUTED_VALUE"""),"T151")</f>
        <v>T151</v>
      </c>
      <c r="C188" t="str">
        <f ca="1">IFERROR(__xludf.DUMMYFUNCTION("""COMPUTED_VALUE"""),"Henrik Stenson")</f>
        <v>Henrik Stenson</v>
      </c>
      <c r="D188">
        <f ca="1">IFERROR(__xludf.DUMMYFUNCTION("""COMPUTED_VALUE"""),11)</f>
        <v>11</v>
      </c>
      <c r="E188">
        <f ca="1">IFERROR(__xludf.DUMMYFUNCTION("""COMPUTED_VALUE"""),3.7)</f>
        <v>3.7</v>
      </c>
      <c r="F188">
        <f ca="1">IFERROR(__xludf.DUMMYFUNCTION("""COMPUTED_VALUE"""),27)</f>
        <v>27</v>
      </c>
      <c r="G188">
        <f ca="1">IFERROR(__xludf.DUMMYFUNCTION("""COMPUTED_VALUE"""),1)</f>
        <v>1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IFERROR(__xludf.DUMMYFUNCTION("""COMPUTED_VALUE"""),"T185")</f>
        <v>T185</v>
      </c>
      <c r="C189" t="str">
        <f ca="1">IFERROR(__xludf.DUMMYFUNCTION("""COMPUTED_VALUE"""),"William McGirt")</f>
        <v>William McGirt</v>
      </c>
      <c r="D189">
        <f ca="1">IFERROR(__xludf.DUMMYFUNCTION("""COMPUTED_VALUE"""),6)</f>
        <v>6</v>
      </c>
      <c r="E189">
        <f ca="1">IFERROR(__xludf.DUMMYFUNCTION("""COMPUTED_VALUE"""),3.57)</f>
        <v>3.57</v>
      </c>
      <c r="F189">
        <f ca="1">IFERROR(__xludf.DUMMYFUNCTION("""COMPUTED_VALUE"""),28)</f>
        <v>28</v>
      </c>
      <c r="G189">
        <f ca="1">IFERROR(__xludf.DUMMYFUNCTION("""COMPUTED_VALUE"""),1)</f>
        <v>1</v>
      </c>
    </row>
    <row r="190" spans="1:7" ht="12.75">
      <c r="A190" t="str">
        <f ca="1">IFERROR(__xludf.DUMMYFUNCTION("""COMPUTED_VALUE"""),"T188")</f>
        <v>T188</v>
      </c>
      <c r="B190">
        <f ca="1">IFERROR(__xludf.DUMMYFUNCTION("""COMPUTED_VALUE"""),206)</f>
        <v>206</v>
      </c>
      <c r="C190" t="str">
        <f ca="1">IFERROR(__xludf.DUMMYFUNCTION("""COMPUTED_VALUE"""),"Tom Lewis")</f>
        <v>Tom Lewis</v>
      </c>
      <c r="D190">
        <f ca="1">IFERROR(__xludf.DUMMYFUNCTION("""COMPUTED_VALUE"""),12)</f>
        <v>12</v>
      </c>
      <c r="E190">
        <f ca="1">IFERROR(__xludf.DUMMYFUNCTION("""COMPUTED_VALUE"""),3.57)</f>
        <v>3.57</v>
      </c>
      <c r="F190">
        <f ca="1">IFERROR(__xludf.DUMMYFUNCTION("""COMPUTED_VALUE"""),56)</f>
        <v>56</v>
      </c>
      <c r="G190">
        <f ca="1">IFERROR(__xludf.DUMMYFUNCTION("""COMPUTED_VALUE"""),2)</f>
        <v>2</v>
      </c>
    </row>
    <row r="191" spans="1:7" ht="12.75">
      <c r="A191" t="str">
        <f ca="1">IFERROR(__xludf.DUMMYFUNCTION("""COMPUTED_VALUE"""),"T190")</f>
        <v>T190</v>
      </c>
      <c r="B191" t="str">
        <f ca="1">IFERROR(__xludf.DUMMYFUNCTION("""COMPUTED_VALUE"""),"T135")</f>
        <v>T135</v>
      </c>
      <c r="C191" t="str">
        <f ca="1">IFERROR(__xludf.DUMMYFUNCTION("""COMPUTED_VALUE"""),"Aaron Wise")</f>
        <v>Aaron Wise</v>
      </c>
      <c r="D191">
        <f ca="1">IFERROR(__xludf.DUMMYFUNCTION("""COMPUTED_VALUE"""),16)</f>
        <v>16</v>
      </c>
      <c r="E191">
        <f ca="1">IFERROR(__xludf.DUMMYFUNCTION("""COMPUTED_VALUE"""),3.45)</f>
        <v>3.45</v>
      </c>
      <c r="F191">
        <f ca="1">IFERROR(__xludf.DUMMYFUNCTION("""COMPUTED_VALUE"""),58)</f>
        <v>58</v>
      </c>
      <c r="G191">
        <f ca="1">IFERROR(__xludf.DUMMYFUNCTION("""COMPUTED_VALUE"""),2)</f>
        <v>2</v>
      </c>
    </row>
    <row r="192" spans="1:7" ht="12.75">
      <c r="A192" t="str">
        <f ca="1">IFERROR(__xludf.DUMMYFUNCTION("""COMPUTED_VALUE"""),"T190")</f>
        <v>T190</v>
      </c>
      <c r="B192" t="str">
        <f ca="1">IFERROR(__xludf.DUMMYFUNCTION("""COMPUTED_VALUE"""),"T65")</f>
        <v>T65</v>
      </c>
      <c r="C192" t="str">
        <f ca="1">IFERROR(__xludf.DUMMYFUNCTION("""COMPUTED_VALUE"""),"Chris Kirk")</f>
        <v>Chris Kirk</v>
      </c>
      <c r="D192">
        <f ca="1">IFERROR(__xludf.DUMMYFUNCTION("""COMPUTED_VALUE"""),10)</f>
        <v>10</v>
      </c>
      <c r="E192">
        <f ca="1">IFERROR(__xludf.DUMMYFUNCTION("""COMPUTED_VALUE"""),3.45)</f>
        <v>3.45</v>
      </c>
      <c r="F192">
        <f ca="1">IFERROR(__xludf.DUMMYFUNCTION("""COMPUTED_VALUE"""),29)</f>
        <v>29</v>
      </c>
      <c r="G192">
        <f ca="1">IFERROR(__xludf.DUMMYFUNCTION("""COMPUTED_VALUE"""),1)</f>
        <v>1</v>
      </c>
    </row>
    <row r="193" spans="1:7" ht="12.75">
      <c r="A193" t="str">
        <f ca="1">IFERROR(__xludf.DUMMYFUNCTION("""COMPUTED_VALUE"""),"T190")</f>
        <v>T190</v>
      </c>
      <c r="B193" t="str">
        <f ca="1">IFERROR(__xludf.DUMMYFUNCTION("""COMPUTED_VALUE"""),"T213")</f>
        <v>T213</v>
      </c>
      <c r="C193" t="str">
        <f ca="1">IFERROR(__xludf.DUMMYFUNCTION("""COMPUTED_VALUE"""),"Lee Westwood")</f>
        <v>Lee Westwood</v>
      </c>
      <c r="D193">
        <f ca="1">IFERROR(__xludf.DUMMYFUNCTION("""COMPUTED_VALUE"""),6)</f>
        <v>6</v>
      </c>
      <c r="E193">
        <f ca="1">IFERROR(__xludf.DUMMYFUNCTION("""COMPUTED_VALUE"""),3.45)</f>
        <v>3.45</v>
      </c>
      <c r="F193">
        <f ca="1">IFERROR(__xludf.DUMMYFUNCTION("""COMPUTED_VALUE"""),29)</f>
        <v>29</v>
      </c>
      <c r="G193">
        <f ca="1">IFERROR(__xludf.DUMMYFUNCTION("""COMPUTED_VALUE"""),1)</f>
        <v>1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IFERROR(__xludf.DUMMYFUNCTION("""COMPUTED_VALUE"""),193)</f>
        <v>193</v>
      </c>
      <c r="C194" t="str">
        <f ca="1">IFERROR(__xludf.DUMMYFUNCTION("""COMPUTED_VALUE"""),"Matthew Wolff")</f>
        <v>Matthew Wolff</v>
      </c>
      <c r="D194">
        <f ca="1">IFERROR(__xludf.DUMMYFUNCTION("""COMPUTED_VALUE"""),16)</f>
        <v>16</v>
      </c>
      <c r="E194">
        <f ca="1">IFERROR(__xludf.DUMMYFUNCTION("""COMPUTED_VALUE"""),3.28)</f>
        <v>3.28</v>
      </c>
      <c r="F194">
        <f ca="1">IFERROR(__xludf.DUMMYFUNCTION("""COMPUTED_VALUE"""),61)</f>
        <v>61</v>
      </c>
      <c r="G194">
        <f ca="1">IFERROR(__xludf.DUMMYFUNCTION("""COMPUTED_VALUE"""),2)</f>
        <v>2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IFERROR(__xludf.DUMMYFUNCTION("""COMPUTED_VALUE"""),194)</f>
        <v>194</v>
      </c>
      <c r="C195" t="str">
        <f ca="1">IFERROR(__xludf.DUMMYFUNCTION("""COMPUTED_VALUE"""),"Patrick Reed")</f>
        <v>Patrick Reed</v>
      </c>
      <c r="D195">
        <f ca="1">IFERROR(__xludf.DUMMYFUNCTION("""COMPUTED_VALUE"""),8)</f>
        <v>8</v>
      </c>
      <c r="E195">
        <f ca="1">IFERROR(__xludf.DUMMYFUNCTION("""COMPUTED_VALUE"""),3.23)</f>
        <v>3.23</v>
      </c>
      <c r="F195">
        <f ca="1">IFERROR(__xludf.DUMMYFUNCTION("""COMPUTED_VALUE"""),31)</f>
        <v>31</v>
      </c>
      <c r="G195">
        <f ca="1">IFERROR(__xludf.DUMMYFUNCTION("""COMPUTED_VALUE"""),1)</f>
        <v>1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IFERROR(__xludf.DUMMYFUNCTION("""COMPUTED_VALUE"""),187)</f>
        <v>187</v>
      </c>
      <c r="C196" t="str">
        <f ca="1">IFERROR(__xludf.DUMMYFUNCTION("""COMPUTED_VALUE"""),"Sung Kang")</f>
        <v>Sung Kang</v>
      </c>
      <c r="D196">
        <f ca="1">IFERROR(__xludf.DUMMYFUNCTION("""COMPUTED_VALUE"""),14)</f>
        <v>14</v>
      </c>
      <c r="E196">
        <f ca="1">IFERROR(__xludf.DUMMYFUNCTION("""COMPUTED_VALUE"""),3.17)</f>
        <v>3.17</v>
      </c>
      <c r="F196">
        <f ca="1">IFERROR(__xludf.DUMMYFUNCTION("""COMPUTED_VALUE"""),63)</f>
        <v>63</v>
      </c>
      <c r="G196">
        <f ca="1">IFERROR(__xludf.DUMMYFUNCTION("""COMPUTED_VALUE"""),2)</f>
        <v>2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IFERROR(__xludf.DUMMYFUNCTION("""COMPUTED_VALUE"""),195)</f>
        <v>195</v>
      </c>
      <c r="C197" t="str">
        <f ca="1">IFERROR(__xludf.DUMMYFUNCTION("""COMPUTED_VALUE"""),"Billy Horschel")</f>
        <v>Billy Horschel</v>
      </c>
      <c r="D197">
        <f ca="1">IFERROR(__xludf.DUMMYFUNCTION("""COMPUTED_VALUE"""),12)</f>
        <v>12</v>
      </c>
      <c r="E197">
        <f ca="1">IFERROR(__xludf.DUMMYFUNCTION("""COMPUTED_VALUE"""),3.13)</f>
        <v>3.13</v>
      </c>
      <c r="F197">
        <f ca="1">IFERROR(__xludf.DUMMYFUNCTION("""COMPUTED_VALUE"""),64)</f>
        <v>64</v>
      </c>
      <c r="G197">
        <f ca="1">IFERROR(__xludf.DUMMYFUNCTION("""COMPUTED_VALUE"""),2)</f>
        <v>2</v>
      </c>
    </row>
    <row r="198" spans="1:7" ht="12.75">
      <c r="A198">
        <f ca="1">IFERROR(__xludf.DUMMYFUNCTION("""COMPUTED_VALUE"""),197)</f>
        <v>197</v>
      </c>
      <c r="B198" t="str">
        <f ca="1">IFERROR(__xludf.DUMMYFUNCTION("""COMPUTED_VALUE"""),"T189")</f>
        <v>T189</v>
      </c>
      <c r="C198" t="str">
        <f ca="1">IFERROR(__xludf.DUMMYFUNCTION("""COMPUTED_VALUE"""),"Tom Hoge")</f>
        <v>Tom Hoge</v>
      </c>
      <c r="D198">
        <f ca="1">IFERROR(__xludf.DUMMYFUNCTION("""COMPUTED_VALUE"""),22)</f>
        <v>22</v>
      </c>
      <c r="E198">
        <f ca="1">IFERROR(__xludf.DUMMYFUNCTION("""COMPUTED_VALUE"""),3.08)</f>
        <v>3.08</v>
      </c>
      <c r="F198">
        <f ca="1">IFERROR(__xludf.DUMMYFUNCTION("""COMPUTED_VALUE"""),65)</f>
        <v>65</v>
      </c>
      <c r="G198">
        <f ca="1">IFERROR(__xludf.DUMMYFUNCTION("""COMPUTED_VALUE"""),2)</f>
        <v>2</v>
      </c>
    </row>
    <row r="199" spans="1:7" ht="12.75">
      <c r="A199" t="str">
        <f ca="1">IFERROR(__xludf.DUMMYFUNCTION("""COMPUTED_VALUE"""),"T198")</f>
        <v>T198</v>
      </c>
      <c r="B199" t="str">
        <f ca="1">IFERROR(__xludf.DUMMYFUNCTION("""COMPUTED_VALUE"""),"T196")</f>
        <v>T196</v>
      </c>
      <c r="C199" t="str">
        <f ca="1">IFERROR(__xludf.DUMMYFUNCTION("""COMPUTED_VALUE"""),"Hank Lebioda")</f>
        <v>Hank Lebioda</v>
      </c>
      <c r="D199">
        <f ca="1">IFERROR(__xludf.DUMMYFUNCTION("""COMPUTED_VALUE"""),14)</f>
        <v>14</v>
      </c>
      <c r="E199">
        <f ca="1">IFERROR(__xludf.DUMMYFUNCTION("""COMPUTED_VALUE"""),3.03)</f>
        <v>3.03</v>
      </c>
      <c r="F199">
        <f ca="1">IFERROR(__xludf.DUMMYFUNCTION("""COMPUTED_VALUE"""),33)</f>
        <v>33</v>
      </c>
      <c r="G199">
        <f ca="1">IFERROR(__xludf.DUMMYFUNCTION("""COMPUTED_VALUE"""),1)</f>
        <v>1</v>
      </c>
    </row>
    <row r="200" spans="1:7" ht="12.75">
      <c r="A200" t="str">
        <f ca="1">IFERROR(__xludf.DUMMYFUNCTION("""COMPUTED_VALUE"""),"T198")</f>
        <v>T198</v>
      </c>
      <c r="B200" t="str">
        <f ca="1">IFERROR(__xludf.DUMMYFUNCTION("""COMPUTED_VALUE"""),"T196")</f>
        <v>T196</v>
      </c>
      <c r="C200" t="str">
        <f ca="1">IFERROR(__xludf.DUMMYFUNCTION("""COMPUTED_VALUE"""),"Sebastián Muñoz")</f>
        <v>Sebastián Muñoz</v>
      </c>
      <c r="D200">
        <f ca="1">IFERROR(__xludf.DUMMYFUNCTION("""COMPUTED_VALUE"""),20)</f>
        <v>20</v>
      </c>
      <c r="E200">
        <f ca="1">IFERROR(__xludf.DUMMYFUNCTION("""COMPUTED_VALUE"""),3.03)</f>
        <v>3.03</v>
      </c>
      <c r="F200">
        <f ca="1">IFERROR(__xludf.DUMMYFUNCTION("""COMPUTED_VALUE"""),66)</f>
        <v>66</v>
      </c>
      <c r="G200">
        <f ca="1">IFERROR(__xludf.DUMMYFUNCTION("""COMPUTED_VALUE"""),2)</f>
        <v>2</v>
      </c>
    </row>
    <row r="201" spans="1:7" ht="12.75">
      <c r="A201" t="str">
        <f ca="1">IFERROR(__xludf.DUMMYFUNCTION("""COMPUTED_VALUE"""),"T198")</f>
        <v>T198</v>
      </c>
      <c r="B201" t="str">
        <f ca="1">IFERROR(__xludf.DUMMYFUNCTION("""COMPUTED_VALUE"""),"T185")</f>
        <v>T185</v>
      </c>
      <c r="C201" t="str">
        <f ca="1">IFERROR(__xludf.DUMMYFUNCTION("""COMPUTED_VALUE"""),"Alex Noren")</f>
        <v>Alex Noren</v>
      </c>
      <c r="D201">
        <f ca="1">IFERROR(__xludf.DUMMYFUNCTION("""COMPUTED_VALUE"""),14)</f>
        <v>14</v>
      </c>
      <c r="E201">
        <f ca="1">IFERROR(__xludf.DUMMYFUNCTION("""COMPUTED_VALUE"""),3.03)</f>
        <v>3.03</v>
      </c>
      <c r="F201">
        <f ca="1">IFERROR(__xludf.DUMMYFUNCTION("""COMPUTED_VALUE"""),66)</f>
        <v>66</v>
      </c>
      <c r="G201">
        <f ca="1">IFERROR(__xludf.DUMMYFUNCTION("""COMPUTED_VALUE"""),2)</f>
        <v>2</v>
      </c>
    </row>
    <row r="202" spans="1:7" ht="12.75">
      <c r="A202" t="str">
        <f ca="1">IFERROR(__xludf.DUMMYFUNCTION("""COMPUTED_VALUE"""),"T201")</f>
        <v>T201</v>
      </c>
      <c r="B202" t="str">
        <f ca="1">IFERROR(__xludf.DUMMYFUNCTION("""COMPUTED_VALUE"""),"T189")</f>
        <v>T189</v>
      </c>
      <c r="C202" t="str">
        <f ca="1">IFERROR(__xludf.DUMMYFUNCTION("""COMPUTED_VALUE"""),"D.A. Points")</f>
        <v>D.A. Points</v>
      </c>
      <c r="D202">
        <f ca="1">IFERROR(__xludf.DUMMYFUNCTION("""COMPUTED_VALUE"""),12)</f>
        <v>12</v>
      </c>
      <c r="E202">
        <f ca="1">IFERROR(__xludf.DUMMYFUNCTION("""COMPUTED_VALUE"""),2.94)</f>
        <v>2.94</v>
      </c>
      <c r="F202">
        <f ca="1">IFERROR(__xludf.DUMMYFUNCTION("""COMPUTED_VALUE"""),34)</f>
        <v>34</v>
      </c>
      <c r="G202">
        <f ca="1">IFERROR(__xludf.DUMMYFUNCTION("""COMPUTED_VALUE"""),1)</f>
        <v>1</v>
      </c>
    </row>
    <row r="203" spans="1:7" ht="12.75">
      <c r="A203" t="str">
        <f ca="1">IFERROR(__xludf.DUMMYFUNCTION("""COMPUTED_VALUE"""),"T201")</f>
        <v>T201</v>
      </c>
      <c r="B203">
        <f ca="1">IFERROR(__xludf.DUMMYFUNCTION("""COMPUTED_VALUE"""),198)</f>
        <v>198</v>
      </c>
      <c r="C203" t="str">
        <f ca="1">IFERROR(__xludf.DUMMYFUNCTION("""COMPUTED_VALUE"""),"Cameron Percy")</f>
        <v>Cameron Percy</v>
      </c>
      <c r="D203">
        <f ca="1">IFERROR(__xludf.DUMMYFUNCTION("""COMPUTED_VALUE"""),16)</f>
        <v>16</v>
      </c>
      <c r="E203">
        <f ca="1">IFERROR(__xludf.DUMMYFUNCTION("""COMPUTED_VALUE"""),2.94)</f>
        <v>2.94</v>
      </c>
      <c r="F203">
        <f ca="1">IFERROR(__xludf.DUMMYFUNCTION("""COMPUTED_VALUE"""),34)</f>
        <v>34</v>
      </c>
      <c r="G203">
        <f ca="1">IFERROR(__xludf.DUMMYFUNCTION("""COMPUTED_VALUE"""),1)</f>
        <v>1</v>
      </c>
    </row>
    <row r="204" spans="1:7" ht="12.75">
      <c r="A204" t="str">
        <f ca="1">IFERROR(__xludf.DUMMYFUNCTION("""COMPUTED_VALUE"""),"T201")</f>
        <v>T201</v>
      </c>
      <c r="B204" t="str">
        <f ca="1">IFERROR(__xludf.DUMMYFUNCTION("""COMPUTED_VALUE"""),"T157")</f>
        <v>T157</v>
      </c>
      <c r="C204" t="str">
        <f ca="1">IFERROR(__xludf.DUMMYFUNCTION("""COMPUTED_VALUE"""),"Patton Kizzire")</f>
        <v>Patton Kizzire</v>
      </c>
      <c r="D204">
        <f ca="1">IFERROR(__xludf.DUMMYFUNCTION("""COMPUTED_VALUE"""),18)</f>
        <v>18</v>
      </c>
      <c r="E204">
        <f ca="1">IFERROR(__xludf.DUMMYFUNCTION("""COMPUTED_VALUE"""),2.94)</f>
        <v>2.94</v>
      </c>
      <c r="F204">
        <f ca="1">IFERROR(__xludf.DUMMYFUNCTION("""COMPUTED_VALUE"""),68)</f>
        <v>68</v>
      </c>
      <c r="G204">
        <f ca="1">IFERROR(__xludf.DUMMYFUNCTION("""COMPUTED_VALUE"""),2)</f>
        <v>2</v>
      </c>
    </row>
    <row r="205" spans="1:7" ht="12.75">
      <c r="A205" t="str">
        <f ca="1">IFERROR(__xludf.DUMMYFUNCTION("""COMPUTED_VALUE"""),"T204")</f>
        <v>T204</v>
      </c>
      <c r="B205" t="str">
        <f ca="1">IFERROR(__xludf.DUMMYFUNCTION("""COMPUTED_VALUE"""),"T199")</f>
        <v>T199</v>
      </c>
      <c r="C205" t="str">
        <f ca="1">IFERROR(__xludf.DUMMYFUNCTION("""COMPUTED_VALUE"""),"Ryo Ishikawa")</f>
        <v>Ryo Ishikawa</v>
      </c>
      <c r="D205">
        <f ca="1">IFERROR(__xludf.DUMMYFUNCTION("""COMPUTED_VALUE"""),8)</f>
        <v>8</v>
      </c>
      <c r="E205">
        <f ca="1">IFERROR(__xludf.DUMMYFUNCTION("""COMPUTED_VALUE"""),2.86)</f>
        <v>2.86</v>
      </c>
      <c r="F205">
        <f ca="1">IFERROR(__xludf.DUMMYFUNCTION("""COMPUTED_VALUE"""),35)</f>
        <v>35</v>
      </c>
      <c r="G205">
        <f ca="1">IFERROR(__xludf.DUMMYFUNCTION("""COMPUTED_VALUE"""),1)</f>
        <v>1</v>
      </c>
    </row>
    <row r="206" spans="1:7" ht="12.75">
      <c r="A206" t="str">
        <f ca="1">IFERROR(__xludf.DUMMYFUNCTION("""COMPUTED_VALUE"""),"T204")</f>
        <v>T204</v>
      </c>
      <c r="B206" t="str">
        <f ca="1">IFERROR(__xludf.DUMMYFUNCTION("""COMPUTED_VALUE"""),"T199")</f>
        <v>T199</v>
      </c>
      <c r="C206" t="str">
        <f ca="1">IFERROR(__xludf.DUMMYFUNCTION("""COMPUTED_VALUE"""),"Jason Kokrak")</f>
        <v>Jason Kokrak</v>
      </c>
      <c r="D206">
        <f ca="1">IFERROR(__xludf.DUMMYFUNCTION("""COMPUTED_VALUE"""),14)</f>
        <v>14</v>
      </c>
      <c r="E206">
        <f ca="1">IFERROR(__xludf.DUMMYFUNCTION("""COMPUTED_VALUE"""),2.86)</f>
        <v>2.86</v>
      </c>
      <c r="F206">
        <f ca="1">IFERROR(__xludf.DUMMYFUNCTION("""COMPUTED_VALUE"""),70)</f>
        <v>70</v>
      </c>
      <c r="G206">
        <f ca="1">IFERROR(__xludf.DUMMYFUNCTION("""COMPUTED_VALUE"""),2)</f>
        <v>2</v>
      </c>
    </row>
    <row r="207" spans="1:7" ht="12.75">
      <c r="A207" t="str">
        <f ca="1">IFERROR(__xludf.DUMMYFUNCTION("""COMPUTED_VALUE"""),"T204")</f>
        <v>T204</v>
      </c>
      <c r="B207" t="str">
        <f ca="1">IFERROR(__xludf.DUMMYFUNCTION("""COMPUTED_VALUE"""),"T213")</f>
        <v>T213</v>
      </c>
      <c r="C207" t="str">
        <f ca="1">IFERROR(__xludf.DUMMYFUNCTION("""COMPUTED_VALUE"""),"John Huh")</f>
        <v>John Huh</v>
      </c>
      <c r="D207">
        <f ca="1">IFERROR(__xludf.DUMMYFUNCTION("""COMPUTED_VALUE"""),8)</f>
        <v>8</v>
      </c>
      <c r="E207">
        <f ca="1">IFERROR(__xludf.DUMMYFUNCTION("""COMPUTED_VALUE"""),2.86)</f>
        <v>2.86</v>
      </c>
      <c r="F207">
        <f ca="1">IFERROR(__xludf.DUMMYFUNCTION("""COMPUTED_VALUE"""),35)</f>
        <v>35</v>
      </c>
      <c r="G207">
        <f ca="1">IFERROR(__xludf.DUMMYFUNCTION("""COMPUTED_VALUE"""),1)</f>
        <v>1</v>
      </c>
    </row>
    <row r="208" spans="1:7" ht="12.75">
      <c r="A208" t="str">
        <f ca="1">IFERROR(__xludf.DUMMYFUNCTION("""COMPUTED_VALUE"""),"T207")</f>
        <v>T207</v>
      </c>
      <c r="B208" t="str">
        <f ca="1">IFERROR(__xludf.DUMMYFUNCTION("""COMPUTED_VALUE"""),"T176")</f>
        <v>T176</v>
      </c>
      <c r="C208" t="str">
        <f ca="1">IFERROR(__xludf.DUMMYFUNCTION("""COMPUTED_VALUE"""),"Grayson Murray")</f>
        <v>Grayson Murray</v>
      </c>
      <c r="D208">
        <f ca="1">IFERROR(__xludf.DUMMYFUNCTION("""COMPUTED_VALUE"""),10)</f>
        <v>10</v>
      </c>
      <c r="E208">
        <f ca="1">IFERROR(__xludf.DUMMYFUNCTION("""COMPUTED_VALUE"""),2.78)</f>
        <v>2.78</v>
      </c>
      <c r="F208">
        <f ca="1">IFERROR(__xludf.DUMMYFUNCTION("""COMPUTED_VALUE"""),36)</f>
        <v>36</v>
      </c>
      <c r="G208">
        <f ca="1">IFERROR(__xludf.DUMMYFUNCTION("""COMPUTED_VALUE"""),1)</f>
        <v>1</v>
      </c>
    </row>
    <row r="209" spans="1:7" ht="12.75">
      <c r="A209" t="str">
        <f ca="1">IFERROR(__xludf.DUMMYFUNCTION("""COMPUTED_VALUE"""),"T207")</f>
        <v>T207</v>
      </c>
      <c r="B209" t="str">
        <f ca="1">IFERROR(__xludf.DUMMYFUNCTION("""COMPUTED_VALUE"""),"T213")</f>
        <v>T213</v>
      </c>
      <c r="C209" t="str">
        <f ca="1">IFERROR(__xludf.DUMMYFUNCTION("""COMPUTED_VALUE"""),"Kramer Hickok")</f>
        <v>Kramer Hickok</v>
      </c>
      <c r="D209">
        <f ca="1">IFERROR(__xludf.DUMMYFUNCTION("""COMPUTED_VALUE"""),16)</f>
        <v>16</v>
      </c>
      <c r="E209">
        <f ca="1">IFERROR(__xludf.DUMMYFUNCTION("""COMPUTED_VALUE"""),2.78)</f>
        <v>2.78</v>
      </c>
      <c r="F209">
        <f ca="1">IFERROR(__xludf.DUMMYFUNCTION("""COMPUTED_VALUE"""),36)</f>
        <v>36</v>
      </c>
      <c r="G209">
        <f ca="1">IFERROR(__xludf.DUMMYFUNCTION("""COMPUTED_VALUE"""),1)</f>
        <v>1</v>
      </c>
    </row>
    <row r="210" spans="1:7" ht="12.75">
      <c r="A210" t="str">
        <f ca="1">IFERROR(__xludf.DUMMYFUNCTION("""COMPUTED_VALUE"""),"T207")</f>
        <v>T207</v>
      </c>
      <c r="B210" t="str">
        <f ca="1">IFERROR(__xludf.DUMMYFUNCTION("""COMPUTED_VALUE"""),"T176")</f>
        <v>T176</v>
      </c>
      <c r="C210" t="str">
        <f ca="1">IFERROR(__xludf.DUMMYFUNCTION("""COMPUTED_VALUE"""),"Luke Donald")</f>
        <v>Luke Donald</v>
      </c>
      <c r="D210">
        <f ca="1">IFERROR(__xludf.DUMMYFUNCTION("""COMPUTED_VALUE"""),14)</f>
        <v>14</v>
      </c>
      <c r="E210">
        <f ca="1">IFERROR(__xludf.DUMMYFUNCTION("""COMPUTED_VALUE"""),2.78)</f>
        <v>2.78</v>
      </c>
      <c r="F210">
        <f ca="1">IFERROR(__xludf.DUMMYFUNCTION("""COMPUTED_VALUE"""),36)</f>
        <v>36</v>
      </c>
      <c r="G210">
        <f ca="1">IFERROR(__xludf.DUMMYFUNCTION("""COMPUTED_VALUE"""),1)</f>
        <v>1</v>
      </c>
    </row>
    <row r="211" spans="1:7" ht="12.75">
      <c r="A211" t="str">
        <f ca="1">IFERROR(__xludf.DUMMYFUNCTION("""COMPUTED_VALUE"""),"T210")</f>
        <v>T210</v>
      </c>
      <c r="B211" t="str">
        <f ca="1">IFERROR(__xludf.DUMMYFUNCTION("""COMPUTED_VALUE"""),"T209")</f>
        <v>T209</v>
      </c>
      <c r="C211" t="str">
        <f ca="1">IFERROR(__xludf.DUMMYFUNCTION("""COMPUTED_VALUE"""),"Charley Hoffman")</f>
        <v>Charley Hoffman</v>
      </c>
      <c r="D211">
        <f ca="1">IFERROR(__xludf.DUMMYFUNCTION("""COMPUTED_VALUE"""),20)</f>
        <v>20</v>
      </c>
      <c r="E211">
        <f ca="1">IFERROR(__xludf.DUMMYFUNCTION("""COMPUTED_VALUE"""),2.7)</f>
        <v>2.7</v>
      </c>
      <c r="F211">
        <f ca="1">IFERROR(__xludf.DUMMYFUNCTION("""COMPUTED_VALUE"""),74)</f>
        <v>74</v>
      </c>
      <c r="G211">
        <f ca="1">IFERROR(__xludf.DUMMYFUNCTION("""COMPUTED_VALUE"""),2)</f>
        <v>2</v>
      </c>
    </row>
    <row r="212" spans="1:7" ht="12.75">
      <c r="A212" t="str">
        <f ca="1">IFERROR(__xludf.DUMMYFUNCTION("""COMPUTED_VALUE"""),"T210")</f>
        <v>T210</v>
      </c>
      <c r="B212">
        <f ca="1">IFERROR(__xludf.DUMMYFUNCTION("""COMPUTED_VALUE"""),184)</f>
        <v>184</v>
      </c>
      <c r="C212" t="str">
        <f ca="1">IFERROR(__xludf.DUMMYFUNCTION("""COMPUTED_VALUE"""),"Martin Trainer")</f>
        <v>Martin Trainer</v>
      </c>
      <c r="D212">
        <f ca="1">IFERROR(__xludf.DUMMYFUNCTION("""COMPUTED_VALUE"""),10)</f>
        <v>10</v>
      </c>
      <c r="E212">
        <f ca="1">IFERROR(__xludf.DUMMYFUNCTION("""COMPUTED_VALUE"""),2.7)</f>
        <v>2.7</v>
      </c>
      <c r="F212">
        <f ca="1">IFERROR(__xludf.DUMMYFUNCTION("""COMPUTED_VALUE"""),37)</f>
        <v>37</v>
      </c>
      <c r="G212">
        <f ca="1">IFERROR(__xludf.DUMMYFUNCTION("""COMPUTED_VALUE"""),1)</f>
        <v>1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IFERROR(__xludf.DUMMYFUNCTION("""COMPUTED_VALUE"""),"T203")</f>
        <v>T203</v>
      </c>
      <c r="C213" t="str">
        <f ca="1">IFERROR(__xludf.DUMMYFUNCTION("""COMPUTED_VALUE"""),"Chase Seiffert")</f>
        <v>Chase Seiffert</v>
      </c>
      <c r="D213">
        <f ca="1">IFERROR(__xludf.DUMMYFUNCTION("""COMPUTED_VALUE"""),14)</f>
        <v>14</v>
      </c>
      <c r="E213">
        <f ca="1">IFERROR(__xludf.DUMMYFUNCTION("""COMPUTED_VALUE"""),2.56)</f>
        <v>2.56</v>
      </c>
      <c r="F213">
        <f ca="1">IFERROR(__xludf.DUMMYFUNCTION("""COMPUTED_VALUE"""),39)</f>
        <v>39</v>
      </c>
      <c r="G213">
        <f ca="1">IFERROR(__xludf.DUMMYFUNCTION("""COMPUTED_VALUE"""),1)</f>
        <v>1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IFERROR(__xludf.DUMMYFUNCTION("""COMPUTED_VALUE"""),"T203")</f>
        <v>T203</v>
      </c>
      <c r="C214" t="str">
        <f ca="1">IFERROR(__xludf.DUMMYFUNCTION("""COMPUTED_VALUE"""),"Byeong Hun An")</f>
        <v>Byeong Hun An</v>
      </c>
      <c r="D214">
        <f ca="1">IFERROR(__xludf.DUMMYFUNCTION("""COMPUTED_VALUE"""),14)</f>
        <v>14</v>
      </c>
      <c r="E214">
        <f ca="1">IFERROR(__xludf.DUMMYFUNCTION("""COMPUTED_VALUE"""),2.56)</f>
        <v>2.56</v>
      </c>
      <c r="F214">
        <f ca="1">IFERROR(__xludf.DUMMYFUNCTION("""COMPUTED_VALUE"""),39)</f>
        <v>39</v>
      </c>
      <c r="G214">
        <f ca="1">IFERROR(__xludf.DUMMYFUNCTION("""COMPUTED_VALUE"""),1)</f>
        <v>1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IFERROR(__xludf.DUMMYFUNCTION("""COMPUTED_VALUE"""),"T213")</f>
        <v>T213</v>
      </c>
      <c r="C215" t="str">
        <f ca="1">IFERROR(__xludf.DUMMYFUNCTION("""COMPUTED_VALUE"""),"Isaiah Salinda")</f>
        <v>Isaiah Salinda</v>
      </c>
      <c r="D215">
        <f ca="1">IFERROR(__xludf.DUMMYFUNCTION("""COMPUTED_VALUE"""),8)</f>
        <v>8</v>
      </c>
      <c r="E215">
        <f ca="1">IFERROR(__xludf.DUMMYFUNCTION("""COMPUTED_VALUE"""),2.56)</f>
        <v>2.56</v>
      </c>
      <c r="F215">
        <f ca="1">IFERROR(__xludf.DUMMYFUNCTION("""COMPUTED_VALUE"""),39)</f>
        <v>39</v>
      </c>
      <c r="G215">
        <f ca="1">IFERROR(__xludf.DUMMYFUNCTION("""COMPUTED_VALUE"""),1)</f>
        <v>1</v>
      </c>
    </row>
    <row r="216" spans="1:7" ht="12.75">
      <c r="A216" t="str">
        <f ca="1">IFERROR(__xludf.DUMMYFUNCTION("""COMPUTED_VALUE"""),"T212")</f>
        <v>T212</v>
      </c>
      <c r="B216" t="str">
        <f ca="1">IFERROR(__xludf.DUMMYFUNCTION("""COMPUTED_VALUE"""),"T189")</f>
        <v>T189</v>
      </c>
      <c r="C216" t="str">
        <f ca="1">IFERROR(__xludf.DUMMYFUNCTION("""COMPUTED_VALUE"""),"Scott Stallings")</f>
        <v>Scott Stallings</v>
      </c>
      <c r="D216">
        <f ca="1">IFERROR(__xludf.DUMMYFUNCTION("""COMPUTED_VALUE"""),14)</f>
        <v>14</v>
      </c>
      <c r="E216">
        <f ca="1">IFERROR(__xludf.DUMMYFUNCTION("""COMPUTED_VALUE"""),2.56)</f>
        <v>2.56</v>
      </c>
      <c r="F216">
        <f ca="1">IFERROR(__xludf.DUMMYFUNCTION("""COMPUTED_VALUE"""),39)</f>
        <v>39</v>
      </c>
      <c r="G216">
        <f ca="1">IFERROR(__xludf.DUMMYFUNCTION("""COMPUTED_VALUE"""),1)</f>
        <v>1</v>
      </c>
    </row>
    <row r="217" spans="1:7" ht="12.75">
      <c r="A217">
        <f ca="1">IFERROR(__xludf.DUMMYFUNCTION("""COMPUTED_VALUE"""),216)</f>
        <v>216</v>
      </c>
      <c r="B217" t="str">
        <f ca="1">IFERROR(__xludf.DUMMYFUNCTION("""COMPUTED_VALUE"""),"T189")</f>
        <v>T189</v>
      </c>
      <c r="C217" t="str">
        <f ca="1">IFERROR(__xludf.DUMMYFUNCTION("""COMPUTED_VALUE"""),"Camilo Villegas")</f>
        <v>Camilo Villegas</v>
      </c>
      <c r="D217">
        <f ca="1">IFERROR(__xludf.DUMMYFUNCTION("""COMPUTED_VALUE"""),14)</f>
        <v>14</v>
      </c>
      <c r="E217">
        <f ca="1">IFERROR(__xludf.DUMMYFUNCTION("""COMPUTED_VALUE"""),2.5)</f>
        <v>2.5</v>
      </c>
      <c r="F217">
        <f ca="1">IFERROR(__xludf.DUMMYFUNCTION("""COMPUTED_VALUE"""),40)</f>
        <v>40</v>
      </c>
      <c r="G217">
        <f ca="1">IFERROR(__xludf.DUMMYFUNCTION("""COMPUTED_VALUE"""),1)</f>
        <v>1</v>
      </c>
    </row>
    <row r="218" spans="1:7" ht="12.75">
      <c r="A218" t="str">
        <f ca="1">IFERROR(__xludf.DUMMYFUNCTION("""COMPUTED_VALUE"""),"T217")</f>
        <v>T217</v>
      </c>
      <c r="B218">
        <f ca="1">IFERROR(__xludf.DUMMYFUNCTION("""COMPUTED_VALUE"""),205)</f>
        <v>205</v>
      </c>
      <c r="C218" t="str">
        <f ca="1">IFERROR(__xludf.DUMMYFUNCTION("""COMPUTED_VALUE"""),"Pat Perez")</f>
        <v>Pat Perez</v>
      </c>
      <c r="D218">
        <f ca="1">IFERROR(__xludf.DUMMYFUNCTION("""COMPUTED_VALUE"""),16)</f>
        <v>16</v>
      </c>
      <c r="E218">
        <f ca="1">IFERROR(__xludf.DUMMYFUNCTION("""COMPUTED_VALUE"""),2.22)</f>
        <v>2.2200000000000002</v>
      </c>
      <c r="F218">
        <f ca="1">IFERROR(__xludf.DUMMYFUNCTION("""COMPUTED_VALUE"""),45)</f>
        <v>45</v>
      </c>
      <c r="G218">
        <f ca="1">IFERROR(__xludf.DUMMYFUNCTION("""COMPUTED_VALUE"""),1)</f>
        <v>1</v>
      </c>
    </row>
    <row r="219" spans="1:7" ht="12.75">
      <c r="A219" t="str">
        <f ca="1">IFERROR(__xludf.DUMMYFUNCTION("""COMPUTED_VALUE"""),"T217")</f>
        <v>T217</v>
      </c>
      <c r="B219" t="str">
        <f ca="1">IFERROR(__xludf.DUMMYFUNCTION("""COMPUTED_VALUE"""),"T176")</f>
        <v>T176</v>
      </c>
      <c r="C219" t="str">
        <f ca="1">IFERROR(__xludf.DUMMYFUNCTION("""COMPUTED_VALUE"""),"Jhonattan Vegas")</f>
        <v>Jhonattan Vegas</v>
      </c>
      <c r="D219">
        <f ca="1">IFERROR(__xludf.DUMMYFUNCTION("""COMPUTED_VALUE"""),16)</f>
        <v>16</v>
      </c>
      <c r="E219">
        <f ca="1">IFERROR(__xludf.DUMMYFUNCTION("""COMPUTED_VALUE"""),2.22)</f>
        <v>2.2200000000000002</v>
      </c>
      <c r="F219">
        <f ca="1">IFERROR(__xludf.DUMMYFUNCTION("""COMPUTED_VALUE"""),45)</f>
        <v>45</v>
      </c>
      <c r="G219">
        <f ca="1">IFERROR(__xludf.DUMMYFUNCTION("""COMPUTED_VALUE"""),1)</f>
        <v>1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IFERROR(__xludf.DUMMYFUNCTION("""COMPUTED_VALUE"""),207)</f>
        <v>207</v>
      </c>
      <c r="C220" t="str">
        <f ca="1">IFERROR(__xludf.DUMMYFUNCTION("""COMPUTED_VALUE"""),"MJ Daffue")</f>
        <v>MJ Daffue</v>
      </c>
      <c r="D220">
        <f ca="1">IFERROR(__xludf.DUMMYFUNCTION("""COMPUTED_VALUE"""),10)</f>
        <v>10</v>
      </c>
      <c r="E220">
        <f ca="1">IFERROR(__xludf.DUMMYFUNCTION("""COMPUTED_VALUE"""),2.13)</f>
        <v>2.13</v>
      </c>
      <c r="F220">
        <f ca="1">IFERROR(__xludf.DUMMYFUNCTION("""COMPUTED_VALUE"""),47)</f>
        <v>47</v>
      </c>
      <c r="G220">
        <f ca="1">IFERROR(__xludf.DUMMYFUNCTION("""COMPUTED_VALUE"""),1)</f>
        <v>1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IFERROR(__xludf.DUMMYFUNCTION("""COMPUTED_VALUE"""),202)</f>
        <v>202</v>
      </c>
      <c r="C221" t="str">
        <f ca="1">IFERROR(__xludf.DUMMYFUNCTION("""COMPUTED_VALUE"""),"Scott Harrington")</f>
        <v>Scott Harrington</v>
      </c>
      <c r="D221">
        <f ca="1">IFERROR(__xludf.DUMMYFUNCTION("""COMPUTED_VALUE"""),18)</f>
        <v>18</v>
      </c>
      <c r="E221">
        <f ca="1">IFERROR(__xludf.DUMMYFUNCTION("""COMPUTED_VALUE"""),2.04)</f>
        <v>2.04</v>
      </c>
      <c r="F221">
        <f ca="1">IFERROR(__xludf.DUMMYFUNCTION("""COMPUTED_VALUE"""),49)</f>
        <v>49</v>
      </c>
      <c r="G221">
        <f ca="1">IFERROR(__xludf.DUMMYFUNCTION("""COMPUTED_VALUE"""),1)</f>
        <v>1</v>
      </c>
    </row>
    <row r="222" spans="1:7" ht="12.75">
      <c r="A222">
        <f ca="1">IFERROR(__xludf.DUMMYFUNCTION("""COMPUTED_VALUE"""),221)</f>
        <v>221</v>
      </c>
      <c r="B222" t="str">
        <f ca="1">IFERROR(__xludf.DUMMYFUNCTION("""COMPUTED_VALUE"""),"T213")</f>
        <v>T213</v>
      </c>
      <c r="C222" t="str">
        <f ca="1">IFERROR(__xludf.DUMMYFUNCTION("""COMPUTED_VALUE"""),"Patrick Rodgers")</f>
        <v>Patrick Rodgers</v>
      </c>
      <c r="D222">
        <f ca="1">IFERROR(__xludf.DUMMYFUNCTION("""COMPUTED_VALUE"""),18)</f>
        <v>18</v>
      </c>
      <c r="E222">
        <f ca="1">IFERROR(__xludf.DUMMYFUNCTION("""COMPUTED_VALUE"""),1.92)</f>
        <v>1.92</v>
      </c>
      <c r="F222">
        <f ca="1">IFERROR(__xludf.DUMMYFUNCTION("""COMPUTED_VALUE"""),52)</f>
        <v>52</v>
      </c>
      <c r="G222">
        <f ca="1">IFERROR(__xludf.DUMMYFUNCTION("""COMPUTED_VALUE"""),1)</f>
        <v>1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IFERROR(__xludf.DUMMYFUNCTION("""COMPUTED_VALUE"""),201)</f>
        <v>201</v>
      </c>
      <c r="C223" t="str">
        <f ca="1">IFERROR(__xludf.DUMMYFUNCTION("""COMPUTED_VALUE"""),"Russell Knox")</f>
        <v>Russell Knox</v>
      </c>
      <c r="D223">
        <f ca="1">IFERROR(__xludf.DUMMYFUNCTION("""COMPUTED_VALUE"""),16)</f>
        <v>16</v>
      </c>
      <c r="E223">
        <f ca="1">IFERROR(__xludf.DUMMYFUNCTION("""COMPUTED_VALUE"""),1.85)</f>
        <v>1.85</v>
      </c>
      <c r="F223">
        <f ca="1">IFERROR(__xludf.DUMMYFUNCTION("""COMPUTED_VALUE"""),54)</f>
        <v>54</v>
      </c>
      <c r="G223">
        <f ca="1">IFERROR(__xludf.DUMMYFUNCTION("""COMPUTED_VALUE"""),1)</f>
        <v>1</v>
      </c>
    </row>
    <row r="224" spans="1:7" ht="12.75">
      <c r="A224" t="str">
        <f ca="1">IFERROR(__xludf.DUMMYFUNCTION("""COMPUTED_VALUE"""),"T223")</f>
        <v>T223</v>
      </c>
      <c r="B224" t="str">
        <f ca="1">IFERROR(__xludf.DUMMYFUNCTION("""COMPUTED_VALUE"""),"T211")</f>
        <v>T211</v>
      </c>
      <c r="C224" t="str">
        <f ca="1">IFERROR(__xludf.DUMMYFUNCTION("""COMPUTED_VALUE"""),"Rickie Fowler")</f>
        <v>Rickie Fowler</v>
      </c>
      <c r="D224">
        <f ca="1">IFERROR(__xludf.DUMMYFUNCTION("""COMPUTED_VALUE"""),14)</f>
        <v>14</v>
      </c>
      <c r="E224">
        <f ca="1">IFERROR(__xludf.DUMMYFUNCTION("""COMPUTED_VALUE"""),1.69)</f>
        <v>1.69</v>
      </c>
      <c r="F224">
        <f ca="1">IFERROR(__xludf.DUMMYFUNCTION("""COMPUTED_VALUE"""),59)</f>
        <v>59</v>
      </c>
      <c r="G224">
        <f ca="1">IFERROR(__xludf.DUMMYFUNCTION("""COMPUTED_VALUE"""),1)</f>
        <v>1</v>
      </c>
    </row>
    <row r="225" spans="1:7" ht="12.75">
      <c r="A225" t="str">
        <f ca="1">IFERROR(__xludf.DUMMYFUNCTION("""COMPUTED_VALUE"""),"T223")</f>
        <v>T223</v>
      </c>
      <c r="B225" t="str">
        <f ca="1">IFERROR(__xludf.DUMMYFUNCTION("""COMPUTED_VALUE"""),"T211")</f>
        <v>T211</v>
      </c>
      <c r="C225" t="str">
        <f ca="1">IFERROR(__xludf.DUMMYFUNCTION("""COMPUTED_VALUE"""),"Paul Casey")</f>
        <v>Paul Casey</v>
      </c>
      <c r="D225">
        <f ca="1">IFERROR(__xludf.DUMMYFUNCTION("""COMPUTED_VALUE"""),14)</f>
        <v>14</v>
      </c>
      <c r="E225">
        <f ca="1">IFERROR(__xludf.DUMMYFUNCTION("""COMPUTED_VALUE"""),1.69)</f>
        <v>1.69</v>
      </c>
      <c r="F225">
        <f ca="1">IFERROR(__xludf.DUMMYFUNCTION("""COMPUTED_VALUE"""),59)</f>
        <v>59</v>
      </c>
      <c r="G225">
        <f ca="1">IFERROR(__xludf.DUMMYFUNCTION("""COMPUTED_VALUE"""),1)</f>
        <v>1</v>
      </c>
    </row>
    <row r="226" spans="1:7" ht="12.75">
      <c r="A226">
        <f ca="1">IFERROR(__xludf.DUMMYFUNCTION("""COMPUTED_VALUE"""),225)</f>
        <v>225</v>
      </c>
      <c r="B226" t="str">
        <f ca="1">IFERROR(__xludf.DUMMYFUNCTION("""COMPUTED_VALUE"""),"T209")</f>
        <v>T209</v>
      </c>
      <c r="C226" t="str">
        <f ca="1">IFERROR(__xludf.DUMMYFUNCTION("""COMPUTED_VALUE"""),"Viktor Hovland")</f>
        <v>Viktor Hovland</v>
      </c>
      <c r="D226">
        <f ca="1">IFERROR(__xludf.DUMMYFUNCTION("""COMPUTED_VALUE"""),16)</f>
        <v>16</v>
      </c>
      <c r="E226">
        <f ca="1">IFERROR(__xludf.DUMMYFUNCTION("""COMPUTED_VALUE"""),1.43)</f>
        <v>1.43</v>
      </c>
      <c r="F226">
        <f ca="1">IFERROR(__xludf.DUMMYFUNCTION("""COMPUTED_VALUE"""),70)</f>
        <v>70</v>
      </c>
      <c r="G226">
        <f ca="1">IFERROR(__xludf.DUMMYFUNCTION("""COMPUTED_VALUE"""),1)</f>
        <v>1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IFERROR(__xludf.DUMMYFUNCTION("""COMPUTED_VALUE"""),208)</f>
        <v>208</v>
      </c>
      <c r="C227" t="str">
        <f ca="1">IFERROR(__xludf.DUMMYFUNCTION("""COMPUTED_VALUE"""),"Cameron Davis")</f>
        <v>Cameron Davis</v>
      </c>
      <c r="D227">
        <f ca="1">IFERROR(__xludf.DUMMYFUNCTION("""COMPUTED_VALUE"""),16)</f>
        <v>16</v>
      </c>
      <c r="E227">
        <f ca="1">IFERROR(__xludf.DUMMYFUNCTION("""COMPUTED_VALUE"""),1.39)</f>
        <v>1.39</v>
      </c>
      <c r="F227">
        <f ca="1">IFERROR(__xludf.DUMMYFUNCTION("""COMPUTED_VALUE"""),72)</f>
        <v>72</v>
      </c>
      <c r="G227">
        <f ca="1">IFERROR(__xludf.DUMMYFUNCTION("""COMPUTED_VALUE"""),1)</f>
        <v>1</v>
      </c>
    </row>
    <row r="228" spans="1:7" ht="12.75">
      <c r="A228" t="str">
        <f ca="1">IFERROR(__xludf.DUMMYFUNCTION("""COMPUTED_VALUE"""),"T227")</f>
        <v>T227</v>
      </c>
      <c r="B228" t="str">
        <f ca="1">IFERROR(__xludf.DUMMYFUNCTION("""COMPUTED_VALUE"""),"T213")</f>
        <v>T213</v>
      </c>
      <c r="C228" t="str">
        <f ca="1">IFERROR(__xludf.DUMMYFUNCTION("""COMPUTED_VALUE"""),"Jeongwoo Ham")</f>
        <v>Jeongwoo Ham</v>
      </c>
      <c r="D228">
        <f ca="1">IFERROR(__xludf.DUMMYFUNCTION("""COMPUTED_VALUE"""),4)</f>
        <v>4</v>
      </c>
      <c r="E228">
        <f ca="1">IFERROR(__xludf.DUMMYFUNCTION("""COMPUTED_VALUE"""),0)</f>
        <v>0</v>
      </c>
      <c r="F228">
        <f ca="1">IFERROR(__xludf.DUMMYFUNCTION("""COMPUTED_VALUE"""),15)</f>
        <v>15</v>
      </c>
      <c r="G228" t="str">
        <f ca="1">IFERROR(__xludf.DUMMYFUNCTION("""COMPUTED_VALUE"""),"")</f>
        <v/>
      </c>
    </row>
    <row r="229" spans="1:7" ht="12.75">
      <c r="A229" t="str">
        <f ca="1">IFERROR(__xludf.DUMMYFUNCTION("""COMPUTED_VALUE"""),"T227")</f>
        <v>T227</v>
      </c>
      <c r="B229" t="str">
        <f ca="1">IFERROR(__xludf.DUMMYFUNCTION("""COMPUTED_VALUE"""),"T213")</f>
        <v>T213</v>
      </c>
      <c r="C229" t="str">
        <f ca="1">IFERROR(__xludf.DUMMYFUNCTION("""COMPUTED_VALUE"""),"Brandon Hagy")</f>
        <v>Brandon Hagy</v>
      </c>
      <c r="D229">
        <f ca="1">IFERROR(__xludf.DUMMYFUNCTION("""COMPUTED_VALUE"""),10)</f>
        <v>10</v>
      </c>
      <c r="E229">
        <f ca="1">IFERROR(__xludf.DUMMYFUNCTION("""COMPUTED_VALUE"""),0)</f>
        <v>0</v>
      </c>
      <c r="F229">
        <f ca="1">IFERROR(__xludf.DUMMYFUNCTION("""COMPUTED_VALUE"""),33)</f>
        <v>33</v>
      </c>
      <c r="G229" t="str">
        <f ca="1">IFERROR(__xludf.DUMMYFUNCTION("""COMPUTED_VALUE"""),"")</f>
        <v/>
      </c>
    </row>
    <row r="230" spans="1:7" ht="12.75">
      <c r="A230" t="str">
        <f ca="1">IFERROR(__xludf.DUMMYFUNCTION("""COMPUTED_VALUE"""),"T227")</f>
        <v>T227</v>
      </c>
      <c r="B230" t="str">
        <f ca="1">IFERROR(__xludf.DUMMYFUNCTION("""COMPUTED_VALUE"""),"T213")</f>
        <v>T213</v>
      </c>
      <c r="C230" t="str">
        <f ca="1">IFERROR(__xludf.DUMMYFUNCTION("""COMPUTED_VALUE"""),"Tae Hee Lee")</f>
        <v>Tae Hee Lee</v>
      </c>
      <c r="D230">
        <f ca="1">IFERROR(__xludf.DUMMYFUNCTION("""COMPUTED_VALUE"""),4)</f>
        <v>4</v>
      </c>
      <c r="E230">
        <f ca="1">IFERROR(__xludf.DUMMYFUNCTION("""COMPUTED_VALUE"""),0)</f>
        <v>0</v>
      </c>
      <c r="F230">
        <f ca="1">IFERROR(__xludf.DUMMYFUNCTION("""COMPUTED_VALUE"""),12)</f>
        <v>12</v>
      </c>
      <c r="G230" t="str">
        <f ca="1">IFERROR(__xludf.DUMMYFUNCTION("""COMPUTED_VALUE"""),"")</f>
        <v/>
      </c>
    </row>
    <row r="231" spans="1:7" ht="12.75">
      <c r="A231" t="str">
        <f ca="1">IFERROR(__xludf.DUMMYFUNCTION("""COMPUTED_VALUE"""),"T227")</f>
        <v>T227</v>
      </c>
      <c r="B231" t="str">
        <f ca="1">IFERROR(__xludf.DUMMYFUNCTION("""COMPUTED_VALUE"""),"T213")</f>
        <v>T213</v>
      </c>
      <c r="C231" t="str">
        <f ca="1">IFERROR(__xludf.DUMMYFUNCTION("""COMPUTED_VALUE"""),"Davis Riley")</f>
        <v>Davis Riley</v>
      </c>
      <c r="D231">
        <f ca="1">IFERROR(__xludf.DUMMYFUNCTION("""COMPUTED_VALUE"""),4)</f>
        <v>4</v>
      </c>
      <c r="E231">
        <f ca="1">IFERROR(__xludf.DUMMYFUNCTION("""COMPUTED_VALUE"""),0)</f>
        <v>0</v>
      </c>
      <c r="F231">
        <f ca="1">IFERROR(__xludf.DUMMYFUNCTION("""COMPUTED_VALUE"""),18)</f>
        <v>18</v>
      </c>
      <c r="G231" t="str">
        <f ca="1">IFERROR(__xludf.DUMMYFUNCTION("""COMPUTED_VALUE"""),"")</f>
        <v/>
      </c>
    </row>
    <row r="232" spans="1:7" ht="12.75">
      <c r="A232" t="str">
        <f ca="1">IFERROR(__xludf.DUMMYFUNCTION("""COMPUTED_VALUE"""),"T227")</f>
        <v>T227</v>
      </c>
      <c r="B232" t="str">
        <f ca="1">IFERROR(__xludf.DUMMYFUNCTION("""COMPUTED_VALUE"""),"T213")</f>
        <v>T213</v>
      </c>
      <c r="C232" t="str">
        <f ca="1">IFERROR(__xludf.DUMMYFUNCTION("""COMPUTED_VALUE"""),"Ben Taylor")</f>
        <v>Ben Taylor</v>
      </c>
      <c r="D232">
        <f ca="1">IFERROR(__xludf.DUMMYFUNCTION("""COMPUTED_VALUE"""),10)</f>
        <v>10</v>
      </c>
      <c r="E232">
        <f ca="1">IFERROR(__xludf.DUMMYFUNCTION("""COMPUTED_VALUE"""),0)</f>
        <v>0</v>
      </c>
      <c r="F232">
        <f ca="1">IFERROR(__xludf.DUMMYFUNCTION("""COMPUTED_VALUE"""),21)</f>
        <v>21</v>
      </c>
      <c r="G232" t="str">
        <f ca="1">IFERROR(__xludf.DUMMYFUNCTION("""COMPUTED_VALUE"""),"")</f>
        <v/>
      </c>
    </row>
    <row r="233" spans="1:7" ht="12.75">
      <c r="A233" t="str">
        <f ca="1">IFERROR(__xludf.DUMMYFUNCTION("""COMPUTED_VALUE"""),"T227")</f>
        <v>T227</v>
      </c>
      <c r="B233" t="str">
        <f ca="1">IFERROR(__xludf.DUMMYFUNCTION("""COMPUTED_VALUE"""),"T213")</f>
        <v>T213</v>
      </c>
      <c r="C233" t="str">
        <f ca="1">IFERROR(__xludf.DUMMYFUNCTION("""COMPUTED_VALUE"""),"Takumi Kanaya")</f>
        <v>Takumi Kanaya</v>
      </c>
      <c r="D233">
        <f ca="1">IFERROR(__xludf.DUMMYFUNCTION("""COMPUTED_VALUE"""),6)</f>
        <v>6</v>
      </c>
      <c r="E233">
        <f ca="1">IFERROR(__xludf.DUMMYFUNCTION("""COMPUTED_VALUE"""),0)</f>
        <v>0</v>
      </c>
      <c r="F233">
        <f ca="1">IFERROR(__xludf.DUMMYFUNCTION("""COMPUTED_VALUE"""),36)</f>
        <v>36</v>
      </c>
      <c r="G233" t="str">
        <f ca="1">IFERROR(__xludf.DUMMYFUNCTION("""COMPUTED_VALUE"""),"")</f>
        <v/>
      </c>
    </row>
    <row r="234" spans="1:7" ht="12.75">
      <c r="A234" t="str">
        <f ca="1">IFERROR(__xludf.DUMMYFUNCTION("""COMPUTED_VALUE"""),"T227")</f>
        <v>T227</v>
      </c>
      <c r="B234" t="str">
        <f ca="1">IFERROR(__xludf.DUMMYFUNCTION("""COMPUTED_VALUE"""),"T213")</f>
        <v>T213</v>
      </c>
      <c r="C234" t="str">
        <f ca="1">IFERROR(__xludf.DUMMYFUNCTION("""COMPUTED_VALUE"""),"Rasmus Hojgaard")</f>
        <v>Rasmus Hojgaard</v>
      </c>
      <c r="D234">
        <f ca="1">IFERROR(__xludf.DUMMYFUNCTION("""COMPUTED_VALUE"""),6)</f>
        <v>6</v>
      </c>
      <c r="E234">
        <f ca="1">IFERROR(__xludf.DUMMYFUNCTION("""COMPUTED_VALUE"""),0)</f>
        <v>0</v>
      </c>
      <c r="F234">
        <f ca="1">IFERROR(__xludf.DUMMYFUNCTION("""COMPUTED_VALUE"""),10)</f>
        <v>10</v>
      </c>
      <c r="G234" t="str">
        <f ca="1">IFERROR(__xludf.DUMMYFUNCTION("""COMPUTED_VALUE"""),"")</f>
        <v/>
      </c>
    </row>
    <row r="235" spans="1:7" ht="12.75">
      <c r="A235" t="str">
        <f ca="1">IFERROR(__xludf.DUMMYFUNCTION("""COMPUTED_VALUE"""),"T227")</f>
        <v>T227</v>
      </c>
      <c r="B235" t="str">
        <f ca="1">IFERROR(__xludf.DUMMYFUNCTION("""COMPUTED_VALUE"""),"T213")</f>
        <v>T213</v>
      </c>
      <c r="C235" t="str">
        <f ca="1">IFERROR(__xludf.DUMMYFUNCTION("""COMPUTED_VALUE"""),"Renato Paratore")</f>
        <v>Renato Paratore</v>
      </c>
      <c r="D235">
        <f ca="1">IFERROR(__xludf.DUMMYFUNCTION("""COMPUTED_VALUE"""),4)</f>
        <v>4</v>
      </c>
      <c r="E235">
        <f ca="1">IFERROR(__xludf.DUMMYFUNCTION("""COMPUTED_VALUE"""),0)</f>
        <v>0</v>
      </c>
      <c r="F235">
        <f ca="1">IFERROR(__xludf.DUMMYFUNCTION("""COMPUTED_VALUE"""),18)</f>
        <v>18</v>
      </c>
      <c r="G235" t="str">
        <f ca="1">IFERROR(__xludf.DUMMYFUNCTION("""COMPUTED_VALUE"""),"")</f>
        <v/>
      </c>
    </row>
    <row r="236" spans="1:7" ht="12.75">
      <c r="A236" t="str">
        <f ca="1">IFERROR(__xludf.DUMMYFUNCTION("""COMPUTED_VALUE"""),"T227")</f>
        <v>T227</v>
      </c>
      <c r="B236" t="str">
        <f ca="1">IFERROR(__xludf.DUMMYFUNCTION("""COMPUTED_VALUE"""),"T213")</f>
        <v>T213</v>
      </c>
      <c r="C236" t="str">
        <f ca="1">IFERROR(__xludf.DUMMYFUNCTION("""COMPUTED_VALUE"""),"Sam Ryder")</f>
        <v>Sam Ryder</v>
      </c>
      <c r="D236">
        <f ca="1">IFERROR(__xludf.DUMMYFUNCTION("""COMPUTED_VALUE"""),12)</f>
        <v>12</v>
      </c>
      <c r="E236">
        <f ca="1">IFERROR(__xludf.DUMMYFUNCTION("""COMPUTED_VALUE"""),0)</f>
        <v>0</v>
      </c>
      <c r="F236">
        <f ca="1">IFERROR(__xludf.DUMMYFUNCTION("""COMPUTED_VALUE"""),35)</f>
        <v>35</v>
      </c>
      <c r="G236" t="str">
        <f ca="1">IFERROR(__xludf.DUMMYFUNCTION("""COMPUTED_VALUE"""),"")</f>
        <v/>
      </c>
    </row>
    <row r="237" spans="1:7" ht="12.75">
      <c r="A237" t="str">
        <f ca="1">IFERROR(__xludf.DUMMYFUNCTION("""COMPUTED_VALUE"""),"T227")</f>
        <v>T227</v>
      </c>
      <c r="B237" t="str">
        <f ca="1">IFERROR(__xludf.DUMMYFUNCTION("""COMPUTED_VALUE"""),"T213")</f>
        <v>T213</v>
      </c>
      <c r="C237" t="str">
        <f ca="1">IFERROR(__xludf.DUMMYFUNCTION("""COMPUTED_VALUE"""),"Dominic Bozzelli")</f>
        <v>Dominic Bozzelli</v>
      </c>
      <c r="D237">
        <f ca="1">IFERROR(__xludf.DUMMYFUNCTION("""COMPUTED_VALUE"""),8)</f>
        <v>8</v>
      </c>
      <c r="E237">
        <f ca="1">IFERROR(__xludf.DUMMYFUNCTION("""COMPUTED_VALUE"""),0)</f>
        <v>0</v>
      </c>
      <c r="F237">
        <f ca="1">IFERROR(__xludf.DUMMYFUNCTION("""COMPUTED_VALUE"""),11)</f>
        <v>11</v>
      </c>
      <c r="G237" t="str">
        <f ca="1">IFERROR(__xludf.DUMMYFUNCTION("""COMPUTED_VALUE"""),"")</f>
        <v/>
      </c>
    </row>
    <row r="238" spans="1:7" ht="12.75">
      <c r="A238" t="str">
        <f ca="1">IFERROR(__xludf.DUMMYFUNCTION("""COMPUTED_VALUE"""),"T227")</f>
        <v>T227</v>
      </c>
      <c r="B238" t="str">
        <f ca="1">IFERROR(__xludf.DUMMYFUNCTION("""COMPUTED_VALUE"""),"T213")</f>
        <v>T213</v>
      </c>
      <c r="C238" t="str">
        <f ca="1">IFERROR(__xludf.DUMMYFUNCTION("""COMPUTED_VALUE"""),"Michael Kim")</f>
        <v>Michael Kim</v>
      </c>
      <c r="D238">
        <f ca="1">IFERROR(__xludf.DUMMYFUNCTION("""COMPUTED_VALUE"""),12)</f>
        <v>12</v>
      </c>
      <c r="E238">
        <f ca="1">IFERROR(__xludf.DUMMYFUNCTION("""COMPUTED_VALUE"""),0)</f>
        <v>0</v>
      </c>
      <c r="F238">
        <f ca="1">IFERROR(__xludf.DUMMYFUNCTION("""COMPUTED_VALUE"""),32)</f>
        <v>32</v>
      </c>
      <c r="G238" t="str">
        <f ca="1">IFERROR(__xludf.DUMMYFUNCTION("""COMPUTED_VALUE"""),"")</f>
        <v/>
      </c>
    </row>
    <row r="239" spans="1:7" ht="12.75">
      <c r="A239" t="str">
        <f ca="1">IFERROR(__xludf.DUMMYFUNCTION("""COMPUTED_VALUE"""),"T227")</f>
        <v>T227</v>
      </c>
      <c r="B239" t="str">
        <f ca="1">IFERROR(__xludf.DUMMYFUNCTION("""COMPUTED_VALUE"""),"T213")</f>
        <v>T213</v>
      </c>
      <c r="C239" t="str">
        <f ca="1">IFERROR(__xludf.DUMMYFUNCTION("""COMPUTED_VALUE"""),"Max Homa")</f>
        <v>Max Homa</v>
      </c>
      <c r="D239">
        <f ca="1">IFERROR(__xludf.DUMMYFUNCTION("""COMPUTED_VALUE"""),12)</f>
        <v>12</v>
      </c>
      <c r="E239">
        <f ca="1">IFERROR(__xludf.DUMMYFUNCTION("""COMPUTED_VALUE"""),0)</f>
        <v>0</v>
      </c>
      <c r="F239">
        <f ca="1">IFERROR(__xludf.DUMMYFUNCTION("""COMPUTED_VALUE"""),28)</f>
        <v>28</v>
      </c>
      <c r="G239" t="str">
        <f ca="1">IFERROR(__xludf.DUMMYFUNCTION("""COMPUTED_VALUE"""),"")</f>
        <v/>
      </c>
    </row>
    <row r="240" spans="1:7" ht="12.75">
      <c r="A240" t="str">
        <f ca="1">IFERROR(__xludf.DUMMYFUNCTION("""COMPUTED_VALUE"""),"T227")</f>
        <v>T227</v>
      </c>
      <c r="B240" t="str">
        <f ca="1">IFERROR(__xludf.DUMMYFUNCTION("""COMPUTED_VALUE"""),"T213")</f>
        <v>T213</v>
      </c>
      <c r="C240" t="str">
        <f ca="1">IFERROR(__xludf.DUMMYFUNCTION("""COMPUTED_VALUE"""),"Taylor Pendrith")</f>
        <v>Taylor Pendrith</v>
      </c>
      <c r="D240">
        <f ca="1">IFERROR(__xludf.DUMMYFUNCTION("""COMPUTED_VALUE"""),4)</f>
        <v>4</v>
      </c>
      <c r="E240">
        <f ca="1">IFERROR(__xludf.DUMMYFUNCTION("""COMPUTED_VALUE"""),0)</f>
        <v>0</v>
      </c>
      <c r="F240">
        <f ca="1">IFERROR(__xludf.DUMMYFUNCTION("""COMPUTED_VALUE"""),17)</f>
        <v>17</v>
      </c>
      <c r="G240" t="str">
        <f ca="1">IFERROR(__xludf.DUMMYFUNCTION("""COMPUTED_VALUE"""),"")</f>
        <v/>
      </c>
    </row>
    <row r="241" spans="1:7" ht="12.75">
      <c r="A241" t="str">
        <f ca="1">IFERROR(__xludf.DUMMYFUNCTION("""COMPUTED_VALUE"""),"T227")</f>
        <v>T227</v>
      </c>
      <c r="B241" t="str">
        <f ca="1">IFERROR(__xludf.DUMMYFUNCTION("""COMPUTED_VALUE"""),"T213")</f>
        <v>T213</v>
      </c>
      <c r="C241" t="str">
        <f ca="1">IFERROR(__xludf.DUMMYFUNCTION("""COMPUTED_VALUE"""),"Bud Cauley")</f>
        <v>Bud Cauley</v>
      </c>
      <c r="D241">
        <f ca="1">IFERROR(__xludf.DUMMYFUNCTION("""COMPUTED_VALUE"""),4)</f>
        <v>4</v>
      </c>
      <c r="E241">
        <f ca="1">IFERROR(__xludf.DUMMYFUNCTION("""COMPUTED_VALUE"""),0)</f>
        <v>0</v>
      </c>
      <c r="F241">
        <f ca="1">IFERROR(__xludf.DUMMYFUNCTION("""COMPUTED_VALUE"""),11)</f>
        <v>11</v>
      </c>
      <c r="G241" t="str">
        <f ca="1">IFERROR(__xludf.DUMMYFUNCTION("""COMPUTED_VALUE"""),"")</f>
        <v/>
      </c>
    </row>
    <row r="242" spans="1:7" ht="12.75">
      <c r="A242" t="str">
        <f ca="1">IFERROR(__xludf.DUMMYFUNCTION("""COMPUTED_VALUE"""),"T227")</f>
        <v>T227</v>
      </c>
      <c r="B242" t="str">
        <f ca="1">IFERROR(__xludf.DUMMYFUNCTION("""COMPUTED_VALUE"""),"T213")</f>
        <v>T213</v>
      </c>
      <c r="C242" t="str">
        <f ca="1">IFERROR(__xludf.DUMMYFUNCTION("""COMPUTED_VALUE"""),"Shawn Stefani")</f>
        <v>Shawn Stefani</v>
      </c>
      <c r="D242">
        <f ca="1">IFERROR(__xludf.DUMMYFUNCTION("""COMPUTED_VALUE"""),5)</f>
        <v>5</v>
      </c>
      <c r="E242">
        <f ca="1">IFERROR(__xludf.DUMMYFUNCTION("""COMPUTED_VALUE"""),0)</f>
        <v>0</v>
      </c>
      <c r="F242">
        <f ca="1">IFERROR(__xludf.DUMMYFUNCTION("""COMPUTED_VALUE"""),13)</f>
        <v>13</v>
      </c>
      <c r="G242" t="str">
        <f ca="1">IFERROR(__xludf.DUMMYFUNCTION("""COMPUTED_VALUE"""),"")</f>
        <v/>
      </c>
    </row>
    <row r="243" spans="1:7" ht="12.75">
      <c r="A243" t="str">
        <f ca="1">IFERROR(__xludf.DUMMYFUNCTION("""COMPUTED_VALUE"""),"T227")</f>
        <v>T227</v>
      </c>
      <c r="B243" t="str">
        <f ca="1">IFERROR(__xludf.DUMMYFUNCTION("""COMPUTED_VALUE"""),"")</f>
        <v/>
      </c>
      <c r="C243" t="str">
        <f ca="1">IFERROR(__xludf.DUMMYFUNCTION("""COMPUTED_VALUE"""),"Erik Barnes")</f>
        <v>Erik Barnes</v>
      </c>
      <c r="D243">
        <f ca="1">IFERROR(__xludf.DUMMYFUNCTION("""COMPUTED_VALUE"""),4)</f>
        <v>4</v>
      </c>
      <c r="E243">
        <f ca="1">IFERROR(__xludf.DUMMYFUNCTION("""COMPUTED_VALUE"""),0)</f>
        <v>0</v>
      </c>
      <c r="F243">
        <f ca="1">IFERROR(__xludf.DUMMYFUNCTION("""COMPUTED_VALUE"""),13)</f>
        <v>13</v>
      </c>
      <c r="G243" t="str">
        <f ca="1">IFERROR(__xludf.DUMMYFUNCTION("""COMPUTED_VALUE"""),"")</f>
        <v/>
      </c>
    </row>
    <row r="244" spans="1:7" ht="12.75">
      <c r="A244" t="str">
        <f ca="1">IFERROR(__xludf.DUMMYFUNCTION("""COMPUTED_VALUE"""),"T227")</f>
        <v>T227</v>
      </c>
      <c r="B244" t="str">
        <f ca="1">IFERROR(__xludf.DUMMYFUNCTION("""COMPUTED_VALUE"""),"T213")</f>
        <v>T213</v>
      </c>
      <c r="C244" t="str">
        <f ca="1">IFERROR(__xludf.DUMMYFUNCTION("""COMPUTED_VALUE"""),"Nelson Ledesma")</f>
        <v>Nelson Ledesma</v>
      </c>
      <c r="D244">
        <f ca="1">IFERROR(__xludf.DUMMYFUNCTION("""COMPUTED_VALUE"""),8)</f>
        <v>8</v>
      </c>
      <c r="E244">
        <f ca="1">IFERROR(__xludf.DUMMYFUNCTION("""COMPUTED_VALUE"""),0)</f>
        <v>0</v>
      </c>
      <c r="F244">
        <f ca="1">IFERROR(__xludf.DUMMYFUNCTION("""COMPUTED_VALUE"""),16)</f>
        <v>16</v>
      </c>
      <c r="G244" t="str">
        <f ca="1">IFERROR(__xludf.DUMMYFUNCTION("""COMPUTED_VALUE"""),"")</f>
        <v/>
      </c>
    </row>
    <row r="245" spans="1:7" ht="12.75">
      <c r="A245" t="str">
        <f ca="1">IFERROR(__xludf.DUMMYFUNCTION("""COMPUTED_VALUE"""),"T227")</f>
        <v>T227</v>
      </c>
      <c r="B245" t="str">
        <f ca="1">IFERROR(__xludf.DUMMYFUNCTION("""COMPUTED_VALUE"""),"T213")</f>
        <v>T213</v>
      </c>
      <c r="C245" t="str">
        <f ca="1">IFERROR(__xludf.DUMMYFUNCTION("""COMPUTED_VALUE"""),"Chan Kim")</f>
        <v>Chan Kim</v>
      </c>
      <c r="D245">
        <f ca="1">IFERROR(__xludf.DUMMYFUNCTION("""COMPUTED_VALUE"""),6)</f>
        <v>6</v>
      </c>
      <c r="E245">
        <f ca="1">IFERROR(__xludf.DUMMYFUNCTION("""COMPUTED_VALUE"""),0)</f>
        <v>0</v>
      </c>
      <c r="F245">
        <f ca="1">IFERROR(__xludf.DUMMYFUNCTION("""COMPUTED_VALUE"""),23)</f>
        <v>23</v>
      </c>
      <c r="G245" t="str">
        <f ca="1">IFERROR(__xludf.DUMMYFUNCTION("""COMPUTED_VALUE"""),"")</f>
        <v/>
      </c>
    </row>
    <row r="246" spans="1:7" ht="12.75">
      <c r="A246" t="str">
        <f ca="1">IFERROR(__xludf.DUMMYFUNCTION("""COMPUTED_VALUE"""),"T227")</f>
        <v>T227</v>
      </c>
      <c r="B246" t="str">
        <f ca="1">IFERROR(__xludf.DUMMYFUNCTION("""COMPUTED_VALUE"""),"T213")</f>
        <v>T213</v>
      </c>
      <c r="C246" t="str">
        <f ca="1">IFERROR(__xludf.DUMMYFUNCTION("""COMPUTED_VALUE"""),"Matthias Schwab")</f>
        <v>Matthias Schwab</v>
      </c>
      <c r="D246">
        <f ca="1">IFERROR(__xludf.DUMMYFUNCTION("""COMPUTED_VALUE"""),8)</f>
        <v>8</v>
      </c>
      <c r="E246">
        <f ca="1">IFERROR(__xludf.DUMMYFUNCTION("""COMPUTED_VALUE"""),0)</f>
        <v>0</v>
      </c>
      <c r="F246">
        <f ca="1">IFERROR(__xludf.DUMMYFUNCTION("""COMPUTED_VALUE"""),17)</f>
        <v>17</v>
      </c>
      <c r="G246" t="str">
        <f ca="1">IFERROR(__xludf.DUMMYFUNCTION("""COMPUTED_VALUE"""),"")</f>
        <v/>
      </c>
    </row>
    <row r="247" spans="1:7" ht="12.75">
      <c r="A247" t="str">
        <f ca="1">IFERROR(__xludf.DUMMYFUNCTION("""COMPUTED_VALUE"""),"T227")</f>
        <v>T227</v>
      </c>
      <c r="B247" t="str">
        <f ca="1">IFERROR(__xludf.DUMMYFUNCTION("""COMPUTED_VALUE"""),"T213")</f>
        <v>T213</v>
      </c>
      <c r="C247" t="str">
        <f ca="1">IFERROR(__xludf.DUMMYFUNCTION("""COMPUTED_VALUE"""),"Mikumu Horikawa")</f>
        <v>Mikumu Horikawa</v>
      </c>
      <c r="D247">
        <f ca="1">IFERROR(__xludf.DUMMYFUNCTION("""COMPUTED_VALUE"""),4)</f>
        <v>4</v>
      </c>
      <c r="E247">
        <f ca="1">IFERROR(__xludf.DUMMYFUNCTION("""COMPUTED_VALUE"""),0)</f>
        <v>0</v>
      </c>
      <c r="F247">
        <f ca="1">IFERROR(__xludf.DUMMYFUNCTION("""COMPUTED_VALUE"""),11)</f>
        <v>11</v>
      </c>
      <c r="G247" t="str">
        <f ca="1">IFERROR(__xludf.DUMMYFUNCTION("""COMPUTED_VALUE"""),"")</f>
        <v/>
      </c>
    </row>
    <row r="248" spans="1:7" ht="12.75">
      <c r="A248" t="str">
        <f ca="1">IFERROR(__xludf.DUMMYFUNCTION("""COMPUTED_VALUE"""),"T227")</f>
        <v>T227</v>
      </c>
      <c r="B248" t="str">
        <f ca="1">IFERROR(__xludf.DUMMYFUNCTION("""COMPUTED_VALUE"""),"T213")</f>
        <v>T213</v>
      </c>
      <c r="C248" t="str">
        <f ca="1">IFERROR(__xludf.DUMMYFUNCTION("""COMPUTED_VALUE"""),"Jason Dufner")</f>
        <v>Jason Dufner</v>
      </c>
      <c r="D248">
        <f ca="1">IFERROR(__xludf.DUMMYFUNCTION("""COMPUTED_VALUE"""),14)</f>
        <v>14</v>
      </c>
      <c r="E248">
        <f ca="1">IFERROR(__xludf.DUMMYFUNCTION("""COMPUTED_VALUE"""),0)</f>
        <v>0</v>
      </c>
      <c r="F248">
        <f ca="1">IFERROR(__xludf.DUMMYFUNCTION("""COMPUTED_VALUE"""),29)</f>
        <v>29</v>
      </c>
      <c r="G248" t="str">
        <f ca="1">IFERROR(__xludf.DUMMYFUNCTION("""COMPUTED_VALUE"""),"")</f>
        <v/>
      </c>
    </row>
    <row r="249" spans="1:7" ht="12.75">
      <c r="A249" t="str">
        <f ca="1">IFERROR(__xludf.DUMMYFUNCTION("""COMPUTED_VALUE"""),"T227")</f>
        <v>T227</v>
      </c>
      <c r="B249" t="str">
        <f ca="1">IFERROR(__xludf.DUMMYFUNCTION("""COMPUTED_VALUE"""),"T213")</f>
        <v>T213</v>
      </c>
      <c r="C249" t="str">
        <f ca="1">IFERROR(__xludf.DUMMYFUNCTION("""COMPUTED_VALUE"""),"David Hearn")</f>
        <v>David Hearn</v>
      </c>
      <c r="D249">
        <f ca="1">IFERROR(__xludf.DUMMYFUNCTION("""COMPUTED_VALUE"""),16)</f>
        <v>16</v>
      </c>
      <c r="E249">
        <f ca="1">IFERROR(__xludf.DUMMYFUNCTION("""COMPUTED_VALUE"""),0)</f>
        <v>0</v>
      </c>
      <c r="F249">
        <f ca="1">IFERROR(__xludf.DUMMYFUNCTION("""COMPUTED_VALUE"""),33)</f>
        <v>33</v>
      </c>
      <c r="G249" t="str">
        <f ca="1">IFERROR(__xludf.DUMMYFUNCTION("""COMPUTED_VALUE"""),"")</f>
        <v/>
      </c>
    </row>
    <row r="250" spans="1:7" ht="12.75">
      <c r="A250" t="str">
        <f ca="1">IFERROR(__xludf.DUMMYFUNCTION("""COMPUTED_VALUE"""),"T227")</f>
        <v>T227</v>
      </c>
      <c r="B250" t="str">
        <f ca="1">IFERROR(__xludf.DUMMYFUNCTION("""COMPUTED_VALUE"""),"T213")</f>
        <v>T213</v>
      </c>
      <c r="C250" t="str">
        <f ca="1">IFERROR(__xludf.DUMMYFUNCTION("""COMPUTED_VALUE"""),"Louis Oosthuizen")</f>
        <v>Louis Oosthuizen</v>
      </c>
      <c r="D250">
        <f ca="1">IFERROR(__xludf.DUMMYFUNCTION("""COMPUTED_VALUE"""),12)</f>
        <v>12</v>
      </c>
      <c r="E250">
        <f ca="1">IFERROR(__xludf.DUMMYFUNCTION("""COMPUTED_VALUE"""),0)</f>
        <v>0</v>
      </c>
      <c r="F250">
        <f ca="1">IFERROR(__xludf.DUMMYFUNCTION("""COMPUTED_VALUE"""),51)</f>
        <v>51</v>
      </c>
      <c r="G250" t="str">
        <f ca="1">IFERROR(__xludf.DUMMYFUNCTION("""COMPUTED_VALUE"""),"")</f>
        <v/>
      </c>
    </row>
    <row r="251" spans="1:7" ht="12.75">
      <c r="A251" t="str">
        <f ca="1">IFERROR(__xludf.DUMMYFUNCTION("""COMPUTED_VALUE"""),"T227")</f>
        <v>T227</v>
      </c>
      <c r="B251" t="str">
        <f ca="1">IFERROR(__xludf.DUMMYFUNCTION("""COMPUTED_VALUE"""),"T213")</f>
        <v>T213</v>
      </c>
      <c r="C251" t="str">
        <f ca="1">IFERROR(__xludf.DUMMYFUNCTION("""COMPUTED_VALUE"""),"Ted Potter, Jr.")</f>
        <v>Ted Potter, Jr.</v>
      </c>
      <c r="D251">
        <f ca="1">IFERROR(__xludf.DUMMYFUNCTION("""COMPUTED_VALUE"""),8)</f>
        <v>8</v>
      </c>
      <c r="E251">
        <f ca="1">IFERROR(__xludf.DUMMYFUNCTION("""COMPUTED_VALUE"""),0)</f>
        <v>0</v>
      </c>
      <c r="F251">
        <f ca="1">IFERROR(__xludf.DUMMYFUNCTION("""COMPUTED_VALUE"""),27)</f>
        <v>27</v>
      </c>
      <c r="G251" t="str">
        <f ca="1">IFERROR(__xludf.DUMMYFUNCTION("""COMPUTED_VALUE"""),"")</f>
        <v/>
      </c>
    </row>
    <row r="252" spans="1:7" ht="12.75">
      <c r="A252" t="str">
        <f ca="1">IFERROR(__xludf.DUMMYFUNCTION("""COMPUTED_VALUE"""),"T227")</f>
        <v>T227</v>
      </c>
      <c r="B252" t="str">
        <f ca="1">IFERROR(__xludf.DUMMYFUNCTION("""COMPUTED_VALUE"""),"T213")</f>
        <v>T213</v>
      </c>
      <c r="C252" t="str">
        <f ca="1">IFERROR(__xludf.DUMMYFUNCTION("""COMPUTED_VALUE"""),"Graham DeLaet")</f>
        <v>Graham DeLaet</v>
      </c>
      <c r="D252">
        <f ca="1">IFERROR(__xludf.DUMMYFUNCTION("""COMPUTED_VALUE"""),9)</f>
        <v>9</v>
      </c>
      <c r="E252">
        <f ca="1">IFERROR(__xludf.DUMMYFUNCTION("""COMPUTED_VALUE"""),0)</f>
        <v>0</v>
      </c>
      <c r="F252">
        <f ca="1">IFERROR(__xludf.DUMMYFUNCTION("""COMPUTED_VALUE"""),22)</f>
        <v>22</v>
      </c>
      <c r="G252" t="str">
        <f ca="1">IFERROR(__xludf.DUMMYFUNCTION("""COMPUTED_VALUE"""),"")</f>
        <v/>
      </c>
    </row>
    <row r="253" spans="1:7" ht="12.75">
      <c r="A253" t="str">
        <f ca="1">IFERROR(__xludf.DUMMYFUNCTION("""COMPUTED_VALUE"""),"T227")</f>
        <v>T227</v>
      </c>
      <c r="B253" t="str">
        <f ca="1">IFERROR(__xludf.DUMMYFUNCTION("""COMPUTED_VALUE"""),"T213")</f>
        <v>T213</v>
      </c>
      <c r="C253" t="str">
        <f ca="1">IFERROR(__xludf.DUMMYFUNCTION("""COMPUTED_VALUE"""),"Nick Watney")</f>
        <v>Nick Watney</v>
      </c>
      <c r="D253">
        <f ca="1">IFERROR(__xludf.DUMMYFUNCTION("""COMPUTED_VALUE"""),10)</f>
        <v>10</v>
      </c>
      <c r="E253">
        <f ca="1">IFERROR(__xludf.DUMMYFUNCTION("""COMPUTED_VALUE"""),0)</f>
        <v>0</v>
      </c>
      <c r="F253">
        <f ca="1">IFERROR(__xludf.DUMMYFUNCTION("""COMPUTED_VALUE"""),44)</f>
        <v>44</v>
      </c>
      <c r="G253" t="str">
        <f ca="1">IFERROR(__xludf.DUMMYFUNCTION("""COMPUTED_VALUE"""),"")</f>
        <v/>
      </c>
    </row>
    <row r="254" spans="1:7" ht="12.75">
      <c r="A254" t="str">
        <f ca="1">IFERROR(__xludf.DUMMYFUNCTION("""COMPUTED_VALUE"""),"T227")</f>
        <v>T227</v>
      </c>
      <c r="B254" t="str">
        <f ca="1">IFERROR(__xludf.DUMMYFUNCTION("""COMPUTED_VALUE"""),"T213")</f>
        <v>T213</v>
      </c>
      <c r="C254" t="str">
        <f ca="1">IFERROR(__xludf.DUMMYFUNCTION("""COMPUTED_VALUE"""),"Luke List")</f>
        <v>Luke List</v>
      </c>
      <c r="D254">
        <f ca="1">IFERROR(__xludf.DUMMYFUNCTION("""COMPUTED_VALUE"""),18)</f>
        <v>18</v>
      </c>
      <c r="E254">
        <f ca="1">IFERROR(__xludf.DUMMYFUNCTION("""COMPUTED_VALUE"""),0)</f>
        <v>0</v>
      </c>
      <c r="F254">
        <f ca="1">IFERROR(__xludf.DUMMYFUNCTION("""COMPUTED_VALUE"""),42)</f>
        <v>42</v>
      </c>
      <c r="G254" t="str">
        <f ca="1">IFERROR(__xludf.DUMMYFUNCTION("""COMPUTED_VALUE"""),"")</f>
        <v/>
      </c>
    </row>
    <row r="255" spans="1:7" ht="12.75">
      <c r="A255" t="str">
        <f ca="1">IFERROR(__xludf.DUMMYFUNCTION("""COMPUTED_VALUE"""),"T227")</f>
        <v>T227</v>
      </c>
      <c r="B255" t="str">
        <f ca="1">IFERROR(__xludf.DUMMYFUNCTION("""COMPUTED_VALUE"""),"T213")</f>
        <v>T213</v>
      </c>
      <c r="C255" t="str">
        <f ca="1">IFERROR(__xludf.DUMMYFUNCTION("""COMPUTED_VALUE"""),"Josh Teater")</f>
        <v>Josh Teater</v>
      </c>
      <c r="D255">
        <f ca="1">IFERROR(__xludf.DUMMYFUNCTION("""COMPUTED_VALUE"""),6)</f>
        <v>6</v>
      </c>
      <c r="E255">
        <f ca="1">IFERROR(__xludf.DUMMYFUNCTION("""COMPUTED_VALUE"""),0)</f>
        <v>0</v>
      </c>
      <c r="F255">
        <f ca="1">IFERROR(__xludf.DUMMYFUNCTION("""COMPUTED_VALUE"""),10)</f>
        <v>10</v>
      </c>
      <c r="G255" t="str">
        <f ca="1">IFERROR(__xludf.DUMMYFUNCTION("""COMPUTED_VALUE"""),"")</f>
        <v/>
      </c>
    </row>
    <row r="256" spans="1:7" ht="12.75">
      <c r="A256" t="str">
        <f ca="1">IFERROR(__xludf.DUMMYFUNCTION("""COMPUTED_VALUE"""),"T227")</f>
        <v>T227</v>
      </c>
      <c r="B256" t="str">
        <f ca="1">IFERROR(__xludf.DUMMYFUNCTION("""COMPUTED_VALUE"""),"T213")</f>
        <v>T213</v>
      </c>
      <c r="C256" t="str">
        <f ca="1">IFERROR(__xludf.DUMMYFUNCTION("""COMPUTED_VALUE"""),"Jonathan Byrd")</f>
        <v>Jonathan Byrd</v>
      </c>
      <c r="D256">
        <f ca="1">IFERROR(__xludf.DUMMYFUNCTION("""COMPUTED_VALUE"""),14)</f>
        <v>14</v>
      </c>
      <c r="E256">
        <f ca="1">IFERROR(__xludf.DUMMYFUNCTION("""COMPUTED_VALUE"""),0)</f>
        <v>0</v>
      </c>
      <c r="F256">
        <f ca="1">IFERROR(__xludf.DUMMYFUNCTION("""COMPUTED_VALUE"""),22)</f>
        <v>22</v>
      </c>
      <c r="G256" t="str">
        <f ca="1">IFERROR(__xludf.DUMMYFUNCTION("""COMPUTED_VALUE"""),"")</f>
        <v/>
      </c>
    </row>
    <row r="257" spans="1:7" ht="12.75">
      <c r="A257" t="str">
        <f ca="1">IFERROR(__xludf.DUMMYFUNCTION("""COMPUTED_VALUE"""),"T227")</f>
        <v>T227</v>
      </c>
      <c r="B257" t="str">
        <f ca="1">IFERROR(__xludf.DUMMYFUNCTION("""COMPUTED_VALUE"""),"T213")</f>
        <v>T213</v>
      </c>
      <c r="C257" t="str">
        <f ca="1">IFERROR(__xludf.DUMMYFUNCTION("""COMPUTED_VALUE"""),"Ricky Barnes")</f>
        <v>Ricky Barnes</v>
      </c>
      <c r="D257">
        <f ca="1">IFERROR(__xludf.DUMMYFUNCTION("""COMPUTED_VALUE"""),12)</f>
        <v>12</v>
      </c>
      <c r="E257">
        <f ca="1">IFERROR(__xludf.DUMMYFUNCTION("""COMPUTED_VALUE"""),0)</f>
        <v>0</v>
      </c>
      <c r="F257">
        <f ca="1">IFERROR(__xludf.DUMMYFUNCTION("""COMPUTED_VALUE"""),14)</f>
        <v>14</v>
      </c>
      <c r="G257" t="str">
        <f ca="1">IFERROR(__xludf.DUMMYFUNCTION("""COMPUTED_VALUE"""),"")</f>
        <v/>
      </c>
    </row>
    <row r="258" spans="1:7" ht="12.75">
      <c r="A258" t="str">
        <f ca="1">IFERROR(__xludf.DUMMYFUNCTION("""COMPUTED_VALUE"""),"T227")</f>
        <v>T227</v>
      </c>
      <c r="B258" t="str">
        <f ca="1">IFERROR(__xludf.DUMMYFUNCTION("""COMPUTED_VALUE"""),"T213")</f>
        <v>T213</v>
      </c>
      <c r="C258" t="str">
        <f ca="1">IFERROR(__xludf.DUMMYFUNCTION("""COMPUTED_VALUE"""),"Sean O'Hair")</f>
        <v>Sean O'Hair</v>
      </c>
      <c r="D258">
        <f ca="1">IFERROR(__xludf.DUMMYFUNCTION("""COMPUTED_VALUE"""),14)</f>
        <v>14</v>
      </c>
      <c r="E258">
        <f ca="1">IFERROR(__xludf.DUMMYFUNCTION("""COMPUTED_VALUE"""),0)</f>
        <v>0</v>
      </c>
      <c r="F258">
        <f ca="1">IFERROR(__xludf.DUMMYFUNCTION("""COMPUTED_VALUE"""),53)</f>
        <v>53</v>
      </c>
      <c r="G258" t="str">
        <f ca="1">IFERROR(__xludf.DUMMYFUNCTION("""COMPUTED_VALUE"""),"")</f>
        <v/>
      </c>
    </row>
    <row r="259" spans="1:7" ht="12.75">
      <c r="A259" t="str">
        <f ca="1">IFERROR(__xludf.DUMMYFUNCTION("""COMPUTED_VALUE"""),"T227")</f>
        <v>T227</v>
      </c>
      <c r="B259" t="str">
        <f ca="1">IFERROR(__xludf.DUMMYFUNCTION("""COMPUTED_VALUE"""),"T213")</f>
        <v>T213</v>
      </c>
      <c r="C259" t="str">
        <f ca="1">IFERROR(__xludf.DUMMYFUNCTION("""COMPUTED_VALUE"""),"Brian Gay")</f>
        <v>Brian Gay</v>
      </c>
      <c r="D259">
        <f ca="1">IFERROR(__xludf.DUMMYFUNCTION("""COMPUTED_VALUE"""),8)</f>
        <v>8</v>
      </c>
      <c r="E259">
        <f ca="1">IFERROR(__xludf.DUMMYFUNCTION("""COMPUTED_VALUE"""),0)</f>
        <v>0</v>
      </c>
      <c r="F259">
        <f ca="1">IFERROR(__xludf.DUMMYFUNCTION("""COMPUTED_VALUE"""),15)</f>
        <v>15</v>
      </c>
      <c r="G259" t="str">
        <f ca="1">IFERROR(__xludf.DUMMYFUNCTION("""COMPUTED_VALUE"""),"")</f>
        <v/>
      </c>
    </row>
    <row r="260" spans="1:7" ht="12.75">
      <c r="A260" t="str">
        <f ca="1">IFERROR(__xludf.DUMMYFUNCTION("""COMPUTED_VALUE"""),"T227")</f>
        <v>T227</v>
      </c>
      <c r="B260" t="str">
        <f ca="1">IFERROR(__xludf.DUMMYFUNCTION("""COMPUTED_VALUE"""),"T213")</f>
        <v>T213</v>
      </c>
      <c r="C260" t="str">
        <f ca="1">IFERROR(__xludf.DUMMYFUNCTION("""COMPUTED_VALUE"""),"Brian Stuard")</f>
        <v>Brian Stuard</v>
      </c>
      <c r="D260">
        <f ca="1">IFERROR(__xludf.DUMMYFUNCTION("""COMPUTED_VALUE"""),18)</f>
        <v>18</v>
      </c>
      <c r="E260">
        <f ca="1">IFERROR(__xludf.DUMMYFUNCTION("""COMPUTED_VALUE"""),0)</f>
        <v>0</v>
      </c>
      <c r="F260">
        <f ca="1">IFERROR(__xludf.DUMMYFUNCTION("""COMPUTED_VALUE"""),51)</f>
        <v>51</v>
      </c>
      <c r="G260" t="str">
        <f ca="1">IFERROR(__xludf.DUMMYFUNCTION("""COMPUTED_VALUE"""),"")</f>
        <v/>
      </c>
    </row>
    <row r="261" spans="1:7" ht="12.75">
      <c r="A261" t="str">
        <f ca="1">IFERROR(__xludf.DUMMYFUNCTION("""COMPUTED_VALUE"""),"T227")</f>
        <v>T227</v>
      </c>
      <c r="B261" t="str">
        <f ca="1">IFERROR(__xludf.DUMMYFUNCTION("""COMPUTED_VALUE"""),"T213")</f>
        <v>T213</v>
      </c>
      <c r="C261" t="str">
        <f ca="1">IFERROR(__xludf.DUMMYFUNCTION("""COMPUTED_VALUE"""),"Gary Woodland")</f>
        <v>Gary Woodland</v>
      </c>
      <c r="D261">
        <f ca="1">IFERROR(__xludf.DUMMYFUNCTION("""COMPUTED_VALUE"""),6)</f>
        <v>6</v>
      </c>
      <c r="E261">
        <f ca="1">IFERROR(__xludf.DUMMYFUNCTION("""COMPUTED_VALUE"""),0)</f>
        <v>0</v>
      </c>
      <c r="F261">
        <f ca="1">IFERROR(__xludf.DUMMYFUNCTION("""COMPUTED_VALUE"""),23)</f>
        <v>23</v>
      </c>
      <c r="G261" t="str">
        <f ca="1">IFERROR(__xludf.DUMMYFUNCTION("""COMPUTED_VALUE"""),"")</f>
        <v/>
      </c>
    </row>
    <row r="262" spans="1:7" ht="12.75">
      <c r="A262" t="str">
        <f ca="1">IFERROR(__xludf.DUMMYFUNCTION("""COMPUTED_VALUE"""),"T227")</f>
        <v>T227</v>
      </c>
      <c r="B262" t="str">
        <f ca="1">IFERROR(__xludf.DUMMYFUNCTION("""COMPUTED_VALUE"""),"T213")</f>
        <v>T213</v>
      </c>
      <c r="C262" t="str">
        <f ca="1">IFERROR(__xludf.DUMMYFUNCTION("""COMPUTED_VALUE"""),"Thomas Pieters")</f>
        <v>Thomas Pieters</v>
      </c>
      <c r="D262">
        <f ca="1">IFERROR(__xludf.DUMMYFUNCTION("""COMPUTED_VALUE"""),4)</f>
        <v>4</v>
      </c>
      <c r="E262">
        <f ca="1">IFERROR(__xludf.DUMMYFUNCTION("""COMPUTED_VALUE"""),0)</f>
        <v>0</v>
      </c>
      <c r="F262">
        <f ca="1">IFERROR(__xludf.DUMMYFUNCTION("""COMPUTED_VALUE"""),24)</f>
        <v>24</v>
      </c>
      <c r="G262" t="str">
        <f ca="1">IFERROR(__xludf.DUMMYFUNCTION("""COMPUTED_VALUE"""),"")</f>
        <v/>
      </c>
    </row>
    <row r="263" spans="1:7" ht="12.75">
      <c r="A263" t="str">
        <f ca="1">IFERROR(__xludf.DUMMYFUNCTION("""COMPUTED_VALUE"""),"T227")</f>
        <v>T227</v>
      </c>
      <c r="B263" t="str">
        <f ca="1">IFERROR(__xludf.DUMMYFUNCTION("""COMPUTED_VALUE"""),"T213")</f>
        <v>T213</v>
      </c>
      <c r="C263" t="str">
        <f ca="1">IFERROR(__xludf.DUMMYFUNCTION("""COMPUTED_VALUE"""),"Mark Anderson")</f>
        <v>Mark Anderson</v>
      </c>
      <c r="D263">
        <f ca="1">IFERROR(__xludf.DUMMYFUNCTION("""COMPUTED_VALUE"""),14)</f>
        <v>14</v>
      </c>
      <c r="E263">
        <f ca="1">IFERROR(__xludf.DUMMYFUNCTION("""COMPUTED_VALUE"""),0)</f>
        <v>0</v>
      </c>
      <c r="F263">
        <f ca="1">IFERROR(__xludf.DUMMYFUNCTION("""COMPUTED_VALUE"""),32)</f>
        <v>32</v>
      </c>
      <c r="G263" t="str">
        <f ca="1">IFERROR(__xludf.DUMMYFUNCTION("""COMPUTED_VALUE"""),"")</f>
        <v/>
      </c>
    </row>
    <row r="264" spans="1:7" ht="12.75">
      <c r="A264" t="str">
        <f ca="1">IFERROR(__xludf.DUMMYFUNCTION("""COMPUTED_VALUE"""),"T227")</f>
        <v>T227</v>
      </c>
      <c r="B264" t="str">
        <f ca="1">IFERROR(__xludf.DUMMYFUNCTION("""COMPUTED_VALUE"""),"T213")</f>
        <v>T213</v>
      </c>
      <c r="C264" t="str">
        <f ca="1">IFERROR(__xludf.DUMMYFUNCTION("""COMPUTED_VALUE"""),"Rhein Gibson")</f>
        <v>Rhein Gibson</v>
      </c>
      <c r="D264">
        <f ca="1">IFERROR(__xludf.DUMMYFUNCTION("""COMPUTED_VALUE"""),10)</f>
        <v>10</v>
      </c>
      <c r="E264">
        <f ca="1">IFERROR(__xludf.DUMMYFUNCTION("""COMPUTED_VALUE"""),0)</f>
        <v>0</v>
      </c>
      <c r="F264">
        <f ca="1">IFERROR(__xludf.DUMMYFUNCTION("""COMPUTED_VALUE"""),19)</f>
        <v>19</v>
      </c>
      <c r="G264" t="str">
        <f ca="1">IFERROR(__xludf.DUMMYFUNCTION("""COMPUTED_VALUE"""),"")</f>
        <v/>
      </c>
    </row>
    <row r="265" spans="1:7" ht="12.75">
      <c r="A265" t="str">
        <f ca="1">IFERROR(__xludf.DUMMYFUNCTION("""COMPUTED_VALUE"""),"T227")</f>
        <v>T227</v>
      </c>
      <c r="B265" t="str">
        <f ca="1">IFERROR(__xludf.DUMMYFUNCTION("""COMPUTED_VALUE"""),"T213")</f>
        <v>T213</v>
      </c>
      <c r="C265" t="str">
        <f ca="1">IFERROR(__xludf.DUMMYFUNCTION("""COMPUTED_VALUE"""),"Ryan Blaum")</f>
        <v>Ryan Blaum</v>
      </c>
      <c r="D265">
        <f ca="1">IFERROR(__xludf.DUMMYFUNCTION("""COMPUTED_VALUE"""),8)</f>
        <v>8</v>
      </c>
      <c r="E265">
        <f ca="1">IFERROR(__xludf.DUMMYFUNCTION("""COMPUTED_VALUE"""),0)</f>
        <v>0</v>
      </c>
      <c r="F265">
        <f ca="1">IFERROR(__xludf.DUMMYFUNCTION("""COMPUTED_VALUE"""),17)</f>
        <v>17</v>
      </c>
      <c r="G265" t="str">
        <f ca="1">IFERROR(__xludf.DUMMYFUNCTION("""COMPUTED_VALUE"""),"")</f>
        <v/>
      </c>
    </row>
    <row r="266" spans="1:7" ht="12.75">
      <c r="A266" t="str">
        <f ca="1">IFERROR(__xludf.DUMMYFUNCTION("""COMPUTED_VALUE"""),"T227")</f>
        <v>T227</v>
      </c>
      <c r="B266" t="str">
        <f ca="1">IFERROR(__xludf.DUMMYFUNCTION("""COMPUTED_VALUE"""),"")</f>
        <v/>
      </c>
      <c r="C266" t="str">
        <f ca="1">IFERROR(__xludf.DUMMYFUNCTION("""COMPUTED_VALUE"""),"Dawie van der Walt")</f>
        <v>Dawie van der Walt</v>
      </c>
      <c r="D266">
        <f ca="1">IFERROR(__xludf.DUMMYFUNCTION("""COMPUTED_VALUE"""),4)</f>
        <v>4</v>
      </c>
      <c r="E266">
        <f ca="1">IFERROR(__xludf.DUMMYFUNCTION("""COMPUTED_VALUE"""),0)</f>
        <v>0</v>
      </c>
      <c r="F266">
        <f ca="1">IFERROR(__xludf.DUMMYFUNCTION("""COMPUTED_VALUE"""),19)</f>
        <v>19</v>
      </c>
      <c r="G266" t="str">
        <f ca="1">IFERROR(__xludf.DUMMYFUNCTION("""COMPUTED_VALUE"""),"")</f>
        <v/>
      </c>
    </row>
    <row r="267" spans="1:7" ht="12.75">
      <c r="A267" t="str">
        <f ca="1">IFERROR(__xludf.DUMMYFUNCTION("""COMPUTED_VALUE"""),"T227")</f>
        <v>T227</v>
      </c>
      <c r="B267" t="str">
        <f ca="1">IFERROR(__xludf.DUMMYFUNCTION("""COMPUTED_VALUE"""),"T213")</f>
        <v>T213</v>
      </c>
      <c r="C267" t="str">
        <f ca="1">IFERROR(__xludf.DUMMYFUNCTION("""COMPUTED_VALUE"""),"Ryan Brehm")</f>
        <v>Ryan Brehm</v>
      </c>
      <c r="D267">
        <f ca="1">IFERROR(__xludf.DUMMYFUNCTION("""COMPUTED_VALUE"""),10)</f>
        <v>10</v>
      </c>
      <c r="E267">
        <f ca="1">IFERROR(__xludf.DUMMYFUNCTION("""COMPUTED_VALUE"""),0)</f>
        <v>0</v>
      </c>
      <c r="F267">
        <f ca="1">IFERROR(__xludf.DUMMYFUNCTION("""COMPUTED_VALUE"""),10)</f>
        <v>10</v>
      </c>
      <c r="G267" t="str">
        <f ca="1">IFERROR(__xludf.DUMMYFUNCTION("""COMPUTED_VALUE"""),"")</f>
        <v/>
      </c>
    </row>
    <row r="268" spans="1:7" ht="12.75">
      <c r="A268" t="str">
        <f ca="1">IFERROR(__xludf.DUMMYFUNCTION("""COMPUTED_VALUE"""),"T227")</f>
        <v>T227</v>
      </c>
      <c r="B268" t="str">
        <f ca="1">IFERROR(__xludf.DUMMYFUNCTION("""COMPUTED_VALUE"""),"T213")</f>
        <v>T213</v>
      </c>
      <c r="C268" t="str">
        <f ca="1">IFERROR(__xludf.DUMMYFUNCTION("""COMPUTED_VALUE"""),"Sangmoon Bae")</f>
        <v>Sangmoon Bae</v>
      </c>
      <c r="D268">
        <f ca="1">IFERROR(__xludf.DUMMYFUNCTION("""COMPUTED_VALUE"""),8)</f>
        <v>8</v>
      </c>
      <c r="E268">
        <f ca="1">IFERROR(__xludf.DUMMYFUNCTION("""COMPUTED_VALUE"""),0)</f>
        <v>0</v>
      </c>
      <c r="F268">
        <f ca="1">IFERROR(__xludf.DUMMYFUNCTION("""COMPUTED_VALUE"""),12)</f>
        <v>12</v>
      </c>
      <c r="G268" t="str">
        <f ca="1">IFERROR(__xludf.DUMMYFUNCTION("""COMPUTED_VALUE"""),"")</f>
        <v/>
      </c>
    </row>
    <row r="269" spans="1:7" ht="12.75">
      <c r="A269" t="str">
        <f ca="1">IFERROR(__xludf.DUMMYFUNCTION("""COMPUTED_VALUE"""),"T227")</f>
        <v>T227</v>
      </c>
      <c r="B269" t="str">
        <f ca="1">IFERROR(__xludf.DUMMYFUNCTION("""COMPUTED_VALUE"""),"T213")</f>
        <v>T213</v>
      </c>
      <c r="C269" t="str">
        <f ca="1">IFERROR(__xludf.DUMMYFUNCTION("""COMPUTED_VALUE"""),"Jamie Lovemark")</f>
        <v>Jamie Lovemark</v>
      </c>
      <c r="D269">
        <f ca="1">IFERROR(__xludf.DUMMYFUNCTION("""COMPUTED_VALUE"""),18)</f>
        <v>18</v>
      </c>
      <c r="E269">
        <f ca="1">IFERROR(__xludf.DUMMYFUNCTION("""COMPUTED_VALUE"""),0)</f>
        <v>0</v>
      </c>
      <c r="F269">
        <f ca="1">IFERROR(__xludf.DUMMYFUNCTION("""COMPUTED_VALUE"""),43)</f>
        <v>43</v>
      </c>
      <c r="G269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s="3" t="str">
        <f ca="1">IFERROR(__xludf.DUMMYFUNCTION("importhtml(""http://www.pgatour.com/stats/stat.02327.html"",""table"",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IFERROR(__xludf.DUMMYFUNCTION("""COMPUTED_VALUE"""),"Rafael Campos")</f>
        <v>Rafael Campos</v>
      </c>
      <c r="D2">
        <f ca="1">IFERROR(__xludf.DUMMYFUNCTION("""COMPUTED_VALUE"""),6)</f>
        <v>6</v>
      </c>
      <c r="E2">
        <f ca="1">IFERROR(__xludf.DUMMYFUNCTION("""COMPUTED_VALUE"""),72.73)</f>
        <v>72.73</v>
      </c>
      <c r="F2">
        <f ca="1">IFERROR(__xludf.DUMMYFUNCTION("""COMPUTED_VALUE"""),11)</f>
        <v>11</v>
      </c>
      <c r="G2">
        <f ca="1">IFERROR(__xludf.DUMMYFUNCTION("""COMPUTED_VALUE"""),8)</f>
        <v>8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IFERROR(__xludf.DUMMYFUNCTION("""COMPUTED_VALUE"""),"Peter Malnati")</f>
        <v>Peter Malnati</v>
      </c>
      <c r="D3">
        <f ca="1">IFERROR(__xludf.DUMMYFUNCTION("""COMPUTED_VALUE"""),18)</f>
        <v>18</v>
      </c>
      <c r="E3">
        <f ca="1">IFERROR(__xludf.DUMMYFUNCTION("""COMPUTED_VALUE"""),71.64)</f>
        <v>71.64</v>
      </c>
      <c r="F3">
        <f ca="1">IFERROR(__xludf.DUMMYFUNCTION("""COMPUTED_VALUE"""),67)</f>
        <v>67</v>
      </c>
      <c r="G3">
        <f ca="1">IFERROR(__xludf.DUMMYFUNCTION("""COMPUTED_VALUE"""),48)</f>
        <v>48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IFERROR(__xludf.DUMMYFUNCTION("""COMPUTED_VALUE"""),"Brad Kennedy")</f>
        <v>Brad Kennedy</v>
      </c>
      <c r="D4">
        <f ca="1">IFERROR(__xludf.DUMMYFUNCTION("""COMPUTED_VALUE"""),4)</f>
        <v>4</v>
      </c>
      <c r="E4">
        <f ca="1">IFERROR(__xludf.DUMMYFUNCTION("""COMPUTED_VALUE"""),67.74)</f>
        <v>67.739999999999995</v>
      </c>
      <c r="F4">
        <f ca="1">IFERROR(__xludf.DUMMYFUNCTION("""COMPUTED_VALUE"""),31)</f>
        <v>31</v>
      </c>
      <c r="G4">
        <f ca="1">IFERROR(__xludf.DUMMYFUNCTION("""COMPUTED_VALUE"""),21)</f>
        <v>21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IFERROR(__xludf.DUMMYFUNCTION("""COMPUTED_VALUE"""),"Jason Kokrak")</f>
        <v>Jason Kokrak</v>
      </c>
      <c r="D5">
        <f ca="1">IFERROR(__xludf.DUMMYFUNCTION("""COMPUTED_VALUE"""),14)</f>
        <v>14</v>
      </c>
      <c r="E5">
        <f ca="1">IFERROR(__xludf.DUMMYFUNCTION("""COMPUTED_VALUE"""),67.02)</f>
        <v>67.02</v>
      </c>
      <c r="F5">
        <f ca="1">IFERROR(__xludf.DUMMYFUNCTION("""COMPUTED_VALUE"""),94)</f>
        <v>94</v>
      </c>
      <c r="G5">
        <f ca="1">IFERROR(__xludf.DUMMYFUNCTION("""COMPUTED_VALUE"""),63)</f>
        <v>63</v>
      </c>
    </row>
    <row r="6" spans="1:7" ht="15.75" customHeight="1">
      <c r="A6" t="str">
        <f ca="1">IFERROR(__xludf.DUMMYFUNCTION("""COMPUTED_VALUE"""),"T5")</f>
        <v>T5</v>
      </c>
      <c r="B6" t="str">
        <f ca="1">IFERROR(__xludf.DUMMYFUNCTION("""COMPUTED_VALUE"""),"T5")</f>
        <v>T5</v>
      </c>
      <c r="C6" t="str">
        <f ca="1">IFERROR(__xludf.DUMMYFUNCTION("""COMPUTED_VALUE"""),"Zack Sucher")</f>
        <v>Zack Sucher</v>
      </c>
      <c r="D6">
        <f ca="1">IFERROR(__xludf.DUMMYFUNCTION("""COMPUTED_VALUE"""),6)</f>
        <v>6</v>
      </c>
      <c r="E6">
        <f ca="1">IFERROR(__xludf.DUMMYFUNCTION("""COMPUTED_VALUE"""),66.67)</f>
        <v>66.67</v>
      </c>
      <c r="F6">
        <f ca="1">IFERROR(__xludf.DUMMYFUNCTION("""COMPUTED_VALUE"""),12)</f>
        <v>12</v>
      </c>
      <c r="G6">
        <f ca="1">IFERROR(__xludf.DUMMYFUNCTION("""COMPUTED_VALUE"""),8)</f>
        <v>8</v>
      </c>
    </row>
    <row r="7" spans="1:7" ht="15.75" customHeight="1">
      <c r="A7" t="str">
        <f ca="1">IFERROR(__xludf.DUMMYFUNCTION("""COMPUTED_VALUE"""),"T5")</f>
        <v>T5</v>
      </c>
      <c r="B7" t="str">
        <f ca="1">IFERROR(__xludf.DUMMYFUNCTION("""COMPUTED_VALUE"""),"")</f>
        <v/>
      </c>
      <c r="C7" t="str">
        <f ca="1">IFERROR(__xludf.DUMMYFUNCTION("""COMPUTED_VALUE"""),"Ollie Schniederjans")</f>
        <v>Ollie Schniederjans</v>
      </c>
      <c r="D7">
        <f ca="1">IFERROR(__xludf.DUMMYFUNCTION("""COMPUTED_VALUE"""),6)</f>
        <v>6</v>
      </c>
      <c r="E7">
        <f ca="1">IFERROR(__xludf.DUMMYFUNCTION("""COMPUTED_VALUE"""),66.67)</f>
        <v>66.67</v>
      </c>
      <c r="F7">
        <f ca="1">IFERROR(__xludf.DUMMYFUNCTION("""COMPUTED_VALUE"""),15)</f>
        <v>15</v>
      </c>
      <c r="G7">
        <f ca="1">IFERROR(__xludf.DUMMYFUNCTION("""COMPUTED_VALUE"""),10)</f>
        <v>10</v>
      </c>
    </row>
    <row r="8" spans="1:7" ht="15.75" customHeight="1">
      <c r="A8" t="str">
        <f ca="1">IFERROR(__xludf.DUMMYFUNCTION("""COMPUTED_VALUE"""),"T5")</f>
        <v>T5</v>
      </c>
      <c r="B8" t="str">
        <f ca="1">IFERROR(__xludf.DUMMYFUNCTION("""COMPUTED_VALUE"""),"T5")</f>
        <v>T5</v>
      </c>
      <c r="C8" t="str">
        <f ca="1">IFERROR(__xludf.DUMMYFUNCTION("""COMPUTED_VALUE"""),"Ben Taylor")</f>
        <v>Ben Taylor</v>
      </c>
      <c r="D8">
        <f ca="1">IFERROR(__xludf.DUMMYFUNCTION("""COMPUTED_VALUE"""),10)</f>
        <v>10</v>
      </c>
      <c r="E8">
        <f ca="1">IFERROR(__xludf.DUMMYFUNCTION("""COMPUTED_VALUE"""),66.67)</f>
        <v>66.67</v>
      </c>
      <c r="F8">
        <f ca="1">IFERROR(__xludf.DUMMYFUNCTION("""COMPUTED_VALUE"""),24)</f>
        <v>24</v>
      </c>
      <c r="G8">
        <f ca="1">IFERROR(__xludf.DUMMYFUNCTION("""COMPUTED_VALUE"""),16)</f>
        <v>16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IFERROR(__xludf.DUMMYFUNCTION("""COMPUTED_VALUE"""),"Charles Howell III")</f>
        <v>Charles Howell III</v>
      </c>
      <c r="D9">
        <f ca="1">IFERROR(__xludf.DUMMYFUNCTION("""COMPUTED_VALUE"""),10)</f>
        <v>10</v>
      </c>
      <c r="E9">
        <f ca="1">IFERROR(__xludf.DUMMYFUNCTION("""COMPUTED_VALUE"""),63.49)</f>
        <v>63.49</v>
      </c>
      <c r="F9">
        <f ca="1">IFERROR(__xludf.DUMMYFUNCTION("""COMPUTED_VALUE"""),63)</f>
        <v>63</v>
      </c>
      <c r="G9">
        <f ca="1">IFERROR(__xludf.DUMMYFUNCTION("""COMPUTED_VALUE"""),40)</f>
        <v>40</v>
      </c>
    </row>
    <row r="10" spans="1:7" ht="15.75" customHeight="1">
      <c r="A10" t="str">
        <f ca="1">IFERROR(__xludf.DUMMYFUNCTION("""COMPUTED_VALUE"""),"T9")</f>
        <v>T9</v>
      </c>
      <c r="B10">
        <f ca="1">IFERROR(__xludf.DUMMYFUNCTION("""COMPUTED_VALUE"""),9)</f>
        <v>9</v>
      </c>
      <c r="C10" t="str">
        <f ca="1">IFERROR(__xludf.DUMMYFUNCTION("""COMPUTED_VALUE"""),"Rhein Gibson")</f>
        <v>Rhein Gibson</v>
      </c>
      <c r="D10">
        <f ca="1">IFERROR(__xludf.DUMMYFUNCTION("""COMPUTED_VALUE"""),10)</f>
        <v>10</v>
      </c>
      <c r="E10">
        <f ca="1">IFERROR(__xludf.DUMMYFUNCTION("""COMPUTED_VALUE"""),62.96)</f>
        <v>62.96</v>
      </c>
      <c r="F10">
        <f ca="1">IFERROR(__xludf.DUMMYFUNCTION("""COMPUTED_VALUE"""),27)</f>
        <v>27</v>
      </c>
      <c r="G10">
        <f ca="1">IFERROR(__xludf.DUMMYFUNCTION("""COMPUTED_VALUE"""),17)</f>
        <v>17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IFERROR(__xludf.DUMMYFUNCTION("""COMPUTED_VALUE"""),"")</f>
        <v/>
      </c>
      <c r="C11" t="str">
        <f ca="1">IFERROR(__xludf.DUMMYFUNCTION("""COMPUTED_VALUE"""),"Dawie van der Walt")</f>
        <v>Dawie van der Walt</v>
      </c>
      <c r="D11">
        <f ca="1">IFERROR(__xludf.DUMMYFUNCTION("""COMPUTED_VALUE"""),4)</f>
        <v>4</v>
      </c>
      <c r="E11">
        <f ca="1">IFERROR(__xludf.DUMMYFUNCTION("""COMPUTED_VALUE"""),62.96)</f>
        <v>62.96</v>
      </c>
      <c r="F11">
        <f ca="1">IFERROR(__xludf.DUMMYFUNCTION("""COMPUTED_VALUE"""),27)</f>
        <v>27</v>
      </c>
      <c r="G11">
        <f ca="1">IFERROR(__xludf.DUMMYFUNCTION("""COMPUTED_VALUE"""),17)</f>
        <v>17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IFERROR(__xludf.DUMMYFUNCTION("""COMPUTED_VALUE"""),10)</f>
        <v>10</v>
      </c>
      <c r="C12" t="str">
        <f ca="1">IFERROR(__xludf.DUMMYFUNCTION("""COMPUTED_VALUE"""),"Chris Stroud")</f>
        <v>Chris Stroud</v>
      </c>
      <c r="D12">
        <f ca="1">IFERROR(__xludf.DUMMYFUNCTION("""COMPUTED_VALUE"""),6)</f>
        <v>6</v>
      </c>
      <c r="E12">
        <f ca="1">IFERROR(__xludf.DUMMYFUNCTION("""COMPUTED_VALUE"""),62.5)</f>
        <v>62.5</v>
      </c>
      <c r="F12">
        <f ca="1">IFERROR(__xludf.DUMMYFUNCTION("""COMPUTED_VALUE"""),24)</f>
        <v>24</v>
      </c>
      <c r="G12">
        <f ca="1">IFERROR(__xludf.DUMMYFUNCTION("""COMPUTED_VALUE"""),15)</f>
        <v>15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IFERROR(__xludf.DUMMYFUNCTION("""COMPUTED_VALUE"""),"Jaekyeong Lee")</f>
        <v>Jaekyeong Lee</v>
      </c>
      <c r="D13">
        <f ca="1">IFERROR(__xludf.DUMMYFUNCTION("""COMPUTED_VALUE"""),4)</f>
        <v>4</v>
      </c>
      <c r="E13">
        <f ca="1">IFERROR(__xludf.DUMMYFUNCTION("""COMPUTED_VALUE"""),60.61)</f>
        <v>60.61</v>
      </c>
      <c r="F13">
        <f ca="1">IFERROR(__xludf.DUMMYFUNCTION("""COMPUTED_VALUE"""),33)</f>
        <v>33</v>
      </c>
      <c r="G13">
        <f ca="1">IFERROR(__xludf.DUMMYFUNCTION("""COMPUTED_VALUE"""),20)</f>
        <v>20</v>
      </c>
    </row>
    <row r="14" spans="1:7" ht="15.75" customHeight="1">
      <c r="A14" t="str">
        <f ca="1">IFERROR(__xludf.DUMMYFUNCTION("""COMPUTED_VALUE"""),"T13")</f>
        <v>T13</v>
      </c>
      <c r="B14" t="str">
        <f ca="1">IFERROR(__xludf.DUMMYFUNCTION("""COMPUTED_VALUE"""),"T12")</f>
        <v>T12</v>
      </c>
      <c r="C14" t="str">
        <f ca="1">IFERROR(__xludf.DUMMYFUNCTION("""COMPUTED_VALUE"""),"Kurt Kitayama")</f>
        <v>Kurt Kitayama</v>
      </c>
      <c r="D14">
        <f ca="1">IFERROR(__xludf.DUMMYFUNCTION("""COMPUTED_VALUE"""),4)</f>
        <v>4</v>
      </c>
      <c r="E14">
        <f ca="1">IFERROR(__xludf.DUMMYFUNCTION("""COMPUTED_VALUE"""),60)</f>
        <v>60</v>
      </c>
      <c r="F14">
        <f ca="1">IFERROR(__xludf.DUMMYFUNCTION("""COMPUTED_VALUE"""),15)</f>
        <v>15</v>
      </c>
      <c r="G14">
        <f ca="1">IFERROR(__xludf.DUMMYFUNCTION("""COMPUTED_VALUE"""),9)</f>
        <v>9</v>
      </c>
    </row>
    <row r="15" spans="1:7" ht="15.75" customHeight="1">
      <c r="A15" t="str">
        <f ca="1">IFERROR(__xludf.DUMMYFUNCTION("""COMPUTED_VALUE"""),"T13")</f>
        <v>T13</v>
      </c>
      <c r="B15" t="str">
        <f ca="1">IFERROR(__xludf.DUMMYFUNCTION("""COMPUTED_VALUE"""),"T12")</f>
        <v>T12</v>
      </c>
      <c r="C15" t="str">
        <f ca="1">IFERROR(__xludf.DUMMYFUNCTION("""COMPUTED_VALUE"""),"Ryan Blaum")</f>
        <v>Ryan Blaum</v>
      </c>
      <c r="D15">
        <f ca="1">IFERROR(__xludf.DUMMYFUNCTION("""COMPUTED_VALUE"""),8)</f>
        <v>8</v>
      </c>
      <c r="E15">
        <f ca="1">IFERROR(__xludf.DUMMYFUNCTION("""COMPUTED_VALUE"""),60)</f>
        <v>60</v>
      </c>
      <c r="F15">
        <f ca="1">IFERROR(__xludf.DUMMYFUNCTION("""COMPUTED_VALUE"""),25)</f>
        <v>25</v>
      </c>
      <c r="G15">
        <f ca="1">IFERROR(__xludf.DUMMYFUNCTION("""COMPUTED_VALUE"""),15)</f>
        <v>15</v>
      </c>
    </row>
    <row r="16" spans="1:7" ht="15.75" customHeight="1">
      <c r="A16" t="str">
        <f ca="1">IFERROR(__xludf.DUMMYFUNCTION("""COMPUTED_VALUE"""),"T13")</f>
        <v>T13</v>
      </c>
      <c r="B16" t="str">
        <f ca="1">IFERROR(__xludf.DUMMYFUNCTION("""COMPUTED_VALUE"""),"T12")</f>
        <v>T12</v>
      </c>
      <c r="C16" t="str">
        <f ca="1">IFERROR(__xludf.DUMMYFUNCTION("""COMPUTED_VALUE"""),"Peter Uihlein")</f>
        <v>Peter Uihlein</v>
      </c>
      <c r="D16">
        <f ca="1">IFERROR(__xludf.DUMMYFUNCTION("""COMPUTED_VALUE"""),8)</f>
        <v>8</v>
      </c>
      <c r="E16">
        <f ca="1">IFERROR(__xludf.DUMMYFUNCTION("""COMPUTED_VALUE"""),60)</f>
        <v>60</v>
      </c>
      <c r="F16">
        <f ca="1">IFERROR(__xludf.DUMMYFUNCTION("""COMPUTED_VALUE"""),10)</f>
        <v>10</v>
      </c>
      <c r="G16">
        <f ca="1">IFERROR(__xludf.DUMMYFUNCTION("""COMPUTED_VALUE"""),6)</f>
        <v>6</v>
      </c>
    </row>
    <row r="17" spans="1:7" ht="15.75" customHeight="1">
      <c r="A17" t="str">
        <f ca="1">IFERROR(__xludf.DUMMYFUNCTION("""COMPUTED_VALUE"""),"T13")</f>
        <v>T13</v>
      </c>
      <c r="B17" t="str">
        <f ca="1">IFERROR(__xludf.DUMMYFUNCTION("""COMPUTED_VALUE"""),"T12")</f>
        <v>T12</v>
      </c>
      <c r="C17" t="str">
        <f ca="1">IFERROR(__xludf.DUMMYFUNCTION("""COMPUTED_VALUE"""),"Parker McLachlin")</f>
        <v>Parker McLachlin</v>
      </c>
      <c r="D17">
        <f ca="1">IFERROR(__xludf.DUMMYFUNCTION("""COMPUTED_VALUE"""),4)</f>
        <v>4</v>
      </c>
      <c r="E17">
        <f ca="1">IFERROR(__xludf.DUMMYFUNCTION("""COMPUTED_VALUE"""),60)</f>
        <v>60</v>
      </c>
      <c r="F17">
        <f ca="1">IFERROR(__xludf.DUMMYFUNCTION("""COMPUTED_VALUE"""),15)</f>
        <v>15</v>
      </c>
      <c r="G17">
        <f ca="1">IFERROR(__xludf.DUMMYFUNCTION("""COMPUTED_VALUE"""),9)</f>
        <v>9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IFERROR(__xludf.DUMMYFUNCTION("""COMPUTED_VALUE"""),16)</f>
        <v>16</v>
      </c>
      <c r="C18" t="str">
        <f ca="1">IFERROR(__xludf.DUMMYFUNCTION("""COMPUTED_VALUE"""),"Webb Simpson")</f>
        <v>Webb Simpson</v>
      </c>
      <c r="D18">
        <f ca="1">IFERROR(__xludf.DUMMYFUNCTION("""COMPUTED_VALUE"""),12)</f>
        <v>12</v>
      </c>
      <c r="E18">
        <f ca="1">IFERROR(__xludf.DUMMYFUNCTION("""COMPUTED_VALUE"""),58.89)</f>
        <v>58.89</v>
      </c>
      <c r="F18">
        <f ca="1">IFERROR(__xludf.DUMMYFUNCTION("""COMPUTED_VALUE"""),90)</f>
        <v>90</v>
      </c>
      <c r="G18">
        <f ca="1">IFERROR(__xludf.DUMMYFUNCTION("""COMPUTED_VALUE"""),53)</f>
        <v>53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IFERROR(__xludf.DUMMYFUNCTION("""COMPUTED_VALUE"""),17)</f>
        <v>17</v>
      </c>
      <c r="C19" t="str">
        <f ca="1">IFERROR(__xludf.DUMMYFUNCTION("""COMPUTED_VALUE"""),"Patrick Reed")</f>
        <v>Patrick Reed</v>
      </c>
      <c r="D19">
        <f ca="1">IFERROR(__xludf.DUMMYFUNCTION("""COMPUTED_VALUE"""),8)</f>
        <v>8</v>
      </c>
      <c r="E19">
        <f ca="1">IFERROR(__xludf.DUMMYFUNCTION("""COMPUTED_VALUE"""),58.82)</f>
        <v>58.82</v>
      </c>
      <c r="F19">
        <f ca="1">IFERROR(__xludf.DUMMYFUNCTION("""COMPUTED_VALUE"""),51)</f>
        <v>51</v>
      </c>
      <c r="G19">
        <f ca="1">IFERROR(__xludf.DUMMYFUNCTION("""COMPUTED_VALUE"""),30)</f>
        <v>30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IFERROR(__xludf.DUMMYFUNCTION("""COMPUTED_VALUE"""),20)</f>
        <v>20</v>
      </c>
      <c r="C20" t="str">
        <f ca="1">IFERROR(__xludf.DUMMYFUNCTION("""COMPUTED_VALUE"""),"Brendon Todd")</f>
        <v>Brendon Todd</v>
      </c>
      <c r="D20">
        <f ca="1">IFERROR(__xludf.DUMMYFUNCTION("""COMPUTED_VALUE"""),14)</f>
        <v>14</v>
      </c>
      <c r="E20">
        <f ca="1">IFERROR(__xludf.DUMMYFUNCTION("""COMPUTED_VALUE"""),57.89)</f>
        <v>57.89</v>
      </c>
      <c r="F20">
        <f ca="1">IFERROR(__xludf.DUMMYFUNCTION("""COMPUTED_VALUE"""),95)</f>
        <v>95</v>
      </c>
      <c r="G20">
        <f ca="1">IFERROR(__xludf.DUMMYFUNCTION("""COMPUTED_VALUE"""),55)</f>
        <v>55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IFERROR(__xludf.DUMMYFUNCTION("""COMPUTED_VALUE"""),"T22")</f>
        <v>T22</v>
      </c>
      <c r="C21" t="str">
        <f ca="1">IFERROR(__xludf.DUMMYFUNCTION("""COMPUTED_VALUE"""),"Ryo Ishikawa")</f>
        <v>Ryo Ishikawa</v>
      </c>
      <c r="D21">
        <f ca="1">IFERROR(__xludf.DUMMYFUNCTION("""COMPUTED_VALUE"""),8)</f>
        <v>8</v>
      </c>
      <c r="E21">
        <f ca="1">IFERROR(__xludf.DUMMYFUNCTION("""COMPUTED_VALUE"""),57.41)</f>
        <v>57.41</v>
      </c>
      <c r="F21">
        <f ca="1">IFERROR(__xludf.DUMMYFUNCTION("""COMPUTED_VALUE"""),54)</f>
        <v>54</v>
      </c>
      <c r="G21">
        <f ca="1">IFERROR(__xludf.DUMMYFUNCTION("""COMPUTED_VALUE"""),31)</f>
        <v>31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IFERROR(__xludf.DUMMYFUNCTION("""COMPUTED_VALUE"""),"J.T. Poston")</f>
        <v>J.T. Poston</v>
      </c>
      <c r="D22">
        <f ca="1">IFERROR(__xludf.DUMMYFUNCTION("""COMPUTED_VALUE"""),18)</f>
        <v>18</v>
      </c>
      <c r="E22">
        <f ca="1">IFERROR(__xludf.DUMMYFUNCTION("""COMPUTED_VALUE"""),57.14)</f>
        <v>57.14</v>
      </c>
      <c r="F22">
        <f ca="1">IFERROR(__xludf.DUMMYFUNCTION("""COMPUTED_VALUE"""),147)</f>
        <v>147</v>
      </c>
      <c r="G22">
        <f ca="1">IFERROR(__xludf.DUMMYFUNCTION("""COMPUTED_VALUE"""),84)</f>
        <v>84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IFERROR(__xludf.DUMMYFUNCTION("""COMPUTED_VALUE"""),19)</f>
        <v>19</v>
      </c>
      <c r="C23" t="str">
        <f ca="1">IFERROR(__xludf.DUMMYFUNCTION("""COMPUTED_VALUE"""),"David Hearn")</f>
        <v>David Hearn</v>
      </c>
      <c r="D23">
        <f ca="1">IFERROR(__xludf.DUMMYFUNCTION("""COMPUTED_VALUE"""),16)</f>
        <v>16</v>
      </c>
      <c r="E23">
        <f ca="1">IFERROR(__xludf.DUMMYFUNCTION("""COMPUTED_VALUE"""),56.86)</f>
        <v>56.86</v>
      </c>
      <c r="F23">
        <f ca="1">IFERROR(__xludf.DUMMYFUNCTION("""COMPUTED_VALUE"""),51)</f>
        <v>51</v>
      </c>
      <c r="G23">
        <f ca="1">IFERROR(__xludf.DUMMYFUNCTION("""COMPUTED_VALUE"""),29)</f>
        <v>29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IFERROR(__xludf.DUMMYFUNCTION("""COMPUTED_VALUE"""),26)</f>
        <v>26</v>
      </c>
      <c r="C24" t="str">
        <f ca="1">IFERROR(__xludf.DUMMYFUNCTION("""COMPUTED_VALUE"""),"Ian Poulter")</f>
        <v>Ian Poulter</v>
      </c>
      <c r="D24">
        <f ca="1">IFERROR(__xludf.DUMMYFUNCTION("""COMPUTED_VALUE"""),6)</f>
        <v>6</v>
      </c>
      <c r="E24">
        <f ca="1">IFERROR(__xludf.DUMMYFUNCTION("""COMPUTED_VALUE"""),56.82)</f>
        <v>56.82</v>
      </c>
      <c r="F24">
        <f ca="1">IFERROR(__xludf.DUMMYFUNCTION("""COMPUTED_VALUE"""),44)</f>
        <v>44</v>
      </c>
      <c r="G24">
        <f ca="1">IFERROR(__xludf.DUMMYFUNCTION("""COMPUTED_VALUE"""),25)</f>
        <v>25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IFERROR(__xludf.DUMMYFUNCTION("""COMPUTED_VALUE"""),27)</f>
        <v>27</v>
      </c>
      <c r="C25" t="str">
        <f ca="1">IFERROR(__xludf.DUMMYFUNCTION("""COMPUTED_VALUE"""),"Xander Schauffele")</f>
        <v>Xander Schauffele</v>
      </c>
      <c r="D25">
        <f ca="1">IFERROR(__xludf.DUMMYFUNCTION("""COMPUTED_VALUE"""),12)</f>
        <v>12</v>
      </c>
      <c r="E25">
        <f ca="1">IFERROR(__xludf.DUMMYFUNCTION("""COMPUTED_VALUE"""),56.67)</f>
        <v>56.67</v>
      </c>
      <c r="F25">
        <f ca="1">IFERROR(__xludf.DUMMYFUNCTION("""COMPUTED_VALUE"""),90)</f>
        <v>90</v>
      </c>
      <c r="G25">
        <f ca="1">IFERROR(__xludf.DUMMYFUNCTION("""COMPUTED_VALUE"""),51)</f>
        <v>51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IFERROR(__xludf.DUMMYFUNCTION("""COMPUTED_VALUE"""),7)</f>
        <v>7</v>
      </c>
      <c r="C26" t="str">
        <f ca="1">IFERROR(__xludf.DUMMYFUNCTION("""COMPUTED_VALUE"""),"Scott Harrington")</f>
        <v>Scott Harrington</v>
      </c>
      <c r="D26">
        <f ca="1">IFERROR(__xludf.DUMMYFUNCTION("""COMPUTED_VALUE"""),18)</f>
        <v>18</v>
      </c>
      <c r="E26">
        <f ca="1">IFERROR(__xludf.DUMMYFUNCTION("""COMPUTED_VALUE"""),56.63)</f>
        <v>56.63</v>
      </c>
      <c r="F26">
        <f ca="1">IFERROR(__xludf.DUMMYFUNCTION("""COMPUTED_VALUE"""),83)</f>
        <v>83</v>
      </c>
      <c r="G26">
        <f ca="1">IFERROR(__xludf.DUMMYFUNCTION("""COMPUTED_VALUE"""),47)</f>
        <v>47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IFERROR(__xludf.DUMMYFUNCTION("""COMPUTED_VALUE"""),29)</f>
        <v>29</v>
      </c>
      <c r="C27" t="str">
        <f ca="1">IFERROR(__xludf.DUMMYFUNCTION("""COMPUTED_VALUE"""),"Chesson Hadley")</f>
        <v>Chesson Hadley</v>
      </c>
      <c r="D27">
        <f ca="1">IFERROR(__xludf.DUMMYFUNCTION("""COMPUTED_VALUE"""),16)</f>
        <v>16</v>
      </c>
      <c r="E27">
        <f ca="1">IFERROR(__xludf.DUMMYFUNCTION("""COMPUTED_VALUE"""),56.12)</f>
        <v>56.12</v>
      </c>
      <c r="F27">
        <f ca="1">IFERROR(__xludf.DUMMYFUNCTION("""COMPUTED_VALUE"""),98)</f>
        <v>98</v>
      </c>
      <c r="G27">
        <f ca="1">IFERROR(__xludf.DUMMYFUNCTION("""COMPUTED_VALUE"""),55)</f>
        <v>55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IFERROR(__xludf.DUMMYFUNCTION("""COMPUTED_VALUE"""),30)</f>
        <v>30</v>
      </c>
      <c r="C28" t="str">
        <f ca="1">IFERROR(__xludf.DUMMYFUNCTION("""COMPUTED_VALUE"""),"Sahith Theegala")</f>
        <v>Sahith Theegala</v>
      </c>
      <c r="D28">
        <f ca="1">IFERROR(__xludf.DUMMYFUNCTION("""COMPUTED_VALUE"""),6)</f>
        <v>6</v>
      </c>
      <c r="E28">
        <f ca="1">IFERROR(__xludf.DUMMYFUNCTION("""COMPUTED_VALUE"""),56.1)</f>
        <v>56.1</v>
      </c>
      <c r="F28">
        <f ca="1">IFERROR(__xludf.DUMMYFUNCTION("""COMPUTED_VALUE"""),41)</f>
        <v>41</v>
      </c>
      <c r="G28">
        <f ca="1">IFERROR(__xludf.DUMMYFUNCTION("""COMPUTED_VALUE"""),23)</f>
        <v>23</v>
      </c>
    </row>
    <row r="29" spans="1:7" ht="15.75" customHeight="1">
      <c r="A29" t="str">
        <f ca="1">IFERROR(__xludf.DUMMYFUNCTION("""COMPUTED_VALUE"""),"T28")</f>
        <v>T28</v>
      </c>
      <c r="B29">
        <f ca="1">IFERROR(__xludf.DUMMYFUNCTION("""COMPUTED_VALUE"""),189)</f>
        <v>189</v>
      </c>
      <c r="C29" t="str">
        <f ca="1">IFERROR(__xludf.DUMMYFUNCTION("""COMPUTED_VALUE"""),"Brooks Koepka")</f>
        <v>Brooks Koepka</v>
      </c>
      <c r="D29">
        <f ca="1">IFERROR(__xludf.DUMMYFUNCTION("""COMPUTED_VALUE"""),8)</f>
        <v>8</v>
      </c>
      <c r="E29">
        <f ca="1">IFERROR(__xludf.DUMMYFUNCTION("""COMPUTED_VALUE"""),56)</f>
        <v>56</v>
      </c>
      <c r="F29">
        <f ca="1">IFERROR(__xludf.DUMMYFUNCTION("""COMPUTED_VALUE"""),50)</f>
        <v>50</v>
      </c>
      <c r="G29">
        <f ca="1">IFERROR(__xludf.DUMMYFUNCTION("""COMPUTED_VALUE"""),28)</f>
        <v>28</v>
      </c>
    </row>
    <row r="30" spans="1:7" ht="15.75" customHeight="1">
      <c r="A30" t="str">
        <f ca="1">IFERROR(__xludf.DUMMYFUNCTION("""COMPUTED_VALUE"""),"T28")</f>
        <v>T28</v>
      </c>
      <c r="B30">
        <f ca="1">IFERROR(__xludf.DUMMYFUNCTION("""COMPUTED_VALUE"""),31)</f>
        <v>31</v>
      </c>
      <c r="C30" t="str">
        <f ca="1">IFERROR(__xludf.DUMMYFUNCTION("""COMPUTED_VALUE"""),"Cameron Percy")</f>
        <v>Cameron Percy</v>
      </c>
      <c r="D30">
        <f ca="1">IFERROR(__xludf.DUMMYFUNCTION("""COMPUTED_VALUE"""),16)</f>
        <v>16</v>
      </c>
      <c r="E30">
        <f ca="1">IFERROR(__xludf.DUMMYFUNCTION("""COMPUTED_VALUE"""),56)</f>
        <v>56</v>
      </c>
      <c r="F30">
        <f ca="1">IFERROR(__xludf.DUMMYFUNCTION("""COMPUTED_VALUE"""),50)</f>
        <v>50</v>
      </c>
      <c r="G30">
        <f ca="1">IFERROR(__xludf.DUMMYFUNCTION("""COMPUTED_VALUE"""),28)</f>
        <v>28</v>
      </c>
    </row>
    <row r="31" spans="1:7" ht="12.75">
      <c r="A31" t="str">
        <f ca="1">IFERROR(__xludf.DUMMYFUNCTION("""COMPUTED_VALUE"""),"T30")</f>
        <v>T30</v>
      </c>
      <c r="B31" t="str">
        <f ca="1">IFERROR(__xludf.DUMMYFUNCTION("""COMPUTED_VALUE"""),"T34")</f>
        <v>T34</v>
      </c>
      <c r="C31" t="str">
        <f ca="1">IFERROR(__xludf.DUMMYFUNCTION("""COMPUTED_VALUE"""),"Justin Rose")</f>
        <v>Justin Rose</v>
      </c>
      <c r="D31">
        <f ca="1">IFERROR(__xludf.DUMMYFUNCTION("""COMPUTED_VALUE"""),10)</f>
        <v>10</v>
      </c>
      <c r="E31">
        <f ca="1">IFERROR(__xludf.DUMMYFUNCTION("""COMPUTED_VALUE"""),55.56)</f>
        <v>55.56</v>
      </c>
      <c r="F31">
        <f ca="1">IFERROR(__xludf.DUMMYFUNCTION("""COMPUTED_VALUE"""),81)</f>
        <v>81</v>
      </c>
      <c r="G31">
        <f ca="1">IFERROR(__xludf.DUMMYFUNCTION("""COMPUTED_VALUE"""),45)</f>
        <v>45</v>
      </c>
    </row>
    <row r="32" spans="1:7" ht="12.75">
      <c r="A32" t="str">
        <f ca="1">IFERROR(__xludf.DUMMYFUNCTION("""COMPUTED_VALUE"""),"T30")</f>
        <v>T30</v>
      </c>
      <c r="B32" t="str">
        <f ca="1">IFERROR(__xludf.DUMMYFUNCTION("""COMPUTED_VALUE"""),"T34")</f>
        <v>T34</v>
      </c>
      <c r="C32" t="str">
        <f ca="1">IFERROR(__xludf.DUMMYFUNCTION("""COMPUTED_VALUE"""),"Rory McIlroy")</f>
        <v>Rory McIlroy</v>
      </c>
      <c r="D32">
        <f ca="1">IFERROR(__xludf.DUMMYFUNCTION("""COMPUTED_VALUE"""),12)</f>
        <v>12</v>
      </c>
      <c r="E32">
        <f ca="1">IFERROR(__xludf.DUMMYFUNCTION("""COMPUTED_VALUE"""),55.56)</f>
        <v>55.56</v>
      </c>
      <c r="F32">
        <f ca="1">IFERROR(__xludf.DUMMYFUNCTION("""COMPUTED_VALUE"""),90)</f>
        <v>90</v>
      </c>
      <c r="G32">
        <f ca="1">IFERROR(__xludf.DUMMYFUNCTION("""COMPUTED_VALUE"""),50)</f>
        <v>50</v>
      </c>
    </row>
    <row r="33" spans="1:7" ht="12.75">
      <c r="A33" t="str">
        <f ca="1">IFERROR(__xludf.DUMMYFUNCTION("""COMPUTED_VALUE"""),"T30")</f>
        <v>T30</v>
      </c>
      <c r="B33" t="str">
        <f ca="1">IFERROR(__xludf.DUMMYFUNCTION("""COMPUTED_VALUE"""),"T34")</f>
        <v>T34</v>
      </c>
      <c r="C33" t="str">
        <f ca="1">IFERROR(__xludf.DUMMYFUNCTION("""COMPUTED_VALUE"""),"Thomas Pieters")</f>
        <v>Thomas Pieters</v>
      </c>
      <c r="D33">
        <f ca="1">IFERROR(__xludf.DUMMYFUNCTION("""COMPUTED_VALUE"""),4)</f>
        <v>4</v>
      </c>
      <c r="E33">
        <f ca="1">IFERROR(__xludf.DUMMYFUNCTION("""COMPUTED_VALUE"""),55.56)</f>
        <v>55.56</v>
      </c>
      <c r="F33">
        <f ca="1">IFERROR(__xludf.DUMMYFUNCTION("""COMPUTED_VALUE"""),27)</f>
        <v>27</v>
      </c>
      <c r="G33">
        <f ca="1">IFERROR(__xludf.DUMMYFUNCTION("""COMPUTED_VALUE"""),15)</f>
        <v>15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IFERROR(__xludf.DUMMYFUNCTION("""COMPUTED_VALUE"""),21)</f>
        <v>21</v>
      </c>
      <c r="C34" t="str">
        <f ca="1">IFERROR(__xludf.DUMMYFUNCTION("""COMPUTED_VALUE"""),"Kevin Streelman")</f>
        <v>Kevin Streelman</v>
      </c>
      <c r="D34">
        <f ca="1">IFERROR(__xludf.DUMMYFUNCTION("""COMPUTED_VALUE"""),18)</f>
        <v>18</v>
      </c>
      <c r="E34">
        <f ca="1">IFERROR(__xludf.DUMMYFUNCTION("""COMPUTED_VALUE"""),55.47)</f>
        <v>55.47</v>
      </c>
      <c r="F34">
        <f ca="1">IFERROR(__xludf.DUMMYFUNCTION("""COMPUTED_VALUE"""),128)</f>
        <v>128</v>
      </c>
      <c r="G34">
        <f ca="1">IFERROR(__xludf.DUMMYFUNCTION("""COMPUTED_VALUE"""),71)</f>
        <v>71</v>
      </c>
    </row>
    <row r="35" spans="1:7" ht="12.75">
      <c r="A35" t="str">
        <f ca="1">IFERROR(__xludf.DUMMYFUNCTION("""COMPUTED_VALUE"""),"T34")</f>
        <v>T34</v>
      </c>
      <c r="B35">
        <f ca="1">IFERROR(__xludf.DUMMYFUNCTION("""COMPUTED_VALUE"""),53)</f>
        <v>53</v>
      </c>
      <c r="C35" t="str">
        <f ca="1">IFERROR(__xludf.DUMMYFUNCTION("""COMPUTED_VALUE"""),"Matt Jones")</f>
        <v>Matt Jones</v>
      </c>
      <c r="D35">
        <f ca="1">IFERROR(__xludf.DUMMYFUNCTION("""COMPUTED_VALUE"""),20)</f>
        <v>20</v>
      </c>
      <c r="E35">
        <f ca="1">IFERROR(__xludf.DUMMYFUNCTION("""COMPUTED_VALUE"""),55.13)</f>
        <v>55.13</v>
      </c>
      <c r="F35">
        <f ca="1">IFERROR(__xludf.DUMMYFUNCTION("""COMPUTED_VALUE"""),78)</f>
        <v>78</v>
      </c>
      <c r="G35">
        <f ca="1">IFERROR(__xludf.DUMMYFUNCTION("""COMPUTED_VALUE"""),43)</f>
        <v>43</v>
      </c>
    </row>
    <row r="36" spans="1:7" ht="12.75">
      <c r="A36" t="str">
        <f ca="1">IFERROR(__xludf.DUMMYFUNCTION("""COMPUTED_VALUE"""),"T34")</f>
        <v>T34</v>
      </c>
      <c r="B36">
        <f ca="1">IFERROR(__xludf.DUMMYFUNCTION("""COMPUTED_VALUE"""),33)</f>
        <v>33</v>
      </c>
      <c r="C36" t="str">
        <f ca="1">IFERROR(__xludf.DUMMYFUNCTION("""COMPUTED_VALUE"""),"Beau Hossler")</f>
        <v>Beau Hossler</v>
      </c>
      <c r="D36">
        <f ca="1">IFERROR(__xludf.DUMMYFUNCTION("""COMPUTED_VALUE"""),22)</f>
        <v>22</v>
      </c>
      <c r="E36">
        <f ca="1">IFERROR(__xludf.DUMMYFUNCTION("""COMPUTED_VALUE"""),55.13)</f>
        <v>55.13</v>
      </c>
      <c r="F36">
        <f ca="1">IFERROR(__xludf.DUMMYFUNCTION("""COMPUTED_VALUE"""),78)</f>
        <v>78</v>
      </c>
      <c r="G36">
        <f ca="1">IFERROR(__xludf.DUMMYFUNCTION("""COMPUTED_VALUE"""),43)</f>
        <v>43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IFERROR(__xludf.DUMMYFUNCTION("""COMPUTED_VALUE"""),38)</f>
        <v>38</v>
      </c>
      <c r="C37" t="str">
        <f ca="1">IFERROR(__xludf.DUMMYFUNCTION("""COMPUTED_VALUE"""),"Michael Gligic")</f>
        <v>Michael Gligic</v>
      </c>
      <c r="D37">
        <f ca="1">IFERROR(__xludf.DUMMYFUNCTION("""COMPUTED_VALUE"""),18)</f>
        <v>18</v>
      </c>
      <c r="E37">
        <f ca="1">IFERROR(__xludf.DUMMYFUNCTION("""COMPUTED_VALUE"""),55.06)</f>
        <v>55.06</v>
      </c>
      <c r="F37">
        <f ca="1">IFERROR(__xludf.DUMMYFUNCTION("""COMPUTED_VALUE"""),89)</f>
        <v>89</v>
      </c>
      <c r="G37">
        <f ca="1">IFERROR(__xludf.DUMMYFUNCTION("""COMPUTED_VALUE"""),49)</f>
        <v>49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IFERROR(__xludf.DUMMYFUNCTION("""COMPUTED_VALUE"""),32)</f>
        <v>32</v>
      </c>
      <c r="C38" t="str">
        <f ca="1">IFERROR(__xludf.DUMMYFUNCTION("""COMPUTED_VALUE"""),"Fabián Gómez")</f>
        <v>Fabián Gómez</v>
      </c>
      <c r="D38">
        <f ca="1">IFERROR(__xludf.DUMMYFUNCTION("""COMPUTED_VALUE"""),16)</f>
        <v>16</v>
      </c>
      <c r="E38">
        <f ca="1">IFERROR(__xludf.DUMMYFUNCTION("""COMPUTED_VALUE"""),55)</f>
        <v>55</v>
      </c>
      <c r="F38">
        <f ca="1">IFERROR(__xludf.DUMMYFUNCTION("""COMPUTED_VALUE"""),60)</f>
        <v>60</v>
      </c>
      <c r="G38">
        <f ca="1">IFERROR(__xludf.DUMMYFUNCTION("""COMPUTED_VALUE"""),33)</f>
        <v>33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IFERROR(__xludf.DUMMYFUNCTION("""COMPUTED_VALUE"""),40)</f>
        <v>40</v>
      </c>
      <c r="C39" t="str">
        <f ca="1">IFERROR(__xludf.DUMMYFUNCTION("""COMPUTED_VALUE"""),"Lucas Herbert")</f>
        <v>Lucas Herbert</v>
      </c>
      <c r="D39">
        <f ca="1">IFERROR(__xludf.DUMMYFUNCTION("""COMPUTED_VALUE"""),4)</f>
        <v>4</v>
      </c>
      <c r="E39">
        <f ca="1">IFERROR(__xludf.DUMMYFUNCTION("""COMPUTED_VALUE"""),54.84)</f>
        <v>54.84</v>
      </c>
      <c r="F39">
        <f ca="1">IFERROR(__xludf.DUMMYFUNCTION("""COMPUTED_VALUE"""),31)</f>
        <v>31</v>
      </c>
      <c r="G39">
        <f ca="1">IFERROR(__xludf.DUMMYFUNCTION("""COMPUTED_VALUE"""),17)</f>
        <v>17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IFERROR(__xludf.DUMMYFUNCTION("""COMPUTED_VALUE"""),28)</f>
        <v>28</v>
      </c>
      <c r="C40" t="str">
        <f ca="1">IFERROR(__xludf.DUMMYFUNCTION("""COMPUTED_VALUE"""),"Brice Garnett")</f>
        <v>Brice Garnett</v>
      </c>
      <c r="D40">
        <f ca="1">IFERROR(__xludf.DUMMYFUNCTION("""COMPUTED_VALUE"""),22)</f>
        <v>22</v>
      </c>
      <c r="E40">
        <f ca="1">IFERROR(__xludf.DUMMYFUNCTION("""COMPUTED_VALUE"""),54.74)</f>
        <v>54.74</v>
      </c>
      <c r="F40">
        <f ca="1">IFERROR(__xludf.DUMMYFUNCTION("""COMPUTED_VALUE"""),95)</f>
        <v>95</v>
      </c>
      <c r="G40">
        <f ca="1">IFERROR(__xludf.DUMMYFUNCTION("""COMPUTED_VALUE"""),52)</f>
        <v>52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IFERROR(__xludf.DUMMYFUNCTION("""COMPUTED_VALUE"""),25)</f>
        <v>25</v>
      </c>
      <c r="C41" t="str">
        <f ca="1">IFERROR(__xludf.DUMMYFUNCTION("""COMPUTED_VALUE"""),"Cameron Tringale")</f>
        <v>Cameron Tringale</v>
      </c>
      <c r="D41">
        <f ca="1">IFERROR(__xludf.DUMMYFUNCTION("""COMPUTED_VALUE"""),16)</f>
        <v>16</v>
      </c>
      <c r="E41">
        <f ca="1">IFERROR(__xludf.DUMMYFUNCTION("""COMPUTED_VALUE"""),54.35)</f>
        <v>54.35</v>
      </c>
      <c r="F41">
        <f ca="1">IFERROR(__xludf.DUMMYFUNCTION("""COMPUTED_VALUE"""),92)</f>
        <v>92</v>
      </c>
      <c r="G41">
        <f ca="1">IFERROR(__xludf.DUMMYFUNCTION("""COMPUTED_VALUE"""),50)</f>
        <v>50</v>
      </c>
    </row>
    <row r="42" spans="1:7" ht="12.75">
      <c r="A42">
        <f ca="1">IFERROR(__xludf.DUMMYFUNCTION("""COMPUTED_VALUE"""),41)</f>
        <v>41</v>
      </c>
      <c r="B42" t="str">
        <f ca="1">IFERROR(__xludf.DUMMYFUNCTION("""COMPUTED_VALUE"""),"T42")</f>
        <v>T42</v>
      </c>
      <c r="C42" t="str">
        <f ca="1">IFERROR(__xludf.DUMMYFUNCTION("""COMPUTED_VALUE"""),"Tae Hee Lee")</f>
        <v>Tae Hee Lee</v>
      </c>
      <c r="D42">
        <f ca="1">IFERROR(__xludf.DUMMYFUNCTION("""COMPUTED_VALUE"""),4)</f>
        <v>4</v>
      </c>
      <c r="E42">
        <f ca="1">IFERROR(__xludf.DUMMYFUNCTION("""COMPUTED_VALUE"""),54.29)</f>
        <v>54.29</v>
      </c>
      <c r="F42">
        <f ca="1">IFERROR(__xludf.DUMMYFUNCTION("""COMPUTED_VALUE"""),35)</f>
        <v>35</v>
      </c>
      <c r="G42">
        <f ca="1">IFERROR(__xludf.DUMMYFUNCTION("""COMPUTED_VALUE"""),19)</f>
        <v>19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IFERROR(__xludf.DUMMYFUNCTION("""COMPUTED_VALUE"""),106)</f>
        <v>106</v>
      </c>
      <c r="C43" t="str">
        <f ca="1">IFERROR(__xludf.DUMMYFUNCTION("""COMPUTED_VALUE"""),"Tyrrell Hatton")</f>
        <v>Tyrrell Hatton</v>
      </c>
      <c r="D43">
        <f ca="1">IFERROR(__xludf.DUMMYFUNCTION("""COMPUTED_VALUE"""),14)</f>
        <v>14</v>
      </c>
      <c r="E43">
        <f ca="1">IFERROR(__xludf.DUMMYFUNCTION("""COMPUTED_VALUE"""),54.26)</f>
        <v>54.26</v>
      </c>
      <c r="F43">
        <f ca="1">IFERROR(__xludf.DUMMYFUNCTION("""COMPUTED_VALUE"""),94)</f>
        <v>94</v>
      </c>
      <c r="G43">
        <f ca="1">IFERROR(__xludf.DUMMYFUNCTION("""COMPUTED_VALUE"""),51)</f>
        <v>51</v>
      </c>
    </row>
    <row r="44" spans="1:7" ht="12.75">
      <c r="A44" t="str">
        <f ca="1">IFERROR(__xludf.DUMMYFUNCTION("""COMPUTED_VALUE"""),"T43")</f>
        <v>T43</v>
      </c>
      <c r="B44" t="str">
        <f ca="1">IFERROR(__xludf.DUMMYFUNCTION("""COMPUTED_VALUE"""),"T88")</f>
        <v>T88</v>
      </c>
      <c r="C44" t="str">
        <f ca="1">IFERROR(__xludf.DUMMYFUNCTION("""COMPUTED_VALUE"""),"Sepp Straka")</f>
        <v>Sepp Straka</v>
      </c>
      <c r="D44">
        <f ca="1">IFERROR(__xludf.DUMMYFUNCTION("""COMPUTED_VALUE"""),22)</f>
        <v>22</v>
      </c>
      <c r="E44">
        <f ca="1">IFERROR(__xludf.DUMMYFUNCTION("""COMPUTED_VALUE"""),54.17)</f>
        <v>54.17</v>
      </c>
      <c r="F44">
        <f ca="1">IFERROR(__xludf.DUMMYFUNCTION("""COMPUTED_VALUE"""),120)</f>
        <v>120</v>
      </c>
      <c r="G44">
        <f ca="1">IFERROR(__xludf.DUMMYFUNCTION("""COMPUTED_VALUE"""),65)</f>
        <v>65</v>
      </c>
    </row>
    <row r="45" spans="1:7" ht="12.75">
      <c r="A45" t="str">
        <f ca="1">IFERROR(__xludf.DUMMYFUNCTION("""COMPUTED_VALUE"""),"T43")</f>
        <v>T43</v>
      </c>
      <c r="B45">
        <f ca="1">IFERROR(__xludf.DUMMYFUNCTION("""COMPUTED_VALUE"""),44)</f>
        <v>44</v>
      </c>
      <c r="C45" t="str">
        <f ca="1">IFERROR(__xludf.DUMMYFUNCTION("""COMPUTED_VALUE"""),"Gary Woodland")</f>
        <v>Gary Woodland</v>
      </c>
      <c r="D45">
        <f ca="1">IFERROR(__xludf.DUMMYFUNCTION("""COMPUTED_VALUE"""),6)</f>
        <v>6</v>
      </c>
      <c r="E45">
        <f ca="1">IFERROR(__xludf.DUMMYFUNCTION("""COMPUTED_VALUE"""),54.17)</f>
        <v>54.17</v>
      </c>
      <c r="F45">
        <f ca="1">IFERROR(__xludf.DUMMYFUNCTION("""COMPUTED_VALUE"""),48)</f>
        <v>48</v>
      </c>
      <c r="G45">
        <f ca="1">IFERROR(__xludf.DUMMYFUNCTION("""COMPUTED_VALUE"""),26)</f>
        <v>26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IFERROR(__xludf.DUMMYFUNCTION("""COMPUTED_VALUE"""),47)</f>
        <v>47</v>
      </c>
      <c r="C46" t="str">
        <f ca="1">IFERROR(__xludf.DUMMYFUNCTION("""COMPUTED_VALUE"""),"Shane Lowry")</f>
        <v>Shane Lowry</v>
      </c>
      <c r="D46">
        <f ca="1">IFERROR(__xludf.DUMMYFUNCTION("""COMPUTED_VALUE"""),14)</f>
        <v>14</v>
      </c>
      <c r="E46">
        <f ca="1">IFERROR(__xludf.DUMMYFUNCTION("""COMPUTED_VALUE"""),54.05)</f>
        <v>54.05</v>
      </c>
      <c r="F46">
        <f ca="1">IFERROR(__xludf.DUMMYFUNCTION("""COMPUTED_VALUE"""),111)</f>
        <v>111</v>
      </c>
      <c r="G46">
        <f ca="1">IFERROR(__xludf.DUMMYFUNCTION("""COMPUTED_VALUE"""),60)</f>
        <v>60</v>
      </c>
    </row>
    <row r="47" spans="1:7" ht="12.75">
      <c r="A47" t="str">
        <f ca="1">IFERROR(__xludf.DUMMYFUNCTION("""COMPUTED_VALUE"""),"T46")</f>
        <v>T46</v>
      </c>
      <c r="B47" t="str">
        <f ca="1">IFERROR(__xludf.DUMMYFUNCTION("""COMPUTED_VALUE"""),"T48")</f>
        <v>T48</v>
      </c>
      <c r="C47" t="str">
        <f ca="1">IFERROR(__xludf.DUMMYFUNCTION("""COMPUTED_VALUE"""),"Joaquin Niemann")</f>
        <v>Joaquin Niemann</v>
      </c>
      <c r="D47">
        <f ca="1">IFERROR(__xludf.DUMMYFUNCTION("""COMPUTED_VALUE"""),16)</f>
        <v>16</v>
      </c>
      <c r="E47">
        <f ca="1">IFERROR(__xludf.DUMMYFUNCTION("""COMPUTED_VALUE"""),53.85)</f>
        <v>53.85</v>
      </c>
      <c r="F47">
        <f ca="1">IFERROR(__xludf.DUMMYFUNCTION("""COMPUTED_VALUE"""),117)</f>
        <v>117</v>
      </c>
      <c r="G47">
        <f ca="1">IFERROR(__xludf.DUMMYFUNCTION("""COMPUTED_VALUE"""),63)</f>
        <v>63</v>
      </c>
    </row>
    <row r="48" spans="1:7" ht="12.75">
      <c r="A48" t="str">
        <f ca="1">IFERROR(__xludf.DUMMYFUNCTION("""COMPUTED_VALUE"""),"T46")</f>
        <v>T46</v>
      </c>
      <c r="B48" t="str">
        <f ca="1">IFERROR(__xludf.DUMMYFUNCTION("""COMPUTED_VALUE"""),"T48")</f>
        <v>T48</v>
      </c>
      <c r="C48" t="str">
        <f ca="1">IFERROR(__xludf.DUMMYFUNCTION("""COMPUTED_VALUE"""),"Takumi Kanaya")</f>
        <v>Takumi Kanaya</v>
      </c>
      <c r="D48">
        <f ca="1">IFERROR(__xludf.DUMMYFUNCTION("""COMPUTED_VALUE"""),6)</f>
        <v>6</v>
      </c>
      <c r="E48">
        <f ca="1">IFERROR(__xludf.DUMMYFUNCTION("""COMPUTED_VALUE"""),53.85)</f>
        <v>53.85</v>
      </c>
      <c r="F48">
        <f ca="1">IFERROR(__xludf.DUMMYFUNCTION("""COMPUTED_VALUE"""),39)</f>
        <v>39</v>
      </c>
      <c r="G48">
        <f ca="1">IFERROR(__xludf.DUMMYFUNCTION("""COMPUTED_VALUE"""),21)</f>
        <v>21</v>
      </c>
    </row>
    <row r="49" spans="1:7" ht="12.75">
      <c r="A49" t="str">
        <f ca="1">IFERROR(__xludf.DUMMYFUNCTION("""COMPUTED_VALUE"""),"T46")</f>
        <v>T46</v>
      </c>
      <c r="B49" t="str">
        <f ca="1">IFERROR(__xludf.DUMMYFUNCTION("""COMPUTED_VALUE"""),"T48")</f>
        <v>T48</v>
      </c>
      <c r="C49" t="str">
        <f ca="1">IFERROR(__xludf.DUMMYFUNCTION("""COMPUTED_VALUE"""),"Johnson Wagner")</f>
        <v>Johnson Wagner</v>
      </c>
      <c r="D49">
        <f ca="1">IFERROR(__xludf.DUMMYFUNCTION("""COMPUTED_VALUE"""),8)</f>
        <v>8</v>
      </c>
      <c r="E49">
        <f ca="1">IFERROR(__xludf.DUMMYFUNCTION("""COMPUTED_VALUE"""),53.85)</f>
        <v>53.85</v>
      </c>
      <c r="F49">
        <f ca="1">IFERROR(__xludf.DUMMYFUNCTION("""COMPUTED_VALUE"""),13)</f>
        <v>13</v>
      </c>
      <c r="G49">
        <f ca="1">IFERROR(__xludf.DUMMYFUNCTION("""COMPUTED_VALUE"""),7)</f>
        <v>7</v>
      </c>
    </row>
    <row r="50" spans="1:7" ht="12.75">
      <c r="A50" t="str">
        <f ca="1">IFERROR(__xludf.DUMMYFUNCTION("""COMPUTED_VALUE"""),"T46")</f>
        <v>T46</v>
      </c>
      <c r="B50" t="str">
        <f ca="1">IFERROR(__xludf.DUMMYFUNCTION("""COMPUTED_VALUE"""),"T48")</f>
        <v>T48</v>
      </c>
      <c r="C50" t="str">
        <f ca="1">IFERROR(__xludf.DUMMYFUNCTION("""COMPUTED_VALUE"""),"Matt Kuchar")</f>
        <v>Matt Kuchar</v>
      </c>
      <c r="D50">
        <f ca="1">IFERROR(__xludf.DUMMYFUNCTION("""COMPUTED_VALUE"""),14)</f>
        <v>14</v>
      </c>
      <c r="E50">
        <f ca="1">IFERROR(__xludf.DUMMYFUNCTION("""COMPUTED_VALUE"""),53.85)</f>
        <v>53.85</v>
      </c>
      <c r="F50">
        <f ca="1">IFERROR(__xludf.DUMMYFUNCTION("""COMPUTED_VALUE"""),104)</f>
        <v>104</v>
      </c>
      <c r="G50">
        <f ca="1">IFERROR(__xludf.DUMMYFUNCTION("""COMPUTED_VALUE"""),56)</f>
        <v>56</v>
      </c>
    </row>
    <row r="51" spans="1:7" ht="12.75">
      <c r="A51" t="str">
        <f ca="1">IFERROR(__xludf.DUMMYFUNCTION("""COMPUTED_VALUE"""),"T50")</f>
        <v>T50</v>
      </c>
      <c r="B51">
        <f ca="1">IFERROR(__xludf.DUMMYFUNCTION("""COMPUTED_VALUE"""),52)</f>
        <v>52</v>
      </c>
      <c r="C51" t="str">
        <f ca="1">IFERROR(__xludf.DUMMYFUNCTION("""COMPUTED_VALUE"""),"Nick Taylor")</f>
        <v>Nick Taylor</v>
      </c>
      <c r="D51">
        <f ca="1">IFERROR(__xludf.DUMMYFUNCTION("""COMPUTED_VALUE"""),12)</f>
        <v>12</v>
      </c>
      <c r="E51">
        <f ca="1">IFERROR(__xludf.DUMMYFUNCTION("""COMPUTED_VALUE"""),53.49)</f>
        <v>53.49</v>
      </c>
      <c r="F51">
        <f ca="1">IFERROR(__xludf.DUMMYFUNCTION("""COMPUTED_VALUE"""),86)</f>
        <v>86</v>
      </c>
      <c r="G51">
        <f ca="1">IFERROR(__xludf.DUMMYFUNCTION("""COMPUTED_VALUE"""),46)</f>
        <v>46</v>
      </c>
    </row>
    <row r="52" spans="1:7" ht="12.75">
      <c r="A52" t="str">
        <f ca="1">IFERROR(__xludf.DUMMYFUNCTION("""COMPUTED_VALUE"""),"T50")</f>
        <v>T50</v>
      </c>
      <c r="B52">
        <f ca="1">IFERROR(__xludf.DUMMYFUNCTION("""COMPUTED_VALUE"""),46)</f>
        <v>46</v>
      </c>
      <c r="C52" t="str">
        <f ca="1">IFERROR(__xludf.DUMMYFUNCTION("""COMPUTED_VALUE"""),"Kristoffer Ventura")</f>
        <v>Kristoffer Ventura</v>
      </c>
      <c r="D52">
        <f ca="1">IFERROR(__xludf.DUMMYFUNCTION("""COMPUTED_VALUE"""),20)</f>
        <v>20</v>
      </c>
      <c r="E52">
        <f ca="1">IFERROR(__xludf.DUMMYFUNCTION("""COMPUTED_VALUE"""),53.49)</f>
        <v>53.49</v>
      </c>
      <c r="F52">
        <f ca="1">IFERROR(__xludf.DUMMYFUNCTION("""COMPUTED_VALUE"""),86)</f>
        <v>86</v>
      </c>
      <c r="G52">
        <f ca="1">IFERROR(__xludf.DUMMYFUNCTION("""COMPUTED_VALUE"""),46)</f>
        <v>46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IFERROR(__xludf.DUMMYFUNCTION("""COMPUTED_VALUE"""),54)</f>
        <v>54</v>
      </c>
      <c r="C53" t="str">
        <f ca="1">IFERROR(__xludf.DUMMYFUNCTION("""COMPUTED_VALUE"""),"Harris English")</f>
        <v>Harris English</v>
      </c>
      <c r="D53">
        <f ca="1">IFERROR(__xludf.DUMMYFUNCTION("""COMPUTED_VALUE"""),14)</f>
        <v>14</v>
      </c>
      <c r="E53">
        <f ca="1">IFERROR(__xludf.DUMMYFUNCTION("""COMPUTED_VALUE"""),53.19)</f>
        <v>53.19</v>
      </c>
      <c r="F53">
        <f ca="1">IFERROR(__xludf.DUMMYFUNCTION("""COMPUTED_VALUE"""),94)</f>
        <v>94</v>
      </c>
      <c r="G53">
        <f ca="1">IFERROR(__xludf.DUMMYFUNCTION("""COMPUTED_VALUE"""),50)</f>
        <v>50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IFERROR(__xludf.DUMMYFUNCTION("""COMPUTED_VALUE"""),55)</f>
        <v>55</v>
      </c>
      <c r="C54" t="str">
        <f ca="1">IFERROR(__xludf.DUMMYFUNCTION("""COMPUTED_VALUE"""),"Stephan Jaeger")</f>
        <v>Stephan Jaeger</v>
      </c>
      <c r="D54">
        <f ca="1">IFERROR(__xludf.DUMMYFUNCTION("""COMPUTED_VALUE"""),4)</f>
        <v>4</v>
      </c>
      <c r="E54">
        <f ca="1">IFERROR(__xludf.DUMMYFUNCTION("""COMPUTED_VALUE"""),53.13)</f>
        <v>53.13</v>
      </c>
      <c r="F54">
        <f ca="1">IFERROR(__xludf.DUMMYFUNCTION("""COMPUTED_VALUE"""),32)</f>
        <v>32</v>
      </c>
      <c r="G54">
        <f ca="1">IFERROR(__xludf.DUMMYFUNCTION("""COMPUTED_VALUE"""),17)</f>
        <v>17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IFERROR(__xludf.DUMMYFUNCTION("""COMPUTED_VALUE"""),39)</f>
        <v>39</v>
      </c>
      <c r="C55" t="str">
        <f ca="1">IFERROR(__xludf.DUMMYFUNCTION("""COMPUTED_VALUE"""),"Denny McCarthy")</f>
        <v>Denny McCarthy</v>
      </c>
      <c r="D55">
        <f ca="1">IFERROR(__xludf.DUMMYFUNCTION("""COMPUTED_VALUE"""),22)</f>
        <v>22</v>
      </c>
      <c r="E55">
        <f ca="1">IFERROR(__xludf.DUMMYFUNCTION("""COMPUTED_VALUE"""),53.09)</f>
        <v>53.09</v>
      </c>
      <c r="F55">
        <f ca="1">IFERROR(__xludf.DUMMYFUNCTION("""COMPUTED_VALUE"""),81)</f>
        <v>81</v>
      </c>
      <c r="G55">
        <f ca="1">IFERROR(__xludf.DUMMYFUNCTION("""COMPUTED_VALUE"""),43)</f>
        <v>43</v>
      </c>
    </row>
    <row r="56" spans="1:7" ht="12.75">
      <c r="A56">
        <f ca="1">IFERROR(__xludf.DUMMYFUNCTION("""COMPUTED_VALUE"""),55)</f>
        <v>55</v>
      </c>
      <c r="B56" t="str">
        <f ca="1">IFERROR(__xludf.DUMMYFUNCTION("""COMPUTED_VALUE"""),"T34")</f>
        <v>T34</v>
      </c>
      <c r="C56" t="str">
        <f ca="1">IFERROR(__xludf.DUMMYFUNCTION("""COMPUTED_VALUE"""),"Lanto Griffin")</f>
        <v>Lanto Griffin</v>
      </c>
      <c r="D56">
        <f ca="1">IFERROR(__xludf.DUMMYFUNCTION("""COMPUTED_VALUE"""),18)</f>
        <v>18</v>
      </c>
      <c r="E56">
        <f ca="1">IFERROR(__xludf.DUMMYFUNCTION("""COMPUTED_VALUE"""),53.08)</f>
        <v>53.08</v>
      </c>
      <c r="F56">
        <f ca="1">IFERROR(__xludf.DUMMYFUNCTION("""COMPUTED_VALUE"""),130)</f>
        <v>130</v>
      </c>
      <c r="G56">
        <f ca="1">IFERROR(__xludf.DUMMYFUNCTION("""COMPUTED_VALUE"""),69)</f>
        <v>69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IFERROR(__xludf.DUMMYFUNCTION("""COMPUTED_VALUE"""),112)</f>
        <v>112</v>
      </c>
      <c r="C57" t="str">
        <f ca="1">IFERROR(__xludf.DUMMYFUNCTION("""COMPUTED_VALUE"""),"Aaron Wise")</f>
        <v>Aaron Wise</v>
      </c>
      <c r="D57">
        <f ca="1">IFERROR(__xludf.DUMMYFUNCTION("""COMPUTED_VALUE"""),16)</f>
        <v>16</v>
      </c>
      <c r="E57">
        <f ca="1">IFERROR(__xludf.DUMMYFUNCTION("""COMPUTED_VALUE"""),52.69)</f>
        <v>52.69</v>
      </c>
      <c r="F57">
        <f ca="1">IFERROR(__xludf.DUMMYFUNCTION("""COMPUTED_VALUE"""),93)</f>
        <v>93</v>
      </c>
      <c r="G57">
        <f ca="1">IFERROR(__xludf.DUMMYFUNCTION("""COMPUTED_VALUE"""),49)</f>
        <v>49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IFERROR(__xludf.DUMMYFUNCTION("""COMPUTED_VALUE"""),"T108")</f>
        <v>T108</v>
      </c>
      <c r="C58" t="str">
        <f ca="1">IFERROR(__xludf.DUMMYFUNCTION("""COMPUTED_VALUE"""),"Mackenzie Hughes")</f>
        <v>Mackenzie Hughes</v>
      </c>
      <c r="D58">
        <f ca="1">IFERROR(__xludf.DUMMYFUNCTION("""COMPUTED_VALUE"""),18)</f>
        <v>18</v>
      </c>
      <c r="E58">
        <f ca="1">IFERROR(__xludf.DUMMYFUNCTION("""COMPUTED_VALUE"""),52.63)</f>
        <v>52.63</v>
      </c>
      <c r="F58">
        <f ca="1">IFERROR(__xludf.DUMMYFUNCTION("""COMPUTED_VALUE"""),95)</f>
        <v>95</v>
      </c>
      <c r="G58">
        <f ca="1">IFERROR(__xludf.DUMMYFUNCTION("""COMPUTED_VALUE"""),50)</f>
        <v>50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IFERROR(__xludf.DUMMYFUNCTION("""COMPUTED_VALUE"""),58)</f>
        <v>58</v>
      </c>
      <c r="C59" t="str">
        <f ca="1">IFERROR(__xludf.DUMMYFUNCTION("""COMPUTED_VALUE"""),"Jimmy Walker")</f>
        <v>Jimmy Walker</v>
      </c>
      <c r="D59">
        <f ca="1">IFERROR(__xludf.DUMMYFUNCTION("""COMPUTED_VALUE"""),10)</f>
        <v>10</v>
      </c>
      <c r="E59">
        <f ca="1">IFERROR(__xludf.DUMMYFUNCTION("""COMPUTED_VALUE"""),52.56)</f>
        <v>52.56</v>
      </c>
      <c r="F59">
        <f ca="1">IFERROR(__xludf.DUMMYFUNCTION("""COMPUTED_VALUE"""),78)</f>
        <v>78</v>
      </c>
      <c r="G59">
        <f ca="1">IFERROR(__xludf.DUMMYFUNCTION("""COMPUTED_VALUE"""),41)</f>
        <v>41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IFERROR(__xludf.DUMMYFUNCTION("""COMPUTED_VALUE"""),57)</f>
        <v>57</v>
      </c>
      <c r="C60" t="str">
        <f ca="1">IFERROR(__xludf.DUMMYFUNCTION("""COMPUTED_VALUE"""),"Cameron Smith")</f>
        <v>Cameron Smith</v>
      </c>
      <c r="D60">
        <f ca="1">IFERROR(__xludf.DUMMYFUNCTION("""COMPUTED_VALUE"""),16)</f>
        <v>16</v>
      </c>
      <c r="E60">
        <f ca="1">IFERROR(__xludf.DUMMYFUNCTION("""COMPUTED_VALUE"""),52.46)</f>
        <v>52.46</v>
      </c>
      <c r="F60">
        <f ca="1">IFERROR(__xludf.DUMMYFUNCTION("""COMPUTED_VALUE"""),122)</f>
        <v>122</v>
      </c>
      <c r="G60">
        <f ca="1">IFERROR(__xludf.DUMMYFUNCTION("""COMPUTED_VALUE"""),64)</f>
        <v>64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IFERROR(__xludf.DUMMYFUNCTION("""COMPUTED_VALUE"""),64)</f>
        <v>64</v>
      </c>
      <c r="C61" t="str">
        <f ca="1">IFERROR(__xludf.DUMMYFUNCTION("""COMPUTED_VALUE"""),"Viktor Hovland")</f>
        <v>Viktor Hovland</v>
      </c>
      <c r="D61">
        <f ca="1">IFERROR(__xludf.DUMMYFUNCTION("""COMPUTED_VALUE"""),16)</f>
        <v>16</v>
      </c>
      <c r="E61">
        <f ca="1">IFERROR(__xludf.DUMMYFUNCTION("""COMPUTED_VALUE"""),52.31)</f>
        <v>52.31</v>
      </c>
      <c r="F61">
        <f ca="1">IFERROR(__xludf.DUMMYFUNCTION("""COMPUTED_VALUE"""),130)</f>
        <v>130</v>
      </c>
      <c r="G61">
        <f ca="1">IFERROR(__xludf.DUMMYFUNCTION("""COMPUTED_VALUE"""),68)</f>
        <v>68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IFERROR(__xludf.DUMMYFUNCTION("""COMPUTED_VALUE"""),60)</f>
        <v>60</v>
      </c>
      <c r="C62" t="str">
        <f ca="1">IFERROR(__xludf.DUMMYFUNCTION("""COMPUTED_VALUE"""),"MJ Daffue")</f>
        <v>MJ Daffue</v>
      </c>
      <c r="D62">
        <f ca="1">IFERROR(__xludf.DUMMYFUNCTION("""COMPUTED_VALUE"""),10)</f>
        <v>10</v>
      </c>
      <c r="E62">
        <f ca="1">IFERROR(__xludf.DUMMYFUNCTION("""COMPUTED_VALUE"""),52.24)</f>
        <v>52.24</v>
      </c>
      <c r="F62">
        <f ca="1">IFERROR(__xludf.DUMMYFUNCTION("""COMPUTED_VALUE"""),67)</f>
        <v>67</v>
      </c>
      <c r="G62">
        <f ca="1">IFERROR(__xludf.DUMMYFUNCTION("""COMPUTED_VALUE"""),35)</f>
        <v>35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IFERROR(__xludf.DUMMYFUNCTION("""COMPUTED_VALUE"""),61)</f>
        <v>61</v>
      </c>
      <c r="C63" t="str">
        <f ca="1">IFERROR(__xludf.DUMMYFUNCTION("""COMPUTED_VALUE"""),"Sebastián Muñoz")</f>
        <v>Sebastián Muñoz</v>
      </c>
      <c r="D63">
        <f ca="1">IFERROR(__xludf.DUMMYFUNCTION("""COMPUTED_VALUE"""),20)</f>
        <v>20</v>
      </c>
      <c r="E63">
        <f ca="1">IFERROR(__xludf.DUMMYFUNCTION("""COMPUTED_VALUE"""),52.2)</f>
        <v>52.2</v>
      </c>
      <c r="F63">
        <f ca="1">IFERROR(__xludf.DUMMYFUNCTION("""COMPUTED_VALUE"""),159)</f>
        <v>159</v>
      </c>
      <c r="G63">
        <f ca="1">IFERROR(__xludf.DUMMYFUNCTION("""COMPUTED_VALUE"""),83)</f>
        <v>83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IFERROR(__xludf.DUMMYFUNCTION("""COMPUTED_VALUE"""),63)</f>
        <v>63</v>
      </c>
      <c r="C64" t="str">
        <f ca="1">IFERROR(__xludf.DUMMYFUNCTION("""COMPUTED_VALUE"""),"Justin Thomas")</f>
        <v>Justin Thomas</v>
      </c>
      <c r="D64">
        <f ca="1">IFERROR(__xludf.DUMMYFUNCTION("""COMPUTED_VALUE"""),12)</f>
        <v>12</v>
      </c>
      <c r="E64">
        <f ca="1">IFERROR(__xludf.DUMMYFUNCTION("""COMPUTED_VALUE"""),52.08)</f>
        <v>52.08</v>
      </c>
      <c r="F64">
        <f ca="1">IFERROR(__xludf.DUMMYFUNCTION("""COMPUTED_VALUE"""),96)</f>
        <v>96</v>
      </c>
      <c r="G64">
        <f ca="1">IFERROR(__xludf.DUMMYFUNCTION("""COMPUTED_VALUE"""),50)</f>
        <v>50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IFERROR(__xludf.DUMMYFUNCTION("""COMPUTED_VALUE"""),131)</f>
        <v>131</v>
      </c>
      <c r="C65" t="str">
        <f ca="1">IFERROR(__xludf.DUMMYFUNCTION("""COMPUTED_VALUE"""),"Talor Gooch")</f>
        <v>Talor Gooch</v>
      </c>
      <c r="D65">
        <f ca="1">IFERROR(__xludf.DUMMYFUNCTION("""COMPUTED_VALUE"""),20)</f>
        <v>20</v>
      </c>
      <c r="E65">
        <f ca="1">IFERROR(__xludf.DUMMYFUNCTION("""COMPUTED_VALUE"""),51.94)</f>
        <v>51.94</v>
      </c>
      <c r="F65">
        <f ca="1">IFERROR(__xludf.DUMMYFUNCTION("""COMPUTED_VALUE"""),129)</f>
        <v>129</v>
      </c>
      <c r="G65">
        <f ca="1">IFERROR(__xludf.DUMMYFUNCTION("""COMPUTED_VALUE"""),67)</f>
        <v>67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IFERROR(__xludf.DUMMYFUNCTION("""COMPUTED_VALUE"""),"T22")</f>
        <v>T22</v>
      </c>
      <c r="C66" t="str">
        <f ca="1">IFERROR(__xludf.DUMMYFUNCTION("""COMPUTED_VALUE"""),"James Hahn")</f>
        <v>James Hahn</v>
      </c>
      <c r="D66">
        <f ca="1">IFERROR(__xludf.DUMMYFUNCTION("""COMPUTED_VALUE"""),16)</f>
        <v>16</v>
      </c>
      <c r="E66">
        <f ca="1">IFERROR(__xludf.DUMMYFUNCTION("""COMPUTED_VALUE"""),51.9)</f>
        <v>51.9</v>
      </c>
      <c r="F66">
        <f ca="1">IFERROR(__xludf.DUMMYFUNCTION("""COMPUTED_VALUE"""),79)</f>
        <v>79</v>
      </c>
      <c r="G66">
        <f ca="1">IFERROR(__xludf.DUMMYFUNCTION("""COMPUTED_VALUE"""),41)</f>
        <v>41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IFERROR(__xludf.DUMMYFUNCTION("""COMPUTED_VALUE"""),65)</f>
        <v>65</v>
      </c>
      <c r="C67" t="str">
        <f ca="1">IFERROR(__xludf.DUMMYFUNCTION("""COMPUTED_VALUE"""),"Mikumu Horikawa")</f>
        <v>Mikumu Horikawa</v>
      </c>
      <c r="D67">
        <f ca="1">IFERROR(__xludf.DUMMYFUNCTION("""COMPUTED_VALUE"""),4)</f>
        <v>4</v>
      </c>
      <c r="E67">
        <f ca="1">IFERROR(__xludf.DUMMYFUNCTION("""COMPUTED_VALUE"""),51.85)</f>
        <v>51.85</v>
      </c>
      <c r="F67">
        <f ca="1">IFERROR(__xludf.DUMMYFUNCTION("""COMPUTED_VALUE"""),27)</f>
        <v>27</v>
      </c>
      <c r="G67">
        <f ca="1">IFERROR(__xludf.DUMMYFUNCTION("""COMPUTED_VALUE"""),14)</f>
        <v>14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IFERROR(__xludf.DUMMYFUNCTION("""COMPUTED_VALUE"""),67)</f>
        <v>67</v>
      </c>
      <c r="C68" t="str">
        <f ca="1">IFERROR(__xludf.DUMMYFUNCTION("""COMPUTED_VALUE"""),"Renato Paratore")</f>
        <v>Renato Paratore</v>
      </c>
      <c r="D68">
        <f ca="1">IFERROR(__xludf.DUMMYFUNCTION("""COMPUTED_VALUE"""),4)</f>
        <v>4</v>
      </c>
      <c r="E68">
        <f ca="1">IFERROR(__xludf.DUMMYFUNCTION("""COMPUTED_VALUE"""),51.61)</f>
        <v>51.61</v>
      </c>
      <c r="F68">
        <f ca="1">IFERROR(__xludf.DUMMYFUNCTION("""COMPUTED_VALUE"""),31)</f>
        <v>31</v>
      </c>
      <c r="G68">
        <f ca="1">IFERROR(__xludf.DUMMYFUNCTION("""COMPUTED_VALUE"""),16)</f>
        <v>16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IFERROR(__xludf.DUMMYFUNCTION("""COMPUTED_VALUE"""),41)</f>
        <v>41</v>
      </c>
      <c r="C69" t="str">
        <f ca="1">IFERROR(__xludf.DUMMYFUNCTION("""COMPUTED_VALUE"""),"Satoshi Kodaira")</f>
        <v>Satoshi Kodaira</v>
      </c>
      <c r="D69">
        <f ca="1">IFERROR(__xludf.DUMMYFUNCTION("""COMPUTED_VALUE"""),12)</f>
        <v>12</v>
      </c>
      <c r="E69">
        <f ca="1">IFERROR(__xludf.DUMMYFUNCTION("""COMPUTED_VALUE"""),51.58)</f>
        <v>51.58</v>
      </c>
      <c r="F69">
        <f ca="1">IFERROR(__xludf.DUMMYFUNCTION("""COMPUTED_VALUE"""),95)</f>
        <v>95</v>
      </c>
      <c r="G69">
        <f ca="1">IFERROR(__xludf.DUMMYFUNCTION("""COMPUTED_VALUE"""),49)</f>
        <v>49</v>
      </c>
    </row>
    <row r="70" spans="1:7" ht="12.75">
      <c r="A70" t="str">
        <f ca="1">IFERROR(__xludf.DUMMYFUNCTION("""COMPUTED_VALUE"""),"T69")</f>
        <v>T69</v>
      </c>
      <c r="B70">
        <f ca="1">IFERROR(__xludf.DUMMYFUNCTION("""COMPUTED_VALUE"""),66)</f>
        <v>66</v>
      </c>
      <c r="C70" t="str">
        <f ca="1">IFERROR(__xludf.DUMMYFUNCTION("""COMPUTED_VALUE"""),"Brian Harman")</f>
        <v>Brian Harman</v>
      </c>
      <c r="D70">
        <f ca="1">IFERROR(__xludf.DUMMYFUNCTION("""COMPUTED_VALUE"""),24)</f>
        <v>24</v>
      </c>
      <c r="E70">
        <f ca="1">IFERROR(__xludf.DUMMYFUNCTION("""COMPUTED_VALUE"""),51.52)</f>
        <v>51.52</v>
      </c>
      <c r="F70">
        <f ca="1">IFERROR(__xludf.DUMMYFUNCTION("""COMPUTED_VALUE"""),165)</f>
        <v>165</v>
      </c>
      <c r="G70">
        <f ca="1">IFERROR(__xludf.DUMMYFUNCTION("""COMPUTED_VALUE"""),85)</f>
        <v>85</v>
      </c>
    </row>
    <row r="71" spans="1:7" ht="12.75">
      <c r="A71" t="str">
        <f ca="1">IFERROR(__xludf.DUMMYFUNCTION("""COMPUTED_VALUE"""),"T69")</f>
        <v>T69</v>
      </c>
      <c r="B71">
        <f ca="1">IFERROR(__xludf.DUMMYFUNCTION("""COMPUTED_VALUE"""),69)</f>
        <v>69</v>
      </c>
      <c r="C71" t="str">
        <f ca="1">IFERROR(__xludf.DUMMYFUNCTION("""COMPUTED_VALUE"""),"Bud Cauley")</f>
        <v>Bud Cauley</v>
      </c>
      <c r="D71">
        <f ca="1">IFERROR(__xludf.DUMMYFUNCTION("""COMPUTED_VALUE"""),4)</f>
        <v>4</v>
      </c>
      <c r="E71">
        <f ca="1">IFERROR(__xludf.DUMMYFUNCTION("""COMPUTED_VALUE"""),51.52)</f>
        <v>51.52</v>
      </c>
      <c r="F71">
        <f ca="1">IFERROR(__xludf.DUMMYFUNCTION("""COMPUTED_VALUE"""),33)</f>
        <v>33</v>
      </c>
      <c r="G71">
        <f ca="1">IFERROR(__xludf.DUMMYFUNCTION("""COMPUTED_VALUE"""),17)</f>
        <v>17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IFERROR(__xludf.DUMMYFUNCTION("""COMPUTED_VALUE"""),18)</f>
        <v>18</v>
      </c>
      <c r="C72" t="str">
        <f ca="1">IFERROR(__xludf.DUMMYFUNCTION("""COMPUTED_VALUE"""),"Zach Johnson")</f>
        <v>Zach Johnson</v>
      </c>
      <c r="D72">
        <f ca="1">IFERROR(__xludf.DUMMYFUNCTION("""COMPUTED_VALUE"""),16)</f>
        <v>16</v>
      </c>
      <c r="E72">
        <f ca="1">IFERROR(__xludf.DUMMYFUNCTION("""COMPUTED_VALUE"""),51.46)</f>
        <v>51.46</v>
      </c>
      <c r="F72">
        <f ca="1">IFERROR(__xludf.DUMMYFUNCTION("""COMPUTED_VALUE"""),103)</f>
        <v>103</v>
      </c>
      <c r="G72">
        <f ca="1">IFERROR(__xludf.DUMMYFUNCTION("""COMPUTED_VALUE"""),53)</f>
        <v>53</v>
      </c>
    </row>
    <row r="73" spans="1:7" ht="12.75">
      <c r="A73" t="str">
        <f ca="1">IFERROR(__xludf.DUMMYFUNCTION("""COMPUTED_VALUE"""),"T72")</f>
        <v>T72</v>
      </c>
      <c r="B73" t="str">
        <f ca="1">IFERROR(__xludf.DUMMYFUNCTION("""COMPUTED_VALUE"""),"T70")</f>
        <v>T70</v>
      </c>
      <c r="C73" t="str">
        <f ca="1">IFERROR(__xludf.DUMMYFUNCTION("""COMPUTED_VALUE"""),"Shaun Norris")</f>
        <v>Shaun Norris</v>
      </c>
      <c r="D73">
        <f ca="1">IFERROR(__xludf.DUMMYFUNCTION("""COMPUTED_VALUE"""),6)</f>
        <v>6</v>
      </c>
      <c r="E73">
        <f ca="1">IFERROR(__xludf.DUMMYFUNCTION("""COMPUTED_VALUE"""),51.43)</f>
        <v>51.43</v>
      </c>
      <c r="F73">
        <f ca="1">IFERROR(__xludf.DUMMYFUNCTION("""COMPUTED_VALUE"""),35)</f>
        <v>35</v>
      </c>
      <c r="G73">
        <f ca="1">IFERROR(__xludf.DUMMYFUNCTION("""COMPUTED_VALUE"""),18)</f>
        <v>18</v>
      </c>
    </row>
    <row r="74" spans="1:7" ht="12.75">
      <c r="A74" t="str">
        <f ca="1">IFERROR(__xludf.DUMMYFUNCTION("""COMPUTED_VALUE"""),"T72")</f>
        <v>T72</v>
      </c>
      <c r="B74" t="str">
        <f ca="1">IFERROR(__xludf.DUMMYFUNCTION("""COMPUTED_VALUE"""),"T70")</f>
        <v>T70</v>
      </c>
      <c r="C74" t="str">
        <f ca="1">IFERROR(__xludf.DUMMYFUNCTION("""COMPUTED_VALUE"""),"Brandon Hagy")</f>
        <v>Brandon Hagy</v>
      </c>
      <c r="D74">
        <f ca="1">IFERROR(__xludf.DUMMYFUNCTION("""COMPUTED_VALUE"""),10)</f>
        <v>10</v>
      </c>
      <c r="E74">
        <f ca="1">IFERROR(__xludf.DUMMYFUNCTION("""COMPUTED_VALUE"""),51.43)</f>
        <v>51.43</v>
      </c>
      <c r="F74">
        <f ca="1">IFERROR(__xludf.DUMMYFUNCTION("""COMPUTED_VALUE"""),35)</f>
        <v>35</v>
      </c>
      <c r="G74">
        <f ca="1">IFERROR(__xludf.DUMMYFUNCTION("""COMPUTED_VALUE"""),18)</f>
        <v>18</v>
      </c>
    </row>
    <row r="75" spans="1:7" ht="12.75">
      <c r="A75">
        <f ca="1">IFERROR(__xludf.DUMMYFUNCTION("""COMPUTED_VALUE"""),74)</f>
        <v>74</v>
      </c>
      <c r="B75">
        <f ca="1">IFERROR(__xludf.DUMMYFUNCTION("""COMPUTED_VALUE"""),118)</f>
        <v>118</v>
      </c>
      <c r="C75" t="str">
        <f ca="1">IFERROR(__xludf.DUMMYFUNCTION("""COMPUTED_VALUE"""),"Austin Cook")</f>
        <v>Austin Cook</v>
      </c>
      <c r="D75">
        <f ca="1">IFERROR(__xludf.DUMMYFUNCTION("""COMPUTED_VALUE"""),14)</f>
        <v>14</v>
      </c>
      <c r="E75">
        <f ca="1">IFERROR(__xludf.DUMMYFUNCTION("""COMPUTED_VALUE"""),51.33)</f>
        <v>51.33</v>
      </c>
      <c r="F75">
        <f ca="1">IFERROR(__xludf.DUMMYFUNCTION("""COMPUTED_VALUE"""),113)</f>
        <v>113</v>
      </c>
      <c r="G75">
        <f ca="1">IFERROR(__xludf.DUMMYFUNCTION("""COMPUTED_VALUE"""),58)</f>
        <v>58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IFERROR(__xludf.DUMMYFUNCTION("""COMPUTED_VALUE"""),72)</f>
        <v>72</v>
      </c>
      <c r="C76" t="str">
        <f ca="1">IFERROR(__xludf.DUMMYFUNCTION("""COMPUTED_VALUE"""),"Rafa Cabrera Bello")</f>
        <v>Rafa Cabrera Bello</v>
      </c>
      <c r="D76">
        <f ca="1">IFERROR(__xludf.DUMMYFUNCTION("""COMPUTED_VALUE"""),14)</f>
        <v>14</v>
      </c>
      <c r="E76">
        <f ca="1">IFERROR(__xludf.DUMMYFUNCTION("""COMPUTED_VALUE"""),51.28)</f>
        <v>51.28</v>
      </c>
      <c r="F76">
        <f ca="1">IFERROR(__xludf.DUMMYFUNCTION("""COMPUTED_VALUE"""),78)</f>
        <v>78</v>
      </c>
      <c r="G76">
        <f ca="1">IFERROR(__xludf.DUMMYFUNCTION("""COMPUTED_VALUE"""),40)</f>
        <v>40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IFERROR(__xludf.DUMMYFUNCTION("""COMPUTED_VALUE"""),73)</f>
        <v>73</v>
      </c>
      <c r="C77" t="str">
        <f ca="1">IFERROR(__xludf.DUMMYFUNCTION("""COMPUTED_VALUE"""),"Tim Wilkinson")</f>
        <v>Tim Wilkinson</v>
      </c>
      <c r="D77">
        <f ca="1">IFERROR(__xludf.DUMMYFUNCTION("""COMPUTED_VALUE"""),12)</f>
        <v>12</v>
      </c>
      <c r="E77">
        <f ca="1">IFERROR(__xludf.DUMMYFUNCTION("""COMPUTED_VALUE"""),51.22)</f>
        <v>51.22</v>
      </c>
      <c r="F77">
        <f ca="1">IFERROR(__xludf.DUMMYFUNCTION("""COMPUTED_VALUE"""),41)</f>
        <v>41</v>
      </c>
      <c r="G77">
        <f ca="1">IFERROR(__xludf.DUMMYFUNCTION("""COMPUTED_VALUE"""),21)</f>
        <v>21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IFERROR(__xludf.DUMMYFUNCTION("""COMPUTED_VALUE"""),75)</f>
        <v>75</v>
      </c>
      <c r="C78" t="str">
        <f ca="1">IFERROR(__xludf.DUMMYFUNCTION("""COMPUTED_VALUE"""),"Ryan Palmer")</f>
        <v>Ryan Palmer</v>
      </c>
      <c r="D78">
        <f ca="1">IFERROR(__xludf.DUMMYFUNCTION("""COMPUTED_VALUE"""),14)</f>
        <v>14</v>
      </c>
      <c r="E78">
        <f ca="1">IFERROR(__xludf.DUMMYFUNCTION("""COMPUTED_VALUE"""),50.96)</f>
        <v>50.96</v>
      </c>
      <c r="F78">
        <f ca="1">IFERROR(__xludf.DUMMYFUNCTION("""COMPUTED_VALUE"""),104)</f>
        <v>104</v>
      </c>
      <c r="G78">
        <f ca="1">IFERROR(__xludf.DUMMYFUNCTION("""COMPUTED_VALUE"""),53)</f>
        <v>53</v>
      </c>
    </row>
    <row r="79" spans="1:7" ht="12.75">
      <c r="A79">
        <f ca="1">IFERROR(__xludf.DUMMYFUNCTION("""COMPUTED_VALUE"""),78)</f>
        <v>78</v>
      </c>
      <c r="B79" t="str">
        <f ca="1">IFERROR(__xludf.DUMMYFUNCTION("""COMPUTED_VALUE"""),"T85")</f>
        <v>T85</v>
      </c>
      <c r="C79" t="str">
        <f ca="1">IFERROR(__xludf.DUMMYFUNCTION("""COMPUTED_VALUE"""),"Brandt Snedeker")</f>
        <v>Brandt Snedeker</v>
      </c>
      <c r="D79">
        <f ca="1">IFERROR(__xludf.DUMMYFUNCTION("""COMPUTED_VALUE"""),16)</f>
        <v>16</v>
      </c>
      <c r="E79">
        <f ca="1">IFERROR(__xludf.DUMMYFUNCTION("""COMPUTED_VALUE"""),50.82)</f>
        <v>50.82</v>
      </c>
      <c r="F79">
        <f ca="1">IFERROR(__xludf.DUMMYFUNCTION("""COMPUTED_VALUE"""),122)</f>
        <v>122</v>
      </c>
      <c r="G79">
        <f ca="1">IFERROR(__xludf.DUMMYFUNCTION("""COMPUTED_VALUE"""),62)</f>
        <v>62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IFERROR(__xludf.DUMMYFUNCTION("""COMPUTED_VALUE"""),79)</f>
        <v>79</v>
      </c>
      <c r="C80" t="str">
        <f ca="1">IFERROR(__xludf.DUMMYFUNCTION("""COMPUTED_VALUE"""),"Chase Seiffert")</f>
        <v>Chase Seiffert</v>
      </c>
      <c r="D80">
        <f ca="1">IFERROR(__xludf.DUMMYFUNCTION("""COMPUTED_VALUE"""),14)</f>
        <v>14</v>
      </c>
      <c r="E80">
        <f ca="1">IFERROR(__xludf.DUMMYFUNCTION("""COMPUTED_VALUE"""),50.77)</f>
        <v>50.77</v>
      </c>
      <c r="F80">
        <f ca="1">IFERROR(__xludf.DUMMYFUNCTION("""COMPUTED_VALUE"""),65)</f>
        <v>65</v>
      </c>
      <c r="G80">
        <f ca="1">IFERROR(__xludf.DUMMYFUNCTION("""COMPUTED_VALUE"""),33)</f>
        <v>33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IFERROR(__xludf.DUMMYFUNCTION("""COMPUTED_VALUE"""),"T42")</f>
        <v>T42</v>
      </c>
      <c r="C81" t="str">
        <f ca="1">IFERROR(__xludf.DUMMYFUNCTION("""COMPUTED_VALUE"""),"Phil Mickelson")</f>
        <v>Phil Mickelson</v>
      </c>
      <c r="D81">
        <f ca="1">IFERROR(__xludf.DUMMYFUNCTION("""COMPUTED_VALUE"""),12)</f>
        <v>12</v>
      </c>
      <c r="E81">
        <f ca="1">IFERROR(__xludf.DUMMYFUNCTION("""COMPUTED_VALUE"""),50.59)</f>
        <v>50.59</v>
      </c>
      <c r="F81">
        <f ca="1">IFERROR(__xludf.DUMMYFUNCTION("""COMPUTED_VALUE"""),85)</f>
        <v>85</v>
      </c>
      <c r="G81">
        <f ca="1">IFERROR(__xludf.DUMMYFUNCTION("""COMPUTED_VALUE"""),43)</f>
        <v>43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IFERROR(__xludf.DUMMYFUNCTION("""COMPUTED_VALUE"""),82)</f>
        <v>82</v>
      </c>
      <c r="C82" t="str">
        <f ca="1">IFERROR(__xludf.DUMMYFUNCTION("""COMPUTED_VALUE"""),"Louis Oosthuizen")</f>
        <v>Louis Oosthuizen</v>
      </c>
      <c r="D82">
        <f ca="1">IFERROR(__xludf.DUMMYFUNCTION("""COMPUTED_VALUE"""),12)</f>
        <v>12</v>
      </c>
      <c r="E82">
        <f ca="1">IFERROR(__xludf.DUMMYFUNCTION("""COMPUTED_VALUE"""),50.57)</f>
        <v>50.57</v>
      </c>
      <c r="F82">
        <f ca="1">IFERROR(__xludf.DUMMYFUNCTION("""COMPUTED_VALUE"""),87)</f>
        <v>87</v>
      </c>
      <c r="G82">
        <f ca="1">IFERROR(__xludf.DUMMYFUNCTION("""COMPUTED_VALUE"""),44)</f>
        <v>44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IFERROR(__xludf.DUMMYFUNCTION("""COMPUTED_VALUE"""),87)</f>
        <v>87</v>
      </c>
      <c r="C83" t="str">
        <f ca="1">IFERROR(__xludf.DUMMYFUNCTION("""COMPUTED_VALUE"""),"Harry Higgs")</f>
        <v>Harry Higgs</v>
      </c>
      <c r="D83">
        <f ca="1">IFERROR(__xludf.DUMMYFUNCTION("""COMPUTED_VALUE"""),14)</f>
        <v>14</v>
      </c>
      <c r="E83">
        <f ca="1">IFERROR(__xludf.DUMMYFUNCTION("""COMPUTED_VALUE"""),50.5)</f>
        <v>50.5</v>
      </c>
      <c r="F83">
        <f ca="1">IFERROR(__xludf.DUMMYFUNCTION("""COMPUTED_VALUE"""),101)</f>
        <v>101</v>
      </c>
      <c r="G83">
        <f ca="1">IFERROR(__xludf.DUMMYFUNCTION("""COMPUTED_VALUE"""),51)</f>
        <v>51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IFERROR(__xludf.DUMMYFUNCTION("""COMPUTED_VALUE"""),59)</f>
        <v>59</v>
      </c>
      <c r="C84" t="str">
        <f ca="1">IFERROR(__xludf.DUMMYFUNCTION("""COMPUTED_VALUE"""),"Andrew Putnam")</f>
        <v>Andrew Putnam</v>
      </c>
      <c r="D84">
        <f ca="1">IFERROR(__xludf.DUMMYFUNCTION("""COMPUTED_VALUE"""),19)</f>
        <v>19</v>
      </c>
      <c r="E84">
        <f ca="1">IFERROR(__xludf.DUMMYFUNCTION("""COMPUTED_VALUE"""),50.49)</f>
        <v>50.49</v>
      </c>
      <c r="F84">
        <f ca="1">IFERROR(__xludf.DUMMYFUNCTION("""COMPUTED_VALUE"""),103)</f>
        <v>103</v>
      </c>
      <c r="G84">
        <f ca="1">IFERROR(__xludf.DUMMYFUNCTION("""COMPUTED_VALUE"""),52)</f>
        <v>52</v>
      </c>
    </row>
    <row r="85" spans="1:7" ht="12.75">
      <c r="A85">
        <f ca="1">IFERROR(__xludf.DUMMYFUNCTION("""COMPUTED_VALUE"""),84)</f>
        <v>84</v>
      </c>
      <c r="B85" t="str">
        <f ca="1">IFERROR(__xludf.DUMMYFUNCTION("""COMPUTED_VALUE"""),"T88")</f>
        <v>T88</v>
      </c>
      <c r="C85" t="str">
        <f ca="1">IFERROR(__xludf.DUMMYFUNCTION("""COMPUTED_VALUE"""),"Corey Conners")</f>
        <v>Corey Conners</v>
      </c>
      <c r="D85">
        <f ca="1">IFERROR(__xludf.DUMMYFUNCTION("""COMPUTED_VALUE"""),20)</f>
        <v>20</v>
      </c>
      <c r="E85">
        <f ca="1">IFERROR(__xludf.DUMMYFUNCTION("""COMPUTED_VALUE"""),50.44)</f>
        <v>50.44</v>
      </c>
      <c r="F85">
        <f ca="1">IFERROR(__xludf.DUMMYFUNCTION("""COMPUTED_VALUE"""),113)</f>
        <v>113</v>
      </c>
      <c r="G85">
        <f ca="1">IFERROR(__xludf.DUMMYFUNCTION("""COMPUTED_VALUE"""),57)</f>
        <v>57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IFERROR(__xludf.DUMMYFUNCTION("""COMPUTED_VALUE"""),56)</f>
        <v>56</v>
      </c>
      <c r="C86" t="str">
        <f ca="1">IFERROR(__xludf.DUMMYFUNCTION("""COMPUTED_VALUE"""),"Adam Long")</f>
        <v>Adam Long</v>
      </c>
      <c r="D86">
        <f ca="1">IFERROR(__xludf.DUMMYFUNCTION("""COMPUTED_VALUE"""),22)</f>
        <v>22</v>
      </c>
      <c r="E86">
        <f ca="1">IFERROR(__xludf.DUMMYFUNCTION("""COMPUTED_VALUE"""),50.39)</f>
        <v>50.39</v>
      </c>
      <c r="F86">
        <f ca="1">IFERROR(__xludf.DUMMYFUNCTION("""COMPUTED_VALUE"""),127)</f>
        <v>127</v>
      </c>
      <c r="G86">
        <f ca="1">IFERROR(__xludf.DUMMYFUNCTION("""COMPUTED_VALUE"""),64)</f>
        <v>64</v>
      </c>
    </row>
    <row r="87" spans="1:7" ht="12.75">
      <c r="A87" t="str">
        <f ca="1">IFERROR(__xludf.DUMMYFUNCTION("""COMPUTED_VALUE"""),"T86")</f>
        <v>T86</v>
      </c>
      <c r="B87" t="str">
        <f ca="1">IFERROR(__xludf.DUMMYFUNCTION("""COMPUTED_VALUE"""),"")</f>
        <v/>
      </c>
      <c r="C87" t="str">
        <f ca="1">IFERROR(__xludf.DUMMYFUNCTION("""COMPUTED_VALUE"""),"Erik Barnes")</f>
        <v>Erik Barnes</v>
      </c>
      <c r="D87">
        <f ca="1">IFERROR(__xludf.DUMMYFUNCTION("""COMPUTED_VALUE"""),4)</f>
        <v>4</v>
      </c>
      <c r="E87">
        <f ca="1">IFERROR(__xludf.DUMMYFUNCTION("""COMPUTED_VALUE"""),50)</f>
        <v>50</v>
      </c>
      <c r="F87">
        <f ca="1">IFERROR(__xludf.DUMMYFUNCTION("""COMPUTED_VALUE"""),28)</f>
        <v>28</v>
      </c>
      <c r="G87">
        <f ca="1">IFERROR(__xludf.DUMMYFUNCTION("""COMPUTED_VALUE"""),14)</f>
        <v>14</v>
      </c>
    </row>
    <row r="88" spans="1:7" ht="12.75">
      <c r="A88" t="str">
        <f ca="1">IFERROR(__xludf.DUMMYFUNCTION("""COMPUTED_VALUE"""),"T86")</f>
        <v>T86</v>
      </c>
      <c r="B88" t="str">
        <f ca="1">IFERROR(__xludf.DUMMYFUNCTION("""COMPUTED_VALUE"""),"T176")</f>
        <v>T176</v>
      </c>
      <c r="C88" t="str">
        <f ca="1">IFERROR(__xludf.DUMMYFUNCTION("""COMPUTED_VALUE"""),"John Huh")</f>
        <v>John Huh</v>
      </c>
      <c r="D88">
        <f ca="1">IFERROR(__xludf.DUMMYFUNCTION("""COMPUTED_VALUE"""),8)</f>
        <v>8</v>
      </c>
      <c r="E88">
        <f ca="1">IFERROR(__xludf.DUMMYFUNCTION("""COMPUTED_VALUE"""),50)</f>
        <v>50</v>
      </c>
      <c r="F88">
        <f ca="1">IFERROR(__xludf.DUMMYFUNCTION("""COMPUTED_VALUE"""),58)</f>
        <v>58</v>
      </c>
      <c r="G88">
        <f ca="1">IFERROR(__xludf.DUMMYFUNCTION("""COMPUTED_VALUE"""),29)</f>
        <v>29</v>
      </c>
    </row>
    <row r="89" spans="1:7" ht="12.75">
      <c r="A89" t="str">
        <f ca="1">IFERROR(__xludf.DUMMYFUNCTION("""COMPUTED_VALUE"""),"T86")</f>
        <v>T86</v>
      </c>
      <c r="B89" t="str">
        <f ca="1">IFERROR(__xludf.DUMMYFUNCTION("""COMPUTED_VALUE"""),"T88")</f>
        <v>T88</v>
      </c>
      <c r="C89" t="str">
        <f ca="1">IFERROR(__xludf.DUMMYFUNCTION("""COMPUTED_VALUE"""),"Grayson Murray")</f>
        <v>Grayson Murray</v>
      </c>
      <c r="D89">
        <f ca="1">IFERROR(__xludf.DUMMYFUNCTION("""COMPUTED_VALUE"""),10)</f>
        <v>10</v>
      </c>
      <c r="E89">
        <f ca="1">IFERROR(__xludf.DUMMYFUNCTION("""COMPUTED_VALUE"""),50)</f>
        <v>50</v>
      </c>
      <c r="F89">
        <f ca="1">IFERROR(__xludf.DUMMYFUNCTION("""COMPUTED_VALUE"""),46)</f>
        <v>46</v>
      </c>
      <c r="G89">
        <f ca="1">IFERROR(__xludf.DUMMYFUNCTION("""COMPUTED_VALUE"""),23)</f>
        <v>23</v>
      </c>
    </row>
    <row r="90" spans="1:7" ht="12.75">
      <c r="A90" t="str">
        <f ca="1">IFERROR(__xludf.DUMMYFUNCTION("""COMPUTED_VALUE"""),"T86")</f>
        <v>T86</v>
      </c>
      <c r="B90" t="str">
        <f ca="1">IFERROR(__xludf.DUMMYFUNCTION("""COMPUTED_VALUE"""),"T88")</f>
        <v>T88</v>
      </c>
      <c r="C90" t="str">
        <f ca="1">IFERROR(__xludf.DUMMYFUNCTION("""COMPUTED_VALUE"""),"Thomas Detry")</f>
        <v>Thomas Detry</v>
      </c>
      <c r="D90">
        <f ca="1">IFERROR(__xludf.DUMMYFUNCTION("""COMPUTED_VALUE"""),8)</f>
        <v>8</v>
      </c>
      <c r="E90">
        <f ca="1">IFERROR(__xludf.DUMMYFUNCTION("""COMPUTED_VALUE"""),50)</f>
        <v>50</v>
      </c>
      <c r="F90">
        <f ca="1">IFERROR(__xludf.DUMMYFUNCTION("""COMPUTED_VALUE"""),34)</f>
        <v>34</v>
      </c>
      <c r="G90">
        <f ca="1">IFERROR(__xludf.DUMMYFUNCTION("""COMPUTED_VALUE"""),17)</f>
        <v>17</v>
      </c>
    </row>
    <row r="91" spans="1:7" ht="12.75">
      <c r="A91" t="str">
        <f ca="1">IFERROR(__xludf.DUMMYFUNCTION("""COMPUTED_VALUE"""),"T86")</f>
        <v>T86</v>
      </c>
      <c r="B91" t="str">
        <f ca="1">IFERROR(__xludf.DUMMYFUNCTION("""COMPUTED_VALUE"""),"T88")</f>
        <v>T88</v>
      </c>
      <c r="C91" t="str">
        <f ca="1">IFERROR(__xludf.DUMMYFUNCTION("""COMPUTED_VALUE"""),"Dominic Bozzelli")</f>
        <v>Dominic Bozzelli</v>
      </c>
      <c r="D91">
        <f ca="1">IFERROR(__xludf.DUMMYFUNCTION("""COMPUTED_VALUE"""),8)</f>
        <v>8</v>
      </c>
      <c r="E91">
        <f ca="1">IFERROR(__xludf.DUMMYFUNCTION("""COMPUTED_VALUE"""),50)</f>
        <v>50</v>
      </c>
      <c r="F91">
        <f ca="1">IFERROR(__xludf.DUMMYFUNCTION("""COMPUTED_VALUE"""),14)</f>
        <v>14</v>
      </c>
      <c r="G91">
        <f ca="1">IFERROR(__xludf.DUMMYFUNCTION("""COMPUTED_VALUE"""),7)</f>
        <v>7</v>
      </c>
    </row>
    <row r="92" spans="1:7" ht="12.75">
      <c r="A92" t="str">
        <f ca="1">IFERROR(__xludf.DUMMYFUNCTION("""COMPUTED_VALUE"""),"T86")</f>
        <v>T86</v>
      </c>
      <c r="B92" t="str">
        <f ca="1">IFERROR(__xludf.DUMMYFUNCTION("""COMPUTED_VALUE"""),"T88")</f>
        <v>T88</v>
      </c>
      <c r="C92" t="str">
        <f ca="1">IFERROR(__xludf.DUMMYFUNCTION("""COMPUTED_VALUE"""),"Romain Langasque")</f>
        <v>Romain Langasque</v>
      </c>
      <c r="D92">
        <f ca="1">IFERROR(__xludf.DUMMYFUNCTION("""COMPUTED_VALUE"""),4)</f>
        <v>4</v>
      </c>
      <c r="E92">
        <f ca="1">IFERROR(__xludf.DUMMYFUNCTION("""COMPUTED_VALUE"""),50)</f>
        <v>50</v>
      </c>
      <c r="F92">
        <f ca="1">IFERROR(__xludf.DUMMYFUNCTION("""COMPUTED_VALUE"""),26)</f>
        <v>26</v>
      </c>
      <c r="G92">
        <f ca="1">IFERROR(__xludf.DUMMYFUNCTION("""COMPUTED_VALUE"""),13)</f>
        <v>13</v>
      </c>
    </row>
    <row r="93" spans="1:7" ht="12.75">
      <c r="A93" t="str">
        <f ca="1">IFERROR(__xludf.DUMMYFUNCTION("""COMPUTED_VALUE"""),"T86")</f>
        <v>T86</v>
      </c>
      <c r="B93" t="str">
        <f ca="1">IFERROR(__xludf.DUMMYFUNCTION("""COMPUTED_VALUE"""),"T88")</f>
        <v>T88</v>
      </c>
      <c r="C93" t="str">
        <f ca="1">IFERROR(__xludf.DUMMYFUNCTION("""COMPUTED_VALUE"""),"Rikuya Hoshino")</f>
        <v>Rikuya Hoshino</v>
      </c>
      <c r="D93">
        <f ca="1">IFERROR(__xludf.DUMMYFUNCTION("""COMPUTED_VALUE"""),4)</f>
        <v>4</v>
      </c>
      <c r="E93">
        <f ca="1">IFERROR(__xludf.DUMMYFUNCTION("""COMPUTED_VALUE"""),50)</f>
        <v>50</v>
      </c>
      <c r="F93">
        <f ca="1">IFERROR(__xludf.DUMMYFUNCTION("""COMPUTED_VALUE"""),28)</f>
        <v>28</v>
      </c>
      <c r="G93">
        <f ca="1">IFERROR(__xludf.DUMMYFUNCTION("""COMPUTED_VALUE"""),14)</f>
        <v>14</v>
      </c>
    </row>
    <row r="94" spans="1:7" ht="12.75">
      <c r="A94" t="str">
        <f ca="1">IFERROR(__xludf.DUMMYFUNCTION("""COMPUTED_VALUE"""),"T86")</f>
        <v>T86</v>
      </c>
      <c r="B94" t="str">
        <f ca="1">IFERROR(__xludf.DUMMYFUNCTION("""COMPUTED_VALUE"""),"T88")</f>
        <v>T88</v>
      </c>
      <c r="C94" t="str">
        <f ca="1">IFERROR(__xludf.DUMMYFUNCTION("""COMPUTED_VALUE"""),"Hanbyeol Kim")</f>
        <v>Hanbyeol Kim</v>
      </c>
      <c r="D94">
        <f ca="1">IFERROR(__xludf.DUMMYFUNCTION("""COMPUTED_VALUE"""),4)</f>
        <v>4</v>
      </c>
      <c r="E94">
        <f ca="1">IFERROR(__xludf.DUMMYFUNCTION("""COMPUTED_VALUE"""),50)</f>
        <v>50</v>
      </c>
      <c r="F94">
        <f ca="1">IFERROR(__xludf.DUMMYFUNCTION("""COMPUTED_VALUE"""),28)</f>
        <v>28</v>
      </c>
      <c r="G94">
        <f ca="1">IFERROR(__xludf.DUMMYFUNCTION("""COMPUTED_VALUE"""),14)</f>
        <v>14</v>
      </c>
    </row>
    <row r="95" spans="1:7" ht="12.75">
      <c r="A95" t="str">
        <f ca="1">IFERROR(__xludf.DUMMYFUNCTION("""COMPUTED_VALUE"""),"T86")</f>
        <v>T86</v>
      </c>
      <c r="B95" t="str">
        <f ca="1">IFERROR(__xludf.DUMMYFUNCTION("""COMPUTED_VALUE"""),"T88")</f>
        <v>T88</v>
      </c>
      <c r="C95" t="str">
        <f ca="1">IFERROR(__xludf.DUMMYFUNCTION("""COMPUTED_VALUE"""),"Paul Casey")</f>
        <v>Paul Casey</v>
      </c>
      <c r="D95">
        <f ca="1">IFERROR(__xludf.DUMMYFUNCTION("""COMPUTED_VALUE"""),14)</f>
        <v>14</v>
      </c>
      <c r="E95">
        <f ca="1">IFERROR(__xludf.DUMMYFUNCTION("""COMPUTED_VALUE"""),50)</f>
        <v>50</v>
      </c>
      <c r="F95">
        <f ca="1">IFERROR(__xludf.DUMMYFUNCTION("""COMPUTED_VALUE"""),114)</f>
        <v>114</v>
      </c>
      <c r="G95">
        <f ca="1">IFERROR(__xludf.DUMMYFUNCTION("""COMPUTED_VALUE"""),57)</f>
        <v>57</v>
      </c>
    </row>
    <row r="96" spans="1:7" ht="12.75">
      <c r="A96" t="str">
        <f ca="1">IFERROR(__xludf.DUMMYFUNCTION("""COMPUTED_VALUE"""),"T86")</f>
        <v>T86</v>
      </c>
      <c r="B96" t="str">
        <f ca="1">IFERROR(__xludf.DUMMYFUNCTION("""COMPUTED_VALUE"""),"T88")</f>
        <v>T88</v>
      </c>
      <c r="C96" t="str">
        <f ca="1">IFERROR(__xludf.DUMMYFUNCTION("""COMPUTED_VALUE"""),"Kevin Na")</f>
        <v>Kevin Na</v>
      </c>
      <c r="D96">
        <f ca="1">IFERROR(__xludf.DUMMYFUNCTION("""COMPUTED_VALUE"""),14)</f>
        <v>14</v>
      </c>
      <c r="E96">
        <f ca="1">IFERROR(__xludf.DUMMYFUNCTION("""COMPUTED_VALUE"""),50)</f>
        <v>50</v>
      </c>
      <c r="F96">
        <f ca="1">IFERROR(__xludf.DUMMYFUNCTION("""COMPUTED_VALUE"""),100)</f>
        <v>100</v>
      </c>
      <c r="G96">
        <f ca="1">IFERROR(__xludf.DUMMYFUNCTION("""COMPUTED_VALUE"""),50)</f>
        <v>50</v>
      </c>
    </row>
    <row r="97" spans="1:7" ht="12.75">
      <c r="A97" t="str">
        <f ca="1">IFERROR(__xludf.DUMMYFUNCTION("""COMPUTED_VALUE"""),"T86")</f>
        <v>T86</v>
      </c>
      <c r="B97" t="str">
        <f ca="1">IFERROR(__xludf.DUMMYFUNCTION("""COMPUTED_VALUE"""),"T196")</f>
        <v>T196</v>
      </c>
      <c r="C97" t="str">
        <f ca="1">IFERROR(__xludf.DUMMYFUNCTION("""COMPUTED_VALUE"""),"Adam Scott")</f>
        <v>Adam Scott</v>
      </c>
      <c r="D97">
        <f ca="1">IFERROR(__xludf.DUMMYFUNCTION("""COMPUTED_VALUE"""),8)</f>
        <v>8</v>
      </c>
      <c r="E97">
        <f ca="1">IFERROR(__xludf.DUMMYFUNCTION("""COMPUTED_VALUE"""),50)</f>
        <v>50</v>
      </c>
      <c r="F97">
        <f ca="1">IFERROR(__xludf.DUMMYFUNCTION("""COMPUTED_VALUE"""),64)</f>
        <v>64</v>
      </c>
      <c r="G97">
        <f ca="1">IFERROR(__xludf.DUMMYFUNCTION("""COMPUTED_VALUE"""),32)</f>
        <v>32</v>
      </c>
    </row>
    <row r="98" spans="1:7" ht="12.75">
      <c r="A98" t="str">
        <f ca="1">IFERROR(__xludf.DUMMYFUNCTION("""COMPUTED_VALUE"""),"T86")</f>
        <v>T86</v>
      </c>
      <c r="B98" t="str">
        <f ca="1">IFERROR(__xludf.DUMMYFUNCTION("""COMPUTED_VALUE"""),"T88")</f>
        <v>T88</v>
      </c>
      <c r="C98" t="str">
        <f ca="1">IFERROR(__xludf.DUMMYFUNCTION("""COMPUTED_VALUE"""),"Anirban Lahiri")</f>
        <v>Anirban Lahiri</v>
      </c>
      <c r="D98">
        <f ca="1">IFERROR(__xludf.DUMMYFUNCTION("""COMPUTED_VALUE"""),16)</f>
        <v>16</v>
      </c>
      <c r="E98">
        <f ca="1">IFERROR(__xludf.DUMMYFUNCTION("""COMPUTED_VALUE"""),50)</f>
        <v>50</v>
      </c>
      <c r="F98">
        <f ca="1">IFERROR(__xludf.DUMMYFUNCTION("""COMPUTED_VALUE"""),50)</f>
        <v>50</v>
      </c>
      <c r="G98">
        <f ca="1">IFERROR(__xludf.DUMMYFUNCTION("""COMPUTED_VALUE"""),25)</f>
        <v>25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IFERROR(__xludf.DUMMYFUNCTION("""COMPUTED_VALUE"""),104)</f>
        <v>104</v>
      </c>
      <c r="C99" t="str">
        <f ca="1">IFERROR(__xludf.DUMMYFUNCTION("""COMPUTED_VALUE"""),"Matthew Wolff")</f>
        <v>Matthew Wolff</v>
      </c>
      <c r="D99">
        <f ca="1">IFERROR(__xludf.DUMMYFUNCTION("""COMPUTED_VALUE"""),16)</f>
        <v>16</v>
      </c>
      <c r="E99">
        <f ca="1">IFERROR(__xludf.DUMMYFUNCTION("""COMPUTED_VALUE"""),49.62)</f>
        <v>49.62</v>
      </c>
      <c r="F99">
        <f ca="1">IFERROR(__xludf.DUMMYFUNCTION("""COMPUTED_VALUE"""),131)</f>
        <v>131</v>
      </c>
      <c r="G99">
        <f ca="1">IFERROR(__xludf.DUMMYFUNCTION("""COMPUTED_VALUE"""),65)</f>
        <v>65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IFERROR(__xludf.DUMMYFUNCTION("""COMPUTED_VALUE"""),45)</f>
        <v>45</v>
      </c>
      <c r="C100" t="str">
        <f ca="1">IFERROR(__xludf.DUMMYFUNCTION("""COMPUTED_VALUE"""),"Cameron Davis")</f>
        <v>Cameron Davis</v>
      </c>
      <c r="D100">
        <f ca="1">IFERROR(__xludf.DUMMYFUNCTION("""COMPUTED_VALUE"""),16)</f>
        <v>16</v>
      </c>
      <c r="E100">
        <f ca="1">IFERROR(__xludf.DUMMYFUNCTION("""COMPUTED_VALUE"""),49.55)</f>
        <v>49.55</v>
      </c>
      <c r="F100">
        <f ca="1">IFERROR(__xludf.DUMMYFUNCTION("""COMPUTED_VALUE"""),111)</f>
        <v>111</v>
      </c>
      <c r="G100">
        <f ca="1">IFERROR(__xludf.DUMMYFUNCTION("""COMPUTED_VALUE"""),55)</f>
        <v>55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IFERROR(__xludf.DUMMYFUNCTION("""COMPUTED_VALUE"""),105)</f>
        <v>105</v>
      </c>
      <c r="C101" t="str">
        <f ca="1">IFERROR(__xludf.DUMMYFUNCTION("""COMPUTED_VALUE"""),"Rickie Fowler")</f>
        <v>Rickie Fowler</v>
      </c>
      <c r="D101">
        <f ca="1">IFERROR(__xludf.DUMMYFUNCTION("""COMPUTED_VALUE"""),14)</f>
        <v>14</v>
      </c>
      <c r="E101">
        <f ca="1">IFERROR(__xludf.DUMMYFUNCTION("""COMPUTED_VALUE"""),49.52)</f>
        <v>49.52</v>
      </c>
      <c r="F101">
        <f ca="1">IFERROR(__xludf.DUMMYFUNCTION("""COMPUTED_VALUE"""),105)</f>
        <v>105</v>
      </c>
      <c r="G101">
        <f ca="1">IFERROR(__xludf.DUMMYFUNCTION("""COMPUTED_VALUE"""),52)</f>
        <v>52</v>
      </c>
    </row>
    <row r="102" spans="1:7" ht="12.75">
      <c r="A102">
        <f ca="1">IFERROR(__xludf.DUMMYFUNCTION("""COMPUTED_VALUE"""),101)</f>
        <v>101</v>
      </c>
      <c r="B102" t="str">
        <f ca="1">IFERROR(__xludf.DUMMYFUNCTION("""COMPUTED_VALUE"""),"T83")</f>
        <v>T83</v>
      </c>
      <c r="C102" t="str">
        <f ca="1">IFERROR(__xludf.DUMMYFUNCTION("""COMPUTED_VALUE"""),"Alex Noren")</f>
        <v>Alex Noren</v>
      </c>
      <c r="D102">
        <f ca="1">IFERROR(__xludf.DUMMYFUNCTION("""COMPUTED_VALUE"""),14)</f>
        <v>14</v>
      </c>
      <c r="E102">
        <f ca="1">IFERROR(__xludf.DUMMYFUNCTION("""COMPUTED_VALUE"""),49.5)</f>
        <v>49.5</v>
      </c>
      <c r="F102">
        <f ca="1">IFERROR(__xludf.DUMMYFUNCTION("""COMPUTED_VALUE"""),101)</f>
        <v>101</v>
      </c>
      <c r="G102">
        <f ca="1">IFERROR(__xludf.DUMMYFUNCTION("""COMPUTED_VALUE"""),50)</f>
        <v>50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IFERROR(__xludf.DUMMYFUNCTION("""COMPUTED_VALUE"""),"T108")</f>
        <v>T108</v>
      </c>
      <c r="C103" t="str">
        <f ca="1">IFERROR(__xludf.DUMMYFUNCTION("""COMPUTED_VALUE"""),"Kevin Chappell")</f>
        <v>Kevin Chappell</v>
      </c>
      <c r="D103">
        <f ca="1">IFERROR(__xludf.DUMMYFUNCTION("""COMPUTED_VALUE"""),16)</f>
        <v>16</v>
      </c>
      <c r="E103">
        <f ca="1">IFERROR(__xludf.DUMMYFUNCTION("""COMPUTED_VALUE"""),49.47)</f>
        <v>49.47</v>
      </c>
      <c r="F103">
        <f ca="1">IFERROR(__xludf.DUMMYFUNCTION("""COMPUTED_VALUE"""),95)</f>
        <v>95</v>
      </c>
      <c r="G103">
        <f ca="1">IFERROR(__xludf.DUMMYFUNCTION("""COMPUTED_VALUE"""),47)</f>
        <v>47</v>
      </c>
    </row>
    <row r="104" spans="1:7" ht="12.75">
      <c r="A104">
        <f ca="1">IFERROR(__xludf.DUMMYFUNCTION("""COMPUTED_VALUE"""),103)</f>
        <v>103</v>
      </c>
      <c r="B104">
        <f ca="1">IFERROR(__xludf.DUMMYFUNCTION("""COMPUTED_VALUE"""),62)</f>
        <v>62</v>
      </c>
      <c r="C104" t="str">
        <f ca="1">IFERROR(__xludf.DUMMYFUNCTION("""COMPUTED_VALUE"""),"Charley Hoffman")</f>
        <v>Charley Hoffman</v>
      </c>
      <c r="D104">
        <f ca="1">IFERROR(__xludf.DUMMYFUNCTION("""COMPUTED_VALUE"""),20)</f>
        <v>20</v>
      </c>
      <c r="E104">
        <f ca="1">IFERROR(__xludf.DUMMYFUNCTION("""COMPUTED_VALUE"""),49.46)</f>
        <v>49.46</v>
      </c>
      <c r="F104">
        <f ca="1">IFERROR(__xludf.DUMMYFUNCTION("""COMPUTED_VALUE"""),93)</f>
        <v>93</v>
      </c>
      <c r="G104">
        <f ca="1">IFERROR(__xludf.DUMMYFUNCTION("""COMPUTED_VALUE"""),46)</f>
        <v>46</v>
      </c>
    </row>
    <row r="105" spans="1:7" ht="12.75">
      <c r="A105">
        <f ca="1">IFERROR(__xludf.DUMMYFUNCTION("""COMPUTED_VALUE"""),104)</f>
        <v>104</v>
      </c>
      <c r="B105" t="str">
        <f ca="1">IFERROR(__xludf.DUMMYFUNCTION("""COMPUTED_VALUE"""),"T125")</f>
        <v>T125</v>
      </c>
      <c r="C105" t="str">
        <f ca="1">IFERROR(__xludf.DUMMYFUNCTION("""COMPUTED_VALUE"""),"Maverick McNealy")</f>
        <v>Maverick McNealy</v>
      </c>
      <c r="D105">
        <f ca="1">IFERROR(__xludf.DUMMYFUNCTION("""COMPUTED_VALUE"""),16)</f>
        <v>16</v>
      </c>
      <c r="E105">
        <f ca="1">IFERROR(__xludf.DUMMYFUNCTION("""COMPUTED_VALUE"""),49.45)</f>
        <v>49.45</v>
      </c>
      <c r="F105">
        <f ca="1">IFERROR(__xludf.DUMMYFUNCTION("""COMPUTED_VALUE"""),91)</f>
        <v>91</v>
      </c>
      <c r="G105">
        <f ca="1">IFERROR(__xludf.DUMMYFUNCTION("""COMPUTED_VALUE"""),45)</f>
        <v>45</v>
      </c>
    </row>
    <row r="106" spans="1:7" ht="12.75">
      <c r="A106">
        <f ca="1">IFERROR(__xludf.DUMMYFUNCTION("""COMPUTED_VALUE"""),105)</f>
        <v>105</v>
      </c>
      <c r="B106" t="str">
        <f ca="1">IFERROR(__xludf.DUMMYFUNCTION("""COMPUTED_VALUE"""),"T125")</f>
        <v>T125</v>
      </c>
      <c r="C106" t="str">
        <f ca="1">IFERROR(__xludf.DUMMYFUNCTION("""COMPUTED_VALUE"""),"Scott Stallings")</f>
        <v>Scott Stallings</v>
      </c>
      <c r="D106">
        <f ca="1">IFERROR(__xludf.DUMMYFUNCTION("""COMPUTED_VALUE"""),14)</f>
        <v>14</v>
      </c>
      <c r="E106">
        <f ca="1">IFERROR(__xludf.DUMMYFUNCTION("""COMPUTED_VALUE"""),49.3)</f>
        <v>49.3</v>
      </c>
      <c r="F106">
        <f ca="1">IFERROR(__xludf.DUMMYFUNCTION("""COMPUTED_VALUE"""),71)</f>
        <v>71</v>
      </c>
      <c r="G106">
        <f ca="1">IFERROR(__xludf.DUMMYFUNCTION("""COMPUTED_VALUE"""),35)</f>
        <v>35</v>
      </c>
    </row>
    <row r="107" spans="1:7" ht="12.75">
      <c r="A107">
        <f ca="1">IFERROR(__xludf.DUMMYFUNCTION("""COMPUTED_VALUE"""),106)</f>
        <v>106</v>
      </c>
      <c r="B107" t="str">
        <f ca="1">IFERROR(__xludf.DUMMYFUNCTION("""COMPUTED_VALUE"""),"T88")</f>
        <v>T88</v>
      </c>
      <c r="C107" t="str">
        <f ca="1">IFERROR(__xludf.DUMMYFUNCTION("""COMPUTED_VALUE"""),"Si Woo Kim")</f>
        <v>Si Woo Kim</v>
      </c>
      <c r="D107">
        <f ca="1">IFERROR(__xludf.DUMMYFUNCTION("""COMPUTED_VALUE"""),20)</f>
        <v>20</v>
      </c>
      <c r="E107">
        <f ca="1">IFERROR(__xludf.DUMMYFUNCTION("""COMPUTED_VALUE"""),49.28)</f>
        <v>49.28</v>
      </c>
      <c r="F107">
        <f ca="1">IFERROR(__xludf.DUMMYFUNCTION("""COMPUTED_VALUE"""),138)</f>
        <v>138</v>
      </c>
      <c r="G107">
        <f ca="1">IFERROR(__xludf.DUMMYFUNCTION("""COMPUTED_VALUE"""),68)</f>
        <v>68</v>
      </c>
    </row>
    <row r="108" spans="1:7" ht="12.75">
      <c r="A108">
        <f ca="1">IFERROR(__xludf.DUMMYFUNCTION("""COMPUTED_VALUE"""),107)</f>
        <v>107</v>
      </c>
      <c r="B108" t="str">
        <f ca="1">IFERROR(__xludf.DUMMYFUNCTION("""COMPUTED_VALUE"""),"T108")</f>
        <v>T108</v>
      </c>
      <c r="C108" t="str">
        <f ca="1">IFERROR(__xludf.DUMMYFUNCTION("""COMPUTED_VALUE"""),"Bryson DeChambeau")</f>
        <v>Bryson DeChambeau</v>
      </c>
      <c r="D108">
        <f ca="1">IFERROR(__xludf.DUMMYFUNCTION("""COMPUTED_VALUE"""),8)</f>
        <v>8</v>
      </c>
      <c r="E108">
        <f ca="1">IFERROR(__xludf.DUMMYFUNCTION("""COMPUTED_VALUE"""),49.23)</f>
        <v>49.23</v>
      </c>
      <c r="F108">
        <f ca="1">IFERROR(__xludf.DUMMYFUNCTION("""COMPUTED_VALUE"""),65)</f>
        <v>65</v>
      </c>
      <c r="G108">
        <f ca="1">IFERROR(__xludf.DUMMYFUNCTION("""COMPUTED_VALUE"""),32)</f>
        <v>32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IFERROR(__xludf.DUMMYFUNCTION("""COMPUTED_VALUE"""),"T113")</f>
        <v>T113</v>
      </c>
      <c r="C109" t="str">
        <f ca="1">IFERROR(__xludf.DUMMYFUNCTION("""COMPUTED_VALUE"""),"Jonathan Byrd")</f>
        <v>Jonathan Byrd</v>
      </c>
      <c r="D109">
        <f ca="1">IFERROR(__xludf.DUMMYFUNCTION("""COMPUTED_VALUE"""),14)</f>
        <v>14</v>
      </c>
      <c r="E109">
        <f ca="1">IFERROR(__xludf.DUMMYFUNCTION("""COMPUTED_VALUE"""),48.89)</f>
        <v>48.89</v>
      </c>
      <c r="F109">
        <f ca="1">IFERROR(__xludf.DUMMYFUNCTION("""COMPUTED_VALUE"""),45)</f>
        <v>45</v>
      </c>
      <c r="G109">
        <f ca="1">IFERROR(__xludf.DUMMYFUNCTION("""COMPUTED_VALUE"""),22)</f>
        <v>22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IFERROR(__xludf.DUMMYFUNCTION("""COMPUTED_VALUE"""),77)</f>
        <v>77</v>
      </c>
      <c r="C110" t="str">
        <f ca="1">IFERROR(__xludf.DUMMYFUNCTION("""COMPUTED_VALUE"""),"Sergio Garcia")</f>
        <v>Sergio Garcia</v>
      </c>
      <c r="D110">
        <f ca="1">IFERROR(__xludf.DUMMYFUNCTION("""COMPUTED_VALUE"""),18)</f>
        <v>18</v>
      </c>
      <c r="E110">
        <f ca="1">IFERROR(__xludf.DUMMYFUNCTION("""COMPUTED_VALUE"""),48.82)</f>
        <v>48.82</v>
      </c>
      <c r="F110">
        <f ca="1">IFERROR(__xludf.DUMMYFUNCTION("""COMPUTED_VALUE"""),127)</f>
        <v>127</v>
      </c>
      <c r="G110">
        <f ca="1">IFERROR(__xludf.DUMMYFUNCTION("""COMPUTED_VALUE"""),62)</f>
        <v>62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IFERROR(__xludf.DUMMYFUNCTION("""COMPUTED_VALUE"""),119)</f>
        <v>119</v>
      </c>
      <c r="C111" t="str">
        <f ca="1">IFERROR(__xludf.DUMMYFUNCTION("""COMPUTED_VALUE"""),"Bill Haas")</f>
        <v>Bill Haas</v>
      </c>
      <c r="D111">
        <f ca="1">IFERROR(__xludf.DUMMYFUNCTION("""COMPUTED_VALUE"""),10)</f>
        <v>10</v>
      </c>
      <c r="E111">
        <f ca="1">IFERROR(__xludf.DUMMYFUNCTION("""COMPUTED_VALUE"""),48.72)</f>
        <v>48.72</v>
      </c>
      <c r="F111">
        <f ca="1">IFERROR(__xludf.DUMMYFUNCTION("""COMPUTED_VALUE"""),39)</f>
        <v>39</v>
      </c>
      <c r="G111">
        <f ca="1">IFERROR(__xludf.DUMMYFUNCTION("""COMPUTED_VALUE"""),19)</f>
        <v>19</v>
      </c>
    </row>
    <row r="112" spans="1:7" ht="12.75">
      <c r="A112">
        <f ca="1">IFERROR(__xludf.DUMMYFUNCTION("""COMPUTED_VALUE"""),111)</f>
        <v>111</v>
      </c>
      <c r="B112">
        <f ca="1">IFERROR(__xludf.DUMMYFUNCTION("""COMPUTED_VALUE"""),121)</f>
        <v>121</v>
      </c>
      <c r="C112" t="str">
        <f ca="1">IFERROR(__xludf.DUMMYFUNCTION("""COMPUTED_VALUE"""),"Seonghyeon Kim")</f>
        <v>Seonghyeon Kim</v>
      </c>
      <c r="D112">
        <f ca="1">IFERROR(__xludf.DUMMYFUNCTION("""COMPUTED_VALUE"""),4)</f>
        <v>4</v>
      </c>
      <c r="E112">
        <f ca="1">IFERROR(__xludf.DUMMYFUNCTION("""COMPUTED_VALUE"""),48.48)</f>
        <v>48.48</v>
      </c>
      <c r="F112">
        <f ca="1">IFERROR(__xludf.DUMMYFUNCTION("""COMPUTED_VALUE"""),33)</f>
        <v>33</v>
      </c>
      <c r="G112">
        <f ca="1">IFERROR(__xludf.DUMMYFUNCTION("""COMPUTED_VALUE"""),16)</f>
        <v>16</v>
      </c>
    </row>
    <row r="113" spans="1:7" ht="12.75">
      <c r="A113">
        <f ca="1">IFERROR(__xludf.DUMMYFUNCTION("""COMPUTED_VALUE"""),112)</f>
        <v>112</v>
      </c>
      <c r="B113" t="str">
        <f ca="1">IFERROR(__xludf.DUMMYFUNCTION("""COMPUTED_VALUE"""),"T85")</f>
        <v>T85</v>
      </c>
      <c r="C113" t="str">
        <f ca="1">IFERROR(__xludf.DUMMYFUNCTION("""COMPUTED_VALUE"""),"Rory Sabbatini")</f>
        <v>Rory Sabbatini</v>
      </c>
      <c r="D113">
        <f ca="1">IFERROR(__xludf.DUMMYFUNCTION("""COMPUTED_VALUE"""),13)</f>
        <v>13</v>
      </c>
      <c r="E113">
        <f ca="1">IFERROR(__xludf.DUMMYFUNCTION("""COMPUTED_VALUE"""),48.45)</f>
        <v>48.45</v>
      </c>
      <c r="F113">
        <f ca="1">IFERROR(__xludf.DUMMYFUNCTION("""COMPUTED_VALUE"""),97)</f>
        <v>97</v>
      </c>
      <c r="G113">
        <f ca="1">IFERROR(__xludf.DUMMYFUNCTION("""COMPUTED_VALUE"""),47)</f>
        <v>47</v>
      </c>
    </row>
    <row r="114" spans="1:7" ht="12.75">
      <c r="A114">
        <f ca="1">IFERROR(__xludf.DUMMYFUNCTION("""COMPUTED_VALUE"""),113)</f>
        <v>113</v>
      </c>
      <c r="B114" t="str">
        <f ca="1">IFERROR(__xludf.DUMMYFUNCTION("""COMPUTED_VALUE"""),"T113")</f>
        <v>T113</v>
      </c>
      <c r="C114" t="str">
        <f ca="1">IFERROR(__xludf.DUMMYFUNCTION("""COMPUTED_VALUE"""),"Jason Day")</f>
        <v>Jason Day</v>
      </c>
      <c r="D114">
        <f ca="1">IFERROR(__xludf.DUMMYFUNCTION("""COMPUTED_VALUE"""),17)</f>
        <v>17</v>
      </c>
      <c r="E114">
        <f ca="1">IFERROR(__xludf.DUMMYFUNCTION("""COMPUTED_VALUE"""),48.31)</f>
        <v>48.31</v>
      </c>
      <c r="F114">
        <f ca="1">IFERROR(__xludf.DUMMYFUNCTION("""COMPUTED_VALUE"""),118)</f>
        <v>118</v>
      </c>
      <c r="G114">
        <f ca="1">IFERROR(__xludf.DUMMYFUNCTION("""COMPUTED_VALUE"""),57)</f>
        <v>57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IFERROR(__xludf.DUMMYFUNCTION("""COMPUTED_VALUE"""),122)</f>
        <v>122</v>
      </c>
      <c r="C115" t="str">
        <f ca="1">IFERROR(__xludf.DUMMYFUNCTION("""COMPUTED_VALUE"""),"Nelson Ledesma")</f>
        <v>Nelson Ledesma</v>
      </c>
      <c r="D115">
        <f ca="1">IFERROR(__xludf.DUMMYFUNCTION("""COMPUTED_VALUE"""),8)</f>
        <v>8</v>
      </c>
      <c r="E115">
        <f ca="1">IFERROR(__xludf.DUMMYFUNCTION("""COMPUTED_VALUE"""),48.28)</f>
        <v>48.28</v>
      </c>
      <c r="F115">
        <f ca="1">IFERROR(__xludf.DUMMYFUNCTION("""COMPUTED_VALUE"""),29)</f>
        <v>29</v>
      </c>
      <c r="G115">
        <f ca="1">IFERROR(__xludf.DUMMYFUNCTION("""COMPUTED_VALUE"""),14)</f>
        <v>14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IFERROR(__xludf.DUMMYFUNCTION("""COMPUTED_VALUE"""),"T172")</f>
        <v>T172</v>
      </c>
      <c r="C116" t="str">
        <f ca="1">IFERROR(__xludf.DUMMYFUNCTION("""COMPUTED_VALUE"""),"Sam Ryder")</f>
        <v>Sam Ryder</v>
      </c>
      <c r="D116">
        <f ca="1">IFERROR(__xludf.DUMMYFUNCTION("""COMPUTED_VALUE"""),12)</f>
        <v>12</v>
      </c>
      <c r="E116">
        <f ca="1">IFERROR(__xludf.DUMMYFUNCTION("""COMPUTED_VALUE"""),48.15)</f>
        <v>48.15</v>
      </c>
      <c r="F116">
        <f ca="1">IFERROR(__xludf.DUMMYFUNCTION("""COMPUTED_VALUE"""),54)</f>
        <v>54</v>
      </c>
      <c r="G116">
        <f ca="1">IFERROR(__xludf.DUMMYFUNCTION("""COMPUTED_VALUE"""),26)</f>
        <v>26</v>
      </c>
    </row>
    <row r="117" spans="1:7" ht="12.75">
      <c r="A117">
        <f ca="1">IFERROR(__xludf.DUMMYFUNCTION("""COMPUTED_VALUE"""),116)</f>
        <v>116</v>
      </c>
      <c r="B117" t="str">
        <f ca="1">IFERROR(__xludf.DUMMYFUNCTION("""COMPUTED_VALUE"""),"T83")</f>
        <v>T83</v>
      </c>
      <c r="C117" t="str">
        <f ca="1">IFERROR(__xludf.DUMMYFUNCTION("""COMPUTED_VALUE"""),"Emiliano Grillo")</f>
        <v>Emiliano Grillo</v>
      </c>
      <c r="D117">
        <f ca="1">IFERROR(__xludf.DUMMYFUNCTION("""COMPUTED_VALUE"""),22)</f>
        <v>22</v>
      </c>
      <c r="E117">
        <f ca="1">IFERROR(__xludf.DUMMYFUNCTION("""COMPUTED_VALUE"""),47.96)</f>
        <v>47.96</v>
      </c>
      <c r="F117">
        <f ca="1">IFERROR(__xludf.DUMMYFUNCTION("""COMPUTED_VALUE"""),98)</f>
        <v>98</v>
      </c>
      <c r="G117">
        <f ca="1">IFERROR(__xludf.DUMMYFUNCTION("""COMPUTED_VALUE"""),47)</f>
        <v>47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IFERROR(__xludf.DUMMYFUNCTION("""COMPUTED_VALUE"""),76)</f>
        <v>76</v>
      </c>
      <c r="C118" t="str">
        <f ca="1">IFERROR(__xludf.DUMMYFUNCTION("""COMPUTED_VALUE"""),"Charl Schwartzel")</f>
        <v>Charl Schwartzel</v>
      </c>
      <c r="D118">
        <f ca="1">IFERROR(__xludf.DUMMYFUNCTION("""COMPUTED_VALUE"""),12)</f>
        <v>12</v>
      </c>
      <c r="E118">
        <f ca="1">IFERROR(__xludf.DUMMYFUNCTION("""COMPUTED_VALUE"""),47.83)</f>
        <v>47.83</v>
      </c>
      <c r="F118">
        <f ca="1">IFERROR(__xludf.DUMMYFUNCTION("""COMPUTED_VALUE"""),69)</f>
        <v>69</v>
      </c>
      <c r="G118">
        <f ca="1">IFERROR(__xludf.DUMMYFUNCTION("""COMPUTED_VALUE"""),33)</f>
        <v>33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IFERROR(__xludf.DUMMYFUNCTION("""COMPUTED_VALUE"""),116)</f>
        <v>116</v>
      </c>
      <c r="C119" t="str">
        <f ca="1">IFERROR(__xludf.DUMMYFUNCTION("""COMPUTED_VALUE"""),"Erik van Rooyen")</f>
        <v>Erik van Rooyen</v>
      </c>
      <c r="D119">
        <f ca="1">IFERROR(__xludf.DUMMYFUNCTION("""COMPUTED_VALUE"""),10)</f>
        <v>10</v>
      </c>
      <c r="E119">
        <f ca="1">IFERROR(__xludf.DUMMYFUNCTION("""COMPUTED_VALUE"""),47.76)</f>
        <v>47.76</v>
      </c>
      <c r="F119">
        <f ca="1">IFERROR(__xludf.DUMMYFUNCTION("""COMPUTED_VALUE"""),67)</f>
        <v>67</v>
      </c>
      <c r="G119">
        <f ca="1">IFERROR(__xludf.DUMMYFUNCTION("""COMPUTED_VALUE"""),32)</f>
        <v>32</v>
      </c>
    </row>
    <row r="120" spans="1:7" ht="12.75">
      <c r="A120">
        <f ca="1">IFERROR(__xludf.DUMMYFUNCTION("""COMPUTED_VALUE"""),119)</f>
        <v>119</v>
      </c>
      <c r="B120">
        <f ca="1">IFERROR(__xludf.DUMMYFUNCTION("""COMPUTED_VALUE"""),148)</f>
        <v>148</v>
      </c>
      <c r="C120" t="str">
        <f ca="1">IFERROR(__xludf.DUMMYFUNCTION("""COMPUTED_VALUE"""),"Sungjae Im")</f>
        <v>Sungjae Im</v>
      </c>
      <c r="D120">
        <f ca="1">IFERROR(__xludf.DUMMYFUNCTION("""COMPUTED_VALUE"""),24)</f>
        <v>24</v>
      </c>
      <c r="E120">
        <f ca="1">IFERROR(__xludf.DUMMYFUNCTION("""COMPUTED_VALUE"""),47.75)</f>
        <v>47.75</v>
      </c>
      <c r="F120">
        <f ca="1">IFERROR(__xludf.DUMMYFUNCTION("""COMPUTED_VALUE"""),178)</f>
        <v>178</v>
      </c>
      <c r="G120">
        <f ca="1">IFERROR(__xludf.DUMMYFUNCTION("""COMPUTED_VALUE"""),85)</f>
        <v>85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IFERROR(__xludf.DUMMYFUNCTION("""COMPUTED_VALUE"""),81)</f>
        <v>81</v>
      </c>
      <c r="C121" t="str">
        <f ca="1">IFERROR(__xludf.DUMMYFUNCTION("""COMPUTED_VALUE"""),"C.T. Pan")</f>
        <v>C.T. Pan</v>
      </c>
      <c r="D121">
        <f ca="1">IFERROR(__xludf.DUMMYFUNCTION("""COMPUTED_VALUE"""),20)</f>
        <v>20</v>
      </c>
      <c r="E121">
        <f ca="1">IFERROR(__xludf.DUMMYFUNCTION("""COMPUTED_VALUE"""),47.71)</f>
        <v>47.71</v>
      </c>
      <c r="F121">
        <f ca="1">IFERROR(__xludf.DUMMYFUNCTION("""COMPUTED_VALUE"""),109)</f>
        <v>109</v>
      </c>
      <c r="G121">
        <f ca="1">IFERROR(__xludf.DUMMYFUNCTION("""COMPUTED_VALUE"""),52)</f>
        <v>52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IFERROR(__xludf.DUMMYFUNCTION("""COMPUTED_VALUE"""),"T113")</f>
        <v>T113</v>
      </c>
      <c r="C122" t="str">
        <f ca="1">IFERROR(__xludf.DUMMYFUNCTION("""COMPUTED_VALUE"""),"Kyoung-Hoon Lee")</f>
        <v>Kyoung-Hoon Lee</v>
      </c>
      <c r="D122">
        <f ca="1">IFERROR(__xludf.DUMMYFUNCTION("""COMPUTED_VALUE"""),20)</f>
        <v>20</v>
      </c>
      <c r="E122">
        <f ca="1">IFERROR(__xludf.DUMMYFUNCTION("""COMPUTED_VALUE"""),47.66)</f>
        <v>47.66</v>
      </c>
      <c r="F122">
        <f ca="1">IFERROR(__xludf.DUMMYFUNCTION("""COMPUTED_VALUE"""),107)</f>
        <v>107</v>
      </c>
      <c r="G122">
        <f ca="1">IFERROR(__xludf.DUMMYFUNCTION("""COMPUTED_VALUE"""),51)</f>
        <v>51</v>
      </c>
    </row>
    <row r="123" spans="1:7" ht="12.75">
      <c r="A123" t="str">
        <f ca="1">IFERROR(__xludf.DUMMYFUNCTION("""COMPUTED_VALUE"""),"T122")</f>
        <v>T122</v>
      </c>
      <c r="B123">
        <f ca="1">IFERROR(__xludf.DUMMYFUNCTION("""COMPUTED_VALUE"""),68)</f>
        <v>68</v>
      </c>
      <c r="C123" t="str">
        <f ca="1">IFERROR(__xludf.DUMMYFUNCTION("""COMPUTED_VALUE"""),"Jason Dufner")</f>
        <v>Jason Dufner</v>
      </c>
      <c r="D123">
        <f ca="1">IFERROR(__xludf.DUMMYFUNCTION("""COMPUTED_VALUE"""),14)</f>
        <v>14</v>
      </c>
      <c r="E123">
        <f ca="1">IFERROR(__xludf.DUMMYFUNCTION("""COMPUTED_VALUE"""),47.62)</f>
        <v>47.62</v>
      </c>
      <c r="F123">
        <f ca="1">IFERROR(__xludf.DUMMYFUNCTION("""COMPUTED_VALUE"""),84)</f>
        <v>84</v>
      </c>
      <c r="G123">
        <f ca="1">IFERROR(__xludf.DUMMYFUNCTION("""COMPUTED_VALUE"""),40)</f>
        <v>40</v>
      </c>
    </row>
    <row r="124" spans="1:7" ht="12.75">
      <c r="A124" t="str">
        <f ca="1">IFERROR(__xludf.DUMMYFUNCTION("""COMPUTED_VALUE"""),"T122")</f>
        <v>T122</v>
      </c>
      <c r="B124">
        <f ca="1">IFERROR(__xludf.DUMMYFUNCTION("""COMPUTED_VALUE"""),133)</f>
        <v>133</v>
      </c>
      <c r="C124" t="str">
        <f ca="1">IFERROR(__xludf.DUMMYFUNCTION("""COMPUTED_VALUE"""),"Matt Wallace")</f>
        <v>Matt Wallace</v>
      </c>
      <c r="D124">
        <f ca="1">IFERROR(__xludf.DUMMYFUNCTION("""COMPUTED_VALUE"""),4)</f>
        <v>4</v>
      </c>
      <c r="E124">
        <f ca="1">IFERROR(__xludf.DUMMYFUNCTION("""COMPUTED_VALUE"""),47.62)</f>
        <v>47.62</v>
      </c>
      <c r="F124">
        <f ca="1">IFERROR(__xludf.DUMMYFUNCTION("""COMPUTED_VALUE"""),42)</f>
        <v>42</v>
      </c>
      <c r="G124">
        <f ca="1">IFERROR(__xludf.DUMMYFUNCTION("""COMPUTED_VALUE"""),20)</f>
        <v>20</v>
      </c>
    </row>
    <row r="125" spans="1:7" ht="12.75">
      <c r="A125">
        <f ca="1">IFERROR(__xludf.DUMMYFUNCTION("""COMPUTED_VALUE"""),124)</f>
        <v>124</v>
      </c>
      <c r="B125" t="str">
        <f ca="1">IFERROR(__xludf.DUMMYFUNCTION("""COMPUTED_VALUE"""),"T125")</f>
        <v>T125</v>
      </c>
      <c r="C125" t="str">
        <f ca="1">IFERROR(__xludf.DUMMYFUNCTION("""COMPUTED_VALUE"""),"Isaiah Salinda")</f>
        <v>Isaiah Salinda</v>
      </c>
      <c r="D125">
        <f ca="1">IFERROR(__xludf.DUMMYFUNCTION("""COMPUTED_VALUE"""),8)</f>
        <v>8</v>
      </c>
      <c r="E125">
        <f ca="1">IFERROR(__xludf.DUMMYFUNCTION("""COMPUTED_VALUE"""),47.46)</f>
        <v>47.46</v>
      </c>
      <c r="F125">
        <f ca="1">IFERROR(__xludf.DUMMYFUNCTION("""COMPUTED_VALUE"""),59)</f>
        <v>59</v>
      </c>
      <c r="G125">
        <f ca="1">IFERROR(__xludf.DUMMYFUNCTION("""COMPUTED_VALUE"""),28)</f>
        <v>28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IFERROR(__xludf.DUMMYFUNCTION("""COMPUTED_VALUE"""),134)</f>
        <v>134</v>
      </c>
      <c r="C126" t="str">
        <f ca="1">IFERROR(__xludf.DUMMYFUNCTION("""COMPUTED_VALUE"""),"Matthew Fitzpatrick")</f>
        <v>Matthew Fitzpatrick</v>
      </c>
      <c r="D126">
        <f ca="1">IFERROR(__xludf.DUMMYFUNCTION("""COMPUTED_VALUE"""),10)</f>
        <v>10</v>
      </c>
      <c r="E126">
        <f ca="1">IFERROR(__xludf.DUMMYFUNCTION("""COMPUTED_VALUE"""),47.44)</f>
        <v>47.44</v>
      </c>
      <c r="F126">
        <f ca="1">IFERROR(__xludf.DUMMYFUNCTION("""COMPUTED_VALUE"""),78)</f>
        <v>78</v>
      </c>
      <c r="G126">
        <f ca="1">IFERROR(__xludf.DUMMYFUNCTION("""COMPUTED_VALUE"""),37)</f>
        <v>37</v>
      </c>
    </row>
    <row r="127" spans="1:7" ht="12.75">
      <c r="A127" t="str">
        <f ca="1">IFERROR(__xludf.DUMMYFUNCTION("""COMPUTED_VALUE"""),"T126")</f>
        <v>T126</v>
      </c>
      <c r="B127" t="str">
        <f ca="1">IFERROR(__xludf.DUMMYFUNCTION("""COMPUTED_VALUE"""),"T136")</f>
        <v>T136</v>
      </c>
      <c r="C127" t="str">
        <f ca="1">IFERROR(__xludf.DUMMYFUNCTION("""COMPUTED_VALUE"""),"Kelly Kraft")</f>
        <v>Kelly Kraft</v>
      </c>
      <c r="D127">
        <f ca="1">IFERROR(__xludf.DUMMYFUNCTION("""COMPUTED_VALUE"""),14)</f>
        <v>14</v>
      </c>
      <c r="E127">
        <f ca="1">IFERROR(__xludf.DUMMYFUNCTION("""COMPUTED_VALUE"""),47.27)</f>
        <v>47.27</v>
      </c>
      <c r="F127">
        <f ca="1">IFERROR(__xludf.DUMMYFUNCTION("""COMPUTED_VALUE"""),55)</f>
        <v>55</v>
      </c>
      <c r="G127">
        <f ca="1">IFERROR(__xludf.DUMMYFUNCTION("""COMPUTED_VALUE"""),26)</f>
        <v>26</v>
      </c>
    </row>
    <row r="128" spans="1:7" ht="12.75">
      <c r="A128" t="str">
        <f ca="1">IFERROR(__xludf.DUMMYFUNCTION("""COMPUTED_VALUE"""),"T126")</f>
        <v>T126</v>
      </c>
      <c r="B128">
        <f ca="1">IFERROR(__xludf.DUMMYFUNCTION("""COMPUTED_VALUE"""),154)</f>
        <v>154</v>
      </c>
      <c r="C128" t="str">
        <f ca="1">IFERROR(__xludf.DUMMYFUNCTION("""COMPUTED_VALUE"""),"Martin Trainer")</f>
        <v>Martin Trainer</v>
      </c>
      <c r="D128">
        <f ca="1">IFERROR(__xludf.DUMMYFUNCTION("""COMPUTED_VALUE"""),10)</f>
        <v>10</v>
      </c>
      <c r="E128">
        <f ca="1">IFERROR(__xludf.DUMMYFUNCTION("""COMPUTED_VALUE"""),47.27)</f>
        <v>47.27</v>
      </c>
      <c r="F128">
        <f ca="1">IFERROR(__xludf.DUMMYFUNCTION("""COMPUTED_VALUE"""),55)</f>
        <v>55</v>
      </c>
      <c r="G128">
        <f ca="1">IFERROR(__xludf.DUMMYFUNCTION("""COMPUTED_VALUE"""),26)</f>
        <v>26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IFERROR(__xludf.DUMMYFUNCTION("""COMPUTED_VALUE"""),"T140")</f>
        <v>T140</v>
      </c>
      <c r="C129" t="str">
        <f ca="1">IFERROR(__xludf.DUMMYFUNCTION("""COMPUTED_VALUE"""),"Taylor Pendrith")</f>
        <v>Taylor Pendrith</v>
      </c>
      <c r="D129">
        <f ca="1">IFERROR(__xludf.DUMMYFUNCTION("""COMPUTED_VALUE"""),4)</f>
        <v>4</v>
      </c>
      <c r="E129">
        <f ca="1">IFERROR(__xludf.DUMMYFUNCTION("""COMPUTED_VALUE"""),47.22)</f>
        <v>47.22</v>
      </c>
      <c r="F129">
        <f ca="1">IFERROR(__xludf.DUMMYFUNCTION("""COMPUTED_VALUE"""),36)</f>
        <v>36</v>
      </c>
      <c r="G129">
        <f ca="1">IFERROR(__xludf.DUMMYFUNCTION("""COMPUTED_VALUE"""),17)</f>
        <v>17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IFERROR(__xludf.DUMMYFUNCTION("""COMPUTED_VALUE"""),"T140")</f>
        <v>T140</v>
      </c>
      <c r="C130" t="str">
        <f ca="1">IFERROR(__xludf.DUMMYFUNCTION("""COMPUTED_VALUE"""),"Christiaan Bezuidenhout")</f>
        <v>Christiaan Bezuidenhout</v>
      </c>
      <c r="D130">
        <f ca="1">IFERROR(__xludf.DUMMYFUNCTION("""COMPUTED_VALUE"""),4)</f>
        <v>4</v>
      </c>
      <c r="E130">
        <f ca="1">IFERROR(__xludf.DUMMYFUNCTION("""COMPUTED_VALUE"""),47.22)</f>
        <v>47.22</v>
      </c>
      <c r="F130">
        <f ca="1">IFERROR(__xludf.DUMMYFUNCTION("""COMPUTED_VALUE"""),36)</f>
        <v>36</v>
      </c>
      <c r="G130">
        <f ca="1">IFERROR(__xludf.DUMMYFUNCTION("""COMPUTED_VALUE"""),17)</f>
        <v>17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IFERROR(__xludf.DUMMYFUNCTION("""COMPUTED_VALUE"""),142)</f>
        <v>142</v>
      </c>
      <c r="C131" t="str">
        <f ca="1">IFERROR(__xludf.DUMMYFUNCTION("""COMPUTED_VALUE"""),"Adam Hadwin")</f>
        <v>Adam Hadwin</v>
      </c>
      <c r="D131">
        <f ca="1">IFERROR(__xludf.DUMMYFUNCTION("""COMPUTED_VALUE"""),16)</f>
        <v>16</v>
      </c>
      <c r="E131">
        <f ca="1">IFERROR(__xludf.DUMMYFUNCTION("""COMPUTED_VALUE"""),47.2)</f>
        <v>47.2</v>
      </c>
      <c r="F131">
        <f ca="1">IFERROR(__xludf.DUMMYFUNCTION("""COMPUTED_VALUE"""),125)</f>
        <v>125</v>
      </c>
      <c r="G131">
        <f ca="1">IFERROR(__xludf.DUMMYFUNCTION("""COMPUTED_VALUE"""),59)</f>
        <v>59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IFERROR(__xludf.DUMMYFUNCTION("""COMPUTED_VALUE"""),143)</f>
        <v>143</v>
      </c>
      <c r="C132" t="str">
        <f ca="1">IFERROR(__xludf.DUMMYFUNCTION("""COMPUTED_VALUE"""),"Patrick Cantlay")</f>
        <v>Patrick Cantlay</v>
      </c>
      <c r="D132">
        <f ca="1">IFERROR(__xludf.DUMMYFUNCTION("""COMPUTED_VALUE"""),16)</f>
        <v>16</v>
      </c>
      <c r="E132">
        <f ca="1">IFERROR(__xludf.DUMMYFUNCTION("""COMPUTED_VALUE"""),47.12)</f>
        <v>47.12</v>
      </c>
      <c r="F132">
        <f ca="1">IFERROR(__xludf.DUMMYFUNCTION("""COMPUTED_VALUE"""),104)</f>
        <v>104</v>
      </c>
      <c r="G132">
        <f ca="1">IFERROR(__xludf.DUMMYFUNCTION("""COMPUTED_VALUE"""),49)</f>
        <v>49</v>
      </c>
    </row>
    <row r="133" spans="1:7" ht="12.75">
      <c r="A133" t="str">
        <f ca="1">IFERROR(__xludf.DUMMYFUNCTION("""COMPUTED_VALUE"""),"T132")</f>
        <v>T132</v>
      </c>
      <c r="B133">
        <f ca="1">IFERROR(__xludf.DUMMYFUNCTION("""COMPUTED_VALUE"""),144)</f>
        <v>144</v>
      </c>
      <c r="C133" t="str">
        <f ca="1">IFERROR(__xludf.DUMMYFUNCTION("""COMPUTED_VALUE"""),"Doug Ghim")</f>
        <v>Doug Ghim</v>
      </c>
      <c r="D133">
        <f ca="1">IFERROR(__xludf.DUMMYFUNCTION("""COMPUTED_VALUE"""),14)</f>
        <v>14</v>
      </c>
      <c r="E133">
        <f ca="1">IFERROR(__xludf.DUMMYFUNCTION("""COMPUTED_VALUE"""),47.06)</f>
        <v>47.06</v>
      </c>
      <c r="F133">
        <f ca="1">IFERROR(__xludf.DUMMYFUNCTION("""COMPUTED_VALUE"""),51)</f>
        <v>51</v>
      </c>
      <c r="G133">
        <f ca="1">IFERROR(__xludf.DUMMYFUNCTION("""COMPUTED_VALUE"""),24)</f>
        <v>24</v>
      </c>
    </row>
    <row r="134" spans="1:7" ht="12.75">
      <c r="A134" t="str">
        <f ca="1">IFERROR(__xludf.DUMMYFUNCTION("""COMPUTED_VALUE"""),"T132")</f>
        <v>T132</v>
      </c>
      <c r="B134">
        <f ca="1">IFERROR(__xludf.DUMMYFUNCTION("""COMPUTED_VALUE"""),78)</f>
        <v>78</v>
      </c>
      <c r="C134" t="str">
        <f ca="1">IFERROR(__xludf.DUMMYFUNCTION("""COMPUTED_VALUE"""),"Brian Stuard")</f>
        <v>Brian Stuard</v>
      </c>
      <c r="D134">
        <f ca="1">IFERROR(__xludf.DUMMYFUNCTION("""COMPUTED_VALUE"""),18)</f>
        <v>18</v>
      </c>
      <c r="E134">
        <f ca="1">IFERROR(__xludf.DUMMYFUNCTION("""COMPUTED_VALUE"""),47.06)</f>
        <v>47.06</v>
      </c>
      <c r="F134">
        <f ca="1">IFERROR(__xludf.DUMMYFUNCTION("""COMPUTED_VALUE"""),85)</f>
        <v>85</v>
      </c>
      <c r="G134">
        <f ca="1">IFERROR(__xludf.DUMMYFUNCTION("""COMPUTED_VALUE"""),40)</f>
        <v>40</v>
      </c>
    </row>
    <row r="135" spans="1:7" ht="12.75">
      <c r="A135">
        <f ca="1">IFERROR(__xludf.DUMMYFUNCTION("""COMPUTED_VALUE"""),134)</f>
        <v>134</v>
      </c>
      <c r="B135" t="str">
        <f ca="1">IFERROR(__xludf.DUMMYFUNCTION("""COMPUTED_VALUE"""),"T88")</f>
        <v>T88</v>
      </c>
      <c r="C135" t="str">
        <f ca="1">IFERROR(__xludf.DUMMYFUNCTION("""COMPUTED_VALUE"""),"Sam Burns")</f>
        <v>Sam Burns</v>
      </c>
      <c r="D135">
        <f ca="1">IFERROR(__xludf.DUMMYFUNCTION("""COMPUTED_VALUE"""),18)</f>
        <v>18</v>
      </c>
      <c r="E135">
        <f ca="1">IFERROR(__xludf.DUMMYFUNCTION("""COMPUTED_VALUE"""),46.96)</f>
        <v>46.96</v>
      </c>
      <c r="F135">
        <f ca="1">IFERROR(__xludf.DUMMYFUNCTION("""COMPUTED_VALUE"""),115)</f>
        <v>115</v>
      </c>
      <c r="G135">
        <f ca="1">IFERROR(__xludf.DUMMYFUNCTION("""COMPUTED_VALUE"""),54)</f>
        <v>54</v>
      </c>
    </row>
    <row r="136" spans="1:7" ht="12.75">
      <c r="A136" t="str">
        <f ca="1">IFERROR(__xludf.DUMMYFUNCTION("""COMPUTED_VALUE"""),"T135")</f>
        <v>T135</v>
      </c>
      <c r="B136">
        <f ca="1">IFERROR(__xludf.DUMMYFUNCTION("""COMPUTED_VALUE"""),120)</f>
        <v>120</v>
      </c>
      <c r="C136" t="str">
        <f ca="1">IFERROR(__xludf.DUMMYFUNCTION("""COMPUTED_VALUE"""),"Tyler Duncan")</f>
        <v>Tyler Duncan</v>
      </c>
      <c r="D136">
        <f ca="1">IFERROR(__xludf.DUMMYFUNCTION("""COMPUTED_VALUE"""),18)</f>
        <v>18</v>
      </c>
      <c r="E136">
        <f ca="1">IFERROR(__xludf.DUMMYFUNCTION("""COMPUTED_VALUE"""),46.92)</f>
        <v>46.92</v>
      </c>
      <c r="F136">
        <f ca="1">IFERROR(__xludf.DUMMYFUNCTION("""COMPUTED_VALUE"""),130)</f>
        <v>130</v>
      </c>
      <c r="G136">
        <f ca="1">IFERROR(__xludf.DUMMYFUNCTION("""COMPUTED_VALUE"""),61)</f>
        <v>61</v>
      </c>
    </row>
    <row r="137" spans="1:7" ht="12.75">
      <c r="A137" t="str">
        <f ca="1">IFERROR(__xludf.DUMMYFUNCTION("""COMPUTED_VALUE"""),"T135")</f>
        <v>T135</v>
      </c>
      <c r="B137">
        <f ca="1">IFERROR(__xludf.DUMMYFUNCTION("""COMPUTED_VALUE"""),145)</f>
        <v>145</v>
      </c>
      <c r="C137" t="str">
        <f ca="1">IFERROR(__xludf.DUMMYFUNCTION("""COMPUTED_VALUE"""),"Joel Dahmen")</f>
        <v>Joel Dahmen</v>
      </c>
      <c r="D137">
        <f ca="1">IFERROR(__xludf.DUMMYFUNCTION("""COMPUTED_VALUE"""),18)</f>
        <v>18</v>
      </c>
      <c r="E137">
        <f ca="1">IFERROR(__xludf.DUMMYFUNCTION("""COMPUTED_VALUE"""),46.92)</f>
        <v>46.92</v>
      </c>
      <c r="F137">
        <f ca="1">IFERROR(__xludf.DUMMYFUNCTION("""COMPUTED_VALUE"""),130)</f>
        <v>130</v>
      </c>
      <c r="G137">
        <f ca="1">IFERROR(__xludf.DUMMYFUNCTION("""COMPUTED_VALUE"""),61)</f>
        <v>61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IFERROR(__xludf.DUMMYFUNCTION("""COMPUTED_VALUE"""),135)</f>
        <v>135</v>
      </c>
      <c r="C138" t="str">
        <f ca="1">IFERROR(__xludf.DUMMYFUNCTION("""COMPUTED_VALUE"""),"Tom Hoge")</f>
        <v>Tom Hoge</v>
      </c>
      <c r="D138">
        <f ca="1">IFERROR(__xludf.DUMMYFUNCTION("""COMPUTED_VALUE"""),22)</f>
        <v>22</v>
      </c>
      <c r="E138">
        <f ca="1">IFERROR(__xludf.DUMMYFUNCTION("""COMPUTED_VALUE"""),46.89)</f>
        <v>46.89</v>
      </c>
      <c r="F138">
        <f ca="1">IFERROR(__xludf.DUMMYFUNCTION("""COMPUTED_VALUE"""),177)</f>
        <v>177</v>
      </c>
      <c r="G138">
        <f ca="1">IFERROR(__xludf.DUMMYFUNCTION("""COMPUTED_VALUE"""),83)</f>
        <v>83</v>
      </c>
    </row>
    <row r="139" spans="1:7" ht="12.75">
      <c r="A139" t="str">
        <f ca="1">IFERROR(__xludf.DUMMYFUNCTION("""COMPUTED_VALUE"""),"T138")</f>
        <v>T138</v>
      </c>
      <c r="B139" t="str">
        <f ca="1">IFERROR(__xludf.DUMMYFUNCTION("""COMPUTED_VALUE"""),"T149")</f>
        <v>T149</v>
      </c>
      <c r="C139" t="str">
        <f ca="1">IFERROR(__xludf.DUMMYFUNCTION("""COMPUTED_VALUE"""),"Wesley Bryan")</f>
        <v>Wesley Bryan</v>
      </c>
      <c r="D139">
        <f ca="1">IFERROR(__xludf.DUMMYFUNCTION("""COMPUTED_VALUE"""),8)</f>
        <v>8</v>
      </c>
      <c r="E139">
        <f ca="1">IFERROR(__xludf.DUMMYFUNCTION("""COMPUTED_VALUE"""),46.67)</f>
        <v>46.67</v>
      </c>
      <c r="F139">
        <f ca="1">IFERROR(__xludf.DUMMYFUNCTION("""COMPUTED_VALUE"""),45)</f>
        <v>45</v>
      </c>
      <c r="G139">
        <f ca="1">IFERROR(__xludf.DUMMYFUNCTION("""COMPUTED_VALUE"""),21)</f>
        <v>21</v>
      </c>
    </row>
    <row r="140" spans="1:7" ht="12.75">
      <c r="A140" t="str">
        <f ca="1">IFERROR(__xludf.DUMMYFUNCTION("""COMPUTED_VALUE"""),"T138")</f>
        <v>T138</v>
      </c>
      <c r="B140" t="str">
        <f ca="1">IFERROR(__xludf.DUMMYFUNCTION("""COMPUTED_VALUE"""),"T149")</f>
        <v>T149</v>
      </c>
      <c r="C140" t="str">
        <f ca="1">IFERROR(__xludf.DUMMYFUNCTION("""COMPUTED_VALUE"""),"Rasmus Hojgaard")</f>
        <v>Rasmus Hojgaard</v>
      </c>
      <c r="D140">
        <f ca="1">IFERROR(__xludf.DUMMYFUNCTION("""COMPUTED_VALUE"""),6)</f>
        <v>6</v>
      </c>
      <c r="E140">
        <f ca="1">IFERROR(__xludf.DUMMYFUNCTION("""COMPUTED_VALUE"""),46.67)</f>
        <v>46.67</v>
      </c>
      <c r="F140">
        <f ca="1">IFERROR(__xludf.DUMMYFUNCTION("""COMPUTED_VALUE"""),15)</f>
        <v>15</v>
      </c>
      <c r="G140">
        <f ca="1">IFERROR(__xludf.DUMMYFUNCTION("""COMPUTED_VALUE"""),7)</f>
        <v>7</v>
      </c>
    </row>
    <row r="141" spans="1:7" ht="12.75">
      <c r="A141" t="str">
        <f ca="1">IFERROR(__xludf.DUMMYFUNCTION("""COMPUTED_VALUE"""),"T138")</f>
        <v>T138</v>
      </c>
      <c r="B141" t="str">
        <f ca="1">IFERROR(__xludf.DUMMYFUNCTION("""COMPUTED_VALUE"""),"T149")</f>
        <v>T149</v>
      </c>
      <c r="C141" t="str">
        <f ca="1">IFERROR(__xludf.DUMMYFUNCTION("""COMPUTED_VALUE"""),"Kiradech Aphibarnrat")</f>
        <v>Kiradech Aphibarnrat</v>
      </c>
      <c r="D141">
        <f ca="1">IFERROR(__xludf.DUMMYFUNCTION("""COMPUTED_VALUE"""),12)</f>
        <v>12</v>
      </c>
      <c r="E141">
        <f ca="1">IFERROR(__xludf.DUMMYFUNCTION("""COMPUTED_VALUE"""),46.67)</f>
        <v>46.67</v>
      </c>
      <c r="F141">
        <f ca="1">IFERROR(__xludf.DUMMYFUNCTION("""COMPUTED_VALUE"""),30)</f>
        <v>30</v>
      </c>
      <c r="G141">
        <f ca="1">IFERROR(__xludf.DUMMYFUNCTION("""COMPUTED_VALUE"""),14)</f>
        <v>14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IFERROR(__xludf.DUMMYFUNCTION("""COMPUTED_VALUE"""),80)</f>
        <v>80</v>
      </c>
      <c r="C142" t="str">
        <f ca="1">IFERROR(__xludf.DUMMYFUNCTION("""COMPUTED_VALUE"""),"Lucas Glover")</f>
        <v>Lucas Glover</v>
      </c>
      <c r="D142">
        <f ca="1">IFERROR(__xludf.DUMMYFUNCTION("""COMPUTED_VALUE"""),12)</f>
        <v>12</v>
      </c>
      <c r="E142">
        <f ca="1">IFERROR(__xludf.DUMMYFUNCTION("""COMPUTED_VALUE"""),46.51)</f>
        <v>46.51</v>
      </c>
      <c r="F142">
        <f ca="1">IFERROR(__xludf.DUMMYFUNCTION("""COMPUTED_VALUE"""),86)</f>
        <v>86</v>
      </c>
      <c r="G142">
        <f ca="1">IFERROR(__xludf.DUMMYFUNCTION("""COMPUTED_VALUE"""),40)</f>
        <v>40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IFERROR(__xludf.DUMMYFUNCTION("""COMPUTED_VALUE"""),163)</f>
        <v>163</v>
      </c>
      <c r="C143" t="str">
        <f ca="1">IFERROR(__xludf.DUMMYFUNCTION("""COMPUTED_VALUE"""),"Michael Thompson")</f>
        <v>Michael Thompson</v>
      </c>
      <c r="D143">
        <f ca="1">IFERROR(__xludf.DUMMYFUNCTION("""COMPUTED_VALUE"""),16)</f>
        <v>16</v>
      </c>
      <c r="E143">
        <f ca="1">IFERROR(__xludf.DUMMYFUNCTION("""COMPUTED_VALUE"""),46.49)</f>
        <v>46.49</v>
      </c>
      <c r="F143">
        <f ca="1">IFERROR(__xludf.DUMMYFUNCTION("""COMPUTED_VALUE"""),114)</f>
        <v>114</v>
      </c>
      <c r="G143">
        <f ca="1">IFERROR(__xludf.DUMMYFUNCTION("""COMPUTED_VALUE"""),53)</f>
        <v>53</v>
      </c>
    </row>
    <row r="144" spans="1:7" ht="12.75">
      <c r="A144">
        <f ca="1">IFERROR(__xludf.DUMMYFUNCTION("""COMPUTED_VALUE"""),143)</f>
        <v>143</v>
      </c>
      <c r="B144">
        <f ca="1">IFERROR(__xludf.DUMMYFUNCTION("""COMPUTED_VALUE"""),124)</f>
        <v>124</v>
      </c>
      <c r="C144" t="str">
        <f ca="1">IFERROR(__xludf.DUMMYFUNCTION("""COMPUTED_VALUE"""),"Andrew Landry")</f>
        <v>Andrew Landry</v>
      </c>
      <c r="D144">
        <f ca="1">IFERROR(__xludf.DUMMYFUNCTION("""COMPUTED_VALUE"""),14)</f>
        <v>14</v>
      </c>
      <c r="E144">
        <f ca="1">IFERROR(__xludf.DUMMYFUNCTION("""COMPUTED_VALUE"""),46.46)</f>
        <v>46.46</v>
      </c>
      <c r="F144">
        <f ca="1">IFERROR(__xludf.DUMMYFUNCTION("""COMPUTED_VALUE"""),99)</f>
        <v>99</v>
      </c>
      <c r="G144">
        <f ca="1">IFERROR(__xludf.DUMMYFUNCTION("""COMPUTED_VALUE"""),46)</f>
        <v>46</v>
      </c>
    </row>
    <row r="145" spans="1:7" ht="12.75">
      <c r="A145" t="str">
        <f ca="1">IFERROR(__xludf.DUMMYFUNCTION("""COMPUTED_VALUE"""),"T144")</f>
        <v>T144</v>
      </c>
      <c r="B145">
        <f ca="1">IFERROR(__xludf.DUMMYFUNCTION("""COMPUTED_VALUE"""),153)</f>
        <v>153</v>
      </c>
      <c r="C145" t="str">
        <f ca="1">IFERROR(__xludf.DUMMYFUNCTION("""COMPUTED_VALUE"""),"Ricky Barnes")</f>
        <v>Ricky Barnes</v>
      </c>
      <c r="D145">
        <f ca="1">IFERROR(__xludf.DUMMYFUNCTION("""COMPUTED_VALUE"""),12)</f>
        <v>12</v>
      </c>
      <c r="E145">
        <f ca="1">IFERROR(__xludf.DUMMYFUNCTION("""COMPUTED_VALUE"""),46.43)</f>
        <v>46.43</v>
      </c>
      <c r="F145">
        <f ca="1">IFERROR(__xludf.DUMMYFUNCTION("""COMPUTED_VALUE"""),28)</f>
        <v>28</v>
      </c>
      <c r="G145">
        <f ca="1">IFERROR(__xludf.DUMMYFUNCTION("""COMPUTED_VALUE"""),13)</f>
        <v>13</v>
      </c>
    </row>
    <row r="146" spans="1:7" ht="12.75">
      <c r="A146" t="str">
        <f ca="1">IFERROR(__xludf.DUMMYFUNCTION("""COMPUTED_VALUE"""),"T144")</f>
        <v>T144</v>
      </c>
      <c r="B146">
        <f ca="1">IFERROR(__xludf.DUMMYFUNCTION("""COMPUTED_VALUE"""),139)</f>
        <v>139</v>
      </c>
      <c r="C146" t="str">
        <f ca="1">IFERROR(__xludf.DUMMYFUNCTION("""COMPUTED_VALUE"""),"Harold Varner III")</f>
        <v>Harold Varner III</v>
      </c>
      <c r="D146">
        <f ca="1">IFERROR(__xludf.DUMMYFUNCTION("""COMPUTED_VALUE"""),14)</f>
        <v>14</v>
      </c>
      <c r="E146">
        <f ca="1">IFERROR(__xludf.DUMMYFUNCTION("""COMPUTED_VALUE"""),46.43)</f>
        <v>46.43</v>
      </c>
      <c r="F146">
        <f ca="1">IFERROR(__xludf.DUMMYFUNCTION("""COMPUTED_VALUE"""),84)</f>
        <v>84</v>
      </c>
      <c r="G146">
        <f ca="1">IFERROR(__xludf.DUMMYFUNCTION("""COMPUTED_VALUE"""),39)</f>
        <v>39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IFERROR(__xludf.DUMMYFUNCTION("""COMPUTED_VALUE"""),117)</f>
        <v>117</v>
      </c>
      <c r="C147" t="str">
        <f ca="1">IFERROR(__xludf.DUMMYFUNCTION("""COMPUTED_VALUE"""),"Russell Henley")</f>
        <v>Russell Henley</v>
      </c>
      <c r="D147">
        <f ca="1">IFERROR(__xludf.DUMMYFUNCTION("""COMPUTED_VALUE"""),16)</f>
        <v>16</v>
      </c>
      <c r="E147">
        <f ca="1">IFERROR(__xludf.DUMMYFUNCTION("""COMPUTED_VALUE"""),46.36)</f>
        <v>46.36</v>
      </c>
      <c r="F147">
        <f ca="1">IFERROR(__xludf.DUMMYFUNCTION("""COMPUTED_VALUE"""),110)</f>
        <v>110</v>
      </c>
      <c r="G147">
        <f ca="1">IFERROR(__xludf.DUMMYFUNCTION("""COMPUTED_VALUE"""),51)</f>
        <v>51</v>
      </c>
    </row>
    <row r="148" spans="1:7" ht="12.75">
      <c r="A148">
        <f ca="1">IFERROR(__xludf.DUMMYFUNCTION("""COMPUTED_VALUE"""),147)</f>
        <v>147</v>
      </c>
      <c r="B148">
        <f ca="1">IFERROR(__xludf.DUMMYFUNCTION("""COMPUTED_VALUE"""),155)</f>
        <v>155</v>
      </c>
      <c r="C148" t="str">
        <f ca="1">IFERROR(__xludf.DUMMYFUNCTION("""COMPUTED_VALUE"""),"Daniel Berger")</f>
        <v>Daniel Berger</v>
      </c>
      <c r="D148">
        <f ca="1">IFERROR(__xludf.DUMMYFUNCTION("""COMPUTED_VALUE"""),12)</f>
        <v>12</v>
      </c>
      <c r="E148">
        <f ca="1">IFERROR(__xludf.DUMMYFUNCTION("""COMPUTED_VALUE"""),46.24)</f>
        <v>46.24</v>
      </c>
      <c r="F148">
        <f ca="1">IFERROR(__xludf.DUMMYFUNCTION("""COMPUTED_VALUE"""),93)</f>
        <v>93</v>
      </c>
      <c r="G148">
        <f ca="1">IFERROR(__xludf.DUMMYFUNCTION("""COMPUTED_VALUE"""),43)</f>
        <v>43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IFERROR(__xludf.DUMMYFUNCTION("""COMPUTED_VALUE"""),"T156")</f>
        <v>T156</v>
      </c>
      <c r="C149" t="str">
        <f ca="1">IFERROR(__xludf.DUMMYFUNCTION("""COMPUTED_VALUE"""),"Roger Sloan")</f>
        <v>Roger Sloan</v>
      </c>
      <c r="D149">
        <f ca="1">IFERROR(__xludf.DUMMYFUNCTION("""COMPUTED_VALUE"""),12)</f>
        <v>12</v>
      </c>
      <c r="E149">
        <f ca="1">IFERROR(__xludf.DUMMYFUNCTION("""COMPUTED_VALUE"""),46.15)</f>
        <v>46.15</v>
      </c>
      <c r="F149">
        <f ca="1">IFERROR(__xludf.DUMMYFUNCTION("""COMPUTED_VALUE"""),39)</f>
        <v>39</v>
      </c>
      <c r="G149">
        <f ca="1">IFERROR(__xludf.DUMMYFUNCTION("""COMPUTED_VALUE"""),18)</f>
        <v>18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IFERROR(__xludf.DUMMYFUNCTION("""COMPUTED_VALUE"""),"T156")</f>
        <v>T156</v>
      </c>
      <c r="C150" t="str">
        <f ca="1">IFERROR(__xludf.DUMMYFUNCTION("""COMPUTED_VALUE"""),"John Pak")</f>
        <v>John Pak</v>
      </c>
      <c r="D150">
        <f ca="1">IFERROR(__xludf.DUMMYFUNCTION("""COMPUTED_VALUE"""),4)</f>
        <v>4</v>
      </c>
      <c r="E150">
        <f ca="1">IFERROR(__xludf.DUMMYFUNCTION("""COMPUTED_VALUE"""),46.15)</f>
        <v>46.15</v>
      </c>
      <c r="F150">
        <f ca="1">IFERROR(__xludf.DUMMYFUNCTION("""COMPUTED_VALUE"""),26)</f>
        <v>26</v>
      </c>
      <c r="G150">
        <f ca="1">IFERROR(__xludf.DUMMYFUNCTION("""COMPUTED_VALUE"""),12)</f>
        <v>12</v>
      </c>
    </row>
    <row r="151" spans="1:7" ht="12.75">
      <c r="A151" t="str">
        <f ca="1">IFERROR(__xludf.DUMMYFUNCTION("""COMPUTED_VALUE"""),"T148")</f>
        <v>T148</v>
      </c>
      <c r="B151" t="str">
        <f ca="1">IFERROR(__xludf.DUMMYFUNCTION("""COMPUTED_VALUE"""),"T156")</f>
        <v>T156</v>
      </c>
      <c r="C151" t="str">
        <f ca="1">IFERROR(__xludf.DUMMYFUNCTION("""COMPUTED_VALUE"""),"Nick Watney")</f>
        <v>Nick Watney</v>
      </c>
      <c r="D151">
        <f ca="1">IFERROR(__xludf.DUMMYFUNCTION("""COMPUTED_VALUE"""),10)</f>
        <v>10</v>
      </c>
      <c r="E151">
        <f ca="1">IFERROR(__xludf.DUMMYFUNCTION("""COMPUTED_VALUE"""),46.15)</f>
        <v>46.15</v>
      </c>
      <c r="F151">
        <f ca="1">IFERROR(__xludf.DUMMYFUNCTION("""COMPUTED_VALUE"""),52)</f>
        <v>52</v>
      </c>
      <c r="G151">
        <f ca="1">IFERROR(__xludf.DUMMYFUNCTION("""COMPUTED_VALUE"""),24)</f>
        <v>24</v>
      </c>
    </row>
    <row r="152" spans="1:7" ht="12.75">
      <c r="A152" t="str">
        <f ca="1">IFERROR(__xludf.DUMMYFUNCTION("""COMPUTED_VALUE"""),"T148")</f>
        <v>T148</v>
      </c>
      <c r="B152" t="str">
        <f ca="1">IFERROR(__xludf.DUMMYFUNCTION("""COMPUTED_VALUE"""),"T156")</f>
        <v>T156</v>
      </c>
      <c r="C152" t="str">
        <f ca="1">IFERROR(__xludf.DUMMYFUNCTION("""COMPUTED_VALUE"""),"Ryan Brehm")</f>
        <v>Ryan Brehm</v>
      </c>
      <c r="D152">
        <f ca="1">IFERROR(__xludf.DUMMYFUNCTION("""COMPUTED_VALUE"""),10)</f>
        <v>10</v>
      </c>
      <c r="E152">
        <f ca="1">IFERROR(__xludf.DUMMYFUNCTION("""COMPUTED_VALUE"""),46.15)</f>
        <v>46.15</v>
      </c>
      <c r="F152">
        <f ca="1">IFERROR(__xludf.DUMMYFUNCTION("""COMPUTED_VALUE"""),13)</f>
        <v>13</v>
      </c>
      <c r="G152">
        <f ca="1">IFERROR(__xludf.DUMMYFUNCTION("""COMPUTED_VALUE"""),6)</f>
        <v>6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IFERROR(__xludf.DUMMYFUNCTION("""COMPUTED_VALUE"""),160)</f>
        <v>160</v>
      </c>
      <c r="C153" t="str">
        <f ca="1">IFERROR(__xludf.DUMMYFUNCTION("""COMPUTED_VALUE"""),"Billy Horschel")</f>
        <v>Billy Horschel</v>
      </c>
      <c r="D153">
        <f ca="1">IFERROR(__xludf.DUMMYFUNCTION("""COMPUTED_VALUE"""),12)</f>
        <v>12</v>
      </c>
      <c r="E153">
        <f ca="1">IFERROR(__xludf.DUMMYFUNCTION("""COMPUTED_VALUE"""),46.05)</f>
        <v>46.05</v>
      </c>
      <c r="F153">
        <f ca="1">IFERROR(__xludf.DUMMYFUNCTION("""COMPUTED_VALUE"""),76)</f>
        <v>76</v>
      </c>
      <c r="G153">
        <f ca="1">IFERROR(__xludf.DUMMYFUNCTION("""COMPUTED_VALUE"""),35)</f>
        <v>35</v>
      </c>
    </row>
    <row r="154" spans="1:7" ht="12.75">
      <c r="A154" t="str">
        <f ca="1">IFERROR(__xludf.DUMMYFUNCTION("""COMPUTED_VALUE"""),"T153")</f>
        <v>T153</v>
      </c>
      <c r="B154">
        <f ca="1">IFERROR(__xludf.DUMMYFUNCTION("""COMPUTED_VALUE"""),74)</f>
        <v>74</v>
      </c>
      <c r="C154" t="str">
        <f ca="1">IFERROR(__xludf.DUMMYFUNCTION("""COMPUTED_VALUE"""),"Bo Hoag")</f>
        <v>Bo Hoag</v>
      </c>
      <c r="D154">
        <f ca="1">IFERROR(__xludf.DUMMYFUNCTION("""COMPUTED_VALUE"""),14)</f>
        <v>14</v>
      </c>
      <c r="E154">
        <f ca="1">IFERROR(__xludf.DUMMYFUNCTION("""COMPUTED_VALUE"""),45.9)</f>
        <v>45.9</v>
      </c>
      <c r="F154">
        <f ca="1">IFERROR(__xludf.DUMMYFUNCTION("""COMPUTED_VALUE"""),61)</f>
        <v>61</v>
      </c>
      <c r="G154">
        <f ca="1">IFERROR(__xludf.DUMMYFUNCTION("""COMPUTED_VALUE"""),28)</f>
        <v>28</v>
      </c>
    </row>
    <row r="155" spans="1:7" ht="12.75">
      <c r="A155" t="str">
        <f ca="1">IFERROR(__xludf.DUMMYFUNCTION("""COMPUTED_VALUE"""),"T153")</f>
        <v>T153</v>
      </c>
      <c r="B155" t="str">
        <f ca="1">IFERROR(__xludf.DUMMYFUNCTION("""COMPUTED_VALUE"""),"T88")</f>
        <v>T88</v>
      </c>
      <c r="C155" t="str">
        <f ca="1">IFERROR(__xludf.DUMMYFUNCTION("""COMPUTED_VALUE"""),"Max Homa")</f>
        <v>Max Homa</v>
      </c>
      <c r="D155">
        <f ca="1">IFERROR(__xludf.DUMMYFUNCTION("""COMPUTED_VALUE"""),12)</f>
        <v>12</v>
      </c>
      <c r="E155">
        <f ca="1">IFERROR(__xludf.DUMMYFUNCTION("""COMPUTED_VALUE"""),45.9)</f>
        <v>45.9</v>
      </c>
      <c r="F155">
        <f ca="1">IFERROR(__xludf.DUMMYFUNCTION("""COMPUTED_VALUE"""),61)</f>
        <v>61</v>
      </c>
      <c r="G155">
        <f ca="1">IFERROR(__xludf.DUMMYFUNCTION("""COMPUTED_VALUE"""),28)</f>
        <v>28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IFERROR(__xludf.DUMMYFUNCTION("""COMPUTED_VALUE"""),152)</f>
        <v>152</v>
      </c>
      <c r="C156" t="str">
        <f ca="1">IFERROR(__xludf.DUMMYFUNCTION("""COMPUTED_VALUE"""),"Will Gordon")</f>
        <v>Will Gordon</v>
      </c>
      <c r="D156">
        <f ca="1">IFERROR(__xludf.DUMMYFUNCTION("""COMPUTED_VALUE"""),20)</f>
        <v>20</v>
      </c>
      <c r="E156">
        <f ca="1">IFERROR(__xludf.DUMMYFUNCTION("""COMPUTED_VALUE"""),45.83)</f>
        <v>45.83</v>
      </c>
      <c r="F156">
        <f ca="1">IFERROR(__xludf.DUMMYFUNCTION("""COMPUTED_VALUE"""),96)</f>
        <v>96</v>
      </c>
      <c r="G156">
        <f ca="1">IFERROR(__xludf.DUMMYFUNCTION("""COMPUTED_VALUE"""),44)</f>
        <v>44</v>
      </c>
    </row>
    <row r="157" spans="1:7" ht="12.75">
      <c r="A157">
        <f ca="1">IFERROR(__xludf.DUMMYFUNCTION("""COMPUTED_VALUE"""),156)</f>
        <v>156</v>
      </c>
      <c r="B157">
        <f ca="1">IFERROR(__xludf.DUMMYFUNCTION("""COMPUTED_VALUE"""),107)</f>
        <v>107</v>
      </c>
      <c r="C157" t="str">
        <f ca="1">IFERROR(__xludf.DUMMYFUNCTION("""COMPUTED_VALUE"""),"Stewart Cink")</f>
        <v>Stewart Cink</v>
      </c>
      <c r="D157">
        <f ca="1">IFERROR(__xludf.DUMMYFUNCTION("""COMPUTED_VALUE"""),18)</f>
        <v>18</v>
      </c>
      <c r="E157">
        <f ca="1">IFERROR(__xludf.DUMMYFUNCTION("""COMPUTED_VALUE"""),45.68)</f>
        <v>45.68</v>
      </c>
      <c r="F157">
        <f ca="1">IFERROR(__xludf.DUMMYFUNCTION("""COMPUTED_VALUE"""),81)</f>
        <v>81</v>
      </c>
      <c r="G157">
        <f ca="1">IFERROR(__xludf.DUMMYFUNCTION("""COMPUTED_VALUE"""),37)</f>
        <v>37</v>
      </c>
    </row>
    <row r="158" spans="1:7" ht="12.75">
      <c r="A158">
        <f ca="1">IFERROR(__xludf.DUMMYFUNCTION("""COMPUTED_VALUE"""),157)</f>
        <v>157</v>
      </c>
      <c r="B158" t="str">
        <f ca="1">IFERROR(__xludf.DUMMYFUNCTION("""COMPUTED_VALUE"""),"T108")</f>
        <v>T108</v>
      </c>
      <c r="C158" t="str">
        <f ca="1">IFERROR(__xludf.DUMMYFUNCTION("""COMPUTED_VALUE"""),"Scott Piercy")</f>
        <v>Scott Piercy</v>
      </c>
      <c r="D158">
        <f ca="1">IFERROR(__xludf.DUMMYFUNCTION("""COMPUTED_VALUE"""),18)</f>
        <v>18</v>
      </c>
      <c r="E158">
        <f ca="1">IFERROR(__xludf.DUMMYFUNCTION("""COMPUTED_VALUE"""),45.65)</f>
        <v>45.65</v>
      </c>
      <c r="F158">
        <f ca="1">IFERROR(__xludf.DUMMYFUNCTION("""COMPUTED_VALUE"""),92)</f>
        <v>92</v>
      </c>
      <c r="G158">
        <f ca="1">IFERROR(__xludf.DUMMYFUNCTION("""COMPUTED_VALUE"""),42)</f>
        <v>42</v>
      </c>
    </row>
    <row r="159" spans="1:7" ht="12.75">
      <c r="A159" t="str">
        <f ca="1">IFERROR(__xludf.DUMMYFUNCTION("""COMPUTED_VALUE"""),"T158")</f>
        <v>T158</v>
      </c>
      <c r="B159" t="str">
        <f ca="1">IFERROR(__xludf.DUMMYFUNCTION("""COMPUTED_VALUE"""),"T196")</f>
        <v>T196</v>
      </c>
      <c r="C159" t="str">
        <f ca="1">IFERROR(__xludf.DUMMYFUNCTION("""COMPUTED_VALUE"""),"Hunter Mahan")</f>
        <v>Hunter Mahan</v>
      </c>
      <c r="D159">
        <f ca="1">IFERROR(__xludf.DUMMYFUNCTION("""COMPUTED_VALUE"""),14)</f>
        <v>14</v>
      </c>
      <c r="E159">
        <f ca="1">IFERROR(__xludf.DUMMYFUNCTION("""COMPUTED_VALUE"""),45.45)</f>
        <v>45.45</v>
      </c>
      <c r="F159">
        <f ca="1">IFERROR(__xludf.DUMMYFUNCTION("""COMPUTED_VALUE"""),77)</f>
        <v>77</v>
      </c>
      <c r="G159">
        <f ca="1">IFERROR(__xludf.DUMMYFUNCTION("""COMPUTED_VALUE"""),35)</f>
        <v>35</v>
      </c>
    </row>
    <row r="160" spans="1:7" ht="12.75">
      <c r="A160" t="str">
        <f ca="1">IFERROR(__xludf.DUMMYFUNCTION("""COMPUTED_VALUE"""),"T158")</f>
        <v>T158</v>
      </c>
      <c r="B160" t="str">
        <f ca="1">IFERROR(__xludf.DUMMYFUNCTION("""COMPUTED_VALUE"""),"T164")</f>
        <v>T164</v>
      </c>
      <c r="C160" t="str">
        <f ca="1">IFERROR(__xludf.DUMMYFUNCTION("""COMPUTED_VALUE"""),"Vincent Whaley")</f>
        <v>Vincent Whaley</v>
      </c>
      <c r="D160">
        <f ca="1">IFERROR(__xludf.DUMMYFUNCTION("""COMPUTED_VALUE"""),14)</f>
        <v>14</v>
      </c>
      <c r="E160">
        <f ca="1">IFERROR(__xludf.DUMMYFUNCTION("""COMPUTED_VALUE"""),45.45)</f>
        <v>45.45</v>
      </c>
      <c r="F160">
        <f ca="1">IFERROR(__xludf.DUMMYFUNCTION("""COMPUTED_VALUE"""),55)</f>
        <v>55</v>
      </c>
      <c r="G160">
        <f ca="1">IFERROR(__xludf.DUMMYFUNCTION("""COMPUTED_VALUE"""),25)</f>
        <v>25</v>
      </c>
    </row>
    <row r="161" spans="1:7" ht="12.75">
      <c r="A161" t="str">
        <f ca="1">IFERROR(__xludf.DUMMYFUNCTION("""COMPUTED_VALUE"""),"T158")</f>
        <v>T158</v>
      </c>
      <c r="B161" t="str">
        <f ca="1">IFERROR(__xludf.DUMMYFUNCTION("""COMPUTED_VALUE"""),"T164")</f>
        <v>T164</v>
      </c>
      <c r="C161" t="str">
        <f ca="1">IFERROR(__xludf.DUMMYFUNCTION("""COMPUTED_VALUE"""),"Michael Gellerman")</f>
        <v>Michael Gellerman</v>
      </c>
      <c r="D161">
        <f ca="1">IFERROR(__xludf.DUMMYFUNCTION("""COMPUTED_VALUE"""),5)</f>
        <v>5</v>
      </c>
      <c r="E161">
        <f ca="1">IFERROR(__xludf.DUMMYFUNCTION("""COMPUTED_VALUE"""),45.45)</f>
        <v>45.45</v>
      </c>
      <c r="F161">
        <f ca="1">IFERROR(__xludf.DUMMYFUNCTION("""COMPUTED_VALUE"""),11)</f>
        <v>11</v>
      </c>
      <c r="G161">
        <f ca="1">IFERROR(__xludf.DUMMYFUNCTION("""COMPUTED_VALUE"""),5)</f>
        <v>5</v>
      </c>
    </row>
    <row r="162" spans="1:7" ht="12.75">
      <c r="A162" t="str">
        <f ca="1">IFERROR(__xludf.DUMMYFUNCTION("""COMPUTED_VALUE"""),"T161")</f>
        <v>T161</v>
      </c>
      <c r="B162" t="str">
        <f ca="1">IFERROR(__xludf.DUMMYFUNCTION("""COMPUTED_VALUE"""),"T164")</f>
        <v>T164</v>
      </c>
      <c r="C162" t="str">
        <f ca="1">IFERROR(__xludf.DUMMYFUNCTION("""COMPUTED_VALUE"""),"Tom Lewis")</f>
        <v>Tom Lewis</v>
      </c>
      <c r="D162">
        <f ca="1">IFERROR(__xludf.DUMMYFUNCTION("""COMPUTED_VALUE"""),12)</f>
        <v>12</v>
      </c>
      <c r="E162">
        <f ca="1">IFERROR(__xludf.DUMMYFUNCTION("""COMPUTED_VALUE"""),45.31)</f>
        <v>45.31</v>
      </c>
      <c r="F162">
        <f ca="1">IFERROR(__xludf.DUMMYFUNCTION("""COMPUTED_VALUE"""),64)</f>
        <v>64</v>
      </c>
      <c r="G162">
        <f ca="1">IFERROR(__xludf.DUMMYFUNCTION("""COMPUTED_VALUE"""),29)</f>
        <v>29</v>
      </c>
    </row>
    <row r="163" spans="1:7" ht="12.75">
      <c r="A163" t="str">
        <f ca="1">IFERROR(__xludf.DUMMYFUNCTION("""COMPUTED_VALUE"""),"T161")</f>
        <v>T161</v>
      </c>
      <c r="B163">
        <f ca="1">IFERROR(__xludf.DUMMYFUNCTION("""COMPUTED_VALUE"""),168)</f>
        <v>168</v>
      </c>
      <c r="C163" t="str">
        <f ca="1">IFERROR(__xludf.DUMMYFUNCTION("""COMPUTED_VALUE"""),"Rob Oppenheim")</f>
        <v>Rob Oppenheim</v>
      </c>
      <c r="D163">
        <f ca="1">IFERROR(__xludf.DUMMYFUNCTION("""COMPUTED_VALUE"""),16)</f>
        <v>16</v>
      </c>
      <c r="E163">
        <f ca="1">IFERROR(__xludf.DUMMYFUNCTION("""COMPUTED_VALUE"""),45.31)</f>
        <v>45.31</v>
      </c>
      <c r="F163">
        <f ca="1">IFERROR(__xludf.DUMMYFUNCTION("""COMPUTED_VALUE"""),64)</f>
        <v>64</v>
      </c>
      <c r="G163">
        <f ca="1">IFERROR(__xludf.DUMMYFUNCTION("""COMPUTED_VALUE"""),29)</f>
        <v>29</v>
      </c>
    </row>
    <row r="164" spans="1:7" ht="12.75">
      <c r="A164">
        <f ca="1">IFERROR(__xludf.DUMMYFUNCTION("""COMPUTED_VALUE"""),163)</f>
        <v>163</v>
      </c>
      <c r="B164" t="str">
        <f ca="1">IFERROR(__xludf.DUMMYFUNCTION("""COMPUTED_VALUE"""),"T136")</f>
        <v>T136</v>
      </c>
      <c r="C164" t="str">
        <f ca="1">IFERROR(__xludf.DUMMYFUNCTION("""COMPUTED_VALUE"""),"Luke List")</f>
        <v>Luke List</v>
      </c>
      <c r="D164">
        <f ca="1">IFERROR(__xludf.DUMMYFUNCTION("""COMPUTED_VALUE"""),18)</f>
        <v>18</v>
      </c>
      <c r="E164">
        <f ca="1">IFERROR(__xludf.DUMMYFUNCTION("""COMPUTED_VALUE"""),45.21)</f>
        <v>45.21</v>
      </c>
      <c r="F164">
        <f ca="1">IFERROR(__xludf.DUMMYFUNCTION("""COMPUTED_VALUE"""),73)</f>
        <v>73</v>
      </c>
      <c r="G164">
        <f ca="1">IFERROR(__xludf.DUMMYFUNCTION("""COMPUTED_VALUE"""),33)</f>
        <v>33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IFERROR(__xludf.DUMMYFUNCTION("""COMPUTED_VALUE"""),170)</f>
        <v>170</v>
      </c>
      <c r="C165" t="str">
        <f ca="1">IFERROR(__xludf.DUMMYFUNCTION("""COMPUTED_VALUE"""),"Steve Lewton")</f>
        <v>Steve Lewton</v>
      </c>
      <c r="D165">
        <f ca="1">IFERROR(__xludf.DUMMYFUNCTION("""COMPUTED_VALUE"""),4)</f>
        <v>4</v>
      </c>
      <c r="E165">
        <f ca="1">IFERROR(__xludf.DUMMYFUNCTION("""COMPUTED_VALUE"""),45.16)</f>
        <v>45.16</v>
      </c>
      <c r="F165">
        <f ca="1">IFERROR(__xludf.DUMMYFUNCTION("""COMPUTED_VALUE"""),31)</f>
        <v>31</v>
      </c>
      <c r="G165">
        <f ca="1">IFERROR(__xludf.DUMMYFUNCTION("""COMPUTED_VALUE"""),14)</f>
        <v>14</v>
      </c>
    </row>
    <row r="166" spans="1:7" ht="12.75">
      <c r="A166" t="str">
        <f ca="1">IFERROR(__xludf.DUMMYFUNCTION("""COMPUTED_VALUE"""),"T165")</f>
        <v>T165</v>
      </c>
      <c r="B166" t="str">
        <f ca="1">IFERROR(__xludf.DUMMYFUNCTION("""COMPUTED_VALUE"""),"T172")</f>
        <v>T172</v>
      </c>
      <c r="C166" t="str">
        <f ca="1">IFERROR(__xludf.DUMMYFUNCTION("""COMPUTED_VALUE"""),"Jazz Janewattananond")</f>
        <v>Jazz Janewattananond</v>
      </c>
      <c r="D166">
        <f ca="1">IFERROR(__xludf.DUMMYFUNCTION("""COMPUTED_VALUE"""),6)</f>
        <v>6</v>
      </c>
      <c r="E166">
        <f ca="1">IFERROR(__xludf.DUMMYFUNCTION("""COMPUTED_VALUE"""),45)</f>
        <v>45</v>
      </c>
      <c r="F166">
        <f ca="1">IFERROR(__xludf.DUMMYFUNCTION("""COMPUTED_VALUE"""),40)</f>
        <v>40</v>
      </c>
      <c r="G166">
        <f ca="1">IFERROR(__xludf.DUMMYFUNCTION("""COMPUTED_VALUE"""),18)</f>
        <v>18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IFERROR(__xludf.DUMMYFUNCTION("""COMPUTED_VALUE"""),"T172")</f>
        <v>T172</v>
      </c>
      <c r="C167" t="str">
        <f ca="1">IFERROR(__xludf.DUMMYFUNCTION("""COMPUTED_VALUE"""),"Akshay Bhatia")</f>
        <v>Akshay Bhatia</v>
      </c>
      <c r="D167">
        <f ca="1">IFERROR(__xludf.DUMMYFUNCTION("""COMPUTED_VALUE"""),6)</f>
        <v>6</v>
      </c>
      <c r="E167">
        <f ca="1">IFERROR(__xludf.DUMMYFUNCTION("""COMPUTED_VALUE"""),45)</f>
        <v>45</v>
      </c>
      <c r="F167">
        <f ca="1">IFERROR(__xludf.DUMMYFUNCTION("""COMPUTED_VALUE"""),20)</f>
        <v>20</v>
      </c>
      <c r="G167">
        <f ca="1">IFERROR(__xludf.DUMMYFUNCTION("""COMPUTED_VALUE"""),9)</f>
        <v>9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IFERROR(__xludf.DUMMYFUNCTION("""COMPUTED_VALUE"""),175)</f>
        <v>175</v>
      </c>
      <c r="C168" t="str">
        <f ca="1">IFERROR(__xludf.DUMMYFUNCTION("""COMPUTED_VALUE"""),"Tiger Woods")</f>
        <v>Tiger Woods</v>
      </c>
      <c r="D168">
        <f ca="1">IFERROR(__xludf.DUMMYFUNCTION("""COMPUTED_VALUE"""),6)</f>
        <v>6</v>
      </c>
      <c r="E168">
        <f ca="1">IFERROR(__xludf.DUMMYFUNCTION("""COMPUTED_VALUE"""),44.9)</f>
        <v>44.9</v>
      </c>
      <c r="F168">
        <f ca="1">IFERROR(__xludf.DUMMYFUNCTION("""COMPUTED_VALUE"""),49)</f>
        <v>49</v>
      </c>
      <c r="G168">
        <f ca="1">IFERROR(__xludf.DUMMYFUNCTION("""COMPUTED_VALUE"""),22)</f>
        <v>22</v>
      </c>
    </row>
    <row r="169" spans="1:7" ht="12.75">
      <c r="A169" t="str">
        <f ca="1">IFERROR(__xludf.DUMMYFUNCTION("""COMPUTED_VALUE"""),"T168")</f>
        <v>T168</v>
      </c>
      <c r="B169" t="str">
        <f ca="1">IFERROR(__xludf.DUMMYFUNCTION("""COMPUTED_VALUE"""),"T176")</f>
        <v>T176</v>
      </c>
      <c r="C169" t="str">
        <f ca="1">IFERROR(__xludf.DUMMYFUNCTION("""COMPUTED_VALUE"""),"Jon Rahm")</f>
        <v>Jon Rahm</v>
      </c>
      <c r="D169">
        <f ca="1">IFERROR(__xludf.DUMMYFUNCTION("""COMPUTED_VALUE"""),12)</f>
        <v>12</v>
      </c>
      <c r="E169">
        <f ca="1">IFERROR(__xludf.DUMMYFUNCTION("""COMPUTED_VALUE"""),44.83)</f>
        <v>44.83</v>
      </c>
      <c r="F169">
        <f ca="1">IFERROR(__xludf.DUMMYFUNCTION("""COMPUTED_VALUE"""),87)</f>
        <v>87</v>
      </c>
      <c r="G169">
        <f ca="1">IFERROR(__xludf.DUMMYFUNCTION("""COMPUTED_VALUE"""),39)</f>
        <v>39</v>
      </c>
    </row>
    <row r="170" spans="1:7" ht="12.75">
      <c r="A170" t="str">
        <f ca="1">IFERROR(__xludf.DUMMYFUNCTION("""COMPUTED_VALUE"""),"T168")</f>
        <v>T168</v>
      </c>
      <c r="B170" t="str">
        <f ca="1">IFERROR(__xludf.DUMMYFUNCTION("""COMPUTED_VALUE"""),"T176")</f>
        <v>T176</v>
      </c>
      <c r="C170" t="str">
        <f ca="1">IFERROR(__xludf.DUMMYFUNCTION("""COMPUTED_VALUE"""),"Abraham Ancer")</f>
        <v>Abraham Ancer</v>
      </c>
      <c r="D170">
        <f ca="1">IFERROR(__xludf.DUMMYFUNCTION("""COMPUTED_VALUE"""),16)</f>
        <v>16</v>
      </c>
      <c r="E170">
        <f ca="1">IFERROR(__xludf.DUMMYFUNCTION("""COMPUTED_VALUE"""),44.83)</f>
        <v>44.83</v>
      </c>
      <c r="F170">
        <f ca="1">IFERROR(__xludf.DUMMYFUNCTION("""COMPUTED_VALUE"""),116)</f>
        <v>116</v>
      </c>
      <c r="G170">
        <f ca="1">IFERROR(__xludf.DUMMYFUNCTION("""COMPUTED_VALUE"""),52)</f>
        <v>52</v>
      </c>
    </row>
    <row r="171" spans="1:7" ht="12.75">
      <c r="A171" t="str">
        <f ca="1">IFERROR(__xludf.DUMMYFUNCTION("""COMPUTED_VALUE"""),"T170")</f>
        <v>T170</v>
      </c>
      <c r="B171">
        <f ca="1">IFERROR(__xludf.DUMMYFUNCTION("""COMPUTED_VALUE"""),191)</f>
        <v>191</v>
      </c>
      <c r="C171" t="str">
        <f ca="1">IFERROR(__xludf.DUMMYFUNCTION("""COMPUTED_VALUE"""),"Hideki Matsuyama")</f>
        <v>Hideki Matsuyama</v>
      </c>
      <c r="D171">
        <f ca="1">IFERROR(__xludf.DUMMYFUNCTION("""COMPUTED_VALUE"""),18)</f>
        <v>18</v>
      </c>
      <c r="E171">
        <f ca="1">IFERROR(__xludf.DUMMYFUNCTION("""COMPUTED_VALUE"""),44.78)</f>
        <v>44.78</v>
      </c>
      <c r="F171">
        <f ca="1">IFERROR(__xludf.DUMMYFUNCTION("""COMPUTED_VALUE"""),134)</f>
        <v>134</v>
      </c>
      <c r="G171">
        <f ca="1">IFERROR(__xludf.DUMMYFUNCTION("""COMPUTED_VALUE"""),60)</f>
        <v>60</v>
      </c>
    </row>
    <row r="172" spans="1:7" ht="12.75">
      <c r="A172" t="str">
        <f ca="1">IFERROR(__xludf.DUMMYFUNCTION("""COMPUTED_VALUE"""),"T170")</f>
        <v>T170</v>
      </c>
      <c r="B172">
        <f ca="1">IFERROR(__xludf.DUMMYFUNCTION("""COMPUTED_VALUE"""),180)</f>
        <v>180</v>
      </c>
      <c r="C172" t="str">
        <f ca="1">IFERROR(__xludf.DUMMYFUNCTION("""COMPUTED_VALUE"""),"Kevin Kisner")</f>
        <v>Kevin Kisner</v>
      </c>
      <c r="D172">
        <f ca="1">IFERROR(__xludf.DUMMYFUNCTION("""COMPUTED_VALUE"""),10)</f>
        <v>10</v>
      </c>
      <c r="E172">
        <f ca="1">IFERROR(__xludf.DUMMYFUNCTION("""COMPUTED_VALUE"""),44.78)</f>
        <v>44.78</v>
      </c>
      <c r="F172">
        <f ca="1">IFERROR(__xludf.DUMMYFUNCTION("""COMPUTED_VALUE"""),67)</f>
        <v>67</v>
      </c>
      <c r="G172">
        <f ca="1">IFERROR(__xludf.DUMMYFUNCTION("""COMPUTED_VALUE"""),30)</f>
        <v>30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IFERROR(__xludf.DUMMYFUNCTION("""COMPUTED_VALUE"""),181)</f>
        <v>181</v>
      </c>
      <c r="C173" t="str">
        <f ca="1">IFERROR(__xludf.DUMMYFUNCTION("""COMPUTED_VALUE"""),"Richy Werenski")</f>
        <v>Richy Werenski</v>
      </c>
      <c r="D173">
        <f ca="1">IFERROR(__xludf.DUMMYFUNCTION("""COMPUTED_VALUE"""),16)</f>
        <v>16</v>
      </c>
      <c r="E173">
        <f ca="1">IFERROR(__xludf.DUMMYFUNCTION("""COMPUTED_VALUE"""),44.76)</f>
        <v>44.76</v>
      </c>
      <c r="F173">
        <f ca="1">IFERROR(__xludf.DUMMYFUNCTION("""COMPUTED_VALUE"""),105)</f>
        <v>105</v>
      </c>
      <c r="G173">
        <f ca="1">IFERROR(__xludf.DUMMYFUNCTION("""COMPUTED_VALUE"""),47)</f>
        <v>47</v>
      </c>
    </row>
    <row r="174" spans="1:7" ht="12.75">
      <c r="A174" t="str">
        <f ca="1">IFERROR(__xludf.DUMMYFUNCTION("""COMPUTED_VALUE"""),"T173")</f>
        <v>T173</v>
      </c>
      <c r="B174">
        <f ca="1">IFERROR(__xludf.DUMMYFUNCTION("""COMPUTED_VALUE"""),123)</f>
        <v>123</v>
      </c>
      <c r="C174" t="str">
        <f ca="1">IFERROR(__xludf.DUMMYFUNCTION("""COMPUTED_VALUE"""),"Henrik Norlander")</f>
        <v>Henrik Norlander</v>
      </c>
      <c r="D174">
        <f ca="1">IFERROR(__xludf.DUMMYFUNCTION("""COMPUTED_VALUE"""),16)</f>
        <v>16</v>
      </c>
      <c r="E174">
        <f ca="1">IFERROR(__xludf.DUMMYFUNCTION("""COMPUTED_VALUE"""),44.74)</f>
        <v>44.74</v>
      </c>
      <c r="F174">
        <f ca="1">IFERROR(__xludf.DUMMYFUNCTION("""COMPUTED_VALUE"""),76)</f>
        <v>76</v>
      </c>
      <c r="G174">
        <f ca="1">IFERROR(__xludf.DUMMYFUNCTION("""COMPUTED_VALUE"""),34)</f>
        <v>34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IFERROR(__xludf.DUMMYFUNCTION("""COMPUTED_VALUE"""),"T225")</f>
        <v>T225</v>
      </c>
      <c r="C175" t="str">
        <f ca="1">IFERROR(__xludf.DUMMYFUNCTION("""COMPUTED_VALUE"""),"Bo Van Pelt")</f>
        <v>Bo Van Pelt</v>
      </c>
      <c r="D175">
        <f ca="1">IFERROR(__xludf.DUMMYFUNCTION("""COMPUTED_VALUE"""),10)</f>
        <v>10</v>
      </c>
      <c r="E175">
        <f ca="1">IFERROR(__xludf.DUMMYFUNCTION("""COMPUTED_VALUE"""),44.74)</f>
        <v>44.74</v>
      </c>
      <c r="F175">
        <f ca="1">IFERROR(__xludf.DUMMYFUNCTION("""COMPUTED_VALUE"""),38)</f>
        <v>38</v>
      </c>
      <c r="G175">
        <f ca="1">IFERROR(__xludf.DUMMYFUNCTION("""COMPUTED_VALUE"""),17)</f>
        <v>17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IFERROR(__xludf.DUMMYFUNCTION("""COMPUTED_VALUE"""),182)</f>
        <v>182</v>
      </c>
      <c r="C176" t="str">
        <f ca="1">IFERROR(__xludf.DUMMYFUNCTION("""COMPUTED_VALUE"""),"Bubba Watson")</f>
        <v>Bubba Watson</v>
      </c>
      <c r="D176">
        <f ca="1">IFERROR(__xludf.DUMMYFUNCTION("""COMPUTED_VALUE"""),12)</f>
        <v>12</v>
      </c>
      <c r="E176">
        <f ca="1">IFERROR(__xludf.DUMMYFUNCTION("""COMPUTED_VALUE"""),44.71)</f>
        <v>44.71</v>
      </c>
      <c r="F176">
        <f ca="1">IFERROR(__xludf.DUMMYFUNCTION("""COMPUTED_VALUE"""),85)</f>
        <v>85</v>
      </c>
      <c r="G176">
        <f ca="1">IFERROR(__xludf.DUMMYFUNCTION("""COMPUTED_VALUE"""),38)</f>
        <v>38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IFERROR(__xludf.DUMMYFUNCTION("""COMPUTED_VALUE"""),194)</f>
        <v>194</v>
      </c>
      <c r="C177" t="str">
        <f ca="1">IFERROR(__xludf.DUMMYFUNCTION("""COMPUTED_VALUE"""),"Tony Finau")</f>
        <v>Tony Finau</v>
      </c>
      <c r="D177">
        <f ca="1">IFERROR(__xludf.DUMMYFUNCTION("""COMPUTED_VALUE"""),12)</f>
        <v>12</v>
      </c>
      <c r="E177">
        <f ca="1">IFERROR(__xludf.DUMMYFUNCTION("""COMPUTED_VALUE"""),44.68)</f>
        <v>44.68</v>
      </c>
      <c r="F177">
        <f ca="1">IFERROR(__xludf.DUMMYFUNCTION("""COMPUTED_VALUE"""),94)</f>
        <v>94</v>
      </c>
      <c r="G177">
        <f ca="1">IFERROR(__xludf.DUMMYFUNCTION("""COMPUTED_VALUE"""),42)</f>
        <v>42</v>
      </c>
    </row>
    <row r="178" spans="1:7" ht="12.75">
      <c r="A178">
        <f ca="1">IFERROR(__xludf.DUMMYFUNCTION("""COMPUTED_VALUE"""),177)</f>
        <v>177</v>
      </c>
      <c r="B178" t="str">
        <f ca="1">IFERROR(__xludf.DUMMYFUNCTION("""COMPUTED_VALUE"""),"T176")</f>
        <v>T176</v>
      </c>
      <c r="C178" t="str">
        <f ca="1">IFERROR(__xludf.DUMMYFUNCTION("""COMPUTED_VALUE"""),"Sung Kang")</f>
        <v>Sung Kang</v>
      </c>
      <c r="D178">
        <f ca="1">IFERROR(__xludf.DUMMYFUNCTION("""COMPUTED_VALUE"""),14)</f>
        <v>14</v>
      </c>
      <c r="E178">
        <f ca="1">IFERROR(__xludf.DUMMYFUNCTION("""COMPUTED_VALUE"""),44.66)</f>
        <v>44.66</v>
      </c>
      <c r="F178">
        <f ca="1">IFERROR(__xludf.DUMMYFUNCTION("""COMPUTED_VALUE"""),103)</f>
        <v>103</v>
      </c>
      <c r="G178">
        <f ca="1">IFERROR(__xludf.DUMMYFUNCTION("""COMPUTED_VALUE"""),46)</f>
        <v>46</v>
      </c>
    </row>
    <row r="179" spans="1:7" ht="12.75">
      <c r="A179">
        <f ca="1">IFERROR(__xludf.DUMMYFUNCTION("""COMPUTED_VALUE"""),178)</f>
        <v>178</v>
      </c>
      <c r="B179" t="str">
        <f ca="1">IFERROR(__xludf.DUMMYFUNCTION("""COMPUTED_VALUE"""),"T164")</f>
        <v>T164</v>
      </c>
      <c r="C179" t="str">
        <f ca="1">IFERROR(__xludf.DUMMYFUNCTION("""COMPUTED_VALUE"""),"D.A. Points")</f>
        <v>D.A. Points</v>
      </c>
      <c r="D179">
        <f ca="1">IFERROR(__xludf.DUMMYFUNCTION("""COMPUTED_VALUE"""),12)</f>
        <v>12</v>
      </c>
      <c r="E179">
        <f ca="1">IFERROR(__xludf.DUMMYFUNCTION("""COMPUTED_VALUE"""),44.64)</f>
        <v>44.64</v>
      </c>
      <c r="F179">
        <f ca="1">IFERROR(__xludf.DUMMYFUNCTION("""COMPUTED_VALUE"""),56)</f>
        <v>56</v>
      </c>
      <c r="G179">
        <f ca="1">IFERROR(__xludf.DUMMYFUNCTION("""COMPUTED_VALUE"""),25)</f>
        <v>25</v>
      </c>
    </row>
    <row r="180" spans="1:7" ht="12.75">
      <c r="A180" t="str">
        <f ca="1">IFERROR(__xludf.DUMMYFUNCTION("""COMPUTED_VALUE"""),"T179")</f>
        <v>T179</v>
      </c>
      <c r="B180" t="str">
        <f ca="1">IFERROR(__xludf.DUMMYFUNCTION("""COMPUTED_VALUE"""),"T136")</f>
        <v>T136</v>
      </c>
      <c r="C180" t="str">
        <f ca="1">IFERROR(__xludf.DUMMYFUNCTION("""COMPUTED_VALUE"""),"Dustin Johnson")</f>
        <v>Dustin Johnson</v>
      </c>
      <c r="D180">
        <f ca="1">IFERROR(__xludf.DUMMYFUNCTION("""COMPUTED_VALUE"""),8)</f>
        <v>8</v>
      </c>
      <c r="E180">
        <f ca="1">IFERROR(__xludf.DUMMYFUNCTION("""COMPUTED_VALUE"""),44.44)</f>
        <v>44.44</v>
      </c>
      <c r="F180">
        <f ca="1">IFERROR(__xludf.DUMMYFUNCTION("""COMPUTED_VALUE"""),72)</f>
        <v>72</v>
      </c>
      <c r="G180">
        <f ca="1">IFERROR(__xludf.DUMMYFUNCTION("""COMPUTED_VALUE"""),32)</f>
        <v>32</v>
      </c>
    </row>
    <row r="181" spans="1:7" ht="12.75">
      <c r="A181" t="str">
        <f ca="1">IFERROR(__xludf.DUMMYFUNCTION("""COMPUTED_VALUE"""),"T179")</f>
        <v>T179</v>
      </c>
      <c r="B181">
        <f ca="1">IFERROR(__xludf.DUMMYFUNCTION("""COMPUTED_VALUE"""),183)</f>
        <v>183</v>
      </c>
      <c r="C181" t="str">
        <f ca="1">IFERROR(__xludf.DUMMYFUNCTION("""COMPUTED_VALUE"""),"Hank Lebioda")</f>
        <v>Hank Lebioda</v>
      </c>
      <c r="D181">
        <f ca="1">IFERROR(__xludf.DUMMYFUNCTION("""COMPUTED_VALUE"""),14)</f>
        <v>14</v>
      </c>
      <c r="E181">
        <f ca="1">IFERROR(__xludf.DUMMYFUNCTION("""COMPUTED_VALUE"""),44.44)</f>
        <v>44.44</v>
      </c>
      <c r="F181">
        <f ca="1">IFERROR(__xludf.DUMMYFUNCTION("""COMPUTED_VALUE"""),36)</f>
        <v>36</v>
      </c>
      <c r="G181">
        <f ca="1">IFERROR(__xludf.DUMMYFUNCTION("""COMPUTED_VALUE"""),16)</f>
        <v>16</v>
      </c>
    </row>
    <row r="182" spans="1:7" ht="12.75">
      <c r="A182">
        <f ca="1">IFERROR(__xludf.DUMMYFUNCTION("""COMPUTED_VALUE"""),181)</f>
        <v>181</v>
      </c>
      <c r="B182" t="str">
        <f ca="1">IFERROR(__xludf.DUMMYFUNCTION("""COMPUTED_VALUE"""),"T207")</f>
        <v>T207</v>
      </c>
      <c r="C182" t="str">
        <f ca="1">IFERROR(__xludf.DUMMYFUNCTION("""COMPUTED_VALUE"""),"Dylan Frittelli")</f>
        <v>Dylan Frittelli</v>
      </c>
      <c r="D182">
        <f ca="1">IFERROR(__xludf.DUMMYFUNCTION("""COMPUTED_VALUE"""),16)</f>
        <v>16</v>
      </c>
      <c r="E182">
        <f ca="1">IFERROR(__xludf.DUMMYFUNCTION("""COMPUTED_VALUE"""),44.35)</f>
        <v>44.35</v>
      </c>
      <c r="F182">
        <f ca="1">IFERROR(__xludf.DUMMYFUNCTION("""COMPUTED_VALUE"""),115)</f>
        <v>115</v>
      </c>
      <c r="G182">
        <f ca="1">IFERROR(__xludf.DUMMYFUNCTION("""COMPUTED_VALUE"""),51)</f>
        <v>51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IFERROR(__xludf.DUMMYFUNCTION("""COMPUTED_VALUE"""),184)</f>
        <v>184</v>
      </c>
      <c r="C183" t="str">
        <f ca="1">IFERROR(__xludf.DUMMYFUNCTION("""COMPUTED_VALUE"""),"Joohyung Kim")</f>
        <v>Joohyung Kim</v>
      </c>
      <c r="D183">
        <f ca="1">IFERROR(__xludf.DUMMYFUNCTION("""COMPUTED_VALUE"""),12)</f>
        <v>12</v>
      </c>
      <c r="E183">
        <f ca="1">IFERROR(__xludf.DUMMYFUNCTION("""COMPUTED_VALUE"""),44.23)</f>
        <v>44.23</v>
      </c>
      <c r="F183">
        <f ca="1">IFERROR(__xludf.DUMMYFUNCTION("""COMPUTED_VALUE"""),52)</f>
        <v>52</v>
      </c>
      <c r="G183">
        <f ca="1">IFERROR(__xludf.DUMMYFUNCTION("""COMPUTED_VALUE"""),23)</f>
        <v>23</v>
      </c>
    </row>
    <row r="184" spans="1:7" ht="12.75">
      <c r="A184" t="str">
        <f ca="1">IFERROR(__xludf.DUMMYFUNCTION("""COMPUTED_VALUE"""),"T183")</f>
        <v>T183</v>
      </c>
      <c r="B184" t="str">
        <f ca="1">IFERROR(__xludf.DUMMYFUNCTION("""COMPUTED_VALUE"""),"T186")</f>
        <v>T186</v>
      </c>
      <c r="C184" t="str">
        <f ca="1">IFERROR(__xludf.DUMMYFUNCTION("""COMPUTED_VALUE"""),"George Markham")</f>
        <v>George Markham</v>
      </c>
      <c r="D184">
        <f ca="1">IFERROR(__xludf.DUMMYFUNCTION("""COMPUTED_VALUE"""),4)</f>
        <v>4</v>
      </c>
      <c r="E184">
        <f ca="1">IFERROR(__xludf.DUMMYFUNCTION("""COMPUTED_VALUE"""),44.12)</f>
        <v>44.12</v>
      </c>
      <c r="F184">
        <f ca="1">IFERROR(__xludf.DUMMYFUNCTION("""COMPUTED_VALUE"""),34)</f>
        <v>34</v>
      </c>
      <c r="G184">
        <f ca="1">IFERROR(__xludf.DUMMYFUNCTION("""COMPUTED_VALUE"""),15)</f>
        <v>15</v>
      </c>
    </row>
    <row r="185" spans="1:7" ht="12.75">
      <c r="A185" t="str">
        <f ca="1">IFERROR(__xludf.DUMMYFUNCTION("""COMPUTED_VALUE"""),"T183")</f>
        <v>T183</v>
      </c>
      <c r="B185" t="str">
        <f ca="1">IFERROR(__xludf.DUMMYFUNCTION("""COMPUTED_VALUE"""),"T186")</f>
        <v>T186</v>
      </c>
      <c r="C185" t="str">
        <f ca="1">IFERROR(__xludf.DUMMYFUNCTION("""COMPUTED_VALUE"""),"Justin Suh")</f>
        <v>Justin Suh</v>
      </c>
      <c r="D185">
        <f ca="1">IFERROR(__xludf.DUMMYFUNCTION("""COMPUTED_VALUE"""),10)</f>
        <v>10</v>
      </c>
      <c r="E185">
        <f ca="1">IFERROR(__xludf.DUMMYFUNCTION("""COMPUTED_VALUE"""),44.12)</f>
        <v>44.12</v>
      </c>
      <c r="F185">
        <f ca="1">IFERROR(__xludf.DUMMYFUNCTION("""COMPUTED_VALUE"""),34)</f>
        <v>34</v>
      </c>
      <c r="G185">
        <f ca="1">IFERROR(__xludf.DUMMYFUNCTION("""COMPUTED_VALUE"""),15)</f>
        <v>15</v>
      </c>
    </row>
    <row r="186" spans="1:7" ht="12.75">
      <c r="A186">
        <f ca="1">IFERROR(__xludf.DUMMYFUNCTION("""COMPUTED_VALUE"""),185)</f>
        <v>185</v>
      </c>
      <c r="B186">
        <f ca="1">IFERROR(__xludf.DUMMYFUNCTION("""COMPUTED_VALUE"""),215)</f>
        <v>215</v>
      </c>
      <c r="C186" t="str">
        <f ca="1">IFERROR(__xludf.DUMMYFUNCTION("""COMPUTED_VALUE"""),"Scottie Scheffler")</f>
        <v>Scottie Scheffler</v>
      </c>
      <c r="D186">
        <f ca="1">IFERROR(__xludf.DUMMYFUNCTION("""COMPUTED_VALUE"""),18)</f>
        <v>18</v>
      </c>
      <c r="E186">
        <f ca="1">IFERROR(__xludf.DUMMYFUNCTION("""COMPUTED_VALUE"""),44.09)</f>
        <v>44.09</v>
      </c>
      <c r="F186">
        <f ca="1">IFERROR(__xludf.DUMMYFUNCTION("""COMPUTED_VALUE"""),127)</f>
        <v>127</v>
      </c>
      <c r="G186">
        <f ca="1">IFERROR(__xludf.DUMMYFUNCTION("""COMPUTED_VALUE"""),56)</f>
        <v>56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IFERROR(__xludf.DUMMYFUNCTION("""COMPUTED_VALUE"""),"T125")</f>
        <v>T125</v>
      </c>
      <c r="C187" t="str">
        <f ca="1">IFERROR(__xludf.DUMMYFUNCTION("""COMPUTED_VALUE"""),"Chris Kirk")</f>
        <v>Chris Kirk</v>
      </c>
      <c r="D187">
        <f ca="1">IFERROR(__xludf.DUMMYFUNCTION("""COMPUTED_VALUE"""),10)</f>
        <v>10</v>
      </c>
      <c r="E187">
        <f ca="1">IFERROR(__xludf.DUMMYFUNCTION("""COMPUTED_VALUE"""),43.94)</f>
        <v>43.94</v>
      </c>
      <c r="F187">
        <f ca="1">IFERROR(__xludf.DUMMYFUNCTION("""COMPUTED_VALUE"""),66)</f>
        <v>66</v>
      </c>
      <c r="G187">
        <f ca="1">IFERROR(__xludf.DUMMYFUNCTION("""COMPUTED_VALUE"""),29)</f>
        <v>29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IFERROR(__xludf.DUMMYFUNCTION("""COMPUTED_VALUE"""),147)</f>
        <v>147</v>
      </c>
      <c r="C188" t="str">
        <f ca="1">IFERROR(__xludf.DUMMYFUNCTION("""COMPUTED_VALUE"""),"Patton Kizzire")</f>
        <v>Patton Kizzire</v>
      </c>
      <c r="D188">
        <f ca="1">IFERROR(__xludf.DUMMYFUNCTION("""COMPUTED_VALUE"""),18)</f>
        <v>18</v>
      </c>
      <c r="E188">
        <f ca="1">IFERROR(__xludf.DUMMYFUNCTION("""COMPUTED_VALUE"""),43.82)</f>
        <v>43.82</v>
      </c>
      <c r="F188">
        <f ca="1">IFERROR(__xludf.DUMMYFUNCTION("""COMPUTED_VALUE"""),89)</f>
        <v>89</v>
      </c>
      <c r="G188">
        <f ca="1">IFERROR(__xludf.DUMMYFUNCTION("""COMPUTED_VALUE"""),39)</f>
        <v>39</v>
      </c>
    </row>
    <row r="189" spans="1:7" ht="12.75">
      <c r="A189" t="str">
        <f ca="1">IFERROR(__xludf.DUMMYFUNCTION("""COMPUTED_VALUE"""),"T188")</f>
        <v>T188</v>
      </c>
      <c r="B189">
        <f ca="1">IFERROR(__xludf.DUMMYFUNCTION("""COMPUTED_VALUE"""),188)</f>
        <v>188</v>
      </c>
      <c r="C189" t="str">
        <f ca="1">IFERROR(__xludf.DUMMYFUNCTION("""COMPUTED_VALUE"""),"Josh Teater")</f>
        <v>Josh Teater</v>
      </c>
      <c r="D189">
        <f ca="1">IFERROR(__xludf.DUMMYFUNCTION("""COMPUTED_VALUE"""),6)</f>
        <v>6</v>
      </c>
      <c r="E189">
        <f ca="1">IFERROR(__xludf.DUMMYFUNCTION("""COMPUTED_VALUE"""),43.75)</f>
        <v>43.75</v>
      </c>
      <c r="F189">
        <f ca="1">IFERROR(__xludf.DUMMYFUNCTION("""COMPUTED_VALUE"""),16)</f>
        <v>16</v>
      </c>
      <c r="G189">
        <f ca="1">IFERROR(__xludf.DUMMYFUNCTION("""COMPUTED_VALUE"""),7)</f>
        <v>7</v>
      </c>
    </row>
    <row r="190" spans="1:7" ht="12.75">
      <c r="A190" t="str">
        <f ca="1">IFERROR(__xludf.DUMMYFUNCTION("""COMPUTED_VALUE"""),"T188")</f>
        <v>T188</v>
      </c>
      <c r="B190">
        <f ca="1">IFERROR(__xludf.DUMMYFUNCTION("""COMPUTED_VALUE"""),161)</f>
        <v>161</v>
      </c>
      <c r="C190" t="str">
        <f ca="1">IFERROR(__xludf.DUMMYFUNCTION("""COMPUTED_VALUE"""),"Pat Perez")</f>
        <v>Pat Perez</v>
      </c>
      <c r="D190">
        <f ca="1">IFERROR(__xludf.DUMMYFUNCTION("""COMPUTED_VALUE"""),16)</f>
        <v>16</v>
      </c>
      <c r="E190">
        <f ca="1">IFERROR(__xludf.DUMMYFUNCTION("""COMPUTED_VALUE"""),43.75)</f>
        <v>43.75</v>
      </c>
      <c r="F190">
        <f ca="1">IFERROR(__xludf.DUMMYFUNCTION("""COMPUTED_VALUE"""),64)</f>
        <v>64</v>
      </c>
      <c r="G190">
        <f ca="1">IFERROR(__xludf.DUMMYFUNCTION("""COMPUTED_VALUE"""),28)</f>
        <v>28</v>
      </c>
    </row>
    <row r="191" spans="1:7" ht="12.75">
      <c r="A191">
        <f ca="1">IFERROR(__xludf.DUMMYFUNCTION("""COMPUTED_VALUE"""),190)</f>
        <v>190</v>
      </c>
      <c r="B191" t="str">
        <f ca="1">IFERROR(__xludf.DUMMYFUNCTION("""COMPUTED_VALUE"""),"T88")</f>
        <v>T88</v>
      </c>
      <c r="C191" t="str">
        <f ca="1">IFERROR(__xludf.DUMMYFUNCTION("""COMPUTED_VALUE"""),"Michael Kim")</f>
        <v>Michael Kim</v>
      </c>
      <c r="D191">
        <f ca="1">IFERROR(__xludf.DUMMYFUNCTION("""COMPUTED_VALUE"""),12)</f>
        <v>12</v>
      </c>
      <c r="E191">
        <f ca="1">IFERROR(__xludf.DUMMYFUNCTION("""COMPUTED_VALUE"""),43.4)</f>
        <v>43.4</v>
      </c>
      <c r="F191">
        <f ca="1">IFERROR(__xludf.DUMMYFUNCTION("""COMPUTED_VALUE"""),53)</f>
        <v>53</v>
      </c>
      <c r="G191">
        <f ca="1">IFERROR(__xludf.DUMMYFUNCTION("""COMPUTED_VALUE"""),23)</f>
        <v>23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IFERROR(__xludf.DUMMYFUNCTION("""COMPUTED_VALUE"""),132)</f>
        <v>132</v>
      </c>
      <c r="C192" t="str">
        <f ca="1">IFERROR(__xludf.DUMMYFUNCTION("""COMPUTED_VALUE"""),"Martin Laird")</f>
        <v>Martin Laird</v>
      </c>
      <c r="D192">
        <f ca="1">IFERROR(__xludf.DUMMYFUNCTION("""COMPUTED_VALUE"""),16)</f>
        <v>16</v>
      </c>
      <c r="E192">
        <f ca="1">IFERROR(__xludf.DUMMYFUNCTION("""COMPUTED_VALUE"""),43.33)</f>
        <v>43.33</v>
      </c>
      <c r="F192">
        <f ca="1">IFERROR(__xludf.DUMMYFUNCTION("""COMPUTED_VALUE"""),90)</f>
        <v>90</v>
      </c>
      <c r="G192">
        <f ca="1">IFERROR(__xludf.DUMMYFUNCTION("""COMPUTED_VALUE"""),39)</f>
        <v>39</v>
      </c>
    </row>
    <row r="193" spans="1:7" ht="12.75">
      <c r="A193">
        <f ca="1">IFERROR(__xludf.DUMMYFUNCTION("""COMPUTED_VALUE"""),192)</f>
        <v>192</v>
      </c>
      <c r="B193" t="str">
        <f ca="1">IFERROR(__xludf.DUMMYFUNCTION("""COMPUTED_VALUE"""),"T88")</f>
        <v>T88</v>
      </c>
      <c r="C193" t="str">
        <f ca="1">IFERROR(__xludf.DUMMYFUNCTION("""COMPUTED_VALUE"""),"Jamie Lovemark")</f>
        <v>Jamie Lovemark</v>
      </c>
      <c r="D193">
        <f ca="1">IFERROR(__xludf.DUMMYFUNCTION("""COMPUTED_VALUE"""),18)</f>
        <v>18</v>
      </c>
      <c r="E193">
        <f ca="1">IFERROR(__xludf.DUMMYFUNCTION("""COMPUTED_VALUE"""),43.24)</f>
        <v>43.24</v>
      </c>
      <c r="F193">
        <f ca="1">IFERROR(__xludf.DUMMYFUNCTION("""COMPUTED_VALUE"""),74)</f>
        <v>74</v>
      </c>
      <c r="G193">
        <f ca="1">IFERROR(__xludf.DUMMYFUNCTION("""COMPUTED_VALUE"""),32)</f>
        <v>32</v>
      </c>
    </row>
    <row r="194" spans="1:7" ht="12.75">
      <c r="A194" t="str">
        <f ca="1">IFERROR(__xludf.DUMMYFUNCTION("""COMPUTED_VALUE"""),"T193")</f>
        <v>T193</v>
      </c>
      <c r="B194">
        <f ca="1">IFERROR(__xludf.DUMMYFUNCTION("""COMPUTED_VALUE"""),146)</f>
        <v>146</v>
      </c>
      <c r="C194" t="str">
        <f ca="1">IFERROR(__xludf.DUMMYFUNCTION("""COMPUTED_VALUE"""),"Robby Shelton")</f>
        <v>Robby Shelton</v>
      </c>
      <c r="D194">
        <f ca="1">IFERROR(__xludf.DUMMYFUNCTION("""COMPUTED_VALUE"""),14)</f>
        <v>14</v>
      </c>
      <c r="E194">
        <f ca="1">IFERROR(__xludf.DUMMYFUNCTION("""COMPUTED_VALUE"""),43.16)</f>
        <v>43.16</v>
      </c>
      <c r="F194">
        <f ca="1">IFERROR(__xludf.DUMMYFUNCTION("""COMPUTED_VALUE"""),95)</f>
        <v>95</v>
      </c>
      <c r="G194">
        <f ca="1">IFERROR(__xludf.DUMMYFUNCTION("""COMPUTED_VALUE"""),41)</f>
        <v>41</v>
      </c>
    </row>
    <row r="195" spans="1:7" ht="12.75">
      <c r="A195" t="str">
        <f ca="1">IFERROR(__xludf.DUMMYFUNCTION("""COMPUTED_VALUE"""),"T193")</f>
        <v>T193</v>
      </c>
      <c r="B195">
        <f ca="1">IFERROR(__xludf.DUMMYFUNCTION("""COMPUTED_VALUE"""),247)</f>
        <v>247</v>
      </c>
      <c r="C195" t="str">
        <f ca="1">IFERROR(__xludf.DUMMYFUNCTION("""COMPUTED_VALUE"""),"Doc Redman")</f>
        <v>Doc Redman</v>
      </c>
      <c r="D195">
        <f ca="1">IFERROR(__xludf.DUMMYFUNCTION("""COMPUTED_VALUE"""),18)</f>
        <v>18</v>
      </c>
      <c r="E195">
        <f ca="1">IFERROR(__xludf.DUMMYFUNCTION("""COMPUTED_VALUE"""),43.16)</f>
        <v>43.16</v>
      </c>
      <c r="F195">
        <f ca="1">IFERROR(__xludf.DUMMYFUNCTION("""COMPUTED_VALUE"""),95)</f>
        <v>95</v>
      </c>
      <c r="G195">
        <f ca="1">IFERROR(__xludf.DUMMYFUNCTION("""COMPUTED_VALUE"""),41)</f>
        <v>41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IFERROR(__xludf.DUMMYFUNCTION("""COMPUTED_VALUE"""),195)</f>
        <v>195</v>
      </c>
      <c r="C196" t="str">
        <f ca="1">IFERROR(__xludf.DUMMYFUNCTION("""COMPUTED_VALUE"""),"Shugo Imahira")</f>
        <v>Shugo Imahira</v>
      </c>
      <c r="D196">
        <f ca="1">IFERROR(__xludf.DUMMYFUNCTION("""COMPUTED_VALUE"""),8)</f>
        <v>8</v>
      </c>
      <c r="E196">
        <f ca="1">IFERROR(__xludf.DUMMYFUNCTION("""COMPUTED_VALUE"""),43.08)</f>
        <v>43.08</v>
      </c>
      <c r="F196">
        <f ca="1">IFERROR(__xludf.DUMMYFUNCTION("""COMPUTED_VALUE"""),65)</f>
        <v>65</v>
      </c>
      <c r="G196">
        <f ca="1">IFERROR(__xludf.DUMMYFUNCTION("""COMPUTED_VALUE"""),28)</f>
        <v>28</v>
      </c>
    </row>
    <row r="197" spans="1:7" ht="12.75">
      <c r="A197" t="str">
        <f ca="1">IFERROR(__xludf.DUMMYFUNCTION("""COMPUTED_VALUE"""),"T196")</f>
        <v>T196</v>
      </c>
      <c r="B197" t="str">
        <f ca="1">IFERROR(__xludf.DUMMYFUNCTION("""COMPUTED_VALUE"""),"T196")</f>
        <v>T196</v>
      </c>
      <c r="C197" t="str">
        <f ca="1">IFERROR(__xludf.DUMMYFUNCTION("""COMPUTED_VALUE"""),"Matt Every")</f>
        <v>Matt Every</v>
      </c>
      <c r="D197">
        <f ca="1">IFERROR(__xludf.DUMMYFUNCTION("""COMPUTED_VALUE"""),8)</f>
        <v>8</v>
      </c>
      <c r="E197">
        <f ca="1">IFERROR(__xludf.DUMMYFUNCTION("""COMPUTED_VALUE"""),42.86)</f>
        <v>42.86</v>
      </c>
      <c r="F197">
        <f ca="1">IFERROR(__xludf.DUMMYFUNCTION("""COMPUTED_VALUE"""),28)</f>
        <v>28</v>
      </c>
      <c r="G197">
        <f ca="1">IFERROR(__xludf.DUMMYFUNCTION("""COMPUTED_VALUE"""),12)</f>
        <v>12</v>
      </c>
    </row>
    <row r="198" spans="1:7" ht="12.75">
      <c r="A198" t="str">
        <f ca="1">IFERROR(__xludf.DUMMYFUNCTION("""COMPUTED_VALUE"""),"T196")</f>
        <v>T196</v>
      </c>
      <c r="B198" t="str">
        <f ca="1">IFERROR(__xludf.DUMMYFUNCTION("""COMPUTED_VALUE"""),"T196")</f>
        <v>T196</v>
      </c>
      <c r="C198" t="str">
        <f ca="1">IFERROR(__xludf.DUMMYFUNCTION("""COMPUTED_VALUE"""),"Jay McLuen")</f>
        <v>Jay McLuen</v>
      </c>
      <c r="D198">
        <f ca="1">IFERROR(__xludf.DUMMYFUNCTION("""COMPUTED_VALUE"""),4)</f>
        <v>4</v>
      </c>
      <c r="E198">
        <f ca="1">IFERROR(__xludf.DUMMYFUNCTION("""COMPUTED_VALUE"""),42.86)</f>
        <v>42.86</v>
      </c>
      <c r="F198">
        <f ca="1">IFERROR(__xludf.DUMMYFUNCTION("""COMPUTED_VALUE"""),28)</f>
        <v>28</v>
      </c>
      <c r="G198">
        <f ca="1">IFERROR(__xludf.DUMMYFUNCTION("""COMPUTED_VALUE"""),12)</f>
        <v>12</v>
      </c>
    </row>
    <row r="199" spans="1:7" ht="12.75">
      <c r="A199" t="str">
        <f ca="1">IFERROR(__xludf.DUMMYFUNCTION("""COMPUTED_VALUE"""),"T196")</f>
        <v>T196</v>
      </c>
      <c r="B199" t="str">
        <f ca="1">IFERROR(__xludf.DUMMYFUNCTION("""COMPUTED_VALUE"""),"T196")</f>
        <v>T196</v>
      </c>
      <c r="C199" t="str">
        <f ca="1">IFERROR(__xludf.DUMMYFUNCTION("""COMPUTED_VALUE"""),"Robert MacIntyre")</f>
        <v>Robert MacIntyre</v>
      </c>
      <c r="D199">
        <f ca="1">IFERROR(__xludf.DUMMYFUNCTION("""COMPUTED_VALUE"""),4)</f>
        <v>4</v>
      </c>
      <c r="E199">
        <f ca="1">IFERROR(__xludf.DUMMYFUNCTION("""COMPUTED_VALUE"""),42.86)</f>
        <v>42.86</v>
      </c>
      <c r="F199">
        <f ca="1">IFERROR(__xludf.DUMMYFUNCTION("""COMPUTED_VALUE"""),28)</f>
        <v>28</v>
      </c>
      <c r="G199">
        <f ca="1">IFERROR(__xludf.DUMMYFUNCTION("""COMPUTED_VALUE"""),12)</f>
        <v>12</v>
      </c>
    </row>
    <row r="200" spans="1:7" ht="12.75">
      <c r="A200" t="str">
        <f ca="1">IFERROR(__xludf.DUMMYFUNCTION("""COMPUTED_VALUE"""),"T196")</f>
        <v>T196</v>
      </c>
      <c r="B200">
        <f ca="1">IFERROR(__xludf.DUMMYFUNCTION("""COMPUTED_VALUE"""),169)</f>
        <v>169</v>
      </c>
      <c r="C200" t="str">
        <f ca="1">IFERROR(__xludf.DUMMYFUNCTION("""COMPUTED_VALUE"""),"Matthew NeSmith")</f>
        <v>Matthew NeSmith</v>
      </c>
      <c r="D200">
        <f ca="1">IFERROR(__xludf.DUMMYFUNCTION("""COMPUTED_VALUE"""),16)</f>
        <v>16</v>
      </c>
      <c r="E200">
        <f ca="1">IFERROR(__xludf.DUMMYFUNCTION("""COMPUTED_VALUE"""),42.86)</f>
        <v>42.86</v>
      </c>
      <c r="F200">
        <f ca="1">IFERROR(__xludf.DUMMYFUNCTION("""COMPUTED_VALUE"""),91)</f>
        <v>91</v>
      </c>
      <c r="G200">
        <f ca="1">IFERROR(__xludf.DUMMYFUNCTION("""COMPUTED_VALUE"""),39)</f>
        <v>39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IFERROR(__xludf.DUMMYFUNCTION("""COMPUTED_VALUE"""),185)</f>
        <v>185</v>
      </c>
      <c r="C201" t="str">
        <f ca="1">IFERROR(__xludf.DUMMYFUNCTION("""COMPUTED_VALUE"""),"Mark Hubbard")</f>
        <v>Mark Hubbard</v>
      </c>
      <c r="D201">
        <f ca="1">IFERROR(__xludf.DUMMYFUNCTION("""COMPUTED_VALUE"""),20)</f>
        <v>20</v>
      </c>
      <c r="E201">
        <f ca="1">IFERROR(__xludf.DUMMYFUNCTION("""COMPUTED_VALUE"""),42.66)</f>
        <v>42.66</v>
      </c>
      <c r="F201">
        <f ca="1">IFERROR(__xludf.DUMMYFUNCTION("""COMPUTED_VALUE"""),143)</f>
        <v>143</v>
      </c>
      <c r="G201">
        <f ca="1">IFERROR(__xludf.DUMMYFUNCTION("""COMPUTED_VALUE"""),61)</f>
        <v>61</v>
      </c>
    </row>
    <row r="202" spans="1:7" ht="12.75">
      <c r="A202">
        <f ca="1">IFERROR(__xludf.DUMMYFUNCTION("""COMPUTED_VALUE"""),201)</f>
        <v>201</v>
      </c>
      <c r="B202" t="str">
        <f ca="1">IFERROR(__xludf.DUMMYFUNCTION("""COMPUTED_VALUE"""),"T212")</f>
        <v>T212</v>
      </c>
      <c r="C202" t="str">
        <f ca="1">IFERROR(__xludf.DUMMYFUNCTION("""COMPUTED_VALUE"""),"Jhonattan Vegas")</f>
        <v>Jhonattan Vegas</v>
      </c>
      <c r="D202">
        <f ca="1">IFERROR(__xludf.DUMMYFUNCTION("""COMPUTED_VALUE"""),16)</f>
        <v>16</v>
      </c>
      <c r="E202">
        <f ca="1">IFERROR(__xludf.DUMMYFUNCTION("""COMPUTED_VALUE"""),42.65)</f>
        <v>42.65</v>
      </c>
      <c r="F202">
        <f ca="1">IFERROR(__xludf.DUMMYFUNCTION("""COMPUTED_VALUE"""),68)</f>
        <v>68</v>
      </c>
      <c r="G202">
        <f ca="1">IFERROR(__xludf.DUMMYFUNCTION("""COMPUTED_VALUE"""),29)</f>
        <v>29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IFERROR(__xludf.DUMMYFUNCTION("""COMPUTED_VALUE"""),204)</f>
        <v>204</v>
      </c>
      <c r="C203" t="str">
        <f ca="1">IFERROR(__xludf.DUMMYFUNCTION("""COMPUTED_VALUE"""),"D.J. Trahan")</f>
        <v>D.J. Trahan</v>
      </c>
      <c r="D203">
        <f ca="1">IFERROR(__xludf.DUMMYFUNCTION("""COMPUTED_VALUE"""),16)</f>
        <v>16</v>
      </c>
      <c r="E203">
        <f ca="1">IFERROR(__xludf.DUMMYFUNCTION("""COMPUTED_VALUE"""),42.62)</f>
        <v>42.62</v>
      </c>
      <c r="F203">
        <f ca="1">IFERROR(__xludf.DUMMYFUNCTION("""COMPUTED_VALUE"""),61)</f>
        <v>61</v>
      </c>
      <c r="G203">
        <f ca="1">IFERROR(__xludf.DUMMYFUNCTION("""COMPUTED_VALUE"""),26)</f>
        <v>26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IFERROR(__xludf.DUMMYFUNCTION("""COMPUTED_VALUE"""),206)</f>
        <v>206</v>
      </c>
      <c r="C204" t="str">
        <f ca="1">IFERROR(__xludf.DUMMYFUNCTION("""COMPUTED_VALUE"""),"Brendan Steele")</f>
        <v>Brendan Steele</v>
      </c>
      <c r="D204">
        <f ca="1">IFERROR(__xludf.DUMMYFUNCTION("""COMPUTED_VALUE"""),14)</f>
        <v>14</v>
      </c>
      <c r="E204">
        <f ca="1">IFERROR(__xludf.DUMMYFUNCTION("""COMPUTED_VALUE"""),42.39)</f>
        <v>42.39</v>
      </c>
      <c r="F204">
        <f ca="1">IFERROR(__xludf.DUMMYFUNCTION("""COMPUTED_VALUE"""),92)</f>
        <v>92</v>
      </c>
      <c r="G204">
        <f ca="1">IFERROR(__xludf.DUMMYFUNCTION("""COMPUTED_VALUE"""),39)</f>
        <v>39</v>
      </c>
    </row>
    <row r="205" spans="1:7" ht="12.75">
      <c r="A205" t="str">
        <f ca="1">IFERROR(__xludf.DUMMYFUNCTION("""COMPUTED_VALUE"""),"T204")</f>
        <v>T204</v>
      </c>
      <c r="B205">
        <f ca="1">IFERROR(__xludf.DUMMYFUNCTION("""COMPUTED_VALUE"""),162)</f>
        <v>162</v>
      </c>
      <c r="C205" t="str">
        <f ca="1">IFERROR(__xludf.DUMMYFUNCTION("""COMPUTED_VALUE"""),"Keegan Bradley")</f>
        <v>Keegan Bradley</v>
      </c>
      <c r="D205">
        <f ca="1">IFERROR(__xludf.DUMMYFUNCTION("""COMPUTED_VALUE"""),16)</f>
        <v>16</v>
      </c>
      <c r="E205">
        <f ca="1">IFERROR(__xludf.DUMMYFUNCTION("""COMPUTED_VALUE"""),42.31)</f>
        <v>42.31</v>
      </c>
      <c r="F205">
        <f ca="1">IFERROR(__xludf.DUMMYFUNCTION("""COMPUTED_VALUE"""),104)</f>
        <v>104</v>
      </c>
      <c r="G205">
        <f ca="1">IFERROR(__xludf.DUMMYFUNCTION("""COMPUTED_VALUE"""),44)</f>
        <v>44</v>
      </c>
    </row>
    <row r="206" spans="1:7" ht="12.75">
      <c r="A206" t="str">
        <f ca="1">IFERROR(__xludf.DUMMYFUNCTION("""COMPUTED_VALUE"""),"T204")</f>
        <v>T204</v>
      </c>
      <c r="B206" t="str">
        <f ca="1">IFERROR(__xludf.DUMMYFUNCTION("""COMPUTED_VALUE"""),"T207")</f>
        <v>T207</v>
      </c>
      <c r="C206" t="str">
        <f ca="1">IFERROR(__xludf.DUMMYFUNCTION("""COMPUTED_VALUE"""),"Tyler McCumber")</f>
        <v>Tyler McCumber</v>
      </c>
      <c r="D206">
        <f ca="1">IFERROR(__xludf.DUMMYFUNCTION("""COMPUTED_VALUE"""),14)</f>
        <v>14</v>
      </c>
      <c r="E206">
        <f ca="1">IFERROR(__xludf.DUMMYFUNCTION("""COMPUTED_VALUE"""),42.31)</f>
        <v>42.31</v>
      </c>
      <c r="F206">
        <f ca="1">IFERROR(__xludf.DUMMYFUNCTION("""COMPUTED_VALUE"""),52)</f>
        <v>52</v>
      </c>
      <c r="G206">
        <f ca="1">IFERROR(__xludf.DUMMYFUNCTION("""COMPUTED_VALUE"""),22)</f>
        <v>22</v>
      </c>
    </row>
    <row r="207" spans="1:7" ht="12.75">
      <c r="A207" t="str">
        <f ca="1">IFERROR(__xludf.DUMMYFUNCTION("""COMPUTED_VALUE"""),"T204")</f>
        <v>T204</v>
      </c>
      <c r="B207" t="str">
        <f ca="1">IFERROR(__xludf.DUMMYFUNCTION("""COMPUTED_VALUE"""),"T207")</f>
        <v>T207</v>
      </c>
      <c r="C207" t="str">
        <f ca="1">IFERROR(__xludf.DUMMYFUNCTION("""COMPUTED_VALUE"""),"Naoki Sekito")</f>
        <v>Naoki Sekito</v>
      </c>
      <c r="D207">
        <f ca="1">IFERROR(__xludf.DUMMYFUNCTION("""COMPUTED_VALUE"""),4)</f>
        <v>4</v>
      </c>
      <c r="E207">
        <f ca="1">IFERROR(__xludf.DUMMYFUNCTION("""COMPUTED_VALUE"""),42.31)</f>
        <v>42.31</v>
      </c>
      <c r="F207">
        <f ca="1">IFERROR(__xludf.DUMMYFUNCTION("""COMPUTED_VALUE"""),26)</f>
        <v>26</v>
      </c>
      <c r="G207">
        <f ca="1">IFERROR(__xludf.DUMMYFUNCTION("""COMPUTED_VALUE"""),11)</f>
        <v>11</v>
      </c>
    </row>
    <row r="208" spans="1:7" ht="12.75">
      <c r="A208" t="str">
        <f ca="1">IFERROR(__xludf.DUMMYFUNCTION("""COMPUTED_VALUE"""),"T207")</f>
        <v>T207</v>
      </c>
      <c r="B208">
        <f ca="1">IFERROR(__xludf.DUMMYFUNCTION("""COMPUTED_VALUE"""),210)</f>
        <v>210</v>
      </c>
      <c r="C208" t="str">
        <f ca="1">IFERROR(__xludf.DUMMYFUNCTION("""COMPUTED_VALUE"""),"Will Zalatoris")</f>
        <v>Will Zalatoris</v>
      </c>
      <c r="D208">
        <f ca="1">IFERROR(__xludf.DUMMYFUNCTION("""COMPUTED_VALUE"""),18)</f>
        <v>18</v>
      </c>
      <c r="E208">
        <f ca="1">IFERROR(__xludf.DUMMYFUNCTION("""COMPUTED_VALUE"""),42.25)</f>
        <v>42.25</v>
      </c>
      <c r="F208">
        <f ca="1">IFERROR(__xludf.DUMMYFUNCTION("""COMPUTED_VALUE"""),71)</f>
        <v>71</v>
      </c>
      <c r="G208">
        <f ca="1">IFERROR(__xludf.DUMMYFUNCTION("""COMPUTED_VALUE"""),30)</f>
        <v>30</v>
      </c>
    </row>
    <row r="209" spans="1:7" ht="12.75">
      <c r="A209" t="str">
        <f ca="1">IFERROR(__xludf.DUMMYFUNCTION("""COMPUTED_VALUE"""),"T207")</f>
        <v>T207</v>
      </c>
      <c r="B209">
        <f ca="1">IFERROR(__xludf.DUMMYFUNCTION("""COMPUTED_VALUE"""),193)</f>
        <v>193</v>
      </c>
      <c r="C209" t="str">
        <f ca="1">IFERROR(__xludf.DUMMYFUNCTION("""COMPUTED_VALUE"""),"Nate Lashley")</f>
        <v>Nate Lashley</v>
      </c>
      <c r="D209">
        <f ca="1">IFERROR(__xludf.DUMMYFUNCTION("""COMPUTED_VALUE"""),16)</f>
        <v>16</v>
      </c>
      <c r="E209">
        <f ca="1">IFERROR(__xludf.DUMMYFUNCTION("""COMPUTED_VALUE"""),42.25)</f>
        <v>42.25</v>
      </c>
      <c r="F209">
        <f ca="1">IFERROR(__xludf.DUMMYFUNCTION("""COMPUTED_VALUE"""),71)</f>
        <v>71</v>
      </c>
      <c r="G209">
        <f ca="1">IFERROR(__xludf.DUMMYFUNCTION("""COMPUTED_VALUE"""),30)</f>
        <v>30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IFERROR(__xludf.DUMMYFUNCTION("""COMPUTED_VALUE"""),211)</f>
        <v>211</v>
      </c>
      <c r="C210" t="str">
        <f ca="1">IFERROR(__xludf.DUMMYFUNCTION("""COMPUTED_VALUE"""),"Cameron Champ")</f>
        <v>Cameron Champ</v>
      </c>
      <c r="D210">
        <f ca="1">IFERROR(__xludf.DUMMYFUNCTION("""COMPUTED_VALUE"""),12)</f>
        <v>12</v>
      </c>
      <c r="E210">
        <f ca="1">IFERROR(__xludf.DUMMYFUNCTION("""COMPUTED_VALUE"""),42.22)</f>
        <v>42.22</v>
      </c>
      <c r="F210">
        <f ca="1">IFERROR(__xludf.DUMMYFUNCTION("""COMPUTED_VALUE"""),90)</f>
        <v>90</v>
      </c>
      <c r="G210">
        <f ca="1">IFERROR(__xludf.DUMMYFUNCTION("""COMPUTED_VALUE"""),38)</f>
        <v>38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IFERROR(__xludf.DUMMYFUNCTION("""COMPUTED_VALUE"""),"T125")</f>
        <v>T125</v>
      </c>
      <c r="C211" t="str">
        <f ca="1">IFERROR(__xludf.DUMMYFUNCTION("""COMPUTED_VALUE"""),"Lee Westwood")</f>
        <v>Lee Westwood</v>
      </c>
      <c r="D211">
        <f ca="1">IFERROR(__xludf.DUMMYFUNCTION("""COMPUTED_VALUE"""),6)</f>
        <v>6</v>
      </c>
      <c r="E211">
        <f ca="1">IFERROR(__xludf.DUMMYFUNCTION("""COMPUTED_VALUE"""),42.11)</f>
        <v>42.11</v>
      </c>
      <c r="F211">
        <f ca="1">IFERROR(__xludf.DUMMYFUNCTION("""COMPUTED_VALUE"""),38)</f>
        <v>38</v>
      </c>
      <c r="G211">
        <f ca="1">IFERROR(__xludf.DUMMYFUNCTION("""COMPUTED_VALUE"""),16)</f>
        <v>16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IFERROR(__xludf.DUMMYFUNCTION("""COMPUTED_VALUE"""),205)</f>
        <v>205</v>
      </c>
      <c r="C212" t="str">
        <f ca="1">IFERROR(__xludf.DUMMYFUNCTION("""COMPUTED_VALUE"""),"Henrik Stenson")</f>
        <v>Henrik Stenson</v>
      </c>
      <c r="D212">
        <f ca="1">IFERROR(__xludf.DUMMYFUNCTION("""COMPUTED_VALUE"""),11)</f>
        <v>11</v>
      </c>
      <c r="E212">
        <f ca="1">IFERROR(__xludf.DUMMYFUNCTION("""COMPUTED_VALUE"""),42)</f>
        <v>42</v>
      </c>
      <c r="F212">
        <f ca="1">IFERROR(__xludf.DUMMYFUNCTION("""COMPUTED_VALUE"""),50)</f>
        <v>50</v>
      </c>
      <c r="G212">
        <f ca="1">IFERROR(__xludf.DUMMYFUNCTION("""COMPUTED_VALUE"""),21)</f>
        <v>21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IFERROR(__xludf.DUMMYFUNCTION("""COMPUTED_VALUE"""),190)</f>
        <v>190</v>
      </c>
      <c r="C213" t="str">
        <f ca="1">IFERROR(__xludf.DUMMYFUNCTION("""COMPUTED_VALUE"""),"Danny Lee")</f>
        <v>Danny Lee</v>
      </c>
      <c r="D213">
        <f ca="1">IFERROR(__xludf.DUMMYFUNCTION("""COMPUTED_VALUE"""),15)</f>
        <v>15</v>
      </c>
      <c r="E213">
        <f ca="1">IFERROR(__xludf.DUMMYFUNCTION("""COMPUTED_VALUE"""),41.94)</f>
        <v>41.94</v>
      </c>
      <c r="F213">
        <f ca="1">IFERROR(__xludf.DUMMYFUNCTION("""COMPUTED_VALUE"""),124)</f>
        <v>124</v>
      </c>
      <c r="G213">
        <f ca="1">IFERROR(__xludf.DUMMYFUNCTION("""COMPUTED_VALUE"""),52)</f>
        <v>52</v>
      </c>
    </row>
    <row r="214" spans="1:7" ht="12.75">
      <c r="A214">
        <f ca="1">IFERROR(__xludf.DUMMYFUNCTION("""COMPUTED_VALUE"""),213)</f>
        <v>213</v>
      </c>
      <c r="B214" t="str">
        <f ca="1">IFERROR(__xludf.DUMMYFUNCTION("""COMPUTED_VALUE"""),"T125")</f>
        <v>T125</v>
      </c>
      <c r="C214" t="str">
        <f ca="1">IFERROR(__xludf.DUMMYFUNCTION("""COMPUTED_VALUE"""),"Keith Mitchell")</f>
        <v>Keith Mitchell</v>
      </c>
      <c r="D214">
        <f ca="1">IFERROR(__xludf.DUMMYFUNCTION("""COMPUTED_VALUE"""),14)</f>
        <v>14</v>
      </c>
      <c r="E214">
        <f ca="1">IFERROR(__xludf.DUMMYFUNCTION("""COMPUTED_VALUE"""),41.86)</f>
        <v>41.86</v>
      </c>
      <c r="F214">
        <f ca="1">IFERROR(__xludf.DUMMYFUNCTION("""COMPUTED_VALUE"""),43)</f>
        <v>43</v>
      </c>
      <c r="G214">
        <f ca="1">IFERROR(__xludf.DUMMYFUNCTION("""COMPUTED_VALUE"""),18)</f>
        <v>18</v>
      </c>
    </row>
    <row r="215" spans="1:7" ht="12.75">
      <c r="A215">
        <f ca="1">IFERROR(__xludf.DUMMYFUNCTION("""COMPUTED_VALUE"""),214)</f>
        <v>214</v>
      </c>
      <c r="B215" t="str">
        <f ca="1">IFERROR(__xludf.DUMMYFUNCTION("""COMPUTED_VALUE"""),"T196")</f>
        <v>T196</v>
      </c>
      <c r="C215" t="str">
        <f ca="1">IFERROR(__xludf.DUMMYFUNCTION("""COMPUTED_VALUE"""),"Sean O'Hair")</f>
        <v>Sean O'Hair</v>
      </c>
      <c r="D215">
        <f ca="1">IFERROR(__xludf.DUMMYFUNCTION("""COMPUTED_VALUE"""),14)</f>
        <v>14</v>
      </c>
      <c r="E215">
        <f ca="1">IFERROR(__xludf.DUMMYFUNCTION("""COMPUTED_VALUE"""),41.79)</f>
        <v>41.79</v>
      </c>
      <c r="F215">
        <f ca="1">IFERROR(__xludf.DUMMYFUNCTION("""COMPUTED_VALUE"""),67)</f>
        <v>67</v>
      </c>
      <c r="G215">
        <f ca="1">IFERROR(__xludf.DUMMYFUNCTION("""COMPUTED_VALUE"""),28)</f>
        <v>28</v>
      </c>
    </row>
    <row r="216" spans="1:7" ht="12.75">
      <c r="A216">
        <f ca="1">IFERROR(__xludf.DUMMYFUNCTION("""COMPUTED_VALUE"""),215)</f>
        <v>215</v>
      </c>
      <c r="B216" t="str">
        <f ca="1">IFERROR(__xludf.DUMMYFUNCTION("""COMPUTED_VALUE"""),"T212")</f>
        <v>T212</v>
      </c>
      <c r="C216" t="str">
        <f ca="1">IFERROR(__xludf.DUMMYFUNCTION("""COMPUTED_VALUE"""),"Sangmoon Bae")</f>
        <v>Sangmoon Bae</v>
      </c>
      <c r="D216">
        <f ca="1">IFERROR(__xludf.DUMMYFUNCTION("""COMPUTED_VALUE"""),8)</f>
        <v>8</v>
      </c>
      <c r="E216">
        <f ca="1">IFERROR(__xludf.DUMMYFUNCTION("""COMPUTED_VALUE"""),41.67)</f>
        <v>41.67</v>
      </c>
      <c r="F216">
        <f ca="1">IFERROR(__xludf.DUMMYFUNCTION("""COMPUTED_VALUE"""),12)</f>
        <v>12</v>
      </c>
      <c r="G216">
        <f ca="1">IFERROR(__xludf.DUMMYFUNCTION("""COMPUTED_VALUE"""),5)</f>
        <v>5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IFERROR(__xludf.DUMMYFUNCTION("""COMPUTED_VALUE"""),228)</f>
        <v>228</v>
      </c>
      <c r="C217" t="str">
        <f ca="1">IFERROR(__xludf.DUMMYFUNCTION("""COMPUTED_VALUE"""),"Troy Merritt")</f>
        <v>Troy Merritt</v>
      </c>
      <c r="D217">
        <f ca="1">IFERROR(__xludf.DUMMYFUNCTION("""COMPUTED_VALUE"""),20)</f>
        <v>20</v>
      </c>
      <c r="E217">
        <f ca="1">IFERROR(__xludf.DUMMYFUNCTION("""COMPUTED_VALUE"""),41.53)</f>
        <v>41.53</v>
      </c>
      <c r="F217">
        <f ca="1">IFERROR(__xludf.DUMMYFUNCTION("""COMPUTED_VALUE"""),118)</f>
        <v>118</v>
      </c>
      <c r="G217">
        <f ca="1">IFERROR(__xludf.DUMMYFUNCTION("""COMPUTED_VALUE"""),49)</f>
        <v>49</v>
      </c>
    </row>
    <row r="218" spans="1:7" ht="12.75">
      <c r="A218" t="str">
        <f ca="1">IFERROR(__xludf.DUMMYFUNCTION("""COMPUTED_VALUE"""),"T217")</f>
        <v>T217</v>
      </c>
      <c r="B218" t="str">
        <f ca="1">IFERROR(__xludf.DUMMYFUNCTION("""COMPUTED_VALUE"""),"T242")</f>
        <v>T242</v>
      </c>
      <c r="C218" t="str">
        <f ca="1">IFERROR(__xludf.DUMMYFUNCTION("""COMPUTED_VALUE"""),"Russell Knox")</f>
        <v>Russell Knox</v>
      </c>
      <c r="D218">
        <f ca="1">IFERROR(__xludf.DUMMYFUNCTION("""COMPUTED_VALUE"""),16)</f>
        <v>16</v>
      </c>
      <c r="E218">
        <f ca="1">IFERROR(__xludf.DUMMYFUNCTION("""COMPUTED_VALUE"""),41.18)</f>
        <v>41.18</v>
      </c>
      <c r="F218">
        <f ca="1">IFERROR(__xludf.DUMMYFUNCTION("""COMPUTED_VALUE"""),85)</f>
        <v>85</v>
      </c>
      <c r="G218">
        <f ca="1">IFERROR(__xludf.DUMMYFUNCTION("""COMPUTED_VALUE"""),35)</f>
        <v>35</v>
      </c>
    </row>
    <row r="219" spans="1:7" ht="12.75">
      <c r="A219" t="str">
        <f ca="1">IFERROR(__xludf.DUMMYFUNCTION("""COMPUTED_VALUE"""),"T217")</f>
        <v>T217</v>
      </c>
      <c r="B219" t="str">
        <f ca="1">IFERROR(__xludf.DUMMYFUNCTION("""COMPUTED_VALUE"""),"T216")</f>
        <v>T216</v>
      </c>
      <c r="C219" t="str">
        <f ca="1">IFERROR(__xludf.DUMMYFUNCTION("""COMPUTED_VALUE"""),"Aaron Baddeley")</f>
        <v>Aaron Baddeley</v>
      </c>
      <c r="D219">
        <f ca="1">IFERROR(__xludf.DUMMYFUNCTION("""COMPUTED_VALUE"""),8)</f>
        <v>8</v>
      </c>
      <c r="E219">
        <f ca="1">IFERROR(__xludf.DUMMYFUNCTION("""COMPUTED_VALUE"""),41.18)</f>
        <v>41.18</v>
      </c>
      <c r="F219">
        <f ca="1">IFERROR(__xludf.DUMMYFUNCTION("""COMPUTED_VALUE"""),34)</f>
        <v>34</v>
      </c>
      <c r="G219">
        <f ca="1">IFERROR(__xludf.DUMMYFUNCTION("""COMPUTED_VALUE"""),14)</f>
        <v>14</v>
      </c>
    </row>
    <row r="220" spans="1:7" ht="12.75">
      <c r="A220" t="str">
        <f ca="1">IFERROR(__xludf.DUMMYFUNCTION("""COMPUTED_VALUE"""),"T217")</f>
        <v>T217</v>
      </c>
      <c r="B220">
        <f ca="1">IFERROR(__xludf.DUMMYFUNCTION("""COMPUTED_VALUE"""),192)</f>
        <v>192</v>
      </c>
      <c r="C220" t="str">
        <f ca="1">IFERROR(__xludf.DUMMYFUNCTION("""COMPUTED_VALUE"""),"Ted Potter, Jr.")</f>
        <v>Ted Potter, Jr.</v>
      </c>
      <c r="D220">
        <f ca="1">IFERROR(__xludf.DUMMYFUNCTION("""COMPUTED_VALUE"""),8)</f>
        <v>8</v>
      </c>
      <c r="E220">
        <f ca="1">IFERROR(__xludf.DUMMYFUNCTION("""COMPUTED_VALUE"""),41.18)</f>
        <v>41.18</v>
      </c>
      <c r="F220">
        <f ca="1">IFERROR(__xludf.DUMMYFUNCTION("""COMPUTED_VALUE"""),51)</f>
        <v>51</v>
      </c>
      <c r="G220">
        <f ca="1">IFERROR(__xludf.DUMMYFUNCTION("""COMPUTED_VALUE"""),21)</f>
        <v>21</v>
      </c>
    </row>
    <row r="221" spans="1:7" ht="12.75">
      <c r="A221" t="str">
        <f ca="1">IFERROR(__xludf.DUMMYFUNCTION("""COMPUTED_VALUE"""),"T217")</f>
        <v>T217</v>
      </c>
      <c r="B221" t="str">
        <f ca="1">IFERROR(__xludf.DUMMYFUNCTION("""COMPUTED_VALUE"""),"T216")</f>
        <v>T216</v>
      </c>
      <c r="C221" t="str">
        <f ca="1">IFERROR(__xludf.DUMMYFUNCTION("""COMPUTED_VALUE"""),"Jeongwoo Ham")</f>
        <v>Jeongwoo Ham</v>
      </c>
      <c r="D221">
        <f ca="1">IFERROR(__xludf.DUMMYFUNCTION("""COMPUTED_VALUE"""),4)</f>
        <v>4</v>
      </c>
      <c r="E221">
        <f ca="1">IFERROR(__xludf.DUMMYFUNCTION("""COMPUTED_VALUE"""),41.18)</f>
        <v>41.18</v>
      </c>
      <c r="F221">
        <f ca="1">IFERROR(__xludf.DUMMYFUNCTION("""COMPUTED_VALUE"""),34)</f>
        <v>34</v>
      </c>
      <c r="G221">
        <f ca="1">IFERROR(__xludf.DUMMYFUNCTION("""COMPUTED_VALUE"""),14)</f>
        <v>14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IFERROR(__xludf.DUMMYFUNCTION("""COMPUTED_VALUE"""),218)</f>
        <v>218</v>
      </c>
      <c r="C222" t="str">
        <f ca="1">IFERROR(__xludf.DUMMYFUNCTION("""COMPUTED_VALUE"""),"Matthias Schwab")</f>
        <v>Matthias Schwab</v>
      </c>
      <c r="D222">
        <f ca="1">IFERROR(__xludf.DUMMYFUNCTION("""COMPUTED_VALUE"""),8)</f>
        <v>8</v>
      </c>
      <c r="E222">
        <f ca="1">IFERROR(__xludf.DUMMYFUNCTION("""COMPUTED_VALUE"""),40.91)</f>
        <v>40.909999999999997</v>
      </c>
      <c r="F222">
        <f ca="1">IFERROR(__xludf.DUMMYFUNCTION("""COMPUTED_VALUE"""),22)</f>
        <v>22</v>
      </c>
      <c r="G222">
        <f ca="1">IFERROR(__xludf.DUMMYFUNCTION("""COMPUTED_VALUE"""),9)</f>
        <v>9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IFERROR(__xludf.DUMMYFUNCTION("""COMPUTED_VALUE"""),219)</f>
        <v>219</v>
      </c>
      <c r="C223" t="str">
        <f ca="1">IFERROR(__xludf.DUMMYFUNCTION("""COMPUTED_VALUE"""),"Tommy Fleetwood")</f>
        <v>Tommy Fleetwood</v>
      </c>
      <c r="D223">
        <f ca="1">IFERROR(__xludf.DUMMYFUNCTION("""COMPUTED_VALUE"""),10)</f>
        <v>10</v>
      </c>
      <c r="E223">
        <f ca="1">IFERROR(__xludf.DUMMYFUNCTION("""COMPUTED_VALUE"""),40.85)</f>
        <v>40.85</v>
      </c>
      <c r="F223">
        <f ca="1">IFERROR(__xludf.DUMMYFUNCTION("""COMPUTED_VALUE"""),71)</f>
        <v>71</v>
      </c>
      <c r="G223">
        <f ca="1">IFERROR(__xludf.DUMMYFUNCTION("""COMPUTED_VALUE"""),29)</f>
        <v>29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IFERROR(__xludf.DUMMYFUNCTION("""COMPUTED_VALUE"""),220)</f>
        <v>220</v>
      </c>
      <c r="C224" t="str">
        <f ca="1">IFERROR(__xludf.DUMMYFUNCTION("""COMPUTED_VALUE"""),"Robert Streb")</f>
        <v>Robert Streb</v>
      </c>
      <c r="D224">
        <f ca="1">IFERROR(__xludf.DUMMYFUNCTION("""COMPUTED_VALUE"""),12)</f>
        <v>12</v>
      </c>
      <c r="E224">
        <f ca="1">IFERROR(__xludf.DUMMYFUNCTION("""COMPUTED_VALUE"""),40.74)</f>
        <v>40.74</v>
      </c>
      <c r="F224">
        <f ca="1">IFERROR(__xludf.DUMMYFUNCTION("""COMPUTED_VALUE"""),27)</f>
        <v>27</v>
      </c>
      <c r="G224">
        <f ca="1">IFERROR(__xludf.DUMMYFUNCTION("""COMPUTED_VALUE"""),11)</f>
        <v>11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IFERROR(__xludf.DUMMYFUNCTION("""COMPUTED_VALUE"""),222)</f>
        <v>222</v>
      </c>
      <c r="C225" t="str">
        <f ca="1">IFERROR(__xludf.DUMMYFUNCTION("""COMPUTED_VALUE"""),"Jordan Spieth")</f>
        <v>Jordan Spieth</v>
      </c>
      <c r="D225">
        <f ca="1">IFERROR(__xludf.DUMMYFUNCTION("""COMPUTED_VALUE"""),14)</f>
        <v>14</v>
      </c>
      <c r="E225">
        <f ca="1">IFERROR(__xludf.DUMMYFUNCTION("""COMPUTED_VALUE"""),40.68)</f>
        <v>40.68</v>
      </c>
      <c r="F225">
        <f ca="1">IFERROR(__xludf.DUMMYFUNCTION("""COMPUTED_VALUE"""),118)</f>
        <v>118</v>
      </c>
      <c r="G225">
        <f ca="1">IFERROR(__xludf.DUMMYFUNCTION("""COMPUTED_VALUE"""),48)</f>
        <v>48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IFERROR(__xludf.DUMMYFUNCTION("""COMPUTED_VALUE"""),253)</f>
        <v>253</v>
      </c>
      <c r="C226" t="str">
        <f ca="1">IFERROR(__xludf.DUMMYFUNCTION("""COMPUTED_VALUE"""),"Hudson Swafford")</f>
        <v>Hudson Swafford</v>
      </c>
      <c r="D226">
        <f ca="1">IFERROR(__xludf.DUMMYFUNCTION("""COMPUTED_VALUE"""),18)</f>
        <v>18</v>
      </c>
      <c r="E226">
        <f ca="1">IFERROR(__xludf.DUMMYFUNCTION("""COMPUTED_VALUE"""),40.63)</f>
        <v>40.630000000000003</v>
      </c>
      <c r="F226">
        <f ca="1">IFERROR(__xludf.DUMMYFUNCTION("""COMPUTED_VALUE"""),64)</f>
        <v>64</v>
      </c>
      <c r="G226">
        <f ca="1">IFERROR(__xludf.DUMMYFUNCTION("""COMPUTED_VALUE"""),26)</f>
        <v>26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IFERROR(__xludf.DUMMYFUNCTION("""COMPUTED_VALUE"""),244)</f>
        <v>244</v>
      </c>
      <c r="C227" t="str">
        <f ca="1">IFERROR(__xludf.DUMMYFUNCTION("""COMPUTED_VALUE"""),"Carlos Ortiz")</f>
        <v>Carlos Ortiz</v>
      </c>
      <c r="D227">
        <f ca="1">IFERROR(__xludf.DUMMYFUNCTION("""COMPUTED_VALUE"""),20)</f>
        <v>20</v>
      </c>
      <c r="E227">
        <f ca="1">IFERROR(__xludf.DUMMYFUNCTION("""COMPUTED_VALUE"""),40.54)</f>
        <v>40.54</v>
      </c>
      <c r="F227">
        <f ca="1">IFERROR(__xludf.DUMMYFUNCTION("""COMPUTED_VALUE"""),111)</f>
        <v>111</v>
      </c>
      <c r="G227">
        <f ca="1">IFERROR(__xludf.DUMMYFUNCTION("""COMPUTED_VALUE"""),45)</f>
        <v>45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IFERROR(__xludf.DUMMYFUNCTION("""COMPUTED_VALUE"""),221)</f>
        <v>221</v>
      </c>
      <c r="C228" t="str">
        <f ca="1">IFERROR(__xludf.DUMMYFUNCTION("""COMPUTED_VALUE"""),"Wyndham Clark")</f>
        <v>Wyndham Clark</v>
      </c>
      <c r="D228">
        <f ca="1">IFERROR(__xludf.DUMMYFUNCTION("""COMPUTED_VALUE"""),16)</f>
        <v>16</v>
      </c>
      <c r="E228">
        <f ca="1">IFERROR(__xludf.DUMMYFUNCTION("""COMPUTED_VALUE"""),40.51)</f>
        <v>40.51</v>
      </c>
      <c r="F228">
        <f ca="1">IFERROR(__xludf.DUMMYFUNCTION("""COMPUTED_VALUE"""),79)</f>
        <v>79</v>
      </c>
      <c r="G228">
        <f ca="1">IFERROR(__xludf.DUMMYFUNCTION("""COMPUTED_VALUE"""),32)</f>
        <v>32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IFERROR(__xludf.DUMMYFUNCTION("""COMPUTED_VALUE"""),223)</f>
        <v>223</v>
      </c>
      <c r="C229" t="str">
        <f ca="1">IFERROR(__xludf.DUMMYFUNCTION("""COMPUTED_VALUE"""),"Joseph Bramlett")</f>
        <v>Joseph Bramlett</v>
      </c>
      <c r="D229">
        <f ca="1">IFERROR(__xludf.DUMMYFUNCTION("""COMPUTED_VALUE"""),18)</f>
        <v>18</v>
      </c>
      <c r="E229">
        <f ca="1">IFERROR(__xludf.DUMMYFUNCTION("""COMPUTED_VALUE"""),40.28)</f>
        <v>40.28</v>
      </c>
      <c r="F229">
        <f ca="1">IFERROR(__xludf.DUMMYFUNCTION("""COMPUTED_VALUE"""),72)</f>
        <v>72</v>
      </c>
      <c r="G229">
        <f ca="1">IFERROR(__xludf.DUMMYFUNCTION("""COMPUTED_VALUE"""),29)</f>
        <v>29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IFERROR(__xludf.DUMMYFUNCTION("""COMPUTED_VALUE"""),224)</f>
        <v>224</v>
      </c>
      <c r="C230" t="str">
        <f ca="1">IFERROR(__xludf.DUMMYFUNCTION("""COMPUTED_VALUE"""),"Collin Morikawa")</f>
        <v>Collin Morikawa</v>
      </c>
      <c r="D230">
        <f ca="1">IFERROR(__xludf.DUMMYFUNCTION("""COMPUTED_VALUE"""),12)</f>
        <v>12</v>
      </c>
      <c r="E230">
        <f ca="1">IFERROR(__xludf.DUMMYFUNCTION("""COMPUTED_VALUE"""),40.24)</f>
        <v>40.24</v>
      </c>
      <c r="F230">
        <f ca="1">IFERROR(__xludf.DUMMYFUNCTION("""COMPUTED_VALUE"""),82)</f>
        <v>82</v>
      </c>
      <c r="G230">
        <f ca="1">IFERROR(__xludf.DUMMYFUNCTION("""COMPUTED_VALUE"""),33)</f>
        <v>33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IFERROR(__xludf.DUMMYFUNCTION("""COMPUTED_VALUE"""),203)</f>
        <v>203</v>
      </c>
      <c r="C231" t="str">
        <f ca="1">IFERROR(__xludf.DUMMYFUNCTION("""COMPUTED_VALUE"""),"Adam Schenk")</f>
        <v>Adam Schenk</v>
      </c>
      <c r="D231">
        <f ca="1">IFERROR(__xludf.DUMMYFUNCTION("""COMPUTED_VALUE"""),22)</f>
        <v>22</v>
      </c>
      <c r="E231">
        <f ca="1">IFERROR(__xludf.DUMMYFUNCTION("""COMPUTED_VALUE"""),40.21)</f>
        <v>40.21</v>
      </c>
      <c r="F231">
        <f ca="1">IFERROR(__xludf.DUMMYFUNCTION("""COMPUTED_VALUE"""),97)</f>
        <v>97</v>
      </c>
      <c r="G231">
        <f ca="1">IFERROR(__xludf.DUMMYFUNCTION("""COMPUTED_VALUE"""),39)</f>
        <v>39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IFERROR(__xludf.DUMMYFUNCTION("""COMPUTED_VALUE"""),"T225")</f>
        <v>T225</v>
      </c>
      <c r="C232" t="str">
        <f ca="1">IFERROR(__xludf.DUMMYFUNCTION("""COMPUTED_VALUE"""),"Davis Riley")</f>
        <v>Davis Riley</v>
      </c>
      <c r="D232">
        <f ca="1">IFERROR(__xludf.DUMMYFUNCTION("""COMPUTED_VALUE"""),4)</f>
        <v>4</v>
      </c>
      <c r="E232">
        <f ca="1">IFERROR(__xludf.DUMMYFUNCTION("""COMPUTED_VALUE"""),40)</f>
        <v>40</v>
      </c>
      <c r="F232">
        <f ca="1">IFERROR(__xludf.DUMMYFUNCTION("""COMPUTED_VALUE"""),30)</f>
        <v>30</v>
      </c>
      <c r="G232">
        <f ca="1">IFERROR(__xludf.DUMMYFUNCTION("""COMPUTED_VALUE"""),12)</f>
        <v>12</v>
      </c>
    </row>
    <row r="233" spans="1:7" ht="12.75">
      <c r="A233" t="str">
        <f ca="1">IFERROR(__xludf.DUMMYFUNCTION("""COMPUTED_VALUE"""),"T231")</f>
        <v>T231</v>
      </c>
      <c r="B233" t="str">
        <f ca="1">IFERROR(__xludf.DUMMYFUNCTION("""COMPUTED_VALUE"""),"")</f>
        <v/>
      </c>
      <c r="C233" t="str">
        <f ca="1">IFERROR(__xludf.DUMMYFUNCTION("""COMPUTED_VALUE"""),"Justin Harding")</f>
        <v>Justin Harding</v>
      </c>
      <c r="D233">
        <f ca="1">IFERROR(__xludf.DUMMYFUNCTION("""COMPUTED_VALUE"""),6)</f>
        <v>6</v>
      </c>
      <c r="E233">
        <f ca="1">IFERROR(__xludf.DUMMYFUNCTION("""COMPUTED_VALUE"""),40)</f>
        <v>40</v>
      </c>
      <c r="F233">
        <f ca="1">IFERROR(__xludf.DUMMYFUNCTION("""COMPUTED_VALUE"""),45)</f>
        <v>45</v>
      </c>
      <c r="G233">
        <f ca="1">IFERROR(__xludf.DUMMYFUNCTION("""COMPUTED_VALUE"""),18)</f>
        <v>18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IFERROR(__xludf.DUMMYFUNCTION("""COMPUTED_VALUE"""),249)</f>
        <v>249</v>
      </c>
      <c r="C234" t="str">
        <f ca="1">IFERROR(__xludf.DUMMYFUNCTION("""COMPUTED_VALUE"""),"Scott Brown")</f>
        <v>Scott Brown</v>
      </c>
      <c r="D234">
        <f ca="1">IFERROR(__xludf.DUMMYFUNCTION("""COMPUTED_VALUE"""),14)</f>
        <v>14</v>
      </c>
      <c r="E234">
        <f ca="1">IFERROR(__xludf.DUMMYFUNCTION("""COMPUTED_VALUE"""),39.62)</f>
        <v>39.619999999999997</v>
      </c>
      <c r="F234">
        <f ca="1">IFERROR(__xludf.DUMMYFUNCTION("""COMPUTED_VALUE"""),53)</f>
        <v>53</v>
      </c>
      <c r="G234">
        <f ca="1">IFERROR(__xludf.DUMMYFUNCTION("""COMPUTED_VALUE"""),21)</f>
        <v>21</v>
      </c>
    </row>
    <row r="235" spans="1:7" ht="12.75">
      <c r="A235">
        <f ca="1">IFERROR(__xludf.DUMMYFUNCTION("""COMPUTED_VALUE"""),234)</f>
        <v>234</v>
      </c>
      <c r="B235" t="str">
        <f ca="1">IFERROR(__xludf.DUMMYFUNCTION("""COMPUTED_VALUE"""),"T225")</f>
        <v>T225</v>
      </c>
      <c r="C235" t="str">
        <f ca="1">IFERROR(__xludf.DUMMYFUNCTION("""COMPUTED_VALUE"""),"Graeme McDowell")</f>
        <v>Graeme McDowell</v>
      </c>
      <c r="D235">
        <f ca="1">IFERROR(__xludf.DUMMYFUNCTION("""COMPUTED_VALUE"""),8)</f>
        <v>8</v>
      </c>
      <c r="E235">
        <f ca="1">IFERROR(__xludf.DUMMYFUNCTION("""COMPUTED_VALUE"""),39.53)</f>
        <v>39.53</v>
      </c>
      <c r="F235">
        <f ca="1">IFERROR(__xludf.DUMMYFUNCTION("""COMPUTED_VALUE"""),43)</f>
        <v>43</v>
      </c>
      <c r="G235">
        <f ca="1">IFERROR(__xludf.DUMMYFUNCTION("""COMPUTED_VALUE"""),17)</f>
        <v>17</v>
      </c>
    </row>
    <row r="236" spans="1:7" ht="12.75">
      <c r="A236" t="str">
        <f ca="1">IFERROR(__xludf.DUMMYFUNCTION("""COMPUTED_VALUE"""),"T235")</f>
        <v>T235</v>
      </c>
      <c r="B236" t="str">
        <f ca="1">IFERROR(__xludf.DUMMYFUNCTION("""COMPUTED_VALUE"""),"T229")</f>
        <v>T229</v>
      </c>
      <c r="C236" t="str">
        <f ca="1">IFERROR(__xludf.DUMMYFUNCTION("""COMPUTED_VALUE"""),"Brian Gay")</f>
        <v>Brian Gay</v>
      </c>
      <c r="D236">
        <f ca="1">IFERROR(__xludf.DUMMYFUNCTION("""COMPUTED_VALUE"""),8)</f>
        <v>8</v>
      </c>
      <c r="E236">
        <f ca="1">IFERROR(__xludf.DUMMYFUNCTION("""COMPUTED_VALUE"""),39.39)</f>
        <v>39.39</v>
      </c>
      <c r="F236">
        <f ca="1">IFERROR(__xludf.DUMMYFUNCTION("""COMPUTED_VALUE"""),33)</f>
        <v>33</v>
      </c>
      <c r="G236">
        <f ca="1">IFERROR(__xludf.DUMMYFUNCTION("""COMPUTED_VALUE"""),13)</f>
        <v>13</v>
      </c>
    </row>
    <row r="237" spans="1:7" ht="12.75">
      <c r="A237" t="str">
        <f ca="1">IFERROR(__xludf.DUMMYFUNCTION("""COMPUTED_VALUE"""),"T235")</f>
        <v>T235</v>
      </c>
      <c r="B237" t="str">
        <f ca="1">IFERROR(__xludf.DUMMYFUNCTION("""COMPUTED_VALUE"""),"T229")</f>
        <v>T229</v>
      </c>
      <c r="C237" t="str">
        <f ca="1">IFERROR(__xludf.DUMMYFUNCTION("""COMPUTED_VALUE"""),"Gunn Charoenkul")</f>
        <v>Gunn Charoenkul</v>
      </c>
      <c r="D237">
        <f ca="1">IFERROR(__xludf.DUMMYFUNCTION("""COMPUTED_VALUE"""),4)</f>
        <v>4</v>
      </c>
      <c r="E237">
        <f ca="1">IFERROR(__xludf.DUMMYFUNCTION("""COMPUTED_VALUE"""),39.39)</f>
        <v>39.39</v>
      </c>
      <c r="F237">
        <f ca="1">IFERROR(__xludf.DUMMYFUNCTION("""COMPUTED_VALUE"""),33)</f>
        <v>33</v>
      </c>
      <c r="G237">
        <f ca="1">IFERROR(__xludf.DUMMYFUNCTION("""COMPUTED_VALUE"""),13)</f>
        <v>13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IFERROR(__xludf.DUMMYFUNCTION("""COMPUTED_VALUE"""),231)</f>
        <v>231</v>
      </c>
      <c r="C238" t="str">
        <f ca="1">IFERROR(__xludf.DUMMYFUNCTION("""COMPUTED_VALUE"""),"J.J. Spaun")</f>
        <v>J.J. Spaun</v>
      </c>
      <c r="D238">
        <f ca="1">IFERROR(__xludf.DUMMYFUNCTION("""COMPUTED_VALUE"""),10)</f>
        <v>10</v>
      </c>
      <c r="E238">
        <f ca="1">IFERROR(__xludf.DUMMYFUNCTION("""COMPUTED_VALUE"""),39.13)</f>
        <v>39.130000000000003</v>
      </c>
      <c r="F238">
        <f ca="1">IFERROR(__xludf.DUMMYFUNCTION("""COMPUTED_VALUE"""),46)</f>
        <v>46</v>
      </c>
      <c r="G238">
        <f ca="1">IFERROR(__xludf.DUMMYFUNCTION("""COMPUTED_VALUE"""),18)</f>
        <v>18</v>
      </c>
    </row>
    <row r="239" spans="1:7" ht="12.75">
      <c r="A239">
        <f ca="1">IFERROR(__xludf.DUMMYFUNCTION("""COMPUTED_VALUE"""),238)</f>
        <v>238</v>
      </c>
      <c r="B239" t="str">
        <f ca="1">IFERROR(__xludf.DUMMYFUNCTION("""COMPUTED_VALUE"""),"T232")</f>
        <v>T232</v>
      </c>
      <c r="C239" t="str">
        <f ca="1">IFERROR(__xludf.DUMMYFUNCTION("""COMPUTED_VALUE"""),"Kyle Stanley")</f>
        <v>Kyle Stanley</v>
      </c>
      <c r="D239">
        <f ca="1">IFERROR(__xludf.DUMMYFUNCTION("""COMPUTED_VALUE"""),16)</f>
        <v>16</v>
      </c>
      <c r="E239">
        <f ca="1">IFERROR(__xludf.DUMMYFUNCTION("""COMPUTED_VALUE"""),38.98)</f>
        <v>38.979999999999997</v>
      </c>
      <c r="F239">
        <f ca="1">IFERROR(__xludf.DUMMYFUNCTION("""COMPUTED_VALUE"""),59)</f>
        <v>59</v>
      </c>
      <c r="G239">
        <f ca="1">IFERROR(__xludf.DUMMYFUNCTION("""COMPUTED_VALUE"""),23)</f>
        <v>23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IFERROR(__xludf.DUMMYFUNCTION("""COMPUTED_VALUE"""),234)</f>
        <v>234</v>
      </c>
      <c r="C240" t="str">
        <f ca="1">IFERROR(__xludf.DUMMYFUNCTION("""COMPUTED_VALUE"""),"Mark Anderson")</f>
        <v>Mark Anderson</v>
      </c>
      <c r="D240">
        <f ca="1">IFERROR(__xludf.DUMMYFUNCTION("""COMPUTED_VALUE"""),14)</f>
        <v>14</v>
      </c>
      <c r="E240">
        <f ca="1">IFERROR(__xludf.DUMMYFUNCTION("""COMPUTED_VALUE"""),38.89)</f>
        <v>38.89</v>
      </c>
      <c r="F240">
        <f ca="1">IFERROR(__xludf.DUMMYFUNCTION("""COMPUTED_VALUE"""),36)</f>
        <v>36</v>
      </c>
      <c r="G240">
        <f ca="1">IFERROR(__xludf.DUMMYFUNCTION("""COMPUTED_VALUE"""),14)</f>
        <v>14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IFERROR(__xludf.DUMMYFUNCTION("""COMPUTED_VALUE"""),235)</f>
        <v>235</v>
      </c>
      <c r="C241" t="str">
        <f ca="1">IFERROR(__xludf.DUMMYFUNCTION("""COMPUTED_VALUE"""),"Zac Blair")</f>
        <v>Zac Blair</v>
      </c>
      <c r="D241">
        <f ca="1">IFERROR(__xludf.DUMMYFUNCTION("""COMPUTED_VALUE"""),10)</f>
        <v>10</v>
      </c>
      <c r="E241">
        <f ca="1">IFERROR(__xludf.DUMMYFUNCTION("""COMPUTED_VALUE"""),38.78)</f>
        <v>38.78</v>
      </c>
      <c r="F241">
        <f ca="1">IFERROR(__xludf.DUMMYFUNCTION("""COMPUTED_VALUE"""),49)</f>
        <v>49</v>
      </c>
      <c r="G241">
        <f ca="1">IFERROR(__xludf.DUMMYFUNCTION("""COMPUTED_VALUE"""),19)</f>
        <v>19</v>
      </c>
    </row>
    <row r="242" spans="1:7" ht="12.75">
      <c r="A242">
        <f ca="1">IFERROR(__xludf.DUMMYFUNCTION("""COMPUTED_VALUE"""),241)</f>
        <v>241</v>
      </c>
      <c r="B242" t="str">
        <f ca="1">IFERROR(__xludf.DUMMYFUNCTION("""COMPUTED_VALUE"""),"")</f>
        <v/>
      </c>
      <c r="C242" t="str">
        <f ca="1">IFERROR(__xludf.DUMMYFUNCTION("""COMPUTED_VALUE"""),"Francesco Molinari")</f>
        <v>Francesco Molinari</v>
      </c>
      <c r="D242">
        <f ca="1">IFERROR(__xludf.DUMMYFUNCTION("""COMPUTED_VALUE"""),6)</f>
        <v>6</v>
      </c>
      <c r="E242">
        <f ca="1">IFERROR(__xludf.DUMMYFUNCTION("""COMPUTED_VALUE"""),38.64)</f>
        <v>38.64</v>
      </c>
      <c r="F242">
        <f ca="1">IFERROR(__xludf.DUMMYFUNCTION("""COMPUTED_VALUE"""),44)</f>
        <v>44</v>
      </c>
      <c r="G242">
        <f ca="1">IFERROR(__xludf.DUMMYFUNCTION("""COMPUTED_VALUE"""),17)</f>
        <v>17</v>
      </c>
    </row>
    <row r="243" spans="1:7" ht="12.75">
      <c r="A243" t="str">
        <f ca="1">IFERROR(__xludf.DUMMYFUNCTION("""COMPUTED_VALUE"""),"T242")</f>
        <v>T242</v>
      </c>
      <c r="B243" t="str">
        <f ca="1">IFERROR(__xludf.DUMMYFUNCTION("""COMPUTED_VALUE"""),"T236")</f>
        <v>T236</v>
      </c>
      <c r="C243" t="str">
        <f ca="1">IFERROR(__xludf.DUMMYFUNCTION("""COMPUTED_VALUE"""),"Shawn Stefani")</f>
        <v>Shawn Stefani</v>
      </c>
      <c r="D243">
        <f ca="1">IFERROR(__xludf.DUMMYFUNCTION("""COMPUTED_VALUE"""),5)</f>
        <v>5</v>
      </c>
      <c r="E243">
        <f ca="1">IFERROR(__xludf.DUMMYFUNCTION("""COMPUTED_VALUE"""),38.46)</f>
        <v>38.46</v>
      </c>
      <c r="F243">
        <f ca="1">IFERROR(__xludf.DUMMYFUNCTION("""COMPUTED_VALUE"""),13)</f>
        <v>13</v>
      </c>
      <c r="G243">
        <f ca="1">IFERROR(__xludf.DUMMYFUNCTION("""COMPUTED_VALUE"""),5)</f>
        <v>5</v>
      </c>
    </row>
    <row r="244" spans="1:7" ht="12.75">
      <c r="A244" t="str">
        <f ca="1">IFERROR(__xludf.DUMMYFUNCTION("""COMPUTED_VALUE"""),"T242")</f>
        <v>T242</v>
      </c>
      <c r="B244" t="str">
        <f ca="1">IFERROR(__xludf.DUMMYFUNCTION("""COMPUTED_VALUE"""),"T236")</f>
        <v>T236</v>
      </c>
      <c r="C244" t="str">
        <f ca="1">IFERROR(__xludf.DUMMYFUNCTION("""COMPUTED_VALUE"""),"William McGirt")</f>
        <v>William McGirt</v>
      </c>
      <c r="D244">
        <f ca="1">IFERROR(__xludf.DUMMYFUNCTION("""COMPUTED_VALUE"""),6)</f>
        <v>6</v>
      </c>
      <c r="E244">
        <f ca="1">IFERROR(__xludf.DUMMYFUNCTION("""COMPUTED_VALUE"""),38.46)</f>
        <v>38.46</v>
      </c>
      <c r="F244">
        <f ca="1">IFERROR(__xludf.DUMMYFUNCTION("""COMPUTED_VALUE"""),39)</f>
        <v>39</v>
      </c>
      <c r="G244">
        <f ca="1">IFERROR(__xludf.DUMMYFUNCTION("""COMPUTED_VALUE"""),15)</f>
        <v>15</v>
      </c>
    </row>
    <row r="245" spans="1:7" ht="12.75">
      <c r="A245" t="str">
        <f ca="1">IFERROR(__xludf.DUMMYFUNCTION("""COMPUTED_VALUE"""),"T242")</f>
        <v>T242</v>
      </c>
      <c r="B245" t="str">
        <f ca="1">IFERROR(__xludf.DUMMYFUNCTION("""COMPUTED_VALUE"""),"T236")</f>
        <v>T236</v>
      </c>
      <c r="C245" t="str">
        <f ca="1">IFERROR(__xludf.DUMMYFUNCTION("""COMPUTED_VALUE"""),"Wes Roach")</f>
        <v>Wes Roach</v>
      </c>
      <c r="D245">
        <f ca="1">IFERROR(__xludf.DUMMYFUNCTION("""COMPUTED_VALUE"""),6)</f>
        <v>6</v>
      </c>
      <c r="E245">
        <f ca="1">IFERROR(__xludf.DUMMYFUNCTION("""COMPUTED_VALUE"""),38.46)</f>
        <v>38.46</v>
      </c>
      <c r="F245">
        <f ca="1">IFERROR(__xludf.DUMMYFUNCTION("""COMPUTED_VALUE"""),13)</f>
        <v>13</v>
      </c>
      <c r="G245">
        <f ca="1">IFERROR(__xludf.DUMMYFUNCTION("""COMPUTED_VALUE"""),5)</f>
        <v>5</v>
      </c>
    </row>
    <row r="246" spans="1:7" ht="12.75">
      <c r="A246" t="str">
        <f ca="1">IFERROR(__xludf.DUMMYFUNCTION("""COMPUTED_VALUE"""),"T242")</f>
        <v>T242</v>
      </c>
      <c r="B246" t="str">
        <f ca="1">IFERROR(__xludf.DUMMYFUNCTION("""COMPUTED_VALUE"""),"T236")</f>
        <v>T236</v>
      </c>
      <c r="C246" t="str">
        <f ca="1">IFERROR(__xludf.DUMMYFUNCTION("""COMPUTED_VALUE"""),"Luke Schniederjans")</f>
        <v>Luke Schniederjans</v>
      </c>
      <c r="D246">
        <f ca="1">IFERROR(__xludf.DUMMYFUNCTION("""COMPUTED_VALUE"""),4)</f>
        <v>4</v>
      </c>
      <c r="E246">
        <f ca="1">IFERROR(__xludf.DUMMYFUNCTION("""COMPUTED_VALUE"""),38.46)</f>
        <v>38.46</v>
      </c>
      <c r="F246">
        <f ca="1">IFERROR(__xludf.DUMMYFUNCTION("""COMPUTED_VALUE"""),13)</f>
        <v>13</v>
      </c>
      <c r="G246">
        <f ca="1">IFERROR(__xludf.DUMMYFUNCTION("""COMPUTED_VALUE"""),5)</f>
        <v>5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IFERROR(__xludf.DUMMYFUNCTION("""COMPUTED_VALUE"""),240)</f>
        <v>240</v>
      </c>
      <c r="C247" t="str">
        <f ca="1">IFERROR(__xludf.DUMMYFUNCTION("""COMPUTED_VALUE"""),"Marc Leishman")</f>
        <v>Marc Leishman</v>
      </c>
      <c r="D247">
        <f ca="1">IFERROR(__xludf.DUMMYFUNCTION("""COMPUTED_VALUE"""),10)</f>
        <v>10</v>
      </c>
      <c r="E247">
        <f ca="1">IFERROR(__xludf.DUMMYFUNCTION("""COMPUTED_VALUE"""),38.36)</f>
        <v>38.36</v>
      </c>
      <c r="F247">
        <f ca="1">IFERROR(__xludf.DUMMYFUNCTION("""COMPUTED_VALUE"""),73)</f>
        <v>73</v>
      </c>
      <c r="G247">
        <f ca="1">IFERROR(__xludf.DUMMYFUNCTION("""COMPUTED_VALUE"""),28)</f>
        <v>28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IFERROR(__xludf.DUMMYFUNCTION("""COMPUTED_VALUE"""),241)</f>
        <v>241</v>
      </c>
      <c r="C248" t="str">
        <f ca="1">IFERROR(__xludf.DUMMYFUNCTION("""COMPUTED_VALUE"""),"Chez Reavie")</f>
        <v>Chez Reavie</v>
      </c>
      <c r="D248">
        <f ca="1">IFERROR(__xludf.DUMMYFUNCTION("""COMPUTED_VALUE"""),14)</f>
        <v>14</v>
      </c>
      <c r="E248">
        <f ca="1">IFERROR(__xludf.DUMMYFUNCTION("""COMPUTED_VALUE"""),38.1)</f>
        <v>38.1</v>
      </c>
      <c r="F248">
        <f ca="1">IFERROR(__xludf.DUMMYFUNCTION("""COMPUTED_VALUE"""),105)</f>
        <v>105</v>
      </c>
      <c r="G248">
        <f ca="1">IFERROR(__xludf.DUMMYFUNCTION("""COMPUTED_VALUE"""),40)</f>
        <v>40</v>
      </c>
    </row>
    <row r="249" spans="1:7" ht="12.75">
      <c r="A249">
        <f ca="1">IFERROR(__xludf.DUMMYFUNCTION("""COMPUTED_VALUE"""),248)</f>
        <v>248</v>
      </c>
      <c r="B249" t="str">
        <f ca="1">IFERROR(__xludf.DUMMYFUNCTION("""COMPUTED_VALUE"""),"T256")</f>
        <v>T256</v>
      </c>
      <c r="C249" t="str">
        <f ca="1">IFERROR(__xludf.DUMMYFUNCTION("""COMPUTED_VALUE"""),"Kramer Hickok")</f>
        <v>Kramer Hickok</v>
      </c>
      <c r="D249">
        <f ca="1">IFERROR(__xludf.DUMMYFUNCTION("""COMPUTED_VALUE"""),16)</f>
        <v>16</v>
      </c>
      <c r="E249">
        <f ca="1">IFERROR(__xludf.DUMMYFUNCTION("""COMPUTED_VALUE"""),38)</f>
        <v>38</v>
      </c>
      <c r="F249">
        <f ca="1">IFERROR(__xludf.DUMMYFUNCTION("""COMPUTED_VALUE"""),50)</f>
        <v>50</v>
      </c>
      <c r="G249">
        <f ca="1">IFERROR(__xludf.DUMMYFUNCTION("""COMPUTED_VALUE"""),19)</f>
        <v>19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IFERROR(__xludf.DUMMYFUNCTION("""COMPUTED_VALUE"""),"T232")</f>
        <v>T232</v>
      </c>
      <c r="C250" t="str">
        <f ca="1">IFERROR(__xludf.DUMMYFUNCTION("""COMPUTED_VALUE"""),"Ryan Armour")</f>
        <v>Ryan Armour</v>
      </c>
      <c r="D250">
        <f ca="1">IFERROR(__xludf.DUMMYFUNCTION("""COMPUTED_VALUE"""),16)</f>
        <v>16</v>
      </c>
      <c r="E250">
        <f ca="1">IFERROR(__xludf.DUMMYFUNCTION("""COMPUTED_VALUE"""),37.84)</f>
        <v>37.840000000000003</v>
      </c>
      <c r="F250">
        <f ca="1">IFERROR(__xludf.DUMMYFUNCTION("""COMPUTED_VALUE"""),74)</f>
        <v>74</v>
      </c>
      <c r="G250">
        <f ca="1">IFERROR(__xludf.DUMMYFUNCTION("""COMPUTED_VALUE"""),28)</f>
        <v>28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IFERROR(__xludf.DUMMYFUNCTION("""COMPUTED_VALUE"""),245)</f>
        <v>245</v>
      </c>
      <c r="C251" t="str">
        <f ca="1">IFERROR(__xludf.DUMMYFUNCTION("""COMPUTED_VALUE"""),"J.B. Holmes")</f>
        <v>J.B. Holmes</v>
      </c>
      <c r="D251">
        <f ca="1">IFERROR(__xludf.DUMMYFUNCTION("""COMPUTED_VALUE"""),10)</f>
        <v>10</v>
      </c>
      <c r="E251">
        <f ca="1">IFERROR(__xludf.DUMMYFUNCTION("""COMPUTED_VALUE"""),37.14)</f>
        <v>37.14</v>
      </c>
      <c r="F251">
        <f ca="1">IFERROR(__xludf.DUMMYFUNCTION("""COMPUTED_VALUE"""),70)</f>
        <v>70</v>
      </c>
      <c r="G251">
        <f ca="1">IFERROR(__xludf.DUMMYFUNCTION("""COMPUTED_VALUE"""),26)</f>
        <v>26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IFERROR(__xludf.DUMMYFUNCTION("""COMPUTED_VALUE"""),248)</f>
        <v>248</v>
      </c>
      <c r="C252" t="str">
        <f ca="1">IFERROR(__xludf.DUMMYFUNCTION("""COMPUTED_VALUE"""),"Byeong Hun An")</f>
        <v>Byeong Hun An</v>
      </c>
      <c r="D252">
        <f ca="1">IFERROR(__xludf.DUMMYFUNCTION("""COMPUTED_VALUE"""),14)</f>
        <v>14</v>
      </c>
      <c r="E252">
        <f ca="1">IFERROR(__xludf.DUMMYFUNCTION("""COMPUTED_VALUE"""),36.75)</f>
        <v>36.75</v>
      </c>
      <c r="F252">
        <f ca="1">IFERROR(__xludf.DUMMYFUNCTION("""COMPUTED_VALUE"""),117)</f>
        <v>117</v>
      </c>
      <c r="G252">
        <f ca="1">IFERROR(__xludf.DUMMYFUNCTION("""COMPUTED_VALUE"""),43)</f>
        <v>43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IFERROR(__xludf.DUMMYFUNCTION("""COMPUTED_VALUE"""),246)</f>
        <v>246</v>
      </c>
      <c r="C253" t="str">
        <f ca="1">IFERROR(__xludf.DUMMYFUNCTION("""COMPUTED_VALUE"""),"Xinjun Zhang")</f>
        <v>Xinjun Zhang</v>
      </c>
      <c r="D253">
        <f ca="1">IFERROR(__xludf.DUMMYFUNCTION("""COMPUTED_VALUE"""),14)</f>
        <v>14</v>
      </c>
      <c r="E253">
        <f ca="1">IFERROR(__xludf.DUMMYFUNCTION("""COMPUTED_VALUE"""),36.36)</f>
        <v>36.36</v>
      </c>
      <c r="F253">
        <f ca="1">IFERROR(__xludf.DUMMYFUNCTION("""COMPUTED_VALUE"""),77)</f>
        <v>77</v>
      </c>
      <c r="G253">
        <f ca="1">IFERROR(__xludf.DUMMYFUNCTION("""COMPUTED_VALUE"""),28)</f>
        <v>28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IFERROR(__xludf.DUMMYFUNCTION("""COMPUTED_VALUE"""),171)</f>
        <v>171</v>
      </c>
      <c r="C254" t="str">
        <f ca="1">IFERROR(__xludf.DUMMYFUNCTION("""COMPUTED_VALUE"""),"Patrick Rodgers")</f>
        <v>Patrick Rodgers</v>
      </c>
      <c r="D254">
        <f ca="1">IFERROR(__xludf.DUMMYFUNCTION("""COMPUTED_VALUE"""),18)</f>
        <v>18</v>
      </c>
      <c r="E254">
        <f ca="1">IFERROR(__xludf.DUMMYFUNCTION("""COMPUTED_VALUE"""),35.82)</f>
        <v>35.82</v>
      </c>
      <c r="F254">
        <f ca="1">IFERROR(__xludf.DUMMYFUNCTION("""COMPUTED_VALUE"""),67)</f>
        <v>67</v>
      </c>
      <c r="G254">
        <f ca="1">IFERROR(__xludf.DUMMYFUNCTION("""COMPUTED_VALUE"""),24)</f>
        <v>24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IFERROR(__xludf.DUMMYFUNCTION("""COMPUTED_VALUE"""),250)</f>
        <v>250</v>
      </c>
      <c r="C255" t="str">
        <f ca="1">IFERROR(__xludf.DUMMYFUNCTION("""COMPUTED_VALUE"""),"John Senden")</f>
        <v>John Senden</v>
      </c>
      <c r="D255">
        <f ca="1">IFERROR(__xludf.DUMMYFUNCTION("""COMPUTED_VALUE"""),8)</f>
        <v>8</v>
      </c>
      <c r="E255">
        <f ca="1">IFERROR(__xludf.DUMMYFUNCTION("""COMPUTED_VALUE"""),35.71)</f>
        <v>35.71</v>
      </c>
      <c r="F255">
        <f ca="1">IFERROR(__xludf.DUMMYFUNCTION("""COMPUTED_VALUE"""),14)</f>
        <v>14</v>
      </c>
      <c r="G255">
        <f ca="1">IFERROR(__xludf.DUMMYFUNCTION("""COMPUTED_VALUE"""),5)</f>
        <v>5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IFERROR(__xludf.DUMMYFUNCTION("""COMPUTED_VALUE"""),251)</f>
        <v>251</v>
      </c>
      <c r="C256" t="str">
        <f ca="1">IFERROR(__xludf.DUMMYFUNCTION("""COMPUTED_VALUE"""),"Jim Herman")</f>
        <v>Jim Herman</v>
      </c>
      <c r="D256">
        <f ca="1">IFERROR(__xludf.DUMMYFUNCTION("""COMPUTED_VALUE"""),12)</f>
        <v>12</v>
      </c>
      <c r="E256">
        <f ca="1">IFERROR(__xludf.DUMMYFUNCTION("""COMPUTED_VALUE"""),35.63)</f>
        <v>35.630000000000003</v>
      </c>
      <c r="F256">
        <f ca="1">IFERROR(__xludf.DUMMYFUNCTION("""COMPUTED_VALUE"""),87)</f>
        <v>87</v>
      </c>
      <c r="G256">
        <f ca="1">IFERROR(__xludf.DUMMYFUNCTION("""COMPUTED_VALUE"""),31)</f>
        <v>31</v>
      </c>
    </row>
    <row r="257" spans="1:7" ht="12.75">
      <c r="A257">
        <f ca="1">IFERROR(__xludf.DUMMYFUNCTION("""COMPUTED_VALUE"""),256)</f>
        <v>256</v>
      </c>
      <c r="B257" t="str">
        <f ca="1">IFERROR(__xludf.DUMMYFUNCTION("""COMPUTED_VALUE"""),"T212")</f>
        <v>T212</v>
      </c>
      <c r="C257" t="str">
        <f ca="1">IFERROR(__xludf.DUMMYFUNCTION("""COMPUTED_VALUE"""),"Bronson Burgoon")</f>
        <v>Bronson Burgoon</v>
      </c>
      <c r="D257">
        <f ca="1">IFERROR(__xludf.DUMMYFUNCTION("""COMPUTED_VALUE"""),10)</f>
        <v>10</v>
      </c>
      <c r="E257">
        <f ca="1">IFERROR(__xludf.DUMMYFUNCTION("""COMPUTED_VALUE"""),35.19)</f>
        <v>35.19</v>
      </c>
      <c r="F257">
        <f ca="1">IFERROR(__xludf.DUMMYFUNCTION("""COMPUTED_VALUE"""),54)</f>
        <v>54</v>
      </c>
      <c r="G257">
        <f ca="1">IFERROR(__xludf.DUMMYFUNCTION("""COMPUTED_VALUE"""),19)</f>
        <v>19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IFERROR(__xludf.DUMMYFUNCTION("""COMPUTED_VALUE"""),"")</f>
        <v/>
      </c>
      <c r="C258" t="str">
        <f ca="1">IFERROR(__xludf.DUMMYFUNCTION("""COMPUTED_VALUE"""),"Greg Chalmers")</f>
        <v>Greg Chalmers</v>
      </c>
      <c r="D258">
        <f ca="1">IFERROR(__xludf.DUMMYFUNCTION("""COMPUTED_VALUE"""),6)</f>
        <v>6</v>
      </c>
      <c r="E258">
        <f ca="1">IFERROR(__xludf.DUMMYFUNCTION("""COMPUTED_VALUE"""),34.88)</f>
        <v>34.880000000000003</v>
      </c>
      <c r="F258">
        <f ca="1">IFERROR(__xludf.DUMMYFUNCTION("""COMPUTED_VALUE"""),43)</f>
        <v>43</v>
      </c>
      <c r="G258">
        <f ca="1">IFERROR(__xludf.DUMMYFUNCTION("""COMPUTED_VALUE"""),15)</f>
        <v>15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IFERROR(__xludf.DUMMYFUNCTION("""COMPUTED_VALUE"""),254)</f>
        <v>254</v>
      </c>
      <c r="C259" t="str">
        <f ca="1">IFERROR(__xludf.DUMMYFUNCTION("""COMPUTED_VALUE"""),"Chris Baker")</f>
        <v>Chris Baker</v>
      </c>
      <c r="D259">
        <f ca="1">IFERROR(__xludf.DUMMYFUNCTION("""COMPUTED_VALUE"""),8)</f>
        <v>8</v>
      </c>
      <c r="E259">
        <f ca="1">IFERROR(__xludf.DUMMYFUNCTION("""COMPUTED_VALUE"""),34.78)</f>
        <v>34.78</v>
      </c>
      <c r="F259">
        <f ca="1">IFERROR(__xludf.DUMMYFUNCTION("""COMPUTED_VALUE"""),23)</f>
        <v>23</v>
      </c>
      <c r="G259">
        <f ca="1">IFERROR(__xludf.DUMMYFUNCTION("""COMPUTED_VALUE"""),8)</f>
        <v>8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IFERROR(__xludf.DUMMYFUNCTION("""COMPUTED_VALUE"""),255)</f>
        <v>255</v>
      </c>
      <c r="C260" t="str">
        <f ca="1">IFERROR(__xludf.DUMMYFUNCTION("""COMPUTED_VALUE"""),"Andy Zhang")</f>
        <v>Andy Zhang</v>
      </c>
      <c r="D260">
        <f ca="1">IFERROR(__xludf.DUMMYFUNCTION("""COMPUTED_VALUE"""),4)</f>
        <v>4</v>
      </c>
      <c r="E260">
        <f ca="1">IFERROR(__xludf.DUMMYFUNCTION("""COMPUTED_VALUE"""),34.62)</f>
        <v>34.619999999999997</v>
      </c>
      <c r="F260">
        <f ca="1">IFERROR(__xludf.DUMMYFUNCTION("""COMPUTED_VALUE"""),26)</f>
        <v>26</v>
      </c>
      <c r="G260">
        <f ca="1">IFERROR(__xludf.DUMMYFUNCTION("""COMPUTED_VALUE"""),9)</f>
        <v>9</v>
      </c>
    </row>
    <row r="261" spans="1:7" ht="12.75">
      <c r="A261" t="str">
        <f ca="1">IFERROR(__xludf.DUMMYFUNCTION("""COMPUTED_VALUE"""),"T260")</f>
        <v>T260</v>
      </c>
      <c r="B261" t="str">
        <f ca="1">IFERROR(__xludf.DUMMYFUNCTION("""COMPUTED_VALUE"""),"T256")</f>
        <v>T256</v>
      </c>
      <c r="C261" t="str">
        <f ca="1">IFERROR(__xludf.DUMMYFUNCTION("""COMPUTED_VALUE"""),"Sebastian Cappelen")</f>
        <v>Sebastian Cappelen</v>
      </c>
      <c r="D261">
        <f ca="1">IFERROR(__xludf.DUMMYFUNCTION("""COMPUTED_VALUE"""),8)</f>
        <v>8</v>
      </c>
      <c r="E261">
        <f ca="1">IFERROR(__xludf.DUMMYFUNCTION("""COMPUTED_VALUE"""),33.33)</f>
        <v>33.33</v>
      </c>
      <c r="F261">
        <f ca="1">IFERROR(__xludf.DUMMYFUNCTION("""COMPUTED_VALUE"""),30)</f>
        <v>30</v>
      </c>
      <c r="G261">
        <f ca="1">IFERROR(__xludf.DUMMYFUNCTION("""COMPUTED_VALUE"""),10)</f>
        <v>10</v>
      </c>
    </row>
    <row r="262" spans="1:7" ht="12.75">
      <c r="A262" t="str">
        <f ca="1">IFERROR(__xludf.DUMMYFUNCTION("""COMPUTED_VALUE"""),"T260")</f>
        <v>T260</v>
      </c>
      <c r="B262" t="str">
        <f ca="1">IFERROR(__xludf.DUMMYFUNCTION("""COMPUTED_VALUE"""),"T256")</f>
        <v>T256</v>
      </c>
      <c r="C262" t="str">
        <f ca="1">IFERROR(__xludf.DUMMYFUNCTION("""COMPUTED_VALUE"""),"Jim Furyk")</f>
        <v>Jim Furyk</v>
      </c>
      <c r="D262">
        <f ca="1">IFERROR(__xludf.DUMMYFUNCTION("""COMPUTED_VALUE"""),4)</f>
        <v>4</v>
      </c>
      <c r="E262">
        <f ca="1">IFERROR(__xludf.DUMMYFUNCTION("""COMPUTED_VALUE"""),33.33)</f>
        <v>33.33</v>
      </c>
      <c r="F262">
        <f ca="1">IFERROR(__xludf.DUMMYFUNCTION("""COMPUTED_VALUE"""),30)</f>
        <v>30</v>
      </c>
      <c r="G262">
        <f ca="1">IFERROR(__xludf.DUMMYFUNCTION("""COMPUTED_VALUE"""),10)</f>
        <v>10</v>
      </c>
    </row>
    <row r="263" spans="1:7" ht="12.75">
      <c r="A263" t="str">
        <f ca="1">IFERROR(__xludf.DUMMYFUNCTION("""COMPUTED_VALUE"""),"T260")</f>
        <v>T260</v>
      </c>
      <c r="B263" t="str">
        <f ca="1">IFERROR(__xludf.DUMMYFUNCTION("""COMPUTED_VALUE"""),"T256")</f>
        <v>T256</v>
      </c>
      <c r="C263" t="str">
        <f ca="1">IFERROR(__xludf.DUMMYFUNCTION("""COMPUTED_VALUE"""),"Luke Donald")</f>
        <v>Luke Donald</v>
      </c>
      <c r="D263">
        <f ca="1">IFERROR(__xludf.DUMMYFUNCTION("""COMPUTED_VALUE"""),14)</f>
        <v>14</v>
      </c>
      <c r="E263">
        <f ca="1">IFERROR(__xludf.DUMMYFUNCTION("""COMPUTED_VALUE"""),33.33)</f>
        <v>33.33</v>
      </c>
      <c r="F263">
        <f ca="1">IFERROR(__xludf.DUMMYFUNCTION("""COMPUTED_VALUE"""),66)</f>
        <v>66</v>
      </c>
      <c r="G263">
        <f ca="1">IFERROR(__xludf.DUMMYFUNCTION("""COMPUTED_VALUE"""),22)</f>
        <v>22</v>
      </c>
    </row>
    <row r="264" spans="1:7" ht="12.75">
      <c r="A264">
        <f ca="1">IFERROR(__xludf.DUMMYFUNCTION("""COMPUTED_VALUE"""),263)</f>
        <v>263</v>
      </c>
      <c r="B264" t="str">
        <f ca="1">IFERROR(__xludf.DUMMYFUNCTION("""COMPUTED_VALUE"""),"T242")</f>
        <v>T242</v>
      </c>
      <c r="C264" t="str">
        <f ca="1">IFERROR(__xludf.DUMMYFUNCTION("""COMPUTED_VALUE"""),"Camilo Villegas")</f>
        <v>Camilo Villegas</v>
      </c>
      <c r="D264">
        <f ca="1">IFERROR(__xludf.DUMMYFUNCTION("""COMPUTED_VALUE"""),14)</f>
        <v>14</v>
      </c>
      <c r="E264">
        <f ca="1">IFERROR(__xludf.DUMMYFUNCTION("""COMPUTED_VALUE"""),32.89)</f>
        <v>32.89</v>
      </c>
      <c r="F264">
        <f ca="1">IFERROR(__xludf.DUMMYFUNCTION("""COMPUTED_VALUE"""),76)</f>
        <v>76</v>
      </c>
      <c r="G264">
        <f ca="1">IFERROR(__xludf.DUMMYFUNCTION("""COMPUTED_VALUE"""),25)</f>
        <v>25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IFERROR(__xludf.DUMMYFUNCTION("""COMPUTED_VALUE"""),260)</f>
        <v>260</v>
      </c>
      <c r="C265" t="str">
        <f ca="1">IFERROR(__xludf.DUMMYFUNCTION("""COMPUTED_VALUE"""),"K.J. Choi")</f>
        <v>K.J. Choi</v>
      </c>
      <c r="D265">
        <f ca="1">IFERROR(__xludf.DUMMYFUNCTION("""COMPUTED_VALUE"""),6)</f>
        <v>6</v>
      </c>
      <c r="E265">
        <f ca="1">IFERROR(__xludf.DUMMYFUNCTION("""COMPUTED_VALUE"""),32.65)</f>
        <v>32.65</v>
      </c>
      <c r="F265">
        <f ca="1">IFERROR(__xludf.DUMMYFUNCTION("""COMPUTED_VALUE"""),49)</f>
        <v>49</v>
      </c>
      <c r="G265">
        <f ca="1">IFERROR(__xludf.DUMMYFUNCTION("""COMPUTED_VALUE"""),16)</f>
        <v>16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IFERROR(__xludf.DUMMYFUNCTION("""COMPUTED_VALUE"""),261)</f>
        <v>261</v>
      </c>
      <c r="C266" t="str">
        <f ca="1">IFERROR(__xludf.DUMMYFUNCTION("""COMPUTED_VALUE"""),"Chan Kim")</f>
        <v>Chan Kim</v>
      </c>
      <c r="D266">
        <f ca="1">IFERROR(__xludf.DUMMYFUNCTION("""COMPUTED_VALUE"""),6)</f>
        <v>6</v>
      </c>
      <c r="E266">
        <f ca="1">IFERROR(__xludf.DUMMYFUNCTION("""COMPUTED_VALUE"""),32.56)</f>
        <v>32.56</v>
      </c>
      <c r="F266">
        <f ca="1">IFERROR(__xludf.DUMMYFUNCTION("""COMPUTED_VALUE"""),43)</f>
        <v>43</v>
      </c>
      <c r="G266">
        <f ca="1">IFERROR(__xludf.DUMMYFUNCTION("""COMPUTED_VALUE"""),14)</f>
        <v>14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IFERROR(__xludf.DUMMYFUNCTION("""COMPUTED_VALUE"""),262)</f>
        <v>262</v>
      </c>
      <c r="C267" t="str">
        <f ca="1">IFERROR(__xludf.DUMMYFUNCTION("""COMPUTED_VALUE"""),"Bernd Wiesberger")</f>
        <v>Bernd Wiesberger</v>
      </c>
      <c r="D267">
        <f ca="1">IFERROR(__xludf.DUMMYFUNCTION("""COMPUTED_VALUE"""),4)</f>
        <v>4</v>
      </c>
      <c r="E267">
        <f ca="1">IFERROR(__xludf.DUMMYFUNCTION("""COMPUTED_VALUE"""),32)</f>
        <v>32</v>
      </c>
      <c r="F267">
        <f ca="1">IFERROR(__xludf.DUMMYFUNCTION("""COMPUTED_VALUE"""),25)</f>
        <v>25</v>
      </c>
      <c r="G267">
        <f ca="1">IFERROR(__xludf.DUMMYFUNCTION("""COMPUTED_VALUE"""),8)</f>
        <v>8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IFERROR(__xludf.DUMMYFUNCTION("""COMPUTED_VALUE"""),265)</f>
        <v>265</v>
      </c>
      <c r="C268" t="str">
        <f ca="1">IFERROR(__xludf.DUMMYFUNCTION("""COMPUTED_VALUE"""),"George McNeill")</f>
        <v>George McNeill</v>
      </c>
      <c r="D268">
        <f ca="1">IFERROR(__xludf.DUMMYFUNCTION("""COMPUTED_VALUE"""),8)</f>
        <v>8</v>
      </c>
      <c r="E268">
        <f ca="1">IFERROR(__xludf.DUMMYFUNCTION("""COMPUTED_VALUE"""),31.25)</f>
        <v>31.25</v>
      </c>
      <c r="F268">
        <f ca="1">IFERROR(__xludf.DUMMYFUNCTION("""COMPUTED_VALUE"""),16)</f>
        <v>16</v>
      </c>
      <c r="G268">
        <f ca="1">IFERROR(__xludf.DUMMYFUNCTION("""COMPUTED_VALUE"""),5)</f>
        <v>5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IFERROR(__xludf.DUMMYFUNCTION("""COMPUTED_VALUE"""),266)</f>
        <v>266</v>
      </c>
      <c r="C269" t="str">
        <f ca="1">IFERROR(__xludf.DUMMYFUNCTION("""COMPUTED_VALUE"""),"Kevin Stadler")</f>
        <v>Kevin Stadler</v>
      </c>
      <c r="D269">
        <f ca="1">IFERROR(__xludf.DUMMYFUNCTION("""COMPUTED_VALUE"""),8)</f>
        <v>8</v>
      </c>
      <c r="E269">
        <f ca="1">IFERROR(__xludf.DUMMYFUNCTION("""COMPUTED_VALUE"""),30.43)</f>
        <v>30.43</v>
      </c>
      <c r="F269">
        <f ca="1">IFERROR(__xludf.DUMMYFUNCTION("""COMPUTED_VALUE"""),46)</f>
        <v>46</v>
      </c>
      <c r="G269">
        <f ca="1">IFERROR(__xludf.DUMMYFUNCTION("""COMPUTED_VALUE"""),14)</f>
        <v>14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IFERROR(__xludf.DUMMYFUNCTION("""COMPUTED_VALUE"""),263)</f>
        <v>263</v>
      </c>
      <c r="C270" t="str">
        <f ca="1">IFERROR(__xludf.DUMMYFUNCTION("""COMPUTED_VALUE"""),"Branden Grace")</f>
        <v>Branden Grace</v>
      </c>
      <c r="D270">
        <f ca="1">IFERROR(__xludf.DUMMYFUNCTION("""COMPUTED_VALUE"""),16)</f>
        <v>16</v>
      </c>
      <c r="E270">
        <f ca="1">IFERROR(__xludf.DUMMYFUNCTION("""COMPUTED_VALUE"""),30)</f>
        <v>30</v>
      </c>
      <c r="F270">
        <f ca="1">IFERROR(__xludf.DUMMYFUNCTION("""COMPUTED_VALUE"""),70)</f>
        <v>70</v>
      </c>
      <c r="G270">
        <f ca="1">IFERROR(__xludf.DUMMYFUNCTION("""COMPUTED_VALUE"""),21)</f>
        <v>21</v>
      </c>
    </row>
    <row r="271" spans="1:7" ht="12.75">
      <c r="A271">
        <f ca="1">IFERROR(__xludf.DUMMYFUNCTION("""COMPUTED_VALUE"""),270)</f>
        <v>270</v>
      </c>
      <c r="B271" t="str">
        <f ca="1">IFERROR(__xludf.DUMMYFUNCTION("""COMPUTED_VALUE"""),"T267")</f>
        <v>T267</v>
      </c>
      <c r="C271" t="str">
        <f ca="1">IFERROR(__xludf.DUMMYFUNCTION("""COMPUTED_VALUE"""),"Kevin Tway")</f>
        <v>Kevin Tway</v>
      </c>
      <c r="D271">
        <f ca="1">IFERROR(__xludf.DUMMYFUNCTION("""COMPUTED_VALUE"""),16)</f>
        <v>16</v>
      </c>
      <c r="E271">
        <f ca="1">IFERROR(__xludf.DUMMYFUNCTION("""COMPUTED_VALUE"""),28.89)</f>
        <v>28.89</v>
      </c>
      <c r="F271">
        <f ca="1">IFERROR(__xludf.DUMMYFUNCTION("""COMPUTED_VALUE"""),45)</f>
        <v>45</v>
      </c>
      <c r="G271">
        <f ca="1">IFERROR(__xludf.DUMMYFUNCTION("""COMPUTED_VALUE"""),13)</f>
        <v>13</v>
      </c>
    </row>
    <row r="272" spans="1:7" ht="12.75">
      <c r="A272">
        <f ca="1">IFERROR(__xludf.DUMMYFUNCTION("""COMPUTED_VALUE"""),271)</f>
        <v>271</v>
      </c>
      <c r="B272" t="str">
        <f ca="1">IFERROR(__xludf.DUMMYFUNCTION("""COMPUTED_VALUE"""),"T196")</f>
        <v>T196</v>
      </c>
      <c r="C272" t="str">
        <f ca="1">IFERROR(__xludf.DUMMYFUNCTION("""COMPUTED_VALUE"""),"Danny Willett")</f>
        <v>Danny Willett</v>
      </c>
      <c r="D272">
        <f ca="1">IFERROR(__xludf.DUMMYFUNCTION("""COMPUTED_VALUE"""),7)</f>
        <v>7</v>
      </c>
      <c r="E272">
        <f ca="1">IFERROR(__xludf.DUMMYFUNCTION("""COMPUTED_VALUE"""),28.57)</f>
        <v>28.57</v>
      </c>
      <c r="F272">
        <f ca="1">IFERROR(__xludf.DUMMYFUNCTION("""COMPUTED_VALUE"""),21)</f>
        <v>21</v>
      </c>
      <c r="G272">
        <f ca="1">IFERROR(__xludf.DUMMYFUNCTION("""COMPUTED_VALUE"""),6)</f>
        <v>6</v>
      </c>
    </row>
    <row r="273" spans="1:7" ht="12.75">
      <c r="A273" t="str">
        <f ca="1">IFERROR(__xludf.DUMMYFUNCTION("""COMPUTED_VALUE"""),"T272")</f>
        <v>T272</v>
      </c>
      <c r="B273" t="str">
        <f ca="1">IFERROR(__xludf.DUMMYFUNCTION("""COMPUTED_VALUE"""),"T267")</f>
        <v>T267</v>
      </c>
      <c r="C273" t="str">
        <f ca="1">IFERROR(__xludf.DUMMYFUNCTION("""COMPUTED_VALUE"""),"Seamus Power")</f>
        <v>Seamus Power</v>
      </c>
      <c r="D273">
        <f ca="1">IFERROR(__xludf.DUMMYFUNCTION("""COMPUTED_VALUE"""),8)</f>
        <v>8</v>
      </c>
      <c r="E273">
        <f ca="1">IFERROR(__xludf.DUMMYFUNCTION("""COMPUTED_VALUE"""),27.27)</f>
        <v>27.27</v>
      </c>
      <c r="F273">
        <f ca="1">IFERROR(__xludf.DUMMYFUNCTION("""COMPUTED_VALUE"""),11)</f>
        <v>11</v>
      </c>
      <c r="G273">
        <f ca="1">IFERROR(__xludf.DUMMYFUNCTION("""COMPUTED_VALUE"""),3)</f>
        <v>3</v>
      </c>
    </row>
    <row r="274" spans="1:7" ht="12.75">
      <c r="A274" t="str">
        <f ca="1">IFERROR(__xludf.DUMMYFUNCTION("""COMPUTED_VALUE"""),"T272")</f>
        <v>T272</v>
      </c>
      <c r="B274">
        <f ca="1">IFERROR(__xludf.DUMMYFUNCTION("""COMPUTED_VALUE"""),252)</f>
        <v>252</v>
      </c>
      <c r="C274" t="str">
        <f ca="1">IFERROR(__xludf.DUMMYFUNCTION("""COMPUTED_VALUE"""),"Vaughn Taylor")</f>
        <v>Vaughn Taylor</v>
      </c>
      <c r="D274">
        <f ca="1">IFERROR(__xludf.DUMMYFUNCTION("""COMPUTED_VALUE"""),12)</f>
        <v>12</v>
      </c>
      <c r="E274">
        <f ca="1">IFERROR(__xludf.DUMMYFUNCTION("""COMPUTED_VALUE"""),27.27)</f>
        <v>27.27</v>
      </c>
      <c r="F274">
        <f ca="1">IFERROR(__xludf.DUMMYFUNCTION("""COMPUTED_VALUE"""),44)</f>
        <v>44</v>
      </c>
      <c r="G274">
        <f ca="1">IFERROR(__xludf.DUMMYFUNCTION("""COMPUTED_VALUE"""),12)</f>
        <v>12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IFERROR(__xludf.DUMMYFUNCTION("""COMPUTED_VALUE"""),269)</f>
        <v>269</v>
      </c>
      <c r="C275" t="str">
        <f ca="1">IFERROR(__xludf.DUMMYFUNCTION("""COMPUTED_VALUE"""),"Alex Cejka")</f>
        <v>Alex Cejka</v>
      </c>
      <c r="D275">
        <f ca="1">IFERROR(__xludf.DUMMYFUNCTION("""COMPUTED_VALUE"""),6)</f>
        <v>6</v>
      </c>
      <c r="E275">
        <f ca="1">IFERROR(__xludf.DUMMYFUNCTION("""COMPUTED_VALUE"""),25)</f>
        <v>25</v>
      </c>
      <c r="F275">
        <f ca="1">IFERROR(__xludf.DUMMYFUNCTION("""COMPUTED_VALUE"""),12)</f>
        <v>12</v>
      </c>
      <c r="G275">
        <f ca="1">IFERROR(__xludf.DUMMYFUNCTION("""COMPUTED_VALUE"""),3)</f>
        <v>3</v>
      </c>
    </row>
    <row r="276" spans="1:7" ht="12.75">
      <c r="A276">
        <f ca="1">IFERROR(__xludf.DUMMYFUNCTION("""COMPUTED_VALUE"""),275)</f>
        <v>275</v>
      </c>
      <c r="B276" t="str">
        <f ca="1">IFERROR(__xludf.DUMMYFUNCTION("""COMPUTED_VALUE"""),"")</f>
        <v/>
      </c>
      <c r="C276" t="str">
        <f ca="1">IFERROR(__xludf.DUMMYFUNCTION("""COMPUTED_VALUE"""),"Padraig Harrington")</f>
        <v>Padraig Harrington</v>
      </c>
      <c r="D276">
        <f ca="1">IFERROR(__xludf.DUMMYFUNCTION("""COMPUTED_VALUE"""),8)</f>
        <v>8</v>
      </c>
      <c r="E276">
        <f ca="1">IFERROR(__xludf.DUMMYFUNCTION("""COMPUTED_VALUE"""),24.14)</f>
        <v>24.14</v>
      </c>
      <c r="F276">
        <f ca="1">IFERROR(__xludf.DUMMYFUNCTION("""COMPUTED_VALUE"""),29)</f>
        <v>29</v>
      </c>
      <c r="G276">
        <f ca="1">IFERROR(__xludf.DUMMYFUNCTION("""COMPUTED_VALUE"""),7)</f>
        <v>7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IFERROR(__xludf.DUMMYFUNCTION("""COMPUTED_VALUE"""),264)</f>
        <v>264</v>
      </c>
      <c r="C277" t="str">
        <f ca="1">IFERROR(__xludf.DUMMYFUNCTION("""COMPUTED_VALUE"""),"Graham DeLaet")</f>
        <v>Graham DeLaet</v>
      </c>
      <c r="D277">
        <f ca="1">IFERROR(__xludf.DUMMYFUNCTION("""COMPUTED_VALUE"""),9)</f>
        <v>9</v>
      </c>
      <c r="E277">
        <f ca="1">IFERROR(__xludf.DUMMYFUNCTION("""COMPUTED_VALUE"""),22.22)</f>
        <v>22.22</v>
      </c>
      <c r="F277">
        <f ca="1">IFERROR(__xludf.DUMMYFUNCTION("""COMPUTED_VALUE"""),27)</f>
        <v>27</v>
      </c>
      <c r="G277">
        <f ca="1">IFERROR(__xludf.DUMMYFUNCTION("""COMPUTED_VALUE"""),6)</f>
        <v>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G253"/>
  <sheetViews>
    <sheetView workbookViewId="0"/>
  </sheetViews>
  <sheetFormatPr defaultColWidth="14.42578125" defaultRowHeight="15.75" customHeight="1"/>
  <sheetData>
    <row r="1" spans="1:7" ht="15.75" customHeight="1">
      <c r="A1" s="3" t="str">
        <f ca="1">IFERROR(__xludf.DUMMYFUNCTION("importhtml(""http://www.pgatour.com/stats/stat.02328.html"",""table"",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IFERROR(__xludf.DUMMYFUNCTION("""COMPUTED_VALUE"""),"% MADE")</f>
        <v>% MADE</v>
      </c>
      <c r="F1" t="str">
        <f ca="1">IFERROR(__xludf.DUMMYFUNCTION("""COMPUTED_VALUE"""),"ATTEMPTS")</f>
        <v>ATTEMPTS</v>
      </c>
      <c r="G1" t="str">
        <f ca="1">IFERROR(__xludf.DUMMYFUNCTION("""COMPUTED_VALUE"""),"PUTTS MADE")</f>
        <v>PUTTS MADE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IFERROR(__xludf.DUMMYFUNCTION("""COMPUTED_VALUE"""),"Daniel Berger")</f>
        <v>Daniel Berger</v>
      </c>
      <c r="D2">
        <f ca="1">IFERROR(__xludf.DUMMYFUNCTION("""COMPUTED_VALUE"""),12)</f>
        <v>12</v>
      </c>
      <c r="E2">
        <f ca="1">IFERROR(__xludf.DUMMYFUNCTION("""COMPUTED_VALUE"""),37.5)</f>
        <v>37.5</v>
      </c>
      <c r="F2">
        <f ca="1">IFERROR(__xludf.DUMMYFUNCTION("""COMPUTED_VALUE"""),40)</f>
        <v>40</v>
      </c>
      <c r="G2">
        <f ca="1">IFERROR(__xludf.DUMMYFUNCTION("""COMPUTED_VALUE"""),15)</f>
        <v>15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IFERROR(__xludf.DUMMYFUNCTION("""COMPUTED_VALUE"""),"Matthew Fitzpatrick")</f>
        <v>Matthew Fitzpatrick</v>
      </c>
      <c r="D3">
        <f ca="1">IFERROR(__xludf.DUMMYFUNCTION("""COMPUTED_VALUE"""),10)</f>
        <v>10</v>
      </c>
      <c r="E3">
        <f ca="1">IFERROR(__xludf.DUMMYFUNCTION("""COMPUTED_VALUE"""),35.9)</f>
        <v>35.9</v>
      </c>
      <c r="F3">
        <f ca="1">IFERROR(__xludf.DUMMYFUNCTION("""COMPUTED_VALUE"""),39)</f>
        <v>39</v>
      </c>
      <c r="G3">
        <f ca="1">IFERROR(__xludf.DUMMYFUNCTION("""COMPUTED_VALUE"""),14)</f>
        <v>14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IFERROR(__xludf.DUMMYFUNCTION("""COMPUTED_VALUE"""),"Christiaan Bezuidenhout")</f>
        <v>Christiaan Bezuidenhout</v>
      </c>
      <c r="D4">
        <f ca="1">IFERROR(__xludf.DUMMYFUNCTION("""COMPUTED_VALUE"""),4)</f>
        <v>4</v>
      </c>
      <c r="E4">
        <f ca="1">IFERROR(__xludf.DUMMYFUNCTION("""COMPUTED_VALUE"""),35.71)</f>
        <v>35.71</v>
      </c>
      <c r="F4">
        <f ca="1">IFERROR(__xludf.DUMMYFUNCTION("""COMPUTED_VALUE"""),14)</f>
        <v>14</v>
      </c>
      <c r="G4">
        <f ca="1">IFERROR(__xludf.DUMMYFUNCTION("""COMPUTED_VALUE"""),5)</f>
        <v>5</v>
      </c>
    </row>
    <row r="5" spans="1:7" ht="15.75" customHeight="1">
      <c r="A5">
        <f ca="1">IFERROR(__xludf.DUMMYFUNCTION("""COMPUTED_VALUE"""),4)</f>
        <v>4</v>
      </c>
      <c r="B5" t="str">
        <f ca="1">IFERROR(__xludf.DUMMYFUNCTION("""COMPUTED_VALUE"""),"")</f>
        <v/>
      </c>
      <c r="C5" t="str">
        <f ca="1">IFERROR(__xludf.DUMMYFUNCTION("""COMPUTED_VALUE"""),"Francesco Molinari")</f>
        <v>Francesco Molinari</v>
      </c>
      <c r="D5">
        <f ca="1">IFERROR(__xludf.DUMMYFUNCTION("""COMPUTED_VALUE"""),6)</f>
        <v>6</v>
      </c>
      <c r="E5">
        <f ca="1">IFERROR(__xludf.DUMMYFUNCTION("""COMPUTED_VALUE"""),33.33)</f>
        <v>33.33</v>
      </c>
      <c r="F5">
        <f ca="1">IFERROR(__xludf.DUMMYFUNCTION("""COMPUTED_VALUE"""),24)</f>
        <v>24</v>
      </c>
      <c r="G5">
        <f ca="1">IFERROR(__xludf.DUMMYFUNCTION("""COMPUTED_VALUE"""),8)</f>
        <v>8</v>
      </c>
    </row>
    <row r="6" spans="1:7" ht="15.75" customHeight="1">
      <c r="A6" t="str">
        <f ca="1">IFERROR(__xludf.DUMMYFUNCTION("""COMPUTED_VALUE"""),"T5")</f>
        <v>T5</v>
      </c>
      <c r="B6" t="str">
        <f ca="1">IFERROR(__xludf.DUMMYFUNCTION("""COMPUTED_VALUE"""),"")</f>
        <v/>
      </c>
      <c r="C6" t="str">
        <f ca="1">IFERROR(__xludf.DUMMYFUNCTION("""COMPUTED_VALUE"""),"Padraig Harrington")</f>
        <v>Padraig Harrington</v>
      </c>
      <c r="D6">
        <f ca="1">IFERROR(__xludf.DUMMYFUNCTION("""COMPUTED_VALUE"""),8)</f>
        <v>8</v>
      </c>
      <c r="E6">
        <f ca="1">IFERROR(__xludf.DUMMYFUNCTION("""COMPUTED_VALUE"""),30.77)</f>
        <v>30.77</v>
      </c>
      <c r="F6">
        <f ca="1">IFERROR(__xludf.DUMMYFUNCTION("""COMPUTED_VALUE"""),13)</f>
        <v>13</v>
      </c>
      <c r="G6">
        <f ca="1">IFERROR(__xludf.DUMMYFUNCTION("""COMPUTED_VALUE"""),4)</f>
        <v>4</v>
      </c>
    </row>
    <row r="7" spans="1:7" ht="15.75" customHeight="1">
      <c r="A7" t="str">
        <f ca="1">IFERROR(__xludf.DUMMYFUNCTION("""COMPUTED_VALUE"""),"T5")</f>
        <v>T5</v>
      </c>
      <c r="B7">
        <f ca="1">IFERROR(__xludf.DUMMYFUNCTION("""COMPUTED_VALUE"""),4)</f>
        <v>4</v>
      </c>
      <c r="C7" t="str">
        <f ca="1">IFERROR(__xludf.DUMMYFUNCTION("""COMPUTED_VALUE"""),"Charles Howell III")</f>
        <v>Charles Howell III</v>
      </c>
      <c r="D7">
        <f ca="1">IFERROR(__xludf.DUMMYFUNCTION("""COMPUTED_VALUE"""),10)</f>
        <v>10</v>
      </c>
      <c r="E7">
        <f ca="1">IFERROR(__xludf.DUMMYFUNCTION("""COMPUTED_VALUE"""),30.77)</f>
        <v>30.77</v>
      </c>
      <c r="F7">
        <f ca="1">IFERROR(__xludf.DUMMYFUNCTION("""COMPUTED_VALUE"""),26)</f>
        <v>26</v>
      </c>
      <c r="G7">
        <f ca="1">IFERROR(__xludf.DUMMYFUNCTION("""COMPUTED_VALUE"""),8)</f>
        <v>8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IFERROR(__xludf.DUMMYFUNCTION("""COMPUTED_VALUE"""),5)</f>
        <v>5</v>
      </c>
      <c r="C8" t="str">
        <f ca="1">IFERROR(__xludf.DUMMYFUNCTION("""COMPUTED_VALUE"""),"Jeongwoo Ham")</f>
        <v>Jeongwoo Ham</v>
      </c>
      <c r="D8">
        <f ca="1">IFERROR(__xludf.DUMMYFUNCTION("""COMPUTED_VALUE"""),4)</f>
        <v>4</v>
      </c>
      <c r="E8">
        <f ca="1">IFERROR(__xludf.DUMMYFUNCTION("""COMPUTED_VALUE"""),30)</f>
        <v>30</v>
      </c>
      <c r="F8">
        <f ca="1">IFERROR(__xludf.DUMMYFUNCTION("""COMPUTED_VALUE"""),10)</f>
        <v>10</v>
      </c>
      <c r="G8">
        <f ca="1">IFERROR(__xludf.DUMMYFUNCTION("""COMPUTED_VALUE"""),3)</f>
        <v>3</v>
      </c>
    </row>
    <row r="9" spans="1:7" ht="15.75" customHeight="1">
      <c r="A9" t="str">
        <f ca="1">IFERROR(__xludf.DUMMYFUNCTION("""COMPUTED_VALUE"""),"T8")</f>
        <v>T8</v>
      </c>
      <c r="B9" t="str">
        <f ca="1">IFERROR(__xludf.DUMMYFUNCTION("""COMPUTED_VALUE"""),"T6")</f>
        <v>T6</v>
      </c>
      <c r="C9" t="str">
        <f ca="1">IFERROR(__xludf.DUMMYFUNCTION("""COMPUTED_VALUE"""),"Naoki Sekito")</f>
        <v>Naoki Sekito</v>
      </c>
      <c r="D9">
        <f ca="1">IFERROR(__xludf.DUMMYFUNCTION("""COMPUTED_VALUE"""),4)</f>
        <v>4</v>
      </c>
      <c r="E9">
        <f ca="1">IFERROR(__xludf.DUMMYFUNCTION("""COMPUTED_VALUE"""),28.57)</f>
        <v>28.57</v>
      </c>
      <c r="F9">
        <f ca="1">IFERROR(__xludf.DUMMYFUNCTION("""COMPUTED_VALUE"""),14)</f>
        <v>14</v>
      </c>
      <c r="G9">
        <f ca="1">IFERROR(__xludf.DUMMYFUNCTION("""COMPUTED_VALUE"""),4)</f>
        <v>4</v>
      </c>
    </row>
    <row r="10" spans="1:7" ht="15.75" customHeight="1">
      <c r="A10" t="str">
        <f ca="1">IFERROR(__xludf.DUMMYFUNCTION("""COMPUTED_VALUE"""),"T8")</f>
        <v>T8</v>
      </c>
      <c r="B10" t="str">
        <f ca="1">IFERROR(__xludf.DUMMYFUNCTION("""COMPUTED_VALUE"""),"")</f>
        <v/>
      </c>
      <c r="C10" t="str">
        <f ca="1">IFERROR(__xludf.DUMMYFUNCTION("""COMPUTED_VALUE"""),"Dawie van der Walt")</f>
        <v>Dawie van der Walt</v>
      </c>
      <c r="D10">
        <f ca="1">IFERROR(__xludf.DUMMYFUNCTION("""COMPUTED_VALUE"""),4)</f>
        <v>4</v>
      </c>
      <c r="E10">
        <f ca="1">IFERROR(__xludf.DUMMYFUNCTION("""COMPUTED_VALUE"""),28.57)</f>
        <v>28.57</v>
      </c>
      <c r="F10">
        <f ca="1">IFERROR(__xludf.DUMMYFUNCTION("""COMPUTED_VALUE"""),14)</f>
        <v>14</v>
      </c>
      <c r="G10">
        <f ca="1">IFERROR(__xludf.DUMMYFUNCTION("""COMPUTED_VALUE"""),4)</f>
        <v>4</v>
      </c>
    </row>
    <row r="11" spans="1:7" ht="15.75" customHeight="1">
      <c r="A11" t="str">
        <f ca="1">IFERROR(__xludf.DUMMYFUNCTION("""COMPUTED_VALUE"""),"T8")</f>
        <v>T8</v>
      </c>
      <c r="B11">
        <f ca="1">IFERROR(__xludf.DUMMYFUNCTION("""COMPUTED_VALUE"""),9)</f>
        <v>9</v>
      </c>
      <c r="C11" t="str">
        <f ca="1">IFERROR(__xludf.DUMMYFUNCTION("""COMPUTED_VALUE"""),"Patton Kizzire")</f>
        <v>Patton Kizzire</v>
      </c>
      <c r="D11">
        <f ca="1">IFERROR(__xludf.DUMMYFUNCTION("""COMPUTED_VALUE"""),18)</f>
        <v>18</v>
      </c>
      <c r="E11">
        <f ca="1">IFERROR(__xludf.DUMMYFUNCTION("""COMPUTED_VALUE"""),28.57)</f>
        <v>28.57</v>
      </c>
      <c r="F11">
        <f ca="1">IFERROR(__xludf.DUMMYFUNCTION("""COMPUTED_VALUE"""),49)</f>
        <v>49</v>
      </c>
      <c r="G11">
        <f ca="1">IFERROR(__xludf.DUMMYFUNCTION("""COMPUTED_VALUE"""),14)</f>
        <v>14</v>
      </c>
    </row>
    <row r="12" spans="1:7" ht="15.75" customHeight="1">
      <c r="A12" t="str">
        <f ca="1">IFERROR(__xludf.DUMMYFUNCTION("""COMPUTED_VALUE"""),"T11")</f>
        <v>T11</v>
      </c>
      <c r="B12" t="str">
        <f ca="1">IFERROR(__xludf.DUMMYFUNCTION("""COMPUTED_VALUE"""),"T10")</f>
        <v>T10</v>
      </c>
      <c r="C12" t="str">
        <f ca="1">IFERROR(__xludf.DUMMYFUNCTION("""COMPUTED_VALUE"""),"Takumi Kanaya")</f>
        <v>Takumi Kanaya</v>
      </c>
      <c r="D12">
        <f ca="1">IFERROR(__xludf.DUMMYFUNCTION("""COMPUTED_VALUE"""),6)</f>
        <v>6</v>
      </c>
      <c r="E12">
        <f ca="1">IFERROR(__xludf.DUMMYFUNCTION("""COMPUTED_VALUE"""),27.27)</f>
        <v>27.27</v>
      </c>
      <c r="F12">
        <f ca="1">IFERROR(__xludf.DUMMYFUNCTION("""COMPUTED_VALUE"""),22)</f>
        <v>22</v>
      </c>
      <c r="G12">
        <f ca="1">IFERROR(__xludf.DUMMYFUNCTION("""COMPUTED_VALUE"""),6)</f>
        <v>6</v>
      </c>
    </row>
    <row r="13" spans="1:7" ht="15.75" customHeight="1">
      <c r="A13" t="str">
        <f ca="1">IFERROR(__xludf.DUMMYFUNCTION("""COMPUTED_VALUE"""),"T11")</f>
        <v>T11</v>
      </c>
      <c r="B13" t="str">
        <f ca="1">IFERROR(__xludf.DUMMYFUNCTION("""COMPUTED_VALUE"""),"T10")</f>
        <v>T10</v>
      </c>
      <c r="C13" t="str">
        <f ca="1">IFERROR(__xludf.DUMMYFUNCTION("""COMPUTED_VALUE"""),"Renato Paratore")</f>
        <v>Renato Paratore</v>
      </c>
      <c r="D13">
        <f ca="1">IFERROR(__xludf.DUMMYFUNCTION("""COMPUTED_VALUE"""),4)</f>
        <v>4</v>
      </c>
      <c r="E13">
        <f ca="1">IFERROR(__xludf.DUMMYFUNCTION("""COMPUTED_VALUE"""),27.27)</f>
        <v>27.27</v>
      </c>
      <c r="F13">
        <f ca="1">IFERROR(__xludf.DUMMYFUNCTION("""COMPUTED_VALUE"""),11)</f>
        <v>11</v>
      </c>
      <c r="G13">
        <f ca="1">IFERROR(__xludf.DUMMYFUNCTION("""COMPUTED_VALUE"""),3)</f>
        <v>3</v>
      </c>
    </row>
    <row r="14" spans="1:7" ht="15.75" customHeight="1">
      <c r="A14">
        <f ca="1">IFERROR(__xludf.DUMMYFUNCTION("""COMPUTED_VALUE"""),13)</f>
        <v>13</v>
      </c>
      <c r="B14" t="str">
        <f ca="1">IFERROR(__xludf.DUMMYFUNCTION("""COMPUTED_VALUE"""),"T28")</f>
        <v>T28</v>
      </c>
      <c r="C14" t="str">
        <f ca="1">IFERROR(__xludf.DUMMYFUNCTION("""COMPUTED_VALUE"""),"Alex Noren")</f>
        <v>Alex Noren</v>
      </c>
      <c r="D14">
        <f ca="1">IFERROR(__xludf.DUMMYFUNCTION("""COMPUTED_VALUE"""),14)</f>
        <v>14</v>
      </c>
      <c r="E14">
        <f ca="1">IFERROR(__xludf.DUMMYFUNCTION("""COMPUTED_VALUE"""),27.08)</f>
        <v>27.08</v>
      </c>
      <c r="F14">
        <f ca="1">IFERROR(__xludf.DUMMYFUNCTION("""COMPUTED_VALUE"""),48)</f>
        <v>48</v>
      </c>
      <c r="G14">
        <f ca="1">IFERROR(__xludf.DUMMYFUNCTION("""COMPUTED_VALUE"""),13)</f>
        <v>13</v>
      </c>
    </row>
    <row r="15" spans="1:7" ht="15.75" customHeight="1">
      <c r="A15" t="str">
        <f ca="1">IFERROR(__xludf.DUMMYFUNCTION("""COMPUTED_VALUE"""),"T14")</f>
        <v>T14</v>
      </c>
      <c r="B15" t="str">
        <f ca="1">IFERROR(__xludf.DUMMYFUNCTION("""COMPUTED_VALUE"""),"T41")</f>
        <v>T41</v>
      </c>
      <c r="C15" t="str">
        <f ca="1">IFERROR(__xludf.DUMMYFUNCTION("""COMPUTED_VALUE"""),"Vaughn Taylor")</f>
        <v>Vaughn Taylor</v>
      </c>
      <c r="D15">
        <f ca="1">IFERROR(__xludf.DUMMYFUNCTION("""COMPUTED_VALUE"""),12)</f>
        <v>12</v>
      </c>
      <c r="E15">
        <f ca="1">IFERROR(__xludf.DUMMYFUNCTION("""COMPUTED_VALUE"""),26.32)</f>
        <v>26.32</v>
      </c>
      <c r="F15">
        <f ca="1">IFERROR(__xludf.DUMMYFUNCTION("""COMPUTED_VALUE"""),19)</f>
        <v>19</v>
      </c>
      <c r="G15">
        <f ca="1">IFERROR(__xludf.DUMMYFUNCTION("""COMPUTED_VALUE"""),5)</f>
        <v>5</v>
      </c>
    </row>
    <row r="16" spans="1:7" ht="15.75" customHeight="1">
      <c r="A16" t="str">
        <f ca="1">IFERROR(__xludf.DUMMYFUNCTION("""COMPUTED_VALUE"""),"T14")</f>
        <v>T14</v>
      </c>
      <c r="B16">
        <f ca="1">IFERROR(__xludf.DUMMYFUNCTION("""COMPUTED_VALUE"""),15)</f>
        <v>15</v>
      </c>
      <c r="C16" t="str">
        <f ca="1">IFERROR(__xludf.DUMMYFUNCTION("""COMPUTED_VALUE"""),"Akshay Bhatia")</f>
        <v>Akshay Bhatia</v>
      </c>
      <c r="D16">
        <f ca="1">IFERROR(__xludf.DUMMYFUNCTION("""COMPUTED_VALUE"""),6)</f>
        <v>6</v>
      </c>
      <c r="E16">
        <f ca="1">IFERROR(__xludf.DUMMYFUNCTION("""COMPUTED_VALUE"""),26.32)</f>
        <v>26.32</v>
      </c>
      <c r="F16">
        <f ca="1">IFERROR(__xludf.DUMMYFUNCTION("""COMPUTED_VALUE"""),19)</f>
        <v>19</v>
      </c>
      <c r="G16">
        <f ca="1">IFERROR(__xludf.DUMMYFUNCTION("""COMPUTED_VALUE"""),5)</f>
        <v>5</v>
      </c>
    </row>
    <row r="17" spans="1:7" ht="15.75" customHeight="1">
      <c r="A17">
        <f ca="1">IFERROR(__xludf.DUMMYFUNCTION("""COMPUTED_VALUE"""),16)</f>
        <v>16</v>
      </c>
      <c r="B17" t="str">
        <f ca="1">IFERROR(__xludf.DUMMYFUNCTION("""COMPUTED_VALUE"""),"")</f>
        <v/>
      </c>
      <c r="C17" t="str">
        <f ca="1">IFERROR(__xludf.DUMMYFUNCTION("""COMPUTED_VALUE"""),"Greg Chalmers")</f>
        <v>Greg Chalmers</v>
      </c>
      <c r="D17">
        <f ca="1">IFERROR(__xludf.DUMMYFUNCTION("""COMPUTED_VALUE"""),6)</f>
        <v>6</v>
      </c>
      <c r="E17">
        <f ca="1">IFERROR(__xludf.DUMMYFUNCTION("""COMPUTED_VALUE"""),26.09)</f>
        <v>26.09</v>
      </c>
      <c r="F17">
        <f ca="1">IFERROR(__xludf.DUMMYFUNCTION("""COMPUTED_VALUE"""),23)</f>
        <v>23</v>
      </c>
      <c r="G17">
        <f ca="1">IFERROR(__xludf.DUMMYFUNCTION("""COMPUTED_VALUE"""),6)</f>
        <v>6</v>
      </c>
    </row>
    <row r="18" spans="1:7" ht="15.75" customHeight="1">
      <c r="A18">
        <f ca="1">IFERROR(__xludf.DUMMYFUNCTION("""COMPUTED_VALUE"""),17)</f>
        <v>17</v>
      </c>
      <c r="B18" t="str">
        <f ca="1">IFERROR(__xludf.DUMMYFUNCTION("""COMPUTED_VALUE"""),"T12")</f>
        <v>T12</v>
      </c>
      <c r="C18" t="str">
        <f ca="1">IFERROR(__xludf.DUMMYFUNCTION("""COMPUTED_VALUE"""),"Jordan Spieth")</f>
        <v>Jordan Spieth</v>
      </c>
      <c r="D18">
        <f ca="1">IFERROR(__xludf.DUMMYFUNCTION("""COMPUTED_VALUE"""),14)</f>
        <v>14</v>
      </c>
      <c r="E18">
        <f ca="1">IFERROR(__xludf.DUMMYFUNCTION("""COMPUTED_VALUE"""),25.81)</f>
        <v>25.81</v>
      </c>
      <c r="F18">
        <f ca="1">IFERROR(__xludf.DUMMYFUNCTION("""COMPUTED_VALUE"""),31)</f>
        <v>31</v>
      </c>
      <c r="G18">
        <f ca="1">IFERROR(__xludf.DUMMYFUNCTION("""COMPUTED_VALUE"""),8)</f>
        <v>8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IFERROR(__xludf.DUMMYFUNCTION("""COMPUTED_VALUE"""),17)</f>
        <v>17</v>
      </c>
      <c r="C19" t="str">
        <f ca="1">IFERROR(__xludf.DUMMYFUNCTION("""COMPUTED_VALUE"""),"Rafa Cabrera Bello")</f>
        <v>Rafa Cabrera Bello</v>
      </c>
      <c r="D19">
        <f ca="1">IFERROR(__xludf.DUMMYFUNCTION("""COMPUTED_VALUE"""),14)</f>
        <v>14</v>
      </c>
      <c r="E19">
        <f ca="1">IFERROR(__xludf.DUMMYFUNCTION("""COMPUTED_VALUE"""),25.53)</f>
        <v>25.53</v>
      </c>
      <c r="F19">
        <f ca="1">IFERROR(__xludf.DUMMYFUNCTION("""COMPUTED_VALUE"""),47)</f>
        <v>47</v>
      </c>
      <c r="G19">
        <f ca="1">IFERROR(__xludf.DUMMYFUNCTION("""COMPUTED_VALUE"""),12)</f>
        <v>12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IFERROR(__xludf.DUMMYFUNCTION("""COMPUTED_VALUE"""),18)</f>
        <v>18</v>
      </c>
      <c r="C20" t="str">
        <f ca="1">IFERROR(__xludf.DUMMYFUNCTION("""COMPUTED_VALUE"""),"Jason Kokrak")</f>
        <v>Jason Kokrak</v>
      </c>
      <c r="D20">
        <f ca="1">IFERROR(__xludf.DUMMYFUNCTION("""COMPUTED_VALUE"""),14)</f>
        <v>14</v>
      </c>
      <c r="E20">
        <f ca="1">IFERROR(__xludf.DUMMYFUNCTION("""COMPUTED_VALUE"""),25.45)</f>
        <v>25.45</v>
      </c>
      <c r="F20">
        <f ca="1">IFERROR(__xludf.DUMMYFUNCTION("""COMPUTED_VALUE"""),55)</f>
        <v>55</v>
      </c>
      <c r="G20">
        <f ca="1">IFERROR(__xludf.DUMMYFUNCTION("""COMPUTED_VALUE"""),14)</f>
        <v>14</v>
      </c>
    </row>
    <row r="21" spans="1:7" ht="15.75" customHeight="1">
      <c r="A21" t="str">
        <f ca="1">IFERROR(__xludf.DUMMYFUNCTION("""COMPUTED_VALUE"""),"T20")</f>
        <v>T20</v>
      </c>
      <c r="B21" t="str">
        <f ca="1">IFERROR(__xludf.DUMMYFUNCTION("""COMPUTED_VALUE"""),"T19")</f>
        <v>T19</v>
      </c>
      <c r="C21" t="str">
        <f ca="1">IFERROR(__xludf.DUMMYFUNCTION("""COMPUTED_VALUE"""),"Bronson Burgoon")</f>
        <v>Bronson Burgoon</v>
      </c>
      <c r="D21">
        <f ca="1">IFERROR(__xludf.DUMMYFUNCTION("""COMPUTED_VALUE"""),10)</f>
        <v>10</v>
      </c>
      <c r="E21">
        <f ca="1">IFERROR(__xludf.DUMMYFUNCTION("""COMPUTED_VALUE"""),25)</f>
        <v>25</v>
      </c>
      <c r="F21">
        <f ca="1">IFERROR(__xludf.DUMMYFUNCTION("""COMPUTED_VALUE"""),32)</f>
        <v>32</v>
      </c>
      <c r="G21">
        <f ca="1">IFERROR(__xludf.DUMMYFUNCTION("""COMPUTED_VALUE"""),8)</f>
        <v>8</v>
      </c>
    </row>
    <row r="22" spans="1:7" ht="15.75" customHeight="1">
      <c r="A22" t="str">
        <f ca="1">IFERROR(__xludf.DUMMYFUNCTION("""COMPUTED_VALUE"""),"T20")</f>
        <v>T20</v>
      </c>
      <c r="B22" t="str">
        <f ca="1">IFERROR(__xludf.DUMMYFUNCTION("""COMPUTED_VALUE"""),"T19")</f>
        <v>T19</v>
      </c>
      <c r="C22" t="str">
        <f ca="1">IFERROR(__xludf.DUMMYFUNCTION("""COMPUTED_VALUE"""),"Kevin Kisner")</f>
        <v>Kevin Kisner</v>
      </c>
      <c r="D22">
        <f ca="1">IFERROR(__xludf.DUMMYFUNCTION("""COMPUTED_VALUE"""),10)</f>
        <v>10</v>
      </c>
      <c r="E22">
        <f ca="1">IFERROR(__xludf.DUMMYFUNCTION("""COMPUTED_VALUE"""),25)</f>
        <v>25</v>
      </c>
      <c r="F22">
        <f ca="1">IFERROR(__xludf.DUMMYFUNCTION("""COMPUTED_VALUE"""),28)</f>
        <v>28</v>
      </c>
      <c r="G22">
        <f ca="1">IFERROR(__xludf.DUMMYFUNCTION("""COMPUTED_VALUE"""),7)</f>
        <v>7</v>
      </c>
    </row>
    <row r="23" spans="1:7" ht="15.75" customHeight="1">
      <c r="A23" t="str">
        <f ca="1">IFERROR(__xludf.DUMMYFUNCTION("""COMPUTED_VALUE"""),"T20")</f>
        <v>T20</v>
      </c>
      <c r="B23" t="str">
        <f ca="1">IFERROR(__xludf.DUMMYFUNCTION("""COMPUTED_VALUE"""),"T19")</f>
        <v>T19</v>
      </c>
      <c r="C23" t="str">
        <f ca="1">IFERROR(__xludf.DUMMYFUNCTION("""COMPUTED_VALUE"""),"Justin Thomas")</f>
        <v>Justin Thomas</v>
      </c>
      <c r="D23">
        <f ca="1">IFERROR(__xludf.DUMMYFUNCTION("""COMPUTED_VALUE"""),12)</f>
        <v>12</v>
      </c>
      <c r="E23">
        <f ca="1">IFERROR(__xludf.DUMMYFUNCTION("""COMPUTED_VALUE"""),25)</f>
        <v>25</v>
      </c>
      <c r="F23">
        <f ca="1">IFERROR(__xludf.DUMMYFUNCTION("""COMPUTED_VALUE"""),40)</f>
        <v>40</v>
      </c>
      <c r="G23">
        <f ca="1">IFERROR(__xludf.DUMMYFUNCTION("""COMPUTED_VALUE"""),10)</f>
        <v>10</v>
      </c>
    </row>
    <row r="24" spans="1:7" ht="15.75" customHeight="1">
      <c r="A24" t="str">
        <f ca="1">IFERROR(__xludf.DUMMYFUNCTION("""COMPUTED_VALUE"""),"T20")</f>
        <v>T20</v>
      </c>
      <c r="B24" t="str">
        <f ca="1">IFERROR(__xludf.DUMMYFUNCTION("""COMPUTED_VALUE"""),"T19")</f>
        <v>T19</v>
      </c>
      <c r="C24" t="str">
        <f ca="1">IFERROR(__xludf.DUMMYFUNCTION("""COMPUTED_VALUE"""),"Sebastian Cappelen")</f>
        <v>Sebastian Cappelen</v>
      </c>
      <c r="D24">
        <f ca="1">IFERROR(__xludf.DUMMYFUNCTION("""COMPUTED_VALUE"""),8)</f>
        <v>8</v>
      </c>
      <c r="E24">
        <f ca="1">IFERROR(__xludf.DUMMYFUNCTION("""COMPUTED_VALUE"""),25)</f>
        <v>25</v>
      </c>
      <c r="F24">
        <f ca="1">IFERROR(__xludf.DUMMYFUNCTION("""COMPUTED_VALUE"""),16)</f>
        <v>16</v>
      </c>
      <c r="G24">
        <f ca="1">IFERROR(__xludf.DUMMYFUNCTION("""COMPUTED_VALUE"""),4)</f>
        <v>4</v>
      </c>
    </row>
    <row r="25" spans="1:7" ht="15.75" customHeight="1">
      <c r="A25" t="str">
        <f ca="1">IFERROR(__xludf.DUMMYFUNCTION("""COMPUTED_VALUE"""),"T20")</f>
        <v>T20</v>
      </c>
      <c r="B25" t="str">
        <f ca="1">IFERROR(__xludf.DUMMYFUNCTION("""COMPUTED_VALUE"""),"T19")</f>
        <v>T19</v>
      </c>
      <c r="C25" t="str">
        <f ca="1">IFERROR(__xludf.DUMMYFUNCTION("""COMPUTED_VALUE"""),"Jaekyeong Lee")</f>
        <v>Jaekyeong Lee</v>
      </c>
      <c r="D25">
        <f ca="1">IFERROR(__xludf.DUMMYFUNCTION("""COMPUTED_VALUE"""),4)</f>
        <v>4</v>
      </c>
      <c r="E25">
        <f ca="1">IFERROR(__xludf.DUMMYFUNCTION("""COMPUTED_VALUE"""),25)</f>
        <v>25</v>
      </c>
      <c r="F25">
        <f ca="1">IFERROR(__xludf.DUMMYFUNCTION("""COMPUTED_VALUE"""),12)</f>
        <v>12</v>
      </c>
      <c r="G25">
        <f ca="1">IFERROR(__xludf.DUMMYFUNCTION("""COMPUTED_VALUE"""),3)</f>
        <v>3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IFERROR(__xludf.DUMMYFUNCTION("""COMPUTED_VALUE"""),"T28")</f>
        <v>T28</v>
      </c>
      <c r="C26" t="str">
        <f ca="1">IFERROR(__xludf.DUMMYFUNCTION("""COMPUTED_VALUE"""),"Brendon Todd")</f>
        <v>Brendon Todd</v>
      </c>
      <c r="D26">
        <f ca="1">IFERROR(__xludf.DUMMYFUNCTION("""COMPUTED_VALUE"""),14)</f>
        <v>14</v>
      </c>
      <c r="E26">
        <f ca="1">IFERROR(__xludf.DUMMYFUNCTION("""COMPUTED_VALUE"""),24.39)</f>
        <v>24.39</v>
      </c>
      <c r="F26">
        <f ca="1">IFERROR(__xludf.DUMMYFUNCTION("""COMPUTED_VALUE"""),41)</f>
        <v>41</v>
      </c>
      <c r="G26">
        <f ca="1">IFERROR(__xludf.DUMMYFUNCTION("""COMPUTED_VALUE"""),10)</f>
        <v>10</v>
      </c>
    </row>
    <row r="27" spans="1:7" ht="15.75" customHeight="1">
      <c r="A27" t="str">
        <f ca="1">IFERROR(__xludf.DUMMYFUNCTION("""COMPUTED_VALUE"""),"T26")</f>
        <v>T26</v>
      </c>
      <c r="B27" t="str">
        <f ca="1">IFERROR(__xludf.DUMMYFUNCTION("""COMPUTED_VALUE"""),"T32")</f>
        <v>T32</v>
      </c>
      <c r="C27" t="str">
        <f ca="1">IFERROR(__xludf.DUMMYFUNCTION("""COMPUTED_VALUE"""),"Adam Hadwin")</f>
        <v>Adam Hadwin</v>
      </c>
      <c r="D27">
        <f ca="1">IFERROR(__xludf.DUMMYFUNCTION("""COMPUTED_VALUE"""),16)</f>
        <v>16</v>
      </c>
      <c r="E27">
        <f ca="1">IFERROR(__xludf.DUMMYFUNCTION("""COMPUTED_VALUE"""),24)</f>
        <v>24</v>
      </c>
      <c r="F27">
        <f ca="1">IFERROR(__xludf.DUMMYFUNCTION("""COMPUTED_VALUE"""),50)</f>
        <v>50</v>
      </c>
      <c r="G27">
        <f ca="1">IFERROR(__xludf.DUMMYFUNCTION("""COMPUTED_VALUE"""),12)</f>
        <v>12</v>
      </c>
    </row>
    <row r="28" spans="1:7" ht="15.75" customHeight="1">
      <c r="A28" t="str">
        <f ca="1">IFERROR(__xludf.DUMMYFUNCTION("""COMPUTED_VALUE"""),"T26")</f>
        <v>T26</v>
      </c>
      <c r="B28" t="str">
        <f ca="1">IFERROR(__xludf.DUMMYFUNCTION("""COMPUTED_VALUE"""),"T49")</f>
        <v>T49</v>
      </c>
      <c r="C28" t="str">
        <f ca="1">IFERROR(__xludf.DUMMYFUNCTION("""COMPUTED_VALUE"""),"Brandt Snedeker")</f>
        <v>Brandt Snedeker</v>
      </c>
      <c r="D28">
        <f ca="1">IFERROR(__xludf.DUMMYFUNCTION("""COMPUTED_VALUE"""),16)</f>
        <v>16</v>
      </c>
      <c r="E28">
        <f ca="1">IFERROR(__xludf.DUMMYFUNCTION("""COMPUTED_VALUE"""),24)</f>
        <v>24</v>
      </c>
      <c r="F28">
        <f ca="1">IFERROR(__xludf.DUMMYFUNCTION("""COMPUTED_VALUE"""),50)</f>
        <v>50</v>
      </c>
      <c r="G28">
        <f ca="1">IFERROR(__xludf.DUMMYFUNCTION("""COMPUTED_VALUE"""),12)</f>
        <v>12</v>
      </c>
    </row>
    <row r="29" spans="1:7" ht="15.75" customHeight="1">
      <c r="A29" t="str">
        <f ca="1">IFERROR(__xludf.DUMMYFUNCTION("""COMPUTED_VALUE"""),"T28")</f>
        <v>T28</v>
      </c>
      <c r="B29" t="str">
        <f ca="1">IFERROR(__xludf.DUMMYFUNCTION("""COMPUTED_VALUE"""),"T35")</f>
        <v>T35</v>
      </c>
      <c r="C29" t="str">
        <f ca="1">IFERROR(__xludf.DUMMYFUNCTION("""COMPUTED_VALUE"""),"Ryan Blaum")</f>
        <v>Ryan Blaum</v>
      </c>
      <c r="D29">
        <f ca="1">IFERROR(__xludf.DUMMYFUNCTION("""COMPUTED_VALUE"""),8)</f>
        <v>8</v>
      </c>
      <c r="E29">
        <f ca="1">IFERROR(__xludf.DUMMYFUNCTION("""COMPUTED_VALUE"""),23.81)</f>
        <v>23.81</v>
      </c>
      <c r="F29">
        <f ca="1">IFERROR(__xludf.DUMMYFUNCTION("""COMPUTED_VALUE"""),21)</f>
        <v>21</v>
      </c>
      <c r="G29">
        <f ca="1">IFERROR(__xludf.DUMMYFUNCTION("""COMPUTED_VALUE"""),5)</f>
        <v>5</v>
      </c>
    </row>
    <row r="30" spans="1:7" ht="15.75" customHeight="1">
      <c r="A30" t="str">
        <f ca="1">IFERROR(__xludf.DUMMYFUNCTION("""COMPUTED_VALUE"""),"T28")</f>
        <v>T28</v>
      </c>
      <c r="B30" t="str">
        <f ca="1">IFERROR(__xludf.DUMMYFUNCTION("""COMPUTED_VALUE"""),"T35")</f>
        <v>T35</v>
      </c>
      <c r="C30" t="str">
        <f ca="1">IFERROR(__xludf.DUMMYFUNCTION("""COMPUTED_VALUE"""),"Sahith Theegala")</f>
        <v>Sahith Theegala</v>
      </c>
      <c r="D30">
        <f ca="1">IFERROR(__xludf.DUMMYFUNCTION("""COMPUTED_VALUE"""),6)</f>
        <v>6</v>
      </c>
      <c r="E30">
        <f ca="1">IFERROR(__xludf.DUMMYFUNCTION("""COMPUTED_VALUE"""),23.81)</f>
        <v>23.81</v>
      </c>
      <c r="F30">
        <f ca="1">IFERROR(__xludf.DUMMYFUNCTION("""COMPUTED_VALUE"""),21)</f>
        <v>21</v>
      </c>
      <c r="G30">
        <f ca="1">IFERROR(__xludf.DUMMYFUNCTION("""COMPUTED_VALUE"""),5)</f>
        <v>5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IFERROR(__xludf.DUMMYFUNCTION("""COMPUTED_VALUE"""),16)</f>
        <v>16</v>
      </c>
      <c r="C31" t="str">
        <f ca="1">IFERROR(__xludf.DUMMYFUNCTION("""COMPUTED_VALUE"""),"Doc Redman")</f>
        <v>Doc Redman</v>
      </c>
      <c r="D31">
        <f ca="1">IFERROR(__xludf.DUMMYFUNCTION("""COMPUTED_VALUE"""),18)</f>
        <v>18</v>
      </c>
      <c r="E31">
        <f ca="1">IFERROR(__xludf.DUMMYFUNCTION("""COMPUTED_VALUE"""),23.64)</f>
        <v>23.64</v>
      </c>
      <c r="F31">
        <f ca="1">IFERROR(__xludf.DUMMYFUNCTION("""COMPUTED_VALUE"""),55)</f>
        <v>55</v>
      </c>
      <c r="G31">
        <f ca="1">IFERROR(__xludf.DUMMYFUNCTION("""COMPUTED_VALUE"""),13)</f>
        <v>13</v>
      </c>
    </row>
    <row r="32" spans="1:7" ht="12.75">
      <c r="A32" t="str">
        <f ca="1">IFERROR(__xludf.DUMMYFUNCTION("""COMPUTED_VALUE"""),"T31")</f>
        <v>T31</v>
      </c>
      <c r="B32" t="str">
        <f ca="1">IFERROR(__xludf.DUMMYFUNCTION("""COMPUTED_VALUE"""),"T38")</f>
        <v>T38</v>
      </c>
      <c r="C32" t="str">
        <f ca="1">IFERROR(__xludf.DUMMYFUNCTION("""COMPUTED_VALUE"""),"Cameron Davis")</f>
        <v>Cameron Davis</v>
      </c>
      <c r="D32">
        <f ca="1">IFERROR(__xludf.DUMMYFUNCTION("""COMPUTED_VALUE"""),16)</f>
        <v>16</v>
      </c>
      <c r="E32">
        <f ca="1">IFERROR(__xludf.DUMMYFUNCTION("""COMPUTED_VALUE"""),23.53)</f>
        <v>23.53</v>
      </c>
      <c r="F32">
        <f ca="1">IFERROR(__xludf.DUMMYFUNCTION("""COMPUTED_VALUE"""),51)</f>
        <v>51</v>
      </c>
      <c r="G32">
        <f ca="1">IFERROR(__xludf.DUMMYFUNCTION("""COMPUTED_VALUE"""),12)</f>
        <v>12</v>
      </c>
    </row>
    <row r="33" spans="1:7" ht="12.75">
      <c r="A33" t="str">
        <f ca="1">IFERROR(__xludf.DUMMYFUNCTION("""COMPUTED_VALUE"""),"T31")</f>
        <v>T31</v>
      </c>
      <c r="B33" t="str">
        <f ca="1">IFERROR(__xludf.DUMMYFUNCTION("""COMPUTED_VALUE"""),"T38")</f>
        <v>T38</v>
      </c>
      <c r="C33" t="str">
        <f ca="1">IFERROR(__xludf.DUMMYFUNCTION("""COMPUTED_VALUE"""),"Jay McLuen")</f>
        <v>Jay McLuen</v>
      </c>
      <c r="D33">
        <f ca="1">IFERROR(__xludf.DUMMYFUNCTION("""COMPUTED_VALUE"""),4)</f>
        <v>4</v>
      </c>
      <c r="E33">
        <f ca="1">IFERROR(__xludf.DUMMYFUNCTION("""COMPUTED_VALUE"""),23.53)</f>
        <v>23.53</v>
      </c>
      <c r="F33">
        <f ca="1">IFERROR(__xludf.DUMMYFUNCTION("""COMPUTED_VALUE"""),17)</f>
        <v>17</v>
      </c>
      <c r="G33">
        <f ca="1">IFERROR(__xludf.DUMMYFUNCTION("""COMPUTED_VALUE"""),4)</f>
        <v>4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IFERROR(__xludf.DUMMYFUNCTION("""COMPUTED_VALUE"""),40)</f>
        <v>40</v>
      </c>
      <c r="C34" t="str">
        <f ca="1">IFERROR(__xludf.DUMMYFUNCTION("""COMPUTED_VALUE"""),"Joohyung Kim")</f>
        <v>Joohyung Kim</v>
      </c>
      <c r="D34">
        <f ca="1">IFERROR(__xludf.DUMMYFUNCTION("""COMPUTED_VALUE"""),12)</f>
        <v>12</v>
      </c>
      <c r="E34">
        <f ca="1">IFERROR(__xludf.DUMMYFUNCTION("""COMPUTED_VALUE"""),23.33)</f>
        <v>23.33</v>
      </c>
      <c r="F34">
        <f ca="1">IFERROR(__xludf.DUMMYFUNCTION("""COMPUTED_VALUE"""),30)</f>
        <v>30</v>
      </c>
      <c r="G34">
        <f ca="1">IFERROR(__xludf.DUMMYFUNCTION("""COMPUTED_VALUE"""),7)</f>
        <v>7</v>
      </c>
    </row>
    <row r="35" spans="1:7" ht="12.75">
      <c r="A35" t="str">
        <f ca="1">IFERROR(__xludf.DUMMYFUNCTION("""COMPUTED_VALUE"""),"T34")</f>
        <v>T34</v>
      </c>
      <c r="B35" t="str">
        <f ca="1">IFERROR(__xludf.DUMMYFUNCTION("""COMPUTED_VALUE"""),"T41")</f>
        <v>T41</v>
      </c>
      <c r="C35" t="str">
        <f ca="1">IFERROR(__xludf.DUMMYFUNCTION("""COMPUTED_VALUE"""),"Robert MacIntyre")</f>
        <v>Robert MacIntyre</v>
      </c>
      <c r="D35">
        <f ca="1">IFERROR(__xludf.DUMMYFUNCTION("""COMPUTED_VALUE"""),4)</f>
        <v>4</v>
      </c>
      <c r="E35">
        <f ca="1">IFERROR(__xludf.DUMMYFUNCTION("""COMPUTED_VALUE"""),23.08)</f>
        <v>23.08</v>
      </c>
      <c r="F35">
        <f ca="1">IFERROR(__xludf.DUMMYFUNCTION("""COMPUTED_VALUE"""),13)</f>
        <v>13</v>
      </c>
      <c r="G35">
        <f ca="1">IFERROR(__xludf.DUMMYFUNCTION("""COMPUTED_VALUE"""),3)</f>
        <v>3</v>
      </c>
    </row>
    <row r="36" spans="1:7" ht="12.75">
      <c r="A36" t="str">
        <f ca="1">IFERROR(__xludf.DUMMYFUNCTION("""COMPUTED_VALUE"""),"T34")</f>
        <v>T34</v>
      </c>
      <c r="B36" t="str">
        <f ca="1">IFERROR(__xludf.DUMMYFUNCTION("""COMPUTED_VALUE"""),"T41")</f>
        <v>T41</v>
      </c>
      <c r="C36" t="str">
        <f ca="1">IFERROR(__xludf.DUMMYFUNCTION("""COMPUTED_VALUE"""),"Ben Taylor")</f>
        <v>Ben Taylor</v>
      </c>
      <c r="D36">
        <f ca="1">IFERROR(__xludf.DUMMYFUNCTION("""COMPUTED_VALUE"""),10)</f>
        <v>10</v>
      </c>
      <c r="E36">
        <f ca="1">IFERROR(__xludf.DUMMYFUNCTION("""COMPUTED_VALUE"""),23.08)</f>
        <v>23.08</v>
      </c>
      <c r="F36">
        <f ca="1">IFERROR(__xludf.DUMMYFUNCTION("""COMPUTED_VALUE"""),13)</f>
        <v>13</v>
      </c>
      <c r="G36">
        <f ca="1">IFERROR(__xludf.DUMMYFUNCTION("""COMPUTED_VALUE"""),3)</f>
        <v>3</v>
      </c>
    </row>
    <row r="37" spans="1:7" ht="12.75">
      <c r="A37" t="str">
        <f ca="1">IFERROR(__xludf.DUMMYFUNCTION("""COMPUTED_VALUE"""),"T34")</f>
        <v>T34</v>
      </c>
      <c r="B37">
        <f ca="1">IFERROR(__xludf.DUMMYFUNCTION("""COMPUTED_VALUE"""),27)</f>
        <v>27</v>
      </c>
      <c r="C37" t="str">
        <f ca="1">IFERROR(__xludf.DUMMYFUNCTION("""COMPUTED_VALUE"""),"Mark Hubbard")</f>
        <v>Mark Hubbard</v>
      </c>
      <c r="D37">
        <f ca="1">IFERROR(__xludf.DUMMYFUNCTION("""COMPUTED_VALUE"""),20)</f>
        <v>20</v>
      </c>
      <c r="E37">
        <f ca="1">IFERROR(__xludf.DUMMYFUNCTION("""COMPUTED_VALUE"""),23.08)</f>
        <v>23.08</v>
      </c>
      <c r="F37">
        <f ca="1">IFERROR(__xludf.DUMMYFUNCTION("""COMPUTED_VALUE"""),65)</f>
        <v>65</v>
      </c>
      <c r="G37">
        <f ca="1">IFERROR(__xludf.DUMMYFUNCTION("""COMPUTED_VALUE"""),15)</f>
        <v>15</v>
      </c>
    </row>
    <row r="38" spans="1:7" ht="12.75">
      <c r="A38" t="str">
        <f ca="1">IFERROR(__xludf.DUMMYFUNCTION("""COMPUTED_VALUE"""),"T34")</f>
        <v>T34</v>
      </c>
      <c r="B38" t="str">
        <f ca="1">IFERROR(__xludf.DUMMYFUNCTION("""COMPUTED_VALUE"""),"T41")</f>
        <v>T41</v>
      </c>
      <c r="C38" t="str">
        <f ca="1">IFERROR(__xludf.DUMMYFUNCTION("""COMPUTED_VALUE"""),"Patrick Cantlay")</f>
        <v>Patrick Cantlay</v>
      </c>
      <c r="D38">
        <f ca="1">IFERROR(__xludf.DUMMYFUNCTION("""COMPUTED_VALUE"""),16)</f>
        <v>16</v>
      </c>
      <c r="E38">
        <f ca="1">IFERROR(__xludf.DUMMYFUNCTION("""COMPUTED_VALUE"""),23.08)</f>
        <v>23.08</v>
      </c>
      <c r="F38">
        <f ca="1">IFERROR(__xludf.DUMMYFUNCTION("""COMPUTED_VALUE"""),65)</f>
        <v>65</v>
      </c>
      <c r="G38">
        <f ca="1">IFERROR(__xludf.DUMMYFUNCTION("""COMPUTED_VALUE"""),15)</f>
        <v>15</v>
      </c>
    </row>
    <row r="39" spans="1:7" ht="12.75">
      <c r="A39" t="str">
        <f ca="1">IFERROR(__xludf.DUMMYFUNCTION("""COMPUTED_VALUE"""),"T34")</f>
        <v>T34</v>
      </c>
      <c r="B39" t="str">
        <f ca="1">IFERROR(__xludf.DUMMYFUNCTION("""COMPUTED_VALUE"""),"T41")</f>
        <v>T41</v>
      </c>
      <c r="C39" t="str">
        <f ca="1">IFERROR(__xludf.DUMMYFUNCTION("""COMPUTED_VALUE"""),"Justin Rose")</f>
        <v>Justin Rose</v>
      </c>
      <c r="D39">
        <f ca="1">IFERROR(__xludf.DUMMYFUNCTION("""COMPUTED_VALUE"""),10)</f>
        <v>10</v>
      </c>
      <c r="E39">
        <f ca="1">IFERROR(__xludf.DUMMYFUNCTION("""COMPUTED_VALUE"""),23.08)</f>
        <v>23.08</v>
      </c>
      <c r="F39">
        <f ca="1">IFERROR(__xludf.DUMMYFUNCTION("""COMPUTED_VALUE"""),26)</f>
        <v>26</v>
      </c>
      <c r="G39">
        <f ca="1">IFERROR(__xludf.DUMMYFUNCTION("""COMPUTED_VALUE"""),6)</f>
        <v>6</v>
      </c>
    </row>
    <row r="40" spans="1:7" ht="12.75">
      <c r="A40" t="str">
        <f ca="1">IFERROR(__xludf.DUMMYFUNCTION("""COMPUTED_VALUE"""),"T34")</f>
        <v>T34</v>
      </c>
      <c r="B40" t="str">
        <f ca="1">IFERROR(__xludf.DUMMYFUNCTION("""COMPUTED_VALUE"""),"T41")</f>
        <v>T41</v>
      </c>
      <c r="C40" t="str">
        <f ca="1">IFERROR(__xludf.DUMMYFUNCTION("""COMPUTED_VALUE"""),"Rob Oppenheim")</f>
        <v>Rob Oppenheim</v>
      </c>
      <c r="D40">
        <f ca="1">IFERROR(__xludf.DUMMYFUNCTION("""COMPUTED_VALUE"""),16)</f>
        <v>16</v>
      </c>
      <c r="E40">
        <f ca="1">IFERROR(__xludf.DUMMYFUNCTION("""COMPUTED_VALUE"""),23.08)</f>
        <v>23.08</v>
      </c>
      <c r="F40">
        <f ca="1">IFERROR(__xludf.DUMMYFUNCTION("""COMPUTED_VALUE"""),39)</f>
        <v>39</v>
      </c>
      <c r="G40">
        <f ca="1">IFERROR(__xludf.DUMMYFUNCTION("""COMPUTED_VALUE"""),9)</f>
        <v>9</v>
      </c>
    </row>
    <row r="41" spans="1:7" ht="12.75">
      <c r="A41" t="str">
        <f ca="1">IFERROR(__xludf.DUMMYFUNCTION("""COMPUTED_VALUE"""),"T34")</f>
        <v>T34</v>
      </c>
      <c r="B41" t="str">
        <f ca="1">IFERROR(__xludf.DUMMYFUNCTION("""COMPUTED_VALUE"""),"T12")</f>
        <v>T12</v>
      </c>
      <c r="C41" t="str">
        <f ca="1">IFERROR(__xludf.DUMMYFUNCTION("""COMPUTED_VALUE"""),"Tony Finau")</f>
        <v>Tony Finau</v>
      </c>
      <c r="D41">
        <f ca="1">IFERROR(__xludf.DUMMYFUNCTION("""COMPUTED_VALUE"""),12)</f>
        <v>12</v>
      </c>
      <c r="E41">
        <f ca="1">IFERROR(__xludf.DUMMYFUNCTION("""COMPUTED_VALUE"""),23.08)</f>
        <v>23.08</v>
      </c>
      <c r="F41">
        <f ca="1">IFERROR(__xludf.DUMMYFUNCTION("""COMPUTED_VALUE"""),39)</f>
        <v>39</v>
      </c>
      <c r="G41">
        <f ca="1">IFERROR(__xludf.DUMMYFUNCTION("""COMPUTED_VALUE"""),9)</f>
        <v>9</v>
      </c>
    </row>
    <row r="42" spans="1:7" ht="12.75">
      <c r="A42">
        <f ca="1">IFERROR(__xludf.DUMMYFUNCTION("""COMPUTED_VALUE"""),41)</f>
        <v>41</v>
      </c>
      <c r="B42" t="str">
        <f ca="1">IFERROR(__xludf.DUMMYFUNCTION("""COMPUTED_VALUE"""),"T6")</f>
        <v>T6</v>
      </c>
      <c r="C42" t="str">
        <f ca="1">IFERROR(__xludf.DUMMYFUNCTION("""COMPUTED_VALUE"""),"Tom Lewis")</f>
        <v>Tom Lewis</v>
      </c>
      <c r="D42">
        <f ca="1">IFERROR(__xludf.DUMMYFUNCTION("""COMPUTED_VALUE"""),12)</f>
        <v>12</v>
      </c>
      <c r="E42">
        <f ca="1">IFERROR(__xludf.DUMMYFUNCTION("""COMPUTED_VALUE"""),22.86)</f>
        <v>22.86</v>
      </c>
      <c r="F42">
        <f ca="1">IFERROR(__xludf.DUMMYFUNCTION("""COMPUTED_VALUE"""),35)</f>
        <v>35</v>
      </c>
      <c r="G42">
        <f ca="1">IFERROR(__xludf.DUMMYFUNCTION("""COMPUTED_VALUE"""),8)</f>
        <v>8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IFERROR(__xludf.DUMMYFUNCTION("""COMPUTED_VALUE"""),"T19")</f>
        <v>T19</v>
      </c>
      <c r="C43" t="str">
        <f ca="1">IFERROR(__xludf.DUMMYFUNCTION("""COMPUTED_VALUE"""),"Pat Perez")</f>
        <v>Pat Perez</v>
      </c>
      <c r="D43">
        <f ca="1">IFERROR(__xludf.DUMMYFUNCTION("""COMPUTED_VALUE"""),16)</f>
        <v>16</v>
      </c>
      <c r="E43">
        <f ca="1">IFERROR(__xludf.DUMMYFUNCTION("""COMPUTED_VALUE"""),22.5)</f>
        <v>22.5</v>
      </c>
      <c r="F43">
        <f ca="1">IFERROR(__xludf.DUMMYFUNCTION("""COMPUTED_VALUE"""),40)</f>
        <v>40</v>
      </c>
      <c r="G43">
        <f ca="1">IFERROR(__xludf.DUMMYFUNCTION("""COMPUTED_VALUE"""),9)</f>
        <v>9</v>
      </c>
    </row>
    <row r="44" spans="1:7" ht="12.75">
      <c r="A44">
        <f ca="1">IFERROR(__xludf.DUMMYFUNCTION("""COMPUTED_VALUE"""),43)</f>
        <v>43</v>
      </c>
      <c r="B44" t="str">
        <f ca="1">IFERROR(__xludf.DUMMYFUNCTION("""COMPUTED_VALUE"""),"T41")</f>
        <v>T41</v>
      </c>
      <c r="C44" t="str">
        <f ca="1">IFERROR(__xludf.DUMMYFUNCTION("""COMPUTED_VALUE"""),"Tom Hoge")</f>
        <v>Tom Hoge</v>
      </c>
      <c r="D44">
        <f ca="1">IFERROR(__xludf.DUMMYFUNCTION("""COMPUTED_VALUE"""),22)</f>
        <v>22</v>
      </c>
      <c r="E44">
        <f ca="1">IFERROR(__xludf.DUMMYFUNCTION("""COMPUTED_VALUE"""),22.41)</f>
        <v>22.41</v>
      </c>
      <c r="F44">
        <f ca="1">IFERROR(__xludf.DUMMYFUNCTION("""COMPUTED_VALUE"""),58)</f>
        <v>58</v>
      </c>
      <c r="G44">
        <f ca="1">IFERROR(__xludf.DUMMYFUNCTION("""COMPUTED_VALUE"""),13)</f>
        <v>13</v>
      </c>
    </row>
    <row r="45" spans="1:7" ht="12.75">
      <c r="A45">
        <f ca="1">IFERROR(__xludf.DUMMYFUNCTION("""COMPUTED_VALUE"""),44)</f>
        <v>44</v>
      </c>
      <c r="B45" t="str">
        <f ca="1">IFERROR(__xludf.DUMMYFUNCTION("""COMPUTED_VALUE"""),"T49")</f>
        <v>T49</v>
      </c>
      <c r="C45" t="str">
        <f ca="1">IFERROR(__xludf.DUMMYFUNCTION("""COMPUTED_VALUE"""),"Brian Harman")</f>
        <v>Brian Harman</v>
      </c>
      <c r="D45">
        <f ca="1">IFERROR(__xludf.DUMMYFUNCTION("""COMPUTED_VALUE"""),24)</f>
        <v>24</v>
      </c>
      <c r="E45">
        <f ca="1">IFERROR(__xludf.DUMMYFUNCTION("""COMPUTED_VALUE"""),22.33)</f>
        <v>22.33</v>
      </c>
      <c r="F45">
        <f ca="1">IFERROR(__xludf.DUMMYFUNCTION("""COMPUTED_VALUE"""),103)</f>
        <v>103</v>
      </c>
      <c r="G45">
        <f ca="1">IFERROR(__xludf.DUMMYFUNCTION("""COMPUTED_VALUE"""),23)</f>
        <v>23</v>
      </c>
    </row>
    <row r="46" spans="1:7" ht="12.75">
      <c r="A46" t="str">
        <f ca="1">IFERROR(__xludf.DUMMYFUNCTION("""COMPUTED_VALUE"""),"T45")</f>
        <v>T45</v>
      </c>
      <c r="B46" t="str">
        <f ca="1">IFERROR(__xludf.DUMMYFUNCTION("""COMPUTED_VALUE"""),"T49")</f>
        <v>T49</v>
      </c>
      <c r="C46" t="str">
        <f ca="1">IFERROR(__xludf.DUMMYFUNCTION("""COMPUTED_VALUE"""),"D.J. Trahan")</f>
        <v>D.J. Trahan</v>
      </c>
      <c r="D46">
        <f ca="1">IFERROR(__xludf.DUMMYFUNCTION("""COMPUTED_VALUE"""),16)</f>
        <v>16</v>
      </c>
      <c r="E46">
        <f ca="1">IFERROR(__xludf.DUMMYFUNCTION("""COMPUTED_VALUE"""),22.22)</f>
        <v>22.22</v>
      </c>
      <c r="F46">
        <f ca="1">IFERROR(__xludf.DUMMYFUNCTION("""COMPUTED_VALUE"""),27)</f>
        <v>27</v>
      </c>
      <c r="G46">
        <f ca="1">IFERROR(__xludf.DUMMYFUNCTION("""COMPUTED_VALUE"""),6)</f>
        <v>6</v>
      </c>
    </row>
    <row r="47" spans="1:7" ht="12.75">
      <c r="A47" t="str">
        <f ca="1">IFERROR(__xludf.DUMMYFUNCTION("""COMPUTED_VALUE"""),"T45")</f>
        <v>T45</v>
      </c>
      <c r="B47" t="str">
        <f ca="1">IFERROR(__xludf.DUMMYFUNCTION("""COMPUTED_VALUE"""),"")</f>
        <v/>
      </c>
      <c r="C47" t="str">
        <f ca="1">IFERROR(__xludf.DUMMYFUNCTION("""COMPUTED_VALUE"""),"Justin Harding")</f>
        <v>Justin Harding</v>
      </c>
      <c r="D47">
        <f ca="1">IFERROR(__xludf.DUMMYFUNCTION("""COMPUTED_VALUE"""),6)</f>
        <v>6</v>
      </c>
      <c r="E47">
        <f ca="1">IFERROR(__xludf.DUMMYFUNCTION("""COMPUTED_VALUE"""),22.22)</f>
        <v>22.22</v>
      </c>
      <c r="F47">
        <f ca="1">IFERROR(__xludf.DUMMYFUNCTION("""COMPUTED_VALUE"""),18)</f>
        <v>18</v>
      </c>
      <c r="G47">
        <f ca="1">IFERROR(__xludf.DUMMYFUNCTION("""COMPUTED_VALUE"""),4)</f>
        <v>4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IFERROR(__xludf.DUMMYFUNCTION("""COMPUTED_VALUE"""),"T64")</f>
        <v>T64</v>
      </c>
      <c r="C48" t="str">
        <f ca="1">IFERROR(__xludf.DUMMYFUNCTION("""COMPUTED_VALUE"""),"David Hearn")</f>
        <v>David Hearn</v>
      </c>
      <c r="D48">
        <f ca="1">IFERROR(__xludf.DUMMYFUNCTION("""COMPUTED_VALUE"""),16)</f>
        <v>16</v>
      </c>
      <c r="E48">
        <f ca="1">IFERROR(__xludf.DUMMYFUNCTION("""COMPUTED_VALUE"""),21.88)</f>
        <v>21.88</v>
      </c>
      <c r="F48">
        <f ca="1">IFERROR(__xludf.DUMMYFUNCTION("""COMPUTED_VALUE"""),32)</f>
        <v>32</v>
      </c>
      <c r="G48">
        <f ca="1">IFERROR(__xludf.DUMMYFUNCTION("""COMPUTED_VALUE"""),7)</f>
        <v>7</v>
      </c>
    </row>
    <row r="49" spans="1:7" ht="12.75">
      <c r="A49" t="str">
        <f ca="1">IFERROR(__xludf.DUMMYFUNCTION("""COMPUTED_VALUE"""),"T47")</f>
        <v>T47</v>
      </c>
      <c r="B49">
        <f ca="1">IFERROR(__xludf.DUMMYFUNCTION("""COMPUTED_VALUE"""),53)</f>
        <v>53</v>
      </c>
      <c r="C49" t="str">
        <f ca="1">IFERROR(__xludf.DUMMYFUNCTION("""COMPUTED_VALUE"""),"Peter Malnati")</f>
        <v>Peter Malnati</v>
      </c>
      <c r="D49">
        <f ca="1">IFERROR(__xludf.DUMMYFUNCTION("""COMPUTED_VALUE"""),18)</f>
        <v>18</v>
      </c>
      <c r="E49">
        <f ca="1">IFERROR(__xludf.DUMMYFUNCTION("""COMPUTED_VALUE"""),21.88)</f>
        <v>21.88</v>
      </c>
      <c r="F49">
        <f ca="1">IFERROR(__xludf.DUMMYFUNCTION("""COMPUTED_VALUE"""),32)</f>
        <v>32</v>
      </c>
      <c r="G49">
        <f ca="1">IFERROR(__xludf.DUMMYFUNCTION("""COMPUTED_VALUE"""),7)</f>
        <v>7</v>
      </c>
    </row>
    <row r="50" spans="1:7" ht="12.75">
      <c r="A50" t="str">
        <f ca="1">IFERROR(__xludf.DUMMYFUNCTION("""COMPUTED_VALUE"""),"T49")</f>
        <v>T49</v>
      </c>
      <c r="B50" t="str">
        <f ca="1">IFERROR(__xludf.DUMMYFUNCTION("""COMPUTED_VALUE"""),"T19")</f>
        <v>T19</v>
      </c>
      <c r="C50" t="str">
        <f ca="1">IFERROR(__xludf.DUMMYFUNCTION("""COMPUTED_VALUE"""),"Graeme McDowell")</f>
        <v>Graeme McDowell</v>
      </c>
      <c r="D50">
        <f ca="1">IFERROR(__xludf.DUMMYFUNCTION("""COMPUTED_VALUE"""),8)</f>
        <v>8</v>
      </c>
      <c r="E50">
        <f ca="1">IFERROR(__xludf.DUMMYFUNCTION("""COMPUTED_VALUE"""),21.74)</f>
        <v>21.74</v>
      </c>
      <c r="F50">
        <f ca="1">IFERROR(__xludf.DUMMYFUNCTION("""COMPUTED_VALUE"""),23)</f>
        <v>23</v>
      </c>
      <c r="G50">
        <f ca="1">IFERROR(__xludf.DUMMYFUNCTION("""COMPUTED_VALUE"""),5)</f>
        <v>5</v>
      </c>
    </row>
    <row r="51" spans="1:7" ht="12.75">
      <c r="A51" t="str">
        <f ca="1">IFERROR(__xludf.DUMMYFUNCTION("""COMPUTED_VALUE"""),"T49")</f>
        <v>T49</v>
      </c>
      <c r="B51" t="str">
        <f ca="1">IFERROR(__xludf.DUMMYFUNCTION("""COMPUTED_VALUE"""),"T106")</f>
        <v>T106</v>
      </c>
      <c r="C51" t="str">
        <f ca="1">IFERROR(__xludf.DUMMYFUNCTION("""COMPUTED_VALUE"""),"Satoshi Kodaira")</f>
        <v>Satoshi Kodaira</v>
      </c>
      <c r="D51">
        <f ca="1">IFERROR(__xludf.DUMMYFUNCTION("""COMPUTED_VALUE"""),12)</f>
        <v>12</v>
      </c>
      <c r="E51">
        <f ca="1">IFERROR(__xludf.DUMMYFUNCTION("""COMPUTED_VALUE"""),21.74)</f>
        <v>21.74</v>
      </c>
      <c r="F51">
        <f ca="1">IFERROR(__xludf.DUMMYFUNCTION("""COMPUTED_VALUE"""),46)</f>
        <v>46</v>
      </c>
      <c r="G51">
        <f ca="1">IFERROR(__xludf.DUMMYFUNCTION("""COMPUTED_VALUE"""),10)</f>
        <v>10</v>
      </c>
    </row>
    <row r="52" spans="1:7" ht="12.75">
      <c r="A52">
        <f ca="1">IFERROR(__xludf.DUMMYFUNCTION("""COMPUTED_VALUE"""),51)</f>
        <v>51</v>
      </c>
      <c r="B52" t="str">
        <f ca="1">IFERROR(__xludf.DUMMYFUNCTION("""COMPUTED_VALUE"""),"T64")</f>
        <v>T64</v>
      </c>
      <c r="C52" t="str">
        <f ca="1">IFERROR(__xludf.DUMMYFUNCTION("""COMPUTED_VALUE"""),"Patrick Rodgers")</f>
        <v>Patrick Rodgers</v>
      </c>
      <c r="D52">
        <f ca="1">IFERROR(__xludf.DUMMYFUNCTION("""COMPUTED_VALUE"""),18)</f>
        <v>18</v>
      </c>
      <c r="E52">
        <f ca="1">IFERROR(__xludf.DUMMYFUNCTION("""COMPUTED_VALUE"""),21.62)</f>
        <v>21.62</v>
      </c>
      <c r="F52">
        <f ca="1">IFERROR(__xludf.DUMMYFUNCTION("""COMPUTED_VALUE"""),37)</f>
        <v>37</v>
      </c>
      <c r="G52">
        <f ca="1">IFERROR(__xludf.DUMMYFUNCTION("""COMPUTED_VALUE"""),8)</f>
        <v>8</v>
      </c>
    </row>
    <row r="53" spans="1:7" ht="12.75">
      <c r="A53" t="str">
        <f ca="1">IFERROR(__xludf.DUMMYFUNCTION("""COMPUTED_VALUE"""),"T52")</f>
        <v>T52</v>
      </c>
      <c r="B53" t="str">
        <f ca="1">IFERROR(__xludf.DUMMYFUNCTION("""COMPUTED_VALUE"""),"T186")</f>
        <v>T186</v>
      </c>
      <c r="C53" t="str">
        <f ca="1">IFERROR(__xludf.DUMMYFUNCTION("""COMPUTED_VALUE"""),"Michael Kim")</f>
        <v>Michael Kim</v>
      </c>
      <c r="D53">
        <f ca="1">IFERROR(__xludf.DUMMYFUNCTION("""COMPUTED_VALUE"""),12)</f>
        <v>12</v>
      </c>
      <c r="E53">
        <f ca="1">IFERROR(__xludf.DUMMYFUNCTION("""COMPUTED_VALUE"""),21.43)</f>
        <v>21.43</v>
      </c>
      <c r="F53">
        <f ca="1">IFERROR(__xludf.DUMMYFUNCTION("""COMPUTED_VALUE"""),28)</f>
        <v>28</v>
      </c>
      <c r="G53">
        <f ca="1">IFERROR(__xludf.DUMMYFUNCTION("""COMPUTED_VALUE"""),6)</f>
        <v>6</v>
      </c>
    </row>
    <row r="54" spans="1:7" ht="12.75">
      <c r="A54" t="str">
        <f ca="1">IFERROR(__xludf.DUMMYFUNCTION("""COMPUTED_VALUE"""),"T52")</f>
        <v>T52</v>
      </c>
      <c r="B54" t="str">
        <f ca="1">IFERROR(__xludf.DUMMYFUNCTION("""COMPUTED_VALUE"""),"T55")</f>
        <v>T55</v>
      </c>
      <c r="C54" t="str">
        <f ca="1">IFERROR(__xludf.DUMMYFUNCTION("""COMPUTED_VALUE"""),"Michael Gellerman")</f>
        <v>Michael Gellerman</v>
      </c>
      <c r="D54">
        <f ca="1">IFERROR(__xludf.DUMMYFUNCTION("""COMPUTED_VALUE"""),5)</f>
        <v>5</v>
      </c>
      <c r="E54">
        <f ca="1">IFERROR(__xludf.DUMMYFUNCTION("""COMPUTED_VALUE"""),21.43)</f>
        <v>21.43</v>
      </c>
      <c r="F54">
        <f ca="1">IFERROR(__xludf.DUMMYFUNCTION("""COMPUTED_VALUE"""),14)</f>
        <v>14</v>
      </c>
      <c r="G54">
        <f ca="1">IFERROR(__xludf.DUMMYFUNCTION("""COMPUTED_VALUE"""),3)</f>
        <v>3</v>
      </c>
    </row>
    <row r="55" spans="1:7" ht="12.75">
      <c r="A55" t="str">
        <f ca="1">IFERROR(__xludf.DUMMYFUNCTION("""COMPUTED_VALUE"""),"T52")</f>
        <v>T52</v>
      </c>
      <c r="B55" t="str">
        <f ca="1">IFERROR(__xludf.DUMMYFUNCTION("""COMPUTED_VALUE"""),"T55")</f>
        <v>T55</v>
      </c>
      <c r="C55" t="str">
        <f ca="1">IFERROR(__xludf.DUMMYFUNCTION("""COMPUTED_VALUE"""),"Cameron Percy")</f>
        <v>Cameron Percy</v>
      </c>
      <c r="D55">
        <f ca="1">IFERROR(__xludf.DUMMYFUNCTION("""COMPUTED_VALUE"""),16)</f>
        <v>16</v>
      </c>
      <c r="E55">
        <f ca="1">IFERROR(__xludf.DUMMYFUNCTION("""COMPUTED_VALUE"""),21.43)</f>
        <v>21.43</v>
      </c>
      <c r="F55">
        <f ca="1">IFERROR(__xludf.DUMMYFUNCTION("""COMPUTED_VALUE"""),42)</f>
        <v>42</v>
      </c>
      <c r="G55">
        <f ca="1">IFERROR(__xludf.DUMMYFUNCTION("""COMPUTED_VALUE"""),9)</f>
        <v>9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IFERROR(__xludf.DUMMYFUNCTION("""COMPUTED_VALUE"""),30)</f>
        <v>30</v>
      </c>
      <c r="C56" t="str">
        <f ca="1">IFERROR(__xludf.DUMMYFUNCTION("""COMPUTED_VALUE"""),"Kevin Chappell")</f>
        <v>Kevin Chappell</v>
      </c>
      <c r="D56">
        <f ca="1">IFERROR(__xludf.DUMMYFUNCTION("""COMPUTED_VALUE"""),16)</f>
        <v>16</v>
      </c>
      <c r="E56">
        <f ca="1">IFERROR(__xludf.DUMMYFUNCTION("""COMPUTED_VALUE"""),21.28)</f>
        <v>21.28</v>
      </c>
      <c r="F56">
        <f ca="1">IFERROR(__xludf.DUMMYFUNCTION("""COMPUTED_VALUE"""),47)</f>
        <v>47</v>
      </c>
      <c r="G56">
        <f ca="1">IFERROR(__xludf.DUMMYFUNCTION("""COMPUTED_VALUE"""),10)</f>
        <v>10</v>
      </c>
    </row>
    <row r="57" spans="1:7" ht="12.75">
      <c r="A57">
        <f ca="1">IFERROR(__xludf.DUMMYFUNCTION("""COMPUTED_VALUE"""),56)</f>
        <v>56</v>
      </c>
      <c r="B57" t="str">
        <f ca="1">IFERROR(__xludf.DUMMYFUNCTION("""COMPUTED_VALUE"""),"T32")</f>
        <v>T32</v>
      </c>
      <c r="C57" t="str">
        <f ca="1">IFERROR(__xludf.DUMMYFUNCTION("""COMPUTED_VALUE"""),"Hunter Mahan")</f>
        <v>Hunter Mahan</v>
      </c>
      <c r="D57">
        <f ca="1">IFERROR(__xludf.DUMMYFUNCTION("""COMPUTED_VALUE"""),14)</f>
        <v>14</v>
      </c>
      <c r="E57">
        <f ca="1">IFERROR(__xludf.DUMMYFUNCTION("""COMPUTED_VALUE"""),21.21)</f>
        <v>21.21</v>
      </c>
      <c r="F57">
        <f ca="1">IFERROR(__xludf.DUMMYFUNCTION("""COMPUTED_VALUE"""),33)</f>
        <v>33</v>
      </c>
      <c r="G57">
        <f ca="1">IFERROR(__xludf.DUMMYFUNCTION("""COMPUTED_VALUE"""),7)</f>
        <v>7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IFERROR(__xludf.DUMMYFUNCTION("""COMPUTED_VALUE"""),"T91")</f>
        <v>T91</v>
      </c>
      <c r="C58" t="str">
        <f ca="1">IFERROR(__xludf.DUMMYFUNCTION("""COMPUTED_VALUE"""),"Michael Thompson")</f>
        <v>Michael Thompson</v>
      </c>
      <c r="D58">
        <f ca="1">IFERROR(__xludf.DUMMYFUNCTION("""COMPUTED_VALUE"""),16)</f>
        <v>16</v>
      </c>
      <c r="E58">
        <f ca="1">IFERROR(__xludf.DUMMYFUNCTION("""COMPUTED_VALUE"""),21.05)</f>
        <v>21.05</v>
      </c>
      <c r="F58">
        <f ca="1">IFERROR(__xludf.DUMMYFUNCTION("""COMPUTED_VALUE"""),57)</f>
        <v>57</v>
      </c>
      <c r="G58">
        <f ca="1">IFERROR(__xludf.DUMMYFUNCTION("""COMPUTED_VALUE"""),12)</f>
        <v>12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IFERROR(__xludf.DUMMYFUNCTION("""COMPUTED_VALUE"""),143)</f>
        <v>143</v>
      </c>
      <c r="C59" t="str">
        <f ca="1">IFERROR(__xludf.DUMMYFUNCTION("""COMPUTED_VALUE"""),"Zach Johnson")</f>
        <v>Zach Johnson</v>
      </c>
      <c r="D59">
        <f ca="1">IFERROR(__xludf.DUMMYFUNCTION("""COMPUTED_VALUE"""),16)</f>
        <v>16</v>
      </c>
      <c r="E59">
        <f ca="1">IFERROR(__xludf.DUMMYFUNCTION("""COMPUTED_VALUE"""),20.97)</f>
        <v>20.97</v>
      </c>
      <c r="F59">
        <f ca="1">IFERROR(__xludf.DUMMYFUNCTION("""COMPUTED_VALUE"""),62)</f>
        <v>62</v>
      </c>
      <c r="G59">
        <f ca="1">IFERROR(__xludf.DUMMYFUNCTION("""COMPUTED_VALUE"""),13)</f>
        <v>13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IFERROR(__xludf.DUMMYFUNCTION("""COMPUTED_VALUE"""),60)</f>
        <v>60</v>
      </c>
      <c r="C60" t="str">
        <f ca="1">IFERROR(__xludf.DUMMYFUNCTION("""COMPUTED_VALUE"""),"Tommy Fleetwood")</f>
        <v>Tommy Fleetwood</v>
      </c>
      <c r="D60">
        <f ca="1">IFERROR(__xludf.DUMMYFUNCTION("""COMPUTED_VALUE"""),10)</f>
        <v>10</v>
      </c>
      <c r="E60">
        <f ca="1">IFERROR(__xludf.DUMMYFUNCTION("""COMPUTED_VALUE"""),20.69)</f>
        <v>20.69</v>
      </c>
      <c r="F60">
        <f ca="1">IFERROR(__xludf.DUMMYFUNCTION("""COMPUTED_VALUE"""),29)</f>
        <v>29</v>
      </c>
      <c r="G60">
        <f ca="1">IFERROR(__xludf.DUMMYFUNCTION("""COMPUTED_VALUE"""),6)</f>
        <v>6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IFERROR(__xludf.DUMMYFUNCTION("""COMPUTED_VALUE"""),34)</f>
        <v>34</v>
      </c>
      <c r="C61" t="str">
        <f ca="1">IFERROR(__xludf.DUMMYFUNCTION("""COMPUTED_VALUE"""),"Kristoffer Ventura")</f>
        <v>Kristoffer Ventura</v>
      </c>
      <c r="D61">
        <f ca="1">IFERROR(__xludf.DUMMYFUNCTION("""COMPUTED_VALUE"""),20)</f>
        <v>20</v>
      </c>
      <c r="E61">
        <f ca="1">IFERROR(__xludf.DUMMYFUNCTION("""COMPUTED_VALUE"""),20.63)</f>
        <v>20.63</v>
      </c>
      <c r="F61">
        <f ca="1">IFERROR(__xludf.DUMMYFUNCTION("""COMPUTED_VALUE"""),63)</f>
        <v>63</v>
      </c>
      <c r="G61">
        <f ca="1">IFERROR(__xludf.DUMMYFUNCTION("""COMPUTED_VALUE"""),13)</f>
        <v>13</v>
      </c>
    </row>
    <row r="62" spans="1:7" ht="12.75">
      <c r="A62">
        <f ca="1">IFERROR(__xludf.DUMMYFUNCTION("""COMPUTED_VALUE"""),61)</f>
        <v>61</v>
      </c>
      <c r="B62" t="str">
        <f ca="1">IFERROR(__xludf.DUMMYFUNCTION("""COMPUTED_VALUE"""),"T62")</f>
        <v>T62</v>
      </c>
      <c r="C62" t="str">
        <f ca="1">IFERROR(__xludf.DUMMYFUNCTION("""COMPUTED_VALUE"""),"Harris English")</f>
        <v>Harris English</v>
      </c>
      <c r="D62">
        <f ca="1">IFERROR(__xludf.DUMMYFUNCTION("""COMPUTED_VALUE"""),14)</f>
        <v>14</v>
      </c>
      <c r="E62">
        <f ca="1">IFERROR(__xludf.DUMMYFUNCTION("""COMPUTED_VALUE"""),20.51)</f>
        <v>20.51</v>
      </c>
      <c r="F62">
        <f ca="1">IFERROR(__xludf.DUMMYFUNCTION("""COMPUTED_VALUE"""),39)</f>
        <v>39</v>
      </c>
      <c r="G62">
        <f ca="1">IFERROR(__xludf.DUMMYFUNCTION("""COMPUTED_VALUE"""),8)</f>
        <v>8</v>
      </c>
    </row>
    <row r="63" spans="1:7" ht="12.75">
      <c r="A63" t="str">
        <f ca="1">IFERROR(__xludf.DUMMYFUNCTION("""COMPUTED_VALUE"""),"T62")</f>
        <v>T62</v>
      </c>
      <c r="B63" t="str">
        <f ca="1">IFERROR(__xludf.DUMMYFUNCTION("""COMPUTED_VALUE"""),"T146")</f>
        <v>T146</v>
      </c>
      <c r="C63" t="str">
        <f ca="1">IFERROR(__xludf.DUMMYFUNCTION("""COMPUTED_VALUE"""),"Mackenzie Hughes")</f>
        <v>Mackenzie Hughes</v>
      </c>
      <c r="D63">
        <f ca="1">IFERROR(__xludf.DUMMYFUNCTION("""COMPUTED_VALUE"""),18)</f>
        <v>18</v>
      </c>
      <c r="E63">
        <f ca="1">IFERROR(__xludf.DUMMYFUNCTION("""COMPUTED_VALUE"""),20.45)</f>
        <v>20.45</v>
      </c>
      <c r="F63">
        <f ca="1">IFERROR(__xludf.DUMMYFUNCTION("""COMPUTED_VALUE"""),44)</f>
        <v>44</v>
      </c>
      <c r="G63">
        <f ca="1">IFERROR(__xludf.DUMMYFUNCTION("""COMPUTED_VALUE"""),9)</f>
        <v>9</v>
      </c>
    </row>
    <row r="64" spans="1:7" ht="12.75">
      <c r="A64" t="str">
        <f ca="1">IFERROR(__xludf.DUMMYFUNCTION("""COMPUTED_VALUE"""),"T62")</f>
        <v>T62</v>
      </c>
      <c r="B64">
        <f ca="1">IFERROR(__xludf.DUMMYFUNCTION("""COMPUTED_VALUE"""),31)</f>
        <v>31</v>
      </c>
      <c r="C64" t="str">
        <f ca="1">IFERROR(__xludf.DUMMYFUNCTION("""COMPUTED_VALUE"""),"Charley Hoffman")</f>
        <v>Charley Hoffman</v>
      </c>
      <c r="D64">
        <f ca="1">IFERROR(__xludf.DUMMYFUNCTION("""COMPUTED_VALUE"""),20)</f>
        <v>20</v>
      </c>
      <c r="E64">
        <f ca="1">IFERROR(__xludf.DUMMYFUNCTION("""COMPUTED_VALUE"""),20.45)</f>
        <v>20.45</v>
      </c>
      <c r="F64">
        <f ca="1">IFERROR(__xludf.DUMMYFUNCTION("""COMPUTED_VALUE"""),44)</f>
        <v>44</v>
      </c>
      <c r="G64">
        <f ca="1">IFERROR(__xludf.DUMMYFUNCTION("""COMPUTED_VALUE"""),9)</f>
        <v>9</v>
      </c>
    </row>
    <row r="65" spans="1:7" ht="12.75">
      <c r="A65" t="str">
        <f ca="1">IFERROR(__xludf.DUMMYFUNCTION("""COMPUTED_VALUE"""),"T62")</f>
        <v>T62</v>
      </c>
      <c r="B65">
        <f ca="1">IFERROR(__xludf.DUMMYFUNCTION("""COMPUTED_VALUE"""),54)</f>
        <v>54</v>
      </c>
      <c r="C65" t="str">
        <f ca="1">IFERROR(__xludf.DUMMYFUNCTION("""COMPUTED_VALUE"""),"Ryan Armour")</f>
        <v>Ryan Armour</v>
      </c>
      <c r="D65">
        <f ca="1">IFERROR(__xludf.DUMMYFUNCTION("""COMPUTED_VALUE"""),16)</f>
        <v>16</v>
      </c>
      <c r="E65">
        <f ca="1">IFERROR(__xludf.DUMMYFUNCTION("""COMPUTED_VALUE"""),20.45)</f>
        <v>20.45</v>
      </c>
      <c r="F65">
        <f ca="1">IFERROR(__xludf.DUMMYFUNCTION("""COMPUTED_VALUE"""),44)</f>
        <v>44</v>
      </c>
      <c r="G65">
        <f ca="1">IFERROR(__xludf.DUMMYFUNCTION("""COMPUTED_VALUE"""),9)</f>
        <v>9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IFERROR(__xludf.DUMMYFUNCTION("""COMPUTED_VALUE"""),"T64")</f>
        <v>T64</v>
      </c>
      <c r="C66" t="str">
        <f ca="1">IFERROR(__xludf.DUMMYFUNCTION("""COMPUTED_VALUE"""),"Martin Laird")</f>
        <v>Martin Laird</v>
      </c>
      <c r="D66">
        <f ca="1">IFERROR(__xludf.DUMMYFUNCTION("""COMPUTED_VALUE"""),16)</f>
        <v>16</v>
      </c>
      <c r="E66">
        <f ca="1">IFERROR(__xludf.DUMMYFUNCTION("""COMPUTED_VALUE"""),20.41)</f>
        <v>20.41</v>
      </c>
      <c r="F66">
        <f ca="1">IFERROR(__xludf.DUMMYFUNCTION("""COMPUTED_VALUE"""),49)</f>
        <v>49</v>
      </c>
      <c r="G66">
        <f ca="1">IFERROR(__xludf.DUMMYFUNCTION("""COMPUTED_VALUE"""),10)</f>
        <v>10</v>
      </c>
    </row>
    <row r="67" spans="1:7" ht="12.75">
      <c r="A67">
        <f ca="1">IFERROR(__xludf.DUMMYFUNCTION("""COMPUTED_VALUE"""),66)</f>
        <v>66</v>
      </c>
      <c r="B67" t="str">
        <f ca="1">IFERROR(__xludf.DUMMYFUNCTION("""COMPUTED_VALUE"""),"T96")</f>
        <v>T96</v>
      </c>
      <c r="C67" t="str">
        <f ca="1">IFERROR(__xludf.DUMMYFUNCTION("""COMPUTED_VALUE"""),"C.T. Pan")</f>
        <v>C.T. Pan</v>
      </c>
      <c r="D67">
        <f ca="1">IFERROR(__xludf.DUMMYFUNCTION("""COMPUTED_VALUE"""),20)</f>
        <v>20</v>
      </c>
      <c r="E67">
        <f ca="1">IFERROR(__xludf.DUMMYFUNCTION("""COMPUTED_VALUE"""),20.31)</f>
        <v>20.309999999999999</v>
      </c>
      <c r="F67">
        <f ca="1">IFERROR(__xludf.DUMMYFUNCTION("""COMPUTED_VALUE"""),64)</f>
        <v>64</v>
      </c>
      <c r="G67">
        <f ca="1">IFERROR(__xludf.DUMMYFUNCTION("""COMPUTED_VALUE"""),13)</f>
        <v>13</v>
      </c>
    </row>
    <row r="68" spans="1:7" ht="12.75">
      <c r="A68" t="str">
        <f ca="1">IFERROR(__xludf.DUMMYFUNCTION("""COMPUTED_VALUE"""),"T67")</f>
        <v>T67</v>
      </c>
      <c r="B68" t="str">
        <f ca="1">IFERROR(__xludf.DUMMYFUNCTION("""COMPUTED_VALUE"""),"T64")</f>
        <v>T64</v>
      </c>
      <c r="C68" t="str">
        <f ca="1">IFERROR(__xludf.DUMMYFUNCTION("""COMPUTED_VALUE"""),"Seamus Power")</f>
        <v>Seamus Power</v>
      </c>
      <c r="D68">
        <f ca="1">IFERROR(__xludf.DUMMYFUNCTION("""COMPUTED_VALUE"""),8)</f>
        <v>8</v>
      </c>
      <c r="E68">
        <f ca="1">IFERROR(__xludf.DUMMYFUNCTION("""COMPUTED_VALUE"""),20)</f>
        <v>20</v>
      </c>
      <c r="F68">
        <f ca="1">IFERROR(__xludf.DUMMYFUNCTION("""COMPUTED_VALUE"""),10)</f>
        <v>10</v>
      </c>
      <c r="G68">
        <f ca="1">IFERROR(__xludf.DUMMYFUNCTION("""COMPUTED_VALUE"""),2)</f>
        <v>2</v>
      </c>
    </row>
    <row r="69" spans="1:7" ht="12.75">
      <c r="A69" t="str">
        <f ca="1">IFERROR(__xludf.DUMMYFUNCTION("""COMPUTED_VALUE"""),"T67")</f>
        <v>T67</v>
      </c>
      <c r="B69" t="str">
        <f ca="1">IFERROR(__xludf.DUMMYFUNCTION("""COMPUTED_VALUE"""),"T62")</f>
        <v>T62</v>
      </c>
      <c r="C69" t="str">
        <f ca="1">IFERROR(__xludf.DUMMYFUNCTION("""COMPUTED_VALUE"""),"Hideki Matsuyama")</f>
        <v>Hideki Matsuyama</v>
      </c>
      <c r="D69">
        <f ca="1">IFERROR(__xludf.DUMMYFUNCTION("""COMPUTED_VALUE"""),18)</f>
        <v>18</v>
      </c>
      <c r="E69">
        <f ca="1">IFERROR(__xludf.DUMMYFUNCTION("""COMPUTED_VALUE"""),20)</f>
        <v>20</v>
      </c>
      <c r="F69">
        <f ca="1">IFERROR(__xludf.DUMMYFUNCTION("""COMPUTED_VALUE"""),50)</f>
        <v>50</v>
      </c>
      <c r="G69">
        <f ca="1">IFERROR(__xludf.DUMMYFUNCTION("""COMPUTED_VALUE"""),10)</f>
        <v>10</v>
      </c>
    </row>
    <row r="70" spans="1:7" ht="12.75">
      <c r="A70" t="str">
        <f ca="1">IFERROR(__xludf.DUMMYFUNCTION("""COMPUTED_VALUE"""),"T67")</f>
        <v>T67</v>
      </c>
      <c r="B70" t="str">
        <f ca="1">IFERROR(__xludf.DUMMYFUNCTION("""COMPUTED_VALUE"""),"T64")</f>
        <v>T64</v>
      </c>
      <c r="C70" t="str">
        <f ca="1">IFERROR(__xludf.DUMMYFUNCTION("""COMPUTED_VALUE"""),"Harry Higgs")</f>
        <v>Harry Higgs</v>
      </c>
      <c r="D70">
        <f ca="1">IFERROR(__xludf.DUMMYFUNCTION("""COMPUTED_VALUE"""),14)</f>
        <v>14</v>
      </c>
      <c r="E70">
        <f ca="1">IFERROR(__xludf.DUMMYFUNCTION("""COMPUTED_VALUE"""),20)</f>
        <v>20</v>
      </c>
      <c r="F70">
        <f ca="1">IFERROR(__xludf.DUMMYFUNCTION("""COMPUTED_VALUE"""),55)</f>
        <v>55</v>
      </c>
      <c r="G70">
        <f ca="1">IFERROR(__xludf.DUMMYFUNCTION("""COMPUTED_VALUE"""),11)</f>
        <v>11</v>
      </c>
    </row>
    <row r="71" spans="1:7" ht="12.75">
      <c r="A71" t="str">
        <f ca="1">IFERROR(__xludf.DUMMYFUNCTION("""COMPUTED_VALUE"""),"T67")</f>
        <v>T67</v>
      </c>
      <c r="B71" t="str">
        <f ca="1">IFERROR(__xludf.DUMMYFUNCTION("""COMPUTED_VALUE"""),"T64")</f>
        <v>T64</v>
      </c>
      <c r="C71" t="str">
        <f ca="1">IFERROR(__xludf.DUMMYFUNCTION("""COMPUTED_VALUE"""),"Brian Gay")</f>
        <v>Brian Gay</v>
      </c>
      <c r="D71">
        <f ca="1">IFERROR(__xludf.DUMMYFUNCTION("""COMPUTED_VALUE"""),8)</f>
        <v>8</v>
      </c>
      <c r="E71">
        <f ca="1">IFERROR(__xludf.DUMMYFUNCTION("""COMPUTED_VALUE"""),20)</f>
        <v>20</v>
      </c>
      <c r="F71">
        <f ca="1">IFERROR(__xludf.DUMMYFUNCTION("""COMPUTED_VALUE"""),10)</f>
        <v>10</v>
      </c>
      <c r="G71">
        <f ca="1">IFERROR(__xludf.DUMMYFUNCTION("""COMPUTED_VALUE"""),2)</f>
        <v>2</v>
      </c>
    </row>
    <row r="72" spans="1:7" ht="12.75">
      <c r="A72" t="str">
        <f ca="1">IFERROR(__xludf.DUMMYFUNCTION("""COMPUTED_VALUE"""),"T67")</f>
        <v>T67</v>
      </c>
      <c r="B72">
        <f ca="1">IFERROR(__xludf.DUMMYFUNCTION("""COMPUTED_VALUE"""),59)</f>
        <v>59</v>
      </c>
      <c r="C72" t="str">
        <f ca="1">IFERROR(__xludf.DUMMYFUNCTION("""COMPUTED_VALUE"""),"Russell Henley")</f>
        <v>Russell Henley</v>
      </c>
      <c r="D72">
        <f ca="1">IFERROR(__xludf.DUMMYFUNCTION("""COMPUTED_VALUE"""),16)</f>
        <v>16</v>
      </c>
      <c r="E72">
        <f ca="1">IFERROR(__xludf.DUMMYFUNCTION("""COMPUTED_VALUE"""),20)</f>
        <v>20</v>
      </c>
      <c r="F72">
        <f ca="1">IFERROR(__xludf.DUMMYFUNCTION("""COMPUTED_VALUE"""),60)</f>
        <v>60</v>
      </c>
      <c r="G72">
        <f ca="1">IFERROR(__xludf.DUMMYFUNCTION("""COMPUTED_VALUE"""),12)</f>
        <v>12</v>
      </c>
    </row>
    <row r="73" spans="1:7" ht="12.75">
      <c r="A73" t="str">
        <f ca="1">IFERROR(__xludf.DUMMYFUNCTION("""COMPUTED_VALUE"""),"T67")</f>
        <v>T67</v>
      </c>
      <c r="B73" t="str">
        <f ca="1">IFERROR(__xludf.DUMMYFUNCTION("""COMPUTED_VALUE"""),"T64")</f>
        <v>T64</v>
      </c>
      <c r="C73" t="str">
        <f ca="1">IFERROR(__xludf.DUMMYFUNCTION("""COMPUTED_VALUE"""),"Robert Streb")</f>
        <v>Robert Streb</v>
      </c>
      <c r="D73">
        <f ca="1">IFERROR(__xludf.DUMMYFUNCTION("""COMPUTED_VALUE"""),12)</f>
        <v>12</v>
      </c>
      <c r="E73">
        <f ca="1">IFERROR(__xludf.DUMMYFUNCTION("""COMPUTED_VALUE"""),20)</f>
        <v>20</v>
      </c>
      <c r="F73">
        <f ca="1">IFERROR(__xludf.DUMMYFUNCTION("""COMPUTED_VALUE"""),15)</f>
        <v>15</v>
      </c>
      <c r="G73">
        <f ca="1">IFERROR(__xludf.DUMMYFUNCTION("""COMPUTED_VALUE"""),3)</f>
        <v>3</v>
      </c>
    </row>
    <row r="74" spans="1:7" ht="12.75">
      <c r="A74" t="str">
        <f ca="1">IFERROR(__xludf.DUMMYFUNCTION("""COMPUTED_VALUE"""),"T67")</f>
        <v>T67</v>
      </c>
      <c r="B74" t="str">
        <f ca="1">IFERROR(__xludf.DUMMYFUNCTION("""COMPUTED_VALUE"""),"T55")</f>
        <v>T55</v>
      </c>
      <c r="C74" t="str">
        <f ca="1">IFERROR(__xludf.DUMMYFUNCTION("""COMPUTED_VALUE"""),"Talor Gooch")</f>
        <v>Talor Gooch</v>
      </c>
      <c r="D74">
        <f ca="1">IFERROR(__xludf.DUMMYFUNCTION("""COMPUTED_VALUE"""),20)</f>
        <v>20</v>
      </c>
      <c r="E74">
        <f ca="1">IFERROR(__xludf.DUMMYFUNCTION("""COMPUTED_VALUE"""),20)</f>
        <v>20</v>
      </c>
      <c r="F74">
        <f ca="1">IFERROR(__xludf.DUMMYFUNCTION("""COMPUTED_VALUE"""),70)</f>
        <v>70</v>
      </c>
      <c r="G74">
        <f ca="1">IFERROR(__xludf.DUMMYFUNCTION("""COMPUTED_VALUE"""),14)</f>
        <v>14</v>
      </c>
    </row>
    <row r="75" spans="1:7" ht="12.75">
      <c r="A75" t="str">
        <f ca="1">IFERROR(__xludf.DUMMYFUNCTION("""COMPUTED_VALUE"""),"T67")</f>
        <v>T67</v>
      </c>
      <c r="B75" t="str">
        <f ca="1">IFERROR(__xludf.DUMMYFUNCTION("""COMPUTED_VALUE"""),"T64")</f>
        <v>T64</v>
      </c>
      <c r="C75" t="str">
        <f ca="1">IFERROR(__xludf.DUMMYFUNCTION("""COMPUTED_VALUE"""),"Brandon Hagy")</f>
        <v>Brandon Hagy</v>
      </c>
      <c r="D75">
        <f ca="1">IFERROR(__xludf.DUMMYFUNCTION("""COMPUTED_VALUE"""),10)</f>
        <v>10</v>
      </c>
      <c r="E75">
        <f ca="1">IFERROR(__xludf.DUMMYFUNCTION("""COMPUTED_VALUE"""),20)</f>
        <v>20</v>
      </c>
      <c r="F75">
        <f ca="1">IFERROR(__xludf.DUMMYFUNCTION("""COMPUTED_VALUE"""),25)</f>
        <v>25</v>
      </c>
      <c r="G75">
        <f ca="1">IFERROR(__xludf.DUMMYFUNCTION("""COMPUTED_VALUE"""),5)</f>
        <v>5</v>
      </c>
    </row>
    <row r="76" spans="1:7" ht="12.75">
      <c r="A76">
        <f ca="1">IFERROR(__xludf.DUMMYFUNCTION("""COMPUTED_VALUE"""),75)</f>
        <v>75</v>
      </c>
      <c r="B76" t="str">
        <f ca="1">IFERROR(__xludf.DUMMYFUNCTION("""COMPUTED_VALUE"""),"T96")</f>
        <v>T96</v>
      </c>
      <c r="C76" t="str">
        <f ca="1">IFERROR(__xludf.DUMMYFUNCTION("""COMPUTED_VALUE"""),"Jason Dufner")</f>
        <v>Jason Dufner</v>
      </c>
      <c r="D76">
        <f ca="1">IFERROR(__xludf.DUMMYFUNCTION("""COMPUTED_VALUE"""),14)</f>
        <v>14</v>
      </c>
      <c r="E76">
        <f ca="1">IFERROR(__xludf.DUMMYFUNCTION("""COMPUTED_VALUE"""),19.57)</f>
        <v>19.57</v>
      </c>
      <c r="F76">
        <f ca="1">IFERROR(__xludf.DUMMYFUNCTION("""COMPUTED_VALUE"""),46)</f>
        <v>46</v>
      </c>
      <c r="G76">
        <f ca="1">IFERROR(__xludf.DUMMYFUNCTION("""COMPUTED_VALUE"""),9)</f>
        <v>9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IFERROR(__xludf.DUMMYFUNCTION("""COMPUTED_VALUE"""),61)</f>
        <v>61</v>
      </c>
      <c r="C77" t="str">
        <f ca="1">IFERROR(__xludf.DUMMYFUNCTION("""COMPUTED_VALUE"""),"Robby Shelton")</f>
        <v>Robby Shelton</v>
      </c>
      <c r="D77">
        <f ca="1">IFERROR(__xludf.DUMMYFUNCTION("""COMPUTED_VALUE"""),14)</f>
        <v>14</v>
      </c>
      <c r="E77">
        <f ca="1">IFERROR(__xludf.DUMMYFUNCTION("""COMPUTED_VALUE"""),19.51)</f>
        <v>19.510000000000002</v>
      </c>
      <c r="F77">
        <f ca="1">IFERROR(__xludf.DUMMYFUNCTION("""COMPUTED_VALUE"""),41)</f>
        <v>41</v>
      </c>
      <c r="G77">
        <f ca="1">IFERROR(__xludf.DUMMYFUNCTION("""COMPUTED_VALUE"""),8)</f>
        <v>8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IFERROR(__xludf.DUMMYFUNCTION("""COMPUTED_VALUE"""),"T84")</f>
        <v>T84</v>
      </c>
      <c r="C78" t="str">
        <f ca="1">IFERROR(__xludf.DUMMYFUNCTION("""COMPUTED_VALUE"""),"Phil Mickelson")</f>
        <v>Phil Mickelson</v>
      </c>
      <c r="D78">
        <f ca="1">IFERROR(__xludf.DUMMYFUNCTION("""COMPUTED_VALUE"""),12)</f>
        <v>12</v>
      </c>
      <c r="E78">
        <f ca="1">IFERROR(__xludf.DUMMYFUNCTION("""COMPUTED_VALUE"""),19.44)</f>
        <v>19.440000000000001</v>
      </c>
      <c r="F78">
        <f ca="1">IFERROR(__xludf.DUMMYFUNCTION("""COMPUTED_VALUE"""),36)</f>
        <v>36</v>
      </c>
      <c r="G78">
        <f ca="1">IFERROR(__xludf.DUMMYFUNCTION("""COMPUTED_VALUE"""),7)</f>
        <v>7</v>
      </c>
    </row>
    <row r="79" spans="1:7" ht="12.75">
      <c r="A79">
        <f ca="1">IFERROR(__xludf.DUMMYFUNCTION("""COMPUTED_VALUE"""),78)</f>
        <v>78</v>
      </c>
      <c r="B79" t="str">
        <f ca="1">IFERROR(__xludf.DUMMYFUNCTION("""COMPUTED_VALUE"""),"T79")</f>
        <v>T79</v>
      </c>
      <c r="C79" t="str">
        <f ca="1">IFERROR(__xludf.DUMMYFUNCTION("""COMPUTED_VALUE"""),"Richy Werenski")</f>
        <v>Richy Werenski</v>
      </c>
      <c r="D79">
        <f ca="1">IFERROR(__xludf.DUMMYFUNCTION("""COMPUTED_VALUE"""),16)</f>
        <v>16</v>
      </c>
      <c r="E79">
        <f ca="1">IFERROR(__xludf.DUMMYFUNCTION("""COMPUTED_VALUE"""),19.3)</f>
        <v>19.3</v>
      </c>
      <c r="F79">
        <f ca="1">IFERROR(__xludf.DUMMYFUNCTION("""COMPUTED_VALUE"""),57)</f>
        <v>57</v>
      </c>
      <c r="G79">
        <f ca="1">IFERROR(__xludf.DUMMYFUNCTION("""COMPUTED_VALUE"""),11)</f>
        <v>11</v>
      </c>
    </row>
    <row r="80" spans="1:7" ht="12.75">
      <c r="A80">
        <f ca="1">IFERROR(__xludf.DUMMYFUNCTION("""COMPUTED_VALUE"""),79)</f>
        <v>79</v>
      </c>
      <c r="B80" t="str">
        <f ca="1">IFERROR(__xludf.DUMMYFUNCTION("""COMPUTED_VALUE"""),"T82")</f>
        <v>T82</v>
      </c>
      <c r="C80" t="str">
        <f ca="1">IFERROR(__xludf.DUMMYFUNCTION("""COMPUTED_VALUE"""),"Tiger Woods")</f>
        <v>Tiger Woods</v>
      </c>
      <c r="D80">
        <f ca="1">IFERROR(__xludf.DUMMYFUNCTION("""COMPUTED_VALUE"""),6)</f>
        <v>6</v>
      </c>
      <c r="E80">
        <f ca="1">IFERROR(__xludf.DUMMYFUNCTION("""COMPUTED_VALUE"""),19.05)</f>
        <v>19.05</v>
      </c>
      <c r="F80">
        <f ca="1">IFERROR(__xludf.DUMMYFUNCTION("""COMPUTED_VALUE"""),21)</f>
        <v>21</v>
      </c>
      <c r="G80">
        <f ca="1">IFERROR(__xludf.DUMMYFUNCTION("""COMPUTED_VALUE"""),4)</f>
        <v>4</v>
      </c>
    </row>
    <row r="81" spans="1:7" ht="12.75">
      <c r="A81" t="str">
        <f ca="1">IFERROR(__xludf.DUMMYFUNCTION("""COMPUTED_VALUE"""),"T80")</f>
        <v>T80</v>
      </c>
      <c r="B81" t="str">
        <f ca="1">IFERROR(__xludf.DUMMYFUNCTION("""COMPUTED_VALUE"""),"T35")</f>
        <v>T35</v>
      </c>
      <c r="C81" t="str">
        <f ca="1">IFERROR(__xludf.DUMMYFUNCTION("""COMPUTED_VALUE"""),"Jhonattan Vegas")</f>
        <v>Jhonattan Vegas</v>
      </c>
      <c r="D81">
        <f ca="1">IFERROR(__xludf.DUMMYFUNCTION("""COMPUTED_VALUE"""),16)</f>
        <v>16</v>
      </c>
      <c r="E81">
        <f ca="1">IFERROR(__xludf.DUMMYFUNCTION("""COMPUTED_VALUE"""),18.75)</f>
        <v>18.75</v>
      </c>
      <c r="F81">
        <f ca="1">IFERROR(__xludf.DUMMYFUNCTION("""COMPUTED_VALUE"""),32)</f>
        <v>32</v>
      </c>
      <c r="G81">
        <f ca="1">IFERROR(__xludf.DUMMYFUNCTION("""COMPUTED_VALUE"""),6)</f>
        <v>6</v>
      </c>
    </row>
    <row r="82" spans="1:7" ht="12.75">
      <c r="A82" t="str">
        <f ca="1">IFERROR(__xludf.DUMMYFUNCTION("""COMPUTED_VALUE"""),"T80")</f>
        <v>T80</v>
      </c>
      <c r="B82" t="str">
        <f ca="1">IFERROR(__xludf.DUMMYFUNCTION("""COMPUTED_VALUE"""),"T84")</f>
        <v>T84</v>
      </c>
      <c r="C82" t="str">
        <f ca="1">IFERROR(__xludf.DUMMYFUNCTION("""COMPUTED_VALUE"""),"Hank Lebioda")</f>
        <v>Hank Lebioda</v>
      </c>
      <c r="D82">
        <f ca="1">IFERROR(__xludf.DUMMYFUNCTION("""COMPUTED_VALUE"""),14)</f>
        <v>14</v>
      </c>
      <c r="E82">
        <f ca="1">IFERROR(__xludf.DUMMYFUNCTION("""COMPUTED_VALUE"""),18.75)</f>
        <v>18.75</v>
      </c>
      <c r="F82">
        <f ca="1">IFERROR(__xludf.DUMMYFUNCTION("""COMPUTED_VALUE"""),16)</f>
        <v>16</v>
      </c>
      <c r="G82">
        <f ca="1">IFERROR(__xludf.DUMMYFUNCTION("""COMPUTED_VALUE"""),3)</f>
        <v>3</v>
      </c>
    </row>
    <row r="83" spans="1:7" ht="12.75">
      <c r="A83" t="str">
        <f ca="1">IFERROR(__xludf.DUMMYFUNCTION("""COMPUTED_VALUE"""),"T80")</f>
        <v>T80</v>
      </c>
      <c r="B83" t="str">
        <f ca="1">IFERROR(__xludf.DUMMYFUNCTION("""COMPUTED_VALUE"""),"T84")</f>
        <v>T84</v>
      </c>
      <c r="C83" t="str">
        <f ca="1">IFERROR(__xludf.DUMMYFUNCTION("""COMPUTED_VALUE"""),"Matthew Wolff")</f>
        <v>Matthew Wolff</v>
      </c>
      <c r="D83">
        <f ca="1">IFERROR(__xludf.DUMMYFUNCTION("""COMPUTED_VALUE"""),16)</f>
        <v>16</v>
      </c>
      <c r="E83">
        <f ca="1">IFERROR(__xludf.DUMMYFUNCTION("""COMPUTED_VALUE"""),18.75)</f>
        <v>18.75</v>
      </c>
      <c r="F83">
        <f ca="1">IFERROR(__xludf.DUMMYFUNCTION("""COMPUTED_VALUE"""),48)</f>
        <v>48</v>
      </c>
      <c r="G83">
        <f ca="1">IFERROR(__xludf.DUMMYFUNCTION("""COMPUTED_VALUE"""),9)</f>
        <v>9</v>
      </c>
    </row>
    <row r="84" spans="1:7" ht="12.75">
      <c r="A84" t="str">
        <f ca="1">IFERROR(__xludf.DUMMYFUNCTION("""COMPUTED_VALUE"""),"T80")</f>
        <v>T80</v>
      </c>
      <c r="B84">
        <f ca="1">IFERROR(__xludf.DUMMYFUNCTION("""COMPUTED_VALUE"""),81)</f>
        <v>81</v>
      </c>
      <c r="C84" t="str">
        <f ca="1">IFERROR(__xludf.DUMMYFUNCTION("""COMPUTED_VALUE"""),"Sam Ryder")</f>
        <v>Sam Ryder</v>
      </c>
      <c r="D84">
        <f ca="1">IFERROR(__xludf.DUMMYFUNCTION("""COMPUTED_VALUE"""),12)</f>
        <v>12</v>
      </c>
      <c r="E84">
        <f ca="1">IFERROR(__xludf.DUMMYFUNCTION("""COMPUTED_VALUE"""),18.75)</f>
        <v>18.75</v>
      </c>
      <c r="F84">
        <f ca="1">IFERROR(__xludf.DUMMYFUNCTION("""COMPUTED_VALUE"""),32)</f>
        <v>32</v>
      </c>
      <c r="G84">
        <f ca="1">IFERROR(__xludf.DUMMYFUNCTION("""COMPUTED_VALUE"""),6)</f>
        <v>6</v>
      </c>
    </row>
    <row r="85" spans="1:7" ht="12.75">
      <c r="A85" t="str">
        <f ca="1">IFERROR(__xludf.DUMMYFUNCTION("""COMPUTED_VALUE"""),"T84")</f>
        <v>T84</v>
      </c>
      <c r="B85" t="str">
        <f ca="1">IFERROR(__xludf.DUMMYFUNCTION("""COMPUTED_VALUE"""),"T132")</f>
        <v>T132</v>
      </c>
      <c r="C85" t="str">
        <f ca="1">IFERROR(__xludf.DUMMYFUNCTION("""COMPUTED_VALUE"""),"Erik van Rooyen")</f>
        <v>Erik van Rooyen</v>
      </c>
      <c r="D85">
        <f ca="1">IFERROR(__xludf.DUMMYFUNCTION("""COMPUTED_VALUE"""),10)</f>
        <v>10</v>
      </c>
      <c r="E85">
        <f ca="1">IFERROR(__xludf.DUMMYFUNCTION("""COMPUTED_VALUE"""),18.6)</f>
        <v>18.600000000000001</v>
      </c>
      <c r="F85">
        <f ca="1">IFERROR(__xludf.DUMMYFUNCTION("""COMPUTED_VALUE"""),43)</f>
        <v>43</v>
      </c>
      <c r="G85">
        <f ca="1">IFERROR(__xludf.DUMMYFUNCTION("""COMPUTED_VALUE"""),8)</f>
        <v>8</v>
      </c>
    </row>
    <row r="86" spans="1:7" ht="12.75">
      <c r="A86" t="str">
        <f ca="1">IFERROR(__xludf.DUMMYFUNCTION("""COMPUTED_VALUE"""),"T84")</f>
        <v>T84</v>
      </c>
      <c r="B86">
        <f ca="1">IFERROR(__xludf.DUMMYFUNCTION("""COMPUTED_VALUE"""),88)</f>
        <v>88</v>
      </c>
      <c r="C86" t="str">
        <f ca="1">IFERROR(__xludf.DUMMYFUNCTION("""COMPUTED_VALUE"""),"Jim Herman")</f>
        <v>Jim Herman</v>
      </c>
      <c r="D86">
        <f ca="1">IFERROR(__xludf.DUMMYFUNCTION("""COMPUTED_VALUE"""),12)</f>
        <v>12</v>
      </c>
      <c r="E86">
        <f ca="1">IFERROR(__xludf.DUMMYFUNCTION("""COMPUTED_VALUE"""),18.6)</f>
        <v>18.600000000000001</v>
      </c>
      <c r="F86">
        <f ca="1">IFERROR(__xludf.DUMMYFUNCTION("""COMPUTED_VALUE"""),43)</f>
        <v>43</v>
      </c>
      <c r="G86">
        <f ca="1">IFERROR(__xludf.DUMMYFUNCTION("""COMPUTED_VALUE"""),8)</f>
        <v>8</v>
      </c>
    </row>
    <row r="87" spans="1:7" ht="12.75">
      <c r="A87" t="str">
        <f ca="1">IFERROR(__xludf.DUMMYFUNCTION("""COMPUTED_VALUE"""),"T86")</f>
        <v>T86</v>
      </c>
      <c r="B87">
        <f ca="1">IFERROR(__xludf.DUMMYFUNCTION("""COMPUTED_VALUE"""),101)</f>
        <v>101</v>
      </c>
      <c r="C87" t="str">
        <f ca="1">IFERROR(__xludf.DUMMYFUNCTION("""COMPUTED_VALUE"""),"Troy Merritt")</f>
        <v>Troy Merritt</v>
      </c>
      <c r="D87">
        <f ca="1">IFERROR(__xludf.DUMMYFUNCTION("""COMPUTED_VALUE"""),20)</f>
        <v>20</v>
      </c>
      <c r="E87">
        <f ca="1">IFERROR(__xludf.DUMMYFUNCTION("""COMPUTED_VALUE"""),18.52)</f>
        <v>18.52</v>
      </c>
      <c r="F87">
        <f ca="1">IFERROR(__xludf.DUMMYFUNCTION("""COMPUTED_VALUE"""),54)</f>
        <v>54</v>
      </c>
      <c r="G87">
        <f ca="1">IFERROR(__xludf.DUMMYFUNCTION("""COMPUTED_VALUE"""),10)</f>
        <v>10</v>
      </c>
    </row>
    <row r="88" spans="1:7" ht="12.75">
      <c r="A88" t="str">
        <f ca="1">IFERROR(__xludf.DUMMYFUNCTION("""COMPUTED_VALUE"""),"T86")</f>
        <v>T86</v>
      </c>
      <c r="B88" t="str">
        <f ca="1">IFERROR(__xludf.DUMMYFUNCTION("""COMPUTED_VALUE"""),"T89")</f>
        <v>T89</v>
      </c>
      <c r="C88" t="str">
        <f ca="1">IFERROR(__xludf.DUMMYFUNCTION("""COMPUTED_VALUE"""),"Jonathan Byrd")</f>
        <v>Jonathan Byrd</v>
      </c>
      <c r="D88">
        <f ca="1">IFERROR(__xludf.DUMMYFUNCTION("""COMPUTED_VALUE"""),14)</f>
        <v>14</v>
      </c>
      <c r="E88">
        <f ca="1">IFERROR(__xludf.DUMMYFUNCTION("""COMPUTED_VALUE"""),18.52)</f>
        <v>18.52</v>
      </c>
      <c r="F88">
        <f ca="1">IFERROR(__xludf.DUMMYFUNCTION("""COMPUTED_VALUE"""),27)</f>
        <v>27</v>
      </c>
      <c r="G88">
        <f ca="1">IFERROR(__xludf.DUMMYFUNCTION("""COMPUTED_VALUE"""),5)</f>
        <v>5</v>
      </c>
    </row>
    <row r="89" spans="1:7" ht="12.75">
      <c r="A89" t="str">
        <f ca="1">IFERROR(__xludf.DUMMYFUNCTION("""COMPUTED_VALUE"""),"T86")</f>
        <v>T86</v>
      </c>
      <c r="B89" t="str">
        <f ca="1">IFERROR(__xludf.DUMMYFUNCTION("""COMPUTED_VALUE"""),"T89")</f>
        <v>T89</v>
      </c>
      <c r="C89" t="str">
        <f ca="1">IFERROR(__xludf.DUMMYFUNCTION("""COMPUTED_VALUE"""),"Jon Rahm")</f>
        <v>Jon Rahm</v>
      </c>
      <c r="D89">
        <f ca="1">IFERROR(__xludf.DUMMYFUNCTION("""COMPUTED_VALUE"""),12)</f>
        <v>12</v>
      </c>
      <c r="E89">
        <f ca="1">IFERROR(__xludf.DUMMYFUNCTION("""COMPUTED_VALUE"""),18.52)</f>
        <v>18.52</v>
      </c>
      <c r="F89">
        <f ca="1">IFERROR(__xludf.DUMMYFUNCTION("""COMPUTED_VALUE"""),54)</f>
        <v>54</v>
      </c>
      <c r="G89">
        <f ca="1">IFERROR(__xludf.DUMMYFUNCTION("""COMPUTED_VALUE"""),10)</f>
        <v>10</v>
      </c>
    </row>
    <row r="90" spans="1:7" ht="12.75">
      <c r="A90" t="str">
        <f ca="1">IFERROR(__xludf.DUMMYFUNCTION("""COMPUTED_VALUE"""),"T89")</f>
        <v>T89</v>
      </c>
      <c r="B90" t="str">
        <f ca="1">IFERROR(__xludf.DUMMYFUNCTION("""COMPUTED_VALUE"""),"T64")</f>
        <v>T64</v>
      </c>
      <c r="C90" t="str">
        <f ca="1">IFERROR(__xludf.DUMMYFUNCTION("""COMPUTED_VALUE"""),"Jimmy Walker")</f>
        <v>Jimmy Walker</v>
      </c>
      <c r="D90">
        <f ca="1">IFERROR(__xludf.DUMMYFUNCTION("""COMPUTED_VALUE"""),10)</f>
        <v>10</v>
      </c>
      <c r="E90">
        <f ca="1">IFERROR(__xludf.DUMMYFUNCTION("""COMPUTED_VALUE"""),18.42)</f>
        <v>18.420000000000002</v>
      </c>
      <c r="F90">
        <f ca="1">IFERROR(__xludf.DUMMYFUNCTION("""COMPUTED_VALUE"""),38)</f>
        <v>38</v>
      </c>
      <c r="G90">
        <f ca="1">IFERROR(__xludf.DUMMYFUNCTION("""COMPUTED_VALUE"""),7)</f>
        <v>7</v>
      </c>
    </row>
    <row r="91" spans="1:7" ht="12.75">
      <c r="A91" t="str">
        <f ca="1">IFERROR(__xludf.DUMMYFUNCTION("""COMPUTED_VALUE"""),"T89")</f>
        <v>T89</v>
      </c>
      <c r="B91" t="str">
        <f ca="1">IFERROR(__xludf.DUMMYFUNCTION("""COMPUTED_VALUE"""),"T91")</f>
        <v>T91</v>
      </c>
      <c r="C91" t="str">
        <f ca="1">IFERROR(__xludf.DUMMYFUNCTION("""COMPUTED_VALUE"""),"Webb Simpson")</f>
        <v>Webb Simpson</v>
      </c>
      <c r="D91">
        <f ca="1">IFERROR(__xludf.DUMMYFUNCTION("""COMPUTED_VALUE"""),12)</f>
        <v>12</v>
      </c>
      <c r="E91">
        <f ca="1">IFERROR(__xludf.DUMMYFUNCTION("""COMPUTED_VALUE"""),18.42)</f>
        <v>18.420000000000002</v>
      </c>
      <c r="F91">
        <f ca="1">IFERROR(__xludf.DUMMYFUNCTION("""COMPUTED_VALUE"""),38)</f>
        <v>38</v>
      </c>
      <c r="G91">
        <f ca="1">IFERROR(__xludf.DUMMYFUNCTION("""COMPUTED_VALUE"""),7)</f>
        <v>7</v>
      </c>
    </row>
    <row r="92" spans="1:7" ht="12.75">
      <c r="A92">
        <f ca="1">IFERROR(__xludf.DUMMYFUNCTION("""COMPUTED_VALUE"""),91)</f>
        <v>91</v>
      </c>
      <c r="B92" t="str">
        <f ca="1">IFERROR(__xludf.DUMMYFUNCTION("""COMPUTED_VALUE"""),"T106")</f>
        <v>T106</v>
      </c>
      <c r="C92" t="str">
        <f ca="1">IFERROR(__xludf.DUMMYFUNCTION("""COMPUTED_VALUE"""),"Scottie Scheffler")</f>
        <v>Scottie Scheffler</v>
      </c>
      <c r="D92">
        <f ca="1">IFERROR(__xludf.DUMMYFUNCTION("""COMPUTED_VALUE"""),18)</f>
        <v>18</v>
      </c>
      <c r="E92">
        <f ca="1">IFERROR(__xludf.DUMMYFUNCTION("""COMPUTED_VALUE"""),18.33)</f>
        <v>18.329999999999998</v>
      </c>
      <c r="F92">
        <f ca="1">IFERROR(__xludf.DUMMYFUNCTION("""COMPUTED_VALUE"""),60)</f>
        <v>60</v>
      </c>
      <c r="G92">
        <f ca="1">IFERROR(__xludf.DUMMYFUNCTION("""COMPUTED_VALUE"""),11)</f>
        <v>11</v>
      </c>
    </row>
    <row r="93" spans="1:7" ht="12.75">
      <c r="A93" t="str">
        <f ca="1">IFERROR(__xludf.DUMMYFUNCTION("""COMPUTED_VALUE"""),"T92")</f>
        <v>T92</v>
      </c>
      <c r="B93" t="str">
        <f ca="1">IFERROR(__xludf.DUMMYFUNCTION("""COMPUTED_VALUE"""),"T93")</f>
        <v>T93</v>
      </c>
      <c r="C93" t="str">
        <f ca="1">IFERROR(__xludf.DUMMYFUNCTION("""COMPUTED_VALUE"""),"Lucas Herbert")</f>
        <v>Lucas Herbert</v>
      </c>
      <c r="D93">
        <f ca="1">IFERROR(__xludf.DUMMYFUNCTION("""COMPUTED_VALUE"""),4)</f>
        <v>4</v>
      </c>
      <c r="E93">
        <f ca="1">IFERROR(__xludf.DUMMYFUNCTION("""COMPUTED_VALUE"""),18.18)</f>
        <v>18.18</v>
      </c>
      <c r="F93">
        <f ca="1">IFERROR(__xludf.DUMMYFUNCTION("""COMPUTED_VALUE"""),11)</f>
        <v>11</v>
      </c>
      <c r="G93">
        <f ca="1">IFERROR(__xludf.DUMMYFUNCTION("""COMPUTED_VALUE"""),2)</f>
        <v>2</v>
      </c>
    </row>
    <row r="94" spans="1:7" ht="12.75">
      <c r="A94" t="str">
        <f ca="1">IFERROR(__xludf.DUMMYFUNCTION("""COMPUTED_VALUE"""),"T92")</f>
        <v>T92</v>
      </c>
      <c r="B94" t="str">
        <f ca="1">IFERROR(__xludf.DUMMYFUNCTION("""COMPUTED_VALUE"""),"T64")</f>
        <v>T64</v>
      </c>
      <c r="C94" t="str">
        <f ca="1">IFERROR(__xludf.DUMMYFUNCTION("""COMPUTED_VALUE"""),"Grayson Murray")</f>
        <v>Grayson Murray</v>
      </c>
      <c r="D94">
        <f ca="1">IFERROR(__xludf.DUMMYFUNCTION("""COMPUTED_VALUE"""),10)</f>
        <v>10</v>
      </c>
      <c r="E94">
        <f ca="1">IFERROR(__xludf.DUMMYFUNCTION("""COMPUTED_VALUE"""),18.18)</f>
        <v>18.18</v>
      </c>
      <c r="F94">
        <f ca="1">IFERROR(__xludf.DUMMYFUNCTION("""COMPUTED_VALUE"""),33)</f>
        <v>33</v>
      </c>
      <c r="G94">
        <f ca="1">IFERROR(__xludf.DUMMYFUNCTION("""COMPUTED_VALUE"""),6)</f>
        <v>6</v>
      </c>
    </row>
    <row r="95" spans="1:7" ht="12.75">
      <c r="A95" t="str">
        <f ca="1">IFERROR(__xludf.DUMMYFUNCTION("""COMPUTED_VALUE"""),"T92")</f>
        <v>T92</v>
      </c>
      <c r="B95" t="str">
        <f ca="1">IFERROR(__xludf.DUMMYFUNCTION("""COMPUTED_VALUE"""),"T64")</f>
        <v>T64</v>
      </c>
      <c r="C95" t="str">
        <f ca="1">IFERROR(__xludf.DUMMYFUNCTION("""COMPUTED_VALUE"""),"Brian Stuard")</f>
        <v>Brian Stuard</v>
      </c>
      <c r="D95">
        <f ca="1">IFERROR(__xludf.DUMMYFUNCTION("""COMPUTED_VALUE"""),18)</f>
        <v>18</v>
      </c>
      <c r="E95">
        <f ca="1">IFERROR(__xludf.DUMMYFUNCTION("""COMPUTED_VALUE"""),18.18)</f>
        <v>18.18</v>
      </c>
      <c r="F95">
        <f ca="1">IFERROR(__xludf.DUMMYFUNCTION("""COMPUTED_VALUE"""),44)</f>
        <v>44</v>
      </c>
      <c r="G95">
        <f ca="1">IFERROR(__xludf.DUMMYFUNCTION("""COMPUTED_VALUE"""),8)</f>
        <v>8</v>
      </c>
    </row>
    <row r="96" spans="1:7" ht="12.75">
      <c r="A96" t="str">
        <f ca="1">IFERROR(__xludf.DUMMYFUNCTION("""COMPUTED_VALUE"""),"T92")</f>
        <v>T92</v>
      </c>
      <c r="B96" t="str">
        <f ca="1">IFERROR(__xludf.DUMMYFUNCTION("""COMPUTED_VALUE"""),"T93")</f>
        <v>T93</v>
      </c>
      <c r="C96" t="str">
        <f ca="1">IFERROR(__xludf.DUMMYFUNCTION("""COMPUTED_VALUE"""),"Gunn Charoenkul")</f>
        <v>Gunn Charoenkul</v>
      </c>
      <c r="D96">
        <f ca="1">IFERROR(__xludf.DUMMYFUNCTION("""COMPUTED_VALUE"""),4)</f>
        <v>4</v>
      </c>
      <c r="E96">
        <f ca="1">IFERROR(__xludf.DUMMYFUNCTION("""COMPUTED_VALUE"""),18.18)</f>
        <v>18.18</v>
      </c>
      <c r="F96">
        <f ca="1">IFERROR(__xludf.DUMMYFUNCTION("""COMPUTED_VALUE"""),11)</f>
        <v>11</v>
      </c>
      <c r="G96">
        <f ca="1">IFERROR(__xludf.DUMMYFUNCTION("""COMPUTED_VALUE"""),2)</f>
        <v>2</v>
      </c>
    </row>
    <row r="97" spans="1:7" ht="12.75">
      <c r="A97" t="str">
        <f ca="1">IFERROR(__xludf.DUMMYFUNCTION("""COMPUTED_VALUE"""),"T92")</f>
        <v>T92</v>
      </c>
      <c r="B97" t="str">
        <f ca="1">IFERROR(__xludf.DUMMYFUNCTION("""COMPUTED_VALUE"""),"T93")</f>
        <v>T93</v>
      </c>
      <c r="C97" t="str">
        <f ca="1">IFERROR(__xludf.DUMMYFUNCTION("""COMPUTED_VALUE"""),"Zack Sucher")</f>
        <v>Zack Sucher</v>
      </c>
      <c r="D97">
        <f ca="1">IFERROR(__xludf.DUMMYFUNCTION("""COMPUTED_VALUE"""),6)</f>
        <v>6</v>
      </c>
      <c r="E97">
        <f ca="1">IFERROR(__xludf.DUMMYFUNCTION("""COMPUTED_VALUE"""),18.18)</f>
        <v>18.18</v>
      </c>
      <c r="F97">
        <f ca="1">IFERROR(__xludf.DUMMYFUNCTION("""COMPUTED_VALUE"""),11)</f>
        <v>11</v>
      </c>
      <c r="G97">
        <f ca="1">IFERROR(__xludf.DUMMYFUNCTION("""COMPUTED_VALUE"""),2)</f>
        <v>2</v>
      </c>
    </row>
    <row r="98" spans="1:7" ht="12.75">
      <c r="A98">
        <f ca="1">IFERROR(__xludf.DUMMYFUNCTION("""COMPUTED_VALUE"""),97)</f>
        <v>97</v>
      </c>
      <c r="B98" t="str">
        <f ca="1">IFERROR(__xludf.DUMMYFUNCTION("""COMPUTED_VALUE"""),"T106")</f>
        <v>T106</v>
      </c>
      <c r="C98" t="str">
        <f ca="1">IFERROR(__xludf.DUMMYFUNCTION("""COMPUTED_VALUE"""),"Will Gordon")</f>
        <v>Will Gordon</v>
      </c>
      <c r="D98">
        <f ca="1">IFERROR(__xludf.DUMMYFUNCTION("""COMPUTED_VALUE"""),20)</f>
        <v>20</v>
      </c>
      <c r="E98">
        <f ca="1">IFERROR(__xludf.DUMMYFUNCTION("""COMPUTED_VALUE"""),17.86)</f>
        <v>17.86</v>
      </c>
      <c r="F98">
        <f ca="1">IFERROR(__xludf.DUMMYFUNCTION("""COMPUTED_VALUE"""),56)</f>
        <v>56</v>
      </c>
      <c r="G98">
        <f ca="1">IFERROR(__xludf.DUMMYFUNCTION("""COMPUTED_VALUE"""),10)</f>
        <v>10</v>
      </c>
    </row>
    <row r="99" spans="1:7" ht="12.75">
      <c r="A99" t="str">
        <f ca="1">IFERROR(__xludf.DUMMYFUNCTION("""COMPUTED_VALUE"""),"T98")</f>
        <v>T98</v>
      </c>
      <c r="B99" t="str">
        <f ca="1">IFERROR(__xludf.DUMMYFUNCTION("""COMPUTED_VALUE"""),"T49")</f>
        <v>T49</v>
      </c>
      <c r="C99" t="str">
        <f ca="1">IFERROR(__xludf.DUMMYFUNCTION("""COMPUTED_VALUE"""),"Adam Schenk")</f>
        <v>Adam Schenk</v>
      </c>
      <c r="D99">
        <f ca="1">IFERROR(__xludf.DUMMYFUNCTION("""COMPUTED_VALUE"""),22)</f>
        <v>22</v>
      </c>
      <c r="E99">
        <f ca="1">IFERROR(__xludf.DUMMYFUNCTION("""COMPUTED_VALUE"""),17.78)</f>
        <v>17.78</v>
      </c>
      <c r="F99">
        <f ca="1">IFERROR(__xludf.DUMMYFUNCTION("""COMPUTED_VALUE"""),45)</f>
        <v>45</v>
      </c>
      <c r="G99">
        <f ca="1">IFERROR(__xludf.DUMMYFUNCTION("""COMPUTED_VALUE"""),8)</f>
        <v>8</v>
      </c>
    </row>
    <row r="100" spans="1:7" ht="12.75">
      <c r="A100" t="str">
        <f ca="1">IFERROR(__xludf.DUMMYFUNCTION("""COMPUTED_VALUE"""),"T98")</f>
        <v>T98</v>
      </c>
      <c r="B100" t="str">
        <f ca="1">IFERROR(__xludf.DUMMYFUNCTION("""COMPUTED_VALUE"""),"T132")</f>
        <v>T132</v>
      </c>
      <c r="C100" t="str">
        <f ca="1">IFERROR(__xludf.DUMMYFUNCTION("""COMPUTED_VALUE"""),"Matt Jones")</f>
        <v>Matt Jones</v>
      </c>
      <c r="D100">
        <f ca="1">IFERROR(__xludf.DUMMYFUNCTION("""COMPUTED_VALUE"""),20)</f>
        <v>20</v>
      </c>
      <c r="E100">
        <f ca="1">IFERROR(__xludf.DUMMYFUNCTION("""COMPUTED_VALUE"""),17.78)</f>
        <v>17.78</v>
      </c>
      <c r="F100">
        <f ca="1">IFERROR(__xludf.DUMMYFUNCTION("""COMPUTED_VALUE"""),45)</f>
        <v>45</v>
      </c>
      <c r="G100">
        <f ca="1">IFERROR(__xludf.DUMMYFUNCTION("""COMPUTED_VALUE"""),8)</f>
        <v>8</v>
      </c>
    </row>
    <row r="101" spans="1:7" ht="12.75">
      <c r="A101" t="str">
        <f ca="1">IFERROR(__xludf.DUMMYFUNCTION("""COMPUTED_VALUE"""),"T98")</f>
        <v>T98</v>
      </c>
      <c r="B101">
        <f ca="1">IFERROR(__xludf.DUMMYFUNCTION("""COMPUTED_VALUE"""),98)</f>
        <v>98</v>
      </c>
      <c r="C101" t="str">
        <f ca="1">IFERROR(__xludf.DUMMYFUNCTION("""COMPUTED_VALUE"""),"Louis Oosthuizen")</f>
        <v>Louis Oosthuizen</v>
      </c>
      <c r="D101">
        <f ca="1">IFERROR(__xludf.DUMMYFUNCTION("""COMPUTED_VALUE"""),12)</f>
        <v>12</v>
      </c>
      <c r="E101">
        <f ca="1">IFERROR(__xludf.DUMMYFUNCTION("""COMPUTED_VALUE"""),17.78)</f>
        <v>17.78</v>
      </c>
      <c r="F101">
        <f ca="1">IFERROR(__xludf.DUMMYFUNCTION("""COMPUTED_VALUE"""),45)</f>
        <v>45</v>
      </c>
      <c r="G101">
        <f ca="1">IFERROR(__xludf.DUMMYFUNCTION("""COMPUTED_VALUE"""),8)</f>
        <v>8</v>
      </c>
    </row>
    <row r="102" spans="1:7" ht="12.75">
      <c r="A102">
        <f ca="1">IFERROR(__xludf.DUMMYFUNCTION("""COMPUTED_VALUE"""),101)</f>
        <v>101</v>
      </c>
      <c r="B102" t="str">
        <f ca="1">IFERROR(__xludf.DUMMYFUNCTION("""COMPUTED_VALUE"""),"T79")</f>
        <v>T79</v>
      </c>
      <c r="C102" t="str">
        <f ca="1">IFERROR(__xludf.DUMMYFUNCTION("""COMPUTED_VALUE"""),"Andrew Putnam")</f>
        <v>Andrew Putnam</v>
      </c>
      <c r="D102">
        <f ca="1">IFERROR(__xludf.DUMMYFUNCTION("""COMPUTED_VALUE"""),19)</f>
        <v>19</v>
      </c>
      <c r="E102">
        <f ca="1">IFERROR(__xludf.DUMMYFUNCTION("""COMPUTED_VALUE"""),17.74)</f>
        <v>17.739999999999998</v>
      </c>
      <c r="F102">
        <f ca="1">IFERROR(__xludf.DUMMYFUNCTION("""COMPUTED_VALUE"""),62)</f>
        <v>62</v>
      </c>
      <c r="G102">
        <f ca="1">IFERROR(__xludf.DUMMYFUNCTION("""COMPUTED_VALUE"""),11)</f>
        <v>11</v>
      </c>
    </row>
    <row r="103" spans="1:7" ht="12.75">
      <c r="A103">
        <f ca="1">IFERROR(__xludf.DUMMYFUNCTION("""COMPUTED_VALUE"""),102)</f>
        <v>102</v>
      </c>
      <c r="B103" t="str">
        <f ca="1">IFERROR(__xludf.DUMMYFUNCTION("""COMPUTED_VALUE"""),"T99")</f>
        <v>T99</v>
      </c>
      <c r="C103" t="str">
        <f ca="1">IFERROR(__xludf.DUMMYFUNCTION("""COMPUTED_VALUE"""),"Bernd Wiesberger")</f>
        <v>Bernd Wiesberger</v>
      </c>
      <c r="D103">
        <f ca="1">IFERROR(__xludf.DUMMYFUNCTION("""COMPUTED_VALUE"""),4)</f>
        <v>4</v>
      </c>
      <c r="E103">
        <f ca="1">IFERROR(__xludf.DUMMYFUNCTION("""COMPUTED_VALUE"""),17.65)</f>
        <v>17.649999999999999</v>
      </c>
      <c r="F103">
        <f ca="1">IFERROR(__xludf.DUMMYFUNCTION("""COMPUTED_VALUE"""),17)</f>
        <v>17</v>
      </c>
      <c r="G103">
        <f ca="1">IFERROR(__xludf.DUMMYFUNCTION("""COMPUTED_VALUE"""),3)</f>
        <v>3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IFERROR(__xludf.DUMMYFUNCTION("""COMPUTED_VALUE"""),"")</f>
        <v/>
      </c>
      <c r="C104" t="str">
        <f ca="1">IFERROR(__xludf.DUMMYFUNCTION("""COMPUTED_VALUE"""),"Dustin Johnson")</f>
        <v>Dustin Johnson</v>
      </c>
      <c r="D104">
        <f ca="1">IFERROR(__xludf.DUMMYFUNCTION("""COMPUTED_VALUE"""),8)</f>
        <v>8</v>
      </c>
      <c r="E104">
        <f ca="1">IFERROR(__xludf.DUMMYFUNCTION("""COMPUTED_VALUE"""),17.39)</f>
        <v>17.39</v>
      </c>
      <c r="F104">
        <f ca="1">IFERROR(__xludf.DUMMYFUNCTION("""COMPUTED_VALUE"""),23)</f>
        <v>23</v>
      </c>
      <c r="G104">
        <f ca="1">IFERROR(__xludf.DUMMYFUNCTION("""COMPUTED_VALUE"""),4)</f>
        <v>4</v>
      </c>
    </row>
    <row r="105" spans="1:7" ht="12.75">
      <c r="A105" t="str">
        <f ca="1">IFERROR(__xludf.DUMMYFUNCTION("""COMPUTED_VALUE"""),"T103")</f>
        <v>T103</v>
      </c>
      <c r="B105" t="str">
        <f ca="1">IFERROR(__xludf.DUMMYFUNCTION("""COMPUTED_VALUE"""),"T99")</f>
        <v>T99</v>
      </c>
      <c r="C105" t="str">
        <f ca="1">IFERROR(__xludf.DUMMYFUNCTION("""COMPUTED_VALUE"""),"Chris Kirk")</f>
        <v>Chris Kirk</v>
      </c>
      <c r="D105">
        <f ca="1">IFERROR(__xludf.DUMMYFUNCTION("""COMPUTED_VALUE"""),10)</f>
        <v>10</v>
      </c>
      <c r="E105">
        <f ca="1">IFERROR(__xludf.DUMMYFUNCTION("""COMPUTED_VALUE"""),17.39)</f>
        <v>17.39</v>
      </c>
      <c r="F105">
        <f ca="1">IFERROR(__xludf.DUMMYFUNCTION("""COMPUTED_VALUE"""),23)</f>
        <v>23</v>
      </c>
      <c r="G105">
        <f ca="1">IFERROR(__xludf.DUMMYFUNCTION("""COMPUTED_VALUE"""),4)</f>
        <v>4</v>
      </c>
    </row>
    <row r="106" spans="1:7" ht="12.75">
      <c r="A106" t="str">
        <f ca="1">IFERROR(__xludf.DUMMYFUNCTION("""COMPUTED_VALUE"""),"T103")</f>
        <v>T103</v>
      </c>
      <c r="B106" t="str">
        <f ca="1">IFERROR(__xludf.DUMMYFUNCTION("""COMPUTED_VALUE"""),"T102")</f>
        <v>T102</v>
      </c>
      <c r="C106" t="str">
        <f ca="1">IFERROR(__xludf.DUMMYFUNCTION("""COMPUTED_VALUE"""),"Patrick Reed")</f>
        <v>Patrick Reed</v>
      </c>
      <c r="D106">
        <f ca="1">IFERROR(__xludf.DUMMYFUNCTION("""COMPUTED_VALUE"""),8)</f>
        <v>8</v>
      </c>
      <c r="E106">
        <f ca="1">IFERROR(__xludf.DUMMYFUNCTION("""COMPUTED_VALUE"""),17.39)</f>
        <v>17.39</v>
      </c>
      <c r="F106">
        <f ca="1">IFERROR(__xludf.DUMMYFUNCTION("""COMPUTED_VALUE"""),23)</f>
        <v>23</v>
      </c>
      <c r="G106">
        <f ca="1">IFERROR(__xludf.DUMMYFUNCTION("""COMPUTED_VALUE"""),4)</f>
        <v>4</v>
      </c>
    </row>
    <row r="107" spans="1:7" ht="12.75">
      <c r="A107" t="str">
        <f ca="1">IFERROR(__xludf.DUMMYFUNCTION("""COMPUTED_VALUE"""),"T103")</f>
        <v>T103</v>
      </c>
      <c r="B107" t="str">
        <f ca="1">IFERROR(__xludf.DUMMYFUNCTION("""COMPUTED_VALUE"""),"T102")</f>
        <v>T102</v>
      </c>
      <c r="C107" t="str">
        <f ca="1">IFERROR(__xludf.DUMMYFUNCTION("""COMPUTED_VALUE"""),"Wesley Bryan")</f>
        <v>Wesley Bryan</v>
      </c>
      <c r="D107">
        <f ca="1">IFERROR(__xludf.DUMMYFUNCTION("""COMPUTED_VALUE"""),8)</f>
        <v>8</v>
      </c>
      <c r="E107">
        <f ca="1">IFERROR(__xludf.DUMMYFUNCTION("""COMPUTED_VALUE"""),17.39)</f>
        <v>17.39</v>
      </c>
      <c r="F107">
        <f ca="1">IFERROR(__xludf.DUMMYFUNCTION("""COMPUTED_VALUE"""),23)</f>
        <v>23</v>
      </c>
      <c r="G107">
        <f ca="1">IFERROR(__xludf.DUMMYFUNCTION("""COMPUTED_VALUE"""),4)</f>
        <v>4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IFERROR(__xludf.DUMMYFUNCTION("""COMPUTED_VALUE"""),48)</f>
        <v>48</v>
      </c>
      <c r="C108" t="str">
        <f ca="1">IFERROR(__xludf.DUMMYFUNCTION("""COMPUTED_VALUE"""),"Corey Conners")</f>
        <v>Corey Conners</v>
      </c>
      <c r="D108">
        <f ca="1">IFERROR(__xludf.DUMMYFUNCTION("""COMPUTED_VALUE"""),20)</f>
        <v>20</v>
      </c>
      <c r="E108">
        <f ca="1">IFERROR(__xludf.DUMMYFUNCTION("""COMPUTED_VALUE"""),17.24)</f>
        <v>17.239999999999998</v>
      </c>
      <c r="F108">
        <f ca="1">IFERROR(__xludf.DUMMYFUNCTION("""COMPUTED_VALUE"""),58)</f>
        <v>58</v>
      </c>
      <c r="G108">
        <f ca="1">IFERROR(__xludf.DUMMYFUNCTION("""COMPUTED_VALUE"""),10)</f>
        <v>10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IFERROR(__xludf.DUMMYFUNCTION("""COMPUTED_VALUE"""),105)</f>
        <v>105</v>
      </c>
      <c r="C109" t="str">
        <f ca="1">IFERROR(__xludf.DUMMYFUNCTION("""COMPUTED_VALUE"""),"Ryan Palmer")</f>
        <v>Ryan Palmer</v>
      </c>
      <c r="D109">
        <f ca="1">IFERROR(__xludf.DUMMYFUNCTION("""COMPUTED_VALUE"""),14)</f>
        <v>14</v>
      </c>
      <c r="E109">
        <f ca="1">IFERROR(__xludf.DUMMYFUNCTION("""COMPUTED_VALUE"""),17.07)</f>
        <v>17.07</v>
      </c>
      <c r="F109">
        <f ca="1">IFERROR(__xludf.DUMMYFUNCTION("""COMPUTED_VALUE"""),41)</f>
        <v>41</v>
      </c>
      <c r="G109">
        <f ca="1">IFERROR(__xludf.DUMMYFUNCTION("""COMPUTED_VALUE"""),7)</f>
        <v>7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IFERROR(__xludf.DUMMYFUNCTION("""COMPUTED_VALUE"""),78)</f>
        <v>78</v>
      </c>
      <c r="C110" t="str">
        <f ca="1">IFERROR(__xludf.DUMMYFUNCTION("""COMPUTED_VALUE"""),"Tyrrell Hatton")</f>
        <v>Tyrrell Hatton</v>
      </c>
      <c r="D110">
        <f ca="1">IFERROR(__xludf.DUMMYFUNCTION("""COMPUTED_VALUE"""),14)</f>
        <v>14</v>
      </c>
      <c r="E110">
        <f ca="1">IFERROR(__xludf.DUMMYFUNCTION("""COMPUTED_VALUE"""),17.02)</f>
        <v>17.02</v>
      </c>
      <c r="F110">
        <f ca="1">IFERROR(__xludf.DUMMYFUNCTION("""COMPUTED_VALUE"""),47)</f>
        <v>47</v>
      </c>
      <c r="G110">
        <f ca="1">IFERROR(__xludf.DUMMYFUNCTION("""COMPUTED_VALUE"""),8)</f>
        <v>8</v>
      </c>
    </row>
    <row r="111" spans="1:7" ht="12.75">
      <c r="A111" t="str">
        <f ca="1">IFERROR(__xludf.DUMMYFUNCTION("""COMPUTED_VALUE"""),"T110")</f>
        <v>T110</v>
      </c>
      <c r="B111" t="str">
        <f ca="1">IFERROR(__xludf.DUMMYFUNCTION("""COMPUTED_VALUE"""),"T6")</f>
        <v>T6</v>
      </c>
      <c r="C111" t="str">
        <f ca="1">IFERROR(__xludf.DUMMYFUNCTION("""COMPUTED_VALUE"""),"John Huh")</f>
        <v>John Huh</v>
      </c>
      <c r="D111">
        <f ca="1">IFERROR(__xludf.DUMMYFUNCTION("""COMPUTED_VALUE"""),8)</f>
        <v>8</v>
      </c>
      <c r="E111">
        <f ca="1">IFERROR(__xludf.DUMMYFUNCTION("""COMPUTED_VALUE"""),16.67)</f>
        <v>16.670000000000002</v>
      </c>
      <c r="F111">
        <f ca="1">IFERROR(__xludf.DUMMYFUNCTION("""COMPUTED_VALUE"""),24)</f>
        <v>24</v>
      </c>
      <c r="G111">
        <f ca="1">IFERROR(__xludf.DUMMYFUNCTION("""COMPUTED_VALUE"""),4)</f>
        <v>4</v>
      </c>
    </row>
    <row r="112" spans="1:7" ht="12.75">
      <c r="A112" t="str">
        <f ca="1">IFERROR(__xludf.DUMMYFUNCTION("""COMPUTED_VALUE"""),"T110")</f>
        <v>T110</v>
      </c>
      <c r="B112" t="str">
        <f ca="1">IFERROR(__xludf.DUMMYFUNCTION("""COMPUTED_VALUE"""),"T146")</f>
        <v>T146</v>
      </c>
      <c r="C112" t="str">
        <f ca="1">IFERROR(__xludf.DUMMYFUNCTION("""COMPUTED_VALUE"""),"Martin Trainer")</f>
        <v>Martin Trainer</v>
      </c>
      <c r="D112">
        <f ca="1">IFERROR(__xludf.DUMMYFUNCTION("""COMPUTED_VALUE"""),10)</f>
        <v>10</v>
      </c>
      <c r="E112">
        <f ca="1">IFERROR(__xludf.DUMMYFUNCTION("""COMPUTED_VALUE"""),16.67)</f>
        <v>16.670000000000002</v>
      </c>
      <c r="F112">
        <f ca="1">IFERROR(__xludf.DUMMYFUNCTION("""COMPUTED_VALUE"""),18)</f>
        <v>18</v>
      </c>
      <c r="G112">
        <f ca="1">IFERROR(__xludf.DUMMYFUNCTION("""COMPUTED_VALUE"""),3)</f>
        <v>3</v>
      </c>
    </row>
    <row r="113" spans="1:7" ht="12.75">
      <c r="A113" t="str">
        <f ca="1">IFERROR(__xludf.DUMMYFUNCTION("""COMPUTED_VALUE"""),"T110")</f>
        <v>T110</v>
      </c>
      <c r="B113" t="str">
        <f ca="1">IFERROR(__xludf.DUMMYFUNCTION("""COMPUTED_VALUE"""),"T106")</f>
        <v>T106</v>
      </c>
      <c r="C113" t="str">
        <f ca="1">IFERROR(__xludf.DUMMYFUNCTION("""COMPUTED_VALUE"""),"Nelson Ledesma")</f>
        <v>Nelson Ledesma</v>
      </c>
      <c r="D113">
        <f ca="1">IFERROR(__xludf.DUMMYFUNCTION("""COMPUTED_VALUE"""),8)</f>
        <v>8</v>
      </c>
      <c r="E113">
        <f ca="1">IFERROR(__xludf.DUMMYFUNCTION("""COMPUTED_VALUE"""),16.67)</f>
        <v>16.670000000000002</v>
      </c>
      <c r="F113">
        <f ca="1">IFERROR(__xludf.DUMMYFUNCTION("""COMPUTED_VALUE"""),12)</f>
        <v>12</v>
      </c>
      <c r="G113">
        <f ca="1">IFERROR(__xludf.DUMMYFUNCTION("""COMPUTED_VALUE"""),2)</f>
        <v>2</v>
      </c>
    </row>
    <row r="114" spans="1:7" ht="12.75">
      <c r="A114" t="str">
        <f ca="1">IFERROR(__xludf.DUMMYFUNCTION("""COMPUTED_VALUE"""),"T110")</f>
        <v>T110</v>
      </c>
      <c r="B114" t="str">
        <f ca="1">IFERROR(__xludf.DUMMYFUNCTION("""COMPUTED_VALUE"""),"T106")</f>
        <v>T106</v>
      </c>
      <c r="C114" t="str">
        <f ca="1">IFERROR(__xludf.DUMMYFUNCTION("""COMPUTED_VALUE"""),"Joaquin Niemann")</f>
        <v>Joaquin Niemann</v>
      </c>
      <c r="D114">
        <f ca="1">IFERROR(__xludf.DUMMYFUNCTION("""COMPUTED_VALUE"""),16)</f>
        <v>16</v>
      </c>
      <c r="E114">
        <f ca="1">IFERROR(__xludf.DUMMYFUNCTION("""COMPUTED_VALUE"""),16.67)</f>
        <v>16.670000000000002</v>
      </c>
      <c r="F114">
        <f ca="1">IFERROR(__xludf.DUMMYFUNCTION("""COMPUTED_VALUE"""),54)</f>
        <v>54</v>
      </c>
      <c r="G114">
        <f ca="1">IFERROR(__xludf.DUMMYFUNCTION("""COMPUTED_VALUE"""),9)</f>
        <v>9</v>
      </c>
    </row>
    <row r="115" spans="1:7" ht="12.75">
      <c r="A115" t="str">
        <f ca="1">IFERROR(__xludf.DUMMYFUNCTION("""COMPUTED_VALUE"""),"T110")</f>
        <v>T110</v>
      </c>
      <c r="B115" t="str">
        <f ca="1">IFERROR(__xludf.DUMMYFUNCTION("""COMPUTED_VALUE"""),"T106")</f>
        <v>T106</v>
      </c>
      <c r="C115" t="str">
        <f ca="1">IFERROR(__xludf.DUMMYFUNCTION("""COMPUTED_VALUE"""),"Romain Langasque")</f>
        <v>Romain Langasque</v>
      </c>
      <c r="D115">
        <f ca="1">IFERROR(__xludf.DUMMYFUNCTION("""COMPUTED_VALUE"""),4)</f>
        <v>4</v>
      </c>
      <c r="E115">
        <f ca="1">IFERROR(__xludf.DUMMYFUNCTION("""COMPUTED_VALUE"""),16.67)</f>
        <v>16.670000000000002</v>
      </c>
      <c r="F115">
        <f ca="1">IFERROR(__xludf.DUMMYFUNCTION("""COMPUTED_VALUE"""),12)</f>
        <v>12</v>
      </c>
      <c r="G115">
        <f ca="1">IFERROR(__xludf.DUMMYFUNCTION("""COMPUTED_VALUE"""),2)</f>
        <v>2</v>
      </c>
    </row>
    <row r="116" spans="1:7" ht="12.75">
      <c r="A116" t="str">
        <f ca="1">IFERROR(__xludf.DUMMYFUNCTION("""COMPUTED_VALUE"""),"T110")</f>
        <v>T110</v>
      </c>
      <c r="B116" t="str">
        <f ca="1">IFERROR(__xludf.DUMMYFUNCTION("""COMPUTED_VALUE"""),"T215")</f>
        <v>T215</v>
      </c>
      <c r="C116" t="str">
        <f ca="1">IFERROR(__xludf.DUMMYFUNCTION("""COMPUTED_VALUE"""),"Bo Van Pelt")</f>
        <v>Bo Van Pelt</v>
      </c>
      <c r="D116">
        <f ca="1">IFERROR(__xludf.DUMMYFUNCTION("""COMPUTED_VALUE"""),10)</f>
        <v>10</v>
      </c>
      <c r="E116">
        <f ca="1">IFERROR(__xludf.DUMMYFUNCTION("""COMPUTED_VALUE"""),16.67)</f>
        <v>16.670000000000002</v>
      </c>
      <c r="F116">
        <f ca="1">IFERROR(__xludf.DUMMYFUNCTION("""COMPUTED_VALUE"""),36)</f>
        <v>36</v>
      </c>
      <c r="G116">
        <f ca="1">IFERROR(__xludf.DUMMYFUNCTION("""COMPUTED_VALUE"""),6)</f>
        <v>6</v>
      </c>
    </row>
    <row r="117" spans="1:7" ht="12.75">
      <c r="A117" t="str">
        <f ca="1">IFERROR(__xludf.DUMMYFUNCTION("""COMPUTED_VALUE"""),"T110")</f>
        <v>T110</v>
      </c>
      <c r="B117" t="str">
        <f ca="1">IFERROR(__xludf.DUMMYFUNCTION("""COMPUTED_VALUE"""),"T106")</f>
        <v>T106</v>
      </c>
      <c r="C117" t="str">
        <f ca="1">IFERROR(__xludf.DUMMYFUNCTION("""COMPUTED_VALUE"""),"Shaun Norris")</f>
        <v>Shaun Norris</v>
      </c>
      <c r="D117">
        <f ca="1">IFERROR(__xludf.DUMMYFUNCTION("""COMPUTED_VALUE"""),6)</f>
        <v>6</v>
      </c>
      <c r="E117">
        <f ca="1">IFERROR(__xludf.DUMMYFUNCTION("""COMPUTED_VALUE"""),16.67)</f>
        <v>16.670000000000002</v>
      </c>
      <c r="F117">
        <f ca="1">IFERROR(__xludf.DUMMYFUNCTION("""COMPUTED_VALUE"""),24)</f>
        <v>24</v>
      </c>
      <c r="G117">
        <f ca="1">IFERROR(__xludf.DUMMYFUNCTION("""COMPUTED_VALUE"""),4)</f>
        <v>4</v>
      </c>
    </row>
    <row r="118" spans="1:7" ht="12.75">
      <c r="A118" t="str">
        <f ca="1">IFERROR(__xludf.DUMMYFUNCTION("""COMPUTED_VALUE"""),"T110")</f>
        <v>T110</v>
      </c>
      <c r="B118" t="str">
        <f ca="1">IFERROR(__xludf.DUMMYFUNCTION("""COMPUTED_VALUE"""),"T106")</f>
        <v>T106</v>
      </c>
      <c r="C118" t="str">
        <f ca="1">IFERROR(__xludf.DUMMYFUNCTION("""COMPUTED_VALUE"""),"Nick Watney")</f>
        <v>Nick Watney</v>
      </c>
      <c r="D118">
        <f ca="1">IFERROR(__xludf.DUMMYFUNCTION("""COMPUTED_VALUE"""),10)</f>
        <v>10</v>
      </c>
      <c r="E118">
        <f ca="1">IFERROR(__xludf.DUMMYFUNCTION("""COMPUTED_VALUE"""),16.67)</f>
        <v>16.670000000000002</v>
      </c>
      <c r="F118">
        <f ca="1">IFERROR(__xludf.DUMMYFUNCTION("""COMPUTED_VALUE"""),30)</f>
        <v>30</v>
      </c>
      <c r="G118">
        <f ca="1">IFERROR(__xludf.DUMMYFUNCTION("""COMPUTED_VALUE"""),5)</f>
        <v>5</v>
      </c>
    </row>
    <row r="119" spans="1:7" ht="12.75">
      <c r="A119" t="str">
        <f ca="1">IFERROR(__xludf.DUMMYFUNCTION("""COMPUTED_VALUE"""),"T110")</f>
        <v>T110</v>
      </c>
      <c r="B119" t="str">
        <f ca="1">IFERROR(__xludf.DUMMYFUNCTION("""COMPUTED_VALUE"""),"T146")</f>
        <v>T146</v>
      </c>
      <c r="C119" t="str">
        <f ca="1">IFERROR(__xludf.DUMMYFUNCTION("""COMPUTED_VALUE"""),"Henrik Norlander")</f>
        <v>Henrik Norlander</v>
      </c>
      <c r="D119">
        <f ca="1">IFERROR(__xludf.DUMMYFUNCTION("""COMPUTED_VALUE"""),16)</f>
        <v>16</v>
      </c>
      <c r="E119">
        <f ca="1">IFERROR(__xludf.DUMMYFUNCTION("""COMPUTED_VALUE"""),16.67)</f>
        <v>16.670000000000002</v>
      </c>
      <c r="F119">
        <f ca="1">IFERROR(__xludf.DUMMYFUNCTION("""COMPUTED_VALUE"""),42)</f>
        <v>42</v>
      </c>
      <c r="G119">
        <f ca="1">IFERROR(__xludf.DUMMYFUNCTION("""COMPUTED_VALUE"""),7)</f>
        <v>7</v>
      </c>
    </row>
    <row r="120" spans="1:7" ht="12.75">
      <c r="A120" t="str">
        <f ca="1">IFERROR(__xludf.DUMMYFUNCTION("""COMPUTED_VALUE"""),"T110")</f>
        <v>T110</v>
      </c>
      <c r="B120" t="str">
        <f ca="1">IFERROR(__xludf.DUMMYFUNCTION("""COMPUTED_VALUE"""),"T106")</f>
        <v>T106</v>
      </c>
      <c r="C120" t="str">
        <f ca="1">IFERROR(__xludf.DUMMYFUNCTION("""COMPUTED_VALUE"""),"Rory McIlroy")</f>
        <v>Rory McIlroy</v>
      </c>
      <c r="D120">
        <f ca="1">IFERROR(__xludf.DUMMYFUNCTION("""COMPUTED_VALUE"""),12)</f>
        <v>12</v>
      </c>
      <c r="E120">
        <f ca="1">IFERROR(__xludf.DUMMYFUNCTION("""COMPUTED_VALUE"""),16.67)</f>
        <v>16.670000000000002</v>
      </c>
      <c r="F120">
        <f ca="1">IFERROR(__xludf.DUMMYFUNCTION("""COMPUTED_VALUE"""),42)</f>
        <v>42</v>
      </c>
      <c r="G120">
        <f ca="1">IFERROR(__xludf.DUMMYFUNCTION("""COMPUTED_VALUE"""),7)</f>
        <v>7</v>
      </c>
    </row>
    <row r="121" spans="1:7" ht="12.75">
      <c r="A121" t="str">
        <f ca="1">IFERROR(__xludf.DUMMYFUNCTION("""COMPUTED_VALUE"""),"T110")</f>
        <v>T110</v>
      </c>
      <c r="B121" t="str">
        <f ca="1">IFERROR(__xludf.DUMMYFUNCTION("""COMPUTED_VALUE"""),"T106")</f>
        <v>T106</v>
      </c>
      <c r="C121" t="str">
        <f ca="1">IFERROR(__xludf.DUMMYFUNCTION("""COMPUTED_VALUE"""),"Rickie Fowler")</f>
        <v>Rickie Fowler</v>
      </c>
      <c r="D121">
        <f ca="1">IFERROR(__xludf.DUMMYFUNCTION("""COMPUTED_VALUE"""),14)</f>
        <v>14</v>
      </c>
      <c r="E121">
        <f ca="1">IFERROR(__xludf.DUMMYFUNCTION("""COMPUTED_VALUE"""),16.67)</f>
        <v>16.670000000000002</v>
      </c>
      <c r="F121">
        <f ca="1">IFERROR(__xludf.DUMMYFUNCTION("""COMPUTED_VALUE"""),48)</f>
        <v>48</v>
      </c>
      <c r="G121">
        <f ca="1">IFERROR(__xludf.DUMMYFUNCTION("""COMPUTED_VALUE"""),8)</f>
        <v>8</v>
      </c>
    </row>
    <row r="122" spans="1:7" ht="12.75">
      <c r="A122" t="str">
        <f ca="1">IFERROR(__xludf.DUMMYFUNCTION("""COMPUTED_VALUE"""),"T110")</f>
        <v>T110</v>
      </c>
      <c r="B122" t="str">
        <f ca="1">IFERROR(__xludf.DUMMYFUNCTION("""COMPUTED_VALUE"""),"T173")</f>
        <v>T173</v>
      </c>
      <c r="C122" t="str">
        <f ca="1">IFERROR(__xludf.DUMMYFUNCTION("""COMPUTED_VALUE"""),"Xinjun Zhang")</f>
        <v>Xinjun Zhang</v>
      </c>
      <c r="D122">
        <f ca="1">IFERROR(__xludf.DUMMYFUNCTION("""COMPUTED_VALUE"""),14)</f>
        <v>14</v>
      </c>
      <c r="E122">
        <f ca="1">IFERROR(__xludf.DUMMYFUNCTION("""COMPUTED_VALUE"""),16.67)</f>
        <v>16.670000000000002</v>
      </c>
      <c r="F122">
        <f ca="1">IFERROR(__xludf.DUMMYFUNCTION("""COMPUTED_VALUE"""),30)</f>
        <v>30</v>
      </c>
      <c r="G122">
        <f ca="1">IFERROR(__xludf.DUMMYFUNCTION("""COMPUTED_VALUE"""),5)</f>
        <v>5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IFERROR(__xludf.DUMMYFUNCTION("""COMPUTED_VALUE"""),"T132")</f>
        <v>T132</v>
      </c>
      <c r="C123" t="str">
        <f ca="1">IFERROR(__xludf.DUMMYFUNCTION("""COMPUTED_VALUE"""),"Stewart Cink")</f>
        <v>Stewart Cink</v>
      </c>
      <c r="D123">
        <f ca="1">IFERROR(__xludf.DUMMYFUNCTION("""COMPUTED_VALUE"""),18)</f>
        <v>18</v>
      </c>
      <c r="E123">
        <f ca="1">IFERROR(__xludf.DUMMYFUNCTION("""COMPUTED_VALUE"""),16.39)</f>
        <v>16.39</v>
      </c>
      <c r="F123">
        <f ca="1">IFERROR(__xludf.DUMMYFUNCTION("""COMPUTED_VALUE"""),61)</f>
        <v>61</v>
      </c>
      <c r="G123">
        <f ca="1">IFERROR(__xludf.DUMMYFUNCTION("""COMPUTED_VALUE"""),10)</f>
        <v>10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IFERROR(__xludf.DUMMYFUNCTION("""COMPUTED_VALUE"""),"T82")</f>
        <v>T82</v>
      </c>
      <c r="C124" t="str">
        <f ca="1">IFERROR(__xludf.DUMMYFUNCTION("""COMPUTED_VALUE"""),"Denny McCarthy")</f>
        <v>Denny McCarthy</v>
      </c>
      <c r="D124">
        <f ca="1">IFERROR(__xludf.DUMMYFUNCTION("""COMPUTED_VALUE"""),22)</f>
        <v>22</v>
      </c>
      <c r="E124">
        <f ca="1">IFERROR(__xludf.DUMMYFUNCTION("""COMPUTED_VALUE"""),16.39)</f>
        <v>16.39</v>
      </c>
      <c r="F124">
        <f ca="1">IFERROR(__xludf.DUMMYFUNCTION("""COMPUTED_VALUE"""),61)</f>
        <v>61</v>
      </c>
      <c r="G124">
        <f ca="1">IFERROR(__xludf.DUMMYFUNCTION("""COMPUTED_VALUE"""),10)</f>
        <v>10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IFERROR(__xludf.DUMMYFUNCTION("""COMPUTED_VALUE"""),118)</f>
        <v>118</v>
      </c>
      <c r="C125" t="str">
        <f ca="1">IFERROR(__xludf.DUMMYFUNCTION("""COMPUTED_VALUE"""),"Michael Gligic")</f>
        <v>Michael Gligic</v>
      </c>
      <c r="D125">
        <f ca="1">IFERROR(__xludf.DUMMYFUNCTION("""COMPUTED_VALUE"""),18)</f>
        <v>18</v>
      </c>
      <c r="E125">
        <f ca="1">IFERROR(__xludf.DUMMYFUNCTION("""COMPUTED_VALUE"""),16.33)</f>
        <v>16.329999999999998</v>
      </c>
      <c r="F125">
        <f ca="1">IFERROR(__xludf.DUMMYFUNCTION("""COMPUTED_VALUE"""),49)</f>
        <v>49</v>
      </c>
      <c r="G125">
        <f ca="1">IFERROR(__xludf.DUMMYFUNCTION("""COMPUTED_VALUE"""),8)</f>
        <v>8</v>
      </c>
    </row>
    <row r="126" spans="1:7" ht="12.75">
      <c r="A126">
        <f ca="1">IFERROR(__xludf.DUMMYFUNCTION("""COMPUTED_VALUE"""),125)</f>
        <v>125</v>
      </c>
      <c r="B126" t="str">
        <f ca="1">IFERROR(__xludf.DUMMYFUNCTION("""COMPUTED_VALUE"""),"T119")</f>
        <v>T119</v>
      </c>
      <c r="C126" t="str">
        <f ca="1">IFERROR(__xludf.DUMMYFUNCTION("""COMPUTED_VALUE"""),"Bubba Watson")</f>
        <v>Bubba Watson</v>
      </c>
      <c r="D126">
        <f ca="1">IFERROR(__xludf.DUMMYFUNCTION("""COMPUTED_VALUE"""),12)</f>
        <v>12</v>
      </c>
      <c r="E126">
        <f ca="1">IFERROR(__xludf.DUMMYFUNCTION("""COMPUTED_VALUE"""),16.22)</f>
        <v>16.22</v>
      </c>
      <c r="F126">
        <f ca="1">IFERROR(__xludf.DUMMYFUNCTION("""COMPUTED_VALUE"""),37)</f>
        <v>37</v>
      </c>
      <c r="G126">
        <f ca="1">IFERROR(__xludf.DUMMYFUNCTION("""COMPUTED_VALUE"""),6)</f>
        <v>6</v>
      </c>
    </row>
    <row r="127" spans="1:7" ht="12.75">
      <c r="A127">
        <f ca="1">IFERROR(__xludf.DUMMYFUNCTION("""COMPUTED_VALUE"""),126)</f>
        <v>126</v>
      </c>
      <c r="B127" t="str">
        <f ca="1">IFERROR(__xludf.DUMMYFUNCTION("""COMPUTED_VALUE"""),"T122")</f>
        <v>T122</v>
      </c>
      <c r="C127" t="str">
        <f ca="1">IFERROR(__xludf.DUMMYFUNCTION("""COMPUTED_VALUE"""),"Will Zalatoris")</f>
        <v>Will Zalatoris</v>
      </c>
      <c r="D127">
        <f ca="1">IFERROR(__xludf.DUMMYFUNCTION("""COMPUTED_VALUE"""),18)</f>
        <v>18</v>
      </c>
      <c r="E127">
        <f ca="1">IFERROR(__xludf.DUMMYFUNCTION("""COMPUTED_VALUE"""),16.13)</f>
        <v>16.13</v>
      </c>
      <c r="F127">
        <f ca="1">IFERROR(__xludf.DUMMYFUNCTION("""COMPUTED_VALUE"""),31)</f>
        <v>31</v>
      </c>
      <c r="G127">
        <f ca="1">IFERROR(__xludf.DUMMYFUNCTION("""COMPUTED_VALUE"""),5)</f>
        <v>5</v>
      </c>
    </row>
    <row r="128" spans="1:7" ht="12.75">
      <c r="A128" t="str">
        <f ca="1">IFERROR(__xludf.DUMMYFUNCTION("""COMPUTED_VALUE"""),"T127")</f>
        <v>T127</v>
      </c>
      <c r="B128" t="str">
        <f ca="1">IFERROR(__xludf.DUMMYFUNCTION("""COMPUTED_VALUE"""),"T124")</f>
        <v>T124</v>
      </c>
      <c r="C128" t="str">
        <f ca="1">IFERROR(__xludf.DUMMYFUNCTION("""COMPUTED_VALUE"""),"J.J. Spaun")</f>
        <v>J.J. Spaun</v>
      </c>
      <c r="D128">
        <f ca="1">IFERROR(__xludf.DUMMYFUNCTION("""COMPUTED_VALUE"""),10)</f>
        <v>10</v>
      </c>
      <c r="E128">
        <f ca="1">IFERROR(__xludf.DUMMYFUNCTION("""COMPUTED_VALUE"""),16)</f>
        <v>16</v>
      </c>
      <c r="F128">
        <f ca="1">IFERROR(__xludf.DUMMYFUNCTION("""COMPUTED_VALUE"""),25)</f>
        <v>25</v>
      </c>
      <c r="G128">
        <f ca="1">IFERROR(__xludf.DUMMYFUNCTION("""COMPUTED_VALUE"""),4)</f>
        <v>4</v>
      </c>
    </row>
    <row r="129" spans="1:7" ht="12.75">
      <c r="A129" t="str">
        <f ca="1">IFERROR(__xludf.DUMMYFUNCTION("""COMPUTED_VALUE"""),"T127")</f>
        <v>T127</v>
      </c>
      <c r="B129" t="str">
        <f ca="1">IFERROR(__xludf.DUMMYFUNCTION("""COMPUTED_VALUE"""),"T124")</f>
        <v>T124</v>
      </c>
      <c r="C129" t="str">
        <f ca="1">IFERROR(__xludf.DUMMYFUNCTION("""COMPUTED_VALUE"""),"Zac Blair")</f>
        <v>Zac Blair</v>
      </c>
      <c r="D129">
        <f ca="1">IFERROR(__xludf.DUMMYFUNCTION("""COMPUTED_VALUE"""),10)</f>
        <v>10</v>
      </c>
      <c r="E129">
        <f ca="1">IFERROR(__xludf.DUMMYFUNCTION("""COMPUTED_VALUE"""),16)</f>
        <v>16</v>
      </c>
      <c r="F129">
        <f ca="1">IFERROR(__xludf.DUMMYFUNCTION("""COMPUTED_VALUE"""),25)</f>
        <v>25</v>
      </c>
      <c r="G129">
        <f ca="1">IFERROR(__xludf.DUMMYFUNCTION("""COMPUTED_VALUE"""),4)</f>
        <v>4</v>
      </c>
    </row>
    <row r="130" spans="1:7" ht="12.75">
      <c r="A130">
        <f ca="1">IFERROR(__xludf.DUMMYFUNCTION("""COMPUTED_VALUE"""),129)</f>
        <v>129</v>
      </c>
      <c r="B130">
        <f ca="1">IFERROR(__xludf.DUMMYFUNCTION("""COMPUTED_VALUE"""),142)</f>
        <v>142</v>
      </c>
      <c r="C130" t="str">
        <f ca="1">IFERROR(__xludf.DUMMYFUNCTION("""COMPUTED_VALUE"""),"Rory Sabbatini")</f>
        <v>Rory Sabbatini</v>
      </c>
      <c r="D130">
        <f ca="1">IFERROR(__xludf.DUMMYFUNCTION("""COMPUTED_VALUE"""),13)</f>
        <v>13</v>
      </c>
      <c r="E130">
        <f ca="1">IFERROR(__xludf.DUMMYFUNCTION("""COMPUTED_VALUE"""),15.91)</f>
        <v>15.91</v>
      </c>
      <c r="F130">
        <f ca="1">IFERROR(__xludf.DUMMYFUNCTION("""COMPUTED_VALUE"""),44)</f>
        <v>44</v>
      </c>
      <c r="G130">
        <f ca="1">IFERROR(__xludf.DUMMYFUNCTION("""COMPUTED_VALUE"""),7)</f>
        <v>7</v>
      </c>
    </row>
    <row r="131" spans="1:7" ht="12.75">
      <c r="A131">
        <f ca="1">IFERROR(__xludf.DUMMYFUNCTION("""COMPUTED_VALUE"""),130)</f>
        <v>130</v>
      </c>
      <c r="B131" t="str">
        <f ca="1">IFERROR(__xludf.DUMMYFUNCTION("""COMPUTED_VALUE"""),"T126")</f>
        <v>T126</v>
      </c>
      <c r="C131" t="str">
        <f ca="1">IFERROR(__xludf.DUMMYFUNCTION("""COMPUTED_VALUE"""),"Xander Schauffele")</f>
        <v>Xander Schauffele</v>
      </c>
      <c r="D131">
        <f ca="1">IFERROR(__xludf.DUMMYFUNCTION("""COMPUTED_VALUE"""),12)</f>
        <v>12</v>
      </c>
      <c r="E131">
        <f ca="1">IFERROR(__xludf.DUMMYFUNCTION("""COMPUTED_VALUE"""),15.79)</f>
        <v>15.79</v>
      </c>
      <c r="F131">
        <f ca="1">IFERROR(__xludf.DUMMYFUNCTION("""COMPUTED_VALUE"""),38)</f>
        <v>38</v>
      </c>
      <c r="G131">
        <f ca="1">IFERROR(__xludf.DUMMYFUNCTION("""COMPUTED_VALUE"""),6)</f>
        <v>6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IFERROR(__xludf.DUMMYFUNCTION("""COMPUTED_VALUE"""),155)</f>
        <v>155</v>
      </c>
      <c r="C132" t="str">
        <f ca="1">IFERROR(__xludf.DUMMYFUNCTION("""COMPUTED_VALUE"""),"Carlos Ortiz")</f>
        <v>Carlos Ortiz</v>
      </c>
      <c r="D132">
        <f ca="1">IFERROR(__xludf.DUMMYFUNCTION("""COMPUTED_VALUE"""),20)</f>
        <v>20</v>
      </c>
      <c r="E132">
        <f ca="1">IFERROR(__xludf.DUMMYFUNCTION("""COMPUTED_VALUE"""),15.71)</f>
        <v>15.71</v>
      </c>
      <c r="F132">
        <f ca="1">IFERROR(__xludf.DUMMYFUNCTION("""COMPUTED_VALUE"""),70)</f>
        <v>70</v>
      </c>
      <c r="G132">
        <f ca="1">IFERROR(__xludf.DUMMYFUNCTION("""COMPUTED_VALUE"""),11)</f>
        <v>11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IFERROR(__xludf.DUMMYFUNCTION("""COMPUTED_VALUE"""),77)</f>
        <v>77</v>
      </c>
      <c r="C133" t="str">
        <f ca="1">IFERROR(__xludf.DUMMYFUNCTION("""COMPUTED_VALUE"""),"Sung Kang")</f>
        <v>Sung Kang</v>
      </c>
      <c r="D133">
        <f ca="1">IFERROR(__xludf.DUMMYFUNCTION("""COMPUTED_VALUE"""),14)</f>
        <v>14</v>
      </c>
      <c r="E133">
        <f ca="1">IFERROR(__xludf.DUMMYFUNCTION("""COMPUTED_VALUE"""),15.69)</f>
        <v>15.69</v>
      </c>
      <c r="F133">
        <f ca="1">IFERROR(__xludf.DUMMYFUNCTION("""COMPUTED_VALUE"""),51)</f>
        <v>51</v>
      </c>
      <c r="G133">
        <f ca="1">IFERROR(__xludf.DUMMYFUNCTION("""COMPUTED_VALUE"""),8)</f>
        <v>8</v>
      </c>
    </row>
    <row r="134" spans="1:7" ht="12.75">
      <c r="A134" t="str">
        <f ca="1">IFERROR(__xludf.DUMMYFUNCTION("""COMPUTED_VALUE"""),"T133")</f>
        <v>T133</v>
      </c>
      <c r="B134" t="str">
        <f ca="1">IFERROR(__xludf.DUMMYFUNCTION("""COMPUTED_VALUE"""),"T180")</f>
        <v>T180</v>
      </c>
      <c r="C134" t="str">
        <f ca="1">IFERROR(__xludf.DUMMYFUNCTION("""COMPUTED_VALUE"""),"Lucas Glover")</f>
        <v>Lucas Glover</v>
      </c>
      <c r="D134">
        <f ca="1">IFERROR(__xludf.DUMMYFUNCTION("""COMPUTED_VALUE"""),12)</f>
        <v>12</v>
      </c>
      <c r="E134">
        <f ca="1">IFERROR(__xludf.DUMMYFUNCTION("""COMPUTED_VALUE"""),15.63)</f>
        <v>15.63</v>
      </c>
      <c r="F134">
        <f ca="1">IFERROR(__xludf.DUMMYFUNCTION("""COMPUTED_VALUE"""),32)</f>
        <v>32</v>
      </c>
      <c r="G134">
        <f ca="1">IFERROR(__xludf.DUMMYFUNCTION("""COMPUTED_VALUE"""),5)</f>
        <v>5</v>
      </c>
    </row>
    <row r="135" spans="1:7" ht="12.75">
      <c r="A135" t="str">
        <f ca="1">IFERROR(__xludf.DUMMYFUNCTION("""COMPUTED_VALUE"""),"T133")</f>
        <v>T133</v>
      </c>
      <c r="B135">
        <f ca="1">IFERROR(__xludf.DUMMYFUNCTION("""COMPUTED_VALUE"""),117)</f>
        <v>117</v>
      </c>
      <c r="C135" t="str">
        <f ca="1">IFERROR(__xludf.DUMMYFUNCTION("""COMPUTED_VALUE"""),"Kevin Streelman")</f>
        <v>Kevin Streelman</v>
      </c>
      <c r="D135">
        <f ca="1">IFERROR(__xludf.DUMMYFUNCTION("""COMPUTED_VALUE"""),18)</f>
        <v>18</v>
      </c>
      <c r="E135">
        <f ca="1">IFERROR(__xludf.DUMMYFUNCTION("""COMPUTED_VALUE"""),15.63)</f>
        <v>15.63</v>
      </c>
      <c r="F135">
        <f ca="1">IFERROR(__xludf.DUMMYFUNCTION("""COMPUTED_VALUE"""),64)</f>
        <v>64</v>
      </c>
      <c r="G135">
        <f ca="1">IFERROR(__xludf.DUMMYFUNCTION("""COMPUTED_VALUE"""),10)</f>
        <v>10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IFERROR(__xludf.DUMMYFUNCTION("""COMPUTED_VALUE"""),"T132")</f>
        <v>T132</v>
      </c>
      <c r="C136" t="str">
        <f ca="1">IFERROR(__xludf.DUMMYFUNCTION("""COMPUTED_VALUE"""),"Nick Taylor")</f>
        <v>Nick Taylor</v>
      </c>
      <c r="D136">
        <f ca="1">IFERROR(__xludf.DUMMYFUNCTION("""COMPUTED_VALUE"""),12)</f>
        <v>12</v>
      </c>
      <c r="E136">
        <f ca="1">IFERROR(__xludf.DUMMYFUNCTION("""COMPUTED_VALUE"""),15.38)</f>
        <v>15.38</v>
      </c>
      <c r="F136">
        <f ca="1">IFERROR(__xludf.DUMMYFUNCTION("""COMPUTED_VALUE"""),52)</f>
        <v>52</v>
      </c>
      <c r="G136">
        <f ca="1">IFERROR(__xludf.DUMMYFUNCTION("""COMPUTED_VALUE"""),8)</f>
        <v>8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IFERROR(__xludf.DUMMYFUNCTION("""COMPUTED_VALUE"""),"T64")</f>
        <v>T64</v>
      </c>
      <c r="C137" t="str">
        <f ca="1">IFERROR(__xludf.DUMMYFUNCTION("""COMPUTED_VALUE"""),"Sean O'Hair")</f>
        <v>Sean O'Hair</v>
      </c>
      <c r="D137">
        <f ca="1">IFERROR(__xludf.DUMMYFUNCTION("""COMPUTED_VALUE"""),14)</f>
        <v>14</v>
      </c>
      <c r="E137">
        <f ca="1">IFERROR(__xludf.DUMMYFUNCTION("""COMPUTED_VALUE"""),15.38)</f>
        <v>15.38</v>
      </c>
      <c r="F137">
        <f ca="1">IFERROR(__xludf.DUMMYFUNCTION("""COMPUTED_VALUE"""),39)</f>
        <v>39</v>
      </c>
      <c r="G137">
        <f ca="1">IFERROR(__xludf.DUMMYFUNCTION("""COMPUTED_VALUE"""),6)</f>
        <v>6</v>
      </c>
    </row>
    <row r="138" spans="1:7" ht="12.75">
      <c r="A138" t="str">
        <f ca="1">IFERROR(__xludf.DUMMYFUNCTION("""COMPUTED_VALUE"""),"T135")</f>
        <v>T135</v>
      </c>
      <c r="B138" t="str">
        <f ca="1">IFERROR(__xludf.DUMMYFUNCTION("""COMPUTED_VALUE"""),"T126")</f>
        <v>T126</v>
      </c>
      <c r="C138" t="str">
        <f ca="1">IFERROR(__xludf.DUMMYFUNCTION("""COMPUTED_VALUE"""),"Kevin Tway")</f>
        <v>Kevin Tway</v>
      </c>
      <c r="D138">
        <f ca="1">IFERROR(__xludf.DUMMYFUNCTION("""COMPUTED_VALUE"""),16)</f>
        <v>16</v>
      </c>
      <c r="E138">
        <f ca="1">IFERROR(__xludf.DUMMYFUNCTION("""COMPUTED_VALUE"""),15.38)</f>
        <v>15.38</v>
      </c>
      <c r="F138">
        <f ca="1">IFERROR(__xludf.DUMMYFUNCTION("""COMPUTED_VALUE"""),26)</f>
        <v>26</v>
      </c>
      <c r="G138">
        <f ca="1">IFERROR(__xludf.DUMMYFUNCTION("""COMPUTED_VALUE"""),4)</f>
        <v>4</v>
      </c>
    </row>
    <row r="139" spans="1:7" ht="12.75">
      <c r="A139" t="str">
        <f ca="1">IFERROR(__xludf.DUMMYFUNCTION("""COMPUTED_VALUE"""),"T135")</f>
        <v>T135</v>
      </c>
      <c r="B139" t="str">
        <f ca="1">IFERROR(__xludf.DUMMYFUNCTION("""COMPUTED_VALUE"""),"T132")</f>
        <v>T132</v>
      </c>
      <c r="C139" t="str">
        <f ca="1">IFERROR(__xludf.DUMMYFUNCTION("""COMPUTED_VALUE"""),"Hanbyeol Kim")</f>
        <v>Hanbyeol Kim</v>
      </c>
      <c r="D139">
        <f ca="1">IFERROR(__xludf.DUMMYFUNCTION("""COMPUTED_VALUE"""),4)</f>
        <v>4</v>
      </c>
      <c r="E139">
        <f ca="1">IFERROR(__xludf.DUMMYFUNCTION("""COMPUTED_VALUE"""),15.38)</f>
        <v>15.38</v>
      </c>
      <c r="F139">
        <f ca="1">IFERROR(__xludf.DUMMYFUNCTION("""COMPUTED_VALUE"""),13)</f>
        <v>13</v>
      </c>
      <c r="G139">
        <f ca="1">IFERROR(__xludf.DUMMYFUNCTION("""COMPUTED_VALUE"""),2)</f>
        <v>2</v>
      </c>
    </row>
    <row r="140" spans="1:7" ht="12.75">
      <c r="A140" t="str">
        <f ca="1">IFERROR(__xludf.DUMMYFUNCTION("""COMPUTED_VALUE"""),"T135")</f>
        <v>T135</v>
      </c>
      <c r="B140" t="str">
        <f ca="1">IFERROR(__xludf.DUMMYFUNCTION("""COMPUTED_VALUE"""),"T132")</f>
        <v>T132</v>
      </c>
      <c r="C140" t="str">
        <f ca="1">IFERROR(__xludf.DUMMYFUNCTION("""COMPUTED_VALUE"""),"Rikuya Hoshino")</f>
        <v>Rikuya Hoshino</v>
      </c>
      <c r="D140">
        <f ca="1">IFERROR(__xludf.DUMMYFUNCTION("""COMPUTED_VALUE"""),4)</f>
        <v>4</v>
      </c>
      <c r="E140">
        <f ca="1">IFERROR(__xludf.DUMMYFUNCTION("""COMPUTED_VALUE"""),15.38)</f>
        <v>15.38</v>
      </c>
      <c r="F140">
        <f ca="1">IFERROR(__xludf.DUMMYFUNCTION("""COMPUTED_VALUE"""),13)</f>
        <v>13</v>
      </c>
      <c r="G140">
        <f ca="1">IFERROR(__xludf.DUMMYFUNCTION("""COMPUTED_VALUE"""),2)</f>
        <v>2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IFERROR(__xludf.DUMMYFUNCTION("""COMPUTED_VALUE"""),139)</f>
        <v>139</v>
      </c>
      <c r="C141" t="str">
        <f ca="1">IFERROR(__xludf.DUMMYFUNCTION("""COMPUTED_VALUE"""),"Joel Dahmen")</f>
        <v>Joel Dahmen</v>
      </c>
      <c r="D141">
        <f ca="1">IFERROR(__xludf.DUMMYFUNCTION("""COMPUTED_VALUE"""),18)</f>
        <v>18</v>
      </c>
      <c r="E141">
        <f ca="1">IFERROR(__xludf.DUMMYFUNCTION("""COMPUTED_VALUE"""),15.25)</f>
        <v>15.25</v>
      </c>
      <c r="F141">
        <f ca="1">IFERROR(__xludf.DUMMYFUNCTION("""COMPUTED_VALUE"""),59)</f>
        <v>59</v>
      </c>
      <c r="G141">
        <f ca="1">IFERROR(__xludf.DUMMYFUNCTION("""COMPUTED_VALUE"""),9)</f>
        <v>9</v>
      </c>
    </row>
    <row r="142" spans="1:7" ht="12.75">
      <c r="A142">
        <f ca="1">IFERROR(__xludf.DUMMYFUNCTION("""COMPUTED_VALUE"""),141)</f>
        <v>141</v>
      </c>
      <c r="B142" t="str">
        <f ca="1">IFERROR(__xludf.DUMMYFUNCTION("""COMPUTED_VALUE"""),"T140")</f>
        <v>T140</v>
      </c>
      <c r="C142" t="str">
        <f ca="1">IFERROR(__xludf.DUMMYFUNCTION("""COMPUTED_VALUE"""),"Sepp Straka")</f>
        <v>Sepp Straka</v>
      </c>
      <c r="D142">
        <f ca="1">IFERROR(__xludf.DUMMYFUNCTION("""COMPUTED_VALUE"""),22)</f>
        <v>22</v>
      </c>
      <c r="E142">
        <f ca="1">IFERROR(__xludf.DUMMYFUNCTION("""COMPUTED_VALUE"""),15.22)</f>
        <v>15.22</v>
      </c>
      <c r="F142">
        <f ca="1">IFERROR(__xludf.DUMMYFUNCTION("""COMPUTED_VALUE"""),46)</f>
        <v>46</v>
      </c>
      <c r="G142">
        <f ca="1">IFERROR(__xludf.DUMMYFUNCTION("""COMPUTED_VALUE"""),7)</f>
        <v>7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IFERROR(__xludf.DUMMYFUNCTION("""COMPUTED_VALUE"""),58)</f>
        <v>58</v>
      </c>
      <c r="C143" t="str">
        <f ca="1">IFERROR(__xludf.DUMMYFUNCTION("""COMPUTED_VALUE"""),"Maverick McNealy")</f>
        <v>Maverick McNealy</v>
      </c>
      <c r="D143">
        <f ca="1">IFERROR(__xludf.DUMMYFUNCTION("""COMPUTED_VALUE"""),16)</f>
        <v>16</v>
      </c>
      <c r="E143">
        <f ca="1">IFERROR(__xludf.DUMMYFUNCTION("""COMPUTED_VALUE"""),15.15)</f>
        <v>15.15</v>
      </c>
      <c r="F143">
        <f ca="1">IFERROR(__xludf.DUMMYFUNCTION("""COMPUTED_VALUE"""),33)</f>
        <v>33</v>
      </c>
      <c r="G143">
        <f ca="1">IFERROR(__xludf.DUMMYFUNCTION("""COMPUTED_VALUE"""),5)</f>
        <v>5</v>
      </c>
    </row>
    <row r="144" spans="1:7" ht="12.75">
      <c r="A144" t="str">
        <f ca="1">IFERROR(__xludf.DUMMYFUNCTION("""COMPUTED_VALUE"""),"T143")</f>
        <v>T143</v>
      </c>
      <c r="B144" t="str">
        <f ca="1">IFERROR(__xludf.DUMMYFUNCTION("""COMPUTED_VALUE"""),"T180")</f>
        <v>T180</v>
      </c>
      <c r="C144" t="str">
        <f ca="1">IFERROR(__xludf.DUMMYFUNCTION("""COMPUTED_VALUE"""),"Russell Knox")</f>
        <v>Russell Knox</v>
      </c>
      <c r="D144">
        <f ca="1">IFERROR(__xludf.DUMMYFUNCTION("""COMPUTED_VALUE"""),16)</f>
        <v>16</v>
      </c>
      <c r="E144">
        <f ca="1">IFERROR(__xludf.DUMMYFUNCTION("""COMPUTED_VALUE"""),15)</f>
        <v>15</v>
      </c>
      <c r="F144">
        <f ca="1">IFERROR(__xludf.DUMMYFUNCTION("""COMPUTED_VALUE"""),40)</f>
        <v>40</v>
      </c>
      <c r="G144">
        <f ca="1">IFERROR(__xludf.DUMMYFUNCTION("""COMPUTED_VALUE"""),6)</f>
        <v>6</v>
      </c>
    </row>
    <row r="145" spans="1:7" ht="12.75">
      <c r="A145" t="str">
        <f ca="1">IFERROR(__xludf.DUMMYFUNCTION("""COMPUTED_VALUE"""),"T143")</f>
        <v>T143</v>
      </c>
      <c r="B145" t="str">
        <f ca="1">IFERROR(__xludf.DUMMYFUNCTION("""COMPUTED_VALUE"""),"T166")</f>
        <v>T166</v>
      </c>
      <c r="C145" t="str">
        <f ca="1">IFERROR(__xludf.DUMMYFUNCTION("""COMPUTED_VALUE"""),"Luke Donald")</f>
        <v>Luke Donald</v>
      </c>
      <c r="D145">
        <f ca="1">IFERROR(__xludf.DUMMYFUNCTION("""COMPUTED_VALUE"""),14)</f>
        <v>14</v>
      </c>
      <c r="E145">
        <f ca="1">IFERROR(__xludf.DUMMYFUNCTION("""COMPUTED_VALUE"""),15)</f>
        <v>15</v>
      </c>
      <c r="F145">
        <f ca="1">IFERROR(__xludf.DUMMYFUNCTION("""COMPUTED_VALUE"""),40)</f>
        <v>40</v>
      </c>
      <c r="G145">
        <f ca="1">IFERROR(__xludf.DUMMYFUNCTION("""COMPUTED_VALUE"""),6)</f>
        <v>6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IFERROR(__xludf.DUMMYFUNCTION("""COMPUTED_VALUE"""),131)</f>
        <v>131</v>
      </c>
      <c r="C146" t="str">
        <f ca="1">IFERROR(__xludf.DUMMYFUNCTION("""COMPUTED_VALUE"""),"Keegan Bradley")</f>
        <v>Keegan Bradley</v>
      </c>
      <c r="D146">
        <f ca="1">IFERROR(__xludf.DUMMYFUNCTION("""COMPUTED_VALUE"""),16)</f>
        <v>16</v>
      </c>
      <c r="E146">
        <f ca="1">IFERROR(__xludf.DUMMYFUNCTION("""COMPUTED_VALUE"""),14.93)</f>
        <v>14.93</v>
      </c>
      <c r="F146">
        <f ca="1">IFERROR(__xludf.DUMMYFUNCTION("""COMPUTED_VALUE"""),67)</f>
        <v>67</v>
      </c>
      <c r="G146">
        <f ca="1">IFERROR(__xludf.DUMMYFUNCTION("""COMPUTED_VALUE"""),10)</f>
        <v>10</v>
      </c>
    </row>
    <row r="147" spans="1:7" ht="12.75">
      <c r="A147" t="str">
        <f ca="1">IFERROR(__xludf.DUMMYFUNCTION("""COMPUTED_VALUE"""),"T146")</f>
        <v>T146</v>
      </c>
      <c r="B147" t="str">
        <f ca="1">IFERROR(__xludf.DUMMYFUNCTION("""COMPUTED_VALUE"""),"T144")</f>
        <v>T144</v>
      </c>
      <c r="C147" t="str">
        <f ca="1">IFERROR(__xludf.DUMMYFUNCTION("""COMPUTED_VALUE"""),"Cameron Tringale")</f>
        <v>Cameron Tringale</v>
      </c>
      <c r="D147">
        <f ca="1">IFERROR(__xludf.DUMMYFUNCTION("""COMPUTED_VALUE"""),16)</f>
        <v>16</v>
      </c>
      <c r="E147">
        <f ca="1">IFERROR(__xludf.DUMMYFUNCTION("""COMPUTED_VALUE"""),14.81)</f>
        <v>14.81</v>
      </c>
      <c r="F147">
        <f ca="1">IFERROR(__xludf.DUMMYFUNCTION("""COMPUTED_VALUE"""),54)</f>
        <v>54</v>
      </c>
      <c r="G147">
        <f ca="1">IFERROR(__xludf.DUMMYFUNCTION("""COMPUTED_VALUE"""),8)</f>
        <v>8</v>
      </c>
    </row>
    <row r="148" spans="1:7" ht="12.75">
      <c r="A148" t="str">
        <f ca="1">IFERROR(__xludf.DUMMYFUNCTION("""COMPUTED_VALUE"""),"T146")</f>
        <v>T146</v>
      </c>
      <c r="B148" t="str">
        <f ca="1">IFERROR(__xludf.DUMMYFUNCTION("""COMPUTED_VALUE"""),"T102")</f>
        <v>T102</v>
      </c>
      <c r="C148" t="str">
        <f ca="1">IFERROR(__xludf.DUMMYFUNCTION("""COMPUTED_VALUE"""),"Branden Grace")</f>
        <v>Branden Grace</v>
      </c>
      <c r="D148">
        <f ca="1">IFERROR(__xludf.DUMMYFUNCTION("""COMPUTED_VALUE"""),16)</f>
        <v>16</v>
      </c>
      <c r="E148">
        <f ca="1">IFERROR(__xludf.DUMMYFUNCTION("""COMPUTED_VALUE"""),14.81)</f>
        <v>14.81</v>
      </c>
      <c r="F148">
        <f ca="1">IFERROR(__xludf.DUMMYFUNCTION("""COMPUTED_VALUE"""),27)</f>
        <v>27</v>
      </c>
      <c r="G148">
        <f ca="1">IFERROR(__xludf.DUMMYFUNCTION("""COMPUTED_VALUE"""),4)</f>
        <v>4</v>
      </c>
    </row>
    <row r="149" spans="1:7" ht="12.75">
      <c r="A149" t="str">
        <f ca="1">IFERROR(__xludf.DUMMYFUNCTION("""COMPUTED_VALUE"""),"T146")</f>
        <v>T146</v>
      </c>
      <c r="B149">
        <f ca="1">IFERROR(__xludf.DUMMYFUNCTION("""COMPUTED_VALUE"""),14)</f>
        <v>14</v>
      </c>
      <c r="C149" t="str">
        <f ca="1">IFERROR(__xludf.DUMMYFUNCTION("""COMPUTED_VALUE"""),"Brooks Koepka")</f>
        <v>Brooks Koepka</v>
      </c>
      <c r="D149">
        <f ca="1">IFERROR(__xludf.DUMMYFUNCTION("""COMPUTED_VALUE"""),8)</f>
        <v>8</v>
      </c>
      <c r="E149">
        <f ca="1">IFERROR(__xludf.DUMMYFUNCTION("""COMPUTED_VALUE"""),14.81)</f>
        <v>14.81</v>
      </c>
      <c r="F149">
        <f ca="1">IFERROR(__xludf.DUMMYFUNCTION("""COMPUTED_VALUE"""),27)</f>
        <v>27</v>
      </c>
      <c r="G149">
        <f ca="1">IFERROR(__xludf.DUMMYFUNCTION("""COMPUTED_VALUE"""),4)</f>
        <v>4</v>
      </c>
    </row>
    <row r="150" spans="1:7" ht="12.75">
      <c r="A150">
        <f ca="1">IFERROR(__xludf.DUMMYFUNCTION("""COMPUTED_VALUE"""),149)</f>
        <v>149</v>
      </c>
      <c r="B150" t="str">
        <f ca="1">IFERROR(__xludf.DUMMYFUNCTION("""COMPUTED_VALUE"""),"T144")</f>
        <v>T144</v>
      </c>
      <c r="C150" t="str">
        <f ca="1">IFERROR(__xludf.DUMMYFUNCTION("""COMPUTED_VALUE"""),"Sebastián Muñoz")</f>
        <v>Sebastián Muñoz</v>
      </c>
      <c r="D150">
        <f ca="1">IFERROR(__xludf.DUMMYFUNCTION("""COMPUTED_VALUE"""),20)</f>
        <v>20</v>
      </c>
      <c r="E150">
        <f ca="1">IFERROR(__xludf.DUMMYFUNCTION("""COMPUTED_VALUE"""),14.63)</f>
        <v>14.63</v>
      </c>
      <c r="F150">
        <f ca="1">IFERROR(__xludf.DUMMYFUNCTION("""COMPUTED_VALUE"""),82)</f>
        <v>82</v>
      </c>
      <c r="G150">
        <f ca="1">IFERROR(__xludf.DUMMYFUNCTION("""COMPUTED_VALUE"""),12)</f>
        <v>12</v>
      </c>
    </row>
    <row r="151" spans="1:7" ht="12.75">
      <c r="A151" t="str">
        <f ca="1">IFERROR(__xludf.DUMMYFUNCTION("""COMPUTED_VALUE"""),"T150")</f>
        <v>T150</v>
      </c>
      <c r="B151" t="str">
        <f ca="1">IFERROR(__xludf.DUMMYFUNCTION("""COMPUTED_VALUE"""),"T173")</f>
        <v>T173</v>
      </c>
      <c r="C151" t="str">
        <f ca="1">IFERROR(__xludf.DUMMYFUNCTION("""COMPUTED_VALUE"""),"Danny Lee")</f>
        <v>Danny Lee</v>
      </c>
      <c r="D151">
        <f ca="1">IFERROR(__xludf.DUMMYFUNCTION("""COMPUTED_VALUE"""),15)</f>
        <v>15</v>
      </c>
      <c r="E151">
        <f ca="1">IFERROR(__xludf.DUMMYFUNCTION("""COMPUTED_VALUE"""),14.55)</f>
        <v>14.55</v>
      </c>
      <c r="F151">
        <f ca="1">IFERROR(__xludf.DUMMYFUNCTION("""COMPUTED_VALUE"""),55)</f>
        <v>55</v>
      </c>
      <c r="G151">
        <f ca="1">IFERROR(__xludf.DUMMYFUNCTION("""COMPUTED_VALUE"""),8)</f>
        <v>8</v>
      </c>
    </row>
    <row r="152" spans="1:7" ht="12.75">
      <c r="A152" t="str">
        <f ca="1">IFERROR(__xludf.DUMMYFUNCTION("""COMPUTED_VALUE"""),"T150")</f>
        <v>T150</v>
      </c>
      <c r="B152">
        <f ca="1">IFERROR(__xludf.DUMMYFUNCTION("""COMPUTED_VALUE"""),130)</f>
        <v>130</v>
      </c>
      <c r="C152" t="str">
        <f ca="1">IFERROR(__xludf.DUMMYFUNCTION("""COMPUTED_VALUE"""),"Dylan Frittelli")</f>
        <v>Dylan Frittelli</v>
      </c>
      <c r="D152">
        <f ca="1">IFERROR(__xludf.DUMMYFUNCTION("""COMPUTED_VALUE"""),16)</f>
        <v>16</v>
      </c>
      <c r="E152">
        <f ca="1">IFERROR(__xludf.DUMMYFUNCTION("""COMPUTED_VALUE"""),14.55)</f>
        <v>14.55</v>
      </c>
      <c r="F152">
        <f ca="1">IFERROR(__xludf.DUMMYFUNCTION("""COMPUTED_VALUE"""),55)</f>
        <v>55</v>
      </c>
      <c r="G152">
        <f ca="1">IFERROR(__xludf.DUMMYFUNCTION("""COMPUTED_VALUE"""),8)</f>
        <v>8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IFERROR(__xludf.DUMMYFUNCTION("""COMPUTED_VALUE"""),"T146")</f>
        <v>T146</v>
      </c>
      <c r="C153" t="str">
        <f ca="1">IFERROR(__xludf.DUMMYFUNCTION("""COMPUTED_VALUE"""),"Chris Baker")</f>
        <v>Chris Baker</v>
      </c>
      <c r="D153">
        <f ca="1">IFERROR(__xludf.DUMMYFUNCTION("""COMPUTED_VALUE"""),8)</f>
        <v>8</v>
      </c>
      <c r="E153">
        <f ca="1">IFERROR(__xludf.DUMMYFUNCTION("""COMPUTED_VALUE"""),14.29)</f>
        <v>14.29</v>
      </c>
      <c r="F153">
        <f ca="1">IFERROR(__xludf.DUMMYFUNCTION("""COMPUTED_VALUE"""),21)</f>
        <v>21</v>
      </c>
      <c r="G153">
        <f ca="1">IFERROR(__xludf.DUMMYFUNCTION("""COMPUTED_VALUE"""),3)</f>
        <v>3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IFERROR(__xludf.DUMMYFUNCTION("""COMPUTED_VALUE"""),"T146")</f>
        <v>T146</v>
      </c>
      <c r="C154" t="str">
        <f ca="1">IFERROR(__xludf.DUMMYFUNCTION("""COMPUTED_VALUE"""),"Bill Haas")</f>
        <v>Bill Haas</v>
      </c>
      <c r="D154">
        <f ca="1">IFERROR(__xludf.DUMMYFUNCTION("""COMPUTED_VALUE"""),10)</f>
        <v>10</v>
      </c>
      <c r="E154">
        <f ca="1">IFERROR(__xludf.DUMMYFUNCTION("""COMPUTED_VALUE"""),14.29)</f>
        <v>14.29</v>
      </c>
      <c r="F154">
        <f ca="1">IFERROR(__xludf.DUMMYFUNCTION("""COMPUTED_VALUE"""),21)</f>
        <v>21</v>
      </c>
      <c r="G154">
        <f ca="1">IFERROR(__xludf.DUMMYFUNCTION("""COMPUTED_VALUE"""),3)</f>
        <v>3</v>
      </c>
    </row>
    <row r="155" spans="1:7" ht="12.75">
      <c r="A155" t="str">
        <f ca="1">IFERROR(__xludf.DUMMYFUNCTION("""COMPUTED_VALUE"""),"T152")</f>
        <v>T152</v>
      </c>
      <c r="B155">
        <f ca="1">IFERROR(__xludf.DUMMYFUNCTION("""COMPUTED_VALUE"""),229)</f>
        <v>229</v>
      </c>
      <c r="C155" t="str">
        <f ca="1">IFERROR(__xludf.DUMMYFUNCTION("""COMPUTED_VALUE"""),"Henrik Stenson")</f>
        <v>Henrik Stenson</v>
      </c>
      <c r="D155">
        <f ca="1">IFERROR(__xludf.DUMMYFUNCTION("""COMPUTED_VALUE"""),11)</f>
        <v>11</v>
      </c>
      <c r="E155">
        <f ca="1">IFERROR(__xludf.DUMMYFUNCTION("""COMPUTED_VALUE"""),14.29)</f>
        <v>14.29</v>
      </c>
      <c r="F155">
        <f ca="1">IFERROR(__xludf.DUMMYFUNCTION("""COMPUTED_VALUE"""),21)</f>
        <v>21</v>
      </c>
      <c r="G155">
        <f ca="1">IFERROR(__xludf.DUMMYFUNCTION("""COMPUTED_VALUE"""),3)</f>
        <v>3</v>
      </c>
    </row>
    <row r="156" spans="1:7" ht="12.75">
      <c r="A156" t="str">
        <f ca="1">IFERROR(__xludf.DUMMYFUNCTION("""COMPUTED_VALUE"""),"T152")</f>
        <v>T152</v>
      </c>
      <c r="B156" t="str">
        <f ca="1">IFERROR(__xludf.DUMMYFUNCTION("""COMPUTED_VALUE"""),"T146")</f>
        <v>T146</v>
      </c>
      <c r="C156" t="str">
        <f ca="1">IFERROR(__xludf.DUMMYFUNCTION("""COMPUTED_VALUE"""),"Jim Furyk")</f>
        <v>Jim Furyk</v>
      </c>
      <c r="D156">
        <f ca="1">IFERROR(__xludf.DUMMYFUNCTION("""COMPUTED_VALUE"""),4)</f>
        <v>4</v>
      </c>
      <c r="E156">
        <f ca="1">IFERROR(__xludf.DUMMYFUNCTION("""COMPUTED_VALUE"""),14.29)</f>
        <v>14.29</v>
      </c>
      <c r="F156">
        <f ca="1">IFERROR(__xludf.DUMMYFUNCTION("""COMPUTED_VALUE"""),14)</f>
        <v>14</v>
      </c>
      <c r="G156">
        <f ca="1">IFERROR(__xludf.DUMMYFUNCTION("""COMPUTED_VALUE"""),2)</f>
        <v>2</v>
      </c>
    </row>
    <row r="157" spans="1:7" ht="12.75">
      <c r="A157" t="str">
        <f ca="1">IFERROR(__xludf.DUMMYFUNCTION("""COMPUTED_VALUE"""),"T152")</f>
        <v>T152</v>
      </c>
      <c r="B157" t="str">
        <f ca="1">IFERROR(__xludf.DUMMYFUNCTION("""COMPUTED_VALUE"""),"")</f>
        <v/>
      </c>
      <c r="C157" t="str">
        <f ca="1">IFERROR(__xludf.DUMMYFUNCTION("""COMPUTED_VALUE"""),"Kevin Stadler")</f>
        <v>Kevin Stadler</v>
      </c>
      <c r="D157">
        <f ca="1">IFERROR(__xludf.DUMMYFUNCTION("""COMPUTED_VALUE"""),8)</f>
        <v>8</v>
      </c>
      <c r="E157">
        <f ca="1">IFERROR(__xludf.DUMMYFUNCTION("""COMPUTED_VALUE"""),14.29)</f>
        <v>14.29</v>
      </c>
      <c r="F157">
        <f ca="1">IFERROR(__xludf.DUMMYFUNCTION("""COMPUTED_VALUE"""),14)</f>
        <v>14</v>
      </c>
      <c r="G157">
        <f ca="1">IFERROR(__xludf.DUMMYFUNCTION("""COMPUTED_VALUE"""),2)</f>
        <v>2</v>
      </c>
    </row>
    <row r="158" spans="1:7" ht="12.75">
      <c r="A158" t="str">
        <f ca="1">IFERROR(__xludf.DUMMYFUNCTION("""COMPUTED_VALUE"""),"T152")</f>
        <v>T152</v>
      </c>
      <c r="B158" t="str">
        <f ca="1">IFERROR(__xludf.DUMMYFUNCTION("""COMPUTED_VALUE"""),"T146")</f>
        <v>T146</v>
      </c>
      <c r="C158" t="str">
        <f ca="1">IFERROR(__xludf.DUMMYFUNCTION("""COMPUTED_VALUE"""),"J.B. Holmes")</f>
        <v>J.B. Holmes</v>
      </c>
      <c r="D158">
        <f ca="1">IFERROR(__xludf.DUMMYFUNCTION("""COMPUTED_VALUE"""),10)</f>
        <v>10</v>
      </c>
      <c r="E158">
        <f ca="1">IFERROR(__xludf.DUMMYFUNCTION("""COMPUTED_VALUE"""),14.29)</f>
        <v>14.29</v>
      </c>
      <c r="F158">
        <f ca="1">IFERROR(__xludf.DUMMYFUNCTION("""COMPUTED_VALUE"""),35)</f>
        <v>35</v>
      </c>
      <c r="G158">
        <f ca="1">IFERROR(__xludf.DUMMYFUNCTION("""COMPUTED_VALUE"""),5)</f>
        <v>5</v>
      </c>
    </row>
    <row r="159" spans="1:7" ht="12.75">
      <c r="A159" t="str">
        <f ca="1">IFERROR(__xludf.DUMMYFUNCTION("""COMPUTED_VALUE"""),"T152")</f>
        <v>T152</v>
      </c>
      <c r="B159" t="str">
        <f ca="1">IFERROR(__xludf.DUMMYFUNCTION("""COMPUTED_VALUE"""),"T146")</f>
        <v>T146</v>
      </c>
      <c r="C159" t="str">
        <f ca="1">IFERROR(__xludf.DUMMYFUNCTION("""COMPUTED_VALUE"""),"George Markham")</f>
        <v>George Markham</v>
      </c>
      <c r="D159">
        <f ca="1">IFERROR(__xludf.DUMMYFUNCTION("""COMPUTED_VALUE"""),4)</f>
        <v>4</v>
      </c>
      <c r="E159">
        <f ca="1">IFERROR(__xludf.DUMMYFUNCTION("""COMPUTED_VALUE"""),14.29)</f>
        <v>14.29</v>
      </c>
      <c r="F159">
        <f ca="1">IFERROR(__xludf.DUMMYFUNCTION("""COMPUTED_VALUE"""),14)</f>
        <v>14</v>
      </c>
      <c r="G159">
        <f ca="1">IFERROR(__xludf.DUMMYFUNCTION("""COMPUTED_VALUE"""),2)</f>
        <v>2</v>
      </c>
    </row>
    <row r="160" spans="1:7" ht="12.75">
      <c r="A160" t="str">
        <f ca="1">IFERROR(__xludf.DUMMYFUNCTION("""COMPUTED_VALUE"""),"T152")</f>
        <v>T152</v>
      </c>
      <c r="B160" t="str">
        <f ca="1">IFERROR(__xludf.DUMMYFUNCTION("""COMPUTED_VALUE"""),"T146")</f>
        <v>T146</v>
      </c>
      <c r="C160" t="str">
        <f ca="1">IFERROR(__xludf.DUMMYFUNCTION("""COMPUTED_VALUE"""),"Doug Ghim")</f>
        <v>Doug Ghim</v>
      </c>
      <c r="D160">
        <f ca="1">IFERROR(__xludf.DUMMYFUNCTION("""COMPUTED_VALUE"""),14)</f>
        <v>14</v>
      </c>
      <c r="E160">
        <f ca="1">IFERROR(__xludf.DUMMYFUNCTION("""COMPUTED_VALUE"""),14.29)</f>
        <v>14.29</v>
      </c>
      <c r="F160">
        <f ca="1">IFERROR(__xludf.DUMMYFUNCTION("""COMPUTED_VALUE"""),28)</f>
        <v>28</v>
      </c>
      <c r="G160">
        <f ca="1">IFERROR(__xludf.DUMMYFUNCTION("""COMPUTED_VALUE"""),4)</f>
        <v>4</v>
      </c>
    </row>
    <row r="161" spans="1:7" ht="12.75">
      <c r="A161" t="str">
        <f ca="1">IFERROR(__xludf.DUMMYFUNCTION("""COMPUTED_VALUE"""),"T152")</f>
        <v>T152</v>
      </c>
      <c r="B161" t="str">
        <f ca="1">IFERROR(__xludf.DUMMYFUNCTION("""COMPUTED_VALUE"""),"")</f>
        <v/>
      </c>
      <c r="C161" t="str">
        <f ca="1">IFERROR(__xludf.DUMMYFUNCTION("""COMPUTED_VALUE"""),"Erik Barnes")</f>
        <v>Erik Barnes</v>
      </c>
      <c r="D161">
        <f ca="1">IFERROR(__xludf.DUMMYFUNCTION("""COMPUTED_VALUE"""),4)</f>
        <v>4</v>
      </c>
      <c r="E161">
        <f ca="1">IFERROR(__xludf.DUMMYFUNCTION("""COMPUTED_VALUE"""),14.29)</f>
        <v>14.29</v>
      </c>
      <c r="F161">
        <f ca="1">IFERROR(__xludf.DUMMYFUNCTION("""COMPUTED_VALUE"""),21)</f>
        <v>21</v>
      </c>
      <c r="G161">
        <f ca="1">IFERROR(__xludf.DUMMYFUNCTION("""COMPUTED_VALUE"""),3)</f>
        <v>3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IFERROR(__xludf.DUMMYFUNCTION("""COMPUTED_VALUE"""),138)</f>
        <v>138</v>
      </c>
      <c r="C162" t="str">
        <f ca="1">IFERROR(__xludf.DUMMYFUNCTION("""COMPUTED_VALUE"""),"Sungjae Im")</f>
        <v>Sungjae Im</v>
      </c>
      <c r="D162">
        <f ca="1">IFERROR(__xludf.DUMMYFUNCTION("""COMPUTED_VALUE"""),24)</f>
        <v>24</v>
      </c>
      <c r="E162">
        <f ca="1">IFERROR(__xludf.DUMMYFUNCTION("""COMPUTED_VALUE"""),14.12)</f>
        <v>14.12</v>
      </c>
      <c r="F162">
        <f ca="1">IFERROR(__xludf.DUMMYFUNCTION("""COMPUTED_VALUE"""),85)</f>
        <v>85</v>
      </c>
      <c r="G162">
        <f ca="1">IFERROR(__xludf.DUMMYFUNCTION("""COMPUTED_VALUE"""),12)</f>
        <v>12</v>
      </c>
    </row>
    <row r="163" spans="1:7" ht="12.75">
      <c r="A163">
        <f ca="1">IFERROR(__xludf.DUMMYFUNCTION("""COMPUTED_VALUE"""),162)</f>
        <v>162</v>
      </c>
      <c r="B163" t="str">
        <f ca="1">IFERROR(__xludf.DUMMYFUNCTION("""COMPUTED_VALUE"""),"T84")</f>
        <v>T84</v>
      </c>
      <c r="C163" t="str">
        <f ca="1">IFERROR(__xludf.DUMMYFUNCTION("""COMPUTED_VALUE"""),"Lanto Griffin")</f>
        <v>Lanto Griffin</v>
      </c>
      <c r="D163">
        <f ca="1">IFERROR(__xludf.DUMMYFUNCTION("""COMPUTED_VALUE"""),18)</f>
        <v>18</v>
      </c>
      <c r="E163">
        <f ca="1">IFERROR(__xludf.DUMMYFUNCTION("""COMPUTED_VALUE"""),14.06)</f>
        <v>14.06</v>
      </c>
      <c r="F163">
        <f ca="1">IFERROR(__xludf.DUMMYFUNCTION("""COMPUTED_VALUE"""),64)</f>
        <v>64</v>
      </c>
      <c r="G163">
        <f ca="1">IFERROR(__xludf.DUMMYFUNCTION("""COMPUTED_VALUE"""),9)</f>
        <v>9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IFERROR(__xludf.DUMMYFUNCTION("""COMPUTED_VALUE"""),156)</f>
        <v>156</v>
      </c>
      <c r="C164" t="str">
        <f ca="1">IFERROR(__xludf.DUMMYFUNCTION("""COMPUTED_VALUE"""),"Abraham Ancer")</f>
        <v>Abraham Ancer</v>
      </c>
      <c r="D164">
        <f ca="1">IFERROR(__xludf.DUMMYFUNCTION("""COMPUTED_VALUE"""),16)</f>
        <v>16</v>
      </c>
      <c r="E164">
        <f ca="1">IFERROR(__xludf.DUMMYFUNCTION("""COMPUTED_VALUE"""),14)</f>
        <v>14</v>
      </c>
      <c r="F164">
        <f ca="1">IFERROR(__xludf.DUMMYFUNCTION("""COMPUTED_VALUE"""),50)</f>
        <v>50</v>
      </c>
      <c r="G164">
        <f ca="1">IFERROR(__xludf.DUMMYFUNCTION("""COMPUTED_VALUE"""),7)</f>
        <v>7</v>
      </c>
    </row>
    <row r="165" spans="1:7" ht="12.75">
      <c r="A165" t="str">
        <f ca="1">IFERROR(__xludf.DUMMYFUNCTION("""COMPUTED_VALUE"""),"T164")</f>
        <v>T164</v>
      </c>
      <c r="B165" t="str">
        <f ca="1">IFERROR(__xludf.DUMMYFUNCTION("""COMPUTED_VALUE"""),"T157")</f>
        <v>T157</v>
      </c>
      <c r="C165" t="str">
        <f ca="1">IFERROR(__xludf.DUMMYFUNCTION("""COMPUTED_VALUE"""),"Paul Casey")</f>
        <v>Paul Casey</v>
      </c>
      <c r="D165">
        <f ca="1">IFERROR(__xludf.DUMMYFUNCTION("""COMPUTED_VALUE"""),14)</f>
        <v>14</v>
      </c>
      <c r="E165">
        <f ca="1">IFERROR(__xludf.DUMMYFUNCTION("""COMPUTED_VALUE"""),13.95)</f>
        <v>13.95</v>
      </c>
      <c r="F165">
        <f ca="1">IFERROR(__xludf.DUMMYFUNCTION("""COMPUTED_VALUE"""),43)</f>
        <v>43</v>
      </c>
      <c r="G165">
        <f ca="1">IFERROR(__xludf.DUMMYFUNCTION("""COMPUTED_VALUE"""),6)</f>
        <v>6</v>
      </c>
    </row>
    <row r="166" spans="1:7" ht="12.75">
      <c r="A166" t="str">
        <f ca="1">IFERROR(__xludf.DUMMYFUNCTION("""COMPUTED_VALUE"""),"T164")</f>
        <v>T164</v>
      </c>
      <c r="B166" t="str">
        <f ca="1">IFERROR(__xludf.DUMMYFUNCTION("""COMPUTED_VALUE"""),"T119")</f>
        <v>T119</v>
      </c>
      <c r="C166" t="str">
        <f ca="1">IFERROR(__xludf.DUMMYFUNCTION("""COMPUTED_VALUE"""),"Andrew Landry")</f>
        <v>Andrew Landry</v>
      </c>
      <c r="D166">
        <f ca="1">IFERROR(__xludf.DUMMYFUNCTION("""COMPUTED_VALUE"""),14)</f>
        <v>14</v>
      </c>
      <c r="E166">
        <f ca="1">IFERROR(__xludf.DUMMYFUNCTION("""COMPUTED_VALUE"""),13.95)</f>
        <v>13.95</v>
      </c>
      <c r="F166">
        <f ca="1">IFERROR(__xludf.DUMMYFUNCTION("""COMPUTED_VALUE"""),43)</f>
        <v>43</v>
      </c>
      <c r="G166">
        <f ca="1">IFERROR(__xludf.DUMMYFUNCTION("""COMPUTED_VALUE"""),6)</f>
        <v>6</v>
      </c>
    </row>
    <row r="167" spans="1:7" ht="12.75">
      <c r="A167" t="str">
        <f ca="1">IFERROR(__xludf.DUMMYFUNCTION("""COMPUTED_VALUE"""),"T164")</f>
        <v>T164</v>
      </c>
      <c r="B167" t="str">
        <f ca="1">IFERROR(__xludf.DUMMYFUNCTION("""COMPUTED_VALUE"""),"T140")</f>
        <v>T140</v>
      </c>
      <c r="C167" t="str">
        <f ca="1">IFERROR(__xludf.DUMMYFUNCTION("""COMPUTED_VALUE"""),"Jamie Lovemark")</f>
        <v>Jamie Lovemark</v>
      </c>
      <c r="D167">
        <f ca="1">IFERROR(__xludf.DUMMYFUNCTION("""COMPUTED_VALUE"""),18)</f>
        <v>18</v>
      </c>
      <c r="E167">
        <f ca="1">IFERROR(__xludf.DUMMYFUNCTION("""COMPUTED_VALUE"""),13.95)</f>
        <v>13.95</v>
      </c>
      <c r="F167">
        <f ca="1">IFERROR(__xludf.DUMMYFUNCTION("""COMPUTED_VALUE"""),43)</f>
        <v>43</v>
      </c>
      <c r="G167">
        <f ca="1">IFERROR(__xludf.DUMMYFUNCTION("""COMPUTED_VALUE"""),6)</f>
        <v>6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IFERROR(__xludf.DUMMYFUNCTION("""COMPUTED_VALUE"""),"T157")</f>
        <v>T157</v>
      </c>
      <c r="C168" t="str">
        <f ca="1">IFERROR(__xludf.DUMMYFUNCTION("""COMPUTED_VALUE"""),"J.T. Poston")</f>
        <v>J.T. Poston</v>
      </c>
      <c r="D168">
        <f ca="1">IFERROR(__xludf.DUMMYFUNCTION("""COMPUTED_VALUE"""),18)</f>
        <v>18</v>
      </c>
      <c r="E168">
        <f ca="1">IFERROR(__xludf.DUMMYFUNCTION("""COMPUTED_VALUE"""),13.79)</f>
        <v>13.79</v>
      </c>
      <c r="F168">
        <f ca="1">IFERROR(__xludf.DUMMYFUNCTION("""COMPUTED_VALUE"""),58)</f>
        <v>58</v>
      </c>
      <c r="G168">
        <f ca="1">IFERROR(__xludf.DUMMYFUNCTION("""COMPUTED_VALUE"""),8)</f>
        <v>8</v>
      </c>
    </row>
    <row r="169" spans="1:7" ht="12.75">
      <c r="A169">
        <f ca="1">IFERROR(__xludf.DUMMYFUNCTION("""COMPUTED_VALUE"""),168)</f>
        <v>168</v>
      </c>
      <c r="B169" t="str">
        <f ca="1">IFERROR(__xludf.DUMMYFUNCTION("""COMPUTED_VALUE"""),"T119")</f>
        <v>T119</v>
      </c>
      <c r="C169" t="str">
        <f ca="1">IFERROR(__xludf.DUMMYFUNCTION("""COMPUTED_VALUE"""),"Matthew NeSmith")</f>
        <v>Matthew NeSmith</v>
      </c>
      <c r="D169">
        <f ca="1">IFERROR(__xludf.DUMMYFUNCTION("""COMPUTED_VALUE"""),16)</f>
        <v>16</v>
      </c>
      <c r="E169">
        <f ca="1">IFERROR(__xludf.DUMMYFUNCTION("""COMPUTED_VALUE"""),13.64)</f>
        <v>13.64</v>
      </c>
      <c r="F169">
        <f ca="1">IFERROR(__xludf.DUMMYFUNCTION("""COMPUTED_VALUE"""),44)</f>
        <v>44</v>
      </c>
      <c r="G169">
        <f ca="1">IFERROR(__xludf.DUMMYFUNCTION("""COMPUTED_VALUE"""),6)</f>
        <v>6</v>
      </c>
    </row>
    <row r="170" spans="1:7" ht="12.75">
      <c r="A170" t="str">
        <f ca="1">IFERROR(__xludf.DUMMYFUNCTION("""COMPUTED_VALUE"""),"T169")</f>
        <v>T169</v>
      </c>
      <c r="B170" t="str">
        <f ca="1">IFERROR(__xludf.DUMMYFUNCTION("""COMPUTED_VALUE"""),"T173")</f>
        <v>T173</v>
      </c>
      <c r="C170" t="str">
        <f ca="1">IFERROR(__xludf.DUMMYFUNCTION("""COMPUTED_VALUE"""),"Beau Hossler")</f>
        <v>Beau Hossler</v>
      </c>
      <c r="D170">
        <f ca="1">IFERROR(__xludf.DUMMYFUNCTION("""COMPUTED_VALUE"""),22)</f>
        <v>22</v>
      </c>
      <c r="E170">
        <f ca="1">IFERROR(__xludf.DUMMYFUNCTION("""COMPUTED_VALUE"""),13.56)</f>
        <v>13.56</v>
      </c>
      <c r="F170">
        <f ca="1">IFERROR(__xludf.DUMMYFUNCTION("""COMPUTED_VALUE"""),59)</f>
        <v>59</v>
      </c>
      <c r="G170">
        <f ca="1">IFERROR(__xludf.DUMMYFUNCTION("""COMPUTED_VALUE"""),8)</f>
        <v>8</v>
      </c>
    </row>
    <row r="171" spans="1:7" ht="12.75">
      <c r="A171" t="str">
        <f ca="1">IFERROR(__xludf.DUMMYFUNCTION("""COMPUTED_VALUE"""),"T169")</f>
        <v>T169</v>
      </c>
      <c r="B171" t="str">
        <f ca="1">IFERROR(__xludf.DUMMYFUNCTION("""COMPUTED_VALUE"""),"T198")</f>
        <v>T198</v>
      </c>
      <c r="C171" t="str">
        <f ca="1">IFERROR(__xludf.DUMMYFUNCTION("""COMPUTED_VALUE"""),"Emiliano Grillo")</f>
        <v>Emiliano Grillo</v>
      </c>
      <c r="D171">
        <f ca="1">IFERROR(__xludf.DUMMYFUNCTION("""COMPUTED_VALUE"""),22)</f>
        <v>22</v>
      </c>
      <c r="E171">
        <f ca="1">IFERROR(__xludf.DUMMYFUNCTION("""COMPUTED_VALUE"""),13.56)</f>
        <v>13.56</v>
      </c>
      <c r="F171">
        <f ca="1">IFERROR(__xludf.DUMMYFUNCTION("""COMPUTED_VALUE"""),59)</f>
        <v>59</v>
      </c>
      <c r="G171">
        <f ca="1">IFERROR(__xludf.DUMMYFUNCTION("""COMPUTED_VALUE"""),8)</f>
        <v>8</v>
      </c>
    </row>
    <row r="172" spans="1:7" ht="12.75">
      <c r="A172">
        <f ca="1">IFERROR(__xludf.DUMMYFUNCTION("""COMPUTED_VALUE"""),171)</f>
        <v>171</v>
      </c>
      <c r="B172" t="str">
        <f ca="1">IFERROR(__xludf.DUMMYFUNCTION("""COMPUTED_VALUE"""),"T122")</f>
        <v>T122</v>
      </c>
      <c r="C172" t="str">
        <f ca="1">IFERROR(__xludf.DUMMYFUNCTION("""COMPUTED_VALUE"""),"Scott Stallings")</f>
        <v>Scott Stallings</v>
      </c>
      <c r="D172">
        <f ca="1">IFERROR(__xludf.DUMMYFUNCTION("""COMPUTED_VALUE"""),14)</f>
        <v>14</v>
      </c>
      <c r="E172">
        <f ca="1">IFERROR(__xludf.DUMMYFUNCTION("""COMPUTED_VALUE"""),13.51)</f>
        <v>13.51</v>
      </c>
      <c r="F172">
        <f ca="1">IFERROR(__xludf.DUMMYFUNCTION("""COMPUTED_VALUE"""),37)</f>
        <v>37</v>
      </c>
      <c r="G172">
        <f ca="1">IFERROR(__xludf.DUMMYFUNCTION("""COMPUTED_VALUE"""),5)</f>
        <v>5</v>
      </c>
    </row>
    <row r="173" spans="1:7" ht="12.75">
      <c r="A173" t="str">
        <f ca="1">IFERROR(__xludf.DUMMYFUNCTION("""COMPUTED_VALUE"""),"T172")</f>
        <v>T172</v>
      </c>
      <c r="B173" t="str">
        <f ca="1">IFERROR(__xludf.DUMMYFUNCTION("""COMPUTED_VALUE"""),"T64")</f>
        <v>T64</v>
      </c>
      <c r="C173" t="str">
        <f ca="1">IFERROR(__xludf.DUMMYFUNCTION("""COMPUTED_VALUE"""),"Danny Willett")</f>
        <v>Danny Willett</v>
      </c>
      <c r="D173">
        <f ca="1">IFERROR(__xludf.DUMMYFUNCTION("""COMPUTED_VALUE"""),7)</f>
        <v>7</v>
      </c>
      <c r="E173">
        <f ca="1">IFERROR(__xludf.DUMMYFUNCTION("""COMPUTED_VALUE"""),13.33)</f>
        <v>13.33</v>
      </c>
      <c r="F173">
        <f ca="1">IFERROR(__xludf.DUMMYFUNCTION("""COMPUTED_VALUE"""),15)</f>
        <v>15</v>
      </c>
      <c r="G173">
        <f ca="1">IFERROR(__xludf.DUMMYFUNCTION("""COMPUTED_VALUE"""),2)</f>
        <v>2</v>
      </c>
    </row>
    <row r="174" spans="1:7" ht="12.75">
      <c r="A174" t="str">
        <f ca="1">IFERROR(__xludf.DUMMYFUNCTION("""COMPUTED_VALUE"""),"T172")</f>
        <v>T172</v>
      </c>
      <c r="B174" t="str">
        <f ca="1">IFERROR(__xludf.DUMMYFUNCTION("""COMPUTED_VALUE"""),"T160")</f>
        <v>T160</v>
      </c>
      <c r="C174" t="str">
        <f ca="1">IFERROR(__xludf.DUMMYFUNCTION("""COMPUTED_VALUE"""),"Ricky Barnes")</f>
        <v>Ricky Barnes</v>
      </c>
      <c r="D174">
        <f ca="1">IFERROR(__xludf.DUMMYFUNCTION("""COMPUTED_VALUE"""),12)</f>
        <v>12</v>
      </c>
      <c r="E174">
        <f ca="1">IFERROR(__xludf.DUMMYFUNCTION("""COMPUTED_VALUE"""),13.33)</f>
        <v>13.33</v>
      </c>
      <c r="F174">
        <f ca="1">IFERROR(__xludf.DUMMYFUNCTION("""COMPUTED_VALUE"""),15)</f>
        <v>15</v>
      </c>
      <c r="G174">
        <f ca="1">IFERROR(__xludf.DUMMYFUNCTION("""COMPUTED_VALUE"""),2)</f>
        <v>2</v>
      </c>
    </row>
    <row r="175" spans="1:7" ht="12.75">
      <c r="A175" t="str">
        <f ca="1">IFERROR(__xludf.DUMMYFUNCTION("""COMPUTED_VALUE"""),"T172")</f>
        <v>T172</v>
      </c>
      <c r="B175">
        <f ca="1">IFERROR(__xludf.DUMMYFUNCTION("""COMPUTED_VALUE"""),205)</f>
        <v>205</v>
      </c>
      <c r="C175" t="str">
        <f ca="1">IFERROR(__xludf.DUMMYFUNCTION("""COMPUTED_VALUE"""),"Aaron Wise")</f>
        <v>Aaron Wise</v>
      </c>
      <c r="D175">
        <f ca="1">IFERROR(__xludf.DUMMYFUNCTION("""COMPUTED_VALUE"""),16)</f>
        <v>16</v>
      </c>
      <c r="E175">
        <f ca="1">IFERROR(__xludf.DUMMYFUNCTION("""COMPUTED_VALUE"""),13.33)</f>
        <v>13.33</v>
      </c>
      <c r="F175">
        <f ca="1">IFERROR(__xludf.DUMMYFUNCTION("""COMPUTED_VALUE"""),45)</f>
        <v>45</v>
      </c>
      <c r="G175">
        <f ca="1">IFERROR(__xludf.DUMMYFUNCTION("""COMPUTED_VALUE"""),6)</f>
        <v>6</v>
      </c>
    </row>
    <row r="176" spans="1:7" ht="12.75">
      <c r="A176">
        <f ca="1">IFERROR(__xludf.DUMMYFUNCTION("""COMPUTED_VALUE"""),175)</f>
        <v>175</v>
      </c>
      <c r="B176" t="str">
        <f ca="1">IFERROR(__xludf.DUMMYFUNCTION("""COMPUTED_VALUE"""),"T160")</f>
        <v>T160</v>
      </c>
      <c r="C176" t="str">
        <f ca="1">IFERROR(__xludf.DUMMYFUNCTION("""COMPUTED_VALUE"""),"Tyler Duncan")</f>
        <v>Tyler Duncan</v>
      </c>
      <c r="D176">
        <f ca="1">IFERROR(__xludf.DUMMYFUNCTION("""COMPUTED_VALUE"""),18)</f>
        <v>18</v>
      </c>
      <c r="E176">
        <f ca="1">IFERROR(__xludf.DUMMYFUNCTION("""COMPUTED_VALUE"""),13.24)</f>
        <v>13.24</v>
      </c>
      <c r="F176">
        <f ca="1">IFERROR(__xludf.DUMMYFUNCTION("""COMPUTED_VALUE"""),68)</f>
        <v>68</v>
      </c>
      <c r="G176">
        <f ca="1">IFERROR(__xludf.DUMMYFUNCTION("""COMPUTED_VALUE"""),9)</f>
        <v>9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IFERROR(__xludf.DUMMYFUNCTION("""COMPUTED_VALUE"""),162)</f>
        <v>162</v>
      </c>
      <c r="C177" t="str">
        <f ca="1">IFERROR(__xludf.DUMMYFUNCTION("""COMPUTED_VALUE"""),"William McGirt")</f>
        <v>William McGirt</v>
      </c>
      <c r="D177">
        <f ca="1">IFERROR(__xludf.DUMMYFUNCTION("""COMPUTED_VALUE"""),6)</f>
        <v>6</v>
      </c>
      <c r="E177">
        <f ca="1">IFERROR(__xludf.DUMMYFUNCTION("""COMPUTED_VALUE"""),13.04)</f>
        <v>13.04</v>
      </c>
      <c r="F177">
        <f ca="1">IFERROR(__xludf.DUMMYFUNCTION("""COMPUTED_VALUE"""),23)</f>
        <v>23</v>
      </c>
      <c r="G177">
        <f ca="1">IFERROR(__xludf.DUMMYFUNCTION("""COMPUTED_VALUE"""),3)</f>
        <v>3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IFERROR(__xludf.DUMMYFUNCTION("""COMPUTED_VALUE"""),163)</f>
        <v>163</v>
      </c>
      <c r="C178" t="str">
        <f ca="1">IFERROR(__xludf.DUMMYFUNCTION("""COMPUTED_VALUE"""),"Ryo Ishikawa")</f>
        <v>Ryo Ishikawa</v>
      </c>
      <c r="D178">
        <f ca="1">IFERROR(__xludf.DUMMYFUNCTION("""COMPUTED_VALUE"""),8)</f>
        <v>8</v>
      </c>
      <c r="E178">
        <f ca="1">IFERROR(__xludf.DUMMYFUNCTION("""COMPUTED_VALUE"""),12.9)</f>
        <v>12.9</v>
      </c>
      <c r="F178">
        <f ca="1">IFERROR(__xludf.DUMMYFUNCTION("""COMPUTED_VALUE"""),31)</f>
        <v>31</v>
      </c>
      <c r="G178">
        <f ca="1">IFERROR(__xludf.DUMMYFUNCTION("""COMPUTED_VALUE"""),4)</f>
        <v>4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IFERROR(__xludf.DUMMYFUNCTION("""COMPUTED_VALUE"""),184)</f>
        <v>184</v>
      </c>
      <c r="C179" t="str">
        <f ca="1">IFERROR(__xludf.DUMMYFUNCTION("""COMPUTED_VALUE"""),"Wyndham Clark")</f>
        <v>Wyndham Clark</v>
      </c>
      <c r="D179">
        <f ca="1">IFERROR(__xludf.DUMMYFUNCTION("""COMPUTED_VALUE"""),16)</f>
        <v>16</v>
      </c>
      <c r="E179">
        <f ca="1">IFERROR(__xludf.DUMMYFUNCTION("""COMPUTED_VALUE"""),12.82)</f>
        <v>12.82</v>
      </c>
      <c r="F179">
        <f ca="1">IFERROR(__xludf.DUMMYFUNCTION("""COMPUTED_VALUE"""),39)</f>
        <v>39</v>
      </c>
      <c r="G179">
        <f ca="1">IFERROR(__xludf.DUMMYFUNCTION("""COMPUTED_VALUE"""),5)</f>
        <v>5</v>
      </c>
    </row>
    <row r="180" spans="1:7" ht="12.75">
      <c r="A180" t="str">
        <f ca="1">IFERROR(__xludf.DUMMYFUNCTION("""COMPUTED_VALUE"""),"T179")</f>
        <v>T179</v>
      </c>
      <c r="B180" t="str">
        <f ca="1">IFERROR(__xludf.DUMMYFUNCTION("""COMPUTED_VALUE"""),"T164")</f>
        <v>T164</v>
      </c>
      <c r="C180" t="str">
        <f ca="1">IFERROR(__xludf.DUMMYFUNCTION("""COMPUTED_VALUE"""),"Cameron Smith")</f>
        <v>Cameron Smith</v>
      </c>
      <c r="D180">
        <f ca="1">IFERROR(__xludf.DUMMYFUNCTION("""COMPUTED_VALUE"""),16)</f>
        <v>16</v>
      </c>
      <c r="E180">
        <f ca="1">IFERROR(__xludf.DUMMYFUNCTION("""COMPUTED_VALUE"""),12.77)</f>
        <v>12.77</v>
      </c>
      <c r="F180">
        <f ca="1">IFERROR(__xludf.DUMMYFUNCTION("""COMPUTED_VALUE"""),47)</f>
        <v>47</v>
      </c>
      <c r="G180">
        <f ca="1">IFERROR(__xludf.DUMMYFUNCTION("""COMPUTED_VALUE"""),6)</f>
        <v>6</v>
      </c>
    </row>
    <row r="181" spans="1:7" ht="12.75">
      <c r="A181" t="str">
        <f ca="1">IFERROR(__xludf.DUMMYFUNCTION("""COMPUTED_VALUE"""),"T179")</f>
        <v>T179</v>
      </c>
      <c r="B181" t="str">
        <f ca="1">IFERROR(__xludf.DUMMYFUNCTION("""COMPUTED_VALUE"""),"T164")</f>
        <v>T164</v>
      </c>
      <c r="C181" t="str">
        <f ca="1">IFERROR(__xludf.DUMMYFUNCTION("""COMPUTED_VALUE"""),"Byeong Hun An")</f>
        <v>Byeong Hun An</v>
      </c>
      <c r="D181">
        <f ca="1">IFERROR(__xludf.DUMMYFUNCTION("""COMPUTED_VALUE"""),14)</f>
        <v>14</v>
      </c>
      <c r="E181">
        <f ca="1">IFERROR(__xludf.DUMMYFUNCTION("""COMPUTED_VALUE"""),12.77)</f>
        <v>12.77</v>
      </c>
      <c r="F181">
        <f ca="1">IFERROR(__xludf.DUMMYFUNCTION("""COMPUTED_VALUE"""),47)</f>
        <v>47</v>
      </c>
      <c r="G181">
        <f ca="1">IFERROR(__xludf.DUMMYFUNCTION("""COMPUTED_VALUE"""),6)</f>
        <v>6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IFERROR(__xludf.DUMMYFUNCTION("""COMPUTED_VALUE"""),159)</f>
        <v>159</v>
      </c>
      <c r="C182" t="str">
        <f ca="1">IFERROR(__xludf.DUMMYFUNCTION("""COMPUTED_VALUE"""),"Viktor Hovland")</f>
        <v>Viktor Hovland</v>
      </c>
      <c r="D182">
        <f ca="1">IFERROR(__xludf.DUMMYFUNCTION("""COMPUTED_VALUE"""),16)</f>
        <v>16</v>
      </c>
      <c r="E182">
        <f ca="1">IFERROR(__xludf.DUMMYFUNCTION("""COMPUTED_VALUE"""),12.73)</f>
        <v>12.73</v>
      </c>
      <c r="F182">
        <f ca="1">IFERROR(__xludf.DUMMYFUNCTION("""COMPUTED_VALUE"""),55)</f>
        <v>55</v>
      </c>
      <c r="G182">
        <f ca="1">IFERROR(__xludf.DUMMYFUNCTION("""COMPUTED_VALUE"""),7)</f>
        <v>7</v>
      </c>
    </row>
    <row r="183" spans="1:7" ht="12.75">
      <c r="A183" t="str">
        <f ca="1">IFERROR(__xludf.DUMMYFUNCTION("""COMPUTED_VALUE"""),"T182")</f>
        <v>T182</v>
      </c>
      <c r="B183" t="str">
        <f ca="1">IFERROR(__xludf.DUMMYFUNCTION("""COMPUTED_VALUE"""),"T166")</f>
        <v>T166</v>
      </c>
      <c r="C183" t="str">
        <f ca="1">IFERROR(__xludf.DUMMYFUNCTION("""COMPUTED_VALUE"""),"MJ Daffue")</f>
        <v>MJ Daffue</v>
      </c>
      <c r="D183">
        <f ca="1">IFERROR(__xludf.DUMMYFUNCTION("""COMPUTED_VALUE"""),10)</f>
        <v>10</v>
      </c>
      <c r="E183">
        <f ca="1">IFERROR(__xludf.DUMMYFUNCTION("""COMPUTED_VALUE"""),12.5)</f>
        <v>12.5</v>
      </c>
      <c r="F183">
        <f ca="1">IFERROR(__xludf.DUMMYFUNCTION("""COMPUTED_VALUE"""),40)</f>
        <v>40</v>
      </c>
      <c r="G183">
        <f ca="1">IFERROR(__xludf.DUMMYFUNCTION("""COMPUTED_VALUE"""),5)</f>
        <v>5</v>
      </c>
    </row>
    <row r="184" spans="1:7" ht="12.75">
      <c r="A184" t="str">
        <f ca="1">IFERROR(__xludf.DUMMYFUNCTION("""COMPUTED_VALUE"""),"T182")</f>
        <v>T182</v>
      </c>
      <c r="B184" t="str">
        <f ca="1">IFERROR(__xludf.DUMMYFUNCTION("""COMPUTED_VALUE"""),"T166")</f>
        <v>T166</v>
      </c>
      <c r="C184" t="str">
        <f ca="1">IFERROR(__xludf.DUMMYFUNCTION("""COMPUTED_VALUE"""),"Mikumu Horikawa")</f>
        <v>Mikumu Horikawa</v>
      </c>
      <c r="D184">
        <f ca="1">IFERROR(__xludf.DUMMYFUNCTION("""COMPUTED_VALUE"""),4)</f>
        <v>4</v>
      </c>
      <c r="E184">
        <f ca="1">IFERROR(__xludf.DUMMYFUNCTION("""COMPUTED_VALUE"""),12.5)</f>
        <v>12.5</v>
      </c>
      <c r="F184">
        <f ca="1">IFERROR(__xludf.DUMMYFUNCTION("""COMPUTED_VALUE"""),16)</f>
        <v>16</v>
      </c>
      <c r="G184">
        <f ca="1">IFERROR(__xludf.DUMMYFUNCTION("""COMPUTED_VALUE"""),2)</f>
        <v>2</v>
      </c>
    </row>
    <row r="185" spans="1:7" ht="12.75">
      <c r="A185" t="str">
        <f ca="1">IFERROR(__xludf.DUMMYFUNCTION("""COMPUTED_VALUE"""),"T182")</f>
        <v>T182</v>
      </c>
      <c r="B185" t="str">
        <f ca="1">IFERROR(__xludf.DUMMYFUNCTION("""COMPUTED_VALUE"""),"T166")</f>
        <v>T166</v>
      </c>
      <c r="C185" t="str">
        <f ca="1">IFERROR(__xludf.DUMMYFUNCTION("""COMPUTED_VALUE"""),"Cameron Champ")</f>
        <v>Cameron Champ</v>
      </c>
      <c r="D185">
        <f ca="1">IFERROR(__xludf.DUMMYFUNCTION("""COMPUTED_VALUE"""),12)</f>
        <v>12</v>
      </c>
      <c r="E185">
        <f ca="1">IFERROR(__xludf.DUMMYFUNCTION("""COMPUTED_VALUE"""),12.5)</f>
        <v>12.5</v>
      </c>
      <c r="F185">
        <f ca="1">IFERROR(__xludf.DUMMYFUNCTION("""COMPUTED_VALUE"""),32)</f>
        <v>32</v>
      </c>
      <c r="G185">
        <f ca="1">IFERROR(__xludf.DUMMYFUNCTION("""COMPUTED_VALUE"""),4)</f>
        <v>4</v>
      </c>
    </row>
    <row r="186" spans="1:7" ht="12.75">
      <c r="A186" t="str">
        <f ca="1">IFERROR(__xludf.DUMMYFUNCTION("""COMPUTED_VALUE"""),"T182")</f>
        <v>T182</v>
      </c>
      <c r="B186" t="str">
        <f ca="1">IFERROR(__xludf.DUMMYFUNCTION("""COMPUTED_VALUE"""),"T166")</f>
        <v>T166</v>
      </c>
      <c r="C186" t="str">
        <f ca="1">IFERROR(__xludf.DUMMYFUNCTION("""COMPUTED_VALUE"""),"Tae Hee Lee")</f>
        <v>Tae Hee Lee</v>
      </c>
      <c r="D186">
        <f ca="1">IFERROR(__xludf.DUMMYFUNCTION("""COMPUTED_VALUE"""),4)</f>
        <v>4</v>
      </c>
      <c r="E186">
        <f ca="1">IFERROR(__xludf.DUMMYFUNCTION("""COMPUTED_VALUE"""),12.5)</f>
        <v>12.5</v>
      </c>
      <c r="F186">
        <f ca="1">IFERROR(__xludf.DUMMYFUNCTION("""COMPUTED_VALUE"""),16)</f>
        <v>16</v>
      </c>
      <c r="G186">
        <f ca="1">IFERROR(__xludf.DUMMYFUNCTION("""COMPUTED_VALUE"""),2)</f>
        <v>2</v>
      </c>
    </row>
    <row r="187" spans="1:7" ht="12.75">
      <c r="A187" t="str">
        <f ca="1">IFERROR(__xludf.DUMMYFUNCTION("""COMPUTED_VALUE"""),"T182")</f>
        <v>T182</v>
      </c>
      <c r="B187">
        <f ca="1">IFERROR(__xludf.DUMMYFUNCTION("""COMPUTED_VALUE"""),177)</f>
        <v>177</v>
      </c>
      <c r="C187" t="str">
        <f ca="1">IFERROR(__xludf.DUMMYFUNCTION("""COMPUTED_VALUE"""),"Sam Burns")</f>
        <v>Sam Burns</v>
      </c>
      <c r="D187">
        <f ca="1">IFERROR(__xludf.DUMMYFUNCTION("""COMPUTED_VALUE"""),18)</f>
        <v>18</v>
      </c>
      <c r="E187">
        <f ca="1">IFERROR(__xludf.DUMMYFUNCTION("""COMPUTED_VALUE"""),12.5)</f>
        <v>12.5</v>
      </c>
      <c r="F187">
        <f ca="1">IFERROR(__xludf.DUMMYFUNCTION("""COMPUTED_VALUE"""),56)</f>
        <v>56</v>
      </c>
      <c r="G187">
        <f ca="1">IFERROR(__xludf.DUMMYFUNCTION("""COMPUTED_VALUE"""),7)</f>
        <v>7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IFERROR(__xludf.DUMMYFUNCTION("""COMPUTED_VALUE"""),171)</f>
        <v>171</v>
      </c>
      <c r="C188" t="str">
        <f ca="1">IFERROR(__xludf.DUMMYFUNCTION("""COMPUTED_VALUE"""),"Chesson Hadley")</f>
        <v>Chesson Hadley</v>
      </c>
      <c r="D188">
        <f ca="1">IFERROR(__xludf.DUMMYFUNCTION("""COMPUTED_VALUE"""),16)</f>
        <v>16</v>
      </c>
      <c r="E188">
        <f ca="1">IFERROR(__xludf.DUMMYFUNCTION("""COMPUTED_VALUE"""),12.2)</f>
        <v>12.2</v>
      </c>
      <c r="F188">
        <f ca="1">IFERROR(__xludf.DUMMYFUNCTION("""COMPUTED_VALUE"""),41)</f>
        <v>41</v>
      </c>
      <c r="G188">
        <f ca="1">IFERROR(__xludf.DUMMYFUNCTION("""COMPUTED_VALUE"""),5)</f>
        <v>5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IFERROR(__xludf.DUMMYFUNCTION("""COMPUTED_VALUE"""),172)</f>
        <v>172</v>
      </c>
      <c r="C189" t="str">
        <f ca="1">IFERROR(__xludf.DUMMYFUNCTION("""COMPUTED_VALUE"""),"Billy Horschel")</f>
        <v>Billy Horschel</v>
      </c>
      <c r="D189">
        <f ca="1">IFERROR(__xludf.DUMMYFUNCTION("""COMPUTED_VALUE"""),12)</f>
        <v>12</v>
      </c>
      <c r="E189">
        <f ca="1">IFERROR(__xludf.DUMMYFUNCTION("""COMPUTED_VALUE"""),12.12)</f>
        <v>12.12</v>
      </c>
      <c r="F189">
        <f ca="1">IFERROR(__xludf.DUMMYFUNCTION("""COMPUTED_VALUE"""),33)</f>
        <v>33</v>
      </c>
      <c r="G189">
        <f ca="1">IFERROR(__xludf.DUMMYFUNCTION("""COMPUTED_VALUE"""),4)</f>
        <v>4</v>
      </c>
    </row>
    <row r="190" spans="1:7" ht="12.75">
      <c r="A190" t="str">
        <f ca="1">IFERROR(__xludf.DUMMYFUNCTION("""COMPUTED_VALUE"""),"T189")</f>
        <v>T189</v>
      </c>
      <c r="B190" t="str">
        <f ca="1">IFERROR(__xludf.DUMMYFUNCTION("""COMPUTED_VALUE"""),"T178")</f>
        <v>T178</v>
      </c>
      <c r="C190" t="str">
        <f ca="1">IFERROR(__xludf.DUMMYFUNCTION("""COMPUTED_VALUE"""),"James Hahn")</f>
        <v>James Hahn</v>
      </c>
      <c r="D190">
        <f ca="1">IFERROR(__xludf.DUMMYFUNCTION("""COMPUTED_VALUE"""),16)</f>
        <v>16</v>
      </c>
      <c r="E190">
        <f ca="1">IFERROR(__xludf.DUMMYFUNCTION("""COMPUTED_VALUE"""),12)</f>
        <v>12</v>
      </c>
      <c r="F190">
        <f ca="1">IFERROR(__xludf.DUMMYFUNCTION("""COMPUTED_VALUE"""),50)</f>
        <v>50</v>
      </c>
      <c r="G190">
        <f ca="1">IFERROR(__xludf.DUMMYFUNCTION("""COMPUTED_VALUE"""),6)</f>
        <v>6</v>
      </c>
    </row>
    <row r="191" spans="1:7" ht="12.75">
      <c r="A191" t="str">
        <f ca="1">IFERROR(__xludf.DUMMYFUNCTION("""COMPUTED_VALUE"""),"T189")</f>
        <v>T189</v>
      </c>
      <c r="B191" t="str">
        <f ca="1">IFERROR(__xludf.DUMMYFUNCTION("""COMPUTED_VALUE"""),"T190")</f>
        <v>T190</v>
      </c>
      <c r="C191" t="str">
        <f ca="1">IFERROR(__xludf.DUMMYFUNCTION("""COMPUTED_VALUE"""),"Scott Piercy")</f>
        <v>Scott Piercy</v>
      </c>
      <c r="D191">
        <f ca="1">IFERROR(__xludf.DUMMYFUNCTION("""COMPUTED_VALUE"""),18)</f>
        <v>18</v>
      </c>
      <c r="E191">
        <f ca="1">IFERROR(__xludf.DUMMYFUNCTION("""COMPUTED_VALUE"""),12)</f>
        <v>12</v>
      </c>
      <c r="F191">
        <f ca="1">IFERROR(__xludf.DUMMYFUNCTION("""COMPUTED_VALUE"""),50)</f>
        <v>50</v>
      </c>
      <c r="G191">
        <f ca="1">IFERROR(__xludf.DUMMYFUNCTION("""COMPUTED_VALUE"""),6)</f>
        <v>6</v>
      </c>
    </row>
    <row r="192" spans="1:7" ht="12.75">
      <c r="A192" t="str">
        <f ca="1">IFERROR(__xludf.DUMMYFUNCTION("""COMPUTED_VALUE"""),"T189")</f>
        <v>T189</v>
      </c>
      <c r="B192" t="str">
        <f ca="1">IFERROR(__xludf.DUMMYFUNCTION("""COMPUTED_VALUE"""),"T173")</f>
        <v>T173</v>
      </c>
      <c r="C192" t="str">
        <f ca="1">IFERROR(__xludf.DUMMYFUNCTION("""COMPUTED_VALUE"""),"Chase Seiffert")</f>
        <v>Chase Seiffert</v>
      </c>
      <c r="D192">
        <f ca="1">IFERROR(__xludf.DUMMYFUNCTION("""COMPUTED_VALUE"""),14)</f>
        <v>14</v>
      </c>
      <c r="E192">
        <f ca="1">IFERROR(__xludf.DUMMYFUNCTION("""COMPUTED_VALUE"""),12)</f>
        <v>12</v>
      </c>
      <c r="F192">
        <f ca="1">IFERROR(__xludf.DUMMYFUNCTION("""COMPUTED_VALUE"""),25)</f>
        <v>25</v>
      </c>
      <c r="G192">
        <f ca="1">IFERROR(__xludf.DUMMYFUNCTION("""COMPUTED_VALUE"""),3)</f>
        <v>3</v>
      </c>
    </row>
    <row r="193" spans="1:7" ht="12.75">
      <c r="A193">
        <f ca="1">IFERROR(__xludf.DUMMYFUNCTION("""COMPUTED_VALUE"""),192)</f>
        <v>192</v>
      </c>
      <c r="B193" t="str">
        <f ca="1">IFERROR(__xludf.DUMMYFUNCTION("""COMPUTED_VALUE"""),"T198")</f>
        <v>T198</v>
      </c>
      <c r="C193" t="str">
        <f ca="1">IFERROR(__xludf.DUMMYFUNCTION("""COMPUTED_VALUE"""),"Adam Long")</f>
        <v>Adam Long</v>
      </c>
      <c r="D193">
        <f ca="1">IFERROR(__xludf.DUMMYFUNCTION("""COMPUTED_VALUE"""),22)</f>
        <v>22</v>
      </c>
      <c r="E193">
        <f ca="1">IFERROR(__xludf.DUMMYFUNCTION("""COMPUTED_VALUE"""),11.94)</f>
        <v>11.94</v>
      </c>
      <c r="F193">
        <f ca="1">IFERROR(__xludf.DUMMYFUNCTION("""COMPUTED_VALUE"""),67)</f>
        <v>67</v>
      </c>
      <c r="G193">
        <f ca="1">IFERROR(__xludf.DUMMYFUNCTION("""COMPUTED_VALUE"""),8)</f>
        <v>8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IFERROR(__xludf.DUMMYFUNCTION("""COMPUTED_VALUE"""),207)</f>
        <v>207</v>
      </c>
      <c r="C194" t="str">
        <f ca="1">IFERROR(__xludf.DUMMYFUNCTION("""COMPUTED_VALUE"""),"Austin Cook")</f>
        <v>Austin Cook</v>
      </c>
      <c r="D194">
        <f ca="1">IFERROR(__xludf.DUMMYFUNCTION("""COMPUTED_VALUE"""),14)</f>
        <v>14</v>
      </c>
      <c r="E194">
        <f ca="1">IFERROR(__xludf.DUMMYFUNCTION("""COMPUTED_VALUE"""),11.9)</f>
        <v>11.9</v>
      </c>
      <c r="F194">
        <f ca="1">IFERROR(__xludf.DUMMYFUNCTION("""COMPUTED_VALUE"""),42)</f>
        <v>42</v>
      </c>
      <c r="G194">
        <f ca="1">IFERROR(__xludf.DUMMYFUNCTION("""COMPUTED_VALUE"""),5)</f>
        <v>5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IFERROR(__xludf.DUMMYFUNCTION("""COMPUTED_VALUE"""),"T126")</f>
        <v>T126</v>
      </c>
      <c r="C195" t="str">
        <f ca="1">IFERROR(__xludf.DUMMYFUNCTION("""COMPUTED_VALUE"""),"Harold Varner III")</f>
        <v>Harold Varner III</v>
      </c>
      <c r="D195">
        <f ca="1">IFERROR(__xludf.DUMMYFUNCTION("""COMPUTED_VALUE"""),14)</f>
        <v>14</v>
      </c>
      <c r="E195">
        <f ca="1">IFERROR(__xludf.DUMMYFUNCTION("""COMPUTED_VALUE"""),11.76)</f>
        <v>11.76</v>
      </c>
      <c r="F195">
        <f ca="1">IFERROR(__xludf.DUMMYFUNCTION("""COMPUTED_VALUE"""),34)</f>
        <v>34</v>
      </c>
      <c r="G195">
        <f ca="1">IFERROR(__xludf.DUMMYFUNCTION("""COMPUTED_VALUE"""),4)</f>
        <v>4</v>
      </c>
    </row>
    <row r="196" spans="1:7" ht="12.75">
      <c r="A196" t="str">
        <f ca="1">IFERROR(__xludf.DUMMYFUNCTION("""COMPUTED_VALUE"""),"T194")</f>
        <v>T194</v>
      </c>
      <c r="B196">
        <f ca="1">IFERROR(__xludf.DUMMYFUNCTION("""COMPUTED_VALUE"""),236)</f>
        <v>236</v>
      </c>
      <c r="C196" t="str">
        <f ca="1">IFERROR(__xludf.DUMMYFUNCTION("""COMPUTED_VALUE"""),"Luke List")</f>
        <v>Luke List</v>
      </c>
      <c r="D196">
        <f ca="1">IFERROR(__xludf.DUMMYFUNCTION("""COMPUTED_VALUE"""),18)</f>
        <v>18</v>
      </c>
      <c r="E196">
        <f ca="1">IFERROR(__xludf.DUMMYFUNCTION("""COMPUTED_VALUE"""),11.76)</f>
        <v>11.76</v>
      </c>
      <c r="F196">
        <f ca="1">IFERROR(__xludf.DUMMYFUNCTION("""COMPUTED_VALUE"""),34)</f>
        <v>34</v>
      </c>
      <c r="G196">
        <f ca="1">IFERROR(__xludf.DUMMYFUNCTION("""COMPUTED_VALUE"""),4)</f>
        <v>4</v>
      </c>
    </row>
    <row r="197" spans="1:7" ht="12.75">
      <c r="A197" t="str">
        <f ca="1">IFERROR(__xludf.DUMMYFUNCTION("""COMPUTED_VALUE"""),"T194")</f>
        <v>T194</v>
      </c>
      <c r="B197" t="str">
        <f ca="1">IFERROR(__xludf.DUMMYFUNCTION("""COMPUTED_VALUE"""),"T178")</f>
        <v>T178</v>
      </c>
      <c r="C197" t="str">
        <f ca="1">IFERROR(__xludf.DUMMYFUNCTION("""COMPUTED_VALUE"""),"Shugo Imahira")</f>
        <v>Shugo Imahira</v>
      </c>
      <c r="D197">
        <f ca="1">IFERROR(__xludf.DUMMYFUNCTION("""COMPUTED_VALUE"""),8)</f>
        <v>8</v>
      </c>
      <c r="E197">
        <f ca="1">IFERROR(__xludf.DUMMYFUNCTION("""COMPUTED_VALUE"""),11.76)</f>
        <v>11.76</v>
      </c>
      <c r="F197">
        <f ca="1">IFERROR(__xludf.DUMMYFUNCTION("""COMPUTED_VALUE"""),17)</f>
        <v>17</v>
      </c>
      <c r="G197">
        <f ca="1">IFERROR(__xludf.DUMMYFUNCTION("""COMPUTED_VALUE"""),2)</f>
        <v>2</v>
      </c>
    </row>
    <row r="198" spans="1:7" ht="12.75">
      <c r="A198" t="str">
        <f ca="1">IFERROR(__xludf.DUMMYFUNCTION("""COMPUTED_VALUE"""),"T197")</f>
        <v>T197</v>
      </c>
      <c r="B198" t="str">
        <f ca="1">IFERROR(__xludf.DUMMYFUNCTION("""COMPUTED_VALUE"""),"T19")</f>
        <v>T19</v>
      </c>
      <c r="C198" t="str">
        <f ca="1">IFERROR(__xludf.DUMMYFUNCTION("""COMPUTED_VALUE"""),"Adam Scott")</f>
        <v>Adam Scott</v>
      </c>
      <c r="D198">
        <f ca="1">IFERROR(__xludf.DUMMYFUNCTION("""COMPUTED_VALUE"""),8)</f>
        <v>8</v>
      </c>
      <c r="E198">
        <f ca="1">IFERROR(__xludf.DUMMYFUNCTION("""COMPUTED_VALUE"""),11.54)</f>
        <v>11.54</v>
      </c>
      <c r="F198">
        <f ca="1">IFERROR(__xludf.DUMMYFUNCTION("""COMPUTED_VALUE"""),26)</f>
        <v>26</v>
      </c>
      <c r="G198">
        <f ca="1">IFERROR(__xludf.DUMMYFUNCTION("""COMPUTED_VALUE"""),3)</f>
        <v>3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IFERROR(__xludf.DUMMYFUNCTION("""COMPUTED_VALUE"""),"T180")</f>
        <v>T180</v>
      </c>
      <c r="C199" t="str">
        <f ca="1">IFERROR(__xludf.DUMMYFUNCTION("""COMPUTED_VALUE"""),"Bryson DeChambeau")</f>
        <v>Bryson DeChambeau</v>
      </c>
      <c r="D199">
        <f ca="1">IFERROR(__xludf.DUMMYFUNCTION("""COMPUTED_VALUE"""),8)</f>
        <v>8</v>
      </c>
      <c r="E199">
        <f ca="1">IFERROR(__xludf.DUMMYFUNCTION("""COMPUTED_VALUE"""),11.54)</f>
        <v>11.54</v>
      </c>
      <c r="F199">
        <f ca="1">IFERROR(__xludf.DUMMYFUNCTION("""COMPUTED_VALUE"""),26)</f>
        <v>26</v>
      </c>
      <c r="G199">
        <f ca="1">IFERROR(__xludf.DUMMYFUNCTION("""COMPUTED_VALUE"""),3)</f>
        <v>3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IFERROR(__xludf.DUMMYFUNCTION("""COMPUTED_VALUE"""),185)</f>
        <v>185</v>
      </c>
      <c r="C200" t="str">
        <f ca="1">IFERROR(__xludf.DUMMYFUNCTION("""COMPUTED_VALUE"""),"Si Woo Kim")</f>
        <v>Si Woo Kim</v>
      </c>
      <c r="D200">
        <f ca="1">IFERROR(__xludf.DUMMYFUNCTION("""COMPUTED_VALUE"""),20)</f>
        <v>20</v>
      </c>
      <c r="E200">
        <f ca="1">IFERROR(__xludf.DUMMYFUNCTION("""COMPUTED_VALUE"""),11.27)</f>
        <v>11.27</v>
      </c>
      <c r="F200">
        <f ca="1">IFERROR(__xludf.DUMMYFUNCTION("""COMPUTED_VALUE"""),71)</f>
        <v>71</v>
      </c>
      <c r="G200">
        <f ca="1">IFERROR(__xludf.DUMMYFUNCTION("""COMPUTED_VALUE"""),8)</f>
        <v>8</v>
      </c>
    </row>
    <row r="201" spans="1:7" ht="12.75">
      <c r="A201" t="str">
        <f ca="1">IFERROR(__xludf.DUMMYFUNCTION("""COMPUTED_VALUE"""),"T200")</f>
        <v>T200</v>
      </c>
      <c r="B201" t="str">
        <f ca="1">IFERROR(__xludf.DUMMYFUNCTION("""COMPUTED_VALUE"""),"T190")</f>
        <v>T190</v>
      </c>
      <c r="C201" t="str">
        <f ca="1">IFERROR(__xludf.DUMMYFUNCTION("""COMPUTED_VALUE"""),"Hudson Swafford")</f>
        <v>Hudson Swafford</v>
      </c>
      <c r="D201">
        <f ca="1">IFERROR(__xludf.DUMMYFUNCTION("""COMPUTED_VALUE"""),18)</f>
        <v>18</v>
      </c>
      <c r="E201">
        <f ca="1">IFERROR(__xludf.DUMMYFUNCTION("""COMPUTED_VALUE"""),11.11)</f>
        <v>11.11</v>
      </c>
      <c r="F201">
        <f ca="1">IFERROR(__xludf.DUMMYFUNCTION("""COMPUTED_VALUE"""),45)</f>
        <v>45</v>
      </c>
      <c r="G201">
        <f ca="1">IFERROR(__xludf.DUMMYFUNCTION("""COMPUTED_VALUE"""),5)</f>
        <v>5</v>
      </c>
    </row>
    <row r="202" spans="1:7" ht="12.75">
      <c r="A202" t="str">
        <f ca="1">IFERROR(__xludf.DUMMYFUNCTION("""COMPUTED_VALUE"""),"T200")</f>
        <v>T200</v>
      </c>
      <c r="B202" t="str">
        <f ca="1">IFERROR(__xludf.DUMMYFUNCTION("""COMPUTED_VALUE"""),"T126")</f>
        <v>T126</v>
      </c>
      <c r="C202" t="str">
        <f ca="1">IFERROR(__xludf.DUMMYFUNCTION("""COMPUTED_VALUE"""),"D.A. Points")</f>
        <v>D.A. Points</v>
      </c>
      <c r="D202">
        <f ca="1">IFERROR(__xludf.DUMMYFUNCTION("""COMPUTED_VALUE"""),12)</f>
        <v>12</v>
      </c>
      <c r="E202">
        <f ca="1">IFERROR(__xludf.DUMMYFUNCTION("""COMPUTED_VALUE"""),11.11)</f>
        <v>11.11</v>
      </c>
      <c r="F202">
        <f ca="1">IFERROR(__xludf.DUMMYFUNCTION("""COMPUTED_VALUE"""),27)</f>
        <v>27</v>
      </c>
      <c r="G202">
        <f ca="1">IFERROR(__xludf.DUMMYFUNCTION("""COMPUTED_VALUE"""),3)</f>
        <v>3</v>
      </c>
    </row>
    <row r="203" spans="1:7" ht="12.75">
      <c r="A203" t="str">
        <f ca="1">IFERROR(__xludf.DUMMYFUNCTION("""COMPUTED_VALUE"""),"T200")</f>
        <v>T200</v>
      </c>
      <c r="B203" t="str">
        <f ca="1">IFERROR(__xludf.DUMMYFUNCTION("""COMPUTED_VALUE"""),"T180")</f>
        <v>T180</v>
      </c>
      <c r="C203" t="str">
        <f ca="1">IFERROR(__xludf.DUMMYFUNCTION("""COMPUTED_VALUE"""),"Ted Potter, Jr.")</f>
        <v>Ted Potter, Jr.</v>
      </c>
      <c r="D203">
        <f ca="1">IFERROR(__xludf.DUMMYFUNCTION("""COMPUTED_VALUE"""),8)</f>
        <v>8</v>
      </c>
      <c r="E203">
        <f ca="1">IFERROR(__xludf.DUMMYFUNCTION("""COMPUTED_VALUE"""),11.11)</f>
        <v>11.11</v>
      </c>
      <c r="F203">
        <f ca="1">IFERROR(__xludf.DUMMYFUNCTION("""COMPUTED_VALUE"""),36)</f>
        <v>36</v>
      </c>
      <c r="G203">
        <f ca="1">IFERROR(__xludf.DUMMYFUNCTION("""COMPUTED_VALUE"""),4)</f>
        <v>4</v>
      </c>
    </row>
    <row r="204" spans="1:7" ht="12.75">
      <c r="A204" t="str">
        <f ca="1">IFERROR(__xludf.DUMMYFUNCTION("""COMPUTED_VALUE"""),"T200")</f>
        <v>T200</v>
      </c>
      <c r="B204" t="str">
        <f ca="1">IFERROR(__xludf.DUMMYFUNCTION("""COMPUTED_VALUE"""),"T186")</f>
        <v>T186</v>
      </c>
      <c r="C204" t="str">
        <f ca="1">IFERROR(__xludf.DUMMYFUNCTION("""COMPUTED_VALUE"""),"Steve Lewton")</f>
        <v>Steve Lewton</v>
      </c>
      <c r="D204">
        <f ca="1">IFERROR(__xludf.DUMMYFUNCTION("""COMPUTED_VALUE"""),4)</f>
        <v>4</v>
      </c>
      <c r="E204">
        <f ca="1">IFERROR(__xludf.DUMMYFUNCTION("""COMPUTED_VALUE"""),11.11)</f>
        <v>11.11</v>
      </c>
      <c r="F204">
        <f ca="1">IFERROR(__xludf.DUMMYFUNCTION("""COMPUTED_VALUE"""),18)</f>
        <v>18</v>
      </c>
      <c r="G204">
        <f ca="1">IFERROR(__xludf.DUMMYFUNCTION("""COMPUTED_VALUE"""),2)</f>
        <v>2</v>
      </c>
    </row>
    <row r="205" spans="1:7" ht="12.75">
      <c r="A205">
        <f ca="1">IFERROR(__xludf.DUMMYFUNCTION("""COMPUTED_VALUE"""),204)</f>
        <v>204</v>
      </c>
      <c r="B205" t="str">
        <f ca="1">IFERROR(__xludf.DUMMYFUNCTION("""COMPUTED_VALUE"""),"T190")</f>
        <v>T190</v>
      </c>
      <c r="C205" t="str">
        <f ca="1">IFERROR(__xludf.DUMMYFUNCTION("""COMPUTED_VALUE"""),"Collin Morikawa")</f>
        <v>Collin Morikawa</v>
      </c>
      <c r="D205">
        <f ca="1">IFERROR(__xludf.DUMMYFUNCTION("""COMPUTED_VALUE"""),12)</f>
        <v>12</v>
      </c>
      <c r="E205">
        <f ca="1">IFERROR(__xludf.DUMMYFUNCTION("""COMPUTED_VALUE"""),10.81)</f>
        <v>10.81</v>
      </c>
      <c r="F205">
        <f ca="1">IFERROR(__xludf.DUMMYFUNCTION("""COMPUTED_VALUE"""),37)</f>
        <v>37</v>
      </c>
      <c r="G205">
        <f ca="1">IFERROR(__xludf.DUMMYFUNCTION("""COMPUTED_VALUE"""),4)</f>
        <v>4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IFERROR(__xludf.DUMMYFUNCTION("""COMPUTED_VALUE"""),193)</f>
        <v>193</v>
      </c>
      <c r="C206" t="str">
        <f ca="1">IFERROR(__xludf.DUMMYFUNCTION("""COMPUTED_VALUE"""),"Kevin Na")</f>
        <v>Kevin Na</v>
      </c>
      <c r="D206">
        <f ca="1">IFERROR(__xludf.DUMMYFUNCTION("""COMPUTED_VALUE"""),14)</f>
        <v>14</v>
      </c>
      <c r="E206">
        <f ca="1">IFERROR(__xludf.DUMMYFUNCTION("""COMPUTED_VALUE"""),10.71)</f>
        <v>10.71</v>
      </c>
      <c r="F206">
        <f ca="1">IFERROR(__xludf.DUMMYFUNCTION("""COMPUTED_VALUE"""),56)</f>
        <v>56</v>
      </c>
      <c r="G206">
        <f ca="1">IFERROR(__xludf.DUMMYFUNCTION("""COMPUTED_VALUE"""),6)</f>
        <v>6</v>
      </c>
    </row>
    <row r="207" spans="1:7" ht="12.75">
      <c r="A207" t="str">
        <f ca="1">IFERROR(__xludf.DUMMYFUNCTION("""COMPUTED_VALUE"""),"T206")</f>
        <v>T206</v>
      </c>
      <c r="B207">
        <f ca="1">IFERROR(__xludf.DUMMYFUNCTION("""COMPUTED_VALUE"""),194)</f>
        <v>194</v>
      </c>
      <c r="C207" t="str">
        <f ca="1">IFERROR(__xludf.DUMMYFUNCTION("""COMPUTED_VALUE"""),"Tim Wilkinson")</f>
        <v>Tim Wilkinson</v>
      </c>
      <c r="D207">
        <f ca="1">IFERROR(__xludf.DUMMYFUNCTION("""COMPUTED_VALUE"""),12)</f>
        <v>12</v>
      </c>
      <c r="E207">
        <f ca="1">IFERROR(__xludf.DUMMYFUNCTION("""COMPUTED_VALUE"""),10.53)</f>
        <v>10.53</v>
      </c>
      <c r="F207">
        <f ca="1">IFERROR(__xludf.DUMMYFUNCTION("""COMPUTED_VALUE"""),19)</f>
        <v>19</v>
      </c>
      <c r="G207">
        <f ca="1">IFERROR(__xludf.DUMMYFUNCTION("""COMPUTED_VALUE"""),2)</f>
        <v>2</v>
      </c>
    </row>
    <row r="208" spans="1:7" ht="12.75">
      <c r="A208" t="str">
        <f ca="1">IFERROR(__xludf.DUMMYFUNCTION("""COMPUTED_VALUE"""),"T206")</f>
        <v>T206</v>
      </c>
      <c r="B208" t="str">
        <f ca="1">IFERROR(__xludf.DUMMYFUNCTION("""COMPUTED_VALUE"""),"T226")</f>
        <v>T226</v>
      </c>
      <c r="C208" t="str">
        <f ca="1">IFERROR(__xludf.DUMMYFUNCTION("""COMPUTED_VALUE"""),"Lee Westwood")</f>
        <v>Lee Westwood</v>
      </c>
      <c r="D208">
        <f ca="1">IFERROR(__xludf.DUMMYFUNCTION("""COMPUTED_VALUE"""),6)</f>
        <v>6</v>
      </c>
      <c r="E208">
        <f ca="1">IFERROR(__xludf.DUMMYFUNCTION("""COMPUTED_VALUE"""),10.53)</f>
        <v>10.53</v>
      </c>
      <c r="F208">
        <f ca="1">IFERROR(__xludf.DUMMYFUNCTION("""COMPUTED_VALUE"""),19)</f>
        <v>19</v>
      </c>
      <c r="G208">
        <f ca="1">IFERROR(__xludf.DUMMYFUNCTION("""COMPUTED_VALUE"""),2)</f>
        <v>2</v>
      </c>
    </row>
    <row r="209" spans="1:7" ht="12.75">
      <c r="A209" t="str">
        <f ca="1">IFERROR(__xludf.DUMMYFUNCTION("""COMPUTED_VALUE"""),"T206")</f>
        <v>T206</v>
      </c>
      <c r="B209" t="str">
        <f ca="1">IFERROR(__xludf.DUMMYFUNCTION("""COMPUTED_VALUE"""),"T212")</f>
        <v>T212</v>
      </c>
      <c r="C209" t="str">
        <f ca="1">IFERROR(__xludf.DUMMYFUNCTION("""COMPUTED_VALUE"""),"Jason Day")</f>
        <v>Jason Day</v>
      </c>
      <c r="D209">
        <f ca="1">IFERROR(__xludf.DUMMYFUNCTION("""COMPUTED_VALUE"""),17)</f>
        <v>17</v>
      </c>
      <c r="E209">
        <f ca="1">IFERROR(__xludf.DUMMYFUNCTION("""COMPUTED_VALUE"""),10.53)</f>
        <v>10.53</v>
      </c>
      <c r="F209">
        <f ca="1">IFERROR(__xludf.DUMMYFUNCTION("""COMPUTED_VALUE"""),57)</f>
        <v>57</v>
      </c>
      <c r="G209">
        <f ca="1">IFERROR(__xludf.DUMMYFUNCTION("""COMPUTED_VALUE"""),6)</f>
        <v>6</v>
      </c>
    </row>
    <row r="210" spans="1:7" ht="12.75">
      <c r="A210" t="str">
        <f ca="1">IFERROR(__xludf.DUMMYFUNCTION("""COMPUTED_VALUE"""),"T206")</f>
        <v>T206</v>
      </c>
      <c r="B210" t="str">
        <f ca="1">IFERROR(__xludf.DUMMYFUNCTION("""COMPUTED_VALUE"""),"T223")</f>
        <v>T223</v>
      </c>
      <c r="C210" t="str">
        <f ca="1">IFERROR(__xludf.DUMMYFUNCTION("""COMPUTED_VALUE"""),"Kelly Kraft")</f>
        <v>Kelly Kraft</v>
      </c>
      <c r="D210">
        <f ca="1">IFERROR(__xludf.DUMMYFUNCTION("""COMPUTED_VALUE"""),14)</f>
        <v>14</v>
      </c>
      <c r="E210">
        <f ca="1">IFERROR(__xludf.DUMMYFUNCTION("""COMPUTED_VALUE"""),10.53)</f>
        <v>10.53</v>
      </c>
      <c r="F210">
        <f ca="1">IFERROR(__xludf.DUMMYFUNCTION("""COMPUTED_VALUE"""),19)</f>
        <v>19</v>
      </c>
      <c r="G210">
        <f ca="1">IFERROR(__xludf.DUMMYFUNCTION("""COMPUTED_VALUE"""),2)</f>
        <v>2</v>
      </c>
    </row>
    <row r="211" spans="1:7" ht="12.75">
      <c r="A211" t="str">
        <f ca="1">IFERROR(__xludf.DUMMYFUNCTION("""COMPUTED_VALUE"""),"T210")</f>
        <v>T210</v>
      </c>
      <c r="B211" t="str">
        <f ca="1">IFERROR(__xludf.DUMMYFUNCTION("""COMPUTED_VALUE"""),"T195")</f>
        <v>T195</v>
      </c>
      <c r="C211" t="str">
        <f ca="1">IFERROR(__xludf.DUMMYFUNCTION("""COMPUTED_VALUE"""),"Tyler McCumber")</f>
        <v>Tyler McCumber</v>
      </c>
      <c r="D211">
        <f ca="1">IFERROR(__xludf.DUMMYFUNCTION("""COMPUTED_VALUE"""),14)</f>
        <v>14</v>
      </c>
      <c r="E211">
        <f ca="1">IFERROR(__xludf.DUMMYFUNCTION("""COMPUTED_VALUE"""),10.34)</f>
        <v>10.34</v>
      </c>
      <c r="F211">
        <f ca="1">IFERROR(__xludf.DUMMYFUNCTION("""COMPUTED_VALUE"""),29)</f>
        <v>29</v>
      </c>
      <c r="G211">
        <f ca="1">IFERROR(__xludf.DUMMYFUNCTION("""COMPUTED_VALUE"""),3)</f>
        <v>3</v>
      </c>
    </row>
    <row r="212" spans="1:7" ht="12.75">
      <c r="A212" t="str">
        <f ca="1">IFERROR(__xludf.DUMMYFUNCTION("""COMPUTED_VALUE"""),"T210")</f>
        <v>T210</v>
      </c>
      <c r="B212" t="str">
        <f ca="1">IFERROR(__xludf.DUMMYFUNCTION("""COMPUTED_VALUE"""),"T195")</f>
        <v>T195</v>
      </c>
      <c r="C212" t="str">
        <f ca="1">IFERROR(__xludf.DUMMYFUNCTION("""COMPUTED_VALUE"""),"Jazz Janewattananond")</f>
        <v>Jazz Janewattananond</v>
      </c>
      <c r="D212">
        <f ca="1">IFERROR(__xludf.DUMMYFUNCTION("""COMPUTED_VALUE"""),6)</f>
        <v>6</v>
      </c>
      <c r="E212">
        <f ca="1">IFERROR(__xludf.DUMMYFUNCTION("""COMPUTED_VALUE"""),10.34)</f>
        <v>10.34</v>
      </c>
      <c r="F212">
        <f ca="1">IFERROR(__xludf.DUMMYFUNCTION("""COMPUTED_VALUE"""),29)</f>
        <v>29</v>
      </c>
      <c r="G212">
        <f ca="1">IFERROR(__xludf.DUMMYFUNCTION("""COMPUTED_VALUE"""),3)</f>
        <v>3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IFERROR(__xludf.DUMMYFUNCTION("""COMPUTED_VALUE"""),"T186")</f>
        <v>T186</v>
      </c>
      <c r="C213" t="str">
        <f ca="1">IFERROR(__xludf.DUMMYFUNCTION("""COMPUTED_VALUE"""),"Kramer Hickok")</f>
        <v>Kramer Hickok</v>
      </c>
      <c r="D213">
        <f ca="1">IFERROR(__xludf.DUMMYFUNCTION("""COMPUTED_VALUE"""),16)</f>
        <v>16</v>
      </c>
      <c r="E213">
        <f ca="1">IFERROR(__xludf.DUMMYFUNCTION("""COMPUTED_VALUE"""),10)</f>
        <v>10</v>
      </c>
      <c r="F213">
        <f ca="1">IFERROR(__xludf.DUMMYFUNCTION("""COMPUTED_VALUE"""),30)</f>
        <v>30</v>
      </c>
      <c r="G213">
        <f ca="1">IFERROR(__xludf.DUMMYFUNCTION("""COMPUTED_VALUE"""),3)</f>
        <v>3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IFERROR(__xludf.DUMMYFUNCTION("""COMPUTED_VALUE"""),"T106")</f>
        <v>T106</v>
      </c>
      <c r="C214" t="str">
        <f ca="1">IFERROR(__xludf.DUMMYFUNCTION("""COMPUTED_VALUE"""),"Isaiah Salinda")</f>
        <v>Isaiah Salinda</v>
      </c>
      <c r="D214">
        <f ca="1">IFERROR(__xludf.DUMMYFUNCTION("""COMPUTED_VALUE"""),8)</f>
        <v>8</v>
      </c>
      <c r="E214">
        <f ca="1">IFERROR(__xludf.DUMMYFUNCTION("""COMPUTED_VALUE"""),10)</f>
        <v>10</v>
      </c>
      <c r="F214">
        <f ca="1">IFERROR(__xludf.DUMMYFUNCTION("""COMPUTED_VALUE"""),30)</f>
        <v>30</v>
      </c>
      <c r="G214">
        <f ca="1">IFERROR(__xludf.DUMMYFUNCTION("""COMPUTED_VALUE"""),3)</f>
        <v>3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IFERROR(__xludf.DUMMYFUNCTION("""COMPUTED_VALUE"""),"T198")</f>
        <v>T198</v>
      </c>
      <c r="C215" t="str">
        <f ca="1">IFERROR(__xludf.DUMMYFUNCTION("""COMPUTED_VALUE"""),"Andy Zhang")</f>
        <v>Andy Zhang</v>
      </c>
      <c r="D215">
        <f ca="1">IFERROR(__xludf.DUMMYFUNCTION("""COMPUTED_VALUE"""),4)</f>
        <v>4</v>
      </c>
      <c r="E215">
        <f ca="1">IFERROR(__xludf.DUMMYFUNCTION("""COMPUTED_VALUE"""),10)</f>
        <v>10</v>
      </c>
      <c r="F215">
        <f ca="1">IFERROR(__xludf.DUMMYFUNCTION("""COMPUTED_VALUE"""),10)</f>
        <v>10</v>
      </c>
      <c r="G215">
        <f ca="1">IFERROR(__xludf.DUMMYFUNCTION("""COMPUTED_VALUE"""),1)</f>
        <v>1</v>
      </c>
    </row>
    <row r="216" spans="1:7" ht="12.75">
      <c r="A216" t="str">
        <f ca="1">IFERROR(__xludf.DUMMYFUNCTION("""COMPUTED_VALUE"""),"T212")</f>
        <v>T212</v>
      </c>
      <c r="B216" t="str">
        <f ca="1">IFERROR(__xludf.DUMMYFUNCTION("""COMPUTED_VALUE"""),"T198")</f>
        <v>T198</v>
      </c>
      <c r="C216" t="str">
        <f ca="1">IFERROR(__xludf.DUMMYFUNCTION("""COMPUTED_VALUE"""),"Peter Uihlein")</f>
        <v>Peter Uihlein</v>
      </c>
      <c r="D216">
        <f ca="1">IFERROR(__xludf.DUMMYFUNCTION("""COMPUTED_VALUE"""),8)</f>
        <v>8</v>
      </c>
      <c r="E216">
        <f ca="1">IFERROR(__xludf.DUMMYFUNCTION("""COMPUTED_VALUE"""),10)</f>
        <v>10</v>
      </c>
      <c r="F216">
        <f ca="1">IFERROR(__xludf.DUMMYFUNCTION("""COMPUTED_VALUE"""),10)</f>
        <v>10</v>
      </c>
      <c r="G216">
        <f ca="1">IFERROR(__xludf.DUMMYFUNCTION("""COMPUTED_VALUE"""),1)</f>
        <v>1</v>
      </c>
    </row>
    <row r="217" spans="1:7" ht="12.75">
      <c r="A217" t="str">
        <f ca="1">IFERROR(__xludf.DUMMYFUNCTION("""COMPUTED_VALUE"""),"T212")</f>
        <v>T212</v>
      </c>
      <c r="B217" t="str">
        <f ca="1">IFERROR(__xludf.DUMMYFUNCTION("""COMPUTED_VALUE"""),"T198")</f>
        <v>T198</v>
      </c>
      <c r="C217" t="str">
        <f ca="1">IFERROR(__xludf.DUMMYFUNCTION("""COMPUTED_VALUE"""),"Ian Poulter")</f>
        <v>Ian Poulter</v>
      </c>
      <c r="D217">
        <f ca="1">IFERROR(__xludf.DUMMYFUNCTION("""COMPUTED_VALUE"""),6)</f>
        <v>6</v>
      </c>
      <c r="E217">
        <f ca="1">IFERROR(__xludf.DUMMYFUNCTION("""COMPUTED_VALUE"""),10)</f>
        <v>10</v>
      </c>
      <c r="F217">
        <f ca="1">IFERROR(__xludf.DUMMYFUNCTION("""COMPUTED_VALUE"""),20)</f>
        <v>20</v>
      </c>
      <c r="G217">
        <f ca="1">IFERROR(__xludf.DUMMYFUNCTION("""COMPUTED_VALUE"""),2)</f>
        <v>2</v>
      </c>
    </row>
    <row r="218" spans="1:7" ht="12.75">
      <c r="A218">
        <f ca="1">IFERROR(__xludf.DUMMYFUNCTION("""COMPUTED_VALUE"""),217)</f>
        <v>217</v>
      </c>
      <c r="B218" t="str">
        <f ca="1">IFERROR(__xludf.DUMMYFUNCTION("""COMPUTED_VALUE"""),"T209")</f>
        <v>T209</v>
      </c>
      <c r="C218" t="str">
        <f ca="1">IFERROR(__xludf.DUMMYFUNCTION("""COMPUTED_VALUE"""),"Shane Lowry")</f>
        <v>Shane Lowry</v>
      </c>
      <c r="D218">
        <f ca="1">IFERROR(__xludf.DUMMYFUNCTION("""COMPUTED_VALUE"""),14)</f>
        <v>14</v>
      </c>
      <c r="E218">
        <f ca="1">IFERROR(__xludf.DUMMYFUNCTION("""COMPUTED_VALUE"""),9.8)</f>
        <v>9.8000000000000007</v>
      </c>
      <c r="F218">
        <f ca="1">IFERROR(__xludf.DUMMYFUNCTION("""COMPUTED_VALUE"""),51)</f>
        <v>51</v>
      </c>
      <c r="G218">
        <f ca="1">IFERROR(__xludf.DUMMYFUNCTION("""COMPUTED_VALUE"""),5)</f>
        <v>5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IFERROR(__xludf.DUMMYFUNCTION("""COMPUTED_VALUE"""),"T198")</f>
        <v>T198</v>
      </c>
      <c r="C219" t="str">
        <f ca="1">IFERROR(__xludf.DUMMYFUNCTION("""COMPUTED_VALUE"""),"Fabián Gómez")</f>
        <v>Fabián Gómez</v>
      </c>
      <c r="D219">
        <f ca="1">IFERROR(__xludf.DUMMYFUNCTION("""COMPUTED_VALUE"""),16)</f>
        <v>16</v>
      </c>
      <c r="E219">
        <f ca="1">IFERROR(__xludf.DUMMYFUNCTION("""COMPUTED_VALUE"""),9.68)</f>
        <v>9.68</v>
      </c>
      <c r="F219">
        <f ca="1">IFERROR(__xludf.DUMMYFUNCTION("""COMPUTED_VALUE"""),31)</f>
        <v>31</v>
      </c>
      <c r="G219">
        <f ca="1">IFERROR(__xludf.DUMMYFUNCTION("""COMPUTED_VALUE"""),3)</f>
        <v>3</v>
      </c>
    </row>
    <row r="220" spans="1:7" ht="12.75">
      <c r="A220" t="str">
        <f ca="1">IFERROR(__xludf.DUMMYFUNCTION("""COMPUTED_VALUE"""),"T219")</f>
        <v>T219</v>
      </c>
      <c r="B220">
        <f ca="1">IFERROR(__xludf.DUMMYFUNCTION("""COMPUTED_VALUE"""),197)</f>
        <v>197</v>
      </c>
      <c r="C220" t="str">
        <f ca="1">IFERROR(__xludf.DUMMYFUNCTION("""COMPUTED_VALUE"""),"Kyoung-Hoon Lee")</f>
        <v>Kyoung-Hoon Lee</v>
      </c>
      <c r="D220">
        <f ca="1">IFERROR(__xludf.DUMMYFUNCTION("""COMPUTED_VALUE"""),20)</f>
        <v>20</v>
      </c>
      <c r="E220">
        <f ca="1">IFERROR(__xludf.DUMMYFUNCTION("""COMPUTED_VALUE"""),9.62)</f>
        <v>9.6199999999999992</v>
      </c>
      <c r="F220">
        <f ca="1">IFERROR(__xludf.DUMMYFUNCTION("""COMPUTED_VALUE"""),52)</f>
        <v>52</v>
      </c>
      <c r="G220">
        <f ca="1">IFERROR(__xludf.DUMMYFUNCTION("""COMPUTED_VALUE"""),5)</f>
        <v>5</v>
      </c>
    </row>
    <row r="221" spans="1:7" ht="12.75">
      <c r="A221" t="str">
        <f ca="1">IFERROR(__xludf.DUMMYFUNCTION("""COMPUTED_VALUE"""),"T219")</f>
        <v>T219</v>
      </c>
      <c r="B221">
        <f ca="1">IFERROR(__xludf.DUMMYFUNCTION("""COMPUTED_VALUE"""),206)</f>
        <v>206</v>
      </c>
      <c r="C221" t="str">
        <f ca="1">IFERROR(__xludf.DUMMYFUNCTION("""COMPUTED_VALUE"""),"Chez Reavie")</f>
        <v>Chez Reavie</v>
      </c>
      <c r="D221">
        <f ca="1">IFERROR(__xludf.DUMMYFUNCTION("""COMPUTED_VALUE"""),14)</f>
        <v>14</v>
      </c>
      <c r="E221">
        <f ca="1">IFERROR(__xludf.DUMMYFUNCTION("""COMPUTED_VALUE"""),9.62)</f>
        <v>9.6199999999999992</v>
      </c>
      <c r="F221">
        <f ca="1">IFERROR(__xludf.DUMMYFUNCTION("""COMPUTED_VALUE"""),52)</f>
        <v>52</v>
      </c>
      <c r="G221">
        <f ca="1">IFERROR(__xludf.DUMMYFUNCTION("""COMPUTED_VALUE"""),5)</f>
        <v>5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IFERROR(__xludf.DUMMYFUNCTION("""COMPUTED_VALUE"""),225)</f>
        <v>225</v>
      </c>
      <c r="C222" t="str">
        <f ca="1">IFERROR(__xludf.DUMMYFUNCTION("""COMPUTED_VALUE"""),"Nate Lashley")</f>
        <v>Nate Lashley</v>
      </c>
      <c r="D222">
        <f ca="1">IFERROR(__xludf.DUMMYFUNCTION("""COMPUTED_VALUE"""),16)</f>
        <v>16</v>
      </c>
      <c r="E222">
        <f ca="1">IFERROR(__xludf.DUMMYFUNCTION("""COMPUTED_VALUE"""),9.52)</f>
        <v>9.52</v>
      </c>
      <c r="F222">
        <f ca="1">IFERROR(__xludf.DUMMYFUNCTION("""COMPUTED_VALUE"""),42)</f>
        <v>42</v>
      </c>
      <c r="G222">
        <f ca="1">IFERROR(__xludf.DUMMYFUNCTION("""COMPUTED_VALUE"""),4)</f>
        <v>4</v>
      </c>
    </row>
    <row r="223" spans="1:7" ht="12.75">
      <c r="A223">
        <f ca="1">IFERROR(__xludf.DUMMYFUNCTION("""COMPUTED_VALUE"""),222)</f>
        <v>222</v>
      </c>
      <c r="B223" t="str">
        <f ca="1">IFERROR(__xludf.DUMMYFUNCTION("""COMPUTED_VALUE"""),"T209")</f>
        <v>T209</v>
      </c>
      <c r="C223" t="str">
        <f ca="1">IFERROR(__xludf.DUMMYFUNCTION("""COMPUTED_VALUE"""),"Scott Brown")</f>
        <v>Scott Brown</v>
      </c>
      <c r="D223">
        <f ca="1">IFERROR(__xludf.DUMMYFUNCTION("""COMPUTED_VALUE"""),14)</f>
        <v>14</v>
      </c>
      <c r="E223">
        <f ca="1">IFERROR(__xludf.DUMMYFUNCTION("""COMPUTED_VALUE"""),9.38)</f>
        <v>9.3800000000000008</v>
      </c>
      <c r="F223">
        <f ca="1">IFERROR(__xludf.DUMMYFUNCTION("""COMPUTED_VALUE"""),32)</f>
        <v>32</v>
      </c>
      <c r="G223">
        <f ca="1">IFERROR(__xludf.DUMMYFUNCTION("""COMPUTED_VALUE"""),3)</f>
        <v>3</v>
      </c>
    </row>
    <row r="224" spans="1:7" ht="12.75">
      <c r="A224">
        <f ca="1">IFERROR(__xludf.DUMMYFUNCTION("""COMPUTED_VALUE"""),223)</f>
        <v>223</v>
      </c>
      <c r="B224" t="str">
        <f ca="1">IFERROR(__xludf.DUMMYFUNCTION("""COMPUTED_VALUE"""),"T186")</f>
        <v>T186</v>
      </c>
      <c r="C224" t="str">
        <f ca="1">IFERROR(__xludf.DUMMYFUNCTION("""COMPUTED_VALUE"""),"Charl Schwartzel")</f>
        <v>Charl Schwartzel</v>
      </c>
      <c r="D224">
        <f ca="1">IFERROR(__xludf.DUMMYFUNCTION("""COMPUTED_VALUE"""),12)</f>
        <v>12</v>
      </c>
      <c r="E224">
        <f ca="1">IFERROR(__xludf.DUMMYFUNCTION("""COMPUTED_VALUE"""),9.3)</f>
        <v>9.3000000000000007</v>
      </c>
      <c r="F224">
        <f ca="1">IFERROR(__xludf.DUMMYFUNCTION("""COMPUTED_VALUE"""),43)</f>
        <v>43</v>
      </c>
      <c r="G224">
        <f ca="1">IFERROR(__xludf.DUMMYFUNCTION("""COMPUTED_VALUE"""),4)</f>
        <v>4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IFERROR(__xludf.DUMMYFUNCTION("""COMPUTED_VALUE"""),208)</f>
        <v>208</v>
      </c>
      <c r="C225" t="str">
        <f ca="1">IFERROR(__xludf.DUMMYFUNCTION("""COMPUTED_VALUE"""),"Brendan Steele")</f>
        <v>Brendan Steele</v>
      </c>
      <c r="D225">
        <f ca="1">IFERROR(__xludf.DUMMYFUNCTION("""COMPUTED_VALUE"""),14)</f>
        <v>14</v>
      </c>
      <c r="E225">
        <f ca="1">IFERROR(__xludf.DUMMYFUNCTION("""COMPUTED_VALUE"""),9.26)</f>
        <v>9.26</v>
      </c>
      <c r="F225">
        <f ca="1">IFERROR(__xludf.DUMMYFUNCTION("""COMPUTED_VALUE"""),54)</f>
        <v>54</v>
      </c>
      <c r="G225">
        <f ca="1">IFERROR(__xludf.DUMMYFUNCTION("""COMPUTED_VALUE"""),5)</f>
        <v>5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IFERROR(__xludf.DUMMYFUNCTION("""COMPUTED_VALUE"""),230)</f>
        <v>230</v>
      </c>
      <c r="C226" t="str">
        <f ca="1">IFERROR(__xludf.DUMMYFUNCTION("""COMPUTED_VALUE"""),"Max Homa")</f>
        <v>Max Homa</v>
      </c>
      <c r="D226">
        <f ca="1">IFERROR(__xludf.DUMMYFUNCTION("""COMPUTED_VALUE"""),12)</f>
        <v>12</v>
      </c>
      <c r="E226">
        <f ca="1">IFERROR(__xludf.DUMMYFUNCTION("""COMPUTED_VALUE"""),9.09)</f>
        <v>9.09</v>
      </c>
      <c r="F226">
        <f ca="1">IFERROR(__xludf.DUMMYFUNCTION("""COMPUTED_VALUE"""),33)</f>
        <v>33</v>
      </c>
      <c r="G226">
        <f ca="1">IFERROR(__xludf.DUMMYFUNCTION("""COMPUTED_VALUE"""),3)</f>
        <v>3</v>
      </c>
    </row>
    <row r="227" spans="1:7" ht="12.75">
      <c r="A227">
        <f ca="1">IFERROR(__xludf.DUMMYFUNCTION("""COMPUTED_VALUE"""),226)</f>
        <v>226</v>
      </c>
      <c r="B227" t="str">
        <f ca="1">IFERROR(__xludf.DUMMYFUNCTION("""COMPUTED_VALUE"""),"T212")</f>
        <v>T212</v>
      </c>
      <c r="C227" t="str">
        <f ca="1">IFERROR(__xludf.DUMMYFUNCTION("""COMPUTED_VALUE"""),"Matt Kuchar")</f>
        <v>Matt Kuchar</v>
      </c>
      <c r="D227">
        <f ca="1">IFERROR(__xludf.DUMMYFUNCTION("""COMPUTED_VALUE"""),14)</f>
        <v>14</v>
      </c>
      <c r="E227">
        <f ca="1">IFERROR(__xludf.DUMMYFUNCTION("""COMPUTED_VALUE"""),8.89)</f>
        <v>8.89</v>
      </c>
      <c r="F227">
        <f ca="1">IFERROR(__xludf.DUMMYFUNCTION("""COMPUTED_VALUE"""),45)</f>
        <v>45</v>
      </c>
      <c r="G227">
        <f ca="1">IFERROR(__xludf.DUMMYFUNCTION("""COMPUTED_VALUE"""),4)</f>
        <v>4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IFERROR(__xludf.DUMMYFUNCTION("""COMPUTED_VALUE"""),214)</f>
        <v>214</v>
      </c>
      <c r="C228" t="str">
        <f ca="1">IFERROR(__xludf.DUMMYFUNCTION("""COMPUTED_VALUE"""),"Joseph Bramlett")</f>
        <v>Joseph Bramlett</v>
      </c>
      <c r="D228">
        <f ca="1">IFERROR(__xludf.DUMMYFUNCTION("""COMPUTED_VALUE"""),18)</f>
        <v>18</v>
      </c>
      <c r="E228">
        <f ca="1">IFERROR(__xludf.DUMMYFUNCTION("""COMPUTED_VALUE"""),8.82)</f>
        <v>8.82</v>
      </c>
      <c r="F228">
        <f ca="1">IFERROR(__xludf.DUMMYFUNCTION("""COMPUTED_VALUE"""),34)</f>
        <v>34</v>
      </c>
      <c r="G228">
        <f ca="1">IFERROR(__xludf.DUMMYFUNCTION("""COMPUTED_VALUE"""),3)</f>
        <v>3</v>
      </c>
    </row>
    <row r="229" spans="1:7" ht="12.75">
      <c r="A229" t="str">
        <f ca="1">IFERROR(__xludf.DUMMYFUNCTION("""COMPUTED_VALUE"""),"T228")</f>
        <v>T228</v>
      </c>
      <c r="B229" t="str">
        <f ca="1">IFERROR(__xludf.DUMMYFUNCTION("""COMPUTED_VALUE"""),"T215")</f>
        <v>T215</v>
      </c>
      <c r="C229" t="str">
        <f ca="1">IFERROR(__xludf.DUMMYFUNCTION("""COMPUTED_VALUE"""),"Gary Woodland")</f>
        <v>Gary Woodland</v>
      </c>
      <c r="D229">
        <f ca="1">IFERROR(__xludf.DUMMYFUNCTION("""COMPUTED_VALUE"""),6)</f>
        <v>6</v>
      </c>
      <c r="E229">
        <f ca="1">IFERROR(__xludf.DUMMYFUNCTION("""COMPUTED_VALUE"""),8.7)</f>
        <v>8.6999999999999993</v>
      </c>
      <c r="F229">
        <f ca="1">IFERROR(__xludf.DUMMYFUNCTION("""COMPUTED_VALUE"""),23)</f>
        <v>23</v>
      </c>
      <c r="G229">
        <f ca="1">IFERROR(__xludf.DUMMYFUNCTION("""COMPUTED_VALUE"""),2)</f>
        <v>2</v>
      </c>
    </row>
    <row r="230" spans="1:7" ht="12.75">
      <c r="A230" t="str">
        <f ca="1">IFERROR(__xludf.DUMMYFUNCTION("""COMPUTED_VALUE"""),"T228")</f>
        <v>T228</v>
      </c>
      <c r="B230" t="str">
        <f ca="1">IFERROR(__xludf.DUMMYFUNCTION("""COMPUTED_VALUE"""),"T215")</f>
        <v>T215</v>
      </c>
      <c r="C230" t="str">
        <f ca="1">IFERROR(__xludf.DUMMYFUNCTION("""COMPUTED_VALUE"""),"Anirban Lahiri")</f>
        <v>Anirban Lahiri</v>
      </c>
      <c r="D230">
        <f ca="1">IFERROR(__xludf.DUMMYFUNCTION("""COMPUTED_VALUE"""),16)</f>
        <v>16</v>
      </c>
      <c r="E230">
        <f ca="1">IFERROR(__xludf.DUMMYFUNCTION("""COMPUTED_VALUE"""),8.7)</f>
        <v>8.6999999999999993</v>
      </c>
      <c r="F230">
        <f ca="1">IFERROR(__xludf.DUMMYFUNCTION("""COMPUTED_VALUE"""),23)</f>
        <v>23</v>
      </c>
      <c r="G230">
        <f ca="1">IFERROR(__xludf.DUMMYFUNCTION("""COMPUTED_VALUE"""),2)</f>
        <v>2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IFERROR(__xludf.DUMMYFUNCTION("""COMPUTED_VALUE"""),204)</f>
        <v>204</v>
      </c>
      <c r="C231" t="str">
        <f ca="1">IFERROR(__xludf.DUMMYFUNCTION("""COMPUTED_VALUE"""),"Brice Garnett")</f>
        <v>Brice Garnett</v>
      </c>
      <c r="D231">
        <f ca="1">IFERROR(__xludf.DUMMYFUNCTION("""COMPUTED_VALUE"""),22)</f>
        <v>22</v>
      </c>
      <c r="E231">
        <f ca="1">IFERROR(__xludf.DUMMYFUNCTION("""COMPUTED_VALUE"""),8.62)</f>
        <v>8.6199999999999992</v>
      </c>
      <c r="F231">
        <f ca="1">IFERROR(__xludf.DUMMYFUNCTION("""COMPUTED_VALUE"""),58)</f>
        <v>58</v>
      </c>
      <c r="G231">
        <f ca="1">IFERROR(__xludf.DUMMYFUNCTION("""COMPUTED_VALUE"""),5)</f>
        <v>5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IFERROR(__xludf.DUMMYFUNCTION("""COMPUTED_VALUE"""),"T218")</f>
        <v>T218</v>
      </c>
      <c r="C232" t="str">
        <f ca="1">IFERROR(__xludf.DUMMYFUNCTION("""COMPUTED_VALUE"""),"Kiradech Aphibarnrat")</f>
        <v>Kiradech Aphibarnrat</v>
      </c>
      <c r="D232">
        <f ca="1">IFERROR(__xludf.DUMMYFUNCTION("""COMPUTED_VALUE"""),12)</f>
        <v>12</v>
      </c>
      <c r="E232">
        <f ca="1">IFERROR(__xludf.DUMMYFUNCTION("""COMPUTED_VALUE"""),8.33)</f>
        <v>8.33</v>
      </c>
      <c r="F232">
        <f ca="1">IFERROR(__xludf.DUMMYFUNCTION("""COMPUTED_VALUE"""),12)</f>
        <v>12</v>
      </c>
      <c r="G232">
        <f ca="1">IFERROR(__xludf.DUMMYFUNCTION("""COMPUTED_VALUE"""),1)</f>
        <v>1</v>
      </c>
    </row>
    <row r="233" spans="1:7" ht="12.75">
      <c r="A233" t="str">
        <f ca="1">IFERROR(__xludf.DUMMYFUNCTION("""COMPUTED_VALUE"""),"T231")</f>
        <v>T231</v>
      </c>
      <c r="B233" t="str">
        <f ca="1">IFERROR(__xludf.DUMMYFUNCTION("""COMPUTED_VALUE"""),"T218")</f>
        <v>T218</v>
      </c>
      <c r="C233" t="str">
        <f ca="1">IFERROR(__xludf.DUMMYFUNCTION("""COMPUTED_VALUE"""),"Rhein Gibson")</f>
        <v>Rhein Gibson</v>
      </c>
      <c r="D233">
        <f ca="1">IFERROR(__xludf.DUMMYFUNCTION("""COMPUTED_VALUE"""),10)</f>
        <v>10</v>
      </c>
      <c r="E233">
        <f ca="1">IFERROR(__xludf.DUMMYFUNCTION("""COMPUTED_VALUE"""),8.33)</f>
        <v>8.33</v>
      </c>
      <c r="F233">
        <f ca="1">IFERROR(__xludf.DUMMYFUNCTION("""COMPUTED_VALUE"""),12)</f>
        <v>12</v>
      </c>
      <c r="G233">
        <f ca="1">IFERROR(__xludf.DUMMYFUNCTION("""COMPUTED_VALUE"""),1)</f>
        <v>1</v>
      </c>
    </row>
    <row r="234" spans="1:7" ht="12.75">
      <c r="A234" t="str">
        <f ca="1">IFERROR(__xludf.DUMMYFUNCTION("""COMPUTED_VALUE"""),"T231")</f>
        <v>T231</v>
      </c>
      <c r="B234" t="str">
        <f ca="1">IFERROR(__xludf.DUMMYFUNCTION("""COMPUTED_VALUE"""),"T218")</f>
        <v>T218</v>
      </c>
      <c r="C234" t="str">
        <f ca="1">IFERROR(__xludf.DUMMYFUNCTION("""COMPUTED_VALUE"""),"Thomas Pieters")</f>
        <v>Thomas Pieters</v>
      </c>
      <c r="D234">
        <f ca="1">IFERROR(__xludf.DUMMYFUNCTION("""COMPUTED_VALUE"""),4)</f>
        <v>4</v>
      </c>
      <c r="E234">
        <f ca="1">IFERROR(__xludf.DUMMYFUNCTION("""COMPUTED_VALUE"""),8.33)</f>
        <v>8.33</v>
      </c>
      <c r="F234">
        <f ca="1">IFERROR(__xludf.DUMMYFUNCTION("""COMPUTED_VALUE"""),12)</f>
        <v>12</v>
      </c>
      <c r="G234">
        <f ca="1">IFERROR(__xludf.DUMMYFUNCTION("""COMPUTED_VALUE"""),1)</f>
        <v>1</v>
      </c>
    </row>
    <row r="235" spans="1:7" ht="12.75">
      <c r="A235" t="str">
        <f ca="1">IFERROR(__xludf.DUMMYFUNCTION("""COMPUTED_VALUE"""),"T231")</f>
        <v>T231</v>
      </c>
      <c r="B235" t="str">
        <f ca="1">IFERROR(__xludf.DUMMYFUNCTION("""COMPUTED_VALUE"""),"T209")</f>
        <v>T209</v>
      </c>
      <c r="C235" t="str">
        <f ca="1">IFERROR(__xludf.DUMMYFUNCTION("""COMPUTED_VALUE"""),"Sergio Garcia")</f>
        <v>Sergio Garcia</v>
      </c>
      <c r="D235">
        <f ca="1">IFERROR(__xludf.DUMMYFUNCTION("""COMPUTED_VALUE"""),18)</f>
        <v>18</v>
      </c>
      <c r="E235">
        <f ca="1">IFERROR(__xludf.DUMMYFUNCTION("""COMPUTED_VALUE"""),8.33)</f>
        <v>8.33</v>
      </c>
      <c r="F235">
        <f ca="1">IFERROR(__xludf.DUMMYFUNCTION("""COMPUTED_VALUE"""),60)</f>
        <v>60</v>
      </c>
      <c r="G235">
        <f ca="1">IFERROR(__xludf.DUMMYFUNCTION("""COMPUTED_VALUE"""),5)</f>
        <v>5</v>
      </c>
    </row>
    <row r="236" spans="1:7" ht="12.75">
      <c r="A236" t="str">
        <f ca="1">IFERROR(__xludf.DUMMYFUNCTION("""COMPUTED_VALUE"""),"T231")</f>
        <v>T231</v>
      </c>
      <c r="B236" t="str">
        <f ca="1">IFERROR(__xludf.DUMMYFUNCTION("""COMPUTED_VALUE"""),"T218")</f>
        <v>T218</v>
      </c>
      <c r="C236" t="str">
        <f ca="1">IFERROR(__xludf.DUMMYFUNCTION("""COMPUTED_VALUE"""),"Scott Harrington")</f>
        <v>Scott Harrington</v>
      </c>
      <c r="D236">
        <f ca="1">IFERROR(__xludf.DUMMYFUNCTION("""COMPUTED_VALUE"""),18)</f>
        <v>18</v>
      </c>
      <c r="E236">
        <f ca="1">IFERROR(__xludf.DUMMYFUNCTION("""COMPUTED_VALUE"""),8.33)</f>
        <v>8.33</v>
      </c>
      <c r="F236">
        <f ca="1">IFERROR(__xludf.DUMMYFUNCTION("""COMPUTED_VALUE"""),36)</f>
        <v>36</v>
      </c>
      <c r="G236">
        <f ca="1">IFERROR(__xludf.DUMMYFUNCTION("""COMPUTED_VALUE"""),3)</f>
        <v>3</v>
      </c>
    </row>
    <row r="237" spans="1:7" ht="12.75">
      <c r="A237" t="str">
        <f ca="1">IFERROR(__xludf.DUMMYFUNCTION("""COMPUTED_VALUE"""),"T231")</f>
        <v>T231</v>
      </c>
      <c r="B237" t="str">
        <f ca="1">IFERROR(__xludf.DUMMYFUNCTION("""COMPUTED_VALUE"""),"T218")</f>
        <v>T218</v>
      </c>
      <c r="C237" t="str">
        <f ca="1">IFERROR(__xludf.DUMMYFUNCTION("""COMPUTED_VALUE"""),"Davis Riley")</f>
        <v>Davis Riley</v>
      </c>
      <c r="D237">
        <f ca="1">IFERROR(__xludf.DUMMYFUNCTION("""COMPUTED_VALUE"""),4)</f>
        <v>4</v>
      </c>
      <c r="E237">
        <f ca="1">IFERROR(__xludf.DUMMYFUNCTION("""COMPUTED_VALUE"""),8.33)</f>
        <v>8.33</v>
      </c>
      <c r="F237">
        <f ca="1">IFERROR(__xludf.DUMMYFUNCTION("""COMPUTED_VALUE"""),12)</f>
        <v>12</v>
      </c>
      <c r="G237">
        <f ca="1">IFERROR(__xludf.DUMMYFUNCTION("""COMPUTED_VALUE"""),1)</f>
        <v>1</v>
      </c>
    </row>
    <row r="238" spans="1:7" ht="12.75">
      <c r="A238">
        <f ca="1">IFERROR(__xludf.DUMMYFUNCTION("""COMPUTED_VALUE"""),237)</f>
        <v>237</v>
      </c>
      <c r="B238" t="str">
        <f ca="1">IFERROR(__xludf.DUMMYFUNCTION("""COMPUTED_VALUE"""),"T226")</f>
        <v>T226</v>
      </c>
      <c r="C238" t="str">
        <f ca="1">IFERROR(__xludf.DUMMYFUNCTION("""COMPUTED_VALUE"""),"Matt Every")</f>
        <v>Matt Every</v>
      </c>
      <c r="D238">
        <f ca="1">IFERROR(__xludf.DUMMYFUNCTION("""COMPUTED_VALUE"""),8)</f>
        <v>8</v>
      </c>
      <c r="E238">
        <f ca="1">IFERROR(__xludf.DUMMYFUNCTION("""COMPUTED_VALUE"""),6.67)</f>
        <v>6.67</v>
      </c>
      <c r="F238">
        <f ca="1">IFERROR(__xludf.DUMMYFUNCTION("""COMPUTED_VALUE"""),15)</f>
        <v>15</v>
      </c>
      <c r="G238">
        <f ca="1">IFERROR(__xludf.DUMMYFUNCTION("""COMPUTED_VALUE"""),1)</f>
        <v>1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IFERROR(__xludf.DUMMYFUNCTION("""COMPUTED_VALUE"""),228)</f>
        <v>228</v>
      </c>
      <c r="C239" t="str">
        <f ca="1">IFERROR(__xludf.DUMMYFUNCTION("""COMPUTED_VALUE"""),"K.J. Choi")</f>
        <v>K.J. Choi</v>
      </c>
      <c r="D239">
        <f ca="1">IFERROR(__xludf.DUMMYFUNCTION("""COMPUTED_VALUE"""),6)</f>
        <v>6</v>
      </c>
      <c r="E239">
        <f ca="1">IFERROR(__xludf.DUMMYFUNCTION("""COMPUTED_VALUE"""),6.25)</f>
        <v>6.25</v>
      </c>
      <c r="F239">
        <f ca="1">IFERROR(__xludf.DUMMYFUNCTION("""COMPUTED_VALUE"""),16)</f>
        <v>16</v>
      </c>
      <c r="G239">
        <f ca="1">IFERROR(__xludf.DUMMYFUNCTION("""COMPUTED_VALUE"""),1)</f>
        <v>1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IFERROR(__xludf.DUMMYFUNCTION("""COMPUTED_VALUE"""),235)</f>
        <v>235</v>
      </c>
      <c r="C240" t="str">
        <f ca="1">IFERROR(__xludf.DUMMYFUNCTION("""COMPUTED_VALUE"""),"Bo Hoag")</f>
        <v>Bo Hoag</v>
      </c>
      <c r="D240">
        <f ca="1">IFERROR(__xludf.DUMMYFUNCTION("""COMPUTED_VALUE"""),14)</f>
        <v>14</v>
      </c>
      <c r="E240">
        <f ca="1">IFERROR(__xludf.DUMMYFUNCTION("""COMPUTED_VALUE"""),6.06)</f>
        <v>6.06</v>
      </c>
      <c r="F240">
        <f ca="1">IFERROR(__xludf.DUMMYFUNCTION("""COMPUTED_VALUE"""),33)</f>
        <v>33</v>
      </c>
      <c r="G240">
        <f ca="1">IFERROR(__xludf.DUMMYFUNCTION("""COMPUTED_VALUE"""),2)</f>
        <v>2</v>
      </c>
    </row>
    <row r="241" spans="1:7" ht="12.75">
      <c r="A241">
        <f ca="1">IFERROR(__xludf.DUMMYFUNCTION("""COMPUTED_VALUE"""),240)</f>
        <v>240</v>
      </c>
      <c r="B241" t="str">
        <f ca="1">IFERROR(__xludf.DUMMYFUNCTION("""COMPUTED_VALUE"""),"T223")</f>
        <v>T223</v>
      </c>
      <c r="C241" t="str">
        <f ca="1">IFERROR(__xludf.DUMMYFUNCTION("""COMPUTED_VALUE"""),"Camilo Villegas")</f>
        <v>Camilo Villegas</v>
      </c>
      <c r="D241">
        <f ca="1">IFERROR(__xludf.DUMMYFUNCTION("""COMPUTED_VALUE"""),14)</f>
        <v>14</v>
      </c>
      <c r="E241">
        <f ca="1">IFERROR(__xludf.DUMMYFUNCTION("""COMPUTED_VALUE"""),5.71)</f>
        <v>5.71</v>
      </c>
      <c r="F241">
        <f ca="1">IFERROR(__xludf.DUMMYFUNCTION("""COMPUTED_VALUE"""),35)</f>
        <v>35</v>
      </c>
      <c r="G241">
        <f ca="1">IFERROR(__xludf.DUMMYFUNCTION("""COMPUTED_VALUE"""),2)</f>
        <v>2</v>
      </c>
    </row>
    <row r="242" spans="1:7" ht="12.75">
      <c r="A242" t="str">
        <f ca="1">IFERROR(__xludf.DUMMYFUNCTION("""COMPUTED_VALUE"""),"T241")</f>
        <v>T241</v>
      </c>
      <c r="B242" t="str">
        <f ca="1">IFERROR(__xludf.DUMMYFUNCTION("""COMPUTED_VALUE"""),"T231")</f>
        <v>T231</v>
      </c>
      <c r="C242" t="str">
        <f ca="1">IFERROR(__xludf.DUMMYFUNCTION("""COMPUTED_VALUE"""),"Kyle Stanley")</f>
        <v>Kyle Stanley</v>
      </c>
      <c r="D242">
        <f ca="1">IFERROR(__xludf.DUMMYFUNCTION("""COMPUTED_VALUE"""),16)</f>
        <v>16</v>
      </c>
      <c r="E242">
        <f ca="1">IFERROR(__xludf.DUMMYFUNCTION("""COMPUTED_VALUE"""),5.26)</f>
        <v>5.26</v>
      </c>
      <c r="F242">
        <f ca="1">IFERROR(__xludf.DUMMYFUNCTION("""COMPUTED_VALUE"""),19)</f>
        <v>19</v>
      </c>
      <c r="G242">
        <f ca="1">IFERROR(__xludf.DUMMYFUNCTION("""COMPUTED_VALUE"""),1)</f>
        <v>1</v>
      </c>
    </row>
    <row r="243" spans="1:7" ht="12.75">
      <c r="A243" t="str">
        <f ca="1">IFERROR(__xludf.DUMMYFUNCTION("""COMPUTED_VALUE"""),"T241")</f>
        <v>T241</v>
      </c>
      <c r="B243" t="str">
        <f ca="1">IFERROR(__xludf.DUMMYFUNCTION("""COMPUTED_VALUE"""),"T231")</f>
        <v>T231</v>
      </c>
      <c r="C243" t="str">
        <f ca="1">IFERROR(__xludf.DUMMYFUNCTION("""COMPUTED_VALUE"""),"Matthias Schwab")</f>
        <v>Matthias Schwab</v>
      </c>
      <c r="D243">
        <f ca="1">IFERROR(__xludf.DUMMYFUNCTION("""COMPUTED_VALUE"""),8)</f>
        <v>8</v>
      </c>
      <c r="E243">
        <f ca="1">IFERROR(__xludf.DUMMYFUNCTION("""COMPUTED_VALUE"""),5.26)</f>
        <v>5.26</v>
      </c>
      <c r="F243">
        <f ca="1">IFERROR(__xludf.DUMMYFUNCTION("""COMPUTED_VALUE"""),19)</f>
        <v>19</v>
      </c>
      <c r="G243">
        <f ca="1">IFERROR(__xludf.DUMMYFUNCTION("""COMPUTED_VALUE"""),1)</f>
        <v>1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IFERROR(__xludf.DUMMYFUNCTION("""COMPUTED_VALUE"""),233)</f>
        <v>233</v>
      </c>
      <c r="C244" t="str">
        <f ca="1">IFERROR(__xludf.DUMMYFUNCTION("""COMPUTED_VALUE"""),"Chan Kim")</f>
        <v>Chan Kim</v>
      </c>
      <c r="D244">
        <f ca="1">IFERROR(__xludf.DUMMYFUNCTION("""COMPUTED_VALUE"""),6)</f>
        <v>6</v>
      </c>
      <c r="E244">
        <f ca="1">IFERROR(__xludf.DUMMYFUNCTION("""COMPUTED_VALUE"""),5)</f>
        <v>5</v>
      </c>
      <c r="F244">
        <f ca="1">IFERROR(__xludf.DUMMYFUNCTION("""COMPUTED_VALUE"""),20)</f>
        <v>20</v>
      </c>
      <c r="G244">
        <f ca="1">IFERROR(__xludf.DUMMYFUNCTION("""COMPUTED_VALUE"""),1)</f>
        <v>1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IFERROR(__xludf.DUMMYFUNCTION("""COMPUTED_VALUE"""),234)</f>
        <v>234</v>
      </c>
      <c r="C245" t="str">
        <f ca="1">IFERROR(__xludf.DUMMYFUNCTION("""COMPUTED_VALUE"""),"Mark Anderson")</f>
        <v>Mark Anderson</v>
      </c>
      <c r="D245">
        <f ca="1">IFERROR(__xludf.DUMMYFUNCTION("""COMPUTED_VALUE"""),14)</f>
        <v>14</v>
      </c>
      <c r="E245">
        <f ca="1">IFERROR(__xludf.DUMMYFUNCTION("""COMPUTED_VALUE"""),4.76)</f>
        <v>4.76</v>
      </c>
      <c r="F245">
        <f ca="1">IFERROR(__xludf.DUMMYFUNCTION("""COMPUTED_VALUE"""),21)</f>
        <v>21</v>
      </c>
      <c r="G245">
        <f ca="1">IFERROR(__xludf.DUMMYFUNCTION("""COMPUTED_VALUE"""),1)</f>
        <v>1</v>
      </c>
    </row>
    <row r="246" spans="1:7" ht="12.75">
      <c r="A246" t="str">
        <f ca="1">IFERROR(__xludf.DUMMYFUNCTION("""COMPUTED_VALUE"""),"T245")</f>
        <v>T245</v>
      </c>
      <c r="B246" t="str">
        <f ca="1">IFERROR(__xludf.DUMMYFUNCTION("""COMPUTED_VALUE"""),"T237")</f>
        <v>T237</v>
      </c>
      <c r="C246" t="str">
        <f ca="1">IFERROR(__xludf.DUMMYFUNCTION("""COMPUTED_VALUE"""),"Roger Sloan")</f>
        <v>Roger Sloan</v>
      </c>
      <c r="D246">
        <f ca="1">IFERROR(__xludf.DUMMYFUNCTION("""COMPUTED_VALUE"""),12)</f>
        <v>12</v>
      </c>
      <c r="E246">
        <f ca="1">IFERROR(__xludf.DUMMYFUNCTION("""COMPUTED_VALUE"""),3.7)</f>
        <v>3.7</v>
      </c>
      <c r="F246">
        <f ca="1">IFERROR(__xludf.DUMMYFUNCTION("""COMPUTED_VALUE"""),27)</f>
        <v>27</v>
      </c>
      <c r="G246">
        <f ca="1">IFERROR(__xludf.DUMMYFUNCTION("""COMPUTED_VALUE"""),1)</f>
        <v>1</v>
      </c>
    </row>
    <row r="247" spans="1:7" ht="12.75">
      <c r="A247" t="str">
        <f ca="1">IFERROR(__xludf.DUMMYFUNCTION("""COMPUTED_VALUE"""),"T245")</f>
        <v>T245</v>
      </c>
      <c r="B247" t="str">
        <f ca="1">IFERROR(__xludf.DUMMYFUNCTION("""COMPUTED_VALUE"""),"T237")</f>
        <v>T237</v>
      </c>
      <c r="C247" t="str">
        <f ca="1">IFERROR(__xludf.DUMMYFUNCTION("""COMPUTED_VALUE"""),"Vincent Whaley")</f>
        <v>Vincent Whaley</v>
      </c>
      <c r="D247">
        <f ca="1">IFERROR(__xludf.DUMMYFUNCTION("""COMPUTED_VALUE"""),14)</f>
        <v>14</v>
      </c>
      <c r="E247">
        <f ca="1">IFERROR(__xludf.DUMMYFUNCTION("""COMPUTED_VALUE"""),3.7)</f>
        <v>3.7</v>
      </c>
      <c r="F247">
        <f ca="1">IFERROR(__xludf.DUMMYFUNCTION("""COMPUTED_VALUE"""),27)</f>
        <v>27</v>
      </c>
      <c r="G247">
        <f ca="1">IFERROR(__xludf.DUMMYFUNCTION("""COMPUTED_VALUE"""),1)</f>
        <v>1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IFERROR(__xludf.DUMMYFUNCTION("""COMPUTED_VALUE"""),239)</f>
        <v>239</v>
      </c>
      <c r="C248" t="str">
        <f ca="1">IFERROR(__xludf.DUMMYFUNCTION("""COMPUTED_VALUE"""),"Marc Leishman")</f>
        <v>Marc Leishman</v>
      </c>
      <c r="D248">
        <f ca="1">IFERROR(__xludf.DUMMYFUNCTION("""COMPUTED_VALUE"""),10)</f>
        <v>10</v>
      </c>
      <c r="E248">
        <f ca="1">IFERROR(__xludf.DUMMYFUNCTION("""COMPUTED_VALUE"""),2.94)</f>
        <v>2.94</v>
      </c>
      <c r="F248">
        <f ca="1">IFERROR(__xludf.DUMMYFUNCTION("""COMPUTED_VALUE"""),34)</f>
        <v>34</v>
      </c>
      <c r="G248">
        <f ca="1">IFERROR(__xludf.DUMMYFUNCTION("""COMPUTED_VALUE"""),1)</f>
        <v>1</v>
      </c>
    </row>
    <row r="249" spans="1:7" ht="12.75">
      <c r="A249" t="str">
        <f ca="1">IFERROR(__xludf.DUMMYFUNCTION("""COMPUTED_VALUE"""),"T248")</f>
        <v>T248</v>
      </c>
      <c r="B249" t="str">
        <f ca="1">IFERROR(__xludf.DUMMYFUNCTION("""COMPUTED_VALUE"""),"T240")</f>
        <v>T240</v>
      </c>
      <c r="C249" t="str">
        <f ca="1">IFERROR(__xludf.DUMMYFUNCTION("""COMPUTED_VALUE"""),"Chris Stroud")</f>
        <v>Chris Stroud</v>
      </c>
      <c r="D249">
        <f ca="1">IFERROR(__xludf.DUMMYFUNCTION("""COMPUTED_VALUE"""),6)</f>
        <v>6</v>
      </c>
      <c r="E249">
        <f ca="1">IFERROR(__xludf.DUMMYFUNCTION("""COMPUTED_VALUE"""),0)</f>
        <v>0</v>
      </c>
      <c r="F249">
        <f ca="1">IFERROR(__xludf.DUMMYFUNCTION("""COMPUTED_VALUE"""),15)</f>
        <v>15</v>
      </c>
      <c r="G249" t="str">
        <f ca="1">IFERROR(__xludf.DUMMYFUNCTION("""COMPUTED_VALUE"""),"")</f>
        <v/>
      </c>
    </row>
    <row r="250" spans="1:7" ht="12.75">
      <c r="A250" t="str">
        <f ca="1">IFERROR(__xludf.DUMMYFUNCTION("""COMPUTED_VALUE"""),"T248")</f>
        <v>T248</v>
      </c>
      <c r="B250" t="str">
        <f ca="1">IFERROR(__xludf.DUMMYFUNCTION("""COMPUTED_VALUE"""),"T240")</f>
        <v>T240</v>
      </c>
      <c r="C250" t="str">
        <f ca="1">IFERROR(__xludf.DUMMYFUNCTION("""COMPUTED_VALUE"""),"Graham DeLaet")</f>
        <v>Graham DeLaet</v>
      </c>
      <c r="D250">
        <f ca="1">IFERROR(__xludf.DUMMYFUNCTION("""COMPUTED_VALUE"""),9)</f>
        <v>9</v>
      </c>
      <c r="E250">
        <f ca="1">IFERROR(__xludf.DUMMYFUNCTION("""COMPUTED_VALUE"""),0)</f>
        <v>0</v>
      </c>
      <c r="F250">
        <f ca="1">IFERROR(__xludf.DUMMYFUNCTION("""COMPUTED_VALUE"""),26)</f>
        <v>26</v>
      </c>
      <c r="G250" t="str">
        <f ca="1">IFERROR(__xludf.DUMMYFUNCTION("""COMPUTED_VALUE"""),"")</f>
        <v/>
      </c>
    </row>
    <row r="251" spans="1:7" ht="12.75">
      <c r="A251" t="str">
        <f ca="1">IFERROR(__xludf.DUMMYFUNCTION("""COMPUTED_VALUE"""),"T248")</f>
        <v>T248</v>
      </c>
      <c r="B251" t="str">
        <f ca="1">IFERROR(__xludf.DUMMYFUNCTION("""COMPUTED_VALUE"""),"T240")</f>
        <v>T240</v>
      </c>
      <c r="C251" t="str">
        <f ca="1">IFERROR(__xludf.DUMMYFUNCTION("""COMPUTED_VALUE"""),"Bud Cauley")</f>
        <v>Bud Cauley</v>
      </c>
      <c r="D251">
        <f ca="1">IFERROR(__xludf.DUMMYFUNCTION("""COMPUTED_VALUE"""),4)</f>
        <v>4</v>
      </c>
      <c r="E251">
        <f ca="1">IFERROR(__xludf.DUMMYFUNCTION("""COMPUTED_VALUE"""),0)</f>
        <v>0</v>
      </c>
      <c r="F251">
        <f ca="1">IFERROR(__xludf.DUMMYFUNCTION("""COMPUTED_VALUE"""),14)</f>
        <v>14</v>
      </c>
      <c r="G251" t="str">
        <f ca="1">IFERROR(__xludf.DUMMYFUNCTION("""COMPUTED_VALUE"""),"")</f>
        <v/>
      </c>
    </row>
    <row r="252" spans="1:7" ht="12.75">
      <c r="A252" t="str">
        <f ca="1">IFERROR(__xludf.DUMMYFUNCTION("""COMPUTED_VALUE"""),"T248")</f>
        <v>T248</v>
      </c>
      <c r="B252" t="str">
        <f ca="1">IFERROR(__xludf.DUMMYFUNCTION("""COMPUTED_VALUE"""),"T240")</f>
        <v>T240</v>
      </c>
      <c r="C252" t="str">
        <f ca="1">IFERROR(__xludf.DUMMYFUNCTION("""COMPUTED_VALUE"""),"John Pak")</f>
        <v>John Pak</v>
      </c>
      <c r="D252">
        <f ca="1">IFERROR(__xludf.DUMMYFUNCTION("""COMPUTED_VALUE"""),4)</f>
        <v>4</v>
      </c>
      <c r="E252">
        <f ca="1">IFERROR(__xludf.DUMMYFUNCTION("""COMPUTED_VALUE"""),0)</f>
        <v>0</v>
      </c>
      <c r="F252">
        <f ca="1">IFERROR(__xludf.DUMMYFUNCTION("""COMPUTED_VALUE"""),14)</f>
        <v>14</v>
      </c>
      <c r="G252" t="str">
        <f ca="1">IFERROR(__xludf.DUMMYFUNCTION("""COMPUTED_VALUE"""),"")</f>
        <v/>
      </c>
    </row>
    <row r="253" spans="1:7" ht="12.75">
      <c r="A253" t="str">
        <f ca="1">IFERROR(__xludf.DUMMYFUNCTION("""COMPUTED_VALUE"""),"T248")</f>
        <v>T248</v>
      </c>
      <c r="B253" t="str">
        <f ca="1">IFERROR(__xludf.DUMMYFUNCTION("""COMPUTED_VALUE"""),"T240")</f>
        <v>T240</v>
      </c>
      <c r="C253" t="str">
        <f ca="1">IFERROR(__xludf.DUMMYFUNCTION("""COMPUTED_VALUE"""),"Keith Mitchell")</f>
        <v>Keith Mitchell</v>
      </c>
      <c r="D253">
        <f ca="1">IFERROR(__xludf.DUMMYFUNCTION("""COMPUTED_VALUE"""),14)</f>
        <v>14</v>
      </c>
      <c r="E253">
        <f ca="1">IFERROR(__xludf.DUMMYFUNCTION("""COMPUTED_VALUE"""),0)</f>
        <v>0</v>
      </c>
      <c r="F253">
        <f ca="1">IFERROR(__xludf.DUMMYFUNCTION("""COMPUTED_VALUE"""),21)</f>
        <v>21</v>
      </c>
      <c r="G253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H290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IFERROR(__xludf.DUMMYFUNCTION("importhtml(""http://www.pgatour.com/stats/stat.119.html"",""table"",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PUTTS")</f>
        <v>TOTAL PUTTS</v>
      </c>
      <c r="G1" t="str">
        <f ca="1">IFERROR(__xludf.DUMMYFUNCTION("""COMPUTED_VALUE"""),"TOTAL ROUNDS")</f>
        <v>TOTAL ROUNDS</v>
      </c>
      <c r="H1" t="str">
        <f ca="1">IFERROR(__xludf.DUMMYFUNCTION("""COMPUTED_VALUE"""),"LOW TOTAL PUTTS")</f>
        <v>LOW TOTAL PUTTS</v>
      </c>
    </row>
    <row r="2" spans="1:8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IFERROR(__xludf.DUMMYFUNCTION("""COMPUTED_VALUE"""),"Fred Funk")</f>
        <v>Fred Funk</v>
      </c>
      <c r="D2">
        <f ca="1">IFERROR(__xludf.DUMMYFUNCTION("""COMPUTED_VALUE"""),4)</f>
        <v>4</v>
      </c>
      <c r="E2">
        <f ca="1">IFERROR(__xludf.DUMMYFUNCTION("""COMPUTED_VALUE"""),26.25)</f>
        <v>26.25</v>
      </c>
      <c r="F2">
        <f ca="1">IFERROR(__xludf.DUMMYFUNCTION("""COMPUTED_VALUE"""),105)</f>
        <v>105</v>
      </c>
      <c r="G2">
        <f ca="1">IFERROR(__xludf.DUMMYFUNCTION("""COMPUTED_VALUE"""),4)</f>
        <v>4</v>
      </c>
      <c r="H2">
        <f ca="1">IFERROR(__xludf.DUMMYFUNCTION("""COMPUTED_VALUE"""),24)</f>
        <v>24</v>
      </c>
    </row>
    <row r="3" spans="1:8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IFERROR(__xludf.DUMMYFUNCTION("""COMPUTED_VALUE"""),"Jaekyeong Lee")</f>
        <v>Jaekyeong Lee</v>
      </c>
      <c r="D3">
        <f ca="1">IFERROR(__xludf.DUMMYFUNCTION("""COMPUTED_VALUE"""),4)</f>
        <v>4</v>
      </c>
      <c r="E3">
        <f ca="1">IFERROR(__xludf.DUMMYFUNCTION("""COMPUTED_VALUE"""),26.25)</f>
        <v>26.25</v>
      </c>
      <c r="F3">
        <f ca="1">IFERROR(__xludf.DUMMYFUNCTION("""COMPUTED_VALUE"""),105)</f>
        <v>105</v>
      </c>
      <c r="G3">
        <f ca="1">IFERROR(__xludf.DUMMYFUNCTION("""COMPUTED_VALUE"""),4)</f>
        <v>4</v>
      </c>
      <c r="H3">
        <f ca="1">IFERROR(__xludf.DUMMYFUNCTION("""COMPUTED_VALUE"""),24)</f>
        <v>24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IFERROR(__xludf.DUMMYFUNCTION("""COMPUTED_VALUE"""),"Brad Kennedy")</f>
        <v>Brad Kennedy</v>
      </c>
      <c r="D4">
        <f ca="1">IFERROR(__xludf.DUMMYFUNCTION("""COMPUTED_VALUE"""),4)</f>
        <v>4</v>
      </c>
      <c r="E4">
        <f ca="1">IFERROR(__xludf.DUMMYFUNCTION("""COMPUTED_VALUE"""),26.75)</f>
        <v>26.75</v>
      </c>
      <c r="F4">
        <f ca="1">IFERROR(__xludf.DUMMYFUNCTION("""COMPUTED_VALUE"""),107)</f>
        <v>107</v>
      </c>
      <c r="G4">
        <f ca="1">IFERROR(__xludf.DUMMYFUNCTION("""COMPUTED_VALUE"""),4)</f>
        <v>4</v>
      </c>
      <c r="H4">
        <f ca="1">IFERROR(__xludf.DUMMYFUNCTION("""COMPUTED_VALUE"""),24)</f>
        <v>24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IFERROR(__xludf.DUMMYFUNCTION("""COMPUTED_VALUE"""),"Patrick Reed")</f>
        <v>Patrick Reed</v>
      </c>
      <c r="D5">
        <f ca="1">IFERROR(__xludf.DUMMYFUNCTION("""COMPUTED_VALUE"""),8)</f>
        <v>8</v>
      </c>
      <c r="E5">
        <f ca="1">IFERROR(__xludf.DUMMYFUNCTION("""COMPUTED_VALUE"""),26.88)</f>
        <v>26.88</v>
      </c>
      <c r="F5">
        <f ca="1">IFERROR(__xludf.DUMMYFUNCTION("""COMPUTED_VALUE"""),215)</f>
        <v>215</v>
      </c>
      <c r="G5">
        <f ca="1">IFERROR(__xludf.DUMMYFUNCTION("""COMPUTED_VALUE"""),8)</f>
        <v>8</v>
      </c>
      <c r="H5">
        <f ca="1">IFERROR(__xludf.DUMMYFUNCTION("""COMPUTED_VALUE"""),25)</f>
        <v>25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IFERROR(__xludf.DUMMYFUNCTION("""COMPUTED_VALUE"""),"Arjun Atwal")</f>
        <v>Arjun Atwal</v>
      </c>
      <c r="D6">
        <f ca="1">IFERROR(__xludf.DUMMYFUNCTION("""COMPUTED_VALUE"""),6)</f>
        <v>6</v>
      </c>
      <c r="E6">
        <f ca="1">IFERROR(__xludf.DUMMYFUNCTION("""COMPUTED_VALUE"""),27)</f>
        <v>27</v>
      </c>
      <c r="F6">
        <f ca="1">IFERROR(__xludf.DUMMYFUNCTION("""COMPUTED_VALUE"""),162)</f>
        <v>162</v>
      </c>
      <c r="G6">
        <f ca="1">IFERROR(__xludf.DUMMYFUNCTION("""COMPUTED_VALUE"""),6)</f>
        <v>6</v>
      </c>
      <c r="H6">
        <f ca="1">IFERROR(__xludf.DUMMYFUNCTION("""COMPUTED_VALUE"""),23)</f>
        <v>23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IFERROR(__xludf.DUMMYFUNCTION("""COMPUTED_VALUE"""),5)</f>
        <v>5</v>
      </c>
      <c r="C7" t="str">
        <f ca="1">IFERROR(__xludf.DUMMYFUNCTION("""COMPUTED_VALUE"""),"Tom Hoge")</f>
        <v>Tom Hoge</v>
      </c>
      <c r="D7">
        <f ca="1">IFERROR(__xludf.DUMMYFUNCTION("""COMPUTED_VALUE"""),22)</f>
        <v>22</v>
      </c>
      <c r="E7">
        <f ca="1">IFERROR(__xludf.DUMMYFUNCTION("""COMPUTED_VALUE"""),27.18)</f>
        <v>27.18</v>
      </c>
      <c r="F7">
        <f ca="1">IFERROR(__xludf.DUMMYFUNCTION("""COMPUTED_VALUE"""),598)</f>
        <v>598</v>
      </c>
      <c r="G7">
        <f ca="1">IFERROR(__xludf.DUMMYFUNCTION("""COMPUTED_VALUE"""),22)</f>
        <v>22</v>
      </c>
      <c r="H7">
        <f ca="1">IFERROR(__xludf.DUMMYFUNCTION("""COMPUTED_VALUE"""),23)</f>
        <v>23</v>
      </c>
    </row>
    <row r="8" spans="1:8" ht="15.75" customHeight="1">
      <c r="A8">
        <f ca="1">IFERROR(__xludf.DUMMYFUNCTION("""COMPUTED_VALUE"""),7)</f>
        <v>7</v>
      </c>
      <c r="B8" t="str">
        <f ca="1">IFERROR(__xludf.DUMMYFUNCTION("""COMPUTED_VALUE"""),"T7")</f>
        <v>T7</v>
      </c>
      <c r="C8" t="str">
        <f ca="1">IFERROR(__xludf.DUMMYFUNCTION("""COMPUTED_VALUE"""),"Luke Schniederjans")</f>
        <v>Luke Schniederjans</v>
      </c>
      <c r="D8">
        <f ca="1">IFERROR(__xludf.DUMMYFUNCTION("""COMPUTED_VALUE"""),4)</f>
        <v>4</v>
      </c>
      <c r="E8">
        <f ca="1">IFERROR(__xludf.DUMMYFUNCTION("""COMPUTED_VALUE"""),27.25)</f>
        <v>27.25</v>
      </c>
      <c r="F8">
        <f ca="1">IFERROR(__xludf.DUMMYFUNCTION("""COMPUTED_VALUE"""),109)</f>
        <v>109</v>
      </c>
      <c r="G8">
        <f ca="1">IFERROR(__xludf.DUMMYFUNCTION("""COMPUTED_VALUE"""),4)</f>
        <v>4</v>
      </c>
      <c r="H8">
        <f ca="1">IFERROR(__xludf.DUMMYFUNCTION("""COMPUTED_VALUE"""),24)</f>
        <v>24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IFERROR(__xludf.DUMMYFUNCTION("""COMPUTED_VALUE"""),9)</f>
        <v>9</v>
      </c>
      <c r="C9" t="str">
        <f ca="1">IFERROR(__xludf.DUMMYFUNCTION("""COMPUTED_VALUE"""),"Anirban Lahiri")</f>
        <v>Anirban Lahiri</v>
      </c>
      <c r="D9">
        <f ca="1">IFERROR(__xludf.DUMMYFUNCTION("""COMPUTED_VALUE"""),16)</f>
        <v>16</v>
      </c>
      <c r="E9">
        <f ca="1">IFERROR(__xludf.DUMMYFUNCTION("""COMPUTED_VALUE"""),27.38)</f>
        <v>27.38</v>
      </c>
      <c r="F9">
        <f ca="1">IFERROR(__xludf.DUMMYFUNCTION("""COMPUTED_VALUE"""),438)</f>
        <v>438</v>
      </c>
      <c r="G9">
        <f ca="1">IFERROR(__xludf.DUMMYFUNCTION("""COMPUTED_VALUE"""),16)</f>
        <v>16</v>
      </c>
      <c r="H9">
        <f ca="1">IFERROR(__xludf.DUMMYFUNCTION("""COMPUTED_VALUE"""),25)</f>
        <v>25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IFERROR(__xludf.DUMMYFUNCTION("""COMPUTED_VALUE"""),"Ben Taylor")</f>
        <v>Ben Taylor</v>
      </c>
      <c r="D10">
        <f ca="1">IFERROR(__xludf.DUMMYFUNCTION("""COMPUTED_VALUE"""),10)</f>
        <v>10</v>
      </c>
      <c r="E10">
        <f ca="1">IFERROR(__xludf.DUMMYFUNCTION("""COMPUTED_VALUE"""),27.4)</f>
        <v>27.4</v>
      </c>
      <c r="F10">
        <f ca="1">IFERROR(__xludf.DUMMYFUNCTION("""COMPUTED_VALUE"""),274)</f>
        <v>274</v>
      </c>
      <c r="G10">
        <f ca="1">IFERROR(__xludf.DUMMYFUNCTION("""COMPUTED_VALUE"""),10)</f>
        <v>10</v>
      </c>
      <c r="H10">
        <f ca="1">IFERROR(__xludf.DUMMYFUNCTION("""COMPUTED_VALUE"""),24)</f>
        <v>24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IFERROR(__xludf.DUMMYFUNCTION("""COMPUTED_VALUE"""),11)</f>
        <v>11</v>
      </c>
      <c r="C11" t="str">
        <f ca="1">IFERROR(__xludf.DUMMYFUNCTION("""COMPUTED_VALUE"""),"Kiradech Aphibarnrat")</f>
        <v>Kiradech Aphibarnrat</v>
      </c>
      <c r="D11">
        <f ca="1">IFERROR(__xludf.DUMMYFUNCTION("""COMPUTED_VALUE"""),12)</f>
        <v>12</v>
      </c>
      <c r="E11">
        <f ca="1">IFERROR(__xludf.DUMMYFUNCTION("""COMPUTED_VALUE"""),27.42)</f>
        <v>27.42</v>
      </c>
      <c r="F11">
        <f ca="1">IFERROR(__xludf.DUMMYFUNCTION("""COMPUTED_VALUE"""),329)</f>
        <v>329</v>
      </c>
      <c r="G11">
        <f ca="1">IFERROR(__xludf.DUMMYFUNCTION("""COMPUTED_VALUE"""),12)</f>
        <v>12</v>
      </c>
      <c r="H11">
        <f ca="1">IFERROR(__xludf.DUMMYFUNCTION("""COMPUTED_VALUE"""),23)</f>
        <v>23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IFERROR(__xludf.DUMMYFUNCTION("""COMPUTED_VALUE"""),12)</f>
        <v>12</v>
      </c>
      <c r="C12" t="str">
        <f ca="1">IFERROR(__xludf.DUMMYFUNCTION("""COMPUTED_VALUE"""),"Peter Malnati")</f>
        <v>Peter Malnati</v>
      </c>
      <c r="D12">
        <f ca="1">IFERROR(__xludf.DUMMYFUNCTION("""COMPUTED_VALUE"""),18)</f>
        <v>18</v>
      </c>
      <c r="E12">
        <f ca="1">IFERROR(__xludf.DUMMYFUNCTION("""COMPUTED_VALUE"""),27.44)</f>
        <v>27.44</v>
      </c>
      <c r="F12">
        <f ca="1">IFERROR(__xludf.DUMMYFUNCTION("""COMPUTED_VALUE"""),494)</f>
        <v>494</v>
      </c>
      <c r="G12">
        <f ca="1">IFERROR(__xludf.DUMMYFUNCTION("""COMPUTED_VALUE"""),18)</f>
        <v>18</v>
      </c>
      <c r="H12">
        <f ca="1">IFERROR(__xludf.DUMMYFUNCTION("""COMPUTED_VALUE"""),22)</f>
        <v>22</v>
      </c>
    </row>
    <row r="13" spans="1:8" ht="15.75" customHeight="1">
      <c r="A13" t="str">
        <f ca="1">IFERROR(__xludf.DUMMYFUNCTION("""COMPUTED_VALUE"""),"T12")</f>
        <v>T12</v>
      </c>
      <c r="B13" t="str">
        <f ca="1">IFERROR(__xludf.DUMMYFUNCTION("""COMPUTED_VALUE"""),"T13")</f>
        <v>T13</v>
      </c>
      <c r="C13" t="str">
        <f ca="1">IFERROR(__xludf.DUMMYFUNCTION("""COMPUTED_VALUE"""),"Seonghyeon Kim")</f>
        <v>Seonghyeon Kim</v>
      </c>
      <c r="D13">
        <f ca="1">IFERROR(__xludf.DUMMYFUNCTION("""COMPUTED_VALUE"""),4)</f>
        <v>4</v>
      </c>
      <c r="E13">
        <f ca="1">IFERROR(__xludf.DUMMYFUNCTION("""COMPUTED_VALUE"""),27.5)</f>
        <v>27.5</v>
      </c>
      <c r="F13">
        <f ca="1">IFERROR(__xludf.DUMMYFUNCTION("""COMPUTED_VALUE"""),110)</f>
        <v>110</v>
      </c>
      <c r="G13">
        <f ca="1">IFERROR(__xludf.DUMMYFUNCTION("""COMPUTED_VALUE"""),4)</f>
        <v>4</v>
      </c>
      <c r="H13">
        <f ca="1">IFERROR(__xludf.DUMMYFUNCTION("""COMPUTED_VALUE"""),25)</f>
        <v>25</v>
      </c>
    </row>
    <row r="14" spans="1:8" ht="15.75" customHeight="1">
      <c r="A14" t="str">
        <f ca="1">IFERROR(__xludf.DUMMYFUNCTION("""COMPUTED_VALUE"""),"T12")</f>
        <v>T12</v>
      </c>
      <c r="B14" t="str">
        <f ca="1">IFERROR(__xludf.DUMMYFUNCTION("""COMPUTED_VALUE"""),"T13")</f>
        <v>T13</v>
      </c>
      <c r="C14" t="str">
        <f ca="1">IFERROR(__xludf.DUMMYFUNCTION("""COMPUTED_VALUE"""),"Rikuya Hoshino")</f>
        <v>Rikuya Hoshino</v>
      </c>
      <c r="D14">
        <f ca="1">IFERROR(__xludf.DUMMYFUNCTION("""COMPUTED_VALUE"""),4)</f>
        <v>4</v>
      </c>
      <c r="E14">
        <f ca="1">IFERROR(__xludf.DUMMYFUNCTION("""COMPUTED_VALUE"""),27.5)</f>
        <v>27.5</v>
      </c>
      <c r="F14">
        <f ca="1">IFERROR(__xludf.DUMMYFUNCTION("""COMPUTED_VALUE"""),110)</f>
        <v>110</v>
      </c>
      <c r="G14">
        <f ca="1">IFERROR(__xludf.DUMMYFUNCTION("""COMPUTED_VALUE"""),4)</f>
        <v>4</v>
      </c>
      <c r="H14">
        <f ca="1">IFERROR(__xludf.DUMMYFUNCTION("""COMPUTED_VALUE"""),24)</f>
        <v>24</v>
      </c>
    </row>
    <row r="15" spans="1:8" ht="15.75" customHeight="1">
      <c r="A15">
        <f ca="1">IFERROR(__xludf.DUMMYFUNCTION("""COMPUTED_VALUE"""),14)</f>
        <v>14</v>
      </c>
      <c r="B15" t="str">
        <f ca="1">IFERROR(__xludf.DUMMYFUNCTION("""COMPUTED_VALUE"""),"T13")</f>
        <v>T13</v>
      </c>
      <c r="C15" t="str">
        <f ca="1">IFERROR(__xludf.DUMMYFUNCTION("""COMPUTED_VALUE"""),"Jordan Spieth")</f>
        <v>Jordan Spieth</v>
      </c>
      <c r="D15">
        <f ca="1">IFERROR(__xludf.DUMMYFUNCTION("""COMPUTED_VALUE"""),14)</f>
        <v>14</v>
      </c>
      <c r="E15">
        <f ca="1">IFERROR(__xludf.DUMMYFUNCTION("""COMPUTED_VALUE"""),27.57)</f>
        <v>27.57</v>
      </c>
      <c r="F15">
        <f ca="1">IFERROR(__xludf.DUMMYFUNCTION("""COMPUTED_VALUE"""),386)</f>
        <v>386</v>
      </c>
      <c r="G15">
        <f ca="1">IFERROR(__xludf.DUMMYFUNCTION("""COMPUTED_VALUE"""),14)</f>
        <v>14</v>
      </c>
      <c r="H15">
        <f ca="1">IFERROR(__xludf.DUMMYFUNCTION("""COMPUTED_VALUE"""),23)</f>
        <v>23</v>
      </c>
    </row>
    <row r="16" spans="1:8" ht="15.75" customHeight="1">
      <c r="A16">
        <f ca="1">IFERROR(__xludf.DUMMYFUNCTION("""COMPUTED_VALUE"""),15)</f>
        <v>15</v>
      </c>
      <c r="B16" t="str">
        <f ca="1">IFERROR(__xludf.DUMMYFUNCTION("""COMPUTED_VALUE"""),"T17")</f>
        <v>T17</v>
      </c>
      <c r="C16" t="str">
        <f ca="1">IFERROR(__xludf.DUMMYFUNCTION("""COMPUTED_VALUE"""),"Xander Schauffele")</f>
        <v>Xander Schauffele</v>
      </c>
      <c r="D16">
        <f ca="1">IFERROR(__xludf.DUMMYFUNCTION("""COMPUTED_VALUE"""),12)</f>
        <v>12</v>
      </c>
      <c r="E16">
        <f ca="1">IFERROR(__xludf.DUMMYFUNCTION("""COMPUTED_VALUE"""),27.67)</f>
        <v>27.67</v>
      </c>
      <c r="F16">
        <f ca="1">IFERROR(__xludf.DUMMYFUNCTION("""COMPUTED_VALUE"""),332)</f>
        <v>332</v>
      </c>
      <c r="G16">
        <f ca="1">IFERROR(__xludf.DUMMYFUNCTION("""COMPUTED_VALUE"""),12)</f>
        <v>12</v>
      </c>
      <c r="H16">
        <f ca="1">IFERROR(__xludf.DUMMYFUNCTION("""COMPUTED_VALUE"""),24)</f>
        <v>24</v>
      </c>
    </row>
    <row r="17" spans="1:8" ht="15.75" customHeight="1">
      <c r="A17">
        <f ca="1">IFERROR(__xludf.DUMMYFUNCTION("""COMPUTED_VALUE"""),16)</f>
        <v>16</v>
      </c>
      <c r="B17">
        <f ca="1">IFERROR(__xludf.DUMMYFUNCTION("""COMPUTED_VALUE"""),19)</f>
        <v>19</v>
      </c>
      <c r="C17" t="str">
        <f ca="1">IFERROR(__xludf.DUMMYFUNCTION("""COMPUTED_VALUE"""),"Rhein Gibson")</f>
        <v>Rhein Gibson</v>
      </c>
      <c r="D17">
        <f ca="1">IFERROR(__xludf.DUMMYFUNCTION("""COMPUTED_VALUE"""),10)</f>
        <v>10</v>
      </c>
      <c r="E17">
        <f ca="1">IFERROR(__xludf.DUMMYFUNCTION("""COMPUTED_VALUE"""),27.7)</f>
        <v>27.7</v>
      </c>
      <c r="F17">
        <f ca="1">IFERROR(__xludf.DUMMYFUNCTION("""COMPUTED_VALUE"""),277)</f>
        <v>277</v>
      </c>
      <c r="G17">
        <f ca="1">IFERROR(__xludf.DUMMYFUNCTION("""COMPUTED_VALUE"""),10)</f>
        <v>10</v>
      </c>
      <c r="H17">
        <f ca="1">IFERROR(__xludf.DUMMYFUNCTION("""COMPUTED_VALUE"""),25)</f>
        <v>25</v>
      </c>
    </row>
    <row r="18" spans="1:8" ht="15.75" customHeight="1">
      <c r="A18" t="str">
        <f ca="1">IFERROR(__xludf.DUMMYFUNCTION("""COMPUTED_VALUE"""),"T17")</f>
        <v>T17</v>
      </c>
      <c r="B18" t="str">
        <f ca="1">IFERROR(__xludf.DUMMYFUNCTION("""COMPUTED_VALUE"""),"T20")</f>
        <v>T20</v>
      </c>
      <c r="C18" t="str">
        <f ca="1">IFERROR(__xludf.DUMMYFUNCTION("""COMPUTED_VALUE"""),"Mikumu Horikawa")</f>
        <v>Mikumu Horikawa</v>
      </c>
      <c r="D18">
        <f ca="1">IFERROR(__xludf.DUMMYFUNCTION("""COMPUTED_VALUE"""),4)</f>
        <v>4</v>
      </c>
      <c r="E18">
        <f ca="1">IFERROR(__xludf.DUMMYFUNCTION("""COMPUTED_VALUE"""),27.75)</f>
        <v>27.75</v>
      </c>
      <c r="F18">
        <f ca="1">IFERROR(__xludf.DUMMYFUNCTION("""COMPUTED_VALUE"""),111)</f>
        <v>111</v>
      </c>
      <c r="G18">
        <f ca="1">IFERROR(__xludf.DUMMYFUNCTION("""COMPUTED_VALUE"""),4)</f>
        <v>4</v>
      </c>
      <c r="H18">
        <f ca="1">IFERROR(__xludf.DUMMYFUNCTION("""COMPUTED_VALUE"""),24)</f>
        <v>24</v>
      </c>
    </row>
    <row r="19" spans="1:8" ht="15.75" customHeight="1">
      <c r="A19" t="str">
        <f ca="1">IFERROR(__xludf.DUMMYFUNCTION("""COMPUTED_VALUE"""),"T17")</f>
        <v>T17</v>
      </c>
      <c r="B19" t="str">
        <f ca="1">IFERROR(__xludf.DUMMYFUNCTION("""COMPUTED_VALUE"""),"T20")</f>
        <v>T20</v>
      </c>
      <c r="C19" t="str">
        <f ca="1">IFERROR(__xludf.DUMMYFUNCTION("""COMPUTED_VALUE"""),"Bud Cauley")</f>
        <v>Bud Cauley</v>
      </c>
      <c r="D19">
        <f ca="1">IFERROR(__xludf.DUMMYFUNCTION("""COMPUTED_VALUE"""),4)</f>
        <v>4</v>
      </c>
      <c r="E19">
        <f ca="1">IFERROR(__xludf.DUMMYFUNCTION("""COMPUTED_VALUE"""),27.75)</f>
        <v>27.75</v>
      </c>
      <c r="F19">
        <f ca="1">IFERROR(__xludf.DUMMYFUNCTION("""COMPUTED_VALUE"""),111)</f>
        <v>111</v>
      </c>
      <c r="G19">
        <f ca="1">IFERROR(__xludf.DUMMYFUNCTION("""COMPUTED_VALUE"""),4)</f>
        <v>4</v>
      </c>
      <c r="H19">
        <f ca="1">IFERROR(__xludf.DUMMYFUNCTION("""COMPUTED_VALUE"""),24)</f>
        <v>24</v>
      </c>
    </row>
    <row r="20" spans="1:8" ht="15.75" customHeight="1">
      <c r="A20" t="str">
        <f ca="1">IFERROR(__xludf.DUMMYFUNCTION("""COMPUTED_VALUE"""),"T17")</f>
        <v>T17</v>
      </c>
      <c r="B20" t="str">
        <f ca="1">IFERROR(__xludf.DUMMYFUNCTION("""COMPUTED_VALUE"""),"T20")</f>
        <v>T20</v>
      </c>
      <c r="C20" t="str">
        <f ca="1">IFERROR(__xludf.DUMMYFUNCTION("""COMPUTED_VALUE"""),"Parker McLachlin")</f>
        <v>Parker McLachlin</v>
      </c>
      <c r="D20">
        <f ca="1">IFERROR(__xludf.DUMMYFUNCTION("""COMPUTED_VALUE"""),4)</f>
        <v>4</v>
      </c>
      <c r="E20">
        <f ca="1">IFERROR(__xludf.DUMMYFUNCTION("""COMPUTED_VALUE"""),27.75)</f>
        <v>27.75</v>
      </c>
      <c r="F20">
        <f ca="1">IFERROR(__xludf.DUMMYFUNCTION("""COMPUTED_VALUE"""),111)</f>
        <v>111</v>
      </c>
      <c r="G20">
        <f ca="1">IFERROR(__xludf.DUMMYFUNCTION("""COMPUTED_VALUE"""),4)</f>
        <v>4</v>
      </c>
      <c r="H20">
        <f ca="1">IFERROR(__xludf.DUMMYFUNCTION("""COMPUTED_VALUE"""),25)</f>
        <v>25</v>
      </c>
    </row>
    <row r="21" spans="1:8" ht="15.75" customHeight="1">
      <c r="A21">
        <f ca="1">IFERROR(__xludf.DUMMYFUNCTION("""COMPUTED_VALUE"""),20)</f>
        <v>20</v>
      </c>
      <c r="B21" t="str">
        <f ca="1">IFERROR(__xludf.DUMMYFUNCTION("""COMPUTED_VALUE"""),"T46")</f>
        <v>T46</v>
      </c>
      <c r="C21" t="str">
        <f ca="1">IFERROR(__xludf.DUMMYFUNCTION("""COMPUTED_VALUE"""),"Mackenzie Hughes")</f>
        <v>Mackenzie Hughes</v>
      </c>
      <c r="D21">
        <f ca="1">IFERROR(__xludf.DUMMYFUNCTION("""COMPUTED_VALUE"""),18)</f>
        <v>18</v>
      </c>
      <c r="E21">
        <f ca="1">IFERROR(__xludf.DUMMYFUNCTION("""COMPUTED_VALUE"""),27.78)</f>
        <v>27.78</v>
      </c>
      <c r="F21">
        <f ca="1">IFERROR(__xludf.DUMMYFUNCTION("""COMPUTED_VALUE"""),500)</f>
        <v>500</v>
      </c>
      <c r="G21">
        <f ca="1">IFERROR(__xludf.DUMMYFUNCTION("""COMPUTED_VALUE"""),18)</f>
        <v>18</v>
      </c>
      <c r="H21">
        <f ca="1">IFERROR(__xludf.DUMMYFUNCTION("""COMPUTED_VALUE"""),24)</f>
        <v>24</v>
      </c>
    </row>
    <row r="22" spans="1:8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IFERROR(__xludf.DUMMYFUNCTION("""COMPUTED_VALUE"""),"Richy Werenski")</f>
        <v>Richy Werenski</v>
      </c>
      <c r="D22">
        <f ca="1">IFERROR(__xludf.DUMMYFUNCTION("""COMPUTED_VALUE"""),16)</f>
        <v>16</v>
      </c>
      <c r="E22">
        <f ca="1">IFERROR(__xludf.DUMMYFUNCTION("""COMPUTED_VALUE"""),27.81)</f>
        <v>27.81</v>
      </c>
      <c r="F22">
        <f ca="1">IFERROR(__xludf.DUMMYFUNCTION("""COMPUTED_VALUE"""),445)</f>
        <v>445</v>
      </c>
      <c r="G22">
        <f ca="1">IFERROR(__xludf.DUMMYFUNCTION("""COMPUTED_VALUE"""),16)</f>
        <v>16</v>
      </c>
      <c r="H22">
        <f ca="1">IFERROR(__xludf.DUMMYFUNCTION("""COMPUTED_VALUE"""),25)</f>
        <v>25</v>
      </c>
    </row>
    <row r="23" spans="1:8" ht="15.75" customHeight="1">
      <c r="A23" t="str">
        <f ca="1">IFERROR(__xludf.DUMMYFUNCTION("""COMPUTED_VALUE"""),"T22")</f>
        <v>T22</v>
      </c>
      <c r="B23" t="str">
        <f ca="1">IFERROR(__xludf.DUMMYFUNCTION("""COMPUTED_VALUE"""),"T25")</f>
        <v>T25</v>
      </c>
      <c r="C23" t="str">
        <f ca="1">IFERROR(__xludf.DUMMYFUNCTION("""COMPUTED_VALUE"""),"Akshay Bhatia")</f>
        <v>Akshay Bhatia</v>
      </c>
      <c r="D23">
        <f ca="1">IFERROR(__xludf.DUMMYFUNCTION("""COMPUTED_VALUE"""),6)</f>
        <v>6</v>
      </c>
      <c r="E23">
        <f ca="1">IFERROR(__xludf.DUMMYFUNCTION("""COMPUTED_VALUE"""),27.83)</f>
        <v>27.83</v>
      </c>
      <c r="F23">
        <f ca="1">IFERROR(__xludf.DUMMYFUNCTION("""COMPUTED_VALUE"""),167)</f>
        <v>167</v>
      </c>
      <c r="G23">
        <f ca="1">IFERROR(__xludf.DUMMYFUNCTION("""COMPUTED_VALUE"""),6)</f>
        <v>6</v>
      </c>
      <c r="H23">
        <f ca="1">IFERROR(__xludf.DUMMYFUNCTION("""COMPUTED_VALUE"""),25)</f>
        <v>25</v>
      </c>
    </row>
    <row r="24" spans="1:8" ht="15.75" customHeight="1">
      <c r="A24" t="str">
        <f ca="1">IFERROR(__xludf.DUMMYFUNCTION("""COMPUTED_VALUE"""),"T22")</f>
        <v>T22</v>
      </c>
      <c r="B24" t="str">
        <f ca="1">IFERROR(__xludf.DUMMYFUNCTION("""COMPUTED_VALUE"""),"T25")</f>
        <v>T25</v>
      </c>
      <c r="C24" t="str">
        <f ca="1">IFERROR(__xludf.DUMMYFUNCTION("""COMPUTED_VALUE"""),"Justin Thomas")</f>
        <v>Justin Thomas</v>
      </c>
      <c r="D24">
        <f ca="1">IFERROR(__xludf.DUMMYFUNCTION("""COMPUTED_VALUE"""),12)</f>
        <v>12</v>
      </c>
      <c r="E24">
        <f ca="1">IFERROR(__xludf.DUMMYFUNCTION("""COMPUTED_VALUE"""),27.83)</f>
        <v>27.83</v>
      </c>
      <c r="F24">
        <f ca="1">IFERROR(__xludf.DUMMYFUNCTION("""COMPUTED_VALUE"""),334)</f>
        <v>334</v>
      </c>
      <c r="G24">
        <f ca="1">IFERROR(__xludf.DUMMYFUNCTION("""COMPUTED_VALUE"""),12)</f>
        <v>12</v>
      </c>
      <c r="H24">
        <f ca="1">IFERROR(__xludf.DUMMYFUNCTION("""COMPUTED_VALUE"""),24)</f>
        <v>24</v>
      </c>
    </row>
    <row r="25" spans="1:8" ht="15.75" customHeight="1">
      <c r="A25" t="str">
        <f ca="1">IFERROR(__xludf.DUMMYFUNCTION("""COMPUTED_VALUE"""),"T24")</f>
        <v>T24</v>
      </c>
      <c r="B25" t="str">
        <f ca="1">IFERROR(__xludf.DUMMYFUNCTION("""COMPUTED_VALUE"""),"T58")</f>
        <v>T58</v>
      </c>
      <c r="C25" t="str">
        <f ca="1">IFERROR(__xludf.DUMMYFUNCTION("""COMPUTED_VALUE"""),"Brooks Koepka")</f>
        <v>Brooks Koepka</v>
      </c>
      <c r="D25">
        <f ca="1">IFERROR(__xludf.DUMMYFUNCTION("""COMPUTED_VALUE"""),8)</f>
        <v>8</v>
      </c>
      <c r="E25">
        <f ca="1">IFERROR(__xludf.DUMMYFUNCTION("""COMPUTED_VALUE"""),27.88)</f>
        <v>27.88</v>
      </c>
      <c r="F25">
        <f ca="1">IFERROR(__xludf.DUMMYFUNCTION("""COMPUTED_VALUE"""),223)</f>
        <v>223</v>
      </c>
      <c r="G25">
        <f ca="1">IFERROR(__xludf.DUMMYFUNCTION("""COMPUTED_VALUE"""),8)</f>
        <v>8</v>
      </c>
      <c r="H25">
        <f ca="1">IFERROR(__xludf.DUMMYFUNCTION("""COMPUTED_VALUE"""),26)</f>
        <v>26</v>
      </c>
    </row>
    <row r="26" spans="1:8" ht="15.75" customHeight="1">
      <c r="A26" t="str">
        <f ca="1">IFERROR(__xludf.DUMMYFUNCTION("""COMPUTED_VALUE"""),"T24")</f>
        <v>T24</v>
      </c>
      <c r="B26" t="str">
        <f ca="1">IFERROR(__xludf.DUMMYFUNCTION("""COMPUTED_VALUE"""),"T28")</f>
        <v>T28</v>
      </c>
      <c r="C26" t="str">
        <f ca="1">IFERROR(__xludf.DUMMYFUNCTION("""COMPUTED_VALUE"""),"Brian Gay")</f>
        <v>Brian Gay</v>
      </c>
      <c r="D26">
        <f ca="1">IFERROR(__xludf.DUMMYFUNCTION("""COMPUTED_VALUE"""),8)</f>
        <v>8</v>
      </c>
      <c r="E26">
        <f ca="1">IFERROR(__xludf.DUMMYFUNCTION("""COMPUTED_VALUE"""),27.88)</f>
        <v>27.88</v>
      </c>
      <c r="F26">
        <f ca="1">IFERROR(__xludf.DUMMYFUNCTION("""COMPUTED_VALUE"""),223)</f>
        <v>223</v>
      </c>
      <c r="G26">
        <f ca="1">IFERROR(__xludf.DUMMYFUNCTION("""COMPUTED_VALUE"""),8)</f>
        <v>8</v>
      </c>
      <c r="H26">
        <f ca="1">IFERROR(__xludf.DUMMYFUNCTION("""COMPUTED_VALUE"""),24)</f>
        <v>24</v>
      </c>
    </row>
    <row r="27" spans="1:8" ht="15.75" customHeight="1">
      <c r="A27" t="str">
        <f ca="1">IFERROR(__xludf.DUMMYFUNCTION("""COMPUTED_VALUE"""),"T24")</f>
        <v>T24</v>
      </c>
      <c r="B27" t="str">
        <f ca="1">IFERROR(__xludf.DUMMYFUNCTION("""COMPUTED_VALUE"""),"T28")</f>
        <v>T28</v>
      </c>
      <c r="C27" t="str">
        <f ca="1">IFERROR(__xludf.DUMMYFUNCTION("""COMPUTED_VALUE"""),"Peter Uihlein")</f>
        <v>Peter Uihlein</v>
      </c>
      <c r="D27">
        <f ca="1">IFERROR(__xludf.DUMMYFUNCTION("""COMPUTED_VALUE"""),8)</f>
        <v>8</v>
      </c>
      <c r="E27">
        <f ca="1">IFERROR(__xludf.DUMMYFUNCTION("""COMPUTED_VALUE"""),27.88)</f>
        <v>27.88</v>
      </c>
      <c r="F27">
        <f ca="1">IFERROR(__xludf.DUMMYFUNCTION("""COMPUTED_VALUE"""),223)</f>
        <v>223</v>
      </c>
      <c r="G27">
        <f ca="1">IFERROR(__xludf.DUMMYFUNCTION("""COMPUTED_VALUE"""),8)</f>
        <v>8</v>
      </c>
      <c r="H27">
        <f ca="1">IFERROR(__xludf.DUMMYFUNCTION("""COMPUTED_VALUE"""),26)</f>
        <v>26</v>
      </c>
    </row>
    <row r="28" spans="1:8" ht="15.75" customHeight="1">
      <c r="A28">
        <f ca="1">IFERROR(__xludf.DUMMYFUNCTION("""COMPUTED_VALUE"""),27)</f>
        <v>27</v>
      </c>
      <c r="B28">
        <f ca="1">IFERROR(__xludf.DUMMYFUNCTION("""COMPUTED_VALUE"""),30)</f>
        <v>30</v>
      </c>
      <c r="C28" t="str">
        <f ca="1">IFERROR(__xludf.DUMMYFUNCTION("""COMPUTED_VALUE"""),"Justin Rose")</f>
        <v>Justin Rose</v>
      </c>
      <c r="D28">
        <f ca="1">IFERROR(__xludf.DUMMYFUNCTION("""COMPUTED_VALUE"""),10)</f>
        <v>10</v>
      </c>
      <c r="E28">
        <f ca="1">IFERROR(__xludf.DUMMYFUNCTION("""COMPUTED_VALUE"""),27.9)</f>
        <v>27.9</v>
      </c>
      <c r="F28">
        <f ca="1">IFERROR(__xludf.DUMMYFUNCTION("""COMPUTED_VALUE"""),279)</f>
        <v>279</v>
      </c>
      <c r="G28">
        <f ca="1">IFERROR(__xludf.DUMMYFUNCTION("""COMPUTED_VALUE"""),10)</f>
        <v>10</v>
      </c>
      <c r="H28">
        <f ca="1">IFERROR(__xludf.DUMMYFUNCTION("""COMPUTED_VALUE"""),26)</f>
        <v>26</v>
      </c>
    </row>
    <row r="29" spans="1:8" ht="15.75" customHeight="1">
      <c r="A29" t="str">
        <f ca="1">IFERROR(__xludf.DUMMYFUNCTION("""COMPUTED_VALUE"""),"T28")</f>
        <v>T28</v>
      </c>
      <c r="B29" t="str">
        <f ca="1">IFERROR(__xludf.DUMMYFUNCTION("""COMPUTED_VALUE"""),"T31")</f>
        <v>T31</v>
      </c>
      <c r="C29" t="str">
        <f ca="1">IFERROR(__xludf.DUMMYFUNCTION("""COMPUTED_VALUE"""),"Webb Simpson")</f>
        <v>Webb Simpson</v>
      </c>
      <c r="D29">
        <f ca="1">IFERROR(__xludf.DUMMYFUNCTION("""COMPUTED_VALUE"""),12)</f>
        <v>12</v>
      </c>
      <c r="E29">
        <f ca="1">IFERROR(__xludf.DUMMYFUNCTION("""COMPUTED_VALUE"""),27.92)</f>
        <v>27.92</v>
      </c>
      <c r="F29">
        <f ca="1">IFERROR(__xludf.DUMMYFUNCTION("""COMPUTED_VALUE"""),335)</f>
        <v>335</v>
      </c>
      <c r="G29">
        <f ca="1">IFERROR(__xludf.DUMMYFUNCTION("""COMPUTED_VALUE"""),12)</f>
        <v>12</v>
      </c>
      <c r="H29">
        <f ca="1">IFERROR(__xludf.DUMMYFUNCTION("""COMPUTED_VALUE"""),24)</f>
        <v>24</v>
      </c>
    </row>
    <row r="30" spans="1:8" ht="15.75" customHeight="1">
      <c r="A30" t="str">
        <f ca="1">IFERROR(__xludf.DUMMYFUNCTION("""COMPUTED_VALUE"""),"T28")</f>
        <v>T28</v>
      </c>
      <c r="B30" t="str">
        <f ca="1">IFERROR(__xludf.DUMMYFUNCTION("""COMPUTED_VALUE"""),"T31")</f>
        <v>T31</v>
      </c>
      <c r="C30" t="str">
        <f ca="1">IFERROR(__xludf.DUMMYFUNCTION("""COMPUTED_VALUE"""),"Daniel Berger")</f>
        <v>Daniel Berger</v>
      </c>
      <c r="D30">
        <f ca="1">IFERROR(__xludf.DUMMYFUNCTION("""COMPUTED_VALUE"""),12)</f>
        <v>12</v>
      </c>
      <c r="E30">
        <f ca="1">IFERROR(__xludf.DUMMYFUNCTION("""COMPUTED_VALUE"""),27.92)</f>
        <v>27.92</v>
      </c>
      <c r="F30">
        <f ca="1">IFERROR(__xludf.DUMMYFUNCTION("""COMPUTED_VALUE"""),335)</f>
        <v>335</v>
      </c>
      <c r="G30">
        <f ca="1">IFERROR(__xludf.DUMMYFUNCTION("""COMPUTED_VALUE"""),12)</f>
        <v>12</v>
      </c>
      <c r="H30">
        <f ca="1">IFERROR(__xludf.DUMMYFUNCTION("""COMPUTED_VALUE"""),23)</f>
        <v>23</v>
      </c>
    </row>
    <row r="31" spans="1:8" ht="12.75">
      <c r="A31">
        <f ca="1">IFERROR(__xludf.DUMMYFUNCTION("""COMPUTED_VALUE"""),30)</f>
        <v>30</v>
      </c>
      <c r="B31" t="str">
        <f ca="1">IFERROR(__xludf.DUMMYFUNCTION("""COMPUTED_VALUE"""),"T17")</f>
        <v>T17</v>
      </c>
      <c r="C31" t="str">
        <f ca="1">IFERROR(__xludf.DUMMYFUNCTION("""COMPUTED_VALUE"""),"Maverick McNealy")</f>
        <v>Maverick McNealy</v>
      </c>
      <c r="D31">
        <f ca="1">IFERROR(__xludf.DUMMYFUNCTION("""COMPUTED_VALUE"""),16)</f>
        <v>16</v>
      </c>
      <c r="E31">
        <f ca="1">IFERROR(__xludf.DUMMYFUNCTION("""COMPUTED_VALUE"""),27.94)</f>
        <v>27.94</v>
      </c>
      <c r="F31">
        <f ca="1">IFERROR(__xludf.DUMMYFUNCTION("""COMPUTED_VALUE"""),447)</f>
        <v>447</v>
      </c>
      <c r="G31">
        <f ca="1">IFERROR(__xludf.DUMMYFUNCTION("""COMPUTED_VALUE"""),16)</f>
        <v>16</v>
      </c>
      <c r="H31">
        <f ca="1">IFERROR(__xludf.DUMMYFUNCTION("""COMPUTED_VALUE"""),25)</f>
        <v>25</v>
      </c>
    </row>
    <row r="32" spans="1:8" ht="12.75">
      <c r="A32" t="str">
        <f ca="1">IFERROR(__xludf.DUMMYFUNCTION("""COMPUTED_VALUE"""),"T31")</f>
        <v>T31</v>
      </c>
      <c r="B32" t="str">
        <f ca="1">IFERROR(__xludf.DUMMYFUNCTION("""COMPUTED_VALUE"""),"T33")</f>
        <v>T33</v>
      </c>
      <c r="C32" t="str">
        <f ca="1">IFERROR(__xludf.DUMMYFUNCTION("""COMPUTED_VALUE"""),"Sahith Theegala")</f>
        <v>Sahith Theegala</v>
      </c>
      <c r="D32">
        <f ca="1">IFERROR(__xludf.DUMMYFUNCTION("""COMPUTED_VALUE"""),6)</f>
        <v>6</v>
      </c>
      <c r="E32">
        <f ca="1">IFERROR(__xludf.DUMMYFUNCTION("""COMPUTED_VALUE"""),28)</f>
        <v>28</v>
      </c>
      <c r="F32">
        <f ca="1">IFERROR(__xludf.DUMMYFUNCTION("""COMPUTED_VALUE"""),168)</f>
        <v>168</v>
      </c>
      <c r="G32">
        <f ca="1">IFERROR(__xludf.DUMMYFUNCTION("""COMPUTED_VALUE"""),6)</f>
        <v>6</v>
      </c>
      <c r="H32">
        <f ca="1">IFERROR(__xludf.DUMMYFUNCTION("""COMPUTED_VALUE"""),26)</f>
        <v>26</v>
      </c>
    </row>
    <row r="33" spans="1:8" ht="12.75">
      <c r="A33" t="str">
        <f ca="1">IFERROR(__xludf.DUMMYFUNCTION("""COMPUTED_VALUE"""),"T31")</f>
        <v>T31</v>
      </c>
      <c r="B33" t="str">
        <f ca="1">IFERROR(__xludf.DUMMYFUNCTION("""COMPUTED_VALUE"""),"T33")</f>
        <v>T33</v>
      </c>
      <c r="C33" t="str">
        <f ca="1">IFERROR(__xludf.DUMMYFUNCTION("""COMPUTED_VALUE"""),"Jeongwoo Ham")</f>
        <v>Jeongwoo Ham</v>
      </c>
      <c r="D33">
        <f ca="1">IFERROR(__xludf.DUMMYFUNCTION("""COMPUTED_VALUE"""),4)</f>
        <v>4</v>
      </c>
      <c r="E33">
        <f ca="1">IFERROR(__xludf.DUMMYFUNCTION("""COMPUTED_VALUE"""),28)</f>
        <v>28</v>
      </c>
      <c r="F33">
        <f ca="1">IFERROR(__xludf.DUMMYFUNCTION("""COMPUTED_VALUE"""),112)</f>
        <v>112</v>
      </c>
      <c r="G33">
        <f ca="1">IFERROR(__xludf.DUMMYFUNCTION("""COMPUTED_VALUE"""),4)</f>
        <v>4</v>
      </c>
      <c r="H33">
        <f ca="1">IFERROR(__xludf.DUMMYFUNCTION("""COMPUTED_VALUE"""),27)</f>
        <v>27</v>
      </c>
    </row>
    <row r="34" spans="1:8" ht="12.75">
      <c r="A34" t="str">
        <f ca="1">IFERROR(__xludf.DUMMYFUNCTION("""COMPUTED_VALUE"""),"T31")</f>
        <v>T31</v>
      </c>
      <c r="B34" t="str">
        <f ca="1">IFERROR(__xludf.DUMMYFUNCTION("""COMPUTED_VALUE"""),"T13")</f>
        <v>T13</v>
      </c>
      <c r="C34" t="str">
        <f ca="1">IFERROR(__xludf.DUMMYFUNCTION("""COMPUTED_VALUE"""),"Mark Hubbard")</f>
        <v>Mark Hubbard</v>
      </c>
      <c r="D34">
        <f ca="1">IFERROR(__xludf.DUMMYFUNCTION("""COMPUTED_VALUE"""),20)</f>
        <v>20</v>
      </c>
      <c r="E34">
        <f ca="1">IFERROR(__xludf.DUMMYFUNCTION("""COMPUTED_VALUE"""),28)</f>
        <v>28</v>
      </c>
      <c r="F34">
        <f ca="1">IFERROR(__xludf.DUMMYFUNCTION("""COMPUTED_VALUE"""),560)</f>
        <v>560</v>
      </c>
      <c r="G34">
        <f ca="1">IFERROR(__xludf.DUMMYFUNCTION("""COMPUTED_VALUE"""),20)</f>
        <v>20</v>
      </c>
      <c r="H34">
        <f ca="1">IFERROR(__xludf.DUMMYFUNCTION("""COMPUTED_VALUE"""),20)</f>
        <v>20</v>
      </c>
    </row>
    <row r="35" spans="1:8" ht="12.75">
      <c r="A35" t="str">
        <f ca="1">IFERROR(__xludf.DUMMYFUNCTION("""COMPUTED_VALUE"""),"T31")</f>
        <v>T31</v>
      </c>
      <c r="B35" t="str">
        <f ca="1">IFERROR(__xludf.DUMMYFUNCTION("""COMPUTED_VALUE"""),"T33")</f>
        <v>T33</v>
      </c>
      <c r="C35" t="str">
        <f ca="1">IFERROR(__xludf.DUMMYFUNCTION("""COMPUTED_VALUE"""),"Roberto Díaz")</f>
        <v>Roberto Díaz</v>
      </c>
      <c r="D35">
        <f ca="1">IFERROR(__xludf.DUMMYFUNCTION("""COMPUTED_VALUE"""),4)</f>
        <v>4</v>
      </c>
      <c r="E35">
        <f ca="1">IFERROR(__xludf.DUMMYFUNCTION("""COMPUTED_VALUE"""),28)</f>
        <v>28</v>
      </c>
      <c r="F35">
        <f ca="1">IFERROR(__xludf.DUMMYFUNCTION("""COMPUTED_VALUE"""),112)</f>
        <v>112</v>
      </c>
      <c r="G35">
        <f ca="1">IFERROR(__xludf.DUMMYFUNCTION("""COMPUTED_VALUE"""),4)</f>
        <v>4</v>
      </c>
      <c r="H35">
        <f ca="1">IFERROR(__xludf.DUMMYFUNCTION("""COMPUTED_VALUE"""),26)</f>
        <v>26</v>
      </c>
    </row>
    <row r="36" spans="1:8" ht="12.75">
      <c r="A36" t="str">
        <f ca="1">IFERROR(__xludf.DUMMYFUNCTION("""COMPUTED_VALUE"""),"T31")</f>
        <v>T31</v>
      </c>
      <c r="B36" t="str">
        <f ca="1">IFERROR(__xludf.DUMMYFUNCTION("""COMPUTED_VALUE"""),"T33")</f>
        <v>T33</v>
      </c>
      <c r="C36" t="str">
        <f ca="1">IFERROR(__xludf.DUMMYFUNCTION("""COMPUTED_VALUE"""),"Roger Sloan")</f>
        <v>Roger Sloan</v>
      </c>
      <c r="D36">
        <f ca="1">IFERROR(__xludf.DUMMYFUNCTION("""COMPUTED_VALUE"""),12)</f>
        <v>12</v>
      </c>
      <c r="E36">
        <f ca="1">IFERROR(__xludf.DUMMYFUNCTION("""COMPUTED_VALUE"""),28)</f>
        <v>28</v>
      </c>
      <c r="F36">
        <f ca="1">IFERROR(__xludf.DUMMYFUNCTION("""COMPUTED_VALUE"""),336)</f>
        <v>336</v>
      </c>
      <c r="G36">
        <f ca="1">IFERROR(__xludf.DUMMYFUNCTION("""COMPUTED_VALUE"""),12)</f>
        <v>12</v>
      </c>
      <c r="H36">
        <f ca="1">IFERROR(__xludf.DUMMYFUNCTION("""COMPUTED_VALUE"""),24)</f>
        <v>24</v>
      </c>
    </row>
    <row r="37" spans="1:8" ht="12.75">
      <c r="A37" t="str">
        <f ca="1">IFERROR(__xludf.DUMMYFUNCTION("""COMPUTED_VALUE"""),"T31")</f>
        <v>T31</v>
      </c>
      <c r="B37" t="str">
        <f ca="1">IFERROR(__xludf.DUMMYFUNCTION("""COMPUTED_VALUE"""),"T33")</f>
        <v>T33</v>
      </c>
      <c r="C37" t="str">
        <f ca="1">IFERROR(__xludf.DUMMYFUNCTION("""COMPUTED_VALUE"""),"Harry Higgs")</f>
        <v>Harry Higgs</v>
      </c>
      <c r="D37">
        <f ca="1">IFERROR(__xludf.DUMMYFUNCTION("""COMPUTED_VALUE"""),14)</f>
        <v>14</v>
      </c>
      <c r="E37">
        <f ca="1">IFERROR(__xludf.DUMMYFUNCTION("""COMPUTED_VALUE"""),28)</f>
        <v>28</v>
      </c>
      <c r="F37">
        <f ca="1">IFERROR(__xludf.DUMMYFUNCTION("""COMPUTED_VALUE"""),392)</f>
        <v>392</v>
      </c>
      <c r="G37">
        <f ca="1">IFERROR(__xludf.DUMMYFUNCTION("""COMPUTED_VALUE"""),14)</f>
        <v>14</v>
      </c>
      <c r="H37">
        <f ca="1">IFERROR(__xludf.DUMMYFUNCTION("""COMPUTED_VALUE"""),24)</f>
        <v>24</v>
      </c>
    </row>
    <row r="38" spans="1:8" ht="12.75">
      <c r="A38" t="str">
        <f ca="1">IFERROR(__xludf.DUMMYFUNCTION("""COMPUTED_VALUE"""),"T31")</f>
        <v>T31</v>
      </c>
      <c r="B38" t="str">
        <f ca="1">IFERROR(__xludf.DUMMYFUNCTION("""COMPUTED_VALUE"""),"T25")</f>
        <v>T25</v>
      </c>
      <c r="C38" t="str">
        <f ca="1">IFERROR(__xludf.DUMMYFUNCTION("""COMPUTED_VALUE"""),"Brandt Snedeker")</f>
        <v>Brandt Snedeker</v>
      </c>
      <c r="D38">
        <f ca="1">IFERROR(__xludf.DUMMYFUNCTION("""COMPUTED_VALUE"""),16)</f>
        <v>16</v>
      </c>
      <c r="E38">
        <f ca="1">IFERROR(__xludf.DUMMYFUNCTION("""COMPUTED_VALUE"""),28)</f>
        <v>28</v>
      </c>
      <c r="F38">
        <f ca="1">IFERROR(__xludf.DUMMYFUNCTION("""COMPUTED_VALUE"""),448)</f>
        <v>448</v>
      </c>
      <c r="G38">
        <f ca="1">IFERROR(__xludf.DUMMYFUNCTION("""COMPUTED_VALUE"""),16)</f>
        <v>16</v>
      </c>
      <c r="H38">
        <f ca="1">IFERROR(__xludf.DUMMYFUNCTION("""COMPUTED_VALUE"""),24)</f>
        <v>24</v>
      </c>
    </row>
    <row r="39" spans="1:8" ht="12.75">
      <c r="A39" t="str">
        <f ca="1">IFERROR(__xludf.DUMMYFUNCTION("""COMPUTED_VALUE"""),"T31")</f>
        <v>T31</v>
      </c>
      <c r="B39" t="str">
        <f ca="1">IFERROR(__xludf.DUMMYFUNCTION("""COMPUTED_VALUE"""),"")</f>
        <v/>
      </c>
      <c r="C39" t="str">
        <f ca="1">IFERROR(__xludf.DUMMYFUNCTION("""COMPUTED_VALUE"""),"Dawie van der Walt")</f>
        <v>Dawie van der Walt</v>
      </c>
      <c r="D39">
        <f ca="1">IFERROR(__xludf.DUMMYFUNCTION("""COMPUTED_VALUE"""),4)</f>
        <v>4</v>
      </c>
      <c r="E39">
        <f ca="1">IFERROR(__xludf.DUMMYFUNCTION("""COMPUTED_VALUE"""),28)</f>
        <v>28</v>
      </c>
      <c r="F39">
        <f ca="1">IFERROR(__xludf.DUMMYFUNCTION("""COMPUTED_VALUE"""),112)</f>
        <v>112</v>
      </c>
      <c r="G39">
        <f ca="1">IFERROR(__xludf.DUMMYFUNCTION("""COMPUTED_VALUE"""),4)</f>
        <v>4</v>
      </c>
      <c r="H39">
        <f ca="1">IFERROR(__xludf.DUMMYFUNCTION("""COMPUTED_VALUE"""),27)</f>
        <v>27</v>
      </c>
    </row>
    <row r="40" spans="1:8" ht="12.75">
      <c r="A40" t="str">
        <f ca="1">IFERROR(__xludf.DUMMYFUNCTION("""COMPUTED_VALUE"""),"T31")</f>
        <v>T31</v>
      </c>
      <c r="B40" t="str">
        <f ca="1">IFERROR(__xludf.DUMMYFUNCTION("""COMPUTED_VALUE"""),"T33")</f>
        <v>T33</v>
      </c>
      <c r="C40" t="str">
        <f ca="1">IFERROR(__xludf.DUMMYFUNCTION("""COMPUTED_VALUE"""),"Jason Kokrak")</f>
        <v>Jason Kokrak</v>
      </c>
      <c r="D40">
        <f ca="1">IFERROR(__xludf.DUMMYFUNCTION("""COMPUTED_VALUE"""),14)</f>
        <v>14</v>
      </c>
      <c r="E40">
        <f ca="1">IFERROR(__xludf.DUMMYFUNCTION("""COMPUTED_VALUE"""),28)</f>
        <v>28</v>
      </c>
      <c r="F40">
        <f ca="1">IFERROR(__xludf.DUMMYFUNCTION("""COMPUTED_VALUE"""),392)</f>
        <v>392</v>
      </c>
      <c r="G40">
        <f ca="1">IFERROR(__xludf.DUMMYFUNCTION("""COMPUTED_VALUE"""),14)</f>
        <v>14</v>
      </c>
      <c r="H40">
        <f ca="1">IFERROR(__xludf.DUMMYFUNCTION("""COMPUTED_VALUE"""),25)</f>
        <v>25</v>
      </c>
    </row>
    <row r="41" spans="1:8" ht="12.75">
      <c r="A41" t="str">
        <f ca="1">IFERROR(__xludf.DUMMYFUNCTION("""COMPUTED_VALUE"""),"T31")</f>
        <v>T31</v>
      </c>
      <c r="B41" t="str">
        <f ca="1">IFERROR(__xludf.DUMMYFUNCTION("""COMPUTED_VALUE"""),"T33")</f>
        <v>T33</v>
      </c>
      <c r="C41" t="str">
        <f ca="1">IFERROR(__xludf.DUMMYFUNCTION("""COMPUTED_VALUE"""),"Bill Haas")</f>
        <v>Bill Haas</v>
      </c>
      <c r="D41">
        <f ca="1">IFERROR(__xludf.DUMMYFUNCTION("""COMPUTED_VALUE"""),10)</f>
        <v>10</v>
      </c>
      <c r="E41">
        <f ca="1">IFERROR(__xludf.DUMMYFUNCTION("""COMPUTED_VALUE"""),28)</f>
        <v>28</v>
      </c>
      <c r="F41">
        <f ca="1">IFERROR(__xludf.DUMMYFUNCTION("""COMPUTED_VALUE"""),280)</f>
        <v>280</v>
      </c>
      <c r="G41">
        <f ca="1">IFERROR(__xludf.DUMMYFUNCTION("""COMPUTED_VALUE"""),10)</f>
        <v>10</v>
      </c>
      <c r="H41">
        <f ca="1">IFERROR(__xludf.DUMMYFUNCTION("""COMPUTED_VALUE"""),25)</f>
        <v>25</v>
      </c>
    </row>
    <row r="42" spans="1:8" ht="12.75">
      <c r="A42" t="str">
        <f ca="1">IFERROR(__xludf.DUMMYFUNCTION("""COMPUTED_VALUE"""),"T41")</f>
        <v>T41</v>
      </c>
      <c r="B42">
        <f ca="1">IFERROR(__xludf.DUMMYFUNCTION("""COMPUTED_VALUE"""),42)</f>
        <v>42</v>
      </c>
      <c r="C42" t="str">
        <f ca="1">IFERROR(__xludf.DUMMYFUNCTION("""COMPUTED_VALUE"""),"Harris English")</f>
        <v>Harris English</v>
      </c>
      <c r="D42">
        <f ca="1">IFERROR(__xludf.DUMMYFUNCTION("""COMPUTED_VALUE"""),14)</f>
        <v>14</v>
      </c>
      <c r="E42">
        <f ca="1">IFERROR(__xludf.DUMMYFUNCTION("""COMPUTED_VALUE"""),28.07)</f>
        <v>28.07</v>
      </c>
      <c r="F42">
        <f ca="1">IFERROR(__xludf.DUMMYFUNCTION("""COMPUTED_VALUE"""),393)</f>
        <v>393</v>
      </c>
      <c r="G42">
        <f ca="1">IFERROR(__xludf.DUMMYFUNCTION("""COMPUTED_VALUE"""),14)</f>
        <v>14</v>
      </c>
      <c r="H42">
        <f ca="1">IFERROR(__xludf.DUMMYFUNCTION("""COMPUTED_VALUE"""),25)</f>
        <v>25</v>
      </c>
    </row>
    <row r="43" spans="1:8" ht="12.75">
      <c r="A43" t="str">
        <f ca="1">IFERROR(__xludf.DUMMYFUNCTION("""COMPUTED_VALUE"""),"T41")</f>
        <v>T41</v>
      </c>
      <c r="B43" t="str">
        <f ca="1">IFERROR(__xludf.DUMMYFUNCTION("""COMPUTED_VALUE"""),"T54")</f>
        <v>T54</v>
      </c>
      <c r="C43" t="str">
        <f ca="1">IFERROR(__xludf.DUMMYFUNCTION("""COMPUTED_VALUE"""),"Tyrrell Hatton")</f>
        <v>Tyrrell Hatton</v>
      </c>
      <c r="D43">
        <f ca="1">IFERROR(__xludf.DUMMYFUNCTION("""COMPUTED_VALUE"""),14)</f>
        <v>14</v>
      </c>
      <c r="E43">
        <f ca="1">IFERROR(__xludf.DUMMYFUNCTION("""COMPUTED_VALUE"""),28.07)</f>
        <v>28.07</v>
      </c>
      <c r="F43">
        <f ca="1">IFERROR(__xludf.DUMMYFUNCTION("""COMPUTED_VALUE"""),393)</f>
        <v>393</v>
      </c>
      <c r="G43">
        <f ca="1">IFERROR(__xludf.DUMMYFUNCTION("""COMPUTED_VALUE"""),14)</f>
        <v>14</v>
      </c>
      <c r="H43">
        <f ca="1">IFERROR(__xludf.DUMMYFUNCTION("""COMPUTED_VALUE"""),25)</f>
        <v>25</v>
      </c>
    </row>
    <row r="44" spans="1:8" ht="12.75">
      <c r="A44">
        <f ca="1">IFERROR(__xludf.DUMMYFUNCTION("""COMPUTED_VALUE"""),43)</f>
        <v>43</v>
      </c>
      <c r="B44" t="str">
        <f ca="1">IFERROR(__xludf.DUMMYFUNCTION("""COMPUTED_VALUE"""),"T70")</f>
        <v>T70</v>
      </c>
      <c r="C44" t="str">
        <f ca="1">IFERROR(__xludf.DUMMYFUNCTION("""COMPUTED_VALUE"""),"Talor Gooch")</f>
        <v>Talor Gooch</v>
      </c>
      <c r="D44">
        <f ca="1">IFERROR(__xludf.DUMMYFUNCTION("""COMPUTED_VALUE"""),20)</f>
        <v>20</v>
      </c>
      <c r="E44">
        <f ca="1">IFERROR(__xludf.DUMMYFUNCTION("""COMPUTED_VALUE"""),28.15)</f>
        <v>28.15</v>
      </c>
      <c r="F44">
        <f ca="1">IFERROR(__xludf.DUMMYFUNCTION("""COMPUTED_VALUE"""),563)</f>
        <v>563</v>
      </c>
      <c r="G44">
        <f ca="1">IFERROR(__xludf.DUMMYFUNCTION("""COMPUTED_VALUE"""),20)</f>
        <v>20</v>
      </c>
      <c r="H44">
        <f ca="1">IFERROR(__xludf.DUMMYFUNCTION("""COMPUTED_VALUE"""),24)</f>
        <v>24</v>
      </c>
    </row>
    <row r="45" spans="1:8" ht="12.75">
      <c r="A45" t="str">
        <f ca="1">IFERROR(__xludf.DUMMYFUNCTION("""COMPUTED_VALUE"""),"T44")</f>
        <v>T44</v>
      </c>
      <c r="B45" t="str">
        <f ca="1">IFERROR(__xludf.DUMMYFUNCTION("""COMPUTED_VALUE"""),"T49")</f>
        <v>T49</v>
      </c>
      <c r="C45" t="str">
        <f ca="1">IFERROR(__xludf.DUMMYFUNCTION("""COMPUTED_VALUE"""),"Ian Poulter")</f>
        <v>Ian Poulter</v>
      </c>
      <c r="D45">
        <f ca="1">IFERROR(__xludf.DUMMYFUNCTION("""COMPUTED_VALUE"""),6)</f>
        <v>6</v>
      </c>
      <c r="E45">
        <f ca="1">IFERROR(__xludf.DUMMYFUNCTION("""COMPUTED_VALUE"""),28.17)</f>
        <v>28.17</v>
      </c>
      <c r="F45">
        <f ca="1">IFERROR(__xludf.DUMMYFUNCTION("""COMPUTED_VALUE"""),169)</f>
        <v>169</v>
      </c>
      <c r="G45">
        <f ca="1">IFERROR(__xludf.DUMMYFUNCTION("""COMPUTED_VALUE"""),6)</f>
        <v>6</v>
      </c>
      <c r="H45">
        <f ca="1">IFERROR(__xludf.DUMMYFUNCTION("""COMPUTED_VALUE"""),24)</f>
        <v>24</v>
      </c>
    </row>
    <row r="46" spans="1:8" ht="12.75">
      <c r="A46" t="str">
        <f ca="1">IFERROR(__xludf.DUMMYFUNCTION("""COMPUTED_VALUE"""),"T44")</f>
        <v>T44</v>
      </c>
      <c r="B46" t="str">
        <f ca="1">IFERROR(__xludf.DUMMYFUNCTION("""COMPUTED_VALUE"""),"T49")</f>
        <v>T49</v>
      </c>
      <c r="C46" t="str">
        <f ca="1">IFERROR(__xludf.DUMMYFUNCTION("""COMPUTED_VALUE"""),"Tommy Gainey")</f>
        <v>Tommy Gainey</v>
      </c>
      <c r="D46">
        <f ca="1">IFERROR(__xludf.DUMMYFUNCTION("""COMPUTED_VALUE"""),6)</f>
        <v>6</v>
      </c>
      <c r="E46">
        <f ca="1">IFERROR(__xludf.DUMMYFUNCTION("""COMPUTED_VALUE"""),28.17)</f>
        <v>28.17</v>
      </c>
      <c r="F46">
        <f ca="1">IFERROR(__xludf.DUMMYFUNCTION("""COMPUTED_VALUE"""),169)</f>
        <v>169</v>
      </c>
      <c r="G46">
        <f ca="1">IFERROR(__xludf.DUMMYFUNCTION("""COMPUTED_VALUE"""),6)</f>
        <v>6</v>
      </c>
      <c r="H46">
        <f ca="1">IFERROR(__xludf.DUMMYFUNCTION("""COMPUTED_VALUE"""),24)</f>
        <v>24</v>
      </c>
    </row>
    <row r="47" spans="1:8" ht="12.75">
      <c r="A47">
        <f ca="1">IFERROR(__xludf.DUMMYFUNCTION("""COMPUTED_VALUE"""),46)</f>
        <v>46</v>
      </c>
      <c r="B47">
        <f ca="1">IFERROR(__xludf.DUMMYFUNCTION("""COMPUTED_VALUE"""),53)</f>
        <v>53</v>
      </c>
      <c r="C47" t="str">
        <f ca="1">IFERROR(__xludf.DUMMYFUNCTION("""COMPUTED_VALUE"""),"Matthew Wolff")</f>
        <v>Matthew Wolff</v>
      </c>
      <c r="D47">
        <f ca="1">IFERROR(__xludf.DUMMYFUNCTION("""COMPUTED_VALUE"""),16)</f>
        <v>16</v>
      </c>
      <c r="E47">
        <f ca="1">IFERROR(__xludf.DUMMYFUNCTION("""COMPUTED_VALUE"""),28.19)</f>
        <v>28.19</v>
      </c>
      <c r="F47">
        <f ca="1">IFERROR(__xludf.DUMMYFUNCTION("""COMPUTED_VALUE"""),451)</f>
        <v>451</v>
      </c>
      <c r="G47">
        <f ca="1">IFERROR(__xludf.DUMMYFUNCTION("""COMPUTED_VALUE"""),16)</f>
        <v>16</v>
      </c>
      <c r="H47">
        <f ca="1">IFERROR(__xludf.DUMMYFUNCTION("""COMPUTED_VALUE"""),26)</f>
        <v>26</v>
      </c>
    </row>
    <row r="48" spans="1:8" ht="12.75">
      <c r="A48">
        <f ca="1">IFERROR(__xludf.DUMMYFUNCTION("""COMPUTED_VALUE"""),47)</f>
        <v>47</v>
      </c>
      <c r="B48" t="str">
        <f ca="1">IFERROR(__xludf.DUMMYFUNCTION("""COMPUTED_VALUE"""),"T54")</f>
        <v>T54</v>
      </c>
      <c r="C48" t="str">
        <f ca="1">IFERROR(__xludf.DUMMYFUNCTION("""COMPUTED_VALUE"""),"Kevin Kisner")</f>
        <v>Kevin Kisner</v>
      </c>
      <c r="D48">
        <f ca="1">IFERROR(__xludf.DUMMYFUNCTION("""COMPUTED_VALUE"""),10)</f>
        <v>10</v>
      </c>
      <c r="E48">
        <f ca="1">IFERROR(__xludf.DUMMYFUNCTION("""COMPUTED_VALUE"""),28.2)</f>
        <v>28.2</v>
      </c>
      <c r="F48">
        <f ca="1">IFERROR(__xludf.DUMMYFUNCTION("""COMPUTED_VALUE"""),282)</f>
        <v>282</v>
      </c>
      <c r="G48">
        <f ca="1">IFERROR(__xludf.DUMMYFUNCTION("""COMPUTED_VALUE"""),10)</f>
        <v>10</v>
      </c>
      <c r="H48">
        <f ca="1">IFERROR(__xludf.DUMMYFUNCTION("""COMPUTED_VALUE"""),25)</f>
        <v>25</v>
      </c>
    </row>
    <row r="49" spans="1:8" ht="12.75">
      <c r="A49">
        <f ca="1">IFERROR(__xludf.DUMMYFUNCTION("""COMPUTED_VALUE"""),48)</f>
        <v>48</v>
      </c>
      <c r="B49" t="str">
        <f ca="1">IFERROR(__xludf.DUMMYFUNCTION("""COMPUTED_VALUE"""),"T58")</f>
        <v>T58</v>
      </c>
      <c r="C49" t="str">
        <f ca="1">IFERROR(__xludf.DUMMYFUNCTION("""COMPUTED_VALUE"""),"Andrew Landry")</f>
        <v>Andrew Landry</v>
      </c>
      <c r="D49">
        <f ca="1">IFERROR(__xludf.DUMMYFUNCTION("""COMPUTED_VALUE"""),14)</f>
        <v>14</v>
      </c>
      <c r="E49">
        <f ca="1">IFERROR(__xludf.DUMMYFUNCTION("""COMPUTED_VALUE"""),28.21)</f>
        <v>28.21</v>
      </c>
      <c r="F49">
        <f ca="1">IFERROR(__xludf.DUMMYFUNCTION("""COMPUTED_VALUE"""),395)</f>
        <v>395</v>
      </c>
      <c r="G49">
        <f ca="1">IFERROR(__xludf.DUMMYFUNCTION("""COMPUTED_VALUE"""),14)</f>
        <v>14</v>
      </c>
      <c r="H49">
        <f ca="1">IFERROR(__xludf.DUMMYFUNCTION("""COMPUTED_VALUE"""),24)</f>
        <v>24</v>
      </c>
    </row>
    <row r="50" spans="1:8" ht="12.75">
      <c r="A50">
        <f ca="1">IFERROR(__xludf.DUMMYFUNCTION("""COMPUTED_VALUE"""),49)</f>
        <v>49</v>
      </c>
      <c r="B50" t="str">
        <f ca="1">IFERROR(__xludf.DUMMYFUNCTION("""COMPUTED_VALUE"""),"T46")</f>
        <v>T46</v>
      </c>
      <c r="C50" t="str">
        <f ca="1">IFERROR(__xludf.DUMMYFUNCTION("""COMPUTED_VALUE"""),"Scott Harrington")</f>
        <v>Scott Harrington</v>
      </c>
      <c r="D50">
        <f ca="1">IFERROR(__xludf.DUMMYFUNCTION("""COMPUTED_VALUE"""),18)</f>
        <v>18</v>
      </c>
      <c r="E50">
        <f ca="1">IFERROR(__xludf.DUMMYFUNCTION("""COMPUTED_VALUE"""),28.22)</f>
        <v>28.22</v>
      </c>
      <c r="F50">
        <f ca="1">IFERROR(__xludf.DUMMYFUNCTION("""COMPUTED_VALUE"""),508)</f>
        <v>508</v>
      </c>
      <c r="G50">
        <f ca="1">IFERROR(__xludf.DUMMYFUNCTION("""COMPUTED_VALUE"""),18)</f>
        <v>18</v>
      </c>
      <c r="H50">
        <f ca="1">IFERROR(__xludf.DUMMYFUNCTION("""COMPUTED_VALUE"""),24)</f>
        <v>24</v>
      </c>
    </row>
    <row r="51" spans="1:8" ht="12.75">
      <c r="A51" t="str">
        <f ca="1">IFERROR(__xludf.DUMMYFUNCTION("""COMPUTED_VALUE"""),"T50")</f>
        <v>T50</v>
      </c>
      <c r="B51" t="str">
        <f ca="1">IFERROR(__xludf.DUMMYFUNCTION("""COMPUTED_VALUE"""),"T58")</f>
        <v>T58</v>
      </c>
      <c r="C51" t="str">
        <f ca="1">IFERROR(__xludf.DUMMYFUNCTION("""COMPUTED_VALUE"""),"Sebastian Cappelen")</f>
        <v>Sebastian Cappelen</v>
      </c>
      <c r="D51">
        <f ca="1">IFERROR(__xludf.DUMMYFUNCTION("""COMPUTED_VALUE"""),8)</f>
        <v>8</v>
      </c>
      <c r="E51">
        <f ca="1">IFERROR(__xludf.DUMMYFUNCTION("""COMPUTED_VALUE"""),28.25)</f>
        <v>28.25</v>
      </c>
      <c r="F51">
        <f ca="1">IFERROR(__xludf.DUMMYFUNCTION("""COMPUTED_VALUE"""),226)</f>
        <v>226</v>
      </c>
      <c r="G51">
        <f ca="1">IFERROR(__xludf.DUMMYFUNCTION("""COMPUTED_VALUE"""),8)</f>
        <v>8</v>
      </c>
      <c r="H51">
        <f ca="1">IFERROR(__xludf.DUMMYFUNCTION("""COMPUTED_VALUE"""),26)</f>
        <v>26</v>
      </c>
    </row>
    <row r="52" spans="1:8" ht="12.75">
      <c r="A52" t="str">
        <f ca="1">IFERROR(__xludf.DUMMYFUNCTION("""COMPUTED_VALUE"""),"T50")</f>
        <v>T50</v>
      </c>
      <c r="B52" t="str">
        <f ca="1">IFERROR(__xludf.DUMMYFUNCTION("""COMPUTED_VALUE"""),"T58")</f>
        <v>T58</v>
      </c>
      <c r="C52" t="str">
        <f ca="1">IFERROR(__xludf.DUMMYFUNCTION("""COMPUTED_VALUE"""),"Tae Hee Lee")</f>
        <v>Tae Hee Lee</v>
      </c>
      <c r="D52">
        <f ca="1">IFERROR(__xludf.DUMMYFUNCTION("""COMPUTED_VALUE"""),4)</f>
        <v>4</v>
      </c>
      <c r="E52">
        <f ca="1">IFERROR(__xludf.DUMMYFUNCTION("""COMPUTED_VALUE"""),28.25)</f>
        <v>28.25</v>
      </c>
      <c r="F52">
        <f ca="1">IFERROR(__xludf.DUMMYFUNCTION("""COMPUTED_VALUE"""),113)</f>
        <v>113</v>
      </c>
      <c r="G52">
        <f ca="1">IFERROR(__xludf.DUMMYFUNCTION("""COMPUTED_VALUE"""),4)</f>
        <v>4</v>
      </c>
      <c r="H52">
        <f ca="1">IFERROR(__xludf.DUMMYFUNCTION("""COMPUTED_VALUE"""),27)</f>
        <v>27</v>
      </c>
    </row>
    <row r="53" spans="1:8" ht="12.75">
      <c r="A53" t="str">
        <f ca="1">IFERROR(__xludf.DUMMYFUNCTION("""COMPUTED_VALUE"""),"T50")</f>
        <v>T50</v>
      </c>
      <c r="B53" t="str">
        <f ca="1">IFERROR(__xludf.DUMMYFUNCTION("""COMPUTED_VALUE"""),"T58")</f>
        <v>T58</v>
      </c>
      <c r="C53" t="str">
        <f ca="1">IFERROR(__xludf.DUMMYFUNCTION("""COMPUTED_VALUE"""),"Renato Paratore")</f>
        <v>Renato Paratore</v>
      </c>
      <c r="D53">
        <f ca="1">IFERROR(__xludf.DUMMYFUNCTION("""COMPUTED_VALUE"""),4)</f>
        <v>4</v>
      </c>
      <c r="E53">
        <f ca="1">IFERROR(__xludf.DUMMYFUNCTION("""COMPUTED_VALUE"""),28.25)</f>
        <v>28.25</v>
      </c>
      <c r="F53">
        <f ca="1">IFERROR(__xludf.DUMMYFUNCTION("""COMPUTED_VALUE"""),113)</f>
        <v>113</v>
      </c>
      <c r="G53">
        <f ca="1">IFERROR(__xludf.DUMMYFUNCTION("""COMPUTED_VALUE"""),4)</f>
        <v>4</v>
      </c>
      <c r="H53">
        <f ca="1">IFERROR(__xludf.DUMMYFUNCTION("""COMPUTED_VALUE"""),26)</f>
        <v>26</v>
      </c>
    </row>
    <row r="54" spans="1:8" ht="12.75">
      <c r="A54" t="str">
        <f ca="1">IFERROR(__xludf.DUMMYFUNCTION("""COMPUTED_VALUE"""),"T50")</f>
        <v>T50</v>
      </c>
      <c r="B54" t="str">
        <f ca="1">IFERROR(__xludf.DUMMYFUNCTION("""COMPUTED_VALUE"""),"T58")</f>
        <v>T58</v>
      </c>
      <c r="C54" t="str">
        <f ca="1">IFERROR(__xludf.DUMMYFUNCTION("""COMPUTED_VALUE"""),"Lucas Herbert")</f>
        <v>Lucas Herbert</v>
      </c>
      <c r="D54">
        <f ca="1">IFERROR(__xludf.DUMMYFUNCTION("""COMPUTED_VALUE"""),4)</f>
        <v>4</v>
      </c>
      <c r="E54">
        <f ca="1">IFERROR(__xludf.DUMMYFUNCTION("""COMPUTED_VALUE"""),28.25)</f>
        <v>28.25</v>
      </c>
      <c r="F54">
        <f ca="1">IFERROR(__xludf.DUMMYFUNCTION("""COMPUTED_VALUE"""),113)</f>
        <v>113</v>
      </c>
      <c r="G54">
        <f ca="1">IFERROR(__xludf.DUMMYFUNCTION("""COMPUTED_VALUE"""),4)</f>
        <v>4</v>
      </c>
      <c r="H54">
        <f ca="1">IFERROR(__xludf.DUMMYFUNCTION("""COMPUTED_VALUE"""),27)</f>
        <v>27</v>
      </c>
    </row>
    <row r="55" spans="1:8" ht="12.75">
      <c r="A55">
        <f ca="1">IFERROR(__xludf.DUMMYFUNCTION("""COMPUTED_VALUE"""),54)</f>
        <v>54</v>
      </c>
      <c r="B55">
        <f ca="1">IFERROR(__xludf.DUMMYFUNCTION("""COMPUTED_VALUE"""),48)</f>
        <v>48</v>
      </c>
      <c r="C55" t="str">
        <f ca="1">IFERROR(__xludf.DUMMYFUNCTION("""COMPUTED_VALUE"""),"Beau Hossler")</f>
        <v>Beau Hossler</v>
      </c>
      <c r="D55">
        <f ca="1">IFERROR(__xludf.DUMMYFUNCTION("""COMPUTED_VALUE"""),22)</f>
        <v>22</v>
      </c>
      <c r="E55">
        <f ca="1">IFERROR(__xludf.DUMMYFUNCTION("""COMPUTED_VALUE"""),28.27)</f>
        <v>28.27</v>
      </c>
      <c r="F55">
        <f ca="1">IFERROR(__xludf.DUMMYFUNCTION("""COMPUTED_VALUE"""),622)</f>
        <v>622</v>
      </c>
      <c r="G55">
        <f ca="1">IFERROR(__xludf.DUMMYFUNCTION("""COMPUTED_VALUE"""),22)</f>
        <v>22</v>
      </c>
      <c r="H55">
        <f ca="1">IFERROR(__xludf.DUMMYFUNCTION("""COMPUTED_VALUE"""),22)</f>
        <v>22</v>
      </c>
    </row>
    <row r="56" spans="1:8" ht="12.75">
      <c r="A56">
        <f ca="1">IFERROR(__xludf.DUMMYFUNCTION("""COMPUTED_VALUE"""),55)</f>
        <v>55</v>
      </c>
      <c r="B56" t="str">
        <f ca="1">IFERROR(__xludf.DUMMYFUNCTION("""COMPUTED_VALUE"""),"T73")</f>
        <v>T73</v>
      </c>
      <c r="C56" t="str">
        <f ca="1">IFERROR(__xludf.DUMMYFUNCTION("""COMPUTED_VALUE"""),"Hideki Matsuyama")</f>
        <v>Hideki Matsuyama</v>
      </c>
      <c r="D56">
        <f ca="1">IFERROR(__xludf.DUMMYFUNCTION("""COMPUTED_VALUE"""),18)</f>
        <v>18</v>
      </c>
      <c r="E56">
        <f ca="1">IFERROR(__xludf.DUMMYFUNCTION("""COMPUTED_VALUE"""),28.28)</f>
        <v>28.28</v>
      </c>
      <c r="F56">
        <f ca="1">IFERROR(__xludf.DUMMYFUNCTION("""COMPUTED_VALUE"""),509)</f>
        <v>509</v>
      </c>
      <c r="G56">
        <f ca="1">IFERROR(__xludf.DUMMYFUNCTION("""COMPUTED_VALUE"""),18)</f>
        <v>18</v>
      </c>
      <c r="H56">
        <f ca="1">IFERROR(__xludf.DUMMYFUNCTION("""COMPUTED_VALUE"""),24)</f>
        <v>24</v>
      </c>
    </row>
    <row r="57" spans="1:8" ht="12.75">
      <c r="A57">
        <f ca="1">IFERROR(__xludf.DUMMYFUNCTION("""COMPUTED_VALUE"""),56)</f>
        <v>56</v>
      </c>
      <c r="B57" t="str">
        <f ca="1">IFERROR(__xludf.DUMMYFUNCTION("""COMPUTED_VALUE"""),"T67")</f>
        <v>T67</v>
      </c>
      <c r="C57" t="str">
        <f ca="1">IFERROR(__xludf.DUMMYFUNCTION("""COMPUTED_VALUE"""),"J.J. Spaun")</f>
        <v>J.J. Spaun</v>
      </c>
      <c r="D57">
        <f ca="1">IFERROR(__xludf.DUMMYFUNCTION("""COMPUTED_VALUE"""),10)</f>
        <v>10</v>
      </c>
      <c r="E57">
        <f ca="1">IFERROR(__xludf.DUMMYFUNCTION("""COMPUTED_VALUE"""),28.3)</f>
        <v>28.3</v>
      </c>
      <c r="F57">
        <f ca="1">IFERROR(__xludf.DUMMYFUNCTION("""COMPUTED_VALUE"""),283)</f>
        <v>283</v>
      </c>
      <c r="G57">
        <f ca="1">IFERROR(__xludf.DUMMYFUNCTION("""COMPUTED_VALUE"""),10)</f>
        <v>10</v>
      </c>
      <c r="H57">
        <f ca="1">IFERROR(__xludf.DUMMYFUNCTION("""COMPUTED_VALUE"""),23)</f>
        <v>23</v>
      </c>
    </row>
    <row r="58" spans="1:8" ht="12.75">
      <c r="A58">
        <f ca="1">IFERROR(__xludf.DUMMYFUNCTION("""COMPUTED_VALUE"""),57)</f>
        <v>57</v>
      </c>
      <c r="B58">
        <f ca="1">IFERROR(__xludf.DUMMYFUNCTION("""COMPUTED_VALUE"""),57)</f>
        <v>57</v>
      </c>
      <c r="C58" t="str">
        <f ca="1">IFERROR(__xludf.DUMMYFUNCTION("""COMPUTED_VALUE"""),"David Hearn")</f>
        <v>David Hearn</v>
      </c>
      <c r="D58">
        <f ca="1">IFERROR(__xludf.DUMMYFUNCTION("""COMPUTED_VALUE"""),16)</f>
        <v>16</v>
      </c>
      <c r="E58">
        <f ca="1">IFERROR(__xludf.DUMMYFUNCTION("""COMPUTED_VALUE"""),28.31)</f>
        <v>28.31</v>
      </c>
      <c r="F58">
        <f ca="1">IFERROR(__xludf.DUMMYFUNCTION("""COMPUTED_VALUE"""),453)</f>
        <v>453</v>
      </c>
      <c r="G58">
        <f ca="1">IFERROR(__xludf.DUMMYFUNCTION("""COMPUTED_VALUE"""),16)</f>
        <v>16</v>
      </c>
      <c r="H58">
        <f ca="1">IFERROR(__xludf.DUMMYFUNCTION("""COMPUTED_VALUE"""),22)</f>
        <v>22</v>
      </c>
    </row>
    <row r="59" spans="1:8" ht="12.75">
      <c r="A59">
        <f ca="1">IFERROR(__xludf.DUMMYFUNCTION("""COMPUTED_VALUE"""),58)</f>
        <v>58</v>
      </c>
      <c r="B59">
        <f ca="1">IFERROR(__xludf.DUMMYFUNCTION("""COMPUTED_VALUE"""),65)</f>
        <v>65</v>
      </c>
      <c r="C59" t="str">
        <f ca="1">IFERROR(__xludf.DUMMYFUNCTION("""COMPUTED_VALUE"""),"Sepp Straka")</f>
        <v>Sepp Straka</v>
      </c>
      <c r="D59">
        <f ca="1">IFERROR(__xludf.DUMMYFUNCTION("""COMPUTED_VALUE"""),22)</f>
        <v>22</v>
      </c>
      <c r="E59">
        <f ca="1">IFERROR(__xludf.DUMMYFUNCTION("""COMPUTED_VALUE"""),28.32)</f>
        <v>28.32</v>
      </c>
      <c r="F59">
        <f ca="1">IFERROR(__xludf.DUMMYFUNCTION("""COMPUTED_VALUE"""),623)</f>
        <v>623</v>
      </c>
      <c r="G59">
        <f ca="1">IFERROR(__xludf.DUMMYFUNCTION("""COMPUTED_VALUE"""),22)</f>
        <v>22</v>
      </c>
      <c r="H59">
        <f ca="1">IFERROR(__xludf.DUMMYFUNCTION("""COMPUTED_VALUE"""),25)</f>
        <v>25</v>
      </c>
    </row>
    <row r="60" spans="1:8" ht="12.75">
      <c r="A60">
        <f ca="1">IFERROR(__xludf.DUMMYFUNCTION("""COMPUTED_VALUE"""),59)</f>
        <v>59</v>
      </c>
      <c r="B60" t="str">
        <f ca="1">IFERROR(__xludf.DUMMYFUNCTION("""COMPUTED_VALUE"""),"T7")</f>
        <v>T7</v>
      </c>
      <c r="C60" t="str">
        <f ca="1">IFERROR(__xludf.DUMMYFUNCTION("""COMPUTED_VALUE"""),"Ollie Schniederjans")</f>
        <v>Ollie Schniederjans</v>
      </c>
      <c r="D60">
        <f ca="1">IFERROR(__xludf.DUMMYFUNCTION("""COMPUTED_VALUE"""),6)</f>
        <v>6</v>
      </c>
      <c r="E60">
        <f ca="1">IFERROR(__xludf.DUMMYFUNCTION("""COMPUTED_VALUE"""),28.33)</f>
        <v>28.33</v>
      </c>
      <c r="F60">
        <f ca="1">IFERROR(__xludf.DUMMYFUNCTION("""COMPUTED_VALUE"""),170)</f>
        <v>170</v>
      </c>
      <c r="G60">
        <f ca="1">IFERROR(__xludf.DUMMYFUNCTION("""COMPUTED_VALUE"""),6)</f>
        <v>6</v>
      </c>
      <c r="H60">
        <f ca="1">IFERROR(__xludf.DUMMYFUNCTION("""COMPUTED_VALUE"""),23)</f>
        <v>23</v>
      </c>
    </row>
    <row r="61" spans="1:8" ht="12.75">
      <c r="A61" t="str">
        <f ca="1">IFERROR(__xludf.DUMMYFUNCTION("""COMPUTED_VALUE"""),"T60")</f>
        <v>T60</v>
      </c>
      <c r="B61" t="str">
        <f ca="1">IFERROR(__xludf.DUMMYFUNCTION("""COMPUTED_VALUE"""),"T70")</f>
        <v>T70</v>
      </c>
      <c r="C61" t="str">
        <f ca="1">IFERROR(__xludf.DUMMYFUNCTION("""COMPUTED_VALUE"""),"Martin Trainer")</f>
        <v>Martin Trainer</v>
      </c>
      <c r="D61">
        <f ca="1">IFERROR(__xludf.DUMMYFUNCTION("""COMPUTED_VALUE"""),10)</f>
        <v>10</v>
      </c>
      <c r="E61">
        <f ca="1">IFERROR(__xludf.DUMMYFUNCTION("""COMPUTED_VALUE"""),28.4)</f>
        <v>28.4</v>
      </c>
      <c r="F61">
        <f ca="1">IFERROR(__xludf.DUMMYFUNCTION("""COMPUTED_VALUE"""),284)</f>
        <v>284</v>
      </c>
      <c r="G61">
        <f ca="1">IFERROR(__xludf.DUMMYFUNCTION("""COMPUTED_VALUE"""),10)</f>
        <v>10</v>
      </c>
      <c r="H61">
        <f ca="1">IFERROR(__xludf.DUMMYFUNCTION("""COMPUTED_VALUE"""),23)</f>
        <v>23</v>
      </c>
    </row>
    <row r="62" spans="1:8" ht="12.75">
      <c r="A62" t="str">
        <f ca="1">IFERROR(__xludf.DUMMYFUNCTION("""COMPUTED_VALUE"""),"T60")</f>
        <v>T60</v>
      </c>
      <c r="B62">
        <f ca="1">IFERROR(__xludf.DUMMYFUNCTION("""COMPUTED_VALUE"""),41)</f>
        <v>41</v>
      </c>
      <c r="C62" t="str">
        <f ca="1">IFERROR(__xludf.DUMMYFUNCTION("""COMPUTED_VALUE"""),"C.T. Pan")</f>
        <v>C.T. Pan</v>
      </c>
      <c r="D62">
        <f ca="1">IFERROR(__xludf.DUMMYFUNCTION("""COMPUTED_VALUE"""),20)</f>
        <v>20</v>
      </c>
      <c r="E62">
        <f ca="1">IFERROR(__xludf.DUMMYFUNCTION("""COMPUTED_VALUE"""),28.4)</f>
        <v>28.4</v>
      </c>
      <c r="F62">
        <f ca="1">IFERROR(__xludf.DUMMYFUNCTION("""COMPUTED_VALUE"""),568)</f>
        <v>568</v>
      </c>
      <c r="G62">
        <f ca="1">IFERROR(__xludf.DUMMYFUNCTION("""COMPUTED_VALUE"""),20)</f>
        <v>20</v>
      </c>
      <c r="H62">
        <f ca="1">IFERROR(__xludf.DUMMYFUNCTION("""COMPUTED_VALUE"""),25)</f>
        <v>25</v>
      </c>
    </row>
    <row r="63" spans="1:8" ht="12.75">
      <c r="A63" t="str">
        <f ca="1">IFERROR(__xludf.DUMMYFUNCTION("""COMPUTED_VALUE"""),"T62")</f>
        <v>T62</v>
      </c>
      <c r="B63" t="str">
        <f ca="1">IFERROR(__xludf.DUMMYFUNCTION("""COMPUTED_VALUE"""),"T73")</f>
        <v>T73</v>
      </c>
      <c r="C63" t="str">
        <f ca="1">IFERROR(__xludf.DUMMYFUNCTION("""COMPUTED_VALUE"""),"Brendon Todd")</f>
        <v>Brendon Todd</v>
      </c>
      <c r="D63">
        <f ca="1">IFERROR(__xludf.DUMMYFUNCTION("""COMPUTED_VALUE"""),14)</f>
        <v>14</v>
      </c>
      <c r="E63">
        <f ca="1">IFERROR(__xludf.DUMMYFUNCTION("""COMPUTED_VALUE"""),28.43)</f>
        <v>28.43</v>
      </c>
      <c r="F63">
        <f ca="1">IFERROR(__xludf.DUMMYFUNCTION("""COMPUTED_VALUE"""),398)</f>
        <v>398</v>
      </c>
      <c r="G63">
        <f ca="1">IFERROR(__xludf.DUMMYFUNCTION("""COMPUTED_VALUE"""),14)</f>
        <v>14</v>
      </c>
      <c r="H63">
        <f ca="1">IFERROR(__xludf.DUMMYFUNCTION("""COMPUTED_VALUE"""),26)</f>
        <v>26</v>
      </c>
    </row>
    <row r="64" spans="1:8" ht="12.75">
      <c r="A64" t="str">
        <f ca="1">IFERROR(__xludf.DUMMYFUNCTION("""COMPUTED_VALUE"""),"T62")</f>
        <v>T62</v>
      </c>
      <c r="B64" t="str">
        <f ca="1">IFERROR(__xludf.DUMMYFUNCTION("""COMPUTED_VALUE"""),"T73")</f>
        <v>T73</v>
      </c>
      <c r="C64" t="str">
        <f ca="1">IFERROR(__xludf.DUMMYFUNCTION("""COMPUTED_VALUE"""),"Hank Lebioda")</f>
        <v>Hank Lebioda</v>
      </c>
      <c r="D64">
        <f ca="1">IFERROR(__xludf.DUMMYFUNCTION("""COMPUTED_VALUE"""),14)</f>
        <v>14</v>
      </c>
      <c r="E64">
        <f ca="1">IFERROR(__xludf.DUMMYFUNCTION("""COMPUTED_VALUE"""),28.43)</f>
        <v>28.43</v>
      </c>
      <c r="F64">
        <f ca="1">IFERROR(__xludf.DUMMYFUNCTION("""COMPUTED_VALUE"""),398)</f>
        <v>398</v>
      </c>
      <c r="G64">
        <f ca="1">IFERROR(__xludf.DUMMYFUNCTION("""COMPUTED_VALUE"""),14)</f>
        <v>14</v>
      </c>
      <c r="H64">
        <f ca="1">IFERROR(__xludf.DUMMYFUNCTION("""COMPUTED_VALUE"""),25)</f>
        <v>25</v>
      </c>
    </row>
    <row r="65" spans="1:8" ht="12.75">
      <c r="A65" t="str">
        <f ca="1">IFERROR(__xludf.DUMMYFUNCTION("""COMPUTED_VALUE"""),"T62")</f>
        <v>T62</v>
      </c>
      <c r="B65" t="str">
        <f ca="1">IFERROR(__xludf.DUMMYFUNCTION("""COMPUTED_VALUE"""),"T73")</f>
        <v>T73</v>
      </c>
      <c r="C65" t="str">
        <f ca="1">IFERROR(__xludf.DUMMYFUNCTION("""COMPUTED_VALUE"""),"Doug Ghim")</f>
        <v>Doug Ghim</v>
      </c>
      <c r="D65">
        <f ca="1">IFERROR(__xludf.DUMMYFUNCTION("""COMPUTED_VALUE"""),14)</f>
        <v>14</v>
      </c>
      <c r="E65">
        <f ca="1">IFERROR(__xludf.DUMMYFUNCTION("""COMPUTED_VALUE"""),28.43)</f>
        <v>28.43</v>
      </c>
      <c r="F65">
        <f ca="1">IFERROR(__xludf.DUMMYFUNCTION("""COMPUTED_VALUE"""),398)</f>
        <v>398</v>
      </c>
      <c r="G65">
        <f ca="1">IFERROR(__xludf.DUMMYFUNCTION("""COMPUTED_VALUE"""),14)</f>
        <v>14</v>
      </c>
      <c r="H65">
        <f ca="1">IFERROR(__xludf.DUMMYFUNCTION("""COMPUTED_VALUE"""),25)</f>
        <v>25</v>
      </c>
    </row>
    <row r="66" spans="1:8" ht="12.75">
      <c r="A66" t="str">
        <f ca="1">IFERROR(__xludf.DUMMYFUNCTION("""COMPUTED_VALUE"""),"T65")</f>
        <v>T65</v>
      </c>
      <c r="B66" t="str">
        <f ca="1">IFERROR(__xludf.DUMMYFUNCTION("""COMPUTED_VALUE"""),"T77")</f>
        <v>T77</v>
      </c>
      <c r="C66" t="str">
        <f ca="1">IFERROR(__xludf.DUMMYFUNCTION("""COMPUTED_VALUE"""),"Patrick Cantlay")</f>
        <v>Patrick Cantlay</v>
      </c>
      <c r="D66">
        <f ca="1">IFERROR(__xludf.DUMMYFUNCTION("""COMPUTED_VALUE"""),16)</f>
        <v>16</v>
      </c>
      <c r="E66">
        <f ca="1">IFERROR(__xludf.DUMMYFUNCTION("""COMPUTED_VALUE"""),28.44)</f>
        <v>28.44</v>
      </c>
      <c r="F66">
        <f ca="1">IFERROR(__xludf.DUMMYFUNCTION("""COMPUTED_VALUE"""),455)</f>
        <v>455</v>
      </c>
      <c r="G66">
        <f ca="1">IFERROR(__xludf.DUMMYFUNCTION("""COMPUTED_VALUE"""),16)</f>
        <v>16</v>
      </c>
      <c r="H66">
        <f ca="1">IFERROR(__xludf.DUMMYFUNCTION("""COMPUTED_VALUE"""),24)</f>
        <v>24</v>
      </c>
    </row>
    <row r="67" spans="1:8" ht="12.75">
      <c r="A67" t="str">
        <f ca="1">IFERROR(__xludf.DUMMYFUNCTION("""COMPUTED_VALUE"""),"T65")</f>
        <v>T65</v>
      </c>
      <c r="B67" t="str">
        <f ca="1">IFERROR(__xludf.DUMMYFUNCTION("""COMPUTED_VALUE"""),"T77")</f>
        <v>T77</v>
      </c>
      <c r="C67" t="str">
        <f ca="1">IFERROR(__xludf.DUMMYFUNCTION("""COMPUTED_VALUE"""),"Cameron Smith")</f>
        <v>Cameron Smith</v>
      </c>
      <c r="D67">
        <f ca="1">IFERROR(__xludf.DUMMYFUNCTION("""COMPUTED_VALUE"""),16)</f>
        <v>16</v>
      </c>
      <c r="E67">
        <f ca="1">IFERROR(__xludf.DUMMYFUNCTION("""COMPUTED_VALUE"""),28.44)</f>
        <v>28.44</v>
      </c>
      <c r="F67">
        <f ca="1">IFERROR(__xludf.DUMMYFUNCTION("""COMPUTED_VALUE"""),455)</f>
        <v>455</v>
      </c>
      <c r="G67">
        <f ca="1">IFERROR(__xludf.DUMMYFUNCTION("""COMPUTED_VALUE"""),16)</f>
        <v>16</v>
      </c>
      <c r="H67">
        <f ca="1">IFERROR(__xludf.DUMMYFUNCTION("""COMPUTED_VALUE"""),25)</f>
        <v>25</v>
      </c>
    </row>
    <row r="68" spans="1:8" ht="12.75">
      <c r="A68" t="str">
        <f ca="1">IFERROR(__xludf.DUMMYFUNCTION("""COMPUTED_VALUE"""),"T65")</f>
        <v>T65</v>
      </c>
      <c r="B68" t="str">
        <f ca="1">IFERROR(__xludf.DUMMYFUNCTION("""COMPUTED_VALUE"""),"T77")</f>
        <v>T77</v>
      </c>
      <c r="C68" t="str">
        <f ca="1">IFERROR(__xludf.DUMMYFUNCTION("""COMPUTED_VALUE"""),"Michael Gligic")</f>
        <v>Michael Gligic</v>
      </c>
      <c r="D68">
        <f ca="1">IFERROR(__xludf.DUMMYFUNCTION("""COMPUTED_VALUE"""),18)</f>
        <v>18</v>
      </c>
      <c r="E68">
        <f ca="1">IFERROR(__xludf.DUMMYFUNCTION("""COMPUTED_VALUE"""),28.44)</f>
        <v>28.44</v>
      </c>
      <c r="F68">
        <f ca="1">IFERROR(__xludf.DUMMYFUNCTION("""COMPUTED_VALUE"""),512)</f>
        <v>512</v>
      </c>
      <c r="G68">
        <f ca="1">IFERROR(__xludf.DUMMYFUNCTION("""COMPUTED_VALUE"""),18)</f>
        <v>18</v>
      </c>
      <c r="H68">
        <f ca="1">IFERROR(__xludf.DUMMYFUNCTION("""COMPUTED_VALUE"""),24)</f>
        <v>24</v>
      </c>
    </row>
    <row r="69" spans="1:8" ht="12.75">
      <c r="A69" t="str">
        <f ca="1">IFERROR(__xludf.DUMMYFUNCTION("""COMPUTED_VALUE"""),"T65")</f>
        <v>T65</v>
      </c>
      <c r="B69">
        <f ca="1">IFERROR(__xludf.DUMMYFUNCTION("""COMPUTED_VALUE"""),66)</f>
        <v>66</v>
      </c>
      <c r="C69" t="str">
        <f ca="1">IFERROR(__xludf.DUMMYFUNCTION("""COMPUTED_VALUE"""),"Patton Kizzire")</f>
        <v>Patton Kizzire</v>
      </c>
      <c r="D69">
        <f ca="1">IFERROR(__xludf.DUMMYFUNCTION("""COMPUTED_VALUE"""),18)</f>
        <v>18</v>
      </c>
      <c r="E69">
        <f ca="1">IFERROR(__xludf.DUMMYFUNCTION("""COMPUTED_VALUE"""),28.44)</f>
        <v>28.44</v>
      </c>
      <c r="F69">
        <f ca="1">IFERROR(__xludf.DUMMYFUNCTION("""COMPUTED_VALUE"""),512)</f>
        <v>512</v>
      </c>
      <c r="G69">
        <f ca="1">IFERROR(__xludf.DUMMYFUNCTION("""COMPUTED_VALUE"""),18)</f>
        <v>18</v>
      </c>
      <c r="H69">
        <f ca="1">IFERROR(__xludf.DUMMYFUNCTION("""COMPUTED_VALUE"""),25)</f>
        <v>25</v>
      </c>
    </row>
    <row r="70" spans="1:8" ht="12.75">
      <c r="A70" t="str">
        <f ca="1">IFERROR(__xludf.DUMMYFUNCTION("""COMPUTED_VALUE"""),"T69")</f>
        <v>T69</v>
      </c>
      <c r="B70" t="str">
        <f ca="1">IFERROR(__xludf.DUMMYFUNCTION("""COMPUTED_VALUE"""),"T94")</f>
        <v>T94</v>
      </c>
      <c r="C70" t="str">
        <f ca="1">IFERROR(__xludf.DUMMYFUNCTION("""COMPUTED_VALUE"""),"Kelly Kraft")</f>
        <v>Kelly Kraft</v>
      </c>
      <c r="D70">
        <f ca="1">IFERROR(__xludf.DUMMYFUNCTION("""COMPUTED_VALUE"""),14)</f>
        <v>14</v>
      </c>
      <c r="E70">
        <f ca="1">IFERROR(__xludf.DUMMYFUNCTION("""COMPUTED_VALUE"""),28.5)</f>
        <v>28.5</v>
      </c>
      <c r="F70">
        <f ca="1">IFERROR(__xludf.DUMMYFUNCTION("""COMPUTED_VALUE"""),399)</f>
        <v>399</v>
      </c>
      <c r="G70">
        <f ca="1">IFERROR(__xludf.DUMMYFUNCTION("""COMPUTED_VALUE"""),14)</f>
        <v>14</v>
      </c>
      <c r="H70">
        <f ca="1">IFERROR(__xludf.DUMMYFUNCTION("""COMPUTED_VALUE"""),26)</f>
        <v>26</v>
      </c>
    </row>
    <row r="71" spans="1:8" ht="12.75">
      <c r="A71" t="str">
        <f ca="1">IFERROR(__xludf.DUMMYFUNCTION("""COMPUTED_VALUE"""),"T69")</f>
        <v>T69</v>
      </c>
      <c r="B71" t="str">
        <f ca="1">IFERROR(__xludf.DUMMYFUNCTION("""COMPUTED_VALUE"""),"T49")</f>
        <v>T49</v>
      </c>
      <c r="C71" t="str">
        <f ca="1">IFERROR(__xludf.DUMMYFUNCTION("""COMPUTED_VALUE"""),"Russell Henley")</f>
        <v>Russell Henley</v>
      </c>
      <c r="D71">
        <f ca="1">IFERROR(__xludf.DUMMYFUNCTION("""COMPUTED_VALUE"""),16)</f>
        <v>16</v>
      </c>
      <c r="E71">
        <f ca="1">IFERROR(__xludf.DUMMYFUNCTION("""COMPUTED_VALUE"""),28.5)</f>
        <v>28.5</v>
      </c>
      <c r="F71">
        <f ca="1">IFERROR(__xludf.DUMMYFUNCTION("""COMPUTED_VALUE"""),456)</f>
        <v>456</v>
      </c>
      <c r="G71">
        <f ca="1">IFERROR(__xludf.DUMMYFUNCTION("""COMPUTED_VALUE"""),16)</f>
        <v>16</v>
      </c>
      <c r="H71">
        <f ca="1">IFERROR(__xludf.DUMMYFUNCTION("""COMPUTED_VALUE"""),25)</f>
        <v>25</v>
      </c>
    </row>
    <row r="72" spans="1:8" ht="12.75">
      <c r="A72" t="str">
        <f ca="1">IFERROR(__xludf.DUMMYFUNCTION("""COMPUTED_VALUE"""),"T69")</f>
        <v>T69</v>
      </c>
      <c r="B72" t="str">
        <f ca="1">IFERROR(__xludf.DUMMYFUNCTION("""COMPUTED_VALUE"""),"T80")</f>
        <v>T80</v>
      </c>
      <c r="C72" t="str">
        <f ca="1">IFERROR(__xludf.DUMMYFUNCTION("""COMPUTED_VALUE"""),"Hanbyeol Kim")</f>
        <v>Hanbyeol Kim</v>
      </c>
      <c r="D72">
        <f ca="1">IFERROR(__xludf.DUMMYFUNCTION("""COMPUTED_VALUE"""),4)</f>
        <v>4</v>
      </c>
      <c r="E72">
        <f ca="1">IFERROR(__xludf.DUMMYFUNCTION("""COMPUTED_VALUE"""),28.5)</f>
        <v>28.5</v>
      </c>
      <c r="F72">
        <f ca="1">IFERROR(__xludf.DUMMYFUNCTION("""COMPUTED_VALUE"""),114)</f>
        <v>114</v>
      </c>
      <c r="G72">
        <f ca="1">IFERROR(__xludf.DUMMYFUNCTION("""COMPUTED_VALUE"""),4)</f>
        <v>4</v>
      </c>
      <c r="H72">
        <f ca="1">IFERROR(__xludf.DUMMYFUNCTION("""COMPUTED_VALUE"""),27)</f>
        <v>27</v>
      </c>
    </row>
    <row r="73" spans="1:8" ht="12.75">
      <c r="A73" t="str">
        <f ca="1">IFERROR(__xludf.DUMMYFUNCTION("""COMPUTED_VALUE"""),"T69")</f>
        <v>T69</v>
      </c>
      <c r="B73" t="str">
        <f ca="1">IFERROR(__xludf.DUMMYFUNCTION("""COMPUTED_VALUE"""),"T80")</f>
        <v>T80</v>
      </c>
      <c r="C73" t="str">
        <f ca="1">IFERROR(__xludf.DUMMYFUNCTION("""COMPUTED_VALUE"""),"Taylor Pendrith")</f>
        <v>Taylor Pendrith</v>
      </c>
      <c r="D73">
        <f ca="1">IFERROR(__xludf.DUMMYFUNCTION("""COMPUTED_VALUE"""),4)</f>
        <v>4</v>
      </c>
      <c r="E73">
        <f ca="1">IFERROR(__xludf.DUMMYFUNCTION("""COMPUTED_VALUE"""),28.5)</f>
        <v>28.5</v>
      </c>
      <c r="F73">
        <f ca="1">IFERROR(__xludf.DUMMYFUNCTION("""COMPUTED_VALUE"""),114)</f>
        <v>114</v>
      </c>
      <c r="G73">
        <f ca="1">IFERROR(__xludf.DUMMYFUNCTION("""COMPUTED_VALUE"""),4)</f>
        <v>4</v>
      </c>
      <c r="H73">
        <f ca="1">IFERROR(__xludf.DUMMYFUNCTION("""COMPUTED_VALUE"""),27)</f>
        <v>27</v>
      </c>
    </row>
    <row r="74" spans="1:8" ht="12.75">
      <c r="A74" t="str">
        <f ca="1">IFERROR(__xludf.DUMMYFUNCTION("""COMPUTED_VALUE"""),"T69")</f>
        <v>T69</v>
      </c>
      <c r="B74" t="str">
        <f ca="1">IFERROR(__xludf.DUMMYFUNCTION("""COMPUTED_VALUE"""),"T67")</f>
        <v>T67</v>
      </c>
      <c r="C74" t="str">
        <f ca="1">IFERROR(__xludf.DUMMYFUNCTION("""COMPUTED_VALUE"""),"Michael Kim")</f>
        <v>Michael Kim</v>
      </c>
      <c r="D74">
        <f ca="1">IFERROR(__xludf.DUMMYFUNCTION("""COMPUTED_VALUE"""),12)</f>
        <v>12</v>
      </c>
      <c r="E74">
        <f ca="1">IFERROR(__xludf.DUMMYFUNCTION("""COMPUTED_VALUE"""),28.5)</f>
        <v>28.5</v>
      </c>
      <c r="F74">
        <f ca="1">IFERROR(__xludf.DUMMYFUNCTION("""COMPUTED_VALUE"""),342)</f>
        <v>342</v>
      </c>
      <c r="G74">
        <f ca="1">IFERROR(__xludf.DUMMYFUNCTION("""COMPUTED_VALUE"""),12)</f>
        <v>12</v>
      </c>
      <c r="H74">
        <f ca="1">IFERROR(__xludf.DUMMYFUNCTION("""COMPUTED_VALUE"""),23)</f>
        <v>23</v>
      </c>
    </row>
    <row r="75" spans="1:8" ht="12.75">
      <c r="A75" t="str">
        <f ca="1">IFERROR(__xludf.DUMMYFUNCTION("""COMPUTED_VALUE"""),"T69")</f>
        <v>T69</v>
      </c>
      <c r="B75" t="str">
        <f ca="1">IFERROR(__xludf.DUMMYFUNCTION("""COMPUTED_VALUE"""),"T58")</f>
        <v>T58</v>
      </c>
      <c r="C75" t="str">
        <f ca="1">IFERROR(__xludf.DUMMYFUNCTION("""COMPUTED_VALUE"""),"Kevin Streelman")</f>
        <v>Kevin Streelman</v>
      </c>
      <c r="D75">
        <f ca="1">IFERROR(__xludf.DUMMYFUNCTION("""COMPUTED_VALUE"""),18)</f>
        <v>18</v>
      </c>
      <c r="E75">
        <f ca="1">IFERROR(__xludf.DUMMYFUNCTION("""COMPUTED_VALUE"""),28.5)</f>
        <v>28.5</v>
      </c>
      <c r="F75">
        <f ca="1">IFERROR(__xludf.DUMMYFUNCTION("""COMPUTED_VALUE"""),513)</f>
        <v>513</v>
      </c>
      <c r="G75">
        <f ca="1">IFERROR(__xludf.DUMMYFUNCTION("""COMPUTED_VALUE"""),18)</f>
        <v>18</v>
      </c>
      <c r="H75">
        <f ca="1">IFERROR(__xludf.DUMMYFUNCTION("""COMPUTED_VALUE"""),23)</f>
        <v>23</v>
      </c>
    </row>
    <row r="76" spans="1:8" ht="12.75">
      <c r="A76" t="str">
        <f ca="1">IFERROR(__xludf.DUMMYFUNCTION("""COMPUTED_VALUE"""),"T69")</f>
        <v>T69</v>
      </c>
      <c r="B76" t="str">
        <f ca="1">IFERROR(__xludf.DUMMYFUNCTION("""COMPUTED_VALUE"""),"T80")</f>
        <v>T80</v>
      </c>
      <c r="C76" t="str">
        <f ca="1">IFERROR(__xludf.DUMMYFUNCTION("""COMPUTED_VALUE"""),"Shaun Norris")</f>
        <v>Shaun Norris</v>
      </c>
      <c r="D76">
        <f ca="1">IFERROR(__xludf.DUMMYFUNCTION("""COMPUTED_VALUE"""),6)</f>
        <v>6</v>
      </c>
      <c r="E76">
        <f ca="1">IFERROR(__xludf.DUMMYFUNCTION("""COMPUTED_VALUE"""),28.5)</f>
        <v>28.5</v>
      </c>
      <c r="F76">
        <f ca="1">IFERROR(__xludf.DUMMYFUNCTION("""COMPUTED_VALUE"""),171)</f>
        <v>171</v>
      </c>
      <c r="G76">
        <f ca="1">IFERROR(__xludf.DUMMYFUNCTION("""COMPUTED_VALUE"""),6)</f>
        <v>6</v>
      </c>
      <c r="H76">
        <f ca="1">IFERROR(__xludf.DUMMYFUNCTION("""COMPUTED_VALUE"""),25)</f>
        <v>25</v>
      </c>
    </row>
    <row r="77" spans="1:8" ht="12.75">
      <c r="A77" t="str">
        <f ca="1">IFERROR(__xludf.DUMMYFUNCTION("""COMPUTED_VALUE"""),"T69")</f>
        <v>T69</v>
      </c>
      <c r="B77" t="str">
        <f ca="1">IFERROR(__xludf.DUMMYFUNCTION("""COMPUTED_VALUE"""),"T44")</f>
        <v>T44</v>
      </c>
      <c r="C77" t="str">
        <f ca="1">IFERROR(__xludf.DUMMYFUNCTION("""COMPUTED_VALUE"""),"Jimmy Walker")</f>
        <v>Jimmy Walker</v>
      </c>
      <c r="D77">
        <f ca="1">IFERROR(__xludf.DUMMYFUNCTION("""COMPUTED_VALUE"""),10)</f>
        <v>10</v>
      </c>
      <c r="E77">
        <f ca="1">IFERROR(__xludf.DUMMYFUNCTION("""COMPUTED_VALUE"""),28.5)</f>
        <v>28.5</v>
      </c>
      <c r="F77">
        <f ca="1">IFERROR(__xludf.DUMMYFUNCTION("""COMPUTED_VALUE"""),285)</f>
        <v>285</v>
      </c>
      <c r="G77">
        <f ca="1">IFERROR(__xludf.DUMMYFUNCTION("""COMPUTED_VALUE"""),10)</f>
        <v>10</v>
      </c>
      <c r="H77">
        <f ca="1">IFERROR(__xludf.DUMMYFUNCTION("""COMPUTED_VALUE"""),23)</f>
        <v>23</v>
      </c>
    </row>
    <row r="78" spans="1:8" ht="12.75">
      <c r="A78" t="str">
        <f ca="1">IFERROR(__xludf.DUMMYFUNCTION("""COMPUTED_VALUE"""),"T77")</f>
        <v>T77</v>
      </c>
      <c r="B78" t="str">
        <f ca="1">IFERROR(__xludf.DUMMYFUNCTION("""COMPUTED_VALUE"""),"T44")</f>
        <v>T44</v>
      </c>
      <c r="C78" t="str">
        <f ca="1">IFERROR(__xludf.DUMMYFUNCTION("""COMPUTED_VALUE"""),"Matt Jones")</f>
        <v>Matt Jones</v>
      </c>
      <c r="D78">
        <f ca="1">IFERROR(__xludf.DUMMYFUNCTION("""COMPUTED_VALUE"""),20)</f>
        <v>20</v>
      </c>
      <c r="E78">
        <f ca="1">IFERROR(__xludf.DUMMYFUNCTION("""COMPUTED_VALUE"""),28.55)</f>
        <v>28.55</v>
      </c>
      <c r="F78">
        <f ca="1">IFERROR(__xludf.DUMMYFUNCTION("""COMPUTED_VALUE"""),571)</f>
        <v>571</v>
      </c>
      <c r="G78">
        <f ca="1">IFERROR(__xludf.DUMMYFUNCTION("""COMPUTED_VALUE"""),20)</f>
        <v>20</v>
      </c>
      <c r="H78">
        <f ca="1">IFERROR(__xludf.DUMMYFUNCTION("""COMPUTED_VALUE"""),25)</f>
        <v>25</v>
      </c>
    </row>
    <row r="79" spans="1:8" ht="12.75">
      <c r="A79" t="str">
        <f ca="1">IFERROR(__xludf.DUMMYFUNCTION("""COMPUTED_VALUE"""),"T77")</f>
        <v>T77</v>
      </c>
      <c r="B79">
        <f ca="1">IFERROR(__xludf.DUMMYFUNCTION("""COMPUTED_VALUE"""),72)</f>
        <v>72</v>
      </c>
      <c r="C79" t="str">
        <f ca="1">IFERROR(__xludf.DUMMYFUNCTION("""COMPUTED_VALUE"""),"Adam Long")</f>
        <v>Adam Long</v>
      </c>
      <c r="D79">
        <f ca="1">IFERROR(__xludf.DUMMYFUNCTION("""COMPUTED_VALUE"""),22)</f>
        <v>22</v>
      </c>
      <c r="E79">
        <f ca="1">IFERROR(__xludf.DUMMYFUNCTION("""COMPUTED_VALUE"""),28.55)</f>
        <v>28.55</v>
      </c>
      <c r="F79">
        <f ca="1">IFERROR(__xludf.DUMMYFUNCTION("""COMPUTED_VALUE"""),628)</f>
        <v>628</v>
      </c>
      <c r="G79">
        <f ca="1">IFERROR(__xludf.DUMMYFUNCTION("""COMPUTED_VALUE"""),22)</f>
        <v>22</v>
      </c>
      <c r="H79">
        <f ca="1">IFERROR(__xludf.DUMMYFUNCTION("""COMPUTED_VALUE"""),22)</f>
        <v>22</v>
      </c>
    </row>
    <row r="80" spans="1:8" ht="12.75">
      <c r="A80">
        <f ca="1">IFERROR(__xludf.DUMMYFUNCTION("""COMPUTED_VALUE"""),79)</f>
        <v>79</v>
      </c>
      <c r="B80" t="str">
        <f ca="1">IFERROR(__xludf.DUMMYFUNCTION("""COMPUTED_VALUE"""),"T85")</f>
        <v>T85</v>
      </c>
      <c r="C80" t="str">
        <f ca="1">IFERROR(__xludf.DUMMYFUNCTION("""COMPUTED_VALUE"""),"Rob Oppenheim")</f>
        <v>Rob Oppenheim</v>
      </c>
      <c r="D80">
        <f ca="1">IFERROR(__xludf.DUMMYFUNCTION("""COMPUTED_VALUE"""),16)</f>
        <v>16</v>
      </c>
      <c r="E80">
        <f ca="1">IFERROR(__xludf.DUMMYFUNCTION("""COMPUTED_VALUE"""),28.56)</f>
        <v>28.56</v>
      </c>
      <c r="F80">
        <f ca="1">IFERROR(__xludf.DUMMYFUNCTION("""COMPUTED_VALUE"""),457)</f>
        <v>457</v>
      </c>
      <c r="G80">
        <f ca="1">IFERROR(__xludf.DUMMYFUNCTION("""COMPUTED_VALUE"""),16)</f>
        <v>16</v>
      </c>
      <c r="H80">
        <f ca="1">IFERROR(__xludf.DUMMYFUNCTION("""COMPUTED_VALUE"""),25)</f>
        <v>25</v>
      </c>
    </row>
    <row r="81" spans="1:8" ht="12.75">
      <c r="A81">
        <f ca="1">IFERROR(__xludf.DUMMYFUNCTION("""COMPUTED_VALUE"""),80)</f>
        <v>80</v>
      </c>
      <c r="B81" t="str">
        <f ca="1">IFERROR(__xludf.DUMMYFUNCTION("""COMPUTED_VALUE"""),"T129")</f>
        <v>T129</v>
      </c>
      <c r="C81" t="str">
        <f ca="1">IFERROR(__xludf.DUMMYFUNCTION("""COMPUTED_VALUE"""),"Hunter Mahan")</f>
        <v>Hunter Mahan</v>
      </c>
      <c r="D81">
        <f ca="1">IFERROR(__xludf.DUMMYFUNCTION("""COMPUTED_VALUE"""),14)</f>
        <v>14</v>
      </c>
      <c r="E81">
        <f ca="1">IFERROR(__xludf.DUMMYFUNCTION("""COMPUTED_VALUE"""),28.57)</f>
        <v>28.57</v>
      </c>
      <c r="F81">
        <f ca="1">IFERROR(__xludf.DUMMYFUNCTION("""COMPUTED_VALUE"""),400)</f>
        <v>400</v>
      </c>
      <c r="G81">
        <f ca="1">IFERROR(__xludf.DUMMYFUNCTION("""COMPUTED_VALUE"""),14)</f>
        <v>14</v>
      </c>
      <c r="H81">
        <f ca="1">IFERROR(__xludf.DUMMYFUNCTION("""COMPUTED_VALUE"""),26)</f>
        <v>26</v>
      </c>
    </row>
    <row r="82" spans="1:8" ht="12.75">
      <c r="A82" t="str">
        <f ca="1">IFERROR(__xludf.DUMMYFUNCTION("""COMPUTED_VALUE"""),"T81")</f>
        <v>T81</v>
      </c>
      <c r="B82">
        <f ca="1">IFERROR(__xludf.DUMMYFUNCTION("""COMPUTED_VALUE"""),113)</f>
        <v>113</v>
      </c>
      <c r="C82" t="str">
        <f ca="1">IFERROR(__xludf.DUMMYFUNCTION("""COMPUTED_VALUE"""),"D.A. Points")</f>
        <v>D.A. Points</v>
      </c>
      <c r="D82">
        <f ca="1">IFERROR(__xludf.DUMMYFUNCTION("""COMPUTED_VALUE"""),12)</f>
        <v>12</v>
      </c>
      <c r="E82">
        <f ca="1">IFERROR(__xludf.DUMMYFUNCTION("""COMPUTED_VALUE"""),28.58)</f>
        <v>28.58</v>
      </c>
      <c r="F82">
        <f ca="1">IFERROR(__xludf.DUMMYFUNCTION("""COMPUTED_VALUE"""),343)</f>
        <v>343</v>
      </c>
      <c r="G82">
        <f ca="1">IFERROR(__xludf.DUMMYFUNCTION("""COMPUTED_VALUE"""),12)</f>
        <v>12</v>
      </c>
      <c r="H82">
        <f ca="1">IFERROR(__xludf.DUMMYFUNCTION("""COMPUTED_VALUE"""),26)</f>
        <v>26</v>
      </c>
    </row>
    <row r="83" spans="1:8" ht="12.75">
      <c r="A83" t="str">
        <f ca="1">IFERROR(__xludf.DUMMYFUNCTION("""COMPUTED_VALUE"""),"T81")</f>
        <v>T81</v>
      </c>
      <c r="B83">
        <f ca="1">IFERROR(__xludf.DUMMYFUNCTION("""COMPUTED_VALUE"""),87)</f>
        <v>87</v>
      </c>
      <c r="C83" t="str">
        <f ca="1">IFERROR(__xludf.DUMMYFUNCTION("""COMPUTED_VALUE"""),"Louis Oosthuizen")</f>
        <v>Louis Oosthuizen</v>
      </c>
      <c r="D83">
        <f ca="1">IFERROR(__xludf.DUMMYFUNCTION("""COMPUTED_VALUE"""),12)</f>
        <v>12</v>
      </c>
      <c r="E83">
        <f ca="1">IFERROR(__xludf.DUMMYFUNCTION("""COMPUTED_VALUE"""),28.58)</f>
        <v>28.58</v>
      </c>
      <c r="F83">
        <f ca="1">IFERROR(__xludf.DUMMYFUNCTION("""COMPUTED_VALUE"""),343)</f>
        <v>343</v>
      </c>
      <c r="G83">
        <f ca="1">IFERROR(__xludf.DUMMYFUNCTION("""COMPUTED_VALUE"""),12)</f>
        <v>12</v>
      </c>
      <c r="H83">
        <f ca="1">IFERROR(__xludf.DUMMYFUNCTION("""COMPUTED_VALUE"""),26)</f>
        <v>26</v>
      </c>
    </row>
    <row r="84" spans="1:8" ht="12.75">
      <c r="A84">
        <f ca="1">IFERROR(__xludf.DUMMYFUNCTION("""COMPUTED_VALUE"""),83)</f>
        <v>83</v>
      </c>
      <c r="B84" t="str">
        <f ca="1">IFERROR(__xludf.DUMMYFUNCTION("""COMPUTED_VALUE"""),"T88")</f>
        <v>T88</v>
      </c>
      <c r="C84" t="str">
        <f ca="1">IFERROR(__xludf.DUMMYFUNCTION("""COMPUTED_VALUE"""),"Tommy Fleetwood")</f>
        <v>Tommy Fleetwood</v>
      </c>
      <c r="D84">
        <f ca="1">IFERROR(__xludf.DUMMYFUNCTION("""COMPUTED_VALUE"""),10)</f>
        <v>10</v>
      </c>
      <c r="E84">
        <f ca="1">IFERROR(__xludf.DUMMYFUNCTION("""COMPUTED_VALUE"""),28.6)</f>
        <v>28.6</v>
      </c>
      <c r="F84">
        <f ca="1">IFERROR(__xludf.DUMMYFUNCTION("""COMPUTED_VALUE"""),286)</f>
        <v>286</v>
      </c>
      <c r="G84">
        <f ca="1">IFERROR(__xludf.DUMMYFUNCTION("""COMPUTED_VALUE"""),10)</f>
        <v>10</v>
      </c>
      <c r="H84">
        <f ca="1">IFERROR(__xludf.DUMMYFUNCTION("""COMPUTED_VALUE"""),27)</f>
        <v>27</v>
      </c>
    </row>
    <row r="85" spans="1:8" ht="12.75">
      <c r="A85" t="str">
        <f ca="1">IFERROR(__xludf.DUMMYFUNCTION("""COMPUTED_VALUE"""),"T84")</f>
        <v>T84</v>
      </c>
      <c r="B85" t="str">
        <f ca="1">IFERROR(__xludf.DUMMYFUNCTION("""COMPUTED_VALUE"""),"T33")</f>
        <v>T33</v>
      </c>
      <c r="C85" t="str">
        <f ca="1">IFERROR(__xludf.DUMMYFUNCTION("""COMPUTED_VALUE"""),"Brian Stuard")</f>
        <v>Brian Stuard</v>
      </c>
      <c r="D85">
        <f ca="1">IFERROR(__xludf.DUMMYFUNCTION("""COMPUTED_VALUE"""),18)</f>
        <v>18</v>
      </c>
      <c r="E85">
        <f ca="1">IFERROR(__xludf.DUMMYFUNCTION("""COMPUTED_VALUE"""),28.61)</f>
        <v>28.61</v>
      </c>
      <c r="F85">
        <f ca="1">IFERROR(__xludf.DUMMYFUNCTION("""COMPUTED_VALUE"""),515)</f>
        <v>515</v>
      </c>
      <c r="G85">
        <f ca="1">IFERROR(__xludf.DUMMYFUNCTION("""COMPUTED_VALUE"""),18)</f>
        <v>18</v>
      </c>
      <c r="H85">
        <f ca="1">IFERROR(__xludf.DUMMYFUNCTION("""COMPUTED_VALUE"""),25)</f>
        <v>25</v>
      </c>
    </row>
    <row r="86" spans="1:8" ht="12.75">
      <c r="A86" t="str">
        <f ca="1">IFERROR(__xludf.DUMMYFUNCTION("""COMPUTED_VALUE"""),"T84")</f>
        <v>T84</v>
      </c>
      <c r="B86">
        <f ca="1">IFERROR(__xludf.DUMMYFUNCTION("""COMPUTED_VALUE"""),93)</f>
        <v>93</v>
      </c>
      <c r="C86" t="str">
        <f ca="1">IFERROR(__xludf.DUMMYFUNCTION("""COMPUTED_VALUE"""),"Jamie Lovemark")</f>
        <v>Jamie Lovemark</v>
      </c>
      <c r="D86">
        <f ca="1">IFERROR(__xludf.DUMMYFUNCTION("""COMPUTED_VALUE"""),18)</f>
        <v>18</v>
      </c>
      <c r="E86">
        <f ca="1">IFERROR(__xludf.DUMMYFUNCTION("""COMPUTED_VALUE"""),28.61)</f>
        <v>28.61</v>
      </c>
      <c r="F86">
        <f ca="1">IFERROR(__xludf.DUMMYFUNCTION("""COMPUTED_VALUE"""),515)</f>
        <v>515</v>
      </c>
      <c r="G86">
        <f ca="1">IFERROR(__xludf.DUMMYFUNCTION("""COMPUTED_VALUE"""),18)</f>
        <v>18</v>
      </c>
      <c r="H86">
        <f ca="1">IFERROR(__xludf.DUMMYFUNCTION("""COMPUTED_VALUE"""),26)</f>
        <v>26</v>
      </c>
    </row>
    <row r="87" spans="1:8" ht="12.75">
      <c r="A87">
        <f ca="1">IFERROR(__xludf.DUMMYFUNCTION("""COMPUTED_VALUE"""),86)</f>
        <v>86</v>
      </c>
      <c r="B87" t="str">
        <f ca="1">IFERROR(__xludf.DUMMYFUNCTION("""COMPUTED_VALUE"""),"T136")</f>
        <v>T136</v>
      </c>
      <c r="C87" t="str">
        <f ca="1">IFERROR(__xludf.DUMMYFUNCTION("""COMPUTED_VALUE"""),"Fabián Gómez")</f>
        <v>Fabián Gómez</v>
      </c>
      <c r="D87">
        <f ca="1">IFERROR(__xludf.DUMMYFUNCTION("""COMPUTED_VALUE"""),16)</f>
        <v>16</v>
      </c>
      <c r="E87">
        <f ca="1">IFERROR(__xludf.DUMMYFUNCTION("""COMPUTED_VALUE"""),28.63)</f>
        <v>28.63</v>
      </c>
      <c r="F87">
        <f ca="1">IFERROR(__xludf.DUMMYFUNCTION("""COMPUTED_VALUE"""),458)</f>
        <v>458</v>
      </c>
      <c r="G87">
        <f ca="1">IFERROR(__xludf.DUMMYFUNCTION("""COMPUTED_VALUE"""),16)</f>
        <v>16</v>
      </c>
      <c r="H87">
        <f ca="1">IFERROR(__xludf.DUMMYFUNCTION("""COMPUTED_VALUE"""),23)</f>
        <v>23</v>
      </c>
    </row>
    <row r="88" spans="1:8" ht="12.75">
      <c r="A88">
        <f ca="1">IFERROR(__xludf.DUMMYFUNCTION("""COMPUTED_VALUE"""),87)</f>
        <v>87</v>
      </c>
      <c r="B88" t="str">
        <f ca="1">IFERROR(__xludf.DUMMYFUNCTION("""COMPUTED_VALUE"""),"T88")</f>
        <v>T88</v>
      </c>
      <c r="C88" t="str">
        <f ca="1">IFERROR(__xludf.DUMMYFUNCTION("""COMPUTED_VALUE"""),"Austin Cook")</f>
        <v>Austin Cook</v>
      </c>
      <c r="D88">
        <f ca="1">IFERROR(__xludf.DUMMYFUNCTION("""COMPUTED_VALUE"""),14)</f>
        <v>14</v>
      </c>
      <c r="E88">
        <f ca="1">IFERROR(__xludf.DUMMYFUNCTION("""COMPUTED_VALUE"""),28.64)</f>
        <v>28.64</v>
      </c>
      <c r="F88">
        <f ca="1">IFERROR(__xludf.DUMMYFUNCTION("""COMPUTED_VALUE"""),401)</f>
        <v>401</v>
      </c>
      <c r="G88">
        <f ca="1">IFERROR(__xludf.DUMMYFUNCTION("""COMPUTED_VALUE"""),14)</f>
        <v>14</v>
      </c>
      <c r="H88">
        <f ca="1">IFERROR(__xludf.DUMMYFUNCTION("""COMPUTED_VALUE"""),26)</f>
        <v>26</v>
      </c>
    </row>
    <row r="89" spans="1:8" ht="12.75">
      <c r="A89">
        <f ca="1">IFERROR(__xludf.DUMMYFUNCTION("""COMPUTED_VALUE"""),88)</f>
        <v>88</v>
      </c>
      <c r="B89">
        <f ca="1">IFERROR(__xludf.DUMMYFUNCTION("""COMPUTED_VALUE"""),90)</f>
        <v>90</v>
      </c>
      <c r="C89" t="str">
        <f ca="1">IFERROR(__xludf.DUMMYFUNCTION("""COMPUTED_VALUE"""),"Si Woo Kim")</f>
        <v>Si Woo Kim</v>
      </c>
      <c r="D89">
        <f ca="1">IFERROR(__xludf.DUMMYFUNCTION("""COMPUTED_VALUE"""),20)</f>
        <v>20</v>
      </c>
      <c r="E89">
        <f ca="1">IFERROR(__xludf.DUMMYFUNCTION("""COMPUTED_VALUE"""),28.65)</f>
        <v>28.65</v>
      </c>
      <c r="F89">
        <f ca="1">IFERROR(__xludf.DUMMYFUNCTION("""COMPUTED_VALUE"""),573)</f>
        <v>573</v>
      </c>
      <c r="G89">
        <f ca="1">IFERROR(__xludf.DUMMYFUNCTION("""COMPUTED_VALUE"""),20)</f>
        <v>20</v>
      </c>
      <c r="H89">
        <f ca="1">IFERROR(__xludf.DUMMYFUNCTION("""COMPUTED_VALUE"""),25)</f>
        <v>25</v>
      </c>
    </row>
    <row r="90" spans="1:8" ht="12.75">
      <c r="A90" t="str">
        <f ca="1">IFERROR(__xludf.DUMMYFUNCTION("""COMPUTED_VALUE"""),"T89")</f>
        <v>T89</v>
      </c>
      <c r="B90" t="str">
        <f ca="1">IFERROR(__xludf.DUMMYFUNCTION("""COMPUTED_VALUE"""),"T94")</f>
        <v>T94</v>
      </c>
      <c r="C90" t="str">
        <f ca="1">IFERROR(__xludf.DUMMYFUNCTION("""COMPUTED_VALUE"""),"Rory McIlroy")</f>
        <v>Rory McIlroy</v>
      </c>
      <c r="D90">
        <f ca="1">IFERROR(__xludf.DUMMYFUNCTION("""COMPUTED_VALUE"""),12)</f>
        <v>12</v>
      </c>
      <c r="E90">
        <f ca="1">IFERROR(__xludf.DUMMYFUNCTION("""COMPUTED_VALUE"""),28.67)</f>
        <v>28.67</v>
      </c>
      <c r="F90">
        <f ca="1">IFERROR(__xludf.DUMMYFUNCTION("""COMPUTED_VALUE"""),344)</f>
        <v>344</v>
      </c>
      <c r="G90">
        <f ca="1">IFERROR(__xludf.DUMMYFUNCTION("""COMPUTED_VALUE"""),12)</f>
        <v>12</v>
      </c>
      <c r="H90">
        <f ca="1">IFERROR(__xludf.DUMMYFUNCTION("""COMPUTED_VALUE"""),26)</f>
        <v>26</v>
      </c>
    </row>
    <row r="91" spans="1:8" ht="12.75">
      <c r="A91" t="str">
        <f ca="1">IFERROR(__xludf.DUMMYFUNCTION("""COMPUTED_VALUE"""),"T89")</f>
        <v>T89</v>
      </c>
      <c r="B91" t="str">
        <f ca="1">IFERROR(__xludf.DUMMYFUNCTION("""COMPUTED_VALUE"""),"T94")</f>
        <v>T94</v>
      </c>
      <c r="C91" t="str">
        <f ca="1">IFERROR(__xludf.DUMMYFUNCTION("""COMPUTED_VALUE"""),"Tim Wilkinson")</f>
        <v>Tim Wilkinson</v>
      </c>
      <c r="D91">
        <f ca="1">IFERROR(__xludf.DUMMYFUNCTION("""COMPUTED_VALUE"""),12)</f>
        <v>12</v>
      </c>
      <c r="E91">
        <f ca="1">IFERROR(__xludf.DUMMYFUNCTION("""COMPUTED_VALUE"""),28.67)</f>
        <v>28.67</v>
      </c>
      <c r="F91">
        <f ca="1">IFERROR(__xludf.DUMMYFUNCTION("""COMPUTED_VALUE"""),344)</f>
        <v>344</v>
      </c>
      <c r="G91">
        <f ca="1">IFERROR(__xludf.DUMMYFUNCTION("""COMPUTED_VALUE"""),12)</f>
        <v>12</v>
      </c>
      <c r="H91">
        <f ca="1">IFERROR(__xludf.DUMMYFUNCTION("""COMPUTED_VALUE"""),25)</f>
        <v>25</v>
      </c>
    </row>
    <row r="92" spans="1:8" ht="12.75">
      <c r="A92" t="str">
        <f ca="1">IFERROR(__xludf.DUMMYFUNCTION("""COMPUTED_VALUE"""),"T89")</f>
        <v>T89</v>
      </c>
      <c r="B92" t="str">
        <f ca="1">IFERROR(__xludf.DUMMYFUNCTION("""COMPUTED_VALUE"""),"")</f>
        <v/>
      </c>
      <c r="C92" t="str">
        <f ca="1">IFERROR(__xludf.DUMMYFUNCTION("""COMPUTED_VALUE"""),"Francesco Molinari")</f>
        <v>Francesco Molinari</v>
      </c>
      <c r="D92">
        <f ca="1">IFERROR(__xludf.DUMMYFUNCTION("""COMPUTED_VALUE"""),6)</f>
        <v>6</v>
      </c>
      <c r="E92">
        <f ca="1">IFERROR(__xludf.DUMMYFUNCTION("""COMPUTED_VALUE"""),28.67)</f>
        <v>28.67</v>
      </c>
      <c r="F92">
        <f ca="1">IFERROR(__xludf.DUMMYFUNCTION("""COMPUTED_VALUE"""),172)</f>
        <v>172</v>
      </c>
      <c r="G92">
        <f ca="1">IFERROR(__xludf.DUMMYFUNCTION("""COMPUTED_VALUE"""),6)</f>
        <v>6</v>
      </c>
      <c r="H92">
        <f ca="1">IFERROR(__xludf.DUMMYFUNCTION("""COMPUTED_VALUE"""),26)</f>
        <v>26</v>
      </c>
    </row>
    <row r="93" spans="1:8" ht="12.75">
      <c r="A93" t="str">
        <f ca="1">IFERROR(__xludf.DUMMYFUNCTION("""COMPUTED_VALUE"""),"T89")</f>
        <v>T89</v>
      </c>
      <c r="B93" t="str">
        <f ca="1">IFERROR(__xludf.DUMMYFUNCTION("""COMPUTED_VALUE"""),"T94")</f>
        <v>T94</v>
      </c>
      <c r="C93" t="str">
        <f ca="1">IFERROR(__xludf.DUMMYFUNCTION("""COMPUTED_VALUE"""),"Alex Cejka")</f>
        <v>Alex Cejka</v>
      </c>
      <c r="D93">
        <f ca="1">IFERROR(__xludf.DUMMYFUNCTION("""COMPUTED_VALUE"""),6)</f>
        <v>6</v>
      </c>
      <c r="E93">
        <f ca="1">IFERROR(__xludf.DUMMYFUNCTION("""COMPUTED_VALUE"""),28.67)</f>
        <v>28.67</v>
      </c>
      <c r="F93">
        <f ca="1">IFERROR(__xludf.DUMMYFUNCTION("""COMPUTED_VALUE"""),172)</f>
        <v>172</v>
      </c>
      <c r="G93">
        <f ca="1">IFERROR(__xludf.DUMMYFUNCTION("""COMPUTED_VALUE"""),6)</f>
        <v>6</v>
      </c>
      <c r="H93">
        <f ca="1">IFERROR(__xludf.DUMMYFUNCTION("""COMPUTED_VALUE"""),26)</f>
        <v>26</v>
      </c>
    </row>
    <row r="94" spans="1:8" ht="12.75">
      <c r="A94" t="str">
        <f ca="1">IFERROR(__xludf.DUMMYFUNCTION("""COMPUTED_VALUE"""),"T93")</f>
        <v>T93</v>
      </c>
      <c r="B94">
        <f ca="1">IFERROR(__xludf.DUMMYFUNCTION("""COMPUTED_VALUE"""),99)</f>
        <v>99</v>
      </c>
      <c r="C94" t="str">
        <f ca="1">IFERROR(__xludf.DUMMYFUNCTION("""COMPUTED_VALUE"""),"Cameron Percy")</f>
        <v>Cameron Percy</v>
      </c>
      <c r="D94">
        <f ca="1">IFERROR(__xludf.DUMMYFUNCTION("""COMPUTED_VALUE"""),16)</f>
        <v>16</v>
      </c>
      <c r="E94">
        <f ca="1">IFERROR(__xludf.DUMMYFUNCTION("""COMPUTED_VALUE"""),28.69)</f>
        <v>28.69</v>
      </c>
      <c r="F94">
        <f ca="1">IFERROR(__xludf.DUMMYFUNCTION("""COMPUTED_VALUE"""),459)</f>
        <v>459</v>
      </c>
      <c r="G94">
        <f ca="1">IFERROR(__xludf.DUMMYFUNCTION("""COMPUTED_VALUE"""),16)</f>
        <v>16</v>
      </c>
      <c r="H94">
        <f ca="1">IFERROR(__xludf.DUMMYFUNCTION("""COMPUTED_VALUE"""),23)</f>
        <v>23</v>
      </c>
    </row>
    <row r="95" spans="1:8" ht="12.75">
      <c r="A95" t="str">
        <f ca="1">IFERROR(__xludf.DUMMYFUNCTION("""COMPUTED_VALUE"""),"T93")</f>
        <v>T93</v>
      </c>
      <c r="B95">
        <f ca="1">IFERROR(__xludf.DUMMYFUNCTION("""COMPUTED_VALUE"""),43)</f>
        <v>43</v>
      </c>
      <c r="C95" t="str">
        <f ca="1">IFERROR(__xludf.DUMMYFUNCTION("""COMPUTED_VALUE"""),"Jhonattan Vegas")</f>
        <v>Jhonattan Vegas</v>
      </c>
      <c r="D95">
        <f ca="1">IFERROR(__xludf.DUMMYFUNCTION("""COMPUTED_VALUE"""),16)</f>
        <v>16</v>
      </c>
      <c r="E95">
        <f ca="1">IFERROR(__xludf.DUMMYFUNCTION("""COMPUTED_VALUE"""),28.69)</f>
        <v>28.69</v>
      </c>
      <c r="F95">
        <f ca="1">IFERROR(__xludf.DUMMYFUNCTION("""COMPUTED_VALUE"""),459)</f>
        <v>459</v>
      </c>
      <c r="G95">
        <f ca="1">IFERROR(__xludf.DUMMYFUNCTION("""COMPUTED_VALUE"""),16)</f>
        <v>16</v>
      </c>
      <c r="H95">
        <f ca="1">IFERROR(__xludf.DUMMYFUNCTION("""COMPUTED_VALUE"""),26)</f>
        <v>26</v>
      </c>
    </row>
    <row r="96" spans="1:8" ht="12.75">
      <c r="A96" t="str">
        <f ca="1">IFERROR(__xludf.DUMMYFUNCTION("""COMPUTED_VALUE"""),"T93")</f>
        <v>T93</v>
      </c>
      <c r="B96">
        <f ca="1">IFERROR(__xludf.DUMMYFUNCTION("""COMPUTED_VALUE"""),69)</f>
        <v>69</v>
      </c>
      <c r="C96" t="str">
        <f ca="1">IFERROR(__xludf.DUMMYFUNCTION("""COMPUTED_VALUE"""),"Kevin Chappell")</f>
        <v>Kevin Chappell</v>
      </c>
      <c r="D96">
        <f ca="1">IFERROR(__xludf.DUMMYFUNCTION("""COMPUTED_VALUE"""),16)</f>
        <v>16</v>
      </c>
      <c r="E96">
        <f ca="1">IFERROR(__xludf.DUMMYFUNCTION("""COMPUTED_VALUE"""),28.69)</f>
        <v>28.69</v>
      </c>
      <c r="F96">
        <f ca="1">IFERROR(__xludf.DUMMYFUNCTION("""COMPUTED_VALUE"""),459)</f>
        <v>459</v>
      </c>
      <c r="G96">
        <f ca="1">IFERROR(__xludf.DUMMYFUNCTION("""COMPUTED_VALUE"""),16)</f>
        <v>16</v>
      </c>
      <c r="H96">
        <f ca="1">IFERROR(__xludf.DUMMYFUNCTION("""COMPUTED_VALUE"""),23)</f>
        <v>23</v>
      </c>
    </row>
    <row r="97" spans="1:8" ht="12.75">
      <c r="A97" t="str">
        <f ca="1">IFERROR(__xludf.DUMMYFUNCTION("""COMPUTED_VALUE"""),"T96")</f>
        <v>T96</v>
      </c>
      <c r="B97" t="str">
        <f ca="1">IFERROR(__xludf.DUMMYFUNCTION("""COMPUTED_VALUE"""),"T100")</f>
        <v>T100</v>
      </c>
      <c r="C97" t="str">
        <f ca="1">IFERROR(__xludf.DUMMYFUNCTION("""COMPUTED_VALUE"""),"Sebastián Muñoz")</f>
        <v>Sebastián Muñoz</v>
      </c>
      <c r="D97">
        <f ca="1">IFERROR(__xludf.DUMMYFUNCTION("""COMPUTED_VALUE"""),20)</f>
        <v>20</v>
      </c>
      <c r="E97">
        <f ca="1">IFERROR(__xludf.DUMMYFUNCTION("""COMPUTED_VALUE"""),28.7)</f>
        <v>28.7</v>
      </c>
      <c r="F97">
        <f ca="1">IFERROR(__xludf.DUMMYFUNCTION("""COMPUTED_VALUE"""),574)</f>
        <v>574</v>
      </c>
      <c r="G97">
        <f ca="1">IFERROR(__xludf.DUMMYFUNCTION("""COMPUTED_VALUE"""),20)</f>
        <v>20</v>
      </c>
      <c r="H97">
        <f ca="1">IFERROR(__xludf.DUMMYFUNCTION("""COMPUTED_VALUE"""),24)</f>
        <v>24</v>
      </c>
    </row>
    <row r="98" spans="1:8" ht="12.75">
      <c r="A98" t="str">
        <f ca="1">IFERROR(__xludf.DUMMYFUNCTION("""COMPUTED_VALUE"""),"T96")</f>
        <v>T96</v>
      </c>
      <c r="B98" t="str">
        <f ca="1">IFERROR(__xludf.DUMMYFUNCTION("""COMPUTED_VALUE"""),"T100")</f>
        <v>T100</v>
      </c>
      <c r="C98" t="str">
        <f ca="1">IFERROR(__xludf.DUMMYFUNCTION("""COMPUTED_VALUE"""),"Justin Suh")</f>
        <v>Justin Suh</v>
      </c>
      <c r="D98">
        <f ca="1">IFERROR(__xludf.DUMMYFUNCTION("""COMPUTED_VALUE"""),10)</f>
        <v>10</v>
      </c>
      <c r="E98">
        <f ca="1">IFERROR(__xludf.DUMMYFUNCTION("""COMPUTED_VALUE"""),28.7)</f>
        <v>28.7</v>
      </c>
      <c r="F98">
        <f ca="1">IFERROR(__xludf.DUMMYFUNCTION("""COMPUTED_VALUE"""),287)</f>
        <v>287</v>
      </c>
      <c r="G98">
        <f ca="1">IFERROR(__xludf.DUMMYFUNCTION("""COMPUTED_VALUE"""),10)</f>
        <v>10</v>
      </c>
      <c r="H98">
        <f ca="1">IFERROR(__xludf.DUMMYFUNCTION("""COMPUTED_VALUE"""),25)</f>
        <v>25</v>
      </c>
    </row>
    <row r="99" spans="1:8" ht="12.75">
      <c r="A99" t="str">
        <f ca="1">IFERROR(__xludf.DUMMYFUNCTION("""COMPUTED_VALUE"""),"T96")</f>
        <v>T96</v>
      </c>
      <c r="B99" t="str">
        <f ca="1">IFERROR(__xludf.DUMMYFUNCTION("""COMPUTED_VALUE"""),"T91")</f>
        <v>T91</v>
      </c>
      <c r="C99" t="str">
        <f ca="1">IFERROR(__xludf.DUMMYFUNCTION("""COMPUTED_VALUE"""),"Kristoffer Ventura")</f>
        <v>Kristoffer Ventura</v>
      </c>
      <c r="D99">
        <f ca="1">IFERROR(__xludf.DUMMYFUNCTION("""COMPUTED_VALUE"""),20)</f>
        <v>20</v>
      </c>
      <c r="E99">
        <f ca="1">IFERROR(__xludf.DUMMYFUNCTION("""COMPUTED_VALUE"""),28.7)</f>
        <v>28.7</v>
      </c>
      <c r="F99">
        <f ca="1">IFERROR(__xludf.DUMMYFUNCTION("""COMPUTED_VALUE"""),574)</f>
        <v>574</v>
      </c>
      <c r="G99">
        <f ca="1">IFERROR(__xludf.DUMMYFUNCTION("""COMPUTED_VALUE"""),20)</f>
        <v>20</v>
      </c>
      <c r="H99">
        <f ca="1">IFERROR(__xludf.DUMMYFUNCTION("""COMPUTED_VALUE"""),24)</f>
        <v>24</v>
      </c>
    </row>
    <row r="100" spans="1:8" ht="12.75">
      <c r="A100" t="str">
        <f ca="1">IFERROR(__xludf.DUMMYFUNCTION("""COMPUTED_VALUE"""),"T96")</f>
        <v>T96</v>
      </c>
      <c r="B100" t="str">
        <f ca="1">IFERROR(__xludf.DUMMYFUNCTION("""COMPUTED_VALUE"""),"T132")</f>
        <v>T132</v>
      </c>
      <c r="C100" t="str">
        <f ca="1">IFERROR(__xludf.DUMMYFUNCTION("""COMPUTED_VALUE"""),"Carlos Ortiz")</f>
        <v>Carlos Ortiz</v>
      </c>
      <c r="D100">
        <f ca="1">IFERROR(__xludf.DUMMYFUNCTION("""COMPUTED_VALUE"""),20)</f>
        <v>20</v>
      </c>
      <c r="E100">
        <f ca="1">IFERROR(__xludf.DUMMYFUNCTION("""COMPUTED_VALUE"""),28.7)</f>
        <v>28.7</v>
      </c>
      <c r="F100">
        <f ca="1">IFERROR(__xludf.DUMMYFUNCTION("""COMPUTED_VALUE"""),574)</f>
        <v>574</v>
      </c>
      <c r="G100">
        <f ca="1">IFERROR(__xludf.DUMMYFUNCTION("""COMPUTED_VALUE"""),20)</f>
        <v>20</v>
      </c>
      <c r="H100">
        <f ca="1">IFERROR(__xludf.DUMMYFUNCTION("""COMPUTED_VALUE"""),25)</f>
        <v>25</v>
      </c>
    </row>
    <row r="101" spans="1:8" ht="12.75">
      <c r="A101" t="str">
        <f ca="1">IFERROR(__xludf.DUMMYFUNCTION("""COMPUTED_VALUE"""),"T100")</f>
        <v>T100</v>
      </c>
      <c r="B101" t="str">
        <f ca="1">IFERROR(__xludf.DUMMYFUNCTION("""COMPUTED_VALUE"""),"T226")</f>
        <v>T226</v>
      </c>
      <c r="C101" t="str">
        <f ca="1">IFERROR(__xludf.DUMMYFUNCTION("""COMPUTED_VALUE"""),"John Huh")</f>
        <v>John Huh</v>
      </c>
      <c r="D101">
        <f ca="1">IFERROR(__xludf.DUMMYFUNCTION("""COMPUTED_VALUE"""),8)</f>
        <v>8</v>
      </c>
      <c r="E101">
        <f ca="1">IFERROR(__xludf.DUMMYFUNCTION("""COMPUTED_VALUE"""),28.75)</f>
        <v>28.75</v>
      </c>
      <c r="F101">
        <f ca="1">IFERROR(__xludf.DUMMYFUNCTION("""COMPUTED_VALUE"""),230)</f>
        <v>230</v>
      </c>
      <c r="G101">
        <f ca="1">IFERROR(__xludf.DUMMYFUNCTION("""COMPUTED_VALUE"""),8)</f>
        <v>8</v>
      </c>
      <c r="H101">
        <f ca="1">IFERROR(__xludf.DUMMYFUNCTION("""COMPUTED_VALUE"""),27)</f>
        <v>27</v>
      </c>
    </row>
    <row r="102" spans="1:8" ht="12.75">
      <c r="A102" t="str">
        <f ca="1">IFERROR(__xludf.DUMMYFUNCTION("""COMPUTED_VALUE"""),"T100")</f>
        <v>T100</v>
      </c>
      <c r="B102" t="str">
        <f ca="1">IFERROR(__xludf.DUMMYFUNCTION("""COMPUTED_VALUE"""),"T105")</f>
        <v>T105</v>
      </c>
      <c r="C102" t="str">
        <f ca="1">IFERROR(__xludf.DUMMYFUNCTION("""COMPUTED_VALUE"""),"Robert Streb")</f>
        <v>Robert Streb</v>
      </c>
      <c r="D102">
        <f ca="1">IFERROR(__xludf.DUMMYFUNCTION("""COMPUTED_VALUE"""),12)</f>
        <v>12</v>
      </c>
      <c r="E102">
        <f ca="1">IFERROR(__xludf.DUMMYFUNCTION("""COMPUTED_VALUE"""),28.75)</f>
        <v>28.75</v>
      </c>
      <c r="F102">
        <f ca="1">IFERROR(__xludf.DUMMYFUNCTION("""COMPUTED_VALUE"""),345)</f>
        <v>345</v>
      </c>
      <c r="G102">
        <f ca="1">IFERROR(__xludf.DUMMYFUNCTION("""COMPUTED_VALUE"""),12)</f>
        <v>12</v>
      </c>
      <c r="H102">
        <f ca="1">IFERROR(__xludf.DUMMYFUNCTION("""COMPUTED_VALUE"""),23)</f>
        <v>23</v>
      </c>
    </row>
    <row r="103" spans="1:8" ht="12.75">
      <c r="A103" t="str">
        <f ca="1">IFERROR(__xludf.DUMMYFUNCTION("""COMPUTED_VALUE"""),"T100")</f>
        <v>T100</v>
      </c>
      <c r="B103" t="str">
        <f ca="1">IFERROR(__xludf.DUMMYFUNCTION("""COMPUTED_VALUE"""),"T105")</f>
        <v>T105</v>
      </c>
      <c r="C103" t="str">
        <f ca="1">IFERROR(__xludf.DUMMYFUNCTION("""COMPUTED_VALUE"""),"Wesley Bryan")</f>
        <v>Wesley Bryan</v>
      </c>
      <c r="D103">
        <f ca="1">IFERROR(__xludf.DUMMYFUNCTION("""COMPUTED_VALUE"""),8)</f>
        <v>8</v>
      </c>
      <c r="E103">
        <f ca="1">IFERROR(__xludf.DUMMYFUNCTION("""COMPUTED_VALUE"""),28.75)</f>
        <v>28.75</v>
      </c>
      <c r="F103">
        <f ca="1">IFERROR(__xludf.DUMMYFUNCTION("""COMPUTED_VALUE"""),230)</f>
        <v>230</v>
      </c>
      <c r="G103">
        <f ca="1">IFERROR(__xludf.DUMMYFUNCTION("""COMPUTED_VALUE"""),8)</f>
        <v>8</v>
      </c>
      <c r="H103">
        <f ca="1">IFERROR(__xludf.DUMMYFUNCTION("""COMPUTED_VALUE"""),27)</f>
        <v>27</v>
      </c>
    </row>
    <row r="104" spans="1:8" ht="12.75">
      <c r="A104" t="str">
        <f ca="1">IFERROR(__xludf.DUMMYFUNCTION("""COMPUTED_VALUE"""),"T100")</f>
        <v>T100</v>
      </c>
      <c r="B104" t="str">
        <f ca="1">IFERROR(__xludf.DUMMYFUNCTION("""COMPUTED_VALUE"""),"T105")</f>
        <v>T105</v>
      </c>
      <c r="C104" t="str">
        <f ca="1">IFERROR(__xludf.DUMMYFUNCTION("""COMPUTED_VALUE"""),"Naoki Sekito")</f>
        <v>Naoki Sekito</v>
      </c>
      <c r="D104">
        <f ca="1">IFERROR(__xludf.DUMMYFUNCTION("""COMPUTED_VALUE"""),4)</f>
        <v>4</v>
      </c>
      <c r="E104">
        <f ca="1">IFERROR(__xludf.DUMMYFUNCTION("""COMPUTED_VALUE"""),28.75)</f>
        <v>28.75</v>
      </c>
      <c r="F104">
        <f ca="1">IFERROR(__xludf.DUMMYFUNCTION("""COMPUTED_VALUE"""),115)</f>
        <v>115</v>
      </c>
      <c r="G104">
        <f ca="1">IFERROR(__xludf.DUMMYFUNCTION("""COMPUTED_VALUE"""),4)</f>
        <v>4</v>
      </c>
      <c r="H104">
        <f ca="1">IFERROR(__xludf.DUMMYFUNCTION("""COMPUTED_VALUE"""),23)</f>
        <v>23</v>
      </c>
    </row>
    <row r="105" spans="1:8" ht="12.75">
      <c r="A105" t="str">
        <f ca="1">IFERROR(__xludf.DUMMYFUNCTION("""COMPUTED_VALUE"""),"T100")</f>
        <v>T100</v>
      </c>
      <c r="B105" t="str">
        <f ca="1">IFERROR(__xludf.DUMMYFUNCTION("""COMPUTED_VALUE"""),"T105")</f>
        <v>T105</v>
      </c>
      <c r="C105" t="str">
        <f ca="1">IFERROR(__xludf.DUMMYFUNCTION("""COMPUTED_VALUE"""),"Brian Harman")</f>
        <v>Brian Harman</v>
      </c>
      <c r="D105">
        <f ca="1">IFERROR(__xludf.DUMMYFUNCTION("""COMPUTED_VALUE"""),24)</f>
        <v>24</v>
      </c>
      <c r="E105">
        <f ca="1">IFERROR(__xludf.DUMMYFUNCTION("""COMPUTED_VALUE"""),28.75)</f>
        <v>28.75</v>
      </c>
      <c r="F105">
        <f ca="1">IFERROR(__xludf.DUMMYFUNCTION("""COMPUTED_VALUE"""),690)</f>
        <v>690</v>
      </c>
      <c r="G105">
        <f ca="1">IFERROR(__xludf.DUMMYFUNCTION("""COMPUTED_VALUE"""),24)</f>
        <v>24</v>
      </c>
      <c r="H105">
        <f ca="1">IFERROR(__xludf.DUMMYFUNCTION("""COMPUTED_VALUE"""),24)</f>
        <v>24</v>
      </c>
    </row>
    <row r="106" spans="1:8" ht="12.75">
      <c r="A106" t="str">
        <f ca="1">IFERROR(__xludf.DUMMYFUNCTION("""COMPUTED_VALUE"""),"T100")</f>
        <v>T100</v>
      </c>
      <c r="B106" t="str">
        <f ca="1">IFERROR(__xludf.DUMMYFUNCTION("""COMPUTED_VALUE"""),"T105")</f>
        <v>T105</v>
      </c>
      <c r="C106" t="str">
        <f ca="1">IFERROR(__xludf.DUMMYFUNCTION("""COMPUTED_VALUE"""),"Johnson Wagner")</f>
        <v>Johnson Wagner</v>
      </c>
      <c r="D106">
        <f ca="1">IFERROR(__xludf.DUMMYFUNCTION("""COMPUTED_VALUE"""),8)</f>
        <v>8</v>
      </c>
      <c r="E106">
        <f ca="1">IFERROR(__xludf.DUMMYFUNCTION("""COMPUTED_VALUE"""),28.75)</f>
        <v>28.75</v>
      </c>
      <c r="F106">
        <f ca="1">IFERROR(__xludf.DUMMYFUNCTION("""COMPUTED_VALUE"""),230)</f>
        <v>230</v>
      </c>
      <c r="G106">
        <f ca="1">IFERROR(__xludf.DUMMYFUNCTION("""COMPUTED_VALUE"""),8)</f>
        <v>8</v>
      </c>
      <c r="H106">
        <f ca="1">IFERROR(__xludf.DUMMYFUNCTION("""COMPUTED_VALUE"""),25)</f>
        <v>25</v>
      </c>
    </row>
    <row r="107" spans="1:8" ht="12.75">
      <c r="A107">
        <f ca="1">IFERROR(__xludf.DUMMYFUNCTION("""COMPUTED_VALUE"""),106)</f>
        <v>106</v>
      </c>
      <c r="B107" t="str">
        <f ca="1">IFERROR(__xludf.DUMMYFUNCTION("""COMPUTED_VALUE"""),"T136")</f>
        <v>T136</v>
      </c>
      <c r="C107" t="str">
        <f ca="1">IFERROR(__xludf.DUMMYFUNCTION("""COMPUTED_VALUE"""),"Scottie Scheffler")</f>
        <v>Scottie Scheffler</v>
      </c>
      <c r="D107">
        <f ca="1">IFERROR(__xludf.DUMMYFUNCTION("""COMPUTED_VALUE"""),18)</f>
        <v>18</v>
      </c>
      <c r="E107">
        <f ca="1">IFERROR(__xludf.DUMMYFUNCTION("""COMPUTED_VALUE"""),28.78)</f>
        <v>28.78</v>
      </c>
      <c r="F107">
        <f ca="1">IFERROR(__xludf.DUMMYFUNCTION("""COMPUTED_VALUE"""),518)</f>
        <v>518</v>
      </c>
      <c r="G107">
        <f ca="1">IFERROR(__xludf.DUMMYFUNCTION("""COMPUTED_VALUE"""),18)</f>
        <v>18</v>
      </c>
      <c r="H107">
        <f ca="1">IFERROR(__xludf.DUMMYFUNCTION("""COMPUTED_VALUE"""),25)</f>
        <v>25</v>
      </c>
    </row>
    <row r="108" spans="1:8" ht="12.75">
      <c r="A108" t="str">
        <f ca="1">IFERROR(__xludf.DUMMYFUNCTION("""COMPUTED_VALUE"""),"T107")</f>
        <v>T107</v>
      </c>
      <c r="B108" t="str">
        <f ca="1">IFERROR(__xludf.DUMMYFUNCTION("""COMPUTED_VALUE"""),"T168")</f>
        <v>T168</v>
      </c>
      <c r="C108" t="str">
        <f ca="1">IFERROR(__xludf.DUMMYFUNCTION("""COMPUTED_VALUE"""),"Scott Brown")</f>
        <v>Scott Brown</v>
      </c>
      <c r="D108">
        <f ca="1">IFERROR(__xludf.DUMMYFUNCTION("""COMPUTED_VALUE"""),14)</f>
        <v>14</v>
      </c>
      <c r="E108">
        <f ca="1">IFERROR(__xludf.DUMMYFUNCTION("""COMPUTED_VALUE"""),28.79)</f>
        <v>28.79</v>
      </c>
      <c r="F108">
        <f ca="1">IFERROR(__xludf.DUMMYFUNCTION("""COMPUTED_VALUE"""),403)</f>
        <v>403</v>
      </c>
      <c r="G108">
        <f ca="1">IFERROR(__xludf.DUMMYFUNCTION("""COMPUTED_VALUE"""),14)</f>
        <v>14</v>
      </c>
      <c r="H108">
        <f ca="1">IFERROR(__xludf.DUMMYFUNCTION("""COMPUTED_VALUE"""),26)</f>
        <v>26</v>
      </c>
    </row>
    <row r="109" spans="1:8" ht="12.75">
      <c r="A109" t="str">
        <f ca="1">IFERROR(__xludf.DUMMYFUNCTION("""COMPUTED_VALUE"""),"T107")</f>
        <v>T107</v>
      </c>
      <c r="B109" t="str">
        <f ca="1">IFERROR(__xludf.DUMMYFUNCTION("""COMPUTED_VALUE"""),"T94")</f>
        <v>T94</v>
      </c>
      <c r="C109" t="str">
        <f ca="1">IFERROR(__xludf.DUMMYFUNCTION("""COMPUTED_VALUE"""),"Scott Stallings")</f>
        <v>Scott Stallings</v>
      </c>
      <c r="D109">
        <f ca="1">IFERROR(__xludf.DUMMYFUNCTION("""COMPUTED_VALUE"""),14)</f>
        <v>14</v>
      </c>
      <c r="E109">
        <f ca="1">IFERROR(__xludf.DUMMYFUNCTION("""COMPUTED_VALUE"""),28.79)</f>
        <v>28.79</v>
      </c>
      <c r="F109">
        <f ca="1">IFERROR(__xludf.DUMMYFUNCTION("""COMPUTED_VALUE"""),403)</f>
        <v>403</v>
      </c>
      <c r="G109">
        <f ca="1">IFERROR(__xludf.DUMMYFUNCTION("""COMPUTED_VALUE"""),14)</f>
        <v>14</v>
      </c>
      <c r="H109">
        <f ca="1">IFERROR(__xludf.DUMMYFUNCTION("""COMPUTED_VALUE"""),24)</f>
        <v>24</v>
      </c>
    </row>
    <row r="110" spans="1:8" ht="12.75">
      <c r="A110" t="str">
        <f ca="1">IFERROR(__xludf.DUMMYFUNCTION("""COMPUTED_VALUE"""),"T109")</f>
        <v>T109</v>
      </c>
      <c r="B110" t="str">
        <f ca="1">IFERROR(__xludf.DUMMYFUNCTION("""COMPUTED_VALUE"""),"T105")</f>
        <v>T105</v>
      </c>
      <c r="C110" t="str">
        <f ca="1">IFERROR(__xludf.DUMMYFUNCTION("""COMPUTED_VALUE"""),"Michael Thompson")</f>
        <v>Michael Thompson</v>
      </c>
      <c r="D110">
        <f ca="1">IFERROR(__xludf.DUMMYFUNCTION("""COMPUTED_VALUE"""),16)</f>
        <v>16</v>
      </c>
      <c r="E110">
        <f ca="1">IFERROR(__xludf.DUMMYFUNCTION("""COMPUTED_VALUE"""),28.81)</f>
        <v>28.81</v>
      </c>
      <c r="F110">
        <f ca="1">IFERROR(__xludf.DUMMYFUNCTION("""COMPUTED_VALUE"""),461)</f>
        <v>461</v>
      </c>
      <c r="G110">
        <f ca="1">IFERROR(__xludf.DUMMYFUNCTION("""COMPUTED_VALUE"""),16)</f>
        <v>16</v>
      </c>
      <c r="H110">
        <f ca="1">IFERROR(__xludf.DUMMYFUNCTION("""COMPUTED_VALUE"""),24)</f>
        <v>24</v>
      </c>
    </row>
    <row r="111" spans="1:8" ht="12.75">
      <c r="A111" t="str">
        <f ca="1">IFERROR(__xludf.DUMMYFUNCTION("""COMPUTED_VALUE"""),"T109")</f>
        <v>T109</v>
      </c>
      <c r="B111" t="str">
        <f ca="1">IFERROR(__xludf.DUMMYFUNCTION("""COMPUTED_VALUE"""),"T136")</f>
        <v>T136</v>
      </c>
      <c r="C111" t="str">
        <f ca="1">IFERROR(__xludf.DUMMYFUNCTION("""COMPUTED_VALUE"""),"Wyndham Clark")</f>
        <v>Wyndham Clark</v>
      </c>
      <c r="D111">
        <f ca="1">IFERROR(__xludf.DUMMYFUNCTION("""COMPUTED_VALUE"""),16)</f>
        <v>16</v>
      </c>
      <c r="E111">
        <f ca="1">IFERROR(__xludf.DUMMYFUNCTION("""COMPUTED_VALUE"""),28.81)</f>
        <v>28.81</v>
      </c>
      <c r="F111">
        <f ca="1">IFERROR(__xludf.DUMMYFUNCTION("""COMPUTED_VALUE"""),461)</f>
        <v>461</v>
      </c>
      <c r="G111">
        <f ca="1">IFERROR(__xludf.DUMMYFUNCTION("""COMPUTED_VALUE"""),16)</f>
        <v>16</v>
      </c>
      <c r="H111">
        <f ca="1">IFERROR(__xludf.DUMMYFUNCTION("""COMPUTED_VALUE"""),26)</f>
        <v>26</v>
      </c>
    </row>
    <row r="112" spans="1:8" ht="12.75">
      <c r="A112" t="str">
        <f ca="1">IFERROR(__xludf.DUMMYFUNCTION("""COMPUTED_VALUE"""),"T111")</f>
        <v>T111</v>
      </c>
      <c r="B112" t="str">
        <f ca="1">IFERROR(__xludf.DUMMYFUNCTION("""COMPUTED_VALUE"""),"T115")</f>
        <v>T115</v>
      </c>
      <c r="C112" t="str">
        <f ca="1">IFERROR(__xludf.DUMMYFUNCTION("""COMPUTED_VALUE"""),"Collin Morikawa")</f>
        <v>Collin Morikawa</v>
      </c>
      <c r="D112">
        <f ca="1">IFERROR(__xludf.DUMMYFUNCTION("""COMPUTED_VALUE"""),12)</f>
        <v>12</v>
      </c>
      <c r="E112">
        <f ca="1">IFERROR(__xludf.DUMMYFUNCTION("""COMPUTED_VALUE"""),28.83)</f>
        <v>28.83</v>
      </c>
      <c r="F112">
        <f ca="1">IFERROR(__xludf.DUMMYFUNCTION("""COMPUTED_VALUE"""),346)</f>
        <v>346</v>
      </c>
      <c r="G112">
        <f ca="1">IFERROR(__xludf.DUMMYFUNCTION("""COMPUTED_VALUE"""),12)</f>
        <v>12</v>
      </c>
      <c r="H112">
        <f ca="1">IFERROR(__xludf.DUMMYFUNCTION("""COMPUTED_VALUE"""),23)</f>
        <v>23</v>
      </c>
    </row>
    <row r="113" spans="1:8" ht="12.75">
      <c r="A113" t="str">
        <f ca="1">IFERROR(__xludf.DUMMYFUNCTION("""COMPUTED_VALUE"""),"T111")</f>
        <v>T111</v>
      </c>
      <c r="B113" t="str">
        <f ca="1">IFERROR(__xludf.DUMMYFUNCTION("""COMPUTED_VALUE"""),"T120")</f>
        <v>T120</v>
      </c>
      <c r="C113" t="str">
        <f ca="1">IFERROR(__xludf.DUMMYFUNCTION("""COMPUTED_VALUE"""),"Doc Redman")</f>
        <v>Doc Redman</v>
      </c>
      <c r="D113">
        <f ca="1">IFERROR(__xludf.DUMMYFUNCTION("""COMPUTED_VALUE"""),18)</f>
        <v>18</v>
      </c>
      <c r="E113">
        <f ca="1">IFERROR(__xludf.DUMMYFUNCTION("""COMPUTED_VALUE"""),28.83)</f>
        <v>28.83</v>
      </c>
      <c r="F113">
        <f ca="1">IFERROR(__xludf.DUMMYFUNCTION("""COMPUTED_VALUE"""),519)</f>
        <v>519</v>
      </c>
      <c r="G113">
        <f ca="1">IFERROR(__xludf.DUMMYFUNCTION("""COMPUTED_VALUE"""),18)</f>
        <v>18</v>
      </c>
      <c r="H113">
        <f ca="1">IFERROR(__xludf.DUMMYFUNCTION("""COMPUTED_VALUE"""),25)</f>
        <v>25</v>
      </c>
    </row>
    <row r="114" spans="1:8" ht="12.75">
      <c r="A114" t="str">
        <f ca="1">IFERROR(__xludf.DUMMYFUNCTION("""COMPUTED_VALUE"""),"T111")</f>
        <v>T111</v>
      </c>
      <c r="B114" t="str">
        <f ca="1">IFERROR(__xludf.DUMMYFUNCTION("""COMPUTED_VALUE"""),"T185")</f>
        <v>T185</v>
      </c>
      <c r="C114" t="str">
        <f ca="1">IFERROR(__xludf.DUMMYFUNCTION("""COMPUTED_VALUE"""),"Sam Ryder")</f>
        <v>Sam Ryder</v>
      </c>
      <c r="D114">
        <f ca="1">IFERROR(__xludf.DUMMYFUNCTION("""COMPUTED_VALUE"""),12)</f>
        <v>12</v>
      </c>
      <c r="E114">
        <f ca="1">IFERROR(__xludf.DUMMYFUNCTION("""COMPUTED_VALUE"""),28.83)</f>
        <v>28.83</v>
      </c>
      <c r="F114">
        <f ca="1">IFERROR(__xludf.DUMMYFUNCTION("""COMPUTED_VALUE"""),346)</f>
        <v>346</v>
      </c>
      <c r="G114">
        <f ca="1">IFERROR(__xludf.DUMMYFUNCTION("""COMPUTED_VALUE"""),12)</f>
        <v>12</v>
      </c>
      <c r="H114">
        <f ca="1">IFERROR(__xludf.DUMMYFUNCTION("""COMPUTED_VALUE"""),25)</f>
        <v>25</v>
      </c>
    </row>
    <row r="115" spans="1:8" ht="12.75">
      <c r="A115" t="str">
        <f ca="1">IFERROR(__xludf.DUMMYFUNCTION("""COMPUTED_VALUE"""),"T111")</f>
        <v>T111</v>
      </c>
      <c r="B115" t="str">
        <f ca="1">IFERROR(__xludf.DUMMYFUNCTION("""COMPUTED_VALUE"""),"T195")</f>
        <v>T195</v>
      </c>
      <c r="C115" t="str">
        <f ca="1">IFERROR(__xludf.DUMMYFUNCTION("""COMPUTED_VALUE"""),"Tony Finau")</f>
        <v>Tony Finau</v>
      </c>
      <c r="D115">
        <f ca="1">IFERROR(__xludf.DUMMYFUNCTION("""COMPUTED_VALUE"""),12)</f>
        <v>12</v>
      </c>
      <c r="E115">
        <f ca="1">IFERROR(__xludf.DUMMYFUNCTION("""COMPUTED_VALUE"""),28.83)</f>
        <v>28.83</v>
      </c>
      <c r="F115">
        <f ca="1">IFERROR(__xludf.DUMMYFUNCTION("""COMPUTED_VALUE"""),346)</f>
        <v>346</v>
      </c>
      <c r="G115">
        <f ca="1">IFERROR(__xludf.DUMMYFUNCTION("""COMPUTED_VALUE"""),12)</f>
        <v>12</v>
      </c>
      <c r="H115">
        <f ca="1">IFERROR(__xludf.DUMMYFUNCTION("""COMPUTED_VALUE"""),25)</f>
        <v>25</v>
      </c>
    </row>
    <row r="116" spans="1:8" ht="12.75">
      <c r="A116" t="str">
        <f ca="1">IFERROR(__xludf.DUMMYFUNCTION("""COMPUTED_VALUE"""),"T111")</f>
        <v>T111</v>
      </c>
      <c r="B116" t="str">
        <f ca="1">IFERROR(__xludf.DUMMYFUNCTION("""COMPUTED_VALUE"""),"T115")</f>
        <v>T115</v>
      </c>
      <c r="C116" t="str">
        <f ca="1">IFERROR(__xludf.DUMMYFUNCTION("""COMPUTED_VALUE"""),"Nick Taylor")</f>
        <v>Nick Taylor</v>
      </c>
      <c r="D116">
        <f ca="1">IFERROR(__xludf.DUMMYFUNCTION("""COMPUTED_VALUE"""),12)</f>
        <v>12</v>
      </c>
      <c r="E116">
        <f ca="1">IFERROR(__xludf.DUMMYFUNCTION("""COMPUTED_VALUE"""),28.83)</f>
        <v>28.83</v>
      </c>
      <c r="F116">
        <f ca="1">IFERROR(__xludf.DUMMYFUNCTION("""COMPUTED_VALUE"""),346)</f>
        <v>346</v>
      </c>
      <c r="G116">
        <f ca="1">IFERROR(__xludf.DUMMYFUNCTION("""COMPUTED_VALUE"""),12)</f>
        <v>12</v>
      </c>
      <c r="H116">
        <f ca="1">IFERROR(__xludf.DUMMYFUNCTION("""COMPUTED_VALUE"""),25)</f>
        <v>25</v>
      </c>
    </row>
    <row r="117" spans="1:8" ht="12.75">
      <c r="A117">
        <f ca="1">IFERROR(__xludf.DUMMYFUNCTION("""COMPUTED_VALUE"""),116)</f>
        <v>116</v>
      </c>
      <c r="B117" t="str">
        <f ca="1">IFERROR(__xludf.DUMMYFUNCTION("""COMPUTED_VALUE"""),"T115")</f>
        <v>T115</v>
      </c>
      <c r="C117" t="str">
        <f ca="1">IFERROR(__xludf.DUMMYFUNCTION("""COMPUTED_VALUE"""),"Kyoung-Hoon Lee")</f>
        <v>Kyoung-Hoon Lee</v>
      </c>
      <c r="D117">
        <f ca="1">IFERROR(__xludf.DUMMYFUNCTION("""COMPUTED_VALUE"""),20)</f>
        <v>20</v>
      </c>
      <c r="E117">
        <f ca="1">IFERROR(__xludf.DUMMYFUNCTION("""COMPUTED_VALUE"""),28.85)</f>
        <v>28.85</v>
      </c>
      <c r="F117">
        <f ca="1">IFERROR(__xludf.DUMMYFUNCTION("""COMPUTED_VALUE"""),577)</f>
        <v>577</v>
      </c>
      <c r="G117">
        <f ca="1">IFERROR(__xludf.DUMMYFUNCTION("""COMPUTED_VALUE"""),20)</f>
        <v>20</v>
      </c>
      <c r="H117">
        <f ca="1">IFERROR(__xludf.DUMMYFUNCTION("""COMPUTED_VALUE"""),25)</f>
        <v>25</v>
      </c>
    </row>
    <row r="118" spans="1:8" ht="12.75">
      <c r="A118" t="str">
        <f ca="1">IFERROR(__xludf.DUMMYFUNCTION("""COMPUTED_VALUE"""),"T117")</f>
        <v>T117</v>
      </c>
      <c r="B118" t="str">
        <f ca="1">IFERROR(__xludf.DUMMYFUNCTION("""COMPUTED_VALUE"""),"T120")</f>
        <v>T120</v>
      </c>
      <c r="C118" t="str">
        <f ca="1">IFERROR(__xludf.DUMMYFUNCTION("""COMPUTED_VALUE"""),"Tyler McCumber")</f>
        <v>Tyler McCumber</v>
      </c>
      <c r="D118">
        <f ca="1">IFERROR(__xludf.DUMMYFUNCTION("""COMPUTED_VALUE"""),14)</f>
        <v>14</v>
      </c>
      <c r="E118">
        <f ca="1">IFERROR(__xludf.DUMMYFUNCTION("""COMPUTED_VALUE"""),28.86)</f>
        <v>28.86</v>
      </c>
      <c r="F118">
        <f ca="1">IFERROR(__xludf.DUMMYFUNCTION("""COMPUTED_VALUE"""),404)</f>
        <v>404</v>
      </c>
      <c r="G118">
        <f ca="1">IFERROR(__xludf.DUMMYFUNCTION("""COMPUTED_VALUE"""),14)</f>
        <v>14</v>
      </c>
      <c r="H118">
        <f ca="1">IFERROR(__xludf.DUMMYFUNCTION("""COMPUTED_VALUE"""),27)</f>
        <v>27</v>
      </c>
    </row>
    <row r="119" spans="1:8" ht="12.75">
      <c r="A119" t="str">
        <f ca="1">IFERROR(__xludf.DUMMYFUNCTION("""COMPUTED_VALUE"""),"T117")</f>
        <v>T117</v>
      </c>
      <c r="B119" t="str">
        <f ca="1">IFERROR(__xludf.DUMMYFUNCTION("""COMPUTED_VALUE"""),"T115")</f>
        <v>T115</v>
      </c>
      <c r="C119" t="str">
        <f ca="1">IFERROR(__xludf.DUMMYFUNCTION("""COMPUTED_VALUE"""),"Xinjun Zhang")</f>
        <v>Xinjun Zhang</v>
      </c>
      <c r="D119">
        <f ca="1">IFERROR(__xludf.DUMMYFUNCTION("""COMPUTED_VALUE"""),14)</f>
        <v>14</v>
      </c>
      <c r="E119">
        <f ca="1">IFERROR(__xludf.DUMMYFUNCTION("""COMPUTED_VALUE"""),28.86)</f>
        <v>28.86</v>
      </c>
      <c r="F119">
        <f ca="1">IFERROR(__xludf.DUMMYFUNCTION("""COMPUTED_VALUE"""),404)</f>
        <v>404</v>
      </c>
      <c r="G119">
        <f ca="1">IFERROR(__xludf.DUMMYFUNCTION("""COMPUTED_VALUE"""),14)</f>
        <v>14</v>
      </c>
      <c r="H119">
        <f ca="1">IFERROR(__xludf.DUMMYFUNCTION("""COMPUTED_VALUE"""),24)</f>
        <v>24</v>
      </c>
    </row>
    <row r="120" spans="1:8" ht="12.75">
      <c r="A120" t="str">
        <f ca="1">IFERROR(__xludf.DUMMYFUNCTION("""COMPUTED_VALUE"""),"T119")</f>
        <v>T119</v>
      </c>
      <c r="B120" t="str">
        <f ca="1">IFERROR(__xludf.DUMMYFUNCTION("""COMPUTED_VALUE"""),"T122")</f>
        <v>T122</v>
      </c>
      <c r="C120" t="str">
        <f ca="1">IFERROR(__xludf.DUMMYFUNCTION("""COMPUTED_VALUE"""),"Ryo Ishikawa")</f>
        <v>Ryo Ishikawa</v>
      </c>
      <c r="D120">
        <f ca="1">IFERROR(__xludf.DUMMYFUNCTION("""COMPUTED_VALUE"""),8)</f>
        <v>8</v>
      </c>
      <c r="E120">
        <f ca="1">IFERROR(__xludf.DUMMYFUNCTION("""COMPUTED_VALUE"""),28.88)</f>
        <v>28.88</v>
      </c>
      <c r="F120">
        <f ca="1">IFERROR(__xludf.DUMMYFUNCTION("""COMPUTED_VALUE"""),231)</f>
        <v>231</v>
      </c>
      <c r="G120">
        <f ca="1">IFERROR(__xludf.DUMMYFUNCTION("""COMPUTED_VALUE"""),8)</f>
        <v>8</v>
      </c>
      <c r="H120">
        <f ca="1">IFERROR(__xludf.DUMMYFUNCTION("""COMPUTED_VALUE"""),26)</f>
        <v>26</v>
      </c>
    </row>
    <row r="121" spans="1:8" ht="12.75">
      <c r="A121" t="str">
        <f ca="1">IFERROR(__xludf.DUMMYFUNCTION("""COMPUTED_VALUE"""),"T119")</f>
        <v>T119</v>
      </c>
      <c r="B121" t="str">
        <f ca="1">IFERROR(__xludf.DUMMYFUNCTION("""COMPUTED_VALUE"""),"T129")</f>
        <v>T129</v>
      </c>
      <c r="C121" t="str">
        <f ca="1">IFERROR(__xludf.DUMMYFUNCTION("""COMPUTED_VALUE"""),"Nate Lashley")</f>
        <v>Nate Lashley</v>
      </c>
      <c r="D121">
        <f ca="1">IFERROR(__xludf.DUMMYFUNCTION("""COMPUTED_VALUE"""),16)</f>
        <v>16</v>
      </c>
      <c r="E121">
        <f ca="1">IFERROR(__xludf.DUMMYFUNCTION("""COMPUTED_VALUE"""),28.88)</f>
        <v>28.88</v>
      </c>
      <c r="F121">
        <f ca="1">IFERROR(__xludf.DUMMYFUNCTION("""COMPUTED_VALUE"""),462)</f>
        <v>462</v>
      </c>
      <c r="G121">
        <f ca="1">IFERROR(__xludf.DUMMYFUNCTION("""COMPUTED_VALUE"""),16)</f>
        <v>16</v>
      </c>
      <c r="H121">
        <f ca="1">IFERROR(__xludf.DUMMYFUNCTION("""COMPUTED_VALUE"""),24)</f>
        <v>24</v>
      </c>
    </row>
    <row r="122" spans="1:8" ht="12.75">
      <c r="A122" t="str">
        <f ca="1">IFERROR(__xludf.DUMMYFUNCTION("""COMPUTED_VALUE"""),"T119")</f>
        <v>T119</v>
      </c>
      <c r="B122">
        <f ca="1">IFERROR(__xludf.DUMMYFUNCTION("""COMPUTED_VALUE"""),103)</f>
        <v>103</v>
      </c>
      <c r="C122" t="str">
        <f ca="1">IFERROR(__xludf.DUMMYFUNCTION("""COMPUTED_VALUE"""),"Ryan Armour")</f>
        <v>Ryan Armour</v>
      </c>
      <c r="D122">
        <f ca="1">IFERROR(__xludf.DUMMYFUNCTION("""COMPUTED_VALUE"""),16)</f>
        <v>16</v>
      </c>
      <c r="E122">
        <f ca="1">IFERROR(__xludf.DUMMYFUNCTION("""COMPUTED_VALUE"""),28.88)</f>
        <v>28.88</v>
      </c>
      <c r="F122">
        <f ca="1">IFERROR(__xludf.DUMMYFUNCTION("""COMPUTED_VALUE"""),462)</f>
        <v>462</v>
      </c>
      <c r="G122">
        <f ca="1">IFERROR(__xludf.DUMMYFUNCTION("""COMPUTED_VALUE"""),16)</f>
        <v>16</v>
      </c>
      <c r="H122">
        <f ca="1">IFERROR(__xludf.DUMMYFUNCTION("""COMPUTED_VALUE"""),25)</f>
        <v>25</v>
      </c>
    </row>
    <row r="123" spans="1:8" ht="12.75">
      <c r="A123" t="str">
        <f ca="1">IFERROR(__xludf.DUMMYFUNCTION("""COMPUTED_VALUE"""),"T119")</f>
        <v>T119</v>
      </c>
      <c r="B123" t="str">
        <f ca="1">IFERROR(__xludf.DUMMYFUNCTION("""COMPUTED_VALUE"""),"T20")</f>
        <v>T20</v>
      </c>
      <c r="C123" t="str">
        <f ca="1">IFERROR(__xludf.DUMMYFUNCTION("""COMPUTED_VALUE"""),"Cameron Davis")</f>
        <v>Cameron Davis</v>
      </c>
      <c r="D123">
        <f ca="1">IFERROR(__xludf.DUMMYFUNCTION("""COMPUTED_VALUE"""),16)</f>
        <v>16</v>
      </c>
      <c r="E123">
        <f ca="1">IFERROR(__xludf.DUMMYFUNCTION("""COMPUTED_VALUE"""),28.88)</f>
        <v>28.88</v>
      </c>
      <c r="F123">
        <f ca="1">IFERROR(__xludf.DUMMYFUNCTION("""COMPUTED_VALUE"""),462)</f>
        <v>462</v>
      </c>
      <c r="G123">
        <f ca="1">IFERROR(__xludf.DUMMYFUNCTION("""COMPUTED_VALUE"""),16)</f>
        <v>16</v>
      </c>
      <c r="H123">
        <f ca="1">IFERROR(__xludf.DUMMYFUNCTION("""COMPUTED_VALUE"""),21)</f>
        <v>21</v>
      </c>
    </row>
    <row r="124" spans="1:8" ht="12.75">
      <c r="A124" t="str">
        <f ca="1">IFERROR(__xludf.DUMMYFUNCTION("""COMPUTED_VALUE"""),"T119")</f>
        <v>T119</v>
      </c>
      <c r="B124" t="str">
        <f ca="1">IFERROR(__xludf.DUMMYFUNCTION("""COMPUTED_VALUE"""),"T122")</f>
        <v>T122</v>
      </c>
      <c r="C124" t="str">
        <f ca="1">IFERROR(__xludf.DUMMYFUNCTION("""COMPUTED_VALUE"""),"Dominic Bozzelli")</f>
        <v>Dominic Bozzelli</v>
      </c>
      <c r="D124">
        <f ca="1">IFERROR(__xludf.DUMMYFUNCTION("""COMPUTED_VALUE"""),8)</f>
        <v>8</v>
      </c>
      <c r="E124">
        <f ca="1">IFERROR(__xludf.DUMMYFUNCTION("""COMPUTED_VALUE"""),28.88)</f>
        <v>28.88</v>
      </c>
      <c r="F124">
        <f ca="1">IFERROR(__xludf.DUMMYFUNCTION("""COMPUTED_VALUE"""),231)</f>
        <v>231</v>
      </c>
      <c r="G124">
        <f ca="1">IFERROR(__xludf.DUMMYFUNCTION("""COMPUTED_VALUE"""),8)</f>
        <v>8</v>
      </c>
      <c r="H124">
        <f ca="1">IFERROR(__xludf.DUMMYFUNCTION("""COMPUTED_VALUE"""),25)</f>
        <v>25</v>
      </c>
    </row>
    <row r="125" spans="1:8" ht="12.75">
      <c r="A125" t="str">
        <f ca="1">IFERROR(__xludf.DUMMYFUNCTION("""COMPUTED_VALUE"""),"T119")</f>
        <v>T119</v>
      </c>
      <c r="B125" t="str">
        <f ca="1">IFERROR(__xludf.DUMMYFUNCTION("""COMPUTED_VALUE"""),"T122")</f>
        <v>T122</v>
      </c>
      <c r="C125" t="str">
        <f ca="1">IFERROR(__xludf.DUMMYFUNCTION("""COMPUTED_VALUE"""),"Adam Hadwin")</f>
        <v>Adam Hadwin</v>
      </c>
      <c r="D125">
        <f ca="1">IFERROR(__xludf.DUMMYFUNCTION("""COMPUTED_VALUE"""),16)</f>
        <v>16</v>
      </c>
      <c r="E125">
        <f ca="1">IFERROR(__xludf.DUMMYFUNCTION("""COMPUTED_VALUE"""),28.88)</f>
        <v>28.88</v>
      </c>
      <c r="F125">
        <f ca="1">IFERROR(__xludf.DUMMYFUNCTION("""COMPUTED_VALUE"""),462)</f>
        <v>462</v>
      </c>
      <c r="G125">
        <f ca="1">IFERROR(__xludf.DUMMYFUNCTION("""COMPUTED_VALUE"""),16)</f>
        <v>16</v>
      </c>
      <c r="H125">
        <f ca="1">IFERROR(__xludf.DUMMYFUNCTION("""COMPUTED_VALUE"""),26)</f>
        <v>26</v>
      </c>
    </row>
    <row r="126" spans="1:8" ht="12.75">
      <c r="A126">
        <f ca="1">IFERROR(__xludf.DUMMYFUNCTION("""COMPUTED_VALUE"""),125)</f>
        <v>125</v>
      </c>
      <c r="B126" t="str">
        <f ca="1">IFERROR(__xludf.DUMMYFUNCTION("""COMPUTED_VALUE"""),"T126")</f>
        <v>T126</v>
      </c>
      <c r="C126" t="str">
        <f ca="1">IFERROR(__xludf.DUMMYFUNCTION("""COMPUTED_VALUE"""),"Joel Dahmen")</f>
        <v>Joel Dahmen</v>
      </c>
      <c r="D126">
        <f ca="1">IFERROR(__xludf.DUMMYFUNCTION("""COMPUTED_VALUE"""),18)</f>
        <v>18</v>
      </c>
      <c r="E126">
        <f ca="1">IFERROR(__xludf.DUMMYFUNCTION("""COMPUTED_VALUE"""),28.89)</f>
        <v>28.89</v>
      </c>
      <c r="F126">
        <f ca="1">IFERROR(__xludf.DUMMYFUNCTION("""COMPUTED_VALUE"""),520)</f>
        <v>520</v>
      </c>
      <c r="G126">
        <f ca="1">IFERROR(__xludf.DUMMYFUNCTION("""COMPUTED_VALUE"""),18)</f>
        <v>18</v>
      </c>
      <c r="H126">
        <f ca="1">IFERROR(__xludf.DUMMYFUNCTION("""COMPUTED_VALUE"""),25)</f>
        <v>25</v>
      </c>
    </row>
    <row r="127" spans="1:8" ht="12.75">
      <c r="A127" t="str">
        <f ca="1">IFERROR(__xludf.DUMMYFUNCTION("""COMPUTED_VALUE"""),"T126")</f>
        <v>T126</v>
      </c>
      <c r="B127" t="str">
        <f ca="1">IFERROR(__xludf.DUMMYFUNCTION("""COMPUTED_VALUE"""),"T85")</f>
        <v>T85</v>
      </c>
      <c r="C127" t="str">
        <f ca="1">IFERROR(__xludf.DUMMYFUNCTION("""COMPUTED_VALUE"""),"Charley Hoffman")</f>
        <v>Charley Hoffman</v>
      </c>
      <c r="D127">
        <f ca="1">IFERROR(__xludf.DUMMYFUNCTION("""COMPUTED_VALUE"""),20)</f>
        <v>20</v>
      </c>
      <c r="E127">
        <f ca="1">IFERROR(__xludf.DUMMYFUNCTION("""COMPUTED_VALUE"""),28.9)</f>
        <v>28.9</v>
      </c>
      <c r="F127">
        <f ca="1">IFERROR(__xludf.DUMMYFUNCTION("""COMPUTED_VALUE"""),578)</f>
        <v>578</v>
      </c>
      <c r="G127">
        <f ca="1">IFERROR(__xludf.DUMMYFUNCTION("""COMPUTED_VALUE"""),20)</f>
        <v>20</v>
      </c>
      <c r="H127">
        <f ca="1">IFERROR(__xludf.DUMMYFUNCTION("""COMPUTED_VALUE"""),25)</f>
        <v>25</v>
      </c>
    </row>
    <row r="128" spans="1:8" ht="12.75">
      <c r="A128" t="str">
        <f ca="1">IFERROR(__xludf.DUMMYFUNCTION("""COMPUTED_VALUE"""),"T126")</f>
        <v>T126</v>
      </c>
      <c r="B128">
        <f ca="1">IFERROR(__xludf.DUMMYFUNCTION("""COMPUTED_VALUE"""),128)</f>
        <v>128</v>
      </c>
      <c r="C128" t="str">
        <f ca="1">IFERROR(__xludf.DUMMYFUNCTION("""COMPUTED_VALUE"""),"Charles Howell III")</f>
        <v>Charles Howell III</v>
      </c>
      <c r="D128">
        <f ca="1">IFERROR(__xludf.DUMMYFUNCTION("""COMPUTED_VALUE"""),10)</f>
        <v>10</v>
      </c>
      <c r="E128">
        <f ca="1">IFERROR(__xludf.DUMMYFUNCTION("""COMPUTED_VALUE"""),28.9)</f>
        <v>28.9</v>
      </c>
      <c r="F128">
        <f ca="1">IFERROR(__xludf.DUMMYFUNCTION("""COMPUTED_VALUE"""),289)</f>
        <v>289</v>
      </c>
      <c r="G128">
        <f ca="1">IFERROR(__xludf.DUMMYFUNCTION("""COMPUTED_VALUE"""),10)</f>
        <v>10</v>
      </c>
      <c r="H128">
        <f ca="1">IFERROR(__xludf.DUMMYFUNCTION("""COMPUTED_VALUE"""),25)</f>
        <v>25</v>
      </c>
    </row>
    <row r="129" spans="1:8" ht="12.75">
      <c r="A129" t="str">
        <f ca="1">IFERROR(__xludf.DUMMYFUNCTION("""COMPUTED_VALUE"""),"T128")</f>
        <v>T128</v>
      </c>
      <c r="B129" t="str">
        <f ca="1">IFERROR(__xludf.DUMMYFUNCTION("""COMPUTED_VALUE"""),"T100")</f>
        <v>T100</v>
      </c>
      <c r="C129" t="str">
        <f ca="1">IFERROR(__xludf.DUMMYFUNCTION("""COMPUTED_VALUE"""),"Phil Mickelson")</f>
        <v>Phil Mickelson</v>
      </c>
      <c r="D129">
        <f ca="1">IFERROR(__xludf.DUMMYFUNCTION("""COMPUTED_VALUE"""),12)</f>
        <v>12</v>
      </c>
      <c r="E129">
        <f ca="1">IFERROR(__xludf.DUMMYFUNCTION("""COMPUTED_VALUE"""),28.92)</f>
        <v>28.92</v>
      </c>
      <c r="F129">
        <f ca="1">IFERROR(__xludf.DUMMYFUNCTION("""COMPUTED_VALUE"""),347)</f>
        <v>347</v>
      </c>
      <c r="G129">
        <f ca="1">IFERROR(__xludf.DUMMYFUNCTION("""COMPUTED_VALUE"""),12)</f>
        <v>12</v>
      </c>
      <c r="H129">
        <f ca="1">IFERROR(__xludf.DUMMYFUNCTION("""COMPUTED_VALUE"""),21)</f>
        <v>21</v>
      </c>
    </row>
    <row r="130" spans="1:8" ht="12.75">
      <c r="A130" t="str">
        <f ca="1">IFERROR(__xludf.DUMMYFUNCTION("""COMPUTED_VALUE"""),"T128")</f>
        <v>T128</v>
      </c>
      <c r="B130" t="str">
        <f ca="1">IFERROR(__xludf.DUMMYFUNCTION("""COMPUTED_VALUE"""),"T80")</f>
        <v>T80</v>
      </c>
      <c r="C130" t="str">
        <f ca="1">IFERROR(__xludf.DUMMYFUNCTION("""COMPUTED_VALUE"""),"Charl Schwartzel")</f>
        <v>Charl Schwartzel</v>
      </c>
      <c r="D130">
        <f ca="1">IFERROR(__xludf.DUMMYFUNCTION("""COMPUTED_VALUE"""),12)</f>
        <v>12</v>
      </c>
      <c r="E130">
        <f ca="1">IFERROR(__xludf.DUMMYFUNCTION("""COMPUTED_VALUE"""),28.92)</f>
        <v>28.92</v>
      </c>
      <c r="F130">
        <f ca="1">IFERROR(__xludf.DUMMYFUNCTION("""COMPUTED_VALUE"""),347)</f>
        <v>347</v>
      </c>
      <c r="G130">
        <f ca="1">IFERROR(__xludf.DUMMYFUNCTION("""COMPUTED_VALUE"""),12)</f>
        <v>12</v>
      </c>
      <c r="H130">
        <f ca="1">IFERROR(__xludf.DUMMYFUNCTION("""COMPUTED_VALUE"""),27)</f>
        <v>27</v>
      </c>
    </row>
    <row r="131" spans="1:8" ht="12.75">
      <c r="A131" t="str">
        <f ca="1">IFERROR(__xludf.DUMMYFUNCTION("""COMPUTED_VALUE"""),"T128")</f>
        <v>T128</v>
      </c>
      <c r="B131" t="str">
        <f ca="1">IFERROR(__xludf.DUMMYFUNCTION("""COMPUTED_VALUE"""),"T129")</f>
        <v>T129</v>
      </c>
      <c r="C131" t="str">
        <f ca="1">IFERROR(__xludf.DUMMYFUNCTION("""COMPUTED_VALUE"""),"Cameron Champ")</f>
        <v>Cameron Champ</v>
      </c>
      <c r="D131">
        <f ca="1">IFERROR(__xludf.DUMMYFUNCTION("""COMPUTED_VALUE"""),12)</f>
        <v>12</v>
      </c>
      <c r="E131">
        <f ca="1">IFERROR(__xludf.DUMMYFUNCTION("""COMPUTED_VALUE"""),28.92)</f>
        <v>28.92</v>
      </c>
      <c r="F131">
        <f ca="1">IFERROR(__xludf.DUMMYFUNCTION("""COMPUTED_VALUE"""),347)</f>
        <v>347</v>
      </c>
      <c r="G131">
        <f ca="1">IFERROR(__xludf.DUMMYFUNCTION("""COMPUTED_VALUE"""),12)</f>
        <v>12</v>
      </c>
      <c r="H131">
        <f ca="1">IFERROR(__xludf.DUMMYFUNCTION("""COMPUTED_VALUE"""),22)</f>
        <v>22</v>
      </c>
    </row>
    <row r="132" spans="1:8" ht="12.75">
      <c r="A132">
        <f ca="1">IFERROR(__xludf.DUMMYFUNCTION("""COMPUTED_VALUE"""),131)</f>
        <v>131</v>
      </c>
      <c r="B132" t="str">
        <f ca="1">IFERROR(__xludf.DUMMYFUNCTION("""COMPUTED_VALUE"""),"T132")</f>
        <v>T132</v>
      </c>
      <c r="C132" t="str">
        <f ca="1">IFERROR(__xludf.DUMMYFUNCTION("""COMPUTED_VALUE"""),"Joaquin Niemann")</f>
        <v>Joaquin Niemann</v>
      </c>
      <c r="D132">
        <f ca="1">IFERROR(__xludf.DUMMYFUNCTION("""COMPUTED_VALUE"""),16)</f>
        <v>16</v>
      </c>
      <c r="E132">
        <f ca="1">IFERROR(__xludf.DUMMYFUNCTION("""COMPUTED_VALUE"""),28.94)</f>
        <v>28.94</v>
      </c>
      <c r="F132">
        <f ca="1">IFERROR(__xludf.DUMMYFUNCTION("""COMPUTED_VALUE"""),463)</f>
        <v>463</v>
      </c>
      <c r="G132">
        <f ca="1">IFERROR(__xludf.DUMMYFUNCTION("""COMPUTED_VALUE"""),16)</f>
        <v>16</v>
      </c>
      <c r="H132">
        <f ca="1">IFERROR(__xludf.DUMMYFUNCTION("""COMPUTED_VALUE"""),27)</f>
        <v>27</v>
      </c>
    </row>
    <row r="133" spans="1:8" ht="12.75">
      <c r="A133" t="str">
        <f ca="1">IFERROR(__xludf.DUMMYFUNCTION("""COMPUTED_VALUE"""),"T132")</f>
        <v>T132</v>
      </c>
      <c r="B133">
        <f ca="1">IFERROR(__xludf.DUMMYFUNCTION("""COMPUTED_VALUE"""),104)</f>
        <v>104</v>
      </c>
      <c r="C133" t="str">
        <f ca="1">IFERROR(__xludf.DUMMYFUNCTION("""COMPUTED_VALUE"""),"Denny McCarthy")</f>
        <v>Denny McCarthy</v>
      </c>
      <c r="D133">
        <f ca="1">IFERROR(__xludf.DUMMYFUNCTION("""COMPUTED_VALUE"""),22)</f>
        <v>22</v>
      </c>
      <c r="E133">
        <f ca="1">IFERROR(__xludf.DUMMYFUNCTION("""COMPUTED_VALUE"""),28.95)</f>
        <v>28.95</v>
      </c>
      <c r="F133">
        <f ca="1">IFERROR(__xludf.DUMMYFUNCTION("""COMPUTED_VALUE"""),637)</f>
        <v>637</v>
      </c>
      <c r="G133">
        <f ca="1">IFERROR(__xludf.DUMMYFUNCTION("""COMPUTED_VALUE"""),22)</f>
        <v>22</v>
      </c>
      <c r="H133">
        <f ca="1">IFERROR(__xludf.DUMMYFUNCTION("""COMPUTED_VALUE"""),25)</f>
        <v>25</v>
      </c>
    </row>
    <row r="134" spans="1:8" ht="12.75">
      <c r="A134" t="str">
        <f ca="1">IFERROR(__xludf.DUMMYFUNCTION("""COMPUTED_VALUE"""),"T132")</f>
        <v>T132</v>
      </c>
      <c r="B134" t="str">
        <f ca="1">IFERROR(__xludf.DUMMYFUNCTION("""COMPUTED_VALUE"""),"T126")</f>
        <v>T126</v>
      </c>
      <c r="C134" t="str">
        <f ca="1">IFERROR(__xludf.DUMMYFUNCTION("""COMPUTED_VALUE"""),"Brice Garnett")</f>
        <v>Brice Garnett</v>
      </c>
      <c r="D134">
        <f ca="1">IFERROR(__xludf.DUMMYFUNCTION("""COMPUTED_VALUE"""),22)</f>
        <v>22</v>
      </c>
      <c r="E134">
        <f ca="1">IFERROR(__xludf.DUMMYFUNCTION("""COMPUTED_VALUE"""),28.95)</f>
        <v>28.95</v>
      </c>
      <c r="F134">
        <f ca="1">IFERROR(__xludf.DUMMYFUNCTION("""COMPUTED_VALUE"""),637)</f>
        <v>637</v>
      </c>
      <c r="G134">
        <f ca="1">IFERROR(__xludf.DUMMYFUNCTION("""COMPUTED_VALUE"""),22)</f>
        <v>22</v>
      </c>
      <c r="H134">
        <f ca="1">IFERROR(__xludf.DUMMYFUNCTION("""COMPUTED_VALUE"""),25)</f>
        <v>25</v>
      </c>
    </row>
    <row r="135" spans="1:8" ht="12.75">
      <c r="A135" t="str">
        <f ca="1">IFERROR(__xludf.DUMMYFUNCTION("""COMPUTED_VALUE"""),"T134")</f>
        <v>T134</v>
      </c>
      <c r="B135" t="str">
        <f ca="1">IFERROR(__xludf.DUMMYFUNCTION("""COMPUTED_VALUE"""),"T136")</f>
        <v>T136</v>
      </c>
      <c r="C135" t="str">
        <f ca="1">IFERROR(__xludf.DUMMYFUNCTION("""COMPUTED_VALUE"""),"Alex Noren")</f>
        <v>Alex Noren</v>
      </c>
      <c r="D135">
        <f ca="1">IFERROR(__xludf.DUMMYFUNCTION("""COMPUTED_VALUE"""),14)</f>
        <v>14</v>
      </c>
      <c r="E135">
        <f ca="1">IFERROR(__xludf.DUMMYFUNCTION("""COMPUTED_VALUE"""),29)</f>
        <v>29</v>
      </c>
      <c r="F135">
        <f ca="1">IFERROR(__xludf.DUMMYFUNCTION("""COMPUTED_VALUE"""),406)</f>
        <v>406</v>
      </c>
      <c r="G135">
        <f ca="1">IFERROR(__xludf.DUMMYFUNCTION("""COMPUTED_VALUE"""),14)</f>
        <v>14</v>
      </c>
      <c r="H135">
        <f ca="1">IFERROR(__xludf.DUMMYFUNCTION("""COMPUTED_VALUE"""),24)</f>
        <v>24</v>
      </c>
    </row>
    <row r="136" spans="1:8" ht="12.75">
      <c r="A136" t="str">
        <f ca="1">IFERROR(__xludf.DUMMYFUNCTION("""COMPUTED_VALUE"""),"T134")</f>
        <v>T134</v>
      </c>
      <c r="B136" t="str">
        <f ca="1">IFERROR(__xludf.DUMMYFUNCTION("""COMPUTED_VALUE"""),"T136")</f>
        <v>T136</v>
      </c>
      <c r="C136" t="str">
        <f ca="1">IFERROR(__xludf.DUMMYFUNCTION("""COMPUTED_VALUE"""),"Eric Dugas")</f>
        <v>Eric Dugas</v>
      </c>
      <c r="D136">
        <f ca="1">IFERROR(__xludf.DUMMYFUNCTION("""COMPUTED_VALUE"""),4)</f>
        <v>4</v>
      </c>
      <c r="E136">
        <f ca="1">IFERROR(__xludf.DUMMYFUNCTION("""COMPUTED_VALUE"""),29)</f>
        <v>29</v>
      </c>
      <c r="F136">
        <f ca="1">IFERROR(__xludf.DUMMYFUNCTION("""COMPUTED_VALUE"""),116)</f>
        <v>116</v>
      </c>
      <c r="G136">
        <f ca="1">IFERROR(__xludf.DUMMYFUNCTION("""COMPUTED_VALUE"""),4)</f>
        <v>4</v>
      </c>
      <c r="H136">
        <f ca="1">IFERROR(__xludf.DUMMYFUNCTION("""COMPUTED_VALUE"""),25)</f>
        <v>25</v>
      </c>
    </row>
    <row r="137" spans="1:8" ht="12.75">
      <c r="A137" t="str">
        <f ca="1">IFERROR(__xludf.DUMMYFUNCTION("""COMPUTED_VALUE"""),"T134")</f>
        <v>T134</v>
      </c>
      <c r="B137" t="str">
        <f ca="1">IFERROR(__xludf.DUMMYFUNCTION("""COMPUTED_VALUE"""),"T136")</f>
        <v>T136</v>
      </c>
      <c r="C137" t="str">
        <f ca="1">IFERROR(__xludf.DUMMYFUNCTION("""COMPUTED_VALUE"""),"Rafael Campos")</f>
        <v>Rafael Campos</v>
      </c>
      <c r="D137">
        <f ca="1">IFERROR(__xludf.DUMMYFUNCTION("""COMPUTED_VALUE"""),6)</f>
        <v>6</v>
      </c>
      <c r="E137">
        <f ca="1">IFERROR(__xludf.DUMMYFUNCTION("""COMPUTED_VALUE"""),29)</f>
        <v>29</v>
      </c>
      <c r="F137">
        <f ca="1">IFERROR(__xludf.DUMMYFUNCTION("""COMPUTED_VALUE"""),174)</f>
        <v>174</v>
      </c>
      <c r="G137">
        <f ca="1">IFERROR(__xludf.DUMMYFUNCTION("""COMPUTED_VALUE"""),6)</f>
        <v>6</v>
      </c>
      <c r="H137">
        <f ca="1">IFERROR(__xludf.DUMMYFUNCTION("""COMPUTED_VALUE"""),26)</f>
        <v>26</v>
      </c>
    </row>
    <row r="138" spans="1:8" ht="12.75">
      <c r="A138" t="str">
        <f ca="1">IFERROR(__xludf.DUMMYFUNCTION("""COMPUTED_VALUE"""),"T134")</f>
        <v>T134</v>
      </c>
      <c r="B138" t="str">
        <f ca="1">IFERROR(__xludf.DUMMYFUNCTION("""COMPUTED_VALUE"""),"T244")</f>
        <v>T244</v>
      </c>
      <c r="C138" t="str">
        <f ca="1">IFERROR(__xludf.DUMMYFUNCTION("""COMPUTED_VALUE"""),"Adam Scott")</f>
        <v>Adam Scott</v>
      </c>
      <c r="D138">
        <f ca="1">IFERROR(__xludf.DUMMYFUNCTION("""COMPUTED_VALUE"""),8)</f>
        <v>8</v>
      </c>
      <c r="E138">
        <f ca="1">IFERROR(__xludf.DUMMYFUNCTION("""COMPUTED_VALUE"""),29)</f>
        <v>29</v>
      </c>
      <c r="F138">
        <f ca="1">IFERROR(__xludf.DUMMYFUNCTION("""COMPUTED_VALUE"""),232)</f>
        <v>232</v>
      </c>
      <c r="G138">
        <f ca="1">IFERROR(__xludf.DUMMYFUNCTION("""COMPUTED_VALUE"""),8)</f>
        <v>8</v>
      </c>
      <c r="H138">
        <f ca="1">IFERROR(__xludf.DUMMYFUNCTION("""COMPUTED_VALUE"""),26)</f>
        <v>26</v>
      </c>
    </row>
    <row r="139" spans="1:8" ht="12.75">
      <c r="A139" t="str">
        <f ca="1">IFERROR(__xludf.DUMMYFUNCTION("""COMPUTED_VALUE"""),"T134")</f>
        <v>T134</v>
      </c>
      <c r="B139" t="str">
        <f ca="1">IFERROR(__xludf.DUMMYFUNCTION("""COMPUTED_VALUE"""),"T136")</f>
        <v>T136</v>
      </c>
      <c r="C139" t="str">
        <f ca="1">IFERROR(__xludf.DUMMYFUNCTION("""COMPUTED_VALUE"""),"Ryan Palmer")</f>
        <v>Ryan Palmer</v>
      </c>
      <c r="D139">
        <f ca="1">IFERROR(__xludf.DUMMYFUNCTION("""COMPUTED_VALUE"""),14)</f>
        <v>14</v>
      </c>
      <c r="E139">
        <f ca="1">IFERROR(__xludf.DUMMYFUNCTION("""COMPUTED_VALUE"""),29)</f>
        <v>29</v>
      </c>
      <c r="F139">
        <f ca="1">IFERROR(__xludf.DUMMYFUNCTION("""COMPUTED_VALUE"""),406)</f>
        <v>406</v>
      </c>
      <c r="G139">
        <f ca="1">IFERROR(__xludf.DUMMYFUNCTION("""COMPUTED_VALUE"""),14)</f>
        <v>14</v>
      </c>
      <c r="H139">
        <f ca="1">IFERROR(__xludf.DUMMYFUNCTION("""COMPUTED_VALUE"""),25)</f>
        <v>25</v>
      </c>
    </row>
    <row r="140" spans="1:8" ht="12.75">
      <c r="A140" t="str">
        <f ca="1">IFERROR(__xludf.DUMMYFUNCTION("""COMPUTED_VALUE"""),"T134")</f>
        <v>T134</v>
      </c>
      <c r="B140" t="str">
        <f ca="1">IFERROR(__xludf.DUMMYFUNCTION("""COMPUTED_VALUE"""),"T136")</f>
        <v>T136</v>
      </c>
      <c r="C140" t="str">
        <f ca="1">IFERROR(__xludf.DUMMYFUNCTION("""COMPUTED_VALUE"""),"Joohyung Kim")</f>
        <v>Joohyung Kim</v>
      </c>
      <c r="D140">
        <f ca="1">IFERROR(__xludf.DUMMYFUNCTION("""COMPUTED_VALUE"""),12)</f>
        <v>12</v>
      </c>
      <c r="E140">
        <f ca="1">IFERROR(__xludf.DUMMYFUNCTION("""COMPUTED_VALUE"""),29)</f>
        <v>29</v>
      </c>
      <c r="F140">
        <f ca="1">IFERROR(__xludf.DUMMYFUNCTION("""COMPUTED_VALUE"""),348)</f>
        <v>348</v>
      </c>
      <c r="G140">
        <f ca="1">IFERROR(__xludf.DUMMYFUNCTION("""COMPUTED_VALUE"""),12)</f>
        <v>12</v>
      </c>
      <c r="H140">
        <f ca="1">IFERROR(__xludf.DUMMYFUNCTION("""COMPUTED_VALUE"""),26)</f>
        <v>26</v>
      </c>
    </row>
    <row r="141" spans="1:8" ht="12.75">
      <c r="A141" t="str">
        <f ca="1">IFERROR(__xludf.DUMMYFUNCTION("""COMPUTED_VALUE"""),"T134")</f>
        <v>T134</v>
      </c>
      <c r="B141">
        <f ca="1">IFERROR(__xludf.DUMMYFUNCTION("""COMPUTED_VALUE"""),114)</f>
        <v>114</v>
      </c>
      <c r="C141" t="str">
        <f ca="1">IFERROR(__xludf.DUMMYFUNCTION("""COMPUTED_VALUE"""),"Corey Conners")</f>
        <v>Corey Conners</v>
      </c>
      <c r="D141">
        <f ca="1">IFERROR(__xludf.DUMMYFUNCTION("""COMPUTED_VALUE"""),20)</f>
        <v>20</v>
      </c>
      <c r="E141">
        <f ca="1">IFERROR(__xludf.DUMMYFUNCTION("""COMPUTED_VALUE"""),29)</f>
        <v>29</v>
      </c>
      <c r="F141">
        <f ca="1">IFERROR(__xludf.DUMMYFUNCTION("""COMPUTED_VALUE"""),580)</f>
        <v>580</v>
      </c>
      <c r="G141">
        <f ca="1">IFERROR(__xludf.DUMMYFUNCTION("""COMPUTED_VALUE"""),20)</f>
        <v>20</v>
      </c>
      <c r="H141">
        <f ca="1">IFERROR(__xludf.DUMMYFUNCTION("""COMPUTED_VALUE"""),26)</f>
        <v>26</v>
      </c>
    </row>
    <row r="142" spans="1:8" ht="12.75">
      <c r="A142" t="str">
        <f ca="1">IFERROR(__xludf.DUMMYFUNCTION("""COMPUTED_VALUE"""),"T134")</f>
        <v>T134</v>
      </c>
      <c r="B142" t="str">
        <f ca="1">IFERROR(__xludf.DUMMYFUNCTION("""COMPUTED_VALUE"""),"T54")</f>
        <v>T54</v>
      </c>
      <c r="C142" t="str">
        <f ca="1">IFERROR(__xludf.DUMMYFUNCTION("""COMPUTED_VALUE"""),"Harold Varner III")</f>
        <v>Harold Varner III</v>
      </c>
      <c r="D142">
        <f ca="1">IFERROR(__xludf.DUMMYFUNCTION("""COMPUTED_VALUE"""),14)</f>
        <v>14</v>
      </c>
      <c r="E142">
        <f ca="1">IFERROR(__xludf.DUMMYFUNCTION("""COMPUTED_VALUE"""),29)</f>
        <v>29</v>
      </c>
      <c r="F142">
        <f ca="1">IFERROR(__xludf.DUMMYFUNCTION("""COMPUTED_VALUE"""),406)</f>
        <v>406</v>
      </c>
      <c r="G142">
        <f ca="1">IFERROR(__xludf.DUMMYFUNCTION("""COMPUTED_VALUE"""),14)</f>
        <v>14</v>
      </c>
      <c r="H142">
        <f ca="1">IFERROR(__xludf.DUMMYFUNCTION("""COMPUTED_VALUE"""),26)</f>
        <v>26</v>
      </c>
    </row>
    <row r="143" spans="1:8" ht="12.75">
      <c r="A143" t="str">
        <f ca="1">IFERROR(__xludf.DUMMYFUNCTION("""COMPUTED_VALUE"""),"T134")</f>
        <v>T134</v>
      </c>
      <c r="B143" t="str">
        <f ca="1">IFERROR(__xludf.DUMMYFUNCTION("""COMPUTED_VALUE"""),"T136")</f>
        <v>T136</v>
      </c>
      <c r="C143" t="str">
        <f ca="1">IFERROR(__xludf.DUMMYFUNCTION("""COMPUTED_VALUE"""),"Ben Martin")</f>
        <v>Ben Martin</v>
      </c>
      <c r="D143">
        <f ca="1">IFERROR(__xludf.DUMMYFUNCTION("""COMPUTED_VALUE"""),6)</f>
        <v>6</v>
      </c>
      <c r="E143">
        <f ca="1">IFERROR(__xludf.DUMMYFUNCTION("""COMPUTED_VALUE"""),29)</f>
        <v>29</v>
      </c>
      <c r="F143">
        <f ca="1">IFERROR(__xludf.DUMMYFUNCTION("""COMPUTED_VALUE"""),174)</f>
        <v>174</v>
      </c>
      <c r="G143">
        <f ca="1">IFERROR(__xludf.DUMMYFUNCTION("""COMPUTED_VALUE"""),6)</f>
        <v>6</v>
      </c>
      <c r="H143">
        <f ca="1">IFERROR(__xludf.DUMMYFUNCTION("""COMPUTED_VALUE"""),25)</f>
        <v>25</v>
      </c>
    </row>
    <row r="144" spans="1:8" ht="12.75">
      <c r="A144" t="str">
        <f ca="1">IFERROR(__xludf.DUMMYFUNCTION("""COMPUTED_VALUE"""),"T134")</f>
        <v>T134</v>
      </c>
      <c r="B144" t="str">
        <f ca="1">IFERROR(__xludf.DUMMYFUNCTION("""COMPUTED_VALUE"""),"T136")</f>
        <v>T136</v>
      </c>
      <c r="C144" t="str">
        <f ca="1">IFERROR(__xludf.DUMMYFUNCTION("""COMPUTED_VALUE"""),"Shawn Stefani")</f>
        <v>Shawn Stefani</v>
      </c>
      <c r="D144">
        <f ca="1">IFERROR(__xludf.DUMMYFUNCTION("""COMPUTED_VALUE"""),5)</f>
        <v>5</v>
      </c>
      <c r="E144">
        <f ca="1">IFERROR(__xludf.DUMMYFUNCTION("""COMPUTED_VALUE"""),29)</f>
        <v>29</v>
      </c>
      <c r="F144">
        <f ca="1">IFERROR(__xludf.DUMMYFUNCTION("""COMPUTED_VALUE"""),145)</f>
        <v>145</v>
      </c>
      <c r="G144">
        <f ca="1">IFERROR(__xludf.DUMMYFUNCTION("""COMPUTED_VALUE"""),5)</f>
        <v>5</v>
      </c>
      <c r="H144">
        <f ca="1">IFERROR(__xludf.DUMMYFUNCTION("""COMPUTED_VALUE"""),23)</f>
        <v>23</v>
      </c>
    </row>
    <row r="145" spans="1:8" ht="12.75">
      <c r="A145">
        <f ca="1">IFERROR(__xludf.DUMMYFUNCTION("""COMPUTED_VALUE"""),144)</f>
        <v>144</v>
      </c>
      <c r="B145" t="str">
        <f ca="1">IFERROR(__xludf.DUMMYFUNCTION("""COMPUTED_VALUE"""),"T122")</f>
        <v>T122</v>
      </c>
      <c r="C145" t="str">
        <f ca="1">IFERROR(__xludf.DUMMYFUNCTION("""COMPUTED_VALUE"""),"Andrew Putnam")</f>
        <v>Andrew Putnam</v>
      </c>
      <c r="D145">
        <f ca="1">IFERROR(__xludf.DUMMYFUNCTION("""COMPUTED_VALUE"""),19)</f>
        <v>19</v>
      </c>
      <c r="E145">
        <f ca="1">IFERROR(__xludf.DUMMYFUNCTION("""COMPUTED_VALUE"""),29.05)</f>
        <v>29.05</v>
      </c>
      <c r="F145">
        <f ca="1">IFERROR(__xludf.DUMMYFUNCTION("""COMPUTED_VALUE"""),552)</f>
        <v>552</v>
      </c>
      <c r="G145">
        <f ca="1">IFERROR(__xludf.DUMMYFUNCTION("""COMPUTED_VALUE"""),19)</f>
        <v>19</v>
      </c>
      <c r="H145">
        <f ca="1">IFERROR(__xludf.DUMMYFUNCTION("""COMPUTED_VALUE"""),25)</f>
        <v>25</v>
      </c>
    </row>
    <row r="146" spans="1:8" ht="12.75">
      <c r="A146" t="str">
        <f ca="1">IFERROR(__xludf.DUMMYFUNCTION("""COMPUTED_VALUE"""),"T145")</f>
        <v>T145</v>
      </c>
      <c r="B146" t="str">
        <f ca="1">IFERROR(__xludf.DUMMYFUNCTION("""COMPUTED_VALUE"""),"T80")</f>
        <v>T80</v>
      </c>
      <c r="C146" t="str">
        <f ca="1">IFERROR(__xludf.DUMMYFUNCTION("""COMPUTED_VALUE"""),"Lanto Griffin")</f>
        <v>Lanto Griffin</v>
      </c>
      <c r="D146">
        <f ca="1">IFERROR(__xludf.DUMMYFUNCTION("""COMPUTED_VALUE"""),18)</f>
        <v>18</v>
      </c>
      <c r="E146">
        <f ca="1">IFERROR(__xludf.DUMMYFUNCTION("""COMPUTED_VALUE"""),29.06)</f>
        <v>29.06</v>
      </c>
      <c r="F146">
        <f ca="1">IFERROR(__xludf.DUMMYFUNCTION("""COMPUTED_VALUE"""),523)</f>
        <v>523</v>
      </c>
      <c r="G146">
        <f ca="1">IFERROR(__xludf.DUMMYFUNCTION("""COMPUTED_VALUE"""),18)</f>
        <v>18</v>
      </c>
      <c r="H146">
        <f ca="1">IFERROR(__xludf.DUMMYFUNCTION("""COMPUTED_VALUE"""),24)</f>
        <v>24</v>
      </c>
    </row>
    <row r="147" spans="1:8" ht="12.75">
      <c r="A147" t="str">
        <f ca="1">IFERROR(__xludf.DUMMYFUNCTION("""COMPUTED_VALUE"""),"T145")</f>
        <v>T145</v>
      </c>
      <c r="B147" t="str">
        <f ca="1">IFERROR(__xludf.DUMMYFUNCTION("""COMPUTED_VALUE"""),"T136")</f>
        <v>T136</v>
      </c>
      <c r="C147" t="str">
        <f ca="1">IFERROR(__xludf.DUMMYFUNCTION("""COMPUTED_VALUE"""),"Cameron Tringale")</f>
        <v>Cameron Tringale</v>
      </c>
      <c r="D147">
        <f ca="1">IFERROR(__xludf.DUMMYFUNCTION("""COMPUTED_VALUE"""),16)</f>
        <v>16</v>
      </c>
      <c r="E147">
        <f ca="1">IFERROR(__xludf.DUMMYFUNCTION("""COMPUTED_VALUE"""),29.06)</f>
        <v>29.06</v>
      </c>
      <c r="F147">
        <f ca="1">IFERROR(__xludf.DUMMYFUNCTION("""COMPUTED_VALUE"""),465)</f>
        <v>465</v>
      </c>
      <c r="G147">
        <f ca="1">IFERROR(__xludf.DUMMYFUNCTION("""COMPUTED_VALUE"""),16)</f>
        <v>16</v>
      </c>
      <c r="H147">
        <f ca="1">IFERROR(__xludf.DUMMYFUNCTION("""COMPUTED_VALUE"""),22)</f>
        <v>22</v>
      </c>
    </row>
    <row r="148" spans="1:8" ht="12.75">
      <c r="A148" t="str">
        <f ca="1">IFERROR(__xludf.DUMMYFUNCTION("""COMPUTED_VALUE"""),"T145")</f>
        <v>T145</v>
      </c>
      <c r="B148" t="str">
        <f ca="1">IFERROR(__xludf.DUMMYFUNCTION("""COMPUTED_VALUE"""),"T158")</f>
        <v>T158</v>
      </c>
      <c r="C148" t="str">
        <f ca="1">IFERROR(__xludf.DUMMYFUNCTION("""COMPUTED_VALUE"""),"Pat Perez")</f>
        <v>Pat Perez</v>
      </c>
      <c r="D148">
        <f ca="1">IFERROR(__xludf.DUMMYFUNCTION("""COMPUTED_VALUE"""),16)</f>
        <v>16</v>
      </c>
      <c r="E148">
        <f ca="1">IFERROR(__xludf.DUMMYFUNCTION("""COMPUTED_VALUE"""),29.06)</f>
        <v>29.06</v>
      </c>
      <c r="F148">
        <f ca="1">IFERROR(__xludf.DUMMYFUNCTION("""COMPUTED_VALUE"""),465)</f>
        <v>465</v>
      </c>
      <c r="G148">
        <f ca="1">IFERROR(__xludf.DUMMYFUNCTION("""COMPUTED_VALUE"""),16)</f>
        <v>16</v>
      </c>
      <c r="H148">
        <f ca="1">IFERROR(__xludf.DUMMYFUNCTION("""COMPUTED_VALUE"""),25)</f>
        <v>25</v>
      </c>
    </row>
    <row r="149" spans="1:8" ht="12.75">
      <c r="A149" t="str">
        <f ca="1">IFERROR(__xludf.DUMMYFUNCTION("""COMPUTED_VALUE"""),"T148")</f>
        <v>T148</v>
      </c>
      <c r="B149" t="str">
        <f ca="1">IFERROR(__xludf.DUMMYFUNCTION("""COMPUTED_VALUE"""),"T151")</f>
        <v>T151</v>
      </c>
      <c r="C149" t="str">
        <f ca="1">IFERROR(__xludf.DUMMYFUNCTION("""COMPUTED_VALUE"""),"Kevin Na")</f>
        <v>Kevin Na</v>
      </c>
      <c r="D149">
        <f ca="1">IFERROR(__xludf.DUMMYFUNCTION("""COMPUTED_VALUE"""),14)</f>
        <v>14</v>
      </c>
      <c r="E149">
        <f ca="1">IFERROR(__xludf.DUMMYFUNCTION("""COMPUTED_VALUE"""),29.07)</f>
        <v>29.07</v>
      </c>
      <c r="F149">
        <f ca="1">IFERROR(__xludf.DUMMYFUNCTION("""COMPUTED_VALUE"""),407)</f>
        <v>407</v>
      </c>
      <c r="G149">
        <f ca="1">IFERROR(__xludf.DUMMYFUNCTION("""COMPUTED_VALUE"""),14)</f>
        <v>14</v>
      </c>
      <c r="H149">
        <f ca="1">IFERROR(__xludf.DUMMYFUNCTION("""COMPUTED_VALUE"""),24)</f>
        <v>24</v>
      </c>
    </row>
    <row r="150" spans="1:8" ht="12.75">
      <c r="A150" t="str">
        <f ca="1">IFERROR(__xludf.DUMMYFUNCTION("""COMPUTED_VALUE"""),"T148")</f>
        <v>T148</v>
      </c>
      <c r="B150" t="str">
        <f ca="1">IFERROR(__xludf.DUMMYFUNCTION("""COMPUTED_VALUE"""),"T151")</f>
        <v>T151</v>
      </c>
      <c r="C150" t="str">
        <f ca="1">IFERROR(__xludf.DUMMYFUNCTION("""COMPUTED_VALUE"""),"Byeong Hun An")</f>
        <v>Byeong Hun An</v>
      </c>
      <c r="D150">
        <f ca="1">IFERROR(__xludf.DUMMYFUNCTION("""COMPUTED_VALUE"""),14)</f>
        <v>14</v>
      </c>
      <c r="E150">
        <f ca="1">IFERROR(__xludf.DUMMYFUNCTION("""COMPUTED_VALUE"""),29.07)</f>
        <v>29.07</v>
      </c>
      <c r="F150">
        <f ca="1">IFERROR(__xludf.DUMMYFUNCTION("""COMPUTED_VALUE"""),407)</f>
        <v>407</v>
      </c>
      <c r="G150">
        <f ca="1">IFERROR(__xludf.DUMMYFUNCTION("""COMPUTED_VALUE"""),14)</f>
        <v>14</v>
      </c>
      <c r="H150">
        <f ca="1">IFERROR(__xludf.DUMMYFUNCTION("""COMPUTED_VALUE"""),25)</f>
        <v>25</v>
      </c>
    </row>
    <row r="151" spans="1:8" ht="12.75">
      <c r="A151" t="str">
        <f ca="1">IFERROR(__xludf.DUMMYFUNCTION("""COMPUTED_VALUE"""),"T148")</f>
        <v>T148</v>
      </c>
      <c r="B151" t="str">
        <f ca="1">IFERROR(__xludf.DUMMYFUNCTION("""COMPUTED_VALUE"""),"T115")</f>
        <v>T115</v>
      </c>
      <c r="C151" t="str">
        <f ca="1">IFERROR(__xludf.DUMMYFUNCTION("""COMPUTED_VALUE"""),"Robby Shelton")</f>
        <v>Robby Shelton</v>
      </c>
      <c r="D151">
        <f ca="1">IFERROR(__xludf.DUMMYFUNCTION("""COMPUTED_VALUE"""),14)</f>
        <v>14</v>
      </c>
      <c r="E151">
        <f ca="1">IFERROR(__xludf.DUMMYFUNCTION("""COMPUTED_VALUE"""),29.07)</f>
        <v>29.07</v>
      </c>
      <c r="F151">
        <f ca="1">IFERROR(__xludf.DUMMYFUNCTION("""COMPUTED_VALUE"""),407)</f>
        <v>407</v>
      </c>
      <c r="G151">
        <f ca="1">IFERROR(__xludf.DUMMYFUNCTION("""COMPUTED_VALUE"""),14)</f>
        <v>14</v>
      </c>
      <c r="H151">
        <f ca="1">IFERROR(__xludf.DUMMYFUNCTION("""COMPUTED_VALUE"""),25)</f>
        <v>25</v>
      </c>
    </row>
    <row r="152" spans="1:8" ht="12.75">
      <c r="A152" t="str">
        <f ca="1">IFERROR(__xludf.DUMMYFUNCTION("""COMPUTED_VALUE"""),"T148")</f>
        <v>T148</v>
      </c>
      <c r="B152" t="str">
        <f ca="1">IFERROR(__xludf.DUMMYFUNCTION("""COMPUTED_VALUE"""),"T151")</f>
        <v>T151</v>
      </c>
      <c r="C152" t="str">
        <f ca="1">IFERROR(__xludf.DUMMYFUNCTION("""COMPUTED_VALUE"""),"Vincent Whaley")</f>
        <v>Vincent Whaley</v>
      </c>
      <c r="D152">
        <f ca="1">IFERROR(__xludf.DUMMYFUNCTION("""COMPUTED_VALUE"""),14)</f>
        <v>14</v>
      </c>
      <c r="E152">
        <f ca="1">IFERROR(__xludf.DUMMYFUNCTION("""COMPUTED_VALUE"""),29.07)</f>
        <v>29.07</v>
      </c>
      <c r="F152">
        <f ca="1">IFERROR(__xludf.DUMMYFUNCTION("""COMPUTED_VALUE"""),407)</f>
        <v>407</v>
      </c>
      <c r="G152">
        <f ca="1">IFERROR(__xludf.DUMMYFUNCTION("""COMPUTED_VALUE"""),14)</f>
        <v>14</v>
      </c>
      <c r="H152">
        <f ca="1">IFERROR(__xludf.DUMMYFUNCTION("""COMPUTED_VALUE"""),26)</f>
        <v>26</v>
      </c>
    </row>
    <row r="153" spans="1:8" ht="12.75">
      <c r="A153">
        <f ca="1">IFERROR(__xludf.DUMMYFUNCTION("""COMPUTED_VALUE"""),152)</f>
        <v>152</v>
      </c>
      <c r="B153" t="str">
        <f ca="1">IFERROR(__xludf.DUMMYFUNCTION("""COMPUTED_VALUE"""),"T136")</f>
        <v>T136</v>
      </c>
      <c r="C153" t="str">
        <f ca="1">IFERROR(__xludf.DUMMYFUNCTION("""COMPUTED_VALUE"""),"Satoshi Kodaira")</f>
        <v>Satoshi Kodaira</v>
      </c>
      <c r="D153">
        <f ca="1">IFERROR(__xludf.DUMMYFUNCTION("""COMPUTED_VALUE"""),12)</f>
        <v>12</v>
      </c>
      <c r="E153">
        <f ca="1">IFERROR(__xludf.DUMMYFUNCTION("""COMPUTED_VALUE"""),29.08)</f>
        <v>29.08</v>
      </c>
      <c r="F153">
        <f ca="1">IFERROR(__xludf.DUMMYFUNCTION("""COMPUTED_VALUE"""),349)</f>
        <v>349</v>
      </c>
      <c r="G153">
        <f ca="1">IFERROR(__xludf.DUMMYFUNCTION("""COMPUTED_VALUE"""),12)</f>
        <v>12</v>
      </c>
      <c r="H153">
        <f ca="1">IFERROR(__xludf.DUMMYFUNCTION("""COMPUTED_VALUE"""),24)</f>
        <v>24</v>
      </c>
    </row>
    <row r="154" spans="1:8" ht="12.75">
      <c r="A154">
        <f ca="1">IFERROR(__xludf.DUMMYFUNCTION("""COMPUTED_VALUE"""),153)</f>
        <v>153</v>
      </c>
      <c r="B154" t="str">
        <f ca="1">IFERROR(__xludf.DUMMYFUNCTION("""COMPUTED_VALUE"""),"T189")</f>
        <v>T189</v>
      </c>
      <c r="C154" t="str">
        <f ca="1">IFERROR(__xludf.DUMMYFUNCTION("""COMPUTED_VALUE"""),"Will Gordon")</f>
        <v>Will Gordon</v>
      </c>
      <c r="D154">
        <f ca="1">IFERROR(__xludf.DUMMYFUNCTION("""COMPUTED_VALUE"""),20)</f>
        <v>20</v>
      </c>
      <c r="E154">
        <f ca="1">IFERROR(__xludf.DUMMYFUNCTION("""COMPUTED_VALUE"""),29.1)</f>
        <v>29.1</v>
      </c>
      <c r="F154">
        <f ca="1">IFERROR(__xludf.DUMMYFUNCTION("""COMPUTED_VALUE"""),582)</f>
        <v>582</v>
      </c>
      <c r="G154">
        <f ca="1">IFERROR(__xludf.DUMMYFUNCTION("""COMPUTED_VALUE"""),20)</f>
        <v>20</v>
      </c>
      <c r="H154">
        <f ca="1">IFERROR(__xludf.DUMMYFUNCTION("""COMPUTED_VALUE"""),24)</f>
        <v>24</v>
      </c>
    </row>
    <row r="155" spans="1:8" ht="12.75">
      <c r="A155">
        <f ca="1">IFERROR(__xludf.DUMMYFUNCTION("""COMPUTED_VALUE"""),154)</f>
        <v>154</v>
      </c>
      <c r="B155">
        <f ca="1">IFERROR(__xludf.DUMMYFUNCTION("""COMPUTED_VALUE"""),155)</f>
        <v>155</v>
      </c>
      <c r="C155" t="str">
        <f ca="1">IFERROR(__xludf.DUMMYFUNCTION("""COMPUTED_VALUE"""),"Will Zalatoris")</f>
        <v>Will Zalatoris</v>
      </c>
      <c r="D155">
        <f ca="1">IFERROR(__xludf.DUMMYFUNCTION("""COMPUTED_VALUE"""),18)</f>
        <v>18</v>
      </c>
      <c r="E155">
        <f ca="1">IFERROR(__xludf.DUMMYFUNCTION("""COMPUTED_VALUE"""),29.11)</f>
        <v>29.11</v>
      </c>
      <c r="F155">
        <f ca="1">IFERROR(__xludf.DUMMYFUNCTION("""COMPUTED_VALUE"""),524)</f>
        <v>524</v>
      </c>
      <c r="G155">
        <f ca="1">IFERROR(__xludf.DUMMYFUNCTION("""COMPUTED_VALUE"""),18)</f>
        <v>18</v>
      </c>
      <c r="H155">
        <f ca="1">IFERROR(__xludf.DUMMYFUNCTION("""COMPUTED_VALUE"""),25)</f>
        <v>25</v>
      </c>
    </row>
    <row r="156" spans="1:8" ht="12.75">
      <c r="A156" t="str">
        <f ca="1">IFERROR(__xludf.DUMMYFUNCTION("""COMPUTED_VALUE"""),"T155")</f>
        <v>T155</v>
      </c>
      <c r="B156" t="str">
        <f ca="1">IFERROR(__xludf.DUMMYFUNCTION("""COMPUTED_VALUE"""),"T156")</f>
        <v>T156</v>
      </c>
      <c r="C156" t="str">
        <f ca="1">IFERROR(__xludf.DUMMYFUNCTION("""COMPUTED_VALUE"""),"Nelson Ledesma")</f>
        <v>Nelson Ledesma</v>
      </c>
      <c r="D156">
        <f ca="1">IFERROR(__xludf.DUMMYFUNCTION("""COMPUTED_VALUE"""),8)</f>
        <v>8</v>
      </c>
      <c r="E156">
        <f ca="1">IFERROR(__xludf.DUMMYFUNCTION("""COMPUTED_VALUE"""),29.13)</f>
        <v>29.13</v>
      </c>
      <c r="F156">
        <f ca="1">IFERROR(__xludf.DUMMYFUNCTION("""COMPUTED_VALUE"""),233)</f>
        <v>233</v>
      </c>
      <c r="G156">
        <f ca="1">IFERROR(__xludf.DUMMYFUNCTION("""COMPUTED_VALUE"""),8)</f>
        <v>8</v>
      </c>
      <c r="H156">
        <f ca="1">IFERROR(__xludf.DUMMYFUNCTION("""COMPUTED_VALUE"""),25)</f>
        <v>25</v>
      </c>
    </row>
    <row r="157" spans="1:8" ht="12.75">
      <c r="A157" t="str">
        <f ca="1">IFERROR(__xludf.DUMMYFUNCTION("""COMPUTED_VALUE"""),"T155")</f>
        <v>T155</v>
      </c>
      <c r="B157" t="str">
        <f ca="1">IFERROR(__xludf.DUMMYFUNCTION("""COMPUTED_VALUE"""),"T156")</f>
        <v>T156</v>
      </c>
      <c r="C157" t="str">
        <f ca="1">IFERROR(__xludf.DUMMYFUNCTION("""COMPUTED_VALUE"""),"D.J. Trahan")</f>
        <v>D.J. Trahan</v>
      </c>
      <c r="D157">
        <f ca="1">IFERROR(__xludf.DUMMYFUNCTION("""COMPUTED_VALUE"""),16)</f>
        <v>16</v>
      </c>
      <c r="E157">
        <f ca="1">IFERROR(__xludf.DUMMYFUNCTION("""COMPUTED_VALUE"""),29.13)</f>
        <v>29.13</v>
      </c>
      <c r="F157">
        <f ca="1">IFERROR(__xludf.DUMMYFUNCTION("""COMPUTED_VALUE"""),466)</f>
        <v>466</v>
      </c>
      <c r="G157">
        <f ca="1">IFERROR(__xludf.DUMMYFUNCTION("""COMPUTED_VALUE"""),16)</f>
        <v>16</v>
      </c>
      <c r="H157">
        <f ca="1">IFERROR(__xludf.DUMMYFUNCTION("""COMPUTED_VALUE"""),24)</f>
        <v>24</v>
      </c>
    </row>
    <row r="158" spans="1:8" ht="12.75">
      <c r="A158" t="str">
        <f ca="1">IFERROR(__xludf.DUMMYFUNCTION("""COMPUTED_VALUE"""),"T155")</f>
        <v>T155</v>
      </c>
      <c r="B158" t="str">
        <f ca="1">IFERROR(__xludf.DUMMYFUNCTION("""COMPUTED_VALUE"""),"T136")</f>
        <v>T136</v>
      </c>
      <c r="C158" t="str">
        <f ca="1">IFERROR(__xludf.DUMMYFUNCTION("""COMPUTED_VALUE"""),"Dylan Frittelli")</f>
        <v>Dylan Frittelli</v>
      </c>
      <c r="D158">
        <f ca="1">IFERROR(__xludf.DUMMYFUNCTION("""COMPUTED_VALUE"""),16)</f>
        <v>16</v>
      </c>
      <c r="E158">
        <f ca="1">IFERROR(__xludf.DUMMYFUNCTION("""COMPUTED_VALUE"""),29.13)</f>
        <v>29.13</v>
      </c>
      <c r="F158">
        <f ca="1">IFERROR(__xludf.DUMMYFUNCTION("""COMPUTED_VALUE"""),466)</f>
        <v>466</v>
      </c>
      <c r="G158">
        <f ca="1">IFERROR(__xludf.DUMMYFUNCTION("""COMPUTED_VALUE"""),16)</f>
        <v>16</v>
      </c>
      <c r="H158">
        <f ca="1">IFERROR(__xludf.DUMMYFUNCTION("""COMPUTED_VALUE"""),24)</f>
        <v>24</v>
      </c>
    </row>
    <row r="159" spans="1:8" ht="12.75">
      <c r="A159">
        <f ca="1">IFERROR(__xludf.DUMMYFUNCTION("""COMPUTED_VALUE"""),158)</f>
        <v>158</v>
      </c>
      <c r="B159" t="str">
        <f ca="1">IFERROR(__xludf.DUMMYFUNCTION("""COMPUTED_VALUE"""),"T158")</f>
        <v>T158</v>
      </c>
      <c r="C159" t="str">
        <f ca="1">IFERROR(__xludf.DUMMYFUNCTION("""COMPUTED_VALUE"""),"Rafa Cabrera Bello")</f>
        <v>Rafa Cabrera Bello</v>
      </c>
      <c r="D159">
        <f ca="1">IFERROR(__xludf.DUMMYFUNCTION("""COMPUTED_VALUE"""),14)</f>
        <v>14</v>
      </c>
      <c r="E159">
        <f ca="1">IFERROR(__xludf.DUMMYFUNCTION("""COMPUTED_VALUE"""),29.14)</f>
        <v>29.14</v>
      </c>
      <c r="F159">
        <f ca="1">IFERROR(__xludf.DUMMYFUNCTION("""COMPUTED_VALUE"""),408)</f>
        <v>408</v>
      </c>
      <c r="G159">
        <f ca="1">IFERROR(__xludf.DUMMYFUNCTION("""COMPUTED_VALUE"""),14)</f>
        <v>14</v>
      </c>
      <c r="H159">
        <f ca="1">IFERROR(__xludf.DUMMYFUNCTION("""COMPUTED_VALUE"""),26)</f>
        <v>26</v>
      </c>
    </row>
    <row r="160" spans="1:8" ht="12.75">
      <c r="A160" t="str">
        <f ca="1">IFERROR(__xludf.DUMMYFUNCTION("""COMPUTED_VALUE"""),"T159")</f>
        <v>T159</v>
      </c>
      <c r="B160" t="str">
        <f ca="1">IFERROR(__xludf.DUMMYFUNCTION("""COMPUTED_VALUE"""),"T226")</f>
        <v>T226</v>
      </c>
      <c r="C160" t="str">
        <f ca="1">IFERROR(__xludf.DUMMYFUNCTION("""COMPUTED_VALUE"""),"Lee Westwood")</f>
        <v>Lee Westwood</v>
      </c>
      <c r="D160">
        <f ca="1">IFERROR(__xludf.DUMMYFUNCTION("""COMPUTED_VALUE"""),6)</f>
        <v>6</v>
      </c>
      <c r="E160">
        <f ca="1">IFERROR(__xludf.DUMMYFUNCTION("""COMPUTED_VALUE"""),29.17)</f>
        <v>29.17</v>
      </c>
      <c r="F160">
        <f ca="1">IFERROR(__xludf.DUMMYFUNCTION("""COMPUTED_VALUE"""),175)</f>
        <v>175</v>
      </c>
      <c r="G160">
        <f ca="1">IFERROR(__xludf.DUMMYFUNCTION("""COMPUTED_VALUE"""),6)</f>
        <v>6</v>
      </c>
      <c r="H160">
        <f ca="1">IFERROR(__xludf.DUMMYFUNCTION("""COMPUTED_VALUE"""),27)</f>
        <v>27</v>
      </c>
    </row>
    <row r="161" spans="1:8" ht="12.75">
      <c r="A161" t="str">
        <f ca="1">IFERROR(__xludf.DUMMYFUNCTION("""COMPUTED_VALUE"""),"T159")</f>
        <v>T159</v>
      </c>
      <c r="B161" t="str">
        <f ca="1">IFERROR(__xludf.DUMMYFUNCTION("""COMPUTED_VALUE"""),"T161")</f>
        <v>T161</v>
      </c>
      <c r="C161" t="str">
        <f ca="1">IFERROR(__xludf.DUMMYFUNCTION("""COMPUTED_VALUE"""),"Gary Woodland")</f>
        <v>Gary Woodland</v>
      </c>
      <c r="D161">
        <f ca="1">IFERROR(__xludf.DUMMYFUNCTION("""COMPUTED_VALUE"""),6)</f>
        <v>6</v>
      </c>
      <c r="E161">
        <f ca="1">IFERROR(__xludf.DUMMYFUNCTION("""COMPUTED_VALUE"""),29.17)</f>
        <v>29.17</v>
      </c>
      <c r="F161">
        <f ca="1">IFERROR(__xludf.DUMMYFUNCTION("""COMPUTED_VALUE"""),175)</f>
        <v>175</v>
      </c>
      <c r="G161">
        <f ca="1">IFERROR(__xludf.DUMMYFUNCTION("""COMPUTED_VALUE"""),6)</f>
        <v>6</v>
      </c>
      <c r="H161">
        <f ca="1">IFERROR(__xludf.DUMMYFUNCTION("""COMPUTED_VALUE"""),24)</f>
        <v>24</v>
      </c>
    </row>
    <row r="162" spans="1:8" ht="12.75">
      <c r="A162" t="str">
        <f ca="1">IFERROR(__xludf.DUMMYFUNCTION("""COMPUTED_VALUE"""),"T159")</f>
        <v>T159</v>
      </c>
      <c r="B162" t="str">
        <f ca="1">IFERROR(__xludf.DUMMYFUNCTION("""COMPUTED_VALUE"""),"T161")</f>
        <v>T161</v>
      </c>
      <c r="C162" t="str">
        <f ca="1">IFERROR(__xludf.DUMMYFUNCTION("""COMPUTED_VALUE"""),"Josh Teater")</f>
        <v>Josh Teater</v>
      </c>
      <c r="D162">
        <f ca="1">IFERROR(__xludf.DUMMYFUNCTION("""COMPUTED_VALUE"""),6)</f>
        <v>6</v>
      </c>
      <c r="E162">
        <f ca="1">IFERROR(__xludf.DUMMYFUNCTION("""COMPUTED_VALUE"""),29.17)</f>
        <v>29.17</v>
      </c>
      <c r="F162">
        <f ca="1">IFERROR(__xludf.DUMMYFUNCTION("""COMPUTED_VALUE"""),175)</f>
        <v>175</v>
      </c>
      <c r="G162">
        <f ca="1">IFERROR(__xludf.DUMMYFUNCTION("""COMPUTED_VALUE"""),6)</f>
        <v>6</v>
      </c>
      <c r="H162">
        <f ca="1">IFERROR(__xludf.DUMMYFUNCTION("""COMPUTED_VALUE"""),24)</f>
        <v>24</v>
      </c>
    </row>
    <row r="163" spans="1:8" ht="12.75">
      <c r="A163" t="str">
        <f ca="1">IFERROR(__xludf.DUMMYFUNCTION("""COMPUTED_VALUE"""),"T159")</f>
        <v>T159</v>
      </c>
      <c r="B163" t="str">
        <f ca="1">IFERROR(__xludf.DUMMYFUNCTION("""COMPUTED_VALUE"""),"T161")</f>
        <v>T161</v>
      </c>
      <c r="C163" t="str">
        <f ca="1">IFERROR(__xludf.DUMMYFUNCTION("""COMPUTED_VALUE"""),"Billy Horschel")</f>
        <v>Billy Horschel</v>
      </c>
      <c r="D163">
        <f ca="1">IFERROR(__xludf.DUMMYFUNCTION("""COMPUTED_VALUE"""),12)</f>
        <v>12</v>
      </c>
      <c r="E163">
        <f ca="1">IFERROR(__xludf.DUMMYFUNCTION("""COMPUTED_VALUE"""),29.17)</f>
        <v>29.17</v>
      </c>
      <c r="F163">
        <f ca="1">IFERROR(__xludf.DUMMYFUNCTION("""COMPUTED_VALUE"""),350)</f>
        <v>350</v>
      </c>
      <c r="G163">
        <f ca="1">IFERROR(__xludf.DUMMYFUNCTION("""COMPUTED_VALUE"""),12)</f>
        <v>12</v>
      </c>
      <c r="H163">
        <f ca="1">IFERROR(__xludf.DUMMYFUNCTION("""COMPUTED_VALUE"""),25)</f>
        <v>25</v>
      </c>
    </row>
    <row r="164" spans="1:8" ht="12.75">
      <c r="A164" t="str">
        <f ca="1">IFERROR(__xludf.DUMMYFUNCTION("""COMPUTED_VALUE"""),"T159")</f>
        <v>T159</v>
      </c>
      <c r="B164" t="str">
        <f ca="1">IFERROR(__xludf.DUMMYFUNCTION("""COMPUTED_VALUE"""),"T161")</f>
        <v>T161</v>
      </c>
      <c r="C164" t="str">
        <f ca="1">IFERROR(__xludf.DUMMYFUNCTION("""COMPUTED_VALUE"""),"Wes Roach")</f>
        <v>Wes Roach</v>
      </c>
      <c r="D164">
        <f ca="1">IFERROR(__xludf.DUMMYFUNCTION("""COMPUTED_VALUE"""),6)</f>
        <v>6</v>
      </c>
      <c r="E164">
        <f ca="1">IFERROR(__xludf.DUMMYFUNCTION("""COMPUTED_VALUE"""),29.17)</f>
        <v>29.17</v>
      </c>
      <c r="F164">
        <f ca="1">IFERROR(__xludf.DUMMYFUNCTION("""COMPUTED_VALUE"""),175)</f>
        <v>175</v>
      </c>
      <c r="G164">
        <f ca="1">IFERROR(__xludf.DUMMYFUNCTION("""COMPUTED_VALUE"""),6)</f>
        <v>6</v>
      </c>
      <c r="H164">
        <f ca="1">IFERROR(__xludf.DUMMYFUNCTION("""COMPUTED_VALUE"""),26)</f>
        <v>26</v>
      </c>
    </row>
    <row r="165" spans="1:8" ht="12.75">
      <c r="A165">
        <f ca="1">IFERROR(__xludf.DUMMYFUNCTION("""COMPUTED_VALUE"""),164)</f>
        <v>164</v>
      </c>
      <c r="B165">
        <f ca="1">IFERROR(__xludf.DUMMYFUNCTION("""COMPUTED_VALUE"""),167)</f>
        <v>167</v>
      </c>
      <c r="C165" t="str">
        <f ca="1">IFERROR(__xludf.DUMMYFUNCTION("""COMPUTED_VALUE"""),"Abraham Ancer")</f>
        <v>Abraham Ancer</v>
      </c>
      <c r="D165">
        <f ca="1">IFERROR(__xludf.DUMMYFUNCTION("""COMPUTED_VALUE"""),16)</f>
        <v>16</v>
      </c>
      <c r="E165">
        <f ca="1">IFERROR(__xludf.DUMMYFUNCTION("""COMPUTED_VALUE"""),29.19)</f>
        <v>29.19</v>
      </c>
      <c r="F165">
        <f ca="1">IFERROR(__xludf.DUMMYFUNCTION("""COMPUTED_VALUE"""),467)</f>
        <v>467</v>
      </c>
      <c r="G165">
        <f ca="1">IFERROR(__xludf.DUMMYFUNCTION("""COMPUTED_VALUE"""),16)</f>
        <v>16</v>
      </c>
      <c r="H165">
        <f ca="1">IFERROR(__xludf.DUMMYFUNCTION("""COMPUTED_VALUE"""),26)</f>
        <v>26</v>
      </c>
    </row>
    <row r="166" spans="1:8" ht="12.75">
      <c r="A166" t="str">
        <f ca="1">IFERROR(__xludf.DUMMYFUNCTION("""COMPUTED_VALUE"""),"T165")</f>
        <v>T165</v>
      </c>
      <c r="B166" t="str">
        <f ca="1">IFERROR(__xludf.DUMMYFUNCTION("""COMPUTED_VALUE"""),"T168")</f>
        <v>T168</v>
      </c>
      <c r="C166" t="str">
        <f ca="1">IFERROR(__xludf.DUMMYFUNCTION("""COMPUTED_VALUE"""),"Matthew Fitzpatrick")</f>
        <v>Matthew Fitzpatrick</v>
      </c>
      <c r="D166">
        <f ca="1">IFERROR(__xludf.DUMMYFUNCTION("""COMPUTED_VALUE"""),10)</f>
        <v>10</v>
      </c>
      <c r="E166">
        <f ca="1">IFERROR(__xludf.DUMMYFUNCTION("""COMPUTED_VALUE"""),29.2)</f>
        <v>29.2</v>
      </c>
      <c r="F166">
        <f ca="1">IFERROR(__xludf.DUMMYFUNCTION("""COMPUTED_VALUE"""),292)</f>
        <v>292</v>
      </c>
      <c r="G166">
        <f ca="1">IFERROR(__xludf.DUMMYFUNCTION("""COMPUTED_VALUE"""),10)</f>
        <v>10</v>
      </c>
      <c r="H166">
        <f ca="1">IFERROR(__xludf.DUMMYFUNCTION("""COMPUTED_VALUE"""),25)</f>
        <v>25</v>
      </c>
    </row>
    <row r="167" spans="1:8" ht="12.75">
      <c r="A167" t="str">
        <f ca="1">IFERROR(__xludf.DUMMYFUNCTION("""COMPUTED_VALUE"""),"T165")</f>
        <v>T165</v>
      </c>
      <c r="B167" t="str">
        <f ca="1">IFERROR(__xludf.DUMMYFUNCTION("""COMPUTED_VALUE"""),"T205")</f>
        <v>T205</v>
      </c>
      <c r="C167" t="str">
        <f ca="1">IFERROR(__xludf.DUMMYFUNCTION("""COMPUTED_VALUE"""),"Troy Merritt")</f>
        <v>Troy Merritt</v>
      </c>
      <c r="D167">
        <f ca="1">IFERROR(__xludf.DUMMYFUNCTION("""COMPUTED_VALUE"""),20)</f>
        <v>20</v>
      </c>
      <c r="E167">
        <f ca="1">IFERROR(__xludf.DUMMYFUNCTION("""COMPUTED_VALUE"""),29.2)</f>
        <v>29.2</v>
      </c>
      <c r="F167">
        <f ca="1">IFERROR(__xludf.DUMMYFUNCTION("""COMPUTED_VALUE"""),584)</f>
        <v>584</v>
      </c>
      <c r="G167">
        <f ca="1">IFERROR(__xludf.DUMMYFUNCTION("""COMPUTED_VALUE"""),20)</f>
        <v>20</v>
      </c>
      <c r="H167">
        <f ca="1">IFERROR(__xludf.DUMMYFUNCTION("""COMPUTED_VALUE"""),25)</f>
        <v>25</v>
      </c>
    </row>
    <row r="168" spans="1:8" ht="12.75">
      <c r="A168" t="str">
        <f ca="1">IFERROR(__xludf.DUMMYFUNCTION("""COMPUTED_VALUE"""),"T165")</f>
        <v>T165</v>
      </c>
      <c r="B168" t="str">
        <f ca="1">IFERROR(__xludf.DUMMYFUNCTION("""COMPUTED_VALUE"""),"T91")</f>
        <v>T91</v>
      </c>
      <c r="C168" t="str">
        <f ca="1">IFERROR(__xludf.DUMMYFUNCTION("""COMPUTED_VALUE"""),"Bronson Burgoon")</f>
        <v>Bronson Burgoon</v>
      </c>
      <c r="D168">
        <f ca="1">IFERROR(__xludf.DUMMYFUNCTION("""COMPUTED_VALUE"""),10)</f>
        <v>10</v>
      </c>
      <c r="E168">
        <f ca="1">IFERROR(__xludf.DUMMYFUNCTION("""COMPUTED_VALUE"""),29.2)</f>
        <v>29.2</v>
      </c>
      <c r="F168">
        <f ca="1">IFERROR(__xludf.DUMMYFUNCTION("""COMPUTED_VALUE"""),292)</f>
        <v>292</v>
      </c>
      <c r="G168">
        <f ca="1">IFERROR(__xludf.DUMMYFUNCTION("""COMPUTED_VALUE"""),10)</f>
        <v>10</v>
      </c>
      <c r="H168">
        <f ca="1">IFERROR(__xludf.DUMMYFUNCTION("""COMPUTED_VALUE"""),26)</f>
        <v>26</v>
      </c>
    </row>
    <row r="169" spans="1:8" ht="12.75">
      <c r="A169" t="str">
        <f ca="1">IFERROR(__xludf.DUMMYFUNCTION("""COMPUTED_VALUE"""),"T168")</f>
        <v>T168</v>
      </c>
      <c r="B169" t="str">
        <f ca="1">IFERROR(__xludf.DUMMYFUNCTION("""COMPUTED_VALUE"""),"T132")</f>
        <v>T132</v>
      </c>
      <c r="C169" t="str">
        <f ca="1">IFERROR(__xludf.DUMMYFUNCTION("""COMPUTED_VALUE"""),"Stewart Cink")</f>
        <v>Stewart Cink</v>
      </c>
      <c r="D169">
        <f ca="1">IFERROR(__xludf.DUMMYFUNCTION("""COMPUTED_VALUE"""),18)</f>
        <v>18</v>
      </c>
      <c r="E169">
        <f ca="1">IFERROR(__xludf.DUMMYFUNCTION("""COMPUTED_VALUE"""),29.22)</f>
        <v>29.22</v>
      </c>
      <c r="F169">
        <f ca="1">IFERROR(__xludf.DUMMYFUNCTION("""COMPUTED_VALUE"""),526)</f>
        <v>526</v>
      </c>
      <c r="G169">
        <f ca="1">IFERROR(__xludf.DUMMYFUNCTION("""COMPUTED_VALUE"""),18)</f>
        <v>18</v>
      </c>
      <c r="H169">
        <f ca="1">IFERROR(__xludf.DUMMYFUNCTION("""COMPUTED_VALUE"""),24)</f>
        <v>24</v>
      </c>
    </row>
    <row r="170" spans="1:8" ht="12.75">
      <c r="A170" t="str">
        <f ca="1">IFERROR(__xludf.DUMMYFUNCTION("""COMPUTED_VALUE"""),"T168")</f>
        <v>T168</v>
      </c>
      <c r="B170" t="str">
        <f ca="1">IFERROR(__xludf.DUMMYFUNCTION("""COMPUTED_VALUE"""),"T132")</f>
        <v>T132</v>
      </c>
      <c r="C170" t="str">
        <f ca="1">IFERROR(__xludf.DUMMYFUNCTION("""COMPUTED_VALUE"""),"Hudson Swafford")</f>
        <v>Hudson Swafford</v>
      </c>
      <c r="D170">
        <f ca="1">IFERROR(__xludf.DUMMYFUNCTION("""COMPUTED_VALUE"""),18)</f>
        <v>18</v>
      </c>
      <c r="E170">
        <f ca="1">IFERROR(__xludf.DUMMYFUNCTION("""COMPUTED_VALUE"""),29.22)</f>
        <v>29.22</v>
      </c>
      <c r="F170">
        <f ca="1">IFERROR(__xludf.DUMMYFUNCTION("""COMPUTED_VALUE"""),526)</f>
        <v>526</v>
      </c>
      <c r="G170">
        <f ca="1">IFERROR(__xludf.DUMMYFUNCTION("""COMPUTED_VALUE"""),18)</f>
        <v>18</v>
      </c>
      <c r="H170">
        <f ca="1">IFERROR(__xludf.DUMMYFUNCTION("""COMPUTED_VALUE"""),23)</f>
        <v>23</v>
      </c>
    </row>
    <row r="171" spans="1:8" ht="12.75">
      <c r="A171" t="str">
        <f ca="1">IFERROR(__xludf.DUMMYFUNCTION("""COMPUTED_VALUE"""),"T168")</f>
        <v>T168</v>
      </c>
      <c r="B171" t="str">
        <f ca="1">IFERROR(__xludf.DUMMYFUNCTION("""COMPUTED_VALUE"""),"T171")</f>
        <v>T171</v>
      </c>
      <c r="C171" t="str">
        <f ca="1">IFERROR(__xludf.DUMMYFUNCTION("""COMPUTED_VALUE"""),"Tyler Duncan")</f>
        <v>Tyler Duncan</v>
      </c>
      <c r="D171">
        <f ca="1">IFERROR(__xludf.DUMMYFUNCTION("""COMPUTED_VALUE"""),18)</f>
        <v>18</v>
      </c>
      <c r="E171">
        <f ca="1">IFERROR(__xludf.DUMMYFUNCTION("""COMPUTED_VALUE"""),29.22)</f>
        <v>29.22</v>
      </c>
      <c r="F171">
        <f ca="1">IFERROR(__xludf.DUMMYFUNCTION("""COMPUTED_VALUE"""),526)</f>
        <v>526</v>
      </c>
      <c r="G171">
        <f ca="1">IFERROR(__xludf.DUMMYFUNCTION("""COMPUTED_VALUE"""),18)</f>
        <v>18</v>
      </c>
      <c r="H171">
        <f ca="1">IFERROR(__xludf.DUMMYFUNCTION("""COMPUTED_VALUE"""),22)</f>
        <v>22</v>
      </c>
    </row>
    <row r="172" spans="1:8" ht="12.75">
      <c r="A172" t="str">
        <f ca="1">IFERROR(__xludf.DUMMYFUNCTION("""COMPUTED_VALUE"""),"T168")</f>
        <v>T168</v>
      </c>
      <c r="B172">
        <f ca="1">IFERROR(__xludf.DUMMYFUNCTION("""COMPUTED_VALUE"""),170)</f>
        <v>170</v>
      </c>
      <c r="C172" t="str">
        <f ca="1">IFERROR(__xludf.DUMMYFUNCTION("""COMPUTED_VALUE"""),"J.T. Poston")</f>
        <v>J.T. Poston</v>
      </c>
      <c r="D172">
        <f ca="1">IFERROR(__xludf.DUMMYFUNCTION("""COMPUTED_VALUE"""),18)</f>
        <v>18</v>
      </c>
      <c r="E172">
        <f ca="1">IFERROR(__xludf.DUMMYFUNCTION("""COMPUTED_VALUE"""),29.22)</f>
        <v>29.22</v>
      </c>
      <c r="F172">
        <f ca="1">IFERROR(__xludf.DUMMYFUNCTION("""COMPUTED_VALUE"""),526)</f>
        <v>526</v>
      </c>
      <c r="G172">
        <f ca="1">IFERROR(__xludf.DUMMYFUNCTION("""COMPUTED_VALUE"""),18)</f>
        <v>18</v>
      </c>
      <c r="H172">
        <f ca="1">IFERROR(__xludf.DUMMYFUNCTION("""COMPUTED_VALUE"""),26)</f>
        <v>26</v>
      </c>
    </row>
    <row r="173" spans="1:8" ht="12.75">
      <c r="A173">
        <f ca="1">IFERROR(__xludf.DUMMYFUNCTION("""COMPUTED_VALUE"""),172)</f>
        <v>172</v>
      </c>
      <c r="B173" t="str">
        <f ca="1">IFERROR(__xludf.DUMMYFUNCTION("""COMPUTED_VALUE"""),"T161")</f>
        <v>T161</v>
      </c>
      <c r="C173" t="str">
        <f ca="1">IFERROR(__xludf.DUMMYFUNCTION("""COMPUTED_VALUE"""),"Rory Sabbatini")</f>
        <v>Rory Sabbatini</v>
      </c>
      <c r="D173">
        <f ca="1">IFERROR(__xludf.DUMMYFUNCTION("""COMPUTED_VALUE"""),13)</f>
        <v>13</v>
      </c>
      <c r="E173">
        <f ca="1">IFERROR(__xludf.DUMMYFUNCTION("""COMPUTED_VALUE"""),29.23)</f>
        <v>29.23</v>
      </c>
      <c r="F173">
        <f ca="1">IFERROR(__xludf.DUMMYFUNCTION("""COMPUTED_VALUE"""),380)</f>
        <v>380</v>
      </c>
      <c r="G173">
        <f ca="1">IFERROR(__xludf.DUMMYFUNCTION("""COMPUTED_VALUE"""),13)</f>
        <v>13</v>
      </c>
      <c r="H173">
        <f ca="1">IFERROR(__xludf.DUMMYFUNCTION("""COMPUTED_VALUE"""),23)</f>
        <v>23</v>
      </c>
    </row>
    <row r="174" spans="1:8" ht="12.75">
      <c r="A174">
        <f ca="1">IFERROR(__xludf.DUMMYFUNCTION("""COMPUTED_VALUE"""),173)</f>
        <v>173</v>
      </c>
      <c r="B174">
        <f ca="1">IFERROR(__xludf.DUMMYFUNCTION("""COMPUTED_VALUE"""),160)</f>
        <v>160</v>
      </c>
      <c r="C174" t="str">
        <f ca="1">IFERROR(__xludf.DUMMYFUNCTION("""COMPUTED_VALUE"""),"Jason Day")</f>
        <v>Jason Day</v>
      </c>
      <c r="D174">
        <f ca="1">IFERROR(__xludf.DUMMYFUNCTION("""COMPUTED_VALUE"""),17)</f>
        <v>17</v>
      </c>
      <c r="E174">
        <f ca="1">IFERROR(__xludf.DUMMYFUNCTION("""COMPUTED_VALUE"""),29.24)</f>
        <v>29.24</v>
      </c>
      <c r="F174">
        <f ca="1">IFERROR(__xludf.DUMMYFUNCTION("""COMPUTED_VALUE"""),497)</f>
        <v>497</v>
      </c>
      <c r="G174">
        <f ca="1">IFERROR(__xludf.DUMMYFUNCTION("""COMPUTED_VALUE"""),17)</f>
        <v>17</v>
      </c>
      <c r="H174">
        <f ca="1">IFERROR(__xludf.DUMMYFUNCTION("""COMPUTED_VALUE"""),26)</f>
        <v>26</v>
      </c>
    </row>
    <row r="175" spans="1:8" ht="12.75">
      <c r="A175" t="str">
        <f ca="1">IFERROR(__xludf.DUMMYFUNCTION("""COMPUTED_VALUE"""),"T174")</f>
        <v>T174</v>
      </c>
      <c r="B175" t="str">
        <f ca="1">IFERROR(__xludf.DUMMYFUNCTION("""COMPUTED_VALUE"""),"T49")</f>
        <v>T49</v>
      </c>
      <c r="C175" t="str">
        <f ca="1">IFERROR(__xludf.DUMMYFUNCTION("""COMPUTED_VALUE"""),"Ted Potter, Jr.")</f>
        <v>Ted Potter, Jr.</v>
      </c>
      <c r="D175">
        <f ca="1">IFERROR(__xludf.DUMMYFUNCTION("""COMPUTED_VALUE"""),8)</f>
        <v>8</v>
      </c>
      <c r="E175">
        <f ca="1">IFERROR(__xludf.DUMMYFUNCTION("""COMPUTED_VALUE"""),29.25)</f>
        <v>29.25</v>
      </c>
      <c r="F175">
        <f ca="1">IFERROR(__xludf.DUMMYFUNCTION("""COMPUTED_VALUE"""),234)</f>
        <v>234</v>
      </c>
      <c r="G175">
        <f ca="1">IFERROR(__xludf.DUMMYFUNCTION("""COMPUTED_VALUE"""),8)</f>
        <v>8</v>
      </c>
      <c r="H175">
        <f ca="1">IFERROR(__xludf.DUMMYFUNCTION("""COMPUTED_VALUE"""),25)</f>
        <v>25</v>
      </c>
    </row>
    <row r="176" spans="1:8" ht="12.75">
      <c r="A176" t="str">
        <f ca="1">IFERROR(__xludf.DUMMYFUNCTION("""COMPUTED_VALUE"""),"T174")</f>
        <v>T174</v>
      </c>
      <c r="B176" t="str">
        <f ca="1">IFERROR(__xludf.DUMMYFUNCTION("""COMPUTED_VALUE"""),"T171")</f>
        <v>T171</v>
      </c>
      <c r="C176" t="str">
        <f ca="1">IFERROR(__xludf.DUMMYFUNCTION("""COMPUTED_VALUE"""),"Seamus Power")</f>
        <v>Seamus Power</v>
      </c>
      <c r="D176">
        <f ca="1">IFERROR(__xludf.DUMMYFUNCTION("""COMPUTED_VALUE"""),8)</f>
        <v>8</v>
      </c>
      <c r="E176">
        <f ca="1">IFERROR(__xludf.DUMMYFUNCTION("""COMPUTED_VALUE"""),29.25)</f>
        <v>29.25</v>
      </c>
      <c r="F176">
        <f ca="1">IFERROR(__xludf.DUMMYFUNCTION("""COMPUTED_VALUE"""),234)</f>
        <v>234</v>
      </c>
      <c r="G176">
        <f ca="1">IFERROR(__xludf.DUMMYFUNCTION("""COMPUTED_VALUE"""),8)</f>
        <v>8</v>
      </c>
      <c r="H176">
        <f ca="1">IFERROR(__xludf.DUMMYFUNCTION("""COMPUTED_VALUE"""),26)</f>
        <v>26</v>
      </c>
    </row>
    <row r="177" spans="1:8" ht="12.75">
      <c r="A177" t="str">
        <f ca="1">IFERROR(__xludf.DUMMYFUNCTION("""COMPUTED_VALUE"""),"T174")</f>
        <v>T174</v>
      </c>
      <c r="B177" t="str">
        <f ca="1">IFERROR(__xludf.DUMMYFUNCTION("""COMPUTED_VALUE"""),"T171")</f>
        <v>T171</v>
      </c>
      <c r="C177" t="str">
        <f ca="1">IFERROR(__xludf.DUMMYFUNCTION("""COMPUTED_VALUE"""),"Sangmoon Bae")</f>
        <v>Sangmoon Bae</v>
      </c>
      <c r="D177">
        <f ca="1">IFERROR(__xludf.DUMMYFUNCTION("""COMPUTED_VALUE"""),8)</f>
        <v>8</v>
      </c>
      <c r="E177">
        <f ca="1">IFERROR(__xludf.DUMMYFUNCTION("""COMPUTED_VALUE"""),29.25)</f>
        <v>29.25</v>
      </c>
      <c r="F177">
        <f ca="1">IFERROR(__xludf.DUMMYFUNCTION("""COMPUTED_VALUE"""),234)</f>
        <v>234</v>
      </c>
      <c r="G177">
        <f ca="1">IFERROR(__xludf.DUMMYFUNCTION("""COMPUTED_VALUE"""),8)</f>
        <v>8</v>
      </c>
      <c r="H177">
        <f ca="1">IFERROR(__xludf.DUMMYFUNCTION("""COMPUTED_VALUE"""),24)</f>
        <v>24</v>
      </c>
    </row>
    <row r="178" spans="1:8" ht="12.75">
      <c r="A178" t="str">
        <f ca="1">IFERROR(__xludf.DUMMYFUNCTION("""COMPUTED_VALUE"""),"T174")</f>
        <v>T174</v>
      </c>
      <c r="B178" t="str">
        <f ca="1">IFERROR(__xludf.DUMMYFUNCTION("""COMPUTED_VALUE"""),"T171")</f>
        <v>T171</v>
      </c>
      <c r="C178" t="str">
        <f ca="1">IFERROR(__xludf.DUMMYFUNCTION("""COMPUTED_VALUE"""),"Ryan Blaum")</f>
        <v>Ryan Blaum</v>
      </c>
      <c r="D178">
        <f ca="1">IFERROR(__xludf.DUMMYFUNCTION("""COMPUTED_VALUE"""),8)</f>
        <v>8</v>
      </c>
      <c r="E178">
        <f ca="1">IFERROR(__xludf.DUMMYFUNCTION("""COMPUTED_VALUE"""),29.25)</f>
        <v>29.25</v>
      </c>
      <c r="F178">
        <f ca="1">IFERROR(__xludf.DUMMYFUNCTION("""COMPUTED_VALUE"""),234)</f>
        <v>234</v>
      </c>
      <c r="G178">
        <f ca="1">IFERROR(__xludf.DUMMYFUNCTION("""COMPUTED_VALUE"""),8)</f>
        <v>8</v>
      </c>
      <c r="H178">
        <f ca="1">IFERROR(__xludf.DUMMYFUNCTION("""COMPUTED_VALUE"""),25)</f>
        <v>25</v>
      </c>
    </row>
    <row r="179" spans="1:8" ht="12.75">
      <c r="A179" t="str">
        <f ca="1">IFERROR(__xludf.DUMMYFUNCTION("""COMPUTED_VALUE"""),"T174")</f>
        <v>T174</v>
      </c>
      <c r="B179" t="str">
        <f ca="1">IFERROR(__xludf.DUMMYFUNCTION("""COMPUTED_VALUE"""),"T171")</f>
        <v>T171</v>
      </c>
      <c r="C179" t="str">
        <f ca="1">IFERROR(__xludf.DUMMYFUNCTION("""COMPUTED_VALUE"""),"Steve Lewton")</f>
        <v>Steve Lewton</v>
      </c>
      <c r="D179">
        <f ca="1">IFERROR(__xludf.DUMMYFUNCTION("""COMPUTED_VALUE"""),4)</f>
        <v>4</v>
      </c>
      <c r="E179">
        <f ca="1">IFERROR(__xludf.DUMMYFUNCTION("""COMPUTED_VALUE"""),29.25)</f>
        <v>29.25</v>
      </c>
      <c r="F179">
        <f ca="1">IFERROR(__xludf.DUMMYFUNCTION("""COMPUTED_VALUE"""),117)</f>
        <v>117</v>
      </c>
      <c r="G179">
        <f ca="1">IFERROR(__xludf.DUMMYFUNCTION("""COMPUTED_VALUE"""),4)</f>
        <v>4</v>
      </c>
      <c r="H179">
        <f ca="1">IFERROR(__xludf.DUMMYFUNCTION("""COMPUTED_VALUE"""),28)</f>
        <v>28</v>
      </c>
    </row>
    <row r="180" spans="1:8" ht="12.75">
      <c r="A180" t="str">
        <f ca="1">IFERROR(__xludf.DUMMYFUNCTION("""COMPUTED_VALUE"""),"T174")</f>
        <v>T174</v>
      </c>
      <c r="B180" t="str">
        <f ca="1">IFERROR(__xludf.DUMMYFUNCTION("""COMPUTED_VALUE"""),"T171")</f>
        <v>T171</v>
      </c>
      <c r="C180" t="str">
        <f ca="1">IFERROR(__xludf.DUMMYFUNCTION("""COMPUTED_VALUE"""),"John Senden")</f>
        <v>John Senden</v>
      </c>
      <c r="D180">
        <f ca="1">IFERROR(__xludf.DUMMYFUNCTION("""COMPUTED_VALUE"""),8)</f>
        <v>8</v>
      </c>
      <c r="E180">
        <f ca="1">IFERROR(__xludf.DUMMYFUNCTION("""COMPUTED_VALUE"""),29.25)</f>
        <v>29.25</v>
      </c>
      <c r="F180">
        <f ca="1">IFERROR(__xludf.DUMMYFUNCTION("""COMPUTED_VALUE"""),234)</f>
        <v>234</v>
      </c>
      <c r="G180">
        <f ca="1">IFERROR(__xludf.DUMMYFUNCTION("""COMPUTED_VALUE"""),8)</f>
        <v>8</v>
      </c>
      <c r="H180">
        <f ca="1">IFERROR(__xludf.DUMMYFUNCTION("""COMPUTED_VALUE"""),26)</f>
        <v>26</v>
      </c>
    </row>
    <row r="181" spans="1:8" ht="12.75">
      <c r="A181" t="str">
        <f ca="1">IFERROR(__xludf.DUMMYFUNCTION("""COMPUTED_VALUE"""),"T174")</f>
        <v>T174</v>
      </c>
      <c r="B181" t="str">
        <f ca="1">IFERROR(__xludf.DUMMYFUNCTION("""COMPUTED_VALUE"""),"T171")</f>
        <v>T171</v>
      </c>
      <c r="C181" t="str">
        <f ca="1">IFERROR(__xludf.DUMMYFUNCTION("""COMPUTED_VALUE"""),"Bryson DeChambeau")</f>
        <v>Bryson DeChambeau</v>
      </c>
      <c r="D181">
        <f ca="1">IFERROR(__xludf.DUMMYFUNCTION("""COMPUTED_VALUE"""),8)</f>
        <v>8</v>
      </c>
      <c r="E181">
        <f ca="1">IFERROR(__xludf.DUMMYFUNCTION("""COMPUTED_VALUE"""),29.25)</f>
        <v>29.25</v>
      </c>
      <c r="F181">
        <f ca="1">IFERROR(__xludf.DUMMYFUNCTION("""COMPUTED_VALUE"""),234)</f>
        <v>234</v>
      </c>
      <c r="G181">
        <f ca="1">IFERROR(__xludf.DUMMYFUNCTION("""COMPUTED_VALUE"""),8)</f>
        <v>8</v>
      </c>
      <c r="H181">
        <f ca="1">IFERROR(__xludf.DUMMYFUNCTION("""COMPUTED_VALUE"""),27)</f>
        <v>27</v>
      </c>
    </row>
    <row r="182" spans="1:8" ht="12.75">
      <c r="A182" t="str">
        <f ca="1">IFERROR(__xludf.DUMMYFUNCTION("""COMPUTED_VALUE"""),"T174")</f>
        <v>T174</v>
      </c>
      <c r="B182" t="str">
        <f ca="1">IFERROR(__xludf.DUMMYFUNCTION("""COMPUTED_VALUE"""),"T200")</f>
        <v>T200</v>
      </c>
      <c r="C182" t="str">
        <f ca="1">IFERROR(__xludf.DUMMYFUNCTION("""COMPUTED_VALUE"""),"Viktor Hovland")</f>
        <v>Viktor Hovland</v>
      </c>
      <c r="D182">
        <f ca="1">IFERROR(__xludf.DUMMYFUNCTION("""COMPUTED_VALUE"""),16)</f>
        <v>16</v>
      </c>
      <c r="E182">
        <f ca="1">IFERROR(__xludf.DUMMYFUNCTION("""COMPUTED_VALUE"""),29.25)</f>
        <v>29.25</v>
      </c>
      <c r="F182">
        <f ca="1">IFERROR(__xludf.DUMMYFUNCTION("""COMPUTED_VALUE"""),468)</f>
        <v>468</v>
      </c>
      <c r="G182">
        <f ca="1">IFERROR(__xludf.DUMMYFUNCTION("""COMPUTED_VALUE"""),16)</f>
        <v>16</v>
      </c>
      <c r="H182">
        <f ca="1">IFERROR(__xludf.DUMMYFUNCTION("""COMPUTED_VALUE"""),25)</f>
        <v>25</v>
      </c>
    </row>
    <row r="183" spans="1:8" ht="12.75">
      <c r="A183" t="str">
        <f ca="1">IFERROR(__xludf.DUMMYFUNCTION("""COMPUTED_VALUE"""),"T174")</f>
        <v>T174</v>
      </c>
      <c r="B183" t="str">
        <f ca="1">IFERROR(__xludf.DUMMYFUNCTION("""COMPUTED_VALUE"""),"T171")</f>
        <v>T171</v>
      </c>
      <c r="C183" t="str">
        <f ca="1">IFERROR(__xludf.DUMMYFUNCTION("""COMPUTED_VALUE"""),"Stephan Jaeger")</f>
        <v>Stephan Jaeger</v>
      </c>
      <c r="D183">
        <f ca="1">IFERROR(__xludf.DUMMYFUNCTION("""COMPUTED_VALUE"""),4)</f>
        <v>4</v>
      </c>
      <c r="E183">
        <f ca="1">IFERROR(__xludf.DUMMYFUNCTION("""COMPUTED_VALUE"""),29.25)</f>
        <v>29.25</v>
      </c>
      <c r="F183">
        <f ca="1">IFERROR(__xludf.DUMMYFUNCTION("""COMPUTED_VALUE"""),117)</f>
        <v>117</v>
      </c>
      <c r="G183">
        <f ca="1">IFERROR(__xludf.DUMMYFUNCTION("""COMPUTED_VALUE"""),4)</f>
        <v>4</v>
      </c>
      <c r="H183">
        <f ca="1">IFERROR(__xludf.DUMMYFUNCTION("""COMPUTED_VALUE"""),26)</f>
        <v>26</v>
      </c>
    </row>
    <row r="184" spans="1:8" ht="12.75">
      <c r="A184" t="str">
        <f ca="1">IFERROR(__xludf.DUMMYFUNCTION("""COMPUTED_VALUE"""),"T174")</f>
        <v>T174</v>
      </c>
      <c r="B184" t="str">
        <f ca="1">IFERROR(__xludf.DUMMYFUNCTION("""COMPUTED_VALUE"""),"T171")</f>
        <v>T171</v>
      </c>
      <c r="C184" t="str">
        <f ca="1">IFERROR(__xludf.DUMMYFUNCTION("""COMPUTED_VALUE"""),"Max Homa")</f>
        <v>Max Homa</v>
      </c>
      <c r="D184">
        <f ca="1">IFERROR(__xludf.DUMMYFUNCTION("""COMPUTED_VALUE"""),12)</f>
        <v>12</v>
      </c>
      <c r="E184">
        <f ca="1">IFERROR(__xludf.DUMMYFUNCTION("""COMPUTED_VALUE"""),29.25)</f>
        <v>29.25</v>
      </c>
      <c r="F184">
        <f ca="1">IFERROR(__xludf.DUMMYFUNCTION("""COMPUTED_VALUE"""),351)</f>
        <v>351</v>
      </c>
      <c r="G184">
        <f ca="1">IFERROR(__xludf.DUMMYFUNCTION("""COMPUTED_VALUE"""),12)</f>
        <v>12</v>
      </c>
      <c r="H184">
        <f ca="1">IFERROR(__xludf.DUMMYFUNCTION("""COMPUTED_VALUE"""),25)</f>
        <v>25</v>
      </c>
    </row>
    <row r="185" spans="1:8" ht="12.75">
      <c r="A185" t="str">
        <f ca="1">IFERROR(__xludf.DUMMYFUNCTION("""COMPUTED_VALUE"""),"T174")</f>
        <v>T174</v>
      </c>
      <c r="B185" t="str">
        <f ca="1">IFERROR(__xludf.DUMMYFUNCTION("""COMPUTED_VALUE"""),"T171")</f>
        <v>T171</v>
      </c>
      <c r="C185" t="str">
        <f ca="1">IFERROR(__xludf.DUMMYFUNCTION("""COMPUTED_VALUE"""),"Willy Pumarol")</f>
        <v>Willy Pumarol</v>
      </c>
      <c r="D185">
        <f ca="1">IFERROR(__xludf.DUMMYFUNCTION("""COMPUTED_VALUE"""),4)</f>
        <v>4</v>
      </c>
      <c r="E185">
        <f ca="1">IFERROR(__xludf.DUMMYFUNCTION("""COMPUTED_VALUE"""),29.25)</f>
        <v>29.25</v>
      </c>
      <c r="F185">
        <f ca="1">IFERROR(__xludf.DUMMYFUNCTION("""COMPUTED_VALUE"""),117)</f>
        <v>117</v>
      </c>
      <c r="G185">
        <f ca="1">IFERROR(__xludf.DUMMYFUNCTION("""COMPUTED_VALUE"""),4)</f>
        <v>4</v>
      </c>
      <c r="H185">
        <f ca="1">IFERROR(__xludf.DUMMYFUNCTION("""COMPUTED_VALUE"""),27)</f>
        <v>27</v>
      </c>
    </row>
    <row r="186" spans="1:8" ht="12.75">
      <c r="A186" t="str">
        <f ca="1">IFERROR(__xludf.DUMMYFUNCTION("""COMPUTED_VALUE"""),"T174")</f>
        <v>T174</v>
      </c>
      <c r="B186" t="str">
        <f ca="1">IFERROR(__xludf.DUMMYFUNCTION("""COMPUTED_VALUE"""),"T171")</f>
        <v>T171</v>
      </c>
      <c r="C186" t="str">
        <f ca="1">IFERROR(__xludf.DUMMYFUNCTION("""COMPUTED_VALUE"""),"Shugo Imahira")</f>
        <v>Shugo Imahira</v>
      </c>
      <c r="D186">
        <f ca="1">IFERROR(__xludf.DUMMYFUNCTION("""COMPUTED_VALUE"""),8)</f>
        <v>8</v>
      </c>
      <c r="E186">
        <f ca="1">IFERROR(__xludf.DUMMYFUNCTION("""COMPUTED_VALUE"""),29.25)</f>
        <v>29.25</v>
      </c>
      <c r="F186">
        <f ca="1">IFERROR(__xludf.DUMMYFUNCTION("""COMPUTED_VALUE"""),234)</f>
        <v>234</v>
      </c>
      <c r="G186">
        <f ca="1">IFERROR(__xludf.DUMMYFUNCTION("""COMPUTED_VALUE"""),8)</f>
        <v>8</v>
      </c>
      <c r="H186">
        <f ca="1">IFERROR(__xludf.DUMMYFUNCTION("""COMPUTED_VALUE"""),22)</f>
        <v>22</v>
      </c>
    </row>
    <row r="187" spans="1:8" ht="12.75">
      <c r="A187" t="str">
        <f ca="1">IFERROR(__xludf.DUMMYFUNCTION("""COMPUTED_VALUE"""),"T186")</f>
        <v>T186</v>
      </c>
      <c r="B187" t="str">
        <f ca="1">IFERROR(__xludf.DUMMYFUNCTION("""COMPUTED_VALUE"""),"T182")</f>
        <v>T182</v>
      </c>
      <c r="C187" t="str">
        <f ca="1">IFERROR(__xludf.DUMMYFUNCTION("""COMPUTED_VALUE"""),"Matt Kuchar")</f>
        <v>Matt Kuchar</v>
      </c>
      <c r="D187">
        <f ca="1">IFERROR(__xludf.DUMMYFUNCTION("""COMPUTED_VALUE"""),14)</f>
        <v>14</v>
      </c>
      <c r="E187">
        <f ca="1">IFERROR(__xludf.DUMMYFUNCTION("""COMPUTED_VALUE"""),29.29)</f>
        <v>29.29</v>
      </c>
      <c r="F187">
        <f ca="1">IFERROR(__xludf.DUMMYFUNCTION("""COMPUTED_VALUE"""),410)</f>
        <v>410</v>
      </c>
      <c r="G187">
        <f ca="1">IFERROR(__xludf.DUMMYFUNCTION("""COMPUTED_VALUE"""),14)</f>
        <v>14</v>
      </c>
      <c r="H187">
        <f ca="1">IFERROR(__xludf.DUMMYFUNCTION("""COMPUTED_VALUE"""),27)</f>
        <v>27</v>
      </c>
    </row>
    <row r="188" spans="1:8" ht="12.75">
      <c r="A188" t="str">
        <f ca="1">IFERROR(__xludf.DUMMYFUNCTION("""COMPUTED_VALUE"""),"T186")</f>
        <v>T186</v>
      </c>
      <c r="B188" t="str">
        <f ca="1">IFERROR(__xludf.DUMMYFUNCTION("""COMPUTED_VALUE"""),"T182")</f>
        <v>T182</v>
      </c>
      <c r="C188" t="str">
        <f ca="1">IFERROR(__xludf.DUMMYFUNCTION("""COMPUTED_VALUE"""),"Paul Casey")</f>
        <v>Paul Casey</v>
      </c>
      <c r="D188">
        <f ca="1">IFERROR(__xludf.DUMMYFUNCTION("""COMPUTED_VALUE"""),14)</f>
        <v>14</v>
      </c>
      <c r="E188">
        <f ca="1">IFERROR(__xludf.DUMMYFUNCTION("""COMPUTED_VALUE"""),29.29)</f>
        <v>29.29</v>
      </c>
      <c r="F188">
        <f ca="1">IFERROR(__xludf.DUMMYFUNCTION("""COMPUTED_VALUE"""),410)</f>
        <v>410</v>
      </c>
      <c r="G188">
        <f ca="1">IFERROR(__xludf.DUMMYFUNCTION("""COMPUTED_VALUE"""),14)</f>
        <v>14</v>
      </c>
      <c r="H188">
        <f ca="1">IFERROR(__xludf.DUMMYFUNCTION("""COMPUTED_VALUE"""),26)</f>
        <v>26</v>
      </c>
    </row>
    <row r="189" spans="1:8" ht="12.75">
      <c r="A189" t="str">
        <f ca="1">IFERROR(__xludf.DUMMYFUNCTION("""COMPUTED_VALUE"""),"T186")</f>
        <v>T186</v>
      </c>
      <c r="B189" t="str">
        <f ca="1">IFERROR(__xludf.DUMMYFUNCTION("""COMPUTED_VALUE"""),"T191")</f>
        <v>T191</v>
      </c>
      <c r="C189" t="str">
        <f ca="1">IFERROR(__xludf.DUMMYFUNCTION("""COMPUTED_VALUE"""),"Jason Dufner")</f>
        <v>Jason Dufner</v>
      </c>
      <c r="D189">
        <f ca="1">IFERROR(__xludf.DUMMYFUNCTION("""COMPUTED_VALUE"""),14)</f>
        <v>14</v>
      </c>
      <c r="E189">
        <f ca="1">IFERROR(__xludf.DUMMYFUNCTION("""COMPUTED_VALUE"""),29.29)</f>
        <v>29.29</v>
      </c>
      <c r="F189">
        <f ca="1">IFERROR(__xludf.DUMMYFUNCTION("""COMPUTED_VALUE"""),410)</f>
        <v>410</v>
      </c>
      <c r="G189">
        <f ca="1">IFERROR(__xludf.DUMMYFUNCTION("""COMPUTED_VALUE"""),14)</f>
        <v>14</v>
      </c>
      <c r="H189">
        <f ca="1">IFERROR(__xludf.DUMMYFUNCTION("""COMPUTED_VALUE"""),25)</f>
        <v>25</v>
      </c>
    </row>
    <row r="190" spans="1:8" ht="12.75">
      <c r="A190" t="str">
        <f ca="1">IFERROR(__xludf.DUMMYFUNCTION("""COMPUTED_VALUE"""),"T186")</f>
        <v>T186</v>
      </c>
      <c r="B190" t="str">
        <f ca="1">IFERROR(__xludf.DUMMYFUNCTION("""COMPUTED_VALUE"""),"T182")</f>
        <v>T182</v>
      </c>
      <c r="C190" t="str">
        <f ca="1">IFERROR(__xludf.DUMMYFUNCTION("""COMPUTED_VALUE"""),"Rickie Fowler")</f>
        <v>Rickie Fowler</v>
      </c>
      <c r="D190">
        <f ca="1">IFERROR(__xludf.DUMMYFUNCTION("""COMPUTED_VALUE"""),14)</f>
        <v>14</v>
      </c>
      <c r="E190">
        <f ca="1">IFERROR(__xludf.DUMMYFUNCTION("""COMPUTED_VALUE"""),29.29)</f>
        <v>29.29</v>
      </c>
      <c r="F190">
        <f ca="1">IFERROR(__xludf.DUMMYFUNCTION("""COMPUTED_VALUE"""),410)</f>
        <v>410</v>
      </c>
      <c r="G190">
        <f ca="1">IFERROR(__xludf.DUMMYFUNCTION("""COMPUTED_VALUE"""),14)</f>
        <v>14</v>
      </c>
      <c r="H190">
        <f ca="1">IFERROR(__xludf.DUMMYFUNCTION("""COMPUTED_VALUE"""),25)</f>
        <v>25</v>
      </c>
    </row>
    <row r="191" spans="1:8" ht="12.75">
      <c r="A191">
        <f ca="1">IFERROR(__xludf.DUMMYFUNCTION("""COMPUTED_VALUE"""),190)</f>
        <v>190</v>
      </c>
      <c r="B191" t="str">
        <f ca="1">IFERROR(__xludf.DUMMYFUNCTION("""COMPUTED_VALUE"""),"T185")</f>
        <v>T185</v>
      </c>
      <c r="C191" t="str">
        <f ca="1">IFERROR(__xludf.DUMMYFUNCTION("""COMPUTED_VALUE"""),"MJ Daffue")</f>
        <v>MJ Daffue</v>
      </c>
      <c r="D191">
        <f ca="1">IFERROR(__xludf.DUMMYFUNCTION("""COMPUTED_VALUE"""),10)</f>
        <v>10</v>
      </c>
      <c r="E191">
        <f ca="1">IFERROR(__xludf.DUMMYFUNCTION("""COMPUTED_VALUE"""),29.3)</f>
        <v>29.3</v>
      </c>
      <c r="F191">
        <f ca="1">IFERROR(__xludf.DUMMYFUNCTION("""COMPUTED_VALUE"""),293)</f>
        <v>293</v>
      </c>
      <c r="G191">
        <f ca="1">IFERROR(__xludf.DUMMYFUNCTION("""COMPUTED_VALUE"""),10)</f>
        <v>10</v>
      </c>
      <c r="H191">
        <f ca="1">IFERROR(__xludf.DUMMYFUNCTION("""COMPUTED_VALUE"""),23)</f>
        <v>23</v>
      </c>
    </row>
    <row r="192" spans="1:8" ht="12.75">
      <c r="A192">
        <f ca="1">IFERROR(__xludf.DUMMYFUNCTION("""COMPUTED_VALUE"""),191)</f>
        <v>191</v>
      </c>
      <c r="B192">
        <f ca="1">IFERROR(__xludf.DUMMYFUNCTION("""COMPUTED_VALUE"""),154)</f>
        <v>154</v>
      </c>
      <c r="C192" t="str">
        <f ca="1">IFERROR(__xludf.DUMMYFUNCTION("""COMPUTED_VALUE"""),"Adam Schenk")</f>
        <v>Adam Schenk</v>
      </c>
      <c r="D192">
        <f ca="1">IFERROR(__xludf.DUMMYFUNCTION("""COMPUTED_VALUE"""),22)</f>
        <v>22</v>
      </c>
      <c r="E192">
        <f ca="1">IFERROR(__xludf.DUMMYFUNCTION("""COMPUTED_VALUE"""),29.32)</f>
        <v>29.32</v>
      </c>
      <c r="F192">
        <f ca="1">IFERROR(__xludf.DUMMYFUNCTION("""COMPUTED_VALUE"""),645)</f>
        <v>645</v>
      </c>
      <c r="G192">
        <f ca="1">IFERROR(__xludf.DUMMYFUNCTION("""COMPUTED_VALUE"""),22)</f>
        <v>22</v>
      </c>
      <c r="H192">
        <f ca="1">IFERROR(__xludf.DUMMYFUNCTION("""COMPUTED_VALUE"""),26)</f>
        <v>26</v>
      </c>
    </row>
    <row r="193" spans="1:8" ht="12.75">
      <c r="A193">
        <f ca="1">IFERROR(__xludf.DUMMYFUNCTION("""COMPUTED_VALUE"""),192)</f>
        <v>192</v>
      </c>
      <c r="B193" t="str">
        <f ca="1">IFERROR(__xludf.DUMMYFUNCTION("""COMPUTED_VALUE"""),"")</f>
        <v/>
      </c>
      <c r="C193" t="str">
        <f ca="1">IFERROR(__xludf.DUMMYFUNCTION("""COMPUTED_VALUE"""),"Greg Chalmers")</f>
        <v>Greg Chalmers</v>
      </c>
      <c r="D193">
        <f ca="1">IFERROR(__xludf.DUMMYFUNCTION("""COMPUTED_VALUE"""),6)</f>
        <v>6</v>
      </c>
      <c r="E193">
        <f ca="1">IFERROR(__xludf.DUMMYFUNCTION("""COMPUTED_VALUE"""),29.33)</f>
        <v>29.33</v>
      </c>
      <c r="F193">
        <f ca="1">IFERROR(__xludf.DUMMYFUNCTION("""COMPUTED_VALUE"""),176)</f>
        <v>176</v>
      </c>
      <c r="G193">
        <f ca="1">IFERROR(__xludf.DUMMYFUNCTION("""COMPUTED_VALUE"""),6)</f>
        <v>6</v>
      </c>
      <c r="H193">
        <f ca="1">IFERROR(__xludf.DUMMYFUNCTION("""COMPUTED_VALUE"""),26)</f>
        <v>26</v>
      </c>
    </row>
    <row r="194" spans="1:8" ht="12.75">
      <c r="A194">
        <f ca="1">IFERROR(__xludf.DUMMYFUNCTION("""COMPUTED_VALUE"""),193)</f>
        <v>193</v>
      </c>
      <c r="B194" t="str">
        <f ca="1">IFERROR(__xludf.DUMMYFUNCTION("""COMPUTED_VALUE"""),"T193")</f>
        <v>T193</v>
      </c>
      <c r="C194" t="str">
        <f ca="1">IFERROR(__xludf.DUMMYFUNCTION("""COMPUTED_VALUE"""),"Chase Seiffert")</f>
        <v>Chase Seiffert</v>
      </c>
      <c r="D194">
        <f ca="1">IFERROR(__xludf.DUMMYFUNCTION("""COMPUTED_VALUE"""),14)</f>
        <v>14</v>
      </c>
      <c r="E194">
        <f ca="1">IFERROR(__xludf.DUMMYFUNCTION("""COMPUTED_VALUE"""),29.36)</f>
        <v>29.36</v>
      </c>
      <c r="F194">
        <f ca="1">IFERROR(__xludf.DUMMYFUNCTION("""COMPUTED_VALUE"""),411)</f>
        <v>411</v>
      </c>
      <c r="G194">
        <f ca="1">IFERROR(__xludf.DUMMYFUNCTION("""COMPUTED_VALUE"""),14)</f>
        <v>14</v>
      </c>
      <c r="H194">
        <f ca="1">IFERROR(__xludf.DUMMYFUNCTION("""COMPUTED_VALUE"""),21)</f>
        <v>21</v>
      </c>
    </row>
    <row r="195" spans="1:8" ht="12.75">
      <c r="A195" t="str">
        <f ca="1">IFERROR(__xludf.DUMMYFUNCTION("""COMPUTED_VALUE"""),"T194")</f>
        <v>T194</v>
      </c>
      <c r="B195" t="str">
        <f ca="1">IFERROR(__xludf.DUMMYFUNCTION("""COMPUTED_VALUE"""),"T195")</f>
        <v>T195</v>
      </c>
      <c r="C195" t="str">
        <f ca="1">IFERROR(__xludf.DUMMYFUNCTION("""COMPUTED_VALUE"""),"Aaron Baddeley")</f>
        <v>Aaron Baddeley</v>
      </c>
      <c r="D195">
        <f ca="1">IFERROR(__xludf.DUMMYFUNCTION("""COMPUTED_VALUE"""),8)</f>
        <v>8</v>
      </c>
      <c r="E195">
        <f ca="1">IFERROR(__xludf.DUMMYFUNCTION("""COMPUTED_VALUE"""),29.38)</f>
        <v>29.38</v>
      </c>
      <c r="F195">
        <f ca="1">IFERROR(__xludf.DUMMYFUNCTION("""COMPUTED_VALUE"""),235)</f>
        <v>235</v>
      </c>
      <c r="G195">
        <f ca="1">IFERROR(__xludf.DUMMYFUNCTION("""COMPUTED_VALUE"""),8)</f>
        <v>8</v>
      </c>
      <c r="H195">
        <f ca="1">IFERROR(__xludf.DUMMYFUNCTION("""COMPUTED_VALUE"""),27)</f>
        <v>27</v>
      </c>
    </row>
    <row r="196" spans="1:8" ht="12.75">
      <c r="A196" t="str">
        <f ca="1">IFERROR(__xludf.DUMMYFUNCTION("""COMPUTED_VALUE"""),"T194")</f>
        <v>T194</v>
      </c>
      <c r="B196">
        <f ca="1">IFERROR(__xludf.DUMMYFUNCTION("""COMPUTED_VALUE"""),264)</f>
        <v>264</v>
      </c>
      <c r="C196" t="str">
        <f ca="1">IFERROR(__xludf.DUMMYFUNCTION("""COMPUTED_VALUE"""),"Graeme McDowell")</f>
        <v>Graeme McDowell</v>
      </c>
      <c r="D196">
        <f ca="1">IFERROR(__xludf.DUMMYFUNCTION("""COMPUTED_VALUE"""),8)</f>
        <v>8</v>
      </c>
      <c r="E196">
        <f ca="1">IFERROR(__xludf.DUMMYFUNCTION("""COMPUTED_VALUE"""),29.38)</f>
        <v>29.38</v>
      </c>
      <c r="F196">
        <f ca="1">IFERROR(__xludf.DUMMYFUNCTION("""COMPUTED_VALUE"""),235)</f>
        <v>235</v>
      </c>
      <c r="G196">
        <f ca="1">IFERROR(__xludf.DUMMYFUNCTION("""COMPUTED_VALUE"""),8)</f>
        <v>8</v>
      </c>
      <c r="H196">
        <f ca="1">IFERROR(__xludf.DUMMYFUNCTION("""COMPUTED_VALUE"""),25)</f>
        <v>25</v>
      </c>
    </row>
    <row r="197" spans="1:8" ht="12.75">
      <c r="A197" t="str">
        <f ca="1">IFERROR(__xludf.DUMMYFUNCTION("""COMPUTED_VALUE"""),"T194")</f>
        <v>T194</v>
      </c>
      <c r="B197" t="str">
        <f ca="1">IFERROR(__xludf.DUMMYFUNCTION("""COMPUTED_VALUE"""),"T105")</f>
        <v>T105</v>
      </c>
      <c r="C197" t="str">
        <f ca="1">IFERROR(__xludf.DUMMYFUNCTION("""COMPUTED_VALUE"""),"James Hahn")</f>
        <v>James Hahn</v>
      </c>
      <c r="D197">
        <f ca="1">IFERROR(__xludf.DUMMYFUNCTION("""COMPUTED_VALUE"""),16)</f>
        <v>16</v>
      </c>
      <c r="E197">
        <f ca="1">IFERROR(__xludf.DUMMYFUNCTION("""COMPUTED_VALUE"""),29.38)</f>
        <v>29.38</v>
      </c>
      <c r="F197">
        <f ca="1">IFERROR(__xludf.DUMMYFUNCTION("""COMPUTED_VALUE"""),470)</f>
        <v>470</v>
      </c>
      <c r="G197">
        <f ca="1">IFERROR(__xludf.DUMMYFUNCTION("""COMPUTED_VALUE"""),16)</f>
        <v>16</v>
      </c>
      <c r="H197">
        <f ca="1">IFERROR(__xludf.DUMMYFUNCTION("""COMPUTED_VALUE"""),24)</f>
        <v>24</v>
      </c>
    </row>
    <row r="198" spans="1:8" ht="12.75">
      <c r="A198">
        <f ca="1">IFERROR(__xludf.DUMMYFUNCTION("""COMPUTED_VALUE"""),197)</f>
        <v>197</v>
      </c>
      <c r="B198" t="str">
        <f ca="1">IFERROR(__xludf.DUMMYFUNCTION("""COMPUTED_VALUE"""),"T195")</f>
        <v>T195</v>
      </c>
      <c r="C198" t="str">
        <f ca="1">IFERROR(__xludf.DUMMYFUNCTION("""COMPUTED_VALUE"""),"Sergio Garcia")</f>
        <v>Sergio Garcia</v>
      </c>
      <c r="D198">
        <f ca="1">IFERROR(__xludf.DUMMYFUNCTION("""COMPUTED_VALUE"""),18)</f>
        <v>18</v>
      </c>
      <c r="E198">
        <f ca="1">IFERROR(__xludf.DUMMYFUNCTION("""COMPUTED_VALUE"""),29.39)</f>
        <v>29.39</v>
      </c>
      <c r="F198">
        <f ca="1">IFERROR(__xludf.DUMMYFUNCTION("""COMPUTED_VALUE"""),529)</f>
        <v>529</v>
      </c>
      <c r="G198">
        <f ca="1">IFERROR(__xludf.DUMMYFUNCTION("""COMPUTED_VALUE"""),18)</f>
        <v>18</v>
      </c>
      <c r="H198">
        <f ca="1">IFERROR(__xludf.DUMMYFUNCTION("""COMPUTED_VALUE"""),25)</f>
        <v>25</v>
      </c>
    </row>
    <row r="199" spans="1:8" ht="12.75">
      <c r="A199">
        <f ca="1">IFERROR(__xludf.DUMMYFUNCTION("""COMPUTED_VALUE"""),198)</f>
        <v>198</v>
      </c>
      <c r="B199">
        <f ca="1">IFERROR(__xludf.DUMMYFUNCTION("""COMPUTED_VALUE"""),199)</f>
        <v>199</v>
      </c>
      <c r="C199" t="str">
        <f ca="1">IFERROR(__xludf.DUMMYFUNCTION("""COMPUTED_VALUE"""),"J.B. Holmes")</f>
        <v>J.B. Holmes</v>
      </c>
      <c r="D199">
        <f ca="1">IFERROR(__xludf.DUMMYFUNCTION("""COMPUTED_VALUE"""),10)</f>
        <v>10</v>
      </c>
      <c r="E199">
        <f ca="1">IFERROR(__xludf.DUMMYFUNCTION("""COMPUTED_VALUE"""),29.4)</f>
        <v>29.4</v>
      </c>
      <c r="F199">
        <f ca="1">IFERROR(__xludf.DUMMYFUNCTION("""COMPUTED_VALUE"""),294)</f>
        <v>294</v>
      </c>
      <c r="G199">
        <f ca="1">IFERROR(__xludf.DUMMYFUNCTION("""COMPUTED_VALUE"""),10)</f>
        <v>10</v>
      </c>
      <c r="H199">
        <f ca="1">IFERROR(__xludf.DUMMYFUNCTION("""COMPUTED_VALUE"""),27)</f>
        <v>27</v>
      </c>
    </row>
    <row r="200" spans="1:8" ht="12.75">
      <c r="A200" t="str">
        <f ca="1">IFERROR(__xludf.DUMMYFUNCTION("""COMPUTED_VALUE"""),"T199")</f>
        <v>T199</v>
      </c>
      <c r="B200" t="str">
        <f ca="1">IFERROR(__xludf.DUMMYFUNCTION("""COMPUTED_VALUE"""),"T200")</f>
        <v>T200</v>
      </c>
      <c r="C200" t="str">
        <f ca="1">IFERROR(__xludf.DUMMYFUNCTION("""COMPUTED_VALUE"""),"Ricky Barnes")</f>
        <v>Ricky Barnes</v>
      </c>
      <c r="D200">
        <f ca="1">IFERROR(__xludf.DUMMYFUNCTION("""COMPUTED_VALUE"""),12)</f>
        <v>12</v>
      </c>
      <c r="E200">
        <f ca="1">IFERROR(__xludf.DUMMYFUNCTION("""COMPUTED_VALUE"""),29.42)</f>
        <v>29.42</v>
      </c>
      <c r="F200">
        <f ca="1">IFERROR(__xludf.DUMMYFUNCTION("""COMPUTED_VALUE"""),353)</f>
        <v>353</v>
      </c>
      <c r="G200">
        <f ca="1">IFERROR(__xludf.DUMMYFUNCTION("""COMPUTED_VALUE"""),12)</f>
        <v>12</v>
      </c>
      <c r="H200">
        <f ca="1">IFERROR(__xludf.DUMMYFUNCTION("""COMPUTED_VALUE"""),25)</f>
        <v>25</v>
      </c>
    </row>
    <row r="201" spans="1:8" ht="12.75">
      <c r="A201" t="str">
        <f ca="1">IFERROR(__xludf.DUMMYFUNCTION("""COMPUTED_VALUE"""),"T199")</f>
        <v>T199</v>
      </c>
      <c r="B201" t="str">
        <f ca="1">IFERROR(__xludf.DUMMYFUNCTION("""COMPUTED_VALUE"""),"T185")</f>
        <v>T185</v>
      </c>
      <c r="C201" t="str">
        <f ca="1">IFERROR(__xludf.DUMMYFUNCTION("""COMPUTED_VALUE"""),"Vaughn Taylor")</f>
        <v>Vaughn Taylor</v>
      </c>
      <c r="D201">
        <f ca="1">IFERROR(__xludf.DUMMYFUNCTION("""COMPUTED_VALUE"""),12)</f>
        <v>12</v>
      </c>
      <c r="E201">
        <f ca="1">IFERROR(__xludf.DUMMYFUNCTION("""COMPUTED_VALUE"""),29.42)</f>
        <v>29.42</v>
      </c>
      <c r="F201">
        <f ca="1">IFERROR(__xludf.DUMMYFUNCTION("""COMPUTED_VALUE"""),353)</f>
        <v>353</v>
      </c>
      <c r="G201">
        <f ca="1">IFERROR(__xludf.DUMMYFUNCTION("""COMPUTED_VALUE"""),12)</f>
        <v>12</v>
      </c>
      <c r="H201">
        <f ca="1">IFERROR(__xludf.DUMMYFUNCTION("""COMPUTED_VALUE"""),24)</f>
        <v>24</v>
      </c>
    </row>
    <row r="202" spans="1:8" ht="12.75">
      <c r="A202" t="str">
        <f ca="1">IFERROR(__xludf.DUMMYFUNCTION("""COMPUTED_VALUE"""),"T201")</f>
        <v>T201</v>
      </c>
      <c r="B202" t="str">
        <f ca="1">IFERROR(__xludf.DUMMYFUNCTION("""COMPUTED_VALUE"""),"T203")</f>
        <v>T203</v>
      </c>
      <c r="C202" t="str">
        <f ca="1">IFERROR(__xludf.DUMMYFUNCTION("""COMPUTED_VALUE"""),"Chez Reavie")</f>
        <v>Chez Reavie</v>
      </c>
      <c r="D202">
        <f ca="1">IFERROR(__xludf.DUMMYFUNCTION("""COMPUTED_VALUE"""),14)</f>
        <v>14</v>
      </c>
      <c r="E202">
        <f ca="1">IFERROR(__xludf.DUMMYFUNCTION("""COMPUTED_VALUE"""),29.43)</f>
        <v>29.43</v>
      </c>
      <c r="F202">
        <f ca="1">IFERROR(__xludf.DUMMYFUNCTION("""COMPUTED_VALUE"""),412)</f>
        <v>412</v>
      </c>
      <c r="G202">
        <f ca="1">IFERROR(__xludf.DUMMYFUNCTION("""COMPUTED_VALUE"""),14)</f>
        <v>14</v>
      </c>
      <c r="H202">
        <f ca="1">IFERROR(__xludf.DUMMYFUNCTION("""COMPUTED_VALUE"""),24)</f>
        <v>24</v>
      </c>
    </row>
    <row r="203" spans="1:8" ht="12.75">
      <c r="A203" t="str">
        <f ca="1">IFERROR(__xludf.DUMMYFUNCTION("""COMPUTED_VALUE"""),"T201")</f>
        <v>T201</v>
      </c>
      <c r="B203" t="str">
        <f ca="1">IFERROR(__xludf.DUMMYFUNCTION("""COMPUTED_VALUE"""),"T203")</f>
        <v>T203</v>
      </c>
      <c r="C203" t="str">
        <f ca="1">IFERROR(__xludf.DUMMYFUNCTION("""COMPUTED_VALUE"""),"Brendan Steele")</f>
        <v>Brendan Steele</v>
      </c>
      <c r="D203">
        <f ca="1">IFERROR(__xludf.DUMMYFUNCTION("""COMPUTED_VALUE"""),14)</f>
        <v>14</v>
      </c>
      <c r="E203">
        <f ca="1">IFERROR(__xludf.DUMMYFUNCTION("""COMPUTED_VALUE"""),29.43)</f>
        <v>29.43</v>
      </c>
      <c r="F203">
        <f ca="1">IFERROR(__xludf.DUMMYFUNCTION("""COMPUTED_VALUE"""),412)</f>
        <v>412</v>
      </c>
      <c r="G203">
        <f ca="1">IFERROR(__xludf.DUMMYFUNCTION("""COMPUTED_VALUE"""),14)</f>
        <v>14</v>
      </c>
      <c r="H203">
        <f ca="1">IFERROR(__xludf.DUMMYFUNCTION("""COMPUTED_VALUE"""),25)</f>
        <v>25</v>
      </c>
    </row>
    <row r="204" spans="1:8" ht="12.75">
      <c r="A204" t="str">
        <f ca="1">IFERROR(__xludf.DUMMYFUNCTION("""COMPUTED_VALUE"""),"T203")</f>
        <v>T203</v>
      </c>
      <c r="B204" t="str">
        <f ca="1">IFERROR(__xludf.DUMMYFUNCTION("""COMPUTED_VALUE"""),"T189")</f>
        <v>T189</v>
      </c>
      <c r="C204" t="str">
        <f ca="1">IFERROR(__xludf.DUMMYFUNCTION("""COMPUTED_VALUE"""),"Luke List")</f>
        <v>Luke List</v>
      </c>
      <c r="D204">
        <f ca="1">IFERROR(__xludf.DUMMYFUNCTION("""COMPUTED_VALUE"""),18)</f>
        <v>18</v>
      </c>
      <c r="E204">
        <f ca="1">IFERROR(__xludf.DUMMYFUNCTION("""COMPUTED_VALUE"""),29.44)</f>
        <v>29.44</v>
      </c>
      <c r="F204">
        <f ca="1">IFERROR(__xludf.DUMMYFUNCTION("""COMPUTED_VALUE"""),530)</f>
        <v>530</v>
      </c>
      <c r="G204">
        <f ca="1">IFERROR(__xludf.DUMMYFUNCTION("""COMPUTED_VALUE"""),18)</f>
        <v>18</v>
      </c>
      <c r="H204">
        <f ca="1">IFERROR(__xludf.DUMMYFUNCTION("""COMPUTED_VALUE"""),26)</f>
        <v>26</v>
      </c>
    </row>
    <row r="205" spans="1:8" ht="12.75">
      <c r="A205" t="str">
        <f ca="1">IFERROR(__xludf.DUMMYFUNCTION("""COMPUTED_VALUE"""),"T203")</f>
        <v>T203</v>
      </c>
      <c r="B205" t="str">
        <f ca="1">IFERROR(__xludf.DUMMYFUNCTION("""COMPUTED_VALUE"""),"T205")</f>
        <v>T205</v>
      </c>
      <c r="C205" t="str">
        <f ca="1">IFERROR(__xludf.DUMMYFUNCTION("""COMPUTED_VALUE"""),"Kyle Stanley")</f>
        <v>Kyle Stanley</v>
      </c>
      <c r="D205">
        <f ca="1">IFERROR(__xludf.DUMMYFUNCTION("""COMPUTED_VALUE"""),16)</f>
        <v>16</v>
      </c>
      <c r="E205">
        <f ca="1">IFERROR(__xludf.DUMMYFUNCTION("""COMPUTED_VALUE"""),29.44)</f>
        <v>29.44</v>
      </c>
      <c r="F205">
        <f ca="1">IFERROR(__xludf.DUMMYFUNCTION("""COMPUTED_VALUE"""),471)</f>
        <v>471</v>
      </c>
      <c r="G205">
        <f ca="1">IFERROR(__xludf.DUMMYFUNCTION("""COMPUTED_VALUE"""),16)</f>
        <v>16</v>
      </c>
      <c r="H205">
        <f ca="1">IFERROR(__xludf.DUMMYFUNCTION("""COMPUTED_VALUE"""),25)</f>
        <v>25</v>
      </c>
    </row>
    <row r="206" spans="1:8" ht="12.75">
      <c r="A206" t="str">
        <f ca="1">IFERROR(__xludf.DUMMYFUNCTION("""COMPUTED_VALUE"""),"T203")</f>
        <v>T203</v>
      </c>
      <c r="B206" t="str">
        <f ca="1">IFERROR(__xludf.DUMMYFUNCTION("""COMPUTED_VALUE"""),"T207")</f>
        <v>T207</v>
      </c>
      <c r="C206" t="str">
        <f ca="1">IFERROR(__xludf.DUMMYFUNCTION("""COMPUTED_VALUE"""),"Scott Piercy")</f>
        <v>Scott Piercy</v>
      </c>
      <c r="D206">
        <f ca="1">IFERROR(__xludf.DUMMYFUNCTION("""COMPUTED_VALUE"""),18)</f>
        <v>18</v>
      </c>
      <c r="E206">
        <f ca="1">IFERROR(__xludf.DUMMYFUNCTION("""COMPUTED_VALUE"""),29.44)</f>
        <v>29.44</v>
      </c>
      <c r="F206">
        <f ca="1">IFERROR(__xludf.DUMMYFUNCTION("""COMPUTED_VALUE"""),530)</f>
        <v>530</v>
      </c>
      <c r="G206">
        <f ca="1">IFERROR(__xludf.DUMMYFUNCTION("""COMPUTED_VALUE"""),18)</f>
        <v>18</v>
      </c>
      <c r="H206">
        <f ca="1">IFERROR(__xludf.DUMMYFUNCTION("""COMPUTED_VALUE"""),27)</f>
        <v>27</v>
      </c>
    </row>
    <row r="207" spans="1:8" ht="12.75">
      <c r="A207" t="str">
        <f ca="1">IFERROR(__xludf.DUMMYFUNCTION("""COMPUTED_VALUE"""),"T203")</f>
        <v>T203</v>
      </c>
      <c r="B207" t="str">
        <f ca="1">IFERROR(__xludf.DUMMYFUNCTION("""COMPUTED_VALUE"""),"T191")</f>
        <v>T191</v>
      </c>
      <c r="C207" t="str">
        <f ca="1">IFERROR(__xludf.DUMMYFUNCTION("""COMPUTED_VALUE"""),"Aaron Wise")</f>
        <v>Aaron Wise</v>
      </c>
      <c r="D207">
        <f ca="1">IFERROR(__xludf.DUMMYFUNCTION("""COMPUTED_VALUE"""),16)</f>
        <v>16</v>
      </c>
      <c r="E207">
        <f ca="1">IFERROR(__xludf.DUMMYFUNCTION("""COMPUTED_VALUE"""),29.44)</f>
        <v>29.44</v>
      </c>
      <c r="F207">
        <f ca="1">IFERROR(__xludf.DUMMYFUNCTION("""COMPUTED_VALUE"""),471)</f>
        <v>471</v>
      </c>
      <c r="G207">
        <f ca="1">IFERROR(__xludf.DUMMYFUNCTION("""COMPUTED_VALUE"""),16)</f>
        <v>16</v>
      </c>
      <c r="H207">
        <f ca="1">IFERROR(__xludf.DUMMYFUNCTION("""COMPUTED_VALUE"""),25)</f>
        <v>25</v>
      </c>
    </row>
    <row r="208" spans="1:8" ht="12.75">
      <c r="A208" t="str">
        <f ca="1">IFERROR(__xludf.DUMMYFUNCTION("""COMPUTED_VALUE"""),"T207")</f>
        <v>T207</v>
      </c>
      <c r="B208" t="str">
        <f ca="1">IFERROR(__xludf.DUMMYFUNCTION("""COMPUTED_VALUE"""),"T207")</f>
        <v>T207</v>
      </c>
      <c r="C208" t="str">
        <f ca="1">IFERROR(__xludf.DUMMYFUNCTION("""COMPUTED_VALUE"""),"Jon Rahm")</f>
        <v>Jon Rahm</v>
      </c>
      <c r="D208">
        <f ca="1">IFERROR(__xludf.DUMMYFUNCTION("""COMPUTED_VALUE"""),12)</f>
        <v>12</v>
      </c>
      <c r="E208">
        <f ca="1">IFERROR(__xludf.DUMMYFUNCTION("""COMPUTED_VALUE"""),29.5)</f>
        <v>29.5</v>
      </c>
      <c r="F208">
        <f ca="1">IFERROR(__xludf.DUMMYFUNCTION("""COMPUTED_VALUE"""),354)</f>
        <v>354</v>
      </c>
      <c r="G208">
        <f ca="1">IFERROR(__xludf.DUMMYFUNCTION("""COMPUTED_VALUE"""),12)</f>
        <v>12</v>
      </c>
      <c r="H208">
        <f ca="1">IFERROR(__xludf.DUMMYFUNCTION("""COMPUTED_VALUE"""),25)</f>
        <v>25</v>
      </c>
    </row>
    <row r="209" spans="1:8" ht="12.75">
      <c r="A209" t="str">
        <f ca="1">IFERROR(__xludf.DUMMYFUNCTION("""COMPUTED_VALUE"""),"T207")</f>
        <v>T207</v>
      </c>
      <c r="B209" t="str">
        <f ca="1">IFERROR(__xludf.DUMMYFUNCTION("""COMPUTED_VALUE"""),"T223")</f>
        <v>T223</v>
      </c>
      <c r="C209" t="str">
        <f ca="1">IFERROR(__xludf.DUMMYFUNCTION("""COMPUTED_VALUE"""),"Erik van Rooyen")</f>
        <v>Erik van Rooyen</v>
      </c>
      <c r="D209">
        <f ca="1">IFERROR(__xludf.DUMMYFUNCTION("""COMPUTED_VALUE"""),10)</f>
        <v>10</v>
      </c>
      <c r="E209">
        <f ca="1">IFERROR(__xludf.DUMMYFUNCTION("""COMPUTED_VALUE"""),29.5)</f>
        <v>29.5</v>
      </c>
      <c r="F209">
        <f ca="1">IFERROR(__xludf.DUMMYFUNCTION("""COMPUTED_VALUE"""),295)</f>
        <v>295</v>
      </c>
      <c r="G209">
        <f ca="1">IFERROR(__xludf.DUMMYFUNCTION("""COMPUTED_VALUE"""),10)</f>
        <v>10</v>
      </c>
      <c r="H209">
        <f ca="1">IFERROR(__xludf.DUMMYFUNCTION("""COMPUTED_VALUE"""),27)</f>
        <v>27</v>
      </c>
    </row>
    <row r="210" spans="1:8" ht="12.75">
      <c r="A210" t="str">
        <f ca="1">IFERROR(__xludf.DUMMYFUNCTION("""COMPUTED_VALUE"""),"T207")</f>
        <v>T207</v>
      </c>
      <c r="B210" t="str">
        <f ca="1">IFERROR(__xludf.DUMMYFUNCTION("""COMPUTED_VALUE"""),"T207")</f>
        <v>T207</v>
      </c>
      <c r="C210" t="str">
        <f ca="1">IFERROR(__xludf.DUMMYFUNCTION("""COMPUTED_VALUE"""),"Alex Smalley")</f>
        <v>Alex Smalley</v>
      </c>
      <c r="D210">
        <f ca="1">IFERROR(__xludf.DUMMYFUNCTION("""COMPUTED_VALUE"""),4)</f>
        <v>4</v>
      </c>
      <c r="E210">
        <f ca="1">IFERROR(__xludf.DUMMYFUNCTION("""COMPUTED_VALUE"""),29.5)</f>
        <v>29.5</v>
      </c>
      <c r="F210">
        <f ca="1">IFERROR(__xludf.DUMMYFUNCTION("""COMPUTED_VALUE"""),118)</f>
        <v>118</v>
      </c>
      <c r="G210">
        <f ca="1">IFERROR(__xludf.DUMMYFUNCTION("""COMPUTED_VALUE"""),4)</f>
        <v>4</v>
      </c>
      <c r="H210">
        <f ca="1">IFERROR(__xludf.DUMMYFUNCTION("""COMPUTED_VALUE"""),28)</f>
        <v>28</v>
      </c>
    </row>
    <row r="211" spans="1:8" ht="12.75">
      <c r="A211" t="str">
        <f ca="1">IFERROR(__xludf.DUMMYFUNCTION("""COMPUTED_VALUE"""),"T207")</f>
        <v>T207</v>
      </c>
      <c r="B211" t="str">
        <f ca="1">IFERROR(__xludf.DUMMYFUNCTION("""COMPUTED_VALUE"""),"T207")</f>
        <v>T207</v>
      </c>
      <c r="C211" t="str">
        <f ca="1">IFERROR(__xludf.DUMMYFUNCTION("""COMPUTED_VALUE"""),"Gunn Charoenkul")</f>
        <v>Gunn Charoenkul</v>
      </c>
      <c r="D211">
        <f ca="1">IFERROR(__xludf.DUMMYFUNCTION("""COMPUTED_VALUE"""),4)</f>
        <v>4</v>
      </c>
      <c r="E211">
        <f ca="1">IFERROR(__xludf.DUMMYFUNCTION("""COMPUTED_VALUE"""),29.5)</f>
        <v>29.5</v>
      </c>
      <c r="F211">
        <f ca="1">IFERROR(__xludf.DUMMYFUNCTION("""COMPUTED_VALUE"""),118)</f>
        <v>118</v>
      </c>
      <c r="G211">
        <f ca="1">IFERROR(__xludf.DUMMYFUNCTION("""COMPUTED_VALUE"""),4)</f>
        <v>4</v>
      </c>
      <c r="H211">
        <f ca="1">IFERROR(__xludf.DUMMYFUNCTION("""COMPUTED_VALUE"""),26)</f>
        <v>26</v>
      </c>
    </row>
    <row r="212" spans="1:8" ht="12.75">
      <c r="A212" t="str">
        <f ca="1">IFERROR(__xludf.DUMMYFUNCTION("""COMPUTED_VALUE"""),"T207")</f>
        <v>T207</v>
      </c>
      <c r="B212" t="str">
        <f ca="1">IFERROR(__xludf.DUMMYFUNCTION("""COMPUTED_VALUE"""),"T136")</f>
        <v>T136</v>
      </c>
      <c r="C212" t="str">
        <f ca="1">IFERROR(__xludf.DUMMYFUNCTION("""COMPUTED_VALUE"""),"Bo Hoag")</f>
        <v>Bo Hoag</v>
      </c>
      <c r="D212">
        <f ca="1">IFERROR(__xludf.DUMMYFUNCTION("""COMPUTED_VALUE"""),14)</f>
        <v>14</v>
      </c>
      <c r="E212">
        <f ca="1">IFERROR(__xludf.DUMMYFUNCTION("""COMPUTED_VALUE"""),29.5)</f>
        <v>29.5</v>
      </c>
      <c r="F212">
        <f ca="1">IFERROR(__xludf.DUMMYFUNCTION("""COMPUTED_VALUE"""),413)</f>
        <v>413</v>
      </c>
      <c r="G212">
        <f ca="1">IFERROR(__xludf.DUMMYFUNCTION("""COMPUTED_VALUE"""),14)</f>
        <v>14</v>
      </c>
      <c r="H212">
        <f ca="1">IFERROR(__xludf.DUMMYFUNCTION("""COMPUTED_VALUE"""),25)</f>
        <v>25</v>
      </c>
    </row>
    <row r="213" spans="1:8" ht="12.75">
      <c r="A213" t="str">
        <f ca="1">IFERROR(__xludf.DUMMYFUNCTION("""COMPUTED_VALUE"""),"T207")</f>
        <v>T207</v>
      </c>
      <c r="B213" t="str">
        <f ca="1">IFERROR(__xludf.DUMMYFUNCTION("""COMPUTED_VALUE"""),"")</f>
        <v/>
      </c>
      <c r="C213" t="str">
        <f ca="1">IFERROR(__xludf.DUMMYFUNCTION("""COMPUTED_VALUE"""),"Erik Barnes")</f>
        <v>Erik Barnes</v>
      </c>
      <c r="D213">
        <f ca="1">IFERROR(__xludf.DUMMYFUNCTION("""COMPUTED_VALUE"""),4)</f>
        <v>4</v>
      </c>
      <c r="E213">
        <f ca="1">IFERROR(__xludf.DUMMYFUNCTION("""COMPUTED_VALUE"""),29.5)</f>
        <v>29.5</v>
      </c>
      <c r="F213">
        <f ca="1">IFERROR(__xludf.DUMMYFUNCTION("""COMPUTED_VALUE"""),118)</f>
        <v>118</v>
      </c>
      <c r="G213">
        <f ca="1">IFERROR(__xludf.DUMMYFUNCTION("""COMPUTED_VALUE"""),4)</f>
        <v>4</v>
      </c>
      <c r="H213">
        <f ca="1">IFERROR(__xludf.DUMMYFUNCTION("""COMPUTED_VALUE"""),27)</f>
        <v>27</v>
      </c>
    </row>
    <row r="214" spans="1:8" ht="12.75">
      <c r="A214" t="str">
        <f ca="1">IFERROR(__xludf.DUMMYFUNCTION("""COMPUTED_VALUE"""),"T207")</f>
        <v>T207</v>
      </c>
      <c r="B214" t="str">
        <f ca="1">IFERROR(__xludf.DUMMYFUNCTION("""COMPUTED_VALUE"""),"T207")</f>
        <v>T207</v>
      </c>
      <c r="C214" t="str">
        <f ca="1">IFERROR(__xludf.DUMMYFUNCTION("""COMPUTED_VALUE"""),"Jay McLuen")</f>
        <v>Jay McLuen</v>
      </c>
      <c r="D214">
        <f ca="1">IFERROR(__xludf.DUMMYFUNCTION("""COMPUTED_VALUE"""),4)</f>
        <v>4</v>
      </c>
      <c r="E214">
        <f ca="1">IFERROR(__xludf.DUMMYFUNCTION("""COMPUTED_VALUE"""),29.5)</f>
        <v>29.5</v>
      </c>
      <c r="F214">
        <f ca="1">IFERROR(__xludf.DUMMYFUNCTION("""COMPUTED_VALUE"""),118)</f>
        <v>118</v>
      </c>
      <c r="G214">
        <f ca="1">IFERROR(__xludf.DUMMYFUNCTION("""COMPUTED_VALUE"""),4)</f>
        <v>4</v>
      </c>
      <c r="H214">
        <f ca="1">IFERROR(__xludf.DUMMYFUNCTION("""COMPUTED_VALUE"""),28)</f>
        <v>28</v>
      </c>
    </row>
    <row r="215" spans="1:8" ht="12.75">
      <c r="A215" t="str">
        <f ca="1">IFERROR(__xludf.DUMMYFUNCTION("""COMPUTED_VALUE"""),"T207")</f>
        <v>T207</v>
      </c>
      <c r="B215" t="str">
        <f ca="1">IFERROR(__xludf.DUMMYFUNCTION("""COMPUTED_VALUE"""),"T207")</f>
        <v>T207</v>
      </c>
      <c r="C215" t="str">
        <f ca="1">IFERROR(__xludf.DUMMYFUNCTION("""COMPUTED_VALUE"""),"George McNeill")</f>
        <v>George McNeill</v>
      </c>
      <c r="D215">
        <f ca="1">IFERROR(__xludf.DUMMYFUNCTION("""COMPUTED_VALUE"""),8)</f>
        <v>8</v>
      </c>
      <c r="E215">
        <f ca="1">IFERROR(__xludf.DUMMYFUNCTION("""COMPUTED_VALUE"""),29.5)</f>
        <v>29.5</v>
      </c>
      <c r="F215">
        <f ca="1">IFERROR(__xludf.DUMMYFUNCTION("""COMPUTED_VALUE"""),236)</f>
        <v>236</v>
      </c>
      <c r="G215">
        <f ca="1">IFERROR(__xludf.DUMMYFUNCTION("""COMPUTED_VALUE"""),8)</f>
        <v>8</v>
      </c>
      <c r="H215">
        <f ca="1">IFERROR(__xludf.DUMMYFUNCTION("""COMPUTED_VALUE"""),26)</f>
        <v>26</v>
      </c>
    </row>
    <row r="216" spans="1:8" ht="12.75">
      <c r="A216" t="str">
        <f ca="1">IFERROR(__xludf.DUMMYFUNCTION("""COMPUTED_VALUE"""),"T207")</f>
        <v>T207</v>
      </c>
      <c r="B216" t="str">
        <f ca="1">IFERROR(__xludf.DUMMYFUNCTION("""COMPUTED_VALUE"""),"T207")</f>
        <v>T207</v>
      </c>
      <c r="C216" t="str">
        <f ca="1">IFERROR(__xludf.DUMMYFUNCTION("""COMPUTED_VALUE"""),"Tiger Woods")</f>
        <v>Tiger Woods</v>
      </c>
      <c r="D216">
        <f ca="1">IFERROR(__xludf.DUMMYFUNCTION("""COMPUTED_VALUE"""),6)</f>
        <v>6</v>
      </c>
      <c r="E216">
        <f ca="1">IFERROR(__xludf.DUMMYFUNCTION("""COMPUTED_VALUE"""),29.5)</f>
        <v>29.5</v>
      </c>
      <c r="F216">
        <f ca="1">IFERROR(__xludf.DUMMYFUNCTION("""COMPUTED_VALUE"""),177)</f>
        <v>177</v>
      </c>
      <c r="G216">
        <f ca="1">IFERROR(__xludf.DUMMYFUNCTION("""COMPUTED_VALUE"""),6)</f>
        <v>6</v>
      </c>
      <c r="H216">
        <f ca="1">IFERROR(__xludf.DUMMYFUNCTION("""COMPUTED_VALUE"""),26)</f>
        <v>26</v>
      </c>
    </row>
    <row r="217" spans="1:8" ht="12.75">
      <c r="A217" t="str">
        <f ca="1">IFERROR(__xludf.DUMMYFUNCTION("""COMPUTED_VALUE"""),"T207")</f>
        <v>T207</v>
      </c>
      <c r="B217" t="str">
        <f ca="1">IFERROR(__xludf.DUMMYFUNCTION("""COMPUTED_VALUE"""),"T236")</f>
        <v>T236</v>
      </c>
      <c r="C217" t="str">
        <f ca="1">IFERROR(__xludf.DUMMYFUNCTION("""COMPUTED_VALUE"""),"Chris Kirk")</f>
        <v>Chris Kirk</v>
      </c>
      <c r="D217">
        <f ca="1">IFERROR(__xludf.DUMMYFUNCTION("""COMPUTED_VALUE"""),10)</f>
        <v>10</v>
      </c>
      <c r="E217">
        <f ca="1">IFERROR(__xludf.DUMMYFUNCTION("""COMPUTED_VALUE"""),29.5)</f>
        <v>29.5</v>
      </c>
      <c r="F217">
        <f ca="1">IFERROR(__xludf.DUMMYFUNCTION("""COMPUTED_VALUE"""),295)</f>
        <v>295</v>
      </c>
      <c r="G217">
        <f ca="1">IFERROR(__xludf.DUMMYFUNCTION("""COMPUTED_VALUE"""),10)</f>
        <v>10</v>
      </c>
      <c r="H217">
        <f ca="1">IFERROR(__xludf.DUMMYFUNCTION("""COMPUTED_VALUE"""),26)</f>
        <v>26</v>
      </c>
    </row>
    <row r="218" spans="1:8" ht="12.75">
      <c r="A218" t="str">
        <f ca="1">IFERROR(__xludf.DUMMYFUNCTION("""COMPUTED_VALUE"""),"T207")</f>
        <v>T207</v>
      </c>
      <c r="B218" t="str">
        <f ca="1">IFERROR(__xludf.DUMMYFUNCTION("""COMPUTED_VALUE"""),"T207")</f>
        <v>T207</v>
      </c>
      <c r="C218" t="str">
        <f ca="1">IFERROR(__xludf.DUMMYFUNCTION("""COMPUTED_VALUE"""),"Ryan Brehm")</f>
        <v>Ryan Brehm</v>
      </c>
      <c r="D218">
        <f ca="1">IFERROR(__xludf.DUMMYFUNCTION("""COMPUTED_VALUE"""),10)</f>
        <v>10</v>
      </c>
      <c r="E218">
        <f ca="1">IFERROR(__xludf.DUMMYFUNCTION("""COMPUTED_VALUE"""),29.5)</f>
        <v>29.5</v>
      </c>
      <c r="F218">
        <f ca="1">IFERROR(__xludf.DUMMYFUNCTION("""COMPUTED_VALUE"""),295)</f>
        <v>295</v>
      </c>
      <c r="G218">
        <f ca="1">IFERROR(__xludf.DUMMYFUNCTION("""COMPUTED_VALUE"""),10)</f>
        <v>10</v>
      </c>
      <c r="H218">
        <f ca="1">IFERROR(__xludf.DUMMYFUNCTION("""COMPUTED_VALUE"""),27)</f>
        <v>27</v>
      </c>
    </row>
    <row r="219" spans="1:8" ht="12.75">
      <c r="A219">
        <f ca="1">IFERROR(__xludf.DUMMYFUNCTION("""COMPUTED_VALUE"""),218)</f>
        <v>218</v>
      </c>
      <c r="B219" t="str">
        <f ca="1">IFERROR(__xludf.DUMMYFUNCTION("""COMPUTED_VALUE"""),"T220")</f>
        <v>T220</v>
      </c>
      <c r="C219" t="str">
        <f ca="1">IFERROR(__xludf.DUMMYFUNCTION("""COMPUTED_VALUE"""),"Sungjae Im")</f>
        <v>Sungjae Im</v>
      </c>
      <c r="D219">
        <f ca="1">IFERROR(__xludf.DUMMYFUNCTION("""COMPUTED_VALUE"""),24)</f>
        <v>24</v>
      </c>
      <c r="E219">
        <f ca="1">IFERROR(__xludf.DUMMYFUNCTION("""COMPUTED_VALUE"""),29.54)</f>
        <v>29.54</v>
      </c>
      <c r="F219">
        <f ca="1">IFERROR(__xludf.DUMMYFUNCTION("""COMPUTED_VALUE"""),709)</f>
        <v>709</v>
      </c>
      <c r="G219">
        <f ca="1">IFERROR(__xludf.DUMMYFUNCTION("""COMPUTED_VALUE"""),24)</f>
        <v>24</v>
      </c>
      <c r="H219">
        <f ca="1">IFERROR(__xludf.DUMMYFUNCTION("""COMPUTED_VALUE"""),25)</f>
        <v>25</v>
      </c>
    </row>
    <row r="220" spans="1:8" ht="12.75">
      <c r="A220">
        <f ca="1">IFERROR(__xludf.DUMMYFUNCTION("""COMPUTED_VALUE"""),219)</f>
        <v>219</v>
      </c>
      <c r="B220">
        <f ca="1">IFERROR(__xludf.DUMMYFUNCTION("""COMPUTED_VALUE"""),217)</f>
        <v>217</v>
      </c>
      <c r="C220" t="str">
        <f ca="1">IFERROR(__xludf.DUMMYFUNCTION("""COMPUTED_VALUE"""),"Chesson Hadley")</f>
        <v>Chesson Hadley</v>
      </c>
      <c r="D220">
        <f ca="1">IFERROR(__xludf.DUMMYFUNCTION("""COMPUTED_VALUE"""),16)</f>
        <v>16</v>
      </c>
      <c r="E220">
        <f ca="1">IFERROR(__xludf.DUMMYFUNCTION("""COMPUTED_VALUE"""),29.56)</f>
        <v>29.56</v>
      </c>
      <c r="F220">
        <f ca="1">IFERROR(__xludf.DUMMYFUNCTION("""COMPUTED_VALUE"""),473)</f>
        <v>473</v>
      </c>
      <c r="G220">
        <f ca="1">IFERROR(__xludf.DUMMYFUNCTION("""COMPUTED_VALUE"""),16)</f>
        <v>16</v>
      </c>
      <c r="H220">
        <f ca="1">IFERROR(__xludf.DUMMYFUNCTION("""COMPUTED_VALUE"""),26)</f>
        <v>26</v>
      </c>
    </row>
    <row r="221" spans="1:8" ht="12.75">
      <c r="A221">
        <f ca="1">IFERROR(__xludf.DUMMYFUNCTION("""COMPUTED_VALUE"""),220)</f>
        <v>220</v>
      </c>
      <c r="B221" t="str">
        <f ca="1">IFERROR(__xludf.DUMMYFUNCTION("""COMPUTED_VALUE"""),"T136")</f>
        <v>T136</v>
      </c>
      <c r="C221" t="str">
        <f ca="1">IFERROR(__xludf.DUMMYFUNCTION("""COMPUTED_VALUE"""),"Danny Willett")</f>
        <v>Danny Willett</v>
      </c>
      <c r="D221">
        <f ca="1">IFERROR(__xludf.DUMMYFUNCTION("""COMPUTED_VALUE"""),7)</f>
        <v>7</v>
      </c>
      <c r="E221">
        <f ca="1">IFERROR(__xludf.DUMMYFUNCTION("""COMPUTED_VALUE"""),29.57)</f>
        <v>29.57</v>
      </c>
      <c r="F221">
        <f ca="1">IFERROR(__xludf.DUMMYFUNCTION("""COMPUTED_VALUE"""),207)</f>
        <v>207</v>
      </c>
      <c r="G221">
        <f ca="1">IFERROR(__xludf.DUMMYFUNCTION("""COMPUTED_VALUE"""),7)</f>
        <v>7</v>
      </c>
      <c r="H221">
        <f ca="1">IFERROR(__xludf.DUMMYFUNCTION("""COMPUTED_VALUE"""),24)</f>
        <v>24</v>
      </c>
    </row>
    <row r="222" spans="1:8" ht="12.75">
      <c r="A222">
        <f ca="1">IFERROR(__xludf.DUMMYFUNCTION("""COMPUTED_VALUE"""),221)</f>
        <v>221</v>
      </c>
      <c r="B222" t="str">
        <f ca="1">IFERROR(__xludf.DUMMYFUNCTION("""COMPUTED_VALUE"""),"T218")</f>
        <v>T218</v>
      </c>
      <c r="C222" t="str">
        <f ca="1">IFERROR(__xludf.DUMMYFUNCTION("""COMPUTED_VALUE"""),"Jim Herman")</f>
        <v>Jim Herman</v>
      </c>
      <c r="D222">
        <f ca="1">IFERROR(__xludf.DUMMYFUNCTION("""COMPUTED_VALUE"""),12)</f>
        <v>12</v>
      </c>
      <c r="E222">
        <f ca="1">IFERROR(__xludf.DUMMYFUNCTION("""COMPUTED_VALUE"""),29.58)</f>
        <v>29.58</v>
      </c>
      <c r="F222">
        <f ca="1">IFERROR(__xludf.DUMMYFUNCTION("""COMPUTED_VALUE"""),355)</f>
        <v>355</v>
      </c>
      <c r="G222">
        <f ca="1">IFERROR(__xludf.DUMMYFUNCTION("""COMPUTED_VALUE"""),12)</f>
        <v>12</v>
      </c>
      <c r="H222">
        <f ca="1">IFERROR(__xludf.DUMMYFUNCTION("""COMPUTED_VALUE"""),25)</f>
        <v>25</v>
      </c>
    </row>
    <row r="223" spans="1:8" ht="12.75">
      <c r="A223" t="str">
        <f ca="1">IFERROR(__xludf.DUMMYFUNCTION("""COMPUTED_VALUE"""),"T222")</f>
        <v>T222</v>
      </c>
      <c r="B223" t="str">
        <f ca="1">IFERROR(__xludf.DUMMYFUNCTION("""COMPUTED_VALUE"""),"T195")</f>
        <v>T195</v>
      </c>
      <c r="C223" t="str">
        <f ca="1">IFERROR(__xludf.DUMMYFUNCTION("""COMPUTED_VALUE"""),"Grayson Murray")</f>
        <v>Grayson Murray</v>
      </c>
      <c r="D223">
        <f ca="1">IFERROR(__xludf.DUMMYFUNCTION("""COMPUTED_VALUE"""),10)</f>
        <v>10</v>
      </c>
      <c r="E223">
        <f ca="1">IFERROR(__xludf.DUMMYFUNCTION("""COMPUTED_VALUE"""),29.6)</f>
        <v>29.6</v>
      </c>
      <c r="F223">
        <f ca="1">IFERROR(__xludf.DUMMYFUNCTION("""COMPUTED_VALUE"""),296)</f>
        <v>296</v>
      </c>
      <c r="G223">
        <f ca="1">IFERROR(__xludf.DUMMYFUNCTION("""COMPUTED_VALUE"""),10)</f>
        <v>10</v>
      </c>
      <c r="H223">
        <f ca="1">IFERROR(__xludf.DUMMYFUNCTION("""COMPUTED_VALUE"""),24)</f>
        <v>24</v>
      </c>
    </row>
    <row r="224" spans="1:8" ht="12.75">
      <c r="A224" t="str">
        <f ca="1">IFERROR(__xludf.DUMMYFUNCTION("""COMPUTED_VALUE"""),"T222")</f>
        <v>T222</v>
      </c>
      <c r="B224" t="str">
        <f ca="1">IFERROR(__xludf.DUMMYFUNCTION("""COMPUTED_VALUE"""),"T220")</f>
        <v>T220</v>
      </c>
      <c r="C224" t="str">
        <f ca="1">IFERROR(__xludf.DUMMYFUNCTION("""COMPUTED_VALUE"""),"Michael Gellerman")</f>
        <v>Michael Gellerman</v>
      </c>
      <c r="D224">
        <f ca="1">IFERROR(__xludf.DUMMYFUNCTION("""COMPUTED_VALUE"""),5)</f>
        <v>5</v>
      </c>
      <c r="E224">
        <f ca="1">IFERROR(__xludf.DUMMYFUNCTION("""COMPUTED_VALUE"""),29.6)</f>
        <v>29.6</v>
      </c>
      <c r="F224">
        <f ca="1">IFERROR(__xludf.DUMMYFUNCTION("""COMPUTED_VALUE"""),148)</f>
        <v>148</v>
      </c>
      <c r="G224">
        <f ca="1">IFERROR(__xludf.DUMMYFUNCTION("""COMPUTED_VALUE"""),5)</f>
        <v>5</v>
      </c>
      <c r="H224">
        <f ca="1">IFERROR(__xludf.DUMMYFUNCTION("""COMPUTED_VALUE"""),27)</f>
        <v>27</v>
      </c>
    </row>
    <row r="225" spans="1:8" ht="12.75">
      <c r="A225">
        <f ca="1">IFERROR(__xludf.DUMMYFUNCTION("""COMPUTED_VALUE"""),224)</f>
        <v>224</v>
      </c>
      <c r="B225" t="str">
        <f ca="1">IFERROR(__xludf.DUMMYFUNCTION("""COMPUTED_VALUE"""),"T193")</f>
        <v>T193</v>
      </c>
      <c r="C225" t="str">
        <f ca="1">IFERROR(__xludf.DUMMYFUNCTION("""COMPUTED_VALUE"""),"Sam Burns")</f>
        <v>Sam Burns</v>
      </c>
      <c r="D225">
        <f ca="1">IFERROR(__xludf.DUMMYFUNCTION("""COMPUTED_VALUE"""),18)</f>
        <v>18</v>
      </c>
      <c r="E225">
        <f ca="1">IFERROR(__xludf.DUMMYFUNCTION("""COMPUTED_VALUE"""),29.61)</f>
        <v>29.61</v>
      </c>
      <c r="F225">
        <f ca="1">IFERROR(__xludf.DUMMYFUNCTION("""COMPUTED_VALUE"""),533)</f>
        <v>533</v>
      </c>
      <c r="G225">
        <f ca="1">IFERROR(__xludf.DUMMYFUNCTION("""COMPUTED_VALUE"""),18)</f>
        <v>18</v>
      </c>
      <c r="H225">
        <f ca="1">IFERROR(__xludf.DUMMYFUNCTION("""COMPUTED_VALUE"""),24)</f>
        <v>24</v>
      </c>
    </row>
    <row r="226" spans="1:8" ht="12.75">
      <c r="A226" t="str">
        <f ca="1">IFERROR(__xludf.DUMMYFUNCTION("""COMPUTED_VALUE"""),"T225")</f>
        <v>T225</v>
      </c>
      <c r="B226">
        <f ca="1">IFERROR(__xludf.DUMMYFUNCTION("""COMPUTED_VALUE"""),222)</f>
        <v>222</v>
      </c>
      <c r="C226" t="str">
        <f ca="1">IFERROR(__xludf.DUMMYFUNCTION("""COMPUTED_VALUE"""),"Thomas Detry")</f>
        <v>Thomas Detry</v>
      </c>
      <c r="D226">
        <f ca="1">IFERROR(__xludf.DUMMYFUNCTION("""COMPUTED_VALUE"""),8)</f>
        <v>8</v>
      </c>
      <c r="E226">
        <f ca="1">IFERROR(__xludf.DUMMYFUNCTION("""COMPUTED_VALUE"""),29.63)</f>
        <v>29.63</v>
      </c>
      <c r="F226">
        <f ca="1">IFERROR(__xludf.DUMMYFUNCTION("""COMPUTED_VALUE"""),237)</f>
        <v>237</v>
      </c>
      <c r="G226">
        <f ca="1">IFERROR(__xludf.DUMMYFUNCTION("""COMPUTED_VALUE"""),8)</f>
        <v>8</v>
      </c>
      <c r="H226">
        <f ca="1">IFERROR(__xludf.DUMMYFUNCTION("""COMPUTED_VALUE"""),27)</f>
        <v>27</v>
      </c>
    </row>
    <row r="227" spans="1:8" ht="12.75">
      <c r="A227" t="str">
        <f ca="1">IFERROR(__xludf.DUMMYFUNCTION("""COMPUTED_VALUE"""),"T225")</f>
        <v>T225</v>
      </c>
      <c r="B227" t="str">
        <f ca="1">IFERROR(__xludf.DUMMYFUNCTION("""COMPUTED_VALUE"""),"T226")</f>
        <v>T226</v>
      </c>
      <c r="C227" t="str">
        <f ca="1">IFERROR(__xludf.DUMMYFUNCTION("""COMPUTED_VALUE"""),"Dustin Johnson")</f>
        <v>Dustin Johnson</v>
      </c>
      <c r="D227">
        <f ca="1">IFERROR(__xludf.DUMMYFUNCTION("""COMPUTED_VALUE"""),8)</f>
        <v>8</v>
      </c>
      <c r="E227">
        <f ca="1">IFERROR(__xludf.DUMMYFUNCTION("""COMPUTED_VALUE"""),29.63)</f>
        <v>29.63</v>
      </c>
      <c r="F227">
        <f ca="1">IFERROR(__xludf.DUMMYFUNCTION("""COMPUTED_VALUE"""),237)</f>
        <v>237</v>
      </c>
      <c r="G227">
        <f ca="1">IFERROR(__xludf.DUMMYFUNCTION("""COMPUTED_VALUE"""),8)</f>
        <v>8</v>
      </c>
      <c r="H227">
        <f ca="1">IFERROR(__xludf.DUMMYFUNCTION("""COMPUTED_VALUE"""),27)</f>
        <v>27</v>
      </c>
    </row>
    <row r="228" spans="1:8" ht="12.75">
      <c r="A228" t="str">
        <f ca="1">IFERROR(__xludf.DUMMYFUNCTION("""COMPUTED_VALUE"""),"T225")</f>
        <v>T225</v>
      </c>
      <c r="B228" t="str">
        <f ca="1">IFERROR(__xludf.DUMMYFUNCTION("""COMPUTED_VALUE"""),"T105")</f>
        <v>T105</v>
      </c>
      <c r="C228" t="str">
        <f ca="1">IFERROR(__xludf.DUMMYFUNCTION("""COMPUTED_VALUE"""),"Padraig Harrington")</f>
        <v>Padraig Harrington</v>
      </c>
      <c r="D228">
        <f ca="1">IFERROR(__xludf.DUMMYFUNCTION("""COMPUTED_VALUE"""),8)</f>
        <v>8</v>
      </c>
      <c r="E228">
        <f ca="1">IFERROR(__xludf.DUMMYFUNCTION("""COMPUTED_VALUE"""),29.63)</f>
        <v>29.63</v>
      </c>
      <c r="F228">
        <f ca="1">IFERROR(__xludf.DUMMYFUNCTION("""COMPUTED_VALUE"""),237)</f>
        <v>237</v>
      </c>
      <c r="G228">
        <f ca="1">IFERROR(__xludf.DUMMYFUNCTION("""COMPUTED_VALUE"""),8)</f>
        <v>8</v>
      </c>
      <c r="H228">
        <f ca="1">IFERROR(__xludf.DUMMYFUNCTION("""COMPUTED_VALUE"""),28)</f>
        <v>28</v>
      </c>
    </row>
    <row r="229" spans="1:8" ht="12.75">
      <c r="A229" t="str">
        <f ca="1">IFERROR(__xludf.DUMMYFUNCTION("""COMPUTED_VALUE"""),"T225")</f>
        <v>T225</v>
      </c>
      <c r="B229" t="str">
        <f ca="1">IFERROR(__xludf.DUMMYFUNCTION("""COMPUTED_VALUE"""),"T244")</f>
        <v>T244</v>
      </c>
      <c r="C229" t="str">
        <f ca="1">IFERROR(__xludf.DUMMYFUNCTION("""COMPUTED_VALUE"""),"Kevin Stadler")</f>
        <v>Kevin Stadler</v>
      </c>
      <c r="D229">
        <f ca="1">IFERROR(__xludf.DUMMYFUNCTION("""COMPUTED_VALUE"""),8)</f>
        <v>8</v>
      </c>
      <c r="E229">
        <f ca="1">IFERROR(__xludf.DUMMYFUNCTION("""COMPUTED_VALUE"""),29.63)</f>
        <v>29.63</v>
      </c>
      <c r="F229">
        <f ca="1">IFERROR(__xludf.DUMMYFUNCTION("""COMPUTED_VALUE"""),237)</f>
        <v>237</v>
      </c>
      <c r="G229">
        <f ca="1">IFERROR(__xludf.DUMMYFUNCTION("""COMPUTED_VALUE"""),8)</f>
        <v>8</v>
      </c>
      <c r="H229">
        <f ca="1">IFERROR(__xludf.DUMMYFUNCTION("""COMPUTED_VALUE"""),28)</f>
        <v>28</v>
      </c>
    </row>
    <row r="230" spans="1:8" ht="12.75">
      <c r="A230" t="str">
        <f ca="1">IFERROR(__xludf.DUMMYFUNCTION("""COMPUTED_VALUE"""),"T229")</f>
        <v>T229</v>
      </c>
      <c r="B230" t="str">
        <f ca="1">IFERROR(__xludf.DUMMYFUNCTION("""COMPUTED_VALUE"""),"T223")</f>
        <v>T223</v>
      </c>
      <c r="C230" t="str">
        <f ca="1">IFERROR(__xludf.DUMMYFUNCTION("""COMPUTED_VALUE"""),"Chris Stroud")</f>
        <v>Chris Stroud</v>
      </c>
      <c r="D230">
        <f ca="1">IFERROR(__xludf.DUMMYFUNCTION("""COMPUTED_VALUE"""),6)</f>
        <v>6</v>
      </c>
      <c r="E230">
        <f ca="1">IFERROR(__xludf.DUMMYFUNCTION("""COMPUTED_VALUE"""),29.67)</f>
        <v>29.67</v>
      </c>
      <c r="F230">
        <f ca="1">IFERROR(__xludf.DUMMYFUNCTION("""COMPUTED_VALUE"""),178)</f>
        <v>178</v>
      </c>
      <c r="G230">
        <f ca="1">IFERROR(__xludf.DUMMYFUNCTION("""COMPUTED_VALUE"""),6)</f>
        <v>6</v>
      </c>
      <c r="H230">
        <f ca="1">IFERROR(__xludf.DUMMYFUNCTION("""COMPUTED_VALUE"""),27)</f>
        <v>27</v>
      </c>
    </row>
    <row r="231" spans="1:8" ht="12.75">
      <c r="A231" t="str">
        <f ca="1">IFERROR(__xludf.DUMMYFUNCTION("""COMPUTED_VALUE"""),"T229")</f>
        <v>T229</v>
      </c>
      <c r="B231" t="str">
        <f ca="1">IFERROR(__xludf.DUMMYFUNCTION("""COMPUTED_VALUE"""),"T223")</f>
        <v>T223</v>
      </c>
      <c r="C231" t="str">
        <f ca="1">IFERROR(__xludf.DUMMYFUNCTION("""COMPUTED_VALUE"""),"Chan Kim")</f>
        <v>Chan Kim</v>
      </c>
      <c r="D231">
        <f ca="1">IFERROR(__xludf.DUMMYFUNCTION("""COMPUTED_VALUE"""),6)</f>
        <v>6</v>
      </c>
      <c r="E231">
        <f ca="1">IFERROR(__xludf.DUMMYFUNCTION("""COMPUTED_VALUE"""),29.67)</f>
        <v>29.67</v>
      </c>
      <c r="F231">
        <f ca="1">IFERROR(__xludf.DUMMYFUNCTION("""COMPUTED_VALUE"""),178)</f>
        <v>178</v>
      </c>
      <c r="G231">
        <f ca="1">IFERROR(__xludf.DUMMYFUNCTION("""COMPUTED_VALUE"""),6)</f>
        <v>6</v>
      </c>
      <c r="H231">
        <f ca="1">IFERROR(__xludf.DUMMYFUNCTION("""COMPUTED_VALUE"""),27)</f>
        <v>27</v>
      </c>
    </row>
    <row r="232" spans="1:8" ht="12.75">
      <c r="A232">
        <f ca="1">IFERROR(__xludf.DUMMYFUNCTION("""COMPUTED_VALUE"""),231)</f>
        <v>231</v>
      </c>
      <c r="B232">
        <f ca="1">IFERROR(__xludf.DUMMYFUNCTION("""COMPUTED_VALUE"""),241)</f>
        <v>241</v>
      </c>
      <c r="C232" t="str">
        <f ca="1">IFERROR(__xludf.DUMMYFUNCTION("""COMPUTED_VALUE"""),"Bo Van Pelt")</f>
        <v>Bo Van Pelt</v>
      </c>
      <c r="D232">
        <f ca="1">IFERROR(__xludf.DUMMYFUNCTION("""COMPUTED_VALUE"""),10)</f>
        <v>10</v>
      </c>
      <c r="E232">
        <f ca="1">IFERROR(__xludf.DUMMYFUNCTION("""COMPUTED_VALUE"""),29.7)</f>
        <v>29.7</v>
      </c>
      <c r="F232">
        <f ca="1">IFERROR(__xludf.DUMMYFUNCTION("""COMPUTED_VALUE"""),297)</f>
        <v>297</v>
      </c>
      <c r="G232">
        <f ca="1">IFERROR(__xludf.DUMMYFUNCTION("""COMPUTED_VALUE"""),10)</f>
        <v>10</v>
      </c>
      <c r="H232">
        <f ca="1">IFERROR(__xludf.DUMMYFUNCTION("""COMPUTED_VALUE"""),25)</f>
        <v>25</v>
      </c>
    </row>
    <row r="233" spans="1:8" ht="12.75">
      <c r="A233" t="str">
        <f ca="1">IFERROR(__xludf.DUMMYFUNCTION("""COMPUTED_VALUE"""),"T232")</f>
        <v>T232</v>
      </c>
      <c r="B233" t="str">
        <f ca="1">IFERROR(__xludf.DUMMYFUNCTION("""COMPUTED_VALUE"""),"T218")</f>
        <v>T218</v>
      </c>
      <c r="C233" t="str">
        <f ca="1">IFERROR(__xludf.DUMMYFUNCTION("""COMPUTED_VALUE"""),"Luke Donald")</f>
        <v>Luke Donald</v>
      </c>
      <c r="D233">
        <f ca="1">IFERROR(__xludf.DUMMYFUNCTION("""COMPUTED_VALUE"""),14)</f>
        <v>14</v>
      </c>
      <c r="E233">
        <f ca="1">IFERROR(__xludf.DUMMYFUNCTION("""COMPUTED_VALUE"""),29.71)</f>
        <v>29.71</v>
      </c>
      <c r="F233">
        <f ca="1">IFERROR(__xludf.DUMMYFUNCTION("""COMPUTED_VALUE"""),416)</f>
        <v>416</v>
      </c>
      <c r="G233">
        <f ca="1">IFERROR(__xludf.DUMMYFUNCTION("""COMPUTED_VALUE"""),14)</f>
        <v>14</v>
      </c>
      <c r="H233">
        <f ca="1">IFERROR(__xludf.DUMMYFUNCTION("""COMPUTED_VALUE"""),27)</f>
        <v>27</v>
      </c>
    </row>
    <row r="234" spans="1:8" ht="12.75">
      <c r="A234" t="str">
        <f ca="1">IFERROR(__xludf.DUMMYFUNCTION("""COMPUTED_VALUE"""),"T232")</f>
        <v>T232</v>
      </c>
      <c r="B234" t="str">
        <f ca="1">IFERROR(__xludf.DUMMYFUNCTION("""COMPUTED_VALUE"""),"T161")</f>
        <v>T161</v>
      </c>
      <c r="C234" t="str">
        <f ca="1">IFERROR(__xludf.DUMMYFUNCTION("""COMPUTED_VALUE"""),"Keith Mitchell")</f>
        <v>Keith Mitchell</v>
      </c>
      <c r="D234">
        <f ca="1">IFERROR(__xludf.DUMMYFUNCTION("""COMPUTED_VALUE"""),14)</f>
        <v>14</v>
      </c>
      <c r="E234">
        <f ca="1">IFERROR(__xludf.DUMMYFUNCTION("""COMPUTED_VALUE"""),29.71)</f>
        <v>29.71</v>
      </c>
      <c r="F234">
        <f ca="1">IFERROR(__xludf.DUMMYFUNCTION("""COMPUTED_VALUE"""),416)</f>
        <v>416</v>
      </c>
      <c r="G234">
        <f ca="1">IFERROR(__xludf.DUMMYFUNCTION("""COMPUTED_VALUE"""),14)</f>
        <v>14</v>
      </c>
      <c r="H234">
        <f ca="1">IFERROR(__xludf.DUMMYFUNCTION("""COMPUTED_VALUE"""),26)</f>
        <v>26</v>
      </c>
    </row>
    <row r="235" spans="1:8" ht="12.75">
      <c r="A235" t="str">
        <f ca="1">IFERROR(__xludf.DUMMYFUNCTION("""COMPUTED_VALUE"""),"T234")</f>
        <v>T234</v>
      </c>
      <c r="B235" t="str">
        <f ca="1">IFERROR(__xludf.DUMMYFUNCTION("""COMPUTED_VALUE"""),"T226")</f>
        <v>T226</v>
      </c>
      <c r="C235" t="str">
        <f ca="1">IFERROR(__xludf.DUMMYFUNCTION("""COMPUTED_VALUE"""),"Christiaan Bezuidenhout")</f>
        <v>Christiaan Bezuidenhout</v>
      </c>
      <c r="D235">
        <f ca="1">IFERROR(__xludf.DUMMYFUNCTION("""COMPUTED_VALUE"""),4)</f>
        <v>4</v>
      </c>
      <c r="E235">
        <f ca="1">IFERROR(__xludf.DUMMYFUNCTION("""COMPUTED_VALUE"""),29.75)</f>
        <v>29.75</v>
      </c>
      <c r="F235">
        <f ca="1">IFERROR(__xludf.DUMMYFUNCTION("""COMPUTED_VALUE"""),119)</f>
        <v>119</v>
      </c>
      <c r="G235">
        <f ca="1">IFERROR(__xludf.DUMMYFUNCTION("""COMPUTED_VALUE"""),4)</f>
        <v>4</v>
      </c>
      <c r="H235">
        <f ca="1">IFERROR(__xludf.DUMMYFUNCTION("""COMPUTED_VALUE"""),29)</f>
        <v>29</v>
      </c>
    </row>
    <row r="236" spans="1:8" ht="12.75">
      <c r="A236" t="str">
        <f ca="1">IFERROR(__xludf.DUMMYFUNCTION("""COMPUTED_VALUE"""),"T234")</f>
        <v>T234</v>
      </c>
      <c r="B236" t="str">
        <f ca="1">IFERROR(__xludf.DUMMYFUNCTION("""COMPUTED_VALUE"""),"T226")</f>
        <v>T226</v>
      </c>
      <c r="C236" t="str">
        <f ca="1">IFERROR(__xludf.DUMMYFUNCTION("""COMPUTED_VALUE"""),"George Markham")</f>
        <v>George Markham</v>
      </c>
      <c r="D236">
        <f ca="1">IFERROR(__xludf.DUMMYFUNCTION("""COMPUTED_VALUE"""),4)</f>
        <v>4</v>
      </c>
      <c r="E236">
        <f ca="1">IFERROR(__xludf.DUMMYFUNCTION("""COMPUTED_VALUE"""),29.75)</f>
        <v>29.75</v>
      </c>
      <c r="F236">
        <f ca="1">IFERROR(__xludf.DUMMYFUNCTION("""COMPUTED_VALUE"""),119)</f>
        <v>119</v>
      </c>
      <c r="G236">
        <f ca="1">IFERROR(__xludf.DUMMYFUNCTION("""COMPUTED_VALUE"""),4)</f>
        <v>4</v>
      </c>
      <c r="H236">
        <f ca="1">IFERROR(__xludf.DUMMYFUNCTION("""COMPUTED_VALUE"""),23)</f>
        <v>23</v>
      </c>
    </row>
    <row r="237" spans="1:8" ht="12.75">
      <c r="A237" t="str">
        <f ca="1">IFERROR(__xludf.DUMMYFUNCTION("""COMPUTED_VALUE"""),"T234")</f>
        <v>T234</v>
      </c>
      <c r="B237" t="str">
        <f ca="1">IFERROR(__xludf.DUMMYFUNCTION("""COMPUTED_VALUE"""),"T226")</f>
        <v>T226</v>
      </c>
      <c r="C237" t="str">
        <f ca="1">IFERROR(__xludf.DUMMYFUNCTION("""COMPUTED_VALUE"""),"Jim Furyk")</f>
        <v>Jim Furyk</v>
      </c>
      <c r="D237">
        <f ca="1">IFERROR(__xludf.DUMMYFUNCTION("""COMPUTED_VALUE"""),4)</f>
        <v>4</v>
      </c>
      <c r="E237">
        <f ca="1">IFERROR(__xludf.DUMMYFUNCTION("""COMPUTED_VALUE"""),29.75)</f>
        <v>29.75</v>
      </c>
      <c r="F237">
        <f ca="1">IFERROR(__xludf.DUMMYFUNCTION("""COMPUTED_VALUE"""),119)</f>
        <v>119</v>
      </c>
      <c r="G237">
        <f ca="1">IFERROR(__xludf.DUMMYFUNCTION("""COMPUTED_VALUE"""),4)</f>
        <v>4</v>
      </c>
      <c r="H237">
        <f ca="1">IFERROR(__xludf.DUMMYFUNCTION("""COMPUTED_VALUE"""),27)</f>
        <v>27</v>
      </c>
    </row>
    <row r="238" spans="1:8" ht="12.75">
      <c r="A238" t="str">
        <f ca="1">IFERROR(__xludf.DUMMYFUNCTION("""COMPUTED_VALUE"""),"T234")</f>
        <v>T234</v>
      </c>
      <c r="B238" t="str">
        <f ca="1">IFERROR(__xludf.DUMMYFUNCTION("""COMPUTED_VALUE"""),"T244")</f>
        <v>T244</v>
      </c>
      <c r="C238" t="str">
        <f ca="1">IFERROR(__xludf.DUMMYFUNCTION("""COMPUTED_VALUE"""),"Branden Grace")</f>
        <v>Branden Grace</v>
      </c>
      <c r="D238">
        <f ca="1">IFERROR(__xludf.DUMMYFUNCTION("""COMPUTED_VALUE"""),16)</f>
        <v>16</v>
      </c>
      <c r="E238">
        <f ca="1">IFERROR(__xludf.DUMMYFUNCTION("""COMPUTED_VALUE"""),29.75)</f>
        <v>29.75</v>
      </c>
      <c r="F238">
        <f ca="1">IFERROR(__xludf.DUMMYFUNCTION("""COMPUTED_VALUE"""),476)</f>
        <v>476</v>
      </c>
      <c r="G238">
        <f ca="1">IFERROR(__xludf.DUMMYFUNCTION("""COMPUTED_VALUE"""),16)</f>
        <v>16</v>
      </c>
      <c r="H238">
        <f ca="1">IFERROR(__xludf.DUMMYFUNCTION("""COMPUTED_VALUE"""),25)</f>
        <v>25</v>
      </c>
    </row>
    <row r="239" spans="1:8" ht="12.75">
      <c r="A239" t="str">
        <f ca="1">IFERROR(__xludf.DUMMYFUNCTION("""COMPUTED_VALUE"""),"T234")</f>
        <v>T234</v>
      </c>
      <c r="B239" t="str">
        <f ca="1">IFERROR(__xludf.DUMMYFUNCTION("""COMPUTED_VALUE"""),"T226")</f>
        <v>T226</v>
      </c>
      <c r="C239" t="str">
        <f ca="1">IFERROR(__xludf.DUMMYFUNCTION("""COMPUTED_VALUE"""),"Matthew Borchert")</f>
        <v>Matthew Borchert</v>
      </c>
      <c r="D239">
        <f ca="1">IFERROR(__xludf.DUMMYFUNCTION("""COMPUTED_VALUE"""),4)</f>
        <v>4</v>
      </c>
      <c r="E239">
        <f ca="1">IFERROR(__xludf.DUMMYFUNCTION("""COMPUTED_VALUE"""),29.75)</f>
        <v>29.75</v>
      </c>
      <c r="F239">
        <f ca="1">IFERROR(__xludf.DUMMYFUNCTION("""COMPUTED_VALUE"""),119)</f>
        <v>119</v>
      </c>
      <c r="G239">
        <f ca="1">IFERROR(__xludf.DUMMYFUNCTION("""COMPUTED_VALUE"""),4)</f>
        <v>4</v>
      </c>
      <c r="H239">
        <f ca="1">IFERROR(__xludf.DUMMYFUNCTION("""COMPUTED_VALUE"""),26)</f>
        <v>26</v>
      </c>
    </row>
    <row r="240" spans="1:8" ht="12.75">
      <c r="A240">
        <f ca="1">IFERROR(__xludf.DUMMYFUNCTION("""COMPUTED_VALUE"""),239)</f>
        <v>239</v>
      </c>
      <c r="B240">
        <f ca="1">IFERROR(__xludf.DUMMYFUNCTION("""COMPUTED_VALUE"""),216)</f>
        <v>216</v>
      </c>
      <c r="C240" t="str">
        <f ca="1">IFERROR(__xludf.DUMMYFUNCTION("""COMPUTED_VALUE"""),"Emiliano Grillo")</f>
        <v>Emiliano Grillo</v>
      </c>
      <c r="D240">
        <f ca="1">IFERROR(__xludf.DUMMYFUNCTION("""COMPUTED_VALUE"""),22)</f>
        <v>22</v>
      </c>
      <c r="E240">
        <f ca="1">IFERROR(__xludf.DUMMYFUNCTION("""COMPUTED_VALUE"""),29.77)</f>
        <v>29.77</v>
      </c>
      <c r="F240">
        <f ca="1">IFERROR(__xludf.DUMMYFUNCTION("""COMPUTED_VALUE"""),655)</f>
        <v>655</v>
      </c>
      <c r="G240">
        <f ca="1">IFERROR(__xludf.DUMMYFUNCTION("""COMPUTED_VALUE"""),22)</f>
        <v>22</v>
      </c>
      <c r="H240">
        <f ca="1">IFERROR(__xludf.DUMMYFUNCTION("""COMPUTED_VALUE"""),26)</f>
        <v>26</v>
      </c>
    </row>
    <row r="241" spans="1:8" ht="12.75">
      <c r="A241">
        <f ca="1">IFERROR(__xludf.DUMMYFUNCTION("""COMPUTED_VALUE"""),240)</f>
        <v>240</v>
      </c>
      <c r="B241">
        <f ca="1">IFERROR(__xludf.DUMMYFUNCTION("""COMPUTED_VALUE"""),235)</f>
        <v>235</v>
      </c>
      <c r="C241" t="str">
        <f ca="1">IFERROR(__xludf.DUMMYFUNCTION("""COMPUTED_VALUE"""),"Jonathan Byrd")</f>
        <v>Jonathan Byrd</v>
      </c>
      <c r="D241">
        <f ca="1">IFERROR(__xludf.DUMMYFUNCTION("""COMPUTED_VALUE"""),14)</f>
        <v>14</v>
      </c>
      <c r="E241">
        <f ca="1">IFERROR(__xludf.DUMMYFUNCTION("""COMPUTED_VALUE"""),29.79)</f>
        <v>29.79</v>
      </c>
      <c r="F241">
        <f ca="1">IFERROR(__xludf.DUMMYFUNCTION("""COMPUTED_VALUE"""),417)</f>
        <v>417</v>
      </c>
      <c r="G241">
        <f ca="1">IFERROR(__xludf.DUMMYFUNCTION("""COMPUTED_VALUE"""),14)</f>
        <v>14</v>
      </c>
      <c r="H241">
        <f ca="1">IFERROR(__xludf.DUMMYFUNCTION("""COMPUTED_VALUE"""),26)</f>
        <v>26</v>
      </c>
    </row>
    <row r="242" spans="1:8" ht="12.75">
      <c r="A242">
        <f ca="1">IFERROR(__xludf.DUMMYFUNCTION("""COMPUTED_VALUE"""),241)</f>
        <v>241</v>
      </c>
      <c r="B242" t="str">
        <f ca="1">IFERROR(__xludf.DUMMYFUNCTION("""COMPUTED_VALUE"""),"T200")</f>
        <v>T200</v>
      </c>
      <c r="C242" t="str">
        <f ca="1">IFERROR(__xludf.DUMMYFUNCTION("""COMPUTED_VALUE"""),"Kramer Hickok")</f>
        <v>Kramer Hickok</v>
      </c>
      <c r="D242">
        <f ca="1">IFERROR(__xludf.DUMMYFUNCTION("""COMPUTED_VALUE"""),16)</f>
        <v>16</v>
      </c>
      <c r="E242">
        <f ca="1">IFERROR(__xludf.DUMMYFUNCTION("""COMPUTED_VALUE"""),29.81)</f>
        <v>29.81</v>
      </c>
      <c r="F242">
        <f ca="1">IFERROR(__xludf.DUMMYFUNCTION("""COMPUTED_VALUE"""),477)</f>
        <v>477</v>
      </c>
      <c r="G242">
        <f ca="1">IFERROR(__xludf.DUMMYFUNCTION("""COMPUTED_VALUE"""),16)</f>
        <v>16</v>
      </c>
      <c r="H242">
        <f ca="1">IFERROR(__xludf.DUMMYFUNCTION("""COMPUTED_VALUE"""),27)</f>
        <v>27</v>
      </c>
    </row>
    <row r="243" spans="1:8" ht="12.75">
      <c r="A243">
        <f ca="1">IFERROR(__xludf.DUMMYFUNCTION("""COMPUTED_VALUE"""),242)</f>
        <v>242</v>
      </c>
      <c r="B243">
        <f ca="1">IFERROR(__xludf.DUMMYFUNCTION("""COMPUTED_VALUE"""),270)</f>
        <v>270</v>
      </c>
      <c r="C243" t="str">
        <f ca="1">IFERROR(__xludf.DUMMYFUNCTION("""COMPUTED_VALUE"""),"Henrik Stenson")</f>
        <v>Henrik Stenson</v>
      </c>
      <c r="D243">
        <f ca="1">IFERROR(__xludf.DUMMYFUNCTION("""COMPUTED_VALUE"""),11)</f>
        <v>11</v>
      </c>
      <c r="E243">
        <f ca="1">IFERROR(__xludf.DUMMYFUNCTION("""COMPUTED_VALUE"""),29.82)</f>
        <v>29.82</v>
      </c>
      <c r="F243">
        <f ca="1">IFERROR(__xludf.DUMMYFUNCTION("""COMPUTED_VALUE"""),328)</f>
        <v>328</v>
      </c>
      <c r="G243">
        <f ca="1">IFERROR(__xludf.DUMMYFUNCTION("""COMPUTED_VALUE"""),11)</f>
        <v>11</v>
      </c>
      <c r="H243">
        <f ca="1">IFERROR(__xludf.DUMMYFUNCTION("""COMPUTED_VALUE"""),25)</f>
        <v>25</v>
      </c>
    </row>
    <row r="244" spans="1:8" ht="12.75">
      <c r="A244" t="str">
        <f ca="1">IFERROR(__xludf.DUMMYFUNCTION("""COMPUTED_VALUE"""),"T243")</f>
        <v>T243</v>
      </c>
      <c r="B244" t="str">
        <f ca="1">IFERROR(__xludf.DUMMYFUNCTION("""COMPUTED_VALUE"""),"T236")</f>
        <v>T236</v>
      </c>
      <c r="C244" t="str">
        <f ca="1">IFERROR(__xludf.DUMMYFUNCTION("""COMPUTED_VALUE"""),"K.J. Choi")</f>
        <v>K.J. Choi</v>
      </c>
      <c r="D244">
        <f ca="1">IFERROR(__xludf.DUMMYFUNCTION("""COMPUTED_VALUE"""),6)</f>
        <v>6</v>
      </c>
      <c r="E244">
        <f ca="1">IFERROR(__xludf.DUMMYFUNCTION("""COMPUTED_VALUE"""),29.83)</f>
        <v>29.83</v>
      </c>
      <c r="F244">
        <f ca="1">IFERROR(__xludf.DUMMYFUNCTION("""COMPUTED_VALUE"""),179)</f>
        <v>179</v>
      </c>
      <c r="G244">
        <f ca="1">IFERROR(__xludf.DUMMYFUNCTION("""COMPUTED_VALUE"""),6)</f>
        <v>6</v>
      </c>
      <c r="H244">
        <f ca="1">IFERROR(__xludf.DUMMYFUNCTION("""COMPUTED_VALUE"""),27)</f>
        <v>27</v>
      </c>
    </row>
    <row r="245" spans="1:8" ht="12.75">
      <c r="A245" t="str">
        <f ca="1">IFERROR(__xludf.DUMMYFUNCTION("""COMPUTED_VALUE"""),"T243")</f>
        <v>T243</v>
      </c>
      <c r="B245" t="str">
        <f ca="1">IFERROR(__xludf.DUMMYFUNCTION("""COMPUTED_VALUE"""),"T236")</f>
        <v>T236</v>
      </c>
      <c r="C245" t="str">
        <f ca="1">IFERROR(__xludf.DUMMYFUNCTION("""COMPUTED_VALUE"""),"William McGirt")</f>
        <v>William McGirt</v>
      </c>
      <c r="D245">
        <f ca="1">IFERROR(__xludf.DUMMYFUNCTION("""COMPUTED_VALUE"""),6)</f>
        <v>6</v>
      </c>
      <c r="E245">
        <f ca="1">IFERROR(__xludf.DUMMYFUNCTION("""COMPUTED_VALUE"""),29.83)</f>
        <v>29.83</v>
      </c>
      <c r="F245">
        <f ca="1">IFERROR(__xludf.DUMMYFUNCTION("""COMPUTED_VALUE"""),179)</f>
        <v>179</v>
      </c>
      <c r="G245">
        <f ca="1">IFERROR(__xludf.DUMMYFUNCTION("""COMPUTED_VALUE"""),6)</f>
        <v>6</v>
      </c>
      <c r="H245">
        <f ca="1">IFERROR(__xludf.DUMMYFUNCTION("""COMPUTED_VALUE"""),27)</f>
        <v>27</v>
      </c>
    </row>
    <row r="246" spans="1:8" ht="12.75">
      <c r="A246" t="str">
        <f ca="1">IFERROR(__xludf.DUMMYFUNCTION("""COMPUTED_VALUE"""),"T243")</f>
        <v>T243</v>
      </c>
      <c r="B246" t="str">
        <f ca="1">IFERROR(__xludf.DUMMYFUNCTION("""COMPUTED_VALUE"""),"T236")</f>
        <v>T236</v>
      </c>
      <c r="C246" t="str">
        <f ca="1">IFERROR(__xludf.DUMMYFUNCTION("""COMPUTED_VALUE"""),"Takumi Kanaya")</f>
        <v>Takumi Kanaya</v>
      </c>
      <c r="D246">
        <f ca="1">IFERROR(__xludf.DUMMYFUNCTION("""COMPUTED_VALUE"""),6)</f>
        <v>6</v>
      </c>
      <c r="E246">
        <f ca="1">IFERROR(__xludf.DUMMYFUNCTION("""COMPUTED_VALUE"""),29.83)</f>
        <v>29.83</v>
      </c>
      <c r="F246">
        <f ca="1">IFERROR(__xludf.DUMMYFUNCTION("""COMPUTED_VALUE"""),179)</f>
        <v>179</v>
      </c>
      <c r="G246">
        <f ca="1">IFERROR(__xludf.DUMMYFUNCTION("""COMPUTED_VALUE"""),6)</f>
        <v>6</v>
      </c>
      <c r="H246">
        <f ca="1">IFERROR(__xludf.DUMMYFUNCTION("""COMPUTED_VALUE"""),25)</f>
        <v>25</v>
      </c>
    </row>
    <row r="247" spans="1:8" ht="12.75">
      <c r="A247" t="str">
        <f ca="1">IFERROR(__xludf.DUMMYFUNCTION("""COMPUTED_VALUE"""),"T243")</f>
        <v>T243</v>
      </c>
      <c r="B247" t="str">
        <f ca="1">IFERROR(__xludf.DUMMYFUNCTION("""COMPUTED_VALUE"""),"T261")</f>
        <v>T261</v>
      </c>
      <c r="C247" t="str">
        <f ca="1">IFERROR(__xludf.DUMMYFUNCTION("""COMPUTED_VALUE"""),"Tom Lewis")</f>
        <v>Tom Lewis</v>
      </c>
      <c r="D247">
        <f ca="1">IFERROR(__xludf.DUMMYFUNCTION("""COMPUTED_VALUE"""),12)</f>
        <v>12</v>
      </c>
      <c r="E247">
        <f ca="1">IFERROR(__xludf.DUMMYFUNCTION("""COMPUTED_VALUE"""),29.83)</f>
        <v>29.83</v>
      </c>
      <c r="F247">
        <f ca="1">IFERROR(__xludf.DUMMYFUNCTION("""COMPUTED_VALUE"""),358)</f>
        <v>358</v>
      </c>
      <c r="G247">
        <f ca="1">IFERROR(__xludf.DUMMYFUNCTION("""COMPUTED_VALUE"""),12)</f>
        <v>12</v>
      </c>
      <c r="H247">
        <f ca="1">IFERROR(__xludf.DUMMYFUNCTION("""COMPUTED_VALUE"""),27)</f>
        <v>27</v>
      </c>
    </row>
    <row r="248" spans="1:8" ht="12.75">
      <c r="A248" t="str">
        <f ca="1">IFERROR(__xludf.DUMMYFUNCTION("""COMPUTED_VALUE"""),"T247")</f>
        <v>T247</v>
      </c>
      <c r="B248" t="str">
        <f ca="1">IFERROR(__xludf.DUMMYFUNCTION("""COMPUTED_VALUE"""),"T207")</f>
        <v>T207</v>
      </c>
      <c r="C248" t="str">
        <f ca="1">IFERROR(__xludf.DUMMYFUNCTION("""COMPUTED_VALUE"""),"Kevin Tway")</f>
        <v>Kevin Tway</v>
      </c>
      <c r="D248">
        <f ca="1">IFERROR(__xludf.DUMMYFUNCTION("""COMPUTED_VALUE"""),16)</f>
        <v>16</v>
      </c>
      <c r="E248">
        <f ca="1">IFERROR(__xludf.DUMMYFUNCTION("""COMPUTED_VALUE"""),29.88)</f>
        <v>29.88</v>
      </c>
      <c r="F248">
        <f ca="1">IFERROR(__xludf.DUMMYFUNCTION("""COMPUTED_VALUE"""),478)</f>
        <v>478</v>
      </c>
      <c r="G248">
        <f ca="1">IFERROR(__xludf.DUMMYFUNCTION("""COMPUTED_VALUE"""),16)</f>
        <v>16</v>
      </c>
      <c r="H248">
        <f ca="1">IFERROR(__xludf.DUMMYFUNCTION("""COMPUTED_VALUE"""),27)</f>
        <v>27</v>
      </c>
    </row>
    <row r="249" spans="1:8" ht="12.75">
      <c r="A249" t="str">
        <f ca="1">IFERROR(__xludf.DUMMYFUNCTION("""COMPUTED_VALUE"""),"T247")</f>
        <v>T247</v>
      </c>
      <c r="B249" t="str">
        <f ca="1">IFERROR(__xludf.DUMMYFUNCTION("""COMPUTED_VALUE"""),"T226")</f>
        <v>T226</v>
      </c>
      <c r="C249" t="str">
        <f ca="1">IFERROR(__xludf.DUMMYFUNCTION("""COMPUTED_VALUE"""),"Zach Johnson")</f>
        <v>Zach Johnson</v>
      </c>
      <c r="D249">
        <f ca="1">IFERROR(__xludf.DUMMYFUNCTION("""COMPUTED_VALUE"""),16)</f>
        <v>16</v>
      </c>
      <c r="E249">
        <f ca="1">IFERROR(__xludf.DUMMYFUNCTION("""COMPUTED_VALUE"""),29.88)</f>
        <v>29.88</v>
      </c>
      <c r="F249">
        <f ca="1">IFERROR(__xludf.DUMMYFUNCTION("""COMPUTED_VALUE"""),478)</f>
        <v>478</v>
      </c>
      <c r="G249">
        <f ca="1">IFERROR(__xludf.DUMMYFUNCTION("""COMPUTED_VALUE"""),16)</f>
        <v>16</v>
      </c>
      <c r="H249">
        <f ca="1">IFERROR(__xludf.DUMMYFUNCTION("""COMPUTED_VALUE"""),26)</f>
        <v>26</v>
      </c>
    </row>
    <row r="250" spans="1:8" ht="12.75">
      <c r="A250" t="str">
        <f ca="1">IFERROR(__xludf.DUMMYFUNCTION("""COMPUTED_VALUE"""),"T249")</f>
        <v>T249</v>
      </c>
      <c r="B250" t="str">
        <f ca="1">IFERROR(__xludf.DUMMYFUNCTION("""COMPUTED_VALUE"""),"T242")</f>
        <v>T242</v>
      </c>
      <c r="C250" t="str">
        <f ca="1">IFERROR(__xludf.DUMMYFUNCTION("""COMPUTED_VALUE"""),"Bubba Watson")</f>
        <v>Bubba Watson</v>
      </c>
      <c r="D250">
        <f ca="1">IFERROR(__xludf.DUMMYFUNCTION("""COMPUTED_VALUE"""),12)</f>
        <v>12</v>
      </c>
      <c r="E250">
        <f ca="1">IFERROR(__xludf.DUMMYFUNCTION("""COMPUTED_VALUE"""),29.92)</f>
        <v>29.92</v>
      </c>
      <c r="F250">
        <f ca="1">IFERROR(__xludf.DUMMYFUNCTION("""COMPUTED_VALUE"""),359)</f>
        <v>359</v>
      </c>
      <c r="G250">
        <f ca="1">IFERROR(__xludf.DUMMYFUNCTION("""COMPUTED_VALUE"""),12)</f>
        <v>12</v>
      </c>
      <c r="H250">
        <f ca="1">IFERROR(__xludf.DUMMYFUNCTION("""COMPUTED_VALUE"""),27)</f>
        <v>27</v>
      </c>
    </row>
    <row r="251" spans="1:8" ht="12.75">
      <c r="A251" t="str">
        <f ca="1">IFERROR(__xludf.DUMMYFUNCTION("""COMPUTED_VALUE"""),"T249")</f>
        <v>T249</v>
      </c>
      <c r="B251">
        <f ca="1">IFERROR(__xludf.DUMMYFUNCTION("""COMPUTED_VALUE"""),265)</f>
        <v>265</v>
      </c>
      <c r="C251" t="str">
        <f ca="1">IFERROR(__xludf.DUMMYFUNCTION("""COMPUTED_VALUE"""),"Lucas Glover")</f>
        <v>Lucas Glover</v>
      </c>
      <c r="D251">
        <f ca="1">IFERROR(__xludf.DUMMYFUNCTION("""COMPUTED_VALUE"""),12)</f>
        <v>12</v>
      </c>
      <c r="E251">
        <f ca="1">IFERROR(__xludf.DUMMYFUNCTION("""COMPUTED_VALUE"""),29.92)</f>
        <v>29.92</v>
      </c>
      <c r="F251">
        <f ca="1">IFERROR(__xludf.DUMMYFUNCTION("""COMPUTED_VALUE"""),359)</f>
        <v>359</v>
      </c>
      <c r="G251">
        <f ca="1">IFERROR(__xludf.DUMMYFUNCTION("""COMPUTED_VALUE"""),12)</f>
        <v>12</v>
      </c>
      <c r="H251">
        <f ca="1">IFERROR(__xludf.DUMMYFUNCTION("""COMPUTED_VALUE"""),28)</f>
        <v>28</v>
      </c>
    </row>
    <row r="252" spans="1:8" ht="12.75">
      <c r="A252">
        <f ca="1">IFERROR(__xludf.DUMMYFUNCTION("""COMPUTED_VALUE"""),251)</f>
        <v>251</v>
      </c>
      <c r="B252">
        <f ca="1">IFERROR(__xludf.DUMMYFUNCTION("""COMPUTED_VALUE"""),268)</f>
        <v>268</v>
      </c>
      <c r="C252" t="str">
        <f ca="1">IFERROR(__xludf.DUMMYFUNCTION("""COMPUTED_VALUE"""),"Russell Knox")</f>
        <v>Russell Knox</v>
      </c>
      <c r="D252">
        <f ca="1">IFERROR(__xludf.DUMMYFUNCTION("""COMPUTED_VALUE"""),16)</f>
        <v>16</v>
      </c>
      <c r="E252">
        <f ca="1">IFERROR(__xludf.DUMMYFUNCTION("""COMPUTED_VALUE"""),29.94)</f>
        <v>29.94</v>
      </c>
      <c r="F252">
        <f ca="1">IFERROR(__xludf.DUMMYFUNCTION("""COMPUTED_VALUE"""),479)</f>
        <v>479</v>
      </c>
      <c r="G252">
        <f ca="1">IFERROR(__xludf.DUMMYFUNCTION("""COMPUTED_VALUE"""),16)</f>
        <v>16</v>
      </c>
      <c r="H252">
        <f ca="1">IFERROR(__xludf.DUMMYFUNCTION("""COMPUTED_VALUE"""),24)</f>
        <v>24</v>
      </c>
    </row>
    <row r="253" spans="1:8" ht="12.75">
      <c r="A253" t="str">
        <f ca="1">IFERROR(__xludf.DUMMYFUNCTION("""COMPUTED_VALUE"""),"T252")</f>
        <v>T252</v>
      </c>
      <c r="B253" t="str">
        <f ca="1">IFERROR(__xludf.DUMMYFUNCTION("""COMPUTED_VALUE"""),"T244")</f>
        <v>T244</v>
      </c>
      <c r="C253" t="str">
        <f ca="1">IFERROR(__xludf.DUMMYFUNCTION("""COMPUTED_VALUE"""),"Shane Lowry")</f>
        <v>Shane Lowry</v>
      </c>
      <c r="D253">
        <f ca="1">IFERROR(__xludf.DUMMYFUNCTION("""COMPUTED_VALUE"""),14)</f>
        <v>14</v>
      </c>
      <c r="E253">
        <f ca="1">IFERROR(__xludf.DUMMYFUNCTION("""COMPUTED_VALUE"""),30)</f>
        <v>30</v>
      </c>
      <c r="F253">
        <f ca="1">IFERROR(__xludf.DUMMYFUNCTION("""COMPUTED_VALUE"""),420)</f>
        <v>420</v>
      </c>
      <c r="G253">
        <f ca="1">IFERROR(__xludf.DUMMYFUNCTION("""COMPUTED_VALUE"""),14)</f>
        <v>14</v>
      </c>
      <c r="H253">
        <f ca="1">IFERROR(__xludf.DUMMYFUNCTION("""COMPUTED_VALUE"""),26)</f>
        <v>26</v>
      </c>
    </row>
    <row r="254" spans="1:8" ht="12.75">
      <c r="A254" t="str">
        <f ca="1">IFERROR(__xludf.DUMMYFUNCTION("""COMPUTED_VALUE"""),"T252")</f>
        <v>T252</v>
      </c>
      <c r="B254" t="str">
        <f ca="1">IFERROR(__xludf.DUMMYFUNCTION("""COMPUTED_VALUE"""),"T244")</f>
        <v>T244</v>
      </c>
      <c r="C254" t="str">
        <f ca="1">IFERROR(__xludf.DUMMYFUNCTION("""COMPUTED_VALUE"""),"Mark Anderson")</f>
        <v>Mark Anderson</v>
      </c>
      <c r="D254">
        <f ca="1">IFERROR(__xludf.DUMMYFUNCTION("""COMPUTED_VALUE"""),14)</f>
        <v>14</v>
      </c>
      <c r="E254">
        <f ca="1">IFERROR(__xludf.DUMMYFUNCTION("""COMPUTED_VALUE"""),30)</f>
        <v>30</v>
      </c>
      <c r="F254">
        <f ca="1">IFERROR(__xludf.DUMMYFUNCTION("""COMPUTED_VALUE"""),420)</f>
        <v>420</v>
      </c>
      <c r="G254">
        <f ca="1">IFERROR(__xludf.DUMMYFUNCTION("""COMPUTED_VALUE"""),14)</f>
        <v>14</v>
      </c>
      <c r="H254">
        <f ca="1">IFERROR(__xludf.DUMMYFUNCTION("""COMPUTED_VALUE"""),27)</f>
        <v>27</v>
      </c>
    </row>
    <row r="255" spans="1:8" ht="12.75">
      <c r="A255" t="str">
        <f ca="1">IFERROR(__xludf.DUMMYFUNCTION("""COMPUTED_VALUE"""),"T252")</f>
        <v>T252</v>
      </c>
      <c r="B255" t="str">
        <f ca="1">IFERROR(__xludf.DUMMYFUNCTION("""COMPUTED_VALUE"""),"T244")</f>
        <v>T244</v>
      </c>
      <c r="C255" t="str">
        <f ca="1">IFERROR(__xludf.DUMMYFUNCTION("""COMPUTED_VALUE"""),"Davis Riley")</f>
        <v>Davis Riley</v>
      </c>
      <c r="D255">
        <f ca="1">IFERROR(__xludf.DUMMYFUNCTION("""COMPUTED_VALUE"""),4)</f>
        <v>4</v>
      </c>
      <c r="E255">
        <f ca="1">IFERROR(__xludf.DUMMYFUNCTION("""COMPUTED_VALUE"""),30)</f>
        <v>30</v>
      </c>
      <c r="F255">
        <f ca="1">IFERROR(__xludf.DUMMYFUNCTION("""COMPUTED_VALUE"""),120)</f>
        <v>120</v>
      </c>
      <c r="G255">
        <f ca="1">IFERROR(__xludf.DUMMYFUNCTION("""COMPUTED_VALUE"""),4)</f>
        <v>4</v>
      </c>
      <c r="H255">
        <f ca="1">IFERROR(__xludf.DUMMYFUNCTION("""COMPUTED_VALUE"""),25)</f>
        <v>25</v>
      </c>
    </row>
    <row r="256" spans="1:8" ht="12.75">
      <c r="A256" t="str">
        <f ca="1">IFERROR(__xludf.DUMMYFUNCTION("""COMPUTED_VALUE"""),"T252")</f>
        <v>T252</v>
      </c>
      <c r="B256" t="str">
        <f ca="1">IFERROR(__xludf.DUMMYFUNCTION("""COMPUTED_VALUE"""),"T244")</f>
        <v>T244</v>
      </c>
      <c r="C256" t="str">
        <f ca="1">IFERROR(__xludf.DUMMYFUNCTION("""COMPUTED_VALUE"""),"Stephen Stallings Jr.")</f>
        <v>Stephen Stallings Jr.</v>
      </c>
      <c r="D256">
        <f ca="1">IFERROR(__xludf.DUMMYFUNCTION("""COMPUTED_VALUE"""),4)</f>
        <v>4</v>
      </c>
      <c r="E256">
        <f ca="1">IFERROR(__xludf.DUMMYFUNCTION("""COMPUTED_VALUE"""),30)</f>
        <v>30</v>
      </c>
      <c r="F256">
        <f ca="1">IFERROR(__xludf.DUMMYFUNCTION("""COMPUTED_VALUE"""),120)</f>
        <v>120</v>
      </c>
      <c r="G256">
        <f ca="1">IFERROR(__xludf.DUMMYFUNCTION("""COMPUTED_VALUE"""),4)</f>
        <v>4</v>
      </c>
      <c r="H256">
        <f ca="1">IFERROR(__xludf.DUMMYFUNCTION("""COMPUTED_VALUE"""),29)</f>
        <v>29</v>
      </c>
    </row>
    <row r="257" spans="1:8" ht="12.75">
      <c r="A257" t="str">
        <f ca="1">IFERROR(__xludf.DUMMYFUNCTION("""COMPUTED_VALUE"""),"T252")</f>
        <v>T252</v>
      </c>
      <c r="B257" t="str">
        <f ca="1">IFERROR(__xludf.DUMMYFUNCTION("""COMPUTED_VALUE"""),"T226")</f>
        <v>T226</v>
      </c>
      <c r="C257" t="str">
        <f ca="1">IFERROR(__xludf.DUMMYFUNCTION("""COMPUTED_VALUE"""),"Isaiah Salinda")</f>
        <v>Isaiah Salinda</v>
      </c>
      <c r="D257">
        <f ca="1">IFERROR(__xludf.DUMMYFUNCTION("""COMPUTED_VALUE"""),8)</f>
        <v>8</v>
      </c>
      <c r="E257">
        <f ca="1">IFERROR(__xludf.DUMMYFUNCTION("""COMPUTED_VALUE"""),30)</f>
        <v>30</v>
      </c>
      <c r="F257">
        <f ca="1">IFERROR(__xludf.DUMMYFUNCTION("""COMPUTED_VALUE"""),240)</f>
        <v>240</v>
      </c>
      <c r="G257">
        <f ca="1">IFERROR(__xludf.DUMMYFUNCTION("""COMPUTED_VALUE"""),8)</f>
        <v>8</v>
      </c>
      <c r="H257">
        <f ca="1">IFERROR(__xludf.DUMMYFUNCTION("""COMPUTED_VALUE"""),27)</f>
        <v>27</v>
      </c>
    </row>
    <row r="258" spans="1:8" ht="12.75">
      <c r="A258" t="str">
        <f ca="1">IFERROR(__xludf.DUMMYFUNCTION("""COMPUTED_VALUE"""),"T252")</f>
        <v>T252</v>
      </c>
      <c r="B258" t="str">
        <f ca="1">IFERROR(__xludf.DUMMYFUNCTION("""COMPUTED_VALUE"""),"T244")</f>
        <v>T244</v>
      </c>
      <c r="C258" t="str">
        <f ca="1">IFERROR(__xludf.DUMMYFUNCTION("""COMPUTED_VALUE"""),"Michael Miller")</f>
        <v>Michael Miller</v>
      </c>
      <c r="D258">
        <f ca="1">IFERROR(__xludf.DUMMYFUNCTION("""COMPUTED_VALUE"""),4)</f>
        <v>4</v>
      </c>
      <c r="E258">
        <f ca="1">IFERROR(__xludf.DUMMYFUNCTION("""COMPUTED_VALUE"""),30)</f>
        <v>30</v>
      </c>
      <c r="F258">
        <f ca="1">IFERROR(__xludf.DUMMYFUNCTION("""COMPUTED_VALUE"""),120)</f>
        <v>120</v>
      </c>
      <c r="G258">
        <f ca="1">IFERROR(__xludf.DUMMYFUNCTION("""COMPUTED_VALUE"""),4)</f>
        <v>4</v>
      </c>
      <c r="H258">
        <f ca="1">IFERROR(__xludf.DUMMYFUNCTION("""COMPUTED_VALUE"""),28)</f>
        <v>28</v>
      </c>
    </row>
    <row r="259" spans="1:8" ht="12.75">
      <c r="A259" t="str">
        <f ca="1">IFERROR(__xludf.DUMMYFUNCTION("""COMPUTED_VALUE"""),"T252")</f>
        <v>T252</v>
      </c>
      <c r="B259" t="str">
        <f ca="1">IFERROR(__xludf.DUMMYFUNCTION("""COMPUTED_VALUE"""),"T244")</f>
        <v>T244</v>
      </c>
      <c r="C259" t="str">
        <f ca="1">IFERROR(__xludf.DUMMYFUNCTION("""COMPUTED_VALUE"""),"Nick Watney")</f>
        <v>Nick Watney</v>
      </c>
      <c r="D259">
        <f ca="1">IFERROR(__xludf.DUMMYFUNCTION("""COMPUTED_VALUE"""),10)</f>
        <v>10</v>
      </c>
      <c r="E259">
        <f ca="1">IFERROR(__xludf.DUMMYFUNCTION("""COMPUTED_VALUE"""),30)</f>
        <v>30</v>
      </c>
      <c r="F259">
        <f ca="1">IFERROR(__xludf.DUMMYFUNCTION("""COMPUTED_VALUE"""),300)</f>
        <v>300</v>
      </c>
      <c r="G259">
        <f ca="1">IFERROR(__xludf.DUMMYFUNCTION("""COMPUTED_VALUE"""),10)</f>
        <v>10</v>
      </c>
      <c r="H259">
        <f ca="1">IFERROR(__xludf.DUMMYFUNCTION("""COMPUTED_VALUE"""),26)</f>
        <v>26</v>
      </c>
    </row>
    <row r="260" spans="1:8" ht="12.75">
      <c r="A260" t="str">
        <f ca="1">IFERROR(__xludf.DUMMYFUNCTION("""COMPUTED_VALUE"""),"T252")</f>
        <v>T252</v>
      </c>
      <c r="B260" t="str">
        <f ca="1">IFERROR(__xludf.DUMMYFUNCTION("""COMPUTED_VALUE"""),"T244")</f>
        <v>T244</v>
      </c>
      <c r="C260" t="str">
        <f ca="1">IFERROR(__xludf.DUMMYFUNCTION("""COMPUTED_VALUE"""),"J.J. Henry")</f>
        <v>J.J. Henry</v>
      </c>
      <c r="D260">
        <f ca="1">IFERROR(__xludf.DUMMYFUNCTION("""COMPUTED_VALUE"""),4)</f>
        <v>4</v>
      </c>
      <c r="E260">
        <f ca="1">IFERROR(__xludf.DUMMYFUNCTION("""COMPUTED_VALUE"""),30)</f>
        <v>30</v>
      </c>
      <c r="F260">
        <f ca="1">IFERROR(__xludf.DUMMYFUNCTION("""COMPUTED_VALUE"""),120)</f>
        <v>120</v>
      </c>
      <c r="G260">
        <f ca="1">IFERROR(__xludf.DUMMYFUNCTION("""COMPUTED_VALUE"""),4)</f>
        <v>4</v>
      </c>
      <c r="H260">
        <f ca="1">IFERROR(__xludf.DUMMYFUNCTION("""COMPUTED_VALUE"""),29)</f>
        <v>29</v>
      </c>
    </row>
    <row r="261" spans="1:8" ht="12.75">
      <c r="A261">
        <f ca="1">IFERROR(__xludf.DUMMYFUNCTION("""COMPUTED_VALUE"""),260)</f>
        <v>260</v>
      </c>
      <c r="B261" t="str">
        <f ca="1">IFERROR(__xludf.DUMMYFUNCTION("""COMPUTED_VALUE"""),"T242")</f>
        <v>T242</v>
      </c>
      <c r="C261" t="str">
        <f ca="1">IFERROR(__xludf.DUMMYFUNCTION("""COMPUTED_VALUE"""),"Danny Lee")</f>
        <v>Danny Lee</v>
      </c>
      <c r="D261">
        <f ca="1">IFERROR(__xludf.DUMMYFUNCTION("""COMPUTED_VALUE"""),15)</f>
        <v>15</v>
      </c>
      <c r="E261">
        <f ca="1">IFERROR(__xludf.DUMMYFUNCTION("""COMPUTED_VALUE"""),30.07)</f>
        <v>30.07</v>
      </c>
      <c r="F261">
        <f ca="1">IFERROR(__xludf.DUMMYFUNCTION("""COMPUTED_VALUE"""),451)</f>
        <v>451</v>
      </c>
      <c r="G261">
        <f ca="1">IFERROR(__xludf.DUMMYFUNCTION("""COMPUTED_VALUE"""),15)</f>
        <v>15</v>
      </c>
      <c r="H261">
        <f ca="1">IFERROR(__xludf.DUMMYFUNCTION("""COMPUTED_VALUE"""),26)</f>
        <v>26</v>
      </c>
    </row>
    <row r="262" spans="1:8" ht="12.75">
      <c r="A262" t="str">
        <f ca="1">IFERROR(__xludf.DUMMYFUNCTION("""COMPUTED_VALUE"""),"T261")</f>
        <v>T261</v>
      </c>
      <c r="B262" t="str">
        <f ca="1">IFERROR(__xludf.DUMMYFUNCTION("""COMPUTED_VALUE"""),"T254")</f>
        <v>T254</v>
      </c>
      <c r="C262" t="str">
        <f ca="1">IFERROR(__xludf.DUMMYFUNCTION("""COMPUTED_VALUE"""),"Zac Blair")</f>
        <v>Zac Blair</v>
      </c>
      <c r="D262">
        <f ca="1">IFERROR(__xludf.DUMMYFUNCTION("""COMPUTED_VALUE"""),10)</f>
        <v>10</v>
      </c>
      <c r="E262">
        <f ca="1">IFERROR(__xludf.DUMMYFUNCTION("""COMPUTED_VALUE"""),30.1)</f>
        <v>30.1</v>
      </c>
      <c r="F262">
        <f ca="1">IFERROR(__xludf.DUMMYFUNCTION("""COMPUTED_VALUE"""),301)</f>
        <v>301</v>
      </c>
      <c r="G262">
        <f ca="1">IFERROR(__xludf.DUMMYFUNCTION("""COMPUTED_VALUE"""),10)</f>
        <v>10</v>
      </c>
      <c r="H262">
        <f ca="1">IFERROR(__xludf.DUMMYFUNCTION("""COMPUTED_VALUE"""),26)</f>
        <v>26</v>
      </c>
    </row>
    <row r="263" spans="1:8" ht="12.75">
      <c r="A263" t="str">
        <f ca="1">IFERROR(__xludf.DUMMYFUNCTION("""COMPUTED_VALUE"""),"T261")</f>
        <v>T261</v>
      </c>
      <c r="B263" t="str">
        <f ca="1">IFERROR(__xludf.DUMMYFUNCTION("""COMPUTED_VALUE"""),"T254")</f>
        <v>T254</v>
      </c>
      <c r="C263" t="str">
        <f ca="1">IFERROR(__xludf.DUMMYFUNCTION("""COMPUTED_VALUE"""),"Brandon Hagy")</f>
        <v>Brandon Hagy</v>
      </c>
      <c r="D263">
        <f ca="1">IFERROR(__xludf.DUMMYFUNCTION("""COMPUTED_VALUE"""),10)</f>
        <v>10</v>
      </c>
      <c r="E263">
        <f ca="1">IFERROR(__xludf.DUMMYFUNCTION("""COMPUTED_VALUE"""),30.1)</f>
        <v>30.1</v>
      </c>
      <c r="F263">
        <f ca="1">IFERROR(__xludf.DUMMYFUNCTION("""COMPUTED_VALUE"""),301)</f>
        <v>301</v>
      </c>
      <c r="G263">
        <f ca="1">IFERROR(__xludf.DUMMYFUNCTION("""COMPUTED_VALUE"""),10)</f>
        <v>10</v>
      </c>
      <c r="H263">
        <f ca="1">IFERROR(__xludf.DUMMYFUNCTION("""COMPUTED_VALUE"""),27)</f>
        <v>27</v>
      </c>
    </row>
    <row r="264" spans="1:8" ht="12.75">
      <c r="A264" t="str">
        <f ca="1">IFERROR(__xludf.DUMMYFUNCTION("""COMPUTED_VALUE"""),"T263")</f>
        <v>T263</v>
      </c>
      <c r="B264" t="str">
        <f ca="1">IFERROR(__xludf.DUMMYFUNCTION("""COMPUTED_VALUE"""),"T256")</f>
        <v>T256</v>
      </c>
      <c r="C264" t="str">
        <f ca="1">IFERROR(__xludf.DUMMYFUNCTION("""COMPUTED_VALUE"""),"Chris Baker")</f>
        <v>Chris Baker</v>
      </c>
      <c r="D264">
        <f ca="1">IFERROR(__xludf.DUMMYFUNCTION("""COMPUTED_VALUE"""),8)</f>
        <v>8</v>
      </c>
      <c r="E264">
        <f ca="1">IFERROR(__xludf.DUMMYFUNCTION("""COMPUTED_VALUE"""),30.13)</f>
        <v>30.13</v>
      </c>
      <c r="F264">
        <f ca="1">IFERROR(__xludf.DUMMYFUNCTION("""COMPUTED_VALUE"""),241)</f>
        <v>241</v>
      </c>
      <c r="G264">
        <f ca="1">IFERROR(__xludf.DUMMYFUNCTION("""COMPUTED_VALUE"""),8)</f>
        <v>8</v>
      </c>
      <c r="H264">
        <f ca="1">IFERROR(__xludf.DUMMYFUNCTION("""COMPUTED_VALUE"""),27)</f>
        <v>27</v>
      </c>
    </row>
    <row r="265" spans="1:8" ht="12.75">
      <c r="A265" t="str">
        <f ca="1">IFERROR(__xludf.DUMMYFUNCTION("""COMPUTED_VALUE"""),"T263")</f>
        <v>T263</v>
      </c>
      <c r="B265" t="str">
        <f ca="1">IFERROR(__xludf.DUMMYFUNCTION("""COMPUTED_VALUE"""),"T256")</f>
        <v>T256</v>
      </c>
      <c r="C265" t="str">
        <f ca="1">IFERROR(__xludf.DUMMYFUNCTION("""COMPUTED_VALUE"""),"Matt Every")</f>
        <v>Matt Every</v>
      </c>
      <c r="D265">
        <f ca="1">IFERROR(__xludf.DUMMYFUNCTION("""COMPUTED_VALUE"""),8)</f>
        <v>8</v>
      </c>
      <c r="E265">
        <f ca="1">IFERROR(__xludf.DUMMYFUNCTION("""COMPUTED_VALUE"""),30.13)</f>
        <v>30.13</v>
      </c>
      <c r="F265">
        <f ca="1">IFERROR(__xludf.DUMMYFUNCTION("""COMPUTED_VALUE"""),241)</f>
        <v>241</v>
      </c>
      <c r="G265">
        <f ca="1">IFERROR(__xludf.DUMMYFUNCTION("""COMPUTED_VALUE"""),8)</f>
        <v>8</v>
      </c>
      <c r="H265">
        <f ca="1">IFERROR(__xludf.DUMMYFUNCTION("""COMPUTED_VALUE"""),28)</f>
        <v>28</v>
      </c>
    </row>
    <row r="266" spans="1:8" ht="12.75">
      <c r="A266">
        <f ca="1">IFERROR(__xludf.DUMMYFUNCTION("""COMPUTED_VALUE"""),265)</f>
        <v>265</v>
      </c>
      <c r="B266">
        <f ca="1">IFERROR(__xludf.DUMMYFUNCTION("""COMPUTED_VALUE"""),260)</f>
        <v>260</v>
      </c>
      <c r="C266" t="str">
        <f ca="1">IFERROR(__xludf.DUMMYFUNCTION("""COMPUTED_VALUE"""),"Joseph Bramlett")</f>
        <v>Joseph Bramlett</v>
      </c>
      <c r="D266">
        <f ca="1">IFERROR(__xludf.DUMMYFUNCTION("""COMPUTED_VALUE"""),18)</f>
        <v>18</v>
      </c>
      <c r="E266">
        <f ca="1">IFERROR(__xludf.DUMMYFUNCTION("""COMPUTED_VALUE"""),30.17)</f>
        <v>30.17</v>
      </c>
      <c r="F266">
        <f ca="1">IFERROR(__xludf.DUMMYFUNCTION("""COMPUTED_VALUE"""),543)</f>
        <v>543</v>
      </c>
      <c r="G266">
        <f ca="1">IFERROR(__xludf.DUMMYFUNCTION("""COMPUTED_VALUE"""),18)</f>
        <v>18</v>
      </c>
      <c r="H266">
        <f ca="1">IFERROR(__xludf.DUMMYFUNCTION("""COMPUTED_VALUE"""),28)</f>
        <v>28</v>
      </c>
    </row>
    <row r="267" spans="1:8" ht="12.75">
      <c r="A267">
        <f ca="1">IFERROR(__xludf.DUMMYFUNCTION("""COMPUTED_VALUE"""),266)</f>
        <v>266</v>
      </c>
      <c r="B267">
        <f ca="1">IFERROR(__xludf.DUMMYFUNCTION("""COMPUTED_VALUE"""),263)</f>
        <v>263</v>
      </c>
      <c r="C267" t="str">
        <f ca="1">IFERROR(__xludf.DUMMYFUNCTION("""COMPUTED_VALUE"""),"Matthew NeSmith")</f>
        <v>Matthew NeSmith</v>
      </c>
      <c r="D267">
        <f ca="1">IFERROR(__xludf.DUMMYFUNCTION("""COMPUTED_VALUE"""),16)</f>
        <v>16</v>
      </c>
      <c r="E267">
        <f ca="1">IFERROR(__xludf.DUMMYFUNCTION("""COMPUTED_VALUE"""),30.19)</f>
        <v>30.19</v>
      </c>
      <c r="F267">
        <f ca="1">IFERROR(__xludf.DUMMYFUNCTION("""COMPUTED_VALUE"""),483)</f>
        <v>483</v>
      </c>
      <c r="G267">
        <f ca="1">IFERROR(__xludf.DUMMYFUNCTION("""COMPUTED_VALUE"""),16)</f>
        <v>16</v>
      </c>
      <c r="H267">
        <f ca="1">IFERROR(__xludf.DUMMYFUNCTION("""COMPUTED_VALUE"""),27)</f>
        <v>27</v>
      </c>
    </row>
    <row r="268" spans="1:8" ht="12.75">
      <c r="A268">
        <f ca="1">IFERROR(__xludf.DUMMYFUNCTION("""COMPUTED_VALUE"""),267)</f>
        <v>267</v>
      </c>
      <c r="B268" t="str">
        <f ca="1">IFERROR(__xludf.DUMMYFUNCTION("""COMPUTED_VALUE"""),"T261")</f>
        <v>T261</v>
      </c>
      <c r="C268" t="str">
        <f ca="1">IFERROR(__xludf.DUMMYFUNCTION("""COMPUTED_VALUE"""),"Marc Leishman")</f>
        <v>Marc Leishman</v>
      </c>
      <c r="D268">
        <f ca="1">IFERROR(__xludf.DUMMYFUNCTION("""COMPUTED_VALUE"""),10)</f>
        <v>10</v>
      </c>
      <c r="E268">
        <f ca="1">IFERROR(__xludf.DUMMYFUNCTION("""COMPUTED_VALUE"""),30.2)</f>
        <v>30.2</v>
      </c>
      <c r="F268">
        <f ca="1">IFERROR(__xludf.DUMMYFUNCTION("""COMPUTED_VALUE"""),302)</f>
        <v>302</v>
      </c>
      <c r="G268">
        <f ca="1">IFERROR(__xludf.DUMMYFUNCTION("""COMPUTED_VALUE"""),10)</f>
        <v>10</v>
      </c>
      <c r="H268">
        <f ca="1">IFERROR(__xludf.DUMMYFUNCTION("""COMPUTED_VALUE"""),28)</f>
        <v>28</v>
      </c>
    </row>
    <row r="269" spans="1:8" ht="12.75">
      <c r="A269">
        <f ca="1">IFERROR(__xludf.DUMMYFUNCTION("""COMPUTED_VALUE"""),268)</f>
        <v>268</v>
      </c>
      <c r="B269">
        <f ca="1">IFERROR(__xludf.DUMMYFUNCTION("""COMPUTED_VALUE"""),259)</f>
        <v>259</v>
      </c>
      <c r="C269" t="str">
        <f ca="1">IFERROR(__xludf.DUMMYFUNCTION("""COMPUTED_VALUE"""),"Keegan Bradley")</f>
        <v>Keegan Bradley</v>
      </c>
      <c r="D269">
        <f ca="1">IFERROR(__xludf.DUMMYFUNCTION("""COMPUTED_VALUE"""),16)</f>
        <v>16</v>
      </c>
      <c r="E269">
        <f ca="1">IFERROR(__xludf.DUMMYFUNCTION("""COMPUTED_VALUE"""),30.25)</f>
        <v>30.25</v>
      </c>
      <c r="F269">
        <f ca="1">IFERROR(__xludf.DUMMYFUNCTION("""COMPUTED_VALUE"""),484)</f>
        <v>484</v>
      </c>
      <c r="G269">
        <f ca="1">IFERROR(__xludf.DUMMYFUNCTION("""COMPUTED_VALUE"""),16)</f>
        <v>16</v>
      </c>
      <c r="H269">
        <f ca="1">IFERROR(__xludf.DUMMYFUNCTION("""COMPUTED_VALUE"""),24)</f>
        <v>24</v>
      </c>
    </row>
    <row r="270" spans="1:8" ht="12.75">
      <c r="A270">
        <f ca="1">IFERROR(__xludf.DUMMYFUNCTION("""COMPUTED_VALUE"""),269)</f>
        <v>269</v>
      </c>
      <c r="B270" t="str">
        <f ca="1">IFERROR(__xludf.DUMMYFUNCTION("""COMPUTED_VALUE"""),"T185")</f>
        <v>T185</v>
      </c>
      <c r="C270" t="str">
        <f ca="1">IFERROR(__xludf.DUMMYFUNCTION("""COMPUTED_VALUE"""),"Sean O'Hair")</f>
        <v>Sean O'Hair</v>
      </c>
      <c r="D270">
        <f ca="1">IFERROR(__xludf.DUMMYFUNCTION("""COMPUTED_VALUE"""),14)</f>
        <v>14</v>
      </c>
      <c r="E270">
        <f ca="1">IFERROR(__xludf.DUMMYFUNCTION("""COMPUTED_VALUE"""),30.29)</f>
        <v>30.29</v>
      </c>
      <c r="F270">
        <f ca="1">IFERROR(__xludf.DUMMYFUNCTION("""COMPUTED_VALUE"""),424)</f>
        <v>424</v>
      </c>
      <c r="G270">
        <f ca="1">IFERROR(__xludf.DUMMYFUNCTION("""COMPUTED_VALUE"""),14)</f>
        <v>14</v>
      </c>
      <c r="H270">
        <f ca="1">IFERROR(__xludf.DUMMYFUNCTION("""COMPUTED_VALUE"""),26)</f>
        <v>26</v>
      </c>
    </row>
    <row r="271" spans="1:8" ht="12.75">
      <c r="A271">
        <f ca="1">IFERROR(__xludf.DUMMYFUNCTION("""COMPUTED_VALUE"""),270)</f>
        <v>270</v>
      </c>
      <c r="B271">
        <f ca="1">IFERROR(__xludf.DUMMYFUNCTION("""COMPUTED_VALUE"""),266)</f>
        <v>266</v>
      </c>
      <c r="C271" t="str">
        <f ca="1">IFERROR(__xludf.DUMMYFUNCTION("""COMPUTED_VALUE"""),"Sung Kang")</f>
        <v>Sung Kang</v>
      </c>
      <c r="D271">
        <f ca="1">IFERROR(__xludf.DUMMYFUNCTION("""COMPUTED_VALUE"""),14)</f>
        <v>14</v>
      </c>
      <c r="E271">
        <f ca="1">IFERROR(__xludf.DUMMYFUNCTION("""COMPUTED_VALUE"""),30.36)</f>
        <v>30.36</v>
      </c>
      <c r="F271">
        <f ca="1">IFERROR(__xludf.DUMMYFUNCTION("""COMPUTED_VALUE"""),425)</f>
        <v>425</v>
      </c>
      <c r="G271">
        <f ca="1">IFERROR(__xludf.DUMMYFUNCTION("""COMPUTED_VALUE"""),14)</f>
        <v>14</v>
      </c>
      <c r="H271">
        <f ca="1">IFERROR(__xludf.DUMMYFUNCTION("""COMPUTED_VALUE"""),26)</f>
        <v>26</v>
      </c>
    </row>
    <row r="272" spans="1:8" ht="12.75">
      <c r="A272" t="str">
        <f ca="1">IFERROR(__xludf.DUMMYFUNCTION("""COMPUTED_VALUE"""),"T271")</f>
        <v>T271</v>
      </c>
      <c r="B272" t="str">
        <f ca="1">IFERROR(__xludf.DUMMYFUNCTION("""COMPUTED_VALUE"""),"T236")</f>
        <v>T236</v>
      </c>
      <c r="C272" t="str">
        <f ca="1">IFERROR(__xludf.DUMMYFUNCTION("""COMPUTED_VALUE"""),"Camilo Villegas")</f>
        <v>Camilo Villegas</v>
      </c>
      <c r="D272">
        <f ca="1">IFERROR(__xludf.DUMMYFUNCTION("""COMPUTED_VALUE"""),14)</f>
        <v>14</v>
      </c>
      <c r="E272">
        <f ca="1">IFERROR(__xludf.DUMMYFUNCTION("""COMPUTED_VALUE"""),30.5)</f>
        <v>30.5</v>
      </c>
      <c r="F272">
        <f ca="1">IFERROR(__xludf.DUMMYFUNCTION("""COMPUTED_VALUE"""),427)</f>
        <v>427</v>
      </c>
      <c r="G272">
        <f ca="1">IFERROR(__xludf.DUMMYFUNCTION("""COMPUTED_VALUE"""),14)</f>
        <v>14</v>
      </c>
      <c r="H272">
        <f ca="1">IFERROR(__xludf.DUMMYFUNCTION("""COMPUTED_VALUE"""),25)</f>
        <v>25</v>
      </c>
    </row>
    <row r="273" spans="1:8" ht="12.75">
      <c r="A273" t="str">
        <f ca="1">IFERROR(__xludf.DUMMYFUNCTION("""COMPUTED_VALUE"""),"T271")</f>
        <v>T271</v>
      </c>
      <c r="B273" t="str">
        <f ca="1">IFERROR(__xludf.DUMMYFUNCTION("""COMPUTED_VALUE"""),"")</f>
        <v/>
      </c>
      <c r="C273" t="str">
        <f ca="1">IFERROR(__xludf.DUMMYFUNCTION("""COMPUTED_VALUE"""),"Justin Harding")</f>
        <v>Justin Harding</v>
      </c>
      <c r="D273">
        <f ca="1">IFERROR(__xludf.DUMMYFUNCTION("""COMPUTED_VALUE"""),6)</f>
        <v>6</v>
      </c>
      <c r="E273">
        <f ca="1">IFERROR(__xludf.DUMMYFUNCTION("""COMPUTED_VALUE"""),30.5)</f>
        <v>30.5</v>
      </c>
      <c r="F273">
        <f ca="1">IFERROR(__xludf.DUMMYFUNCTION("""COMPUTED_VALUE"""),183)</f>
        <v>183</v>
      </c>
      <c r="G273">
        <f ca="1">IFERROR(__xludf.DUMMYFUNCTION("""COMPUTED_VALUE"""),6)</f>
        <v>6</v>
      </c>
      <c r="H273">
        <f ca="1">IFERROR(__xludf.DUMMYFUNCTION("""COMPUTED_VALUE"""),26)</f>
        <v>26</v>
      </c>
    </row>
    <row r="274" spans="1:8" ht="12.75">
      <c r="A274" t="str">
        <f ca="1">IFERROR(__xludf.DUMMYFUNCTION("""COMPUTED_VALUE"""),"T271")</f>
        <v>T271</v>
      </c>
      <c r="B274" t="str">
        <f ca="1">IFERROR(__xludf.DUMMYFUNCTION("""COMPUTED_VALUE"""),"T271")</f>
        <v>T271</v>
      </c>
      <c r="C274" t="str">
        <f ca="1">IFERROR(__xludf.DUMMYFUNCTION("""COMPUTED_VALUE"""),"Zack Sucher")</f>
        <v>Zack Sucher</v>
      </c>
      <c r="D274">
        <f ca="1">IFERROR(__xludf.DUMMYFUNCTION("""COMPUTED_VALUE"""),6)</f>
        <v>6</v>
      </c>
      <c r="E274">
        <f ca="1">IFERROR(__xludf.DUMMYFUNCTION("""COMPUTED_VALUE"""),30.5)</f>
        <v>30.5</v>
      </c>
      <c r="F274">
        <f ca="1">IFERROR(__xludf.DUMMYFUNCTION("""COMPUTED_VALUE"""),183)</f>
        <v>183</v>
      </c>
      <c r="G274">
        <f ca="1">IFERROR(__xludf.DUMMYFUNCTION("""COMPUTED_VALUE"""),6)</f>
        <v>6</v>
      </c>
      <c r="H274">
        <f ca="1">IFERROR(__xludf.DUMMYFUNCTION("""COMPUTED_VALUE"""),28)</f>
        <v>28</v>
      </c>
    </row>
    <row r="275" spans="1:8" ht="12.75">
      <c r="A275" t="str">
        <f ca="1">IFERROR(__xludf.DUMMYFUNCTION("""COMPUTED_VALUE"""),"T271")</f>
        <v>T271</v>
      </c>
      <c r="B275" t="str">
        <f ca="1">IFERROR(__xludf.DUMMYFUNCTION("""COMPUTED_VALUE"""),"T271")</f>
        <v>T271</v>
      </c>
      <c r="C275" t="str">
        <f ca="1">IFERROR(__xludf.DUMMYFUNCTION("""COMPUTED_VALUE"""),"Andy Zhang")</f>
        <v>Andy Zhang</v>
      </c>
      <c r="D275">
        <f ca="1">IFERROR(__xludf.DUMMYFUNCTION("""COMPUTED_VALUE"""),4)</f>
        <v>4</v>
      </c>
      <c r="E275">
        <f ca="1">IFERROR(__xludf.DUMMYFUNCTION("""COMPUTED_VALUE"""),30.5)</f>
        <v>30.5</v>
      </c>
      <c r="F275">
        <f ca="1">IFERROR(__xludf.DUMMYFUNCTION("""COMPUTED_VALUE"""),122)</f>
        <v>122</v>
      </c>
      <c r="G275">
        <f ca="1">IFERROR(__xludf.DUMMYFUNCTION("""COMPUTED_VALUE"""),4)</f>
        <v>4</v>
      </c>
      <c r="H275">
        <f ca="1">IFERROR(__xludf.DUMMYFUNCTION("""COMPUTED_VALUE"""),30)</f>
        <v>30</v>
      </c>
    </row>
    <row r="276" spans="1:8" ht="12.75">
      <c r="A276" t="str">
        <f ca="1">IFERROR(__xludf.DUMMYFUNCTION("""COMPUTED_VALUE"""),"T271")</f>
        <v>T271</v>
      </c>
      <c r="B276" t="str">
        <f ca="1">IFERROR(__xludf.DUMMYFUNCTION("""COMPUTED_VALUE"""),"T271")</f>
        <v>T271</v>
      </c>
      <c r="C276" t="str">
        <f ca="1">IFERROR(__xludf.DUMMYFUNCTION("""COMPUTED_VALUE"""),"Kurt Kitayama")</f>
        <v>Kurt Kitayama</v>
      </c>
      <c r="D276">
        <f ca="1">IFERROR(__xludf.DUMMYFUNCTION("""COMPUTED_VALUE"""),4)</f>
        <v>4</v>
      </c>
      <c r="E276">
        <f ca="1">IFERROR(__xludf.DUMMYFUNCTION("""COMPUTED_VALUE"""),30.5)</f>
        <v>30.5</v>
      </c>
      <c r="F276">
        <f ca="1">IFERROR(__xludf.DUMMYFUNCTION("""COMPUTED_VALUE"""),122)</f>
        <v>122</v>
      </c>
      <c r="G276">
        <f ca="1">IFERROR(__xludf.DUMMYFUNCTION("""COMPUTED_VALUE"""),4)</f>
        <v>4</v>
      </c>
      <c r="H276">
        <f ca="1">IFERROR(__xludf.DUMMYFUNCTION("""COMPUTED_VALUE"""),29)</f>
        <v>29</v>
      </c>
    </row>
    <row r="277" spans="1:8" ht="12.75">
      <c r="A277" t="str">
        <f ca="1">IFERROR(__xludf.DUMMYFUNCTION("""COMPUTED_VALUE"""),"T271")</f>
        <v>T271</v>
      </c>
      <c r="B277" t="str">
        <f ca="1">IFERROR(__xludf.DUMMYFUNCTION("""COMPUTED_VALUE"""),"T271")</f>
        <v>T271</v>
      </c>
      <c r="C277" t="str">
        <f ca="1">IFERROR(__xludf.DUMMYFUNCTION("""COMPUTED_VALUE"""),"Robert MacIntyre")</f>
        <v>Robert MacIntyre</v>
      </c>
      <c r="D277">
        <f ca="1">IFERROR(__xludf.DUMMYFUNCTION("""COMPUTED_VALUE"""),4)</f>
        <v>4</v>
      </c>
      <c r="E277">
        <f ca="1">IFERROR(__xludf.DUMMYFUNCTION("""COMPUTED_VALUE"""),30.5)</f>
        <v>30.5</v>
      </c>
      <c r="F277">
        <f ca="1">IFERROR(__xludf.DUMMYFUNCTION("""COMPUTED_VALUE"""),122)</f>
        <v>122</v>
      </c>
      <c r="G277">
        <f ca="1">IFERROR(__xludf.DUMMYFUNCTION("""COMPUTED_VALUE"""),4)</f>
        <v>4</v>
      </c>
      <c r="H277">
        <f ca="1">IFERROR(__xludf.DUMMYFUNCTION("""COMPUTED_VALUE"""),28)</f>
        <v>28</v>
      </c>
    </row>
    <row r="278" spans="1:8" ht="12.75">
      <c r="A278">
        <f ca="1">IFERROR(__xludf.DUMMYFUNCTION("""COMPUTED_VALUE"""),277)</f>
        <v>277</v>
      </c>
      <c r="B278">
        <f ca="1">IFERROR(__xludf.DUMMYFUNCTION("""COMPUTED_VALUE"""),267)</f>
        <v>267</v>
      </c>
      <c r="C278" t="str">
        <f ca="1">IFERROR(__xludf.DUMMYFUNCTION("""COMPUTED_VALUE"""),"Patrick Rodgers")</f>
        <v>Patrick Rodgers</v>
      </c>
      <c r="D278">
        <f ca="1">IFERROR(__xludf.DUMMYFUNCTION("""COMPUTED_VALUE"""),18)</f>
        <v>18</v>
      </c>
      <c r="E278">
        <f ca="1">IFERROR(__xludf.DUMMYFUNCTION("""COMPUTED_VALUE"""),30.61)</f>
        <v>30.61</v>
      </c>
      <c r="F278">
        <f ca="1">IFERROR(__xludf.DUMMYFUNCTION("""COMPUTED_VALUE"""),551)</f>
        <v>551</v>
      </c>
      <c r="G278">
        <f ca="1">IFERROR(__xludf.DUMMYFUNCTION("""COMPUTED_VALUE"""),18)</f>
        <v>18</v>
      </c>
      <c r="H278">
        <f ca="1">IFERROR(__xludf.DUMMYFUNCTION("""COMPUTED_VALUE"""),25)</f>
        <v>25</v>
      </c>
    </row>
    <row r="279" spans="1:8" ht="12.75">
      <c r="A279" t="str">
        <f ca="1">IFERROR(__xludf.DUMMYFUNCTION("""COMPUTED_VALUE"""),"T278")</f>
        <v>T278</v>
      </c>
      <c r="B279">
        <f ca="1">IFERROR(__xludf.DUMMYFUNCTION("""COMPUTED_VALUE"""),276)</f>
        <v>276</v>
      </c>
      <c r="C279" t="str">
        <f ca="1">IFERROR(__xludf.DUMMYFUNCTION("""COMPUTED_VALUE"""),"Matthias Schwab")</f>
        <v>Matthias Schwab</v>
      </c>
      <c r="D279">
        <f ca="1">IFERROR(__xludf.DUMMYFUNCTION("""COMPUTED_VALUE"""),8)</f>
        <v>8</v>
      </c>
      <c r="E279">
        <f ca="1">IFERROR(__xludf.DUMMYFUNCTION("""COMPUTED_VALUE"""),30.63)</f>
        <v>30.63</v>
      </c>
      <c r="F279">
        <f ca="1">IFERROR(__xludf.DUMMYFUNCTION("""COMPUTED_VALUE"""),245)</f>
        <v>245</v>
      </c>
      <c r="G279">
        <f ca="1">IFERROR(__xludf.DUMMYFUNCTION("""COMPUTED_VALUE"""),8)</f>
        <v>8</v>
      </c>
      <c r="H279">
        <f ca="1">IFERROR(__xludf.DUMMYFUNCTION("""COMPUTED_VALUE"""),27)</f>
        <v>27</v>
      </c>
    </row>
    <row r="280" spans="1:8" ht="12.75">
      <c r="A280" t="str">
        <f ca="1">IFERROR(__xludf.DUMMYFUNCTION("""COMPUTED_VALUE"""),"T278")</f>
        <v>T278</v>
      </c>
      <c r="B280">
        <f ca="1">IFERROR(__xludf.DUMMYFUNCTION("""COMPUTED_VALUE"""),269)</f>
        <v>269</v>
      </c>
      <c r="C280" t="str">
        <f ca="1">IFERROR(__xludf.DUMMYFUNCTION("""COMPUTED_VALUE"""),"Martin Laird")</f>
        <v>Martin Laird</v>
      </c>
      <c r="D280">
        <f ca="1">IFERROR(__xludf.DUMMYFUNCTION("""COMPUTED_VALUE"""),16)</f>
        <v>16</v>
      </c>
      <c r="E280">
        <f ca="1">IFERROR(__xludf.DUMMYFUNCTION("""COMPUTED_VALUE"""),30.63)</f>
        <v>30.63</v>
      </c>
      <c r="F280">
        <f ca="1">IFERROR(__xludf.DUMMYFUNCTION("""COMPUTED_VALUE"""),490)</f>
        <v>490</v>
      </c>
      <c r="G280">
        <f ca="1">IFERROR(__xludf.DUMMYFUNCTION("""COMPUTED_VALUE"""),16)</f>
        <v>16</v>
      </c>
      <c r="H280">
        <f ca="1">IFERROR(__xludf.DUMMYFUNCTION("""COMPUTED_VALUE"""),25)</f>
        <v>25</v>
      </c>
    </row>
    <row r="281" spans="1:8" ht="12.75">
      <c r="A281" t="str">
        <f ca="1">IFERROR(__xludf.DUMMYFUNCTION("""COMPUTED_VALUE"""),"T278")</f>
        <v>T278</v>
      </c>
      <c r="B281" t="str">
        <f ca="1">IFERROR(__xludf.DUMMYFUNCTION("""COMPUTED_VALUE"""),"T271")</f>
        <v>T271</v>
      </c>
      <c r="C281" t="str">
        <f ca="1">IFERROR(__xludf.DUMMYFUNCTION("""COMPUTED_VALUE"""),"Henrik Norlander")</f>
        <v>Henrik Norlander</v>
      </c>
      <c r="D281">
        <f ca="1">IFERROR(__xludf.DUMMYFUNCTION("""COMPUTED_VALUE"""),16)</f>
        <v>16</v>
      </c>
      <c r="E281">
        <f ca="1">IFERROR(__xludf.DUMMYFUNCTION("""COMPUTED_VALUE"""),30.63)</f>
        <v>30.63</v>
      </c>
      <c r="F281">
        <f ca="1">IFERROR(__xludf.DUMMYFUNCTION("""COMPUTED_VALUE"""),490)</f>
        <v>490</v>
      </c>
      <c r="G281">
        <f ca="1">IFERROR(__xludf.DUMMYFUNCTION("""COMPUTED_VALUE"""),16)</f>
        <v>16</v>
      </c>
      <c r="H281">
        <f ca="1">IFERROR(__xludf.DUMMYFUNCTION("""COMPUTED_VALUE"""),26)</f>
        <v>26</v>
      </c>
    </row>
    <row r="282" spans="1:8" ht="12.75">
      <c r="A282" t="str">
        <f ca="1">IFERROR(__xludf.DUMMYFUNCTION("""COMPUTED_VALUE"""),"T281")</f>
        <v>T281</v>
      </c>
      <c r="B282" t="str">
        <f ca="1">IFERROR(__xludf.DUMMYFUNCTION("""COMPUTED_VALUE"""),"T256")</f>
        <v>T256</v>
      </c>
      <c r="C282" t="str">
        <f ca="1">IFERROR(__xludf.DUMMYFUNCTION("""COMPUTED_VALUE"""),"Graham DeLaet")</f>
        <v>Graham DeLaet</v>
      </c>
      <c r="D282">
        <f ca="1">IFERROR(__xludf.DUMMYFUNCTION("""COMPUTED_VALUE"""),9)</f>
        <v>9</v>
      </c>
      <c r="E282">
        <f ca="1">IFERROR(__xludf.DUMMYFUNCTION("""COMPUTED_VALUE"""),30.67)</f>
        <v>30.67</v>
      </c>
      <c r="F282">
        <f ca="1">IFERROR(__xludf.DUMMYFUNCTION("""COMPUTED_VALUE"""),276)</f>
        <v>276</v>
      </c>
      <c r="G282">
        <f ca="1">IFERROR(__xludf.DUMMYFUNCTION("""COMPUTED_VALUE"""),9)</f>
        <v>9</v>
      </c>
      <c r="H282">
        <f ca="1">IFERROR(__xludf.DUMMYFUNCTION("""COMPUTED_VALUE"""),26)</f>
        <v>26</v>
      </c>
    </row>
    <row r="283" spans="1:8" ht="12.75">
      <c r="A283" t="str">
        <f ca="1">IFERROR(__xludf.DUMMYFUNCTION("""COMPUTED_VALUE"""),"T281")</f>
        <v>T281</v>
      </c>
      <c r="B283" t="str">
        <f ca="1">IFERROR(__xludf.DUMMYFUNCTION("""COMPUTED_VALUE"""),"T277")</f>
        <v>T277</v>
      </c>
      <c r="C283" t="str">
        <f ca="1">IFERROR(__xludf.DUMMYFUNCTION("""COMPUTED_VALUE"""),"Robert Garrigus")</f>
        <v>Robert Garrigus</v>
      </c>
      <c r="D283">
        <f ca="1">IFERROR(__xludf.DUMMYFUNCTION("""COMPUTED_VALUE"""),3)</f>
        <v>3</v>
      </c>
      <c r="E283">
        <f ca="1">IFERROR(__xludf.DUMMYFUNCTION("""COMPUTED_VALUE"""),30.67)</f>
        <v>30.67</v>
      </c>
      <c r="F283">
        <f ca="1">IFERROR(__xludf.DUMMYFUNCTION("""COMPUTED_VALUE"""),92)</f>
        <v>92</v>
      </c>
      <c r="G283">
        <f ca="1">IFERROR(__xludf.DUMMYFUNCTION("""COMPUTED_VALUE"""),3)</f>
        <v>3</v>
      </c>
      <c r="H283">
        <f ca="1">IFERROR(__xludf.DUMMYFUNCTION("""COMPUTED_VALUE"""),30)</f>
        <v>30</v>
      </c>
    </row>
    <row r="284" spans="1:8" ht="12.75">
      <c r="A284" t="str">
        <f ca="1">IFERROR(__xludf.DUMMYFUNCTION("""COMPUTED_VALUE"""),"T281")</f>
        <v>T281</v>
      </c>
      <c r="B284" t="str">
        <f ca="1">IFERROR(__xludf.DUMMYFUNCTION("""COMPUTED_VALUE"""),"T277")</f>
        <v>T277</v>
      </c>
      <c r="C284" t="str">
        <f ca="1">IFERROR(__xludf.DUMMYFUNCTION("""COMPUTED_VALUE"""),"Rasmus Hojgaard")</f>
        <v>Rasmus Hojgaard</v>
      </c>
      <c r="D284">
        <f ca="1">IFERROR(__xludf.DUMMYFUNCTION("""COMPUTED_VALUE"""),6)</f>
        <v>6</v>
      </c>
      <c r="E284">
        <f ca="1">IFERROR(__xludf.DUMMYFUNCTION("""COMPUTED_VALUE"""),30.67)</f>
        <v>30.67</v>
      </c>
      <c r="F284">
        <f ca="1">IFERROR(__xludf.DUMMYFUNCTION("""COMPUTED_VALUE"""),184)</f>
        <v>184</v>
      </c>
      <c r="G284">
        <f ca="1">IFERROR(__xludf.DUMMYFUNCTION("""COMPUTED_VALUE"""),6)</f>
        <v>6</v>
      </c>
      <c r="H284">
        <f ca="1">IFERROR(__xludf.DUMMYFUNCTION("""COMPUTED_VALUE"""),26)</f>
        <v>26</v>
      </c>
    </row>
    <row r="285" spans="1:8" ht="12.75">
      <c r="A285">
        <f ca="1">IFERROR(__xludf.DUMMYFUNCTION("""COMPUTED_VALUE"""),284)</f>
        <v>284</v>
      </c>
      <c r="B285">
        <f ca="1">IFERROR(__xludf.DUMMYFUNCTION("""COMPUTED_VALUE"""),279)</f>
        <v>279</v>
      </c>
      <c r="C285" t="str">
        <f ca="1">IFERROR(__xludf.DUMMYFUNCTION("""COMPUTED_VALUE"""),"Romain Langasque")</f>
        <v>Romain Langasque</v>
      </c>
      <c r="D285">
        <f ca="1">IFERROR(__xludf.DUMMYFUNCTION("""COMPUTED_VALUE"""),4)</f>
        <v>4</v>
      </c>
      <c r="E285">
        <f ca="1">IFERROR(__xludf.DUMMYFUNCTION("""COMPUTED_VALUE"""),31)</f>
        <v>31</v>
      </c>
      <c r="F285">
        <f ca="1">IFERROR(__xludf.DUMMYFUNCTION("""COMPUTED_VALUE"""),124)</f>
        <v>124</v>
      </c>
      <c r="G285">
        <f ca="1">IFERROR(__xludf.DUMMYFUNCTION("""COMPUTED_VALUE"""),4)</f>
        <v>4</v>
      </c>
      <c r="H285">
        <f ca="1">IFERROR(__xludf.DUMMYFUNCTION("""COMPUTED_VALUE"""),28)</f>
        <v>28</v>
      </c>
    </row>
    <row r="286" spans="1:8" ht="12.75">
      <c r="A286">
        <f ca="1">IFERROR(__xludf.DUMMYFUNCTION("""COMPUTED_VALUE"""),285)</f>
        <v>285</v>
      </c>
      <c r="B286">
        <f ca="1">IFERROR(__xludf.DUMMYFUNCTION("""COMPUTED_VALUE"""),280)</f>
        <v>280</v>
      </c>
      <c r="C286" t="str">
        <f ca="1">IFERROR(__xludf.DUMMYFUNCTION("""COMPUTED_VALUE"""),"Bernd Wiesberger")</f>
        <v>Bernd Wiesberger</v>
      </c>
      <c r="D286">
        <f ca="1">IFERROR(__xludf.DUMMYFUNCTION("""COMPUTED_VALUE"""),4)</f>
        <v>4</v>
      </c>
      <c r="E286">
        <f ca="1">IFERROR(__xludf.DUMMYFUNCTION("""COMPUTED_VALUE"""),31.5)</f>
        <v>31.5</v>
      </c>
      <c r="F286">
        <f ca="1">IFERROR(__xludf.DUMMYFUNCTION("""COMPUTED_VALUE"""),126)</f>
        <v>126</v>
      </c>
      <c r="G286">
        <f ca="1">IFERROR(__xludf.DUMMYFUNCTION("""COMPUTED_VALUE"""),4)</f>
        <v>4</v>
      </c>
      <c r="H286">
        <f ca="1">IFERROR(__xludf.DUMMYFUNCTION("""COMPUTED_VALUE"""),26)</f>
        <v>26</v>
      </c>
    </row>
    <row r="287" spans="1:8" ht="12.75">
      <c r="A287">
        <f ca="1">IFERROR(__xludf.DUMMYFUNCTION("""COMPUTED_VALUE"""),286)</f>
        <v>286</v>
      </c>
      <c r="B287">
        <f ca="1">IFERROR(__xludf.DUMMYFUNCTION("""COMPUTED_VALUE"""),281)</f>
        <v>281</v>
      </c>
      <c r="C287" t="str">
        <f ca="1">IFERROR(__xludf.DUMMYFUNCTION("""COMPUTED_VALUE"""),"Matt Wallace")</f>
        <v>Matt Wallace</v>
      </c>
      <c r="D287">
        <f ca="1">IFERROR(__xludf.DUMMYFUNCTION("""COMPUTED_VALUE"""),4)</f>
        <v>4</v>
      </c>
      <c r="E287">
        <f ca="1">IFERROR(__xludf.DUMMYFUNCTION("""COMPUTED_VALUE"""),31.75)</f>
        <v>31.75</v>
      </c>
      <c r="F287">
        <f ca="1">IFERROR(__xludf.DUMMYFUNCTION("""COMPUTED_VALUE"""),127)</f>
        <v>127</v>
      </c>
      <c r="G287">
        <f ca="1">IFERROR(__xludf.DUMMYFUNCTION("""COMPUTED_VALUE"""),4)</f>
        <v>4</v>
      </c>
      <c r="H287">
        <f ca="1">IFERROR(__xludf.DUMMYFUNCTION("""COMPUTED_VALUE"""),30)</f>
        <v>30</v>
      </c>
    </row>
    <row r="288" spans="1:8" ht="12.75">
      <c r="A288" t="str">
        <f ca="1">IFERROR(__xludf.DUMMYFUNCTION("""COMPUTED_VALUE"""),"T287")</f>
        <v>T287</v>
      </c>
      <c r="B288" t="str">
        <f ca="1">IFERROR(__xludf.DUMMYFUNCTION("""COMPUTED_VALUE"""),"T282")</f>
        <v>T282</v>
      </c>
      <c r="C288" t="str">
        <f ca="1">IFERROR(__xludf.DUMMYFUNCTION("""COMPUTED_VALUE"""),"Jazz Janewattananond")</f>
        <v>Jazz Janewattananond</v>
      </c>
      <c r="D288">
        <f ca="1">IFERROR(__xludf.DUMMYFUNCTION("""COMPUTED_VALUE"""),6)</f>
        <v>6</v>
      </c>
      <c r="E288">
        <f ca="1">IFERROR(__xludf.DUMMYFUNCTION("""COMPUTED_VALUE"""),32)</f>
        <v>32</v>
      </c>
      <c r="F288">
        <f ca="1">IFERROR(__xludf.DUMMYFUNCTION("""COMPUTED_VALUE"""),192)</f>
        <v>192</v>
      </c>
      <c r="G288">
        <f ca="1">IFERROR(__xludf.DUMMYFUNCTION("""COMPUTED_VALUE"""),6)</f>
        <v>6</v>
      </c>
      <c r="H288">
        <f ca="1">IFERROR(__xludf.DUMMYFUNCTION("""COMPUTED_VALUE"""),31)</f>
        <v>31</v>
      </c>
    </row>
    <row r="289" spans="1:8" ht="12.75">
      <c r="A289" t="str">
        <f ca="1">IFERROR(__xludf.DUMMYFUNCTION("""COMPUTED_VALUE"""),"T287")</f>
        <v>T287</v>
      </c>
      <c r="B289" t="str">
        <f ca="1">IFERROR(__xludf.DUMMYFUNCTION("""COMPUTED_VALUE"""),"T282")</f>
        <v>T282</v>
      </c>
      <c r="C289" t="str">
        <f ca="1">IFERROR(__xludf.DUMMYFUNCTION("""COMPUTED_VALUE"""),"Thomas Pieters")</f>
        <v>Thomas Pieters</v>
      </c>
      <c r="D289">
        <f ca="1">IFERROR(__xludf.DUMMYFUNCTION("""COMPUTED_VALUE"""),4)</f>
        <v>4</v>
      </c>
      <c r="E289">
        <f ca="1">IFERROR(__xludf.DUMMYFUNCTION("""COMPUTED_VALUE"""),32)</f>
        <v>32</v>
      </c>
      <c r="F289">
        <f ca="1">IFERROR(__xludf.DUMMYFUNCTION("""COMPUTED_VALUE"""),128)</f>
        <v>128</v>
      </c>
      <c r="G289">
        <f ca="1">IFERROR(__xludf.DUMMYFUNCTION("""COMPUTED_VALUE"""),4)</f>
        <v>4</v>
      </c>
      <c r="H289">
        <f ca="1">IFERROR(__xludf.DUMMYFUNCTION("""COMPUTED_VALUE"""),28)</f>
        <v>28</v>
      </c>
    </row>
    <row r="290" spans="1:8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IFERROR(__xludf.DUMMYFUNCTION("""COMPUTED_VALUE"""),"John Pak")</f>
        <v>John Pak</v>
      </c>
      <c r="D290">
        <f ca="1">IFERROR(__xludf.DUMMYFUNCTION("""COMPUTED_VALUE"""),4)</f>
        <v>4</v>
      </c>
      <c r="E290">
        <f ca="1">IFERROR(__xludf.DUMMYFUNCTION("""COMPUTED_VALUE"""),32.5)</f>
        <v>32.5</v>
      </c>
      <c r="F290">
        <f ca="1">IFERROR(__xludf.DUMMYFUNCTION("""COMPUTED_VALUE"""),130)</f>
        <v>130</v>
      </c>
      <c r="G290">
        <f ca="1">IFERROR(__xludf.DUMMYFUNCTION("""COMPUTED_VALUE"""),4)</f>
        <v>4</v>
      </c>
      <c r="H290">
        <f ca="1">IFERROR(__xludf.DUMMYFUNCTION("""COMPUTED_VALUE"""),30)</f>
        <v>30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E271"/>
  <sheetViews>
    <sheetView workbookViewId="0"/>
  </sheetViews>
  <sheetFormatPr defaultColWidth="14.42578125" defaultRowHeight="15.75" customHeight="1"/>
  <sheetData>
    <row r="1" spans="1:5" ht="15.75" customHeight="1">
      <c r="A1" t="str">
        <f ca="1">IFERROR(__xludf.DUMMYFUNCTION("importhtml(""http://www.pgatour.com/stats/stat.02428.html"",""table"",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IFERROR(__xludf.DUMMYFUNCTION("""COMPUTED_VALUE"""),"EVENTS")</f>
        <v>EVENTS</v>
      </c>
      <c r="E1" t="str">
        <f ca="1">IFERROR(__xludf.DUMMYFUNCTION("""COMPUTED_VALUE"""),"TOTAL")</f>
        <v>TOTAL</v>
      </c>
    </row>
    <row r="2" spans="1:5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IFERROR(__xludf.DUMMYFUNCTION("""COMPUTED_VALUE"""),"Parker McLachlin")</f>
        <v>Parker McLachlin</v>
      </c>
      <c r="D2">
        <f ca="1">IFERROR(__xludf.DUMMYFUNCTION("""COMPUTED_VALUE"""),2)</f>
        <v>2</v>
      </c>
      <c r="E2">
        <f ca="1">IFERROR(__xludf.DUMMYFUNCTION("""COMPUTED_VALUE"""),60.4)</f>
        <v>60.4</v>
      </c>
    </row>
    <row r="3" spans="1:5" ht="15.75" customHeight="1">
      <c r="A3">
        <f ca="1">IFERROR(__xludf.DUMMYFUNCTION("""COMPUTED_VALUE"""),2)</f>
        <v>2</v>
      </c>
      <c r="B3" t="str">
        <f ca="1">IFERROR(__xludf.DUMMYFUNCTION("""COMPUTED_VALUE"""),"")</f>
        <v/>
      </c>
      <c r="C3" t="str">
        <f ca="1">IFERROR(__xludf.DUMMYFUNCTION("""COMPUTED_VALUE"""),"Dawie van der Walt")</f>
        <v>Dawie van der Walt</v>
      </c>
      <c r="D3">
        <f ca="1">IFERROR(__xludf.DUMMYFUNCTION("""COMPUTED_VALUE"""),1)</f>
        <v>1</v>
      </c>
      <c r="E3">
        <f ca="1">IFERROR(__xludf.DUMMYFUNCTION("""COMPUTED_VALUE"""),74.9)</f>
        <v>74.900000000000006</v>
      </c>
    </row>
    <row r="4" spans="1:5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IFERROR(__xludf.DUMMYFUNCTION("""COMPUTED_VALUE"""),"Jason Kokrak")</f>
        <v>Jason Kokrak</v>
      </c>
      <c r="D4">
        <f ca="1">IFERROR(__xludf.DUMMYFUNCTION("""COMPUTED_VALUE"""),4)</f>
        <v>4</v>
      </c>
      <c r="E4">
        <f ca="1">IFERROR(__xludf.DUMMYFUNCTION("""COMPUTED_VALUE"""),75.8)</f>
        <v>75.8</v>
      </c>
    </row>
    <row r="5" spans="1:5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IFERROR(__xludf.DUMMYFUNCTION("""COMPUTED_VALUE"""),"Rhein Gibson")</f>
        <v>Rhein Gibson</v>
      </c>
      <c r="D5">
        <f ca="1">IFERROR(__xludf.DUMMYFUNCTION("""COMPUTED_VALUE"""),3)</f>
        <v>3</v>
      </c>
      <c r="E5">
        <f ca="1">IFERROR(__xludf.DUMMYFUNCTION("""COMPUTED_VALUE"""),99.5)</f>
        <v>99.5</v>
      </c>
    </row>
    <row r="6" spans="1:5" ht="15.75" customHeight="1">
      <c r="A6">
        <f ca="1">IFERROR(__xludf.DUMMYFUNCTION("""COMPUTED_VALUE"""),5)</f>
        <v>5</v>
      </c>
      <c r="B6">
        <f ca="1">IFERROR(__xludf.DUMMYFUNCTION("""COMPUTED_VALUE"""),8)</f>
        <v>8</v>
      </c>
      <c r="C6" t="str">
        <f ca="1">IFERROR(__xludf.DUMMYFUNCTION("""COMPUTED_VALUE"""),"Lucas Herbert")</f>
        <v>Lucas Herbert</v>
      </c>
      <c r="D6">
        <f ca="1">IFERROR(__xludf.DUMMYFUNCTION("""COMPUTED_VALUE"""),1)</f>
        <v>1</v>
      </c>
      <c r="E6">
        <f ca="1">IFERROR(__xludf.DUMMYFUNCTION("""COMPUTED_VALUE"""),104.3)</f>
        <v>104.3</v>
      </c>
    </row>
    <row r="7" spans="1:5" ht="15.75" customHeight="1">
      <c r="A7">
        <f ca="1">IFERROR(__xludf.DUMMYFUNCTION("""COMPUTED_VALUE"""),6)</f>
        <v>6</v>
      </c>
      <c r="B7">
        <f ca="1">IFERROR(__xludf.DUMMYFUNCTION("""COMPUTED_VALUE"""),5)</f>
        <v>5</v>
      </c>
      <c r="C7" t="str">
        <f ca="1">IFERROR(__xludf.DUMMYFUNCTION("""COMPUTED_VALUE"""),"Peter Malnati")</f>
        <v>Peter Malnati</v>
      </c>
      <c r="D7">
        <f ca="1">IFERROR(__xludf.DUMMYFUNCTION("""COMPUTED_VALUE"""),5)</f>
        <v>5</v>
      </c>
      <c r="E7">
        <f ca="1">IFERROR(__xludf.DUMMYFUNCTION("""COMPUTED_VALUE"""),107.8)</f>
        <v>107.8</v>
      </c>
    </row>
    <row r="8" spans="1:5" ht="15.75" customHeight="1">
      <c r="A8">
        <f ca="1">IFERROR(__xludf.DUMMYFUNCTION("""COMPUTED_VALUE"""),7)</f>
        <v>7</v>
      </c>
      <c r="B8">
        <f ca="1">IFERROR(__xludf.DUMMYFUNCTION("""COMPUTED_VALUE"""),6)</f>
        <v>6</v>
      </c>
      <c r="C8" t="str">
        <f ca="1">IFERROR(__xludf.DUMMYFUNCTION("""COMPUTED_VALUE"""),"Brad Kennedy")</f>
        <v>Brad Kennedy</v>
      </c>
      <c r="D8">
        <f ca="1">IFERROR(__xludf.DUMMYFUNCTION("""COMPUTED_VALUE"""),1)</f>
        <v>1</v>
      </c>
      <c r="E8">
        <f ca="1">IFERROR(__xludf.DUMMYFUNCTION("""COMPUTED_VALUE"""),108.4)</f>
        <v>108.4</v>
      </c>
    </row>
    <row r="9" spans="1:5" ht="15.75" customHeight="1">
      <c r="A9">
        <f ca="1">IFERROR(__xludf.DUMMYFUNCTION("""COMPUTED_VALUE"""),8)</f>
        <v>8</v>
      </c>
      <c r="B9">
        <f ca="1">IFERROR(__xludf.DUMMYFUNCTION("""COMPUTED_VALUE"""),4)</f>
        <v>4</v>
      </c>
      <c r="C9" t="str">
        <f ca="1">IFERROR(__xludf.DUMMYFUNCTION("""COMPUTED_VALUE"""),"David Hearn")</f>
        <v>David Hearn</v>
      </c>
      <c r="D9">
        <f ca="1">IFERROR(__xludf.DUMMYFUNCTION("""COMPUTED_VALUE"""),5)</f>
        <v>5</v>
      </c>
      <c r="E9">
        <f ca="1">IFERROR(__xludf.DUMMYFUNCTION("""COMPUTED_VALUE"""),112.6)</f>
        <v>112.6</v>
      </c>
    </row>
    <row r="10" spans="1:5" ht="15.75" customHeight="1">
      <c r="A10">
        <f ca="1">IFERROR(__xludf.DUMMYFUNCTION("""COMPUTED_VALUE"""),9)</f>
        <v>9</v>
      </c>
      <c r="B10">
        <f ca="1">IFERROR(__xludf.DUMMYFUNCTION("""COMPUTED_VALUE"""),9)</f>
        <v>9</v>
      </c>
      <c r="C10" t="str">
        <f ca="1">IFERROR(__xludf.DUMMYFUNCTION("""COMPUTED_VALUE"""),"Shaun Norris")</f>
        <v>Shaun Norris</v>
      </c>
      <c r="D10">
        <f ca="1">IFERROR(__xludf.DUMMYFUNCTION("""COMPUTED_VALUE"""),2)</f>
        <v>2</v>
      </c>
      <c r="E10">
        <f ca="1">IFERROR(__xludf.DUMMYFUNCTION("""COMPUTED_VALUE"""),116.8)</f>
        <v>116.8</v>
      </c>
    </row>
    <row r="11" spans="1:5" ht="15.75" customHeight="1">
      <c r="A11">
        <f ca="1">IFERROR(__xludf.DUMMYFUNCTION("""COMPUTED_VALUE"""),10)</f>
        <v>10</v>
      </c>
      <c r="B11">
        <f ca="1">IFERROR(__xludf.DUMMYFUNCTION("""COMPUTED_VALUE"""),52)</f>
        <v>52</v>
      </c>
      <c r="C11" t="str">
        <f ca="1">IFERROR(__xludf.DUMMYFUNCTION("""COMPUTED_VALUE"""),"Mackenzie Hughes")</f>
        <v>Mackenzie Hughes</v>
      </c>
      <c r="D11">
        <f ca="1">IFERROR(__xludf.DUMMYFUNCTION("""COMPUTED_VALUE"""),5)</f>
        <v>5</v>
      </c>
      <c r="E11">
        <f ca="1">IFERROR(__xludf.DUMMYFUNCTION("""COMPUTED_VALUE"""),118.2)</f>
        <v>118.2</v>
      </c>
    </row>
    <row r="12" spans="1:5" ht="15.75" customHeight="1">
      <c r="A12">
        <f ca="1">IFERROR(__xludf.DUMMYFUNCTION("""COMPUTED_VALUE"""),11)</f>
        <v>11</v>
      </c>
      <c r="B12">
        <f ca="1">IFERROR(__xludf.DUMMYFUNCTION("""COMPUTED_VALUE"""),13)</f>
        <v>13</v>
      </c>
      <c r="C12" t="str">
        <f ca="1">IFERROR(__xludf.DUMMYFUNCTION("""COMPUTED_VALUE"""),"Takumi Kanaya")</f>
        <v>Takumi Kanaya</v>
      </c>
      <c r="D12">
        <f ca="1">IFERROR(__xludf.DUMMYFUNCTION("""COMPUTED_VALUE"""),2)</f>
        <v>2</v>
      </c>
      <c r="E12">
        <f ca="1">IFERROR(__xludf.DUMMYFUNCTION("""COMPUTED_VALUE"""),121.3)</f>
        <v>121.3</v>
      </c>
    </row>
    <row r="13" spans="1:5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IFERROR(__xludf.DUMMYFUNCTION("""COMPUTED_VALUE"""),"Patrick Reed")</f>
        <v>Patrick Reed</v>
      </c>
      <c r="D13">
        <f ca="1">IFERROR(__xludf.DUMMYFUNCTION("""COMPUTED_VALUE"""),2)</f>
        <v>2</v>
      </c>
      <c r="E13">
        <f ca="1">IFERROR(__xludf.DUMMYFUNCTION("""COMPUTED_VALUE"""),123.4)</f>
        <v>123.4</v>
      </c>
    </row>
    <row r="14" spans="1:5" ht="15.75" customHeight="1">
      <c r="A14">
        <f ca="1">IFERROR(__xludf.DUMMYFUNCTION("""COMPUTED_VALUE"""),13)</f>
        <v>13</v>
      </c>
      <c r="B14">
        <f ca="1">IFERROR(__xludf.DUMMYFUNCTION("""COMPUTED_VALUE"""),28)</f>
        <v>28</v>
      </c>
      <c r="C14" t="str">
        <f ca="1">IFERROR(__xludf.DUMMYFUNCTION("""COMPUTED_VALUE"""),"Tyrrell Hatton")</f>
        <v>Tyrrell Hatton</v>
      </c>
      <c r="D14">
        <f ca="1">IFERROR(__xludf.DUMMYFUNCTION("""COMPUTED_VALUE"""),4)</f>
        <v>4</v>
      </c>
      <c r="E14">
        <f ca="1">IFERROR(__xludf.DUMMYFUNCTION("""COMPUTED_VALUE"""),124.8)</f>
        <v>124.8</v>
      </c>
    </row>
    <row r="15" spans="1:5" ht="15.75" customHeight="1">
      <c r="A15">
        <f ca="1">IFERROR(__xludf.DUMMYFUNCTION("""COMPUTED_VALUE"""),14)</f>
        <v>14</v>
      </c>
      <c r="B15">
        <f ca="1">IFERROR(__xludf.DUMMYFUNCTION("""COMPUTED_VALUE"""),16)</f>
        <v>16</v>
      </c>
      <c r="C15" t="str">
        <f ca="1">IFERROR(__xludf.DUMMYFUNCTION("""COMPUTED_VALUE"""),"Cameron Smith")</f>
        <v>Cameron Smith</v>
      </c>
      <c r="D15">
        <f ca="1">IFERROR(__xludf.DUMMYFUNCTION("""COMPUTED_VALUE"""),4)</f>
        <v>4</v>
      </c>
      <c r="E15">
        <f ca="1">IFERROR(__xludf.DUMMYFUNCTION("""COMPUTED_VALUE"""),126.5)</f>
        <v>126.5</v>
      </c>
    </row>
    <row r="16" spans="1:5" ht="15.75" customHeight="1">
      <c r="A16">
        <f ca="1">IFERROR(__xludf.DUMMYFUNCTION("""COMPUTED_VALUE"""),15)</f>
        <v>15</v>
      </c>
      <c r="B16">
        <f ca="1">IFERROR(__xludf.DUMMYFUNCTION("""COMPUTED_VALUE"""),12)</f>
        <v>12</v>
      </c>
      <c r="C16" t="str">
        <f ca="1">IFERROR(__xludf.DUMMYFUNCTION("""COMPUTED_VALUE"""),"Xander Schauffele")</f>
        <v>Xander Schauffele</v>
      </c>
      <c r="D16">
        <f ca="1">IFERROR(__xludf.DUMMYFUNCTION("""COMPUTED_VALUE"""),3)</f>
        <v>3</v>
      </c>
      <c r="E16">
        <f ca="1">IFERROR(__xludf.DUMMYFUNCTION("""COMPUTED_VALUE"""),126.7)</f>
        <v>126.7</v>
      </c>
    </row>
    <row r="17" spans="1:5" ht="15.75" customHeight="1">
      <c r="A17">
        <f ca="1">IFERROR(__xludf.DUMMYFUNCTION("""COMPUTED_VALUE"""),16)</f>
        <v>16</v>
      </c>
      <c r="B17">
        <f ca="1">IFERROR(__xludf.DUMMYFUNCTION("""COMPUTED_VALUE"""),17)</f>
        <v>17</v>
      </c>
      <c r="C17" t="str">
        <f ca="1">IFERROR(__xludf.DUMMYFUNCTION("""COMPUTED_VALUE"""),"Michael Gligic")</f>
        <v>Michael Gligic</v>
      </c>
      <c r="D17">
        <f ca="1">IFERROR(__xludf.DUMMYFUNCTION("""COMPUTED_VALUE"""),5)</f>
        <v>5</v>
      </c>
      <c r="E17">
        <f ca="1">IFERROR(__xludf.DUMMYFUNCTION("""COMPUTED_VALUE"""),129.8)</f>
        <v>129.80000000000001</v>
      </c>
    </row>
    <row r="18" spans="1:5" ht="15.75" customHeight="1">
      <c r="A18">
        <f ca="1">IFERROR(__xludf.DUMMYFUNCTION("""COMPUTED_VALUE"""),17)</f>
        <v>17</v>
      </c>
      <c r="B18">
        <f ca="1">IFERROR(__xludf.DUMMYFUNCTION("""COMPUTED_VALUE"""),15)</f>
        <v>15</v>
      </c>
      <c r="C18" t="str">
        <f ca="1">IFERROR(__xludf.DUMMYFUNCTION("""COMPUTED_VALUE"""),"Ben Taylor")</f>
        <v>Ben Taylor</v>
      </c>
      <c r="D18">
        <f ca="1">IFERROR(__xludf.DUMMYFUNCTION("""COMPUTED_VALUE"""),3)</f>
        <v>3</v>
      </c>
      <c r="E18">
        <f ca="1">IFERROR(__xludf.DUMMYFUNCTION("""COMPUTED_VALUE"""),130.5)</f>
        <v>130.5</v>
      </c>
    </row>
    <row r="19" spans="1:5" ht="15.75" customHeight="1">
      <c r="A19">
        <f ca="1">IFERROR(__xludf.DUMMYFUNCTION("""COMPUTED_VALUE"""),18)</f>
        <v>18</v>
      </c>
      <c r="B19">
        <f ca="1">IFERROR(__xludf.DUMMYFUNCTION("""COMPUTED_VALUE"""),20)</f>
        <v>20</v>
      </c>
      <c r="C19" t="str">
        <f ca="1">IFERROR(__xludf.DUMMYFUNCTION("""COMPUTED_VALUE"""),"Sahith Theegala")</f>
        <v>Sahith Theegala</v>
      </c>
      <c r="D19">
        <f ca="1">IFERROR(__xludf.DUMMYFUNCTION("""COMPUTED_VALUE"""),2)</f>
        <v>2</v>
      </c>
      <c r="E19">
        <f ca="1">IFERROR(__xludf.DUMMYFUNCTION("""COMPUTED_VALUE"""),135.5)</f>
        <v>135.5</v>
      </c>
    </row>
    <row r="20" spans="1:5" ht="15.75" customHeight="1">
      <c r="A20">
        <f ca="1">IFERROR(__xludf.DUMMYFUNCTION("""COMPUTED_VALUE"""),19)</f>
        <v>19</v>
      </c>
      <c r="B20">
        <f ca="1">IFERROR(__xludf.DUMMYFUNCTION("""COMPUTED_VALUE"""),21)</f>
        <v>21</v>
      </c>
      <c r="C20" t="str">
        <f ca="1">IFERROR(__xludf.DUMMYFUNCTION("""COMPUTED_VALUE"""),"Justin Thomas")</f>
        <v>Justin Thomas</v>
      </c>
      <c r="D20">
        <f ca="1">IFERROR(__xludf.DUMMYFUNCTION("""COMPUTED_VALUE"""),3)</f>
        <v>3</v>
      </c>
      <c r="E20">
        <f ca="1">IFERROR(__xludf.DUMMYFUNCTION("""COMPUTED_VALUE"""),136.3)</f>
        <v>136.30000000000001</v>
      </c>
    </row>
    <row r="21" spans="1:5" ht="15.75" customHeight="1">
      <c r="A21">
        <f ca="1">IFERROR(__xludf.DUMMYFUNCTION("""COMPUTED_VALUE"""),20)</f>
        <v>20</v>
      </c>
      <c r="B21">
        <f ca="1">IFERROR(__xludf.DUMMYFUNCTION("""COMPUTED_VALUE"""),18)</f>
        <v>18</v>
      </c>
      <c r="C21" t="str">
        <f ca="1">IFERROR(__xludf.DUMMYFUNCTION("""COMPUTED_VALUE"""),"Hanbyeol Kim")</f>
        <v>Hanbyeol Kim</v>
      </c>
      <c r="D21">
        <f ca="1">IFERROR(__xludf.DUMMYFUNCTION("""COMPUTED_VALUE"""),1)</f>
        <v>1</v>
      </c>
      <c r="E21">
        <f ca="1">IFERROR(__xludf.DUMMYFUNCTION("""COMPUTED_VALUE"""),140.1)</f>
        <v>140.1</v>
      </c>
    </row>
    <row r="22" spans="1:5" ht="15.75" customHeight="1">
      <c r="A22">
        <f ca="1">IFERROR(__xludf.DUMMYFUNCTION("""COMPUTED_VALUE"""),21)</f>
        <v>21</v>
      </c>
      <c r="B22">
        <f ca="1">IFERROR(__xludf.DUMMYFUNCTION("""COMPUTED_VALUE"""),22)</f>
        <v>22</v>
      </c>
      <c r="C22" t="str">
        <f ca="1">IFERROR(__xludf.DUMMYFUNCTION("""COMPUTED_VALUE"""),"Seonghyeon Kim")</f>
        <v>Seonghyeon Kim</v>
      </c>
      <c r="D22">
        <f ca="1">IFERROR(__xludf.DUMMYFUNCTION("""COMPUTED_VALUE"""),1)</f>
        <v>1</v>
      </c>
      <c r="E22">
        <f ca="1">IFERROR(__xludf.DUMMYFUNCTION("""COMPUTED_VALUE"""),141.8)</f>
        <v>141.80000000000001</v>
      </c>
    </row>
    <row r="23" spans="1:5" ht="15.75" customHeight="1">
      <c r="A23">
        <f ca="1">IFERROR(__xludf.DUMMYFUNCTION("""COMPUTED_VALUE"""),22)</f>
        <v>22</v>
      </c>
      <c r="B23">
        <f ca="1">IFERROR(__xludf.DUMMYFUNCTION("""COMPUTED_VALUE"""),27)</f>
        <v>27</v>
      </c>
      <c r="C23" t="str">
        <f ca="1">IFERROR(__xludf.DUMMYFUNCTION("""COMPUTED_VALUE"""),"Taylor Pendrith")</f>
        <v>Taylor Pendrith</v>
      </c>
      <c r="D23">
        <f ca="1">IFERROR(__xludf.DUMMYFUNCTION("""COMPUTED_VALUE"""),1)</f>
        <v>1</v>
      </c>
      <c r="E23">
        <f ca="1">IFERROR(__xludf.DUMMYFUNCTION("""COMPUTED_VALUE"""),142.8)</f>
        <v>142.80000000000001</v>
      </c>
    </row>
    <row r="24" spans="1:5" ht="15.75" customHeight="1">
      <c r="A24">
        <f ca="1">IFERROR(__xludf.DUMMYFUNCTION("""COMPUTED_VALUE"""),23)</f>
        <v>23</v>
      </c>
      <c r="B24">
        <f ca="1">IFERROR(__xludf.DUMMYFUNCTION("""COMPUTED_VALUE"""),19)</f>
        <v>19</v>
      </c>
      <c r="C24" t="str">
        <f ca="1">IFERROR(__xludf.DUMMYFUNCTION("""COMPUTED_VALUE"""),"Mikumu Horikawa")</f>
        <v>Mikumu Horikawa</v>
      </c>
      <c r="D24">
        <f ca="1">IFERROR(__xludf.DUMMYFUNCTION("""COMPUTED_VALUE"""),1)</f>
        <v>1</v>
      </c>
      <c r="E24">
        <f ca="1">IFERROR(__xludf.DUMMYFUNCTION("""COMPUTED_VALUE"""),143.8)</f>
        <v>143.80000000000001</v>
      </c>
    </row>
    <row r="25" spans="1:5" ht="15.75" customHeight="1">
      <c r="A25">
        <f ca="1">IFERROR(__xludf.DUMMYFUNCTION("""COMPUTED_VALUE"""),24)</f>
        <v>24</v>
      </c>
      <c r="B25">
        <f ca="1">IFERROR(__xludf.DUMMYFUNCTION("""COMPUTED_VALUE"""),25)</f>
        <v>25</v>
      </c>
      <c r="C25" t="str">
        <f ca="1">IFERROR(__xludf.DUMMYFUNCTION("""COMPUTED_VALUE"""),"Harris English")</f>
        <v>Harris English</v>
      </c>
      <c r="D25">
        <f ca="1">IFERROR(__xludf.DUMMYFUNCTION("""COMPUTED_VALUE"""),4)</f>
        <v>4</v>
      </c>
      <c r="E25">
        <f ca="1">IFERROR(__xludf.DUMMYFUNCTION("""COMPUTED_VALUE"""),144.4)</f>
        <v>144.4</v>
      </c>
    </row>
    <row r="26" spans="1:5" ht="15.75" customHeight="1">
      <c r="A26">
        <f ca="1">IFERROR(__xludf.DUMMYFUNCTION("""COMPUTED_VALUE"""),25)</f>
        <v>25</v>
      </c>
      <c r="B26">
        <f ca="1">IFERROR(__xludf.DUMMYFUNCTION("""COMPUTED_VALUE"""),23)</f>
        <v>23</v>
      </c>
      <c r="C26" t="str">
        <f ca="1">IFERROR(__xludf.DUMMYFUNCTION("""COMPUTED_VALUE"""),"Matthew Wolff")</f>
        <v>Matthew Wolff</v>
      </c>
      <c r="D26">
        <f ca="1">IFERROR(__xludf.DUMMYFUNCTION("""COMPUTED_VALUE"""),4)</f>
        <v>4</v>
      </c>
      <c r="E26">
        <f ca="1">IFERROR(__xludf.DUMMYFUNCTION("""COMPUTED_VALUE"""),146.3)</f>
        <v>146.30000000000001</v>
      </c>
    </row>
    <row r="27" spans="1:5" ht="15.75" customHeight="1">
      <c r="A27">
        <f ca="1">IFERROR(__xludf.DUMMYFUNCTION("""COMPUTED_VALUE"""),26)</f>
        <v>26</v>
      </c>
      <c r="B27">
        <f ca="1">IFERROR(__xludf.DUMMYFUNCTION("""COMPUTED_VALUE"""),7)</f>
        <v>7</v>
      </c>
      <c r="C27" t="str">
        <f ca="1">IFERROR(__xludf.DUMMYFUNCTION("""COMPUTED_VALUE"""),"Cameron Tringale")</f>
        <v>Cameron Tringale</v>
      </c>
      <c r="D27">
        <f ca="1">IFERROR(__xludf.DUMMYFUNCTION("""COMPUTED_VALUE"""),5)</f>
        <v>5</v>
      </c>
      <c r="E27">
        <f ca="1">IFERROR(__xludf.DUMMYFUNCTION("""COMPUTED_VALUE"""),151.3)</f>
        <v>151.30000000000001</v>
      </c>
    </row>
    <row r="28" spans="1:5" ht="15.75" customHeight="1">
      <c r="A28">
        <f ca="1">IFERROR(__xludf.DUMMYFUNCTION("""COMPUTED_VALUE"""),27)</f>
        <v>27</v>
      </c>
      <c r="B28">
        <f ca="1">IFERROR(__xludf.DUMMYFUNCTION("""COMPUTED_VALUE"""),10)</f>
        <v>10</v>
      </c>
      <c r="C28" t="str">
        <f ca="1">IFERROR(__xludf.DUMMYFUNCTION("""COMPUTED_VALUE"""),"Kevin Streelman")</f>
        <v>Kevin Streelman</v>
      </c>
      <c r="D28">
        <f ca="1">IFERROR(__xludf.DUMMYFUNCTION("""COMPUTED_VALUE"""),6)</f>
        <v>6</v>
      </c>
      <c r="E28">
        <f ca="1">IFERROR(__xludf.DUMMYFUNCTION("""COMPUTED_VALUE"""),153.1)</f>
        <v>153.1</v>
      </c>
    </row>
    <row r="29" spans="1:5" ht="15.75" customHeight="1">
      <c r="A29">
        <f ca="1">IFERROR(__xludf.DUMMYFUNCTION("""COMPUTED_VALUE"""),28)</f>
        <v>28</v>
      </c>
      <c r="B29">
        <f ca="1">IFERROR(__xludf.DUMMYFUNCTION("""COMPUTED_VALUE"""),70)</f>
        <v>70</v>
      </c>
      <c r="C29" t="str">
        <f ca="1">IFERROR(__xludf.DUMMYFUNCTION("""COMPUTED_VALUE"""),"Kristoffer Ventura")</f>
        <v>Kristoffer Ventura</v>
      </c>
      <c r="D29">
        <f ca="1">IFERROR(__xludf.DUMMYFUNCTION("""COMPUTED_VALUE"""),6)</f>
        <v>6</v>
      </c>
      <c r="E29">
        <f ca="1">IFERROR(__xludf.DUMMYFUNCTION("""COMPUTED_VALUE"""),156.2)</f>
        <v>156.19999999999999</v>
      </c>
    </row>
    <row r="30" spans="1:5" ht="15.75" customHeight="1">
      <c r="A30">
        <f ca="1">IFERROR(__xludf.DUMMYFUNCTION("""COMPUTED_VALUE"""),29)</f>
        <v>29</v>
      </c>
      <c r="B30">
        <f ca="1">IFERROR(__xludf.DUMMYFUNCTION("""COMPUTED_VALUE"""),24)</f>
        <v>24</v>
      </c>
      <c r="C30" t="str">
        <f ca="1">IFERROR(__xludf.DUMMYFUNCTION("""COMPUTED_VALUE"""),"Sam Ryder")</f>
        <v>Sam Ryder</v>
      </c>
      <c r="D30">
        <f ca="1">IFERROR(__xludf.DUMMYFUNCTION("""COMPUTED_VALUE"""),5)</f>
        <v>5</v>
      </c>
      <c r="E30">
        <f ca="1">IFERROR(__xludf.DUMMYFUNCTION("""COMPUTED_VALUE"""),159.5)</f>
        <v>159.5</v>
      </c>
    </row>
    <row r="31" spans="1:5" ht="12.75">
      <c r="A31">
        <f ca="1">IFERROR(__xludf.DUMMYFUNCTION("""COMPUTED_VALUE"""),30)</f>
        <v>30</v>
      </c>
      <c r="B31">
        <f ca="1">IFERROR(__xludf.DUMMYFUNCTION("""COMPUTED_VALUE"""),80)</f>
        <v>80</v>
      </c>
      <c r="C31" t="str">
        <f ca="1">IFERROR(__xludf.DUMMYFUNCTION("""COMPUTED_VALUE"""),"Austin Cook")</f>
        <v>Austin Cook</v>
      </c>
      <c r="D31">
        <f ca="1">IFERROR(__xludf.DUMMYFUNCTION("""COMPUTED_VALUE"""),4)</f>
        <v>4</v>
      </c>
      <c r="E31">
        <f ca="1">IFERROR(__xludf.DUMMYFUNCTION("""COMPUTED_VALUE"""),160.7)</f>
        <v>160.69999999999999</v>
      </c>
    </row>
    <row r="32" spans="1:5" ht="12.75">
      <c r="A32" t="str">
        <f ca="1">IFERROR(__xludf.DUMMYFUNCTION("""COMPUTED_VALUE"""),"T31")</f>
        <v>T31</v>
      </c>
      <c r="B32">
        <f ca="1">IFERROR(__xludf.DUMMYFUNCTION("""COMPUTED_VALUE"""),34)</f>
        <v>34</v>
      </c>
      <c r="C32" t="str">
        <f ca="1">IFERROR(__xludf.DUMMYFUNCTION("""COMPUTED_VALUE"""),"Robert Streb")</f>
        <v>Robert Streb</v>
      </c>
      <c r="D32">
        <f ca="1">IFERROR(__xludf.DUMMYFUNCTION("""COMPUTED_VALUE"""),4)</f>
        <v>4</v>
      </c>
      <c r="E32">
        <f ca="1">IFERROR(__xludf.DUMMYFUNCTION("""COMPUTED_VALUE"""),165.3)</f>
        <v>165.3</v>
      </c>
    </row>
    <row r="33" spans="1:5" ht="12.75">
      <c r="A33" t="str">
        <f ca="1">IFERROR(__xludf.DUMMYFUNCTION("""COMPUTED_VALUE"""),"T31")</f>
        <v>T31</v>
      </c>
      <c r="B33">
        <f ca="1">IFERROR(__xludf.DUMMYFUNCTION("""COMPUTED_VALUE"""),14)</f>
        <v>14</v>
      </c>
      <c r="C33" t="str">
        <f ca="1">IFERROR(__xludf.DUMMYFUNCTION("""COMPUTED_VALUE"""),"Patton Kizzire")</f>
        <v>Patton Kizzire</v>
      </c>
      <c r="D33">
        <f ca="1">IFERROR(__xludf.DUMMYFUNCTION("""COMPUTED_VALUE"""),5)</f>
        <v>5</v>
      </c>
      <c r="E33">
        <f ca="1">IFERROR(__xludf.DUMMYFUNCTION("""COMPUTED_VALUE"""),165.3)</f>
        <v>165.3</v>
      </c>
    </row>
    <row r="34" spans="1:5" ht="12.75">
      <c r="A34">
        <f ca="1">IFERROR(__xludf.DUMMYFUNCTION("""COMPUTED_VALUE"""),33)</f>
        <v>33</v>
      </c>
      <c r="B34">
        <f ca="1">IFERROR(__xludf.DUMMYFUNCTION("""COMPUTED_VALUE"""),43)</f>
        <v>43</v>
      </c>
      <c r="C34" t="str">
        <f ca="1">IFERROR(__xludf.DUMMYFUNCTION("""COMPUTED_VALUE"""),"Isaiah Salinda")</f>
        <v>Isaiah Salinda</v>
      </c>
      <c r="D34">
        <f ca="1">IFERROR(__xludf.DUMMYFUNCTION("""COMPUTED_VALUE"""),2)</f>
        <v>2</v>
      </c>
      <c r="E34">
        <f ca="1">IFERROR(__xludf.DUMMYFUNCTION("""COMPUTED_VALUE"""),167.1)</f>
        <v>167.1</v>
      </c>
    </row>
    <row r="35" spans="1:5" ht="12.75">
      <c r="A35">
        <f ca="1">IFERROR(__xludf.DUMMYFUNCTION("""COMPUTED_VALUE"""),34)</f>
        <v>34</v>
      </c>
      <c r="B35">
        <f ca="1">IFERROR(__xludf.DUMMYFUNCTION("""COMPUTED_VALUE"""),49)</f>
        <v>49</v>
      </c>
      <c r="C35" t="str">
        <f ca="1">IFERROR(__xludf.DUMMYFUNCTION("""COMPUTED_VALUE"""),"Tom Hoge")</f>
        <v>Tom Hoge</v>
      </c>
      <c r="D35">
        <f ca="1">IFERROR(__xludf.DUMMYFUNCTION("""COMPUTED_VALUE"""),6)</f>
        <v>6</v>
      </c>
      <c r="E35">
        <f ca="1">IFERROR(__xludf.DUMMYFUNCTION("""COMPUTED_VALUE"""),168.8)</f>
        <v>168.8</v>
      </c>
    </row>
    <row r="36" spans="1:5" ht="12.75">
      <c r="A36">
        <f ca="1">IFERROR(__xludf.DUMMYFUNCTION("""COMPUTED_VALUE"""),35)</f>
        <v>35</v>
      </c>
      <c r="B36">
        <f ca="1">IFERROR(__xludf.DUMMYFUNCTION("""COMPUTED_VALUE"""),26)</f>
        <v>26</v>
      </c>
      <c r="C36" t="str">
        <f ca="1">IFERROR(__xludf.DUMMYFUNCTION("""COMPUTED_VALUE"""),"J.T. Poston")</f>
        <v>J.T. Poston</v>
      </c>
      <c r="D36">
        <f ca="1">IFERROR(__xludf.DUMMYFUNCTION("""COMPUTED_VALUE"""),5)</f>
        <v>5</v>
      </c>
      <c r="E36">
        <f ca="1">IFERROR(__xludf.DUMMYFUNCTION("""COMPUTED_VALUE"""),169.5)</f>
        <v>169.5</v>
      </c>
    </row>
    <row r="37" spans="1:5" ht="12.75">
      <c r="A37">
        <f ca="1">IFERROR(__xludf.DUMMYFUNCTION("""COMPUTED_VALUE"""),36)</f>
        <v>36</v>
      </c>
      <c r="B37">
        <f ca="1">IFERROR(__xludf.DUMMYFUNCTION("""COMPUTED_VALUE"""),36)</f>
        <v>36</v>
      </c>
      <c r="C37" t="str">
        <f ca="1">IFERROR(__xludf.DUMMYFUNCTION("""COMPUTED_VALUE"""),"Wesley Bryan")</f>
        <v>Wesley Bryan</v>
      </c>
      <c r="D37">
        <f ca="1">IFERROR(__xludf.DUMMYFUNCTION("""COMPUTED_VALUE"""),3)</f>
        <v>3</v>
      </c>
      <c r="E37">
        <f ca="1">IFERROR(__xludf.DUMMYFUNCTION("""COMPUTED_VALUE"""),172.4)</f>
        <v>172.4</v>
      </c>
    </row>
    <row r="38" spans="1:5" ht="12.75">
      <c r="A38">
        <f ca="1">IFERROR(__xludf.DUMMYFUNCTION("""COMPUTED_VALUE"""),37)</f>
        <v>37</v>
      </c>
      <c r="B38">
        <f ca="1">IFERROR(__xludf.DUMMYFUNCTION("""COMPUTED_VALUE"""),31)</f>
        <v>31</v>
      </c>
      <c r="C38" t="str">
        <f ca="1">IFERROR(__xludf.DUMMYFUNCTION("""COMPUTED_VALUE"""),"Russell Henley")</f>
        <v>Russell Henley</v>
      </c>
      <c r="D38">
        <f ca="1">IFERROR(__xludf.DUMMYFUNCTION("""COMPUTED_VALUE"""),4)</f>
        <v>4</v>
      </c>
      <c r="E38">
        <f ca="1">IFERROR(__xludf.DUMMYFUNCTION("""COMPUTED_VALUE"""),173.6)</f>
        <v>173.6</v>
      </c>
    </row>
    <row r="39" spans="1:5" ht="12.75">
      <c r="A39">
        <f ca="1">IFERROR(__xludf.DUMMYFUNCTION("""COMPUTED_VALUE"""),38)</f>
        <v>38</v>
      </c>
      <c r="B39">
        <f ca="1">IFERROR(__xludf.DUMMYFUNCTION("""COMPUTED_VALUE"""),39)</f>
        <v>39</v>
      </c>
      <c r="C39" t="str">
        <f ca="1">IFERROR(__xludf.DUMMYFUNCTION("""COMPUTED_VALUE"""),"Richy Werenski")</f>
        <v>Richy Werenski</v>
      </c>
      <c r="D39">
        <f ca="1">IFERROR(__xludf.DUMMYFUNCTION("""COMPUTED_VALUE"""),5)</f>
        <v>5</v>
      </c>
      <c r="E39">
        <f ca="1">IFERROR(__xludf.DUMMYFUNCTION("""COMPUTED_VALUE"""),174.6)</f>
        <v>174.6</v>
      </c>
    </row>
    <row r="40" spans="1:5" ht="12.75">
      <c r="A40">
        <f ca="1">IFERROR(__xludf.DUMMYFUNCTION("""COMPUTED_VALUE"""),39)</f>
        <v>39</v>
      </c>
      <c r="B40">
        <f ca="1">IFERROR(__xludf.DUMMYFUNCTION("""COMPUTED_VALUE"""),38)</f>
        <v>38</v>
      </c>
      <c r="C40" t="str">
        <f ca="1">IFERROR(__xludf.DUMMYFUNCTION("""COMPUTED_VALUE"""),"Hank Lebioda")</f>
        <v>Hank Lebioda</v>
      </c>
      <c r="D40">
        <f ca="1">IFERROR(__xludf.DUMMYFUNCTION("""COMPUTED_VALUE"""),4)</f>
        <v>4</v>
      </c>
      <c r="E40">
        <f ca="1">IFERROR(__xludf.DUMMYFUNCTION("""COMPUTED_VALUE"""),175.3)</f>
        <v>175.3</v>
      </c>
    </row>
    <row r="41" spans="1:5" ht="12.75">
      <c r="A41">
        <f ca="1">IFERROR(__xludf.DUMMYFUNCTION("""COMPUTED_VALUE"""),40)</f>
        <v>40</v>
      </c>
      <c r="B41">
        <f ca="1">IFERROR(__xludf.DUMMYFUNCTION("""COMPUTED_VALUE"""),37)</f>
        <v>37</v>
      </c>
      <c r="C41" t="str">
        <f ca="1">IFERROR(__xludf.DUMMYFUNCTION("""COMPUTED_VALUE"""),"Anirban Lahiri")</f>
        <v>Anirban Lahiri</v>
      </c>
      <c r="D41">
        <f ca="1">IFERROR(__xludf.DUMMYFUNCTION("""COMPUTED_VALUE"""),4)</f>
        <v>4</v>
      </c>
      <c r="E41">
        <f ca="1">IFERROR(__xludf.DUMMYFUNCTION("""COMPUTED_VALUE"""),176.5)</f>
        <v>176.5</v>
      </c>
    </row>
    <row r="42" spans="1:5" ht="12.75">
      <c r="A42">
        <f ca="1">IFERROR(__xludf.DUMMYFUNCTION("""COMPUTED_VALUE"""),41)</f>
        <v>41</v>
      </c>
      <c r="B42">
        <f ca="1">IFERROR(__xludf.DUMMYFUNCTION("""COMPUTED_VALUE"""),46)</f>
        <v>46</v>
      </c>
      <c r="C42" t="str">
        <f ca="1">IFERROR(__xludf.DUMMYFUNCTION("""COMPUTED_VALUE"""),"Harry Higgs")</f>
        <v>Harry Higgs</v>
      </c>
      <c r="D42">
        <f ca="1">IFERROR(__xludf.DUMMYFUNCTION("""COMPUTED_VALUE"""),4)</f>
        <v>4</v>
      </c>
      <c r="E42">
        <f ca="1">IFERROR(__xludf.DUMMYFUNCTION("""COMPUTED_VALUE"""),177.3)</f>
        <v>177.3</v>
      </c>
    </row>
    <row r="43" spans="1:5" ht="12.75">
      <c r="A43">
        <f ca="1">IFERROR(__xludf.DUMMYFUNCTION("""COMPUTED_VALUE"""),42)</f>
        <v>42</v>
      </c>
      <c r="B43">
        <f ca="1">IFERROR(__xludf.DUMMYFUNCTION("""COMPUTED_VALUE"""),33)</f>
        <v>33</v>
      </c>
      <c r="C43" t="str">
        <f ca="1">IFERROR(__xludf.DUMMYFUNCTION("""COMPUTED_VALUE"""),"Brice Garnett")</f>
        <v>Brice Garnett</v>
      </c>
      <c r="D43">
        <f ca="1">IFERROR(__xludf.DUMMYFUNCTION("""COMPUTED_VALUE"""),6)</f>
        <v>6</v>
      </c>
      <c r="E43">
        <f ca="1">IFERROR(__xludf.DUMMYFUNCTION("""COMPUTED_VALUE"""),178.7)</f>
        <v>178.7</v>
      </c>
    </row>
    <row r="44" spans="1:5" ht="12.75">
      <c r="A44">
        <f ca="1">IFERROR(__xludf.DUMMYFUNCTION("""COMPUTED_VALUE"""),43)</f>
        <v>43</v>
      </c>
      <c r="B44">
        <f ca="1">IFERROR(__xludf.DUMMYFUNCTION("""COMPUTED_VALUE"""),40)</f>
        <v>40</v>
      </c>
      <c r="C44" t="str">
        <f ca="1">IFERROR(__xludf.DUMMYFUNCTION("""COMPUTED_VALUE"""),"Cameron Percy")</f>
        <v>Cameron Percy</v>
      </c>
      <c r="D44">
        <f ca="1">IFERROR(__xludf.DUMMYFUNCTION("""COMPUTED_VALUE"""),4)</f>
        <v>4</v>
      </c>
      <c r="E44">
        <f ca="1">IFERROR(__xludf.DUMMYFUNCTION("""COMPUTED_VALUE"""),179.3)</f>
        <v>179.3</v>
      </c>
    </row>
    <row r="45" spans="1:5" ht="12.75">
      <c r="A45">
        <f ca="1">IFERROR(__xludf.DUMMYFUNCTION("""COMPUTED_VALUE"""),44)</f>
        <v>44</v>
      </c>
      <c r="B45">
        <f ca="1">IFERROR(__xludf.DUMMYFUNCTION("""COMPUTED_VALUE"""),30)</f>
        <v>30</v>
      </c>
      <c r="C45" t="str">
        <f ca="1">IFERROR(__xludf.DUMMYFUNCTION("""COMPUTED_VALUE"""),"Charl Schwartzel")</f>
        <v>Charl Schwartzel</v>
      </c>
      <c r="D45">
        <f ca="1">IFERROR(__xludf.DUMMYFUNCTION("""COMPUTED_VALUE"""),4)</f>
        <v>4</v>
      </c>
      <c r="E45">
        <f ca="1">IFERROR(__xludf.DUMMYFUNCTION("""COMPUTED_VALUE"""),180.4)</f>
        <v>180.4</v>
      </c>
    </row>
    <row r="46" spans="1:5" ht="12.75">
      <c r="A46">
        <f ca="1">IFERROR(__xludf.DUMMYFUNCTION("""COMPUTED_VALUE"""),45)</f>
        <v>45</v>
      </c>
      <c r="B46">
        <f ca="1">IFERROR(__xludf.DUMMYFUNCTION("""COMPUTED_VALUE"""),48)</f>
        <v>48</v>
      </c>
      <c r="C46" t="str">
        <f ca="1">IFERROR(__xludf.DUMMYFUNCTION("""COMPUTED_VALUE"""),"Justin Rose")</f>
        <v>Justin Rose</v>
      </c>
      <c r="D46">
        <f ca="1">IFERROR(__xludf.DUMMYFUNCTION("""COMPUTED_VALUE"""),3)</f>
        <v>3</v>
      </c>
      <c r="E46">
        <f ca="1">IFERROR(__xludf.DUMMYFUNCTION("""COMPUTED_VALUE"""),180.9)</f>
        <v>180.9</v>
      </c>
    </row>
    <row r="47" spans="1:5" ht="12.75">
      <c r="A47">
        <f ca="1">IFERROR(__xludf.DUMMYFUNCTION("""COMPUTED_VALUE"""),46)</f>
        <v>46</v>
      </c>
      <c r="B47">
        <f ca="1">IFERROR(__xludf.DUMMYFUNCTION("""COMPUTED_VALUE"""),47)</f>
        <v>47</v>
      </c>
      <c r="C47" t="str">
        <f ca="1">IFERROR(__xludf.DUMMYFUNCTION("""COMPUTED_VALUE"""),"Rikuya Hoshino")</f>
        <v>Rikuya Hoshino</v>
      </c>
      <c r="D47">
        <f ca="1">IFERROR(__xludf.DUMMYFUNCTION("""COMPUTED_VALUE"""),1)</f>
        <v>1</v>
      </c>
      <c r="E47">
        <f ca="1">IFERROR(__xludf.DUMMYFUNCTION("""COMPUTED_VALUE"""),181.3)</f>
        <v>181.3</v>
      </c>
    </row>
    <row r="48" spans="1:5" ht="12.75">
      <c r="A48">
        <f ca="1">IFERROR(__xludf.DUMMYFUNCTION("""COMPUTED_VALUE"""),47)</f>
        <v>47</v>
      </c>
      <c r="B48">
        <f ca="1">IFERROR(__xludf.DUMMYFUNCTION("""COMPUTED_VALUE"""),42)</f>
        <v>42</v>
      </c>
      <c r="C48" t="str">
        <f ca="1">IFERROR(__xludf.DUMMYFUNCTION("""COMPUTED_VALUE"""),"Justin Suh")</f>
        <v>Justin Suh</v>
      </c>
      <c r="D48">
        <f ca="1">IFERROR(__xludf.DUMMYFUNCTION("""COMPUTED_VALUE"""),3)</f>
        <v>3</v>
      </c>
      <c r="E48">
        <f ca="1">IFERROR(__xludf.DUMMYFUNCTION("""COMPUTED_VALUE"""),184.7)</f>
        <v>184.7</v>
      </c>
    </row>
    <row r="49" spans="1:5" ht="12.75">
      <c r="A49">
        <f ca="1">IFERROR(__xludf.DUMMYFUNCTION("""COMPUTED_VALUE"""),48)</f>
        <v>48</v>
      </c>
      <c r="B49">
        <f ca="1">IFERROR(__xludf.DUMMYFUNCTION("""COMPUTED_VALUE"""),29)</f>
        <v>29</v>
      </c>
      <c r="C49" t="str">
        <f ca="1">IFERROR(__xludf.DUMMYFUNCTION("""COMPUTED_VALUE"""),"Andrew Putnam")</f>
        <v>Andrew Putnam</v>
      </c>
      <c r="D49">
        <f ca="1">IFERROR(__xludf.DUMMYFUNCTION("""COMPUTED_VALUE"""),6)</f>
        <v>6</v>
      </c>
      <c r="E49">
        <f ca="1">IFERROR(__xludf.DUMMYFUNCTION("""COMPUTED_VALUE"""),185.7)</f>
        <v>185.7</v>
      </c>
    </row>
    <row r="50" spans="1:5" ht="12.75">
      <c r="A50">
        <f ca="1">IFERROR(__xludf.DUMMYFUNCTION("""COMPUTED_VALUE"""),49)</f>
        <v>49</v>
      </c>
      <c r="B50">
        <f ca="1">IFERROR(__xludf.DUMMYFUNCTION("""COMPUTED_VALUE"""),51)</f>
        <v>51</v>
      </c>
      <c r="C50" t="str">
        <f ca="1">IFERROR(__xludf.DUMMYFUNCTION("""COMPUTED_VALUE"""),"Ian Poulter")</f>
        <v>Ian Poulter</v>
      </c>
      <c r="D50">
        <f ca="1">IFERROR(__xludf.DUMMYFUNCTION("""COMPUTED_VALUE"""),2)</f>
        <v>2</v>
      </c>
      <c r="E50">
        <f ca="1">IFERROR(__xludf.DUMMYFUNCTION("""COMPUTED_VALUE"""),187)</f>
        <v>187</v>
      </c>
    </row>
    <row r="51" spans="1:5" ht="12.75">
      <c r="A51">
        <f ca="1">IFERROR(__xludf.DUMMYFUNCTION("""COMPUTED_VALUE"""),50)</f>
        <v>50</v>
      </c>
      <c r="B51">
        <f ca="1">IFERROR(__xludf.DUMMYFUNCTION("""COMPUTED_VALUE"""),58)</f>
        <v>58</v>
      </c>
      <c r="C51" t="str">
        <f ca="1">IFERROR(__xludf.DUMMYFUNCTION("""COMPUTED_VALUE"""),"Louis Oosthuizen")</f>
        <v>Louis Oosthuizen</v>
      </c>
      <c r="D51">
        <f ca="1">IFERROR(__xludf.DUMMYFUNCTION("""COMPUTED_VALUE"""),3)</f>
        <v>3</v>
      </c>
      <c r="E51">
        <f ca="1">IFERROR(__xludf.DUMMYFUNCTION("""COMPUTED_VALUE"""),187.1)</f>
        <v>187.1</v>
      </c>
    </row>
    <row r="52" spans="1:5" ht="12.75">
      <c r="A52">
        <f ca="1">IFERROR(__xludf.DUMMYFUNCTION("""COMPUTED_VALUE"""),51)</f>
        <v>51</v>
      </c>
      <c r="B52">
        <f ca="1">IFERROR(__xludf.DUMMYFUNCTION("""COMPUTED_VALUE"""),59)</f>
        <v>59</v>
      </c>
      <c r="C52" t="str">
        <f ca="1">IFERROR(__xludf.DUMMYFUNCTION("""COMPUTED_VALUE"""),"Joel Dahmen")</f>
        <v>Joel Dahmen</v>
      </c>
      <c r="D52">
        <f ca="1">IFERROR(__xludf.DUMMYFUNCTION("""COMPUTED_VALUE"""),5)</f>
        <v>5</v>
      </c>
      <c r="E52">
        <f ca="1">IFERROR(__xludf.DUMMYFUNCTION("""COMPUTED_VALUE"""),190.8)</f>
        <v>190.8</v>
      </c>
    </row>
    <row r="53" spans="1:5" ht="12.75">
      <c r="A53" t="str">
        <f ca="1">IFERROR(__xludf.DUMMYFUNCTION("""COMPUTED_VALUE"""),"T52")</f>
        <v>T52</v>
      </c>
      <c r="B53">
        <f ca="1">IFERROR(__xludf.DUMMYFUNCTION("""COMPUTED_VALUE"""),50)</f>
        <v>50</v>
      </c>
      <c r="C53" t="str">
        <f ca="1">IFERROR(__xludf.DUMMYFUNCTION("""COMPUTED_VALUE"""),"Roger Sloan")</f>
        <v>Roger Sloan</v>
      </c>
      <c r="D53">
        <f ca="1">IFERROR(__xludf.DUMMYFUNCTION("""COMPUTED_VALUE"""),4)</f>
        <v>4</v>
      </c>
      <c r="E53">
        <f ca="1">IFERROR(__xludf.DUMMYFUNCTION("""COMPUTED_VALUE"""),190.9)</f>
        <v>190.9</v>
      </c>
    </row>
    <row r="54" spans="1:5" ht="12.75">
      <c r="A54" t="str">
        <f ca="1">IFERROR(__xludf.DUMMYFUNCTION("""COMPUTED_VALUE"""),"T52")</f>
        <v>T52</v>
      </c>
      <c r="B54">
        <f ca="1">IFERROR(__xludf.DUMMYFUNCTION("""COMPUTED_VALUE"""),53)</f>
        <v>53</v>
      </c>
      <c r="C54" t="str">
        <f ca="1">IFERROR(__xludf.DUMMYFUNCTION("""COMPUTED_VALUE"""),"Jaekyeong Lee")</f>
        <v>Jaekyeong Lee</v>
      </c>
      <c r="D54">
        <f ca="1">IFERROR(__xludf.DUMMYFUNCTION("""COMPUTED_VALUE"""),1)</f>
        <v>1</v>
      </c>
      <c r="E54">
        <f ca="1">IFERROR(__xludf.DUMMYFUNCTION("""COMPUTED_VALUE"""),190.9)</f>
        <v>190.9</v>
      </c>
    </row>
    <row r="55" spans="1:5" ht="12.75">
      <c r="A55">
        <f ca="1">IFERROR(__xludf.DUMMYFUNCTION("""COMPUTED_VALUE"""),54)</f>
        <v>54</v>
      </c>
      <c r="B55">
        <f ca="1">IFERROR(__xludf.DUMMYFUNCTION("""COMPUTED_VALUE"""),55)</f>
        <v>55</v>
      </c>
      <c r="C55" t="str">
        <f ca="1">IFERROR(__xludf.DUMMYFUNCTION("""COMPUTED_VALUE"""),"Brendon Todd")</f>
        <v>Brendon Todd</v>
      </c>
      <c r="D55">
        <f ca="1">IFERROR(__xludf.DUMMYFUNCTION("""COMPUTED_VALUE"""),4)</f>
        <v>4</v>
      </c>
      <c r="E55">
        <f ca="1">IFERROR(__xludf.DUMMYFUNCTION("""COMPUTED_VALUE"""),194.8)</f>
        <v>194.8</v>
      </c>
    </row>
    <row r="56" spans="1:5" ht="12.75">
      <c r="A56">
        <f ca="1">IFERROR(__xludf.DUMMYFUNCTION("""COMPUTED_VALUE"""),55)</f>
        <v>55</v>
      </c>
      <c r="B56">
        <f ca="1">IFERROR(__xludf.DUMMYFUNCTION("""COMPUTED_VALUE"""),35)</f>
        <v>35</v>
      </c>
      <c r="C56" t="str">
        <f ca="1">IFERROR(__xludf.DUMMYFUNCTION("""COMPUTED_VALUE"""),"Harold Varner III")</f>
        <v>Harold Varner III</v>
      </c>
      <c r="D56">
        <f ca="1">IFERROR(__xludf.DUMMYFUNCTION("""COMPUTED_VALUE"""),4)</f>
        <v>4</v>
      </c>
      <c r="E56">
        <f ca="1">IFERROR(__xludf.DUMMYFUNCTION("""COMPUTED_VALUE"""),195)</f>
        <v>195</v>
      </c>
    </row>
    <row r="57" spans="1:5" ht="12.75">
      <c r="A57">
        <f ca="1">IFERROR(__xludf.DUMMYFUNCTION("""COMPUTED_VALUE"""),56)</f>
        <v>56</v>
      </c>
      <c r="B57">
        <f ca="1">IFERROR(__xludf.DUMMYFUNCTION("""COMPUTED_VALUE"""),44)</f>
        <v>44</v>
      </c>
      <c r="C57" t="str">
        <f ca="1">IFERROR(__xludf.DUMMYFUNCTION("""COMPUTED_VALUE"""),"Zach Johnson")</f>
        <v>Zach Johnson</v>
      </c>
      <c r="D57">
        <f ca="1">IFERROR(__xludf.DUMMYFUNCTION("""COMPUTED_VALUE"""),4)</f>
        <v>4</v>
      </c>
      <c r="E57">
        <f ca="1">IFERROR(__xludf.DUMMYFUNCTION("""COMPUTED_VALUE"""),197.3)</f>
        <v>197.3</v>
      </c>
    </row>
    <row r="58" spans="1:5" ht="12.75">
      <c r="A58">
        <f ca="1">IFERROR(__xludf.DUMMYFUNCTION("""COMPUTED_VALUE"""),57)</f>
        <v>57</v>
      </c>
      <c r="B58">
        <f ca="1">IFERROR(__xludf.DUMMYFUNCTION("""COMPUTED_VALUE"""),62)</f>
        <v>62</v>
      </c>
      <c r="C58" t="str">
        <f ca="1">IFERROR(__xludf.DUMMYFUNCTION("""COMPUTED_VALUE"""),"Jeongwoo Ham")</f>
        <v>Jeongwoo Ham</v>
      </c>
      <c r="D58">
        <f ca="1">IFERROR(__xludf.DUMMYFUNCTION("""COMPUTED_VALUE"""),1)</f>
        <v>1</v>
      </c>
      <c r="E58">
        <f ca="1">IFERROR(__xludf.DUMMYFUNCTION("""COMPUTED_VALUE"""),198.1)</f>
        <v>198.1</v>
      </c>
    </row>
    <row r="59" spans="1:5" ht="12.75">
      <c r="A59">
        <f ca="1">IFERROR(__xludf.DUMMYFUNCTION("""COMPUTED_VALUE"""),58)</f>
        <v>58</v>
      </c>
      <c r="B59" t="str">
        <f ca="1">IFERROR(__xludf.DUMMYFUNCTION("""COMPUTED_VALUE"""),"T68")</f>
        <v>T68</v>
      </c>
      <c r="C59" t="str">
        <f ca="1">IFERROR(__xludf.DUMMYFUNCTION("""COMPUTED_VALUE"""),"Rafa Cabrera Bello")</f>
        <v>Rafa Cabrera Bello</v>
      </c>
      <c r="D59">
        <f ca="1">IFERROR(__xludf.DUMMYFUNCTION("""COMPUTED_VALUE"""),5)</f>
        <v>5</v>
      </c>
      <c r="E59">
        <f ca="1">IFERROR(__xludf.DUMMYFUNCTION("""COMPUTED_VALUE"""),198.3)</f>
        <v>198.3</v>
      </c>
    </row>
    <row r="60" spans="1:5" ht="12.75">
      <c r="A60">
        <f ca="1">IFERROR(__xludf.DUMMYFUNCTION("""COMPUTED_VALUE"""),59)</f>
        <v>59</v>
      </c>
      <c r="B60" t="str">
        <f ca="1">IFERROR(__xludf.DUMMYFUNCTION("""COMPUTED_VALUE"""),"T64")</f>
        <v>T64</v>
      </c>
      <c r="C60" t="str">
        <f ca="1">IFERROR(__xludf.DUMMYFUNCTION("""COMPUTED_VALUE"""),"Brian Harman")</f>
        <v>Brian Harman</v>
      </c>
      <c r="D60">
        <f ca="1">IFERROR(__xludf.DUMMYFUNCTION("""COMPUTED_VALUE"""),6)</f>
        <v>6</v>
      </c>
      <c r="E60">
        <f ca="1">IFERROR(__xludf.DUMMYFUNCTION("""COMPUTED_VALUE"""),198.5)</f>
        <v>198.5</v>
      </c>
    </row>
    <row r="61" spans="1:5" ht="12.75">
      <c r="A61">
        <f ca="1">IFERROR(__xludf.DUMMYFUNCTION("""COMPUTED_VALUE"""),60)</f>
        <v>60</v>
      </c>
      <c r="B61" t="str">
        <f ca="1">IFERROR(__xludf.DUMMYFUNCTION("""COMPUTED_VALUE"""),"T56")</f>
        <v>T56</v>
      </c>
      <c r="C61" t="str">
        <f ca="1">IFERROR(__xludf.DUMMYFUNCTION("""COMPUTED_VALUE"""),"Brandt Snedeker")</f>
        <v>Brandt Snedeker</v>
      </c>
      <c r="D61">
        <f ca="1">IFERROR(__xludf.DUMMYFUNCTION("""COMPUTED_VALUE"""),5)</f>
        <v>5</v>
      </c>
      <c r="E61">
        <f ca="1">IFERROR(__xludf.DUMMYFUNCTION("""COMPUTED_VALUE"""),199.6)</f>
        <v>199.6</v>
      </c>
    </row>
    <row r="62" spans="1:5" ht="12.75">
      <c r="A62">
        <f ca="1">IFERROR(__xludf.DUMMYFUNCTION("""COMPUTED_VALUE"""),61)</f>
        <v>61</v>
      </c>
      <c r="B62">
        <f ca="1">IFERROR(__xludf.DUMMYFUNCTION("""COMPUTED_VALUE"""),71)</f>
        <v>71</v>
      </c>
      <c r="C62" t="str">
        <f ca="1">IFERROR(__xludf.DUMMYFUNCTION("""COMPUTED_VALUE"""),"Tim Wilkinson")</f>
        <v>Tim Wilkinson</v>
      </c>
      <c r="D62">
        <f ca="1">IFERROR(__xludf.DUMMYFUNCTION("""COMPUTED_VALUE"""),4)</f>
        <v>4</v>
      </c>
      <c r="E62">
        <f ca="1">IFERROR(__xludf.DUMMYFUNCTION("""COMPUTED_VALUE"""),201.5)</f>
        <v>201.5</v>
      </c>
    </row>
    <row r="63" spans="1:5" ht="12.75">
      <c r="A63">
        <f ca="1">IFERROR(__xludf.DUMMYFUNCTION("""COMPUTED_VALUE"""),62)</f>
        <v>62</v>
      </c>
      <c r="B63">
        <f ca="1">IFERROR(__xludf.DUMMYFUNCTION("""COMPUTED_VALUE"""),60)</f>
        <v>60</v>
      </c>
      <c r="C63" t="str">
        <f ca="1">IFERROR(__xludf.DUMMYFUNCTION("""COMPUTED_VALUE"""),"Jason Day")</f>
        <v>Jason Day</v>
      </c>
      <c r="D63">
        <f ca="1">IFERROR(__xludf.DUMMYFUNCTION("""COMPUTED_VALUE"""),5)</f>
        <v>5</v>
      </c>
      <c r="E63">
        <f ca="1">IFERROR(__xludf.DUMMYFUNCTION("""COMPUTED_VALUE"""),202.8)</f>
        <v>202.8</v>
      </c>
    </row>
    <row r="64" spans="1:5" ht="12.75">
      <c r="A64" t="str">
        <f ca="1">IFERROR(__xludf.DUMMYFUNCTION("""COMPUTED_VALUE"""),"T63")</f>
        <v>T63</v>
      </c>
      <c r="B64" t="str">
        <f ca="1">IFERROR(__xludf.DUMMYFUNCTION("""COMPUTED_VALUE"""),"T68")</f>
        <v>T68</v>
      </c>
      <c r="C64" t="str">
        <f ca="1">IFERROR(__xludf.DUMMYFUNCTION("""COMPUTED_VALUE"""),"Ryan Palmer")</f>
        <v>Ryan Palmer</v>
      </c>
      <c r="D64">
        <f ca="1">IFERROR(__xludf.DUMMYFUNCTION("""COMPUTED_VALUE"""),4)</f>
        <v>4</v>
      </c>
      <c r="E64">
        <f ca="1">IFERROR(__xludf.DUMMYFUNCTION("""COMPUTED_VALUE"""),203.5)</f>
        <v>203.5</v>
      </c>
    </row>
    <row r="65" spans="1:5" ht="12.75">
      <c r="A65" t="str">
        <f ca="1">IFERROR(__xludf.DUMMYFUNCTION("""COMPUTED_VALUE"""),"T63")</f>
        <v>T63</v>
      </c>
      <c r="B65">
        <f ca="1">IFERROR(__xludf.DUMMYFUNCTION("""COMPUTED_VALUE"""),72)</f>
        <v>72</v>
      </c>
      <c r="C65" t="str">
        <f ca="1">IFERROR(__xludf.DUMMYFUNCTION("""COMPUTED_VALUE"""),"Joohyung Kim")</f>
        <v>Joohyung Kim</v>
      </c>
      <c r="D65">
        <f ca="1">IFERROR(__xludf.DUMMYFUNCTION("""COMPUTED_VALUE"""),3)</f>
        <v>3</v>
      </c>
      <c r="E65">
        <f ca="1">IFERROR(__xludf.DUMMYFUNCTION("""COMPUTED_VALUE"""),203.5)</f>
        <v>203.5</v>
      </c>
    </row>
    <row r="66" spans="1:5" ht="12.75">
      <c r="A66">
        <f ca="1">IFERROR(__xludf.DUMMYFUNCTION("""COMPUTED_VALUE"""),65)</f>
        <v>65</v>
      </c>
      <c r="B66" t="str">
        <f ca="1">IFERROR(__xludf.DUMMYFUNCTION("""COMPUTED_VALUE"""),"")</f>
        <v/>
      </c>
      <c r="C66" t="str">
        <f ca="1">IFERROR(__xludf.DUMMYFUNCTION("""COMPUTED_VALUE"""),"Erik Barnes")</f>
        <v>Erik Barnes</v>
      </c>
      <c r="D66">
        <f ca="1">IFERROR(__xludf.DUMMYFUNCTION("""COMPUTED_VALUE"""),1)</f>
        <v>1</v>
      </c>
      <c r="E66">
        <f ca="1">IFERROR(__xludf.DUMMYFUNCTION("""COMPUTED_VALUE"""),204.2)</f>
        <v>204.2</v>
      </c>
    </row>
    <row r="67" spans="1:5" ht="12.75">
      <c r="A67">
        <f ca="1">IFERROR(__xludf.DUMMYFUNCTION("""COMPUTED_VALUE"""),66)</f>
        <v>66</v>
      </c>
      <c r="B67">
        <f ca="1">IFERROR(__xludf.DUMMYFUNCTION("""COMPUTED_VALUE"""),67)</f>
        <v>67</v>
      </c>
      <c r="C67" t="str">
        <f ca="1">IFERROR(__xludf.DUMMYFUNCTION("""COMPUTED_VALUE"""),"Kurt Kitayama")</f>
        <v>Kurt Kitayama</v>
      </c>
      <c r="D67">
        <f ca="1">IFERROR(__xludf.DUMMYFUNCTION("""COMPUTED_VALUE"""),2)</f>
        <v>2</v>
      </c>
      <c r="E67">
        <f ca="1">IFERROR(__xludf.DUMMYFUNCTION("""COMPUTED_VALUE"""),206.4)</f>
        <v>206.4</v>
      </c>
    </row>
    <row r="68" spans="1:5" ht="12.75">
      <c r="A68">
        <f ca="1">IFERROR(__xludf.DUMMYFUNCTION("""COMPUTED_VALUE"""),67)</f>
        <v>67</v>
      </c>
      <c r="B68">
        <f ca="1">IFERROR(__xludf.DUMMYFUNCTION("""COMPUTED_VALUE"""),73)</f>
        <v>73</v>
      </c>
      <c r="C68" t="str">
        <f ca="1">IFERROR(__xludf.DUMMYFUNCTION("""COMPUTED_VALUE"""),"Nick Taylor")</f>
        <v>Nick Taylor</v>
      </c>
      <c r="D68">
        <f ca="1">IFERROR(__xludf.DUMMYFUNCTION("""COMPUTED_VALUE"""),4)</f>
        <v>4</v>
      </c>
      <c r="E68">
        <f ca="1">IFERROR(__xludf.DUMMYFUNCTION("""COMPUTED_VALUE"""),208.8)</f>
        <v>208.8</v>
      </c>
    </row>
    <row r="69" spans="1:5" ht="12.75">
      <c r="A69">
        <f ca="1">IFERROR(__xludf.DUMMYFUNCTION("""COMPUTED_VALUE"""),68)</f>
        <v>68</v>
      </c>
      <c r="B69">
        <f ca="1">IFERROR(__xludf.DUMMYFUNCTION("""COMPUTED_VALUE"""),89)</f>
        <v>89</v>
      </c>
      <c r="C69" t="str">
        <f ca="1">IFERROR(__xludf.DUMMYFUNCTION("""COMPUTED_VALUE"""),"Matt Jones")</f>
        <v>Matt Jones</v>
      </c>
      <c r="D69">
        <f ca="1">IFERROR(__xludf.DUMMYFUNCTION("""COMPUTED_VALUE"""),6)</f>
        <v>6</v>
      </c>
      <c r="E69">
        <f ca="1">IFERROR(__xludf.DUMMYFUNCTION("""COMPUTED_VALUE"""),209)</f>
        <v>209</v>
      </c>
    </row>
    <row r="70" spans="1:5" ht="12.75">
      <c r="A70">
        <f ca="1">IFERROR(__xludf.DUMMYFUNCTION("""COMPUTED_VALUE"""),69)</f>
        <v>69</v>
      </c>
      <c r="B70">
        <f ca="1">IFERROR(__xludf.DUMMYFUNCTION("""COMPUTED_VALUE"""),93)</f>
        <v>93</v>
      </c>
      <c r="C70" t="str">
        <f ca="1">IFERROR(__xludf.DUMMYFUNCTION("""COMPUTED_VALUE"""),"Erik van Rooyen")</f>
        <v>Erik van Rooyen</v>
      </c>
      <c r="D70">
        <f ca="1">IFERROR(__xludf.DUMMYFUNCTION("""COMPUTED_VALUE"""),3)</f>
        <v>3</v>
      </c>
      <c r="E70">
        <f ca="1">IFERROR(__xludf.DUMMYFUNCTION("""COMPUTED_VALUE"""),211.9)</f>
        <v>211.9</v>
      </c>
    </row>
    <row r="71" spans="1:5" ht="12.75">
      <c r="A71">
        <f ca="1">IFERROR(__xludf.DUMMYFUNCTION("""COMPUTED_VALUE"""),70)</f>
        <v>70</v>
      </c>
      <c r="B71">
        <f ca="1">IFERROR(__xludf.DUMMYFUNCTION("""COMPUTED_VALUE"""),79)</f>
        <v>79</v>
      </c>
      <c r="C71" t="str">
        <f ca="1">IFERROR(__xludf.DUMMYFUNCTION("""COMPUTED_VALUE"""),"Sebastian Cappelen")</f>
        <v>Sebastian Cappelen</v>
      </c>
      <c r="D71">
        <f ca="1">IFERROR(__xludf.DUMMYFUNCTION("""COMPUTED_VALUE"""),3)</f>
        <v>3</v>
      </c>
      <c r="E71">
        <f ca="1">IFERROR(__xludf.DUMMYFUNCTION("""COMPUTED_VALUE"""),212.2)</f>
        <v>212.2</v>
      </c>
    </row>
    <row r="72" spans="1:5" ht="12.75">
      <c r="A72">
        <f ca="1">IFERROR(__xludf.DUMMYFUNCTION("""COMPUTED_VALUE"""),71)</f>
        <v>71</v>
      </c>
      <c r="B72">
        <f ca="1">IFERROR(__xludf.DUMMYFUNCTION("""COMPUTED_VALUE"""),82)</f>
        <v>82</v>
      </c>
      <c r="C72" t="str">
        <f ca="1">IFERROR(__xludf.DUMMYFUNCTION("""COMPUTED_VALUE"""),"Sebastián Muñoz")</f>
        <v>Sebastián Muñoz</v>
      </c>
      <c r="D72">
        <f ca="1">IFERROR(__xludf.DUMMYFUNCTION("""COMPUTED_VALUE"""),5)</f>
        <v>5</v>
      </c>
      <c r="E72">
        <f ca="1">IFERROR(__xludf.DUMMYFUNCTION("""COMPUTED_VALUE"""),212.7)</f>
        <v>212.7</v>
      </c>
    </row>
    <row r="73" spans="1:5" ht="12.75">
      <c r="A73">
        <f ca="1">IFERROR(__xludf.DUMMYFUNCTION("""COMPUTED_VALUE"""),72)</f>
        <v>72</v>
      </c>
      <c r="B73">
        <f ca="1">IFERROR(__xludf.DUMMYFUNCTION("""COMPUTED_VALUE"""),76)</f>
        <v>76</v>
      </c>
      <c r="C73" t="str">
        <f ca="1">IFERROR(__xludf.DUMMYFUNCTION("""COMPUTED_VALUE"""),"Naoki Sekito")</f>
        <v>Naoki Sekito</v>
      </c>
      <c r="D73">
        <f ca="1">IFERROR(__xludf.DUMMYFUNCTION("""COMPUTED_VALUE"""),1)</f>
        <v>1</v>
      </c>
      <c r="E73">
        <f ca="1">IFERROR(__xludf.DUMMYFUNCTION("""COMPUTED_VALUE"""),213.7)</f>
        <v>213.7</v>
      </c>
    </row>
    <row r="74" spans="1:5" ht="12.75">
      <c r="A74">
        <f ca="1">IFERROR(__xludf.DUMMYFUNCTION("""COMPUTED_VALUE"""),73)</f>
        <v>73</v>
      </c>
      <c r="B74">
        <f ca="1">IFERROR(__xludf.DUMMYFUNCTION("""COMPUTED_VALUE"""),66)</f>
        <v>66</v>
      </c>
      <c r="C74" t="str">
        <f ca="1">IFERROR(__xludf.DUMMYFUNCTION("""COMPUTED_VALUE"""),"Denny McCarthy")</f>
        <v>Denny McCarthy</v>
      </c>
      <c r="D74">
        <f ca="1">IFERROR(__xludf.DUMMYFUNCTION("""COMPUTED_VALUE"""),6)</f>
        <v>6</v>
      </c>
      <c r="E74">
        <f ca="1">IFERROR(__xludf.DUMMYFUNCTION("""COMPUTED_VALUE"""),214)</f>
        <v>214</v>
      </c>
    </row>
    <row r="75" spans="1:5" ht="12.75">
      <c r="A75" t="str">
        <f ca="1">IFERROR(__xludf.DUMMYFUNCTION("""COMPUTED_VALUE"""),"T74")</f>
        <v>T74</v>
      </c>
      <c r="B75">
        <f ca="1">IFERROR(__xludf.DUMMYFUNCTION("""COMPUTED_VALUE"""),63)</f>
        <v>63</v>
      </c>
      <c r="C75" t="str">
        <f ca="1">IFERROR(__xludf.DUMMYFUNCTION("""COMPUTED_VALUE"""),"Sam Burns")</f>
        <v>Sam Burns</v>
      </c>
      <c r="D75">
        <f ca="1">IFERROR(__xludf.DUMMYFUNCTION("""COMPUTED_VALUE"""),5)</f>
        <v>5</v>
      </c>
      <c r="E75">
        <f ca="1">IFERROR(__xludf.DUMMYFUNCTION("""COMPUTED_VALUE"""),214.3)</f>
        <v>214.3</v>
      </c>
    </row>
    <row r="76" spans="1:5" ht="12.75">
      <c r="A76" t="str">
        <f ca="1">IFERROR(__xludf.DUMMYFUNCTION("""COMPUTED_VALUE"""),"T74")</f>
        <v>T74</v>
      </c>
      <c r="B76">
        <f ca="1">IFERROR(__xludf.DUMMYFUNCTION("""COMPUTED_VALUE"""),194)</f>
        <v>194</v>
      </c>
      <c r="C76" t="str">
        <f ca="1">IFERROR(__xludf.DUMMYFUNCTION("""COMPUTED_VALUE"""),"Brooks Koepka")</f>
        <v>Brooks Koepka</v>
      </c>
      <c r="D76">
        <f ca="1">IFERROR(__xludf.DUMMYFUNCTION("""COMPUTED_VALUE"""),2)</f>
        <v>2</v>
      </c>
      <c r="E76">
        <f ca="1">IFERROR(__xludf.DUMMYFUNCTION("""COMPUTED_VALUE"""),214.3)</f>
        <v>214.3</v>
      </c>
    </row>
    <row r="77" spans="1:5" ht="12.75">
      <c r="A77">
        <f ca="1">IFERROR(__xludf.DUMMYFUNCTION("""COMPUTED_VALUE"""),76)</f>
        <v>76</v>
      </c>
      <c r="B77" t="str">
        <f ca="1">IFERROR(__xludf.DUMMYFUNCTION("""COMPUTED_VALUE"""),"T90")</f>
        <v>T90</v>
      </c>
      <c r="C77" t="str">
        <f ca="1">IFERROR(__xludf.DUMMYFUNCTION("""COMPUTED_VALUE"""),"J.J. Spaun")</f>
        <v>J.J. Spaun</v>
      </c>
      <c r="D77">
        <f ca="1">IFERROR(__xludf.DUMMYFUNCTION("""COMPUTED_VALUE"""),3)</f>
        <v>3</v>
      </c>
      <c r="E77">
        <f ca="1">IFERROR(__xludf.DUMMYFUNCTION("""COMPUTED_VALUE"""),217.8)</f>
        <v>217.8</v>
      </c>
    </row>
    <row r="78" spans="1:5" ht="12.75">
      <c r="A78">
        <f ca="1">IFERROR(__xludf.DUMMYFUNCTION("""COMPUTED_VALUE"""),77)</f>
        <v>77</v>
      </c>
      <c r="B78">
        <f ca="1">IFERROR(__xludf.DUMMYFUNCTION("""COMPUTED_VALUE"""),81)</f>
        <v>81</v>
      </c>
      <c r="C78" t="str">
        <f ca="1">IFERROR(__xludf.DUMMYFUNCTION("""COMPUTED_VALUE"""),"Zack Sucher")</f>
        <v>Zack Sucher</v>
      </c>
      <c r="D78">
        <f ca="1">IFERROR(__xludf.DUMMYFUNCTION("""COMPUTED_VALUE"""),3)</f>
        <v>3</v>
      </c>
      <c r="E78">
        <f ca="1">IFERROR(__xludf.DUMMYFUNCTION("""COMPUTED_VALUE"""),217.9)</f>
        <v>217.9</v>
      </c>
    </row>
    <row r="79" spans="1:5" ht="12.75">
      <c r="A79">
        <f ca="1">IFERROR(__xludf.DUMMYFUNCTION("""COMPUTED_VALUE"""),78)</f>
        <v>78</v>
      </c>
      <c r="B79" t="str">
        <f ca="1">IFERROR(__xludf.DUMMYFUNCTION("""COMPUTED_VALUE"""),"T118")</f>
        <v>T118</v>
      </c>
      <c r="C79" t="str">
        <f ca="1">IFERROR(__xludf.DUMMYFUNCTION("""COMPUTED_VALUE"""),"Tony Finau")</f>
        <v>Tony Finau</v>
      </c>
      <c r="D79">
        <f ca="1">IFERROR(__xludf.DUMMYFUNCTION("""COMPUTED_VALUE"""),3)</f>
        <v>3</v>
      </c>
      <c r="E79">
        <f ca="1">IFERROR(__xludf.DUMMYFUNCTION("""COMPUTED_VALUE"""),218.4)</f>
        <v>218.4</v>
      </c>
    </row>
    <row r="80" spans="1:5" ht="12.75">
      <c r="A80">
        <f ca="1">IFERROR(__xludf.DUMMYFUNCTION("""COMPUTED_VALUE"""),79)</f>
        <v>79</v>
      </c>
      <c r="B80">
        <f ca="1">IFERROR(__xludf.DUMMYFUNCTION("""COMPUTED_VALUE"""),85)</f>
        <v>85</v>
      </c>
      <c r="C80" t="str">
        <f ca="1">IFERROR(__xludf.DUMMYFUNCTION("""COMPUTED_VALUE"""),"Daniel Berger")</f>
        <v>Daniel Berger</v>
      </c>
      <c r="D80">
        <f ca="1">IFERROR(__xludf.DUMMYFUNCTION("""COMPUTED_VALUE"""),3)</f>
        <v>3</v>
      </c>
      <c r="E80">
        <f ca="1">IFERROR(__xludf.DUMMYFUNCTION("""COMPUTED_VALUE"""),220.3)</f>
        <v>220.3</v>
      </c>
    </row>
    <row r="81" spans="1:5" ht="12.75">
      <c r="A81">
        <f ca="1">IFERROR(__xludf.DUMMYFUNCTION("""COMPUTED_VALUE"""),80)</f>
        <v>80</v>
      </c>
      <c r="B81" t="str">
        <f ca="1">IFERROR(__xludf.DUMMYFUNCTION("""COMPUTED_VALUE"""),"")</f>
        <v/>
      </c>
      <c r="C81" t="str">
        <f ca="1">IFERROR(__xludf.DUMMYFUNCTION("""COMPUTED_VALUE"""),"Padraig Harrington")</f>
        <v>Padraig Harrington</v>
      </c>
      <c r="D81">
        <f ca="1">IFERROR(__xludf.DUMMYFUNCTION("""COMPUTED_VALUE"""),2)</f>
        <v>2</v>
      </c>
      <c r="E81">
        <f ca="1">IFERROR(__xludf.DUMMYFUNCTION("""COMPUTED_VALUE"""),221.1)</f>
        <v>221.1</v>
      </c>
    </row>
    <row r="82" spans="1:5" ht="12.75">
      <c r="A82">
        <f ca="1">IFERROR(__xludf.DUMMYFUNCTION("""COMPUTED_VALUE"""),81)</f>
        <v>81</v>
      </c>
      <c r="B82">
        <f ca="1">IFERROR(__xludf.DUMMYFUNCTION("""COMPUTED_VALUE"""),84)</f>
        <v>84</v>
      </c>
      <c r="C82" t="str">
        <f ca="1">IFERROR(__xludf.DUMMYFUNCTION("""COMPUTED_VALUE"""),"Gary Woodland")</f>
        <v>Gary Woodland</v>
      </c>
      <c r="D82">
        <f ca="1">IFERROR(__xludf.DUMMYFUNCTION("""COMPUTED_VALUE"""),3)</f>
        <v>3</v>
      </c>
      <c r="E82">
        <f ca="1">IFERROR(__xludf.DUMMYFUNCTION("""COMPUTED_VALUE"""),221.8)</f>
        <v>221.8</v>
      </c>
    </row>
    <row r="83" spans="1:5" ht="12.75">
      <c r="A83">
        <f ca="1">IFERROR(__xludf.DUMMYFUNCTION("""COMPUTED_VALUE"""),82)</f>
        <v>82</v>
      </c>
      <c r="B83">
        <f ca="1">IFERROR(__xludf.DUMMYFUNCTION("""COMPUTED_VALUE"""),74)</f>
        <v>74</v>
      </c>
      <c r="C83" t="str">
        <f ca="1">IFERROR(__xludf.DUMMYFUNCTION("""COMPUTED_VALUE"""),"C.T. Pan")</f>
        <v>C.T. Pan</v>
      </c>
      <c r="D83">
        <f ca="1">IFERROR(__xludf.DUMMYFUNCTION("""COMPUTED_VALUE"""),5)</f>
        <v>5</v>
      </c>
      <c r="E83">
        <f ca="1">IFERROR(__xludf.DUMMYFUNCTION("""COMPUTED_VALUE"""),222.2)</f>
        <v>222.2</v>
      </c>
    </row>
    <row r="84" spans="1:5" ht="12.75">
      <c r="A84">
        <f ca="1">IFERROR(__xludf.DUMMYFUNCTION("""COMPUTED_VALUE"""),83)</f>
        <v>83</v>
      </c>
      <c r="B84">
        <f ca="1">IFERROR(__xludf.DUMMYFUNCTION("""COMPUTED_VALUE"""),87)</f>
        <v>87</v>
      </c>
      <c r="C84" t="str">
        <f ca="1">IFERROR(__xludf.DUMMYFUNCTION("""COMPUTED_VALUE"""),"Chesson Hadley")</f>
        <v>Chesson Hadley</v>
      </c>
      <c r="D84">
        <f ca="1">IFERROR(__xludf.DUMMYFUNCTION("""COMPUTED_VALUE"""),5)</f>
        <v>5</v>
      </c>
      <c r="E84">
        <f ca="1">IFERROR(__xludf.DUMMYFUNCTION("""COMPUTED_VALUE"""),222.3)</f>
        <v>222.3</v>
      </c>
    </row>
    <row r="85" spans="1:5" ht="12.75">
      <c r="A85">
        <f ca="1">IFERROR(__xludf.DUMMYFUNCTION("""COMPUTED_VALUE"""),84)</f>
        <v>84</v>
      </c>
      <c r="B85">
        <f ca="1">IFERROR(__xludf.DUMMYFUNCTION("""COMPUTED_VALUE"""),88)</f>
        <v>88</v>
      </c>
      <c r="C85" t="str">
        <f ca="1">IFERROR(__xludf.DUMMYFUNCTION("""COMPUTED_VALUE"""),"Vincent Whaley")</f>
        <v>Vincent Whaley</v>
      </c>
      <c r="D85">
        <f ca="1">IFERROR(__xludf.DUMMYFUNCTION("""COMPUTED_VALUE"""),4)</f>
        <v>4</v>
      </c>
      <c r="E85">
        <f ca="1">IFERROR(__xludf.DUMMYFUNCTION("""COMPUTED_VALUE"""),223.1)</f>
        <v>223.1</v>
      </c>
    </row>
    <row r="86" spans="1:5" ht="12.75">
      <c r="A86">
        <f ca="1">IFERROR(__xludf.DUMMYFUNCTION("""COMPUTED_VALUE"""),85)</f>
        <v>85</v>
      </c>
      <c r="B86">
        <f ca="1">IFERROR(__xludf.DUMMYFUNCTION("""COMPUTED_VALUE"""),45)</f>
        <v>45</v>
      </c>
      <c r="C86" t="str">
        <f ca="1">IFERROR(__xludf.DUMMYFUNCTION("""COMPUTED_VALUE"""),"Brian Stuard")</f>
        <v>Brian Stuard</v>
      </c>
      <c r="D86">
        <f ca="1">IFERROR(__xludf.DUMMYFUNCTION("""COMPUTED_VALUE"""),6)</f>
        <v>6</v>
      </c>
      <c r="E86">
        <f ca="1">IFERROR(__xludf.DUMMYFUNCTION("""COMPUTED_VALUE"""),225.1)</f>
        <v>225.1</v>
      </c>
    </row>
    <row r="87" spans="1:5" ht="12.75">
      <c r="A87" t="str">
        <f ca="1">IFERROR(__xludf.DUMMYFUNCTION("""COMPUTED_VALUE"""),"T86")</f>
        <v>T86</v>
      </c>
      <c r="B87">
        <f ca="1">IFERROR(__xludf.DUMMYFUNCTION("""COMPUTED_VALUE"""),133)</f>
        <v>133</v>
      </c>
      <c r="C87" t="str">
        <f ca="1">IFERROR(__xludf.DUMMYFUNCTION("""COMPUTED_VALUE"""),"Doc Redman")</f>
        <v>Doc Redman</v>
      </c>
      <c r="D87">
        <f ca="1">IFERROR(__xludf.DUMMYFUNCTION("""COMPUTED_VALUE"""),5)</f>
        <v>5</v>
      </c>
      <c r="E87">
        <f ca="1">IFERROR(__xludf.DUMMYFUNCTION("""COMPUTED_VALUE"""),225.8)</f>
        <v>225.8</v>
      </c>
    </row>
    <row r="88" spans="1:5" ht="12.75">
      <c r="A88" t="str">
        <f ca="1">IFERROR(__xludf.DUMMYFUNCTION("""COMPUTED_VALUE"""),"T86")</f>
        <v>T86</v>
      </c>
      <c r="B88">
        <f ca="1">IFERROR(__xludf.DUMMYFUNCTION("""COMPUTED_VALUE"""),92)</f>
        <v>92</v>
      </c>
      <c r="C88" t="str">
        <f ca="1">IFERROR(__xludf.DUMMYFUNCTION("""COMPUTED_VALUE"""),"Dominic Bozzelli")</f>
        <v>Dominic Bozzelli</v>
      </c>
      <c r="D88">
        <f ca="1">IFERROR(__xludf.DUMMYFUNCTION("""COMPUTED_VALUE"""),3)</f>
        <v>3</v>
      </c>
      <c r="E88">
        <f ca="1">IFERROR(__xludf.DUMMYFUNCTION("""COMPUTED_VALUE"""),225.8)</f>
        <v>225.8</v>
      </c>
    </row>
    <row r="89" spans="1:5" ht="12.75">
      <c r="A89">
        <f ca="1">IFERROR(__xludf.DUMMYFUNCTION("""COMPUTED_VALUE"""),88)</f>
        <v>88</v>
      </c>
      <c r="B89">
        <f ca="1">IFERROR(__xludf.DUMMYFUNCTION("""COMPUTED_VALUE"""),41)</f>
        <v>41</v>
      </c>
      <c r="C89" t="str">
        <f ca="1">IFERROR(__xludf.DUMMYFUNCTION("""COMPUTED_VALUE"""),"Charley Hoffman")</f>
        <v>Charley Hoffman</v>
      </c>
      <c r="D89">
        <f ca="1">IFERROR(__xludf.DUMMYFUNCTION("""COMPUTED_VALUE"""),6)</f>
        <v>6</v>
      </c>
      <c r="E89">
        <f ca="1">IFERROR(__xludf.DUMMYFUNCTION("""COMPUTED_VALUE"""),226.2)</f>
        <v>226.2</v>
      </c>
    </row>
    <row r="90" spans="1:5" ht="12.75">
      <c r="A90">
        <f ca="1">IFERROR(__xludf.DUMMYFUNCTION("""COMPUTED_VALUE"""),89)</f>
        <v>89</v>
      </c>
      <c r="B90">
        <f ca="1">IFERROR(__xludf.DUMMYFUNCTION("""COMPUTED_VALUE"""),86)</f>
        <v>86</v>
      </c>
      <c r="C90" t="str">
        <f ca="1">IFERROR(__xludf.DUMMYFUNCTION("""COMPUTED_VALUE"""),"Pat Perez")</f>
        <v>Pat Perez</v>
      </c>
      <c r="D90">
        <f ca="1">IFERROR(__xludf.DUMMYFUNCTION("""COMPUTED_VALUE"""),6)</f>
        <v>6</v>
      </c>
      <c r="E90">
        <f ca="1">IFERROR(__xludf.DUMMYFUNCTION("""COMPUTED_VALUE"""),226.3)</f>
        <v>226.3</v>
      </c>
    </row>
    <row r="91" spans="1:5" ht="12.75">
      <c r="A91">
        <f ca="1">IFERROR(__xludf.DUMMYFUNCTION("""COMPUTED_VALUE"""),90)</f>
        <v>90</v>
      </c>
      <c r="B91">
        <f ca="1">IFERROR(__xludf.DUMMYFUNCTION("""COMPUTED_VALUE"""),177)</f>
        <v>177</v>
      </c>
      <c r="C91" t="str">
        <f ca="1">IFERROR(__xludf.DUMMYFUNCTION("""COMPUTED_VALUE"""),"Russell Knox")</f>
        <v>Russell Knox</v>
      </c>
      <c r="D91">
        <f ca="1">IFERROR(__xludf.DUMMYFUNCTION("""COMPUTED_VALUE"""),5)</f>
        <v>5</v>
      </c>
      <c r="E91">
        <f ca="1">IFERROR(__xludf.DUMMYFUNCTION("""COMPUTED_VALUE"""),229.3)</f>
        <v>229.3</v>
      </c>
    </row>
    <row r="92" spans="1:5" ht="12.75">
      <c r="A92">
        <f ca="1">IFERROR(__xludf.DUMMYFUNCTION("""COMPUTED_VALUE"""),91)</f>
        <v>91</v>
      </c>
      <c r="B92">
        <f ca="1">IFERROR(__xludf.DUMMYFUNCTION("""COMPUTED_VALUE"""),179)</f>
        <v>179</v>
      </c>
      <c r="C92" t="str">
        <f ca="1">IFERROR(__xludf.DUMMYFUNCTION("""COMPUTED_VALUE"""),"John Huh")</f>
        <v>John Huh</v>
      </c>
      <c r="D92">
        <f ca="1">IFERROR(__xludf.DUMMYFUNCTION("""COMPUTED_VALUE"""),2)</f>
        <v>2</v>
      </c>
      <c r="E92">
        <f ca="1">IFERROR(__xludf.DUMMYFUNCTION("""COMPUTED_VALUE"""),229.7)</f>
        <v>229.7</v>
      </c>
    </row>
    <row r="93" spans="1:5" ht="12.75">
      <c r="A93">
        <f ca="1">IFERROR(__xludf.DUMMYFUNCTION("""COMPUTED_VALUE"""),92)</f>
        <v>92</v>
      </c>
      <c r="B93">
        <f ca="1">IFERROR(__xludf.DUMMYFUNCTION("""COMPUTED_VALUE"""),32)</f>
        <v>32</v>
      </c>
      <c r="C93" t="str">
        <f ca="1">IFERROR(__xludf.DUMMYFUNCTION("""COMPUTED_VALUE"""),"Stewart Cink")</f>
        <v>Stewart Cink</v>
      </c>
      <c r="D93">
        <f ca="1">IFERROR(__xludf.DUMMYFUNCTION("""COMPUTED_VALUE"""),5)</f>
        <v>5</v>
      </c>
      <c r="E93">
        <f ca="1">IFERROR(__xludf.DUMMYFUNCTION("""COMPUTED_VALUE"""),229.8)</f>
        <v>229.8</v>
      </c>
    </row>
    <row r="94" spans="1:5" ht="12.75">
      <c r="A94">
        <f ca="1">IFERROR(__xludf.DUMMYFUNCTION("""COMPUTED_VALUE"""),93)</f>
        <v>93</v>
      </c>
      <c r="B94">
        <f ca="1">IFERROR(__xludf.DUMMYFUNCTION("""COMPUTED_VALUE"""),95)</f>
        <v>95</v>
      </c>
      <c r="C94" t="str">
        <f ca="1">IFERROR(__xludf.DUMMYFUNCTION("""COMPUTED_VALUE"""),"Steve Lewton")</f>
        <v>Steve Lewton</v>
      </c>
      <c r="D94">
        <f ca="1">IFERROR(__xludf.DUMMYFUNCTION("""COMPUTED_VALUE"""),1)</f>
        <v>1</v>
      </c>
      <c r="E94">
        <f ca="1">IFERROR(__xludf.DUMMYFUNCTION("""COMPUTED_VALUE"""),230.5)</f>
        <v>230.5</v>
      </c>
    </row>
    <row r="95" spans="1:5" ht="12.75">
      <c r="A95">
        <f ca="1">IFERROR(__xludf.DUMMYFUNCTION("""COMPUTED_VALUE"""),94)</f>
        <v>94</v>
      </c>
      <c r="B95">
        <f ca="1">IFERROR(__xludf.DUMMYFUNCTION("""COMPUTED_VALUE"""),103)</f>
        <v>103</v>
      </c>
      <c r="C95" t="str">
        <f ca="1">IFERROR(__xludf.DUMMYFUNCTION("""COMPUTED_VALUE"""),"Chase Seiffert")</f>
        <v>Chase Seiffert</v>
      </c>
      <c r="D95">
        <f ca="1">IFERROR(__xludf.DUMMYFUNCTION("""COMPUTED_VALUE"""),5)</f>
        <v>5</v>
      </c>
      <c r="E95">
        <f ca="1">IFERROR(__xludf.DUMMYFUNCTION("""COMPUTED_VALUE"""),231.2)</f>
        <v>231.2</v>
      </c>
    </row>
    <row r="96" spans="1:5" ht="12.75">
      <c r="A96">
        <f ca="1">IFERROR(__xludf.DUMMYFUNCTION("""COMPUTED_VALUE"""),95)</f>
        <v>95</v>
      </c>
      <c r="B96">
        <f ca="1">IFERROR(__xludf.DUMMYFUNCTION("""COMPUTED_VALUE"""),78)</f>
        <v>78</v>
      </c>
      <c r="C96" t="str">
        <f ca="1">IFERROR(__xludf.DUMMYFUNCTION("""COMPUTED_VALUE"""),"Rory Sabbatini")</f>
        <v>Rory Sabbatini</v>
      </c>
      <c r="D96">
        <f ca="1">IFERROR(__xludf.DUMMYFUNCTION("""COMPUTED_VALUE"""),4)</f>
        <v>4</v>
      </c>
      <c r="E96">
        <f ca="1">IFERROR(__xludf.DUMMYFUNCTION("""COMPUTED_VALUE"""),231.3)</f>
        <v>231.3</v>
      </c>
    </row>
    <row r="97" spans="1:5" ht="12.75">
      <c r="A97">
        <f ca="1">IFERROR(__xludf.DUMMYFUNCTION("""COMPUTED_VALUE"""),96)</f>
        <v>96</v>
      </c>
      <c r="B97">
        <f ca="1">IFERROR(__xludf.DUMMYFUNCTION("""COMPUTED_VALUE"""),116)</f>
        <v>116</v>
      </c>
      <c r="C97" t="str">
        <f ca="1">IFERROR(__xludf.DUMMYFUNCTION("""COMPUTED_VALUE"""),"Talor Gooch")</f>
        <v>Talor Gooch</v>
      </c>
      <c r="D97">
        <f ca="1">IFERROR(__xludf.DUMMYFUNCTION("""COMPUTED_VALUE"""),6)</f>
        <v>6</v>
      </c>
      <c r="E97">
        <f ca="1">IFERROR(__xludf.DUMMYFUNCTION("""COMPUTED_VALUE"""),231.9)</f>
        <v>231.9</v>
      </c>
    </row>
    <row r="98" spans="1:5" ht="12.75">
      <c r="A98">
        <f ca="1">IFERROR(__xludf.DUMMYFUNCTION("""COMPUTED_VALUE"""),97)</f>
        <v>97</v>
      </c>
      <c r="B98">
        <f ca="1">IFERROR(__xludf.DUMMYFUNCTION("""COMPUTED_VALUE"""),127)</f>
        <v>127</v>
      </c>
      <c r="C98" t="str">
        <f ca="1">IFERROR(__xludf.DUMMYFUNCTION("""COMPUTED_VALUE"""),"Vaughn Taylor")</f>
        <v>Vaughn Taylor</v>
      </c>
      <c r="D98">
        <f ca="1">IFERROR(__xludf.DUMMYFUNCTION("""COMPUTED_VALUE"""),5)</f>
        <v>5</v>
      </c>
      <c r="E98">
        <f ca="1">IFERROR(__xludf.DUMMYFUNCTION("""COMPUTED_VALUE"""),232.3)</f>
        <v>232.3</v>
      </c>
    </row>
    <row r="99" spans="1:5" ht="12.75">
      <c r="A99">
        <f ca="1">IFERROR(__xludf.DUMMYFUNCTION("""COMPUTED_VALUE"""),98)</f>
        <v>98</v>
      </c>
      <c r="B99">
        <f ca="1">IFERROR(__xludf.DUMMYFUNCTION("""COMPUTED_VALUE"""),94)</f>
        <v>94</v>
      </c>
      <c r="C99" t="str">
        <f ca="1">IFERROR(__xludf.DUMMYFUNCTION("""COMPUTED_VALUE"""),"Joaquin Niemann")</f>
        <v>Joaquin Niemann</v>
      </c>
      <c r="D99">
        <f ca="1">IFERROR(__xludf.DUMMYFUNCTION("""COMPUTED_VALUE"""),4)</f>
        <v>4</v>
      </c>
      <c r="E99">
        <f ca="1">IFERROR(__xludf.DUMMYFUNCTION("""COMPUTED_VALUE"""),233)</f>
        <v>233</v>
      </c>
    </row>
    <row r="100" spans="1:5" ht="12.75">
      <c r="A100">
        <f ca="1">IFERROR(__xludf.DUMMYFUNCTION("""COMPUTED_VALUE"""),99)</f>
        <v>99</v>
      </c>
      <c r="B100">
        <f ca="1">IFERROR(__xludf.DUMMYFUNCTION("""COMPUTED_VALUE"""),135)</f>
        <v>135</v>
      </c>
      <c r="C100" t="str">
        <f ca="1">IFERROR(__xludf.DUMMYFUNCTION("""COMPUTED_VALUE"""),"Jhonattan Vegas")</f>
        <v>Jhonattan Vegas</v>
      </c>
      <c r="D100">
        <f ca="1">IFERROR(__xludf.DUMMYFUNCTION("""COMPUTED_VALUE"""),5)</f>
        <v>5</v>
      </c>
      <c r="E100">
        <f ca="1">IFERROR(__xludf.DUMMYFUNCTION("""COMPUTED_VALUE"""),233.9)</f>
        <v>233.9</v>
      </c>
    </row>
    <row r="101" spans="1:5" ht="12.75">
      <c r="A101">
        <f ca="1">IFERROR(__xludf.DUMMYFUNCTION("""COMPUTED_VALUE"""),100)</f>
        <v>100</v>
      </c>
      <c r="B101">
        <f ca="1">IFERROR(__xludf.DUMMYFUNCTION("""COMPUTED_VALUE"""),172)</f>
        <v>172</v>
      </c>
      <c r="C101" t="str">
        <f ca="1">IFERROR(__xludf.DUMMYFUNCTION("""COMPUTED_VALUE"""),"Sepp Straka")</f>
        <v>Sepp Straka</v>
      </c>
      <c r="D101">
        <f ca="1">IFERROR(__xludf.DUMMYFUNCTION("""COMPUTED_VALUE"""),6)</f>
        <v>6</v>
      </c>
      <c r="E101">
        <f ca="1">IFERROR(__xludf.DUMMYFUNCTION("""COMPUTED_VALUE"""),234)</f>
        <v>234</v>
      </c>
    </row>
    <row r="102" spans="1:5" ht="12.75">
      <c r="A102">
        <f ca="1">IFERROR(__xludf.DUMMYFUNCTION("""COMPUTED_VALUE"""),101)</f>
        <v>101</v>
      </c>
      <c r="B102">
        <f ca="1">IFERROR(__xludf.DUMMYFUNCTION("""COMPUTED_VALUE"""),101)</f>
        <v>101</v>
      </c>
      <c r="C102" t="str">
        <f ca="1">IFERROR(__xludf.DUMMYFUNCTION("""COMPUTED_VALUE"""),"Matt Kuchar")</f>
        <v>Matt Kuchar</v>
      </c>
      <c r="D102">
        <f ca="1">IFERROR(__xludf.DUMMYFUNCTION("""COMPUTED_VALUE"""),4)</f>
        <v>4</v>
      </c>
      <c r="E102">
        <f ca="1">IFERROR(__xludf.DUMMYFUNCTION("""COMPUTED_VALUE"""),234.4)</f>
        <v>234.4</v>
      </c>
    </row>
    <row r="103" spans="1:5" ht="12.75">
      <c r="A103">
        <f ca="1">IFERROR(__xludf.DUMMYFUNCTION("""COMPUTED_VALUE"""),102)</f>
        <v>102</v>
      </c>
      <c r="B103">
        <f ca="1">IFERROR(__xludf.DUMMYFUNCTION("""COMPUTED_VALUE"""),108)</f>
        <v>108</v>
      </c>
      <c r="C103" t="str">
        <f ca="1">IFERROR(__xludf.DUMMYFUNCTION("""COMPUTED_VALUE"""),"Ricky Barnes")</f>
        <v>Ricky Barnes</v>
      </c>
      <c r="D103">
        <f ca="1">IFERROR(__xludf.DUMMYFUNCTION("""COMPUTED_VALUE"""),3)</f>
        <v>3</v>
      </c>
      <c r="E103">
        <f ca="1">IFERROR(__xludf.DUMMYFUNCTION("""COMPUTED_VALUE"""),235.7)</f>
        <v>235.7</v>
      </c>
    </row>
    <row r="104" spans="1:5" ht="12.75">
      <c r="A104">
        <f ca="1">IFERROR(__xludf.DUMMYFUNCTION("""COMPUTED_VALUE"""),103)</f>
        <v>103</v>
      </c>
      <c r="B104">
        <f ca="1">IFERROR(__xludf.DUMMYFUNCTION("""COMPUTED_VALUE"""),163)</f>
        <v>163</v>
      </c>
      <c r="C104" t="str">
        <f ca="1">IFERROR(__xludf.DUMMYFUNCTION("""COMPUTED_VALUE"""),"Adam Scott")</f>
        <v>Adam Scott</v>
      </c>
      <c r="D104">
        <f ca="1">IFERROR(__xludf.DUMMYFUNCTION("""COMPUTED_VALUE"""),2)</f>
        <v>2</v>
      </c>
      <c r="E104">
        <f ca="1">IFERROR(__xludf.DUMMYFUNCTION("""COMPUTED_VALUE"""),235.9)</f>
        <v>235.9</v>
      </c>
    </row>
    <row r="105" spans="1:5" ht="12.75">
      <c r="A105">
        <f ca="1">IFERROR(__xludf.DUMMYFUNCTION("""COMPUTED_VALUE"""),104)</f>
        <v>104</v>
      </c>
      <c r="B105">
        <f ca="1">IFERROR(__xludf.DUMMYFUNCTION("""COMPUTED_VALUE"""),96)</f>
        <v>96</v>
      </c>
      <c r="C105" t="str">
        <f ca="1">IFERROR(__xludf.DUMMYFUNCTION("""COMPUTED_VALUE"""),"Ryo Ishikawa")</f>
        <v>Ryo Ishikawa</v>
      </c>
      <c r="D105">
        <f ca="1">IFERROR(__xludf.DUMMYFUNCTION("""COMPUTED_VALUE"""),2)</f>
        <v>2</v>
      </c>
      <c r="E105">
        <f ca="1">IFERROR(__xludf.DUMMYFUNCTION("""COMPUTED_VALUE"""),236.8)</f>
        <v>236.8</v>
      </c>
    </row>
    <row r="106" spans="1:5" ht="12.75">
      <c r="A106">
        <f ca="1">IFERROR(__xludf.DUMMYFUNCTION("""COMPUTED_VALUE"""),105)</f>
        <v>105</v>
      </c>
      <c r="B106">
        <f ca="1">IFERROR(__xludf.DUMMYFUNCTION("""COMPUTED_VALUE"""),104)</f>
        <v>104</v>
      </c>
      <c r="C106" t="str">
        <f ca="1">IFERROR(__xludf.DUMMYFUNCTION("""COMPUTED_VALUE"""),"Ryan Blaum")</f>
        <v>Ryan Blaum</v>
      </c>
      <c r="D106">
        <f ca="1">IFERROR(__xludf.DUMMYFUNCTION("""COMPUTED_VALUE"""),3)</f>
        <v>3</v>
      </c>
      <c r="E106">
        <f ca="1">IFERROR(__xludf.DUMMYFUNCTION("""COMPUTED_VALUE"""),237.1)</f>
        <v>237.1</v>
      </c>
    </row>
    <row r="107" spans="1:5" ht="12.75">
      <c r="A107">
        <f ca="1">IFERROR(__xludf.DUMMYFUNCTION("""COMPUTED_VALUE"""),106)</f>
        <v>106</v>
      </c>
      <c r="B107">
        <f ca="1">IFERROR(__xludf.DUMMYFUNCTION("""COMPUTED_VALUE"""),54)</f>
        <v>54</v>
      </c>
      <c r="C107" t="str">
        <f ca="1">IFERROR(__xludf.DUMMYFUNCTION("""COMPUTED_VALUE"""),"Maverick McNealy")</f>
        <v>Maverick McNealy</v>
      </c>
      <c r="D107">
        <f ca="1">IFERROR(__xludf.DUMMYFUNCTION("""COMPUTED_VALUE"""),5)</f>
        <v>5</v>
      </c>
      <c r="E107">
        <f ca="1">IFERROR(__xludf.DUMMYFUNCTION("""COMPUTED_VALUE"""),238.4)</f>
        <v>238.4</v>
      </c>
    </row>
    <row r="108" spans="1:5" ht="12.75">
      <c r="A108">
        <f ca="1">IFERROR(__xludf.DUMMYFUNCTION("""COMPUTED_VALUE"""),107)</f>
        <v>107</v>
      </c>
      <c r="B108">
        <f ca="1">IFERROR(__xludf.DUMMYFUNCTION("""COMPUTED_VALUE"""),105)</f>
        <v>105</v>
      </c>
      <c r="C108" t="str">
        <f ca="1">IFERROR(__xludf.DUMMYFUNCTION("""COMPUTED_VALUE"""),"Billy Horschel")</f>
        <v>Billy Horschel</v>
      </c>
      <c r="D108">
        <f ca="1">IFERROR(__xludf.DUMMYFUNCTION("""COMPUTED_VALUE"""),3)</f>
        <v>3</v>
      </c>
      <c r="E108">
        <f ca="1">IFERROR(__xludf.DUMMYFUNCTION("""COMPUTED_VALUE"""),238.8)</f>
        <v>238.8</v>
      </c>
    </row>
    <row r="109" spans="1:5" ht="12.75">
      <c r="A109">
        <f ca="1">IFERROR(__xludf.DUMMYFUNCTION("""COMPUTED_VALUE"""),108)</f>
        <v>108</v>
      </c>
      <c r="B109">
        <f ca="1">IFERROR(__xludf.DUMMYFUNCTION("""COMPUTED_VALUE"""),102)</f>
        <v>102</v>
      </c>
      <c r="C109" t="str">
        <f ca="1">IFERROR(__xludf.DUMMYFUNCTION("""COMPUTED_VALUE"""),"Renato Paratore")</f>
        <v>Renato Paratore</v>
      </c>
      <c r="D109">
        <f ca="1">IFERROR(__xludf.DUMMYFUNCTION("""COMPUTED_VALUE"""),1)</f>
        <v>1</v>
      </c>
      <c r="E109">
        <f ca="1">IFERROR(__xludf.DUMMYFUNCTION("""COMPUTED_VALUE"""),239.4)</f>
        <v>239.4</v>
      </c>
    </row>
    <row r="110" spans="1:5" ht="12.75">
      <c r="A110">
        <f ca="1">IFERROR(__xludf.DUMMYFUNCTION("""COMPUTED_VALUE"""),109)</f>
        <v>109</v>
      </c>
      <c r="B110" t="str">
        <f ca="1">IFERROR(__xludf.DUMMYFUNCTION("""COMPUTED_VALUE"""),"T64")</f>
        <v>T64</v>
      </c>
      <c r="C110" t="str">
        <f ca="1">IFERROR(__xludf.DUMMYFUNCTION("""COMPUTED_VALUE"""),"Cameron Davis")</f>
        <v>Cameron Davis</v>
      </c>
      <c r="D110">
        <f ca="1">IFERROR(__xludf.DUMMYFUNCTION("""COMPUTED_VALUE"""),4)</f>
        <v>4</v>
      </c>
      <c r="E110">
        <f ca="1">IFERROR(__xludf.DUMMYFUNCTION("""COMPUTED_VALUE"""),240.3)</f>
        <v>240.3</v>
      </c>
    </row>
    <row r="111" spans="1:5" ht="12.75">
      <c r="A111">
        <f ca="1">IFERROR(__xludf.DUMMYFUNCTION("""COMPUTED_VALUE"""),110)</f>
        <v>110</v>
      </c>
      <c r="B111">
        <f ca="1">IFERROR(__xludf.DUMMYFUNCTION("""COMPUTED_VALUE"""),97)</f>
        <v>97</v>
      </c>
      <c r="C111" t="str">
        <f ca="1">IFERROR(__xludf.DUMMYFUNCTION("""COMPUTED_VALUE"""),"Jazz Janewattananond")</f>
        <v>Jazz Janewattananond</v>
      </c>
      <c r="D111">
        <f ca="1">IFERROR(__xludf.DUMMYFUNCTION("""COMPUTED_VALUE"""),2)</f>
        <v>2</v>
      </c>
      <c r="E111">
        <f ca="1">IFERROR(__xludf.DUMMYFUNCTION("""COMPUTED_VALUE"""),242)</f>
        <v>242</v>
      </c>
    </row>
    <row r="112" spans="1:5" ht="12.75">
      <c r="A112">
        <f ca="1">IFERROR(__xludf.DUMMYFUNCTION("""COMPUTED_VALUE"""),111)</f>
        <v>111</v>
      </c>
      <c r="B112">
        <f ca="1">IFERROR(__xludf.DUMMYFUNCTION("""COMPUTED_VALUE"""),83)</f>
        <v>83</v>
      </c>
      <c r="C112" t="str">
        <f ca="1">IFERROR(__xludf.DUMMYFUNCTION("""COMPUTED_VALUE"""),"Hunter Mahan")</f>
        <v>Hunter Mahan</v>
      </c>
      <c r="D112">
        <f ca="1">IFERROR(__xludf.DUMMYFUNCTION("""COMPUTED_VALUE"""),5)</f>
        <v>5</v>
      </c>
      <c r="E112">
        <f ca="1">IFERROR(__xludf.DUMMYFUNCTION("""COMPUTED_VALUE"""),242.5)</f>
        <v>242.5</v>
      </c>
    </row>
    <row r="113" spans="1:5" ht="12.75">
      <c r="A113">
        <f ca="1">IFERROR(__xludf.DUMMYFUNCTION("""COMPUTED_VALUE"""),112)</f>
        <v>112</v>
      </c>
      <c r="B113">
        <f ca="1">IFERROR(__xludf.DUMMYFUNCTION("""COMPUTED_VALUE"""),111)</f>
        <v>111</v>
      </c>
      <c r="C113" t="str">
        <f ca="1">IFERROR(__xludf.DUMMYFUNCTION("""COMPUTED_VALUE"""),"MJ Daffue")</f>
        <v>MJ Daffue</v>
      </c>
      <c r="D113">
        <f ca="1">IFERROR(__xludf.DUMMYFUNCTION("""COMPUTED_VALUE"""),3)</f>
        <v>3</v>
      </c>
      <c r="E113">
        <f ca="1">IFERROR(__xludf.DUMMYFUNCTION("""COMPUTED_VALUE"""),243)</f>
        <v>243</v>
      </c>
    </row>
    <row r="114" spans="1:5" ht="12.75">
      <c r="A114">
        <f ca="1">IFERROR(__xludf.DUMMYFUNCTION("""COMPUTED_VALUE"""),113)</f>
        <v>113</v>
      </c>
      <c r="B114">
        <f ca="1">IFERROR(__xludf.DUMMYFUNCTION("""COMPUTED_VALUE"""),110)</f>
        <v>110</v>
      </c>
      <c r="C114" t="str">
        <f ca="1">IFERROR(__xludf.DUMMYFUNCTION("""COMPUTED_VALUE"""),"Nate Lashley")</f>
        <v>Nate Lashley</v>
      </c>
      <c r="D114">
        <f ca="1">IFERROR(__xludf.DUMMYFUNCTION("""COMPUTED_VALUE"""),5)</f>
        <v>5</v>
      </c>
      <c r="E114">
        <f ca="1">IFERROR(__xludf.DUMMYFUNCTION("""COMPUTED_VALUE"""),243.1)</f>
        <v>243.1</v>
      </c>
    </row>
    <row r="115" spans="1:5" ht="12.75">
      <c r="A115">
        <f ca="1">IFERROR(__xludf.DUMMYFUNCTION("""COMPUTED_VALUE"""),114)</f>
        <v>114</v>
      </c>
      <c r="B115" t="str">
        <f ca="1">IFERROR(__xludf.DUMMYFUNCTION("""COMPUTED_VALUE"""),"T118")</f>
        <v>T118</v>
      </c>
      <c r="C115" t="str">
        <f ca="1">IFERROR(__xludf.DUMMYFUNCTION("""COMPUTED_VALUE"""),"Rickie Fowler")</f>
        <v>Rickie Fowler</v>
      </c>
      <c r="D115">
        <f ca="1">IFERROR(__xludf.DUMMYFUNCTION("""COMPUTED_VALUE"""),4)</f>
        <v>4</v>
      </c>
      <c r="E115">
        <f ca="1">IFERROR(__xludf.DUMMYFUNCTION("""COMPUTED_VALUE"""),243.3)</f>
        <v>243.3</v>
      </c>
    </row>
    <row r="116" spans="1:5" ht="12.75">
      <c r="A116">
        <f ca="1">IFERROR(__xludf.DUMMYFUNCTION("""COMPUTED_VALUE"""),115)</f>
        <v>115</v>
      </c>
      <c r="B116">
        <f ca="1">IFERROR(__xludf.DUMMYFUNCTION("""COMPUTED_VALUE"""),169)</f>
        <v>169</v>
      </c>
      <c r="C116" t="str">
        <f ca="1">IFERROR(__xludf.DUMMYFUNCTION("""COMPUTED_VALUE"""),"Sungjae Im")</f>
        <v>Sungjae Im</v>
      </c>
      <c r="D116">
        <f ca="1">IFERROR(__xludf.DUMMYFUNCTION("""COMPUTED_VALUE"""),6)</f>
        <v>6</v>
      </c>
      <c r="E116">
        <f ca="1">IFERROR(__xludf.DUMMYFUNCTION("""COMPUTED_VALUE"""),244.3)</f>
        <v>244.3</v>
      </c>
    </row>
    <row r="117" spans="1:5" ht="12.75">
      <c r="A117">
        <f ca="1">IFERROR(__xludf.DUMMYFUNCTION("""COMPUTED_VALUE"""),116)</f>
        <v>116</v>
      </c>
      <c r="B117">
        <f ca="1">IFERROR(__xludf.DUMMYFUNCTION("""COMPUTED_VALUE"""),109)</f>
        <v>109</v>
      </c>
      <c r="C117" t="str">
        <f ca="1">IFERROR(__xludf.DUMMYFUNCTION("""COMPUTED_VALUE"""),"Tae Hee Lee")</f>
        <v>Tae Hee Lee</v>
      </c>
      <c r="D117">
        <f ca="1">IFERROR(__xludf.DUMMYFUNCTION("""COMPUTED_VALUE"""),1)</f>
        <v>1</v>
      </c>
      <c r="E117">
        <f ca="1">IFERROR(__xludf.DUMMYFUNCTION("""COMPUTED_VALUE"""),244.7)</f>
        <v>244.7</v>
      </c>
    </row>
    <row r="118" spans="1:5" ht="12.75">
      <c r="A118">
        <f ca="1">IFERROR(__xludf.DUMMYFUNCTION("""COMPUTED_VALUE"""),117)</f>
        <v>117</v>
      </c>
      <c r="B118">
        <f ca="1">IFERROR(__xludf.DUMMYFUNCTION("""COMPUTED_VALUE"""),113)</f>
        <v>113</v>
      </c>
      <c r="C118" t="str">
        <f ca="1">IFERROR(__xludf.DUMMYFUNCTION("""COMPUTED_VALUE"""),"Kevin Kisner")</f>
        <v>Kevin Kisner</v>
      </c>
      <c r="D118">
        <f ca="1">IFERROR(__xludf.DUMMYFUNCTION("""COMPUTED_VALUE"""),3)</f>
        <v>3</v>
      </c>
      <c r="E118">
        <f ca="1">IFERROR(__xludf.DUMMYFUNCTION("""COMPUTED_VALUE"""),245.3)</f>
        <v>245.3</v>
      </c>
    </row>
    <row r="119" spans="1:5" ht="12.75">
      <c r="A119">
        <f ca="1">IFERROR(__xludf.DUMMYFUNCTION("""COMPUTED_VALUE"""),118)</f>
        <v>118</v>
      </c>
      <c r="B119">
        <f ca="1">IFERROR(__xludf.DUMMYFUNCTION("""COMPUTED_VALUE"""),167)</f>
        <v>167</v>
      </c>
      <c r="C119" t="str">
        <f ca="1">IFERROR(__xludf.DUMMYFUNCTION("""COMPUTED_VALUE"""),"Adam Long")</f>
        <v>Adam Long</v>
      </c>
      <c r="D119">
        <f ca="1">IFERROR(__xludf.DUMMYFUNCTION("""COMPUTED_VALUE"""),6)</f>
        <v>6</v>
      </c>
      <c r="E119">
        <f ca="1">IFERROR(__xludf.DUMMYFUNCTION("""COMPUTED_VALUE"""),245.5)</f>
        <v>245.5</v>
      </c>
    </row>
    <row r="120" spans="1:5" ht="12.75">
      <c r="A120">
        <f ca="1">IFERROR(__xludf.DUMMYFUNCTION("""COMPUTED_VALUE"""),119)</f>
        <v>119</v>
      </c>
      <c r="B120">
        <f ca="1">IFERROR(__xludf.DUMMYFUNCTION("""COMPUTED_VALUE"""),122)</f>
        <v>122</v>
      </c>
      <c r="C120" t="str">
        <f ca="1">IFERROR(__xludf.DUMMYFUNCTION("""COMPUTED_VALUE"""),"Kevin Na")</f>
        <v>Kevin Na</v>
      </c>
      <c r="D120">
        <f ca="1">IFERROR(__xludf.DUMMYFUNCTION("""COMPUTED_VALUE"""),4)</f>
        <v>4</v>
      </c>
      <c r="E120">
        <f ca="1">IFERROR(__xludf.DUMMYFUNCTION("""COMPUTED_VALUE"""),245.6)</f>
        <v>245.6</v>
      </c>
    </row>
    <row r="121" spans="1:5" ht="12.75">
      <c r="A121">
        <f ca="1">IFERROR(__xludf.DUMMYFUNCTION("""COMPUTED_VALUE"""),120)</f>
        <v>120</v>
      </c>
      <c r="B121">
        <f ca="1">IFERROR(__xludf.DUMMYFUNCTION("""COMPUTED_VALUE"""),170)</f>
        <v>170</v>
      </c>
      <c r="C121" t="str">
        <f ca="1">IFERROR(__xludf.DUMMYFUNCTION("""COMPUTED_VALUE"""),"Fabián Gómez")</f>
        <v>Fabián Gómez</v>
      </c>
      <c r="D121">
        <f ca="1">IFERROR(__xludf.DUMMYFUNCTION("""COMPUTED_VALUE"""),6)</f>
        <v>6</v>
      </c>
      <c r="E121">
        <f ca="1">IFERROR(__xludf.DUMMYFUNCTION("""COMPUTED_VALUE"""),246.2)</f>
        <v>246.2</v>
      </c>
    </row>
    <row r="122" spans="1:5" ht="12.75">
      <c r="A122">
        <f ca="1">IFERROR(__xludf.DUMMYFUNCTION("""COMPUTED_VALUE"""),121)</f>
        <v>121</v>
      </c>
      <c r="B122">
        <f ca="1">IFERROR(__xludf.DUMMYFUNCTION("""COMPUTED_VALUE"""),115)</f>
        <v>115</v>
      </c>
      <c r="C122" t="str">
        <f ca="1">IFERROR(__xludf.DUMMYFUNCTION("""COMPUTED_VALUE"""),"Charles Howell III")</f>
        <v>Charles Howell III</v>
      </c>
      <c r="D122">
        <f ca="1">IFERROR(__xludf.DUMMYFUNCTION("""COMPUTED_VALUE"""),3)</f>
        <v>3</v>
      </c>
      <c r="E122">
        <f ca="1">IFERROR(__xludf.DUMMYFUNCTION("""COMPUTED_VALUE"""),249.3)</f>
        <v>249.3</v>
      </c>
    </row>
    <row r="123" spans="1:5" ht="12.75">
      <c r="A123">
        <f ca="1">IFERROR(__xludf.DUMMYFUNCTION("""COMPUTED_VALUE"""),122)</f>
        <v>122</v>
      </c>
      <c r="B123">
        <f ca="1">IFERROR(__xludf.DUMMYFUNCTION("""COMPUTED_VALUE"""),106)</f>
        <v>106</v>
      </c>
      <c r="C123" t="str">
        <f ca="1">IFERROR(__xludf.DUMMYFUNCTION("""COMPUTED_VALUE"""),"Beau Hossler")</f>
        <v>Beau Hossler</v>
      </c>
      <c r="D123">
        <f ca="1">IFERROR(__xludf.DUMMYFUNCTION("""COMPUTED_VALUE"""),6)</f>
        <v>6</v>
      </c>
      <c r="E123">
        <f ca="1">IFERROR(__xludf.DUMMYFUNCTION("""COMPUTED_VALUE"""),250.6)</f>
        <v>250.6</v>
      </c>
    </row>
    <row r="124" spans="1:5" ht="12.75">
      <c r="A124">
        <f ca="1">IFERROR(__xludf.DUMMYFUNCTION("""COMPUTED_VALUE"""),123)</f>
        <v>123</v>
      </c>
      <c r="B124" t="str">
        <f ca="1">IFERROR(__xludf.DUMMYFUNCTION("""COMPUTED_VALUE"""),"T120")</f>
        <v>T120</v>
      </c>
      <c r="C124" t="str">
        <f ca="1">IFERROR(__xludf.DUMMYFUNCTION("""COMPUTED_VALUE"""),"Corey Conners")</f>
        <v>Corey Conners</v>
      </c>
      <c r="D124">
        <f ca="1">IFERROR(__xludf.DUMMYFUNCTION("""COMPUTED_VALUE"""),6)</f>
        <v>6</v>
      </c>
      <c r="E124">
        <f ca="1">IFERROR(__xludf.DUMMYFUNCTION("""COMPUTED_VALUE"""),250.9)</f>
        <v>250.9</v>
      </c>
    </row>
    <row r="125" spans="1:5" ht="12.75">
      <c r="A125">
        <f ca="1">IFERROR(__xludf.DUMMYFUNCTION("""COMPUTED_VALUE"""),124)</f>
        <v>124</v>
      </c>
      <c r="B125" t="str">
        <f ca="1">IFERROR(__xludf.DUMMYFUNCTION("""COMPUTED_VALUE"""),"T90")</f>
        <v>T90</v>
      </c>
      <c r="C125" t="str">
        <f ca="1">IFERROR(__xludf.DUMMYFUNCTION("""COMPUTED_VALUE"""),"Kelly Kraft")</f>
        <v>Kelly Kraft</v>
      </c>
      <c r="D125">
        <f ca="1">IFERROR(__xludf.DUMMYFUNCTION("""COMPUTED_VALUE"""),5)</f>
        <v>5</v>
      </c>
      <c r="E125">
        <f ca="1">IFERROR(__xludf.DUMMYFUNCTION("""COMPUTED_VALUE"""),251.1)</f>
        <v>251.1</v>
      </c>
    </row>
    <row r="126" spans="1:5" ht="12.75">
      <c r="A126">
        <f ca="1">IFERROR(__xludf.DUMMYFUNCTION("""COMPUTED_VALUE"""),125)</f>
        <v>125</v>
      </c>
      <c r="B126">
        <f ca="1">IFERROR(__xludf.DUMMYFUNCTION("""COMPUTED_VALUE"""),117)</f>
        <v>117</v>
      </c>
      <c r="C126" t="str">
        <f ca="1">IFERROR(__xludf.DUMMYFUNCTION("""COMPUTED_VALUE"""),"Zac Blair")</f>
        <v>Zac Blair</v>
      </c>
      <c r="D126">
        <f ca="1">IFERROR(__xludf.DUMMYFUNCTION("""COMPUTED_VALUE"""),4)</f>
        <v>4</v>
      </c>
      <c r="E126">
        <f ca="1">IFERROR(__xludf.DUMMYFUNCTION("""COMPUTED_VALUE"""),252.3)</f>
        <v>252.3</v>
      </c>
    </row>
    <row r="127" spans="1:5" ht="12.75">
      <c r="A127">
        <f ca="1">IFERROR(__xludf.DUMMYFUNCTION("""COMPUTED_VALUE"""),126)</f>
        <v>126</v>
      </c>
      <c r="B127">
        <f ca="1">IFERROR(__xludf.DUMMYFUNCTION("""COMPUTED_VALUE"""),138)</f>
        <v>138</v>
      </c>
      <c r="C127" t="str">
        <f ca="1">IFERROR(__xludf.DUMMYFUNCTION("""COMPUTED_VALUE"""),"Matthew Fitzpatrick")</f>
        <v>Matthew Fitzpatrick</v>
      </c>
      <c r="D127">
        <f ca="1">IFERROR(__xludf.DUMMYFUNCTION("""COMPUTED_VALUE"""),3)</f>
        <v>3</v>
      </c>
      <c r="E127">
        <f ca="1">IFERROR(__xludf.DUMMYFUNCTION("""COMPUTED_VALUE"""),252.5)</f>
        <v>252.5</v>
      </c>
    </row>
    <row r="128" spans="1:5" ht="12.75">
      <c r="A128">
        <f ca="1">IFERROR(__xludf.DUMMYFUNCTION("""COMPUTED_VALUE"""),127)</f>
        <v>127</v>
      </c>
      <c r="B128">
        <f ca="1">IFERROR(__xludf.DUMMYFUNCTION("""COMPUTED_VALUE"""),139)</f>
        <v>139</v>
      </c>
      <c r="C128" t="str">
        <f ca="1">IFERROR(__xludf.DUMMYFUNCTION("""COMPUTED_VALUE"""),"Alex Noren")</f>
        <v>Alex Noren</v>
      </c>
      <c r="D128">
        <f ca="1">IFERROR(__xludf.DUMMYFUNCTION("""COMPUTED_VALUE"""),4)</f>
        <v>4</v>
      </c>
      <c r="E128">
        <f ca="1">IFERROR(__xludf.DUMMYFUNCTION("""COMPUTED_VALUE"""),253.1)</f>
        <v>253.1</v>
      </c>
    </row>
    <row r="129" spans="1:5" ht="12.75">
      <c r="A129">
        <f ca="1">IFERROR(__xludf.DUMMYFUNCTION("""COMPUTED_VALUE"""),128)</f>
        <v>128</v>
      </c>
      <c r="B129">
        <f ca="1">IFERROR(__xludf.DUMMYFUNCTION("""COMPUTED_VALUE"""),98)</f>
        <v>98</v>
      </c>
      <c r="C129" t="str">
        <f ca="1">IFERROR(__xludf.DUMMYFUNCTION("""COMPUTED_VALUE"""),"Chris Kirk")</f>
        <v>Chris Kirk</v>
      </c>
      <c r="D129">
        <f ca="1">IFERROR(__xludf.DUMMYFUNCTION("""COMPUTED_VALUE"""),3)</f>
        <v>3</v>
      </c>
      <c r="E129">
        <f ca="1">IFERROR(__xludf.DUMMYFUNCTION("""COMPUTED_VALUE"""),253.4)</f>
        <v>253.4</v>
      </c>
    </row>
    <row r="130" spans="1:5" ht="12.75">
      <c r="A130">
        <f ca="1">IFERROR(__xludf.DUMMYFUNCTION("""COMPUTED_VALUE"""),129)</f>
        <v>129</v>
      </c>
      <c r="B130">
        <f ca="1">IFERROR(__xludf.DUMMYFUNCTION("""COMPUTED_VALUE"""),114)</f>
        <v>114</v>
      </c>
      <c r="C130" t="str">
        <f ca="1">IFERROR(__xludf.DUMMYFUNCTION("""COMPUTED_VALUE"""),"Jimmy Walker")</f>
        <v>Jimmy Walker</v>
      </c>
      <c r="D130">
        <f ca="1">IFERROR(__xludf.DUMMYFUNCTION("""COMPUTED_VALUE"""),4)</f>
        <v>4</v>
      </c>
      <c r="E130">
        <f ca="1">IFERROR(__xludf.DUMMYFUNCTION("""COMPUTED_VALUE"""),254.2)</f>
        <v>254.2</v>
      </c>
    </row>
    <row r="131" spans="1:5" ht="12.75">
      <c r="A131">
        <f ca="1">IFERROR(__xludf.DUMMYFUNCTION("""COMPUTED_VALUE"""),130)</f>
        <v>130</v>
      </c>
      <c r="B131">
        <f ca="1">IFERROR(__xludf.DUMMYFUNCTION("""COMPUTED_VALUE"""),129)</f>
        <v>129</v>
      </c>
      <c r="C131" t="str">
        <f ca="1">IFERROR(__xludf.DUMMYFUNCTION("""COMPUTED_VALUE"""),"Tommy Fleetwood")</f>
        <v>Tommy Fleetwood</v>
      </c>
      <c r="D131">
        <f ca="1">IFERROR(__xludf.DUMMYFUNCTION("""COMPUTED_VALUE"""),3)</f>
        <v>3</v>
      </c>
      <c r="E131">
        <f ca="1">IFERROR(__xludf.DUMMYFUNCTION("""COMPUTED_VALUE"""),255.8)</f>
        <v>255.8</v>
      </c>
    </row>
    <row r="132" spans="1:5" ht="12.75">
      <c r="A132">
        <f ca="1">IFERROR(__xludf.DUMMYFUNCTION("""COMPUTED_VALUE"""),131)</f>
        <v>131</v>
      </c>
      <c r="B132">
        <f ca="1">IFERROR(__xludf.DUMMYFUNCTION("""COMPUTED_VALUE"""),130)</f>
        <v>130</v>
      </c>
      <c r="C132" t="str">
        <f ca="1">IFERROR(__xludf.DUMMYFUNCTION("""COMPUTED_VALUE"""),"Chan Kim")</f>
        <v>Chan Kim</v>
      </c>
      <c r="D132">
        <f ca="1">IFERROR(__xludf.DUMMYFUNCTION("""COMPUTED_VALUE"""),2)</f>
        <v>2</v>
      </c>
      <c r="E132">
        <f ca="1">IFERROR(__xludf.DUMMYFUNCTION("""COMPUTED_VALUE"""),256.9)</f>
        <v>256.89999999999998</v>
      </c>
    </row>
    <row r="133" spans="1:5" ht="12.75">
      <c r="A133">
        <f ca="1">IFERROR(__xludf.DUMMYFUNCTION("""COMPUTED_VALUE"""),132)</f>
        <v>132</v>
      </c>
      <c r="B133" t="str">
        <f ca="1">IFERROR(__xludf.DUMMYFUNCTION("""COMPUTED_VALUE"""),"T120")</f>
        <v>T120</v>
      </c>
      <c r="C133" t="str">
        <f ca="1">IFERROR(__xludf.DUMMYFUNCTION("""COMPUTED_VALUE"""),"Lanto Griffin")</f>
        <v>Lanto Griffin</v>
      </c>
      <c r="D133">
        <f ca="1">IFERROR(__xludf.DUMMYFUNCTION("""COMPUTED_VALUE"""),5)</f>
        <v>5</v>
      </c>
      <c r="E133">
        <f ca="1">IFERROR(__xludf.DUMMYFUNCTION("""COMPUTED_VALUE"""),258.1)</f>
        <v>258.10000000000002</v>
      </c>
    </row>
    <row r="134" spans="1:5" ht="12.75">
      <c r="A134">
        <f ca="1">IFERROR(__xludf.DUMMYFUNCTION("""COMPUTED_VALUE"""),133)</f>
        <v>133</v>
      </c>
      <c r="B134">
        <f ca="1">IFERROR(__xludf.DUMMYFUNCTION("""COMPUTED_VALUE"""),128)</f>
        <v>128</v>
      </c>
      <c r="C134" t="str">
        <f ca="1">IFERROR(__xludf.DUMMYFUNCTION("""COMPUTED_VALUE"""),"Jay McLuen")</f>
        <v>Jay McLuen</v>
      </c>
      <c r="D134">
        <f ca="1">IFERROR(__xludf.DUMMYFUNCTION("""COMPUTED_VALUE"""),1)</f>
        <v>1</v>
      </c>
      <c r="E134">
        <f ca="1">IFERROR(__xludf.DUMMYFUNCTION("""COMPUTED_VALUE"""),258.2)</f>
        <v>258.2</v>
      </c>
    </row>
    <row r="135" spans="1:5" ht="12.75">
      <c r="A135">
        <f ca="1">IFERROR(__xludf.DUMMYFUNCTION("""COMPUTED_VALUE"""),134)</f>
        <v>134</v>
      </c>
      <c r="B135">
        <f ca="1">IFERROR(__xludf.DUMMYFUNCTION("""COMPUTED_VALUE"""),123)</f>
        <v>123</v>
      </c>
      <c r="C135" t="str">
        <f ca="1">IFERROR(__xludf.DUMMYFUNCTION("""COMPUTED_VALUE"""),"Webb Simpson")</f>
        <v>Webb Simpson</v>
      </c>
      <c r="D135">
        <f ca="1">IFERROR(__xludf.DUMMYFUNCTION("""COMPUTED_VALUE"""),3)</f>
        <v>3</v>
      </c>
      <c r="E135">
        <f ca="1">IFERROR(__xludf.DUMMYFUNCTION("""COMPUTED_VALUE"""),259)</f>
        <v>259</v>
      </c>
    </row>
    <row r="136" spans="1:5" ht="12.75">
      <c r="A136">
        <f ca="1">IFERROR(__xludf.DUMMYFUNCTION("""COMPUTED_VALUE"""),135)</f>
        <v>135</v>
      </c>
      <c r="B136">
        <f ca="1">IFERROR(__xludf.DUMMYFUNCTION("""COMPUTED_VALUE"""),99)</f>
        <v>99</v>
      </c>
      <c r="C136" t="str">
        <f ca="1">IFERROR(__xludf.DUMMYFUNCTION("""COMPUTED_VALUE"""),"Mark Hubbard")</f>
        <v>Mark Hubbard</v>
      </c>
      <c r="D136">
        <f ca="1">IFERROR(__xludf.DUMMYFUNCTION("""COMPUTED_VALUE"""),7)</f>
        <v>7</v>
      </c>
      <c r="E136">
        <f ca="1">IFERROR(__xludf.DUMMYFUNCTION("""COMPUTED_VALUE"""),259.3)</f>
        <v>259.3</v>
      </c>
    </row>
    <row r="137" spans="1:5" ht="12.75">
      <c r="A137">
        <f ca="1">IFERROR(__xludf.DUMMYFUNCTION("""COMPUTED_VALUE"""),136)</f>
        <v>136</v>
      </c>
      <c r="B137">
        <f ca="1">IFERROR(__xludf.DUMMYFUNCTION("""COMPUTED_VALUE"""),126)</f>
        <v>126</v>
      </c>
      <c r="C137" t="str">
        <f ca="1">IFERROR(__xludf.DUMMYFUNCTION("""COMPUTED_VALUE"""),"Lucas Glover")</f>
        <v>Lucas Glover</v>
      </c>
      <c r="D137">
        <f ca="1">IFERROR(__xludf.DUMMYFUNCTION("""COMPUTED_VALUE"""),4)</f>
        <v>4</v>
      </c>
      <c r="E137">
        <f ca="1">IFERROR(__xludf.DUMMYFUNCTION("""COMPUTED_VALUE"""),260)</f>
        <v>260</v>
      </c>
    </row>
    <row r="138" spans="1:5" ht="12.75">
      <c r="A138">
        <f ca="1">IFERROR(__xludf.DUMMYFUNCTION("""COMPUTED_VALUE"""),137)</f>
        <v>137</v>
      </c>
      <c r="B138">
        <f ca="1">IFERROR(__xludf.DUMMYFUNCTION("""COMPUTED_VALUE"""),131)</f>
        <v>131</v>
      </c>
      <c r="C138" t="str">
        <f ca="1">IFERROR(__xludf.DUMMYFUNCTION("""COMPUTED_VALUE"""),"Bryson DeChambeau")</f>
        <v>Bryson DeChambeau</v>
      </c>
      <c r="D138">
        <f ca="1">IFERROR(__xludf.DUMMYFUNCTION("""COMPUTED_VALUE"""),2)</f>
        <v>2</v>
      </c>
      <c r="E138">
        <f ca="1">IFERROR(__xludf.DUMMYFUNCTION("""COMPUTED_VALUE"""),260.1)</f>
        <v>260.10000000000002</v>
      </c>
    </row>
    <row r="139" spans="1:5" ht="12.75">
      <c r="A139">
        <f ca="1">IFERROR(__xludf.DUMMYFUNCTION("""COMPUTED_VALUE"""),138)</f>
        <v>138</v>
      </c>
      <c r="B139" t="str">
        <f ca="1">IFERROR(__xludf.DUMMYFUNCTION("""COMPUTED_VALUE"""),"T164")</f>
        <v>T164</v>
      </c>
      <c r="C139" t="str">
        <f ca="1">IFERROR(__xludf.DUMMYFUNCTION("""COMPUTED_VALUE"""),"Scott Stallings")</f>
        <v>Scott Stallings</v>
      </c>
      <c r="D139">
        <f ca="1">IFERROR(__xludf.DUMMYFUNCTION("""COMPUTED_VALUE"""),5)</f>
        <v>5</v>
      </c>
      <c r="E139">
        <f ca="1">IFERROR(__xludf.DUMMYFUNCTION("""COMPUTED_VALUE"""),261.4)</f>
        <v>261.39999999999998</v>
      </c>
    </row>
    <row r="140" spans="1:5" ht="12.75">
      <c r="A140">
        <f ca="1">IFERROR(__xludf.DUMMYFUNCTION("""COMPUTED_VALUE"""),139)</f>
        <v>139</v>
      </c>
      <c r="B140">
        <f ca="1">IFERROR(__xludf.DUMMYFUNCTION("""COMPUTED_VALUE"""),136)</f>
        <v>136</v>
      </c>
      <c r="C140" t="str">
        <f ca="1">IFERROR(__xludf.DUMMYFUNCTION("""COMPUTED_VALUE"""),"Akshay Bhatia")</f>
        <v>Akshay Bhatia</v>
      </c>
      <c r="D140">
        <f ca="1">IFERROR(__xludf.DUMMYFUNCTION("""COMPUTED_VALUE"""),2)</f>
        <v>2</v>
      </c>
      <c r="E140">
        <f ca="1">IFERROR(__xludf.DUMMYFUNCTION("""COMPUTED_VALUE"""),261.5)</f>
        <v>261.5</v>
      </c>
    </row>
    <row r="141" spans="1:5" ht="12.75">
      <c r="A141">
        <f ca="1">IFERROR(__xludf.DUMMYFUNCTION("""COMPUTED_VALUE"""),140)</f>
        <v>140</v>
      </c>
      <c r="B141">
        <f ca="1">IFERROR(__xludf.DUMMYFUNCTION("""COMPUTED_VALUE"""),77)</f>
        <v>77</v>
      </c>
      <c r="C141" t="str">
        <f ca="1">IFERROR(__xludf.DUMMYFUNCTION("""COMPUTED_VALUE"""),"Martin Trainer")</f>
        <v>Martin Trainer</v>
      </c>
      <c r="D141">
        <f ca="1">IFERROR(__xludf.DUMMYFUNCTION("""COMPUTED_VALUE"""),5)</f>
        <v>5</v>
      </c>
      <c r="E141">
        <f ca="1">IFERROR(__xludf.DUMMYFUNCTION("""COMPUTED_VALUE"""),261.7)</f>
        <v>261.7</v>
      </c>
    </row>
    <row r="142" spans="1:5" ht="12.75">
      <c r="A142">
        <f ca="1">IFERROR(__xludf.DUMMYFUNCTION("""COMPUTED_VALUE"""),141)</f>
        <v>141</v>
      </c>
      <c r="B142">
        <f ca="1">IFERROR(__xludf.DUMMYFUNCTION("""COMPUTED_VALUE"""),142)</f>
        <v>142</v>
      </c>
      <c r="C142" t="str">
        <f ca="1">IFERROR(__xludf.DUMMYFUNCTION("""COMPUTED_VALUE"""),"Adam Hadwin")</f>
        <v>Adam Hadwin</v>
      </c>
      <c r="D142">
        <f ca="1">IFERROR(__xludf.DUMMYFUNCTION("""COMPUTED_VALUE"""),4)</f>
        <v>4</v>
      </c>
      <c r="E142">
        <f ca="1">IFERROR(__xludf.DUMMYFUNCTION("""COMPUTED_VALUE"""),262.5)</f>
        <v>262.5</v>
      </c>
    </row>
    <row r="143" spans="1:5" ht="12.75">
      <c r="A143">
        <f ca="1">IFERROR(__xludf.DUMMYFUNCTION("""COMPUTED_VALUE"""),142)</f>
        <v>142</v>
      </c>
      <c r="B143">
        <f ca="1">IFERROR(__xludf.DUMMYFUNCTION("""COMPUTED_VALUE"""),125)</f>
        <v>125</v>
      </c>
      <c r="C143" t="str">
        <f ca="1">IFERROR(__xludf.DUMMYFUNCTION("""COMPUTED_VALUE"""),"Si Woo Kim")</f>
        <v>Si Woo Kim</v>
      </c>
      <c r="D143">
        <f ca="1">IFERROR(__xludf.DUMMYFUNCTION("""COMPUTED_VALUE"""),6)</f>
        <v>6</v>
      </c>
      <c r="E143">
        <f ca="1">IFERROR(__xludf.DUMMYFUNCTION("""COMPUTED_VALUE"""),263.1)</f>
        <v>263.10000000000002</v>
      </c>
    </row>
    <row r="144" spans="1:5" ht="12.75">
      <c r="A144">
        <f ca="1">IFERROR(__xludf.DUMMYFUNCTION("""COMPUTED_VALUE"""),143)</f>
        <v>143</v>
      </c>
      <c r="B144" t="str">
        <f ca="1">IFERROR(__xludf.DUMMYFUNCTION("""COMPUTED_VALUE"""),"")</f>
        <v/>
      </c>
      <c r="C144" t="str">
        <f ca="1">IFERROR(__xludf.DUMMYFUNCTION("""COMPUTED_VALUE"""),"Ollie Schniederjans")</f>
        <v>Ollie Schniederjans</v>
      </c>
      <c r="D144">
        <f ca="1">IFERROR(__xludf.DUMMYFUNCTION("""COMPUTED_VALUE"""),2)</f>
        <v>2</v>
      </c>
      <c r="E144">
        <f ca="1">IFERROR(__xludf.DUMMYFUNCTION("""COMPUTED_VALUE"""),264.6)</f>
        <v>264.60000000000002</v>
      </c>
    </row>
    <row r="145" spans="1:5" ht="12.75">
      <c r="A145">
        <f ca="1">IFERROR(__xludf.DUMMYFUNCTION("""COMPUTED_VALUE"""),144)</f>
        <v>144</v>
      </c>
      <c r="B145">
        <f ca="1">IFERROR(__xludf.DUMMYFUNCTION("""COMPUTED_VALUE"""),145)</f>
        <v>145</v>
      </c>
      <c r="C145" t="str">
        <f ca="1">IFERROR(__xludf.DUMMYFUNCTION("""COMPUTED_VALUE"""),"Doug Ghim")</f>
        <v>Doug Ghim</v>
      </c>
      <c r="D145">
        <f ca="1">IFERROR(__xludf.DUMMYFUNCTION("""COMPUTED_VALUE"""),4)</f>
        <v>4</v>
      </c>
      <c r="E145">
        <f ca="1">IFERROR(__xludf.DUMMYFUNCTION("""COMPUTED_VALUE"""),267.2)</f>
        <v>267.2</v>
      </c>
    </row>
    <row r="146" spans="1:5" ht="12.75">
      <c r="A146">
        <f ca="1">IFERROR(__xludf.DUMMYFUNCTION("""COMPUTED_VALUE"""),145)</f>
        <v>145</v>
      </c>
      <c r="B146">
        <f ca="1">IFERROR(__xludf.DUMMYFUNCTION("""COMPUTED_VALUE"""),141)</f>
        <v>141</v>
      </c>
      <c r="C146" t="str">
        <f ca="1">IFERROR(__xludf.DUMMYFUNCTION("""COMPUTED_VALUE"""),"Rory McIlroy")</f>
        <v>Rory McIlroy</v>
      </c>
      <c r="D146">
        <f ca="1">IFERROR(__xludf.DUMMYFUNCTION("""COMPUTED_VALUE"""),3)</f>
        <v>3</v>
      </c>
      <c r="E146">
        <f ca="1">IFERROR(__xludf.DUMMYFUNCTION("""COMPUTED_VALUE"""),267.3)</f>
        <v>267.3</v>
      </c>
    </row>
    <row r="147" spans="1:5" ht="12.75">
      <c r="A147">
        <f ca="1">IFERROR(__xludf.DUMMYFUNCTION("""COMPUTED_VALUE"""),146)</f>
        <v>146</v>
      </c>
      <c r="B147">
        <f ca="1">IFERROR(__xludf.DUMMYFUNCTION("""COMPUTED_VALUE"""),61)</f>
        <v>61</v>
      </c>
      <c r="C147" t="str">
        <f ca="1">IFERROR(__xludf.DUMMYFUNCTION("""COMPUTED_VALUE"""),"Satoshi Kodaira")</f>
        <v>Satoshi Kodaira</v>
      </c>
      <c r="D147">
        <f ca="1">IFERROR(__xludf.DUMMYFUNCTION("""COMPUTED_VALUE"""),4)</f>
        <v>4</v>
      </c>
      <c r="E147">
        <f ca="1">IFERROR(__xludf.DUMMYFUNCTION("""COMPUTED_VALUE"""),269)</f>
        <v>269</v>
      </c>
    </row>
    <row r="148" spans="1:5" ht="12.75">
      <c r="A148">
        <f ca="1">IFERROR(__xludf.DUMMYFUNCTION("""COMPUTED_VALUE"""),147)</f>
        <v>147</v>
      </c>
      <c r="B148">
        <f ca="1">IFERROR(__xludf.DUMMYFUNCTION("""COMPUTED_VALUE"""),168)</f>
        <v>168</v>
      </c>
      <c r="C148" t="str">
        <f ca="1">IFERROR(__xludf.DUMMYFUNCTION("""COMPUTED_VALUE"""),"Scottie Scheffler")</f>
        <v>Scottie Scheffler</v>
      </c>
      <c r="D148">
        <f ca="1">IFERROR(__xludf.DUMMYFUNCTION("""COMPUTED_VALUE"""),5)</f>
        <v>5</v>
      </c>
      <c r="E148">
        <f ca="1">IFERROR(__xludf.DUMMYFUNCTION("""COMPUTED_VALUE"""),270.1)</f>
        <v>270.10000000000002</v>
      </c>
    </row>
    <row r="149" spans="1:5" ht="12.75">
      <c r="A149" t="str">
        <f ca="1">IFERROR(__xludf.DUMMYFUNCTION("""COMPUTED_VALUE"""),"T148")</f>
        <v>T148</v>
      </c>
      <c r="B149">
        <f ca="1">IFERROR(__xludf.DUMMYFUNCTION("""COMPUTED_VALUE"""),154)</f>
        <v>154</v>
      </c>
      <c r="C149" t="str">
        <f ca="1">IFERROR(__xludf.DUMMYFUNCTION("""COMPUTED_VALUE"""),"Paul Casey")</f>
        <v>Paul Casey</v>
      </c>
      <c r="D149">
        <f ca="1">IFERROR(__xludf.DUMMYFUNCTION("""COMPUTED_VALUE"""),4)</f>
        <v>4</v>
      </c>
      <c r="E149">
        <f ca="1">IFERROR(__xludf.DUMMYFUNCTION("""COMPUTED_VALUE"""),272.8)</f>
        <v>272.8</v>
      </c>
    </row>
    <row r="150" spans="1:5" ht="12.75">
      <c r="A150" t="str">
        <f ca="1">IFERROR(__xludf.DUMMYFUNCTION("""COMPUTED_VALUE"""),"T148")</f>
        <v>T148</v>
      </c>
      <c r="B150">
        <f ca="1">IFERROR(__xludf.DUMMYFUNCTION("""COMPUTED_VALUE"""),134)</f>
        <v>134</v>
      </c>
      <c r="C150" t="str">
        <f ca="1">IFERROR(__xludf.DUMMYFUNCTION("""COMPUTED_VALUE"""),"Ryan Armour")</f>
        <v>Ryan Armour</v>
      </c>
      <c r="D150">
        <f ca="1">IFERROR(__xludf.DUMMYFUNCTION("""COMPUTED_VALUE"""),6)</f>
        <v>6</v>
      </c>
      <c r="E150">
        <f ca="1">IFERROR(__xludf.DUMMYFUNCTION("""COMPUTED_VALUE"""),272.8)</f>
        <v>272.8</v>
      </c>
    </row>
    <row r="151" spans="1:5" ht="12.75">
      <c r="A151">
        <f ca="1">IFERROR(__xludf.DUMMYFUNCTION("""COMPUTED_VALUE"""),150)</f>
        <v>150</v>
      </c>
      <c r="B151">
        <f ca="1">IFERROR(__xludf.DUMMYFUNCTION("""COMPUTED_VALUE"""),184)</f>
        <v>184</v>
      </c>
      <c r="C151" t="str">
        <f ca="1">IFERROR(__xludf.DUMMYFUNCTION("""COMPUTED_VALUE"""),"Bo Van Pelt")</f>
        <v>Bo Van Pelt</v>
      </c>
      <c r="D151">
        <f ca="1">IFERROR(__xludf.DUMMYFUNCTION("""COMPUTED_VALUE"""),5)</f>
        <v>5</v>
      </c>
      <c r="E151">
        <f ca="1">IFERROR(__xludf.DUMMYFUNCTION("""COMPUTED_VALUE"""),273.9)</f>
        <v>273.89999999999998</v>
      </c>
    </row>
    <row r="152" spans="1:5" ht="12.75">
      <c r="A152">
        <f ca="1">IFERROR(__xludf.DUMMYFUNCTION("""COMPUTED_VALUE"""),151)</f>
        <v>151</v>
      </c>
      <c r="B152" t="str">
        <f ca="1">IFERROR(__xludf.DUMMYFUNCTION("""COMPUTED_VALUE"""),"T233")</f>
        <v>T233</v>
      </c>
      <c r="C152" t="str">
        <f ca="1">IFERROR(__xludf.DUMMYFUNCTION("""COMPUTED_VALUE"""),"Kevin Stadler")</f>
        <v>Kevin Stadler</v>
      </c>
      <c r="D152">
        <f ca="1">IFERROR(__xludf.DUMMYFUNCTION("""COMPUTED_VALUE"""),4)</f>
        <v>4</v>
      </c>
      <c r="E152">
        <f ca="1">IFERROR(__xludf.DUMMYFUNCTION("""COMPUTED_VALUE"""),274)</f>
        <v>274</v>
      </c>
    </row>
    <row r="153" spans="1:5" ht="12.75">
      <c r="A153">
        <f ca="1">IFERROR(__xludf.DUMMYFUNCTION("""COMPUTED_VALUE"""),152)</f>
        <v>152</v>
      </c>
      <c r="B153">
        <f ca="1">IFERROR(__xludf.DUMMYFUNCTION("""COMPUTED_VALUE"""),144)</f>
        <v>144</v>
      </c>
      <c r="C153" t="str">
        <f ca="1">IFERROR(__xludf.DUMMYFUNCTION("""COMPUTED_VALUE"""),"Phil Mickelson")</f>
        <v>Phil Mickelson</v>
      </c>
      <c r="D153">
        <f ca="1">IFERROR(__xludf.DUMMYFUNCTION("""COMPUTED_VALUE"""),4)</f>
        <v>4</v>
      </c>
      <c r="E153">
        <f ca="1">IFERROR(__xludf.DUMMYFUNCTION("""COMPUTED_VALUE"""),274.3)</f>
        <v>274.3</v>
      </c>
    </row>
    <row r="154" spans="1:5" ht="12.75">
      <c r="A154">
        <f ca="1">IFERROR(__xludf.DUMMYFUNCTION("""COMPUTED_VALUE"""),153)</f>
        <v>153</v>
      </c>
      <c r="B154">
        <f ca="1">IFERROR(__xludf.DUMMYFUNCTION("""COMPUTED_VALUE"""),148)</f>
        <v>148</v>
      </c>
      <c r="C154" t="str">
        <f ca="1">IFERROR(__xludf.DUMMYFUNCTION("""COMPUTED_VALUE"""),"Mark Anderson")</f>
        <v>Mark Anderson</v>
      </c>
      <c r="D154">
        <f ca="1">IFERROR(__xludf.DUMMYFUNCTION("""COMPUTED_VALUE"""),4)</f>
        <v>4</v>
      </c>
      <c r="E154">
        <f ca="1">IFERROR(__xludf.DUMMYFUNCTION("""COMPUTED_VALUE"""),274.6)</f>
        <v>274.60000000000002</v>
      </c>
    </row>
    <row r="155" spans="1:5" ht="12.75">
      <c r="A155">
        <f ca="1">IFERROR(__xludf.DUMMYFUNCTION("""COMPUTED_VALUE"""),154)</f>
        <v>154</v>
      </c>
      <c r="B155">
        <f ca="1">IFERROR(__xludf.DUMMYFUNCTION("""COMPUTED_VALUE"""),153)</f>
        <v>153</v>
      </c>
      <c r="C155" t="str">
        <f ca="1">IFERROR(__xludf.DUMMYFUNCTION("""COMPUTED_VALUE"""),"William McGirt")</f>
        <v>William McGirt</v>
      </c>
      <c r="D155">
        <f ca="1">IFERROR(__xludf.DUMMYFUNCTION("""COMPUTED_VALUE"""),2)</f>
        <v>2</v>
      </c>
      <c r="E155">
        <f ca="1">IFERROR(__xludf.DUMMYFUNCTION("""COMPUTED_VALUE"""),274.9)</f>
        <v>274.89999999999998</v>
      </c>
    </row>
    <row r="156" spans="1:5" ht="12.75">
      <c r="A156">
        <f ca="1">IFERROR(__xludf.DUMMYFUNCTION("""COMPUTED_VALUE"""),155)</f>
        <v>155</v>
      </c>
      <c r="B156" t="str">
        <f ca="1">IFERROR(__xludf.DUMMYFUNCTION("""COMPUTED_VALUE"""),"")</f>
        <v/>
      </c>
      <c r="C156" t="str">
        <f ca="1">IFERROR(__xludf.DUMMYFUNCTION("""COMPUTED_VALUE"""),"Greg Chalmers")</f>
        <v>Greg Chalmers</v>
      </c>
      <c r="D156">
        <f ca="1">IFERROR(__xludf.DUMMYFUNCTION("""COMPUTED_VALUE"""),2)</f>
        <v>2</v>
      </c>
      <c r="E156">
        <f ca="1">IFERROR(__xludf.DUMMYFUNCTION("""COMPUTED_VALUE"""),275.1)</f>
        <v>275.10000000000002</v>
      </c>
    </row>
    <row r="157" spans="1:5" ht="12.75">
      <c r="A157">
        <f ca="1">IFERROR(__xludf.DUMMYFUNCTION("""COMPUTED_VALUE"""),156)</f>
        <v>156</v>
      </c>
      <c r="B157">
        <f ca="1">IFERROR(__xludf.DUMMYFUNCTION("""COMPUTED_VALUE"""),158)</f>
        <v>158</v>
      </c>
      <c r="C157" t="str">
        <f ca="1">IFERROR(__xludf.DUMMYFUNCTION("""COMPUTED_VALUE"""),"Stephan Jaeger")</f>
        <v>Stephan Jaeger</v>
      </c>
      <c r="D157">
        <f ca="1">IFERROR(__xludf.DUMMYFUNCTION("""COMPUTED_VALUE"""),1)</f>
        <v>1</v>
      </c>
      <c r="E157">
        <f ca="1">IFERROR(__xludf.DUMMYFUNCTION("""COMPUTED_VALUE"""),275.7)</f>
        <v>275.7</v>
      </c>
    </row>
    <row r="158" spans="1:5" ht="12.75">
      <c r="A158">
        <f ca="1">IFERROR(__xludf.DUMMYFUNCTION("""COMPUTED_VALUE"""),157)</f>
        <v>157</v>
      </c>
      <c r="B158">
        <f ca="1">IFERROR(__xludf.DUMMYFUNCTION("""COMPUTED_VALUE"""),160)</f>
        <v>160</v>
      </c>
      <c r="C158" t="str">
        <f ca="1">IFERROR(__xludf.DUMMYFUNCTION("""COMPUTED_VALUE"""),"Nick Watney")</f>
        <v>Nick Watney</v>
      </c>
      <c r="D158">
        <f ca="1">IFERROR(__xludf.DUMMYFUNCTION("""COMPUTED_VALUE"""),4)</f>
        <v>4</v>
      </c>
      <c r="E158">
        <f ca="1">IFERROR(__xludf.DUMMYFUNCTION("""COMPUTED_VALUE"""),275.9)</f>
        <v>275.89999999999998</v>
      </c>
    </row>
    <row r="159" spans="1:5" ht="12.75">
      <c r="A159">
        <f ca="1">IFERROR(__xludf.DUMMYFUNCTION("""COMPUTED_VALUE"""),158)</f>
        <v>158</v>
      </c>
      <c r="B159" t="str">
        <f ca="1">IFERROR(__xludf.DUMMYFUNCTION("""COMPUTED_VALUE"""),"T150")</f>
        <v>T150</v>
      </c>
      <c r="C159" t="str">
        <f ca="1">IFERROR(__xludf.DUMMYFUNCTION("""COMPUTED_VALUE"""),"Chris Stroud")</f>
        <v>Chris Stroud</v>
      </c>
      <c r="D159">
        <f ca="1">IFERROR(__xludf.DUMMYFUNCTION("""COMPUTED_VALUE"""),3)</f>
        <v>3</v>
      </c>
      <c r="E159">
        <f ca="1">IFERROR(__xludf.DUMMYFUNCTION("""COMPUTED_VALUE"""),276.3)</f>
        <v>276.3</v>
      </c>
    </row>
    <row r="160" spans="1:5" ht="12.75">
      <c r="A160">
        <f ca="1">IFERROR(__xludf.DUMMYFUNCTION("""COMPUTED_VALUE"""),159)</f>
        <v>159</v>
      </c>
      <c r="B160">
        <f ca="1">IFERROR(__xludf.DUMMYFUNCTION("""COMPUTED_VALUE"""),182)</f>
        <v>182</v>
      </c>
      <c r="C160" t="str">
        <f ca="1">IFERROR(__xludf.DUMMYFUNCTION("""COMPUTED_VALUE"""),"Carlos Ortiz")</f>
        <v>Carlos Ortiz</v>
      </c>
      <c r="D160">
        <f ca="1">IFERROR(__xludf.DUMMYFUNCTION("""COMPUTED_VALUE"""),6)</f>
        <v>6</v>
      </c>
      <c r="E160">
        <f ca="1">IFERROR(__xludf.DUMMYFUNCTION("""COMPUTED_VALUE"""),279.4)</f>
        <v>279.39999999999998</v>
      </c>
    </row>
    <row r="161" spans="1:5" ht="12.75">
      <c r="A161">
        <f ca="1">IFERROR(__xludf.DUMMYFUNCTION("""COMPUTED_VALUE"""),160)</f>
        <v>160</v>
      </c>
      <c r="B161">
        <f ca="1">IFERROR(__xludf.DUMMYFUNCTION("""COMPUTED_VALUE"""),157)</f>
        <v>157</v>
      </c>
      <c r="C161" t="str">
        <f ca="1">IFERROR(__xludf.DUMMYFUNCTION("""COMPUTED_VALUE"""),"Patrick Cantlay")</f>
        <v>Patrick Cantlay</v>
      </c>
      <c r="D161">
        <f ca="1">IFERROR(__xludf.DUMMYFUNCTION("""COMPUTED_VALUE"""),4)</f>
        <v>4</v>
      </c>
      <c r="E161">
        <f ca="1">IFERROR(__xludf.DUMMYFUNCTION("""COMPUTED_VALUE"""),281)</f>
        <v>281</v>
      </c>
    </row>
    <row r="162" spans="1:5" ht="12.75">
      <c r="A162">
        <f ca="1">IFERROR(__xludf.DUMMYFUNCTION("""COMPUTED_VALUE"""),161)</f>
        <v>161</v>
      </c>
      <c r="B162">
        <f ca="1">IFERROR(__xludf.DUMMYFUNCTION("""COMPUTED_VALUE"""),146)</f>
        <v>146</v>
      </c>
      <c r="C162" t="str">
        <f ca="1">IFERROR(__xludf.DUMMYFUNCTION("""COMPUTED_VALUE"""),"Sergio Garcia")</f>
        <v>Sergio Garcia</v>
      </c>
      <c r="D162">
        <f ca="1">IFERROR(__xludf.DUMMYFUNCTION("""COMPUTED_VALUE"""),6)</f>
        <v>6</v>
      </c>
      <c r="E162">
        <f ca="1">IFERROR(__xludf.DUMMYFUNCTION("""COMPUTED_VALUE"""),282.1)</f>
        <v>282.10000000000002</v>
      </c>
    </row>
    <row r="163" spans="1:5" ht="12.75">
      <c r="A163">
        <f ca="1">IFERROR(__xludf.DUMMYFUNCTION("""COMPUTED_VALUE"""),162)</f>
        <v>162</v>
      </c>
      <c r="B163">
        <f ca="1">IFERROR(__xludf.DUMMYFUNCTION("""COMPUTED_VALUE"""),132)</f>
        <v>132</v>
      </c>
      <c r="C163" t="str">
        <f ca="1">IFERROR(__xludf.DUMMYFUNCTION("""COMPUTED_VALUE"""),"Jamie Lovemark")</f>
        <v>Jamie Lovemark</v>
      </c>
      <c r="D163">
        <f ca="1">IFERROR(__xludf.DUMMYFUNCTION("""COMPUTED_VALUE"""),6)</f>
        <v>6</v>
      </c>
      <c r="E163">
        <f ca="1">IFERROR(__xludf.DUMMYFUNCTION("""COMPUTED_VALUE"""),282.2)</f>
        <v>282.2</v>
      </c>
    </row>
    <row r="164" spans="1:5" ht="12.75">
      <c r="A164">
        <f ca="1">IFERROR(__xludf.DUMMYFUNCTION("""COMPUTED_VALUE"""),163)</f>
        <v>163</v>
      </c>
      <c r="B164">
        <f ca="1">IFERROR(__xludf.DUMMYFUNCTION("""COMPUTED_VALUE"""),159)</f>
        <v>159</v>
      </c>
      <c r="C164" t="str">
        <f ca="1">IFERROR(__xludf.DUMMYFUNCTION("""COMPUTED_VALUE"""),"Jim Furyk")</f>
        <v>Jim Furyk</v>
      </c>
      <c r="D164">
        <f ca="1">IFERROR(__xludf.DUMMYFUNCTION("""COMPUTED_VALUE"""),1)</f>
        <v>1</v>
      </c>
      <c r="E164">
        <f ca="1">IFERROR(__xludf.DUMMYFUNCTION("""COMPUTED_VALUE"""),282.9)</f>
        <v>282.89999999999998</v>
      </c>
    </row>
    <row r="165" spans="1:5" ht="12.75">
      <c r="A165">
        <f ca="1">IFERROR(__xludf.DUMMYFUNCTION("""COMPUTED_VALUE"""),164)</f>
        <v>164</v>
      </c>
      <c r="B165" t="str">
        <f ca="1">IFERROR(__xludf.DUMMYFUNCTION("""COMPUTED_VALUE"""),"T150")</f>
        <v>T150</v>
      </c>
      <c r="C165" t="str">
        <f ca="1">IFERROR(__xludf.DUMMYFUNCTION("""COMPUTED_VALUE"""),"Will Gordon")</f>
        <v>Will Gordon</v>
      </c>
      <c r="D165">
        <f ca="1">IFERROR(__xludf.DUMMYFUNCTION("""COMPUTED_VALUE"""),6)</f>
        <v>6</v>
      </c>
      <c r="E165">
        <f ca="1">IFERROR(__xludf.DUMMYFUNCTION("""COMPUTED_VALUE"""),283.2)</f>
        <v>283.2</v>
      </c>
    </row>
    <row r="166" spans="1:5" ht="12.75">
      <c r="A166">
        <f ca="1">IFERROR(__xludf.DUMMYFUNCTION("""COMPUTED_VALUE"""),165)</f>
        <v>165</v>
      </c>
      <c r="B166">
        <f ca="1">IFERROR(__xludf.DUMMYFUNCTION("""COMPUTED_VALUE"""),171)</f>
        <v>171</v>
      </c>
      <c r="C166" t="str">
        <f ca="1">IFERROR(__xludf.DUMMYFUNCTION("""COMPUTED_VALUE"""),"Brandon Hagy")</f>
        <v>Brandon Hagy</v>
      </c>
      <c r="D166">
        <f ca="1">IFERROR(__xludf.DUMMYFUNCTION("""COMPUTED_VALUE"""),4)</f>
        <v>4</v>
      </c>
      <c r="E166">
        <f ca="1">IFERROR(__xludf.DUMMYFUNCTION("""COMPUTED_VALUE"""),283.8)</f>
        <v>283.8</v>
      </c>
    </row>
    <row r="167" spans="1:5" ht="12.75">
      <c r="A167">
        <f ca="1">IFERROR(__xludf.DUMMYFUNCTION("""COMPUTED_VALUE"""),166)</f>
        <v>166</v>
      </c>
      <c r="B167">
        <f ca="1">IFERROR(__xludf.DUMMYFUNCTION("""COMPUTED_VALUE"""),156)</f>
        <v>156</v>
      </c>
      <c r="C167" t="str">
        <f ca="1">IFERROR(__xludf.DUMMYFUNCTION("""COMPUTED_VALUE"""),"Kyle Stanley")</f>
        <v>Kyle Stanley</v>
      </c>
      <c r="D167">
        <f ca="1">IFERROR(__xludf.DUMMYFUNCTION("""COMPUTED_VALUE"""),5)</f>
        <v>5</v>
      </c>
      <c r="E167">
        <f ca="1">IFERROR(__xludf.DUMMYFUNCTION("""COMPUTED_VALUE"""),286.3)</f>
        <v>286.3</v>
      </c>
    </row>
    <row r="168" spans="1:5" ht="12.75">
      <c r="A168">
        <f ca="1">IFERROR(__xludf.DUMMYFUNCTION("""COMPUTED_VALUE"""),167)</f>
        <v>167</v>
      </c>
      <c r="B168" t="str">
        <f ca="1">IFERROR(__xludf.DUMMYFUNCTION("""COMPUTED_VALUE"""),"T164")</f>
        <v>T164</v>
      </c>
      <c r="C168" t="str">
        <f ca="1">IFERROR(__xludf.DUMMYFUNCTION("""COMPUTED_VALUE"""),"Kiradech Aphibarnrat")</f>
        <v>Kiradech Aphibarnrat</v>
      </c>
      <c r="D168">
        <f ca="1">IFERROR(__xludf.DUMMYFUNCTION("""COMPUTED_VALUE"""),4)</f>
        <v>4</v>
      </c>
      <c r="E168">
        <f ca="1">IFERROR(__xludf.DUMMYFUNCTION("""COMPUTED_VALUE"""),288.4)</f>
        <v>288.39999999999998</v>
      </c>
    </row>
    <row r="169" spans="1:5" ht="12.75">
      <c r="A169">
        <f ca="1">IFERROR(__xludf.DUMMYFUNCTION("""COMPUTED_VALUE"""),168)</f>
        <v>168</v>
      </c>
      <c r="B169">
        <f ca="1">IFERROR(__xludf.DUMMYFUNCTION("""COMPUTED_VALUE"""),155)</f>
        <v>155</v>
      </c>
      <c r="C169" t="str">
        <f ca="1">IFERROR(__xludf.DUMMYFUNCTION("""COMPUTED_VALUE"""),"Kevin Chappell")</f>
        <v>Kevin Chappell</v>
      </c>
      <c r="D169">
        <f ca="1">IFERROR(__xludf.DUMMYFUNCTION("""COMPUTED_VALUE"""),5)</f>
        <v>5</v>
      </c>
      <c r="E169">
        <f ca="1">IFERROR(__xludf.DUMMYFUNCTION("""COMPUTED_VALUE"""),288.9)</f>
        <v>288.89999999999998</v>
      </c>
    </row>
    <row r="170" spans="1:5" ht="12.75">
      <c r="A170">
        <f ca="1">IFERROR(__xludf.DUMMYFUNCTION("""COMPUTED_VALUE"""),169)</f>
        <v>169</v>
      </c>
      <c r="B170">
        <f ca="1">IFERROR(__xludf.DUMMYFUNCTION("""COMPUTED_VALUE"""),176)</f>
        <v>176</v>
      </c>
      <c r="C170" t="str">
        <f ca="1">IFERROR(__xludf.DUMMYFUNCTION("""COMPUTED_VALUE"""),"Thomas Pieters")</f>
        <v>Thomas Pieters</v>
      </c>
      <c r="D170">
        <f ca="1">IFERROR(__xludf.DUMMYFUNCTION("""COMPUTED_VALUE"""),1)</f>
        <v>1</v>
      </c>
      <c r="E170">
        <f ca="1">IFERROR(__xludf.DUMMYFUNCTION("""COMPUTED_VALUE"""),291.8)</f>
        <v>291.8</v>
      </c>
    </row>
    <row r="171" spans="1:5" ht="12.75">
      <c r="A171">
        <f ca="1">IFERROR(__xludf.DUMMYFUNCTION("""COMPUTED_VALUE"""),170)</f>
        <v>170</v>
      </c>
      <c r="B171" t="str">
        <f ca="1">IFERROR(__xludf.DUMMYFUNCTION("""COMPUTED_VALUE"""),"T56")</f>
        <v>T56</v>
      </c>
      <c r="C171" t="str">
        <f ca="1">IFERROR(__xludf.DUMMYFUNCTION("""COMPUTED_VALUE"""),"Scott Harrington")</f>
        <v>Scott Harrington</v>
      </c>
      <c r="D171">
        <f ca="1">IFERROR(__xludf.DUMMYFUNCTION("""COMPUTED_VALUE"""),6)</f>
        <v>6</v>
      </c>
      <c r="E171">
        <f ca="1">IFERROR(__xludf.DUMMYFUNCTION("""COMPUTED_VALUE"""),294.9)</f>
        <v>294.89999999999998</v>
      </c>
    </row>
    <row r="172" spans="1:5" ht="12.75">
      <c r="A172">
        <f ca="1">IFERROR(__xludf.DUMMYFUNCTION("""COMPUTED_VALUE"""),171)</f>
        <v>171</v>
      </c>
      <c r="B172">
        <f ca="1">IFERROR(__xludf.DUMMYFUNCTION("""COMPUTED_VALUE"""),137)</f>
        <v>137</v>
      </c>
      <c r="C172" t="str">
        <f ca="1">IFERROR(__xludf.DUMMYFUNCTION("""COMPUTED_VALUE"""),"Matthew NeSmith")</f>
        <v>Matthew NeSmith</v>
      </c>
      <c r="D172">
        <f ca="1">IFERROR(__xludf.DUMMYFUNCTION("""COMPUTED_VALUE"""),5)</f>
        <v>5</v>
      </c>
      <c r="E172">
        <f ca="1">IFERROR(__xludf.DUMMYFUNCTION("""COMPUTED_VALUE"""),296.8)</f>
        <v>296.8</v>
      </c>
    </row>
    <row r="173" spans="1:5" ht="12.75">
      <c r="A173">
        <f ca="1">IFERROR(__xludf.DUMMYFUNCTION("""COMPUTED_VALUE"""),172)</f>
        <v>172</v>
      </c>
      <c r="B173">
        <f ca="1">IFERROR(__xludf.DUMMYFUNCTION("""COMPUTED_VALUE"""),124)</f>
        <v>124</v>
      </c>
      <c r="C173" t="str">
        <f ca="1">IFERROR(__xludf.DUMMYFUNCTION("""COMPUTED_VALUE"""),"Shane Lowry")</f>
        <v>Shane Lowry</v>
      </c>
      <c r="D173">
        <f ca="1">IFERROR(__xludf.DUMMYFUNCTION("""COMPUTED_VALUE"""),4)</f>
        <v>4</v>
      </c>
      <c r="E173">
        <f ca="1">IFERROR(__xludf.DUMMYFUNCTION("""COMPUTED_VALUE"""),297)</f>
        <v>297</v>
      </c>
    </row>
    <row r="174" spans="1:5" ht="12.75">
      <c r="A174">
        <f ca="1">IFERROR(__xludf.DUMMYFUNCTION("""COMPUTED_VALUE"""),173)</f>
        <v>173</v>
      </c>
      <c r="B174">
        <f ca="1">IFERROR(__xludf.DUMMYFUNCTION("""COMPUTED_VALUE"""),173)</f>
        <v>173</v>
      </c>
      <c r="C174" t="str">
        <f ca="1">IFERROR(__xludf.DUMMYFUNCTION("""COMPUTED_VALUE"""),"J.B. Holmes")</f>
        <v>J.B. Holmes</v>
      </c>
      <c r="D174">
        <f ca="1">IFERROR(__xludf.DUMMYFUNCTION("""COMPUTED_VALUE"""),3)</f>
        <v>3</v>
      </c>
      <c r="E174">
        <f ca="1">IFERROR(__xludf.DUMMYFUNCTION("""COMPUTED_VALUE"""),297.3)</f>
        <v>297.3</v>
      </c>
    </row>
    <row r="175" spans="1:5" ht="12.75">
      <c r="A175">
        <f ca="1">IFERROR(__xludf.DUMMYFUNCTION("""COMPUTED_VALUE"""),174)</f>
        <v>174</v>
      </c>
      <c r="B175">
        <f ca="1">IFERROR(__xludf.DUMMYFUNCTION("""COMPUTED_VALUE"""),175)</f>
        <v>175</v>
      </c>
      <c r="C175" t="str">
        <f ca="1">IFERROR(__xludf.DUMMYFUNCTION("""COMPUTED_VALUE"""),"Thomas Detry")</f>
        <v>Thomas Detry</v>
      </c>
      <c r="D175">
        <f ca="1">IFERROR(__xludf.DUMMYFUNCTION("""COMPUTED_VALUE"""),2)</f>
        <v>2</v>
      </c>
      <c r="E175">
        <f ca="1">IFERROR(__xludf.DUMMYFUNCTION("""COMPUTED_VALUE"""),297.4)</f>
        <v>297.39999999999998</v>
      </c>
    </row>
    <row r="176" spans="1:5" ht="12.75">
      <c r="A176">
        <f ca="1">IFERROR(__xludf.DUMMYFUNCTION("""COMPUTED_VALUE"""),175)</f>
        <v>175</v>
      </c>
      <c r="B176">
        <f ca="1">IFERROR(__xludf.DUMMYFUNCTION("""COMPUTED_VALUE"""),143)</f>
        <v>143</v>
      </c>
      <c r="C176" t="str">
        <f ca="1">IFERROR(__xludf.DUMMYFUNCTION("""COMPUTED_VALUE"""),"Kyoung-Hoon Lee")</f>
        <v>Kyoung-Hoon Lee</v>
      </c>
      <c r="D176">
        <f ca="1">IFERROR(__xludf.DUMMYFUNCTION("""COMPUTED_VALUE"""),7)</f>
        <v>7</v>
      </c>
      <c r="E176">
        <f ca="1">IFERROR(__xludf.DUMMYFUNCTION("""COMPUTED_VALUE"""),297.5)</f>
        <v>297.5</v>
      </c>
    </row>
    <row r="177" spans="1:5" ht="12.75">
      <c r="A177">
        <f ca="1">IFERROR(__xludf.DUMMYFUNCTION("""COMPUTED_VALUE"""),176)</f>
        <v>176</v>
      </c>
      <c r="B177">
        <f ca="1">IFERROR(__xludf.DUMMYFUNCTION("""COMPUTED_VALUE"""),181)</f>
        <v>181</v>
      </c>
      <c r="C177" t="str">
        <f ca="1">IFERROR(__xludf.DUMMYFUNCTION("""COMPUTED_VALUE"""),"Abraham Ancer")</f>
        <v>Abraham Ancer</v>
      </c>
      <c r="D177">
        <f ca="1">IFERROR(__xludf.DUMMYFUNCTION("""COMPUTED_VALUE"""),4)</f>
        <v>4</v>
      </c>
      <c r="E177">
        <f ca="1">IFERROR(__xludf.DUMMYFUNCTION("""COMPUTED_VALUE"""),298)</f>
        <v>298</v>
      </c>
    </row>
    <row r="178" spans="1:5" ht="12.75">
      <c r="A178">
        <f ca="1">IFERROR(__xludf.DUMMYFUNCTION("""COMPUTED_VALUE"""),177)</f>
        <v>177</v>
      </c>
      <c r="B178">
        <f ca="1">IFERROR(__xludf.DUMMYFUNCTION("""COMPUTED_VALUE"""),178)</f>
        <v>178</v>
      </c>
      <c r="C178" t="str">
        <f ca="1">IFERROR(__xludf.DUMMYFUNCTION("""COMPUTED_VALUE"""),"Romain Langasque")</f>
        <v>Romain Langasque</v>
      </c>
      <c r="D178">
        <f ca="1">IFERROR(__xludf.DUMMYFUNCTION("""COMPUTED_VALUE"""),1)</f>
        <v>1</v>
      </c>
      <c r="E178">
        <f ca="1">IFERROR(__xludf.DUMMYFUNCTION("""COMPUTED_VALUE"""),299.7)</f>
        <v>299.7</v>
      </c>
    </row>
    <row r="179" spans="1:5" ht="12.75">
      <c r="A179">
        <f ca="1">IFERROR(__xludf.DUMMYFUNCTION("""COMPUTED_VALUE"""),178)</f>
        <v>178</v>
      </c>
      <c r="B179">
        <f ca="1">IFERROR(__xludf.DUMMYFUNCTION("""COMPUTED_VALUE"""),75)</f>
        <v>75</v>
      </c>
      <c r="C179" t="str">
        <f ca="1">IFERROR(__xludf.DUMMYFUNCTION("""COMPUTED_VALUE"""),"James Hahn")</f>
        <v>James Hahn</v>
      </c>
      <c r="D179">
        <f ca="1">IFERROR(__xludf.DUMMYFUNCTION("""COMPUTED_VALUE"""),4)</f>
        <v>4</v>
      </c>
      <c r="E179">
        <f ca="1">IFERROR(__xludf.DUMMYFUNCTION("""COMPUTED_VALUE"""),299.8)</f>
        <v>299.8</v>
      </c>
    </row>
    <row r="180" spans="1:5" ht="12.75">
      <c r="A180">
        <f ca="1">IFERROR(__xludf.DUMMYFUNCTION("""COMPUTED_VALUE"""),179)</f>
        <v>179</v>
      </c>
      <c r="B180">
        <f ca="1">IFERROR(__xludf.DUMMYFUNCTION("""COMPUTED_VALUE"""),180)</f>
        <v>180</v>
      </c>
      <c r="C180" t="str">
        <f ca="1">IFERROR(__xludf.DUMMYFUNCTION("""COMPUTED_VALUE"""),"Tiger Woods")</f>
        <v>Tiger Woods</v>
      </c>
      <c r="D180">
        <f ca="1">IFERROR(__xludf.DUMMYFUNCTION("""COMPUTED_VALUE"""),2)</f>
        <v>2</v>
      </c>
      <c r="E180">
        <f ca="1">IFERROR(__xludf.DUMMYFUNCTION("""COMPUTED_VALUE"""),300.4)</f>
        <v>300.39999999999998</v>
      </c>
    </row>
    <row r="181" spans="1:5" ht="12.75">
      <c r="A181">
        <f ca="1">IFERROR(__xludf.DUMMYFUNCTION("""COMPUTED_VALUE"""),180)</f>
        <v>180</v>
      </c>
      <c r="B181">
        <f ca="1">IFERROR(__xludf.DUMMYFUNCTION("""COMPUTED_VALUE"""),162)</f>
        <v>162</v>
      </c>
      <c r="C181" t="str">
        <f ca="1">IFERROR(__xludf.DUMMYFUNCTION("""COMPUTED_VALUE"""),"Emiliano Grillo")</f>
        <v>Emiliano Grillo</v>
      </c>
      <c r="D181">
        <f ca="1">IFERROR(__xludf.DUMMYFUNCTION("""COMPUTED_VALUE"""),6)</f>
        <v>6</v>
      </c>
      <c r="E181">
        <f ca="1">IFERROR(__xludf.DUMMYFUNCTION("""COMPUTED_VALUE"""),300.6)</f>
        <v>300.60000000000002</v>
      </c>
    </row>
    <row r="182" spans="1:5" ht="12.75">
      <c r="A182">
        <f ca="1">IFERROR(__xludf.DUMMYFUNCTION("""COMPUTED_VALUE"""),181)</f>
        <v>181</v>
      </c>
      <c r="B182">
        <f ca="1">IFERROR(__xludf.DUMMYFUNCTION("""COMPUTED_VALUE"""),201)</f>
        <v>201</v>
      </c>
      <c r="C182" t="str">
        <f ca="1">IFERROR(__xludf.DUMMYFUNCTION("""COMPUTED_VALUE"""),"Viktor Hovland")</f>
        <v>Viktor Hovland</v>
      </c>
      <c r="D182">
        <f ca="1">IFERROR(__xludf.DUMMYFUNCTION("""COMPUTED_VALUE"""),4)</f>
        <v>4</v>
      </c>
      <c r="E182">
        <f ca="1">IFERROR(__xludf.DUMMYFUNCTION("""COMPUTED_VALUE"""),302.6)</f>
        <v>302.60000000000002</v>
      </c>
    </row>
    <row r="183" spans="1:5" ht="12.75">
      <c r="A183">
        <f ca="1">IFERROR(__xludf.DUMMYFUNCTION("""COMPUTED_VALUE"""),182)</f>
        <v>182</v>
      </c>
      <c r="B183">
        <f ca="1">IFERROR(__xludf.DUMMYFUNCTION("""COMPUTED_VALUE"""),183)</f>
        <v>183</v>
      </c>
      <c r="C183" t="str">
        <f ca="1">IFERROR(__xludf.DUMMYFUNCTION("""COMPUTED_VALUE"""),"Jon Rahm")</f>
        <v>Jon Rahm</v>
      </c>
      <c r="D183">
        <f ca="1">IFERROR(__xludf.DUMMYFUNCTION("""COMPUTED_VALUE"""),3)</f>
        <v>3</v>
      </c>
      <c r="E183">
        <f ca="1">IFERROR(__xludf.DUMMYFUNCTION("""COMPUTED_VALUE"""),303.3)</f>
        <v>303.3</v>
      </c>
    </row>
    <row r="184" spans="1:5" ht="12.75">
      <c r="A184">
        <f ca="1">IFERROR(__xludf.DUMMYFUNCTION("""COMPUTED_VALUE"""),183)</f>
        <v>183</v>
      </c>
      <c r="B184">
        <f ca="1">IFERROR(__xludf.DUMMYFUNCTION("""COMPUTED_VALUE"""),202)</f>
        <v>202</v>
      </c>
      <c r="C184" t="str">
        <f ca="1">IFERROR(__xludf.DUMMYFUNCTION("""COMPUTED_VALUE"""),"Luke List")</f>
        <v>Luke List</v>
      </c>
      <c r="D184">
        <f ca="1">IFERROR(__xludf.DUMMYFUNCTION("""COMPUTED_VALUE"""),6)</f>
        <v>6</v>
      </c>
      <c r="E184">
        <f ca="1">IFERROR(__xludf.DUMMYFUNCTION("""COMPUTED_VALUE"""),304.6)</f>
        <v>304.60000000000002</v>
      </c>
    </row>
    <row r="185" spans="1:5" ht="12.75">
      <c r="A185">
        <f ca="1">IFERROR(__xludf.DUMMYFUNCTION("""COMPUTED_VALUE"""),184)</f>
        <v>184</v>
      </c>
      <c r="B185">
        <f ca="1">IFERROR(__xludf.DUMMYFUNCTION("""COMPUTED_VALUE"""),208)</f>
        <v>208</v>
      </c>
      <c r="C185" t="str">
        <f ca="1">IFERROR(__xludf.DUMMYFUNCTION("""COMPUTED_VALUE"""),"Aaron Wise")</f>
        <v>Aaron Wise</v>
      </c>
      <c r="D185">
        <f ca="1">IFERROR(__xludf.DUMMYFUNCTION("""COMPUTED_VALUE"""),5)</f>
        <v>5</v>
      </c>
      <c r="E185">
        <f ca="1">IFERROR(__xludf.DUMMYFUNCTION("""COMPUTED_VALUE"""),308.3)</f>
        <v>308.3</v>
      </c>
    </row>
    <row r="186" spans="1:5" ht="12.75">
      <c r="A186">
        <f ca="1">IFERROR(__xludf.DUMMYFUNCTION("""COMPUTED_VALUE"""),185)</f>
        <v>185</v>
      </c>
      <c r="B186">
        <f ca="1">IFERROR(__xludf.DUMMYFUNCTION("""COMPUTED_VALUE"""),189)</f>
        <v>189</v>
      </c>
      <c r="C186" t="str">
        <f ca="1">IFERROR(__xludf.DUMMYFUNCTION("""COMPUTED_VALUE"""),"K.J. Choi")</f>
        <v>K.J. Choi</v>
      </c>
      <c r="D186">
        <f ca="1">IFERROR(__xludf.DUMMYFUNCTION("""COMPUTED_VALUE"""),3)</f>
        <v>3</v>
      </c>
      <c r="E186">
        <f ca="1">IFERROR(__xludf.DUMMYFUNCTION("""COMPUTED_VALUE"""),308.4)</f>
        <v>308.39999999999998</v>
      </c>
    </row>
    <row r="187" spans="1:5" ht="12.75">
      <c r="A187">
        <f ca="1">IFERROR(__xludf.DUMMYFUNCTION("""COMPUTED_VALUE"""),186)</f>
        <v>186</v>
      </c>
      <c r="B187">
        <f ca="1">IFERROR(__xludf.DUMMYFUNCTION("""COMPUTED_VALUE"""),140)</f>
        <v>140</v>
      </c>
      <c r="C187" t="str">
        <f ca="1">IFERROR(__xludf.DUMMYFUNCTION("""COMPUTED_VALUE"""),"Sean O'Hair")</f>
        <v>Sean O'Hair</v>
      </c>
      <c r="D187">
        <f ca="1">IFERROR(__xludf.DUMMYFUNCTION("""COMPUTED_VALUE"""),5)</f>
        <v>5</v>
      </c>
      <c r="E187">
        <f ca="1">IFERROR(__xludf.DUMMYFUNCTION("""COMPUTED_VALUE"""),308.9)</f>
        <v>308.89999999999998</v>
      </c>
    </row>
    <row r="188" spans="1:5" ht="12.75">
      <c r="A188">
        <f ca="1">IFERROR(__xludf.DUMMYFUNCTION("""COMPUTED_VALUE"""),187)</f>
        <v>187</v>
      </c>
      <c r="B188">
        <f ca="1">IFERROR(__xludf.DUMMYFUNCTION("""COMPUTED_VALUE"""),187)</f>
        <v>187</v>
      </c>
      <c r="C188" t="str">
        <f ca="1">IFERROR(__xludf.DUMMYFUNCTION("""COMPUTED_VALUE"""),"Christiaan Bezuidenhout")</f>
        <v>Christiaan Bezuidenhout</v>
      </c>
      <c r="D188">
        <f ca="1">IFERROR(__xludf.DUMMYFUNCTION("""COMPUTED_VALUE"""),1)</f>
        <v>1</v>
      </c>
      <c r="E188">
        <f ca="1">IFERROR(__xludf.DUMMYFUNCTION("""COMPUTED_VALUE"""),309.8)</f>
        <v>309.8</v>
      </c>
    </row>
    <row r="189" spans="1:5" ht="12.75">
      <c r="A189" t="str">
        <f ca="1">IFERROR(__xludf.DUMMYFUNCTION("""COMPUTED_VALUE"""),"T188")</f>
        <v>T188</v>
      </c>
      <c r="B189">
        <f ca="1">IFERROR(__xludf.DUMMYFUNCTION("""COMPUTED_VALUE"""),199)</f>
        <v>199</v>
      </c>
      <c r="C189" t="str">
        <f ca="1">IFERROR(__xludf.DUMMYFUNCTION("""COMPUTED_VALUE"""),"Tom Lewis")</f>
        <v>Tom Lewis</v>
      </c>
      <c r="D189">
        <f ca="1">IFERROR(__xludf.DUMMYFUNCTION("""COMPUTED_VALUE"""),5)</f>
        <v>5</v>
      </c>
      <c r="E189">
        <f ca="1">IFERROR(__xludf.DUMMYFUNCTION("""COMPUTED_VALUE"""),310.3)</f>
        <v>310.3</v>
      </c>
    </row>
    <row r="190" spans="1:5" ht="12.75">
      <c r="A190" t="str">
        <f ca="1">IFERROR(__xludf.DUMMYFUNCTION("""COMPUTED_VALUE"""),"T188")</f>
        <v>T188</v>
      </c>
      <c r="B190">
        <f ca="1">IFERROR(__xludf.DUMMYFUNCTION("""COMPUTED_VALUE"""),218)</f>
        <v>218</v>
      </c>
      <c r="C190" t="str">
        <f ca="1">IFERROR(__xludf.DUMMYFUNCTION("""COMPUTED_VALUE"""),"Dustin Johnson")</f>
        <v>Dustin Johnson</v>
      </c>
      <c r="D190">
        <f ca="1">IFERROR(__xludf.DUMMYFUNCTION("""COMPUTED_VALUE"""),2)</f>
        <v>2</v>
      </c>
      <c r="E190">
        <f ca="1">IFERROR(__xludf.DUMMYFUNCTION("""COMPUTED_VALUE"""),310.3)</f>
        <v>310.3</v>
      </c>
    </row>
    <row r="191" spans="1:5" ht="12.75">
      <c r="A191">
        <f ca="1">IFERROR(__xludf.DUMMYFUNCTION("""COMPUTED_VALUE"""),190)</f>
        <v>190</v>
      </c>
      <c r="B191">
        <f ca="1">IFERROR(__xludf.DUMMYFUNCTION("""COMPUTED_VALUE"""),222)</f>
        <v>222</v>
      </c>
      <c r="C191" t="str">
        <f ca="1">IFERROR(__xludf.DUMMYFUNCTION("""COMPUTED_VALUE"""),"Michael Thompson")</f>
        <v>Michael Thompson</v>
      </c>
      <c r="D191">
        <f ca="1">IFERROR(__xludf.DUMMYFUNCTION("""COMPUTED_VALUE"""),4)</f>
        <v>4</v>
      </c>
      <c r="E191">
        <f ca="1">IFERROR(__xludf.DUMMYFUNCTION("""COMPUTED_VALUE"""),312.8)</f>
        <v>312.8</v>
      </c>
    </row>
    <row r="192" spans="1:5" ht="12.75">
      <c r="A192">
        <f ca="1">IFERROR(__xludf.DUMMYFUNCTION("""COMPUTED_VALUE"""),191)</f>
        <v>191</v>
      </c>
      <c r="B192">
        <f ca="1">IFERROR(__xludf.DUMMYFUNCTION("""COMPUTED_VALUE"""),161)</f>
        <v>161</v>
      </c>
      <c r="C192" t="str">
        <f ca="1">IFERROR(__xludf.DUMMYFUNCTION("""COMPUTED_VALUE"""),"Henrik Norlander")</f>
        <v>Henrik Norlander</v>
      </c>
      <c r="D192">
        <f ca="1">IFERROR(__xludf.DUMMYFUNCTION("""COMPUTED_VALUE"""),6)</f>
        <v>6</v>
      </c>
      <c r="E192">
        <f ca="1">IFERROR(__xludf.DUMMYFUNCTION("""COMPUTED_VALUE"""),313)</f>
        <v>313</v>
      </c>
    </row>
    <row r="193" spans="1:5" ht="12.75">
      <c r="A193" t="str">
        <f ca="1">IFERROR(__xludf.DUMMYFUNCTION("""COMPUTED_VALUE"""),"T192")</f>
        <v>T192</v>
      </c>
      <c r="B193">
        <f ca="1">IFERROR(__xludf.DUMMYFUNCTION("""COMPUTED_VALUE"""),209)</f>
        <v>209</v>
      </c>
      <c r="C193" t="str">
        <f ca="1">IFERROR(__xludf.DUMMYFUNCTION("""COMPUTED_VALUE"""),"Hudson Swafford")</f>
        <v>Hudson Swafford</v>
      </c>
      <c r="D193">
        <f ca="1">IFERROR(__xludf.DUMMYFUNCTION("""COMPUTED_VALUE"""),6)</f>
        <v>6</v>
      </c>
      <c r="E193">
        <f ca="1">IFERROR(__xludf.DUMMYFUNCTION("""COMPUTED_VALUE"""),315.3)</f>
        <v>315.3</v>
      </c>
    </row>
    <row r="194" spans="1:5" ht="12.75">
      <c r="A194" t="str">
        <f ca="1">IFERROR(__xludf.DUMMYFUNCTION("""COMPUTED_VALUE"""),"T192")</f>
        <v>T192</v>
      </c>
      <c r="B194">
        <f ca="1">IFERROR(__xludf.DUMMYFUNCTION("""COMPUTED_VALUE"""),197)</f>
        <v>197</v>
      </c>
      <c r="C194" t="str">
        <f ca="1">IFERROR(__xludf.DUMMYFUNCTION("""COMPUTED_VALUE"""),"Will Zalatoris")</f>
        <v>Will Zalatoris</v>
      </c>
      <c r="D194">
        <f ca="1">IFERROR(__xludf.DUMMYFUNCTION("""COMPUTED_VALUE"""),5)</f>
        <v>5</v>
      </c>
      <c r="E194">
        <f ca="1">IFERROR(__xludf.DUMMYFUNCTION("""COMPUTED_VALUE"""),315.3)</f>
        <v>315.3</v>
      </c>
    </row>
    <row r="195" spans="1:5" ht="12.75">
      <c r="A195">
        <f ca="1">IFERROR(__xludf.DUMMYFUNCTION("""COMPUTED_VALUE"""),194)</f>
        <v>194</v>
      </c>
      <c r="B195">
        <f ca="1">IFERROR(__xludf.DUMMYFUNCTION("""COMPUTED_VALUE"""),196)</f>
        <v>196</v>
      </c>
      <c r="C195" t="str">
        <f ca="1">IFERROR(__xludf.DUMMYFUNCTION("""COMPUTED_VALUE"""),"Chris Baker")</f>
        <v>Chris Baker</v>
      </c>
      <c r="D195">
        <f ca="1">IFERROR(__xludf.DUMMYFUNCTION("""COMPUTED_VALUE"""),4)</f>
        <v>4</v>
      </c>
      <c r="E195">
        <f ca="1">IFERROR(__xludf.DUMMYFUNCTION("""COMPUTED_VALUE"""),315.8)</f>
        <v>315.8</v>
      </c>
    </row>
    <row r="196" spans="1:5" ht="12.75">
      <c r="A196">
        <f ca="1">IFERROR(__xludf.DUMMYFUNCTION("""COMPUTED_VALUE"""),195)</f>
        <v>195</v>
      </c>
      <c r="B196">
        <f ca="1">IFERROR(__xludf.DUMMYFUNCTION("""COMPUTED_VALUE"""),192)</f>
        <v>192</v>
      </c>
      <c r="C196" t="str">
        <f ca="1">IFERROR(__xludf.DUMMYFUNCTION("""COMPUTED_VALUE"""),"Aaron Baddeley")</f>
        <v>Aaron Baddeley</v>
      </c>
      <c r="D196">
        <f ca="1">IFERROR(__xludf.DUMMYFUNCTION("""COMPUTED_VALUE"""),4)</f>
        <v>4</v>
      </c>
      <c r="E196">
        <f ca="1">IFERROR(__xludf.DUMMYFUNCTION("""COMPUTED_VALUE"""),316.5)</f>
        <v>316.5</v>
      </c>
    </row>
    <row r="197" spans="1:5" ht="12.75">
      <c r="A197">
        <f ca="1">IFERROR(__xludf.DUMMYFUNCTION("""COMPUTED_VALUE"""),196)</f>
        <v>196</v>
      </c>
      <c r="B197">
        <f ca="1">IFERROR(__xludf.DUMMYFUNCTION("""COMPUTED_VALUE"""),203)</f>
        <v>203</v>
      </c>
      <c r="C197" t="str">
        <f ca="1">IFERROR(__xludf.DUMMYFUNCTION("""COMPUTED_VALUE"""),"Nelson Ledesma")</f>
        <v>Nelson Ledesma</v>
      </c>
      <c r="D197">
        <f ca="1">IFERROR(__xludf.DUMMYFUNCTION("""COMPUTED_VALUE"""),3)</f>
        <v>3</v>
      </c>
      <c r="E197">
        <f ca="1">IFERROR(__xludf.DUMMYFUNCTION("""COMPUTED_VALUE"""),316.8)</f>
        <v>316.8</v>
      </c>
    </row>
    <row r="198" spans="1:5" ht="12.75">
      <c r="A198">
        <f ca="1">IFERROR(__xludf.DUMMYFUNCTION("""COMPUTED_VALUE"""),197)</f>
        <v>197</v>
      </c>
      <c r="B198">
        <f ca="1">IFERROR(__xludf.DUMMYFUNCTION("""COMPUTED_VALUE"""),214)</f>
        <v>214</v>
      </c>
      <c r="C198" t="str">
        <f ca="1">IFERROR(__xludf.DUMMYFUNCTION("""COMPUTED_VALUE"""),"Dylan Frittelli")</f>
        <v>Dylan Frittelli</v>
      </c>
      <c r="D198">
        <f ca="1">IFERROR(__xludf.DUMMYFUNCTION("""COMPUTED_VALUE"""),5)</f>
        <v>5</v>
      </c>
      <c r="E198">
        <f ca="1">IFERROR(__xludf.DUMMYFUNCTION("""COMPUTED_VALUE"""),318)</f>
        <v>318</v>
      </c>
    </row>
    <row r="199" spans="1:5" ht="12.75">
      <c r="A199">
        <f ca="1">IFERROR(__xludf.DUMMYFUNCTION("""COMPUTED_VALUE"""),198)</f>
        <v>198</v>
      </c>
      <c r="B199">
        <f ca="1">IFERROR(__xludf.DUMMYFUNCTION("""COMPUTED_VALUE"""),100)</f>
        <v>100</v>
      </c>
      <c r="C199" t="str">
        <f ca="1">IFERROR(__xludf.DUMMYFUNCTION("""COMPUTED_VALUE"""),"Bo Hoag")</f>
        <v>Bo Hoag</v>
      </c>
      <c r="D199">
        <f ca="1">IFERROR(__xludf.DUMMYFUNCTION("""COMPUTED_VALUE"""),6)</f>
        <v>6</v>
      </c>
      <c r="E199">
        <f ca="1">IFERROR(__xludf.DUMMYFUNCTION("""COMPUTED_VALUE"""),319.1)</f>
        <v>319.10000000000002</v>
      </c>
    </row>
    <row r="200" spans="1:5" ht="12.75">
      <c r="A200">
        <f ca="1">IFERROR(__xludf.DUMMYFUNCTION("""COMPUTED_VALUE"""),199)</f>
        <v>199</v>
      </c>
      <c r="B200">
        <f ca="1">IFERROR(__xludf.DUMMYFUNCTION("""COMPUTED_VALUE"""),147)</f>
        <v>147</v>
      </c>
      <c r="C200" t="str">
        <f ca="1">IFERROR(__xludf.DUMMYFUNCTION("""COMPUTED_VALUE"""),"Jordan Spieth")</f>
        <v>Jordan Spieth</v>
      </c>
      <c r="D200">
        <f ca="1">IFERROR(__xludf.DUMMYFUNCTION("""COMPUTED_VALUE"""),5)</f>
        <v>5</v>
      </c>
      <c r="E200">
        <f ca="1">IFERROR(__xludf.DUMMYFUNCTION("""COMPUTED_VALUE"""),319.8)</f>
        <v>319.8</v>
      </c>
    </row>
    <row r="201" spans="1:5" ht="12.75">
      <c r="A201">
        <f ca="1">IFERROR(__xludf.DUMMYFUNCTION("""COMPUTED_VALUE"""),200)</f>
        <v>200</v>
      </c>
      <c r="B201">
        <f ca="1">IFERROR(__xludf.DUMMYFUNCTION("""COMPUTED_VALUE"""),149)</f>
        <v>149</v>
      </c>
      <c r="C201" t="str">
        <f ca="1">IFERROR(__xludf.DUMMYFUNCTION("""COMPUTED_VALUE"""),"Adam Schenk")</f>
        <v>Adam Schenk</v>
      </c>
      <c r="D201">
        <f ca="1">IFERROR(__xludf.DUMMYFUNCTION("""COMPUTED_VALUE"""),6)</f>
        <v>6</v>
      </c>
      <c r="E201">
        <f ca="1">IFERROR(__xludf.DUMMYFUNCTION("""COMPUTED_VALUE"""),320.1)</f>
        <v>320.10000000000002</v>
      </c>
    </row>
    <row r="202" spans="1:5" ht="12.75">
      <c r="A202">
        <f ca="1">IFERROR(__xludf.DUMMYFUNCTION("""COMPUTED_VALUE"""),201)</f>
        <v>201</v>
      </c>
      <c r="B202">
        <f ca="1">IFERROR(__xludf.DUMMYFUNCTION("""COMPUTED_VALUE"""),227)</f>
        <v>227</v>
      </c>
      <c r="C202" t="str">
        <f ca="1">IFERROR(__xludf.DUMMYFUNCTION("""COMPUTED_VALUE"""),"Hideki Matsuyama")</f>
        <v>Hideki Matsuyama</v>
      </c>
      <c r="D202">
        <f ca="1">IFERROR(__xludf.DUMMYFUNCTION("""COMPUTED_VALUE"""),5)</f>
        <v>5</v>
      </c>
      <c r="E202">
        <f ca="1">IFERROR(__xludf.DUMMYFUNCTION("""COMPUTED_VALUE"""),320.3)</f>
        <v>320.3</v>
      </c>
    </row>
    <row r="203" spans="1:5" ht="12.75">
      <c r="A203">
        <f ca="1">IFERROR(__xludf.DUMMYFUNCTION("""COMPUTED_VALUE"""),202)</f>
        <v>202</v>
      </c>
      <c r="B203">
        <f ca="1">IFERROR(__xludf.DUMMYFUNCTION("""COMPUTED_VALUE"""),185)</f>
        <v>185</v>
      </c>
      <c r="C203" t="str">
        <f ca="1">IFERROR(__xludf.DUMMYFUNCTION("""COMPUTED_VALUE"""),"Xinjun Zhang")</f>
        <v>Xinjun Zhang</v>
      </c>
      <c r="D203">
        <f ca="1">IFERROR(__xludf.DUMMYFUNCTION("""COMPUTED_VALUE"""),5)</f>
        <v>5</v>
      </c>
      <c r="E203">
        <f ca="1">IFERROR(__xludf.DUMMYFUNCTION("""COMPUTED_VALUE"""),323.3)</f>
        <v>323.3</v>
      </c>
    </row>
    <row r="204" spans="1:5" ht="12.75">
      <c r="A204">
        <f ca="1">IFERROR(__xludf.DUMMYFUNCTION("""COMPUTED_VALUE"""),203)</f>
        <v>203</v>
      </c>
      <c r="B204">
        <f ca="1">IFERROR(__xludf.DUMMYFUNCTION("""COMPUTED_VALUE"""),174)</f>
        <v>174</v>
      </c>
      <c r="C204" t="str">
        <f ca="1">IFERROR(__xludf.DUMMYFUNCTION("""COMPUTED_VALUE"""),"Lee Westwood")</f>
        <v>Lee Westwood</v>
      </c>
      <c r="D204">
        <f ca="1">IFERROR(__xludf.DUMMYFUNCTION("""COMPUTED_VALUE"""),2)</f>
        <v>2</v>
      </c>
      <c r="E204">
        <f ca="1">IFERROR(__xludf.DUMMYFUNCTION("""COMPUTED_VALUE"""),325.1)</f>
        <v>325.10000000000002</v>
      </c>
    </row>
    <row r="205" spans="1:5" ht="12.75">
      <c r="A205">
        <f ca="1">IFERROR(__xludf.DUMMYFUNCTION("""COMPUTED_VALUE"""),204)</f>
        <v>204</v>
      </c>
      <c r="B205">
        <f ca="1">IFERROR(__xludf.DUMMYFUNCTION("""COMPUTED_VALUE"""),195)</f>
        <v>195</v>
      </c>
      <c r="C205" t="str">
        <f ca="1">IFERROR(__xludf.DUMMYFUNCTION("""COMPUTED_VALUE"""),"Tyler Duncan")</f>
        <v>Tyler Duncan</v>
      </c>
      <c r="D205">
        <f ca="1">IFERROR(__xludf.DUMMYFUNCTION("""COMPUTED_VALUE"""),6)</f>
        <v>6</v>
      </c>
      <c r="E205">
        <f ca="1">IFERROR(__xludf.DUMMYFUNCTION("""COMPUTED_VALUE"""),325.4)</f>
        <v>325.39999999999998</v>
      </c>
    </row>
    <row r="206" spans="1:5" ht="12.75">
      <c r="A206">
        <f ca="1">IFERROR(__xludf.DUMMYFUNCTION("""COMPUTED_VALUE"""),205)</f>
        <v>205</v>
      </c>
      <c r="B206">
        <f ca="1">IFERROR(__xludf.DUMMYFUNCTION("""COMPUTED_VALUE"""),190)</f>
        <v>190</v>
      </c>
      <c r="C206" t="str">
        <f ca="1">IFERROR(__xludf.DUMMYFUNCTION("""COMPUTED_VALUE"""),"Grayson Murray")</f>
        <v>Grayson Murray</v>
      </c>
      <c r="D206">
        <f ca="1">IFERROR(__xludf.DUMMYFUNCTION("""COMPUTED_VALUE"""),4)</f>
        <v>4</v>
      </c>
      <c r="E206">
        <f ca="1">IFERROR(__xludf.DUMMYFUNCTION("""COMPUTED_VALUE"""),325.8)</f>
        <v>325.8</v>
      </c>
    </row>
    <row r="207" spans="1:5" ht="12.75">
      <c r="A207">
        <f ca="1">IFERROR(__xludf.DUMMYFUNCTION("""COMPUTED_VALUE"""),206)</f>
        <v>206</v>
      </c>
      <c r="B207">
        <f ca="1">IFERROR(__xludf.DUMMYFUNCTION("""COMPUTED_VALUE"""),152)</f>
        <v>152</v>
      </c>
      <c r="C207" t="str">
        <f ca="1">IFERROR(__xludf.DUMMYFUNCTION("""COMPUTED_VALUE"""),"Jason Dufner")</f>
        <v>Jason Dufner</v>
      </c>
      <c r="D207">
        <f ca="1">IFERROR(__xludf.DUMMYFUNCTION("""COMPUTED_VALUE"""),5)</f>
        <v>5</v>
      </c>
      <c r="E207">
        <f ca="1">IFERROR(__xludf.DUMMYFUNCTION("""COMPUTED_VALUE"""),326.2)</f>
        <v>326.2</v>
      </c>
    </row>
    <row r="208" spans="1:5" ht="12.75">
      <c r="A208">
        <f ca="1">IFERROR(__xludf.DUMMYFUNCTION("""COMPUTED_VALUE"""),207)</f>
        <v>207</v>
      </c>
      <c r="B208" t="str">
        <f ca="1">IFERROR(__xludf.DUMMYFUNCTION("""COMPUTED_VALUE"""),"")</f>
        <v/>
      </c>
      <c r="C208" t="str">
        <f ca="1">IFERROR(__xludf.DUMMYFUNCTION("""COMPUTED_VALUE"""),"Justin Harding")</f>
        <v>Justin Harding</v>
      </c>
      <c r="D208">
        <f ca="1">IFERROR(__xludf.DUMMYFUNCTION("""COMPUTED_VALUE"""),2)</f>
        <v>2</v>
      </c>
      <c r="E208">
        <f ca="1">IFERROR(__xludf.DUMMYFUNCTION("""COMPUTED_VALUE"""),328.2)</f>
        <v>328.2</v>
      </c>
    </row>
    <row r="209" spans="1:5" ht="12.75">
      <c r="A209">
        <f ca="1">IFERROR(__xludf.DUMMYFUNCTION("""COMPUTED_VALUE"""),208)</f>
        <v>208</v>
      </c>
      <c r="B209">
        <f ca="1">IFERROR(__xludf.DUMMYFUNCTION("""COMPUTED_VALUE"""),205)</f>
        <v>205</v>
      </c>
      <c r="C209" t="str">
        <f ca="1">IFERROR(__xludf.DUMMYFUNCTION("""COMPUTED_VALUE"""),"Rob Oppenheim")</f>
        <v>Rob Oppenheim</v>
      </c>
      <c r="D209">
        <f ca="1">IFERROR(__xludf.DUMMYFUNCTION("""COMPUTED_VALUE"""),5)</f>
        <v>5</v>
      </c>
      <c r="E209">
        <f ca="1">IFERROR(__xludf.DUMMYFUNCTION("""COMPUTED_VALUE"""),328.8)</f>
        <v>328.8</v>
      </c>
    </row>
    <row r="210" spans="1:5" ht="12.75">
      <c r="A210">
        <f ca="1">IFERROR(__xludf.DUMMYFUNCTION("""COMPUTED_VALUE"""),209)</f>
        <v>209</v>
      </c>
      <c r="B210">
        <f ca="1">IFERROR(__xludf.DUMMYFUNCTION("""COMPUTED_VALUE"""),204)</f>
        <v>204</v>
      </c>
      <c r="C210" t="str">
        <f ca="1">IFERROR(__xludf.DUMMYFUNCTION("""COMPUTED_VALUE"""),"Jonathan Byrd")</f>
        <v>Jonathan Byrd</v>
      </c>
      <c r="D210">
        <f ca="1">IFERROR(__xludf.DUMMYFUNCTION("""COMPUTED_VALUE"""),4)</f>
        <v>4</v>
      </c>
      <c r="E210">
        <f ca="1">IFERROR(__xludf.DUMMYFUNCTION("""COMPUTED_VALUE"""),330.7)</f>
        <v>330.7</v>
      </c>
    </row>
    <row r="211" spans="1:5" ht="12.75">
      <c r="A211">
        <f ca="1">IFERROR(__xludf.DUMMYFUNCTION("""COMPUTED_VALUE"""),210)</f>
        <v>210</v>
      </c>
      <c r="B211" t="str">
        <f ca="1">IFERROR(__xludf.DUMMYFUNCTION("""COMPUTED_VALUE"""),"")</f>
        <v/>
      </c>
      <c r="C211" t="str">
        <f ca="1">IFERROR(__xludf.DUMMYFUNCTION("""COMPUTED_VALUE"""),"Danny Willett")</f>
        <v>Danny Willett</v>
      </c>
      <c r="D211">
        <f ca="1">IFERROR(__xludf.DUMMYFUNCTION("""COMPUTED_VALUE"""),3)</f>
        <v>3</v>
      </c>
      <c r="E211">
        <f ca="1">IFERROR(__xludf.DUMMYFUNCTION("""COMPUTED_VALUE"""),330.9)</f>
        <v>330.9</v>
      </c>
    </row>
    <row r="212" spans="1:5" ht="12.75">
      <c r="A212">
        <f ca="1">IFERROR(__xludf.DUMMYFUNCTION("""COMPUTED_VALUE"""),211)</f>
        <v>211</v>
      </c>
      <c r="B212">
        <f ca="1">IFERROR(__xludf.DUMMYFUNCTION("""COMPUTED_VALUE"""),198)</f>
        <v>198</v>
      </c>
      <c r="C212" t="str">
        <f ca="1">IFERROR(__xludf.DUMMYFUNCTION("""COMPUTED_VALUE"""),"Luke Donald")</f>
        <v>Luke Donald</v>
      </c>
      <c r="D212">
        <f ca="1">IFERROR(__xludf.DUMMYFUNCTION("""COMPUTED_VALUE"""),5)</f>
        <v>5</v>
      </c>
      <c r="E212">
        <f ca="1">IFERROR(__xludf.DUMMYFUNCTION("""COMPUTED_VALUE"""),332.3)</f>
        <v>332.3</v>
      </c>
    </row>
    <row r="213" spans="1:5" ht="12.75">
      <c r="A213">
        <f ca="1">IFERROR(__xludf.DUMMYFUNCTION("""COMPUTED_VALUE"""),212)</f>
        <v>212</v>
      </c>
      <c r="B213">
        <f ca="1">IFERROR(__xludf.DUMMYFUNCTION("""COMPUTED_VALUE"""),188)</f>
        <v>188</v>
      </c>
      <c r="C213" t="str">
        <f ca="1">IFERROR(__xludf.DUMMYFUNCTION("""COMPUTED_VALUE"""),"D.A. Points")</f>
        <v>D.A. Points</v>
      </c>
      <c r="D213">
        <f ca="1">IFERROR(__xludf.DUMMYFUNCTION("""COMPUTED_VALUE"""),5)</f>
        <v>5</v>
      </c>
      <c r="E213">
        <f ca="1">IFERROR(__xludf.DUMMYFUNCTION("""COMPUTED_VALUE"""),332.8)</f>
        <v>332.8</v>
      </c>
    </row>
    <row r="214" spans="1:5" ht="12.75">
      <c r="A214">
        <f ca="1">IFERROR(__xludf.DUMMYFUNCTION("""COMPUTED_VALUE"""),213)</f>
        <v>213</v>
      </c>
      <c r="B214">
        <f ca="1">IFERROR(__xludf.DUMMYFUNCTION("""COMPUTED_VALUE"""),107)</f>
        <v>107</v>
      </c>
      <c r="C214" t="str">
        <f ca="1">IFERROR(__xludf.DUMMYFUNCTION("""COMPUTED_VALUE"""),"Michael Kim")</f>
        <v>Michael Kim</v>
      </c>
      <c r="D214">
        <f ca="1">IFERROR(__xludf.DUMMYFUNCTION("""COMPUTED_VALUE"""),6)</f>
        <v>6</v>
      </c>
      <c r="E214">
        <f ca="1">IFERROR(__xludf.DUMMYFUNCTION("""COMPUTED_VALUE"""),334.8)</f>
        <v>334.8</v>
      </c>
    </row>
    <row r="215" spans="1:5" ht="12.75">
      <c r="A215">
        <f ca="1">IFERROR(__xludf.DUMMYFUNCTION("""COMPUTED_VALUE"""),214)</f>
        <v>214</v>
      </c>
      <c r="B215">
        <f ca="1">IFERROR(__xludf.DUMMYFUNCTION("""COMPUTED_VALUE"""),200)</f>
        <v>200</v>
      </c>
      <c r="C215" t="str">
        <f ca="1">IFERROR(__xludf.DUMMYFUNCTION("""COMPUTED_VALUE"""),"Sung Kang")</f>
        <v>Sung Kang</v>
      </c>
      <c r="D215">
        <f ca="1">IFERROR(__xludf.DUMMYFUNCTION("""COMPUTED_VALUE"""),5)</f>
        <v>5</v>
      </c>
      <c r="E215">
        <f ca="1">IFERROR(__xludf.DUMMYFUNCTION("""COMPUTED_VALUE"""),335)</f>
        <v>335</v>
      </c>
    </row>
    <row r="216" spans="1:5" ht="12.75">
      <c r="A216">
        <f ca="1">IFERROR(__xludf.DUMMYFUNCTION("""COMPUTED_VALUE"""),215)</f>
        <v>215</v>
      </c>
      <c r="B216">
        <f ca="1">IFERROR(__xludf.DUMMYFUNCTION("""COMPUTED_VALUE"""),207)</f>
        <v>207</v>
      </c>
      <c r="C216" t="str">
        <f ca="1">IFERROR(__xludf.DUMMYFUNCTION("""COMPUTED_VALUE"""),"Marc Leishman")</f>
        <v>Marc Leishman</v>
      </c>
      <c r="D216">
        <f ca="1">IFERROR(__xludf.DUMMYFUNCTION("""COMPUTED_VALUE"""),3)</f>
        <v>3</v>
      </c>
      <c r="E216">
        <f ca="1">IFERROR(__xludf.DUMMYFUNCTION("""COMPUTED_VALUE"""),335.6)</f>
        <v>335.6</v>
      </c>
    </row>
    <row r="217" spans="1:5" ht="12.75">
      <c r="A217">
        <f ca="1">IFERROR(__xludf.DUMMYFUNCTION("""COMPUTED_VALUE"""),216)</f>
        <v>216</v>
      </c>
      <c r="B217">
        <f ca="1">IFERROR(__xludf.DUMMYFUNCTION("""COMPUTED_VALUE"""),193)</f>
        <v>193</v>
      </c>
      <c r="C217" t="str">
        <f ca="1">IFERROR(__xludf.DUMMYFUNCTION("""COMPUTED_VALUE"""),"Robby Shelton")</f>
        <v>Robby Shelton</v>
      </c>
      <c r="D217">
        <f ca="1">IFERROR(__xludf.DUMMYFUNCTION("""COMPUTED_VALUE"""),5)</f>
        <v>5</v>
      </c>
      <c r="E217">
        <f ca="1">IFERROR(__xludf.DUMMYFUNCTION("""COMPUTED_VALUE"""),339.8)</f>
        <v>339.8</v>
      </c>
    </row>
    <row r="218" spans="1:5" ht="12.75">
      <c r="A218">
        <f ca="1">IFERROR(__xludf.DUMMYFUNCTION("""COMPUTED_VALUE"""),217)</f>
        <v>217</v>
      </c>
      <c r="B218">
        <f ca="1">IFERROR(__xludf.DUMMYFUNCTION("""COMPUTED_VALUE"""),112)</f>
        <v>112</v>
      </c>
      <c r="C218" t="str">
        <f ca="1">IFERROR(__xludf.DUMMYFUNCTION("""COMPUTED_VALUE"""),"Keith Mitchell")</f>
        <v>Keith Mitchell</v>
      </c>
      <c r="D218">
        <f ca="1">IFERROR(__xludf.DUMMYFUNCTION("""COMPUTED_VALUE"""),5)</f>
        <v>5</v>
      </c>
      <c r="E218">
        <f ca="1">IFERROR(__xludf.DUMMYFUNCTION("""COMPUTED_VALUE"""),341.3)</f>
        <v>341.3</v>
      </c>
    </row>
    <row r="219" spans="1:5" ht="12.75">
      <c r="A219" t="str">
        <f ca="1">IFERROR(__xludf.DUMMYFUNCTION("""COMPUTED_VALUE"""),"T218")</f>
        <v>T218</v>
      </c>
      <c r="B219">
        <f ca="1">IFERROR(__xludf.DUMMYFUNCTION("""COMPUTED_VALUE"""),211)</f>
        <v>211</v>
      </c>
      <c r="C219" t="str">
        <f ca="1">IFERROR(__xludf.DUMMYFUNCTION("""COMPUTED_VALUE"""),"Gunn Charoenkul")</f>
        <v>Gunn Charoenkul</v>
      </c>
      <c r="D219">
        <f ca="1">IFERROR(__xludf.DUMMYFUNCTION("""COMPUTED_VALUE"""),1)</f>
        <v>1</v>
      </c>
      <c r="E219">
        <f ca="1">IFERROR(__xludf.DUMMYFUNCTION("""COMPUTED_VALUE"""),342.8)</f>
        <v>342.8</v>
      </c>
    </row>
    <row r="220" spans="1:5" ht="12.75">
      <c r="A220" t="str">
        <f ca="1">IFERROR(__xludf.DUMMYFUNCTION("""COMPUTED_VALUE"""),"T218")</f>
        <v>T218</v>
      </c>
      <c r="B220">
        <f ca="1">IFERROR(__xludf.DUMMYFUNCTION("""COMPUTED_VALUE"""),206)</f>
        <v>206</v>
      </c>
      <c r="C220" t="str">
        <f ca="1">IFERROR(__xludf.DUMMYFUNCTION("""COMPUTED_VALUE"""),"Scott Brown")</f>
        <v>Scott Brown</v>
      </c>
      <c r="D220">
        <f ca="1">IFERROR(__xludf.DUMMYFUNCTION("""COMPUTED_VALUE"""),5)</f>
        <v>5</v>
      </c>
      <c r="E220">
        <f ca="1">IFERROR(__xludf.DUMMYFUNCTION("""COMPUTED_VALUE"""),342.8)</f>
        <v>342.8</v>
      </c>
    </row>
    <row r="221" spans="1:5" ht="12.75">
      <c r="A221">
        <f ca="1">IFERROR(__xludf.DUMMYFUNCTION("""COMPUTED_VALUE"""),220)</f>
        <v>220</v>
      </c>
      <c r="B221">
        <f ca="1">IFERROR(__xludf.DUMMYFUNCTION("""COMPUTED_VALUE"""),213)</f>
        <v>213</v>
      </c>
      <c r="C221" t="str">
        <f ca="1">IFERROR(__xludf.DUMMYFUNCTION("""COMPUTED_VALUE"""),"Matt Wallace")</f>
        <v>Matt Wallace</v>
      </c>
      <c r="D221">
        <f ca="1">IFERROR(__xludf.DUMMYFUNCTION("""COMPUTED_VALUE"""),1)</f>
        <v>1</v>
      </c>
      <c r="E221">
        <f ca="1">IFERROR(__xludf.DUMMYFUNCTION("""COMPUTED_VALUE"""),343.7)</f>
        <v>343.7</v>
      </c>
    </row>
    <row r="222" spans="1:5" ht="12.75">
      <c r="A222">
        <f ca="1">IFERROR(__xludf.DUMMYFUNCTION("""COMPUTED_VALUE"""),221)</f>
        <v>221</v>
      </c>
      <c r="B222">
        <f ca="1">IFERROR(__xludf.DUMMYFUNCTION("""COMPUTED_VALUE"""),166)</f>
        <v>166</v>
      </c>
      <c r="C222" t="str">
        <f ca="1">IFERROR(__xludf.DUMMYFUNCTION("""COMPUTED_VALUE"""),"Martin Laird")</f>
        <v>Martin Laird</v>
      </c>
      <c r="D222">
        <f ca="1">IFERROR(__xludf.DUMMYFUNCTION("""COMPUTED_VALUE"""),5)</f>
        <v>5</v>
      </c>
      <c r="E222">
        <f ca="1">IFERROR(__xludf.DUMMYFUNCTION("""COMPUTED_VALUE"""),345.6)</f>
        <v>345.6</v>
      </c>
    </row>
    <row r="223" spans="1:5" ht="12.75">
      <c r="A223">
        <f ca="1">IFERROR(__xludf.DUMMYFUNCTION("""COMPUTED_VALUE"""),222)</f>
        <v>222</v>
      </c>
      <c r="B223">
        <f ca="1">IFERROR(__xludf.DUMMYFUNCTION("""COMPUTED_VALUE"""),216)</f>
        <v>216</v>
      </c>
      <c r="C223" t="str">
        <f ca="1">IFERROR(__xludf.DUMMYFUNCTION("""COMPUTED_VALUE"""),"Bud Cauley")</f>
        <v>Bud Cauley</v>
      </c>
      <c r="D223">
        <f ca="1">IFERROR(__xludf.DUMMYFUNCTION("""COMPUTED_VALUE"""),1)</f>
        <v>1</v>
      </c>
      <c r="E223">
        <f ca="1">IFERROR(__xludf.DUMMYFUNCTION("""COMPUTED_VALUE"""),352)</f>
        <v>352</v>
      </c>
    </row>
    <row r="224" spans="1:5" ht="12.75">
      <c r="A224">
        <f ca="1">IFERROR(__xludf.DUMMYFUNCTION("""COMPUTED_VALUE"""),223)</f>
        <v>223</v>
      </c>
      <c r="B224">
        <f ca="1">IFERROR(__xludf.DUMMYFUNCTION("""COMPUTED_VALUE"""),223)</f>
        <v>223</v>
      </c>
      <c r="C224" t="str">
        <f ca="1">IFERROR(__xludf.DUMMYFUNCTION("""COMPUTED_VALUE"""),"Joseph Bramlett")</f>
        <v>Joseph Bramlett</v>
      </c>
      <c r="D224">
        <f ca="1">IFERROR(__xludf.DUMMYFUNCTION("""COMPUTED_VALUE"""),5)</f>
        <v>5</v>
      </c>
      <c r="E224">
        <f ca="1">IFERROR(__xludf.DUMMYFUNCTION("""COMPUTED_VALUE"""),353.1)</f>
        <v>353.1</v>
      </c>
    </row>
    <row r="225" spans="1:5" ht="12.75">
      <c r="A225">
        <f ca="1">IFERROR(__xludf.DUMMYFUNCTION("""COMPUTED_VALUE"""),224)</f>
        <v>224</v>
      </c>
      <c r="B225">
        <f ca="1">IFERROR(__xludf.DUMMYFUNCTION("""COMPUTED_VALUE"""),221)</f>
        <v>221</v>
      </c>
      <c r="C225" t="str">
        <f ca="1">IFERROR(__xludf.DUMMYFUNCTION("""COMPUTED_VALUE"""),"John Senden")</f>
        <v>John Senden</v>
      </c>
      <c r="D225">
        <f ca="1">IFERROR(__xludf.DUMMYFUNCTION("""COMPUTED_VALUE"""),3)</f>
        <v>3</v>
      </c>
      <c r="E225">
        <f ca="1">IFERROR(__xludf.DUMMYFUNCTION("""COMPUTED_VALUE"""),355.1)</f>
        <v>355.1</v>
      </c>
    </row>
    <row r="226" spans="1:5" ht="12.75">
      <c r="A226">
        <f ca="1">IFERROR(__xludf.DUMMYFUNCTION("""COMPUTED_VALUE"""),225)</f>
        <v>225</v>
      </c>
      <c r="B226">
        <f ca="1">IFERROR(__xludf.DUMMYFUNCTION("""COMPUTED_VALUE"""),186)</f>
        <v>186</v>
      </c>
      <c r="C226" t="str">
        <f ca="1">IFERROR(__xludf.DUMMYFUNCTION("""COMPUTED_VALUE"""),"Bronson Burgoon")</f>
        <v>Bronson Burgoon</v>
      </c>
      <c r="D226">
        <f ca="1">IFERROR(__xludf.DUMMYFUNCTION("""COMPUTED_VALUE"""),4)</f>
        <v>4</v>
      </c>
      <c r="E226">
        <f ca="1">IFERROR(__xludf.DUMMYFUNCTION("""COMPUTED_VALUE"""),356.3)</f>
        <v>356.3</v>
      </c>
    </row>
    <row r="227" spans="1:5" ht="12.75">
      <c r="A227">
        <f ca="1">IFERROR(__xludf.DUMMYFUNCTION("""COMPUTED_VALUE"""),226)</f>
        <v>226</v>
      </c>
      <c r="B227">
        <f ca="1">IFERROR(__xludf.DUMMYFUNCTION("""COMPUTED_VALUE"""),219)</f>
        <v>219</v>
      </c>
      <c r="C227" t="str">
        <f ca="1">IFERROR(__xludf.DUMMYFUNCTION("""COMPUTED_VALUE"""),"Bernd Wiesberger")</f>
        <v>Bernd Wiesberger</v>
      </c>
      <c r="D227">
        <f ca="1">IFERROR(__xludf.DUMMYFUNCTION("""COMPUTED_VALUE"""),1)</f>
        <v>1</v>
      </c>
      <c r="E227">
        <f ca="1">IFERROR(__xludf.DUMMYFUNCTION("""COMPUTED_VALUE"""),356.6)</f>
        <v>356.6</v>
      </c>
    </row>
    <row r="228" spans="1:5" ht="12.75">
      <c r="A228">
        <f ca="1">IFERROR(__xludf.DUMMYFUNCTION("""COMPUTED_VALUE"""),227)</f>
        <v>227</v>
      </c>
      <c r="B228">
        <f ca="1">IFERROR(__xludf.DUMMYFUNCTION("""COMPUTED_VALUE"""),224)</f>
        <v>224</v>
      </c>
      <c r="C228" t="str">
        <f ca="1">IFERROR(__xludf.DUMMYFUNCTION("""COMPUTED_VALUE"""),"Johnson Wagner")</f>
        <v>Johnson Wagner</v>
      </c>
      <c r="D228">
        <f ca="1">IFERROR(__xludf.DUMMYFUNCTION("""COMPUTED_VALUE"""),3)</f>
        <v>3</v>
      </c>
      <c r="E228">
        <f ca="1">IFERROR(__xludf.DUMMYFUNCTION("""COMPUTED_VALUE"""),356.8)</f>
        <v>356.8</v>
      </c>
    </row>
    <row r="229" spans="1:5" ht="12.75">
      <c r="A229">
        <f ca="1">IFERROR(__xludf.DUMMYFUNCTION("""COMPUTED_VALUE"""),228)</f>
        <v>228</v>
      </c>
      <c r="B229">
        <f ca="1">IFERROR(__xludf.DUMMYFUNCTION("""COMPUTED_VALUE"""),210)</f>
        <v>210</v>
      </c>
      <c r="C229" t="str">
        <f ca="1">IFERROR(__xludf.DUMMYFUNCTION("""COMPUTED_VALUE"""),"Andrew Landry")</f>
        <v>Andrew Landry</v>
      </c>
      <c r="D229">
        <f ca="1">IFERROR(__xludf.DUMMYFUNCTION("""COMPUTED_VALUE"""),4)</f>
        <v>4</v>
      </c>
      <c r="E229">
        <f ca="1">IFERROR(__xludf.DUMMYFUNCTION("""COMPUTED_VALUE"""),357.8)</f>
        <v>357.8</v>
      </c>
    </row>
    <row r="230" spans="1:5" ht="12.75">
      <c r="A230">
        <f ca="1">IFERROR(__xludf.DUMMYFUNCTION("""COMPUTED_VALUE"""),229)</f>
        <v>229</v>
      </c>
      <c r="B230" t="str">
        <f ca="1">IFERROR(__xludf.DUMMYFUNCTION("""COMPUTED_VALUE"""),"T247")</f>
        <v>T247</v>
      </c>
      <c r="C230" t="str">
        <f ca="1">IFERROR(__xludf.DUMMYFUNCTION("""COMPUTED_VALUE"""),"Graeme McDowell")</f>
        <v>Graeme McDowell</v>
      </c>
      <c r="D230">
        <f ca="1">IFERROR(__xludf.DUMMYFUNCTION("""COMPUTED_VALUE"""),3)</f>
        <v>3</v>
      </c>
      <c r="E230">
        <f ca="1">IFERROR(__xludf.DUMMYFUNCTION("""COMPUTED_VALUE"""),360.6)</f>
        <v>360.6</v>
      </c>
    </row>
    <row r="231" spans="1:5" ht="12.75">
      <c r="A231">
        <f ca="1">IFERROR(__xludf.DUMMYFUNCTION("""COMPUTED_VALUE"""),230)</f>
        <v>230</v>
      </c>
      <c r="B231">
        <f ca="1">IFERROR(__xludf.DUMMYFUNCTION("""COMPUTED_VALUE"""),212)</f>
        <v>212</v>
      </c>
      <c r="C231" t="str">
        <f ca="1">IFERROR(__xludf.DUMMYFUNCTION("""COMPUTED_VALUE"""),"Scott Piercy")</f>
        <v>Scott Piercy</v>
      </c>
      <c r="D231">
        <f ca="1">IFERROR(__xludf.DUMMYFUNCTION("""COMPUTED_VALUE"""),5)</f>
        <v>5</v>
      </c>
      <c r="E231">
        <f ca="1">IFERROR(__xludf.DUMMYFUNCTION("""COMPUTED_VALUE"""),361.3)</f>
        <v>361.3</v>
      </c>
    </row>
    <row r="232" spans="1:5" ht="12.75">
      <c r="A232">
        <f ca="1">IFERROR(__xludf.DUMMYFUNCTION("""COMPUTED_VALUE"""),231)</f>
        <v>231</v>
      </c>
      <c r="B232">
        <f ca="1">IFERROR(__xludf.DUMMYFUNCTION("""COMPUTED_VALUE"""),191)</f>
        <v>191</v>
      </c>
      <c r="C232" t="str">
        <f ca="1">IFERROR(__xludf.DUMMYFUNCTION("""COMPUTED_VALUE"""),"Patrick Rodgers")</f>
        <v>Patrick Rodgers</v>
      </c>
      <c r="D232">
        <f ca="1">IFERROR(__xludf.DUMMYFUNCTION("""COMPUTED_VALUE"""),6)</f>
        <v>6</v>
      </c>
      <c r="E232">
        <f ca="1">IFERROR(__xludf.DUMMYFUNCTION("""COMPUTED_VALUE"""),364.6)</f>
        <v>364.6</v>
      </c>
    </row>
    <row r="233" spans="1:5" ht="12.75">
      <c r="A233">
        <f ca="1">IFERROR(__xludf.DUMMYFUNCTION("""COMPUTED_VALUE"""),232)</f>
        <v>232</v>
      </c>
      <c r="B233">
        <f ca="1">IFERROR(__xludf.DUMMYFUNCTION("""COMPUTED_VALUE"""),225)</f>
        <v>225</v>
      </c>
      <c r="C233" t="str">
        <f ca="1">IFERROR(__xludf.DUMMYFUNCTION("""COMPUTED_VALUE"""),"Bill Haas")</f>
        <v>Bill Haas</v>
      </c>
      <c r="D233">
        <f ca="1">IFERROR(__xludf.DUMMYFUNCTION("""COMPUTED_VALUE"""),4)</f>
        <v>4</v>
      </c>
      <c r="E233">
        <f ca="1">IFERROR(__xludf.DUMMYFUNCTION("""COMPUTED_VALUE"""),364.8)</f>
        <v>364.8</v>
      </c>
    </row>
    <row r="234" spans="1:5" ht="12.75">
      <c r="A234">
        <f ca="1">IFERROR(__xludf.DUMMYFUNCTION("""COMPUTED_VALUE"""),233)</f>
        <v>233</v>
      </c>
      <c r="B234">
        <f ca="1">IFERROR(__xludf.DUMMYFUNCTION("""COMPUTED_VALUE"""),237)</f>
        <v>237</v>
      </c>
      <c r="C234" t="str">
        <f ca="1">IFERROR(__xludf.DUMMYFUNCTION("""COMPUTED_VALUE"""),"Troy Merritt")</f>
        <v>Troy Merritt</v>
      </c>
      <c r="D234">
        <f ca="1">IFERROR(__xludf.DUMMYFUNCTION("""COMPUTED_VALUE"""),6)</f>
        <v>6</v>
      </c>
      <c r="E234">
        <f ca="1">IFERROR(__xludf.DUMMYFUNCTION("""COMPUTED_VALUE"""),365.8)</f>
        <v>365.8</v>
      </c>
    </row>
    <row r="235" spans="1:5" ht="12.75">
      <c r="A235">
        <f ca="1">IFERROR(__xludf.DUMMYFUNCTION("""COMPUTED_VALUE"""),234)</f>
        <v>234</v>
      </c>
      <c r="B235" t="str">
        <f ca="1">IFERROR(__xludf.DUMMYFUNCTION("""COMPUTED_VALUE"""),"T230")</f>
        <v>T230</v>
      </c>
      <c r="C235" t="str">
        <f ca="1">IFERROR(__xludf.DUMMYFUNCTION("""COMPUTED_VALUE"""),"Brian Gay")</f>
        <v>Brian Gay</v>
      </c>
      <c r="D235">
        <f ca="1">IFERROR(__xludf.DUMMYFUNCTION("""COMPUTED_VALUE"""),3)</f>
        <v>3</v>
      </c>
      <c r="E235">
        <f ca="1">IFERROR(__xludf.DUMMYFUNCTION("""COMPUTED_VALUE"""),367.5)</f>
        <v>367.5</v>
      </c>
    </row>
    <row r="236" spans="1:5" ht="12.75">
      <c r="A236">
        <f ca="1">IFERROR(__xludf.DUMMYFUNCTION("""COMPUTED_VALUE"""),235)</f>
        <v>235</v>
      </c>
      <c r="B236">
        <f ca="1">IFERROR(__xludf.DUMMYFUNCTION("""COMPUTED_VALUE"""),229)</f>
        <v>229</v>
      </c>
      <c r="C236" t="str">
        <f ca="1">IFERROR(__xludf.DUMMYFUNCTION("""COMPUTED_VALUE"""),"Seamus Power")</f>
        <v>Seamus Power</v>
      </c>
      <c r="D236">
        <f ca="1">IFERROR(__xludf.DUMMYFUNCTION("""COMPUTED_VALUE"""),3)</f>
        <v>3</v>
      </c>
      <c r="E236">
        <f ca="1">IFERROR(__xludf.DUMMYFUNCTION("""COMPUTED_VALUE"""),367.6)</f>
        <v>367.6</v>
      </c>
    </row>
    <row r="237" spans="1:5" ht="12.75">
      <c r="A237">
        <f ca="1">IFERROR(__xludf.DUMMYFUNCTION("""COMPUTED_VALUE"""),236)</f>
        <v>236</v>
      </c>
      <c r="B237">
        <f ca="1">IFERROR(__xludf.DUMMYFUNCTION("""COMPUTED_VALUE"""),226)</f>
        <v>226</v>
      </c>
      <c r="C237" t="str">
        <f ca="1">IFERROR(__xludf.DUMMYFUNCTION("""COMPUTED_VALUE"""),"Jim Herman")</f>
        <v>Jim Herman</v>
      </c>
      <c r="D237">
        <f ca="1">IFERROR(__xludf.DUMMYFUNCTION("""COMPUTED_VALUE"""),4)</f>
        <v>4</v>
      </c>
      <c r="E237">
        <f ca="1">IFERROR(__xludf.DUMMYFUNCTION("""COMPUTED_VALUE"""),368.3)</f>
        <v>368.3</v>
      </c>
    </row>
    <row r="238" spans="1:5" ht="12.75">
      <c r="A238">
        <f ca="1">IFERROR(__xludf.DUMMYFUNCTION("""COMPUTED_VALUE"""),237)</f>
        <v>237</v>
      </c>
      <c r="B238">
        <f ca="1">IFERROR(__xludf.DUMMYFUNCTION("""COMPUTED_VALUE"""),235)</f>
        <v>235</v>
      </c>
      <c r="C238" t="str">
        <f ca="1">IFERROR(__xludf.DUMMYFUNCTION("""COMPUTED_VALUE"""),"George Markham")</f>
        <v>George Markham</v>
      </c>
      <c r="D238">
        <f ca="1">IFERROR(__xludf.DUMMYFUNCTION("""COMPUTED_VALUE"""),1)</f>
        <v>1</v>
      </c>
      <c r="E238">
        <f ca="1">IFERROR(__xludf.DUMMYFUNCTION("""COMPUTED_VALUE"""),369.3)</f>
        <v>369.3</v>
      </c>
    </row>
    <row r="239" spans="1:5" ht="12.75">
      <c r="A239">
        <f ca="1">IFERROR(__xludf.DUMMYFUNCTION("""COMPUTED_VALUE"""),238)</f>
        <v>238</v>
      </c>
      <c r="B239">
        <f ca="1">IFERROR(__xludf.DUMMYFUNCTION("""COMPUTED_VALUE"""),228)</f>
        <v>228</v>
      </c>
      <c r="C239" t="str">
        <f ca="1">IFERROR(__xludf.DUMMYFUNCTION("""COMPUTED_VALUE"""),"Shawn Stefani")</f>
        <v>Shawn Stefani</v>
      </c>
      <c r="D239">
        <f ca="1">IFERROR(__xludf.DUMMYFUNCTION("""COMPUTED_VALUE"""),3)</f>
        <v>3</v>
      </c>
      <c r="E239">
        <f ca="1">IFERROR(__xludf.DUMMYFUNCTION("""COMPUTED_VALUE"""),369.8)</f>
        <v>369.8</v>
      </c>
    </row>
    <row r="240" spans="1:5" ht="12.75">
      <c r="A240">
        <f ca="1">IFERROR(__xludf.DUMMYFUNCTION("""COMPUTED_VALUE"""),239)</f>
        <v>239</v>
      </c>
      <c r="B240" t="str">
        <f ca="1">IFERROR(__xludf.DUMMYFUNCTION("""COMPUTED_VALUE"""),"T230")</f>
        <v>T230</v>
      </c>
      <c r="C240" t="str">
        <f ca="1">IFERROR(__xludf.DUMMYFUNCTION("""COMPUTED_VALUE"""),"Davis Riley")</f>
        <v>Davis Riley</v>
      </c>
      <c r="D240">
        <f ca="1">IFERROR(__xludf.DUMMYFUNCTION("""COMPUTED_VALUE"""),2)</f>
        <v>2</v>
      </c>
      <c r="E240">
        <f ca="1">IFERROR(__xludf.DUMMYFUNCTION("""COMPUTED_VALUE"""),369.9)</f>
        <v>369.9</v>
      </c>
    </row>
    <row r="241" spans="1:5" ht="12.75">
      <c r="A241">
        <f ca="1">IFERROR(__xludf.DUMMYFUNCTION("""COMPUTED_VALUE"""),240)</f>
        <v>240</v>
      </c>
      <c r="B241" t="str">
        <f ca="1">IFERROR(__xludf.DUMMYFUNCTION("""COMPUTED_VALUE"""),"T233")</f>
        <v>T233</v>
      </c>
      <c r="C241" t="str">
        <f ca="1">IFERROR(__xludf.DUMMYFUNCTION("""COMPUTED_VALUE"""),"Ryan Brehm")</f>
        <v>Ryan Brehm</v>
      </c>
      <c r="D241">
        <f ca="1">IFERROR(__xludf.DUMMYFUNCTION("""COMPUTED_VALUE"""),3)</f>
        <v>3</v>
      </c>
      <c r="E241">
        <f ca="1">IFERROR(__xludf.DUMMYFUNCTION("""COMPUTED_VALUE"""),372.1)</f>
        <v>372.1</v>
      </c>
    </row>
    <row r="242" spans="1:5" ht="12.75">
      <c r="A242">
        <f ca="1">IFERROR(__xludf.DUMMYFUNCTION("""COMPUTED_VALUE"""),241)</f>
        <v>241</v>
      </c>
      <c r="B242">
        <f ca="1">IFERROR(__xludf.DUMMYFUNCTION("""COMPUTED_VALUE"""),232)</f>
        <v>232</v>
      </c>
      <c r="C242" t="str">
        <f ca="1">IFERROR(__xludf.DUMMYFUNCTION("""COMPUTED_VALUE"""),"Andy Zhang")</f>
        <v>Andy Zhang</v>
      </c>
      <c r="D242">
        <f ca="1">IFERROR(__xludf.DUMMYFUNCTION("""COMPUTED_VALUE"""),1)</f>
        <v>1</v>
      </c>
      <c r="E242">
        <f ca="1">IFERROR(__xludf.DUMMYFUNCTION("""COMPUTED_VALUE"""),373)</f>
        <v>373</v>
      </c>
    </row>
    <row r="243" spans="1:5" ht="12.75">
      <c r="A243">
        <f ca="1">IFERROR(__xludf.DUMMYFUNCTION("""COMPUTED_VALUE"""),242)</f>
        <v>242</v>
      </c>
      <c r="B243">
        <f ca="1">IFERROR(__xludf.DUMMYFUNCTION("""COMPUTED_VALUE"""),238)</f>
        <v>238</v>
      </c>
      <c r="C243" t="str">
        <f ca="1">IFERROR(__xludf.DUMMYFUNCTION("""COMPUTED_VALUE"""),"Danny Lee")</f>
        <v>Danny Lee</v>
      </c>
      <c r="D243">
        <f ca="1">IFERROR(__xludf.DUMMYFUNCTION("""COMPUTED_VALUE"""),5)</f>
        <v>5</v>
      </c>
      <c r="E243">
        <f ca="1">IFERROR(__xludf.DUMMYFUNCTION("""COMPUTED_VALUE"""),374.3)</f>
        <v>374.3</v>
      </c>
    </row>
    <row r="244" spans="1:5" ht="12.75">
      <c r="A244">
        <f ca="1">IFERROR(__xludf.DUMMYFUNCTION("""COMPUTED_VALUE"""),243)</f>
        <v>243</v>
      </c>
      <c r="B244" t="str">
        <f ca="1">IFERROR(__xludf.DUMMYFUNCTION("""COMPUTED_VALUE"""),"")</f>
        <v/>
      </c>
      <c r="C244" t="str">
        <f ca="1">IFERROR(__xludf.DUMMYFUNCTION("""COMPUTED_VALUE"""),"Francesco Molinari")</f>
        <v>Francesco Molinari</v>
      </c>
      <c r="D244">
        <f ca="1">IFERROR(__xludf.DUMMYFUNCTION("""COMPUTED_VALUE"""),2)</f>
        <v>2</v>
      </c>
      <c r="E244">
        <f ca="1">IFERROR(__xludf.DUMMYFUNCTION("""COMPUTED_VALUE"""),374.5)</f>
        <v>374.5</v>
      </c>
    </row>
    <row r="245" spans="1:5" ht="12.75">
      <c r="A245">
        <f ca="1">IFERROR(__xludf.DUMMYFUNCTION("""COMPUTED_VALUE"""),244)</f>
        <v>244</v>
      </c>
      <c r="B245">
        <f ca="1">IFERROR(__xludf.DUMMYFUNCTION("""COMPUTED_VALUE"""),240)</f>
        <v>240</v>
      </c>
      <c r="C245" t="str">
        <f ca="1">IFERROR(__xludf.DUMMYFUNCTION("""COMPUTED_VALUE"""),"Rasmus Hojgaard")</f>
        <v>Rasmus Hojgaard</v>
      </c>
      <c r="D245">
        <f ca="1">IFERROR(__xludf.DUMMYFUNCTION("""COMPUTED_VALUE"""),2)</f>
        <v>2</v>
      </c>
      <c r="E245">
        <f ca="1">IFERROR(__xludf.DUMMYFUNCTION("""COMPUTED_VALUE"""),383.3)</f>
        <v>383.3</v>
      </c>
    </row>
    <row r="246" spans="1:5" ht="12.75">
      <c r="A246">
        <f ca="1">IFERROR(__xludf.DUMMYFUNCTION("""COMPUTED_VALUE"""),245)</f>
        <v>245</v>
      </c>
      <c r="B246">
        <f ca="1">IFERROR(__xludf.DUMMYFUNCTION("""COMPUTED_VALUE"""),241)</f>
        <v>241</v>
      </c>
      <c r="C246" t="str">
        <f ca="1">IFERROR(__xludf.DUMMYFUNCTION("""COMPUTED_VALUE"""),"D.J. Trahan")</f>
        <v>D.J. Trahan</v>
      </c>
      <c r="D246">
        <f ca="1">IFERROR(__xludf.DUMMYFUNCTION("""COMPUTED_VALUE"""),4)</f>
        <v>4</v>
      </c>
      <c r="E246">
        <f ca="1">IFERROR(__xludf.DUMMYFUNCTION("""COMPUTED_VALUE"""),384.3)</f>
        <v>384.3</v>
      </c>
    </row>
    <row r="247" spans="1:5" ht="12.75">
      <c r="A247">
        <f ca="1">IFERROR(__xludf.DUMMYFUNCTION("""COMPUTED_VALUE"""),246)</f>
        <v>246</v>
      </c>
      <c r="B247">
        <f ca="1">IFERROR(__xludf.DUMMYFUNCTION("""COMPUTED_VALUE"""),239)</f>
        <v>239</v>
      </c>
      <c r="C247" t="str">
        <f ca="1">IFERROR(__xludf.DUMMYFUNCTION("""COMPUTED_VALUE"""),"Shugo Imahira")</f>
        <v>Shugo Imahira</v>
      </c>
      <c r="D247">
        <f ca="1">IFERROR(__xludf.DUMMYFUNCTION("""COMPUTED_VALUE"""),2)</f>
        <v>2</v>
      </c>
      <c r="E247">
        <f ca="1">IFERROR(__xludf.DUMMYFUNCTION("""COMPUTED_VALUE"""),384.8)</f>
        <v>384.8</v>
      </c>
    </row>
    <row r="248" spans="1:5" ht="12.75">
      <c r="A248">
        <f ca="1">IFERROR(__xludf.DUMMYFUNCTION("""COMPUTED_VALUE"""),247)</f>
        <v>247</v>
      </c>
      <c r="B248">
        <f ca="1">IFERROR(__xludf.DUMMYFUNCTION("""COMPUTED_VALUE"""),243)</f>
        <v>243</v>
      </c>
      <c r="C248" t="str">
        <f ca="1">IFERROR(__xludf.DUMMYFUNCTION("""COMPUTED_VALUE"""),"Wyndham Clark")</f>
        <v>Wyndham Clark</v>
      </c>
      <c r="D248">
        <f ca="1">IFERROR(__xludf.DUMMYFUNCTION("""COMPUTED_VALUE"""),5)</f>
        <v>5</v>
      </c>
      <c r="E248">
        <f ca="1">IFERROR(__xludf.DUMMYFUNCTION("""COMPUTED_VALUE"""),385.9)</f>
        <v>385.9</v>
      </c>
    </row>
    <row r="249" spans="1:5" ht="12.75">
      <c r="A249">
        <f ca="1">IFERROR(__xludf.DUMMYFUNCTION("""COMPUTED_VALUE"""),248)</f>
        <v>248</v>
      </c>
      <c r="B249">
        <f ca="1">IFERROR(__xludf.DUMMYFUNCTION("""COMPUTED_VALUE"""),242)</f>
        <v>242</v>
      </c>
      <c r="C249" t="str">
        <f ca="1">IFERROR(__xludf.DUMMYFUNCTION("""COMPUTED_VALUE"""),"Sangmoon Bae")</f>
        <v>Sangmoon Bae</v>
      </c>
      <c r="D249">
        <f ca="1">IFERROR(__xludf.DUMMYFUNCTION("""COMPUTED_VALUE"""),3)</f>
        <v>3</v>
      </c>
      <c r="E249">
        <f ca="1">IFERROR(__xludf.DUMMYFUNCTION("""COMPUTED_VALUE"""),388.3)</f>
        <v>388.3</v>
      </c>
    </row>
    <row r="250" spans="1:5" ht="12.75">
      <c r="A250">
        <f ca="1">IFERROR(__xludf.DUMMYFUNCTION("""COMPUTED_VALUE"""),249)</f>
        <v>249</v>
      </c>
      <c r="B250">
        <f ca="1">IFERROR(__xludf.DUMMYFUNCTION("""COMPUTED_VALUE"""),217)</f>
        <v>217</v>
      </c>
      <c r="C250" t="str">
        <f ca="1">IFERROR(__xludf.DUMMYFUNCTION("""COMPUTED_VALUE"""),"Max Homa")</f>
        <v>Max Homa</v>
      </c>
      <c r="D250">
        <f ca="1">IFERROR(__xludf.DUMMYFUNCTION("""COMPUTED_VALUE"""),4)</f>
        <v>4</v>
      </c>
      <c r="E250">
        <f ca="1">IFERROR(__xludf.DUMMYFUNCTION("""COMPUTED_VALUE"""),389.3)</f>
        <v>389.3</v>
      </c>
    </row>
    <row r="251" spans="1:5" ht="12.75">
      <c r="A251">
        <f ca="1">IFERROR(__xludf.DUMMYFUNCTION("""COMPUTED_VALUE"""),250)</f>
        <v>250</v>
      </c>
      <c r="B251">
        <f ca="1">IFERROR(__xludf.DUMMYFUNCTION("""COMPUTED_VALUE"""),244)</f>
        <v>244</v>
      </c>
      <c r="C251" t="str">
        <f ca="1">IFERROR(__xludf.DUMMYFUNCTION("""COMPUTED_VALUE"""),"Branden Grace")</f>
        <v>Branden Grace</v>
      </c>
      <c r="D251">
        <f ca="1">IFERROR(__xludf.DUMMYFUNCTION("""COMPUTED_VALUE"""),6)</f>
        <v>6</v>
      </c>
      <c r="E251">
        <f ca="1">IFERROR(__xludf.DUMMYFUNCTION("""COMPUTED_VALUE"""),392.9)</f>
        <v>392.9</v>
      </c>
    </row>
    <row r="252" spans="1:5" ht="12.75">
      <c r="A252">
        <f ca="1">IFERROR(__xludf.DUMMYFUNCTION("""COMPUTED_VALUE"""),251)</f>
        <v>251</v>
      </c>
      <c r="B252">
        <f ca="1">IFERROR(__xludf.DUMMYFUNCTION("""COMPUTED_VALUE"""),245)</f>
        <v>245</v>
      </c>
      <c r="C252" t="str">
        <f ca="1">IFERROR(__xludf.DUMMYFUNCTION("""COMPUTED_VALUE"""),"Matt Every")</f>
        <v>Matt Every</v>
      </c>
      <c r="D252">
        <f ca="1">IFERROR(__xludf.DUMMYFUNCTION("""COMPUTED_VALUE"""),4)</f>
        <v>4</v>
      </c>
      <c r="E252">
        <f ca="1">IFERROR(__xludf.DUMMYFUNCTION("""COMPUTED_VALUE"""),393)</f>
        <v>393</v>
      </c>
    </row>
    <row r="253" spans="1:5" ht="12.75">
      <c r="A253">
        <f ca="1">IFERROR(__xludf.DUMMYFUNCTION("""COMPUTED_VALUE"""),252)</f>
        <v>252</v>
      </c>
      <c r="B253">
        <f ca="1">IFERROR(__xludf.DUMMYFUNCTION("""COMPUTED_VALUE"""),249)</f>
        <v>249</v>
      </c>
      <c r="C253" t="str">
        <f ca="1">IFERROR(__xludf.DUMMYFUNCTION("""COMPUTED_VALUE"""),"Bubba Watson")</f>
        <v>Bubba Watson</v>
      </c>
      <c r="D253">
        <f ca="1">IFERROR(__xludf.DUMMYFUNCTION("""COMPUTED_VALUE"""),3)</f>
        <v>3</v>
      </c>
      <c r="E253">
        <f ca="1">IFERROR(__xludf.DUMMYFUNCTION("""COMPUTED_VALUE"""),395.3)</f>
        <v>395.3</v>
      </c>
    </row>
    <row r="254" spans="1:5" ht="12.75">
      <c r="A254">
        <f ca="1">IFERROR(__xludf.DUMMYFUNCTION("""COMPUTED_VALUE"""),253)</f>
        <v>253</v>
      </c>
      <c r="B254">
        <f ca="1">IFERROR(__xludf.DUMMYFUNCTION("""COMPUTED_VALUE"""),246)</f>
        <v>246</v>
      </c>
      <c r="C254" t="str">
        <f ca="1">IFERROR(__xludf.DUMMYFUNCTION("""COMPUTED_VALUE"""),"Brendan Steele")</f>
        <v>Brendan Steele</v>
      </c>
      <c r="D254">
        <f ca="1">IFERROR(__xludf.DUMMYFUNCTION("""COMPUTED_VALUE"""),4)</f>
        <v>4</v>
      </c>
      <c r="E254">
        <f ca="1">IFERROR(__xludf.DUMMYFUNCTION("""COMPUTED_VALUE"""),398.7)</f>
        <v>398.7</v>
      </c>
    </row>
    <row r="255" spans="1:5" ht="12.75">
      <c r="A255">
        <f ca="1">IFERROR(__xludf.DUMMYFUNCTION("""COMPUTED_VALUE"""),254)</f>
        <v>254</v>
      </c>
      <c r="B255" t="str">
        <f ca="1">IFERROR(__xludf.DUMMYFUNCTION("""COMPUTED_VALUE"""),"T247")</f>
        <v>T247</v>
      </c>
      <c r="C255" t="str">
        <f ca="1">IFERROR(__xludf.DUMMYFUNCTION("""COMPUTED_VALUE"""),"Cameron Champ")</f>
        <v>Cameron Champ</v>
      </c>
      <c r="D255">
        <f ca="1">IFERROR(__xludf.DUMMYFUNCTION("""COMPUTED_VALUE"""),4)</f>
        <v>4</v>
      </c>
      <c r="E255">
        <f ca="1">IFERROR(__xludf.DUMMYFUNCTION("""COMPUTED_VALUE"""),400.1)</f>
        <v>400.1</v>
      </c>
    </row>
    <row r="256" spans="1:5" ht="12.75">
      <c r="A256">
        <f ca="1">IFERROR(__xludf.DUMMYFUNCTION("""COMPUTED_VALUE"""),255)</f>
        <v>255</v>
      </c>
      <c r="B256">
        <f ca="1">IFERROR(__xludf.DUMMYFUNCTION("""COMPUTED_VALUE"""),236)</f>
        <v>236</v>
      </c>
      <c r="C256" t="str">
        <f ca="1">IFERROR(__xludf.DUMMYFUNCTION("""COMPUTED_VALUE"""),"Keegan Bradley")</f>
        <v>Keegan Bradley</v>
      </c>
      <c r="D256">
        <f ca="1">IFERROR(__xludf.DUMMYFUNCTION("""COMPUTED_VALUE"""),6)</f>
        <v>6</v>
      </c>
      <c r="E256">
        <f ca="1">IFERROR(__xludf.DUMMYFUNCTION("""COMPUTED_VALUE"""),401.2)</f>
        <v>401.2</v>
      </c>
    </row>
    <row r="257" spans="1:5" ht="12.75">
      <c r="A257">
        <f ca="1">IFERROR(__xludf.DUMMYFUNCTION("""COMPUTED_VALUE"""),256)</f>
        <v>256</v>
      </c>
      <c r="B257">
        <f ca="1">IFERROR(__xludf.DUMMYFUNCTION("""COMPUTED_VALUE"""),250)</f>
        <v>250</v>
      </c>
      <c r="C257" t="str">
        <f ca="1">IFERROR(__xludf.DUMMYFUNCTION("""COMPUTED_VALUE"""),"Kevin Tway")</f>
        <v>Kevin Tway</v>
      </c>
      <c r="D257">
        <f ca="1">IFERROR(__xludf.DUMMYFUNCTION("""COMPUTED_VALUE"""),6)</f>
        <v>6</v>
      </c>
      <c r="E257">
        <f ca="1">IFERROR(__xludf.DUMMYFUNCTION("""COMPUTED_VALUE"""),403.3)</f>
        <v>403.3</v>
      </c>
    </row>
    <row r="258" spans="1:5" ht="12.75">
      <c r="A258">
        <f ca="1">IFERROR(__xludf.DUMMYFUNCTION("""COMPUTED_VALUE"""),257)</f>
        <v>257</v>
      </c>
      <c r="B258">
        <f ca="1">IFERROR(__xludf.DUMMYFUNCTION("""COMPUTED_VALUE"""),252)</f>
        <v>252</v>
      </c>
      <c r="C258" t="str">
        <f ca="1">IFERROR(__xludf.DUMMYFUNCTION("""COMPUTED_VALUE"""),"George McNeill")</f>
        <v>George McNeill</v>
      </c>
      <c r="D258">
        <f ca="1">IFERROR(__xludf.DUMMYFUNCTION("""COMPUTED_VALUE"""),3)</f>
        <v>3</v>
      </c>
      <c r="E258">
        <f ca="1">IFERROR(__xludf.DUMMYFUNCTION("""COMPUTED_VALUE"""),408.3)</f>
        <v>408.3</v>
      </c>
    </row>
    <row r="259" spans="1:5" ht="12.75">
      <c r="A259">
        <f ca="1">IFERROR(__xludf.DUMMYFUNCTION("""COMPUTED_VALUE"""),258)</f>
        <v>258</v>
      </c>
      <c r="B259">
        <f ca="1">IFERROR(__xludf.DUMMYFUNCTION("""COMPUTED_VALUE"""),251)</f>
        <v>251</v>
      </c>
      <c r="C259" t="str">
        <f ca="1">IFERROR(__xludf.DUMMYFUNCTION("""COMPUTED_VALUE"""),"Chez Reavie")</f>
        <v>Chez Reavie</v>
      </c>
      <c r="D259">
        <f ca="1">IFERROR(__xludf.DUMMYFUNCTION("""COMPUTED_VALUE"""),4)</f>
        <v>4</v>
      </c>
      <c r="E259">
        <f ca="1">IFERROR(__xludf.DUMMYFUNCTION("""COMPUTED_VALUE"""),408.5)</f>
        <v>408.5</v>
      </c>
    </row>
    <row r="260" spans="1:5" ht="12.75">
      <c r="A260">
        <f ca="1">IFERROR(__xludf.DUMMYFUNCTION("""COMPUTED_VALUE"""),259)</f>
        <v>259</v>
      </c>
      <c r="B260">
        <f ca="1">IFERROR(__xludf.DUMMYFUNCTION("""COMPUTED_VALUE"""),256)</f>
        <v>256</v>
      </c>
      <c r="C260" t="str">
        <f ca="1">IFERROR(__xludf.DUMMYFUNCTION("""COMPUTED_VALUE"""),"Henrik Stenson")</f>
        <v>Henrik Stenson</v>
      </c>
      <c r="D260">
        <f ca="1">IFERROR(__xludf.DUMMYFUNCTION("""COMPUTED_VALUE"""),5)</f>
        <v>5</v>
      </c>
      <c r="E260">
        <f ca="1">IFERROR(__xludf.DUMMYFUNCTION("""COMPUTED_VALUE"""),413.9)</f>
        <v>413.9</v>
      </c>
    </row>
    <row r="261" spans="1:5" ht="12.75">
      <c r="A261">
        <f ca="1">IFERROR(__xludf.DUMMYFUNCTION("""COMPUTED_VALUE"""),260)</f>
        <v>260</v>
      </c>
      <c r="B261">
        <f ca="1">IFERROR(__xludf.DUMMYFUNCTION("""COMPUTED_VALUE"""),253)</f>
        <v>253</v>
      </c>
      <c r="C261" t="str">
        <f ca="1">IFERROR(__xludf.DUMMYFUNCTION("""COMPUTED_VALUE"""),"Byeong Hun An")</f>
        <v>Byeong Hun An</v>
      </c>
      <c r="D261">
        <f ca="1">IFERROR(__xludf.DUMMYFUNCTION("""COMPUTED_VALUE"""),5)</f>
        <v>5</v>
      </c>
      <c r="E261">
        <f ca="1">IFERROR(__xludf.DUMMYFUNCTION("""COMPUTED_VALUE"""),414.8)</f>
        <v>414.8</v>
      </c>
    </row>
    <row r="262" spans="1:5" ht="12.75">
      <c r="A262">
        <f ca="1">IFERROR(__xludf.DUMMYFUNCTION("""COMPUTED_VALUE"""),261)</f>
        <v>261</v>
      </c>
      <c r="B262">
        <f ca="1">IFERROR(__xludf.DUMMYFUNCTION("""COMPUTED_VALUE"""),254)</f>
        <v>254</v>
      </c>
      <c r="C262" t="str">
        <f ca="1">IFERROR(__xludf.DUMMYFUNCTION("""COMPUTED_VALUE"""),"Collin Morikawa")</f>
        <v>Collin Morikawa</v>
      </c>
      <c r="D262">
        <f ca="1">IFERROR(__xludf.DUMMYFUNCTION("""COMPUTED_VALUE"""),4)</f>
        <v>4</v>
      </c>
      <c r="E262">
        <f ca="1">IFERROR(__xludf.DUMMYFUNCTION("""COMPUTED_VALUE"""),422)</f>
        <v>422</v>
      </c>
    </row>
    <row r="263" spans="1:5" ht="12.75">
      <c r="A263">
        <f ca="1">IFERROR(__xludf.DUMMYFUNCTION("""COMPUTED_VALUE"""),262)</f>
        <v>262</v>
      </c>
      <c r="B263">
        <f ca="1">IFERROR(__xludf.DUMMYFUNCTION("""COMPUTED_VALUE"""),255)</f>
        <v>255</v>
      </c>
      <c r="C263" t="str">
        <f ca="1">IFERROR(__xludf.DUMMYFUNCTION("""COMPUTED_VALUE"""),"Robert MacIntyre")</f>
        <v>Robert MacIntyre</v>
      </c>
      <c r="D263">
        <f ca="1">IFERROR(__xludf.DUMMYFUNCTION("""COMPUTED_VALUE"""),1)</f>
        <v>1</v>
      </c>
      <c r="E263">
        <f ca="1">IFERROR(__xludf.DUMMYFUNCTION("""COMPUTED_VALUE"""),425.5)</f>
        <v>425.5</v>
      </c>
    </row>
    <row r="264" spans="1:5" ht="12.75">
      <c r="A264">
        <f ca="1">IFERROR(__xludf.DUMMYFUNCTION("""COMPUTED_VALUE"""),263)</f>
        <v>263</v>
      </c>
      <c r="B264">
        <f ca="1">IFERROR(__xludf.DUMMYFUNCTION("""COMPUTED_VALUE"""),257)</f>
        <v>257</v>
      </c>
      <c r="C264" t="str">
        <f ca="1">IFERROR(__xludf.DUMMYFUNCTION("""COMPUTED_VALUE"""),"Tyler McCumber")</f>
        <v>Tyler McCumber</v>
      </c>
      <c r="D264">
        <f ca="1">IFERROR(__xludf.DUMMYFUNCTION("""COMPUTED_VALUE"""),5)</f>
        <v>5</v>
      </c>
      <c r="E264">
        <f ca="1">IFERROR(__xludf.DUMMYFUNCTION("""COMPUTED_VALUE"""),428.5)</f>
        <v>428.5</v>
      </c>
    </row>
    <row r="265" spans="1:5" ht="12.75">
      <c r="A265">
        <f ca="1">IFERROR(__xludf.DUMMYFUNCTION("""COMPUTED_VALUE"""),264)</f>
        <v>264</v>
      </c>
      <c r="B265">
        <f ca="1">IFERROR(__xludf.DUMMYFUNCTION("""COMPUTED_VALUE"""),215)</f>
        <v>215</v>
      </c>
      <c r="C265" t="str">
        <f ca="1">IFERROR(__xludf.DUMMYFUNCTION("""COMPUTED_VALUE"""),"Kramer Hickok")</f>
        <v>Kramer Hickok</v>
      </c>
      <c r="D265">
        <f ca="1">IFERROR(__xludf.DUMMYFUNCTION("""COMPUTED_VALUE"""),5)</f>
        <v>5</v>
      </c>
      <c r="E265">
        <f ca="1">IFERROR(__xludf.DUMMYFUNCTION("""COMPUTED_VALUE"""),446.2)</f>
        <v>446.2</v>
      </c>
    </row>
    <row r="266" spans="1:5" ht="12.75">
      <c r="A266">
        <f ca="1">IFERROR(__xludf.DUMMYFUNCTION("""COMPUTED_VALUE"""),265)</f>
        <v>265</v>
      </c>
      <c r="B266">
        <f ca="1">IFERROR(__xludf.DUMMYFUNCTION("""COMPUTED_VALUE"""),259)</f>
        <v>259</v>
      </c>
      <c r="C266" t="str">
        <f ca="1">IFERROR(__xludf.DUMMYFUNCTION("""COMPUTED_VALUE"""),"Matthias Schwab")</f>
        <v>Matthias Schwab</v>
      </c>
      <c r="D266">
        <f ca="1">IFERROR(__xludf.DUMMYFUNCTION("""COMPUTED_VALUE"""),3)</f>
        <v>3</v>
      </c>
      <c r="E266">
        <f ca="1">IFERROR(__xludf.DUMMYFUNCTION("""COMPUTED_VALUE"""),447.3)</f>
        <v>447.3</v>
      </c>
    </row>
    <row r="267" spans="1:5" ht="12.75">
      <c r="A267">
        <f ca="1">IFERROR(__xludf.DUMMYFUNCTION("""COMPUTED_VALUE"""),266)</f>
        <v>266</v>
      </c>
      <c r="B267">
        <f ca="1">IFERROR(__xludf.DUMMYFUNCTION("""COMPUTED_VALUE"""),220)</f>
        <v>220</v>
      </c>
      <c r="C267" t="str">
        <f ca="1">IFERROR(__xludf.DUMMYFUNCTION("""COMPUTED_VALUE"""),"Ted Potter, Jr.")</f>
        <v>Ted Potter, Jr.</v>
      </c>
      <c r="D267">
        <f ca="1">IFERROR(__xludf.DUMMYFUNCTION("""COMPUTED_VALUE"""),4)</f>
        <v>4</v>
      </c>
      <c r="E267">
        <f ca="1">IFERROR(__xludf.DUMMYFUNCTION("""COMPUTED_VALUE"""),449.9)</f>
        <v>449.9</v>
      </c>
    </row>
    <row r="268" spans="1:5" ht="12.75">
      <c r="A268">
        <f ca="1">IFERROR(__xludf.DUMMYFUNCTION("""COMPUTED_VALUE"""),267)</f>
        <v>267</v>
      </c>
      <c r="B268">
        <f ca="1">IFERROR(__xludf.DUMMYFUNCTION("""COMPUTED_VALUE"""),260)</f>
        <v>260</v>
      </c>
      <c r="C268" t="str">
        <f ca="1">IFERROR(__xludf.DUMMYFUNCTION("""COMPUTED_VALUE"""),"John Pak")</f>
        <v>John Pak</v>
      </c>
      <c r="D268">
        <f ca="1">IFERROR(__xludf.DUMMYFUNCTION("""COMPUTED_VALUE"""),1)</f>
        <v>1</v>
      </c>
      <c r="E268">
        <f ca="1">IFERROR(__xludf.DUMMYFUNCTION("""COMPUTED_VALUE"""),452.7)</f>
        <v>452.7</v>
      </c>
    </row>
    <row r="269" spans="1:5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IFERROR(__xludf.DUMMYFUNCTION("""COMPUTED_VALUE"""),"Josh Teater")</f>
        <v>Josh Teater</v>
      </c>
      <c r="D269">
        <f ca="1">IFERROR(__xludf.DUMMYFUNCTION("""COMPUTED_VALUE"""),3)</f>
        <v>3</v>
      </c>
      <c r="E269">
        <f ca="1">IFERROR(__xludf.DUMMYFUNCTION("""COMPUTED_VALUE"""),460.6)</f>
        <v>460.6</v>
      </c>
    </row>
    <row r="270" spans="1:5" ht="12.75">
      <c r="A270">
        <f ca="1">IFERROR(__xludf.DUMMYFUNCTION("""COMPUTED_VALUE"""),269)</f>
        <v>269</v>
      </c>
      <c r="B270">
        <f ca="1">IFERROR(__xludf.DUMMYFUNCTION("""COMPUTED_VALUE"""),262)</f>
        <v>262</v>
      </c>
      <c r="C270" t="str">
        <f ca="1">IFERROR(__xludf.DUMMYFUNCTION("""COMPUTED_VALUE"""),"Camilo Villegas")</f>
        <v>Camilo Villegas</v>
      </c>
      <c r="D270">
        <f ca="1">IFERROR(__xludf.DUMMYFUNCTION("""COMPUTED_VALUE"""),5)</f>
        <v>5</v>
      </c>
      <c r="E270">
        <f ca="1">IFERROR(__xludf.DUMMYFUNCTION("""COMPUTED_VALUE"""),486.1)</f>
        <v>486.1</v>
      </c>
    </row>
    <row r="271" spans="1:5" ht="12.75">
      <c r="A271">
        <f ca="1">IFERROR(__xludf.DUMMYFUNCTION("""COMPUTED_VALUE"""),270)</f>
        <v>270</v>
      </c>
      <c r="B271">
        <f ca="1">IFERROR(__xludf.DUMMYFUNCTION("""COMPUTED_VALUE"""),258)</f>
        <v>258</v>
      </c>
      <c r="C271" t="str">
        <f ca="1">IFERROR(__xludf.DUMMYFUNCTION("""COMPUTED_VALUE"""),"Graham DeLaet")</f>
        <v>Graham DeLaet</v>
      </c>
      <c r="D271">
        <f ca="1">IFERROR(__xludf.DUMMYFUNCTION("""COMPUTED_VALUE"""),5)</f>
        <v>5</v>
      </c>
      <c r="E271">
        <f ca="1">IFERROR(__xludf.DUMMYFUNCTION("""COMPUTED_VALUE"""),510.3)</f>
        <v>510.3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s="3" t="str">
        <f ca="1">IFERROR(__xludf.DUMMYFUNCTION("importhtml(""http://www.pgatour.com/stats/stat.02567.html"",""table"",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SG:OTT")</f>
        <v>TOTAL SG:OTT</v>
      </c>
      <c r="G1" t="str">
        <f ca="1">IFERROR(__xludf.DUMMYFUNCTION("""COMPUTED_VALUE"""),"MEASURED ROUNDS")</f>
        <v>MEASURED ROUNDS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IFERROR(__xludf.DUMMYFUNCTION("""COMPUTED_VALUE"""),1.297)</f>
        <v>1.2969999999999999</v>
      </c>
      <c r="F2">
        <f ca="1">IFERROR(__xludf.DUMMYFUNCTION("""COMPUTED_VALUE"""),10.373)</f>
        <v>10.372999999999999</v>
      </c>
      <c r="G2">
        <f ca="1">IFERROR(__xludf.DUMMYFUNCTION("""COMPUTED_VALUE"""),8)</f>
        <v>8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IFERROR(__xludf.DUMMYFUNCTION("""COMPUTED_VALUE"""),"Rory McIlroy")</f>
        <v>Rory McIlroy</v>
      </c>
      <c r="D3">
        <f ca="1">IFERROR(__xludf.DUMMYFUNCTION("""COMPUTED_VALUE"""),12)</f>
        <v>12</v>
      </c>
      <c r="E3">
        <f ca="1">IFERROR(__xludf.DUMMYFUNCTION("""COMPUTED_VALUE"""),1.281)</f>
        <v>1.2809999999999999</v>
      </c>
      <c r="F3">
        <f ca="1">IFERROR(__xludf.DUMMYFUNCTION("""COMPUTED_VALUE"""),15.374)</f>
        <v>15.374000000000001</v>
      </c>
      <c r="G3">
        <f ca="1">IFERROR(__xludf.DUMMYFUNCTION("""COMPUTED_VALUE"""),12)</f>
        <v>12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IFERROR(__xludf.DUMMYFUNCTION("""COMPUTED_VALUE"""),"Jon Rahm")</f>
        <v>Jon Rahm</v>
      </c>
      <c r="D4">
        <f ca="1">IFERROR(__xludf.DUMMYFUNCTION("""COMPUTED_VALUE"""),12)</f>
        <v>12</v>
      </c>
      <c r="E4">
        <f ca="1">IFERROR(__xludf.DUMMYFUNCTION("""COMPUTED_VALUE"""),1.138)</f>
        <v>1.1379999999999999</v>
      </c>
      <c r="F4">
        <f ca="1">IFERROR(__xludf.DUMMYFUNCTION("""COMPUTED_VALUE"""),13.655)</f>
        <v>13.654999999999999</v>
      </c>
      <c r="G4">
        <f ca="1">IFERROR(__xludf.DUMMYFUNCTION("""COMPUTED_VALUE"""),12)</f>
        <v>12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IFERROR(__xludf.DUMMYFUNCTION("""COMPUTED_VALUE"""),"Taylor Pendrith")</f>
        <v>Taylor Pendrith</v>
      </c>
      <c r="D5">
        <f ca="1">IFERROR(__xludf.DUMMYFUNCTION("""COMPUTED_VALUE"""),4)</f>
        <v>4</v>
      </c>
      <c r="E5">
        <f ca="1">IFERROR(__xludf.DUMMYFUNCTION("""COMPUTED_VALUE"""),1.071)</f>
        <v>1.071</v>
      </c>
      <c r="F5">
        <f ca="1">IFERROR(__xludf.DUMMYFUNCTION("""COMPUTED_VALUE"""),4.282)</f>
        <v>4.282</v>
      </c>
      <c r="G5">
        <f ca="1">IFERROR(__xludf.DUMMYFUNCTION("""COMPUTED_VALUE"""),4)</f>
        <v>4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IFERROR(__xludf.DUMMYFUNCTION("""COMPUTED_VALUE"""),"Sam Burns")</f>
        <v>Sam Burns</v>
      </c>
      <c r="D6">
        <f ca="1">IFERROR(__xludf.DUMMYFUNCTION("""COMPUTED_VALUE"""),18)</f>
        <v>18</v>
      </c>
      <c r="E6">
        <f ca="1">IFERROR(__xludf.DUMMYFUNCTION("""COMPUTED_VALUE"""),1.026)</f>
        <v>1.026</v>
      </c>
      <c r="F6">
        <f ca="1">IFERROR(__xludf.DUMMYFUNCTION("""COMPUTED_VALUE"""),14.358)</f>
        <v>14.358000000000001</v>
      </c>
      <c r="G6">
        <f ca="1">IFERROR(__xludf.DUMMYFUNCTION("""COMPUTED_VALUE"""),14)</f>
        <v>14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IFERROR(__xludf.DUMMYFUNCTION("""COMPUTED_VALUE"""),10)</f>
        <v>10</v>
      </c>
      <c r="C7" t="str">
        <f ca="1">IFERROR(__xludf.DUMMYFUNCTION("""COMPUTED_VALUE"""),"Sergio Garcia")</f>
        <v>Sergio Garcia</v>
      </c>
      <c r="D7">
        <f ca="1">IFERROR(__xludf.DUMMYFUNCTION("""COMPUTED_VALUE"""),18)</f>
        <v>18</v>
      </c>
      <c r="E7">
        <f ca="1">IFERROR(__xludf.DUMMYFUNCTION("""COMPUTED_VALUE"""),0.976)</f>
        <v>0.97599999999999998</v>
      </c>
      <c r="F7">
        <f ca="1">IFERROR(__xludf.DUMMYFUNCTION("""COMPUTED_VALUE"""),17.574)</f>
        <v>17.574000000000002</v>
      </c>
      <c r="G7">
        <f ca="1">IFERROR(__xludf.DUMMYFUNCTION("""COMPUTED_VALUE"""),18)</f>
        <v>18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IFERROR(__xludf.DUMMYFUNCTION("""COMPUTED_VALUE"""),6)</f>
        <v>6</v>
      </c>
      <c r="C8" t="str">
        <f ca="1">IFERROR(__xludf.DUMMYFUNCTION("""COMPUTED_VALUE"""),"Ryan Brehm")</f>
        <v>Ryan Brehm</v>
      </c>
      <c r="D8">
        <f ca="1">IFERROR(__xludf.DUMMYFUNCTION("""COMPUTED_VALUE"""),10)</f>
        <v>10</v>
      </c>
      <c r="E8">
        <f ca="1">IFERROR(__xludf.DUMMYFUNCTION("""COMPUTED_VALUE"""),0.958)</f>
        <v>0.95799999999999996</v>
      </c>
      <c r="F8">
        <f ca="1">IFERROR(__xludf.DUMMYFUNCTION("""COMPUTED_VALUE"""),1.916)</f>
        <v>1.9159999999999999</v>
      </c>
      <c r="G8">
        <f ca="1">IFERROR(__xludf.DUMMYFUNCTION("""COMPUTED_VALUE"""),2)</f>
        <v>2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IFERROR(__xludf.DUMMYFUNCTION("""COMPUTED_VALUE"""),7)</f>
        <v>7</v>
      </c>
      <c r="C9" t="str">
        <f ca="1">IFERROR(__xludf.DUMMYFUNCTION("""COMPUTED_VALUE"""),"Bubba Watson")</f>
        <v>Bubba Watson</v>
      </c>
      <c r="D9">
        <f ca="1">IFERROR(__xludf.DUMMYFUNCTION("""COMPUTED_VALUE"""),12)</f>
        <v>12</v>
      </c>
      <c r="E9">
        <f ca="1">IFERROR(__xludf.DUMMYFUNCTION("""COMPUTED_VALUE"""),0.947)</f>
        <v>0.94699999999999995</v>
      </c>
      <c r="F9">
        <f ca="1">IFERROR(__xludf.DUMMYFUNCTION("""COMPUTED_VALUE"""),11.368)</f>
        <v>11.368</v>
      </c>
      <c r="G9">
        <f ca="1">IFERROR(__xludf.DUMMYFUNCTION("""COMPUTED_VALUE"""),12)</f>
        <v>12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IFERROR(__xludf.DUMMYFUNCTION("""COMPUTED_VALUE"""),9)</f>
        <v>9</v>
      </c>
      <c r="C10" t="str">
        <f ca="1">IFERROR(__xludf.DUMMYFUNCTION("""COMPUTED_VALUE"""),"Bud Cauley")</f>
        <v>Bud Cauley</v>
      </c>
      <c r="D10">
        <f ca="1">IFERROR(__xludf.DUMMYFUNCTION("""COMPUTED_VALUE"""),4)</f>
        <v>4</v>
      </c>
      <c r="E10">
        <f ca="1">IFERROR(__xludf.DUMMYFUNCTION("""COMPUTED_VALUE"""),0.905)</f>
        <v>0.90500000000000003</v>
      </c>
      <c r="F10">
        <f ca="1">IFERROR(__xludf.DUMMYFUNCTION("""COMPUTED_VALUE"""),3.621)</f>
        <v>3.621</v>
      </c>
      <c r="G10">
        <f ca="1">IFERROR(__xludf.DUMMYFUNCTION("""COMPUTED_VALUE"""),4)</f>
        <v>4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IFERROR(__xludf.DUMMYFUNCTION("""COMPUTED_VALUE"""),8)</f>
        <v>8</v>
      </c>
      <c r="C11" t="str">
        <f ca="1">IFERROR(__xludf.DUMMYFUNCTION("""COMPUTED_VALUE"""),"Scottie Scheffler")</f>
        <v>Scottie Scheffler</v>
      </c>
      <c r="D11">
        <f ca="1">IFERROR(__xludf.DUMMYFUNCTION("""COMPUTED_VALUE"""),18)</f>
        <v>18</v>
      </c>
      <c r="E11">
        <f ca="1">IFERROR(__xludf.DUMMYFUNCTION("""COMPUTED_VALUE"""),0.887)</f>
        <v>0.88700000000000001</v>
      </c>
      <c r="F11">
        <f ca="1">IFERROR(__xludf.DUMMYFUNCTION("""COMPUTED_VALUE"""),15.969)</f>
        <v>15.968999999999999</v>
      </c>
      <c r="G11">
        <f ca="1">IFERROR(__xludf.DUMMYFUNCTION("""COMPUTED_VALUE"""),18)</f>
        <v>18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IFERROR(__xludf.DUMMYFUNCTION("""COMPUTED_VALUE"""),41)</f>
        <v>41</v>
      </c>
      <c r="C12" t="str">
        <f ca="1">IFERROR(__xludf.DUMMYFUNCTION("""COMPUTED_VALUE"""),"Dustin Johnson")</f>
        <v>Dustin Johnson</v>
      </c>
      <c r="D12">
        <f ca="1">IFERROR(__xludf.DUMMYFUNCTION("""COMPUTED_VALUE"""),8)</f>
        <v>8</v>
      </c>
      <c r="E12">
        <f ca="1">IFERROR(__xludf.DUMMYFUNCTION("""COMPUTED_VALUE"""),0.879)</f>
        <v>0.879</v>
      </c>
      <c r="F12">
        <f ca="1">IFERROR(__xludf.DUMMYFUNCTION("""COMPUTED_VALUE"""),7.03)</f>
        <v>7.03</v>
      </c>
      <c r="G12">
        <f ca="1">IFERROR(__xludf.DUMMYFUNCTION("""COMPUTED_VALUE"""),8)</f>
        <v>8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IFERROR(__xludf.DUMMYFUNCTION("""COMPUTED_VALUE"""),13)</f>
        <v>13</v>
      </c>
      <c r="C13" t="str">
        <f ca="1">IFERROR(__xludf.DUMMYFUNCTION("""COMPUTED_VALUE"""),"Joaquin Niemann")</f>
        <v>Joaquin Niemann</v>
      </c>
      <c r="D13">
        <f ca="1">IFERROR(__xludf.DUMMYFUNCTION("""COMPUTED_VALUE"""),16)</f>
        <v>16</v>
      </c>
      <c r="E13">
        <f ca="1">IFERROR(__xludf.DUMMYFUNCTION("""COMPUTED_VALUE"""),0.779)</f>
        <v>0.77900000000000003</v>
      </c>
      <c r="F13">
        <f ca="1">IFERROR(__xludf.DUMMYFUNCTION("""COMPUTED_VALUE"""),12.469)</f>
        <v>12.468999999999999</v>
      </c>
      <c r="G13">
        <f ca="1">IFERROR(__xludf.DUMMYFUNCTION("""COMPUTED_VALUE"""),16)</f>
        <v>16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IFERROR(__xludf.DUMMYFUNCTION("""COMPUTED_VALUE"""),22)</f>
        <v>22</v>
      </c>
      <c r="C14" t="str">
        <f ca="1">IFERROR(__xludf.DUMMYFUNCTION("""COMPUTED_VALUE"""),"Viktor Hovland")</f>
        <v>Viktor Hovland</v>
      </c>
      <c r="D14">
        <f ca="1">IFERROR(__xludf.DUMMYFUNCTION("""COMPUTED_VALUE"""),16)</f>
        <v>16</v>
      </c>
      <c r="E14">
        <f ca="1">IFERROR(__xludf.DUMMYFUNCTION("""COMPUTED_VALUE"""),0.767)</f>
        <v>0.76700000000000002</v>
      </c>
      <c r="F14">
        <f ca="1">IFERROR(__xludf.DUMMYFUNCTION("""COMPUTED_VALUE"""),12.266)</f>
        <v>12.266</v>
      </c>
      <c r="G14">
        <f ca="1">IFERROR(__xludf.DUMMYFUNCTION("""COMPUTED_VALUE"""),16)</f>
        <v>16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IFERROR(__xludf.DUMMYFUNCTION("""COMPUTED_VALUE"""),15)</f>
        <v>15</v>
      </c>
      <c r="C15" t="str">
        <f ca="1">IFERROR(__xludf.DUMMYFUNCTION("""COMPUTED_VALUE"""),"Will Zalatoris")</f>
        <v>Will Zalatoris</v>
      </c>
      <c r="D15">
        <f ca="1">IFERROR(__xludf.DUMMYFUNCTION("""COMPUTED_VALUE"""),18)</f>
        <v>18</v>
      </c>
      <c r="E15">
        <f ca="1">IFERROR(__xludf.DUMMYFUNCTION("""COMPUTED_VALUE"""),0.733)</f>
        <v>0.73299999999999998</v>
      </c>
      <c r="F15">
        <f ca="1">IFERROR(__xludf.DUMMYFUNCTION("""COMPUTED_VALUE"""),7.329)</f>
        <v>7.3289999999999997</v>
      </c>
      <c r="G15">
        <f ca="1">IFERROR(__xludf.DUMMYFUNCTION("""COMPUTED_VALUE"""),10)</f>
        <v>10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IFERROR(__xludf.DUMMYFUNCTION("""COMPUTED_VALUE"""),16)</f>
        <v>16</v>
      </c>
      <c r="C16" t="str">
        <f ca="1">IFERROR(__xludf.DUMMYFUNCTION("""COMPUTED_VALUE"""),"Thomas Pieters")</f>
        <v>Thomas Pieters</v>
      </c>
      <c r="D16">
        <f ca="1">IFERROR(__xludf.DUMMYFUNCTION("""COMPUTED_VALUE"""),4)</f>
        <v>4</v>
      </c>
      <c r="E16">
        <f ca="1">IFERROR(__xludf.DUMMYFUNCTION("""COMPUTED_VALUE"""),0.728)</f>
        <v>0.72799999999999998</v>
      </c>
      <c r="F16">
        <f ca="1">IFERROR(__xludf.DUMMYFUNCTION("""COMPUTED_VALUE"""),2.913)</f>
        <v>2.9129999999999998</v>
      </c>
      <c r="G16">
        <f ca="1">IFERROR(__xludf.DUMMYFUNCTION("""COMPUTED_VALUE"""),4)</f>
        <v>4</v>
      </c>
    </row>
    <row r="17" spans="1:7" ht="15.75" customHeight="1">
      <c r="A17" t="str">
        <f ca="1">IFERROR(__xludf.DUMMYFUNCTION("""COMPUTED_VALUE"""),"T16")</f>
        <v>T16</v>
      </c>
      <c r="B17">
        <f ca="1">IFERROR(__xludf.DUMMYFUNCTION("""COMPUTED_VALUE"""),17)</f>
        <v>17</v>
      </c>
      <c r="C17" t="str">
        <f ca="1">IFERROR(__xludf.DUMMYFUNCTION("""COMPUTED_VALUE"""),"Harry Higgs")</f>
        <v>Harry Higgs</v>
      </c>
      <c r="D17">
        <f ca="1">IFERROR(__xludf.DUMMYFUNCTION("""COMPUTED_VALUE"""),14)</f>
        <v>14</v>
      </c>
      <c r="E17">
        <f ca="1">IFERROR(__xludf.DUMMYFUNCTION("""COMPUTED_VALUE"""),0.7)</f>
        <v>0.7</v>
      </c>
      <c r="F17">
        <f ca="1">IFERROR(__xludf.DUMMYFUNCTION("""COMPUTED_VALUE"""),9.803)</f>
        <v>9.8030000000000008</v>
      </c>
      <c r="G17">
        <f ca="1">IFERROR(__xludf.DUMMYFUNCTION("""COMPUTED_VALUE"""),14)</f>
        <v>14</v>
      </c>
    </row>
    <row r="18" spans="1:7" ht="15.75" customHeight="1">
      <c r="A18" t="str">
        <f ca="1">IFERROR(__xludf.DUMMYFUNCTION("""COMPUTED_VALUE"""),"T16")</f>
        <v>T16</v>
      </c>
      <c r="B18">
        <f ca="1">IFERROR(__xludf.DUMMYFUNCTION("""COMPUTED_VALUE"""),11)</f>
        <v>11</v>
      </c>
      <c r="C18" t="str">
        <f ca="1">IFERROR(__xludf.DUMMYFUNCTION("""COMPUTED_VALUE"""),"Luke List")</f>
        <v>Luke List</v>
      </c>
      <c r="D18">
        <f ca="1">IFERROR(__xludf.DUMMYFUNCTION("""COMPUTED_VALUE"""),18)</f>
        <v>18</v>
      </c>
      <c r="E18">
        <f ca="1">IFERROR(__xludf.DUMMYFUNCTION("""COMPUTED_VALUE"""),0.7)</f>
        <v>0.7</v>
      </c>
      <c r="F18">
        <f ca="1">IFERROR(__xludf.DUMMYFUNCTION("""COMPUTED_VALUE"""),6.999)</f>
        <v>6.9989999999999997</v>
      </c>
      <c r="G18">
        <f ca="1">IFERROR(__xludf.DUMMYFUNCTION("""COMPUTED_VALUE"""),10)</f>
        <v>10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IFERROR(__xludf.DUMMYFUNCTION("""COMPUTED_VALUE"""),19)</f>
        <v>19</v>
      </c>
      <c r="C19" t="str">
        <f ca="1">IFERROR(__xludf.DUMMYFUNCTION("""COMPUTED_VALUE"""),"Johnson Wagner")</f>
        <v>Johnson Wagner</v>
      </c>
      <c r="D19">
        <f ca="1">IFERROR(__xludf.DUMMYFUNCTION("""COMPUTED_VALUE"""),8)</f>
        <v>8</v>
      </c>
      <c r="E19">
        <f ca="1">IFERROR(__xludf.DUMMYFUNCTION("""COMPUTED_VALUE"""),0.654)</f>
        <v>0.65400000000000003</v>
      </c>
      <c r="F19">
        <f ca="1">IFERROR(__xludf.DUMMYFUNCTION("""COMPUTED_VALUE"""),1.307)</f>
        <v>1.3069999999999999</v>
      </c>
      <c r="G19">
        <f ca="1">IFERROR(__xludf.DUMMYFUNCTION("""COMPUTED_VALUE"""),2)</f>
        <v>2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IFERROR(__xludf.DUMMYFUNCTION("""COMPUTED_VALUE"""),20)</f>
        <v>20</v>
      </c>
      <c r="C20" t="str">
        <f ca="1">IFERROR(__xludf.DUMMYFUNCTION("""COMPUTED_VALUE"""),"Michael Gellerman")</f>
        <v>Michael Gellerman</v>
      </c>
      <c r="D20">
        <f ca="1">IFERROR(__xludf.DUMMYFUNCTION("""COMPUTED_VALUE"""),5)</f>
        <v>5</v>
      </c>
      <c r="E20">
        <f ca="1">IFERROR(__xludf.DUMMYFUNCTION("""COMPUTED_VALUE"""),0.643)</f>
        <v>0.64300000000000002</v>
      </c>
      <c r="F20">
        <f ca="1">IFERROR(__xludf.DUMMYFUNCTION("""COMPUTED_VALUE"""),1.286)</f>
        <v>1.286</v>
      </c>
      <c r="G20">
        <f ca="1">IFERROR(__xludf.DUMMYFUNCTION("""COMPUTED_VALUE"""),2)</f>
        <v>2</v>
      </c>
    </row>
    <row r="21" spans="1:7" ht="15.75" customHeight="1">
      <c r="A21">
        <f ca="1">IFERROR(__xludf.DUMMYFUNCTION("""COMPUTED_VALUE"""),20)</f>
        <v>20</v>
      </c>
      <c r="B21" t="str">
        <f ca="1">IFERROR(__xludf.DUMMYFUNCTION("""COMPUTED_VALUE"""),"T31")</f>
        <v>T31</v>
      </c>
      <c r="C21" t="str">
        <f ca="1">IFERROR(__xludf.DUMMYFUNCTION("""COMPUTED_VALUE"""),"Charley Hoffman")</f>
        <v>Charley Hoffman</v>
      </c>
      <c r="D21">
        <f ca="1">IFERROR(__xludf.DUMMYFUNCTION("""COMPUTED_VALUE"""),20)</f>
        <v>20</v>
      </c>
      <c r="E21">
        <f ca="1">IFERROR(__xludf.DUMMYFUNCTION("""COMPUTED_VALUE"""),0.642)</f>
        <v>0.64200000000000002</v>
      </c>
      <c r="F21">
        <f ca="1">IFERROR(__xludf.DUMMYFUNCTION("""COMPUTED_VALUE"""),8.981)</f>
        <v>8.9809999999999999</v>
      </c>
      <c r="G21">
        <f ca="1">IFERROR(__xludf.DUMMYFUNCTION("""COMPUTED_VALUE"""),14)</f>
        <v>14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IFERROR(__xludf.DUMMYFUNCTION("""COMPUTED_VALUE"""),21)</f>
        <v>21</v>
      </c>
      <c r="C22" t="str">
        <f ca="1">IFERROR(__xludf.DUMMYFUNCTION("""COMPUTED_VALUE"""),"J.J. Spaun")</f>
        <v>J.J. Spaun</v>
      </c>
      <c r="D22">
        <f ca="1">IFERROR(__xludf.DUMMYFUNCTION("""COMPUTED_VALUE"""),10)</f>
        <v>10</v>
      </c>
      <c r="E22">
        <f ca="1">IFERROR(__xludf.DUMMYFUNCTION("""COMPUTED_VALUE"""),0.634)</f>
        <v>0.63400000000000001</v>
      </c>
      <c r="F22">
        <f ca="1">IFERROR(__xludf.DUMMYFUNCTION("""COMPUTED_VALUE"""),3.804)</f>
        <v>3.8039999999999998</v>
      </c>
      <c r="G22">
        <f ca="1">IFERROR(__xludf.DUMMYFUNCTION("""COMPUTED_VALUE"""),6)</f>
        <v>6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IFERROR(__xludf.DUMMYFUNCTION("""COMPUTED_VALUE"""),"")</f>
        <v/>
      </c>
      <c r="C23" t="str">
        <f ca="1">IFERROR(__xludf.DUMMYFUNCTION("""COMPUTED_VALUE"""),"Padraig Harrington")</f>
        <v>Padraig Harrington</v>
      </c>
      <c r="D23">
        <f ca="1">IFERROR(__xludf.DUMMYFUNCTION("""COMPUTED_VALUE"""),8)</f>
        <v>8</v>
      </c>
      <c r="E23">
        <f ca="1">IFERROR(__xludf.DUMMYFUNCTION("""COMPUTED_VALUE"""),0.592)</f>
        <v>0.59199999999999997</v>
      </c>
      <c r="F23">
        <f ca="1">IFERROR(__xludf.DUMMYFUNCTION("""COMPUTED_VALUE"""),2.368)</f>
        <v>2.3679999999999999</v>
      </c>
      <c r="G23">
        <f ca="1">IFERROR(__xludf.DUMMYFUNCTION("""COMPUTED_VALUE"""),4)</f>
        <v>4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IFERROR(__xludf.DUMMYFUNCTION("""COMPUTED_VALUE"""),23)</f>
        <v>23</v>
      </c>
      <c r="C24" t="str">
        <f ca="1">IFERROR(__xludf.DUMMYFUNCTION("""COMPUTED_VALUE"""),"Tyler McCumber")</f>
        <v>Tyler McCumber</v>
      </c>
      <c r="D24">
        <f ca="1">IFERROR(__xludf.DUMMYFUNCTION("""COMPUTED_VALUE"""),14)</f>
        <v>14</v>
      </c>
      <c r="E24">
        <f ca="1">IFERROR(__xludf.DUMMYFUNCTION("""COMPUTED_VALUE"""),0.59)</f>
        <v>0.59</v>
      </c>
      <c r="F24">
        <f ca="1">IFERROR(__xludf.DUMMYFUNCTION("""COMPUTED_VALUE"""),4.72)</f>
        <v>4.72</v>
      </c>
      <c r="G24">
        <f ca="1">IFERROR(__xludf.DUMMYFUNCTION("""COMPUTED_VALUE"""),8)</f>
        <v>8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IFERROR(__xludf.DUMMYFUNCTION("""COMPUTED_VALUE"""),12)</f>
        <v>12</v>
      </c>
      <c r="C25" t="str">
        <f ca="1">IFERROR(__xludf.DUMMYFUNCTION("""COMPUTED_VALUE"""),"Lee Westwood")</f>
        <v>Lee Westwood</v>
      </c>
      <c r="D25">
        <f ca="1">IFERROR(__xludf.DUMMYFUNCTION("""COMPUTED_VALUE"""),6)</f>
        <v>6</v>
      </c>
      <c r="E25">
        <f ca="1">IFERROR(__xludf.DUMMYFUNCTION("""COMPUTED_VALUE"""),0.585)</f>
        <v>0.58499999999999996</v>
      </c>
      <c r="F25">
        <f ca="1">IFERROR(__xludf.DUMMYFUNCTION("""COMPUTED_VALUE"""),3.509)</f>
        <v>3.5089999999999999</v>
      </c>
      <c r="G25">
        <f ca="1">IFERROR(__xludf.DUMMYFUNCTION("""COMPUTED_VALUE"""),6)</f>
        <v>6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IFERROR(__xludf.DUMMYFUNCTION("""COMPUTED_VALUE"""),14)</f>
        <v>14</v>
      </c>
      <c r="C26" t="str">
        <f ca="1">IFERROR(__xludf.DUMMYFUNCTION("""COMPUTED_VALUE"""),"Sungjae Im")</f>
        <v>Sungjae Im</v>
      </c>
      <c r="D26">
        <f ca="1">IFERROR(__xludf.DUMMYFUNCTION("""COMPUTED_VALUE"""),24)</f>
        <v>24</v>
      </c>
      <c r="E26">
        <f ca="1">IFERROR(__xludf.DUMMYFUNCTION("""COMPUTED_VALUE"""),0.582)</f>
        <v>0.58199999999999996</v>
      </c>
      <c r="F26">
        <f ca="1">IFERROR(__xludf.DUMMYFUNCTION("""COMPUTED_VALUE"""),13.957)</f>
        <v>13.957000000000001</v>
      </c>
      <c r="G26">
        <f ca="1">IFERROR(__xludf.DUMMYFUNCTION("""COMPUTED_VALUE"""),24)</f>
        <v>24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IFERROR(__xludf.DUMMYFUNCTION("""COMPUTED_VALUE"""),18)</f>
        <v>18</v>
      </c>
      <c r="C27" t="str">
        <f ca="1">IFERROR(__xludf.DUMMYFUNCTION("""COMPUTED_VALUE"""),"Kristoffer Ventura")</f>
        <v>Kristoffer Ventura</v>
      </c>
      <c r="D27">
        <f ca="1">IFERROR(__xludf.DUMMYFUNCTION("""COMPUTED_VALUE"""),20)</f>
        <v>20</v>
      </c>
      <c r="E27">
        <f ca="1">IFERROR(__xludf.DUMMYFUNCTION("""COMPUTED_VALUE"""),0.567)</f>
        <v>0.56699999999999995</v>
      </c>
      <c r="F27">
        <f ca="1">IFERROR(__xludf.DUMMYFUNCTION("""COMPUTED_VALUE"""),7.938)</f>
        <v>7.9379999999999997</v>
      </c>
      <c r="G27">
        <f ca="1">IFERROR(__xludf.DUMMYFUNCTION("""COMPUTED_VALUE"""),14)</f>
        <v>14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IFERROR(__xludf.DUMMYFUNCTION("""COMPUTED_VALUE"""),25)</f>
        <v>25</v>
      </c>
      <c r="C28" t="str">
        <f ca="1">IFERROR(__xludf.DUMMYFUNCTION("""COMPUTED_VALUE"""),"Jason Kokrak")</f>
        <v>Jason Kokrak</v>
      </c>
      <c r="D28">
        <f ca="1">IFERROR(__xludf.DUMMYFUNCTION("""COMPUTED_VALUE"""),14)</f>
        <v>14</v>
      </c>
      <c r="E28">
        <f ca="1">IFERROR(__xludf.DUMMYFUNCTION("""COMPUTED_VALUE"""),0.562)</f>
        <v>0.56200000000000006</v>
      </c>
      <c r="F28">
        <f ca="1">IFERROR(__xludf.DUMMYFUNCTION("""COMPUTED_VALUE"""),7.871)</f>
        <v>7.8710000000000004</v>
      </c>
      <c r="G28">
        <f ca="1">IFERROR(__xludf.DUMMYFUNCTION("""COMPUTED_VALUE"""),14)</f>
        <v>14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IFERROR(__xludf.DUMMYFUNCTION("""COMPUTED_VALUE"""),27)</f>
        <v>27</v>
      </c>
      <c r="C29" t="str">
        <f ca="1">IFERROR(__xludf.DUMMYFUNCTION("""COMPUTED_VALUE"""),"Chan Kim")</f>
        <v>Chan Kim</v>
      </c>
      <c r="D29">
        <f ca="1">IFERROR(__xludf.DUMMYFUNCTION("""COMPUTED_VALUE"""),6)</f>
        <v>6</v>
      </c>
      <c r="E29">
        <f ca="1">IFERROR(__xludf.DUMMYFUNCTION("""COMPUTED_VALUE"""),0.54)</f>
        <v>0.54</v>
      </c>
      <c r="F29">
        <f ca="1">IFERROR(__xludf.DUMMYFUNCTION("""COMPUTED_VALUE"""),3.239)</f>
        <v>3.2389999999999999</v>
      </c>
      <c r="G29">
        <f ca="1">IFERROR(__xludf.DUMMYFUNCTION("""COMPUTED_VALUE"""),6)</f>
        <v>6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IFERROR(__xludf.DUMMYFUNCTION("""COMPUTED_VALUE"""),28)</f>
        <v>28</v>
      </c>
      <c r="C30" t="str">
        <f ca="1">IFERROR(__xludf.DUMMYFUNCTION("""COMPUTED_VALUE"""),"Doc Redman")</f>
        <v>Doc Redman</v>
      </c>
      <c r="D30">
        <f ca="1">IFERROR(__xludf.DUMMYFUNCTION("""COMPUTED_VALUE"""),18)</f>
        <v>18</v>
      </c>
      <c r="E30">
        <f ca="1">IFERROR(__xludf.DUMMYFUNCTION("""COMPUTED_VALUE"""),0.539)</f>
        <v>0.53900000000000003</v>
      </c>
      <c r="F30">
        <f ca="1">IFERROR(__xludf.DUMMYFUNCTION("""COMPUTED_VALUE"""),7.541)</f>
        <v>7.5410000000000004</v>
      </c>
      <c r="G30">
        <f ca="1">IFERROR(__xludf.DUMMYFUNCTION("""COMPUTED_VALUE"""),14)</f>
        <v>14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IFERROR(__xludf.DUMMYFUNCTION("""COMPUTED_VALUE"""),91)</f>
        <v>91</v>
      </c>
      <c r="C31" t="str">
        <f ca="1">IFERROR(__xludf.DUMMYFUNCTION("""COMPUTED_VALUE"""),"Jhonattan Vegas")</f>
        <v>Jhonattan Vegas</v>
      </c>
      <c r="D31">
        <f ca="1">IFERROR(__xludf.DUMMYFUNCTION("""COMPUTED_VALUE"""),16)</f>
        <v>16</v>
      </c>
      <c r="E31">
        <f ca="1">IFERROR(__xludf.DUMMYFUNCTION("""COMPUTED_VALUE"""),0.536)</f>
        <v>0.53600000000000003</v>
      </c>
      <c r="F31">
        <f ca="1">IFERROR(__xludf.DUMMYFUNCTION("""COMPUTED_VALUE"""),5.358)</f>
        <v>5.3579999999999997</v>
      </c>
      <c r="G31">
        <f ca="1">IFERROR(__xludf.DUMMYFUNCTION("""COMPUTED_VALUE"""),10)</f>
        <v>10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IFERROR(__xludf.DUMMYFUNCTION("""COMPUTED_VALUE"""),37)</f>
        <v>37</v>
      </c>
      <c r="C32" t="str">
        <f ca="1">IFERROR(__xludf.DUMMYFUNCTION("""COMPUTED_VALUE"""),"Henrik Norlander")</f>
        <v>Henrik Norlander</v>
      </c>
      <c r="D32">
        <f ca="1">IFERROR(__xludf.DUMMYFUNCTION("""COMPUTED_VALUE"""),16)</f>
        <v>16</v>
      </c>
      <c r="E32">
        <f ca="1">IFERROR(__xludf.DUMMYFUNCTION("""COMPUTED_VALUE"""),0.518)</f>
        <v>0.51800000000000002</v>
      </c>
      <c r="F32">
        <f ca="1">IFERROR(__xludf.DUMMYFUNCTION("""COMPUTED_VALUE"""),6.211)</f>
        <v>6.2110000000000003</v>
      </c>
      <c r="G32">
        <f ca="1">IFERROR(__xludf.DUMMYFUNCTION("""COMPUTED_VALUE"""),12)</f>
        <v>12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IFERROR(__xludf.DUMMYFUNCTION("""COMPUTED_VALUE"""),29)</f>
        <v>29</v>
      </c>
      <c r="C33" t="str">
        <f ca="1">IFERROR(__xludf.DUMMYFUNCTION("""COMPUTED_VALUE"""),"Cameron Champ")</f>
        <v>Cameron Champ</v>
      </c>
      <c r="D33">
        <f ca="1">IFERROR(__xludf.DUMMYFUNCTION("""COMPUTED_VALUE"""),12)</f>
        <v>12</v>
      </c>
      <c r="E33">
        <f ca="1">IFERROR(__xludf.DUMMYFUNCTION("""COMPUTED_VALUE"""),0.514)</f>
        <v>0.51400000000000001</v>
      </c>
      <c r="F33">
        <f ca="1">IFERROR(__xludf.DUMMYFUNCTION("""COMPUTED_VALUE"""),6.166)</f>
        <v>6.1660000000000004</v>
      </c>
      <c r="G33">
        <f ca="1">IFERROR(__xludf.DUMMYFUNCTION("""COMPUTED_VALUE"""),12)</f>
        <v>12</v>
      </c>
    </row>
    <row r="34" spans="1:7" ht="12.75">
      <c r="A34">
        <f ca="1">IFERROR(__xludf.DUMMYFUNCTION("""COMPUTED_VALUE"""),33)</f>
        <v>33</v>
      </c>
      <c r="B34" t="str">
        <f ca="1">IFERROR(__xludf.DUMMYFUNCTION("""COMPUTED_VALUE"""),"T31")</f>
        <v>T31</v>
      </c>
      <c r="C34" t="str">
        <f ca="1">IFERROR(__xludf.DUMMYFUNCTION("""COMPUTED_VALUE"""),"Webb Simpson")</f>
        <v>Webb Simpson</v>
      </c>
      <c r="D34">
        <f ca="1">IFERROR(__xludf.DUMMYFUNCTION("""COMPUTED_VALUE"""),12)</f>
        <v>12</v>
      </c>
      <c r="E34">
        <f ca="1">IFERROR(__xludf.DUMMYFUNCTION("""COMPUTED_VALUE"""),0.507)</f>
        <v>0.50700000000000001</v>
      </c>
      <c r="F34">
        <f ca="1">IFERROR(__xludf.DUMMYFUNCTION("""COMPUTED_VALUE"""),6.08)</f>
        <v>6.08</v>
      </c>
      <c r="G34">
        <f ca="1">IFERROR(__xludf.DUMMYFUNCTION("""COMPUTED_VALUE"""),12)</f>
        <v>12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IFERROR(__xludf.DUMMYFUNCTION("""COMPUTED_VALUE"""),33)</f>
        <v>33</v>
      </c>
      <c r="C35" t="str">
        <f ca="1">IFERROR(__xludf.DUMMYFUNCTION("""COMPUTED_VALUE"""),"Cameron Davis")</f>
        <v>Cameron Davis</v>
      </c>
      <c r="D35">
        <f ca="1">IFERROR(__xludf.DUMMYFUNCTION("""COMPUTED_VALUE"""),16)</f>
        <v>16</v>
      </c>
      <c r="E35">
        <f ca="1">IFERROR(__xludf.DUMMYFUNCTION("""COMPUTED_VALUE"""),0.506)</f>
        <v>0.50600000000000001</v>
      </c>
      <c r="F35">
        <f ca="1">IFERROR(__xludf.DUMMYFUNCTION("""COMPUTED_VALUE"""),8.094)</f>
        <v>8.0939999999999994</v>
      </c>
      <c r="G35">
        <f ca="1">IFERROR(__xludf.DUMMYFUNCTION("""COMPUTED_VALUE"""),16)</f>
        <v>16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IFERROR(__xludf.DUMMYFUNCTION("""COMPUTED_VALUE"""),43)</f>
        <v>43</v>
      </c>
      <c r="C36" t="str">
        <f ca="1">IFERROR(__xludf.DUMMYFUNCTION("""COMPUTED_VALUE"""),"Tyrrell Hatton")</f>
        <v>Tyrrell Hatton</v>
      </c>
      <c r="D36">
        <f ca="1">IFERROR(__xludf.DUMMYFUNCTION("""COMPUTED_VALUE"""),14)</f>
        <v>14</v>
      </c>
      <c r="E36">
        <f ca="1">IFERROR(__xludf.DUMMYFUNCTION("""COMPUTED_VALUE"""),0.484)</f>
        <v>0.48399999999999999</v>
      </c>
      <c r="F36">
        <f ca="1">IFERROR(__xludf.DUMMYFUNCTION("""COMPUTED_VALUE"""),6.775)</f>
        <v>6.7750000000000004</v>
      </c>
      <c r="G36">
        <f ca="1">IFERROR(__xludf.DUMMYFUNCTION("""COMPUTED_VALUE"""),14)</f>
        <v>14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IFERROR(__xludf.DUMMYFUNCTION("""COMPUTED_VALUE"""),53)</f>
        <v>53</v>
      </c>
      <c r="C37" t="str">
        <f ca="1">IFERROR(__xludf.DUMMYFUNCTION("""COMPUTED_VALUE"""),"Corey Conners")</f>
        <v>Corey Conners</v>
      </c>
      <c r="D37">
        <f ca="1">IFERROR(__xludf.DUMMYFUNCTION("""COMPUTED_VALUE"""),20)</f>
        <v>20</v>
      </c>
      <c r="E37">
        <f ca="1">IFERROR(__xludf.DUMMYFUNCTION("""COMPUTED_VALUE"""),0.453)</f>
        <v>0.45300000000000001</v>
      </c>
      <c r="F37">
        <f ca="1">IFERROR(__xludf.DUMMYFUNCTION("""COMPUTED_VALUE"""),8.147)</f>
        <v>8.1470000000000002</v>
      </c>
      <c r="G37">
        <f ca="1">IFERROR(__xludf.DUMMYFUNCTION("""COMPUTED_VALUE"""),18)</f>
        <v>18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IFERROR(__xludf.DUMMYFUNCTION("""COMPUTED_VALUE"""),42)</f>
        <v>42</v>
      </c>
      <c r="C38" t="str">
        <f ca="1">IFERROR(__xludf.DUMMYFUNCTION("""COMPUTED_VALUE"""),"Chris Baker")</f>
        <v>Chris Baker</v>
      </c>
      <c r="D38">
        <f ca="1">IFERROR(__xludf.DUMMYFUNCTION("""COMPUTED_VALUE"""),8)</f>
        <v>8</v>
      </c>
      <c r="E38">
        <f ca="1">IFERROR(__xludf.DUMMYFUNCTION("""COMPUTED_VALUE"""),0.447)</f>
        <v>0.44700000000000001</v>
      </c>
      <c r="F38">
        <f ca="1">IFERROR(__xludf.DUMMYFUNCTION("""COMPUTED_VALUE"""),1.786)</f>
        <v>1.786</v>
      </c>
      <c r="G38">
        <f ca="1">IFERROR(__xludf.DUMMYFUNCTION("""COMPUTED_VALUE"""),4)</f>
        <v>4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IFERROR(__xludf.DUMMYFUNCTION("""COMPUTED_VALUE"""),35)</f>
        <v>35</v>
      </c>
      <c r="C39" t="str">
        <f ca="1">IFERROR(__xludf.DUMMYFUNCTION("""COMPUTED_VALUE"""),"Wyndham Clark")</f>
        <v>Wyndham Clark</v>
      </c>
      <c r="D39">
        <f ca="1">IFERROR(__xludf.DUMMYFUNCTION("""COMPUTED_VALUE"""),16)</f>
        <v>16</v>
      </c>
      <c r="E39">
        <f ca="1">IFERROR(__xludf.DUMMYFUNCTION("""COMPUTED_VALUE"""),0.441)</f>
        <v>0.441</v>
      </c>
      <c r="F39">
        <f ca="1">IFERROR(__xludf.DUMMYFUNCTION("""COMPUTED_VALUE"""),5.287)</f>
        <v>5.2869999999999999</v>
      </c>
      <c r="G39">
        <f ca="1">IFERROR(__xludf.DUMMYFUNCTION("""COMPUTED_VALUE"""),12)</f>
        <v>12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IFERROR(__xludf.DUMMYFUNCTION("""COMPUTED_VALUE"""),44)</f>
        <v>44</v>
      </c>
      <c r="C40" t="str">
        <f ca="1">IFERROR(__xludf.DUMMYFUNCTION("""COMPUTED_VALUE"""),"Davis Riley")</f>
        <v>Davis Riley</v>
      </c>
      <c r="D40">
        <f ca="1">IFERROR(__xludf.DUMMYFUNCTION("""COMPUTED_VALUE"""),4)</f>
        <v>4</v>
      </c>
      <c r="E40">
        <f ca="1">IFERROR(__xludf.DUMMYFUNCTION("""COMPUTED_VALUE"""),0.438)</f>
        <v>0.438</v>
      </c>
      <c r="F40">
        <f ca="1">IFERROR(__xludf.DUMMYFUNCTION("""COMPUTED_VALUE"""),1.753)</f>
        <v>1.7529999999999999</v>
      </c>
      <c r="G40">
        <f ca="1">IFERROR(__xludf.DUMMYFUNCTION("""COMPUTED_VALUE"""),4)</f>
        <v>4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IFERROR(__xludf.DUMMYFUNCTION("""COMPUTED_VALUE"""),45)</f>
        <v>45</v>
      </c>
      <c r="C41" t="str">
        <f ca="1">IFERROR(__xludf.DUMMYFUNCTION("""COMPUTED_VALUE"""),"Josh Teater")</f>
        <v>Josh Teater</v>
      </c>
      <c r="D41">
        <f ca="1">IFERROR(__xludf.DUMMYFUNCTION("""COMPUTED_VALUE"""),6)</f>
        <v>6</v>
      </c>
      <c r="E41">
        <f ca="1">IFERROR(__xludf.DUMMYFUNCTION("""COMPUTED_VALUE"""),0.436)</f>
        <v>0.436</v>
      </c>
      <c r="F41">
        <f ca="1">IFERROR(__xludf.DUMMYFUNCTION("""COMPUTED_VALUE"""),0.871)</f>
        <v>0.871</v>
      </c>
      <c r="G41">
        <f ca="1">IFERROR(__xludf.DUMMYFUNCTION("""COMPUTED_VALUE"""),2)</f>
        <v>2</v>
      </c>
    </row>
    <row r="42" spans="1:7" ht="12.75">
      <c r="A42" t="str">
        <f ca="1">IFERROR(__xludf.DUMMYFUNCTION("""COMPUTED_VALUE"""),"T41")</f>
        <v>T41</v>
      </c>
      <c r="B42" t="str">
        <f ca="1">IFERROR(__xludf.DUMMYFUNCTION("""COMPUTED_VALUE"""),"T46")</f>
        <v>T46</v>
      </c>
      <c r="C42" t="str">
        <f ca="1">IFERROR(__xludf.DUMMYFUNCTION("""COMPUTED_VALUE"""),"Ryan Palmer")</f>
        <v>Ryan Palmer</v>
      </c>
      <c r="D42">
        <f ca="1">IFERROR(__xludf.DUMMYFUNCTION("""COMPUTED_VALUE"""),14)</f>
        <v>14</v>
      </c>
      <c r="E42">
        <f ca="1">IFERROR(__xludf.DUMMYFUNCTION("""COMPUTED_VALUE"""),0.433)</f>
        <v>0.433</v>
      </c>
      <c r="F42">
        <f ca="1">IFERROR(__xludf.DUMMYFUNCTION("""COMPUTED_VALUE"""),6.063)</f>
        <v>6.0629999999999997</v>
      </c>
      <c r="G42">
        <f ca="1">IFERROR(__xludf.DUMMYFUNCTION("""COMPUTED_VALUE"""),14)</f>
        <v>14</v>
      </c>
    </row>
    <row r="43" spans="1:7" ht="12.75">
      <c r="A43" t="str">
        <f ca="1">IFERROR(__xludf.DUMMYFUNCTION("""COMPUTED_VALUE"""),"T41")</f>
        <v>T41</v>
      </c>
      <c r="B43" t="str">
        <f ca="1">IFERROR(__xludf.DUMMYFUNCTION("""COMPUTED_VALUE"""),"T46")</f>
        <v>T46</v>
      </c>
      <c r="C43" t="str">
        <f ca="1">IFERROR(__xludf.DUMMYFUNCTION("""COMPUTED_VALUE"""),"Harris English")</f>
        <v>Harris English</v>
      </c>
      <c r="D43">
        <f ca="1">IFERROR(__xludf.DUMMYFUNCTION("""COMPUTED_VALUE"""),14)</f>
        <v>14</v>
      </c>
      <c r="E43">
        <f ca="1">IFERROR(__xludf.DUMMYFUNCTION("""COMPUTED_VALUE"""),0.433)</f>
        <v>0.433</v>
      </c>
      <c r="F43">
        <f ca="1">IFERROR(__xludf.DUMMYFUNCTION("""COMPUTED_VALUE"""),6.068)</f>
        <v>6.0679999999999996</v>
      </c>
      <c r="G43">
        <f ca="1">IFERROR(__xludf.DUMMYFUNCTION("""COMPUTED_VALUE"""),14)</f>
        <v>14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IFERROR(__xludf.DUMMYFUNCTION("""COMPUTED_VALUE"""),48)</f>
        <v>48</v>
      </c>
      <c r="C44" t="str">
        <f ca="1">IFERROR(__xludf.DUMMYFUNCTION("""COMPUTED_VALUE"""),"Michael Gligic")</f>
        <v>Michael Gligic</v>
      </c>
      <c r="D44">
        <f ca="1">IFERROR(__xludf.DUMMYFUNCTION("""COMPUTED_VALUE"""),18)</f>
        <v>18</v>
      </c>
      <c r="E44">
        <f ca="1">IFERROR(__xludf.DUMMYFUNCTION("""COMPUTED_VALUE"""),0.432)</f>
        <v>0.432</v>
      </c>
      <c r="F44">
        <f ca="1">IFERROR(__xludf.DUMMYFUNCTION("""COMPUTED_VALUE"""),5.183)</f>
        <v>5.1829999999999998</v>
      </c>
      <c r="G44">
        <f ca="1">IFERROR(__xludf.DUMMYFUNCTION("""COMPUTED_VALUE"""),12)</f>
        <v>12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IFERROR(__xludf.DUMMYFUNCTION("""COMPUTED_VALUE"""),57)</f>
        <v>57</v>
      </c>
      <c r="C45" t="str">
        <f ca="1">IFERROR(__xludf.DUMMYFUNCTION("""COMPUTED_VALUE"""),"Si Woo Kim")</f>
        <v>Si Woo Kim</v>
      </c>
      <c r="D45">
        <f ca="1">IFERROR(__xludf.DUMMYFUNCTION("""COMPUTED_VALUE"""),20)</f>
        <v>20</v>
      </c>
      <c r="E45">
        <f ca="1">IFERROR(__xludf.DUMMYFUNCTION("""COMPUTED_VALUE"""),0.427)</f>
        <v>0.42699999999999999</v>
      </c>
      <c r="F45">
        <f ca="1">IFERROR(__xludf.DUMMYFUNCTION("""COMPUTED_VALUE"""),8.536)</f>
        <v>8.5359999999999996</v>
      </c>
      <c r="G45">
        <f ca="1">IFERROR(__xludf.DUMMYFUNCTION("""COMPUTED_VALUE"""),20)</f>
        <v>20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IFERROR(__xludf.DUMMYFUNCTION("""COMPUTED_VALUE"""),39)</f>
        <v>39</v>
      </c>
      <c r="C46" t="str">
        <f ca="1">IFERROR(__xludf.DUMMYFUNCTION("""COMPUTED_VALUE"""),"Jason Day")</f>
        <v>Jason Day</v>
      </c>
      <c r="D46">
        <f ca="1">IFERROR(__xludf.DUMMYFUNCTION("""COMPUTED_VALUE"""),17)</f>
        <v>17</v>
      </c>
      <c r="E46">
        <f ca="1">IFERROR(__xludf.DUMMYFUNCTION("""COMPUTED_VALUE"""),0.426)</f>
        <v>0.42599999999999999</v>
      </c>
      <c r="F46">
        <f ca="1">IFERROR(__xludf.DUMMYFUNCTION("""COMPUTED_VALUE"""),7.242)</f>
        <v>7.242</v>
      </c>
      <c r="G46">
        <f ca="1">IFERROR(__xludf.DUMMYFUNCTION("""COMPUTED_VALUE"""),17)</f>
        <v>17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IFERROR(__xludf.DUMMYFUNCTION("""COMPUTED_VALUE"""),51)</f>
        <v>51</v>
      </c>
      <c r="C47" t="str">
        <f ca="1">IFERROR(__xludf.DUMMYFUNCTION("""COMPUTED_VALUE"""),"Kurt Kitayama")</f>
        <v>Kurt Kitayama</v>
      </c>
      <c r="D47">
        <f ca="1">IFERROR(__xludf.DUMMYFUNCTION("""COMPUTED_VALUE"""),4)</f>
        <v>4</v>
      </c>
      <c r="E47">
        <f ca="1">IFERROR(__xludf.DUMMYFUNCTION("""COMPUTED_VALUE"""),0.41)</f>
        <v>0.41</v>
      </c>
      <c r="F47">
        <f ca="1">IFERROR(__xludf.DUMMYFUNCTION("""COMPUTED_VALUE"""),0.819)</f>
        <v>0.81899999999999995</v>
      </c>
      <c r="G47">
        <f ca="1">IFERROR(__xludf.DUMMYFUNCTION("""COMPUTED_VALUE"""),2)</f>
        <v>2</v>
      </c>
    </row>
    <row r="48" spans="1:7" ht="12.75">
      <c r="A48">
        <f ca="1">IFERROR(__xludf.DUMMYFUNCTION("""COMPUTED_VALUE"""),47)</f>
        <v>47</v>
      </c>
      <c r="B48" t="str">
        <f ca="1">IFERROR(__xludf.DUMMYFUNCTION("""COMPUTED_VALUE"""),"")</f>
        <v/>
      </c>
      <c r="C48" t="str">
        <f ca="1">IFERROR(__xludf.DUMMYFUNCTION("""COMPUTED_VALUE"""),"Erik Barnes")</f>
        <v>Erik Barnes</v>
      </c>
      <c r="D48">
        <f ca="1">IFERROR(__xludf.DUMMYFUNCTION("""COMPUTED_VALUE"""),4)</f>
        <v>4</v>
      </c>
      <c r="E48">
        <f ca="1">IFERROR(__xludf.DUMMYFUNCTION("""COMPUTED_VALUE"""),0.406)</f>
        <v>0.40600000000000003</v>
      </c>
      <c r="F48">
        <f ca="1">IFERROR(__xludf.DUMMYFUNCTION("""COMPUTED_VALUE"""),1.626)</f>
        <v>1.6259999999999999</v>
      </c>
      <c r="G48">
        <f ca="1">IFERROR(__xludf.DUMMYFUNCTION("""COMPUTED_VALUE"""),4)</f>
        <v>4</v>
      </c>
    </row>
    <row r="49" spans="1:7" ht="12.75">
      <c r="A49" t="str">
        <f ca="1">IFERROR(__xludf.DUMMYFUNCTION("""COMPUTED_VALUE"""),"T48")</f>
        <v>T48</v>
      </c>
      <c r="B49">
        <f ca="1">IFERROR(__xludf.DUMMYFUNCTION("""COMPUTED_VALUE"""),70)</f>
        <v>70</v>
      </c>
      <c r="C49" t="str">
        <f ca="1">IFERROR(__xludf.DUMMYFUNCTION("""COMPUTED_VALUE"""),"Matthew NeSmith")</f>
        <v>Matthew NeSmith</v>
      </c>
      <c r="D49">
        <f ca="1">IFERROR(__xludf.DUMMYFUNCTION("""COMPUTED_VALUE"""),16)</f>
        <v>16</v>
      </c>
      <c r="E49">
        <f ca="1">IFERROR(__xludf.DUMMYFUNCTION("""COMPUTED_VALUE"""),0.392)</f>
        <v>0.39200000000000002</v>
      </c>
      <c r="F49">
        <f ca="1">IFERROR(__xludf.DUMMYFUNCTION("""COMPUTED_VALUE"""),4.706)</f>
        <v>4.7060000000000004</v>
      </c>
      <c r="G49">
        <f ca="1">IFERROR(__xludf.DUMMYFUNCTION("""COMPUTED_VALUE"""),12)</f>
        <v>12</v>
      </c>
    </row>
    <row r="50" spans="1:7" ht="12.75">
      <c r="A50" t="str">
        <f ca="1">IFERROR(__xludf.DUMMYFUNCTION("""COMPUTED_VALUE"""),"T48")</f>
        <v>T48</v>
      </c>
      <c r="B50">
        <f ca="1">IFERROR(__xludf.DUMMYFUNCTION("""COMPUTED_VALUE"""),62)</f>
        <v>62</v>
      </c>
      <c r="C50" t="str">
        <f ca="1">IFERROR(__xludf.DUMMYFUNCTION("""COMPUTED_VALUE"""),"Hideki Matsuyama")</f>
        <v>Hideki Matsuyama</v>
      </c>
      <c r="D50">
        <f ca="1">IFERROR(__xludf.DUMMYFUNCTION("""COMPUTED_VALUE"""),18)</f>
        <v>18</v>
      </c>
      <c r="E50">
        <f ca="1">IFERROR(__xludf.DUMMYFUNCTION("""COMPUTED_VALUE"""),0.392)</f>
        <v>0.39200000000000002</v>
      </c>
      <c r="F50">
        <f ca="1">IFERROR(__xludf.DUMMYFUNCTION("""COMPUTED_VALUE"""),7.063)</f>
        <v>7.0629999999999997</v>
      </c>
      <c r="G50">
        <f ca="1">IFERROR(__xludf.DUMMYFUNCTION("""COMPUTED_VALUE"""),18)</f>
        <v>18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IFERROR(__xludf.DUMMYFUNCTION("""COMPUTED_VALUE"""),54)</f>
        <v>54</v>
      </c>
      <c r="C51" t="str">
        <f ca="1">IFERROR(__xludf.DUMMYFUNCTION("""COMPUTED_VALUE"""),"Nelson Ledesma")</f>
        <v>Nelson Ledesma</v>
      </c>
      <c r="D51">
        <f ca="1">IFERROR(__xludf.DUMMYFUNCTION("""COMPUTED_VALUE"""),8)</f>
        <v>8</v>
      </c>
      <c r="E51">
        <f ca="1">IFERROR(__xludf.DUMMYFUNCTION("""COMPUTED_VALUE"""),0.375)</f>
        <v>0.375</v>
      </c>
      <c r="F51">
        <f ca="1">IFERROR(__xludf.DUMMYFUNCTION("""COMPUTED_VALUE"""),1.501)</f>
        <v>1.5009999999999999</v>
      </c>
      <c r="G51">
        <f ca="1">IFERROR(__xludf.DUMMYFUNCTION("""COMPUTED_VALUE"""),4)</f>
        <v>4</v>
      </c>
    </row>
    <row r="52" spans="1:7" ht="12.75">
      <c r="A52">
        <f ca="1">IFERROR(__xludf.DUMMYFUNCTION("""COMPUTED_VALUE"""),51)</f>
        <v>51</v>
      </c>
      <c r="B52">
        <f ca="1">IFERROR(__xludf.DUMMYFUNCTION("""COMPUTED_VALUE"""),30)</f>
        <v>30</v>
      </c>
      <c r="C52" t="str">
        <f ca="1">IFERROR(__xludf.DUMMYFUNCTION("""COMPUTED_VALUE"""),"Dylan Frittelli")</f>
        <v>Dylan Frittelli</v>
      </c>
      <c r="D52">
        <f ca="1">IFERROR(__xludf.DUMMYFUNCTION("""COMPUTED_VALUE"""),16)</f>
        <v>16</v>
      </c>
      <c r="E52">
        <f ca="1">IFERROR(__xludf.DUMMYFUNCTION("""COMPUTED_VALUE"""),0.373)</f>
        <v>0.373</v>
      </c>
      <c r="F52">
        <f ca="1">IFERROR(__xludf.DUMMYFUNCTION("""COMPUTED_VALUE"""),5.965)</f>
        <v>5.9649999999999999</v>
      </c>
      <c r="G52">
        <f ca="1">IFERROR(__xludf.DUMMYFUNCTION("""COMPUTED_VALUE"""),16)</f>
        <v>16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IFERROR(__xludf.DUMMYFUNCTION("""COMPUTED_VALUE"""),55)</f>
        <v>55</v>
      </c>
      <c r="C53" t="str">
        <f ca="1">IFERROR(__xludf.DUMMYFUNCTION("""COMPUTED_VALUE"""),"Vincent Whaley")</f>
        <v>Vincent Whaley</v>
      </c>
      <c r="D53">
        <f ca="1">IFERROR(__xludf.DUMMYFUNCTION("""COMPUTED_VALUE"""),14)</f>
        <v>14</v>
      </c>
      <c r="E53">
        <f ca="1">IFERROR(__xludf.DUMMYFUNCTION("""COMPUTED_VALUE"""),0.367)</f>
        <v>0.36699999999999999</v>
      </c>
      <c r="F53">
        <f ca="1">IFERROR(__xludf.DUMMYFUNCTION("""COMPUTED_VALUE"""),2.938)</f>
        <v>2.9380000000000002</v>
      </c>
      <c r="G53">
        <f ca="1">IFERROR(__xludf.DUMMYFUNCTION("""COMPUTED_VALUE"""),8)</f>
        <v>8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IFERROR(__xludf.DUMMYFUNCTION("""COMPUTED_VALUE"""),34)</f>
        <v>34</v>
      </c>
      <c r="C54" t="str">
        <f ca="1">IFERROR(__xludf.DUMMYFUNCTION("""COMPUTED_VALUE"""),"Patrick Rodgers")</f>
        <v>Patrick Rodgers</v>
      </c>
      <c r="D54">
        <f ca="1">IFERROR(__xludf.DUMMYFUNCTION("""COMPUTED_VALUE"""),18)</f>
        <v>18</v>
      </c>
      <c r="E54">
        <f ca="1">IFERROR(__xludf.DUMMYFUNCTION("""COMPUTED_VALUE"""),0.365)</f>
        <v>0.36499999999999999</v>
      </c>
      <c r="F54">
        <f ca="1">IFERROR(__xludf.DUMMYFUNCTION("""COMPUTED_VALUE"""),3.653)</f>
        <v>3.653</v>
      </c>
      <c r="G54">
        <f ca="1">IFERROR(__xludf.DUMMYFUNCTION("""COMPUTED_VALUE"""),10)</f>
        <v>10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IFERROR(__xludf.DUMMYFUNCTION("""COMPUTED_VALUE"""),52)</f>
        <v>52</v>
      </c>
      <c r="C55" t="str">
        <f ca="1">IFERROR(__xludf.DUMMYFUNCTION("""COMPUTED_VALUE"""),"Grayson Murray")</f>
        <v>Grayson Murray</v>
      </c>
      <c r="D55">
        <f ca="1">IFERROR(__xludf.DUMMYFUNCTION("""COMPUTED_VALUE"""),10)</f>
        <v>10</v>
      </c>
      <c r="E55">
        <f ca="1">IFERROR(__xludf.DUMMYFUNCTION("""COMPUTED_VALUE"""),0.359)</f>
        <v>0.35899999999999999</v>
      </c>
      <c r="F55">
        <f ca="1">IFERROR(__xludf.DUMMYFUNCTION("""COMPUTED_VALUE"""),2.876)</f>
        <v>2.8759999999999999</v>
      </c>
      <c r="G55">
        <f ca="1">IFERROR(__xludf.DUMMYFUNCTION("""COMPUTED_VALUE"""),8)</f>
        <v>8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IFERROR(__xludf.DUMMYFUNCTION("""COMPUTED_VALUE"""),60)</f>
        <v>60</v>
      </c>
      <c r="C56" t="str">
        <f ca="1">IFERROR(__xludf.DUMMYFUNCTION("""COMPUTED_VALUE"""),"Akshay Bhatia")</f>
        <v>Akshay Bhatia</v>
      </c>
      <c r="D56">
        <f ca="1">IFERROR(__xludf.DUMMYFUNCTION("""COMPUTED_VALUE"""),6)</f>
        <v>6</v>
      </c>
      <c r="E56">
        <f ca="1">IFERROR(__xludf.DUMMYFUNCTION("""COMPUTED_VALUE"""),0.346)</f>
        <v>0.34599999999999997</v>
      </c>
      <c r="F56">
        <f ca="1">IFERROR(__xludf.DUMMYFUNCTION("""COMPUTED_VALUE"""),1.383)</f>
        <v>1.383</v>
      </c>
      <c r="G56">
        <f ca="1">IFERROR(__xludf.DUMMYFUNCTION("""COMPUTED_VALUE"""),4)</f>
        <v>4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IFERROR(__xludf.DUMMYFUNCTION("""COMPUTED_VALUE"""),61)</f>
        <v>61</v>
      </c>
      <c r="C57" t="str">
        <f ca="1">IFERROR(__xludf.DUMMYFUNCTION("""COMPUTED_VALUE"""),"Patrick Cantlay")</f>
        <v>Patrick Cantlay</v>
      </c>
      <c r="D57">
        <f ca="1">IFERROR(__xludf.DUMMYFUNCTION("""COMPUTED_VALUE"""),16)</f>
        <v>16</v>
      </c>
      <c r="E57">
        <f ca="1">IFERROR(__xludf.DUMMYFUNCTION("""COMPUTED_VALUE"""),0.342)</f>
        <v>0.34200000000000003</v>
      </c>
      <c r="F57">
        <f ca="1">IFERROR(__xludf.DUMMYFUNCTION("""COMPUTED_VALUE"""),5.469)</f>
        <v>5.4690000000000003</v>
      </c>
      <c r="G57">
        <f ca="1">IFERROR(__xludf.DUMMYFUNCTION("""COMPUTED_VALUE"""),16)</f>
        <v>16</v>
      </c>
    </row>
    <row r="58" spans="1:7" ht="12.75">
      <c r="A58">
        <f ca="1">IFERROR(__xludf.DUMMYFUNCTION("""COMPUTED_VALUE"""),57)</f>
        <v>57</v>
      </c>
      <c r="B58" t="str">
        <f ca="1">IFERROR(__xludf.DUMMYFUNCTION("""COMPUTED_VALUE"""),"T58")</f>
        <v>T58</v>
      </c>
      <c r="C58" t="str">
        <f ca="1">IFERROR(__xludf.DUMMYFUNCTION("""COMPUTED_VALUE"""),"Tony Finau")</f>
        <v>Tony Finau</v>
      </c>
      <c r="D58">
        <f ca="1">IFERROR(__xludf.DUMMYFUNCTION("""COMPUTED_VALUE"""),12)</f>
        <v>12</v>
      </c>
      <c r="E58">
        <f ca="1">IFERROR(__xludf.DUMMYFUNCTION("""COMPUTED_VALUE"""),0.34)</f>
        <v>0.34</v>
      </c>
      <c r="F58">
        <f ca="1">IFERROR(__xludf.DUMMYFUNCTION("""COMPUTED_VALUE"""),4.085)</f>
        <v>4.085</v>
      </c>
      <c r="G58">
        <f ca="1">IFERROR(__xludf.DUMMYFUNCTION("""COMPUTED_VALUE"""),12)</f>
        <v>12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IFERROR(__xludf.DUMMYFUNCTION("""COMPUTED_VALUE"""),36)</f>
        <v>36</v>
      </c>
      <c r="C59" t="str">
        <f ca="1">IFERROR(__xludf.DUMMYFUNCTION("""COMPUTED_VALUE"""),"James Hahn")</f>
        <v>James Hahn</v>
      </c>
      <c r="D59">
        <f ca="1">IFERROR(__xludf.DUMMYFUNCTION("""COMPUTED_VALUE"""),16)</f>
        <v>16</v>
      </c>
      <c r="E59">
        <f ca="1">IFERROR(__xludf.DUMMYFUNCTION("""COMPUTED_VALUE"""),0.331)</f>
        <v>0.33100000000000002</v>
      </c>
      <c r="F59">
        <f ca="1">IFERROR(__xludf.DUMMYFUNCTION("""COMPUTED_VALUE"""),3.974)</f>
        <v>3.9740000000000002</v>
      </c>
      <c r="G59">
        <f ca="1">IFERROR(__xludf.DUMMYFUNCTION("""COMPUTED_VALUE"""),12)</f>
        <v>12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IFERROR(__xludf.DUMMYFUNCTION("""COMPUTED_VALUE"""),56)</f>
        <v>56</v>
      </c>
      <c r="C60" t="str">
        <f ca="1">IFERROR(__xludf.DUMMYFUNCTION("""COMPUTED_VALUE"""),"Russell Henley")</f>
        <v>Russell Henley</v>
      </c>
      <c r="D60">
        <f ca="1">IFERROR(__xludf.DUMMYFUNCTION("""COMPUTED_VALUE"""),16)</f>
        <v>16</v>
      </c>
      <c r="E60">
        <f ca="1">IFERROR(__xludf.DUMMYFUNCTION("""COMPUTED_VALUE"""),0.319)</f>
        <v>0.31900000000000001</v>
      </c>
      <c r="F60">
        <f ca="1">IFERROR(__xludf.DUMMYFUNCTION("""COMPUTED_VALUE"""),5.105)</f>
        <v>5.1050000000000004</v>
      </c>
      <c r="G60">
        <f ca="1">IFERROR(__xludf.DUMMYFUNCTION("""COMPUTED_VALUE"""),16)</f>
        <v>16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IFERROR(__xludf.DUMMYFUNCTION("""COMPUTED_VALUE"""),50)</f>
        <v>50</v>
      </c>
      <c r="C61" t="str">
        <f ca="1">IFERROR(__xludf.DUMMYFUNCTION("""COMPUTED_VALUE"""),"Austin Cook")</f>
        <v>Austin Cook</v>
      </c>
      <c r="D61">
        <f ca="1">IFERROR(__xludf.DUMMYFUNCTION("""COMPUTED_VALUE"""),14)</f>
        <v>14</v>
      </c>
      <c r="E61">
        <f ca="1">IFERROR(__xludf.DUMMYFUNCTION("""COMPUTED_VALUE"""),0.313)</f>
        <v>0.313</v>
      </c>
      <c r="F61">
        <f ca="1">IFERROR(__xludf.DUMMYFUNCTION("""COMPUTED_VALUE"""),4.38)</f>
        <v>4.38</v>
      </c>
      <c r="G61">
        <f ca="1">IFERROR(__xludf.DUMMYFUNCTION("""COMPUTED_VALUE"""),14)</f>
        <v>14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IFERROR(__xludf.DUMMYFUNCTION("""COMPUTED_VALUE"""),67)</f>
        <v>67</v>
      </c>
      <c r="C62" t="str">
        <f ca="1">IFERROR(__xludf.DUMMYFUNCTION("""COMPUTED_VALUE"""),"Joseph Bramlett")</f>
        <v>Joseph Bramlett</v>
      </c>
      <c r="D62">
        <f ca="1">IFERROR(__xludf.DUMMYFUNCTION("""COMPUTED_VALUE"""),18)</f>
        <v>18</v>
      </c>
      <c r="E62">
        <f ca="1">IFERROR(__xludf.DUMMYFUNCTION("""COMPUTED_VALUE"""),0.302)</f>
        <v>0.30199999999999999</v>
      </c>
      <c r="F62">
        <f ca="1">IFERROR(__xludf.DUMMYFUNCTION("""COMPUTED_VALUE"""),3.02)</f>
        <v>3.02</v>
      </c>
      <c r="G62">
        <f ca="1">IFERROR(__xludf.DUMMYFUNCTION("""COMPUTED_VALUE"""),10)</f>
        <v>10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IFERROR(__xludf.DUMMYFUNCTION("""COMPUTED_VALUE"""),68)</f>
        <v>68</v>
      </c>
      <c r="C63" t="str">
        <f ca="1">IFERROR(__xludf.DUMMYFUNCTION("""COMPUTED_VALUE"""),"Keegan Bradley")</f>
        <v>Keegan Bradley</v>
      </c>
      <c r="D63">
        <f ca="1">IFERROR(__xludf.DUMMYFUNCTION("""COMPUTED_VALUE"""),16)</f>
        <v>16</v>
      </c>
      <c r="E63">
        <f ca="1">IFERROR(__xludf.DUMMYFUNCTION("""COMPUTED_VALUE"""),0.299)</f>
        <v>0.29899999999999999</v>
      </c>
      <c r="F63">
        <f ca="1">IFERROR(__xludf.DUMMYFUNCTION("""COMPUTED_VALUE"""),4.788)</f>
        <v>4.7880000000000003</v>
      </c>
      <c r="G63">
        <f ca="1">IFERROR(__xludf.DUMMYFUNCTION("""COMPUTED_VALUE"""),16)</f>
        <v>16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IFERROR(__xludf.DUMMYFUNCTION("""COMPUTED_VALUE"""),24)</f>
        <v>24</v>
      </c>
      <c r="C64" t="str">
        <f ca="1">IFERROR(__xludf.DUMMYFUNCTION("""COMPUTED_VALUE"""),"Will Gordon")</f>
        <v>Will Gordon</v>
      </c>
      <c r="D64">
        <f ca="1">IFERROR(__xludf.DUMMYFUNCTION("""COMPUTED_VALUE"""),20)</f>
        <v>20</v>
      </c>
      <c r="E64">
        <f ca="1">IFERROR(__xludf.DUMMYFUNCTION("""COMPUTED_VALUE"""),0.292)</f>
        <v>0.29199999999999998</v>
      </c>
      <c r="F64">
        <f ca="1">IFERROR(__xludf.DUMMYFUNCTION("""COMPUTED_VALUE"""),4.093)</f>
        <v>4.093</v>
      </c>
      <c r="G64">
        <f ca="1">IFERROR(__xludf.DUMMYFUNCTION("""COMPUTED_VALUE"""),14)</f>
        <v>14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IFERROR(__xludf.DUMMYFUNCTION("""COMPUTED_VALUE"""),63)</f>
        <v>63</v>
      </c>
      <c r="C65" t="str">
        <f ca="1">IFERROR(__xludf.DUMMYFUNCTION("""COMPUTED_VALUE"""),"Kevin Streelman")</f>
        <v>Kevin Streelman</v>
      </c>
      <c r="D65">
        <f ca="1">IFERROR(__xludf.DUMMYFUNCTION("""COMPUTED_VALUE"""),18)</f>
        <v>18</v>
      </c>
      <c r="E65">
        <f ca="1">IFERROR(__xludf.DUMMYFUNCTION("""COMPUTED_VALUE"""),0.29)</f>
        <v>0.28999999999999998</v>
      </c>
      <c r="F65">
        <f ca="1">IFERROR(__xludf.DUMMYFUNCTION("""COMPUTED_VALUE"""),5.212)</f>
        <v>5.2119999999999997</v>
      </c>
      <c r="G65">
        <f ca="1">IFERROR(__xludf.DUMMYFUNCTION("""COMPUTED_VALUE"""),18)</f>
        <v>18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IFERROR(__xludf.DUMMYFUNCTION("""COMPUTED_VALUE"""),40)</f>
        <v>40</v>
      </c>
      <c r="C66" t="str">
        <f ca="1">IFERROR(__xludf.DUMMYFUNCTION("""COMPUTED_VALUE"""),"Scott Piercy")</f>
        <v>Scott Piercy</v>
      </c>
      <c r="D66">
        <f ca="1">IFERROR(__xludf.DUMMYFUNCTION("""COMPUTED_VALUE"""),18)</f>
        <v>18</v>
      </c>
      <c r="E66">
        <f ca="1">IFERROR(__xludf.DUMMYFUNCTION("""COMPUTED_VALUE"""),0.287)</f>
        <v>0.28699999999999998</v>
      </c>
      <c r="F66">
        <f ca="1">IFERROR(__xludf.DUMMYFUNCTION("""COMPUTED_VALUE"""),4.017)</f>
        <v>4.0170000000000003</v>
      </c>
      <c r="G66">
        <f ca="1">IFERROR(__xludf.DUMMYFUNCTION("""COMPUTED_VALUE"""),14)</f>
        <v>14</v>
      </c>
    </row>
    <row r="67" spans="1:7" ht="12.75">
      <c r="A67" t="str">
        <f ca="1">IFERROR(__xludf.DUMMYFUNCTION("""COMPUTED_VALUE"""),"T66")</f>
        <v>T66</v>
      </c>
      <c r="B67">
        <f ca="1">IFERROR(__xludf.DUMMYFUNCTION("""COMPUTED_VALUE"""),69)</f>
        <v>69</v>
      </c>
      <c r="C67" t="str">
        <f ca="1">IFERROR(__xludf.DUMMYFUNCTION("""COMPUTED_VALUE"""),"John Pak")</f>
        <v>John Pak</v>
      </c>
      <c r="D67">
        <f ca="1">IFERROR(__xludf.DUMMYFUNCTION("""COMPUTED_VALUE"""),4)</f>
        <v>4</v>
      </c>
      <c r="E67">
        <f ca="1">IFERROR(__xludf.DUMMYFUNCTION("""COMPUTED_VALUE"""),0.275)</f>
        <v>0.27500000000000002</v>
      </c>
      <c r="F67">
        <f ca="1">IFERROR(__xludf.DUMMYFUNCTION("""COMPUTED_VALUE"""),1.099)</f>
        <v>1.099</v>
      </c>
      <c r="G67">
        <f ca="1">IFERROR(__xludf.DUMMYFUNCTION("""COMPUTED_VALUE"""),4)</f>
        <v>4</v>
      </c>
    </row>
    <row r="68" spans="1:7" ht="12.75">
      <c r="A68" t="str">
        <f ca="1">IFERROR(__xludf.DUMMYFUNCTION("""COMPUTED_VALUE"""),"T66")</f>
        <v>T66</v>
      </c>
      <c r="B68" t="str">
        <f ca="1">IFERROR(__xludf.DUMMYFUNCTION("""COMPUTED_VALUE"""),"T83")</f>
        <v>T83</v>
      </c>
      <c r="C68" t="str">
        <f ca="1">IFERROR(__xludf.DUMMYFUNCTION("""COMPUTED_VALUE"""),"Adam Schenk")</f>
        <v>Adam Schenk</v>
      </c>
      <c r="D68">
        <f ca="1">IFERROR(__xludf.DUMMYFUNCTION("""COMPUTED_VALUE"""),22)</f>
        <v>22</v>
      </c>
      <c r="E68">
        <f ca="1">IFERROR(__xludf.DUMMYFUNCTION("""COMPUTED_VALUE"""),0.275)</f>
        <v>0.27500000000000002</v>
      </c>
      <c r="F68">
        <f ca="1">IFERROR(__xludf.DUMMYFUNCTION("""COMPUTED_VALUE"""),3.846)</f>
        <v>3.8460000000000001</v>
      </c>
      <c r="G68">
        <f ca="1">IFERROR(__xludf.DUMMYFUNCTION("""COMPUTED_VALUE"""),14)</f>
        <v>14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IFERROR(__xludf.DUMMYFUNCTION("""COMPUTED_VALUE"""),65)</f>
        <v>65</v>
      </c>
      <c r="C69" t="str">
        <f ca="1">IFERROR(__xludf.DUMMYFUNCTION("""COMPUTED_VALUE"""),"Carlos Ortiz")</f>
        <v>Carlos Ortiz</v>
      </c>
      <c r="D69">
        <f ca="1">IFERROR(__xludf.DUMMYFUNCTION("""COMPUTED_VALUE"""),20)</f>
        <v>20</v>
      </c>
      <c r="E69">
        <f ca="1">IFERROR(__xludf.DUMMYFUNCTION("""COMPUTED_VALUE"""),0.272)</f>
        <v>0.27200000000000002</v>
      </c>
      <c r="F69">
        <f ca="1">IFERROR(__xludf.DUMMYFUNCTION("""COMPUTED_VALUE"""),5.439)</f>
        <v>5.4390000000000001</v>
      </c>
      <c r="G69">
        <f ca="1">IFERROR(__xludf.DUMMYFUNCTION("""COMPUTED_VALUE"""),20)</f>
        <v>20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IFERROR(__xludf.DUMMYFUNCTION("""COMPUTED_VALUE"""),71)</f>
        <v>71</v>
      </c>
      <c r="C70" t="str">
        <f ca="1">IFERROR(__xludf.DUMMYFUNCTION("""COMPUTED_VALUE"""),"Rickie Fowler")</f>
        <v>Rickie Fowler</v>
      </c>
      <c r="D70">
        <f ca="1">IFERROR(__xludf.DUMMYFUNCTION("""COMPUTED_VALUE"""),14)</f>
        <v>14</v>
      </c>
      <c r="E70">
        <f ca="1">IFERROR(__xludf.DUMMYFUNCTION("""COMPUTED_VALUE"""),0.269)</f>
        <v>0.26900000000000002</v>
      </c>
      <c r="F70">
        <f ca="1">IFERROR(__xludf.DUMMYFUNCTION("""COMPUTED_VALUE"""),3.764)</f>
        <v>3.7639999999999998</v>
      </c>
      <c r="G70">
        <f ca="1">IFERROR(__xludf.DUMMYFUNCTION("""COMPUTED_VALUE"""),14)</f>
        <v>14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IFERROR(__xludf.DUMMYFUNCTION("""COMPUTED_VALUE"""),72)</f>
        <v>72</v>
      </c>
      <c r="C71" t="str">
        <f ca="1">IFERROR(__xludf.DUMMYFUNCTION("""COMPUTED_VALUE"""),"Wesley Bryan")</f>
        <v>Wesley Bryan</v>
      </c>
      <c r="D71">
        <f ca="1">IFERROR(__xludf.DUMMYFUNCTION("""COMPUTED_VALUE"""),8)</f>
        <v>8</v>
      </c>
      <c r="E71">
        <f ca="1">IFERROR(__xludf.DUMMYFUNCTION("""COMPUTED_VALUE"""),0.267)</f>
        <v>0.26700000000000002</v>
      </c>
      <c r="F71">
        <f ca="1">IFERROR(__xludf.DUMMYFUNCTION("""COMPUTED_VALUE"""),1.603)</f>
        <v>1.603</v>
      </c>
      <c r="G71">
        <f ca="1">IFERROR(__xludf.DUMMYFUNCTION("""COMPUTED_VALUE"""),6)</f>
        <v>6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IFERROR(__xludf.DUMMYFUNCTION("""COMPUTED_VALUE"""),166)</f>
        <v>166</v>
      </c>
      <c r="C72" t="str">
        <f ca="1">IFERROR(__xludf.DUMMYFUNCTION("""COMPUTED_VALUE"""),"Max Homa")</f>
        <v>Max Homa</v>
      </c>
      <c r="D72">
        <f ca="1">IFERROR(__xludf.DUMMYFUNCTION("""COMPUTED_VALUE"""),12)</f>
        <v>12</v>
      </c>
      <c r="E72">
        <f ca="1">IFERROR(__xludf.DUMMYFUNCTION("""COMPUTED_VALUE"""),0.259)</f>
        <v>0.25900000000000001</v>
      </c>
      <c r="F72">
        <f ca="1">IFERROR(__xludf.DUMMYFUNCTION("""COMPUTED_VALUE"""),2.075)</f>
        <v>2.0750000000000002</v>
      </c>
      <c r="G72">
        <f ca="1">IFERROR(__xludf.DUMMYFUNCTION("""COMPUTED_VALUE"""),8)</f>
        <v>8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IFERROR(__xludf.DUMMYFUNCTION("""COMPUTED_VALUE"""),75)</f>
        <v>75</v>
      </c>
      <c r="C73" t="str">
        <f ca="1">IFERROR(__xludf.DUMMYFUNCTION("""COMPUTED_VALUE"""),"Xander Schauffele")</f>
        <v>Xander Schauffele</v>
      </c>
      <c r="D73">
        <f ca="1">IFERROR(__xludf.DUMMYFUNCTION("""COMPUTED_VALUE"""),12)</f>
        <v>12</v>
      </c>
      <c r="E73">
        <f ca="1">IFERROR(__xludf.DUMMYFUNCTION("""COMPUTED_VALUE"""),0.249)</f>
        <v>0.249</v>
      </c>
      <c r="F73">
        <f ca="1">IFERROR(__xludf.DUMMYFUNCTION("""COMPUTED_VALUE"""),2.984)</f>
        <v>2.984</v>
      </c>
      <c r="G73">
        <f ca="1">IFERROR(__xludf.DUMMYFUNCTION("""COMPUTED_VALUE"""),12)</f>
        <v>12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IFERROR(__xludf.DUMMYFUNCTION("""COMPUTED_VALUE"""),76)</f>
        <v>76</v>
      </c>
      <c r="C74" t="str">
        <f ca="1">IFERROR(__xludf.DUMMYFUNCTION("""COMPUTED_VALUE"""),"Justin Thomas")</f>
        <v>Justin Thomas</v>
      </c>
      <c r="D74">
        <f ca="1">IFERROR(__xludf.DUMMYFUNCTION("""COMPUTED_VALUE"""),12)</f>
        <v>12</v>
      </c>
      <c r="E74">
        <f ca="1">IFERROR(__xludf.DUMMYFUNCTION("""COMPUTED_VALUE"""),0.241)</f>
        <v>0.24099999999999999</v>
      </c>
      <c r="F74">
        <f ca="1">IFERROR(__xludf.DUMMYFUNCTION("""COMPUTED_VALUE"""),2.887)</f>
        <v>2.887</v>
      </c>
      <c r="G74">
        <f ca="1">IFERROR(__xludf.DUMMYFUNCTION("""COMPUTED_VALUE"""),12)</f>
        <v>12</v>
      </c>
    </row>
    <row r="75" spans="1:7" ht="12.75">
      <c r="A75" t="str">
        <f ca="1">IFERROR(__xludf.DUMMYFUNCTION("""COMPUTED_VALUE"""),"T74")</f>
        <v>T74</v>
      </c>
      <c r="B75">
        <f ca="1">IFERROR(__xludf.DUMMYFUNCTION("""COMPUTED_VALUE"""),100)</f>
        <v>100</v>
      </c>
      <c r="C75" t="str">
        <f ca="1">IFERROR(__xludf.DUMMYFUNCTION("""COMPUTED_VALUE"""),"Shane Lowry")</f>
        <v>Shane Lowry</v>
      </c>
      <c r="D75">
        <f ca="1">IFERROR(__xludf.DUMMYFUNCTION("""COMPUTED_VALUE"""),14)</f>
        <v>14</v>
      </c>
      <c r="E75">
        <f ca="1">IFERROR(__xludf.DUMMYFUNCTION("""COMPUTED_VALUE"""),0.229)</f>
        <v>0.22900000000000001</v>
      </c>
      <c r="F75">
        <f ca="1">IFERROR(__xludf.DUMMYFUNCTION("""COMPUTED_VALUE"""),3.206)</f>
        <v>3.206</v>
      </c>
      <c r="G75">
        <f ca="1">IFERROR(__xludf.DUMMYFUNCTION("""COMPUTED_VALUE"""),14)</f>
        <v>14</v>
      </c>
    </row>
    <row r="76" spans="1:7" ht="12.75">
      <c r="A76" t="str">
        <f ca="1">IFERROR(__xludf.DUMMYFUNCTION("""COMPUTED_VALUE"""),"T74")</f>
        <v>T74</v>
      </c>
      <c r="B76">
        <f ca="1">IFERROR(__xludf.DUMMYFUNCTION("""COMPUTED_VALUE"""),66)</f>
        <v>66</v>
      </c>
      <c r="C76" t="str">
        <f ca="1">IFERROR(__xludf.DUMMYFUNCTION("""COMPUTED_VALUE"""),"Martin Laird")</f>
        <v>Martin Laird</v>
      </c>
      <c r="D76">
        <f ca="1">IFERROR(__xludf.DUMMYFUNCTION("""COMPUTED_VALUE"""),16)</f>
        <v>16</v>
      </c>
      <c r="E76">
        <f ca="1">IFERROR(__xludf.DUMMYFUNCTION("""COMPUTED_VALUE"""),0.229)</f>
        <v>0.22900000000000001</v>
      </c>
      <c r="F76">
        <f ca="1">IFERROR(__xludf.DUMMYFUNCTION("""COMPUTED_VALUE"""),2.746)</f>
        <v>2.746</v>
      </c>
      <c r="G76">
        <f ca="1">IFERROR(__xludf.DUMMYFUNCTION("""COMPUTED_VALUE"""),12)</f>
        <v>12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IFERROR(__xludf.DUMMYFUNCTION("""COMPUTED_VALUE"""),77)</f>
        <v>77</v>
      </c>
      <c r="C77" t="str">
        <f ca="1">IFERROR(__xludf.DUMMYFUNCTION("""COMPUTED_VALUE"""),"Matthew Fitzpatrick")</f>
        <v>Matthew Fitzpatrick</v>
      </c>
      <c r="D77">
        <f ca="1">IFERROR(__xludf.DUMMYFUNCTION("""COMPUTED_VALUE"""),10)</f>
        <v>10</v>
      </c>
      <c r="E77">
        <f ca="1">IFERROR(__xludf.DUMMYFUNCTION("""COMPUTED_VALUE"""),0.228)</f>
        <v>0.22800000000000001</v>
      </c>
      <c r="F77">
        <f ca="1">IFERROR(__xludf.DUMMYFUNCTION("""COMPUTED_VALUE"""),2.283)</f>
        <v>2.2829999999999999</v>
      </c>
      <c r="G77">
        <f ca="1">IFERROR(__xludf.DUMMYFUNCTION("""COMPUTED_VALUE"""),10)</f>
        <v>10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IFERROR(__xludf.DUMMYFUNCTION("""COMPUTED_VALUE"""),26)</f>
        <v>26</v>
      </c>
      <c r="C78" t="str">
        <f ca="1">IFERROR(__xludf.DUMMYFUNCTION("""COMPUTED_VALUE"""),"Sepp Straka")</f>
        <v>Sepp Straka</v>
      </c>
      <c r="D78">
        <f ca="1">IFERROR(__xludf.DUMMYFUNCTION("""COMPUTED_VALUE"""),22)</f>
        <v>22</v>
      </c>
      <c r="E78">
        <f ca="1">IFERROR(__xludf.DUMMYFUNCTION("""COMPUTED_VALUE"""),0.225)</f>
        <v>0.22500000000000001</v>
      </c>
      <c r="F78">
        <f ca="1">IFERROR(__xludf.DUMMYFUNCTION("""COMPUTED_VALUE"""),3.145)</f>
        <v>3.145</v>
      </c>
      <c r="G78">
        <f ca="1">IFERROR(__xludf.DUMMYFUNCTION("""COMPUTED_VALUE"""),14)</f>
        <v>14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IFERROR(__xludf.DUMMYFUNCTION("""COMPUTED_VALUE"""),79)</f>
        <v>79</v>
      </c>
      <c r="C79" t="str">
        <f ca="1">IFERROR(__xludf.DUMMYFUNCTION("""COMPUTED_VALUE"""),"Billy Horschel")</f>
        <v>Billy Horschel</v>
      </c>
      <c r="D79">
        <f ca="1">IFERROR(__xludf.DUMMYFUNCTION("""COMPUTED_VALUE"""),12)</f>
        <v>12</v>
      </c>
      <c r="E79">
        <f ca="1">IFERROR(__xludf.DUMMYFUNCTION("""COMPUTED_VALUE"""),0.223)</f>
        <v>0.223</v>
      </c>
      <c r="F79">
        <f ca="1">IFERROR(__xludf.DUMMYFUNCTION("""COMPUTED_VALUE"""),2.672)</f>
        <v>2.6720000000000002</v>
      </c>
      <c r="G79">
        <f ca="1">IFERROR(__xludf.DUMMYFUNCTION("""COMPUTED_VALUE"""),12)</f>
        <v>12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IFERROR(__xludf.DUMMYFUNCTION("""COMPUTED_VALUE"""),80)</f>
        <v>80</v>
      </c>
      <c r="C80" t="str">
        <f ca="1">IFERROR(__xludf.DUMMYFUNCTION("""COMPUTED_VALUE"""),"Paul Casey")</f>
        <v>Paul Casey</v>
      </c>
      <c r="D80">
        <f ca="1">IFERROR(__xludf.DUMMYFUNCTION("""COMPUTED_VALUE"""),14)</f>
        <v>14</v>
      </c>
      <c r="E80">
        <f ca="1">IFERROR(__xludf.DUMMYFUNCTION("""COMPUTED_VALUE"""),0.217)</f>
        <v>0.217</v>
      </c>
      <c r="F80">
        <f ca="1">IFERROR(__xludf.DUMMYFUNCTION("""COMPUTED_VALUE"""),3.043)</f>
        <v>3.0430000000000001</v>
      </c>
      <c r="G80">
        <f ca="1">IFERROR(__xludf.DUMMYFUNCTION("""COMPUTED_VALUE"""),14)</f>
        <v>14</v>
      </c>
    </row>
    <row r="81" spans="1:7" ht="12.75">
      <c r="A81">
        <f ca="1">IFERROR(__xludf.DUMMYFUNCTION("""COMPUTED_VALUE"""),80)</f>
        <v>80</v>
      </c>
      <c r="B81">
        <f ca="1">IFERROR(__xludf.DUMMYFUNCTION("""COMPUTED_VALUE"""),81)</f>
        <v>81</v>
      </c>
      <c r="C81" t="str">
        <f ca="1">IFERROR(__xludf.DUMMYFUNCTION("""COMPUTED_VALUE"""),"Brandon Hagy")</f>
        <v>Brandon Hagy</v>
      </c>
      <c r="D81">
        <f ca="1">IFERROR(__xludf.DUMMYFUNCTION("""COMPUTED_VALUE"""),10)</f>
        <v>10</v>
      </c>
      <c r="E81">
        <f ca="1">IFERROR(__xludf.DUMMYFUNCTION("""COMPUTED_VALUE"""),0.216)</f>
        <v>0.216</v>
      </c>
      <c r="F81">
        <f ca="1">IFERROR(__xludf.DUMMYFUNCTION("""COMPUTED_VALUE"""),1.295)</f>
        <v>1.2949999999999999</v>
      </c>
      <c r="G81">
        <f ca="1">IFERROR(__xludf.DUMMYFUNCTION("""COMPUTED_VALUE"""),6)</f>
        <v>6</v>
      </c>
    </row>
    <row r="82" spans="1:7" ht="12.75">
      <c r="A82">
        <f ca="1">IFERROR(__xludf.DUMMYFUNCTION("""COMPUTED_VALUE"""),81)</f>
        <v>81</v>
      </c>
      <c r="B82" t="str">
        <f ca="1">IFERROR(__xludf.DUMMYFUNCTION("""COMPUTED_VALUE"""),"T83")</f>
        <v>T83</v>
      </c>
      <c r="C82" t="str">
        <f ca="1">IFERROR(__xludf.DUMMYFUNCTION("""COMPUTED_VALUE"""),"Rasmus Hojgaard")</f>
        <v>Rasmus Hojgaard</v>
      </c>
      <c r="D82">
        <f ca="1">IFERROR(__xludf.DUMMYFUNCTION("""COMPUTED_VALUE"""),6)</f>
        <v>6</v>
      </c>
      <c r="E82">
        <f ca="1">IFERROR(__xludf.DUMMYFUNCTION("""COMPUTED_VALUE"""),0.212)</f>
        <v>0.21199999999999999</v>
      </c>
      <c r="F82">
        <f ca="1">IFERROR(__xludf.DUMMYFUNCTION("""COMPUTED_VALUE"""),0.423)</f>
        <v>0.42299999999999999</v>
      </c>
      <c r="G82">
        <f ca="1">IFERROR(__xludf.DUMMYFUNCTION("""COMPUTED_VALUE"""),2)</f>
        <v>2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IFERROR(__xludf.DUMMYFUNCTION("""COMPUTED_VALUE"""),64)</f>
        <v>64</v>
      </c>
      <c r="C83" t="str">
        <f ca="1">IFERROR(__xludf.DUMMYFUNCTION("""COMPUTED_VALUE"""),"Jamie Lovemark")</f>
        <v>Jamie Lovemark</v>
      </c>
      <c r="D83">
        <f ca="1">IFERROR(__xludf.DUMMYFUNCTION("""COMPUTED_VALUE"""),18)</f>
        <v>18</v>
      </c>
      <c r="E83">
        <f ca="1">IFERROR(__xludf.DUMMYFUNCTION("""COMPUTED_VALUE"""),0.194)</f>
        <v>0.19400000000000001</v>
      </c>
      <c r="F83">
        <f ca="1">IFERROR(__xludf.DUMMYFUNCTION("""COMPUTED_VALUE"""),2.325)</f>
        <v>2.3250000000000002</v>
      </c>
      <c r="G83">
        <f ca="1">IFERROR(__xludf.DUMMYFUNCTION("""COMPUTED_VALUE"""),12)</f>
        <v>12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IFERROR(__xludf.DUMMYFUNCTION("""COMPUTED_VALUE"""),78)</f>
        <v>78</v>
      </c>
      <c r="C84" t="str">
        <f ca="1">IFERROR(__xludf.DUMMYFUNCTION("""COMPUTED_VALUE"""),"Pat Perez")</f>
        <v>Pat Perez</v>
      </c>
      <c r="D84">
        <f ca="1">IFERROR(__xludf.DUMMYFUNCTION("""COMPUTED_VALUE"""),16)</f>
        <v>16</v>
      </c>
      <c r="E84">
        <f ca="1">IFERROR(__xludf.DUMMYFUNCTION("""COMPUTED_VALUE"""),0.189)</f>
        <v>0.189</v>
      </c>
      <c r="F84">
        <f ca="1">IFERROR(__xludf.DUMMYFUNCTION("""COMPUTED_VALUE"""),1.888)</f>
        <v>1.8879999999999999</v>
      </c>
      <c r="G84">
        <f ca="1">IFERROR(__xludf.DUMMYFUNCTION("""COMPUTED_VALUE"""),10)</f>
        <v>10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IFERROR(__xludf.DUMMYFUNCTION("""COMPUTED_VALUE"""),88)</f>
        <v>88</v>
      </c>
      <c r="C85" t="str">
        <f ca="1">IFERROR(__xludf.DUMMYFUNCTION("""COMPUTED_VALUE"""),"Abraham Ancer")</f>
        <v>Abraham Ancer</v>
      </c>
      <c r="D85">
        <f ca="1">IFERROR(__xludf.DUMMYFUNCTION("""COMPUTED_VALUE"""),16)</f>
        <v>16</v>
      </c>
      <c r="E85">
        <f ca="1">IFERROR(__xludf.DUMMYFUNCTION("""COMPUTED_VALUE"""),0.186)</f>
        <v>0.186</v>
      </c>
      <c r="F85">
        <f ca="1">IFERROR(__xludf.DUMMYFUNCTION("""COMPUTED_VALUE"""),2.98)</f>
        <v>2.98</v>
      </c>
      <c r="G85">
        <f ca="1">IFERROR(__xludf.DUMMYFUNCTION("""COMPUTED_VALUE"""),16)</f>
        <v>16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IFERROR(__xludf.DUMMYFUNCTION("""COMPUTED_VALUE"""),85)</f>
        <v>85</v>
      </c>
      <c r="C86" t="str">
        <f ca="1">IFERROR(__xludf.DUMMYFUNCTION("""COMPUTED_VALUE"""),"Stewart Cink")</f>
        <v>Stewart Cink</v>
      </c>
      <c r="D86">
        <f ca="1">IFERROR(__xludf.DUMMYFUNCTION("""COMPUTED_VALUE"""),18)</f>
        <v>18</v>
      </c>
      <c r="E86">
        <f ca="1">IFERROR(__xludf.DUMMYFUNCTION("""COMPUTED_VALUE"""),0.18)</f>
        <v>0.18</v>
      </c>
      <c r="F86">
        <f ca="1">IFERROR(__xludf.DUMMYFUNCTION("""COMPUTED_VALUE"""),2.519)</f>
        <v>2.5190000000000001</v>
      </c>
      <c r="G86">
        <f ca="1">IFERROR(__xludf.DUMMYFUNCTION("""COMPUTED_VALUE"""),14)</f>
        <v>14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IFERROR(__xludf.DUMMYFUNCTION("""COMPUTED_VALUE"""),73)</f>
        <v>73</v>
      </c>
      <c r="C87" t="str">
        <f ca="1">IFERROR(__xludf.DUMMYFUNCTION("""COMPUTED_VALUE"""),"Emiliano Grillo")</f>
        <v>Emiliano Grillo</v>
      </c>
      <c r="D87">
        <f ca="1">IFERROR(__xludf.DUMMYFUNCTION("""COMPUTED_VALUE"""),22)</f>
        <v>22</v>
      </c>
      <c r="E87">
        <f ca="1">IFERROR(__xludf.DUMMYFUNCTION("""COMPUTED_VALUE"""),0.168)</f>
        <v>0.16800000000000001</v>
      </c>
      <c r="F87">
        <f ca="1">IFERROR(__xludf.DUMMYFUNCTION("""COMPUTED_VALUE"""),2.358)</f>
        <v>2.3580000000000001</v>
      </c>
      <c r="G87">
        <f ca="1">IFERROR(__xludf.DUMMYFUNCTION("""COMPUTED_VALUE"""),14)</f>
        <v>14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IFERROR(__xludf.DUMMYFUNCTION("""COMPUTED_VALUE"""),90)</f>
        <v>90</v>
      </c>
      <c r="C88" t="str">
        <f ca="1">IFERROR(__xludf.DUMMYFUNCTION("""COMPUTED_VALUE"""),"Sebastian Cappelen")</f>
        <v>Sebastian Cappelen</v>
      </c>
      <c r="D88">
        <f ca="1">IFERROR(__xludf.DUMMYFUNCTION("""COMPUTED_VALUE"""),8)</f>
        <v>8</v>
      </c>
      <c r="E88">
        <f ca="1">IFERROR(__xludf.DUMMYFUNCTION("""COMPUTED_VALUE"""),0.163)</f>
        <v>0.16300000000000001</v>
      </c>
      <c r="F88">
        <f ca="1">IFERROR(__xludf.DUMMYFUNCTION("""COMPUTED_VALUE"""),0.651)</f>
        <v>0.65100000000000002</v>
      </c>
      <c r="G88">
        <f ca="1">IFERROR(__xludf.DUMMYFUNCTION("""COMPUTED_VALUE"""),4)</f>
        <v>4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IFERROR(__xludf.DUMMYFUNCTION("""COMPUTED_VALUE"""),92)</f>
        <v>92</v>
      </c>
      <c r="C89" t="str">
        <f ca="1">IFERROR(__xludf.DUMMYFUNCTION("""COMPUTED_VALUE"""),"Bill Haas")</f>
        <v>Bill Haas</v>
      </c>
      <c r="D89">
        <f ca="1">IFERROR(__xludf.DUMMYFUNCTION("""COMPUTED_VALUE"""),10)</f>
        <v>10</v>
      </c>
      <c r="E89">
        <f ca="1">IFERROR(__xludf.DUMMYFUNCTION("""COMPUTED_VALUE"""),0.156)</f>
        <v>0.156</v>
      </c>
      <c r="F89">
        <f ca="1">IFERROR(__xludf.DUMMYFUNCTION("""COMPUTED_VALUE"""),0.936)</f>
        <v>0.93600000000000005</v>
      </c>
      <c r="G89">
        <f ca="1">IFERROR(__xludf.DUMMYFUNCTION("""COMPUTED_VALUE"""),6)</f>
        <v>6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IFERROR(__xludf.DUMMYFUNCTION("""COMPUTED_VALUE"""),126)</f>
        <v>126</v>
      </c>
      <c r="C90" t="str">
        <f ca="1">IFERROR(__xludf.DUMMYFUNCTION("""COMPUTED_VALUE"""),"Isaiah Salinda")</f>
        <v>Isaiah Salinda</v>
      </c>
      <c r="D90">
        <f ca="1">IFERROR(__xludf.DUMMYFUNCTION("""COMPUTED_VALUE"""),8)</f>
        <v>8</v>
      </c>
      <c r="E90">
        <f ca="1">IFERROR(__xludf.DUMMYFUNCTION("""COMPUTED_VALUE"""),0.155)</f>
        <v>0.155</v>
      </c>
      <c r="F90">
        <f ca="1">IFERROR(__xludf.DUMMYFUNCTION("""COMPUTED_VALUE"""),1.236)</f>
        <v>1.236</v>
      </c>
      <c r="G90">
        <f ca="1">IFERROR(__xludf.DUMMYFUNCTION("""COMPUTED_VALUE"""),8)</f>
        <v>8</v>
      </c>
    </row>
    <row r="91" spans="1:7" ht="12.75">
      <c r="A91">
        <f ca="1">IFERROR(__xludf.DUMMYFUNCTION("""COMPUTED_VALUE"""),90)</f>
        <v>90</v>
      </c>
      <c r="B91" t="str">
        <f ca="1">IFERROR(__xludf.DUMMYFUNCTION("""COMPUTED_VALUE"""),"")</f>
        <v/>
      </c>
      <c r="C91" t="str">
        <f ca="1">IFERROR(__xludf.DUMMYFUNCTION("""COMPUTED_VALUE"""),"Francesco Molinari")</f>
        <v>Francesco Molinari</v>
      </c>
      <c r="D91">
        <f ca="1">IFERROR(__xludf.DUMMYFUNCTION("""COMPUTED_VALUE"""),6)</f>
        <v>6</v>
      </c>
      <c r="E91">
        <f ca="1">IFERROR(__xludf.DUMMYFUNCTION("""COMPUTED_VALUE"""),0.148)</f>
        <v>0.14799999999999999</v>
      </c>
      <c r="F91">
        <f ca="1">IFERROR(__xludf.DUMMYFUNCTION("""COMPUTED_VALUE"""),0.887)</f>
        <v>0.88700000000000001</v>
      </c>
      <c r="G91">
        <f ca="1">IFERROR(__xludf.DUMMYFUNCTION("""COMPUTED_VALUE"""),6)</f>
        <v>6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IFERROR(__xludf.DUMMYFUNCTION("""COMPUTED_VALUE"""),38)</f>
        <v>38</v>
      </c>
      <c r="C92" t="str">
        <f ca="1">IFERROR(__xludf.DUMMYFUNCTION("""COMPUTED_VALUE"""),"Jason Dufner")</f>
        <v>Jason Dufner</v>
      </c>
      <c r="D92">
        <f ca="1">IFERROR(__xludf.DUMMYFUNCTION("""COMPUTED_VALUE"""),14)</f>
        <v>14</v>
      </c>
      <c r="E92">
        <f ca="1">IFERROR(__xludf.DUMMYFUNCTION("""COMPUTED_VALUE"""),0.145)</f>
        <v>0.14499999999999999</v>
      </c>
      <c r="F92">
        <f ca="1">IFERROR(__xludf.DUMMYFUNCTION("""COMPUTED_VALUE"""),1.454)</f>
        <v>1.454</v>
      </c>
      <c r="G92">
        <f ca="1">IFERROR(__xludf.DUMMYFUNCTION("""COMPUTED_VALUE"""),10)</f>
        <v>10</v>
      </c>
    </row>
    <row r="93" spans="1:7" ht="12.75">
      <c r="A93" t="str">
        <f ca="1">IFERROR(__xludf.DUMMYFUNCTION("""COMPUTED_VALUE"""),"T92")</f>
        <v>T92</v>
      </c>
      <c r="B93">
        <f ca="1">IFERROR(__xludf.DUMMYFUNCTION("""COMPUTED_VALUE"""),95)</f>
        <v>95</v>
      </c>
      <c r="C93" t="str">
        <f ca="1">IFERROR(__xludf.DUMMYFUNCTION("""COMPUTED_VALUE"""),"Anirban Lahiri")</f>
        <v>Anirban Lahiri</v>
      </c>
      <c r="D93">
        <f ca="1">IFERROR(__xludf.DUMMYFUNCTION("""COMPUTED_VALUE"""),16)</f>
        <v>16</v>
      </c>
      <c r="E93">
        <f ca="1">IFERROR(__xludf.DUMMYFUNCTION("""COMPUTED_VALUE"""),0.144)</f>
        <v>0.14399999999999999</v>
      </c>
      <c r="F93">
        <f ca="1">IFERROR(__xludf.DUMMYFUNCTION("""COMPUTED_VALUE"""),1.155)</f>
        <v>1.155</v>
      </c>
      <c r="G93">
        <f ca="1">IFERROR(__xludf.DUMMYFUNCTION("""COMPUTED_VALUE"""),8)</f>
        <v>8</v>
      </c>
    </row>
    <row r="94" spans="1:7" ht="12.75">
      <c r="A94" t="str">
        <f ca="1">IFERROR(__xludf.DUMMYFUNCTION("""COMPUTED_VALUE"""),"T92")</f>
        <v>T92</v>
      </c>
      <c r="B94">
        <f ca="1">IFERROR(__xludf.DUMMYFUNCTION("""COMPUTED_VALUE"""),153)</f>
        <v>153</v>
      </c>
      <c r="C94" t="str">
        <f ca="1">IFERROR(__xludf.DUMMYFUNCTION("""COMPUTED_VALUE"""),"Bo Hoag")</f>
        <v>Bo Hoag</v>
      </c>
      <c r="D94">
        <f ca="1">IFERROR(__xludf.DUMMYFUNCTION("""COMPUTED_VALUE"""),14)</f>
        <v>14</v>
      </c>
      <c r="E94">
        <f ca="1">IFERROR(__xludf.DUMMYFUNCTION("""COMPUTED_VALUE"""),0.144)</f>
        <v>0.14399999999999999</v>
      </c>
      <c r="F94">
        <f ca="1">IFERROR(__xludf.DUMMYFUNCTION("""COMPUTED_VALUE"""),1.442)</f>
        <v>1.4419999999999999</v>
      </c>
      <c r="G94">
        <f ca="1">IFERROR(__xludf.DUMMYFUNCTION("""COMPUTED_VALUE"""),10)</f>
        <v>10</v>
      </c>
    </row>
    <row r="95" spans="1:7" ht="12.75">
      <c r="A95">
        <f ca="1">IFERROR(__xludf.DUMMYFUNCTION("""COMPUTED_VALUE"""),94)</f>
        <v>94</v>
      </c>
      <c r="B95">
        <f ca="1">IFERROR(__xludf.DUMMYFUNCTION("""COMPUTED_VALUE"""),96)</f>
        <v>96</v>
      </c>
      <c r="C95" t="str">
        <f ca="1">IFERROR(__xludf.DUMMYFUNCTION("""COMPUTED_VALUE"""),"Rafael Campos")</f>
        <v>Rafael Campos</v>
      </c>
      <c r="D95">
        <f ca="1">IFERROR(__xludf.DUMMYFUNCTION("""COMPUTED_VALUE"""),6)</f>
        <v>6</v>
      </c>
      <c r="E95">
        <f ca="1">IFERROR(__xludf.DUMMYFUNCTION("""COMPUTED_VALUE"""),0.143)</f>
        <v>0.14299999999999999</v>
      </c>
      <c r="F95">
        <f ca="1">IFERROR(__xludf.DUMMYFUNCTION("""COMPUTED_VALUE"""),0.285)</f>
        <v>0.28499999999999998</v>
      </c>
      <c r="G95">
        <f ca="1">IFERROR(__xludf.DUMMYFUNCTION("""COMPUTED_VALUE"""),2)</f>
        <v>2</v>
      </c>
    </row>
    <row r="96" spans="1:7" ht="12.75">
      <c r="A96">
        <f ca="1">IFERROR(__xludf.DUMMYFUNCTION("""COMPUTED_VALUE"""),95)</f>
        <v>95</v>
      </c>
      <c r="B96">
        <f ca="1">IFERROR(__xludf.DUMMYFUNCTION("""COMPUTED_VALUE"""),97)</f>
        <v>97</v>
      </c>
      <c r="C96" t="str">
        <f ca="1">IFERROR(__xludf.DUMMYFUNCTION("""COMPUTED_VALUE"""),"Chase Seiffert")</f>
        <v>Chase Seiffert</v>
      </c>
      <c r="D96">
        <f ca="1">IFERROR(__xludf.DUMMYFUNCTION("""COMPUTED_VALUE"""),14)</f>
        <v>14</v>
      </c>
      <c r="E96">
        <f ca="1">IFERROR(__xludf.DUMMYFUNCTION("""COMPUTED_VALUE"""),0.141)</f>
        <v>0.14099999999999999</v>
      </c>
      <c r="F96">
        <f ca="1">IFERROR(__xludf.DUMMYFUNCTION("""COMPUTED_VALUE"""),1.127)</f>
        <v>1.127</v>
      </c>
      <c r="G96">
        <f ca="1">IFERROR(__xludf.DUMMYFUNCTION("""COMPUTED_VALUE"""),8)</f>
        <v>8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IFERROR(__xludf.DUMMYFUNCTION("""COMPUTED_VALUE"""),98)</f>
        <v>98</v>
      </c>
      <c r="C97" t="str">
        <f ca="1">IFERROR(__xludf.DUMMYFUNCTION("""COMPUTED_VALUE"""),"Roger Sloan")</f>
        <v>Roger Sloan</v>
      </c>
      <c r="D97">
        <f ca="1">IFERROR(__xludf.DUMMYFUNCTION("""COMPUTED_VALUE"""),12)</f>
        <v>12</v>
      </c>
      <c r="E97">
        <f ca="1">IFERROR(__xludf.DUMMYFUNCTION("""COMPUTED_VALUE"""),0.139)</f>
        <v>0.13900000000000001</v>
      </c>
      <c r="F97">
        <f ca="1">IFERROR(__xludf.DUMMYFUNCTION("""COMPUTED_VALUE"""),0.835)</f>
        <v>0.83499999999999996</v>
      </c>
      <c r="G97">
        <f ca="1">IFERROR(__xludf.DUMMYFUNCTION("""COMPUTED_VALUE"""),6)</f>
        <v>6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IFERROR(__xludf.DUMMYFUNCTION("""COMPUTED_VALUE"""),89)</f>
        <v>89</v>
      </c>
      <c r="C98" t="str">
        <f ca="1">IFERROR(__xludf.DUMMYFUNCTION("""COMPUTED_VALUE"""),"Tyler Duncan")</f>
        <v>Tyler Duncan</v>
      </c>
      <c r="D98">
        <f ca="1">IFERROR(__xludf.DUMMYFUNCTION("""COMPUTED_VALUE"""),18)</f>
        <v>18</v>
      </c>
      <c r="E98">
        <f ca="1">IFERROR(__xludf.DUMMYFUNCTION("""COMPUTED_VALUE"""),0.137)</f>
        <v>0.13700000000000001</v>
      </c>
      <c r="F98">
        <f ca="1">IFERROR(__xludf.DUMMYFUNCTION("""COMPUTED_VALUE"""),2.468)</f>
        <v>2.468</v>
      </c>
      <c r="G98">
        <f ca="1">IFERROR(__xludf.DUMMYFUNCTION("""COMPUTED_VALUE"""),18)</f>
        <v>18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IFERROR(__xludf.DUMMYFUNCTION("""COMPUTED_VALUE"""),74)</f>
        <v>74</v>
      </c>
      <c r="C99" t="str">
        <f ca="1">IFERROR(__xludf.DUMMYFUNCTION("""COMPUTED_VALUE"""),"Graham DeLaet")</f>
        <v>Graham DeLaet</v>
      </c>
      <c r="D99">
        <f ca="1">IFERROR(__xludf.DUMMYFUNCTION("""COMPUTED_VALUE"""),9)</f>
        <v>9</v>
      </c>
      <c r="E99">
        <f ca="1">IFERROR(__xludf.DUMMYFUNCTION("""COMPUTED_VALUE"""),0.13)</f>
        <v>0.13</v>
      </c>
      <c r="F99">
        <f ca="1">IFERROR(__xludf.DUMMYFUNCTION("""COMPUTED_VALUE"""),0.652)</f>
        <v>0.65200000000000002</v>
      </c>
      <c r="G99">
        <f ca="1">IFERROR(__xludf.DUMMYFUNCTION("""COMPUTED_VALUE"""),5)</f>
        <v>5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IFERROR(__xludf.DUMMYFUNCTION("""COMPUTED_VALUE"""),116)</f>
        <v>116</v>
      </c>
      <c r="C100" t="str">
        <f ca="1">IFERROR(__xludf.DUMMYFUNCTION("""COMPUTED_VALUE"""),"Erik van Rooyen")</f>
        <v>Erik van Rooyen</v>
      </c>
      <c r="D100">
        <f ca="1">IFERROR(__xludf.DUMMYFUNCTION("""COMPUTED_VALUE"""),10)</f>
        <v>10</v>
      </c>
      <c r="E100">
        <f ca="1">IFERROR(__xludf.DUMMYFUNCTION("""COMPUTED_VALUE"""),0.128)</f>
        <v>0.128</v>
      </c>
      <c r="F100">
        <f ca="1">IFERROR(__xludf.DUMMYFUNCTION("""COMPUTED_VALUE"""),1.276)</f>
        <v>1.276</v>
      </c>
      <c r="G100">
        <f ca="1">IFERROR(__xludf.DUMMYFUNCTION("""COMPUTED_VALUE"""),10)</f>
        <v>10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IFERROR(__xludf.DUMMYFUNCTION("""COMPUTED_VALUE"""),82)</f>
        <v>82</v>
      </c>
      <c r="C101" t="str">
        <f ca="1">IFERROR(__xludf.DUMMYFUNCTION("""COMPUTED_VALUE"""),"Lucas Glover")</f>
        <v>Lucas Glover</v>
      </c>
      <c r="D101">
        <f ca="1">IFERROR(__xludf.DUMMYFUNCTION("""COMPUTED_VALUE"""),12)</f>
        <v>12</v>
      </c>
      <c r="E101">
        <f ca="1">IFERROR(__xludf.DUMMYFUNCTION("""COMPUTED_VALUE"""),0.126)</f>
        <v>0.126</v>
      </c>
      <c r="F101">
        <f ca="1">IFERROR(__xludf.DUMMYFUNCTION("""COMPUTED_VALUE"""),1.514)</f>
        <v>1.514</v>
      </c>
      <c r="G101">
        <f ca="1">IFERROR(__xludf.DUMMYFUNCTION("""COMPUTED_VALUE"""),12)</f>
        <v>12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IFERROR(__xludf.DUMMYFUNCTION("""COMPUTED_VALUE"""),101)</f>
        <v>101</v>
      </c>
      <c r="C102" t="str">
        <f ca="1">IFERROR(__xludf.DUMMYFUNCTION("""COMPUTED_VALUE"""),"Jim Herman")</f>
        <v>Jim Herman</v>
      </c>
      <c r="D102">
        <f ca="1">IFERROR(__xludf.DUMMYFUNCTION("""COMPUTED_VALUE"""),12)</f>
        <v>12</v>
      </c>
      <c r="E102">
        <f ca="1">IFERROR(__xludf.DUMMYFUNCTION("""COMPUTED_VALUE"""),0.121)</f>
        <v>0.121</v>
      </c>
      <c r="F102">
        <f ca="1">IFERROR(__xludf.DUMMYFUNCTION("""COMPUTED_VALUE"""),1.456)</f>
        <v>1.456</v>
      </c>
      <c r="G102">
        <f ca="1">IFERROR(__xludf.DUMMYFUNCTION("""COMPUTED_VALUE"""),12)</f>
        <v>12</v>
      </c>
    </row>
    <row r="103" spans="1:7" ht="12.75">
      <c r="A103">
        <f ca="1">IFERROR(__xludf.DUMMYFUNCTION("""COMPUTED_VALUE"""),102)</f>
        <v>102</v>
      </c>
      <c r="B103">
        <f ca="1">IFERROR(__xludf.DUMMYFUNCTION("""COMPUTED_VALUE"""),99)</f>
        <v>99</v>
      </c>
      <c r="C103" t="str">
        <f ca="1">IFERROR(__xludf.DUMMYFUNCTION("""COMPUTED_VALUE"""),"Talor Gooch")</f>
        <v>Talor Gooch</v>
      </c>
      <c r="D103">
        <f ca="1">IFERROR(__xludf.DUMMYFUNCTION("""COMPUTED_VALUE"""),20)</f>
        <v>20</v>
      </c>
      <c r="E103">
        <f ca="1">IFERROR(__xludf.DUMMYFUNCTION("""COMPUTED_VALUE"""),0.118)</f>
        <v>0.11799999999999999</v>
      </c>
      <c r="F103">
        <f ca="1">IFERROR(__xludf.DUMMYFUNCTION("""COMPUTED_VALUE"""),2.368)</f>
        <v>2.3679999999999999</v>
      </c>
      <c r="G103">
        <f ca="1">IFERROR(__xludf.DUMMYFUNCTION("""COMPUTED_VALUE"""),20)</f>
        <v>20</v>
      </c>
    </row>
    <row r="104" spans="1:7" ht="12.75">
      <c r="A104">
        <f ca="1">IFERROR(__xludf.DUMMYFUNCTION("""COMPUTED_VALUE"""),103)</f>
        <v>103</v>
      </c>
      <c r="B104">
        <f ca="1">IFERROR(__xludf.DUMMYFUNCTION("""COMPUTED_VALUE"""),102)</f>
        <v>102</v>
      </c>
      <c r="C104" t="str">
        <f ca="1">IFERROR(__xludf.DUMMYFUNCTION("""COMPUTED_VALUE"""),"Joel Dahmen")</f>
        <v>Joel Dahmen</v>
      </c>
      <c r="D104">
        <f ca="1">IFERROR(__xludf.DUMMYFUNCTION("""COMPUTED_VALUE"""),18)</f>
        <v>18</v>
      </c>
      <c r="E104">
        <f ca="1">IFERROR(__xludf.DUMMYFUNCTION("""COMPUTED_VALUE"""),0.117)</f>
        <v>0.11700000000000001</v>
      </c>
      <c r="F104">
        <f ca="1">IFERROR(__xludf.DUMMYFUNCTION("""COMPUTED_VALUE"""),2.1)</f>
        <v>2.1</v>
      </c>
      <c r="G104">
        <f ca="1">IFERROR(__xludf.DUMMYFUNCTION("""COMPUTED_VALUE"""),18)</f>
        <v>18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IFERROR(__xludf.DUMMYFUNCTION("""COMPUTED_VALUE"""),105)</f>
        <v>105</v>
      </c>
      <c r="C105" t="str">
        <f ca="1">IFERROR(__xludf.DUMMYFUNCTION("""COMPUTED_VALUE"""),"Justin Suh")</f>
        <v>Justin Suh</v>
      </c>
      <c r="D105">
        <f ca="1">IFERROR(__xludf.DUMMYFUNCTION("""COMPUTED_VALUE"""),10)</f>
        <v>10</v>
      </c>
      <c r="E105">
        <f ca="1">IFERROR(__xludf.DUMMYFUNCTION("""COMPUTED_VALUE"""),0.107)</f>
        <v>0.107</v>
      </c>
      <c r="F105">
        <f ca="1">IFERROR(__xludf.DUMMYFUNCTION("""COMPUTED_VALUE"""),0.428)</f>
        <v>0.42799999999999999</v>
      </c>
      <c r="G105">
        <f ca="1">IFERROR(__xludf.DUMMYFUNCTION("""COMPUTED_VALUE"""),4)</f>
        <v>4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IFERROR(__xludf.DUMMYFUNCTION("""COMPUTED_VALUE"""),49)</f>
        <v>49</v>
      </c>
      <c r="C106" t="str">
        <f ca="1">IFERROR(__xludf.DUMMYFUNCTION("""COMPUTED_VALUE"""),"Beau Hossler")</f>
        <v>Beau Hossler</v>
      </c>
      <c r="D106">
        <f ca="1">IFERROR(__xludf.DUMMYFUNCTION("""COMPUTED_VALUE"""),22)</f>
        <v>22</v>
      </c>
      <c r="E106">
        <f ca="1">IFERROR(__xludf.DUMMYFUNCTION("""COMPUTED_VALUE"""),0.106)</f>
        <v>0.106</v>
      </c>
      <c r="F106">
        <f ca="1">IFERROR(__xludf.DUMMYFUNCTION("""COMPUTED_VALUE"""),1.479)</f>
        <v>1.4790000000000001</v>
      </c>
      <c r="G106">
        <f ca="1">IFERROR(__xludf.DUMMYFUNCTION("""COMPUTED_VALUE"""),14)</f>
        <v>14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IFERROR(__xludf.DUMMYFUNCTION("""COMPUTED_VALUE"""),86)</f>
        <v>86</v>
      </c>
      <c r="C107" t="str">
        <f ca="1">IFERROR(__xludf.DUMMYFUNCTION("""COMPUTED_VALUE"""),"Harold Varner III")</f>
        <v>Harold Varner III</v>
      </c>
      <c r="D107">
        <f ca="1">IFERROR(__xludf.DUMMYFUNCTION("""COMPUTED_VALUE"""),14)</f>
        <v>14</v>
      </c>
      <c r="E107">
        <f ca="1">IFERROR(__xludf.DUMMYFUNCTION("""COMPUTED_VALUE"""),0.104)</f>
        <v>0.104</v>
      </c>
      <c r="F107">
        <f ca="1">IFERROR(__xludf.DUMMYFUNCTION("""COMPUTED_VALUE"""),1.247)</f>
        <v>1.2470000000000001</v>
      </c>
      <c r="G107">
        <f ca="1">IFERROR(__xludf.DUMMYFUNCTION("""COMPUTED_VALUE"""),12)</f>
        <v>12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IFERROR(__xludf.DUMMYFUNCTION("""COMPUTED_VALUE"""),93)</f>
        <v>93</v>
      </c>
      <c r="C108" t="str">
        <f ca="1">IFERROR(__xludf.DUMMYFUNCTION("""COMPUTED_VALUE"""),"Cameron Tringale")</f>
        <v>Cameron Tringale</v>
      </c>
      <c r="D108">
        <f ca="1">IFERROR(__xludf.DUMMYFUNCTION("""COMPUTED_VALUE"""),16)</f>
        <v>16</v>
      </c>
      <c r="E108">
        <f ca="1">IFERROR(__xludf.DUMMYFUNCTION("""COMPUTED_VALUE"""),0.102)</f>
        <v>0.10199999999999999</v>
      </c>
      <c r="F108">
        <f ca="1">IFERROR(__xludf.DUMMYFUNCTION("""COMPUTED_VALUE"""),1.425)</f>
        <v>1.425</v>
      </c>
      <c r="G108">
        <f ca="1">IFERROR(__xludf.DUMMYFUNCTION("""COMPUTED_VALUE"""),14)</f>
        <v>14</v>
      </c>
    </row>
    <row r="109" spans="1:7" ht="12.75">
      <c r="A109">
        <f ca="1">IFERROR(__xludf.DUMMYFUNCTION("""COMPUTED_VALUE"""),108)</f>
        <v>108</v>
      </c>
      <c r="B109" t="str">
        <f ca="1">IFERROR(__xludf.DUMMYFUNCTION("""COMPUTED_VALUE"""),"T106")</f>
        <v>T106</v>
      </c>
      <c r="C109" t="str">
        <f ca="1">IFERROR(__xludf.DUMMYFUNCTION("""COMPUTED_VALUE"""),"Jaekyeong Lee")</f>
        <v>Jaekyeong Lee</v>
      </c>
      <c r="D109">
        <f ca="1">IFERROR(__xludf.DUMMYFUNCTION("""COMPUTED_VALUE"""),4)</f>
        <v>4</v>
      </c>
      <c r="E109">
        <f ca="1">IFERROR(__xludf.DUMMYFUNCTION("""COMPUTED_VALUE"""),0.096)</f>
        <v>9.6000000000000002E-2</v>
      </c>
      <c r="F109">
        <f ca="1">IFERROR(__xludf.DUMMYFUNCTION("""COMPUTED_VALUE"""),0.383)</f>
        <v>0.38300000000000001</v>
      </c>
      <c r="G109">
        <f ca="1">IFERROR(__xludf.DUMMYFUNCTION("""COMPUTED_VALUE"""),4)</f>
        <v>4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IFERROR(__xludf.DUMMYFUNCTION("""COMPUTED_VALUE"""),108)</f>
        <v>108</v>
      </c>
      <c r="C110" t="str">
        <f ca="1">IFERROR(__xludf.DUMMYFUNCTION("""COMPUTED_VALUE"""),"Louis Oosthuizen")</f>
        <v>Louis Oosthuizen</v>
      </c>
      <c r="D110">
        <f ca="1">IFERROR(__xludf.DUMMYFUNCTION("""COMPUTED_VALUE"""),12)</f>
        <v>12</v>
      </c>
      <c r="E110">
        <f ca="1">IFERROR(__xludf.DUMMYFUNCTION("""COMPUTED_VALUE"""),0.091)</f>
        <v>9.0999999999999998E-2</v>
      </c>
      <c r="F110">
        <f ca="1">IFERROR(__xludf.DUMMYFUNCTION("""COMPUTED_VALUE"""),1.091)</f>
        <v>1.091</v>
      </c>
      <c r="G110">
        <f ca="1">IFERROR(__xludf.DUMMYFUNCTION("""COMPUTED_VALUE"""),12)</f>
        <v>12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IFERROR(__xludf.DUMMYFUNCTION("""COMPUTED_VALUE"""),109)</f>
        <v>109</v>
      </c>
      <c r="C111" t="str">
        <f ca="1">IFERROR(__xludf.DUMMYFUNCTION("""COMPUTED_VALUE"""),"Robert MacIntyre")</f>
        <v>Robert MacIntyre</v>
      </c>
      <c r="D111">
        <f ca="1">IFERROR(__xludf.DUMMYFUNCTION("""COMPUTED_VALUE"""),4)</f>
        <v>4</v>
      </c>
      <c r="E111">
        <f ca="1">IFERROR(__xludf.DUMMYFUNCTION("""COMPUTED_VALUE"""),0.088)</f>
        <v>8.7999999999999995E-2</v>
      </c>
      <c r="F111">
        <f ca="1">IFERROR(__xludf.DUMMYFUNCTION("""COMPUTED_VALUE"""),0.352)</f>
        <v>0.35199999999999998</v>
      </c>
      <c r="G111">
        <f ca="1">IFERROR(__xludf.DUMMYFUNCTION("""COMPUTED_VALUE"""),4)</f>
        <v>4</v>
      </c>
    </row>
    <row r="112" spans="1:7" ht="12.75">
      <c r="A112">
        <f ca="1">IFERROR(__xludf.DUMMYFUNCTION("""COMPUTED_VALUE"""),111)</f>
        <v>111</v>
      </c>
      <c r="B112">
        <f ca="1">IFERROR(__xludf.DUMMYFUNCTION("""COMPUTED_VALUE"""),110)</f>
        <v>110</v>
      </c>
      <c r="C112" t="str">
        <f ca="1">IFERROR(__xludf.DUMMYFUNCTION("""COMPUTED_VALUE"""),"Rikuya Hoshino")</f>
        <v>Rikuya Hoshino</v>
      </c>
      <c r="D112">
        <f ca="1">IFERROR(__xludf.DUMMYFUNCTION("""COMPUTED_VALUE"""),4)</f>
        <v>4</v>
      </c>
      <c r="E112">
        <f ca="1">IFERROR(__xludf.DUMMYFUNCTION("""COMPUTED_VALUE"""),0.087)</f>
        <v>8.6999999999999994E-2</v>
      </c>
      <c r="F112">
        <f ca="1">IFERROR(__xludf.DUMMYFUNCTION("""COMPUTED_VALUE"""),0.348)</f>
        <v>0.34799999999999998</v>
      </c>
      <c r="G112">
        <f ca="1">IFERROR(__xludf.DUMMYFUNCTION("""COMPUTED_VALUE"""),4)</f>
        <v>4</v>
      </c>
    </row>
    <row r="113" spans="1:7" ht="12.75">
      <c r="A113">
        <f ca="1">IFERROR(__xludf.DUMMYFUNCTION("""COMPUTED_VALUE"""),112)</f>
        <v>112</v>
      </c>
      <c r="B113">
        <f ca="1">IFERROR(__xludf.DUMMYFUNCTION("""COMPUTED_VALUE"""),134)</f>
        <v>134</v>
      </c>
      <c r="C113" t="str">
        <f ca="1">IFERROR(__xludf.DUMMYFUNCTION("""COMPUTED_VALUE"""),"Denny McCarthy")</f>
        <v>Denny McCarthy</v>
      </c>
      <c r="D113">
        <f ca="1">IFERROR(__xludf.DUMMYFUNCTION("""COMPUTED_VALUE"""),22)</f>
        <v>22</v>
      </c>
      <c r="E113">
        <f ca="1">IFERROR(__xludf.DUMMYFUNCTION("""COMPUTED_VALUE"""),0.084)</f>
        <v>8.4000000000000005E-2</v>
      </c>
      <c r="F113">
        <f ca="1">IFERROR(__xludf.DUMMYFUNCTION("""COMPUTED_VALUE"""),1.176)</f>
        <v>1.1759999999999999</v>
      </c>
      <c r="G113">
        <f ca="1">IFERROR(__xludf.DUMMYFUNCTION("""COMPUTED_VALUE"""),14)</f>
        <v>14</v>
      </c>
    </row>
    <row r="114" spans="1:7" ht="12.75">
      <c r="A114" t="str">
        <f ca="1">IFERROR(__xludf.DUMMYFUNCTION("""COMPUTED_VALUE"""),"T113")</f>
        <v>T113</v>
      </c>
      <c r="B114">
        <f ca="1">IFERROR(__xludf.DUMMYFUNCTION("""COMPUTED_VALUE"""),111)</f>
        <v>111</v>
      </c>
      <c r="C114" t="str">
        <f ca="1">IFERROR(__xludf.DUMMYFUNCTION("""COMPUTED_VALUE"""),"Matt Wallace")</f>
        <v>Matt Wallace</v>
      </c>
      <c r="D114">
        <f ca="1">IFERROR(__xludf.DUMMYFUNCTION("""COMPUTED_VALUE"""),4)</f>
        <v>4</v>
      </c>
      <c r="E114">
        <f ca="1">IFERROR(__xludf.DUMMYFUNCTION("""COMPUTED_VALUE"""),0.082)</f>
        <v>8.2000000000000003E-2</v>
      </c>
      <c r="F114">
        <f ca="1">IFERROR(__xludf.DUMMYFUNCTION("""COMPUTED_VALUE"""),0.326)</f>
        <v>0.32600000000000001</v>
      </c>
      <c r="G114">
        <f ca="1">IFERROR(__xludf.DUMMYFUNCTION("""COMPUTED_VALUE"""),4)</f>
        <v>4</v>
      </c>
    </row>
    <row r="115" spans="1:7" ht="12.75">
      <c r="A115" t="str">
        <f ca="1">IFERROR(__xludf.DUMMYFUNCTION("""COMPUTED_VALUE"""),"T113")</f>
        <v>T113</v>
      </c>
      <c r="B115">
        <f ca="1">IFERROR(__xludf.DUMMYFUNCTION("""COMPUTED_VALUE"""),87)</f>
        <v>87</v>
      </c>
      <c r="C115" t="str">
        <f ca="1">IFERROR(__xludf.DUMMYFUNCTION("""COMPUTED_VALUE"""),"Danny Lee")</f>
        <v>Danny Lee</v>
      </c>
      <c r="D115">
        <f ca="1">IFERROR(__xludf.DUMMYFUNCTION("""COMPUTED_VALUE"""),15)</f>
        <v>15</v>
      </c>
      <c r="E115">
        <f ca="1">IFERROR(__xludf.DUMMYFUNCTION("""COMPUTED_VALUE"""),0.082)</f>
        <v>8.2000000000000003E-2</v>
      </c>
      <c r="F115">
        <f ca="1">IFERROR(__xludf.DUMMYFUNCTION("""COMPUTED_VALUE"""),1.232)</f>
        <v>1.232</v>
      </c>
      <c r="G115">
        <f ca="1">IFERROR(__xludf.DUMMYFUNCTION("""COMPUTED_VALUE"""),15)</f>
        <v>15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IFERROR(__xludf.DUMMYFUNCTION("""COMPUTED_VALUE"""),236)</f>
        <v>236</v>
      </c>
      <c r="C116" t="str">
        <f ca="1">IFERROR(__xludf.DUMMYFUNCTION("""COMPUTED_VALUE"""),"Brooks Koepka")</f>
        <v>Brooks Koepka</v>
      </c>
      <c r="D116">
        <f ca="1">IFERROR(__xludf.DUMMYFUNCTION("""COMPUTED_VALUE"""),8)</f>
        <v>8</v>
      </c>
      <c r="E116">
        <f ca="1">IFERROR(__xludf.DUMMYFUNCTION("""COMPUTED_VALUE"""),0.078)</f>
        <v>7.8E-2</v>
      </c>
      <c r="F116">
        <f ca="1">IFERROR(__xludf.DUMMYFUNCTION("""COMPUTED_VALUE"""),0.627)</f>
        <v>0.627</v>
      </c>
      <c r="G116">
        <f ca="1">IFERROR(__xludf.DUMMYFUNCTION("""COMPUTED_VALUE"""),8)</f>
        <v>8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IFERROR(__xludf.DUMMYFUNCTION("""COMPUTED_VALUE"""),160)</f>
        <v>160</v>
      </c>
      <c r="C117" t="str">
        <f ca="1">IFERROR(__xludf.DUMMYFUNCTION("""COMPUTED_VALUE"""),"Aaron Wise")</f>
        <v>Aaron Wise</v>
      </c>
      <c r="D117">
        <f ca="1">IFERROR(__xludf.DUMMYFUNCTION("""COMPUTED_VALUE"""),16)</f>
        <v>16</v>
      </c>
      <c r="E117">
        <f ca="1">IFERROR(__xludf.DUMMYFUNCTION("""COMPUTED_VALUE"""),0.076)</f>
        <v>7.5999999999999998E-2</v>
      </c>
      <c r="F117">
        <f ca="1">IFERROR(__xludf.DUMMYFUNCTION("""COMPUTED_VALUE"""),0.915)</f>
        <v>0.91500000000000004</v>
      </c>
      <c r="G117">
        <f ca="1">IFERROR(__xludf.DUMMYFUNCTION("""COMPUTED_VALUE"""),12)</f>
        <v>12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IFERROR(__xludf.DUMMYFUNCTION("""COMPUTED_VALUE"""),114)</f>
        <v>114</v>
      </c>
      <c r="C118" t="str">
        <f ca="1">IFERROR(__xludf.DUMMYFUNCTION("""COMPUTED_VALUE"""),"Naoki Sekito")</f>
        <v>Naoki Sekito</v>
      </c>
      <c r="D118">
        <f ca="1">IFERROR(__xludf.DUMMYFUNCTION("""COMPUTED_VALUE"""),4)</f>
        <v>4</v>
      </c>
      <c r="E118">
        <f ca="1">IFERROR(__xludf.DUMMYFUNCTION("""COMPUTED_VALUE"""),0.073)</f>
        <v>7.2999999999999995E-2</v>
      </c>
      <c r="F118">
        <f ca="1">IFERROR(__xludf.DUMMYFUNCTION("""COMPUTED_VALUE"""),0.291)</f>
        <v>0.29099999999999998</v>
      </c>
      <c r="G118">
        <f ca="1">IFERROR(__xludf.DUMMYFUNCTION("""COMPUTED_VALUE"""),4)</f>
        <v>4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IFERROR(__xludf.DUMMYFUNCTION("""COMPUTED_VALUE"""),122)</f>
        <v>122</v>
      </c>
      <c r="C119" t="str">
        <f ca="1">IFERROR(__xludf.DUMMYFUNCTION("""COMPUTED_VALUE"""),"Kevin Tway")</f>
        <v>Kevin Tway</v>
      </c>
      <c r="D119">
        <f ca="1">IFERROR(__xludf.DUMMYFUNCTION("""COMPUTED_VALUE"""),16)</f>
        <v>16</v>
      </c>
      <c r="E119">
        <f ca="1">IFERROR(__xludf.DUMMYFUNCTION("""COMPUTED_VALUE"""),0.066)</f>
        <v>6.6000000000000003E-2</v>
      </c>
      <c r="F119">
        <f ca="1">IFERROR(__xludf.DUMMYFUNCTION("""COMPUTED_VALUE"""),0.532)</f>
        <v>0.53200000000000003</v>
      </c>
      <c r="G119">
        <f ca="1">IFERROR(__xludf.DUMMYFUNCTION("""COMPUTED_VALUE"""),8)</f>
        <v>8</v>
      </c>
    </row>
    <row r="120" spans="1:7" ht="12.75">
      <c r="A120">
        <f ca="1">IFERROR(__xludf.DUMMYFUNCTION("""COMPUTED_VALUE"""),119)</f>
        <v>119</v>
      </c>
      <c r="B120">
        <f ca="1">IFERROR(__xludf.DUMMYFUNCTION("""COMPUTED_VALUE"""),115)</f>
        <v>115</v>
      </c>
      <c r="C120" t="str">
        <f ca="1">IFERROR(__xludf.DUMMYFUNCTION("""COMPUTED_VALUE"""),"Doug Ghim")</f>
        <v>Doug Ghim</v>
      </c>
      <c r="D120">
        <f ca="1">IFERROR(__xludf.DUMMYFUNCTION("""COMPUTED_VALUE"""),14)</f>
        <v>14</v>
      </c>
      <c r="E120">
        <f ca="1">IFERROR(__xludf.DUMMYFUNCTION("""COMPUTED_VALUE"""),0.064)</f>
        <v>6.4000000000000001E-2</v>
      </c>
      <c r="F120">
        <f ca="1">IFERROR(__xludf.DUMMYFUNCTION("""COMPUTED_VALUE"""),0.513)</f>
        <v>0.51300000000000001</v>
      </c>
      <c r="G120">
        <f ca="1">IFERROR(__xludf.DUMMYFUNCTION("""COMPUTED_VALUE"""),8)</f>
        <v>8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IFERROR(__xludf.DUMMYFUNCTION("""COMPUTED_VALUE"""),94)</f>
        <v>94</v>
      </c>
      <c r="C121" t="str">
        <f ca="1">IFERROR(__xludf.DUMMYFUNCTION("""COMPUTED_VALUE"""),"Brian Harman")</f>
        <v>Brian Harman</v>
      </c>
      <c r="D121">
        <f ca="1">IFERROR(__xludf.DUMMYFUNCTION("""COMPUTED_VALUE"""),24)</f>
        <v>24</v>
      </c>
      <c r="E121">
        <f ca="1">IFERROR(__xludf.DUMMYFUNCTION("""COMPUTED_VALUE"""),0.053)</f>
        <v>5.2999999999999999E-2</v>
      </c>
      <c r="F121">
        <f ca="1">IFERROR(__xludf.DUMMYFUNCTION("""COMPUTED_VALUE"""),1.273)</f>
        <v>1.2729999999999999</v>
      </c>
      <c r="G121">
        <f ca="1">IFERROR(__xludf.DUMMYFUNCTION("""COMPUTED_VALUE"""),24)</f>
        <v>24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IFERROR(__xludf.DUMMYFUNCTION("""COMPUTED_VALUE"""),"T106")</f>
        <v>T106</v>
      </c>
      <c r="C122" t="str">
        <f ca="1">IFERROR(__xludf.DUMMYFUNCTION("""COMPUTED_VALUE"""),"Camilo Villegas")</f>
        <v>Camilo Villegas</v>
      </c>
      <c r="D122">
        <f ca="1">IFERROR(__xludf.DUMMYFUNCTION("""COMPUTED_VALUE"""),14)</f>
        <v>14</v>
      </c>
      <c r="E122">
        <f ca="1">IFERROR(__xludf.DUMMYFUNCTION("""COMPUTED_VALUE"""),0.051)</f>
        <v>5.0999999999999997E-2</v>
      </c>
      <c r="F122">
        <f ca="1">IFERROR(__xludf.DUMMYFUNCTION("""COMPUTED_VALUE"""),0.509)</f>
        <v>0.50900000000000001</v>
      </c>
      <c r="G122">
        <f ca="1">IFERROR(__xludf.DUMMYFUNCTION("""COMPUTED_VALUE"""),10)</f>
        <v>10</v>
      </c>
    </row>
    <row r="123" spans="1:7" ht="12.75">
      <c r="A123">
        <f ca="1">IFERROR(__xludf.DUMMYFUNCTION("""COMPUTED_VALUE"""),122)</f>
        <v>122</v>
      </c>
      <c r="B123" t="str">
        <f ca="1">IFERROR(__xludf.DUMMYFUNCTION("""COMPUTED_VALUE"""),"T112")</f>
        <v>T112</v>
      </c>
      <c r="C123" t="str">
        <f ca="1">IFERROR(__xludf.DUMMYFUNCTION("""COMPUTED_VALUE"""),"Russell Knox")</f>
        <v>Russell Knox</v>
      </c>
      <c r="D123">
        <f ca="1">IFERROR(__xludf.DUMMYFUNCTION("""COMPUTED_VALUE"""),16)</f>
        <v>16</v>
      </c>
      <c r="E123">
        <f ca="1">IFERROR(__xludf.DUMMYFUNCTION("""COMPUTED_VALUE"""),0.05)</f>
        <v>0.05</v>
      </c>
      <c r="F123">
        <f ca="1">IFERROR(__xludf.DUMMYFUNCTION("""COMPUTED_VALUE"""),0.606)</f>
        <v>0.60599999999999998</v>
      </c>
      <c r="G123">
        <f ca="1">IFERROR(__xludf.DUMMYFUNCTION("""COMPUTED_VALUE"""),12)</f>
        <v>12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IFERROR(__xludf.DUMMYFUNCTION("""COMPUTED_VALUE"""),118)</f>
        <v>118</v>
      </c>
      <c r="C124" t="str">
        <f ca="1">IFERROR(__xludf.DUMMYFUNCTION("""COMPUTED_VALUE"""),"Kevin Na")</f>
        <v>Kevin Na</v>
      </c>
      <c r="D124">
        <f ca="1">IFERROR(__xludf.DUMMYFUNCTION("""COMPUTED_VALUE"""),14)</f>
        <v>14</v>
      </c>
      <c r="E124">
        <f ca="1">IFERROR(__xludf.DUMMYFUNCTION("""COMPUTED_VALUE"""),0.044)</f>
        <v>4.3999999999999997E-2</v>
      </c>
      <c r="F124">
        <f ca="1">IFERROR(__xludf.DUMMYFUNCTION("""COMPUTED_VALUE"""),0.614)</f>
        <v>0.61399999999999999</v>
      </c>
      <c r="G124">
        <f ca="1">IFERROR(__xludf.DUMMYFUNCTION("""COMPUTED_VALUE"""),14)</f>
        <v>14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IFERROR(__xludf.DUMMYFUNCTION("""COMPUTED_VALUE"""),119)</f>
        <v>119</v>
      </c>
      <c r="C125" t="str">
        <f ca="1">IFERROR(__xludf.DUMMYFUNCTION("""COMPUTED_VALUE"""),"Robert Streb")</f>
        <v>Robert Streb</v>
      </c>
      <c r="D125">
        <f ca="1">IFERROR(__xludf.DUMMYFUNCTION("""COMPUTED_VALUE"""),12)</f>
        <v>12</v>
      </c>
      <c r="E125">
        <f ca="1">IFERROR(__xludf.DUMMYFUNCTION("""COMPUTED_VALUE"""),0.042)</f>
        <v>4.2000000000000003E-2</v>
      </c>
      <c r="F125">
        <f ca="1">IFERROR(__xludf.DUMMYFUNCTION("""COMPUTED_VALUE"""),0.169)</f>
        <v>0.16900000000000001</v>
      </c>
      <c r="G125">
        <f ca="1">IFERROR(__xludf.DUMMYFUNCTION("""COMPUTED_VALUE"""),4)</f>
        <v>4</v>
      </c>
    </row>
    <row r="126" spans="1:7" ht="12.75">
      <c r="A126" t="str">
        <f ca="1">IFERROR(__xludf.DUMMYFUNCTION("""COMPUTED_VALUE"""),"T125")</f>
        <v>T125</v>
      </c>
      <c r="B126">
        <f ca="1">IFERROR(__xludf.DUMMYFUNCTION("""COMPUTED_VALUE"""),120)</f>
        <v>120</v>
      </c>
      <c r="C126" t="str">
        <f ca="1">IFERROR(__xludf.DUMMYFUNCTION("""COMPUTED_VALUE"""),"Charles Howell III")</f>
        <v>Charles Howell III</v>
      </c>
      <c r="D126">
        <f ca="1">IFERROR(__xludf.DUMMYFUNCTION("""COMPUTED_VALUE"""),10)</f>
        <v>10</v>
      </c>
      <c r="E126">
        <f ca="1">IFERROR(__xludf.DUMMYFUNCTION("""COMPUTED_VALUE"""),0.041)</f>
        <v>4.1000000000000002E-2</v>
      </c>
      <c r="F126">
        <f ca="1">IFERROR(__xludf.DUMMYFUNCTION("""COMPUTED_VALUE"""),0.33)</f>
        <v>0.33</v>
      </c>
      <c r="G126">
        <f ca="1">IFERROR(__xludf.DUMMYFUNCTION("""COMPUTED_VALUE"""),8)</f>
        <v>8</v>
      </c>
    </row>
    <row r="127" spans="1:7" ht="12.75">
      <c r="A127" t="str">
        <f ca="1">IFERROR(__xludf.DUMMYFUNCTION("""COMPUTED_VALUE"""),"T125")</f>
        <v>T125</v>
      </c>
      <c r="B127">
        <f ca="1">IFERROR(__xludf.DUMMYFUNCTION("""COMPUTED_VALUE"""),142)</f>
        <v>142</v>
      </c>
      <c r="C127" t="str">
        <f ca="1">IFERROR(__xludf.DUMMYFUNCTION("""COMPUTED_VALUE"""),"Xinjun Zhang")</f>
        <v>Xinjun Zhang</v>
      </c>
      <c r="D127">
        <f ca="1">IFERROR(__xludf.DUMMYFUNCTION("""COMPUTED_VALUE"""),14)</f>
        <v>14</v>
      </c>
      <c r="E127">
        <f ca="1">IFERROR(__xludf.DUMMYFUNCTION("""COMPUTED_VALUE"""),0.041)</f>
        <v>4.1000000000000002E-2</v>
      </c>
      <c r="F127">
        <f ca="1">IFERROR(__xludf.DUMMYFUNCTION("""COMPUTED_VALUE"""),0.407)</f>
        <v>0.40699999999999997</v>
      </c>
      <c r="G127">
        <f ca="1">IFERROR(__xludf.DUMMYFUNCTION("""COMPUTED_VALUE"""),10)</f>
        <v>10</v>
      </c>
    </row>
    <row r="128" spans="1:7" ht="12.75">
      <c r="A128">
        <f ca="1">IFERROR(__xludf.DUMMYFUNCTION("""COMPUTED_VALUE"""),127)</f>
        <v>127</v>
      </c>
      <c r="B128">
        <f ca="1">IFERROR(__xludf.DUMMYFUNCTION("""COMPUTED_VALUE"""),103)</f>
        <v>103</v>
      </c>
      <c r="C128" t="str">
        <f ca="1">IFERROR(__xludf.DUMMYFUNCTION("""COMPUTED_VALUE"""),"John Huh")</f>
        <v>John Huh</v>
      </c>
      <c r="D128">
        <f ca="1">IFERROR(__xludf.DUMMYFUNCTION("""COMPUTED_VALUE"""),8)</f>
        <v>8</v>
      </c>
      <c r="E128">
        <f ca="1">IFERROR(__xludf.DUMMYFUNCTION("""COMPUTED_VALUE"""),0.04)</f>
        <v>0.04</v>
      </c>
      <c r="F128">
        <f ca="1">IFERROR(__xludf.DUMMYFUNCTION("""COMPUTED_VALUE"""),0.317)</f>
        <v>0.317</v>
      </c>
      <c r="G128">
        <f ca="1">IFERROR(__xludf.DUMMYFUNCTION("""COMPUTED_VALUE"""),8)</f>
        <v>8</v>
      </c>
    </row>
    <row r="129" spans="1:7" ht="12.75">
      <c r="A129">
        <f ca="1">IFERROR(__xludf.DUMMYFUNCTION("""COMPUTED_VALUE"""),128)</f>
        <v>128</v>
      </c>
      <c r="B129">
        <f ca="1">IFERROR(__xludf.DUMMYFUNCTION("""COMPUTED_VALUE"""),121)</f>
        <v>121</v>
      </c>
      <c r="C129" t="str">
        <f ca="1">IFERROR(__xludf.DUMMYFUNCTION("""COMPUTED_VALUE"""),"D.J. Trahan")</f>
        <v>D.J. Trahan</v>
      </c>
      <c r="D129">
        <f ca="1">IFERROR(__xludf.DUMMYFUNCTION("""COMPUTED_VALUE"""),16)</f>
        <v>16</v>
      </c>
      <c r="E129">
        <f ca="1">IFERROR(__xludf.DUMMYFUNCTION("""COMPUTED_VALUE"""),0.038)</f>
        <v>3.7999999999999999E-2</v>
      </c>
      <c r="F129">
        <f ca="1">IFERROR(__xludf.DUMMYFUNCTION("""COMPUTED_VALUE"""),0.303)</f>
        <v>0.30299999999999999</v>
      </c>
      <c r="G129">
        <f ca="1">IFERROR(__xludf.DUMMYFUNCTION("""COMPUTED_VALUE"""),8)</f>
        <v>8</v>
      </c>
    </row>
    <row r="130" spans="1:7" ht="12.75">
      <c r="A130" t="str">
        <f ca="1">IFERROR(__xludf.DUMMYFUNCTION("""COMPUTED_VALUE"""),"T129")</f>
        <v>T129</v>
      </c>
      <c r="B130" t="str">
        <f ca="1">IFERROR(__xludf.DUMMYFUNCTION("""COMPUTED_VALUE"""),"T124")</f>
        <v>T124</v>
      </c>
      <c r="C130" t="str">
        <f ca="1">IFERROR(__xludf.DUMMYFUNCTION("""COMPUTED_VALUE"""),"Romain Langasque")</f>
        <v>Romain Langasque</v>
      </c>
      <c r="D130">
        <f ca="1">IFERROR(__xludf.DUMMYFUNCTION("""COMPUTED_VALUE"""),4)</f>
        <v>4</v>
      </c>
      <c r="E130">
        <f ca="1">IFERROR(__xludf.DUMMYFUNCTION("""COMPUTED_VALUE"""),0.034)</f>
        <v>3.4000000000000002E-2</v>
      </c>
      <c r="F130">
        <f ca="1">IFERROR(__xludf.DUMMYFUNCTION("""COMPUTED_VALUE"""),0.135)</f>
        <v>0.13500000000000001</v>
      </c>
      <c r="G130">
        <f ca="1">IFERROR(__xludf.DUMMYFUNCTION("""COMPUTED_VALUE"""),4)</f>
        <v>4</v>
      </c>
    </row>
    <row r="131" spans="1:7" ht="12.75">
      <c r="A131" t="str">
        <f ca="1">IFERROR(__xludf.DUMMYFUNCTION("""COMPUTED_VALUE"""),"T129")</f>
        <v>T129</v>
      </c>
      <c r="B131" t="str">
        <f ca="1">IFERROR(__xludf.DUMMYFUNCTION("""COMPUTED_VALUE"""),"T124")</f>
        <v>T124</v>
      </c>
      <c r="C131" t="str">
        <f ca="1">IFERROR(__xludf.DUMMYFUNCTION("""COMPUTED_VALUE"""),"Collin Morikawa")</f>
        <v>Collin Morikawa</v>
      </c>
      <c r="D131">
        <f ca="1">IFERROR(__xludf.DUMMYFUNCTION("""COMPUTED_VALUE"""),12)</f>
        <v>12</v>
      </c>
      <c r="E131">
        <f ca="1">IFERROR(__xludf.DUMMYFUNCTION("""COMPUTED_VALUE"""),0.034)</f>
        <v>3.4000000000000002E-2</v>
      </c>
      <c r="F131">
        <f ca="1">IFERROR(__xludf.DUMMYFUNCTION("""COMPUTED_VALUE"""),0.414)</f>
        <v>0.41399999999999998</v>
      </c>
      <c r="G131">
        <f ca="1">IFERROR(__xludf.DUMMYFUNCTION("""COMPUTED_VALUE"""),12)</f>
        <v>12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IFERROR(__xludf.DUMMYFUNCTION("""COMPUTED_VALUE"""),104)</f>
        <v>104</v>
      </c>
      <c r="C132" t="str">
        <f ca="1">IFERROR(__xludf.DUMMYFUNCTION("""COMPUTED_VALUE"""),"Adam Long")</f>
        <v>Adam Long</v>
      </c>
      <c r="D132">
        <f ca="1">IFERROR(__xludf.DUMMYFUNCTION("""COMPUTED_VALUE"""),22)</f>
        <v>22</v>
      </c>
      <c r="E132">
        <f ca="1">IFERROR(__xludf.DUMMYFUNCTION("""COMPUTED_VALUE"""),0.033)</f>
        <v>3.3000000000000002E-2</v>
      </c>
      <c r="F132">
        <f ca="1">IFERROR(__xludf.DUMMYFUNCTION("""COMPUTED_VALUE"""),0.593)</f>
        <v>0.59299999999999997</v>
      </c>
      <c r="G132">
        <f ca="1">IFERROR(__xludf.DUMMYFUNCTION("""COMPUTED_VALUE"""),18)</f>
        <v>18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IFERROR(__xludf.DUMMYFUNCTION("""COMPUTED_VALUE"""),145)</f>
        <v>145</v>
      </c>
      <c r="C133" t="str">
        <f ca="1">IFERROR(__xludf.DUMMYFUNCTION("""COMPUTED_VALUE"""),"Danny Willett")</f>
        <v>Danny Willett</v>
      </c>
      <c r="D133">
        <f ca="1">IFERROR(__xludf.DUMMYFUNCTION("""COMPUTED_VALUE"""),7)</f>
        <v>7</v>
      </c>
      <c r="E133">
        <f ca="1">IFERROR(__xludf.DUMMYFUNCTION("""COMPUTED_VALUE"""),0.027)</f>
        <v>2.7E-2</v>
      </c>
      <c r="F133">
        <f ca="1">IFERROR(__xludf.DUMMYFUNCTION("""COMPUTED_VALUE"""),0.081)</f>
        <v>8.1000000000000003E-2</v>
      </c>
      <c r="G133">
        <f ca="1">IFERROR(__xludf.DUMMYFUNCTION("""COMPUTED_VALUE"""),3)</f>
        <v>3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IFERROR(__xludf.DUMMYFUNCTION("""COMPUTED_VALUE"""),135)</f>
        <v>135</v>
      </c>
      <c r="C134" t="str">
        <f ca="1">IFERROR(__xludf.DUMMYFUNCTION("""COMPUTED_VALUE"""),"Sean O'Hair")</f>
        <v>Sean O'Hair</v>
      </c>
      <c r="D134">
        <f ca="1">IFERROR(__xludf.DUMMYFUNCTION("""COMPUTED_VALUE"""),14)</f>
        <v>14</v>
      </c>
      <c r="E134">
        <f ca="1">IFERROR(__xludf.DUMMYFUNCTION("""COMPUTED_VALUE"""),0.019)</f>
        <v>1.9E-2</v>
      </c>
      <c r="F134">
        <f ca="1">IFERROR(__xludf.DUMMYFUNCTION("""COMPUTED_VALUE"""),0.192)</f>
        <v>0.192</v>
      </c>
      <c r="G134">
        <f ca="1">IFERROR(__xludf.DUMMYFUNCTION("""COMPUTED_VALUE"""),10)</f>
        <v>10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IFERROR(__xludf.DUMMYFUNCTION("""COMPUTED_VALUE"""),"T127")</f>
        <v>T127</v>
      </c>
      <c r="C135" t="str">
        <f ca="1">IFERROR(__xludf.DUMMYFUNCTION("""COMPUTED_VALUE"""),"William McGirt")</f>
        <v>William McGirt</v>
      </c>
      <c r="D135">
        <f ca="1">IFERROR(__xludf.DUMMYFUNCTION("""COMPUTED_VALUE"""),6)</f>
        <v>6</v>
      </c>
      <c r="E135">
        <f ca="1">IFERROR(__xludf.DUMMYFUNCTION("""COMPUTED_VALUE"""),0.016)</f>
        <v>1.6E-2</v>
      </c>
      <c r="F135">
        <f ca="1">IFERROR(__xludf.DUMMYFUNCTION("""COMPUTED_VALUE"""),0.095)</f>
        <v>9.5000000000000001E-2</v>
      </c>
      <c r="G135">
        <f ca="1">IFERROR(__xludf.DUMMYFUNCTION("""COMPUTED_VALUE"""),6)</f>
        <v>6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IFERROR(__xludf.DUMMYFUNCTION("""COMPUTED_VALUE"""),"T127")</f>
        <v>T127</v>
      </c>
      <c r="C136" t="str">
        <f ca="1">IFERROR(__xludf.DUMMYFUNCTION("""COMPUTED_VALUE"""),"Matthias Schwab")</f>
        <v>Matthias Schwab</v>
      </c>
      <c r="D136">
        <f ca="1">IFERROR(__xludf.DUMMYFUNCTION("""COMPUTED_VALUE"""),8)</f>
        <v>8</v>
      </c>
      <c r="E136">
        <f ca="1">IFERROR(__xludf.DUMMYFUNCTION("""COMPUTED_VALUE"""),0.016)</f>
        <v>1.6E-2</v>
      </c>
      <c r="F136">
        <f ca="1">IFERROR(__xludf.DUMMYFUNCTION("""COMPUTED_VALUE"""),0.064)</f>
        <v>6.4000000000000001E-2</v>
      </c>
      <c r="G136">
        <f ca="1">IFERROR(__xludf.DUMMYFUNCTION("""COMPUTED_VALUE"""),4)</f>
        <v>4</v>
      </c>
    </row>
    <row r="137" spans="1:7" ht="12.75">
      <c r="A137">
        <f ca="1">IFERROR(__xludf.DUMMYFUNCTION("""COMPUTED_VALUE"""),136)</f>
        <v>136</v>
      </c>
      <c r="B137">
        <f ca="1">IFERROR(__xludf.DUMMYFUNCTION("""COMPUTED_VALUE"""),130)</f>
        <v>130</v>
      </c>
      <c r="C137" t="str">
        <f ca="1">IFERROR(__xludf.DUMMYFUNCTION("""COMPUTED_VALUE"""),"Kyle Stanley")</f>
        <v>Kyle Stanley</v>
      </c>
      <c r="D137">
        <f ca="1">IFERROR(__xludf.DUMMYFUNCTION("""COMPUTED_VALUE"""),16)</f>
        <v>16</v>
      </c>
      <c r="E137">
        <f ca="1">IFERROR(__xludf.DUMMYFUNCTION("""COMPUTED_VALUE"""),0.013)</f>
        <v>1.2999999999999999E-2</v>
      </c>
      <c r="F137">
        <f ca="1">IFERROR(__xludf.DUMMYFUNCTION("""COMPUTED_VALUE"""),0.103)</f>
        <v>0.10299999999999999</v>
      </c>
      <c r="G137">
        <f ca="1">IFERROR(__xludf.DUMMYFUNCTION("""COMPUTED_VALUE"""),8)</f>
        <v>8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IFERROR(__xludf.DUMMYFUNCTION("""COMPUTED_VALUE"""),117)</f>
        <v>117</v>
      </c>
      <c r="C138" t="str">
        <f ca="1">IFERROR(__xludf.DUMMYFUNCTION("""COMPUTED_VALUE"""),"Scott Harrington")</f>
        <v>Scott Harrington</v>
      </c>
      <c r="D138">
        <f ca="1">IFERROR(__xludf.DUMMYFUNCTION("""COMPUTED_VALUE"""),18)</f>
        <v>18</v>
      </c>
      <c r="E138">
        <f ca="1">IFERROR(__xludf.DUMMYFUNCTION("""COMPUTED_VALUE"""),0.008)</f>
        <v>8.0000000000000002E-3</v>
      </c>
      <c r="F138">
        <f ca="1">IFERROR(__xludf.DUMMYFUNCTION("""COMPUTED_VALUE"""),0.095)</f>
        <v>9.5000000000000001E-2</v>
      </c>
      <c r="G138">
        <f ca="1">IFERROR(__xludf.DUMMYFUNCTION("""COMPUTED_VALUE"""),12)</f>
        <v>12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IFERROR(__xludf.DUMMYFUNCTION("""COMPUTED_VALUE"""),129)</f>
        <v>129</v>
      </c>
      <c r="C139" t="str">
        <f ca="1">IFERROR(__xludf.DUMMYFUNCTION("""COMPUTED_VALUE"""),"Rory Sabbatini")</f>
        <v>Rory Sabbatini</v>
      </c>
      <c r="D139">
        <f ca="1">IFERROR(__xludf.DUMMYFUNCTION("""COMPUTED_VALUE"""),13)</f>
        <v>13</v>
      </c>
      <c r="E139">
        <f ca="1">IFERROR(__xludf.DUMMYFUNCTION("""COMPUTED_VALUE"""),0.007)</f>
        <v>7.0000000000000001E-3</v>
      </c>
      <c r="F139">
        <f ca="1">IFERROR(__xludf.DUMMYFUNCTION("""COMPUTED_VALUE"""),0.091)</f>
        <v>9.0999999999999998E-2</v>
      </c>
      <c r="G139">
        <f ca="1">IFERROR(__xludf.DUMMYFUNCTION("""COMPUTED_VALUE"""),13)</f>
        <v>13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IFERROR(__xludf.DUMMYFUNCTION("""COMPUTED_VALUE"""),131)</f>
        <v>131</v>
      </c>
      <c r="C140" t="str">
        <f ca="1">IFERROR(__xludf.DUMMYFUNCTION("""COMPUTED_VALUE"""),"Byeong Hun An")</f>
        <v>Byeong Hun An</v>
      </c>
      <c r="D140">
        <f ca="1">IFERROR(__xludf.DUMMYFUNCTION("""COMPUTED_VALUE"""),14)</f>
        <v>14</v>
      </c>
      <c r="E140">
        <f ca="1">IFERROR(__xludf.DUMMYFUNCTION("""COMPUTED_VALUE"""),0.006)</f>
        <v>6.0000000000000001E-3</v>
      </c>
      <c r="F140">
        <f ca="1">IFERROR(__xludf.DUMMYFUNCTION("""COMPUTED_VALUE"""),0.088)</f>
        <v>8.7999999999999995E-2</v>
      </c>
      <c r="G140">
        <f ca="1">IFERROR(__xludf.DUMMYFUNCTION("""COMPUTED_VALUE"""),14)</f>
        <v>14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IFERROR(__xludf.DUMMYFUNCTION("""COMPUTED_VALUE"""),132)</f>
        <v>132</v>
      </c>
      <c r="C141" t="str">
        <f ca="1">IFERROR(__xludf.DUMMYFUNCTION("""COMPUTED_VALUE"""),"Kiradech Aphibarnrat")</f>
        <v>Kiradech Aphibarnrat</v>
      </c>
      <c r="D141">
        <f ca="1">IFERROR(__xludf.DUMMYFUNCTION("""COMPUTED_VALUE"""),12)</f>
        <v>12</v>
      </c>
      <c r="E141">
        <f ca="1">IFERROR(__xludf.DUMMYFUNCTION("""COMPUTED_VALUE"""),0.004)</f>
        <v>4.0000000000000001E-3</v>
      </c>
      <c r="F141">
        <f ca="1">IFERROR(__xludf.DUMMYFUNCTION("""COMPUTED_VALUE"""),0.014)</f>
        <v>1.4E-2</v>
      </c>
      <c r="G141">
        <f ca="1">IFERROR(__xludf.DUMMYFUNCTION("""COMPUTED_VALUE"""),4)</f>
        <v>4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IFERROR(__xludf.DUMMYFUNCTION("""COMPUTED_VALUE"""),133)</f>
        <v>133</v>
      </c>
      <c r="C142" t="str">
        <f ca="1">IFERROR(__xludf.DUMMYFUNCTION("""COMPUTED_VALUE"""),"Chesson Hadley")</f>
        <v>Chesson Hadley</v>
      </c>
      <c r="D142">
        <f ca="1">IFERROR(__xludf.DUMMYFUNCTION("""COMPUTED_VALUE"""),16)</f>
        <v>16</v>
      </c>
      <c r="E142">
        <f ca="1">IFERROR(__xludf.DUMMYFUNCTION("""COMPUTED_VALUE"""),0.002)</f>
        <v>2E-3</v>
      </c>
      <c r="F142">
        <f ca="1">IFERROR(__xludf.DUMMYFUNCTION("""COMPUTED_VALUE"""),0.023)</f>
        <v>2.3E-2</v>
      </c>
      <c r="G142">
        <f ca="1">IFERROR(__xludf.DUMMYFUNCTION("""COMPUTED_VALUE"""),12)</f>
        <v>12</v>
      </c>
    </row>
    <row r="143" spans="1:7" ht="12.75">
      <c r="A143" t="str">
        <f ca="1">IFERROR(__xludf.DUMMYFUNCTION("""COMPUTED_VALUE"""),"T142")</f>
        <v>T142</v>
      </c>
      <c r="B143" t="str">
        <f ca="1">IFERROR(__xludf.DUMMYFUNCTION("""COMPUTED_VALUE"""),"T136")</f>
        <v>T136</v>
      </c>
      <c r="C143" t="str">
        <f ca="1">IFERROR(__xludf.DUMMYFUNCTION("""COMPUTED_VALUE"""),"Adam Hadwin")</f>
        <v>Adam Hadwin</v>
      </c>
      <c r="D143">
        <f ca="1">IFERROR(__xludf.DUMMYFUNCTION("""COMPUTED_VALUE"""),16)</f>
        <v>16</v>
      </c>
      <c r="E143">
        <f ca="1">IFERROR(__xludf.DUMMYFUNCTION("""COMPUTED_VALUE"""),-0.011)</f>
        <v>-1.0999999999999999E-2</v>
      </c>
      <c r="F143">
        <f ca="1">IFERROR(__xludf.DUMMYFUNCTION("""COMPUTED_VALUE"""),-0.172)</f>
        <v>-0.17199999999999999</v>
      </c>
      <c r="G143">
        <f ca="1">IFERROR(__xludf.DUMMYFUNCTION("""COMPUTED_VALUE"""),16)</f>
        <v>16</v>
      </c>
    </row>
    <row r="144" spans="1:7" ht="12.75">
      <c r="A144" t="str">
        <f ca="1">IFERROR(__xludf.DUMMYFUNCTION("""COMPUTED_VALUE"""),"T142")</f>
        <v>T142</v>
      </c>
      <c r="B144" t="str">
        <f ca="1">IFERROR(__xludf.DUMMYFUNCTION("""COMPUTED_VALUE"""),"T136")</f>
        <v>T136</v>
      </c>
      <c r="C144" t="str">
        <f ca="1">IFERROR(__xludf.DUMMYFUNCTION("""COMPUTED_VALUE"""),"Sebastián Muñoz")</f>
        <v>Sebastián Muñoz</v>
      </c>
      <c r="D144">
        <f ca="1">IFERROR(__xludf.DUMMYFUNCTION("""COMPUTED_VALUE"""),20)</f>
        <v>20</v>
      </c>
      <c r="E144">
        <f ca="1">IFERROR(__xludf.DUMMYFUNCTION("""COMPUTED_VALUE"""),-0.011)</f>
        <v>-1.0999999999999999E-2</v>
      </c>
      <c r="F144">
        <f ca="1">IFERROR(__xludf.DUMMYFUNCTION("""COMPUTED_VALUE"""),-0.214)</f>
        <v>-0.214</v>
      </c>
      <c r="G144">
        <f ca="1">IFERROR(__xludf.DUMMYFUNCTION("""COMPUTED_VALUE"""),20)</f>
        <v>20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IFERROR(__xludf.DUMMYFUNCTION("""COMPUTED_VALUE"""),"T138")</f>
        <v>T138</v>
      </c>
      <c r="C145" t="str">
        <f ca="1">IFERROR(__xludf.DUMMYFUNCTION("""COMPUTED_VALUE"""),"Zack Sucher")</f>
        <v>Zack Sucher</v>
      </c>
      <c r="D145">
        <f ca="1">IFERROR(__xludf.DUMMYFUNCTION("""COMPUTED_VALUE"""),6)</f>
        <v>6</v>
      </c>
      <c r="E145">
        <f ca="1">IFERROR(__xludf.DUMMYFUNCTION("""COMPUTED_VALUE"""),-0.012)</f>
        <v>-1.2E-2</v>
      </c>
      <c r="F145">
        <f ca="1">IFERROR(__xludf.DUMMYFUNCTION("""COMPUTED_VALUE"""),-0.025)</f>
        <v>-2.5000000000000001E-2</v>
      </c>
      <c r="G145">
        <f ca="1">IFERROR(__xludf.DUMMYFUNCTION("""COMPUTED_VALUE"""),2)</f>
        <v>2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IFERROR(__xludf.DUMMYFUNCTION("""COMPUTED_VALUE"""),162)</f>
        <v>162</v>
      </c>
      <c r="C146" t="str">
        <f ca="1">IFERROR(__xludf.DUMMYFUNCTION("""COMPUTED_VALUE"""),"Brice Garnett")</f>
        <v>Brice Garnett</v>
      </c>
      <c r="D146">
        <f ca="1">IFERROR(__xludf.DUMMYFUNCTION("""COMPUTED_VALUE"""),22)</f>
        <v>22</v>
      </c>
      <c r="E146">
        <f ca="1">IFERROR(__xludf.DUMMYFUNCTION("""COMPUTED_VALUE"""),-0.016)</f>
        <v>-1.6E-2</v>
      </c>
      <c r="F146">
        <f ca="1">IFERROR(__xludf.DUMMYFUNCTION("""COMPUTED_VALUE"""),-0.226)</f>
        <v>-0.22600000000000001</v>
      </c>
      <c r="G146">
        <f ca="1">IFERROR(__xludf.DUMMYFUNCTION("""COMPUTED_VALUE"""),14)</f>
        <v>14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IFERROR(__xludf.DUMMYFUNCTION("""COMPUTED_VALUE"""),180)</f>
        <v>180</v>
      </c>
      <c r="C147" t="str">
        <f ca="1">IFERROR(__xludf.DUMMYFUNCTION("""COMPUTED_VALUE"""),"Patton Kizzire")</f>
        <v>Patton Kizzire</v>
      </c>
      <c r="D147">
        <f ca="1">IFERROR(__xludf.DUMMYFUNCTION("""COMPUTED_VALUE"""),18)</f>
        <v>18</v>
      </c>
      <c r="E147">
        <f ca="1">IFERROR(__xludf.DUMMYFUNCTION("""COMPUTED_VALUE"""),-0.024)</f>
        <v>-2.4E-2</v>
      </c>
      <c r="F147">
        <f ca="1">IFERROR(__xludf.DUMMYFUNCTION("""COMPUTED_VALUE"""),-0.334)</f>
        <v>-0.33400000000000002</v>
      </c>
      <c r="G147">
        <f ca="1">IFERROR(__xludf.DUMMYFUNCTION("""COMPUTED_VALUE"""),14)</f>
        <v>14</v>
      </c>
    </row>
    <row r="148" spans="1:7" ht="12.75">
      <c r="A148">
        <f ca="1">IFERROR(__xludf.DUMMYFUNCTION("""COMPUTED_VALUE"""),147)</f>
        <v>147</v>
      </c>
      <c r="B148">
        <f ca="1">IFERROR(__xludf.DUMMYFUNCTION("""COMPUTED_VALUE"""),141)</f>
        <v>141</v>
      </c>
      <c r="C148" t="str">
        <f ca="1">IFERROR(__xludf.DUMMYFUNCTION("""COMPUTED_VALUE"""),"Ben Taylor")</f>
        <v>Ben Taylor</v>
      </c>
      <c r="D148">
        <f ca="1">IFERROR(__xludf.DUMMYFUNCTION("""COMPUTED_VALUE"""),10)</f>
        <v>10</v>
      </c>
      <c r="E148">
        <f ca="1">IFERROR(__xludf.DUMMYFUNCTION("""COMPUTED_VALUE"""),-0.03)</f>
        <v>-0.03</v>
      </c>
      <c r="F148">
        <f ca="1">IFERROR(__xludf.DUMMYFUNCTION("""COMPUTED_VALUE"""),-0.121)</f>
        <v>-0.121</v>
      </c>
      <c r="G148">
        <f ca="1">IFERROR(__xludf.DUMMYFUNCTION("""COMPUTED_VALUE"""),4)</f>
        <v>4</v>
      </c>
    </row>
    <row r="149" spans="1:7" ht="12.75">
      <c r="A149">
        <f ca="1">IFERROR(__xludf.DUMMYFUNCTION("""COMPUTED_VALUE"""),148)</f>
        <v>148</v>
      </c>
      <c r="B149">
        <f ca="1">IFERROR(__xludf.DUMMYFUNCTION("""COMPUTED_VALUE"""),143)</f>
        <v>143</v>
      </c>
      <c r="C149" t="str">
        <f ca="1">IFERROR(__xludf.DUMMYFUNCTION("""COMPUTED_VALUE"""),"MJ Daffue")</f>
        <v>MJ Daffue</v>
      </c>
      <c r="D149">
        <f ca="1">IFERROR(__xludf.DUMMYFUNCTION("""COMPUTED_VALUE"""),10)</f>
        <v>10</v>
      </c>
      <c r="E149">
        <f ca="1">IFERROR(__xludf.DUMMYFUNCTION("""COMPUTED_VALUE"""),-0.046)</f>
        <v>-4.5999999999999999E-2</v>
      </c>
      <c r="F149">
        <f ca="1">IFERROR(__xludf.DUMMYFUNCTION("""COMPUTED_VALUE"""),-0.461)</f>
        <v>-0.46100000000000002</v>
      </c>
      <c r="G149">
        <f ca="1">IFERROR(__xludf.DUMMYFUNCTION("""COMPUTED_VALUE"""),10)</f>
        <v>10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IFERROR(__xludf.DUMMYFUNCTION("""COMPUTED_VALUE"""),144)</f>
        <v>144</v>
      </c>
      <c r="C150" t="str">
        <f ca="1">IFERROR(__xludf.DUMMYFUNCTION("""COMPUTED_VALUE"""),"Seonghyeon Kim")</f>
        <v>Seonghyeon Kim</v>
      </c>
      <c r="D150">
        <f ca="1">IFERROR(__xludf.DUMMYFUNCTION("""COMPUTED_VALUE"""),4)</f>
        <v>4</v>
      </c>
      <c r="E150">
        <f ca="1">IFERROR(__xludf.DUMMYFUNCTION("""COMPUTED_VALUE"""),-0.047)</f>
        <v>-4.7E-2</v>
      </c>
      <c r="F150">
        <f ca="1">IFERROR(__xludf.DUMMYFUNCTION("""COMPUTED_VALUE"""),-0.187)</f>
        <v>-0.187</v>
      </c>
      <c r="G150">
        <f ca="1">IFERROR(__xludf.DUMMYFUNCTION("""COMPUTED_VALUE"""),4)</f>
        <v>4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IFERROR(__xludf.DUMMYFUNCTION("""COMPUTED_VALUE"""),146)</f>
        <v>146</v>
      </c>
      <c r="C151" t="str">
        <f ca="1">IFERROR(__xludf.DUMMYFUNCTION("""COMPUTED_VALUE"""),"Tom Lewis")</f>
        <v>Tom Lewis</v>
      </c>
      <c r="D151">
        <f ca="1">IFERROR(__xludf.DUMMYFUNCTION("""COMPUTED_VALUE"""),12)</f>
        <v>12</v>
      </c>
      <c r="E151">
        <f ca="1">IFERROR(__xludf.DUMMYFUNCTION("""COMPUTED_VALUE"""),-0.058)</f>
        <v>-5.8000000000000003E-2</v>
      </c>
      <c r="F151">
        <f ca="1">IFERROR(__xludf.DUMMYFUNCTION("""COMPUTED_VALUE"""),-0.584)</f>
        <v>-0.58399999999999996</v>
      </c>
      <c r="G151">
        <f ca="1">IFERROR(__xludf.DUMMYFUNCTION("""COMPUTED_VALUE"""),10)</f>
        <v>10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IFERROR(__xludf.DUMMYFUNCTION("""COMPUTED_VALUE"""),149)</f>
        <v>149</v>
      </c>
      <c r="C152" t="str">
        <f ca="1">IFERROR(__xludf.DUMMYFUNCTION("""COMPUTED_VALUE"""),"Chez Reavie")</f>
        <v>Chez Reavie</v>
      </c>
      <c r="D152">
        <f ca="1">IFERROR(__xludf.DUMMYFUNCTION("""COMPUTED_VALUE"""),14)</f>
        <v>14</v>
      </c>
      <c r="E152">
        <f ca="1">IFERROR(__xludf.DUMMYFUNCTION("""COMPUTED_VALUE"""),-0.066)</f>
        <v>-6.6000000000000003E-2</v>
      </c>
      <c r="F152">
        <f ca="1">IFERROR(__xludf.DUMMYFUNCTION("""COMPUTED_VALUE"""),-0.931)</f>
        <v>-0.93100000000000005</v>
      </c>
      <c r="G152">
        <f ca="1">IFERROR(__xludf.DUMMYFUNCTION("""COMPUTED_VALUE"""),14)</f>
        <v>14</v>
      </c>
    </row>
    <row r="153" spans="1:7" ht="12.75">
      <c r="A153">
        <f ca="1">IFERROR(__xludf.DUMMYFUNCTION("""COMPUTED_VALUE"""),152)</f>
        <v>152</v>
      </c>
      <c r="B153" t="str">
        <f ca="1">IFERROR(__xludf.DUMMYFUNCTION("""COMPUTED_VALUE"""),"T58")</f>
        <v>T58</v>
      </c>
      <c r="C153" t="str">
        <f ca="1">IFERROR(__xludf.DUMMYFUNCTION("""COMPUTED_VALUE"""),"Adam Scott")</f>
        <v>Adam Scott</v>
      </c>
      <c r="D153">
        <f ca="1">IFERROR(__xludf.DUMMYFUNCTION("""COMPUTED_VALUE"""),8)</f>
        <v>8</v>
      </c>
      <c r="E153">
        <f ca="1">IFERROR(__xludf.DUMMYFUNCTION("""COMPUTED_VALUE"""),-0.067)</f>
        <v>-6.7000000000000004E-2</v>
      </c>
      <c r="F153">
        <f ca="1">IFERROR(__xludf.DUMMYFUNCTION("""COMPUTED_VALUE"""),-0.533)</f>
        <v>-0.53300000000000003</v>
      </c>
      <c r="G153">
        <f ca="1">IFERROR(__xludf.DUMMYFUNCTION("""COMPUTED_VALUE"""),8)</f>
        <v>8</v>
      </c>
    </row>
    <row r="154" spans="1:7" ht="12.75">
      <c r="A154">
        <f ca="1">IFERROR(__xludf.DUMMYFUNCTION("""COMPUTED_VALUE"""),153)</f>
        <v>153</v>
      </c>
      <c r="B154">
        <f ca="1">IFERROR(__xludf.DUMMYFUNCTION("""COMPUTED_VALUE"""),150)</f>
        <v>150</v>
      </c>
      <c r="C154" t="str">
        <f ca="1">IFERROR(__xludf.DUMMYFUNCTION("""COMPUTED_VALUE"""),"Sahith Theegala")</f>
        <v>Sahith Theegala</v>
      </c>
      <c r="D154">
        <f ca="1">IFERROR(__xludf.DUMMYFUNCTION("""COMPUTED_VALUE"""),6)</f>
        <v>6</v>
      </c>
      <c r="E154">
        <f ca="1">IFERROR(__xludf.DUMMYFUNCTION("""COMPUTED_VALUE"""),-0.069)</f>
        <v>-6.9000000000000006E-2</v>
      </c>
      <c r="F154">
        <f ca="1">IFERROR(__xludf.DUMMYFUNCTION("""COMPUTED_VALUE"""),-0.412)</f>
        <v>-0.41199999999999998</v>
      </c>
      <c r="G154">
        <f ca="1">IFERROR(__xludf.DUMMYFUNCTION("""COMPUTED_VALUE"""),6)</f>
        <v>6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IFERROR(__xludf.DUMMYFUNCTION("""COMPUTED_VALUE"""),151)</f>
        <v>151</v>
      </c>
      <c r="C155" t="str">
        <f ca="1">IFERROR(__xludf.DUMMYFUNCTION("""COMPUTED_VALUE"""),"Daniel Berger")</f>
        <v>Daniel Berger</v>
      </c>
      <c r="D155">
        <f ca="1">IFERROR(__xludf.DUMMYFUNCTION("""COMPUTED_VALUE"""),12)</f>
        <v>12</v>
      </c>
      <c r="E155">
        <f ca="1">IFERROR(__xludf.DUMMYFUNCTION("""COMPUTED_VALUE"""),-0.074)</f>
        <v>-7.3999999999999996E-2</v>
      </c>
      <c r="F155">
        <f ca="1">IFERROR(__xludf.DUMMYFUNCTION("""COMPUTED_VALUE"""),-0.892)</f>
        <v>-0.89200000000000002</v>
      </c>
      <c r="G155">
        <f ca="1">IFERROR(__xludf.DUMMYFUNCTION("""COMPUTED_VALUE"""),12)</f>
        <v>12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IFERROR(__xludf.DUMMYFUNCTION("""COMPUTED_VALUE"""),152)</f>
        <v>152</v>
      </c>
      <c r="C156" t="str">
        <f ca="1">IFERROR(__xludf.DUMMYFUNCTION("""COMPUTED_VALUE"""),"Jazz Janewattananond")</f>
        <v>Jazz Janewattananond</v>
      </c>
      <c r="D156">
        <f ca="1">IFERROR(__xludf.DUMMYFUNCTION("""COMPUTED_VALUE"""),6)</f>
        <v>6</v>
      </c>
      <c r="E156">
        <f ca="1">IFERROR(__xludf.DUMMYFUNCTION("""COMPUTED_VALUE"""),-0.077)</f>
        <v>-7.6999999999999999E-2</v>
      </c>
      <c r="F156">
        <f ca="1">IFERROR(__xludf.DUMMYFUNCTION("""COMPUTED_VALUE"""),-0.464)</f>
        <v>-0.46400000000000002</v>
      </c>
      <c r="G156">
        <f ca="1">IFERROR(__xludf.DUMMYFUNCTION("""COMPUTED_VALUE"""),6)</f>
        <v>6</v>
      </c>
    </row>
    <row r="157" spans="1:7" ht="12.75">
      <c r="A157">
        <f ca="1">IFERROR(__xludf.DUMMYFUNCTION("""COMPUTED_VALUE"""),156)</f>
        <v>156</v>
      </c>
      <c r="B157" t="str">
        <f ca="1">IFERROR(__xludf.DUMMYFUNCTION("""COMPUTED_VALUE"""),"T138")</f>
        <v>T138</v>
      </c>
      <c r="C157" t="str">
        <f ca="1">IFERROR(__xludf.DUMMYFUNCTION("""COMPUTED_VALUE"""),"Ted Potter, Jr.")</f>
        <v>Ted Potter, Jr.</v>
      </c>
      <c r="D157">
        <f ca="1">IFERROR(__xludf.DUMMYFUNCTION("""COMPUTED_VALUE"""),8)</f>
        <v>8</v>
      </c>
      <c r="E157">
        <f ca="1">IFERROR(__xludf.DUMMYFUNCTION("""COMPUTED_VALUE"""),-0.078)</f>
        <v>-7.8E-2</v>
      </c>
      <c r="F157">
        <f ca="1">IFERROR(__xludf.DUMMYFUNCTION("""COMPUTED_VALUE"""),-0.624)</f>
        <v>-0.624</v>
      </c>
      <c r="G157">
        <f ca="1">IFERROR(__xludf.DUMMYFUNCTION("""COMPUTED_VALUE"""),8)</f>
        <v>8</v>
      </c>
    </row>
    <row r="158" spans="1:7" ht="12.75">
      <c r="A158">
        <f ca="1">IFERROR(__xludf.DUMMYFUNCTION("""COMPUTED_VALUE"""),157)</f>
        <v>157</v>
      </c>
      <c r="B158">
        <f ca="1">IFERROR(__xludf.DUMMYFUNCTION("""COMPUTED_VALUE"""),154)</f>
        <v>154</v>
      </c>
      <c r="C158" t="str">
        <f ca="1">IFERROR(__xludf.DUMMYFUNCTION("""COMPUTED_VALUE"""),"Cameron Smith")</f>
        <v>Cameron Smith</v>
      </c>
      <c r="D158">
        <f ca="1">IFERROR(__xludf.DUMMYFUNCTION("""COMPUTED_VALUE"""),16)</f>
        <v>16</v>
      </c>
      <c r="E158">
        <f ca="1">IFERROR(__xludf.DUMMYFUNCTION("""COMPUTED_VALUE"""),-0.079)</f>
        <v>-7.9000000000000001E-2</v>
      </c>
      <c r="F158">
        <f ca="1">IFERROR(__xludf.DUMMYFUNCTION("""COMPUTED_VALUE"""),-1.262)</f>
        <v>-1.262</v>
      </c>
      <c r="G158">
        <f ca="1">IFERROR(__xludf.DUMMYFUNCTION("""COMPUTED_VALUE"""),16)</f>
        <v>16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IFERROR(__xludf.DUMMYFUNCTION("""COMPUTED_VALUE"""),155)</f>
        <v>155</v>
      </c>
      <c r="C159" t="str">
        <f ca="1">IFERROR(__xludf.DUMMYFUNCTION("""COMPUTED_VALUE"""),"Mark Anderson")</f>
        <v>Mark Anderson</v>
      </c>
      <c r="D159">
        <f ca="1">IFERROR(__xludf.DUMMYFUNCTION("""COMPUTED_VALUE"""),14)</f>
        <v>14</v>
      </c>
      <c r="E159">
        <f ca="1">IFERROR(__xludf.DUMMYFUNCTION("""COMPUTED_VALUE"""),-0.08)</f>
        <v>-0.08</v>
      </c>
      <c r="F159">
        <f ca="1">IFERROR(__xludf.DUMMYFUNCTION("""COMPUTED_VALUE"""),-0.479)</f>
        <v>-0.47899999999999998</v>
      </c>
      <c r="G159">
        <f ca="1">IFERROR(__xludf.DUMMYFUNCTION("""COMPUTED_VALUE"""),6)</f>
        <v>6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IFERROR(__xludf.DUMMYFUNCTION("""COMPUTED_VALUE"""),156)</f>
        <v>156</v>
      </c>
      <c r="C160" t="str">
        <f ca="1">IFERROR(__xludf.DUMMYFUNCTION("""COMPUTED_VALUE"""),"Shaun Norris")</f>
        <v>Shaun Norris</v>
      </c>
      <c r="D160">
        <f ca="1">IFERROR(__xludf.DUMMYFUNCTION("""COMPUTED_VALUE"""),6)</f>
        <v>6</v>
      </c>
      <c r="E160">
        <f ca="1">IFERROR(__xludf.DUMMYFUNCTION("""COMPUTED_VALUE"""),-0.083)</f>
        <v>-8.3000000000000004E-2</v>
      </c>
      <c r="F160">
        <f ca="1">IFERROR(__xludf.DUMMYFUNCTION("""COMPUTED_VALUE"""),-0.499)</f>
        <v>-0.499</v>
      </c>
      <c r="G160">
        <f ca="1">IFERROR(__xludf.DUMMYFUNCTION("""COMPUTED_VALUE"""),6)</f>
        <v>6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IFERROR(__xludf.DUMMYFUNCTION("""COMPUTED_VALUE"""),157)</f>
        <v>157</v>
      </c>
      <c r="C161" t="str">
        <f ca="1">IFERROR(__xludf.DUMMYFUNCTION("""COMPUTED_VALUE"""),"George Markham")</f>
        <v>George Markham</v>
      </c>
      <c r="D161">
        <f ca="1">IFERROR(__xludf.DUMMYFUNCTION("""COMPUTED_VALUE"""),4)</f>
        <v>4</v>
      </c>
      <c r="E161">
        <f ca="1">IFERROR(__xludf.DUMMYFUNCTION("""COMPUTED_VALUE"""),-0.089)</f>
        <v>-8.8999999999999996E-2</v>
      </c>
      <c r="F161">
        <f ca="1">IFERROR(__xludf.DUMMYFUNCTION("""COMPUTED_VALUE"""),-0.358)</f>
        <v>-0.35799999999999998</v>
      </c>
      <c r="G161">
        <f ca="1">IFERROR(__xludf.DUMMYFUNCTION("""COMPUTED_VALUE"""),4)</f>
        <v>4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IFERROR(__xludf.DUMMYFUNCTION("""COMPUTED_VALUE"""),169)</f>
        <v>169</v>
      </c>
      <c r="C162" t="str">
        <f ca="1">IFERROR(__xludf.DUMMYFUNCTION("""COMPUTED_VALUE"""),"Andrew Landry")</f>
        <v>Andrew Landry</v>
      </c>
      <c r="D162">
        <f ca="1">IFERROR(__xludf.DUMMYFUNCTION("""COMPUTED_VALUE"""),14)</f>
        <v>14</v>
      </c>
      <c r="E162">
        <f ca="1">IFERROR(__xludf.DUMMYFUNCTION("""COMPUTED_VALUE"""),-0.093)</f>
        <v>-9.2999999999999999E-2</v>
      </c>
      <c r="F162">
        <f ca="1">IFERROR(__xludf.DUMMYFUNCTION("""COMPUTED_VALUE"""),-1.301)</f>
        <v>-1.3009999999999999</v>
      </c>
      <c r="G162">
        <f ca="1">IFERROR(__xludf.DUMMYFUNCTION("""COMPUTED_VALUE"""),14)</f>
        <v>14</v>
      </c>
    </row>
    <row r="163" spans="1:7" ht="12.75">
      <c r="A163" t="str">
        <f ca="1">IFERROR(__xludf.DUMMYFUNCTION("""COMPUTED_VALUE"""),"T162")</f>
        <v>T162</v>
      </c>
      <c r="B163" t="str">
        <f ca="1">IFERROR(__xludf.DUMMYFUNCTION("""COMPUTED_VALUE"""),"T158")</f>
        <v>T158</v>
      </c>
      <c r="C163" t="str">
        <f ca="1">IFERROR(__xludf.DUMMYFUNCTION("""COMPUTED_VALUE"""),"Joohyung Kim")</f>
        <v>Joohyung Kim</v>
      </c>
      <c r="D163">
        <f ca="1">IFERROR(__xludf.DUMMYFUNCTION("""COMPUTED_VALUE"""),12)</f>
        <v>12</v>
      </c>
      <c r="E163">
        <f ca="1">IFERROR(__xludf.DUMMYFUNCTION("""COMPUTED_VALUE"""),-0.097)</f>
        <v>-9.7000000000000003E-2</v>
      </c>
      <c r="F163">
        <f ca="1">IFERROR(__xludf.DUMMYFUNCTION("""COMPUTED_VALUE"""),-0.774)</f>
        <v>-0.77400000000000002</v>
      </c>
      <c r="G163">
        <f ca="1">IFERROR(__xludf.DUMMYFUNCTION("""COMPUTED_VALUE"""),8)</f>
        <v>8</v>
      </c>
    </row>
    <row r="164" spans="1:7" ht="12.75">
      <c r="A164" t="str">
        <f ca="1">IFERROR(__xludf.DUMMYFUNCTION("""COMPUTED_VALUE"""),"T162")</f>
        <v>T162</v>
      </c>
      <c r="B164" t="str">
        <f ca="1">IFERROR(__xludf.DUMMYFUNCTION("""COMPUTED_VALUE"""),"T158")</f>
        <v>T158</v>
      </c>
      <c r="C164" t="str">
        <f ca="1">IFERROR(__xludf.DUMMYFUNCTION("""COMPUTED_VALUE"""),"Brian Gay")</f>
        <v>Brian Gay</v>
      </c>
      <c r="D164">
        <f ca="1">IFERROR(__xludf.DUMMYFUNCTION("""COMPUTED_VALUE"""),8)</f>
        <v>8</v>
      </c>
      <c r="E164">
        <f ca="1">IFERROR(__xludf.DUMMYFUNCTION("""COMPUTED_VALUE"""),-0.097)</f>
        <v>-9.7000000000000003E-2</v>
      </c>
      <c r="F164">
        <f ca="1">IFERROR(__xludf.DUMMYFUNCTION("""COMPUTED_VALUE"""),-0.387)</f>
        <v>-0.38700000000000001</v>
      </c>
      <c r="G164">
        <f ca="1">IFERROR(__xludf.DUMMYFUNCTION("""COMPUTED_VALUE"""),4)</f>
        <v>4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IFERROR(__xludf.DUMMYFUNCTION("""COMPUTED_VALUE"""),214)</f>
        <v>214</v>
      </c>
      <c r="C165" t="str">
        <f ca="1">IFERROR(__xludf.DUMMYFUNCTION("""COMPUTED_VALUE"""),"Maverick McNealy")</f>
        <v>Maverick McNealy</v>
      </c>
      <c r="D165">
        <f ca="1">IFERROR(__xludf.DUMMYFUNCTION("""COMPUTED_VALUE"""),16)</f>
        <v>16</v>
      </c>
      <c r="E165">
        <f ca="1">IFERROR(__xludf.DUMMYFUNCTION("""COMPUTED_VALUE"""),-0.102)</f>
        <v>-0.10199999999999999</v>
      </c>
      <c r="F165">
        <f ca="1">IFERROR(__xludf.DUMMYFUNCTION("""COMPUTED_VALUE"""),-1.223)</f>
        <v>-1.2230000000000001</v>
      </c>
      <c r="G165">
        <f ca="1">IFERROR(__xludf.DUMMYFUNCTION("""COMPUTED_VALUE"""),12)</f>
        <v>12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IFERROR(__xludf.DUMMYFUNCTION("""COMPUTED_VALUE"""),161)</f>
        <v>161</v>
      </c>
      <c r="C166" t="str">
        <f ca="1">IFERROR(__xludf.DUMMYFUNCTION("""COMPUTED_VALUE"""),"Marc Leishman")</f>
        <v>Marc Leishman</v>
      </c>
      <c r="D166">
        <f ca="1">IFERROR(__xludf.DUMMYFUNCTION("""COMPUTED_VALUE"""),10)</f>
        <v>10</v>
      </c>
      <c r="E166">
        <f ca="1">IFERROR(__xludf.DUMMYFUNCTION("""COMPUTED_VALUE"""),-0.108)</f>
        <v>-0.108</v>
      </c>
      <c r="F166">
        <f ca="1">IFERROR(__xludf.DUMMYFUNCTION("""COMPUTED_VALUE"""),-1.084)</f>
        <v>-1.0840000000000001</v>
      </c>
      <c r="G166">
        <f ca="1">IFERROR(__xludf.DUMMYFUNCTION("""COMPUTED_VALUE"""),10)</f>
        <v>10</v>
      </c>
    </row>
    <row r="167" spans="1:7" ht="12.75">
      <c r="A167" t="str">
        <f ca="1">IFERROR(__xludf.DUMMYFUNCTION("""COMPUTED_VALUE"""),"T166")</f>
        <v>T166</v>
      </c>
      <c r="B167" t="str">
        <f ca="1">IFERROR(__xludf.DUMMYFUNCTION("""COMPUTED_VALUE"""),"")</f>
        <v/>
      </c>
      <c r="C167" t="str">
        <f ca="1">IFERROR(__xludf.DUMMYFUNCTION("""COMPUTED_VALUE"""),"Dawie van der Walt")</f>
        <v>Dawie van der Walt</v>
      </c>
      <c r="D167">
        <f ca="1">IFERROR(__xludf.DUMMYFUNCTION("""COMPUTED_VALUE"""),4)</f>
        <v>4</v>
      </c>
      <c r="E167">
        <f ca="1">IFERROR(__xludf.DUMMYFUNCTION("""COMPUTED_VALUE"""),-0.122)</f>
        <v>-0.122</v>
      </c>
      <c r="F167">
        <f ca="1">IFERROR(__xludf.DUMMYFUNCTION("""COMPUTED_VALUE"""),-0.487)</f>
        <v>-0.48699999999999999</v>
      </c>
      <c r="G167">
        <f ca="1">IFERROR(__xludf.DUMMYFUNCTION("""COMPUTED_VALUE"""),4)</f>
        <v>4</v>
      </c>
    </row>
    <row r="168" spans="1:7" ht="12.75">
      <c r="A168" t="str">
        <f ca="1">IFERROR(__xludf.DUMMYFUNCTION("""COMPUTED_VALUE"""),"T166")</f>
        <v>T166</v>
      </c>
      <c r="B168">
        <f ca="1">IFERROR(__xludf.DUMMYFUNCTION("""COMPUTED_VALUE"""),163)</f>
        <v>163</v>
      </c>
      <c r="C168" t="str">
        <f ca="1">IFERROR(__xludf.DUMMYFUNCTION("""COMPUTED_VALUE"""),"Jeongwoo Ham")</f>
        <v>Jeongwoo Ham</v>
      </c>
      <c r="D168">
        <f ca="1">IFERROR(__xludf.DUMMYFUNCTION("""COMPUTED_VALUE"""),4)</f>
        <v>4</v>
      </c>
      <c r="E168">
        <f ca="1">IFERROR(__xludf.DUMMYFUNCTION("""COMPUTED_VALUE"""),-0.122)</f>
        <v>-0.122</v>
      </c>
      <c r="F168">
        <f ca="1">IFERROR(__xludf.DUMMYFUNCTION("""COMPUTED_VALUE"""),-0.486)</f>
        <v>-0.48599999999999999</v>
      </c>
      <c r="G168">
        <f ca="1">IFERROR(__xludf.DUMMYFUNCTION("""COMPUTED_VALUE"""),4)</f>
        <v>4</v>
      </c>
    </row>
    <row r="169" spans="1:7" ht="12.75">
      <c r="A169">
        <f ca="1">IFERROR(__xludf.DUMMYFUNCTION("""COMPUTED_VALUE"""),168)</f>
        <v>168</v>
      </c>
      <c r="B169" t="str">
        <f ca="1">IFERROR(__xludf.DUMMYFUNCTION("""COMPUTED_VALUE"""),"T112")</f>
        <v>T112</v>
      </c>
      <c r="C169" t="str">
        <f ca="1">IFERROR(__xludf.DUMMYFUNCTION("""COMPUTED_VALUE"""),"Scott Stallings")</f>
        <v>Scott Stallings</v>
      </c>
      <c r="D169">
        <f ca="1">IFERROR(__xludf.DUMMYFUNCTION("""COMPUTED_VALUE"""),14)</f>
        <v>14</v>
      </c>
      <c r="E169">
        <f ca="1">IFERROR(__xludf.DUMMYFUNCTION("""COMPUTED_VALUE"""),-0.123)</f>
        <v>-0.123</v>
      </c>
      <c r="F169">
        <f ca="1">IFERROR(__xludf.DUMMYFUNCTION("""COMPUTED_VALUE"""),-1.232)</f>
        <v>-1.232</v>
      </c>
      <c r="G169">
        <f ca="1">IFERROR(__xludf.DUMMYFUNCTION("""COMPUTED_VALUE"""),10)</f>
        <v>10</v>
      </c>
    </row>
    <row r="170" spans="1:7" ht="12.75">
      <c r="A170">
        <f ca="1">IFERROR(__xludf.DUMMYFUNCTION("""COMPUTED_VALUE"""),169)</f>
        <v>169</v>
      </c>
      <c r="B170">
        <f ca="1">IFERROR(__xludf.DUMMYFUNCTION("""COMPUTED_VALUE"""),175)</f>
        <v>175</v>
      </c>
      <c r="C170" t="str">
        <f ca="1">IFERROR(__xludf.DUMMYFUNCTION("""COMPUTED_VALUE"""),"Sam Ryder")</f>
        <v>Sam Ryder</v>
      </c>
      <c r="D170">
        <f ca="1">IFERROR(__xludf.DUMMYFUNCTION("""COMPUTED_VALUE"""),12)</f>
        <v>12</v>
      </c>
      <c r="E170">
        <f ca="1">IFERROR(__xludf.DUMMYFUNCTION("""COMPUTED_VALUE"""),-0.126)</f>
        <v>-0.126</v>
      </c>
      <c r="F170">
        <f ca="1">IFERROR(__xludf.DUMMYFUNCTION("""COMPUTED_VALUE"""),-1.011)</f>
        <v>-1.0109999999999999</v>
      </c>
      <c r="G170">
        <f ca="1">IFERROR(__xludf.DUMMYFUNCTION("""COMPUTED_VALUE"""),8)</f>
        <v>8</v>
      </c>
    </row>
    <row r="171" spans="1:7" ht="12.75">
      <c r="A171" t="str">
        <f ca="1">IFERROR(__xludf.DUMMYFUNCTION("""COMPUTED_VALUE"""),"T170")</f>
        <v>T170</v>
      </c>
      <c r="B171">
        <f ca="1">IFERROR(__xludf.DUMMYFUNCTION("""COMPUTED_VALUE"""),148)</f>
        <v>148</v>
      </c>
      <c r="C171" t="str">
        <f ca="1">IFERROR(__xludf.DUMMYFUNCTION("""COMPUTED_VALUE"""),"Branden Grace")</f>
        <v>Branden Grace</v>
      </c>
      <c r="D171">
        <f ca="1">IFERROR(__xludf.DUMMYFUNCTION("""COMPUTED_VALUE"""),16)</f>
        <v>16</v>
      </c>
      <c r="E171">
        <f ca="1">IFERROR(__xludf.DUMMYFUNCTION("""COMPUTED_VALUE"""),-0.132)</f>
        <v>-0.13200000000000001</v>
      </c>
      <c r="F171">
        <f ca="1">IFERROR(__xludf.DUMMYFUNCTION("""COMPUTED_VALUE"""),-1.318)</f>
        <v>-1.3180000000000001</v>
      </c>
      <c r="G171">
        <f ca="1">IFERROR(__xludf.DUMMYFUNCTION("""COMPUTED_VALUE"""),10)</f>
        <v>10</v>
      </c>
    </row>
    <row r="172" spans="1:7" ht="12.75">
      <c r="A172" t="str">
        <f ca="1">IFERROR(__xludf.DUMMYFUNCTION("""COMPUTED_VALUE"""),"T170")</f>
        <v>T170</v>
      </c>
      <c r="B172">
        <f ca="1">IFERROR(__xludf.DUMMYFUNCTION("""COMPUTED_VALUE"""),165)</f>
        <v>165</v>
      </c>
      <c r="C172" t="str">
        <f ca="1">IFERROR(__xludf.DUMMYFUNCTION("""COMPUTED_VALUE"""),"Ian Poulter")</f>
        <v>Ian Poulter</v>
      </c>
      <c r="D172">
        <f ca="1">IFERROR(__xludf.DUMMYFUNCTION("""COMPUTED_VALUE"""),6)</f>
        <v>6</v>
      </c>
      <c r="E172">
        <f ca="1">IFERROR(__xludf.DUMMYFUNCTION("""COMPUTED_VALUE"""),-0.132)</f>
        <v>-0.13200000000000001</v>
      </c>
      <c r="F172">
        <f ca="1">IFERROR(__xludf.DUMMYFUNCTION("""COMPUTED_VALUE"""),-0.793)</f>
        <v>-0.79300000000000004</v>
      </c>
      <c r="G172">
        <f ca="1">IFERROR(__xludf.DUMMYFUNCTION("""COMPUTED_VALUE"""),6)</f>
        <v>6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IFERROR(__xludf.DUMMYFUNCTION("""COMPUTED_VALUE"""),168)</f>
        <v>168</v>
      </c>
      <c r="C173" t="str">
        <f ca="1">IFERROR(__xludf.DUMMYFUNCTION("""COMPUTED_VALUE"""),"J.B. Holmes")</f>
        <v>J.B. Holmes</v>
      </c>
      <c r="D173">
        <f ca="1">IFERROR(__xludf.DUMMYFUNCTION("""COMPUTED_VALUE"""),10)</f>
        <v>10</v>
      </c>
      <c r="E173">
        <f ca="1">IFERROR(__xludf.DUMMYFUNCTION("""COMPUTED_VALUE"""),-0.145)</f>
        <v>-0.14499999999999999</v>
      </c>
      <c r="F173">
        <f ca="1">IFERROR(__xludf.DUMMYFUNCTION("""COMPUTED_VALUE"""),-1.455)</f>
        <v>-1.4550000000000001</v>
      </c>
      <c r="G173">
        <f ca="1">IFERROR(__xludf.DUMMYFUNCTION("""COMPUTED_VALUE"""),10)</f>
        <v>10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IFERROR(__xludf.DUMMYFUNCTION("""COMPUTED_VALUE"""),123)</f>
        <v>123</v>
      </c>
      <c r="C174" t="str">
        <f ca="1">IFERROR(__xludf.DUMMYFUNCTION("""COMPUTED_VALUE"""),"Brian Stuard")</f>
        <v>Brian Stuard</v>
      </c>
      <c r="D174">
        <f ca="1">IFERROR(__xludf.DUMMYFUNCTION("""COMPUTED_VALUE"""),18)</f>
        <v>18</v>
      </c>
      <c r="E174">
        <f ca="1">IFERROR(__xludf.DUMMYFUNCTION("""COMPUTED_VALUE"""),-0.153)</f>
        <v>-0.153</v>
      </c>
      <c r="F174">
        <f ca="1">IFERROR(__xludf.DUMMYFUNCTION("""COMPUTED_VALUE"""),-1.831)</f>
        <v>-1.831</v>
      </c>
      <c r="G174">
        <f ca="1">IFERROR(__xludf.DUMMYFUNCTION("""COMPUTED_VALUE"""),12)</f>
        <v>12</v>
      </c>
    </row>
    <row r="175" spans="1:7" ht="12.75">
      <c r="A175">
        <f ca="1">IFERROR(__xludf.DUMMYFUNCTION("""COMPUTED_VALUE"""),174)</f>
        <v>174</v>
      </c>
      <c r="B175">
        <f ca="1">IFERROR(__xludf.DUMMYFUNCTION("""COMPUTED_VALUE"""),171)</f>
        <v>171</v>
      </c>
      <c r="C175" t="str">
        <f ca="1">IFERROR(__xludf.DUMMYFUNCTION("""COMPUTED_VALUE"""),"Patrick Reed")</f>
        <v>Patrick Reed</v>
      </c>
      <c r="D175">
        <f ca="1">IFERROR(__xludf.DUMMYFUNCTION("""COMPUTED_VALUE"""),8)</f>
        <v>8</v>
      </c>
      <c r="E175">
        <f ca="1">IFERROR(__xludf.DUMMYFUNCTION("""COMPUTED_VALUE"""),-0.158)</f>
        <v>-0.158</v>
      </c>
      <c r="F175">
        <f ca="1">IFERROR(__xludf.DUMMYFUNCTION("""COMPUTED_VALUE"""),-1.265)</f>
        <v>-1.2649999999999999</v>
      </c>
      <c r="G175">
        <f ca="1">IFERROR(__xludf.DUMMYFUNCTION("""COMPUTED_VALUE"""),8)</f>
        <v>8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IFERROR(__xludf.DUMMYFUNCTION("""COMPUTED_VALUE"""),172)</f>
        <v>172</v>
      </c>
      <c r="C176" t="str">
        <f ca="1">IFERROR(__xludf.DUMMYFUNCTION("""COMPUTED_VALUE"""),"Jim Furyk")</f>
        <v>Jim Furyk</v>
      </c>
      <c r="D176">
        <f ca="1">IFERROR(__xludf.DUMMYFUNCTION("""COMPUTED_VALUE"""),4)</f>
        <v>4</v>
      </c>
      <c r="E176">
        <f ca="1">IFERROR(__xludf.DUMMYFUNCTION("""COMPUTED_VALUE"""),-0.162)</f>
        <v>-0.16200000000000001</v>
      </c>
      <c r="F176">
        <f ca="1">IFERROR(__xludf.DUMMYFUNCTION("""COMPUTED_VALUE"""),-0.646)</f>
        <v>-0.64600000000000002</v>
      </c>
      <c r="G176">
        <f ca="1">IFERROR(__xludf.DUMMYFUNCTION("""COMPUTED_VALUE"""),4)</f>
        <v>4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IFERROR(__xludf.DUMMYFUNCTION("""COMPUTED_VALUE"""),173)</f>
        <v>173</v>
      </c>
      <c r="C177" t="str">
        <f ca="1">IFERROR(__xludf.DUMMYFUNCTION("""COMPUTED_VALUE"""),"Charl Schwartzel")</f>
        <v>Charl Schwartzel</v>
      </c>
      <c r="D177">
        <f ca="1">IFERROR(__xludf.DUMMYFUNCTION("""COMPUTED_VALUE"""),12)</f>
        <v>12</v>
      </c>
      <c r="E177">
        <f ca="1">IFERROR(__xludf.DUMMYFUNCTION("""COMPUTED_VALUE"""),-0.167)</f>
        <v>-0.16700000000000001</v>
      </c>
      <c r="F177">
        <f ca="1">IFERROR(__xludf.DUMMYFUNCTION("""COMPUTED_VALUE"""),-2.008)</f>
        <v>-2.008</v>
      </c>
      <c r="G177">
        <f ca="1">IFERROR(__xludf.DUMMYFUNCTION("""COMPUTED_VALUE"""),12)</f>
        <v>12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IFERROR(__xludf.DUMMYFUNCTION("""COMPUTED_VALUE"""),212)</f>
        <v>212</v>
      </c>
      <c r="C178" t="str">
        <f ca="1">IFERROR(__xludf.DUMMYFUNCTION("""COMPUTED_VALUE"""),"Vaughn Taylor")</f>
        <v>Vaughn Taylor</v>
      </c>
      <c r="D178">
        <f ca="1">IFERROR(__xludf.DUMMYFUNCTION("""COMPUTED_VALUE"""),12)</f>
        <v>12</v>
      </c>
      <c r="E178">
        <f ca="1">IFERROR(__xludf.DUMMYFUNCTION("""COMPUTED_VALUE"""),-0.168)</f>
        <v>-0.16800000000000001</v>
      </c>
      <c r="F178">
        <f ca="1">IFERROR(__xludf.DUMMYFUNCTION("""COMPUTED_VALUE"""),-1.007)</f>
        <v>-1.0069999999999999</v>
      </c>
      <c r="G178">
        <f ca="1">IFERROR(__xludf.DUMMYFUNCTION("""COMPUTED_VALUE"""),6)</f>
        <v>6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IFERROR(__xludf.DUMMYFUNCTION("""COMPUTED_VALUE"""),174)</f>
        <v>174</v>
      </c>
      <c r="C179" t="str">
        <f ca="1">IFERROR(__xludf.DUMMYFUNCTION("""COMPUTED_VALUE"""),"Brendan Steele")</f>
        <v>Brendan Steele</v>
      </c>
      <c r="D179">
        <f ca="1">IFERROR(__xludf.DUMMYFUNCTION("""COMPUTED_VALUE"""),14)</f>
        <v>14</v>
      </c>
      <c r="E179">
        <f ca="1">IFERROR(__xludf.DUMMYFUNCTION("""COMPUTED_VALUE"""),-0.172)</f>
        <v>-0.17199999999999999</v>
      </c>
      <c r="F179">
        <f ca="1">IFERROR(__xludf.DUMMYFUNCTION("""COMPUTED_VALUE"""),-2.412)</f>
        <v>-2.4119999999999999</v>
      </c>
      <c r="G179">
        <f ca="1">IFERROR(__xludf.DUMMYFUNCTION("""COMPUTED_VALUE"""),14)</f>
        <v>14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IFERROR(__xludf.DUMMYFUNCTION("""COMPUTED_VALUE"""),140)</f>
        <v>140</v>
      </c>
      <c r="C180" t="str">
        <f ca="1">IFERROR(__xludf.DUMMYFUNCTION("""COMPUTED_VALUE"""),"Keith Mitchell")</f>
        <v>Keith Mitchell</v>
      </c>
      <c r="D180">
        <f ca="1">IFERROR(__xludf.DUMMYFUNCTION("""COMPUTED_VALUE"""),14)</f>
        <v>14</v>
      </c>
      <c r="E180">
        <f ca="1">IFERROR(__xludf.DUMMYFUNCTION("""COMPUTED_VALUE"""),-0.181)</f>
        <v>-0.18099999999999999</v>
      </c>
      <c r="F180">
        <f ca="1">IFERROR(__xludf.DUMMYFUNCTION("""COMPUTED_VALUE"""),-1.087)</f>
        <v>-1.087</v>
      </c>
      <c r="G180">
        <f ca="1">IFERROR(__xludf.DUMMYFUNCTION("""COMPUTED_VALUE"""),6)</f>
        <v>6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IFERROR(__xludf.DUMMYFUNCTION("""COMPUTED_VALUE"""),177)</f>
        <v>177</v>
      </c>
      <c r="C181" t="str">
        <f ca="1">IFERROR(__xludf.DUMMYFUNCTION("""COMPUTED_VALUE"""),"Tom Hoge")</f>
        <v>Tom Hoge</v>
      </c>
      <c r="D181">
        <f ca="1">IFERROR(__xludf.DUMMYFUNCTION("""COMPUTED_VALUE"""),22)</f>
        <v>22</v>
      </c>
      <c r="E181">
        <f ca="1">IFERROR(__xludf.DUMMYFUNCTION("""COMPUTED_VALUE"""),-0.183)</f>
        <v>-0.183</v>
      </c>
      <c r="F181">
        <f ca="1">IFERROR(__xludf.DUMMYFUNCTION("""COMPUTED_VALUE"""),-4.018)</f>
        <v>-4.0179999999999998</v>
      </c>
      <c r="G181">
        <f ca="1">IFERROR(__xludf.DUMMYFUNCTION("""COMPUTED_VALUE"""),22)</f>
        <v>22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IFERROR(__xludf.DUMMYFUNCTION("""COMPUTED_VALUE"""),167)</f>
        <v>167</v>
      </c>
      <c r="C182" t="str">
        <f ca="1">IFERROR(__xludf.DUMMYFUNCTION("""COMPUTED_VALUE"""),"Zach Johnson")</f>
        <v>Zach Johnson</v>
      </c>
      <c r="D182">
        <f ca="1">IFERROR(__xludf.DUMMYFUNCTION("""COMPUTED_VALUE"""),16)</f>
        <v>16</v>
      </c>
      <c r="E182">
        <f ca="1">IFERROR(__xludf.DUMMYFUNCTION("""COMPUTED_VALUE"""),-0.185)</f>
        <v>-0.185</v>
      </c>
      <c r="F182">
        <f ca="1">IFERROR(__xludf.DUMMYFUNCTION("""COMPUTED_VALUE"""),-2.96)</f>
        <v>-2.96</v>
      </c>
      <c r="G182">
        <f ca="1">IFERROR(__xludf.DUMMYFUNCTION("""COMPUTED_VALUE"""),16)</f>
        <v>16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IFERROR(__xludf.DUMMYFUNCTION("""COMPUTED_VALUE"""),176)</f>
        <v>176</v>
      </c>
      <c r="C183" t="str">
        <f ca="1">IFERROR(__xludf.DUMMYFUNCTION("""COMPUTED_VALUE"""),"Nick Taylor")</f>
        <v>Nick Taylor</v>
      </c>
      <c r="D183">
        <f ca="1">IFERROR(__xludf.DUMMYFUNCTION("""COMPUTED_VALUE"""),12)</f>
        <v>12</v>
      </c>
      <c r="E183">
        <f ca="1">IFERROR(__xludf.DUMMYFUNCTION("""COMPUTED_VALUE"""),-0.188)</f>
        <v>-0.188</v>
      </c>
      <c r="F183">
        <f ca="1">IFERROR(__xludf.DUMMYFUNCTION("""COMPUTED_VALUE"""),-2.251)</f>
        <v>-2.2509999999999999</v>
      </c>
      <c r="G183">
        <f ca="1">IFERROR(__xludf.DUMMYFUNCTION("""COMPUTED_VALUE"""),12)</f>
        <v>12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IFERROR(__xludf.DUMMYFUNCTION("""COMPUTED_VALUE"""),182)</f>
        <v>182</v>
      </c>
      <c r="C184" t="str">
        <f ca="1">IFERROR(__xludf.DUMMYFUNCTION("""COMPUTED_VALUE"""),"Robby Shelton")</f>
        <v>Robby Shelton</v>
      </c>
      <c r="D184">
        <f ca="1">IFERROR(__xludf.DUMMYFUNCTION("""COMPUTED_VALUE"""),14)</f>
        <v>14</v>
      </c>
      <c r="E184">
        <f ca="1">IFERROR(__xludf.DUMMYFUNCTION("""COMPUTED_VALUE"""),-0.195)</f>
        <v>-0.19500000000000001</v>
      </c>
      <c r="F184">
        <f ca="1">IFERROR(__xludf.DUMMYFUNCTION("""COMPUTED_VALUE"""),-2.726)</f>
        <v>-2.726</v>
      </c>
      <c r="G184">
        <f ca="1">IFERROR(__xludf.DUMMYFUNCTION("""COMPUTED_VALUE"""),14)</f>
        <v>14</v>
      </c>
    </row>
    <row r="185" spans="1:7" ht="12.75">
      <c r="A185">
        <f ca="1">IFERROR(__xludf.DUMMYFUNCTION("""COMPUTED_VALUE"""),184)</f>
        <v>184</v>
      </c>
      <c r="B185" t="str">
        <f ca="1">IFERROR(__xludf.DUMMYFUNCTION("""COMPUTED_VALUE"""),"T196")</f>
        <v>T196</v>
      </c>
      <c r="C185" t="str">
        <f ca="1">IFERROR(__xludf.DUMMYFUNCTION("""COMPUTED_VALUE"""),"Lanto Griffin")</f>
        <v>Lanto Griffin</v>
      </c>
      <c r="D185">
        <f ca="1">IFERROR(__xludf.DUMMYFUNCTION("""COMPUTED_VALUE"""),18)</f>
        <v>18</v>
      </c>
      <c r="E185">
        <f ca="1">IFERROR(__xludf.DUMMYFUNCTION("""COMPUTED_VALUE"""),-0.196)</f>
        <v>-0.19600000000000001</v>
      </c>
      <c r="F185">
        <f ca="1">IFERROR(__xludf.DUMMYFUNCTION("""COMPUTED_VALUE"""),-3.525)</f>
        <v>-3.5249999999999999</v>
      </c>
      <c r="G185">
        <f ca="1">IFERROR(__xludf.DUMMYFUNCTION("""COMPUTED_VALUE"""),18)</f>
        <v>18</v>
      </c>
    </row>
    <row r="186" spans="1:7" ht="12.75">
      <c r="A186">
        <f ca="1">IFERROR(__xludf.DUMMYFUNCTION("""COMPUTED_VALUE"""),185)</f>
        <v>185</v>
      </c>
      <c r="B186">
        <f ca="1">IFERROR(__xludf.DUMMYFUNCTION("""COMPUTED_VALUE"""),178)</f>
        <v>178</v>
      </c>
      <c r="C186" t="str">
        <f ca="1">IFERROR(__xludf.DUMMYFUNCTION("""COMPUTED_VALUE"""),"Kevin Kisner")</f>
        <v>Kevin Kisner</v>
      </c>
      <c r="D186">
        <f ca="1">IFERROR(__xludf.DUMMYFUNCTION("""COMPUTED_VALUE"""),10)</f>
        <v>10</v>
      </c>
      <c r="E186">
        <f ca="1">IFERROR(__xludf.DUMMYFUNCTION("""COMPUTED_VALUE"""),-0.214)</f>
        <v>-0.214</v>
      </c>
      <c r="F186">
        <f ca="1">IFERROR(__xludf.DUMMYFUNCTION("""COMPUTED_VALUE"""),-2.14)</f>
        <v>-2.14</v>
      </c>
      <c r="G186">
        <f ca="1">IFERROR(__xludf.DUMMYFUNCTION("""COMPUTED_VALUE"""),10)</f>
        <v>10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IFERROR(__xludf.DUMMYFUNCTION("""COMPUTED_VALUE"""),179)</f>
        <v>179</v>
      </c>
      <c r="C187" t="str">
        <f ca="1">IFERROR(__xludf.DUMMYFUNCTION("""COMPUTED_VALUE"""),"Matthew Wolff")</f>
        <v>Matthew Wolff</v>
      </c>
      <c r="D187">
        <f ca="1">IFERROR(__xludf.DUMMYFUNCTION("""COMPUTED_VALUE"""),16)</f>
        <v>16</v>
      </c>
      <c r="E187">
        <f ca="1">IFERROR(__xludf.DUMMYFUNCTION("""COMPUTED_VALUE"""),-0.216)</f>
        <v>-0.216</v>
      </c>
      <c r="F187">
        <f ca="1">IFERROR(__xludf.DUMMYFUNCTION("""COMPUTED_VALUE"""),-3.452)</f>
        <v>-3.452</v>
      </c>
      <c r="G187">
        <f ca="1">IFERROR(__xludf.DUMMYFUNCTION("""COMPUTED_VALUE"""),16)</f>
        <v>16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IFERROR(__xludf.DUMMYFUNCTION("""COMPUTED_VALUE"""),147)</f>
        <v>147</v>
      </c>
      <c r="C188" t="str">
        <f ca="1">IFERROR(__xludf.DUMMYFUNCTION("""COMPUTED_VALUE"""),"Bo Van Pelt")</f>
        <v>Bo Van Pelt</v>
      </c>
      <c r="D188">
        <f ca="1">IFERROR(__xludf.DUMMYFUNCTION("""COMPUTED_VALUE"""),10)</f>
        <v>10</v>
      </c>
      <c r="E188">
        <f ca="1">IFERROR(__xludf.DUMMYFUNCTION("""COMPUTED_VALUE"""),-0.222)</f>
        <v>-0.222</v>
      </c>
      <c r="F188">
        <f ca="1">IFERROR(__xludf.DUMMYFUNCTION("""COMPUTED_VALUE"""),-1.33)</f>
        <v>-1.33</v>
      </c>
      <c r="G188">
        <f ca="1">IFERROR(__xludf.DUMMYFUNCTION("""COMPUTED_VALUE"""),6)</f>
        <v>6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IFERROR(__xludf.DUMMYFUNCTION("""COMPUTED_VALUE"""),188)</f>
        <v>188</v>
      </c>
      <c r="C189" t="str">
        <f ca="1">IFERROR(__xludf.DUMMYFUNCTION("""COMPUTED_VALUE"""),"Matt Jones")</f>
        <v>Matt Jones</v>
      </c>
      <c r="D189">
        <f ca="1">IFERROR(__xludf.DUMMYFUNCTION("""COMPUTED_VALUE"""),20)</f>
        <v>20</v>
      </c>
      <c r="E189">
        <f ca="1">IFERROR(__xludf.DUMMYFUNCTION("""COMPUTED_VALUE"""),-0.233)</f>
        <v>-0.23300000000000001</v>
      </c>
      <c r="F189">
        <f ca="1">IFERROR(__xludf.DUMMYFUNCTION("""COMPUTED_VALUE"""),-2.796)</f>
        <v>-2.7959999999999998</v>
      </c>
      <c r="G189">
        <f ca="1">IFERROR(__xludf.DUMMYFUNCTION("""COMPUTED_VALUE"""),12)</f>
        <v>12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IFERROR(__xludf.DUMMYFUNCTION("""COMPUTED_VALUE"""),192)</f>
        <v>192</v>
      </c>
      <c r="C190" t="str">
        <f ca="1">IFERROR(__xludf.DUMMYFUNCTION("""COMPUTED_VALUE"""),"Hudson Swafford")</f>
        <v>Hudson Swafford</v>
      </c>
      <c r="D190">
        <f ca="1">IFERROR(__xludf.DUMMYFUNCTION("""COMPUTED_VALUE"""),18)</f>
        <v>18</v>
      </c>
      <c r="E190">
        <f ca="1">IFERROR(__xludf.DUMMYFUNCTION("""COMPUTED_VALUE"""),-0.242)</f>
        <v>-0.24199999999999999</v>
      </c>
      <c r="F190">
        <f ca="1">IFERROR(__xludf.DUMMYFUNCTION("""COMPUTED_VALUE"""),-2.423)</f>
        <v>-2.423</v>
      </c>
      <c r="G190">
        <f ca="1">IFERROR(__xludf.DUMMYFUNCTION("""COMPUTED_VALUE"""),10)</f>
        <v>10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IFERROR(__xludf.DUMMYFUNCTION("""COMPUTED_VALUE"""),181)</f>
        <v>181</v>
      </c>
      <c r="C191" t="str">
        <f ca="1">IFERROR(__xludf.DUMMYFUNCTION("""COMPUTED_VALUE"""),"Lucas Herbert")</f>
        <v>Lucas Herbert</v>
      </c>
      <c r="D191">
        <f ca="1">IFERROR(__xludf.DUMMYFUNCTION("""COMPUTED_VALUE"""),4)</f>
        <v>4</v>
      </c>
      <c r="E191">
        <f ca="1">IFERROR(__xludf.DUMMYFUNCTION("""COMPUTED_VALUE"""),-0.247)</f>
        <v>-0.247</v>
      </c>
      <c r="F191">
        <f ca="1">IFERROR(__xludf.DUMMYFUNCTION("""COMPUTED_VALUE"""),-0.987)</f>
        <v>-0.98699999999999999</v>
      </c>
      <c r="G191">
        <f ca="1">IFERROR(__xludf.DUMMYFUNCTION("""COMPUTED_VALUE"""),4)</f>
        <v>4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IFERROR(__xludf.DUMMYFUNCTION("""COMPUTED_VALUE"""),203)</f>
        <v>203</v>
      </c>
      <c r="C192" t="str">
        <f ca="1">IFERROR(__xludf.DUMMYFUNCTION("""COMPUTED_VALUE"""),"Bronson Burgoon")</f>
        <v>Bronson Burgoon</v>
      </c>
      <c r="D192">
        <f ca="1">IFERROR(__xludf.DUMMYFUNCTION("""COMPUTED_VALUE"""),10)</f>
        <v>10</v>
      </c>
      <c r="E192">
        <f ca="1">IFERROR(__xludf.DUMMYFUNCTION("""COMPUTED_VALUE"""),-0.267)</f>
        <v>-0.26700000000000002</v>
      </c>
      <c r="F192">
        <f ca="1">IFERROR(__xludf.DUMMYFUNCTION("""COMPUTED_VALUE"""),-2.138)</f>
        <v>-2.1379999999999999</v>
      </c>
      <c r="G192">
        <f ca="1">IFERROR(__xludf.DUMMYFUNCTION("""COMPUTED_VALUE"""),8)</f>
        <v>8</v>
      </c>
    </row>
    <row r="193" spans="1:7" ht="12.75">
      <c r="A193">
        <f ca="1">IFERROR(__xludf.DUMMYFUNCTION("""COMPUTED_VALUE"""),192)</f>
        <v>192</v>
      </c>
      <c r="B193" t="str">
        <f ca="1">IFERROR(__xludf.DUMMYFUNCTION("""COMPUTED_VALUE"""),"")</f>
        <v/>
      </c>
      <c r="C193" t="str">
        <f ca="1">IFERROR(__xludf.DUMMYFUNCTION("""COMPUTED_VALUE"""),"Justin Harding")</f>
        <v>Justin Harding</v>
      </c>
      <c r="D193">
        <f ca="1">IFERROR(__xludf.DUMMYFUNCTION("""COMPUTED_VALUE"""),6)</f>
        <v>6</v>
      </c>
      <c r="E193">
        <f ca="1">IFERROR(__xludf.DUMMYFUNCTION("""COMPUTED_VALUE"""),-0.27)</f>
        <v>-0.27</v>
      </c>
      <c r="F193">
        <f ca="1">IFERROR(__xludf.DUMMYFUNCTION("""COMPUTED_VALUE"""),-1.62)</f>
        <v>-1.62</v>
      </c>
      <c r="G193">
        <f ca="1">IFERROR(__xludf.DUMMYFUNCTION("""COMPUTED_VALUE"""),6)</f>
        <v>6</v>
      </c>
    </row>
    <row r="194" spans="1:7" ht="12.75">
      <c r="A194">
        <f ca="1">IFERROR(__xludf.DUMMYFUNCTION("""COMPUTED_VALUE"""),193)</f>
        <v>193</v>
      </c>
      <c r="B194" t="str">
        <f ca="1">IFERROR(__xludf.DUMMYFUNCTION("""COMPUTED_VALUE"""),"T183")</f>
        <v>T183</v>
      </c>
      <c r="C194" t="str">
        <f ca="1">IFERROR(__xludf.DUMMYFUNCTION("""COMPUTED_VALUE"""),"Rob Oppenheim")</f>
        <v>Rob Oppenheim</v>
      </c>
      <c r="D194">
        <f ca="1">IFERROR(__xludf.DUMMYFUNCTION("""COMPUTED_VALUE"""),16)</f>
        <v>16</v>
      </c>
      <c r="E194">
        <f ca="1">IFERROR(__xludf.DUMMYFUNCTION("""COMPUTED_VALUE"""),-0.274)</f>
        <v>-0.27400000000000002</v>
      </c>
      <c r="F194">
        <f ca="1">IFERROR(__xludf.DUMMYFUNCTION("""COMPUTED_VALUE"""),-2.736)</f>
        <v>-2.7360000000000002</v>
      </c>
      <c r="G194">
        <f ca="1">IFERROR(__xludf.DUMMYFUNCTION("""COMPUTED_VALUE"""),10)</f>
        <v>10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IFERROR(__xludf.DUMMYFUNCTION("""COMPUTED_VALUE"""),226)</f>
        <v>226</v>
      </c>
      <c r="C195" t="str">
        <f ca="1">IFERROR(__xludf.DUMMYFUNCTION("""COMPUTED_VALUE"""),"Chris Kirk")</f>
        <v>Chris Kirk</v>
      </c>
      <c r="D195">
        <f ca="1">IFERROR(__xludf.DUMMYFUNCTION("""COMPUTED_VALUE"""),10)</f>
        <v>10</v>
      </c>
      <c r="E195">
        <f ca="1">IFERROR(__xludf.DUMMYFUNCTION("""COMPUTED_VALUE"""),-0.276)</f>
        <v>-0.27600000000000002</v>
      </c>
      <c r="F195">
        <f ca="1">IFERROR(__xludf.DUMMYFUNCTION("""COMPUTED_VALUE"""),-2.212)</f>
        <v>-2.2120000000000002</v>
      </c>
      <c r="G195">
        <f ca="1">IFERROR(__xludf.DUMMYFUNCTION("""COMPUTED_VALUE"""),8)</f>
        <v>8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IFERROR(__xludf.DUMMYFUNCTION("""COMPUTED_VALUE"""),185)</f>
        <v>185</v>
      </c>
      <c r="C196" t="str">
        <f ca="1">IFERROR(__xludf.DUMMYFUNCTION("""COMPUTED_VALUE"""),"Shugo Imahira")</f>
        <v>Shugo Imahira</v>
      </c>
      <c r="D196">
        <f ca="1">IFERROR(__xludf.DUMMYFUNCTION("""COMPUTED_VALUE"""),8)</f>
        <v>8</v>
      </c>
      <c r="E196">
        <f ca="1">IFERROR(__xludf.DUMMYFUNCTION("""COMPUTED_VALUE"""),-0.28)</f>
        <v>-0.28000000000000003</v>
      </c>
      <c r="F196">
        <f ca="1">IFERROR(__xludf.DUMMYFUNCTION("""COMPUTED_VALUE"""),-2.24)</f>
        <v>-2.2400000000000002</v>
      </c>
      <c r="G196">
        <f ca="1">IFERROR(__xludf.DUMMYFUNCTION("""COMPUTED_VALUE"""),8)</f>
        <v>8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IFERROR(__xludf.DUMMYFUNCTION("""COMPUTED_VALUE"""),186)</f>
        <v>186</v>
      </c>
      <c r="C197" t="str">
        <f ca="1">IFERROR(__xludf.DUMMYFUNCTION("""COMPUTED_VALUE"""),"Chris Stroud")</f>
        <v>Chris Stroud</v>
      </c>
      <c r="D197">
        <f ca="1">IFERROR(__xludf.DUMMYFUNCTION("""COMPUTED_VALUE"""),6)</f>
        <v>6</v>
      </c>
      <c r="E197">
        <f ca="1">IFERROR(__xludf.DUMMYFUNCTION("""COMPUTED_VALUE"""),-0.281)</f>
        <v>-0.28100000000000003</v>
      </c>
      <c r="F197">
        <f ca="1">IFERROR(__xludf.DUMMYFUNCTION("""COMPUTED_VALUE"""),-1.123)</f>
        <v>-1.123</v>
      </c>
      <c r="G197">
        <f ca="1">IFERROR(__xludf.DUMMYFUNCTION("""COMPUTED_VALUE"""),4)</f>
        <v>4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IFERROR(__xludf.DUMMYFUNCTION("""COMPUTED_VALUE"""),190)</f>
        <v>190</v>
      </c>
      <c r="C198" t="str">
        <f ca="1">IFERROR(__xludf.DUMMYFUNCTION("""COMPUTED_VALUE"""),"Kyoung-Hoon Lee")</f>
        <v>Kyoung-Hoon Lee</v>
      </c>
      <c r="D198">
        <f ca="1">IFERROR(__xludf.DUMMYFUNCTION("""COMPUTED_VALUE"""),20)</f>
        <v>20</v>
      </c>
      <c r="E198">
        <f ca="1">IFERROR(__xludf.DUMMYFUNCTION("""COMPUTED_VALUE"""),-0.297)</f>
        <v>-0.29699999999999999</v>
      </c>
      <c r="F198">
        <f ca="1">IFERROR(__xludf.DUMMYFUNCTION("""COMPUTED_VALUE"""),-4.154)</f>
        <v>-4.1539999999999999</v>
      </c>
      <c r="G198">
        <f ca="1">IFERROR(__xludf.DUMMYFUNCTION("""COMPUTED_VALUE"""),14)</f>
        <v>14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IFERROR(__xludf.DUMMYFUNCTION("""COMPUTED_VALUE"""),189)</f>
        <v>189</v>
      </c>
      <c r="C199" t="str">
        <f ca="1">IFERROR(__xludf.DUMMYFUNCTION("""COMPUTED_VALUE"""),"Tim Wilkinson")</f>
        <v>Tim Wilkinson</v>
      </c>
      <c r="D199">
        <f ca="1">IFERROR(__xludf.DUMMYFUNCTION("""COMPUTED_VALUE"""),12)</f>
        <v>12</v>
      </c>
      <c r="E199">
        <f ca="1">IFERROR(__xludf.DUMMYFUNCTION("""COMPUTED_VALUE"""),-0.298)</f>
        <v>-0.29799999999999999</v>
      </c>
      <c r="F199">
        <f ca="1">IFERROR(__xludf.DUMMYFUNCTION("""COMPUTED_VALUE"""),-1.787)</f>
        <v>-1.7869999999999999</v>
      </c>
      <c r="G199">
        <f ca="1">IFERROR(__xludf.DUMMYFUNCTION("""COMPUTED_VALUE"""),6)</f>
        <v>6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IFERROR(__xludf.DUMMYFUNCTION("""COMPUTED_VALUE"""),191)</f>
        <v>191</v>
      </c>
      <c r="C200" t="str">
        <f ca="1">IFERROR(__xludf.DUMMYFUNCTION("""COMPUTED_VALUE"""),"Wes Roach")</f>
        <v>Wes Roach</v>
      </c>
      <c r="D200">
        <f ca="1">IFERROR(__xludf.DUMMYFUNCTION("""COMPUTED_VALUE"""),6)</f>
        <v>6</v>
      </c>
      <c r="E200">
        <f ca="1">IFERROR(__xludf.DUMMYFUNCTION("""COMPUTED_VALUE"""),-0.307)</f>
        <v>-0.307</v>
      </c>
      <c r="F200">
        <f ca="1">IFERROR(__xludf.DUMMYFUNCTION("""COMPUTED_VALUE"""),-0.614)</f>
        <v>-0.61399999999999999</v>
      </c>
      <c r="G200">
        <f ca="1">IFERROR(__xludf.DUMMYFUNCTION("""COMPUTED_VALUE"""),2)</f>
        <v>2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IFERROR(__xludf.DUMMYFUNCTION("""COMPUTED_VALUE"""),194)</f>
        <v>194</v>
      </c>
      <c r="C201" t="str">
        <f ca="1">IFERROR(__xludf.DUMMYFUNCTION("""COMPUTED_VALUE"""),"Justin Rose")</f>
        <v>Justin Rose</v>
      </c>
      <c r="D201">
        <f ca="1">IFERROR(__xludf.DUMMYFUNCTION("""COMPUTED_VALUE"""),10)</f>
        <v>10</v>
      </c>
      <c r="E201">
        <f ca="1">IFERROR(__xludf.DUMMYFUNCTION("""COMPUTED_VALUE"""),-0.314)</f>
        <v>-0.314</v>
      </c>
      <c r="F201">
        <f ca="1">IFERROR(__xludf.DUMMYFUNCTION("""COMPUTED_VALUE"""),-3.14)</f>
        <v>-3.14</v>
      </c>
      <c r="G201">
        <f ca="1">IFERROR(__xludf.DUMMYFUNCTION("""COMPUTED_VALUE"""),10)</f>
        <v>10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IFERROR(__xludf.DUMMYFUNCTION("""COMPUTED_VALUE"""),193)</f>
        <v>193</v>
      </c>
      <c r="C202" t="str">
        <f ca="1">IFERROR(__xludf.DUMMYFUNCTION("""COMPUTED_VALUE"""),"Troy Merritt")</f>
        <v>Troy Merritt</v>
      </c>
      <c r="D202">
        <f ca="1">IFERROR(__xludf.DUMMYFUNCTION("""COMPUTED_VALUE"""),20)</f>
        <v>20</v>
      </c>
      <c r="E202">
        <f ca="1">IFERROR(__xludf.DUMMYFUNCTION("""COMPUTED_VALUE"""),-0.33)</f>
        <v>-0.33</v>
      </c>
      <c r="F202">
        <f ca="1">IFERROR(__xludf.DUMMYFUNCTION("""COMPUTED_VALUE"""),-5.274)</f>
        <v>-5.274</v>
      </c>
      <c r="G202">
        <f ca="1">IFERROR(__xludf.DUMMYFUNCTION("""COMPUTED_VALUE"""),16)</f>
        <v>16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IFERROR(__xludf.DUMMYFUNCTION("""COMPUTED_VALUE"""),208)</f>
        <v>208</v>
      </c>
      <c r="C203" t="str">
        <f ca="1">IFERROR(__xludf.DUMMYFUNCTION("""COMPUTED_VALUE"""),"Satoshi Kodaira")</f>
        <v>Satoshi Kodaira</v>
      </c>
      <c r="D203">
        <f ca="1">IFERROR(__xludf.DUMMYFUNCTION("""COMPUTED_VALUE"""),12)</f>
        <v>12</v>
      </c>
      <c r="E203">
        <f ca="1">IFERROR(__xludf.DUMMYFUNCTION("""COMPUTED_VALUE"""),-0.331)</f>
        <v>-0.33100000000000002</v>
      </c>
      <c r="F203">
        <f ca="1">IFERROR(__xludf.DUMMYFUNCTION("""COMPUTED_VALUE"""),-3.972)</f>
        <v>-3.972</v>
      </c>
      <c r="G203">
        <f ca="1">IFERROR(__xludf.DUMMYFUNCTION("""COMPUTED_VALUE"""),12)</f>
        <v>12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IFERROR(__xludf.DUMMYFUNCTION("""COMPUTED_VALUE"""),198)</f>
        <v>198</v>
      </c>
      <c r="C204" t="str">
        <f ca="1">IFERROR(__xludf.DUMMYFUNCTION("""COMPUTED_VALUE"""),"Takumi Kanaya")</f>
        <v>Takumi Kanaya</v>
      </c>
      <c r="D204">
        <f ca="1">IFERROR(__xludf.DUMMYFUNCTION("""COMPUTED_VALUE"""),6)</f>
        <v>6</v>
      </c>
      <c r="E204">
        <f ca="1">IFERROR(__xludf.DUMMYFUNCTION("""COMPUTED_VALUE"""),-0.351)</f>
        <v>-0.35099999999999998</v>
      </c>
      <c r="F204">
        <f ca="1">IFERROR(__xludf.DUMMYFUNCTION("""COMPUTED_VALUE"""),-2.106)</f>
        <v>-2.1059999999999999</v>
      </c>
      <c r="G204">
        <f ca="1">IFERROR(__xludf.DUMMYFUNCTION("""COMPUTED_VALUE"""),6)</f>
        <v>6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IFERROR(__xludf.DUMMYFUNCTION("""COMPUTED_VALUE"""),195)</f>
        <v>195</v>
      </c>
      <c r="C205" t="str">
        <f ca="1">IFERROR(__xludf.DUMMYFUNCTION("""COMPUTED_VALUE"""),"Mark Hubbard")</f>
        <v>Mark Hubbard</v>
      </c>
      <c r="D205">
        <f ca="1">IFERROR(__xludf.DUMMYFUNCTION("""COMPUTED_VALUE"""),20)</f>
        <v>20</v>
      </c>
      <c r="E205">
        <f ca="1">IFERROR(__xludf.DUMMYFUNCTION("""COMPUTED_VALUE"""),-0.352)</f>
        <v>-0.35199999999999998</v>
      </c>
      <c r="F205">
        <f ca="1">IFERROR(__xludf.DUMMYFUNCTION("""COMPUTED_VALUE"""),-7.043)</f>
        <v>-7.0430000000000001</v>
      </c>
      <c r="G205">
        <f ca="1">IFERROR(__xludf.DUMMYFUNCTION("""COMPUTED_VALUE"""),20)</f>
        <v>20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IFERROR(__xludf.DUMMYFUNCTION("""COMPUTED_VALUE"""),199)</f>
        <v>199</v>
      </c>
      <c r="C206" t="str">
        <f ca="1">IFERROR(__xludf.DUMMYFUNCTION("""COMPUTED_VALUE"""),"Thomas Detry")</f>
        <v>Thomas Detry</v>
      </c>
      <c r="D206">
        <f ca="1">IFERROR(__xludf.DUMMYFUNCTION("""COMPUTED_VALUE"""),8)</f>
        <v>8</v>
      </c>
      <c r="E206">
        <f ca="1">IFERROR(__xludf.DUMMYFUNCTION("""COMPUTED_VALUE"""),-0.353)</f>
        <v>-0.35299999999999998</v>
      </c>
      <c r="F206">
        <f ca="1">IFERROR(__xludf.DUMMYFUNCTION("""COMPUTED_VALUE"""),-1.412)</f>
        <v>-1.4119999999999999</v>
      </c>
      <c r="G206">
        <f ca="1">IFERROR(__xludf.DUMMYFUNCTION("""COMPUTED_VALUE"""),4)</f>
        <v>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IFERROR(__xludf.DUMMYFUNCTION("""COMPUTED_VALUE"""),200)</f>
        <v>200</v>
      </c>
      <c r="C207" t="str">
        <f ca="1">IFERROR(__xludf.DUMMYFUNCTION("""COMPUTED_VALUE"""),"Bernd Wiesberger")</f>
        <v>Bernd Wiesberger</v>
      </c>
      <c r="D207">
        <f ca="1">IFERROR(__xludf.DUMMYFUNCTION("""COMPUTED_VALUE"""),4)</f>
        <v>4</v>
      </c>
      <c r="E207">
        <f ca="1">IFERROR(__xludf.DUMMYFUNCTION("""COMPUTED_VALUE"""),-0.357)</f>
        <v>-0.35699999999999998</v>
      </c>
      <c r="F207">
        <f ca="1">IFERROR(__xludf.DUMMYFUNCTION("""COMPUTED_VALUE"""),-1.427)</f>
        <v>-1.427</v>
      </c>
      <c r="G207">
        <f ca="1">IFERROR(__xludf.DUMMYFUNCTION("""COMPUTED_VALUE"""),4)</f>
        <v>4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IFERROR(__xludf.DUMMYFUNCTION("""COMPUTED_VALUE"""),202)</f>
        <v>202</v>
      </c>
      <c r="C208" t="str">
        <f ca="1">IFERROR(__xludf.DUMMYFUNCTION("""COMPUTED_VALUE"""),"Peter Malnati")</f>
        <v>Peter Malnati</v>
      </c>
      <c r="D208">
        <f ca="1">IFERROR(__xludf.DUMMYFUNCTION("""COMPUTED_VALUE"""),18)</f>
        <v>18</v>
      </c>
      <c r="E208">
        <f ca="1">IFERROR(__xludf.DUMMYFUNCTION("""COMPUTED_VALUE"""),-0.366)</f>
        <v>-0.36599999999999999</v>
      </c>
      <c r="F208">
        <f ca="1">IFERROR(__xludf.DUMMYFUNCTION("""COMPUTED_VALUE"""),-3.656)</f>
        <v>-3.6560000000000001</v>
      </c>
      <c r="G208">
        <f ca="1">IFERROR(__xludf.DUMMYFUNCTION("""COMPUTED_VALUE"""),10)</f>
        <v>10</v>
      </c>
    </row>
    <row r="209" spans="1:7" ht="12.75">
      <c r="A209">
        <f ca="1">IFERROR(__xludf.DUMMYFUNCTION("""COMPUTED_VALUE"""),208)</f>
        <v>208</v>
      </c>
      <c r="B209" t="str">
        <f ca="1">IFERROR(__xludf.DUMMYFUNCTION("""COMPUTED_VALUE"""),"T196")</f>
        <v>T196</v>
      </c>
      <c r="C209" t="str">
        <f ca="1">IFERROR(__xludf.DUMMYFUNCTION("""COMPUTED_VALUE"""),"Kelly Kraft")</f>
        <v>Kelly Kraft</v>
      </c>
      <c r="D209">
        <f ca="1">IFERROR(__xludf.DUMMYFUNCTION("""COMPUTED_VALUE"""),14)</f>
        <v>14</v>
      </c>
      <c r="E209">
        <f ca="1">IFERROR(__xludf.DUMMYFUNCTION("""COMPUTED_VALUE"""),-0.37)</f>
        <v>-0.37</v>
      </c>
      <c r="F209">
        <f ca="1">IFERROR(__xludf.DUMMYFUNCTION("""COMPUTED_VALUE"""),-2.959)</f>
        <v>-2.9590000000000001</v>
      </c>
      <c r="G209">
        <f ca="1">IFERROR(__xludf.DUMMYFUNCTION("""COMPUTED_VALUE"""),8)</f>
        <v>8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IFERROR(__xludf.DUMMYFUNCTION("""COMPUTED_VALUE"""),204)</f>
        <v>204</v>
      </c>
      <c r="C210" t="str">
        <f ca="1">IFERROR(__xludf.DUMMYFUNCTION("""COMPUTED_VALUE"""),"Nate Lashley")</f>
        <v>Nate Lashley</v>
      </c>
      <c r="D210">
        <f ca="1">IFERROR(__xludf.DUMMYFUNCTION("""COMPUTED_VALUE"""),16)</f>
        <v>16</v>
      </c>
      <c r="E210">
        <f ca="1">IFERROR(__xludf.DUMMYFUNCTION("""COMPUTED_VALUE"""),-0.382)</f>
        <v>-0.38200000000000001</v>
      </c>
      <c r="F210">
        <f ca="1">IFERROR(__xludf.DUMMYFUNCTION("""COMPUTED_VALUE"""),-4.589)</f>
        <v>-4.5890000000000004</v>
      </c>
      <c r="G210">
        <f ca="1">IFERROR(__xludf.DUMMYFUNCTION("""COMPUTED_VALUE"""),12)</f>
        <v>12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IFERROR(__xludf.DUMMYFUNCTION("""COMPUTED_VALUE"""),"T183")</f>
        <v>T183</v>
      </c>
      <c r="C211" t="str">
        <f ca="1">IFERROR(__xludf.DUMMYFUNCTION("""COMPUTED_VALUE"""),"Brandt Snedeker")</f>
        <v>Brandt Snedeker</v>
      </c>
      <c r="D211">
        <f ca="1">IFERROR(__xludf.DUMMYFUNCTION("""COMPUTED_VALUE"""),16)</f>
        <v>16</v>
      </c>
      <c r="E211">
        <f ca="1">IFERROR(__xludf.DUMMYFUNCTION("""COMPUTED_VALUE"""),-0.384)</f>
        <v>-0.38400000000000001</v>
      </c>
      <c r="F211">
        <f ca="1">IFERROR(__xludf.DUMMYFUNCTION("""COMPUTED_VALUE"""),-6.136)</f>
        <v>-6.1360000000000001</v>
      </c>
      <c r="G211">
        <f ca="1">IFERROR(__xludf.DUMMYFUNCTION("""COMPUTED_VALUE"""),16)</f>
        <v>16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IFERROR(__xludf.DUMMYFUNCTION("""COMPUTED_VALUE"""),187)</f>
        <v>187</v>
      </c>
      <c r="C212" t="str">
        <f ca="1">IFERROR(__xludf.DUMMYFUNCTION("""COMPUTED_VALUE"""),"Ryan Armour")</f>
        <v>Ryan Armour</v>
      </c>
      <c r="D212">
        <f ca="1">IFERROR(__xludf.DUMMYFUNCTION("""COMPUTED_VALUE"""),16)</f>
        <v>16</v>
      </c>
      <c r="E212">
        <f ca="1">IFERROR(__xludf.DUMMYFUNCTION("""COMPUTED_VALUE"""),-0.386)</f>
        <v>-0.38600000000000001</v>
      </c>
      <c r="F212">
        <f ca="1">IFERROR(__xludf.DUMMYFUNCTION("""COMPUTED_VALUE"""),-3.856)</f>
        <v>-3.8559999999999999</v>
      </c>
      <c r="G212">
        <f ca="1">IFERROR(__xludf.DUMMYFUNCTION("""COMPUTED_VALUE"""),10)</f>
        <v>10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IFERROR(__xludf.DUMMYFUNCTION("""COMPUTED_VALUE"""),170)</f>
        <v>170</v>
      </c>
      <c r="C213" t="str">
        <f ca="1">IFERROR(__xludf.DUMMYFUNCTION("""COMPUTED_VALUE"""),"Fabián Gómez")</f>
        <v>Fabián Gómez</v>
      </c>
      <c r="D213">
        <f ca="1">IFERROR(__xludf.DUMMYFUNCTION("""COMPUTED_VALUE"""),16)</f>
        <v>16</v>
      </c>
      <c r="E213">
        <f ca="1">IFERROR(__xludf.DUMMYFUNCTION("""COMPUTED_VALUE"""),-0.387)</f>
        <v>-0.38700000000000001</v>
      </c>
      <c r="F213">
        <f ca="1">IFERROR(__xludf.DUMMYFUNCTION("""COMPUTED_VALUE"""),-3.868)</f>
        <v>-3.8679999999999999</v>
      </c>
      <c r="G213">
        <f ca="1">IFERROR(__xludf.DUMMYFUNCTION("""COMPUTED_VALUE"""),10)</f>
        <v>10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IFERROR(__xludf.DUMMYFUNCTION("""COMPUTED_VALUE"""),205)</f>
        <v>205</v>
      </c>
      <c r="C214" t="str">
        <f ca="1">IFERROR(__xludf.DUMMYFUNCTION("""COMPUTED_VALUE"""),"Aaron Baddeley")</f>
        <v>Aaron Baddeley</v>
      </c>
      <c r="D214">
        <f ca="1">IFERROR(__xludf.DUMMYFUNCTION("""COMPUTED_VALUE"""),8)</f>
        <v>8</v>
      </c>
      <c r="E214">
        <f ca="1">IFERROR(__xludf.DUMMYFUNCTION("""COMPUTED_VALUE"""),-0.394)</f>
        <v>-0.39400000000000002</v>
      </c>
      <c r="F214">
        <f ca="1">IFERROR(__xludf.DUMMYFUNCTION("""COMPUTED_VALUE"""),-1.578)</f>
        <v>-1.5780000000000001</v>
      </c>
      <c r="G214">
        <f ca="1">IFERROR(__xludf.DUMMYFUNCTION("""COMPUTED_VALUE"""),4)</f>
        <v>4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IFERROR(__xludf.DUMMYFUNCTION("""COMPUTED_VALUE"""),206)</f>
        <v>206</v>
      </c>
      <c r="C215" t="str">
        <f ca="1">IFERROR(__xludf.DUMMYFUNCTION("""COMPUTED_VALUE"""),"Nick Watney")</f>
        <v>Nick Watney</v>
      </c>
      <c r="D215">
        <f ca="1">IFERROR(__xludf.DUMMYFUNCTION("""COMPUTED_VALUE"""),10)</f>
        <v>10</v>
      </c>
      <c r="E215">
        <f ca="1">IFERROR(__xludf.DUMMYFUNCTION("""COMPUTED_VALUE"""),-0.395)</f>
        <v>-0.39500000000000002</v>
      </c>
      <c r="F215">
        <f ca="1">IFERROR(__xludf.DUMMYFUNCTION("""COMPUTED_VALUE"""),-3.161)</f>
        <v>-3.161</v>
      </c>
      <c r="G215">
        <f ca="1">IFERROR(__xludf.DUMMYFUNCTION("""COMPUTED_VALUE"""),8)</f>
        <v>8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IFERROR(__xludf.DUMMYFUNCTION("""COMPUTED_VALUE"""),207)</f>
        <v>207</v>
      </c>
      <c r="C216" t="str">
        <f ca="1">IFERROR(__xludf.DUMMYFUNCTION("""COMPUTED_VALUE"""),"Matt Kuchar")</f>
        <v>Matt Kuchar</v>
      </c>
      <c r="D216">
        <f ca="1">IFERROR(__xludf.DUMMYFUNCTION("""COMPUTED_VALUE"""),14)</f>
        <v>14</v>
      </c>
      <c r="E216">
        <f ca="1">IFERROR(__xludf.DUMMYFUNCTION("""COMPUTED_VALUE"""),-0.396)</f>
        <v>-0.39600000000000002</v>
      </c>
      <c r="F216">
        <f ca="1">IFERROR(__xludf.DUMMYFUNCTION("""COMPUTED_VALUE"""),-5.539)</f>
        <v>-5.5389999999999997</v>
      </c>
      <c r="G216">
        <f ca="1">IFERROR(__xludf.DUMMYFUNCTION("""COMPUTED_VALUE"""),14)</f>
        <v>14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IFERROR(__xludf.DUMMYFUNCTION("""COMPUTED_VALUE"""),209)</f>
        <v>209</v>
      </c>
      <c r="C217" t="str">
        <f ca="1">IFERROR(__xludf.DUMMYFUNCTION("""COMPUTED_VALUE"""),"Alex Cejka")</f>
        <v>Alex Cejka</v>
      </c>
      <c r="D217">
        <f ca="1">IFERROR(__xludf.DUMMYFUNCTION("""COMPUTED_VALUE"""),6)</f>
        <v>6</v>
      </c>
      <c r="E217">
        <f ca="1">IFERROR(__xludf.DUMMYFUNCTION("""COMPUTED_VALUE"""),-0.411)</f>
        <v>-0.41099999999999998</v>
      </c>
      <c r="F217">
        <f ca="1">IFERROR(__xludf.DUMMYFUNCTION("""COMPUTED_VALUE"""),-0.822)</f>
        <v>-0.82199999999999995</v>
      </c>
      <c r="G217">
        <f ca="1">IFERROR(__xludf.DUMMYFUNCTION("""COMPUTED_VALUE"""),2)</f>
        <v>2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IFERROR(__xludf.DUMMYFUNCTION("""COMPUTED_VALUE"""),210)</f>
        <v>210</v>
      </c>
      <c r="C218" t="str">
        <f ca="1">IFERROR(__xludf.DUMMYFUNCTION("""COMPUTED_VALUE"""),"Cameron Percy")</f>
        <v>Cameron Percy</v>
      </c>
      <c r="D218">
        <f ca="1">IFERROR(__xludf.DUMMYFUNCTION("""COMPUTED_VALUE"""),16)</f>
        <v>16</v>
      </c>
      <c r="E218">
        <f ca="1">IFERROR(__xludf.DUMMYFUNCTION("""COMPUTED_VALUE"""),-0.413)</f>
        <v>-0.41299999999999998</v>
      </c>
      <c r="F218">
        <f ca="1">IFERROR(__xludf.DUMMYFUNCTION("""COMPUTED_VALUE"""),-3.3)</f>
        <v>-3.3</v>
      </c>
      <c r="G218">
        <f ca="1">IFERROR(__xludf.DUMMYFUNCTION("""COMPUTED_VALUE"""),8)</f>
        <v>8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IFERROR(__xludf.DUMMYFUNCTION("""COMPUTED_VALUE"""),211)</f>
        <v>211</v>
      </c>
      <c r="C219" t="str">
        <f ca="1">IFERROR(__xludf.DUMMYFUNCTION("""COMPUTED_VALUE"""),"Renato Paratore")</f>
        <v>Renato Paratore</v>
      </c>
      <c r="D219">
        <f ca="1">IFERROR(__xludf.DUMMYFUNCTION("""COMPUTED_VALUE"""),4)</f>
        <v>4</v>
      </c>
      <c r="E219">
        <f ca="1">IFERROR(__xludf.DUMMYFUNCTION("""COMPUTED_VALUE"""),-0.415)</f>
        <v>-0.41499999999999998</v>
      </c>
      <c r="F219">
        <f ca="1">IFERROR(__xludf.DUMMYFUNCTION("""COMPUTED_VALUE"""),-1.66)</f>
        <v>-1.66</v>
      </c>
      <c r="G219">
        <f ca="1">IFERROR(__xludf.DUMMYFUNCTION("""COMPUTED_VALUE"""),4)</f>
        <v>4</v>
      </c>
    </row>
    <row r="220" spans="1:7" ht="12.75">
      <c r="A220" t="str">
        <f ca="1">IFERROR(__xludf.DUMMYFUNCTION("""COMPUTED_VALUE"""),"T219")</f>
        <v>T219</v>
      </c>
      <c r="B220">
        <f ca="1">IFERROR(__xludf.DUMMYFUNCTION("""COMPUTED_VALUE"""),164)</f>
        <v>164</v>
      </c>
      <c r="C220" t="str">
        <f ca="1">IFERROR(__xludf.DUMMYFUNCTION("""COMPUTED_VALUE"""),"David Hearn")</f>
        <v>David Hearn</v>
      </c>
      <c r="D220">
        <f ca="1">IFERROR(__xludf.DUMMYFUNCTION("""COMPUTED_VALUE"""),16)</f>
        <v>16</v>
      </c>
      <c r="E220">
        <f ca="1">IFERROR(__xludf.DUMMYFUNCTION("""COMPUTED_VALUE"""),-0.45)</f>
        <v>-0.45</v>
      </c>
      <c r="F220">
        <f ca="1">IFERROR(__xludf.DUMMYFUNCTION("""COMPUTED_VALUE"""),-3.602)</f>
        <v>-3.6019999999999999</v>
      </c>
      <c r="G220">
        <f ca="1">IFERROR(__xludf.DUMMYFUNCTION("""COMPUTED_VALUE"""),8)</f>
        <v>8</v>
      </c>
    </row>
    <row r="221" spans="1:7" ht="12.75">
      <c r="A221" t="str">
        <f ca="1">IFERROR(__xludf.DUMMYFUNCTION("""COMPUTED_VALUE"""),"T219")</f>
        <v>T219</v>
      </c>
      <c r="B221">
        <f ca="1">IFERROR(__xludf.DUMMYFUNCTION("""COMPUTED_VALUE"""),228)</f>
        <v>228</v>
      </c>
      <c r="C221" t="str">
        <f ca="1">IFERROR(__xludf.DUMMYFUNCTION("""COMPUTED_VALUE"""),"Kevin Chappell")</f>
        <v>Kevin Chappell</v>
      </c>
      <c r="D221">
        <f ca="1">IFERROR(__xludf.DUMMYFUNCTION("""COMPUTED_VALUE"""),16)</f>
        <v>16</v>
      </c>
      <c r="E221">
        <f ca="1">IFERROR(__xludf.DUMMYFUNCTION("""COMPUTED_VALUE"""),-0.45)</f>
        <v>-0.45</v>
      </c>
      <c r="F221">
        <f ca="1">IFERROR(__xludf.DUMMYFUNCTION("""COMPUTED_VALUE"""),-6.301)</f>
        <v>-6.3010000000000002</v>
      </c>
      <c r="G221">
        <f ca="1">IFERROR(__xludf.DUMMYFUNCTION("""COMPUTED_VALUE"""),14)</f>
        <v>14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IFERROR(__xludf.DUMMYFUNCTION("""COMPUTED_VALUE"""),215)</f>
        <v>215</v>
      </c>
      <c r="C222" t="str">
        <f ca="1">IFERROR(__xludf.DUMMYFUNCTION("""COMPUTED_VALUE"""),"Hank Lebioda")</f>
        <v>Hank Lebioda</v>
      </c>
      <c r="D222">
        <f ca="1">IFERROR(__xludf.DUMMYFUNCTION("""COMPUTED_VALUE"""),14)</f>
        <v>14</v>
      </c>
      <c r="E222">
        <f ca="1">IFERROR(__xludf.DUMMYFUNCTION("""COMPUTED_VALUE"""),-0.455)</f>
        <v>-0.45500000000000002</v>
      </c>
      <c r="F222">
        <f ca="1">IFERROR(__xludf.DUMMYFUNCTION("""COMPUTED_VALUE"""),-2.731)</f>
        <v>-2.7309999999999999</v>
      </c>
      <c r="G222">
        <f ca="1">IFERROR(__xludf.DUMMYFUNCTION("""COMPUTED_VALUE"""),6)</f>
        <v>6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IFERROR(__xludf.DUMMYFUNCTION("""COMPUTED_VALUE"""),218)</f>
        <v>218</v>
      </c>
      <c r="C223" t="str">
        <f ca="1">IFERROR(__xludf.DUMMYFUNCTION("""COMPUTED_VALUE"""),"Jordan Spieth")</f>
        <v>Jordan Spieth</v>
      </c>
      <c r="D223">
        <f ca="1">IFERROR(__xludf.DUMMYFUNCTION("""COMPUTED_VALUE"""),14)</f>
        <v>14</v>
      </c>
      <c r="E223">
        <f ca="1">IFERROR(__xludf.DUMMYFUNCTION("""COMPUTED_VALUE"""),-0.459)</f>
        <v>-0.45900000000000002</v>
      </c>
      <c r="F223">
        <f ca="1">IFERROR(__xludf.DUMMYFUNCTION("""COMPUTED_VALUE"""),-6.424)</f>
        <v>-6.4240000000000004</v>
      </c>
      <c r="G223">
        <f ca="1">IFERROR(__xludf.DUMMYFUNCTION("""COMPUTED_VALUE"""),14)</f>
        <v>14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IFERROR(__xludf.DUMMYFUNCTION("""COMPUTED_VALUE"""),217)</f>
        <v>217</v>
      </c>
      <c r="C224" t="str">
        <f ca="1">IFERROR(__xludf.DUMMYFUNCTION("""COMPUTED_VALUE"""),"Jonathan Byrd")</f>
        <v>Jonathan Byrd</v>
      </c>
      <c r="D224">
        <f ca="1">IFERROR(__xludf.DUMMYFUNCTION("""COMPUTED_VALUE"""),14)</f>
        <v>14</v>
      </c>
      <c r="E224">
        <f ca="1">IFERROR(__xludf.DUMMYFUNCTION("""COMPUTED_VALUE"""),-0.474)</f>
        <v>-0.47399999999999998</v>
      </c>
      <c r="F224">
        <f ca="1">IFERROR(__xludf.DUMMYFUNCTION("""COMPUTED_VALUE"""),-2.844)</f>
        <v>-2.8439999999999999</v>
      </c>
      <c r="G224">
        <f ca="1">IFERROR(__xludf.DUMMYFUNCTION("""COMPUTED_VALUE"""),6)</f>
        <v>6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IFERROR(__xludf.DUMMYFUNCTION("""COMPUTED_VALUE"""),213)</f>
        <v>213</v>
      </c>
      <c r="C225" t="str">
        <f ca="1">IFERROR(__xludf.DUMMYFUNCTION("""COMPUTED_VALUE"""),"C.T. Pan")</f>
        <v>C.T. Pan</v>
      </c>
      <c r="D225">
        <f ca="1">IFERROR(__xludf.DUMMYFUNCTION("""COMPUTED_VALUE"""),20)</f>
        <v>20</v>
      </c>
      <c r="E225">
        <f ca="1">IFERROR(__xludf.DUMMYFUNCTION("""COMPUTED_VALUE"""),-0.485)</f>
        <v>-0.48499999999999999</v>
      </c>
      <c r="F225">
        <f ca="1">IFERROR(__xludf.DUMMYFUNCTION("""COMPUTED_VALUE"""),-7.767)</f>
        <v>-7.7670000000000003</v>
      </c>
      <c r="G225">
        <f ca="1">IFERROR(__xludf.DUMMYFUNCTION("""COMPUTED_VALUE"""),16)</f>
        <v>16</v>
      </c>
    </row>
    <row r="226" spans="1:7" ht="12.75">
      <c r="A226" t="str">
        <f ca="1">IFERROR(__xludf.DUMMYFUNCTION("""COMPUTED_VALUE"""),"T225")</f>
        <v>T225</v>
      </c>
      <c r="B226">
        <f ca="1">IFERROR(__xludf.DUMMYFUNCTION("""COMPUTED_VALUE"""),221)</f>
        <v>221</v>
      </c>
      <c r="C226" t="str">
        <f ca="1">IFERROR(__xludf.DUMMYFUNCTION("""COMPUTED_VALUE"""),"Ryan Blaum")</f>
        <v>Ryan Blaum</v>
      </c>
      <c r="D226">
        <f ca="1">IFERROR(__xludf.DUMMYFUNCTION("""COMPUTED_VALUE"""),8)</f>
        <v>8</v>
      </c>
      <c r="E226">
        <f ca="1">IFERROR(__xludf.DUMMYFUNCTION("""COMPUTED_VALUE"""),-0.499)</f>
        <v>-0.499</v>
      </c>
      <c r="F226">
        <f ca="1">IFERROR(__xludf.DUMMYFUNCTION("""COMPUTED_VALUE"""),-1.997)</f>
        <v>-1.9970000000000001</v>
      </c>
      <c r="G226">
        <f ca="1">IFERROR(__xludf.DUMMYFUNCTION("""COMPUTED_VALUE"""),4)</f>
        <v>4</v>
      </c>
    </row>
    <row r="227" spans="1:7" ht="12.75">
      <c r="A227" t="str">
        <f ca="1">IFERROR(__xludf.DUMMYFUNCTION("""COMPUTED_VALUE"""),"T225")</f>
        <v>T225</v>
      </c>
      <c r="B227">
        <f ca="1">IFERROR(__xludf.DUMMYFUNCTION("""COMPUTED_VALUE"""),219)</f>
        <v>219</v>
      </c>
      <c r="C227" t="str">
        <f ca="1">IFERROR(__xludf.DUMMYFUNCTION("""COMPUTED_VALUE"""),"Hunter Mahan")</f>
        <v>Hunter Mahan</v>
      </c>
      <c r="D227">
        <f ca="1">IFERROR(__xludf.DUMMYFUNCTION("""COMPUTED_VALUE"""),14)</f>
        <v>14</v>
      </c>
      <c r="E227">
        <f ca="1">IFERROR(__xludf.DUMMYFUNCTION("""COMPUTED_VALUE"""),-0.499)</f>
        <v>-0.499</v>
      </c>
      <c r="F227">
        <f ca="1">IFERROR(__xludf.DUMMYFUNCTION("""COMPUTED_VALUE"""),-4.99)</f>
        <v>-4.99</v>
      </c>
      <c r="G227">
        <f ca="1">IFERROR(__xludf.DUMMYFUNCTION("""COMPUTED_VALUE"""),10)</f>
        <v>10</v>
      </c>
    </row>
    <row r="228" spans="1:7" ht="12.75">
      <c r="A228" t="str">
        <f ca="1">IFERROR(__xludf.DUMMYFUNCTION("""COMPUTED_VALUE"""),"T225")</f>
        <v>T225</v>
      </c>
      <c r="B228">
        <f ca="1">IFERROR(__xludf.DUMMYFUNCTION("""COMPUTED_VALUE"""),242)</f>
        <v>242</v>
      </c>
      <c r="C228" t="str">
        <f ca="1">IFERROR(__xludf.DUMMYFUNCTION("""COMPUTED_VALUE"""),"Michael Kim")</f>
        <v>Michael Kim</v>
      </c>
      <c r="D228">
        <f ca="1">IFERROR(__xludf.DUMMYFUNCTION("""COMPUTED_VALUE"""),12)</f>
        <v>12</v>
      </c>
      <c r="E228">
        <f ca="1">IFERROR(__xludf.DUMMYFUNCTION("""COMPUTED_VALUE"""),-0.499)</f>
        <v>-0.499</v>
      </c>
      <c r="F228">
        <f ca="1">IFERROR(__xludf.DUMMYFUNCTION("""COMPUTED_VALUE"""),-3.994)</f>
        <v>-3.9940000000000002</v>
      </c>
      <c r="G228">
        <f ca="1">IFERROR(__xludf.DUMMYFUNCTION("""COMPUTED_VALUE"""),8)</f>
        <v>8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IFERROR(__xludf.DUMMYFUNCTION("""COMPUTED_VALUE"""),201)</f>
        <v>201</v>
      </c>
      <c r="C229" t="str">
        <f ca="1">IFERROR(__xludf.DUMMYFUNCTION("""COMPUTED_VALUE"""),"Henrik Stenson")</f>
        <v>Henrik Stenson</v>
      </c>
      <c r="D229">
        <f ca="1">IFERROR(__xludf.DUMMYFUNCTION("""COMPUTED_VALUE"""),11)</f>
        <v>11</v>
      </c>
      <c r="E229">
        <f ca="1">IFERROR(__xludf.DUMMYFUNCTION("""COMPUTED_VALUE"""),-0.512)</f>
        <v>-0.51200000000000001</v>
      </c>
      <c r="F229">
        <f ca="1">IFERROR(__xludf.DUMMYFUNCTION("""COMPUTED_VALUE"""),-3.07)</f>
        <v>-3.07</v>
      </c>
      <c r="G229">
        <f ca="1">IFERROR(__xludf.DUMMYFUNCTION("""COMPUTED_VALUE"""),6)</f>
        <v>6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IFERROR(__xludf.DUMMYFUNCTION("""COMPUTED_VALUE"""),222)</f>
        <v>222</v>
      </c>
      <c r="C230" t="str">
        <f ca="1">IFERROR(__xludf.DUMMYFUNCTION("""COMPUTED_VALUE"""),"Rafa Cabrera Bello")</f>
        <v>Rafa Cabrera Bello</v>
      </c>
      <c r="D230">
        <f ca="1">IFERROR(__xludf.DUMMYFUNCTION("""COMPUTED_VALUE"""),14)</f>
        <v>14</v>
      </c>
      <c r="E230">
        <f ca="1">IFERROR(__xludf.DUMMYFUNCTION("""COMPUTED_VALUE"""),-0.517)</f>
        <v>-0.51700000000000002</v>
      </c>
      <c r="F230">
        <f ca="1">IFERROR(__xludf.DUMMYFUNCTION("""COMPUTED_VALUE"""),-6.207)</f>
        <v>-6.2069999999999999</v>
      </c>
      <c r="G230">
        <f ca="1">IFERROR(__xludf.DUMMYFUNCTION("""COMPUTED_VALUE"""),12)</f>
        <v>12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IFERROR(__xludf.DUMMYFUNCTION("""COMPUTED_VALUE"""),232)</f>
        <v>232</v>
      </c>
      <c r="C231" t="str">
        <f ca="1">IFERROR(__xludf.DUMMYFUNCTION("""COMPUTED_VALUE"""),"J.T. Poston")</f>
        <v>J.T. Poston</v>
      </c>
      <c r="D231">
        <f ca="1">IFERROR(__xludf.DUMMYFUNCTION("""COMPUTED_VALUE"""),18)</f>
        <v>18</v>
      </c>
      <c r="E231">
        <f ca="1">IFERROR(__xludf.DUMMYFUNCTION("""COMPUTED_VALUE"""),-0.518)</f>
        <v>-0.51800000000000002</v>
      </c>
      <c r="F231">
        <f ca="1">IFERROR(__xludf.DUMMYFUNCTION("""COMPUTED_VALUE"""),-9.331)</f>
        <v>-9.3309999999999995</v>
      </c>
      <c r="G231">
        <f ca="1">IFERROR(__xludf.DUMMYFUNCTION("""COMPUTED_VALUE"""),18)</f>
        <v>18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IFERROR(__xludf.DUMMYFUNCTION("""COMPUTED_VALUE"""),223)</f>
        <v>223</v>
      </c>
      <c r="C232" t="str">
        <f ca="1">IFERROR(__xludf.DUMMYFUNCTION("""COMPUTED_VALUE"""),"Gunn Charoenkul")</f>
        <v>Gunn Charoenkul</v>
      </c>
      <c r="D232">
        <f ca="1">IFERROR(__xludf.DUMMYFUNCTION("""COMPUTED_VALUE"""),4)</f>
        <v>4</v>
      </c>
      <c r="E232">
        <f ca="1">IFERROR(__xludf.DUMMYFUNCTION("""COMPUTED_VALUE"""),-0.522)</f>
        <v>-0.52200000000000002</v>
      </c>
      <c r="F232">
        <f ca="1">IFERROR(__xludf.DUMMYFUNCTION("""COMPUTED_VALUE"""),-2.089)</f>
        <v>-2.089</v>
      </c>
      <c r="G232">
        <f ca="1">IFERROR(__xludf.DUMMYFUNCTION("""COMPUTED_VALUE"""),4)</f>
        <v>4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IFERROR(__xludf.DUMMYFUNCTION("""COMPUTED_VALUE"""),235)</f>
        <v>235</v>
      </c>
      <c r="C233" t="str">
        <f ca="1">IFERROR(__xludf.DUMMYFUNCTION("""COMPUTED_VALUE"""),"Mackenzie Hughes")</f>
        <v>Mackenzie Hughes</v>
      </c>
      <c r="D233">
        <f ca="1">IFERROR(__xludf.DUMMYFUNCTION("""COMPUTED_VALUE"""),18)</f>
        <v>18</v>
      </c>
      <c r="E233">
        <f ca="1">IFERROR(__xludf.DUMMYFUNCTION("""COMPUTED_VALUE"""),-0.527)</f>
        <v>-0.52700000000000002</v>
      </c>
      <c r="F233">
        <f ca="1">IFERROR(__xludf.DUMMYFUNCTION("""COMPUTED_VALUE"""),-7.377)</f>
        <v>-7.3769999999999998</v>
      </c>
      <c r="G233">
        <f ca="1">IFERROR(__xludf.DUMMYFUNCTION("""COMPUTED_VALUE"""),14)</f>
        <v>14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IFERROR(__xludf.DUMMYFUNCTION("""COMPUTED_VALUE"""),234)</f>
        <v>234</v>
      </c>
      <c r="C234" t="str">
        <f ca="1">IFERROR(__xludf.DUMMYFUNCTION("""COMPUTED_VALUE"""),"Sung Kang")</f>
        <v>Sung Kang</v>
      </c>
      <c r="D234">
        <f ca="1">IFERROR(__xludf.DUMMYFUNCTION("""COMPUTED_VALUE"""),14)</f>
        <v>14</v>
      </c>
      <c r="E234">
        <f ca="1">IFERROR(__xludf.DUMMYFUNCTION("""COMPUTED_VALUE"""),-0.538)</f>
        <v>-0.53800000000000003</v>
      </c>
      <c r="F234">
        <f ca="1">IFERROR(__xludf.DUMMYFUNCTION("""COMPUTED_VALUE"""),-7.53)</f>
        <v>-7.53</v>
      </c>
      <c r="G234">
        <f ca="1">IFERROR(__xludf.DUMMYFUNCTION("""COMPUTED_VALUE"""),14)</f>
        <v>14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IFERROR(__xludf.DUMMYFUNCTION("""COMPUTED_VALUE"""),243)</f>
        <v>243</v>
      </c>
      <c r="C235" t="str">
        <f ca="1">IFERROR(__xludf.DUMMYFUNCTION("""COMPUTED_VALUE"""),"Graeme McDowell")</f>
        <v>Graeme McDowell</v>
      </c>
      <c r="D235">
        <f ca="1">IFERROR(__xludf.DUMMYFUNCTION("""COMPUTED_VALUE"""),8)</f>
        <v>8</v>
      </c>
      <c r="E235">
        <f ca="1">IFERROR(__xludf.DUMMYFUNCTION("""COMPUTED_VALUE"""),-0.549)</f>
        <v>-0.54900000000000004</v>
      </c>
      <c r="F235">
        <f ca="1">IFERROR(__xludf.DUMMYFUNCTION("""COMPUTED_VALUE"""),-3.291)</f>
        <v>-3.2909999999999999</v>
      </c>
      <c r="G235">
        <f ca="1">IFERROR(__xludf.DUMMYFUNCTION("""COMPUTED_VALUE"""),6)</f>
        <v>6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IFERROR(__xludf.DUMMYFUNCTION("""COMPUTED_VALUE"""),224)</f>
        <v>224</v>
      </c>
      <c r="C236" t="str">
        <f ca="1">IFERROR(__xludf.DUMMYFUNCTION("""COMPUTED_VALUE"""),"Zac Blair")</f>
        <v>Zac Blair</v>
      </c>
      <c r="D236">
        <f ca="1">IFERROR(__xludf.DUMMYFUNCTION("""COMPUTED_VALUE"""),10)</f>
        <v>10</v>
      </c>
      <c r="E236">
        <f ca="1">IFERROR(__xludf.DUMMYFUNCTION("""COMPUTED_VALUE"""),-0.55)</f>
        <v>-0.55000000000000004</v>
      </c>
      <c r="F236">
        <f ca="1">IFERROR(__xludf.DUMMYFUNCTION("""COMPUTED_VALUE"""),-3.297)</f>
        <v>-3.2970000000000002</v>
      </c>
      <c r="G236">
        <f ca="1">IFERROR(__xludf.DUMMYFUNCTION("""COMPUTED_VALUE"""),6)</f>
        <v>6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IFERROR(__xludf.DUMMYFUNCTION("""COMPUTED_VALUE"""),245)</f>
        <v>245</v>
      </c>
      <c r="C237" t="str">
        <f ca="1">IFERROR(__xludf.DUMMYFUNCTION("""COMPUTED_VALUE"""),"Michael Thompson")</f>
        <v>Michael Thompson</v>
      </c>
      <c r="D237">
        <f ca="1">IFERROR(__xludf.DUMMYFUNCTION("""COMPUTED_VALUE"""),16)</f>
        <v>16</v>
      </c>
      <c r="E237">
        <f ca="1">IFERROR(__xludf.DUMMYFUNCTION("""COMPUTED_VALUE"""),-0.551)</f>
        <v>-0.55100000000000005</v>
      </c>
      <c r="F237">
        <f ca="1">IFERROR(__xludf.DUMMYFUNCTION("""COMPUTED_VALUE"""),-8.809)</f>
        <v>-8.8089999999999993</v>
      </c>
      <c r="G237">
        <f ca="1">IFERROR(__xludf.DUMMYFUNCTION("""COMPUTED_VALUE"""),16)</f>
        <v>16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IFERROR(__xludf.DUMMYFUNCTION("""COMPUTED_VALUE"""),225)</f>
        <v>225</v>
      </c>
      <c r="C238" t="str">
        <f ca="1">IFERROR(__xludf.DUMMYFUNCTION("""COMPUTED_VALUE"""),"Sangmoon Bae")</f>
        <v>Sangmoon Bae</v>
      </c>
      <c r="D238">
        <f ca="1">IFERROR(__xludf.DUMMYFUNCTION("""COMPUTED_VALUE"""),8)</f>
        <v>8</v>
      </c>
      <c r="E238">
        <f ca="1">IFERROR(__xludf.DUMMYFUNCTION("""COMPUTED_VALUE"""),-0.554)</f>
        <v>-0.55400000000000005</v>
      </c>
      <c r="F238">
        <f ca="1">IFERROR(__xludf.DUMMYFUNCTION("""COMPUTED_VALUE"""),-1.108)</f>
        <v>-1.1080000000000001</v>
      </c>
      <c r="G238">
        <f ca="1">IFERROR(__xludf.DUMMYFUNCTION("""COMPUTED_VALUE"""),2)</f>
        <v>2</v>
      </c>
    </row>
    <row r="239" spans="1:7" ht="12.75">
      <c r="A239">
        <f ca="1">IFERROR(__xludf.DUMMYFUNCTION("""COMPUTED_VALUE"""),238)</f>
        <v>238</v>
      </c>
      <c r="B239" t="str">
        <f ca="1">IFERROR(__xludf.DUMMYFUNCTION("""COMPUTED_VALUE"""),"")</f>
        <v/>
      </c>
      <c r="C239" t="str">
        <f ca="1">IFERROR(__xludf.DUMMYFUNCTION("""COMPUTED_VALUE"""),"Greg Chalmers")</f>
        <v>Greg Chalmers</v>
      </c>
      <c r="D239">
        <f ca="1">IFERROR(__xludf.DUMMYFUNCTION("""COMPUTED_VALUE"""),6)</f>
        <v>6</v>
      </c>
      <c r="E239">
        <f ca="1">IFERROR(__xludf.DUMMYFUNCTION("""COMPUTED_VALUE"""),-0.557)</f>
        <v>-0.55700000000000005</v>
      </c>
      <c r="F239">
        <f ca="1">IFERROR(__xludf.DUMMYFUNCTION("""COMPUTED_VALUE"""),-3.343)</f>
        <v>-3.343</v>
      </c>
      <c r="G239">
        <f ca="1">IFERROR(__xludf.DUMMYFUNCTION("""COMPUTED_VALUE"""),6)</f>
        <v>6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IFERROR(__xludf.DUMMYFUNCTION("""COMPUTED_VALUE"""),227)</f>
        <v>227</v>
      </c>
      <c r="C240" t="str">
        <f ca="1">IFERROR(__xludf.DUMMYFUNCTION("""COMPUTED_VALUE"""),"Luke Schniederjans")</f>
        <v>Luke Schniederjans</v>
      </c>
      <c r="D240">
        <f ca="1">IFERROR(__xludf.DUMMYFUNCTION("""COMPUTED_VALUE"""),4)</f>
        <v>4</v>
      </c>
      <c r="E240">
        <f ca="1">IFERROR(__xludf.DUMMYFUNCTION("""COMPUTED_VALUE"""),-0.562)</f>
        <v>-0.56200000000000006</v>
      </c>
      <c r="F240">
        <f ca="1">IFERROR(__xludf.DUMMYFUNCTION("""COMPUTED_VALUE"""),-1.124)</f>
        <v>-1.1240000000000001</v>
      </c>
      <c r="G240">
        <f ca="1">IFERROR(__xludf.DUMMYFUNCTION("""COMPUTED_VALUE"""),2)</f>
        <v>2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IFERROR(__xludf.DUMMYFUNCTION("""COMPUTED_VALUE"""),229)</f>
        <v>229</v>
      </c>
      <c r="C241" t="str">
        <f ca="1">IFERROR(__xludf.DUMMYFUNCTION("""COMPUTED_VALUE"""),"Seamus Power")</f>
        <v>Seamus Power</v>
      </c>
      <c r="D241">
        <f ca="1">IFERROR(__xludf.DUMMYFUNCTION("""COMPUTED_VALUE"""),8)</f>
        <v>8</v>
      </c>
      <c r="E241">
        <f ca="1">IFERROR(__xludf.DUMMYFUNCTION("""COMPUTED_VALUE"""),-0.586)</f>
        <v>-0.58599999999999997</v>
      </c>
      <c r="F241">
        <f ca="1">IFERROR(__xludf.DUMMYFUNCTION("""COMPUTED_VALUE"""),-1.172)</f>
        <v>-1.1719999999999999</v>
      </c>
      <c r="G241">
        <f ca="1">IFERROR(__xludf.DUMMYFUNCTION("""COMPUTED_VALUE"""),2)</f>
        <v>2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IFERROR(__xludf.DUMMYFUNCTION("""COMPUTED_VALUE"""),230)</f>
        <v>230</v>
      </c>
      <c r="C242" t="str">
        <f ca="1">IFERROR(__xludf.DUMMYFUNCTION("""COMPUTED_VALUE"""),"Stephan Jaeger")</f>
        <v>Stephan Jaeger</v>
      </c>
      <c r="D242">
        <f ca="1">IFERROR(__xludf.DUMMYFUNCTION("""COMPUTED_VALUE"""),4)</f>
        <v>4</v>
      </c>
      <c r="E242">
        <f ca="1">IFERROR(__xludf.DUMMYFUNCTION("""COMPUTED_VALUE"""),-0.596)</f>
        <v>-0.59599999999999997</v>
      </c>
      <c r="F242">
        <f ca="1">IFERROR(__xludf.DUMMYFUNCTION("""COMPUTED_VALUE"""),-2.384)</f>
        <v>-2.3839999999999999</v>
      </c>
      <c r="G242">
        <f ca="1">IFERROR(__xludf.DUMMYFUNCTION("""COMPUTED_VALUE"""),4)</f>
        <v>4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IFERROR(__xludf.DUMMYFUNCTION("""COMPUTED_VALUE"""),231)</f>
        <v>231</v>
      </c>
      <c r="C243" t="str">
        <f ca="1">IFERROR(__xludf.DUMMYFUNCTION("""COMPUTED_VALUE"""),"Ricky Barnes")</f>
        <v>Ricky Barnes</v>
      </c>
      <c r="D243">
        <f ca="1">IFERROR(__xludf.DUMMYFUNCTION("""COMPUTED_VALUE"""),12)</f>
        <v>12</v>
      </c>
      <c r="E243">
        <f ca="1">IFERROR(__xludf.DUMMYFUNCTION("""COMPUTED_VALUE"""),-0.604)</f>
        <v>-0.60399999999999998</v>
      </c>
      <c r="F243">
        <f ca="1">IFERROR(__xludf.DUMMYFUNCTION("""COMPUTED_VALUE"""),-2.416)</f>
        <v>-2.4159999999999999</v>
      </c>
      <c r="G243">
        <f ca="1">IFERROR(__xludf.DUMMYFUNCTION("""COMPUTED_VALUE"""),4)</f>
        <v>4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IFERROR(__xludf.DUMMYFUNCTION("""COMPUTED_VALUE"""),233)</f>
        <v>233</v>
      </c>
      <c r="C244" t="str">
        <f ca="1">IFERROR(__xludf.DUMMYFUNCTION("""COMPUTED_VALUE"""),"Andy Zhang")</f>
        <v>Andy Zhang</v>
      </c>
      <c r="D244">
        <f ca="1">IFERROR(__xludf.DUMMYFUNCTION("""COMPUTED_VALUE"""),4)</f>
        <v>4</v>
      </c>
      <c r="E244">
        <f ca="1">IFERROR(__xludf.DUMMYFUNCTION("""COMPUTED_VALUE"""),-0.615)</f>
        <v>-0.61499999999999999</v>
      </c>
      <c r="F244">
        <f ca="1">IFERROR(__xludf.DUMMYFUNCTION("""COMPUTED_VALUE"""),-2.46)</f>
        <v>-2.46</v>
      </c>
      <c r="G244">
        <f ca="1">IFERROR(__xludf.DUMMYFUNCTION("""COMPUTED_VALUE"""),4)</f>
        <v>4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IFERROR(__xludf.DUMMYFUNCTION("""COMPUTED_VALUE"""),216)</f>
        <v>216</v>
      </c>
      <c r="C245" t="str">
        <f ca="1">IFERROR(__xludf.DUMMYFUNCTION("""COMPUTED_VALUE"""),"Jimmy Walker")</f>
        <v>Jimmy Walker</v>
      </c>
      <c r="D245">
        <f ca="1">IFERROR(__xludf.DUMMYFUNCTION("""COMPUTED_VALUE"""),10)</f>
        <v>10</v>
      </c>
      <c r="E245">
        <f ca="1">IFERROR(__xludf.DUMMYFUNCTION("""COMPUTED_VALUE"""),-0.648)</f>
        <v>-0.64800000000000002</v>
      </c>
      <c r="F245">
        <f ca="1">IFERROR(__xludf.DUMMYFUNCTION("""COMPUTED_VALUE"""),-6.477)</f>
        <v>-6.4770000000000003</v>
      </c>
      <c r="G245">
        <f ca="1">IFERROR(__xludf.DUMMYFUNCTION("""COMPUTED_VALUE"""),10)</f>
        <v>10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IFERROR(__xludf.DUMMYFUNCTION("""COMPUTED_VALUE"""),251)</f>
        <v>251</v>
      </c>
      <c r="C246" t="str">
        <f ca="1">IFERROR(__xludf.DUMMYFUNCTION("""COMPUTED_VALUE"""),"Kramer Hickok")</f>
        <v>Kramer Hickok</v>
      </c>
      <c r="D246">
        <f ca="1">IFERROR(__xludf.DUMMYFUNCTION("""COMPUTED_VALUE"""),16)</f>
        <v>16</v>
      </c>
      <c r="E246">
        <f ca="1">IFERROR(__xludf.DUMMYFUNCTION("""COMPUTED_VALUE"""),-0.672)</f>
        <v>-0.67200000000000004</v>
      </c>
      <c r="F246">
        <f ca="1">IFERROR(__xludf.DUMMYFUNCTION("""COMPUTED_VALUE"""),-5.376)</f>
        <v>-5.3760000000000003</v>
      </c>
      <c r="G246">
        <f ca="1">IFERROR(__xludf.DUMMYFUNCTION("""COMPUTED_VALUE"""),8)</f>
        <v>8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IFERROR(__xludf.DUMMYFUNCTION("""COMPUTED_VALUE"""),237)</f>
        <v>237</v>
      </c>
      <c r="C247" t="str">
        <f ca="1">IFERROR(__xludf.DUMMYFUNCTION("""COMPUTED_VALUE"""),"Tommy Fleetwood")</f>
        <v>Tommy Fleetwood</v>
      </c>
      <c r="D247">
        <f ca="1">IFERROR(__xludf.DUMMYFUNCTION("""COMPUTED_VALUE"""),10)</f>
        <v>10</v>
      </c>
      <c r="E247">
        <f ca="1">IFERROR(__xludf.DUMMYFUNCTION("""COMPUTED_VALUE"""),-0.694)</f>
        <v>-0.69399999999999995</v>
      </c>
      <c r="F247">
        <f ca="1">IFERROR(__xludf.DUMMYFUNCTION("""COMPUTED_VALUE"""),-6.94)</f>
        <v>-6.94</v>
      </c>
      <c r="G247">
        <f ca="1">IFERROR(__xludf.DUMMYFUNCTION("""COMPUTED_VALUE"""),10)</f>
        <v>10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IFERROR(__xludf.DUMMYFUNCTION("""COMPUTED_VALUE"""),238)</f>
        <v>238</v>
      </c>
      <c r="C248" t="str">
        <f ca="1">IFERROR(__xludf.DUMMYFUNCTION("""COMPUTED_VALUE"""),"Steve Lewton")</f>
        <v>Steve Lewton</v>
      </c>
      <c r="D248">
        <f ca="1">IFERROR(__xludf.DUMMYFUNCTION("""COMPUTED_VALUE"""),4)</f>
        <v>4</v>
      </c>
      <c r="E248">
        <f ca="1">IFERROR(__xludf.DUMMYFUNCTION("""COMPUTED_VALUE"""),-0.709)</f>
        <v>-0.70899999999999996</v>
      </c>
      <c r="F248">
        <f ca="1">IFERROR(__xludf.DUMMYFUNCTION("""COMPUTED_VALUE"""),-2.838)</f>
        <v>-2.8380000000000001</v>
      </c>
      <c r="G248">
        <f ca="1">IFERROR(__xludf.DUMMYFUNCTION("""COMPUTED_VALUE"""),4)</f>
        <v>4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IFERROR(__xludf.DUMMYFUNCTION("""COMPUTED_VALUE"""),262)</f>
        <v>262</v>
      </c>
      <c r="C249" t="str">
        <f ca="1">IFERROR(__xludf.DUMMYFUNCTION("""COMPUTED_VALUE"""),"Scott Brown")</f>
        <v>Scott Brown</v>
      </c>
      <c r="D249">
        <f ca="1">IFERROR(__xludf.DUMMYFUNCTION("""COMPUTED_VALUE"""),14)</f>
        <v>14</v>
      </c>
      <c r="E249">
        <f ca="1">IFERROR(__xludf.DUMMYFUNCTION("""COMPUTED_VALUE"""),-0.712)</f>
        <v>-0.71199999999999997</v>
      </c>
      <c r="F249">
        <f ca="1">IFERROR(__xludf.DUMMYFUNCTION("""COMPUTED_VALUE"""),-7.125)</f>
        <v>-7.125</v>
      </c>
      <c r="G249">
        <f ca="1">IFERROR(__xludf.DUMMYFUNCTION("""COMPUTED_VALUE"""),10)</f>
        <v>10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IFERROR(__xludf.DUMMYFUNCTION("""COMPUTED_VALUE"""),239)</f>
        <v>239</v>
      </c>
      <c r="C250" t="str">
        <f ca="1">IFERROR(__xludf.DUMMYFUNCTION("""COMPUTED_VALUE"""),"Brendon Todd")</f>
        <v>Brendon Todd</v>
      </c>
      <c r="D250">
        <f ca="1">IFERROR(__xludf.DUMMYFUNCTION("""COMPUTED_VALUE"""),14)</f>
        <v>14</v>
      </c>
      <c r="E250">
        <f ca="1">IFERROR(__xludf.DUMMYFUNCTION("""COMPUTED_VALUE"""),-0.716)</f>
        <v>-0.71599999999999997</v>
      </c>
      <c r="F250">
        <f ca="1">IFERROR(__xludf.DUMMYFUNCTION("""COMPUTED_VALUE"""),-8.591)</f>
        <v>-8.5909999999999993</v>
      </c>
      <c r="G250">
        <f ca="1">IFERROR(__xludf.DUMMYFUNCTION("""COMPUTED_VALUE"""),12)</f>
        <v>12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IFERROR(__xludf.DUMMYFUNCTION("""COMPUTED_VALUE"""),220)</f>
        <v>220</v>
      </c>
      <c r="C251" t="str">
        <f ca="1">IFERROR(__xludf.DUMMYFUNCTION("""COMPUTED_VALUE"""),"Martin Trainer")</f>
        <v>Martin Trainer</v>
      </c>
      <c r="D251">
        <f ca="1">IFERROR(__xludf.DUMMYFUNCTION("""COMPUTED_VALUE"""),10)</f>
        <v>10</v>
      </c>
      <c r="E251">
        <f ca="1">IFERROR(__xludf.DUMMYFUNCTION("""COMPUTED_VALUE"""),-0.735)</f>
        <v>-0.73499999999999999</v>
      </c>
      <c r="F251">
        <f ca="1">IFERROR(__xludf.DUMMYFUNCTION("""COMPUTED_VALUE"""),-5.883)</f>
        <v>-5.883</v>
      </c>
      <c r="G251">
        <f ca="1">IFERROR(__xludf.DUMMYFUNCTION("""COMPUTED_VALUE"""),8)</f>
        <v>8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IFERROR(__xludf.DUMMYFUNCTION("""COMPUTED_VALUE"""),240)</f>
        <v>240</v>
      </c>
      <c r="C252" t="str">
        <f ca="1">IFERROR(__xludf.DUMMYFUNCTION("""COMPUTED_VALUE"""),"Alex Noren")</f>
        <v>Alex Noren</v>
      </c>
      <c r="D252">
        <f ca="1">IFERROR(__xludf.DUMMYFUNCTION("""COMPUTED_VALUE"""),14)</f>
        <v>14</v>
      </c>
      <c r="E252">
        <f ca="1">IFERROR(__xludf.DUMMYFUNCTION("""COMPUTED_VALUE"""),-0.761)</f>
        <v>-0.76100000000000001</v>
      </c>
      <c r="F252">
        <f ca="1">IFERROR(__xludf.DUMMYFUNCTION("""COMPUTED_VALUE"""),-10.649)</f>
        <v>-10.648999999999999</v>
      </c>
      <c r="G252">
        <f ca="1">IFERROR(__xludf.DUMMYFUNCTION("""COMPUTED_VALUE"""),14)</f>
        <v>14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IFERROR(__xludf.DUMMYFUNCTION("""COMPUTED_VALUE"""),246)</f>
        <v>246</v>
      </c>
      <c r="C253" t="str">
        <f ca="1">IFERROR(__xludf.DUMMYFUNCTION("""COMPUTED_VALUE"""),"Andrew Putnam")</f>
        <v>Andrew Putnam</v>
      </c>
      <c r="D253">
        <f ca="1">IFERROR(__xludf.DUMMYFUNCTION("""COMPUTED_VALUE"""),19)</f>
        <v>19</v>
      </c>
      <c r="E253">
        <f ca="1">IFERROR(__xludf.DUMMYFUNCTION("""COMPUTED_VALUE"""),-0.769)</f>
        <v>-0.76900000000000002</v>
      </c>
      <c r="F253">
        <f ca="1">IFERROR(__xludf.DUMMYFUNCTION("""COMPUTED_VALUE"""),-11.537)</f>
        <v>-11.537000000000001</v>
      </c>
      <c r="G253">
        <f ca="1">IFERROR(__xludf.DUMMYFUNCTION("""COMPUTED_VALUE"""),15)</f>
        <v>15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IFERROR(__xludf.DUMMYFUNCTION("""COMPUTED_VALUE"""),241)</f>
        <v>241</v>
      </c>
      <c r="C254" t="str">
        <f ca="1">IFERROR(__xludf.DUMMYFUNCTION("""COMPUTED_VALUE"""),"Dominic Bozzelli")</f>
        <v>Dominic Bozzelli</v>
      </c>
      <c r="D254">
        <f ca="1">IFERROR(__xludf.DUMMYFUNCTION("""COMPUTED_VALUE"""),8)</f>
        <v>8</v>
      </c>
      <c r="E254">
        <f ca="1">IFERROR(__xludf.DUMMYFUNCTION("""COMPUTED_VALUE"""),-0.785)</f>
        <v>-0.78500000000000003</v>
      </c>
      <c r="F254">
        <f ca="1">IFERROR(__xludf.DUMMYFUNCTION("""COMPUTED_VALUE"""),-1.571)</f>
        <v>-1.571</v>
      </c>
      <c r="G254">
        <f ca="1">IFERROR(__xludf.DUMMYFUNCTION("""COMPUTED_VALUE"""),2)</f>
        <v>2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IFERROR(__xludf.DUMMYFUNCTION("""COMPUTED_VALUE"""),244)</f>
        <v>244</v>
      </c>
      <c r="C255" t="str">
        <f ca="1">IFERROR(__xludf.DUMMYFUNCTION("""COMPUTED_VALUE"""),"Richy Werenski")</f>
        <v>Richy Werenski</v>
      </c>
      <c r="D255">
        <f ca="1">IFERROR(__xludf.DUMMYFUNCTION("""COMPUTED_VALUE"""),16)</f>
        <v>16</v>
      </c>
      <c r="E255">
        <f ca="1">IFERROR(__xludf.DUMMYFUNCTION("""COMPUTED_VALUE"""),-0.819)</f>
        <v>-0.81899999999999995</v>
      </c>
      <c r="F255">
        <f ca="1">IFERROR(__xludf.DUMMYFUNCTION("""COMPUTED_VALUE"""),-13.099)</f>
        <v>-13.099</v>
      </c>
      <c r="G255">
        <f ca="1">IFERROR(__xludf.DUMMYFUNCTION("""COMPUTED_VALUE"""),16)</f>
        <v>16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IFERROR(__xludf.DUMMYFUNCTION("""COMPUTED_VALUE"""),247)</f>
        <v>247</v>
      </c>
      <c r="C256" t="str">
        <f ca="1">IFERROR(__xludf.DUMMYFUNCTION("""COMPUTED_VALUE"""),"Matt Every")</f>
        <v>Matt Every</v>
      </c>
      <c r="D256">
        <f ca="1">IFERROR(__xludf.DUMMYFUNCTION("""COMPUTED_VALUE"""),8)</f>
        <v>8</v>
      </c>
      <c r="E256">
        <f ca="1">IFERROR(__xludf.DUMMYFUNCTION("""COMPUTED_VALUE"""),-0.845)</f>
        <v>-0.84499999999999997</v>
      </c>
      <c r="F256">
        <f ca="1">IFERROR(__xludf.DUMMYFUNCTION("""COMPUTED_VALUE"""),-3.379)</f>
        <v>-3.379</v>
      </c>
      <c r="G256">
        <f ca="1">IFERROR(__xludf.DUMMYFUNCTION("""COMPUTED_VALUE"""),4)</f>
        <v>4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IFERROR(__xludf.DUMMYFUNCTION("""COMPUTED_VALUE"""),255)</f>
        <v>255</v>
      </c>
      <c r="C257" t="str">
        <f ca="1">IFERROR(__xludf.DUMMYFUNCTION("""COMPUTED_VALUE"""),"Luke Donald")</f>
        <v>Luke Donald</v>
      </c>
      <c r="D257">
        <f ca="1">IFERROR(__xludf.DUMMYFUNCTION("""COMPUTED_VALUE"""),14)</f>
        <v>14</v>
      </c>
      <c r="E257">
        <f ca="1">IFERROR(__xludf.DUMMYFUNCTION("""COMPUTED_VALUE"""),-0.849)</f>
        <v>-0.84899999999999998</v>
      </c>
      <c r="F257">
        <f ca="1">IFERROR(__xludf.DUMMYFUNCTION("""COMPUTED_VALUE"""),-8.49)</f>
        <v>-8.49</v>
      </c>
      <c r="G257">
        <f ca="1">IFERROR(__xludf.DUMMYFUNCTION("""COMPUTED_VALUE"""),10)</f>
        <v>10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IFERROR(__xludf.DUMMYFUNCTION("""COMPUTED_VALUE"""),248)</f>
        <v>248</v>
      </c>
      <c r="C258" t="str">
        <f ca="1">IFERROR(__xludf.DUMMYFUNCTION("""COMPUTED_VALUE"""),"Tiger Woods")</f>
        <v>Tiger Woods</v>
      </c>
      <c r="D258">
        <f ca="1">IFERROR(__xludf.DUMMYFUNCTION("""COMPUTED_VALUE"""),6)</f>
        <v>6</v>
      </c>
      <c r="E258">
        <f ca="1">IFERROR(__xludf.DUMMYFUNCTION("""COMPUTED_VALUE"""),-0.9)</f>
        <v>-0.9</v>
      </c>
      <c r="F258">
        <f ca="1">IFERROR(__xludf.DUMMYFUNCTION("""COMPUTED_VALUE"""),-5.401)</f>
        <v>-5.4009999999999998</v>
      </c>
      <c r="G258">
        <f ca="1">IFERROR(__xludf.DUMMYFUNCTION("""COMPUTED_VALUE"""),6)</f>
        <v>6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IFERROR(__xludf.DUMMYFUNCTION("""COMPUTED_VALUE"""),252)</f>
        <v>252</v>
      </c>
      <c r="C259" t="str">
        <f ca="1">IFERROR(__xludf.DUMMYFUNCTION("""COMPUTED_VALUE"""),"Kevin Stadler")</f>
        <v>Kevin Stadler</v>
      </c>
      <c r="D259">
        <f ca="1">IFERROR(__xludf.DUMMYFUNCTION("""COMPUTED_VALUE"""),8)</f>
        <v>8</v>
      </c>
      <c r="E259">
        <f ca="1">IFERROR(__xludf.DUMMYFUNCTION("""COMPUTED_VALUE"""),-0.904)</f>
        <v>-0.90400000000000003</v>
      </c>
      <c r="F259">
        <f ca="1">IFERROR(__xludf.DUMMYFUNCTION("""COMPUTED_VALUE"""),-5.427)</f>
        <v>-5.4269999999999996</v>
      </c>
      <c r="G259">
        <f ca="1">IFERROR(__xludf.DUMMYFUNCTION("""COMPUTED_VALUE"""),6)</f>
        <v>6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IFERROR(__xludf.DUMMYFUNCTION("""COMPUTED_VALUE"""),249)</f>
        <v>249</v>
      </c>
      <c r="C260" t="str">
        <f ca="1">IFERROR(__xludf.DUMMYFUNCTION("""COMPUTED_VALUE"""),"John Senden")</f>
        <v>John Senden</v>
      </c>
      <c r="D260">
        <f ca="1">IFERROR(__xludf.DUMMYFUNCTION("""COMPUTED_VALUE"""),8)</f>
        <v>8</v>
      </c>
      <c r="E260">
        <f ca="1">IFERROR(__xludf.DUMMYFUNCTION("""COMPUTED_VALUE"""),-0.905)</f>
        <v>-0.90500000000000003</v>
      </c>
      <c r="F260">
        <f ca="1">IFERROR(__xludf.DUMMYFUNCTION("""COMPUTED_VALUE"""),-1.81)</f>
        <v>-1.81</v>
      </c>
      <c r="G260">
        <f ca="1">IFERROR(__xludf.DUMMYFUNCTION("""COMPUTED_VALUE"""),2)</f>
        <v>2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IFERROR(__xludf.DUMMYFUNCTION("""COMPUTED_VALUE"""),250)</f>
        <v>250</v>
      </c>
      <c r="C261" t="str">
        <f ca="1">IFERROR(__xludf.DUMMYFUNCTION("""COMPUTED_VALUE"""),"Ryo Ishikawa")</f>
        <v>Ryo Ishikawa</v>
      </c>
      <c r="D261">
        <f ca="1">IFERROR(__xludf.DUMMYFUNCTION("""COMPUTED_VALUE"""),8)</f>
        <v>8</v>
      </c>
      <c r="E261">
        <f ca="1">IFERROR(__xludf.DUMMYFUNCTION("""COMPUTED_VALUE"""),-0.907)</f>
        <v>-0.90700000000000003</v>
      </c>
      <c r="F261">
        <f ca="1">IFERROR(__xludf.DUMMYFUNCTION("""COMPUTED_VALUE"""),-7.254)</f>
        <v>-7.2539999999999996</v>
      </c>
      <c r="G261">
        <f ca="1">IFERROR(__xludf.DUMMYFUNCTION("""COMPUTED_VALUE"""),8)</f>
        <v>8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IFERROR(__xludf.DUMMYFUNCTION("""COMPUTED_VALUE"""),"K.J. Choi")</f>
        <v>K.J. Choi</v>
      </c>
      <c r="D262">
        <f ca="1">IFERROR(__xludf.DUMMYFUNCTION("""COMPUTED_VALUE"""),6)</f>
        <v>6</v>
      </c>
      <c r="E262">
        <f ca="1">IFERROR(__xludf.DUMMYFUNCTION("""COMPUTED_VALUE"""),-0.942)</f>
        <v>-0.94199999999999995</v>
      </c>
      <c r="F262">
        <f ca="1">IFERROR(__xludf.DUMMYFUNCTION("""COMPUTED_VALUE"""),-5.652)</f>
        <v>-5.6520000000000001</v>
      </c>
      <c r="G262">
        <f ca="1">IFERROR(__xludf.DUMMYFUNCTION("""COMPUTED_VALUE"""),6)</f>
        <v>6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IFERROR(__xludf.DUMMYFUNCTION("""COMPUTED_VALUE"""),254)</f>
        <v>254</v>
      </c>
      <c r="C263" t="str">
        <f ca="1">IFERROR(__xludf.DUMMYFUNCTION("""COMPUTED_VALUE"""),"Christiaan Bezuidenhout")</f>
        <v>Christiaan Bezuidenhout</v>
      </c>
      <c r="D263">
        <f ca="1">IFERROR(__xludf.DUMMYFUNCTION("""COMPUTED_VALUE"""),4)</f>
        <v>4</v>
      </c>
      <c r="E263">
        <f ca="1">IFERROR(__xludf.DUMMYFUNCTION("""COMPUTED_VALUE"""),-0.943)</f>
        <v>-0.94299999999999995</v>
      </c>
      <c r="F263">
        <f ca="1">IFERROR(__xludf.DUMMYFUNCTION("""COMPUTED_VALUE"""),-3.772)</f>
        <v>-3.7719999999999998</v>
      </c>
      <c r="G263">
        <f ca="1">IFERROR(__xludf.DUMMYFUNCTION("""COMPUTED_VALUE"""),4)</f>
        <v>4</v>
      </c>
    </row>
    <row r="264" spans="1:7" ht="12.75">
      <c r="A264">
        <f ca="1">IFERROR(__xludf.DUMMYFUNCTION("""COMPUTED_VALUE"""),263)</f>
        <v>263</v>
      </c>
      <c r="B264" t="str">
        <f ca="1">IFERROR(__xludf.DUMMYFUNCTION("""COMPUTED_VALUE"""),"")</f>
        <v/>
      </c>
      <c r="C264" t="str">
        <f ca="1">IFERROR(__xludf.DUMMYFUNCTION("""COMPUTED_VALUE"""),"Ollie Schniederjans")</f>
        <v>Ollie Schniederjans</v>
      </c>
      <c r="D264">
        <f ca="1">IFERROR(__xludf.DUMMYFUNCTION("""COMPUTED_VALUE"""),6)</f>
        <v>6</v>
      </c>
      <c r="E264">
        <f ca="1">IFERROR(__xludf.DUMMYFUNCTION("""COMPUTED_VALUE"""),-1)</f>
        <v>-1</v>
      </c>
      <c r="F264">
        <f ca="1">IFERROR(__xludf.DUMMYFUNCTION("""COMPUTED_VALUE"""),-2)</f>
        <v>-2</v>
      </c>
      <c r="G264">
        <f ca="1">IFERROR(__xludf.DUMMYFUNCTION("""COMPUTED_VALUE"""),2)</f>
        <v>2</v>
      </c>
    </row>
    <row r="265" spans="1:7" ht="12.75">
      <c r="A265" t="str">
        <f ca="1">IFERROR(__xludf.DUMMYFUNCTION("""COMPUTED_VALUE"""),"T264")</f>
        <v>T264</v>
      </c>
      <c r="B265" t="str">
        <f ca="1">IFERROR(__xludf.DUMMYFUNCTION("""COMPUTED_VALUE"""),"T256")</f>
        <v>T256</v>
      </c>
      <c r="C265" t="str">
        <f ca="1">IFERROR(__xludf.DUMMYFUNCTION("""COMPUTED_VALUE"""),"Mikumu Horikawa")</f>
        <v>Mikumu Horikawa</v>
      </c>
      <c r="D265">
        <f ca="1">IFERROR(__xludf.DUMMYFUNCTION("""COMPUTED_VALUE"""),4)</f>
        <v>4</v>
      </c>
      <c r="E265">
        <f ca="1">IFERROR(__xludf.DUMMYFUNCTION("""COMPUTED_VALUE"""),-1.049)</f>
        <v>-1.0489999999999999</v>
      </c>
      <c r="F265">
        <f ca="1">IFERROR(__xludf.DUMMYFUNCTION("""COMPUTED_VALUE"""),-4.196)</f>
        <v>-4.1959999999999997</v>
      </c>
      <c r="G265">
        <f ca="1">IFERROR(__xludf.DUMMYFUNCTION("""COMPUTED_VALUE"""),4)</f>
        <v>4</v>
      </c>
    </row>
    <row r="266" spans="1:7" ht="12.75">
      <c r="A266" t="str">
        <f ca="1">IFERROR(__xludf.DUMMYFUNCTION("""COMPUTED_VALUE"""),"T264")</f>
        <v>T264</v>
      </c>
      <c r="B266" t="str">
        <f ca="1">IFERROR(__xludf.DUMMYFUNCTION("""COMPUTED_VALUE"""),"T256")</f>
        <v>T256</v>
      </c>
      <c r="C266" t="str">
        <f ca="1">IFERROR(__xludf.DUMMYFUNCTION("""COMPUTED_VALUE"""),"Brad Kennedy")</f>
        <v>Brad Kennedy</v>
      </c>
      <c r="D266">
        <f ca="1">IFERROR(__xludf.DUMMYFUNCTION("""COMPUTED_VALUE"""),4)</f>
        <v>4</v>
      </c>
      <c r="E266">
        <f ca="1">IFERROR(__xludf.DUMMYFUNCTION("""COMPUTED_VALUE"""),-1.049)</f>
        <v>-1.0489999999999999</v>
      </c>
      <c r="F266">
        <f ca="1">IFERROR(__xludf.DUMMYFUNCTION("""COMPUTED_VALUE"""),-4.195)</f>
        <v>-4.1950000000000003</v>
      </c>
      <c r="G266">
        <f ca="1">IFERROR(__xludf.DUMMYFUNCTION("""COMPUTED_VALUE"""),4)</f>
        <v>4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IFERROR(__xludf.DUMMYFUNCTION("""COMPUTED_VALUE"""),258)</f>
        <v>258</v>
      </c>
      <c r="C267" t="str">
        <f ca="1">IFERROR(__xludf.DUMMYFUNCTION("""COMPUTED_VALUE"""),"Jay McLuen")</f>
        <v>Jay McLuen</v>
      </c>
      <c r="D267">
        <f ca="1">IFERROR(__xludf.DUMMYFUNCTION("""COMPUTED_VALUE"""),4)</f>
        <v>4</v>
      </c>
      <c r="E267">
        <f ca="1">IFERROR(__xludf.DUMMYFUNCTION("""COMPUTED_VALUE"""),-1.093)</f>
        <v>-1.093</v>
      </c>
      <c r="F267">
        <f ca="1">IFERROR(__xludf.DUMMYFUNCTION("""COMPUTED_VALUE"""),-4.371)</f>
        <v>-4.3710000000000004</v>
      </c>
      <c r="G267">
        <f ca="1">IFERROR(__xludf.DUMMYFUNCTION("""COMPUTED_VALUE"""),4)</f>
        <v>4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IFERROR(__xludf.DUMMYFUNCTION("""COMPUTED_VALUE"""),"Shawn Stefani")</f>
        <v>Shawn Stefani</v>
      </c>
      <c r="D268">
        <f ca="1">IFERROR(__xludf.DUMMYFUNCTION("""COMPUTED_VALUE"""),5)</f>
        <v>5</v>
      </c>
      <c r="E268">
        <f ca="1">IFERROR(__xludf.DUMMYFUNCTION("""COMPUTED_VALUE"""),-1.124)</f>
        <v>-1.1240000000000001</v>
      </c>
      <c r="F268">
        <f ca="1">IFERROR(__xludf.DUMMYFUNCTION("""COMPUTED_VALUE"""),-2.248)</f>
        <v>-2.2480000000000002</v>
      </c>
      <c r="G268">
        <f ca="1">IFERROR(__xludf.DUMMYFUNCTION("""COMPUTED_VALUE"""),2)</f>
        <v>2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IFERROR(__xludf.DUMMYFUNCTION("""COMPUTED_VALUE"""),"Hanbyeol Kim")</f>
        <v>Hanbyeol Kim</v>
      </c>
      <c r="D269">
        <f ca="1">IFERROR(__xludf.DUMMYFUNCTION("""COMPUTED_VALUE"""),4)</f>
        <v>4</v>
      </c>
      <c r="E269">
        <f ca="1">IFERROR(__xludf.DUMMYFUNCTION("""COMPUTED_VALUE"""),-1.216)</f>
        <v>-1.216</v>
      </c>
      <c r="F269">
        <f ca="1">IFERROR(__xludf.DUMMYFUNCTION("""COMPUTED_VALUE"""),-4.865)</f>
        <v>-4.8650000000000002</v>
      </c>
      <c r="G269">
        <f ca="1">IFERROR(__xludf.DUMMYFUNCTION("""COMPUTED_VALUE"""),4)</f>
        <v>4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IFERROR(__xludf.DUMMYFUNCTION("""COMPUTED_VALUE"""),261)</f>
        <v>261</v>
      </c>
      <c r="C270" t="str">
        <f ca="1">IFERROR(__xludf.DUMMYFUNCTION("""COMPUTED_VALUE"""),"Phil Mickelson")</f>
        <v>Phil Mickelson</v>
      </c>
      <c r="D270">
        <f ca="1">IFERROR(__xludf.DUMMYFUNCTION("""COMPUTED_VALUE"""),12)</f>
        <v>12</v>
      </c>
      <c r="E270">
        <f ca="1">IFERROR(__xludf.DUMMYFUNCTION("""COMPUTED_VALUE"""),-1.218)</f>
        <v>-1.218</v>
      </c>
      <c r="F270">
        <f ca="1">IFERROR(__xludf.DUMMYFUNCTION("""COMPUTED_VALUE"""),-14.617)</f>
        <v>-14.617000000000001</v>
      </c>
      <c r="G270">
        <f ca="1">IFERROR(__xludf.DUMMYFUNCTION("""COMPUTED_VALUE"""),12)</f>
        <v>12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IFERROR(__xludf.DUMMYFUNCTION("""COMPUTED_VALUE"""),264)</f>
        <v>264</v>
      </c>
      <c r="C271" t="str">
        <f ca="1">IFERROR(__xludf.DUMMYFUNCTION("""COMPUTED_VALUE"""),"Tae Hee Lee")</f>
        <v>Tae Hee Lee</v>
      </c>
      <c r="D271">
        <f ca="1">IFERROR(__xludf.DUMMYFUNCTION("""COMPUTED_VALUE"""),4)</f>
        <v>4</v>
      </c>
      <c r="E271">
        <f ca="1">IFERROR(__xludf.DUMMYFUNCTION("""COMPUTED_VALUE"""),-1.649)</f>
        <v>-1.649</v>
      </c>
      <c r="F271">
        <f ca="1">IFERROR(__xludf.DUMMYFUNCTION("""COMPUTED_VALUE"""),-6.597)</f>
        <v>-6.5970000000000004</v>
      </c>
      <c r="G271">
        <f ca="1">IFERROR(__xludf.DUMMYFUNCTION("""COMPUTED_VALUE"""),4)</f>
        <v>4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IFERROR(__xludf.DUMMYFUNCTION("""COMPUTED_VALUE"""),265)</f>
        <v>265</v>
      </c>
      <c r="C272" t="str">
        <f ca="1">IFERROR(__xludf.DUMMYFUNCTION("""COMPUTED_VALUE"""),"Peter Uihlein")</f>
        <v>Peter Uihlein</v>
      </c>
      <c r="D272">
        <f ca="1">IFERROR(__xludf.DUMMYFUNCTION("""COMPUTED_VALUE"""),8)</f>
        <v>8</v>
      </c>
      <c r="E272">
        <f ca="1">IFERROR(__xludf.DUMMYFUNCTION("""COMPUTED_VALUE"""),-1.724)</f>
        <v>-1.724</v>
      </c>
      <c r="F272">
        <f ca="1">IFERROR(__xludf.DUMMYFUNCTION("""COMPUTED_VALUE"""),-3.449)</f>
        <v>-3.4489999999999998</v>
      </c>
      <c r="G272">
        <f ca="1">IFERROR(__xludf.DUMMYFUNCTION("""COMPUTED_VALUE"""),2)</f>
        <v>2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IFERROR(__xludf.DUMMYFUNCTION("""COMPUTED_VALUE"""),263)</f>
        <v>263</v>
      </c>
      <c r="C273" t="str">
        <f ca="1">IFERROR(__xludf.DUMMYFUNCTION("""COMPUTED_VALUE"""),"D.A. Points")</f>
        <v>D.A. Points</v>
      </c>
      <c r="D273">
        <f ca="1">IFERROR(__xludf.DUMMYFUNCTION("""COMPUTED_VALUE"""),12)</f>
        <v>12</v>
      </c>
      <c r="E273">
        <f ca="1">IFERROR(__xludf.DUMMYFUNCTION("""COMPUTED_VALUE"""),-1.743)</f>
        <v>-1.7430000000000001</v>
      </c>
      <c r="F273">
        <f ca="1">IFERROR(__xludf.DUMMYFUNCTION("""COMPUTED_VALUE"""),-13.944)</f>
        <v>-13.944000000000001</v>
      </c>
      <c r="G273">
        <f ca="1">IFERROR(__xludf.DUMMYFUNCTION("""COMPUTED_VALUE"""),8)</f>
        <v>8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IFERROR(__xludf.DUMMYFUNCTION("""COMPUTED_VALUE"""),"George McNeill")</f>
        <v>George McNeill</v>
      </c>
      <c r="D274">
        <f ca="1">IFERROR(__xludf.DUMMYFUNCTION("""COMPUTED_VALUE"""),8)</f>
        <v>8</v>
      </c>
      <c r="E274">
        <f ca="1">IFERROR(__xludf.DUMMYFUNCTION("""COMPUTED_VALUE"""),-1.876)</f>
        <v>-1.8759999999999999</v>
      </c>
      <c r="F274">
        <f ca="1">IFERROR(__xludf.DUMMYFUNCTION("""COMPUTED_VALUE"""),-3.752)</f>
        <v>-3.7519999999999998</v>
      </c>
      <c r="G274">
        <f ca="1">IFERROR(__xludf.DUMMYFUNCTION("""COMPUTED_VALUE"""),2)</f>
        <v>2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IFERROR(__xludf.DUMMYFUNCTION("""COMPUTED_VALUE"""),"Gary Woodland")</f>
        <v>Gary Woodland</v>
      </c>
      <c r="D275">
        <f ca="1">IFERROR(__xludf.DUMMYFUNCTION("""COMPUTED_VALUE"""),6)</f>
        <v>6</v>
      </c>
      <c r="E275">
        <f ca="1">IFERROR(__xludf.DUMMYFUNCTION("""COMPUTED_VALUE"""),-2.034)</f>
        <v>-2.0339999999999998</v>
      </c>
      <c r="F275">
        <f ca="1">IFERROR(__xludf.DUMMYFUNCTION("""COMPUTED_VALUE"""),-12.202)</f>
        <v>-12.202</v>
      </c>
      <c r="G275">
        <f ca="1">IFERROR(__xludf.DUMMYFUNCTION("""COMPUTED_VALUE"""),6)</f>
        <v>6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IFERROR(__xludf.DUMMYFUNCTION("""COMPUTED_VALUE"""),"Rhein Gibson")</f>
        <v>Rhein Gibson</v>
      </c>
      <c r="D276">
        <f ca="1">IFERROR(__xludf.DUMMYFUNCTION("""COMPUTED_VALUE"""),10)</f>
        <v>10</v>
      </c>
      <c r="E276">
        <f ca="1">IFERROR(__xludf.DUMMYFUNCTION("""COMPUTED_VALUE"""),-2.245)</f>
        <v>-2.2450000000000001</v>
      </c>
      <c r="F276">
        <f ca="1">IFERROR(__xludf.DUMMYFUNCTION("""COMPUTED_VALUE"""),-8.978)</f>
        <v>-8.9779999999999998</v>
      </c>
      <c r="G276">
        <f ca="1">IFERROR(__xludf.DUMMYFUNCTION("""COMPUTED_VALUE"""),4)</f>
        <v>4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IFERROR(__xludf.DUMMYFUNCTION("""COMPUTED_VALUE"""),-3.4)</f>
        <v>-3.4</v>
      </c>
      <c r="F277">
        <f ca="1">IFERROR(__xludf.DUMMYFUNCTION("""COMPUTED_VALUE"""),-6.801)</f>
        <v>-6.8010000000000002</v>
      </c>
      <c r="G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s="3" t="str">
        <f ca="1">IFERROR(__xludf.DUMMYFUNCTION("importhtml(""http://www.pgatour.com/stats/stat.02568.html"",""table"",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SG:APP")</f>
        <v>TOTAL SG:APP</v>
      </c>
      <c r="G1" t="str">
        <f ca="1">IFERROR(__xludf.DUMMYFUNCTION("""COMPUTED_VALUE"""),"MEASURED ROUNDS")</f>
        <v>MEASURED ROUNDS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IFERROR(__xludf.DUMMYFUNCTION("""COMPUTED_VALUE"""),"Ricky Barnes")</f>
        <v>Ricky Barnes</v>
      </c>
      <c r="D2">
        <f ca="1">IFERROR(__xludf.DUMMYFUNCTION("""COMPUTED_VALUE"""),12)</f>
        <v>12</v>
      </c>
      <c r="E2">
        <f ca="1">IFERROR(__xludf.DUMMYFUNCTION("""COMPUTED_VALUE"""),1.874)</f>
        <v>1.8740000000000001</v>
      </c>
      <c r="F2">
        <f ca="1">IFERROR(__xludf.DUMMYFUNCTION("""COMPUTED_VALUE"""),7.496)</f>
        <v>7.4960000000000004</v>
      </c>
      <c r="G2">
        <f ca="1">IFERROR(__xludf.DUMMYFUNCTION("""COMPUTED_VALUE"""),4)</f>
        <v>4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IFERROR(__xludf.DUMMYFUNCTION("""COMPUTED_VALUE"""),4)</f>
        <v>4</v>
      </c>
      <c r="C3" t="str">
        <f ca="1">IFERROR(__xludf.DUMMYFUNCTION("""COMPUTED_VALUE"""),"Justin Suh")</f>
        <v>Justin Suh</v>
      </c>
      <c r="D3">
        <f ca="1">IFERROR(__xludf.DUMMYFUNCTION("""COMPUTED_VALUE"""),10)</f>
        <v>10</v>
      </c>
      <c r="E3">
        <f ca="1">IFERROR(__xludf.DUMMYFUNCTION("""COMPUTED_VALUE"""),1.616)</f>
        <v>1.6160000000000001</v>
      </c>
      <c r="F3">
        <f ca="1">IFERROR(__xludf.DUMMYFUNCTION("""COMPUTED_VALUE"""),6.463)</f>
        <v>6.4630000000000001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IFERROR(__xludf.DUMMYFUNCTION("""COMPUTED_VALUE"""),"Nelson Ledesma")</f>
        <v>Nelson Ledesma</v>
      </c>
      <c r="D4">
        <f ca="1">IFERROR(__xludf.DUMMYFUNCTION("""COMPUTED_VALUE"""),8)</f>
        <v>8</v>
      </c>
      <c r="E4">
        <f ca="1">IFERROR(__xludf.DUMMYFUNCTION("""COMPUTED_VALUE"""),1.488)</f>
        <v>1.488</v>
      </c>
      <c r="F4">
        <f ca="1">IFERROR(__xludf.DUMMYFUNCTION("""COMPUTED_VALUE"""),5.951)</f>
        <v>5.9509999999999996</v>
      </c>
      <c r="G4">
        <f ca="1">IFERROR(__xludf.DUMMYFUNCTION("""COMPUTED_VALUE"""),4)</f>
        <v>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IFERROR(__xludf.DUMMYFUNCTION("""COMPUTED_VALUE"""),7)</f>
        <v>7</v>
      </c>
      <c r="C5" t="str">
        <f ca="1">IFERROR(__xludf.DUMMYFUNCTION("""COMPUTED_VALUE"""),"Thomas Pieters")</f>
        <v>Thomas Pieters</v>
      </c>
      <c r="D5">
        <f ca="1">IFERROR(__xludf.DUMMYFUNCTION("""COMPUTED_VALUE"""),4)</f>
        <v>4</v>
      </c>
      <c r="E5">
        <f ca="1">IFERROR(__xludf.DUMMYFUNCTION("""COMPUTED_VALUE"""),1.347)</f>
        <v>1.347</v>
      </c>
      <c r="F5">
        <f ca="1">IFERROR(__xludf.DUMMYFUNCTION("""COMPUTED_VALUE"""),5.389)</f>
        <v>5.3890000000000002</v>
      </c>
      <c r="G5">
        <f ca="1">IFERROR(__xludf.DUMMYFUNCTION("""COMPUTED_VALUE"""),4)</f>
        <v>4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IFERROR(__xludf.DUMMYFUNCTION("""COMPUTED_VALUE"""),8)</f>
        <v>8</v>
      </c>
      <c r="C6" t="str">
        <f ca="1">IFERROR(__xludf.DUMMYFUNCTION("""COMPUTED_VALUE"""),"Bryson DeChambeau")</f>
        <v>Bryson DeChambeau</v>
      </c>
      <c r="D6">
        <f ca="1">IFERROR(__xludf.DUMMYFUNCTION("""COMPUTED_VALUE"""),8)</f>
        <v>8</v>
      </c>
      <c r="E6">
        <f ca="1">IFERROR(__xludf.DUMMYFUNCTION("""COMPUTED_VALUE"""),1.331)</f>
        <v>1.331</v>
      </c>
      <c r="F6">
        <f ca="1">IFERROR(__xludf.DUMMYFUNCTION("""COMPUTED_VALUE"""),10.649)</f>
        <v>10.648999999999999</v>
      </c>
      <c r="G6">
        <f ca="1">IFERROR(__xludf.DUMMYFUNCTION("""COMPUTED_VALUE"""),8)</f>
        <v>8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IFERROR(__xludf.DUMMYFUNCTION("""COMPUTED_VALUE"""),2)</f>
        <v>2</v>
      </c>
      <c r="C7" t="str">
        <f ca="1">IFERROR(__xludf.DUMMYFUNCTION("""COMPUTED_VALUE"""),"Dustin Johnson")</f>
        <v>Dustin Johnson</v>
      </c>
      <c r="D7">
        <f ca="1">IFERROR(__xludf.DUMMYFUNCTION("""COMPUTED_VALUE"""),8)</f>
        <v>8</v>
      </c>
      <c r="E7">
        <f ca="1">IFERROR(__xludf.DUMMYFUNCTION("""COMPUTED_VALUE"""),1.315)</f>
        <v>1.3149999999999999</v>
      </c>
      <c r="F7">
        <f ca="1">IFERROR(__xludf.DUMMYFUNCTION("""COMPUTED_VALUE"""),10.516)</f>
        <v>10.516</v>
      </c>
      <c r="G7">
        <f ca="1">IFERROR(__xludf.DUMMYFUNCTION("""COMPUTED_VALUE"""),8)</f>
        <v>8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IFERROR(__xludf.DUMMYFUNCTION("""COMPUTED_VALUE"""),10)</f>
        <v>10</v>
      </c>
      <c r="C8" t="str">
        <f ca="1">IFERROR(__xludf.DUMMYFUNCTION("""COMPUTED_VALUE"""),"J.J. Spaun")</f>
        <v>J.J. Spaun</v>
      </c>
      <c r="D8">
        <f ca="1">IFERROR(__xludf.DUMMYFUNCTION("""COMPUTED_VALUE"""),10)</f>
        <v>10</v>
      </c>
      <c r="E8">
        <f ca="1">IFERROR(__xludf.DUMMYFUNCTION("""COMPUTED_VALUE"""),1.255)</f>
        <v>1.2549999999999999</v>
      </c>
      <c r="F8">
        <f ca="1">IFERROR(__xludf.DUMMYFUNCTION("""COMPUTED_VALUE"""),7.531)</f>
        <v>7.5309999999999997</v>
      </c>
      <c r="G8">
        <f ca="1">IFERROR(__xludf.DUMMYFUNCTION("""COMPUTED_VALUE"""),6)</f>
        <v>6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IFERROR(__xludf.DUMMYFUNCTION("""COMPUTED_VALUE"""),6)</f>
        <v>6</v>
      </c>
      <c r="C9" t="str">
        <f ca="1">IFERROR(__xludf.DUMMYFUNCTION("""COMPUTED_VALUE"""),"Russell Henley")</f>
        <v>Russell Henley</v>
      </c>
      <c r="D9">
        <f ca="1">IFERROR(__xludf.DUMMYFUNCTION("""COMPUTED_VALUE"""),16)</f>
        <v>16</v>
      </c>
      <c r="E9">
        <f ca="1">IFERROR(__xludf.DUMMYFUNCTION("""COMPUTED_VALUE"""),1.251)</f>
        <v>1.2509999999999999</v>
      </c>
      <c r="F9">
        <f ca="1">IFERROR(__xludf.DUMMYFUNCTION("""COMPUTED_VALUE"""),20.016)</f>
        <v>20.015999999999998</v>
      </c>
      <c r="G9">
        <f ca="1">IFERROR(__xludf.DUMMYFUNCTION("""COMPUTED_VALUE"""),16)</f>
        <v>16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IFERROR(__xludf.DUMMYFUNCTION("""COMPUTED_VALUE"""),11)</f>
        <v>11</v>
      </c>
      <c r="C10" t="str">
        <f ca="1">IFERROR(__xludf.DUMMYFUNCTION("""COMPUTED_VALUE"""),"Bubba Watson")</f>
        <v>Bubba Watson</v>
      </c>
      <c r="D10">
        <f ca="1">IFERROR(__xludf.DUMMYFUNCTION("""COMPUTED_VALUE"""),12)</f>
        <v>12</v>
      </c>
      <c r="E10">
        <f ca="1">IFERROR(__xludf.DUMMYFUNCTION("""COMPUTED_VALUE"""),1.191)</f>
        <v>1.1910000000000001</v>
      </c>
      <c r="F10">
        <f ca="1">IFERROR(__xludf.DUMMYFUNCTION("""COMPUTED_VALUE"""),14.294)</f>
        <v>14.294</v>
      </c>
      <c r="G10">
        <f ca="1">IFERROR(__xludf.DUMMYFUNCTION("""COMPUTED_VALUE"""),12)</f>
        <v>12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IFERROR(__xludf.DUMMYFUNCTION("""COMPUTED_VALUE"""),13)</f>
        <v>13</v>
      </c>
      <c r="C11" t="str">
        <f ca="1">IFERROR(__xludf.DUMMYFUNCTION("""COMPUTED_VALUE"""),"Martin Laird")</f>
        <v>Martin Laird</v>
      </c>
      <c r="D11">
        <f ca="1">IFERROR(__xludf.DUMMYFUNCTION("""COMPUTED_VALUE"""),16)</f>
        <v>16</v>
      </c>
      <c r="E11">
        <f ca="1">IFERROR(__xludf.DUMMYFUNCTION("""COMPUTED_VALUE"""),1.158)</f>
        <v>1.1579999999999999</v>
      </c>
      <c r="F11">
        <f ca="1">IFERROR(__xludf.DUMMYFUNCTION("""COMPUTED_VALUE"""),13.902)</f>
        <v>13.901999999999999</v>
      </c>
      <c r="G11">
        <f ca="1">IFERROR(__xludf.DUMMYFUNCTION("""COMPUTED_VALUE"""),12)</f>
        <v>12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IFERROR(__xludf.DUMMYFUNCTION("""COMPUTED_VALUE"""),12)</f>
        <v>12</v>
      </c>
      <c r="C12" t="str">
        <f ca="1">IFERROR(__xludf.DUMMYFUNCTION("""COMPUTED_VALUE"""),"Will Zalatoris")</f>
        <v>Will Zalatoris</v>
      </c>
      <c r="D12">
        <f ca="1">IFERROR(__xludf.DUMMYFUNCTION("""COMPUTED_VALUE"""),18)</f>
        <v>18</v>
      </c>
      <c r="E12">
        <f ca="1">IFERROR(__xludf.DUMMYFUNCTION("""COMPUTED_VALUE"""),1.153)</f>
        <v>1.153</v>
      </c>
      <c r="F12">
        <f ca="1">IFERROR(__xludf.DUMMYFUNCTION("""COMPUTED_VALUE"""),11.525)</f>
        <v>11.525</v>
      </c>
      <c r="G12">
        <f ca="1">IFERROR(__xludf.DUMMYFUNCTION("""COMPUTED_VALUE"""),10)</f>
        <v>10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IFERROR(__xludf.DUMMYFUNCTION("""COMPUTED_VALUE"""),15)</f>
        <v>15</v>
      </c>
      <c r="C13" t="str">
        <f ca="1">IFERROR(__xludf.DUMMYFUNCTION("""COMPUTED_VALUE"""),"Matt Wallace")</f>
        <v>Matt Wallace</v>
      </c>
      <c r="D13">
        <f ca="1">IFERROR(__xludf.DUMMYFUNCTION("""COMPUTED_VALUE"""),4)</f>
        <v>4</v>
      </c>
      <c r="E13">
        <f ca="1">IFERROR(__xludf.DUMMYFUNCTION("""COMPUTED_VALUE"""),1.1)</f>
        <v>1.1000000000000001</v>
      </c>
      <c r="F13">
        <f ca="1">IFERROR(__xludf.DUMMYFUNCTION("""COMPUTED_VALUE"""),4.4)</f>
        <v>4.4000000000000004</v>
      </c>
      <c r="G13">
        <f ca="1">IFERROR(__xludf.DUMMYFUNCTION("""COMPUTED_VALUE"""),4)</f>
        <v>4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IFERROR(__xludf.DUMMYFUNCTION("""COMPUTED_VALUE"""),19)</f>
        <v>19</v>
      </c>
      <c r="C14" t="str">
        <f ca="1">IFERROR(__xludf.DUMMYFUNCTION("""COMPUTED_VALUE"""),"Camilo Villegas")</f>
        <v>Camilo Villegas</v>
      </c>
      <c r="D14">
        <f ca="1">IFERROR(__xludf.DUMMYFUNCTION("""COMPUTED_VALUE"""),14)</f>
        <v>14</v>
      </c>
      <c r="E14">
        <f ca="1">IFERROR(__xludf.DUMMYFUNCTION("""COMPUTED_VALUE"""),1.082)</f>
        <v>1.0820000000000001</v>
      </c>
      <c r="F14">
        <f ca="1">IFERROR(__xludf.DUMMYFUNCTION("""COMPUTED_VALUE"""),10.815)</f>
        <v>10.815</v>
      </c>
      <c r="G14">
        <f ca="1">IFERROR(__xludf.DUMMYFUNCTION("""COMPUTED_VALUE"""),10)</f>
        <v>10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IFERROR(__xludf.DUMMYFUNCTION("""COMPUTED_VALUE"""),18)</f>
        <v>18</v>
      </c>
      <c r="C15" t="str">
        <f ca="1">IFERROR(__xludf.DUMMYFUNCTION("""COMPUTED_VALUE"""),"Matthew Wolff")</f>
        <v>Matthew Wolff</v>
      </c>
      <c r="D15">
        <f ca="1">IFERROR(__xludf.DUMMYFUNCTION("""COMPUTED_VALUE"""),16)</f>
        <v>16</v>
      </c>
      <c r="E15">
        <f ca="1">IFERROR(__xludf.DUMMYFUNCTION("""COMPUTED_VALUE"""),1.056)</f>
        <v>1.056</v>
      </c>
      <c r="F15">
        <f ca="1">IFERROR(__xludf.DUMMYFUNCTION("""COMPUTED_VALUE"""),16.903)</f>
        <v>16.902999999999999</v>
      </c>
      <c r="G15">
        <f ca="1">IFERROR(__xludf.DUMMYFUNCTION("""COMPUTED_VALUE"""),16)</f>
        <v>16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IFERROR(__xludf.DUMMYFUNCTION("""COMPUTED_VALUE"""),20)</f>
        <v>20</v>
      </c>
      <c r="C16" t="str">
        <f ca="1">IFERROR(__xludf.DUMMYFUNCTION("""COMPUTED_VALUE"""),"Jim Furyk")</f>
        <v>Jim Furyk</v>
      </c>
      <c r="D16">
        <f ca="1">IFERROR(__xludf.DUMMYFUNCTION("""COMPUTED_VALUE"""),4)</f>
        <v>4</v>
      </c>
      <c r="E16">
        <f ca="1">IFERROR(__xludf.DUMMYFUNCTION("""COMPUTED_VALUE"""),1.031)</f>
        <v>1.0309999999999999</v>
      </c>
      <c r="F16">
        <f ca="1">IFERROR(__xludf.DUMMYFUNCTION("""COMPUTED_VALUE"""),4.126)</f>
        <v>4.1260000000000003</v>
      </c>
      <c r="G16">
        <f ca="1">IFERROR(__xludf.DUMMYFUNCTION("""COMPUTED_VALUE"""),4)</f>
        <v>4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IFERROR(__xludf.DUMMYFUNCTION("""COMPUTED_VALUE"""),22)</f>
        <v>22</v>
      </c>
      <c r="C17" t="str">
        <f ca="1">IFERROR(__xludf.DUMMYFUNCTION("""COMPUTED_VALUE"""),"Ryan Blaum")</f>
        <v>Ryan Blaum</v>
      </c>
      <c r="D17">
        <f ca="1">IFERROR(__xludf.DUMMYFUNCTION("""COMPUTED_VALUE"""),8)</f>
        <v>8</v>
      </c>
      <c r="E17">
        <f ca="1">IFERROR(__xludf.DUMMYFUNCTION("""COMPUTED_VALUE"""),1.025)</f>
        <v>1.0249999999999999</v>
      </c>
      <c r="F17">
        <f ca="1">IFERROR(__xludf.DUMMYFUNCTION("""COMPUTED_VALUE"""),4.1)</f>
        <v>4.0999999999999996</v>
      </c>
      <c r="G17">
        <f ca="1">IFERROR(__xludf.DUMMYFUNCTION("""COMPUTED_VALUE"""),4)</f>
        <v>4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IFERROR(__xludf.DUMMYFUNCTION("""COMPUTED_VALUE"""),36)</f>
        <v>36</v>
      </c>
      <c r="C18" t="str">
        <f ca="1">IFERROR(__xludf.DUMMYFUNCTION("""COMPUTED_VALUE"""),"Matthew NeSmith")</f>
        <v>Matthew NeSmith</v>
      </c>
      <c r="D18">
        <f ca="1">IFERROR(__xludf.DUMMYFUNCTION("""COMPUTED_VALUE"""),16)</f>
        <v>16</v>
      </c>
      <c r="E18">
        <f ca="1">IFERROR(__xludf.DUMMYFUNCTION("""COMPUTED_VALUE"""),1.003)</f>
        <v>1.0029999999999999</v>
      </c>
      <c r="F18">
        <f ca="1">IFERROR(__xludf.DUMMYFUNCTION("""COMPUTED_VALUE"""),12.038)</f>
        <v>12.038</v>
      </c>
      <c r="G18">
        <f ca="1">IFERROR(__xludf.DUMMYFUNCTION("""COMPUTED_VALUE"""),12)</f>
        <v>12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IFERROR(__xludf.DUMMYFUNCTION("""COMPUTED_VALUE"""),23)</f>
        <v>23</v>
      </c>
      <c r="C19" t="str">
        <f ca="1">IFERROR(__xludf.DUMMYFUNCTION("""COMPUTED_VALUE"""),"Romain Langasque")</f>
        <v>Romain Langasque</v>
      </c>
      <c r="D19">
        <f ca="1">IFERROR(__xludf.DUMMYFUNCTION("""COMPUTED_VALUE"""),4)</f>
        <v>4</v>
      </c>
      <c r="E19">
        <f ca="1">IFERROR(__xludf.DUMMYFUNCTION("""COMPUTED_VALUE"""),0.989)</f>
        <v>0.98899999999999999</v>
      </c>
      <c r="F19">
        <f ca="1">IFERROR(__xludf.DUMMYFUNCTION("""COMPUTED_VALUE"""),3.955)</f>
        <v>3.9550000000000001</v>
      </c>
      <c r="G19">
        <f ca="1">IFERROR(__xludf.DUMMYFUNCTION("""COMPUTED_VALUE"""),4)</f>
        <v>4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IFERROR(__xludf.DUMMYFUNCTION("""COMPUTED_VALUE"""),24)</f>
        <v>24</v>
      </c>
      <c r="C20" t="str">
        <f ca="1">IFERROR(__xludf.DUMMYFUNCTION("""COMPUTED_VALUE"""),"Mark Anderson")</f>
        <v>Mark Anderson</v>
      </c>
      <c r="D20">
        <f ca="1">IFERROR(__xludf.DUMMYFUNCTION("""COMPUTED_VALUE"""),14)</f>
        <v>14</v>
      </c>
      <c r="E20">
        <f ca="1">IFERROR(__xludf.DUMMYFUNCTION("""COMPUTED_VALUE"""),0.969)</f>
        <v>0.96899999999999997</v>
      </c>
      <c r="F20">
        <f ca="1">IFERROR(__xludf.DUMMYFUNCTION("""COMPUTED_VALUE"""),5.812)</f>
        <v>5.8120000000000003</v>
      </c>
      <c r="G20">
        <f ca="1">IFERROR(__xludf.DUMMYFUNCTION("""COMPUTED_VALUE"""),6)</f>
        <v>6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IFERROR(__xludf.DUMMYFUNCTION("""COMPUTED_VALUE"""),32)</f>
        <v>32</v>
      </c>
      <c r="C21" t="str">
        <f ca="1">IFERROR(__xludf.DUMMYFUNCTION("""COMPUTED_VALUE"""),"Emiliano Grillo")</f>
        <v>Emiliano Grillo</v>
      </c>
      <c r="D21">
        <f ca="1">IFERROR(__xludf.DUMMYFUNCTION("""COMPUTED_VALUE"""),22)</f>
        <v>22</v>
      </c>
      <c r="E21">
        <f ca="1">IFERROR(__xludf.DUMMYFUNCTION("""COMPUTED_VALUE"""),0.95)</f>
        <v>0.95</v>
      </c>
      <c r="F21">
        <f ca="1">IFERROR(__xludf.DUMMYFUNCTION("""COMPUTED_VALUE"""),13.295)</f>
        <v>13.295</v>
      </c>
      <c r="G21">
        <f ca="1">IFERROR(__xludf.DUMMYFUNCTION("""COMPUTED_VALUE"""),14)</f>
        <v>14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IFERROR(__xludf.DUMMYFUNCTION("""COMPUTED_VALUE"""),3)</f>
        <v>3</v>
      </c>
      <c r="C22" t="str">
        <f ca="1">IFERROR(__xludf.DUMMYFUNCTION("""COMPUTED_VALUE"""),"John Huh")</f>
        <v>John Huh</v>
      </c>
      <c r="D22">
        <f ca="1">IFERROR(__xludf.DUMMYFUNCTION("""COMPUTED_VALUE"""),8)</f>
        <v>8</v>
      </c>
      <c r="E22">
        <f ca="1">IFERROR(__xludf.DUMMYFUNCTION("""COMPUTED_VALUE"""),0.945)</f>
        <v>0.94499999999999995</v>
      </c>
      <c r="F22">
        <f ca="1">IFERROR(__xludf.DUMMYFUNCTION("""COMPUTED_VALUE"""),7.562)</f>
        <v>7.5620000000000003</v>
      </c>
      <c r="G22">
        <f ca="1">IFERROR(__xludf.DUMMYFUNCTION("""COMPUTED_VALUE"""),8)</f>
        <v>8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IFERROR(__xludf.DUMMYFUNCTION("""COMPUTED_VALUE"""),25)</f>
        <v>25</v>
      </c>
      <c r="C23" t="str">
        <f ca="1">IFERROR(__xludf.DUMMYFUNCTION("""COMPUTED_VALUE"""),"Patrick Reed")</f>
        <v>Patrick Reed</v>
      </c>
      <c r="D23">
        <f ca="1">IFERROR(__xludf.DUMMYFUNCTION("""COMPUTED_VALUE"""),8)</f>
        <v>8</v>
      </c>
      <c r="E23">
        <f ca="1">IFERROR(__xludf.DUMMYFUNCTION("""COMPUTED_VALUE"""),0.934)</f>
        <v>0.93400000000000005</v>
      </c>
      <c r="F23">
        <f ca="1">IFERROR(__xludf.DUMMYFUNCTION("""COMPUTED_VALUE"""),7.469)</f>
        <v>7.4690000000000003</v>
      </c>
      <c r="G23">
        <f ca="1">IFERROR(__xludf.DUMMYFUNCTION("""COMPUTED_VALUE"""),8)</f>
        <v>8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IFERROR(__xludf.DUMMYFUNCTION("""COMPUTED_VALUE"""),9)</f>
        <v>9</v>
      </c>
      <c r="C24" t="str">
        <f ca="1">IFERROR(__xludf.DUMMYFUNCTION("""COMPUTED_VALUE"""),"Tony Finau")</f>
        <v>Tony Finau</v>
      </c>
      <c r="D24">
        <f ca="1">IFERROR(__xludf.DUMMYFUNCTION("""COMPUTED_VALUE"""),12)</f>
        <v>12</v>
      </c>
      <c r="E24">
        <f ca="1">IFERROR(__xludf.DUMMYFUNCTION("""COMPUTED_VALUE"""),0.932)</f>
        <v>0.93200000000000005</v>
      </c>
      <c r="F24">
        <f ca="1">IFERROR(__xludf.DUMMYFUNCTION("""COMPUTED_VALUE"""),11.188)</f>
        <v>11.188000000000001</v>
      </c>
      <c r="G24">
        <f ca="1">IFERROR(__xludf.DUMMYFUNCTION("""COMPUTED_VALUE"""),12)</f>
        <v>12</v>
      </c>
    </row>
    <row r="25" spans="1:7" ht="15.75" customHeight="1">
      <c r="A25">
        <f ca="1">IFERROR(__xludf.DUMMYFUNCTION("""COMPUTED_VALUE"""),24)</f>
        <v>24</v>
      </c>
      <c r="B25" t="str">
        <f ca="1">IFERROR(__xludf.DUMMYFUNCTION("""COMPUTED_VALUE"""),"")</f>
        <v/>
      </c>
      <c r="C25" t="str">
        <f ca="1">IFERROR(__xludf.DUMMYFUNCTION("""COMPUTED_VALUE"""),"Padraig Harrington")</f>
        <v>Padraig Harrington</v>
      </c>
      <c r="D25">
        <f ca="1">IFERROR(__xludf.DUMMYFUNCTION("""COMPUTED_VALUE"""),8)</f>
        <v>8</v>
      </c>
      <c r="E25">
        <f ca="1">IFERROR(__xludf.DUMMYFUNCTION("""COMPUTED_VALUE"""),0.915)</f>
        <v>0.91500000000000004</v>
      </c>
      <c r="F25">
        <f ca="1">IFERROR(__xludf.DUMMYFUNCTION("""COMPUTED_VALUE"""),3.658)</f>
        <v>3.6579999999999999</v>
      </c>
      <c r="G25">
        <f ca="1">IFERROR(__xludf.DUMMYFUNCTION("""COMPUTED_VALUE"""),4)</f>
        <v>4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IFERROR(__xludf.DUMMYFUNCTION("""COMPUTED_VALUE"""),26)</f>
        <v>26</v>
      </c>
      <c r="C26" t="str">
        <f ca="1">IFERROR(__xludf.DUMMYFUNCTION("""COMPUTED_VALUE"""),"Chez Reavie")</f>
        <v>Chez Reavie</v>
      </c>
      <c r="D26">
        <f ca="1">IFERROR(__xludf.DUMMYFUNCTION("""COMPUTED_VALUE"""),14)</f>
        <v>14</v>
      </c>
      <c r="E26">
        <f ca="1">IFERROR(__xludf.DUMMYFUNCTION("""COMPUTED_VALUE"""),0.898)</f>
        <v>0.89800000000000002</v>
      </c>
      <c r="F26">
        <f ca="1">IFERROR(__xludf.DUMMYFUNCTION("""COMPUTED_VALUE"""),12.576)</f>
        <v>12.576000000000001</v>
      </c>
      <c r="G26">
        <f ca="1">IFERROR(__xludf.DUMMYFUNCTION("""COMPUTED_VALUE"""),14)</f>
        <v>14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IFERROR(__xludf.DUMMYFUNCTION("""COMPUTED_VALUE"""),40)</f>
        <v>40</v>
      </c>
      <c r="C27" t="str">
        <f ca="1">IFERROR(__xludf.DUMMYFUNCTION("""COMPUTED_VALUE"""),"Keegan Bradley")</f>
        <v>Keegan Bradley</v>
      </c>
      <c r="D27">
        <f ca="1">IFERROR(__xludf.DUMMYFUNCTION("""COMPUTED_VALUE"""),16)</f>
        <v>16</v>
      </c>
      <c r="E27">
        <f ca="1">IFERROR(__xludf.DUMMYFUNCTION("""COMPUTED_VALUE"""),0.863)</f>
        <v>0.86299999999999999</v>
      </c>
      <c r="F27">
        <f ca="1">IFERROR(__xludf.DUMMYFUNCTION("""COMPUTED_VALUE"""),13.811)</f>
        <v>13.811</v>
      </c>
      <c r="G27">
        <f ca="1">IFERROR(__xludf.DUMMYFUNCTION("""COMPUTED_VALUE"""),16)</f>
        <v>16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IFERROR(__xludf.DUMMYFUNCTION("""COMPUTED_VALUE"""),29)</f>
        <v>29</v>
      </c>
      <c r="C28" t="str">
        <f ca="1">IFERROR(__xludf.DUMMYFUNCTION("""COMPUTED_VALUE"""),"Matthew Fitzpatrick")</f>
        <v>Matthew Fitzpatrick</v>
      </c>
      <c r="D28">
        <f ca="1">IFERROR(__xludf.DUMMYFUNCTION("""COMPUTED_VALUE"""),10)</f>
        <v>10</v>
      </c>
      <c r="E28">
        <f ca="1">IFERROR(__xludf.DUMMYFUNCTION("""COMPUTED_VALUE"""),0.85)</f>
        <v>0.85</v>
      </c>
      <c r="F28">
        <f ca="1">IFERROR(__xludf.DUMMYFUNCTION("""COMPUTED_VALUE"""),8.496)</f>
        <v>8.4960000000000004</v>
      </c>
      <c r="G28">
        <f ca="1">IFERROR(__xludf.DUMMYFUNCTION("""COMPUTED_VALUE"""),10)</f>
        <v>10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IFERROR(__xludf.DUMMYFUNCTION("""COMPUTED_VALUE"""),14)</f>
        <v>14</v>
      </c>
      <c r="C29" t="str">
        <f ca="1">IFERROR(__xludf.DUMMYFUNCTION("""COMPUTED_VALUE"""),"Scott Stallings")</f>
        <v>Scott Stallings</v>
      </c>
      <c r="D29">
        <f ca="1">IFERROR(__xludf.DUMMYFUNCTION("""COMPUTED_VALUE"""),14)</f>
        <v>14</v>
      </c>
      <c r="E29">
        <f ca="1">IFERROR(__xludf.DUMMYFUNCTION("""COMPUTED_VALUE"""),0.847)</f>
        <v>0.84699999999999998</v>
      </c>
      <c r="F29">
        <f ca="1">IFERROR(__xludf.DUMMYFUNCTION("""COMPUTED_VALUE"""),8.473)</f>
        <v>8.4730000000000008</v>
      </c>
      <c r="G29">
        <f ca="1">IFERROR(__xludf.DUMMYFUNCTION("""COMPUTED_VALUE"""),10)</f>
        <v>10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IFERROR(__xludf.DUMMYFUNCTION("""COMPUTED_VALUE"""),70)</f>
        <v>70</v>
      </c>
      <c r="C30" t="str">
        <f ca="1">IFERROR(__xludf.DUMMYFUNCTION("""COMPUTED_VALUE"""),"Harold Varner III")</f>
        <v>Harold Varner III</v>
      </c>
      <c r="D30">
        <f ca="1">IFERROR(__xludf.DUMMYFUNCTION("""COMPUTED_VALUE"""),14)</f>
        <v>14</v>
      </c>
      <c r="E30">
        <f ca="1">IFERROR(__xludf.DUMMYFUNCTION("""COMPUTED_VALUE"""),0.843)</f>
        <v>0.84299999999999997</v>
      </c>
      <c r="F30">
        <f ca="1">IFERROR(__xludf.DUMMYFUNCTION("""COMPUTED_VALUE"""),10.121)</f>
        <v>10.121</v>
      </c>
      <c r="G30">
        <f ca="1">IFERROR(__xludf.DUMMYFUNCTION("""COMPUTED_VALUE"""),12)</f>
        <v>12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IFERROR(__xludf.DUMMYFUNCTION("""COMPUTED_VALUE"""),31)</f>
        <v>31</v>
      </c>
      <c r="C31" t="str">
        <f ca="1">IFERROR(__xludf.DUMMYFUNCTION("""COMPUTED_VALUE"""),"Andy Zhang")</f>
        <v>Andy Zhang</v>
      </c>
      <c r="D31">
        <f ca="1">IFERROR(__xludf.DUMMYFUNCTION("""COMPUTED_VALUE"""),4)</f>
        <v>4</v>
      </c>
      <c r="E31">
        <f ca="1">IFERROR(__xludf.DUMMYFUNCTION("""COMPUTED_VALUE"""),0.81)</f>
        <v>0.81</v>
      </c>
      <c r="F31">
        <f ca="1">IFERROR(__xludf.DUMMYFUNCTION("""COMPUTED_VALUE"""),3.239)</f>
        <v>3.2389999999999999</v>
      </c>
      <c r="G31">
        <f ca="1">IFERROR(__xludf.DUMMYFUNCTION("""COMPUTED_VALUE"""),4)</f>
        <v>4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IFERROR(__xludf.DUMMYFUNCTION("""COMPUTED_VALUE"""),34)</f>
        <v>34</v>
      </c>
      <c r="C32" t="str">
        <f ca="1">IFERROR(__xludf.DUMMYFUNCTION("""COMPUTED_VALUE"""),"Tyrrell Hatton")</f>
        <v>Tyrrell Hatton</v>
      </c>
      <c r="D32">
        <f ca="1">IFERROR(__xludf.DUMMYFUNCTION("""COMPUTED_VALUE"""),14)</f>
        <v>14</v>
      </c>
      <c r="E32">
        <f ca="1">IFERROR(__xludf.DUMMYFUNCTION("""COMPUTED_VALUE"""),0.767)</f>
        <v>0.76700000000000002</v>
      </c>
      <c r="F32">
        <f ca="1">IFERROR(__xludf.DUMMYFUNCTION("""COMPUTED_VALUE"""),10.738)</f>
        <v>10.738</v>
      </c>
      <c r="G32">
        <f ca="1">IFERROR(__xludf.DUMMYFUNCTION("""COMPUTED_VALUE"""),14)</f>
        <v>14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IFERROR(__xludf.DUMMYFUNCTION("""COMPUTED_VALUE"""),35)</f>
        <v>35</v>
      </c>
      <c r="C33" t="str">
        <f ca="1">IFERROR(__xludf.DUMMYFUNCTION("""COMPUTED_VALUE"""),"D.J. Trahan")</f>
        <v>D.J. Trahan</v>
      </c>
      <c r="D33">
        <f ca="1">IFERROR(__xludf.DUMMYFUNCTION("""COMPUTED_VALUE"""),16)</f>
        <v>16</v>
      </c>
      <c r="E33">
        <f ca="1">IFERROR(__xludf.DUMMYFUNCTION("""COMPUTED_VALUE"""),0.758)</f>
        <v>0.75800000000000001</v>
      </c>
      <c r="F33">
        <f ca="1">IFERROR(__xludf.DUMMYFUNCTION("""COMPUTED_VALUE"""),6.064)</f>
        <v>6.0640000000000001</v>
      </c>
      <c r="G33">
        <f ca="1">IFERROR(__xludf.DUMMYFUNCTION("""COMPUTED_VALUE"""),8)</f>
        <v>8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IFERROR(__xludf.DUMMYFUNCTION("""COMPUTED_VALUE"""),38)</f>
        <v>38</v>
      </c>
      <c r="C34" t="str">
        <f ca="1">IFERROR(__xludf.DUMMYFUNCTION("""COMPUTED_VALUE"""),"Peter Malnati")</f>
        <v>Peter Malnati</v>
      </c>
      <c r="D34">
        <f ca="1">IFERROR(__xludf.DUMMYFUNCTION("""COMPUTED_VALUE"""),18)</f>
        <v>18</v>
      </c>
      <c r="E34">
        <f ca="1">IFERROR(__xludf.DUMMYFUNCTION("""COMPUTED_VALUE"""),0.742)</f>
        <v>0.74199999999999999</v>
      </c>
      <c r="F34">
        <f ca="1">IFERROR(__xludf.DUMMYFUNCTION("""COMPUTED_VALUE"""),7.417)</f>
        <v>7.4169999999999998</v>
      </c>
      <c r="G34">
        <f ca="1">IFERROR(__xludf.DUMMYFUNCTION("""COMPUTED_VALUE"""),10)</f>
        <v>10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IFERROR(__xludf.DUMMYFUNCTION("""COMPUTED_VALUE"""),16)</f>
        <v>16</v>
      </c>
      <c r="C35" t="str">
        <f ca="1">IFERROR(__xludf.DUMMYFUNCTION("""COMPUTED_VALUE"""),"Xinjun Zhang")</f>
        <v>Xinjun Zhang</v>
      </c>
      <c r="D35">
        <f ca="1">IFERROR(__xludf.DUMMYFUNCTION("""COMPUTED_VALUE"""),14)</f>
        <v>14</v>
      </c>
      <c r="E35">
        <f ca="1">IFERROR(__xludf.DUMMYFUNCTION("""COMPUTED_VALUE"""),0.739)</f>
        <v>0.73899999999999999</v>
      </c>
      <c r="F35">
        <f ca="1">IFERROR(__xludf.DUMMYFUNCTION("""COMPUTED_VALUE"""),7.39)</f>
        <v>7.39</v>
      </c>
      <c r="G35">
        <f ca="1">IFERROR(__xludf.DUMMYFUNCTION("""COMPUTED_VALUE"""),10)</f>
        <v>10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IFERROR(__xludf.DUMMYFUNCTION("""COMPUTED_VALUE"""),39)</f>
        <v>39</v>
      </c>
      <c r="C36" t="str">
        <f ca="1">IFERROR(__xludf.DUMMYFUNCTION("""COMPUTED_VALUE"""),"Doug Ghim")</f>
        <v>Doug Ghim</v>
      </c>
      <c r="D36">
        <f ca="1">IFERROR(__xludf.DUMMYFUNCTION("""COMPUTED_VALUE"""),14)</f>
        <v>14</v>
      </c>
      <c r="E36">
        <f ca="1">IFERROR(__xludf.DUMMYFUNCTION("""COMPUTED_VALUE"""),0.736)</f>
        <v>0.73599999999999999</v>
      </c>
      <c r="F36">
        <f ca="1">IFERROR(__xludf.DUMMYFUNCTION("""COMPUTED_VALUE"""),5.888)</f>
        <v>5.8879999999999999</v>
      </c>
      <c r="G36">
        <f ca="1">IFERROR(__xludf.DUMMYFUNCTION("""COMPUTED_VALUE"""),8)</f>
        <v>8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IFERROR(__xludf.DUMMYFUNCTION("""COMPUTED_VALUE"""),37)</f>
        <v>37</v>
      </c>
      <c r="C37" t="str">
        <f ca="1">IFERROR(__xludf.DUMMYFUNCTION("""COMPUTED_VALUE"""),"Scott Piercy")</f>
        <v>Scott Piercy</v>
      </c>
      <c r="D37">
        <f ca="1">IFERROR(__xludf.DUMMYFUNCTION("""COMPUTED_VALUE"""),18)</f>
        <v>18</v>
      </c>
      <c r="E37">
        <f ca="1">IFERROR(__xludf.DUMMYFUNCTION("""COMPUTED_VALUE"""),0.725)</f>
        <v>0.72499999999999998</v>
      </c>
      <c r="F37">
        <f ca="1">IFERROR(__xludf.DUMMYFUNCTION("""COMPUTED_VALUE"""),10.152)</f>
        <v>10.151999999999999</v>
      </c>
      <c r="G37">
        <f ca="1">IFERROR(__xludf.DUMMYFUNCTION("""COMPUTED_VALUE"""),14)</f>
        <v>14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IFERROR(__xludf.DUMMYFUNCTION("""COMPUTED_VALUE"""),41)</f>
        <v>41</v>
      </c>
      <c r="C38" t="str">
        <f ca="1">IFERROR(__xludf.DUMMYFUNCTION("""COMPUTED_VALUE"""),"Byeong Hun An")</f>
        <v>Byeong Hun An</v>
      </c>
      <c r="D38">
        <f ca="1">IFERROR(__xludf.DUMMYFUNCTION("""COMPUTED_VALUE"""),14)</f>
        <v>14</v>
      </c>
      <c r="E38">
        <f ca="1">IFERROR(__xludf.DUMMYFUNCTION("""COMPUTED_VALUE"""),0.704)</f>
        <v>0.70399999999999996</v>
      </c>
      <c r="F38">
        <f ca="1">IFERROR(__xludf.DUMMYFUNCTION("""COMPUTED_VALUE"""),9.854)</f>
        <v>9.8539999999999992</v>
      </c>
      <c r="G38">
        <f ca="1">IFERROR(__xludf.DUMMYFUNCTION("""COMPUTED_VALUE"""),14)</f>
        <v>14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IFERROR(__xludf.DUMMYFUNCTION("""COMPUTED_VALUE"""),43)</f>
        <v>43</v>
      </c>
      <c r="C39" t="str">
        <f ca="1">IFERROR(__xludf.DUMMYFUNCTION("""COMPUTED_VALUE"""),"Collin Morikawa")</f>
        <v>Collin Morikawa</v>
      </c>
      <c r="D39">
        <f ca="1">IFERROR(__xludf.DUMMYFUNCTION("""COMPUTED_VALUE"""),12)</f>
        <v>12</v>
      </c>
      <c r="E39">
        <f ca="1">IFERROR(__xludf.DUMMYFUNCTION("""COMPUTED_VALUE"""),0.692)</f>
        <v>0.69199999999999995</v>
      </c>
      <c r="F39">
        <f ca="1">IFERROR(__xludf.DUMMYFUNCTION("""COMPUTED_VALUE"""),8.307)</f>
        <v>8.3070000000000004</v>
      </c>
      <c r="G39">
        <f ca="1">IFERROR(__xludf.DUMMYFUNCTION("""COMPUTED_VALUE"""),12)</f>
        <v>12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IFERROR(__xludf.DUMMYFUNCTION("""COMPUTED_VALUE"""),47)</f>
        <v>47</v>
      </c>
      <c r="C40" t="str">
        <f ca="1">IFERROR(__xludf.DUMMYFUNCTION("""COMPUTED_VALUE"""),"Chris Kirk")</f>
        <v>Chris Kirk</v>
      </c>
      <c r="D40">
        <f ca="1">IFERROR(__xludf.DUMMYFUNCTION("""COMPUTED_VALUE"""),10)</f>
        <v>10</v>
      </c>
      <c r="E40">
        <f ca="1">IFERROR(__xludf.DUMMYFUNCTION("""COMPUTED_VALUE"""),0.679)</f>
        <v>0.67900000000000005</v>
      </c>
      <c r="F40">
        <f ca="1">IFERROR(__xludf.DUMMYFUNCTION("""COMPUTED_VALUE"""),5.435)</f>
        <v>5.4349999999999996</v>
      </c>
      <c r="G40">
        <f ca="1">IFERROR(__xludf.DUMMYFUNCTION("""COMPUTED_VALUE"""),8)</f>
        <v>8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IFERROR(__xludf.DUMMYFUNCTION("""COMPUTED_VALUE"""),45)</f>
        <v>45</v>
      </c>
      <c r="C41" t="str">
        <f ca="1">IFERROR(__xludf.DUMMYFUNCTION("""COMPUTED_VALUE"""),"Cameron Percy")</f>
        <v>Cameron Percy</v>
      </c>
      <c r="D41">
        <f ca="1">IFERROR(__xludf.DUMMYFUNCTION("""COMPUTED_VALUE"""),16)</f>
        <v>16</v>
      </c>
      <c r="E41">
        <f ca="1">IFERROR(__xludf.DUMMYFUNCTION("""COMPUTED_VALUE"""),0.677)</f>
        <v>0.67700000000000005</v>
      </c>
      <c r="F41">
        <f ca="1">IFERROR(__xludf.DUMMYFUNCTION("""COMPUTED_VALUE"""),5.413)</f>
        <v>5.4130000000000003</v>
      </c>
      <c r="G41">
        <f ca="1">IFERROR(__xludf.DUMMYFUNCTION("""COMPUTED_VALUE"""),8)</f>
        <v>8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IFERROR(__xludf.DUMMYFUNCTION("""COMPUTED_VALUE"""),28)</f>
        <v>28</v>
      </c>
      <c r="C42" t="str">
        <f ca="1">IFERROR(__xludf.DUMMYFUNCTION("""COMPUTED_VALUE"""),"Zach Johnson")</f>
        <v>Zach Johnson</v>
      </c>
      <c r="D42">
        <f ca="1">IFERROR(__xludf.DUMMYFUNCTION("""COMPUTED_VALUE"""),16)</f>
        <v>16</v>
      </c>
      <c r="E42">
        <f ca="1">IFERROR(__xludf.DUMMYFUNCTION("""COMPUTED_VALUE"""),0.676)</f>
        <v>0.67600000000000005</v>
      </c>
      <c r="F42">
        <f ca="1">IFERROR(__xludf.DUMMYFUNCTION("""COMPUTED_VALUE"""),10.809)</f>
        <v>10.808999999999999</v>
      </c>
      <c r="G42">
        <f ca="1">IFERROR(__xludf.DUMMYFUNCTION("""COMPUTED_VALUE"""),16)</f>
        <v>16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IFERROR(__xludf.DUMMYFUNCTION("""COMPUTED_VALUE"""),"T111")</f>
        <v>T111</v>
      </c>
      <c r="C43" t="str">
        <f ca="1">IFERROR(__xludf.DUMMYFUNCTION("""COMPUTED_VALUE"""),"Sepp Straka")</f>
        <v>Sepp Straka</v>
      </c>
      <c r="D43">
        <f ca="1">IFERROR(__xludf.DUMMYFUNCTION("""COMPUTED_VALUE"""),22)</f>
        <v>22</v>
      </c>
      <c r="E43">
        <f ca="1">IFERROR(__xludf.DUMMYFUNCTION("""COMPUTED_VALUE"""),0.651)</f>
        <v>0.65100000000000002</v>
      </c>
      <c r="F43">
        <f ca="1">IFERROR(__xludf.DUMMYFUNCTION("""COMPUTED_VALUE"""),9.116)</f>
        <v>9.1159999999999997</v>
      </c>
      <c r="G43">
        <f ca="1">IFERROR(__xludf.DUMMYFUNCTION("""COMPUTED_VALUE"""),14)</f>
        <v>14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IFERROR(__xludf.DUMMYFUNCTION("""COMPUTED_VALUE"""),48)</f>
        <v>48</v>
      </c>
      <c r="C44" t="str">
        <f ca="1">IFERROR(__xludf.DUMMYFUNCTION("""COMPUTED_VALUE"""),"Jon Rahm")</f>
        <v>Jon Rahm</v>
      </c>
      <c r="D44">
        <f ca="1">IFERROR(__xludf.DUMMYFUNCTION("""COMPUTED_VALUE"""),12)</f>
        <v>12</v>
      </c>
      <c r="E44">
        <f ca="1">IFERROR(__xludf.DUMMYFUNCTION("""COMPUTED_VALUE"""),0.643)</f>
        <v>0.64300000000000002</v>
      </c>
      <c r="F44">
        <f ca="1">IFERROR(__xludf.DUMMYFUNCTION("""COMPUTED_VALUE"""),7.721)</f>
        <v>7.7210000000000001</v>
      </c>
      <c r="G44">
        <f ca="1">IFERROR(__xludf.DUMMYFUNCTION("""COMPUTED_VALUE"""),12)</f>
        <v>12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IFERROR(__xludf.DUMMYFUNCTION("""COMPUTED_VALUE"""),49)</f>
        <v>49</v>
      </c>
      <c r="C45" t="str">
        <f ca="1">IFERROR(__xludf.DUMMYFUNCTION("""COMPUTED_VALUE"""),"Wesley Bryan")</f>
        <v>Wesley Bryan</v>
      </c>
      <c r="D45">
        <f ca="1">IFERROR(__xludf.DUMMYFUNCTION("""COMPUTED_VALUE"""),8)</f>
        <v>8</v>
      </c>
      <c r="E45">
        <f ca="1">IFERROR(__xludf.DUMMYFUNCTION("""COMPUTED_VALUE"""),0.642)</f>
        <v>0.64200000000000002</v>
      </c>
      <c r="F45">
        <f ca="1">IFERROR(__xludf.DUMMYFUNCTION("""COMPUTED_VALUE"""),3.855)</f>
        <v>3.855</v>
      </c>
      <c r="G45">
        <f ca="1">IFERROR(__xludf.DUMMYFUNCTION("""COMPUTED_VALUE"""),6)</f>
        <v>6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IFERROR(__xludf.DUMMYFUNCTION("""COMPUTED_VALUE"""),50)</f>
        <v>50</v>
      </c>
      <c r="C46" t="str">
        <f ca="1">IFERROR(__xludf.DUMMYFUNCTION("""COMPUTED_VALUE"""),"Justin Thomas")</f>
        <v>Justin Thomas</v>
      </c>
      <c r="D46">
        <f ca="1">IFERROR(__xludf.DUMMYFUNCTION("""COMPUTED_VALUE"""),12)</f>
        <v>12</v>
      </c>
      <c r="E46">
        <f ca="1">IFERROR(__xludf.DUMMYFUNCTION("""COMPUTED_VALUE"""),0.637)</f>
        <v>0.63700000000000001</v>
      </c>
      <c r="F46">
        <f ca="1">IFERROR(__xludf.DUMMYFUNCTION("""COMPUTED_VALUE"""),7.64)</f>
        <v>7.64</v>
      </c>
      <c r="G46">
        <f ca="1">IFERROR(__xludf.DUMMYFUNCTION("""COMPUTED_VALUE"""),12)</f>
        <v>12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IFERROR(__xludf.DUMMYFUNCTION("""COMPUTED_VALUE"""),55)</f>
        <v>55</v>
      </c>
      <c r="C47" t="str">
        <f ca="1">IFERROR(__xludf.DUMMYFUNCTION("""COMPUTED_VALUE"""),"Hideki Matsuyama")</f>
        <v>Hideki Matsuyama</v>
      </c>
      <c r="D47">
        <f ca="1">IFERROR(__xludf.DUMMYFUNCTION("""COMPUTED_VALUE"""),18)</f>
        <v>18</v>
      </c>
      <c r="E47">
        <f ca="1">IFERROR(__xludf.DUMMYFUNCTION("""COMPUTED_VALUE"""),0.634)</f>
        <v>0.63400000000000001</v>
      </c>
      <c r="F47">
        <f ca="1">IFERROR(__xludf.DUMMYFUNCTION("""COMPUTED_VALUE"""),11.419)</f>
        <v>11.419</v>
      </c>
      <c r="G47">
        <f ca="1">IFERROR(__xludf.DUMMYFUNCTION("""COMPUTED_VALUE"""),18)</f>
        <v>18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IFERROR(__xludf.DUMMYFUNCTION("""COMPUTED_VALUE"""),51)</f>
        <v>51</v>
      </c>
      <c r="C48" t="str">
        <f ca="1">IFERROR(__xludf.DUMMYFUNCTION("""COMPUTED_VALUE"""),"Xander Schauffele")</f>
        <v>Xander Schauffele</v>
      </c>
      <c r="D48">
        <f ca="1">IFERROR(__xludf.DUMMYFUNCTION("""COMPUTED_VALUE"""),12)</f>
        <v>12</v>
      </c>
      <c r="E48">
        <f ca="1">IFERROR(__xludf.DUMMYFUNCTION("""COMPUTED_VALUE"""),0.625)</f>
        <v>0.625</v>
      </c>
      <c r="F48">
        <f ca="1">IFERROR(__xludf.DUMMYFUNCTION("""COMPUTED_VALUE"""),7.5)</f>
        <v>7.5</v>
      </c>
      <c r="G48">
        <f ca="1">IFERROR(__xludf.DUMMYFUNCTION("""COMPUTED_VALUE"""),12)</f>
        <v>12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IFERROR(__xludf.DUMMYFUNCTION("""COMPUTED_VALUE"""),52)</f>
        <v>52</v>
      </c>
      <c r="C49" t="str">
        <f ca="1">IFERROR(__xludf.DUMMYFUNCTION("""COMPUTED_VALUE"""),"Rob Oppenheim")</f>
        <v>Rob Oppenheim</v>
      </c>
      <c r="D49">
        <f ca="1">IFERROR(__xludf.DUMMYFUNCTION("""COMPUTED_VALUE"""),16)</f>
        <v>16</v>
      </c>
      <c r="E49">
        <f ca="1">IFERROR(__xludf.DUMMYFUNCTION("""COMPUTED_VALUE"""),0.61)</f>
        <v>0.61</v>
      </c>
      <c r="F49">
        <f ca="1">IFERROR(__xludf.DUMMYFUNCTION("""COMPUTED_VALUE"""),6.102)</f>
        <v>6.1020000000000003</v>
      </c>
      <c r="G49">
        <f ca="1">IFERROR(__xludf.DUMMYFUNCTION("""COMPUTED_VALUE"""),10)</f>
        <v>10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IFERROR(__xludf.DUMMYFUNCTION("""COMPUTED_VALUE"""),42)</f>
        <v>42</v>
      </c>
      <c r="C50" t="str">
        <f ca="1">IFERROR(__xludf.DUMMYFUNCTION("""COMPUTED_VALUE"""),"Lanto Griffin")</f>
        <v>Lanto Griffin</v>
      </c>
      <c r="D50">
        <f ca="1">IFERROR(__xludf.DUMMYFUNCTION("""COMPUTED_VALUE"""),18)</f>
        <v>18</v>
      </c>
      <c r="E50">
        <f ca="1">IFERROR(__xludf.DUMMYFUNCTION("""COMPUTED_VALUE"""),0.603)</f>
        <v>0.60299999999999998</v>
      </c>
      <c r="F50">
        <f ca="1">IFERROR(__xludf.DUMMYFUNCTION("""COMPUTED_VALUE"""),10.851)</f>
        <v>10.851000000000001</v>
      </c>
      <c r="G50">
        <f ca="1">IFERROR(__xludf.DUMMYFUNCTION("""COMPUTED_VALUE"""),18)</f>
        <v>18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IFERROR(__xludf.DUMMYFUNCTION("""COMPUTED_VALUE"""),33)</f>
        <v>33</v>
      </c>
      <c r="C51" t="str">
        <f ca="1">IFERROR(__xludf.DUMMYFUNCTION("""COMPUTED_VALUE"""),"Austin Cook")</f>
        <v>Austin Cook</v>
      </c>
      <c r="D51">
        <f ca="1">IFERROR(__xludf.DUMMYFUNCTION("""COMPUTED_VALUE"""),14)</f>
        <v>14</v>
      </c>
      <c r="E51">
        <f ca="1">IFERROR(__xludf.DUMMYFUNCTION("""COMPUTED_VALUE"""),0.587)</f>
        <v>0.58699999999999997</v>
      </c>
      <c r="F51">
        <f ca="1">IFERROR(__xludf.DUMMYFUNCTION("""COMPUTED_VALUE"""),8.221)</f>
        <v>8.2210000000000001</v>
      </c>
      <c r="G51">
        <f ca="1">IFERROR(__xludf.DUMMYFUNCTION("""COMPUTED_VALUE"""),14)</f>
        <v>14</v>
      </c>
    </row>
    <row r="52" spans="1:7" ht="12.75">
      <c r="A52">
        <f ca="1">IFERROR(__xludf.DUMMYFUNCTION("""COMPUTED_VALUE"""),51)</f>
        <v>51</v>
      </c>
      <c r="B52">
        <f ca="1">IFERROR(__xludf.DUMMYFUNCTION("""COMPUTED_VALUE"""),121)</f>
        <v>121</v>
      </c>
      <c r="C52" t="str">
        <f ca="1">IFERROR(__xludf.DUMMYFUNCTION("""COMPUTED_VALUE"""),"Kramer Hickok")</f>
        <v>Kramer Hickok</v>
      </c>
      <c r="D52">
        <f ca="1">IFERROR(__xludf.DUMMYFUNCTION("""COMPUTED_VALUE"""),16)</f>
        <v>16</v>
      </c>
      <c r="E52">
        <f ca="1">IFERROR(__xludf.DUMMYFUNCTION("""COMPUTED_VALUE"""),0.552)</f>
        <v>0.55200000000000005</v>
      </c>
      <c r="F52">
        <f ca="1">IFERROR(__xludf.DUMMYFUNCTION("""COMPUTED_VALUE"""),4.419)</f>
        <v>4.4189999999999996</v>
      </c>
      <c r="G52">
        <f ca="1">IFERROR(__xludf.DUMMYFUNCTION("""COMPUTED_VALUE"""),8)</f>
        <v>8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IFERROR(__xludf.DUMMYFUNCTION("""COMPUTED_VALUE"""),21)</f>
        <v>21</v>
      </c>
      <c r="C53" t="str">
        <f ca="1">IFERROR(__xludf.DUMMYFUNCTION("""COMPUTED_VALUE"""),"Doc Redman")</f>
        <v>Doc Redman</v>
      </c>
      <c r="D53">
        <f ca="1">IFERROR(__xludf.DUMMYFUNCTION("""COMPUTED_VALUE"""),18)</f>
        <v>18</v>
      </c>
      <c r="E53">
        <f ca="1">IFERROR(__xludf.DUMMYFUNCTION("""COMPUTED_VALUE"""),0.547)</f>
        <v>0.54700000000000004</v>
      </c>
      <c r="F53">
        <f ca="1">IFERROR(__xludf.DUMMYFUNCTION("""COMPUTED_VALUE"""),7.651)</f>
        <v>7.6509999999999998</v>
      </c>
      <c r="G53">
        <f ca="1">IFERROR(__xludf.DUMMYFUNCTION("""COMPUTED_VALUE"""),14)</f>
        <v>14</v>
      </c>
    </row>
    <row r="54" spans="1:7" ht="12.75">
      <c r="A54" t="str">
        <f ca="1">IFERROR(__xludf.DUMMYFUNCTION("""COMPUTED_VALUE"""),"T53")</f>
        <v>T53</v>
      </c>
      <c r="B54">
        <f ca="1">IFERROR(__xludf.DUMMYFUNCTION("""COMPUTED_VALUE"""),54)</f>
        <v>54</v>
      </c>
      <c r="C54" t="str">
        <f ca="1">IFERROR(__xludf.DUMMYFUNCTION("""COMPUTED_VALUE"""),"Erik van Rooyen")</f>
        <v>Erik van Rooyen</v>
      </c>
      <c r="D54">
        <f ca="1">IFERROR(__xludf.DUMMYFUNCTION("""COMPUTED_VALUE"""),10)</f>
        <v>10</v>
      </c>
      <c r="E54">
        <f ca="1">IFERROR(__xludf.DUMMYFUNCTION("""COMPUTED_VALUE"""),0.541)</f>
        <v>0.54100000000000004</v>
      </c>
      <c r="F54">
        <f ca="1">IFERROR(__xludf.DUMMYFUNCTION("""COMPUTED_VALUE"""),5.409)</f>
        <v>5.4089999999999998</v>
      </c>
      <c r="G54">
        <f ca="1">IFERROR(__xludf.DUMMYFUNCTION("""COMPUTED_VALUE"""),10)</f>
        <v>10</v>
      </c>
    </row>
    <row r="55" spans="1:7" ht="12.75">
      <c r="A55" t="str">
        <f ca="1">IFERROR(__xludf.DUMMYFUNCTION("""COMPUTED_VALUE"""),"T53")</f>
        <v>T53</v>
      </c>
      <c r="B55">
        <f ca="1">IFERROR(__xludf.DUMMYFUNCTION("""COMPUTED_VALUE"""),58)</f>
        <v>58</v>
      </c>
      <c r="C55" t="str">
        <f ca="1">IFERROR(__xludf.DUMMYFUNCTION("""COMPUTED_VALUE"""),"Ryan Brehm")</f>
        <v>Ryan Brehm</v>
      </c>
      <c r="D55">
        <f ca="1">IFERROR(__xludf.DUMMYFUNCTION("""COMPUTED_VALUE"""),10)</f>
        <v>10</v>
      </c>
      <c r="E55">
        <f ca="1">IFERROR(__xludf.DUMMYFUNCTION("""COMPUTED_VALUE"""),0.541)</f>
        <v>0.54100000000000004</v>
      </c>
      <c r="F55">
        <f ca="1">IFERROR(__xludf.DUMMYFUNCTION("""COMPUTED_VALUE"""),1.083)</f>
        <v>1.083</v>
      </c>
      <c r="G55">
        <f ca="1">IFERROR(__xludf.DUMMYFUNCTION("""COMPUTED_VALUE"""),2)</f>
        <v>2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IFERROR(__xludf.DUMMYFUNCTION("""COMPUTED_VALUE"""),98)</f>
        <v>98</v>
      </c>
      <c r="C56" t="str">
        <f ca="1">IFERROR(__xludf.DUMMYFUNCTION("""COMPUTED_VALUE"""),"Shane Lowry")</f>
        <v>Shane Lowry</v>
      </c>
      <c r="D56">
        <f ca="1">IFERROR(__xludf.DUMMYFUNCTION("""COMPUTED_VALUE"""),14)</f>
        <v>14</v>
      </c>
      <c r="E56">
        <f ca="1">IFERROR(__xludf.DUMMYFUNCTION("""COMPUTED_VALUE"""),0.533)</f>
        <v>0.53300000000000003</v>
      </c>
      <c r="F56">
        <f ca="1">IFERROR(__xludf.DUMMYFUNCTION("""COMPUTED_VALUE"""),7.456)</f>
        <v>7.4560000000000004</v>
      </c>
      <c r="G56">
        <f ca="1">IFERROR(__xludf.DUMMYFUNCTION("""COMPUTED_VALUE"""),14)</f>
        <v>14</v>
      </c>
    </row>
    <row r="57" spans="1:7" ht="12.75">
      <c r="A57">
        <f ca="1">IFERROR(__xludf.DUMMYFUNCTION("""COMPUTED_VALUE"""),56)</f>
        <v>56</v>
      </c>
      <c r="B57">
        <f ca="1">IFERROR(__xludf.DUMMYFUNCTION("""COMPUTED_VALUE"""),46)</f>
        <v>46</v>
      </c>
      <c r="C57" t="str">
        <f ca="1">IFERROR(__xludf.DUMMYFUNCTION("""COMPUTED_VALUE"""),"Sungjae Im")</f>
        <v>Sungjae Im</v>
      </c>
      <c r="D57">
        <f ca="1">IFERROR(__xludf.DUMMYFUNCTION("""COMPUTED_VALUE"""),24)</f>
        <v>24</v>
      </c>
      <c r="E57">
        <f ca="1">IFERROR(__xludf.DUMMYFUNCTION("""COMPUTED_VALUE"""),0.532)</f>
        <v>0.53200000000000003</v>
      </c>
      <c r="F57">
        <f ca="1">IFERROR(__xludf.DUMMYFUNCTION("""COMPUTED_VALUE"""),12.756)</f>
        <v>12.756</v>
      </c>
      <c r="G57">
        <f ca="1">IFERROR(__xludf.DUMMYFUNCTION("""COMPUTED_VALUE"""),24)</f>
        <v>24</v>
      </c>
    </row>
    <row r="58" spans="1:7" ht="12.75">
      <c r="A58">
        <f ca="1">IFERROR(__xludf.DUMMYFUNCTION("""COMPUTED_VALUE"""),57)</f>
        <v>57</v>
      </c>
      <c r="B58">
        <f ca="1">IFERROR(__xludf.DUMMYFUNCTION("""COMPUTED_VALUE"""),59)</f>
        <v>59</v>
      </c>
      <c r="C58" t="str">
        <f ca="1">IFERROR(__xludf.DUMMYFUNCTION("""COMPUTED_VALUE"""),"Tom Hoge")</f>
        <v>Tom Hoge</v>
      </c>
      <c r="D58">
        <f ca="1">IFERROR(__xludf.DUMMYFUNCTION("""COMPUTED_VALUE"""),22)</f>
        <v>22</v>
      </c>
      <c r="E58">
        <f ca="1">IFERROR(__xludf.DUMMYFUNCTION("""COMPUTED_VALUE"""),0.528)</f>
        <v>0.52800000000000002</v>
      </c>
      <c r="F58">
        <f ca="1">IFERROR(__xludf.DUMMYFUNCTION("""COMPUTED_VALUE"""),11.618)</f>
        <v>11.618</v>
      </c>
      <c r="G58">
        <f ca="1">IFERROR(__xludf.DUMMYFUNCTION("""COMPUTED_VALUE"""),22)</f>
        <v>22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IFERROR(__xludf.DUMMYFUNCTION("""COMPUTED_VALUE"""),44)</f>
        <v>44</v>
      </c>
      <c r="C59" t="str">
        <f ca="1">IFERROR(__xludf.DUMMYFUNCTION("""COMPUTED_VALUE"""),"Russell Knox")</f>
        <v>Russell Knox</v>
      </c>
      <c r="D59">
        <f ca="1">IFERROR(__xludf.DUMMYFUNCTION("""COMPUTED_VALUE"""),16)</f>
        <v>16</v>
      </c>
      <c r="E59">
        <f ca="1">IFERROR(__xludf.DUMMYFUNCTION("""COMPUTED_VALUE"""),0.522)</f>
        <v>0.52200000000000002</v>
      </c>
      <c r="F59">
        <f ca="1">IFERROR(__xludf.DUMMYFUNCTION("""COMPUTED_VALUE"""),6.267)</f>
        <v>6.2670000000000003</v>
      </c>
      <c r="G59">
        <f ca="1">IFERROR(__xludf.DUMMYFUNCTION("""COMPUTED_VALUE"""),12)</f>
        <v>12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IFERROR(__xludf.DUMMYFUNCTION("""COMPUTED_VALUE"""),60)</f>
        <v>60</v>
      </c>
      <c r="C60" t="str">
        <f ca="1">IFERROR(__xludf.DUMMYFUNCTION("""COMPUTED_VALUE"""),"Bud Cauley")</f>
        <v>Bud Cauley</v>
      </c>
      <c r="D60">
        <f ca="1">IFERROR(__xludf.DUMMYFUNCTION("""COMPUTED_VALUE"""),4)</f>
        <v>4</v>
      </c>
      <c r="E60">
        <f ca="1">IFERROR(__xludf.DUMMYFUNCTION("""COMPUTED_VALUE"""),0.517)</f>
        <v>0.51700000000000002</v>
      </c>
      <c r="F60">
        <f ca="1">IFERROR(__xludf.DUMMYFUNCTION("""COMPUTED_VALUE"""),2.07)</f>
        <v>2.0699999999999998</v>
      </c>
      <c r="G60">
        <f ca="1">IFERROR(__xludf.DUMMYFUNCTION("""COMPUTED_VALUE"""),4)</f>
        <v>4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IFERROR(__xludf.DUMMYFUNCTION("""COMPUTED_VALUE"""),61)</f>
        <v>61</v>
      </c>
      <c r="C61" t="str">
        <f ca="1">IFERROR(__xludf.DUMMYFUNCTION("""COMPUTED_VALUE"""),"Josh Teater")</f>
        <v>Josh Teater</v>
      </c>
      <c r="D61">
        <f ca="1">IFERROR(__xludf.DUMMYFUNCTION("""COMPUTED_VALUE"""),6)</f>
        <v>6</v>
      </c>
      <c r="E61">
        <f ca="1">IFERROR(__xludf.DUMMYFUNCTION("""COMPUTED_VALUE"""),0.503)</f>
        <v>0.503</v>
      </c>
      <c r="F61">
        <f ca="1">IFERROR(__xludf.DUMMYFUNCTION("""COMPUTED_VALUE"""),1.007)</f>
        <v>1.0069999999999999</v>
      </c>
      <c r="G61">
        <f ca="1">IFERROR(__xludf.DUMMYFUNCTION("""COMPUTED_VALUE"""),2)</f>
        <v>2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IFERROR(__xludf.DUMMYFUNCTION("""COMPUTED_VALUE"""),126)</f>
        <v>126</v>
      </c>
      <c r="C62" t="str">
        <f ca="1">IFERROR(__xludf.DUMMYFUNCTION("""COMPUTED_VALUE"""),"Sam Burns")</f>
        <v>Sam Burns</v>
      </c>
      <c r="D62">
        <f ca="1">IFERROR(__xludf.DUMMYFUNCTION("""COMPUTED_VALUE"""),18)</f>
        <v>18</v>
      </c>
      <c r="E62">
        <f ca="1">IFERROR(__xludf.DUMMYFUNCTION("""COMPUTED_VALUE"""),0.499)</f>
        <v>0.499</v>
      </c>
      <c r="F62">
        <f ca="1">IFERROR(__xludf.DUMMYFUNCTION("""COMPUTED_VALUE"""),6.987)</f>
        <v>6.9870000000000001</v>
      </c>
      <c r="G62">
        <f ca="1">IFERROR(__xludf.DUMMYFUNCTION("""COMPUTED_VALUE"""),14)</f>
        <v>14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IFERROR(__xludf.DUMMYFUNCTION("""COMPUTED_VALUE"""),77)</f>
        <v>77</v>
      </c>
      <c r="C63" t="str">
        <f ca="1">IFERROR(__xludf.DUMMYFUNCTION("""COMPUTED_VALUE"""),"J.T. Poston")</f>
        <v>J.T. Poston</v>
      </c>
      <c r="D63">
        <f ca="1">IFERROR(__xludf.DUMMYFUNCTION("""COMPUTED_VALUE"""),18)</f>
        <v>18</v>
      </c>
      <c r="E63">
        <f ca="1">IFERROR(__xludf.DUMMYFUNCTION("""COMPUTED_VALUE"""),0.486)</f>
        <v>0.48599999999999999</v>
      </c>
      <c r="F63">
        <f ca="1">IFERROR(__xludf.DUMMYFUNCTION("""COMPUTED_VALUE"""),8.741)</f>
        <v>8.7409999999999997</v>
      </c>
      <c r="G63">
        <f ca="1">IFERROR(__xludf.DUMMYFUNCTION("""COMPUTED_VALUE"""),18)</f>
        <v>18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IFERROR(__xludf.DUMMYFUNCTION("""COMPUTED_VALUE"""),62)</f>
        <v>62</v>
      </c>
      <c r="C64" t="str">
        <f ca="1">IFERROR(__xludf.DUMMYFUNCTION("""COMPUTED_VALUE"""),"Cameron Champ")</f>
        <v>Cameron Champ</v>
      </c>
      <c r="D64">
        <f ca="1">IFERROR(__xludf.DUMMYFUNCTION("""COMPUTED_VALUE"""),12)</f>
        <v>12</v>
      </c>
      <c r="E64">
        <f ca="1">IFERROR(__xludf.DUMMYFUNCTION("""COMPUTED_VALUE"""),0.484)</f>
        <v>0.48399999999999999</v>
      </c>
      <c r="F64">
        <f ca="1">IFERROR(__xludf.DUMMYFUNCTION("""COMPUTED_VALUE"""),5.813)</f>
        <v>5.8129999999999997</v>
      </c>
      <c r="G64">
        <f ca="1">IFERROR(__xludf.DUMMYFUNCTION("""COMPUTED_VALUE"""),12)</f>
        <v>12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IFERROR(__xludf.DUMMYFUNCTION("""COMPUTED_VALUE"""),64)</f>
        <v>64</v>
      </c>
      <c r="C65" t="str">
        <f ca="1">IFERROR(__xludf.DUMMYFUNCTION("""COMPUTED_VALUE"""),"Kevin Kisner")</f>
        <v>Kevin Kisner</v>
      </c>
      <c r="D65">
        <f ca="1">IFERROR(__xludf.DUMMYFUNCTION("""COMPUTED_VALUE"""),10)</f>
        <v>10</v>
      </c>
      <c r="E65">
        <f ca="1">IFERROR(__xludf.DUMMYFUNCTION("""COMPUTED_VALUE"""),0.465)</f>
        <v>0.46500000000000002</v>
      </c>
      <c r="F65">
        <f ca="1">IFERROR(__xludf.DUMMYFUNCTION("""COMPUTED_VALUE"""),4.651)</f>
        <v>4.6509999999999998</v>
      </c>
      <c r="G65">
        <f ca="1">IFERROR(__xludf.DUMMYFUNCTION("""COMPUTED_VALUE"""),10)</f>
        <v>10</v>
      </c>
    </row>
    <row r="66" spans="1:7" ht="12.75">
      <c r="A66" t="str">
        <f ca="1">IFERROR(__xludf.DUMMYFUNCTION("""COMPUTED_VALUE"""),"T65")</f>
        <v>T65</v>
      </c>
      <c r="B66" t="str">
        <f ca="1">IFERROR(__xludf.DUMMYFUNCTION("""COMPUTED_VALUE"""),"T67")</f>
        <v>T67</v>
      </c>
      <c r="C66" t="str">
        <f ca="1">IFERROR(__xludf.DUMMYFUNCTION("""COMPUTED_VALUE"""),"William McGirt")</f>
        <v>William McGirt</v>
      </c>
      <c r="D66">
        <f ca="1">IFERROR(__xludf.DUMMYFUNCTION("""COMPUTED_VALUE"""),6)</f>
        <v>6</v>
      </c>
      <c r="E66">
        <f ca="1">IFERROR(__xludf.DUMMYFUNCTION("""COMPUTED_VALUE"""),0.461)</f>
        <v>0.46100000000000002</v>
      </c>
      <c r="F66">
        <f ca="1">IFERROR(__xludf.DUMMYFUNCTION("""COMPUTED_VALUE"""),2.765)</f>
        <v>2.7650000000000001</v>
      </c>
      <c r="G66">
        <f ca="1">IFERROR(__xludf.DUMMYFUNCTION("""COMPUTED_VALUE"""),6)</f>
        <v>6</v>
      </c>
    </row>
    <row r="67" spans="1:7" ht="12.75">
      <c r="A67" t="str">
        <f ca="1">IFERROR(__xludf.DUMMYFUNCTION("""COMPUTED_VALUE"""),"T65")</f>
        <v>T65</v>
      </c>
      <c r="B67" t="str">
        <f ca="1">IFERROR(__xludf.DUMMYFUNCTION("""COMPUTED_VALUE"""),"T67")</f>
        <v>T67</v>
      </c>
      <c r="C67" t="str">
        <f ca="1">IFERROR(__xludf.DUMMYFUNCTION("""COMPUTED_VALUE"""),"Shaun Norris")</f>
        <v>Shaun Norris</v>
      </c>
      <c r="D67">
        <f ca="1">IFERROR(__xludf.DUMMYFUNCTION("""COMPUTED_VALUE"""),6)</f>
        <v>6</v>
      </c>
      <c r="E67">
        <f ca="1">IFERROR(__xludf.DUMMYFUNCTION("""COMPUTED_VALUE"""),0.461)</f>
        <v>0.46100000000000002</v>
      </c>
      <c r="F67">
        <f ca="1">IFERROR(__xludf.DUMMYFUNCTION("""COMPUTED_VALUE"""),2.769)</f>
        <v>2.7690000000000001</v>
      </c>
      <c r="G67">
        <f ca="1">IFERROR(__xludf.DUMMYFUNCTION("""COMPUTED_VALUE"""),6)</f>
        <v>6</v>
      </c>
    </row>
    <row r="68" spans="1:7" ht="12.75">
      <c r="A68" t="str">
        <f ca="1">IFERROR(__xludf.DUMMYFUNCTION("""COMPUTED_VALUE"""),"T67")</f>
        <v>T67</v>
      </c>
      <c r="B68">
        <f ca="1">IFERROR(__xludf.DUMMYFUNCTION("""COMPUTED_VALUE"""),65)</f>
        <v>65</v>
      </c>
      <c r="C68" t="str">
        <f ca="1">IFERROR(__xludf.DUMMYFUNCTION("""COMPUTED_VALUE"""),"Brian Stuard")</f>
        <v>Brian Stuard</v>
      </c>
      <c r="D68">
        <f ca="1">IFERROR(__xludf.DUMMYFUNCTION("""COMPUTED_VALUE"""),18)</f>
        <v>18</v>
      </c>
      <c r="E68">
        <f ca="1">IFERROR(__xludf.DUMMYFUNCTION("""COMPUTED_VALUE"""),0.454)</f>
        <v>0.45400000000000001</v>
      </c>
      <c r="F68">
        <f ca="1">IFERROR(__xludf.DUMMYFUNCTION("""COMPUTED_VALUE"""),5.444)</f>
        <v>5.444</v>
      </c>
      <c r="G68">
        <f ca="1">IFERROR(__xludf.DUMMYFUNCTION("""COMPUTED_VALUE"""),12)</f>
        <v>12</v>
      </c>
    </row>
    <row r="69" spans="1:7" ht="12.75">
      <c r="A69" t="str">
        <f ca="1">IFERROR(__xludf.DUMMYFUNCTION("""COMPUTED_VALUE"""),"T67")</f>
        <v>T67</v>
      </c>
      <c r="B69">
        <f ca="1">IFERROR(__xludf.DUMMYFUNCTION("""COMPUTED_VALUE"""),69)</f>
        <v>69</v>
      </c>
      <c r="C69" t="str">
        <f ca="1">IFERROR(__xludf.DUMMYFUNCTION("""COMPUTED_VALUE"""),"Daniel Berger")</f>
        <v>Daniel Berger</v>
      </c>
      <c r="D69">
        <f ca="1">IFERROR(__xludf.DUMMYFUNCTION("""COMPUTED_VALUE"""),12)</f>
        <v>12</v>
      </c>
      <c r="E69">
        <f ca="1">IFERROR(__xludf.DUMMYFUNCTION("""COMPUTED_VALUE"""),0.454)</f>
        <v>0.45400000000000001</v>
      </c>
      <c r="F69">
        <f ca="1">IFERROR(__xludf.DUMMYFUNCTION("""COMPUTED_VALUE"""),5.445)</f>
        <v>5.4450000000000003</v>
      </c>
      <c r="G69">
        <f ca="1">IFERROR(__xludf.DUMMYFUNCTION("""COMPUTED_VALUE"""),12)</f>
        <v>12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IFERROR(__xludf.DUMMYFUNCTION("""COMPUTED_VALUE"""),57)</f>
        <v>57</v>
      </c>
      <c r="C70" t="str">
        <f ca="1">IFERROR(__xludf.DUMMYFUNCTION("""COMPUTED_VALUE"""),"Tyler Duncan")</f>
        <v>Tyler Duncan</v>
      </c>
      <c r="D70">
        <f ca="1">IFERROR(__xludf.DUMMYFUNCTION("""COMPUTED_VALUE"""),18)</f>
        <v>18</v>
      </c>
      <c r="E70">
        <f ca="1">IFERROR(__xludf.DUMMYFUNCTION("""COMPUTED_VALUE"""),0.441)</f>
        <v>0.441</v>
      </c>
      <c r="F70">
        <f ca="1">IFERROR(__xludf.DUMMYFUNCTION("""COMPUTED_VALUE"""),7.934)</f>
        <v>7.9340000000000002</v>
      </c>
      <c r="G70">
        <f ca="1">IFERROR(__xludf.DUMMYFUNCTION("""COMPUTED_VALUE"""),18)</f>
        <v>18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IFERROR(__xludf.DUMMYFUNCTION("""COMPUTED_VALUE"""),71)</f>
        <v>71</v>
      </c>
      <c r="C71" t="str">
        <f ca="1">IFERROR(__xludf.DUMMYFUNCTION("""COMPUTED_VALUE"""),"Sebastián Muñoz")</f>
        <v>Sebastián Muñoz</v>
      </c>
      <c r="D71">
        <f ca="1">IFERROR(__xludf.DUMMYFUNCTION("""COMPUTED_VALUE"""),20)</f>
        <v>20</v>
      </c>
      <c r="E71">
        <f ca="1">IFERROR(__xludf.DUMMYFUNCTION("""COMPUTED_VALUE"""),0.434)</f>
        <v>0.434</v>
      </c>
      <c r="F71">
        <f ca="1">IFERROR(__xludf.DUMMYFUNCTION("""COMPUTED_VALUE"""),8.682)</f>
        <v>8.6820000000000004</v>
      </c>
      <c r="G71">
        <f ca="1">IFERROR(__xludf.DUMMYFUNCTION("""COMPUTED_VALUE"""),20)</f>
        <v>20</v>
      </c>
    </row>
    <row r="72" spans="1:7" ht="12.75">
      <c r="A72">
        <f ca="1">IFERROR(__xludf.DUMMYFUNCTION("""COMPUTED_VALUE"""),71)</f>
        <v>71</v>
      </c>
      <c r="B72" t="str">
        <f ca="1">IFERROR(__xludf.DUMMYFUNCTION("""COMPUTED_VALUE"""),"T78")</f>
        <v>T78</v>
      </c>
      <c r="C72" t="str">
        <f ca="1">IFERROR(__xludf.DUMMYFUNCTION("""COMPUTED_VALUE"""),"Aaron Wise")</f>
        <v>Aaron Wise</v>
      </c>
      <c r="D72">
        <f ca="1">IFERROR(__xludf.DUMMYFUNCTION("""COMPUTED_VALUE"""),16)</f>
        <v>16</v>
      </c>
      <c r="E72">
        <f ca="1">IFERROR(__xludf.DUMMYFUNCTION("""COMPUTED_VALUE"""),0.433)</f>
        <v>0.433</v>
      </c>
      <c r="F72">
        <f ca="1">IFERROR(__xludf.DUMMYFUNCTION("""COMPUTED_VALUE"""),5.194)</f>
        <v>5.194</v>
      </c>
      <c r="G72">
        <f ca="1">IFERROR(__xludf.DUMMYFUNCTION("""COMPUTED_VALUE"""),12)</f>
        <v>12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IFERROR(__xludf.DUMMYFUNCTION("""COMPUTED_VALUE"""),17)</f>
        <v>17</v>
      </c>
      <c r="C73" t="str">
        <f ca="1">IFERROR(__xludf.DUMMYFUNCTION("""COMPUTED_VALUE"""),"James Hahn")</f>
        <v>James Hahn</v>
      </c>
      <c r="D73">
        <f ca="1">IFERROR(__xludf.DUMMYFUNCTION("""COMPUTED_VALUE"""),16)</f>
        <v>16</v>
      </c>
      <c r="E73">
        <f ca="1">IFERROR(__xludf.DUMMYFUNCTION("""COMPUTED_VALUE"""),0.416)</f>
        <v>0.41599999999999998</v>
      </c>
      <c r="F73">
        <f ca="1">IFERROR(__xludf.DUMMYFUNCTION("""COMPUTED_VALUE"""),4.989)</f>
        <v>4.9889999999999999</v>
      </c>
      <c r="G73">
        <f ca="1">IFERROR(__xludf.DUMMYFUNCTION("""COMPUTED_VALUE"""),12)</f>
        <v>12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IFERROR(__xludf.DUMMYFUNCTION("""COMPUTED_VALUE"""),72)</f>
        <v>72</v>
      </c>
      <c r="C74" t="str">
        <f ca="1">IFERROR(__xludf.DUMMYFUNCTION("""COMPUTED_VALUE"""),"Peter Uihlein")</f>
        <v>Peter Uihlein</v>
      </c>
      <c r="D74">
        <f ca="1">IFERROR(__xludf.DUMMYFUNCTION("""COMPUTED_VALUE"""),8)</f>
        <v>8</v>
      </c>
      <c r="E74">
        <f ca="1">IFERROR(__xludf.DUMMYFUNCTION("""COMPUTED_VALUE"""),0.408)</f>
        <v>0.40799999999999997</v>
      </c>
      <c r="F74">
        <f ca="1">IFERROR(__xludf.DUMMYFUNCTION("""COMPUTED_VALUE"""),0.817)</f>
        <v>0.81699999999999995</v>
      </c>
      <c r="G74">
        <f ca="1">IFERROR(__xludf.DUMMYFUNCTION("""COMPUTED_VALUE"""),2)</f>
        <v>2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IFERROR(__xludf.DUMMYFUNCTION("""COMPUTED_VALUE"""),"")</f>
        <v/>
      </c>
      <c r="C75" t="str">
        <f ca="1">IFERROR(__xludf.DUMMYFUNCTION("""COMPUTED_VALUE"""),"Justin Harding")</f>
        <v>Justin Harding</v>
      </c>
      <c r="D75">
        <f ca="1">IFERROR(__xludf.DUMMYFUNCTION("""COMPUTED_VALUE"""),6)</f>
        <v>6</v>
      </c>
      <c r="E75">
        <f ca="1">IFERROR(__xludf.DUMMYFUNCTION("""COMPUTED_VALUE"""),0.382)</f>
        <v>0.38200000000000001</v>
      </c>
      <c r="F75">
        <f ca="1">IFERROR(__xludf.DUMMYFUNCTION("""COMPUTED_VALUE"""),2.291)</f>
        <v>2.2909999999999999</v>
      </c>
      <c r="G75">
        <f ca="1">IFERROR(__xludf.DUMMYFUNCTION("""COMPUTED_VALUE"""),6)</f>
        <v>6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IFERROR(__xludf.DUMMYFUNCTION("""COMPUTED_VALUE"""),76)</f>
        <v>76</v>
      </c>
      <c r="C76" t="str">
        <f ca="1">IFERROR(__xludf.DUMMYFUNCTION("""COMPUTED_VALUE"""),"Ryan Palmer")</f>
        <v>Ryan Palmer</v>
      </c>
      <c r="D76">
        <f ca="1">IFERROR(__xludf.DUMMYFUNCTION("""COMPUTED_VALUE"""),14)</f>
        <v>14</v>
      </c>
      <c r="E76">
        <f ca="1">IFERROR(__xludf.DUMMYFUNCTION("""COMPUTED_VALUE"""),0.379)</f>
        <v>0.379</v>
      </c>
      <c r="F76">
        <f ca="1">IFERROR(__xludf.DUMMYFUNCTION("""COMPUTED_VALUE"""),5.31)</f>
        <v>5.31</v>
      </c>
      <c r="G76">
        <f ca="1">IFERROR(__xludf.DUMMYFUNCTION("""COMPUTED_VALUE"""),14)</f>
        <v>14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IFERROR(__xludf.DUMMYFUNCTION("""COMPUTED_VALUE"""),75)</f>
        <v>75</v>
      </c>
      <c r="C77" t="str">
        <f ca="1">IFERROR(__xludf.DUMMYFUNCTION("""COMPUTED_VALUE"""),"Troy Merritt")</f>
        <v>Troy Merritt</v>
      </c>
      <c r="D77">
        <f ca="1">IFERROR(__xludf.DUMMYFUNCTION("""COMPUTED_VALUE"""),20)</f>
        <v>20</v>
      </c>
      <c r="E77">
        <f ca="1">IFERROR(__xludf.DUMMYFUNCTION("""COMPUTED_VALUE"""),0.373)</f>
        <v>0.373</v>
      </c>
      <c r="F77">
        <f ca="1">IFERROR(__xludf.DUMMYFUNCTION("""COMPUTED_VALUE"""),5.966)</f>
        <v>5.9660000000000002</v>
      </c>
      <c r="G77">
        <f ca="1">IFERROR(__xludf.DUMMYFUNCTION("""COMPUTED_VALUE"""),16)</f>
        <v>16</v>
      </c>
    </row>
    <row r="78" spans="1:7" ht="12.75">
      <c r="A78">
        <f ca="1">IFERROR(__xludf.DUMMYFUNCTION("""COMPUTED_VALUE"""),77)</f>
        <v>77</v>
      </c>
      <c r="B78" t="str">
        <f ca="1">IFERROR(__xludf.DUMMYFUNCTION("""COMPUTED_VALUE"""),"")</f>
        <v/>
      </c>
      <c r="C78" t="str">
        <f ca="1">IFERROR(__xludf.DUMMYFUNCTION("""COMPUTED_VALUE"""),"Erik Barnes")</f>
        <v>Erik Barnes</v>
      </c>
      <c r="D78">
        <f ca="1">IFERROR(__xludf.DUMMYFUNCTION("""COMPUTED_VALUE"""),4)</f>
        <v>4</v>
      </c>
      <c r="E78">
        <f ca="1">IFERROR(__xludf.DUMMYFUNCTION("""COMPUTED_VALUE"""),0.367)</f>
        <v>0.36699999999999999</v>
      </c>
      <c r="F78">
        <f ca="1">IFERROR(__xludf.DUMMYFUNCTION("""COMPUTED_VALUE"""),1.468)</f>
        <v>1.468</v>
      </c>
      <c r="G78">
        <f ca="1">IFERROR(__xludf.DUMMYFUNCTION("""COMPUTED_VALUE"""),4)</f>
        <v>4</v>
      </c>
    </row>
    <row r="79" spans="1:7" ht="12.75">
      <c r="A79">
        <f ca="1">IFERROR(__xludf.DUMMYFUNCTION("""COMPUTED_VALUE"""),78)</f>
        <v>78</v>
      </c>
      <c r="B79" t="str">
        <f ca="1">IFERROR(__xludf.DUMMYFUNCTION("""COMPUTED_VALUE"""),"T78")</f>
        <v>T78</v>
      </c>
      <c r="C79" t="str">
        <f ca="1">IFERROR(__xludf.DUMMYFUNCTION("""COMPUTED_VALUE"""),"Takumi Kanaya")</f>
        <v>Takumi Kanaya</v>
      </c>
      <c r="D79">
        <f ca="1">IFERROR(__xludf.DUMMYFUNCTION("""COMPUTED_VALUE"""),6)</f>
        <v>6</v>
      </c>
      <c r="E79">
        <f ca="1">IFERROR(__xludf.DUMMYFUNCTION("""COMPUTED_VALUE"""),0.358)</f>
        <v>0.35799999999999998</v>
      </c>
      <c r="F79">
        <f ca="1">IFERROR(__xludf.DUMMYFUNCTION("""COMPUTED_VALUE"""),2.147)</f>
        <v>2.1469999999999998</v>
      </c>
      <c r="G79">
        <f ca="1">IFERROR(__xludf.DUMMYFUNCTION("""COMPUTED_VALUE"""),6)</f>
        <v>6</v>
      </c>
    </row>
    <row r="80" spans="1:7" ht="12.75">
      <c r="A80">
        <f ca="1">IFERROR(__xludf.DUMMYFUNCTION("""COMPUTED_VALUE"""),79)</f>
        <v>79</v>
      </c>
      <c r="B80" t="str">
        <f ca="1">IFERROR(__xludf.DUMMYFUNCTION("""COMPUTED_VALUE"""),"T80")</f>
        <v>T80</v>
      </c>
      <c r="C80" t="str">
        <f ca="1">IFERROR(__xludf.DUMMYFUNCTION("""COMPUTED_VALUE"""),"Cameron Smith")</f>
        <v>Cameron Smith</v>
      </c>
      <c r="D80">
        <f ca="1">IFERROR(__xludf.DUMMYFUNCTION("""COMPUTED_VALUE"""),16)</f>
        <v>16</v>
      </c>
      <c r="E80">
        <f ca="1">IFERROR(__xludf.DUMMYFUNCTION("""COMPUTED_VALUE"""),0.349)</f>
        <v>0.34899999999999998</v>
      </c>
      <c r="F80">
        <f ca="1">IFERROR(__xludf.DUMMYFUNCTION("""COMPUTED_VALUE"""),5.59)</f>
        <v>5.59</v>
      </c>
      <c r="G80">
        <f ca="1">IFERROR(__xludf.DUMMYFUNCTION("""COMPUTED_VALUE"""),16)</f>
        <v>16</v>
      </c>
    </row>
    <row r="81" spans="1:7" ht="12.75">
      <c r="A81">
        <f ca="1">IFERROR(__xludf.DUMMYFUNCTION("""COMPUTED_VALUE"""),80)</f>
        <v>80</v>
      </c>
      <c r="B81" t="str">
        <f ca="1">IFERROR(__xludf.DUMMYFUNCTION("""COMPUTED_VALUE"""),"")</f>
        <v/>
      </c>
      <c r="C81" t="str">
        <f ca="1">IFERROR(__xludf.DUMMYFUNCTION("""COMPUTED_VALUE"""),"Dawie van der Walt")</f>
        <v>Dawie van der Walt</v>
      </c>
      <c r="D81">
        <f ca="1">IFERROR(__xludf.DUMMYFUNCTION("""COMPUTED_VALUE"""),4)</f>
        <v>4</v>
      </c>
      <c r="E81">
        <f ca="1">IFERROR(__xludf.DUMMYFUNCTION("""COMPUTED_VALUE"""),0.346)</f>
        <v>0.34599999999999997</v>
      </c>
      <c r="F81">
        <f ca="1">IFERROR(__xludf.DUMMYFUNCTION("""COMPUTED_VALUE"""),1.382)</f>
        <v>1.3819999999999999</v>
      </c>
      <c r="G81">
        <f ca="1">IFERROR(__xludf.DUMMYFUNCTION("""COMPUTED_VALUE"""),4)</f>
        <v>4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IFERROR(__xludf.DUMMYFUNCTION("""COMPUTED_VALUE"""),82)</f>
        <v>82</v>
      </c>
      <c r="C82" t="str">
        <f ca="1">IFERROR(__xludf.DUMMYFUNCTION("""COMPUTED_VALUE"""),"Roger Sloan")</f>
        <v>Roger Sloan</v>
      </c>
      <c r="D82">
        <f ca="1">IFERROR(__xludf.DUMMYFUNCTION("""COMPUTED_VALUE"""),12)</f>
        <v>12</v>
      </c>
      <c r="E82">
        <f ca="1">IFERROR(__xludf.DUMMYFUNCTION("""COMPUTED_VALUE"""),0.34)</f>
        <v>0.34</v>
      </c>
      <c r="F82">
        <f ca="1">IFERROR(__xludf.DUMMYFUNCTION("""COMPUTED_VALUE"""),2.043)</f>
        <v>2.0430000000000001</v>
      </c>
      <c r="G82">
        <f ca="1">IFERROR(__xludf.DUMMYFUNCTION("""COMPUTED_VALUE"""),6)</f>
        <v>6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IFERROR(__xludf.DUMMYFUNCTION("""COMPUTED_VALUE"""),177)</f>
        <v>177</v>
      </c>
      <c r="C83" t="str">
        <f ca="1">IFERROR(__xludf.DUMMYFUNCTION("""COMPUTED_VALUE"""),"Adam Scott")</f>
        <v>Adam Scott</v>
      </c>
      <c r="D83">
        <f ca="1">IFERROR(__xludf.DUMMYFUNCTION("""COMPUTED_VALUE"""),8)</f>
        <v>8</v>
      </c>
      <c r="E83">
        <f ca="1">IFERROR(__xludf.DUMMYFUNCTION("""COMPUTED_VALUE"""),0.338)</f>
        <v>0.33800000000000002</v>
      </c>
      <c r="F83">
        <f ca="1">IFERROR(__xludf.DUMMYFUNCTION("""COMPUTED_VALUE"""),2.707)</f>
        <v>2.7069999999999999</v>
      </c>
      <c r="G83">
        <f ca="1">IFERROR(__xludf.DUMMYFUNCTION("""COMPUTED_VALUE"""),8)</f>
        <v>8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IFERROR(__xludf.DUMMYFUNCTION("""COMPUTED_VALUE"""),84)</f>
        <v>84</v>
      </c>
      <c r="C84" t="str">
        <f ca="1">IFERROR(__xludf.DUMMYFUNCTION("""COMPUTED_VALUE"""),"Kurt Kitayama")</f>
        <v>Kurt Kitayama</v>
      </c>
      <c r="D84">
        <f ca="1">IFERROR(__xludf.DUMMYFUNCTION("""COMPUTED_VALUE"""),4)</f>
        <v>4</v>
      </c>
      <c r="E84">
        <f ca="1">IFERROR(__xludf.DUMMYFUNCTION("""COMPUTED_VALUE"""),0.334)</f>
        <v>0.33400000000000002</v>
      </c>
      <c r="F84">
        <f ca="1">IFERROR(__xludf.DUMMYFUNCTION("""COMPUTED_VALUE"""),0.669)</f>
        <v>0.66900000000000004</v>
      </c>
      <c r="G84">
        <f ca="1">IFERROR(__xludf.DUMMYFUNCTION("""COMPUTED_VALUE"""),2)</f>
        <v>2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IFERROR(__xludf.DUMMYFUNCTION("""COMPUTED_VALUE"""),85)</f>
        <v>85</v>
      </c>
      <c r="C85" t="str">
        <f ca="1">IFERROR(__xludf.DUMMYFUNCTION("""COMPUTED_VALUE"""),"Akshay Bhatia")</f>
        <v>Akshay Bhatia</v>
      </c>
      <c r="D85">
        <f ca="1">IFERROR(__xludf.DUMMYFUNCTION("""COMPUTED_VALUE"""),6)</f>
        <v>6</v>
      </c>
      <c r="E85">
        <f ca="1">IFERROR(__xludf.DUMMYFUNCTION("""COMPUTED_VALUE"""),0.329)</f>
        <v>0.32900000000000001</v>
      </c>
      <c r="F85">
        <f ca="1">IFERROR(__xludf.DUMMYFUNCTION("""COMPUTED_VALUE"""),1.317)</f>
        <v>1.3169999999999999</v>
      </c>
      <c r="G85">
        <f ca="1">IFERROR(__xludf.DUMMYFUNCTION("""COMPUTED_VALUE"""),4)</f>
        <v>4</v>
      </c>
    </row>
    <row r="86" spans="1:7" ht="12.75">
      <c r="A86">
        <f ca="1">IFERROR(__xludf.DUMMYFUNCTION("""COMPUTED_VALUE"""),85)</f>
        <v>85</v>
      </c>
      <c r="B86" t="str">
        <f ca="1">IFERROR(__xludf.DUMMYFUNCTION("""COMPUTED_VALUE"""),"T80")</f>
        <v>T80</v>
      </c>
      <c r="C86" t="str">
        <f ca="1">IFERROR(__xludf.DUMMYFUNCTION("""COMPUTED_VALUE"""),"Charl Schwartzel")</f>
        <v>Charl Schwartzel</v>
      </c>
      <c r="D86">
        <f ca="1">IFERROR(__xludf.DUMMYFUNCTION("""COMPUTED_VALUE"""),12)</f>
        <v>12</v>
      </c>
      <c r="E86">
        <f ca="1">IFERROR(__xludf.DUMMYFUNCTION("""COMPUTED_VALUE"""),0.326)</f>
        <v>0.32600000000000001</v>
      </c>
      <c r="F86">
        <f ca="1">IFERROR(__xludf.DUMMYFUNCTION("""COMPUTED_VALUE"""),3.908)</f>
        <v>3.9079999999999999</v>
      </c>
      <c r="G86">
        <f ca="1">IFERROR(__xludf.DUMMYFUNCTION("""COMPUTED_VALUE"""),12)</f>
        <v>12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IFERROR(__xludf.DUMMYFUNCTION("""COMPUTED_VALUE"""),86)</f>
        <v>86</v>
      </c>
      <c r="C87" t="str">
        <f ca="1">IFERROR(__xludf.DUMMYFUNCTION("""COMPUTED_VALUE"""),"Joaquin Niemann")</f>
        <v>Joaquin Niemann</v>
      </c>
      <c r="D87">
        <f ca="1">IFERROR(__xludf.DUMMYFUNCTION("""COMPUTED_VALUE"""),16)</f>
        <v>16</v>
      </c>
      <c r="E87">
        <f ca="1">IFERROR(__xludf.DUMMYFUNCTION("""COMPUTED_VALUE"""),0.325)</f>
        <v>0.32500000000000001</v>
      </c>
      <c r="F87">
        <f ca="1">IFERROR(__xludf.DUMMYFUNCTION("""COMPUTED_VALUE"""),5.194)</f>
        <v>5.194</v>
      </c>
      <c r="G87">
        <f ca="1">IFERROR(__xludf.DUMMYFUNCTION("""COMPUTED_VALUE"""),16)</f>
        <v>16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IFERROR(__xludf.DUMMYFUNCTION("""COMPUTED_VALUE"""),87)</f>
        <v>87</v>
      </c>
      <c r="C88" t="str">
        <f ca="1">IFERROR(__xludf.DUMMYFUNCTION("""COMPUTED_VALUE"""),"Louis Oosthuizen")</f>
        <v>Louis Oosthuizen</v>
      </c>
      <c r="D88">
        <f ca="1">IFERROR(__xludf.DUMMYFUNCTION("""COMPUTED_VALUE"""),12)</f>
        <v>12</v>
      </c>
      <c r="E88">
        <f ca="1">IFERROR(__xludf.DUMMYFUNCTION("""COMPUTED_VALUE"""),0.317)</f>
        <v>0.317</v>
      </c>
      <c r="F88">
        <f ca="1">IFERROR(__xludf.DUMMYFUNCTION("""COMPUTED_VALUE"""),3.805)</f>
        <v>3.8050000000000002</v>
      </c>
      <c r="G88">
        <f ca="1">IFERROR(__xludf.DUMMYFUNCTION("""COMPUTED_VALUE"""),12)</f>
        <v>12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IFERROR(__xludf.DUMMYFUNCTION("""COMPUTED_VALUE"""),88)</f>
        <v>88</v>
      </c>
      <c r="C89" t="str">
        <f ca="1">IFERROR(__xludf.DUMMYFUNCTION("""COMPUTED_VALUE"""),"Bernd Wiesberger")</f>
        <v>Bernd Wiesberger</v>
      </c>
      <c r="D89">
        <f ca="1">IFERROR(__xludf.DUMMYFUNCTION("""COMPUTED_VALUE"""),4)</f>
        <v>4</v>
      </c>
      <c r="E89">
        <f ca="1">IFERROR(__xludf.DUMMYFUNCTION("""COMPUTED_VALUE"""),0.316)</f>
        <v>0.316</v>
      </c>
      <c r="F89">
        <f ca="1">IFERROR(__xludf.DUMMYFUNCTION("""COMPUTED_VALUE"""),1.265)</f>
        <v>1.2649999999999999</v>
      </c>
      <c r="G89">
        <f ca="1">IFERROR(__xludf.DUMMYFUNCTION("""COMPUTED_VALUE"""),4)</f>
        <v>4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IFERROR(__xludf.DUMMYFUNCTION("""COMPUTED_VALUE"""),90)</f>
        <v>90</v>
      </c>
      <c r="C90" t="str">
        <f ca="1">IFERROR(__xludf.DUMMYFUNCTION("""COMPUTED_VALUE"""),"John Pak")</f>
        <v>John Pak</v>
      </c>
      <c r="D90">
        <f ca="1">IFERROR(__xludf.DUMMYFUNCTION("""COMPUTED_VALUE"""),4)</f>
        <v>4</v>
      </c>
      <c r="E90">
        <f ca="1">IFERROR(__xludf.DUMMYFUNCTION("""COMPUTED_VALUE"""),0.311)</f>
        <v>0.311</v>
      </c>
      <c r="F90">
        <f ca="1">IFERROR(__xludf.DUMMYFUNCTION("""COMPUTED_VALUE"""),1.244)</f>
        <v>1.244</v>
      </c>
      <c r="G90">
        <f ca="1">IFERROR(__xludf.DUMMYFUNCTION("""COMPUTED_VALUE"""),4)</f>
        <v>4</v>
      </c>
    </row>
    <row r="91" spans="1:7" ht="12.75">
      <c r="A91">
        <f ca="1">IFERROR(__xludf.DUMMYFUNCTION("""COMPUTED_VALUE"""),90)</f>
        <v>90</v>
      </c>
      <c r="B91" t="str">
        <f ca="1">IFERROR(__xludf.DUMMYFUNCTION("""COMPUTED_VALUE"""),"")</f>
        <v/>
      </c>
      <c r="C91" t="str">
        <f ca="1">IFERROR(__xludf.DUMMYFUNCTION("""COMPUTED_VALUE"""),"Francesco Molinari")</f>
        <v>Francesco Molinari</v>
      </c>
      <c r="D91">
        <f ca="1">IFERROR(__xludf.DUMMYFUNCTION("""COMPUTED_VALUE"""),6)</f>
        <v>6</v>
      </c>
      <c r="E91">
        <f ca="1">IFERROR(__xludf.DUMMYFUNCTION("""COMPUTED_VALUE"""),0.306)</f>
        <v>0.30599999999999999</v>
      </c>
      <c r="F91">
        <f ca="1">IFERROR(__xludf.DUMMYFUNCTION("""COMPUTED_VALUE"""),1.838)</f>
        <v>1.8380000000000001</v>
      </c>
      <c r="G91">
        <f ca="1">IFERROR(__xludf.DUMMYFUNCTION("""COMPUTED_VALUE"""),6)</f>
        <v>6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IFERROR(__xludf.DUMMYFUNCTION("""COMPUTED_VALUE"""),30)</f>
        <v>30</v>
      </c>
      <c r="C92" t="str">
        <f ca="1">IFERROR(__xludf.DUMMYFUNCTION("""COMPUTED_VALUE"""),"Brooks Koepka")</f>
        <v>Brooks Koepka</v>
      </c>
      <c r="D92">
        <f ca="1">IFERROR(__xludf.DUMMYFUNCTION("""COMPUTED_VALUE"""),8)</f>
        <v>8</v>
      </c>
      <c r="E92">
        <f ca="1">IFERROR(__xludf.DUMMYFUNCTION("""COMPUTED_VALUE"""),0.303)</f>
        <v>0.30299999999999999</v>
      </c>
      <c r="F92">
        <f ca="1">IFERROR(__xludf.DUMMYFUNCTION("""COMPUTED_VALUE"""),2.428)</f>
        <v>2.4279999999999999</v>
      </c>
      <c r="G92">
        <f ca="1">IFERROR(__xludf.DUMMYFUNCTION("""COMPUTED_VALUE"""),8)</f>
        <v>8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IFERROR(__xludf.DUMMYFUNCTION("""COMPUTED_VALUE"""),91)</f>
        <v>91</v>
      </c>
      <c r="C93" t="str">
        <f ca="1">IFERROR(__xludf.DUMMYFUNCTION("""COMPUTED_VALUE"""),"Aaron Baddeley")</f>
        <v>Aaron Baddeley</v>
      </c>
      <c r="D93">
        <f ca="1">IFERROR(__xludf.DUMMYFUNCTION("""COMPUTED_VALUE"""),8)</f>
        <v>8</v>
      </c>
      <c r="E93">
        <f ca="1">IFERROR(__xludf.DUMMYFUNCTION("""COMPUTED_VALUE"""),0.296)</f>
        <v>0.29599999999999999</v>
      </c>
      <c r="F93">
        <f ca="1">IFERROR(__xludf.DUMMYFUNCTION("""COMPUTED_VALUE"""),1.184)</f>
        <v>1.1839999999999999</v>
      </c>
      <c r="G93">
        <f ca="1">IFERROR(__xludf.DUMMYFUNCTION("""COMPUTED_VALUE"""),4)</f>
        <v>4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IFERROR(__xludf.DUMMYFUNCTION("""COMPUTED_VALUE"""),93)</f>
        <v>93</v>
      </c>
      <c r="C94" t="str">
        <f ca="1">IFERROR(__xludf.DUMMYFUNCTION("""COMPUTED_VALUE"""),"Corey Conners")</f>
        <v>Corey Conners</v>
      </c>
      <c r="D94">
        <f ca="1">IFERROR(__xludf.DUMMYFUNCTION("""COMPUTED_VALUE"""),20)</f>
        <v>20</v>
      </c>
      <c r="E94">
        <f ca="1">IFERROR(__xludf.DUMMYFUNCTION("""COMPUTED_VALUE"""),0.288)</f>
        <v>0.28799999999999998</v>
      </c>
      <c r="F94">
        <f ca="1">IFERROR(__xludf.DUMMYFUNCTION("""COMPUTED_VALUE"""),5.179)</f>
        <v>5.1790000000000003</v>
      </c>
      <c r="G94">
        <f ca="1">IFERROR(__xludf.DUMMYFUNCTION("""COMPUTED_VALUE"""),18)</f>
        <v>18</v>
      </c>
    </row>
    <row r="95" spans="1:7" ht="12.75">
      <c r="A95">
        <f ca="1">IFERROR(__xludf.DUMMYFUNCTION("""COMPUTED_VALUE"""),94)</f>
        <v>94</v>
      </c>
      <c r="B95">
        <f ca="1">IFERROR(__xludf.DUMMYFUNCTION("""COMPUTED_VALUE"""),94)</f>
        <v>94</v>
      </c>
      <c r="C95" t="str">
        <f ca="1">IFERROR(__xludf.DUMMYFUNCTION("""COMPUTED_VALUE"""),"Hanbyeol Kim")</f>
        <v>Hanbyeol Kim</v>
      </c>
      <c r="D95">
        <f ca="1">IFERROR(__xludf.DUMMYFUNCTION("""COMPUTED_VALUE"""),4)</f>
        <v>4</v>
      </c>
      <c r="E95">
        <f ca="1">IFERROR(__xludf.DUMMYFUNCTION("""COMPUTED_VALUE"""),0.271)</f>
        <v>0.27100000000000002</v>
      </c>
      <c r="F95">
        <f ca="1">IFERROR(__xludf.DUMMYFUNCTION("""COMPUTED_VALUE"""),1.084)</f>
        <v>1.0840000000000001</v>
      </c>
      <c r="G95">
        <f ca="1">IFERROR(__xludf.DUMMYFUNCTION("""COMPUTED_VALUE"""),4)</f>
        <v>4</v>
      </c>
    </row>
    <row r="96" spans="1:7" ht="12.75">
      <c r="A96" t="str">
        <f ca="1">IFERROR(__xludf.DUMMYFUNCTION("""COMPUTED_VALUE"""),"T95")</f>
        <v>T95</v>
      </c>
      <c r="B96" t="str">
        <f ca="1">IFERROR(__xludf.DUMMYFUNCTION("""COMPUTED_VALUE"""),"T95")</f>
        <v>T95</v>
      </c>
      <c r="C96" t="str">
        <f ca="1">IFERROR(__xludf.DUMMYFUNCTION("""COMPUTED_VALUE"""),"Chase Seiffert")</f>
        <v>Chase Seiffert</v>
      </c>
      <c r="D96">
        <f ca="1">IFERROR(__xludf.DUMMYFUNCTION("""COMPUTED_VALUE"""),14)</f>
        <v>14</v>
      </c>
      <c r="E96">
        <f ca="1">IFERROR(__xludf.DUMMYFUNCTION("""COMPUTED_VALUE"""),0.267)</f>
        <v>0.26700000000000002</v>
      </c>
      <c r="F96">
        <f ca="1">IFERROR(__xludf.DUMMYFUNCTION("""COMPUTED_VALUE"""),2.139)</f>
        <v>2.1389999999999998</v>
      </c>
      <c r="G96">
        <f ca="1">IFERROR(__xludf.DUMMYFUNCTION("""COMPUTED_VALUE"""),8)</f>
        <v>8</v>
      </c>
    </row>
    <row r="97" spans="1:7" ht="12.75">
      <c r="A97" t="str">
        <f ca="1">IFERROR(__xludf.DUMMYFUNCTION("""COMPUTED_VALUE"""),"T95")</f>
        <v>T95</v>
      </c>
      <c r="B97" t="str">
        <f ca="1">IFERROR(__xludf.DUMMYFUNCTION("""COMPUTED_VALUE"""),"T95")</f>
        <v>T95</v>
      </c>
      <c r="C97" t="str">
        <f ca="1">IFERROR(__xludf.DUMMYFUNCTION("""COMPUTED_VALUE"""),"Patrick Cantlay")</f>
        <v>Patrick Cantlay</v>
      </c>
      <c r="D97">
        <f ca="1">IFERROR(__xludf.DUMMYFUNCTION("""COMPUTED_VALUE"""),16)</f>
        <v>16</v>
      </c>
      <c r="E97">
        <f ca="1">IFERROR(__xludf.DUMMYFUNCTION("""COMPUTED_VALUE"""),0.267)</f>
        <v>0.26700000000000002</v>
      </c>
      <c r="F97">
        <f ca="1">IFERROR(__xludf.DUMMYFUNCTION("""COMPUTED_VALUE"""),4.268)</f>
        <v>4.2679999999999998</v>
      </c>
      <c r="G97">
        <f ca="1">IFERROR(__xludf.DUMMYFUNCTION("""COMPUTED_VALUE"""),16)</f>
        <v>16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IFERROR(__xludf.DUMMYFUNCTION("""COMPUTED_VALUE"""),97)</f>
        <v>97</v>
      </c>
      <c r="C98" t="str">
        <f ca="1">IFERROR(__xludf.DUMMYFUNCTION("""COMPUTED_VALUE"""),"Matt Kuchar")</f>
        <v>Matt Kuchar</v>
      </c>
      <c r="D98">
        <f ca="1">IFERROR(__xludf.DUMMYFUNCTION("""COMPUTED_VALUE"""),14)</f>
        <v>14</v>
      </c>
      <c r="E98">
        <f ca="1">IFERROR(__xludf.DUMMYFUNCTION("""COMPUTED_VALUE"""),0.265)</f>
        <v>0.26500000000000001</v>
      </c>
      <c r="F98">
        <f ca="1">IFERROR(__xludf.DUMMYFUNCTION("""COMPUTED_VALUE"""),3.705)</f>
        <v>3.7050000000000001</v>
      </c>
      <c r="G98">
        <f ca="1">IFERROR(__xludf.DUMMYFUNCTION("""COMPUTED_VALUE"""),14)</f>
        <v>14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IFERROR(__xludf.DUMMYFUNCTION("""COMPUTED_VALUE"""),110)</f>
        <v>110</v>
      </c>
      <c r="C99" t="str">
        <f ca="1">IFERROR(__xludf.DUMMYFUNCTION("""COMPUTED_VALUE"""),"Henrik Norlander")</f>
        <v>Henrik Norlander</v>
      </c>
      <c r="D99">
        <f ca="1">IFERROR(__xludf.DUMMYFUNCTION("""COMPUTED_VALUE"""),16)</f>
        <v>16</v>
      </c>
      <c r="E99">
        <f ca="1">IFERROR(__xludf.DUMMYFUNCTION("""COMPUTED_VALUE"""),0.255)</f>
        <v>0.255</v>
      </c>
      <c r="F99">
        <f ca="1">IFERROR(__xludf.DUMMYFUNCTION("""COMPUTED_VALUE"""),3.062)</f>
        <v>3.0619999999999998</v>
      </c>
      <c r="G99">
        <f ca="1">IFERROR(__xludf.DUMMYFUNCTION("""COMPUTED_VALUE"""),12)</f>
        <v>12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IFERROR(__xludf.DUMMYFUNCTION("""COMPUTED_VALUE"""),99)</f>
        <v>99</v>
      </c>
      <c r="C100" t="str">
        <f ca="1">IFERROR(__xludf.DUMMYFUNCTION("""COMPUTED_VALUE"""),"Mikumu Horikawa")</f>
        <v>Mikumu Horikawa</v>
      </c>
      <c r="D100">
        <f ca="1">IFERROR(__xludf.DUMMYFUNCTION("""COMPUTED_VALUE"""),4)</f>
        <v>4</v>
      </c>
      <c r="E100">
        <f ca="1">IFERROR(__xludf.DUMMYFUNCTION("""COMPUTED_VALUE"""),0.252)</f>
        <v>0.252</v>
      </c>
      <c r="F100">
        <f ca="1">IFERROR(__xludf.DUMMYFUNCTION("""COMPUTED_VALUE"""),1.009)</f>
        <v>1.0089999999999999</v>
      </c>
      <c r="G100">
        <f ca="1">IFERROR(__xludf.DUMMYFUNCTION("""COMPUTED_VALUE"""),4)</f>
        <v>4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IFERROR(__xludf.DUMMYFUNCTION("""COMPUTED_VALUE"""),73)</f>
        <v>73</v>
      </c>
      <c r="C101" t="str">
        <f ca="1">IFERROR(__xludf.DUMMYFUNCTION("""COMPUTED_VALUE"""),"Kevin Tway")</f>
        <v>Kevin Tway</v>
      </c>
      <c r="D101">
        <f ca="1">IFERROR(__xludf.DUMMYFUNCTION("""COMPUTED_VALUE"""),16)</f>
        <v>16</v>
      </c>
      <c r="E101">
        <f ca="1">IFERROR(__xludf.DUMMYFUNCTION("""COMPUTED_VALUE"""),0.246)</f>
        <v>0.246</v>
      </c>
      <c r="F101">
        <f ca="1">IFERROR(__xludf.DUMMYFUNCTION("""COMPUTED_VALUE"""),1.968)</f>
        <v>1.968</v>
      </c>
      <c r="G101">
        <f ca="1">IFERROR(__xludf.DUMMYFUNCTION("""COMPUTED_VALUE"""),8)</f>
        <v>8</v>
      </c>
    </row>
    <row r="102" spans="1:7" ht="12.75">
      <c r="A102">
        <f ca="1">IFERROR(__xludf.DUMMYFUNCTION("""COMPUTED_VALUE"""),101)</f>
        <v>101</v>
      </c>
      <c r="B102" t="str">
        <f ca="1">IFERROR(__xludf.DUMMYFUNCTION("""COMPUTED_VALUE"""),"T101")</f>
        <v>T101</v>
      </c>
      <c r="C102" t="str">
        <f ca="1">IFERROR(__xludf.DUMMYFUNCTION("""COMPUTED_VALUE"""),"Ted Potter, Jr.")</f>
        <v>Ted Potter, Jr.</v>
      </c>
      <c r="D102">
        <f ca="1">IFERROR(__xludf.DUMMYFUNCTION("""COMPUTED_VALUE"""),8)</f>
        <v>8</v>
      </c>
      <c r="E102">
        <f ca="1">IFERROR(__xludf.DUMMYFUNCTION("""COMPUTED_VALUE"""),0.236)</f>
        <v>0.23599999999999999</v>
      </c>
      <c r="F102">
        <f ca="1">IFERROR(__xludf.DUMMYFUNCTION("""COMPUTED_VALUE"""),1.888)</f>
        <v>1.8879999999999999</v>
      </c>
      <c r="G102">
        <f ca="1">IFERROR(__xludf.DUMMYFUNCTION("""COMPUTED_VALUE"""),8)</f>
        <v>8</v>
      </c>
    </row>
    <row r="103" spans="1:7" ht="12.75">
      <c r="A103" t="str">
        <f ca="1">IFERROR(__xludf.DUMMYFUNCTION("""COMPUTED_VALUE"""),"T102")</f>
        <v>T102</v>
      </c>
      <c r="B103" t="str">
        <f ca="1">IFERROR(__xludf.DUMMYFUNCTION("""COMPUTED_VALUE"""),"T105")</f>
        <v>T105</v>
      </c>
      <c r="C103" t="str">
        <f ca="1">IFERROR(__xludf.DUMMYFUNCTION("""COMPUTED_VALUE"""),"Tyler McCumber")</f>
        <v>Tyler McCumber</v>
      </c>
      <c r="D103">
        <f ca="1">IFERROR(__xludf.DUMMYFUNCTION("""COMPUTED_VALUE"""),14)</f>
        <v>14</v>
      </c>
      <c r="E103">
        <f ca="1">IFERROR(__xludf.DUMMYFUNCTION("""COMPUTED_VALUE"""),0.213)</f>
        <v>0.21299999999999999</v>
      </c>
      <c r="F103">
        <f ca="1">IFERROR(__xludf.DUMMYFUNCTION("""COMPUTED_VALUE"""),1.703)</f>
        <v>1.7030000000000001</v>
      </c>
      <c r="G103">
        <f ca="1">IFERROR(__xludf.DUMMYFUNCTION("""COMPUTED_VALUE"""),8)</f>
        <v>8</v>
      </c>
    </row>
    <row r="104" spans="1:7" ht="12.75">
      <c r="A104" t="str">
        <f ca="1">IFERROR(__xludf.DUMMYFUNCTION("""COMPUTED_VALUE"""),"T102")</f>
        <v>T102</v>
      </c>
      <c r="B104" t="str">
        <f ca="1">IFERROR(__xludf.DUMMYFUNCTION("""COMPUTED_VALUE"""),"T105")</f>
        <v>T105</v>
      </c>
      <c r="C104" t="str">
        <f ca="1">IFERROR(__xludf.DUMMYFUNCTION("""COMPUTED_VALUE"""),"Sahith Theegala")</f>
        <v>Sahith Theegala</v>
      </c>
      <c r="D104">
        <f ca="1">IFERROR(__xludf.DUMMYFUNCTION("""COMPUTED_VALUE"""),6)</f>
        <v>6</v>
      </c>
      <c r="E104">
        <f ca="1">IFERROR(__xludf.DUMMYFUNCTION("""COMPUTED_VALUE"""),0.213)</f>
        <v>0.21299999999999999</v>
      </c>
      <c r="F104">
        <f ca="1">IFERROR(__xludf.DUMMYFUNCTION("""COMPUTED_VALUE"""),1.278)</f>
        <v>1.278</v>
      </c>
      <c r="G104">
        <f ca="1">IFERROR(__xludf.DUMMYFUNCTION("""COMPUTED_VALUE"""),6)</f>
        <v>6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IFERROR(__xludf.DUMMYFUNCTION("""COMPUTED_VALUE"""),92)</f>
        <v>92</v>
      </c>
      <c r="C105" t="str">
        <f ca="1">IFERROR(__xludf.DUMMYFUNCTION("""COMPUTED_VALUE"""),"C.T. Pan")</f>
        <v>C.T. Pan</v>
      </c>
      <c r="D105">
        <f ca="1">IFERROR(__xludf.DUMMYFUNCTION("""COMPUTED_VALUE"""),20)</f>
        <v>20</v>
      </c>
      <c r="E105">
        <f ca="1">IFERROR(__xludf.DUMMYFUNCTION("""COMPUTED_VALUE"""),0.212)</f>
        <v>0.21199999999999999</v>
      </c>
      <c r="F105">
        <f ca="1">IFERROR(__xludf.DUMMYFUNCTION("""COMPUTED_VALUE"""),3.399)</f>
        <v>3.399</v>
      </c>
      <c r="G105">
        <f ca="1">IFERROR(__xludf.DUMMYFUNCTION("""COMPUTED_VALUE"""),16)</f>
        <v>16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IFERROR(__xludf.DUMMYFUNCTION("""COMPUTED_VALUE"""),107)</f>
        <v>107</v>
      </c>
      <c r="C106" t="str">
        <f ca="1">IFERROR(__xludf.DUMMYFUNCTION("""COMPUTED_VALUE"""),"Joel Dahmen")</f>
        <v>Joel Dahmen</v>
      </c>
      <c r="D106">
        <f ca="1">IFERROR(__xludf.DUMMYFUNCTION("""COMPUTED_VALUE"""),18)</f>
        <v>18</v>
      </c>
      <c r="E106">
        <f ca="1">IFERROR(__xludf.DUMMYFUNCTION("""COMPUTED_VALUE"""),0.211)</f>
        <v>0.21099999999999999</v>
      </c>
      <c r="F106">
        <f ca="1">IFERROR(__xludf.DUMMYFUNCTION("""COMPUTED_VALUE"""),3.793)</f>
        <v>3.7930000000000001</v>
      </c>
      <c r="G106">
        <f ca="1">IFERROR(__xludf.DUMMYFUNCTION("""COMPUTED_VALUE"""),18)</f>
        <v>18</v>
      </c>
    </row>
    <row r="107" spans="1:7" ht="12.75">
      <c r="A107">
        <f ca="1">IFERROR(__xludf.DUMMYFUNCTION("""COMPUTED_VALUE"""),106)</f>
        <v>106</v>
      </c>
      <c r="B107">
        <f ca="1">IFERROR(__xludf.DUMMYFUNCTION("""COMPUTED_VALUE"""),108)</f>
        <v>108</v>
      </c>
      <c r="C107" t="str">
        <f ca="1">IFERROR(__xludf.DUMMYFUNCTION("""COMPUTED_VALUE"""),"Wes Roach")</f>
        <v>Wes Roach</v>
      </c>
      <c r="D107">
        <f ca="1">IFERROR(__xludf.DUMMYFUNCTION("""COMPUTED_VALUE"""),6)</f>
        <v>6</v>
      </c>
      <c r="E107">
        <f ca="1">IFERROR(__xludf.DUMMYFUNCTION("""COMPUTED_VALUE"""),0.21)</f>
        <v>0.21</v>
      </c>
      <c r="F107">
        <f ca="1">IFERROR(__xludf.DUMMYFUNCTION("""COMPUTED_VALUE"""),0.421)</f>
        <v>0.42099999999999999</v>
      </c>
      <c r="G107">
        <f ca="1">IFERROR(__xludf.DUMMYFUNCTION("""COMPUTED_VALUE"""),2)</f>
        <v>2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IFERROR(__xludf.DUMMYFUNCTION("""COMPUTED_VALUE"""),118)</f>
        <v>118</v>
      </c>
      <c r="C108" t="str">
        <f ca="1">IFERROR(__xludf.DUMMYFUNCTION("""COMPUTED_VALUE"""),"Brian Harman")</f>
        <v>Brian Harman</v>
      </c>
      <c r="D108">
        <f ca="1">IFERROR(__xludf.DUMMYFUNCTION("""COMPUTED_VALUE"""),24)</f>
        <v>24</v>
      </c>
      <c r="E108">
        <f ca="1">IFERROR(__xludf.DUMMYFUNCTION("""COMPUTED_VALUE"""),0.208)</f>
        <v>0.20799999999999999</v>
      </c>
      <c r="F108">
        <f ca="1">IFERROR(__xludf.DUMMYFUNCTION("""COMPUTED_VALUE"""),4.996)</f>
        <v>4.9960000000000004</v>
      </c>
      <c r="G108">
        <f ca="1">IFERROR(__xludf.DUMMYFUNCTION("""COMPUTED_VALUE"""),24)</f>
        <v>24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IFERROR(__xludf.DUMMYFUNCTION("""COMPUTED_VALUE"""),131)</f>
        <v>131</v>
      </c>
      <c r="C109" t="str">
        <f ca="1">IFERROR(__xludf.DUMMYFUNCTION("""COMPUTED_VALUE"""),"Carlos Ortiz")</f>
        <v>Carlos Ortiz</v>
      </c>
      <c r="D109">
        <f ca="1">IFERROR(__xludf.DUMMYFUNCTION("""COMPUTED_VALUE"""),20)</f>
        <v>20</v>
      </c>
      <c r="E109">
        <f ca="1">IFERROR(__xludf.DUMMYFUNCTION("""COMPUTED_VALUE"""),0.201)</f>
        <v>0.20100000000000001</v>
      </c>
      <c r="F109">
        <f ca="1">IFERROR(__xludf.DUMMYFUNCTION("""COMPUTED_VALUE"""),4.02)</f>
        <v>4.0199999999999996</v>
      </c>
      <c r="G109">
        <f ca="1">IFERROR(__xludf.DUMMYFUNCTION("""COMPUTED_VALUE"""),20)</f>
        <v>20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IFERROR(__xludf.DUMMYFUNCTION("""COMPUTED_VALUE"""),56)</f>
        <v>56</v>
      </c>
      <c r="C110" t="str">
        <f ca="1">IFERROR(__xludf.DUMMYFUNCTION("""COMPUTED_VALUE"""),"Viktor Hovland")</f>
        <v>Viktor Hovland</v>
      </c>
      <c r="D110">
        <f ca="1">IFERROR(__xludf.DUMMYFUNCTION("""COMPUTED_VALUE"""),16)</f>
        <v>16</v>
      </c>
      <c r="E110">
        <f ca="1">IFERROR(__xludf.DUMMYFUNCTION("""COMPUTED_VALUE"""),0.184)</f>
        <v>0.184</v>
      </c>
      <c r="F110">
        <f ca="1">IFERROR(__xludf.DUMMYFUNCTION("""COMPUTED_VALUE"""),2.942)</f>
        <v>2.9420000000000002</v>
      </c>
      <c r="G110">
        <f ca="1">IFERROR(__xludf.DUMMYFUNCTION("""COMPUTED_VALUE"""),16)</f>
        <v>16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IFERROR(__xludf.DUMMYFUNCTION("""COMPUTED_VALUE"""),"T111")</f>
        <v>T111</v>
      </c>
      <c r="C111" t="str">
        <f ca="1">IFERROR(__xludf.DUMMYFUNCTION("""COMPUTED_VALUE"""),"Nick Watney")</f>
        <v>Nick Watney</v>
      </c>
      <c r="D111">
        <f ca="1">IFERROR(__xludf.DUMMYFUNCTION("""COMPUTED_VALUE"""),10)</f>
        <v>10</v>
      </c>
      <c r="E111">
        <f ca="1">IFERROR(__xludf.DUMMYFUNCTION("""COMPUTED_VALUE"""),0.183)</f>
        <v>0.183</v>
      </c>
      <c r="F111">
        <f ca="1">IFERROR(__xludf.DUMMYFUNCTION("""COMPUTED_VALUE"""),1.464)</f>
        <v>1.464</v>
      </c>
      <c r="G111">
        <f ca="1">IFERROR(__xludf.DUMMYFUNCTION("""COMPUTED_VALUE"""),8)</f>
        <v>8</v>
      </c>
    </row>
    <row r="112" spans="1:7" ht="12.75">
      <c r="A112">
        <f ca="1">IFERROR(__xludf.DUMMYFUNCTION("""COMPUTED_VALUE"""),111)</f>
        <v>111</v>
      </c>
      <c r="B112">
        <f ca="1">IFERROR(__xludf.DUMMYFUNCTION("""COMPUTED_VALUE"""),182)</f>
        <v>182</v>
      </c>
      <c r="C112" t="str">
        <f ca="1">IFERROR(__xludf.DUMMYFUNCTION("""COMPUTED_VALUE"""),"Maverick McNealy")</f>
        <v>Maverick McNealy</v>
      </c>
      <c r="D112">
        <f ca="1">IFERROR(__xludf.DUMMYFUNCTION("""COMPUTED_VALUE"""),16)</f>
        <v>16</v>
      </c>
      <c r="E112">
        <f ca="1">IFERROR(__xludf.DUMMYFUNCTION("""COMPUTED_VALUE"""),0.177)</f>
        <v>0.17699999999999999</v>
      </c>
      <c r="F112">
        <f ca="1">IFERROR(__xludf.DUMMYFUNCTION("""COMPUTED_VALUE"""),2.128)</f>
        <v>2.1280000000000001</v>
      </c>
      <c r="G112">
        <f ca="1">IFERROR(__xludf.DUMMYFUNCTION("""COMPUTED_VALUE"""),12)</f>
        <v>12</v>
      </c>
    </row>
    <row r="113" spans="1:7" ht="12.75">
      <c r="A113">
        <f ca="1">IFERROR(__xludf.DUMMYFUNCTION("""COMPUTED_VALUE"""),112)</f>
        <v>112</v>
      </c>
      <c r="B113">
        <f ca="1">IFERROR(__xludf.DUMMYFUNCTION("""COMPUTED_VALUE"""),130)</f>
        <v>130</v>
      </c>
      <c r="C113" t="str">
        <f ca="1">IFERROR(__xludf.DUMMYFUNCTION("""COMPUTED_VALUE"""),"Robby Shelton")</f>
        <v>Robby Shelton</v>
      </c>
      <c r="D113">
        <f ca="1">IFERROR(__xludf.DUMMYFUNCTION("""COMPUTED_VALUE"""),14)</f>
        <v>14</v>
      </c>
      <c r="E113">
        <f ca="1">IFERROR(__xludf.DUMMYFUNCTION("""COMPUTED_VALUE"""),0.173)</f>
        <v>0.17299999999999999</v>
      </c>
      <c r="F113">
        <f ca="1">IFERROR(__xludf.DUMMYFUNCTION("""COMPUTED_VALUE"""),2.417)</f>
        <v>2.4169999999999998</v>
      </c>
      <c r="G113">
        <f ca="1">IFERROR(__xludf.DUMMYFUNCTION("""COMPUTED_VALUE"""),14)</f>
        <v>14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IFERROR(__xludf.DUMMYFUNCTION("""COMPUTED_VALUE"""),114)</f>
        <v>114</v>
      </c>
      <c r="C114" t="str">
        <f ca="1">IFERROR(__xludf.DUMMYFUNCTION("""COMPUTED_VALUE"""),"Ben Taylor")</f>
        <v>Ben Taylor</v>
      </c>
      <c r="D114">
        <f ca="1">IFERROR(__xludf.DUMMYFUNCTION("""COMPUTED_VALUE"""),10)</f>
        <v>10</v>
      </c>
      <c r="E114">
        <f ca="1">IFERROR(__xludf.DUMMYFUNCTION("""COMPUTED_VALUE"""),0.164)</f>
        <v>0.16400000000000001</v>
      </c>
      <c r="F114">
        <f ca="1">IFERROR(__xludf.DUMMYFUNCTION("""COMPUTED_VALUE"""),0.655)</f>
        <v>0.65500000000000003</v>
      </c>
      <c r="G114">
        <f ca="1">IFERROR(__xludf.DUMMYFUNCTION("""COMPUTED_VALUE"""),4)</f>
        <v>4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IFERROR(__xludf.DUMMYFUNCTION("""COMPUTED_VALUE"""),185)</f>
        <v>185</v>
      </c>
      <c r="C115" t="str">
        <f ca="1">IFERROR(__xludf.DUMMYFUNCTION("""COMPUTED_VALUE"""),"Will Gordon")</f>
        <v>Will Gordon</v>
      </c>
      <c r="D115">
        <f ca="1">IFERROR(__xludf.DUMMYFUNCTION("""COMPUTED_VALUE"""),20)</f>
        <v>20</v>
      </c>
      <c r="E115">
        <f ca="1">IFERROR(__xludf.DUMMYFUNCTION("""COMPUTED_VALUE"""),0.159)</f>
        <v>0.159</v>
      </c>
      <c r="F115">
        <f ca="1">IFERROR(__xludf.DUMMYFUNCTION("""COMPUTED_VALUE"""),2.223)</f>
        <v>2.2229999999999999</v>
      </c>
      <c r="G115">
        <f ca="1">IFERROR(__xludf.DUMMYFUNCTION("""COMPUTED_VALUE"""),14)</f>
        <v>14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IFERROR(__xludf.DUMMYFUNCTION("""COMPUTED_VALUE"""),134)</f>
        <v>134</v>
      </c>
      <c r="C116" t="str">
        <f ca="1">IFERROR(__xludf.DUMMYFUNCTION("""COMPUTED_VALUE"""),"Patton Kizzire")</f>
        <v>Patton Kizzire</v>
      </c>
      <c r="D116">
        <f ca="1">IFERROR(__xludf.DUMMYFUNCTION("""COMPUTED_VALUE"""),18)</f>
        <v>18</v>
      </c>
      <c r="E116">
        <f ca="1">IFERROR(__xludf.DUMMYFUNCTION("""COMPUTED_VALUE"""),0.153)</f>
        <v>0.153</v>
      </c>
      <c r="F116">
        <f ca="1">IFERROR(__xludf.DUMMYFUNCTION("""COMPUTED_VALUE"""),2.137)</f>
        <v>2.137</v>
      </c>
      <c r="G116">
        <f ca="1">IFERROR(__xludf.DUMMYFUNCTION("""COMPUTED_VALUE"""),14)</f>
        <v>14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IFERROR(__xludf.DUMMYFUNCTION("""COMPUTED_VALUE"""),115)</f>
        <v>115</v>
      </c>
      <c r="C117" t="str">
        <f ca="1">IFERROR(__xludf.DUMMYFUNCTION("""COMPUTED_VALUE"""),"Gunn Charoenkul")</f>
        <v>Gunn Charoenkul</v>
      </c>
      <c r="D117">
        <f ca="1">IFERROR(__xludf.DUMMYFUNCTION("""COMPUTED_VALUE"""),4)</f>
        <v>4</v>
      </c>
      <c r="E117">
        <f ca="1">IFERROR(__xludf.DUMMYFUNCTION("""COMPUTED_VALUE"""),0.149)</f>
        <v>0.14899999999999999</v>
      </c>
      <c r="F117">
        <f ca="1">IFERROR(__xludf.DUMMYFUNCTION("""COMPUTED_VALUE"""),0.597)</f>
        <v>0.59699999999999998</v>
      </c>
      <c r="G117">
        <f ca="1">IFERROR(__xludf.DUMMYFUNCTION("""COMPUTED_VALUE"""),4)</f>
        <v>4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IFERROR(__xludf.DUMMYFUNCTION("""COMPUTED_VALUE"""),100)</f>
        <v>100</v>
      </c>
      <c r="C118" t="str">
        <f ca="1">IFERROR(__xludf.DUMMYFUNCTION("""COMPUTED_VALUE"""),"Pat Perez")</f>
        <v>Pat Perez</v>
      </c>
      <c r="D118">
        <f ca="1">IFERROR(__xludf.DUMMYFUNCTION("""COMPUTED_VALUE"""),16)</f>
        <v>16</v>
      </c>
      <c r="E118">
        <f ca="1">IFERROR(__xludf.DUMMYFUNCTION("""COMPUTED_VALUE"""),0.143)</f>
        <v>0.14299999999999999</v>
      </c>
      <c r="F118">
        <f ca="1">IFERROR(__xludf.DUMMYFUNCTION("""COMPUTED_VALUE"""),1.434)</f>
        <v>1.4339999999999999</v>
      </c>
      <c r="G118">
        <f ca="1">IFERROR(__xludf.DUMMYFUNCTION("""COMPUTED_VALUE"""),10)</f>
        <v>10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IFERROR(__xludf.DUMMYFUNCTION("""COMPUTED_VALUE"""),133)</f>
        <v>133</v>
      </c>
      <c r="C119" t="str">
        <f ca="1">IFERROR(__xludf.DUMMYFUNCTION("""COMPUTED_VALUE"""),"Talor Gooch")</f>
        <v>Talor Gooch</v>
      </c>
      <c r="D119">
        <f ca="1">IFERROR(__xludf.DUMMYFUNCTION("""COMPUTED_VALUE"""),20)</f>
        <v>20</v>
      </c>
      <c r="E119">
        <f ca="1">IFERROR(__xludf.DUMMYFUNCTION("""COMPUTED_VALUE"""),0.137)</f>
        <v>0.13700000000000001</v>
      </c>
      <c r="F119">
        <f ca="1">IFERROR(__xludf.DUMMYFUNCTION("""COMPUTED_VALUE"""),2.746)</f>
        <v>2.746</v>
      </c>
      <c r="G119">
        <f ca="1">IFERROR(__xludf.DUMMYFUNCTION("""COMPUTED_VALUE"""),20)</f>
        <v>20</v>
      </c>
    </row>
    <row r="120" spans="1:7" ht="12.75">
      <c r="A120">
        <f ca="1">IFERROR(__xludf.DUMMYFUNCTION("""COMPUTED_VALUE"""),119)</f>
        <v>119</v>
      </c>
      <c r="B120">
        <f ca="1">IFERROR(__xludf.DUMMYFUNCTION("""COMPUTED_VALUE"""),74)</f>
        <v>74</v>
      </c>
      <c r="C120" t="str">
        <f ca="1">IFERROR(__xludf.DUMMYFUNCTION("""COMPUTED_VALUE"""),"Lucas Glover")</f>
        <v>Lucas Glover</v>
      </c>
      <c r="D120">
        <f ca="1">IFERROR(__xludf.DUMMYFUNCTION("""COMPUTED_VALUE"""),12)</f>
        <v>12</v>
      </c>
      <c r="E120">
        <f ca="1">IFERROR(__xludf.DUMMYFUNCTION("""COMPUTED_VALUE"""),0.12)</f>
        <v>0.12</v>
      </c>
      <c r="F120">
        <f ca="1">IFERROR(__xludf.DUMMYFUNCTION("""COMPUTED_VALUE"""),1.444)</f>
        <v>1.444</v>
      </c>
      <c r="G120">
        <f ca="1">IFERROR(__xludf.DUMMYFUNCTION("""COMPUTED_VALUE"""),12)</f>
        <v>12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IFERROR(__xludf.DUMMYFUNCTION("""COMPUTED_VALUE"""),83)</f>
        <v>83</v>
      </c>
      <c r="C121" t="str">
        <f ca="1">IFERROR(__xludf.DUMMYFUNCTION("""COMPUTED_VALUE"""),"Danny Lee")</f>
        <v>Danny Lee</v>
      </c>
      <c r="D121">
        <f ca="1">IFERROR(__xludf.DUMMYFUNCTION("""COMPUTED_VALUE"""),15)</f>
        <v>15</v>
      </c>
      <c r="E121">
        <f ca="1">IFERROR(__xludf.DUMMYFUNCTION("""COMPUTED_VALUE"""),0.098)</f>
        <v>9.8000000000000004E-2</v>
      </c>
      <c r="F121">
        <f ca="1">IFERROR(__xludf.DUMMYFUNCTION("""COMPUTED_VALUE"""),1.466)</f>
        <v>1.466</v>
      </c>
      <c r="G121">
        <f ca="1">IFERROR(__xludf.DUMMYFUNCTION("""COMPUTED_VALUE"""),15)</f>
        <v>15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IFERROR(__xludf.DUMMYFUNCTION("""COMPUTED_VALUE"""),119)</f>
        <v>119</v>
      </c>
      <c r="C122" t="str">
        <f ca="1">IFERROR(__xludf.DUMMYFUNCTION("""COMPUTED_VALUE"""),"Robert MacIntyre")</f>
        <v>Robert MacIntyre</v>
      </c>
      <c r="D122">
        <f ca="1">IFERROR(__xludf.DUMMYFUNCTION("""COMPUTED_VALUE"""),4)</f>
        <v>4</v>
      </c>
      <c r="E122">
        <f ca="1">IFERROR(__xludf.DUMMYFUNCTION("""COMPUTED_VALUE"""),0.09)</f>
        <v>0.09</v>
      </c>
      <c r="F122">
        <f ca="1">IFERROR(__xludf.DUMMYFUNCTION("""COMPUTED_VALUE"""),0.359)</f>
        <v>0.35899999999999999</v>
      </c>
      <c r="G122">
        <f ca="1">IFERROR(__xludf.DUMMYFUNCTION("""COMPUTED_VALUE"""),4)</f>
        <v>4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IFERROR(__xludf.DUMMYFUNCTION("""COMPUTED_VALUE"""),27)</f>
        <v>27</v>
      </c>
      <c r="C123" t="str">
        <f ca="1">IFERROR(__xludf.DUMMYFUNCTION("""COMPUTED_VALUE"""),"Henrik Stenson")</f>
        <v>Henrik Stenson</v>
      </c>
      <c r="D123">
        <f ca="1">IFERROR(__xludf.DUMMYFUNCTION("""COMPUTED_VALUE"""),11)</f>
        <v>11</v>
      </c>
      <c r="E123">
        <f ca="1">IFERROR(__xludf.DUMMYFUNCTION("""COMPUTED_VALUE"""),0.081)</f>
        <v>8.1000000000000003E-2</v>
      </c>
      <c r="F123">
        <f ca="1">IFERROR(__xludf.DUMMYFUNCTION("""COMPUTED_VALUE"""),0.488)</f>
        <v>0.48799999999999999</v>
      </c>
      <c r="G123">
        <f ca="1">IFERROR(__xludf.DUMMYFUNCTION("""COMPUTED_VALUE"""),6)</f>
        <v>6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IFERROR(__xludf.DUMMYFUNCTION("""COMPUTED_VALUE"""),120)</f>
        <v>120</v>
      </c>
      <c r="C124" t="str">
        <f ca="1">IFERROR(__xludf.DUMMYFUNCTION("""COMPUTED_VALUE"""),"Paul Casey")</f>
        <v>Paul Casey</v>
      </c>
      <c r="D124">
        <f ca="1">IFERROR(__xludf.DUMMYFUNCTION("""COMPUTED_VALUE"""),14)</f>
        <v>14</v>
      </c>
      <c r="E124">
        <f ca="1">IFERROR(__xludf.DUMMYFUNCTION("""COMPUTED_VALUE"""),0.08)</f>
        <v>0.08</v>
      </c>
      <c r="F124">
        <f ca="1">IFERROR(__xludf.DUMMYFUNCTION("""COMPUTED_VALUE"""),1.12)</f>
        <v>1.1200000000000001</v>
      </c>
      <c r="G124">
        <f ca="1">IFERROR(__xludf.DUMMYFUNCTION("""COMPUTED_VALUE"""),14)</f>
        <v>14</v>
      </c>
    </row>
    <row r="125" spans="1:7" ht="12.75">
      <c r="A125">
        <f ca="1">IFERROR(__xludf.DUMMYFUNCTION("""COMPUTED_VALUE"""),124)</f>
        <v>124</v>
      </c>
      <c r="B125">
        <f ca="1">IFERROR(__xludf.DUMMYFUNCTION("""COMPUTED_VALUE"""),63)</f>
        <v>63</v>
      </c>
      <c r="C125" t="str">
        <f ca="1">IFERROR(__xludf.DUMMYFUNCTION("""COMPUTED_VALUE"""),"Andrew Landry")</f>
        <v>Andrew Landry</v>
      </c>
      <c r="D125">
        <f ca="1">IFERROR(__xludf.DUMMYFUNCTION("""COMPUTED_VALUE"""),14)</f>
        <v>14</v>
      </c>
      <c r="E125">
        <f ca="1">IFERROR(__xludf.DUMMYFUNCTION("""COMPUTED_VALUE"""),0.078)</f>
        <v>7.8E-2</v>
      </c>
      <c r="F125">
        <f ca="1">IFERROR(__xludf.DUMMYFUNCTION("""COMPUTED_VALUE"""),1.093)</f>
        <v>1.093</v>
      </c>
      <c r="G125">
        <f ca="1">IFERROR(__xludf.DUMMYFUNCTION("""COMPUTED_VALUE"""),14)</f>
        <v>14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IFERROR(__xludf.DUMMYFUNCTION("""COMPUTED_VALUE"""),135)</f>
        <v>135</v>
      </c>
      <c r="C126" t="str">
        <f ca="1">IFERROR(__xludf.DUMMYFUNCTION("""COMPUTED_VALUE"""),"Andrew Putnam")</f>
        <v>Andrew Putnam</v>
      </c>
      <c r="D126">
        <f ca="1">IFERROR(__xludf.DUMMYFUNCTION("""COMPUTED_VALUE"""),19)</f>
        <v>19</v>
      </c>
      <c r="E126">
        <f ca="1">IFERROR(__xludf.DUMMYFUNCTION("""COMPUTED_VALUE"""),0.075)</f>
        <v>7.4999999999999997E-2</v>
      </c>
      <c r="F126">
        <f ca="1">IFERROR(__xludf.DUMMYFUNCTION("""COMPUTED_VALUE"""),1.127)</f>
        <v>1.127</v>
      </c>
      <c r="G126">
        <f ca="1">IFERROR(__xludf.DUMMYFUNCTION("""COMPUTED_VALUE"""),15)</f>
        <v>15</v>
      </c>
    </row>
    <row r="127" spans="1:7" ht="12.75">
      <c r="A127" t="str">
        <f ca="1">IFERROR(__xludf.DUMMYFUNCTION("""COMPUTED_VALUE"""),"T126")</f>
        <v>T126</v>
      </c>
      <c r="B127">
        <f ca="1">IFERROR(__xludf.DUMMYFUNCTION("""COMPUTED_VALUE"""),148)</f>
        <v>148</v>
      </c>
      <c r="C127" t="str">
        <f ca="1">IFERROR(__xludf.DUMMYFUNCTION("""COMPUTED_VALUE"""),"Ryan Armour")</f>
        <v>Ryan Armour</v>
      </c>
      <c r="D127">
        <f ca="1">IFERROR(__xludf.DUMMYFUNCTION("""COMPUTED_VALUE"""),16)</f>
        <v>16</v>
      </c>
      <c r="E127">
        <f ca="1">IFERROR(__xludf.DUMMYFUNCTION("""COMPUTED_VALUE"""),0.07)</f>
        <v>7.0000000000000007E-2</v>
      </c>
      <c r="F127">
        <f ca="1">IFERROR(__xludf.DUMMYFUNCTION("""COMPUTED_VALUE"""),0.696)</f>
        <v>0.69599999999999995</v>
      </c>
      <c r="G127">
        <f ca="1">IFERROR(__xludf.DUMMYFUNCTION("""COMPUTED_VALUE"""),10)</f>
        <v>10</v>
      </c>
    </row>
    <row r="128" spans="1:7" ht="12.75">
      <c r="A128" t="str">
        <f ca="1">IFERROR(__xludf.DUMMYFUNCTION("""COMPUTED_VALUE"""),"T126")</f>
        <v>T126</v>
      </c>
      <c r="B128">
        <f ca="1">IFERROR(__xludf.DUMMYFUNCTION("""COMPUTED_VALUE"""),124)</f>
        <v>124</v>
      </c>
      <c r="C128" t="str">
        <f ca="1">IFERROR(__xludf.DUMMYFUNCTION("""COMPUTED_VALUE"""),"Stewart Cink")</f>
        <v>Stewart Cink</v>
      </c>
      <c r="D128">
        <f ca="1">IFERROR(__xludf.DUMMYFUNCTION("""COMPUTED_VALUE"""),18)</f>
        <v>18</v>
      </c>
      <c r="E128">
        <f ca="1">IFERROR(__xludf.DUMMYFUNCTION("""COMPUTED_VALUE"""),0.07)</f>
        <v>7.0000000000000007E-2</v>
      </c>
      <c r="F128">
        <f ca="1">IFERROR(__xludf.DUMMYFUNCTION("""COMPUTED_VALUE"""),0.978)</f>
        <v>0.97799999999999998</v>
      </c>
      <c r="G128">
        <f ca="1">IFERROR(__xludf.DUMMYFUNCTION("""COMPUTED_VALUE"""),14)</f>
        <v>14</v>
      </c>
    </row>
    <row r="129" spans="1:7" ht="12.75">
      <c r="A129" t="str">
        <f ca="1">IFERROR(__xludf.DUMMYFUNCTION("""COMPUTED_VALUE"""),"T128")</f>
        <v>T128</v>
      </c>
      <c r="B129" t="str">
        <f ca="1">IFERROR(__xludf.DUMMYFUNCTION("""COMPUTED_VALUE"""),"T122")</f>
        <v>T122</v>
      </c>
      <c r="C129" t="str">
        <f ca="1">IFERROR(__xludf.DUMMYFUNCTION("""COMPUTED_VALUE"""),"Brad Kennedy")</f>
        <v>Brad Kennedy</v>
      </c>
      <c r="D129">
        <f ca="1">IFERROR(__xludf.DUMMYFUNCTION("""COMPUTED_VALUE"""),4)</f>
        <v>4</v>
      </c>
      <c r="E129">
        <f ca="1">IFERROR(__xludf.DUMMYFUNCTION("""COMPUTED_VALUE"""),0.069)</f>
        <v>6.9000000000000006E-2</v>
      </c>
      <c r="F129">
        <f ca="1">IFERROR(__xludf.DUMMYFUNCTION("""COMPUTED_VALUE"""),0.275)</f>
        <v>0.27500000000000002</v>
      </c>
      <c r="G129">
        <f ca="1">IFERROR(__xludf.DUMMYFUNCTION("""COMPUTED_VALUE"""),4)</f>
        <v>4</v>
      </c>
    </row>
    <row r="130" spans="1:7" ht="12.75">
      <c r="A130" t="str">
        <f ca="1">IFERROR(__xludf.DUMMYFUNCTION("""COMPUTED_VALUE"""),"T128")</f>
        <v>T128</v>
      </c>
      <c r="B130" t="str">
        <f ca="1">IFERROR(__xludf.DUMMYFUNCTION("""COMPUTED_VALUE"""),"T122")</f>
        <v>T122</v>
      </c>
      <c r="C130" t="str">
        <f ca="1">IFERROR(__xludf.DUMMYFUNCTION("""COMPUTED_VALUE"""),"Jazz Janewattananond")</f>
        <v>Jazz Janewattananond</v>
      </c>
      <c r="D130">
        <f ca="1">IFERROR(__xludf.DUMMYFUNCTION("""COMPUTED_VALUE"""),6)</f>
        <v>6</v>
      </c>
      <c r="E130">
        <f ca="1">IFERROR(__xludf.DUMMYFUNCTION("""COMPUTED_VALUE"""),0.069)</f>
        <v>6.9000000000000006E-2</v>
      </c>
      <c r="F130">
        <f ca="1">IFERROR(__xludf.DUMMYFUNCTION("""COMPUTED_VALUE"""),0.412)</f>
        <v>0.41199999999999998</v>
      </c>
      <c r="G130">
        <f ca="1">IFERROR(__xludf.DUMMYFUNCTION("""COMPUTED_VALUE"""),6)</f>
        <v>6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IFERROR(__xludf.DUMMYFUNCTION("""COMPUTED_VALUE"""),113)</f>
        <v>113</v>
      </c>
      <c r="C131" t="str">
        <f ca="1">IFERROR(__xludf.DUMMYFUNCTION("""COMPUTED_VALUE"""),"Kevin Streelman")</f>
        <v>Kevin Streelman</v>
      </c>
      <c r="D131">
        <f ca="1">IFERROR(__xludf.DUMMYFUNCTION("""COMPUTED_VALUE"""),18)</f>
        <v>18</v>
      </c>
      <c r="E131">
        <f ca="1">IFERROR(__xludf.DUMMYFUNCTION("""COMPUTED_VALUE"""),0.068)</f>
        <v>6.8000000000000005E-2</v>
      </c>
      <c r="F131">
        <f ca="1">IFERROR(__xludf.DUMMYFUNCTION("""COMPUTED_VALUE"""),1.232)</f>
        <v>1.232</v>
      </c>
      <c r="G131">
        <f ca="1">IFERROR(__xludf.DUMMYFUNCTION("""COMPUTED_VALUE"""),18)</f>
        <v>18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IFERROR(__xludf.DUMMYFUNCTION("""COMPUTED_VALUE"""),125)</f>
        <v>125</v>
      </c>
      <c r="C132" t="str">
        <f ca="1">IFERROR(__xludf.DUMMYFUNCTION("""COMPUTED_VALUE"""),"Jason Kokrak")</f>
        <v>Jason Kokrak</v>
      </c>
      <c r="D132">
        <f ca="1">IFERROR(__xludf.DUMMYFUNCTION("""COMPUTED_VALUE"""),14)</f>
        <v>14</v>
      </c>
      <c r="E132">
        <f ca="1">IFERROR(__xludf.DUMMYFUNCTION("""COMPUTED_VALUE"""),0.054)</f>
        <v>5.3999999999999999E-2</v>
      </c>
      <c r="F132">
        <f ca="1">IFERROR(__xludf.DUMMYFUNCTION("""COMPUTED_VALUE"""),0.754)</f>
        <v>0.754</v>
      </c>
      <c r="G132">
        <f ca="1">IFERROR(__xludf.DUMMYFUNCTION("""COMPUTED_VALUE"""),14)</f>
        <v>14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IFERROR(__xludf.DUMMYFUNCTION("""COMPUTED_VALUE"""),127)</f>
        <v>127</v>
      </c>
      <c r="C133" t="str">
        <f ca="1">IFERROR(__xludf.DUMMYFUNCTION("""COMPUTED_VALUE"""),"Anirban Lahiri")</f>
        <v>Anirban Lahiri</v>
      </c>
      <c r="D133">
        <f ca="1">IFERROR(__xludf.DUMMYFUNCTION("""COMPUTED_VALUE"""),16)</f>
        <v>16</v>
      </c>
      <c r="E133">
        <f ca="1">IFERROR(__xludf.DUMMYFUNCTION("""COMPUTED_VALUE"""),0.049)</f>
        <v>4.9000000000000002E-2</v>
      </c>
      <c r="F133">
        <f ca="1">IFERROR(__xludf.DUMMYFUNCTION("""COMPUTED_VALUE"""),0.395)</f>
        <v>0.39500000000000002</v>
      </c>
      <c r="G133">
        <f ca="1">IFERROR(__xludf.DUMMYFUNCTION("""COMPUTED_VALUE"""),8)</f>
        <v>8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IFERROR(__xludf.DUMMYFUNCTION("""COMPUTED_VALUE"""),138)</f>
        <v>138</v>
      </c>
      <c r="C134" t="str">
        <f ca="1">IFERROR(__xludf.DUMMYFUNCTION("""COMPUTED_VALUE"""),"Kelly Kraft")</f>
        <v>Kelly Kraft</v>
      </c>
      <c r="D134">
        <f ca="1">IFERROR(__xludf.DUMMYFUNCTION("""COMPUTED_VALUE"""),14)</f>
        <v>14</v>
      </c>
      <c r="E134">
        <f ca="1">IFERROR(__xludf.DUMMYFUNCTION("""COMPUTED_VALUE"""),0.047)</f>
        <v>4.7E-2</v>
      </c>
      <c r="F134">
        <f ca="1">IFERROR(__xludf.DUMMYFUNCTION("""COMPUTED_VALUE"""),0.375)</f>
        <v>0.375</v>
      </c>
      <c r="G134">
        <f ca="1">IFERROR(__xludf.DUMMYFUNCTION("""COMPUTED_VALUE"""),8)</f>
        <v>8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IFERROR(__xludf.DUMMYFUNCTION("""COMPUTED_VALUE"""),129)</f>
        <v>129</v>
      </c>
      <c r="C135" t="str">
        <f ca="1">IFERROR(__xludf.DUMMYFUNCTION("""COMPUTED_VALUE"""),"Chan Kim")</f>
        <v>Chan Kim</v>
      </c>
      <c r="D135">
        <f ca="1">IFERROR(__xludf.DUMMYFUNCTION("""COMPUTED_VALUE"""),6)</f>
        <v>6</v>
      </c>
      <c r="E135">
        <f ca="1">IFERROR(__xludf.DUMMYFUNCTION("""COMPUTED_VALUE"""),0.042)</f>
        <v>4.2000000000000003E-2</v>
      </c>
      <c r="F135">
        <f ca="1">IFERROR(__xludf.DUMMYFUNCTION("""COMPUTED_VALUE"""),0.255)</f>
        <v>0.255</v>
      </c>
      <c r="G135">
        <f ca="1">IFERROR(__xludf.DUMMYFUNCTION("""COMPUTED_VALUE"""),6)</f>
        <v>6</v>
      </c>
    </row>
    <row r="136" spans="1:7" ht="12.75">
      <c r="A136">
        <f ca="1">IFERROR(__xludf.DUMMYFUNCTION("""COMPUTED_VALUE"""),135)</f>
        <v>135</v>
      </c>
      <c r="B136">
        <f ca="1">IFERROR(__xludf.DUMMYFUNCTION("""COMPUTED_VALUE"""),66)</f>
        <v>66</v>
      </c>
      <c r="C136" t="str">
        <f ca="1">IFERROR(__xludf.DUMMYFUNCTION("""COMPUTED_VALUE"""),"Lee Westwood")</f>
        <v>Lee Westwood</v>
      </c>
      <c r="D136">
        <f ca="1">IFERROR(__xludf.DUMMYFUNCTION("""COMPUTED_VALUE"""),6)</f>
        <v>6</v>
      </c>
      <c r="E136">
        <f ca="1">IFERROR(__xludf.DUMMYFUNCTION("""COMPUTED_VALUE"""),0.041)</f>
        <v>4.1000000000000002E-2</v>
      </c>
      <c r="F136">
        <f ca="1">IFERROR(__xludf.DUMMYFUNCTION("""COMPUTED_VALUE"""),0.247)</f>
        <v>0.247</v>
      </c>
      <c r="G136">
        <f ca="1">IFERROR(__xludf.DUMMYFUNCTION("""COMPUTED_VALUE"""),6)</f>
        <v>6</v>
      </c>
    </row>
    <row r="137" spans="1:7" ht="12.75">
      <c r="A137">
        <f ca="1">IFERROR(__xludf.DUMMYFUNCTION("""COMPUTED_VALUE"""),136)</f>
        <v>136</v>
      </c>
      <c r="B137">
        <f ca="1">IFERROR(__xludf.DUMMYFUNCTION("""COMPUTED_VALUE"""),132)</f>
        <v>132</v>
      </c>
      <c r="C137" t="str">
        <f ca="1">IFERROR(__xludf.DUMMYFUNCTION("""COMPUTED_VALUE"""),"K.J. Choi")</f>
        <v>K.J. Choi</v>
      </c>
      <c r="D137">
        <f ca="1">IFERROR(__xludf.DUMMYFUNCTION("""COMPUTED_VALUE"""),6)</f>
        <v>6</v>
      </c>
      <c r="E137">
        <f ca="1">IFERROR(__xludf.DUMMYFUNCTION("""COMPUTED_VALUE"""),0.028)</f>
        <v>2.8000000000000001E-2</v>
      </c>
      <c r="F137">
        <f ca="1">IFERROR(__xludf.DUMMYFUNCTION("""COMPUTED_VALUE"""),0.167)</f>
        <v>0.16700000000000001</v>
      </c>
      <c r="G137">
        <f ca="1">IFERROR(__xludf.DUMMYFUNCTION("""COMPUTED_VALUE"""),6)</f>
        <v>6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IFERROR(__xludf.DUMMYFUNCTION("""COMPUTED_VALUE"""),153)</f>
        <v>153</v>
      </c>
      <c r="C138" t="str">
        <f ca="1">IFERROR(__xludf.DUMMYFUNCTION("""COMPUTED_VALUE"""),"Sean O'Hair")</f>
        <v>Sean O'Hair</v>
      </c>
      <c r="D138">
        <f ca="1">IFERROR(__xludf.DUMMYFUNCTION("""COMPUTED_VALUE"""),14)</f>
        <v>14</v>
      </c>
      <c r="E138">
        <f ca="1">IFERROR(__xludf.DUMMYFUNCTION("""COMPUTED_VALUE"""),0.014)</f>
        <v>1.4E-2</v>
      </c>
      <c r="F138">
        <f ca="1">IFERROR(__xludf.DUMMYFUNCTION("""COMPUTED_VALUE"""),0.135)</f>
        <v>0.13500000000000001</v>
      </c>
      <c r="G138">
        <f ca="1">IFERROR(__xludf.DUMMYFUNCTION("""COMPUTED_VALUE"""),10)</f>
        <v>10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IFERROR(__xludf.DUMMYFUNCTION("""COMPUTED_VALUE"""),184)</f>
        <v>184</v>
      </c>
      <c r="C139" t="str">
        <f ca="1">IFERROR(__xludf.DUMMYFUNCTION("""COMPUTED_VALUE"""),"Hudson Swafford")</f>
        <v>Hudson Swafford</v>
      </c>
      <c r="D139">
        <f ca="1">IFERROR(__xludf.DUMMYFUNCTION("""COMPUTED_VALUE"""),18)</f>
        <v>18</v>
      </c>
      <c r="E139">
        <f ca="1">IFERROR(__xludf.DUMMYFUNCTION("""COMPUTED_VALUE"""),0.006)</f>
        <v>6.0000000000000001E-3</v>
      </c>
      <c r="F139">
        <f ca="1">IFERROR(__xludf.DUMMYFUNCTION("""COMPUTED_VALUE"""),0.056)</f>
        <v>5.6000000000000001E-2</v>
      </c>
      <c r="G139">
        <f ca="1">IFERROR(__xludf.DUMMYFUNCTION("""COMPUTED_VALUE"""),10)</f>
        <v>10</v>
      </c>
    </row>
    <row r="140" spans="1:7" ht="12.75">
      <c r="A140">
        <f ca="1">IFERROR(__xludf.DUMMYFUNCTION("""COMPUTED_VALUE"""),139)</f>
        <v>139</v>
      </c>
      <c r="B140" t="str">
        <f ca="1">IFERROR(__xludf.DUMMYFUNCTION("""COMPUTED_VALUE"""),"")</f>
        <v/>
      </c>
      <c r="C140" t="str">
        <f ca="1">IFERROR(__xludf.DUMMYFUNCTION("""COMPUTED_VALUE"""),"Greg Chalmers")</f>
        <v>Greg Chalmers</v>
      </c>
      <c r="D140">
        <f ca="1">IFERROR(__xludf.DUMMYFUNCTION("""COMPUTED_VALUE"""),6)</f>
        <v>6</v>
      </c>
      <c r="E140">
        <f ca="1">IFERROR(__xludf.DUMMYFUNCTION("""COMPUTED_VALUE"""),0)</f>
        <v>0</v>
      </c>
      <c r="F140">
        <f ca="1">IFERROR(__xludf.DUMMYFUNCTION("""COMPUTED_VALUE"""),0)</f>
        <v>0</v>
      </c>
      <c r="G140">
        <f ca="1">IFERROR(__xludf.DUMMYFUNCTION("""COMPUTED_VALUE"""),6)</f>
        <v>6</v>
      </c>
    </row>
    <row r="141" spans="1:7" ht="12.75">
      <c r="A141" t="str">
        <f ca="1">IFERROR(__xludf.DUMMYFUNCTION("""COMPUTED_VALUE"""),"T140")</f>
        <v>T140</v>
      </c>
      <c r="B141">
        <f ca="1">IFERROR(__xludf.DUMMYFUNCTION("""COMPUTED_VALUE"""),109)</f>
        <v>109</v>
      </c>
      <c r="C141" t="str">
        <f ca="1">IFERROR(__xludf.DUMMYFUNCTION("""COMPUTED_VALUE"""),"Sergio Garcia")</f>
        <v>Sergio Garcia</v>
      </c>
      <c r="D141">
        <f ca="1">IFERROR(__xludf.DUMMYFUNCTION("""COMPUTED_VALUE"""),18)</f>
        <v>18</v>
      </c>
      <c r="E141">
        <f ca="1">IFERROR(__xludf.DUMMYFUNCTION("""COMPUTED_VALUE"""),-0.014)</f>
        <v>-1.4E-2</v>
      </c>
      <c r="F141">
        <f ca="1">IFERROR(__xludf.DUMMYFUNCTION("""COMPUTED_VALUE"""),-0.259)</f>
        <v>-0.25900000000000001</v>
      </c>
      <c r="G141">
        <f ca="1">IFERROR(__xludf.DUMMYFUNCTION("""COMPUTED_VALUE"""),18)</f>
        <v>18</v>
      </c>
    </row>
    <row r="142" spans="1:7" ht="12.75">
      <c r="A142" t="str">
        <f ca="1">IFERROR(__xludf.DUMMYFUNCTION("""COMPUTED_VALUE"""),"T140")</f>
        <v>T140</v>
      </c>
      <c r="B142">
        <f ca="1">IFERROR(__xludf.DUMMYFUNCTION("""COMPUTED_VALUE"""),223)</f>
        <v>223</v>
      </c>
      <c r="C142" t="str">
        <f ca="1">IFERROR(__xludf.DUMMYFUNCTION("""COMPUTED_VALUE"""),"Scott Brown")</f>
        <v>Scott Brown</v>
      </c>
      <c r="D142">
        <f ca="1">IFERROR(__xludf.DUMMYFUNCTION("""COMPUTED_VALUE"""),14)</f>
        <v>14</v>
      </c>
      <c r="E142">
        <f ca="1">IFERROR(__xludf.DUMMYFUNCTION("""COMPUTED_VALUE"""),-0.014)</f>
        <v>-1.4E-2</v>
      </c>
      <c r="F142">
        <f ca="1">IFERROR(__xludf.DUMMYFUNCTION("""COMPUTED_VALUE"""),-0.14)</f>
        <v>-0.14000000000000001</v>
      </c>
      <c r="G142">
        <f ca="1">IFERROR(__xludf.DUMMYFUNCTION("""COMPUTED_VALUE"""),10)</f>
        <v>10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IFERROR(__xludf.DUMMYFUNCTION("""COMPUTED_VALUE"""),146)</f>
        <v>146</v>
      </c>
      <c r="C143" t="str">
        <f ca="1">IFERROR(__xludf.DUMMYFUNCTION("""COMPUTED_VALUE"""),"Jason Dufner")</f>
        <v>Jason Dufner</v>
      </c>
      <c r="D143">
        <f ca="1">IFERROR(__xludf.DUMMYFUNCTION("""COMPUTED_VALUE"""),14)</f>
        <v>14</v>
      </c>
      <c r="E143">
        <f ca="1">IFERROR(__xludf.DUMMYFUNCTION("""COMPUTED_VALUE"""),-0.019)</f>
        <v>-1.9E-2</v>
      </c>
      <c r="F143">
        <f ca="1">IFERROR(__xludf.DUMMYFUNCTION("""COMPUTED_VALUE"""),-0.193)</f>
        <v>-0.193</v>
      </c>
      <c r="G143">
        <f ca="1">IFERROR(__xludf.DUMMYFUNCTION("""COMPUTED_VALUE"""),10)</f>
        <v>10</v>
      </c>
    </row>
    <row r="144" spans="1:7" ht="12.75">
      <c r="A144">
        <f ca="1">IFERROR(__xludf.DUMMYFUNCTION("""COMPUTED_VALUE"""),143)</f>
        <v>143</v>
      </c>
      <c r="B144">
        <f ca="1">IFERROR(__xludf.DUMMYFUNCTION("""COMPUTED_VALUE"""),136)</f>
        <v>136</v>
      </c>
      <c r="C144" t="str">
        <f ca="1">IFERROR(__xludf.DUMMYFUNCTION("""COMPUTED_VALUE"""),"Brendan Steele")</f>
        <v>Brendan Steele</v>
      </c>
      <c r="D144">
        <f ca="1">IFERROR(__xludf.DUMMYFUNCTION("""COMPUTED_VALUE"""),14)</f>
        <v>14</v>
      </c>
      <c r="E144">
        <f ca="1">IFERROR(__xludf.DUMMYFUNCTION("""COMPUTED_VALUE"""),-0.02)</f>
        <v>-0.02</v>
      </c>
      <c r="F144">
        <f ca="1">IFERROR(__xludf.DUMMYFUNCTION("""COMPUTED_VALUE"""),-0.28)</f>
        <v>-0.28000000000000003</v>
      </c>
      <c r="G144">
        <f ca="1">IFERROR(__xludf.DUMMYFUNCTION("""COMPUTED_VALUE"""),14)</f>
        <v>14</v>
      </c>
    </row>
    <row r="145" spans="1:7" ht="12.75">
      <c r="A145">
        <f ca="1">IFERROR(__xludf.DUMMYFUNCTION("""COMPUTED_VALUE"""),144)</f>
        <v>144</v>
      </c>
      <c r="B145">
        <f ca="1">IFERROR(__xludf.DUMMYFUNCTION("""COMPUTED_VALUE"""),157)</f>
        <v>157</v>
      </c>
      <c r="C145" t="str">
        <f ca="1">IFERROR(__xludf.DUMMYFUNCTION("""COMPUTED_VALUE"""),"Jason Day")</f>
        <v>Jason Day</v>
      </c>
      <c r="D145">
        <f ca="1">IFERROR(__xludf.DUMMYFUNCTION("""COMPUTED_VALUE"""),17)</f>
        <v>17</v>
      </c>
      <c r="E145">
        <f ca="1">IFERROR(__xludf.DUMMYFUNCTION("""COMPUTED_VALUE"""),-0.027)</f>
        <v>-2.7E-2</v>
      </c>
      <c r="F145">
        <f ca="1">IFERROR(__xludf.DUMMYFUNCTION("""COMPUTED_VALUE"""),-0.455)</f>
        <v>-0.45500000000000002</v>
      </c>
      <c r="G145">
        <f ca="1">IFERROR(__xludf.DUMMYFUNCTION("""COMPUTED_VALUE"""),17)</f>
        <v>17</v>
      </c>
    </row>
    <row r="146" spans="1:7" ht="12.75">
      <c r="A146" t="str">
        <f ca="1">IFERROR(__xludf.DUMMYFUNCTION("""COMPUTED_VALUE"""),"T145")</f>
        <v>T145</v>
      </c>
      <c r="B146" t="str">
        <f ca="1">IFERROR(__xludf.DUMMYFUNCTION("""COMPUTED_VALUE"""),"T139")</f>
        <v>T139</v>
      </c>
      <c r="C146" t="str">
        <f ca="1">IFERROR(__xludf.DUMMYFUNCTION("""COMPUTED_VALUE"""),"Harris English")</f>
        <v>Harris English</v>
      </c>
      <c r="D146">
        <f ca="1">IFERROR(__xludf.DUMMYFUNCTION("""COMPUTED_VALUE"""),14)</f>
        <v>14</v>
      </c>
      <c r="E146">
        <f ca="1">IFERROR(__xludf.DUMMYFUNCTION("""COMPUTED_VALUE"""),-0.043)</f>
        <v>-4.2999999999999997E-2</v>
      </c>
      <c r="F146">
        <f ca="1">IFERROR(__xludf.DUMMYFUNCTION("""COMPUTED_VALUE"""),-0.599)</f>
        <v>-0.59899999999999998</v>
      </c>
      <c r="G146">
        <f ca="1">IFERROR(__xludf.DUMMYFUNCTION("""COMPUTED_VALUE"""),14)</f>
        <v>14</v>
      </c>
    </row>
    <row r="147" spans="1:7" ht="12.75">
      <c r="A147" t="str">
        <f ca="1">IFERROR(__xludf.DUMMYFUNCTION("""COMPUTED_VALUE"""),"T145")</f>
        <v>T145</v>
      </c>
      <c r="B147" t="str">
        <f ca="1">IFERROR(__xludf.DUMMYFUNCTION("""COMPUTED_VALUE"""),"T139")</f>
        <v>T139</v>
      </c>
      <c r="C147" t="str">
        <f ca="1">IFERROR(__xludf.DUMMYFUNCTION("""COMPUTED_VALUE"""),"MJ Daffue")</f>
        <v>MJ Daffue</v>
      </c>
      <c r="D147">
        <f ca="1">IFERROR(__xludf.DUMMYFUNCTION("""COMPUTED_VALUE"""),10)</f>
        <v>10</v>
      </c>
      <c r="E147">
        <f ca="1">IFERROR(__xludf.DUMMYFUNCTION("""COMPUTED_VALUE"""),-0.043)</f>
        <v>-4.2999999999999997E-2</v>
      </c>
      <c r="F147">
        <f ca="1">IFERROR(__xludf.DUMMYFUNCTION("""COMPUTED_VALUE"""),-0.427)</f>
        <v>-0.42699999999999999</v>
      </c>
      <c r="G147">
        <f ca="1">IFERROR(__xludf.DUMMYFUNCTION("""COMPUTED_VALUE"""),10)</f>
        <v>10</v>
      </c>
    </row>
    <row r="148" spans="1:7" ht="12.75">
      <c r="A148">
        <f ca="1">IFERROR(__xludf.DUMMYFUNCTION("""COMPUTED_VALUE"""),147)</f>
        <v>147</v>
      </c>
      <c r="B148">
        <f ca="1">IFERROR(__xludf.DUMMYFUNCTION("""COMPUTED_VALUE"""),141)</f>
        <v>141</v>
      </c>
      <c r="C148" t="str">
        <f ca="1">IFERROR(__xludf.DUMMYFUNCTION("""COMPUTED_VALUE"""),"Michael Gligic")</f>
        <v>Michael Gligic</v>
      </c>
      <c r="D148">
        <f ca="1">IFERROR(__xludf.DUMMYFUNCTION("""COMPUTED_VALUE"""),18)</f>
        <v>18</v>
      </c>
      <c r="E148">
        <f ca="1">IFERROR(__xludf.DUMMYFUNCTION("""COMPUTED_VALUE"""),-0.057)</f>
        <v>-5.7000000000000002E-2</v>
      </c>
      <c r="F148">
        <f ca="1">IFERROR(__xludf.DUMMYFUNCTION("""COMPUTED_VALUE"""),-0.684)</f>
        <v>-0.68400000000000005</v>
      </c>
      <c r="G148">
        <f ca="1">IFERROR(__xludf.DUMMYFUNCTION("""COMPUTED_VALUE"""),12)</f>
        <v>12</v>
      </c>
    </row>
    <row r="149" spans="1:7" ht="12.75">
      <c r="A149">
        <f ca="1">IFERROR(__xludf.DUMMYFUNCTION("""COMPUTED_VALUE"""),148)</f>
        <v>148</v>
      </c>
      <c r="B149">
        <f ca="1">IFERROR(__xludf.DUMMYFUNCTION("""COMPUTED_VALUE"""),142)</f>
        <v>142</v>
      </c>
      <c r="C149" t="str">
        <f ca="1">IFERROR(__xludf.DUMMYFUNCTION("""COMPUTED_VALUE"""),"Abraham Ancer")</f>
        <v>Abraham Ancer</v>
      </c>
      <c r="D149">
        <f ca="1">IFERROR(__xludf.DUMMYFUNCTION("""COMPUTED_VALUE"""),16)</f>
        <v>16</v>
      </c>
      <c r="E149">
        <f ca="1">IFERROR(__xludf.DUMMYFUNCTION("""COMPUTED_VALUE"""),-0.063)</f>
        <v>-6.3E-2</v>
      </c>
      <c r="F149">
        <f ca="1">IFERROR(__xludf.DUMMYFUNCTION("""COMPUTED_VALUE"""),-1.014)</f>
        <v>-1.014</v>
      </c>
      <c r="G149">
        <f ca="1">IFERROR(__xludf.DUMMYFUNCTION("""COMPUTED_VALUE"""),16)</f>
        <v>16</v>
      </c>
    </row>
    <row r="150" spans="1:7" ht="12.75">
      <c r="A150">
        <f ca="1">IFERROR(__xludf.DUMMYFUNCTION("""COMPUTED_VALUE"""),149)</f>
        <v>149</v>
      </c>
      <c r="B150">
        <f ca="1">IFERROR(__xludf.DUMMYFUNCTION("""COMPUTED_VALUE"""),174)</f>
        <v>174</v>
      </c>
      <c r="C150" t="str">
        <f ca="1">IFERROR(__xludf.DUMMYFUNCTION("""COMPUTED_VALUE"""),"Vaughn Taylor")</f>
        <v>Vaughn Taylor</v>
      </c>
      <c r="D150">
        <f ca="1">IFERROR(__xludf.DUMMYFUNCTION("""COMPUTED_VALUE"""),12)</f>
        <v>12</v>
      </c>
      <c r="E150">
        <f ca="1">IFERROR(__xludf.DUMMYFUNCTION("""COMPUTED_VALUE"""),-0.07)</f>
        <v>-7.0000000000000007E-2</v>
      </c>
      <c r="F150">
        <f ca="1">IFERROR(__xludf.DUMMYFUNCTION("""COMPUTED_VALUE"""),-0.42)</f>
        <v>-0.42</v>
      </c>
      <c r="G150">
        <f ca="1">IFERROR(__xludf.DUMMYFUNCTION("""COMPUTED_VALUE"""),6)</f>
        <v>6</v>
      </c>
    </row>
    <row r="151" spans="1:7" ht="12.75">
      <c r="A151" t="str">
        <f ca="1">IFERROR(__xludf.DUMMYFUNCTION("""COMPUTED_VALUE"""),"T150")</f>
        <v>T150</v>
      </c>
      <c r="B151" t="str">
        <f ca="1">IFERROR(__xludf.DUMMYFUNCTION("""COMPUTED_VALUE"""),"T144")</f>
        <v>T144</v>
      </c>
      <c r="C151" t="str">
        <f ca="1">IFERROR(__xludf.DUMMYFUNCTION("""COMPUTED_VALUE"""),"George McNeill")</f>
        <v>George McNeill</v>
      </c>
      <c r="D151">
        <f ca="1">IFERROR(__xludf.DUMMYFUNCTION("""COMPUTED_VALUE"""),8)</f>
        <v>8</v>
      </c>
      <c r="E151">
        <f ca="1">IFERROR(__xludf.DUMMYFUNCTION("""COMPUTED_VALUE"""),-0.081)</f>
        <v>-8.1000000000000003E-2</v>
      </c>
      <c r="F151">
        <f ca="1">IFERROR(__xludf.DUMMYFUNCTION("""COMPUTED_VALUE"""),-0.162)</f>
        <v>-0.16200000000000001</v>
      </c>
      <c r="G151">
        <f ca="1">IFERROR(__xludf.DUMMYFUNCTION("""COMPUTED_VALUE"""),2)</f>
        <v>2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IFERROR(__xludf.DUMMYFUNCTION("""COMPUTED_VALUE"""),"T144")</f>
        <v>T144</v>
      </c>
      <c r="C152" t="str">
        <f ca="1">IFERROR(__xludf.DUMMYFUNCTION("""COMPUTED_VALUE"""),"Zac Blair")</f>
        <v>Zac Blair</v>
      </c>
      <c r="D152">
        <f ca="1">IFERROR(__xludf.DUMMYFUNCTION("""COMPUTED_VALUE"""),10)</f>
        <v>10</v>
      </c>
      <c r="E152">
        <f ca="1">IFERROR(__xludf.DUMMYFUNCTION("""COMPUTED_VALUE"""),-0.081)</f>
        <v>-8.1000000000000003E-2</v>
      </c>
      <c r="F152">
        <f ca="1">IFERROR(__xludf.DUMMYFUNCTION("""COMPUTED_VALUE"""),-0.484)</f>
        <v>-0.48399999999999999</v>
      </c>
      <c r="G152">
        <f ca="1">IFERROR(__xludf.DUMMYFUNCTION("""COMPUTED_VALUE"""),6)</f>
        <v>6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IFERROR(__xludf.DUMMYFUNCTION("""COMPUTED_VALUE"""),173)</f>
        <v>173</v>
      </c>
      <c r="C153" t="str">
        <f ca="1">IFERROR(__xludf.DUMMYFUNCTION("""COMPUTED_VALUE"""),"Patrick Rodgers")</f>
        <v>Patrick Rodgers</v>
      </c>
      <c r="D153">
        <f ca="1">IFERROR(__xludf.DUMMYFUNCTION("""COMPUTED_VALUE"""),18)</f>
        <v>18</v>
      </c>
      <c r="E153">
        <f ca="1">IFERROR(__xludf.DUMMYFUNCTION("""COMPUTED_VALUE"""),-0.086)</f>
        <v>-8.5999999999999993E-2</v>
      </c>
      <c r="F153">
        <f ca="1">IFERROR(__xludf.DUMMYFUNCTION("""COMPUTED_VALUE"""),-0.863)</f>
        <v>-0.86299999999999999</v>
      </c>
      <c r="G153">
        <f ca="1">IFERROR(__xludf.DUMMYFUNCTION("""COMPUTED_VALUE"""),10)</f>
        <v>10</v>
      </c>
    </row>
    <row r="154" spans="1:7" ht="12.75">
      <c r="A154">
        <f ca="1">IFERROR(__xludf.DUMMYFUNCTION("""COMPUTED_VALUE"""),153)</f>
        <v>153</v>
      </c>
      <c r="B154">
        <f ca="1">IFERROR(__xludf.DUMMYFUNCTION("""COMPUTED_VALUE"""),147)</f>
        <v>147</v>
      </c>
      <c r="C154" t="str">
        <f ca="1">IFERROR(__xludf.DUMMYFUNCTION("""COMPUTED_VALUE"""),"Isaiah Salinda")</f>
        <v>Isaiah Salinda</v>
      </c>
      <c r="D154">
        <f ca="1">IFERROR(__xludf.DUMMYFUNCTION("""COMPUTED_VALUE"""),8)</f>
        <v>8</v>
      </c>
      <c r="E154">
        <f ca="1">IFERROR(__xludf.DUMMYFUNCTION("""COMPUTED_VALUE"""),-0.095)</f>
        <v>-9.5000000000000001E-2</v>
      </c>
      <c r="F154">
        <f ca="1">IFERROR(__xludf.DUMMYFUNCTION("""COMPUTED_VALUE"""),-0.758)</f>
        <v>-0.75800000000000001</v>
      </c>
      <c r="G154">
        <f ca="1">IFERROR(__xludf.DUMMYFUNCTION("""COMPUTED_VALUE"""),8)</f>
        <v>8</v>
      </c>
    </row>
    <row r="155" spans="1:7" ht="12.75">
      <c r="A155" t="str">
        <f ca="1">IFERROR(__xludf.DUMMYFUNCTION("""COMPUTED_VALUE"""),"T154")</f>
        <v>T154</v>
      </c>
      <c r="B155">
        <f ca="1">IFERROR(__xludf.DUMMYFUNCTION("""COMPUTED_VALUE"""),103)</f>
        <v>103</v>
      </c>
      <c r="C155" t="str">
        <f ca="1">IFERROR(__xludf.DUMMYFUNCTION("""COMPUTED_VALUE"""),"Cameron Davis")</f>
        <v>Cameron Davis</v>
      </c>
      <c r="D155">
        <f ca="1">IFERROR(__xludf.DUMMYFUNCTION("""COMPUTED_VALUE"""),16)</f>
        <v>16</v>
      </c>
      <c r="E155">
        <f ca="1">IFERROR(__xludf.DUMMYFUNCTION("""COMPUTED_VALUE"""),-0.099)</f>
        <v>-9.9000000000000005E-2</v>
      </c>
      <c r="F155">
        <f ca="1">IFERROR(__xludf.DUMMYFUNCTION("""COMPUTED_VALUE"""),-1.584)</f>
        <v>-1.5840000000000001</v>
      </c>
      <c r="G155">
        <f ca="1">IFERROR(__xludf.DUMMYFUNCTION("""COMPUTED_VALUE"""),16)</f>
        <v>16</v>
      </c>
    </row>
    <row r="156" spans="1:7" ht="12.75">
      <c r="A156" t="str">
        <f ca="1">IFERROR(__xludf.DUMMYFUNCTION("""COMPUTED_VALUE"""),"T154")</f>
        <v>T154</v>
      </c>
      <c r="B156">
        <f ca="1">IFERROR(__xludf.DUMMYFUNCTION("""COMPUTED_VALUE"""),53)</f>
        <v>53</v>
      </c>
      <c r="C156" t="str">
        <f ca="1">IFERROR(__xludf.DUMMYFUNCTION("""COMPUTED_VALUE"""),"Sam Ryder")</f>
        <v>Sam Ryder</v>
      </c>
      <c r="D156">
        <f ca="1">IFERROR(__xludf.DUMMYFUNCTION("""COMPUTED_VALUE"""),12)</f>
        <v>12</v>
      </c>
      <c r="E156">
        <f ca="1">IFERROR(__xludf.DUMMYFUNCTION("""COMPUTED_VALUE"""),-0.099)</f>
        <v>-9.9000000000000005E-2</v>
      </c>
      <c r="F156">
        <f ca="1">IFERROR(__xludf.DUMMYFUNCTION("""COMPUTED_VALUE"""),-0.793)</f>
        <v>-0.79300000000000004</v>
      </c>
      <c r="G156">
        <f ca="1">IFERROR(__xludf.DUMMYFUNCTION("""COMPUTED_VALUE"""),8)</f>
        <v>8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IFERROR(__xludf.DUMMYFUNCTION("""COMPUTED_VALUE"""),"T150")</f>
        <v>T150</v>
      </c>
      <c r="C157" t="str">
        <f ca="1">IFERROR(__xludf.DUMMYFUNCTION("""COMPUTED_VALUE"""),"Chris Baker")</f>
        <v>Chris Baker</v>
      </c>
      <c r="D157">
        <f ca="1">IFERROR(__xludf.DUMMYFUNCTION("""COMPUTED_VALUE"""),8)</f>
        <v>8</v>
      </c>
      <c r="E157">
        <f ca="1">IFERROR(__xludf.DUMMYFUNCTION("""COMPUTED_VALUE"""),-0.109)</f>
        <v>-0.109</v>
      </c>
      <c r="F157">
        <f ca="1">IFERROR(__xludf.DUMMYFUNCTION("""COMPUTED_VALUE"""),-0.438)</f>
        <v>-0.438</v>
      </c>
      <c r="G157">
        <f ca="1">IFERROR(__xludf.DUMMYFUNCTION("""COMPUTED_VALUE"""),4)</f>
        <v>4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IFERROR(__xludf.DUMMYFUNCTION("""COMPUTED_VALUE"""),"T150")</f>
        <v>T150</v>
      </c>
      <c r="C158" t="str">
        <f ca="1">IFERROR(__xludf.DUMMYFUNCTION("""COMPUTED_VALUE"""),"Webb Simpson")</f>
        <v>Webb Simpson</v>
      </c>
      <c r="D158">
        <f ca="1">IFERROR(__xludf.DUMMYFUNCTION("""COMPUTED_VALUE"""),12)</f>
        <v>12</v>
      </c>
      <c r="E158">
        <f ca="1">IFERROR(__xludf.DUMMYFUNCTION("""COMPUTED_VALUE"""),-0.109)</f>
        <v>-0.109</v>
      </c>
      <c r="F158">
        <f ca="1">IFERROR(__xludf.DUMMYFUNCTION("""COMPUTED_VALUE"""),-1.304)</f>
        <v>-1.304</v>
      </c>
      <c r="G158">
        <f ca="1">IFERROR(__xludf.DUMMYFUNCTION("""COMPUTED_VALUE"""),12)</f>
        <v>12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IFERROR(__xludf.DUMMYFUNCTION("""COMPUTED_VALUE"""),152)</f>
        <v>152</v>
      </c>
      <c r="C159" t="str">
        <f ca="1">IFERROR(__xludf.DUMMYFUNCTION("""COMPUTED_VALUE"""),"Brendon Todd")</f>
        <v>Brendon Todd</v>
      </c>
      <c r="D159">
        <f ca="1">IFERROR(__xludf.DUMMYFUNCTION("""COMPUTED_VALUE"""),14)</f>
        <v>14</v>
      </c>
      <c r="E159">
        <f ca="1">IFERROR(__xludf.DUMMYFUNCTION("""COMPUTED_VALUE"""),-0.114)</f>
        <v>-0.114</v>
      </c>
      <c r="F159">
        <f ca="1">IFERROR(__xludf.DUMMYFUNCTION("""COMPUTED_VALUE"""),-1.372)</f>
        <v>-1.3720000000000001</v>
      </c>
      <c r="G159">
        <f ca="1">IFERROR(__xludf.DUMMYFUNCTION("""COMPUTED_VALUE"""),12)</f>
        <v>12</v>
      </c>
    </row>
    <row r="160" spans="1:7" ht="12.75">
      <c r="A160" t="str">
        <f ca="1">IFERROR(__xludf.DUMMYFUNCTION("""COMPUTED_VALUE"""),"T159")</f>
        <v>T159</v>
      </c>
      <c r="B160">
        <f ca="1">IFERROR(__xludf.DUMMYFUNCTION("""COMPUTED_VALUE"""),176)</f>
        <v>176</v>
      </c>
      <c r="C160" t="str">
        <f ca="1">IFERROR(__xludf.DUMMYFUNCTION("""COMPUTED_VALUE"""),"Charley Hoffman")</f>
        <v>Charley Hoffman</v>
      </c>
      <c r="D160">
        <f ca="1">IFERROR(__xludf.DUMMYFUNCTION("""COMPUTED_VALUE"""),20)</f>
        <v>20</v>
      </c>
      <c r="E160">
        <f ca="1">IFERROR(__xludf.DUMMYFUNCTION("""COMPUTED_VALUE"""),-0.117)</f>
        <v>-0.11700000000000001</v>
      </c>
      <c r="F160">
        <f ca="1">IFERROR(__xludf.DUMMYFUNCTION("""COMPUTED_VALUE"""),-1.638)</f>
        <v>-1.6379999999999999</v>
      </c>
      <c r="G160">
        <f ca="1">IFERROR(__xludf.DUMMYFUNCTION("""COMPUTED_VALUE"""),14)</f>
        <v>14</v>
      </c>
    </row>
    <row r="161" spans="1:7" ht="12.75">
      <c r="A161" t="str">
        <f ca="1">IFERROR(__xludf.DUMMYFUNCTION("""COMPUTED_VALUE"""),"T159")</f>
        <v>T159</v>
      </c>
      <c r="B161">
        <f ca="1">IFERROR(__xludf.DUMMYFUNCTION("""COMPUTED_VALUE"""),168)</f>
        <v>168</v>
      </c>
      <c r="C161" t="str">
        <f ca="1">IFERROR(__xludf.DUMMYFUNCTION("""COMPUTED_VALUE"""),"Brandt Snedeker")</f>
        <v>Brandt Snedeker</v>
      </c>
      <c r="D161">
        <f ca="1">IFERROR(__xludf.DUMMYFUNCTION("""COMPUTED_VALUE"""),16)</f>
        <v>16</v>
      </c>
      <c r="E161">
        <f ca="1">IFERROR(__xludf.DUMMYFUNCTION("""COMPUTED_VALUE"""),-0.117)</f>
        <v>-0.11700000000000001</v>
      </c>
      <c r="F161">
        <f ca="1">IFERROR(__xludf.DUMMYFUNCTION("""COMPUTED_VALUE"""),-1.87)</f>
        <v>-1.87</v>
      </c>
      <c r="G161">
        <f ca="1">IFERROR(__xludf.DUMMYFUNCTION("""COMPUTED_VALUE"""),16)</f>
        <v>16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IFERROR(__xludf.DUMMYFUNCTION("""COMPUTED_VALUE"""),89)</f>
        <v>89</v>
      </c>
      <c r="C162" t="str">
        <f ca="1">IFERROR(__xludf.DUMMYFUNCTION("""COMPUTED_VALUE"""),"Branden Grace")</f>
        <v>Branden Grace</v>
      </c>
      <c r="D162">
        <f ca="1">IFERROR(__xludf.DUMMYFUNCTION("""COMPUTED_VALUE"""),16)</f>
        <v>16</v>
      </c>
      <c r="E162">
        <f ca="1">IFERROR(__xludf.DUMMYFUNCTION("""COMPUTED_VALUE"""),-0.118)</f>
        <v>-0.11799999999999999</v>
      </c>
      <c r="F162">
        <f ca="1">IFERROR(__xludf.DUMMYFUNCTION("""COMPUTED_VALUE"""),-1.18)</f>
        <v>-1.18</v>
      </c>
      <c r="G162">
        <f ca="1">IFERROR(__xludf.DUMMYFUNCTION("""COMPUTED_VALUE"""),10)</f>
        <v>10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IFERROR(__xludf.DUMMYFUNCTION("""COMPUTED_VALUE"""),154)</f>
        <v>154</v>
      </c>
      <c r="C163" t="str">
        <f ca="1">IFERROR(__xludf.DUMMYFUNCTION("""COMPUTED_VALUE"""),"Thomas Detry")</f>
        <v>Thomas Detry</v>
      </c>
      <c r="D163">
        <f ca="1">IFERROR(__xludf.DUMMYFUNCTION("""COMPUTED_VALUE"""),8)</f>
        <v>8</v>
      </c>
      <c r="E163">
        <f ca="1">IFERROR(__xludf.DUMMYFUNCTION("""COMPUTED_VALUE"""),-0.131)</f>
        <v>-0.13100000000000001</v>
      </c>
      <c r="F163">
        <f ca="1">IFERROR(__xludf.DUMMYFUNCTION("""COMPUTED_VALUE"""),-0.524)</f>
        <v>-0.52400000000000002</v>
      </c>
      <c r="G163">
        <f ca="1">IFERROR(__xludf.DUMMYFUNCTION("""COMPUTED_VALUE"""),4)</f>
        <v>4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IFERROR(__xludf.DUMMYFUNCTION("""COMPUTED_VALUE"""),155)</f>
        <v>155</v>
      </c>
      <c r="C164" t="str">
        <f ca="1">IFERROR(__xludf.DUMMYFUNCTION("""COMPUTED_VALUE"""),"Chesson Hadley")</f>
        <v>Chesson Hadley</v>
      </c>
      <c r="D164">
        <f ca="1">IFERROR(__xludf.DUMMYFUNCTION("""COMPUTED_VALUE"""),16)</f>
        <v>16</v>
      </c>
      <c r="E164">
        <f ca="1">IFERROR(__xludf.DUMMYFUNCTION("""COMPUTED_VALUE"""),-0.137)</f>
        <v>-0.13700000000000001</v>
      </c>
      <c r="F164">
        <f ca="1">IFERROR(__xludf.DUMMYFUNCTION("""COMPUTED_VALUE"""),-1.639)</f>
        <v>-1.639</v>
      </c>
      <c r="G164">
        <f ca="1">IFERROR(__xludf.DUMMYFUNCTION("""COMPUTED_VALUE"""),12)</f>
        <v>12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IFERROR(__xludf.DUMMYFUNCTION("""COMPUTED_VALUE"""),137)</f>
        <v>137</v>
      </c>
      <c r="C165" t="str">
        <f ca="1">IFERROR(__xludf.DUMMYFUNCTION("""COMPUTED_VALUE"""),"Kevin Chappell")</f>
        <v>Kevin Chappell</v>
      </c>
      <c r="D165">
        <f ca="1">IFERROR(__xludf.DUMMYFUNCTION("""COMPUTED_VALUE"""),16)</f>
        <v>16</v>
      </c>
      <c r="E165">
        <f ca="1">IFERROR(__xludf.DUMMYFUNCTION("""COMPUTED_VALUE"""),-0.139)</f>
        <v>-0.13900000000000001</v>
      </c>
      <c r="F165">
        <f ca="1">IFERROR(__xludf.DUMMYFUNCTION("""COMPUTED_VALUE"""),-1.947)</f>
        <v>-1.9470000000000001</v>
      </c>
      <c r="G165">
        <f ca="1">IFERROR(__xludf.DUMMYFUNCTION("""COMPUTED_VALUE"""),14)</f>
        <v>14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IFERROR(__xludf.DUMMYFUNCTION("""COMPUTED_VALUE"""),156)</f>
        <v>156</v>
      </c>
      <c r="C166" t="str">
        <f ca="1">IFERROR(__xludf.DUMMYFUNCTION("""COMPUTED_VALUE"""),"Jay McLuen")</f>
        <v>Jay McLuen</v>
      </c>
      <c r="D166">
        <f ca="1">IFERROR(__xludf.DUMMYFUNCTION("""COMPUTED_VALUE"""),4)</f>
        <v>4</v>
      </c>
      <c r="E166">
        <f ca="1">IFERROR(__xludf.DUMMYFUNCTION("""COMPUTED_VALUE"""),-0.145)</f>
        <v>-0.14499999999999999</v>
      </c>
      <c r="F166">
        <f ca="1">IFERROR(__xludf.DUMMYFUNCTION("""COMPUTED_VALUE"""),-0.579)</f>
        <v>-0.57899999999999996</v>
      </c>
      <c r="G166">
        <f ca="1">IFERROR(__xludf.DUMMYFUNCTION("""COMPUTED_VALUE"""),4)</f>
        <v>4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IFERROR(__xludf.DUMMYFUNCTION("""COMPUTED_VALUE"""),172)</f>
        <v>172</v>
      </c>
      <c r="C167" t="str">
        <f ca="1">IFERROR(__xludf.DUMMYFUNCTION("""COMPUTED_VALUE"""),"Cameron Tringale")</f>
        <v>Cameron Tringale</v>
      </c>
      <c r="D167">
        <f ca="1">IFERROR(__xludf.DUMMYFUNCTION("""COMPUTED_VALUE"""),16)</f>
        <v>16</v>
      </c>
      <c r="E167">
        <f ca="1">IFERROR(__xludf.DUMMYFUNCTION("""COMPUTED_VALUE"""),-0.146)</f>
        <v>-0.14599999999999999</v>
      </c>
      <c r="F167">
        <f ca="1">IFERROR(__xludf.DUMMYFUNCTION("""COMPUTED_VALUE"""),-2.043)</f>
        <v>-2.0430000000000001</v>
      </c>
      <c r="G167">
        <f ca="1">IFERROR(__xludf.DUMMYFUNCTION("""COMPUTED_VALUE"""),14)</f>
        <v>14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IFERROR(__xludf.DUMMYFUNCTION("""COMPUTED_VALUE"""),158)</f>
        <v>158</v>
      </c>
      <c r="C168" t="str">
        <f ca="1">IFERROR(__xludf.DUMMYFUNCTION("""COMPUTED_VALUE"""),"Kyle Stanley")</f>
        <v>Kyle Stanley</v>
      </c>
      <c r="D168">
        <f ca="1">IFERROR(__xludf.DUMMYFUNCTION("""COMPUTED_VALUE"""),16)</f>
        <v>16</v>
      </c>
      <c r="E168">
        <f ca="1">IFERROR(__xludf.DUMMYFUNCTION("""COMPUTED_VALUE"""),-0.166)</f>
        <v>-0.16600000000000001</v>
      </c>
      <c r="F168">
        <f ca="1">IFERROR(__xludf.DUMMYFUNCTION("""COMPUTED_VALUE"""),-1.327)</f>
        <v>-1.327</v>
      </c>
      <c r="G168">
        <f ca="1">IFERROR(__xludf.DUMMYFUNCTION("""COMPUTED_VALUE"""),8)</f>
        <v>8</v>
      </c>
    </row>
    <row r="169" spans="1:7" ht="12.75">
      <c r="A169" t="str">
        <f ca="1">IFERROR(__xludf.DUMMYFUNCTION("""COMPUTED_VALUE"""),"T168")</f>
        <v>T168</v>
      </c>
      <c r="B169">
        <f ca="1">IFERROR(__xludf.DUMMYFUNCTION("""COMPUTED_VALUE"""),159)</f>
        <v>159</v>
      </c>
      <c r="C169" t="str">
        <f ca="1">IFERROR(__xludf.DUMMYFUNCTION("""COMPUTED_VALUE"""),"Harry Higgs")</f>
        <v>Harry Higgs</v>
      </c>
      <c r="D169">
        <f ca="1">IFERROR(__xludf.DUMMYFUNCTION("""COMPUTED_VALUE"""),14)</f>
        <v>14</v>
      </c>
      <c r="E169">
        <f ca="1">IFERROR(__xludf.DUMMYFUNCTION("""COMPUTED_VALUE"""),-0.176)</f>
        <v>-0.17599999999999999</v>
      </c>
      <c r="F169">
        <f ca="1">IFERROR(__xludf.DUMMYFUNCTION("""COMPUTED_VALUE"""),-2.467)</f>
        <v>-2.4670000000000001</v>
      </c>
      <c r="G169">
        <f ca="1">IFERROR(__xludf.DUMMYFUNCTION("""COMPUTED_VALUE"""),14)</f>
        <v>14</v>
      </c>
    </row>
    <row r="170" spans="1:7" ht="12.75">
      <c r="A170" t="str">
        <f ca="1">IFERROR(__xludf.DUMMYFUNCTION("""COMPUTED_VALUE"""),"T168")</f>
        <v>T168</v>
      </c>
      <c r="B170">
        <f ca="1">IFERROR(__xludf.DUMMYFUNCTION("""COMPUTED_VALUE"""),183)</f>
        <v>183</v>
      </c>
      <c r="C170" t="str">
        <f ca="1">IFERROR(__xludf.DUMMYFUNCTION("""COMPUTED_VALUE"""),"Mark Hubbard")</f>
        <v>Mark Hubbard</v>
      </c>
      <c r="D170">
        <f ca="1">IFERROR(__xludf.DUMMYFUNCTION("""COMPUTED_VALUE"""),20)</f>
        <v>20</v>
      </c>
      <c r="E170">
        <f ca="1">IFERROR(__xludf.DUMMYFUNCTION("""COMPUTED_VALUE"""),-0.176)</f>
        <v>-0.17599999999999999</v>
      </c>
      <c r="F170">
        <f ca="1">IFERROR(__xludf.DUMMYFUNCTION("""COMPUTED_VALUE"""),-3.52)</f>
        <v>-3.52</v>
      </c>
      <c r="G170">
        <f ca="1">IFERROR(__xludf.DUMMYFUNCTION("""COMPUTED_VALUE"""),20)</f>
        <v>20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IFERROR(__xludf.DUMMYFUNCTION("""COMPUTED_VALUE"""),160)</f>
        <v>160</v>
      </c>
      <c r="C171" t="str">
        <f ca="1">IFERROR(__xludf.DUMMYFUNCTION("""COMPUTED_VALUE"""),"Sebastian Cappelen")</f>
        <v>Sebastian Cappelen</v>
      </c>
      <c r="D171">
        <f ca="1">IFERROR(__xludf.DUMMYFUNCTION("""COMPUTED_VALUE"""),8)</f>
        <v>8</v>
      </c>
      <c r="E171">
        <f ca="1">IFERROR(__xludf.DUMMYFUNCTION("""COMPUTED_VALUE"""),-0.179)</f>
        <v>-0.17899999999999999</v>
      </c>
      <c r="F171">
        <f ca="1">IFERROR(__xludf.DUMMYFUNCTION("""COMPUTED_VALUE"""),-0.715)</f>
        <v>-0.71499999999999997</v>
      </c>
      <c r="G171">
        <f ca="1">IFERROR(__xludf.DUMMYFUNCTION("""COMPUTED_VALUE"""),4)</f>
        <v>4</v>
      </c>
    </row>
    <row r="172" spans="1:7" ht="12.75">
      <c r="A172">
        <f ca="1">IFERROR(__xludf.DUMMYFUNCTION("""COMPUTED_VALUE"""),171)</f>
        <v>171</v>
      </c>
      <c r="B172" t="str">
        <f ca="1">IFERROR(__xludf.DUMMYFUNCTION("""COMPUTED_VALUE"""),"T169")</f>
        <v>T169</v>
      </c>
      <c r="C172" t="str">
        <f ca="1">IFERROR(__xludf.DUMMYFUNCTION("""COMPUTED_VALUE"""),"Luke List")</f>
        <v>Luke List</v>
      </c>
      <c r="D172">
        <f ca="1">IFERROR(__xludf.DUMMYFUNCTION("""COMPUTED_VALUE"""),18)</f>
        <v>18</v>
      </c>
      <c r="E172">
        <f ca="1">IFERROR(__xludf.DUMMYFUNCTION("""COMPUTED_VALUE"""),-0.182)</f>
        <v>-0.182</v>
      </c>
      <c r="F172">
        <f ca="1">IFERROR(__xludf.DUMMYFUNCTION("""COMPUTED_VALUE"""),-1.822)</f>
        <v>-1.8220000000000001</v>
      </c>
      <c r="G172">
        <f ca="1">IFERROR(__xludf.DUMMYFUNCTION("""COMPUTED_VALUE"""),10)</f>
        <v>10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IFERROR(__xludf.DUMMYFUNCTION("""COMPUTED_VALUE"""),161)</f>
        <v>161</v>
      </c>
      <c r="C173" t="str">
        <f ca="1">IFERROR(__xludf.DUMMYFUNCTION("""COMPUTED_VALUE"""),"Justin Rose")</f>
        <v>Justin Rose</v>
      </c>
      <c r="D173">
        <f ca="1">IFERROR(__xludf.DUMMYFUNCTION("""COMPUTED_VALUE"""),10)</f>
        <v>10</v>
      </c>
      <c r="E173">
        <f ca="1">IFERROR(__xludf.DUMMYFUNCTION("""COMPUTED_VALUE"""),-0.183)</f>
        <v>-0.183</v>
      </c>
      <c r="F173">
        <f ca="1">IFERROR(__xludf.DUMMYFUNCTION("""COMPUTED_VALUE"""),-1.832)</f>
        <v>-1.8320000000000001</v>
      </c>
      <c r="G173">
        <f ca="1">IFERROR(__xludf.DUMMYFUNCTION("""COMPUTED_VALUE"""),10)</f>
        <v>10</v>
      </c>
    </row>
    <row r="174" spans="1:7" ht="12.75">
      <c r="A174">
        <f ca="1">IFERROR(__xludf.DUMMYFUNCTION("""COMPUTED_VALUE"""),173)</f>
        <v>173</v>
      </c>
      <c r="B174" t="str">
        <f ca="1">IFERROR(__xludf.DUMMYFUNCTION("""COMPUTED_VALUE"""),"T101")</f>
        <v>T101</v>
      </c>
      <c r="C174" t="str">
        <f ca="1">IFERROR(__xludf.DUMMYFUNCTION("""COMPUTED_VALUE"""),"David Hearn")</f>
        <v>David Hearn</v>
      </c>
      <c r="D174">
        <f ca="1">IFERROR(__xludf.DUMMYFUNCTION("""COMPUTED_VALUE"""),16)</f>
        <v>16</v>
      </c>
      <c r="E174">
        <f ca="1">IFERROR(__xludf.DUMMYFUNCTION("""COMPUTED_VALUE"""),-0.194)</f>
        <v>-0.19400000000000001</v>
      </c>
      <c r="F174">
        <f ca="1">IFERROR(__xludf.DUMMYFUNCTION("""COMPUTED_VALUE"""),-1.553)</f>
        <v>-1.5529999999999999</v>
      </c>
      <c r="G174">
        <f ca="1">IFERROR(__xludf.DUMMYFUNCTION("""COMPUTED_VALUE"""),8)</f>
        <v>8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IFERROR(__xludf.DUMMYFUNCTION("""COMPUTED_VALUE"""),"T179")</f>
        <v>T179</v>
      </c>
      <c r="C175" t="str">
        <f ca="1">IFERROR(__xludf.DUMMYFUNCTION("""COMPUTED_VALUE"""),"Adam Schenk")</f>
        <v>Adam Schenk</v>
      </c>
      <c r="D175">
        <f ca="1">IFERROR(__xludf.DUMMYFUNCTION("""COMPUTED_VALUE"""),22)</f>
        <v>22</v>
      </c>
      <c r="E175">
        <f ca="1">IFERROR(__xludf.DUMMYFUNCTION("""COMPUTED_VALUE"""),-0.2)</f>
        <v>-0.2</v>
      </c>
      <c r="F175">
        <f ca="1">IFERROR(__xludf.DUMMYFUNCTION("""COMPUTED_VALUE"""),-2.805)</f>
        <v>-2.8050000000000002</v>
      </c>
      <c r="G175">
        <f ca="1">IFERROR(__xludf.DUMMYFUNCTION("""COMPUTED_VALUE"""),14)</f>
        <v>14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IFERROR(__xludf.DUMMYFUNCTION("""COMPUTED_VALUE"""),163)</f>
        <v>163</v>
      </c>
      <c r="C176" t="str">
        <f ca="1">IFERROR(__xludf.DUMMYFUNCTION("""COMPUTED_VALUE"""),"Marc Leishman")</f>
        <v>Marc Leishman</v>
      </c>
      <c r="D176">
        <f ca="1">IFERROR(__xludf.DUMMYFUNCTION("""COMPUTED_VALUE"""),10)</f>
        <v>10</v>
      </c>
      <c r="E176">
        <f ca="1">IFERROR(__xludf.DUMMYFUNCTION("""COMPUTED_VALUE"""),-0.211)</f>
        <v>-0.21099999999999999</v>
      </c>
      <c r="F176">
        <f ca="1">IFERROR(__xludf.DUMMYFUNCTION("""COMPUTED_VALUE"""),-2.108)</f>
        <v>-2.1080000000000001</v>
      </c>
      <c r="G176">
        <f ca="1">IFERROR(__xludf.DUMMYFUNCTION("""COMPUTED_VALUE"""),10)</f>
        <v>10</v>
      </c>
    </row>
    <row r="177" spans="1:7" ht="12.75">
      <c r="A177">
        <f ca="1">IFERROR(__xludf.DUMMYFUNCTION("""COMPUTED_VALUE"""),176)</f>
        <v>176</v>
      </c>
      <c r="B177">
        <f ca="1">IFERROR(__xludf.DUMMYFUNCTION("""COMPUTED_VALUE"""),164)</f>
        <v>164</v>
      </c>
      <c r="C177" t="str">
        <f ca="1">IFERROR(__xludf.DUMMYFUNCTION("""COMPUTED_VALUE"""),"Rory McIlroy")</f>
        <v>Rory McIlroy</v>
      </c>
      <c r="D177">
        <f ca="1">IFERROR(__xludf.DUMMYFUNCTION("""COMPUTED_VALUE"""),12)</f>
        <v>12</v>
      </c>
      <c r="E177">
        <f ca="1">IFERROR(__xludf.DUMMYFUNCTION("""COMPUTED_VALUE"""),-0.212)</f>
        <v>-0.21199999999999999</v>
      </c>
      <c r="F177">
        <f ca="1">IFERROR(__xludf.DUMMYFUNCTION("""COMPUTED_VALUE"""),-2.54)</f>
        <v>-2.54</v>
      </c>
      <c r="G177">
        <f ca="1">IFERROR(__xludf.DUMMYFUNCTION("""COMPUTED_VALUE"""),12)</f>
        <v>12</v>
      </c>
    </row>
    <row r="178" spans="1:7" ht="12.75">
      <c r="A178">
        <f ca="1">IFERROR(__xludf.DUMMYFUNCTION("""COMPUTED_VALUE"""),177)</f>
        <v>177</v>
      </c>
      <c r="B178">
        <f ca="1">IFERROR(__xludf.DUMMYFUNCTION("""COMPUTED_VALUE"""),165)</f>
        <v>165</v>
      </c>
      <c r="C178" t="str">
        <f ca="1">IFERROR(__xludf.DUMMYFUNCTION("""COMPUTED_VALUE"""),"Lucas Herbert")</f>
        <v>Lucas Herbert</v>
      </c>
      <c r="D178">
        <f ca="1">IFERROR(__xludf.DUMMYFUNCTION("""COMPUTED_VALUE"""),4)</f>
        <v>4</v>
      </c>
      <c r="E178">
        <f ca="1">IFERROR(__xludf.DUMMYFUNCTION("""COMPUTED_VALUE"""),-0.213)</f>
        <v>-0.21299999999999999</v>
      </c>
      <c r="F178">
        <f ca="1">IFERROR(__xludf.DUMMYFUNCTION("""COMPUTED_VALUE"""),-0.851)</f>
        <v>-0.85099999999999998</v>
      </c>
      <c r="G178">
        <f ca="1">IFERROR(__xludf.DUMMYFUNCTION("""COMPUTED_VALUE"""),4)</f>
        <v>4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IFERROR(__xludf.DUMMYFUNCTION("""COMPUTED_VALUE"""),143)</f>
        <v>143</v>
      </c>
      <c r="C179" t="str">
        <f ca="1">IFERROR(__xludf.DUMMYFUNCTION("""COMPUTED_VALUE"""),"Keith Mitchell")</f>
        <v>Keith Mitchell</v>
      </c>
      <c r="D179">
        <f ca="1">IFERROR(__xludf.DUMMYFUNCTION("""COMPUTED_VALUE"""),14)</f>
        <v>14</v>
      </c>
      <c r="E179">
        <f ca="1">IFERROR(__xludf.DUMMYFUNCTION("""COMPUTED_VALUE"""),-0.214)</f>
        <v>-0.214</v>
      </c>
      <c r="F179">
        <f ca="1">IFERROR(__xludf.DUMMYFUNCTION("""COMPUTED_VALUE"""),-1.287)</f>
        <v>-1.2869999999999999</v>
      </c>
      <c r="G179">
        <f ca="1">IFERROR(__xludf.DUMMYFUNCTION("""COMPUTED_VALUE"""),6)</f>
        <v>6</v>
      </c>
    </row>
    <row r="180" spans="1:7" ht="12.75">
      <c r="A180">
        <f ca="1">IFERROR(__xludf.DUMMYFUNCTION("""COMPUTED_VALUE"""),179)</f>
        <v>179</v>
      </c>
      <c r="B180" t="str">
        <f ca="1">IFERROR(__xludf.DUMMYFUNCTION("""COMPUTED_VALUE"""),"T226")</f>
        <v>T226</v>
      </c>
      <c r="C180" t="str">
        <f ca="1">IFERROR(__xludf.DUMMYFUNCTION("""COMPUTED_VALUE"""),"Jhonattan Vegas")</f>
        <v>Jhonattan Vegas</v>
      </c>
      <c r="D180">
        <f ca="1">IFERROR(__xludf.DUMMYFUNCTION("""COMPUTED_VALUE"""),16)</f>
        <v>16</v>
      </c>
      <c r="E180">
        <f ca="1">IFERROR(__xludf.DUMMYFUNCTION("""COMPUTED_VALUE"""),-0.224)</f>
        <v>-0.224</v>
      </c>
      <c r="F180">
        <f ca="1">IFERROR(__xludf.DUMMYFUNCTION("""COMPUTED_VALUE"""),-2.24)</f>
        <v>-2.2400000000000002</v>
      </c>
      <c r="G180">
        <f ca="1">IFERROR(__xludf.DUMMYFUNCTION("""COMPUTED_VALUE"""),10)</f>
        <v>10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IFERROR(__xludf.DUMMYFUNCTION("""COMPUTED_VALUE"""),116)</f>
        <v>116</v>
      </c>
      <c r="C181" t="str">
        <f ca="1">IFERROR(__xludf.DUMMYFUNCTION("""COMPUTED_VALUE"""),"Grayson Murray")</f>
        <v>Grayson Murray</v>
      </c>
      <c r="D181">
        <f ca="1">IFERROR(__xludf.DUMMYFUNCTION("""COMPUTED_VALUE"""),10)</f>
        <v>10</v>
      </c>
      <c r="E181">
        <f ca="1">IFERROR(__xludf.DUMMYFUNCTION("""COMPUTED_VALUE"""),-0.227)</f>
        <v>-0.22700000000000001</v>
      </c>
      <c r="F181">
        <f ca="1">IFERROR(__xludf.DUMMYFUNCTION("""COMPUTED_VALUE"""),-1.817)</f>
        <v>-1.8169999999999999</v>
      </c>
      <c r="G181">
        <f ca="1">IFERROR(__xludf.DUMMYFUNCTION("""COMPUTED_VALUE"""),8)</f>
        <v>8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IFERROR(__xludf.DUMMYFUNCTION("""COMPUTED_VALUE"""),149)</f>
        <v>149</v>
      </c>
      <c r="C182" t="str">
        <f ca="1">IFERROR(__xludf.DUMMYFUNCTION("""COMPUTED_VALUE"""),"Si Woo Kim")</f>
        <v>Si Woo Kim</v>
      </c>
      <c r="D182">
        <f ca="1">IFERROR(__xludf.DUMMYFUNCTION("""COMPUTED_VALUE"""),20)</f>
        <v>20</v>
      </c>
      <c r="E182">
        <f ca="1">IFERROR(__xludf.DUMMYFUNCTION("""COMPUTED_VALUE"""),-0.235)</f>
        <v>-0.23499999999999999</v>
      </c>
      <c r="F182">
        <f ca="1">IFERROR(__xludf.DUMMYFUNCTION("""COMPUTED_VALUE"""),-4.697)</f>
        <v>-4.6970000000000001</v>
      </c>
      <c r="G182">
        <f ca="1">IFERROR(__xludf.DUMMYFUNCTION("""COMPUTED_VALUE"""),20)</f>
        <v>20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IFERROR(__xludf.DUMMYFUNCTION("""COMPUTED_VALUE"""),215)</f>
        <v>215</v>
      </c>
      <c r="C183" t="str">
        <f ca="1">IFERROR(__xludf.DUMMYFUNCTION("""COMPUTED_VALUE"""),"Michael Thompson")</f>
        <v>Michael Thompson</v>
      </c>
      <c r="D183">
        <f ca="1">IFERROR(__xludf.DUMMYFUNCTION("""COMPUTED_VALUE"""),16)</f>
        <v>16</v>
      </c>
      <c r="E183">
        <f ca="1">IFERROR(__xludf.DUMMYFUNCTION("""COMPUTED_VALUE"""),-0.236)</f>
        <v>-0.23599999999999999</v>
      </c>
      <c r="F183">
        <f ca="1">IFERROR(__xludf.DUMMYFUNCTION("""COMPUTED_VALUE"""),-3.772)</f>
        <v>-3.7719999999999998</v>
      </c>
      <c r="G183">
        <f ca="1">IFERROR(__xludf.DUMMYFUNCTION("""COMPUTED_VALUE"""),16)</f>
        <v>16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IFERROR(__xludf.DUMMYFUNCTION("""COMPUTED_VALUE"""),167)</f>
        <v>167</v>
      </c>
      <c r="C184" t="str">
        <f ca="1">IFERROR(__xludf.DUMMYFUNCTION("""COMPUTED_VALUE"""),"John Senden")</f>
        <v>John Senden</v>
      </c>
      <c r="D184">
        <f ca="1">IFERROR(__xludf.DUMMYFUNCTION("""COMPUTED_VALUE"""),8)</f>
        <v>8</v>
      </c>
      <c r="E184">
        <f ca="1">IFERROR(__xludf.DUMMYFUNCTION("""COMPUTED_VALUE"""),-0.239)</f>
        <v>-0.23899999999999999</v>
      </c>
      <c r="F184">
        <f ca="1">IFERROR(__xludf.DUMMYFUNCTION("""COMPUTED_VALUE"""),-0.478)</f>
        <v>-0.47799999999999998</v>
      </c>
      <c r="G184">
        <f ca="1">IFERROR(__xludf.DUMMYFUNCTION("""COMPUTED_VALUE"""),2)</f>
        <v>2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IFERROR(__xludf.DUMMYFUNCTION("""COMPUTED_VALUE"""),220)</f>
        <v>220</v>
      </c>
      <c r="C185" t="str">
        <f ca="1">IFERROR(__xludf.DUMMYFUNCTION("""COMPUTED_VALUE"""),"Adam Long")</f>
        <v>Adam Long</v>
      </c>
      <c r="D185">
        <f ca="1">IFERROR(__xludf.DUMMYFUNCTION("""COMPUTED_VALUE"""),22)</f>
        <v>22</v>
      </c>
      <c r="E185">
        <f ca="1">IFERROR(__xludf.DUMMYFUNCTION("""COMPUTED_VALUE"""),-0.24)</f>
        <v>-0.24</v>
      </c>
      <c r="F185">
        <f ca="1">IFERROR(__xludf.DUMMYFUNCTION("""COMPUTED_VALUE"""),-4.319)</f>
        <v>-4.319</v>
      </c>
      <c r="G185">
        <f ca="1">IFERROR(__xludf.DUMMYFUNCTION("""COMPUTED_VALUE"""),18)</f>
        <v>18</v>
      </c>
    </row>
    <row r="186" spans="1:7" ht="12.75">
      <c r="A186">
        <f ca="1">IFERROR(__xludf.DUMMYFUNCTION("""COMPUTED_VALUE"""),185)</f>
        <v>185</v>
      </c>
      <c r="B186">
        <f ca="1">IFERROR(__xludf.DUMMYFUNCTION("""COMPUTED_VALUE"""),171)</f>
        <v>171</v>
      </c>
      <c r="C186" t="str">
        <f ca="1">IFERROR(__xludf.DUMMYFUNCTION("""COMPUTED_VALUE"""),"Denny McCarthy")</f>
        <v>Denny McCarthy</v>
      </c>
      <c r="D186">
        <f ca="1">IFERROR(__xludf.DUMMYFUNCTION("""COMPUTED_VALUE"""),22)</f>
        <v>22</v>
      </c>
      <c r="E186">
        <f ca="1">IFERROR(__xludf.DUMMYFUNCTION("""COMPUTED_VALUE"""),-0.254)</f>
        <v>-0.254</v>
      </c>
      <c r="F186">
        <f ca="1">IFERROR(__xludf.DUMMYFUNCTION("""COMPUTED_VALUE"""),-3.555)</f>
        <v>-3.5550000000000002</v>
      </c>
      <c r="G186">
        <f ca="1">IFERROR(__xludf.DUMMYFUNCTION("""COMPUTED_VALUE"""),14)</f>
        <v>14</v>
      </c>
    </row>
    <row r="187" spans="1:7" ht="12.75">
      <c r="A187">
        <f ca="1">IFERROR(__xludf.DUMMYFUNCTION("""COMPUTED_VALUE"""),186)</f>
        <v>186</v>
      </c>
      <c r="B187" t="str">
        <f ca="1">IFERROR(__xludf.DUMMYFUNCTION("""COMPUTED_VALUE"""),"T169")</f>
        <v>T169</v>
      </c>
      <c r="C187" t="str">
        <f ca="1">IFERROR(__xludf.DUMMYFUNCTION("""COMPUTED_VALUE"""),"Vincent Whaley")</f>
        <v>Vincent Whaley</v>
      </c>
      <c r="D187">
        <f ca="1">IFERROR(__xludf.DUMMYFUNCTION("""COMPUTED_VALUE"""),14)</f>
        <v>14</v>
      </c>
      <c r="E187">
        <f ca="1">IFERROR(__xludf.DUMMYFUNCTION("""COMPUTED_VALUE"""),-0.26)</f>
        <v>-0.26</v>
      </c>
      <c r="F187">
        <f ca="1">IFERROR(__xludf.DUMMYFUNCTION("""COMPUTED_VALUE"""),-2.081)</f>
        <v>-2.081</v>
      </c>
      <c r="G187">
        <f ca="1">IFERROR(__xludf.DUMMYFUNCTION("""COMPUTED_VALUE"""),8)</f>
        <v>8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IFERROR(__xludf.DUMMYFUNCTION("""COMPUTED_VALUE"""),175)</f>
        <v>175</v>
      </c>
      <c r="C188" t="str">
        <f ca="1">IFERROR(__xludf.DUMMYFUNCTION("""COMPUTED_VALUE"""),"Joseph Bramlett")</f>
        <v>Joseph Bramlett</v>
      </c>
      <c r="D188">
        <f ca="1">IFERROR(__xludf.DUMMYFUNCTION("""COMPUTED_VALUE"""),18)</f>
        <v>18</v>
      </c>
      <c r="E188">
        <f ca="1">IFERROR(__xludf.DUMMYFUNCTION("""COMPUTED_VALUE"""),-0.282)</f>
        <v>-0.28199999999999997</v>
      </c>
      <c r="F188">
        <f ca="1">IFERROR(__xludf.DUMMYFUNCTION("""COMPUTED_VALUE"""),-2.821)</f>
        <v>-2.8210000000000002</v>
      </c>
      <c r="G188">
        <f ca="1">IFERROR(__xludf.DUMMYFUNCTION("""COMPUTED_VALUE"""),10)</f>
        <v>10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IFERROR(__xludf.DUMMYFUNCTION("""COMPUTED_VALUE"""),128)</f>
        <v>128</v>
      </c>
      <c r="C189" t="str">
        <f ca="1">IFERROR(__xludf.DUMMYFUNCTION("""COMPUTED_VALUE"""),"Bronson Burgoon")</f>
        <v>Bronson Burgoon</v>
      </c>
      <c r="D189">
        <f ca="1">IFERROR(__xludf.DUMMYFUNCTION("""COMPUTED_VALUE"""),10)</f>
        <v>10</v>
      </c>
      <c r="E189">
        <f ca="1">IFERROR(__xludf.DUMMYFUNCTION("""COMPUTED_VALUE"""),-0.287)</f>
        <v>-0.28699999999999998</v>
      </c>
      <c r="F189">
        <f ca="1">IFERROR(__xludf.DUMMYFUNCTION("""COMPUTED_VALUE"""),-2.293)</f>
        <v>-2.2930000000000001</v>
      </c>
      <c r="G189">
        <f ca="1">IFERROR(__xludf.DUMMYFUNCTION("""COMPUTED_VALUE"""),8)</f>
        <v>8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IFERROR(__xludf.DUMMYFUNCTION("""COMPUTED_VALUE"""),178)</f>
        <v>178</v>
      </c>
      <c r="C190" t="str">
        <f ca="1">IFERROR(__xludf.DUMMYFUNCTION("""COMPUTED_VALUE"""),"Kevin Na")</f>
        <v>Kevin Na</v>
      </c>
      <c r="D190">
        <f ca="1">IFERROR(__xludf.DUMMYFUNCTION("""COMPUTED_VALUE"""),14)</f>
        <v>14</v>
      </c>
      <c r="E190">
        <f ca="1">IFERROR(__xludf.DUMMYFUNCTION("""COMPUTED_VALUE"""),-0.307)</f>
        <v>-0.307</v>
      </c>
      <c r="F190">
        <f ca="1">IFERROR(__xludf.DUMMYFUNCTION("""COMPUTED_VALUE"""),-4.297)</f>
        <v>-4.2969999999999997</v>
      </c>
      <c r="G190">
        <f ca="1">IFERROR(__xludf.DUMMYFUNCTION("""COMPUTED_VALUE"""),14)</f>
        <v>14</v>
      </c>
    </row>
    <row r="191" spans="1:7" ht="12.75">
      <c r="A191">
        <f ca="1">IFERROR(__xludf.DUMMYFUNCTION("""COMPUTED_VALUE"""),190)</f>
        <v>190</v>
      </c>
      <c r="B191" t="str">
        <f ca="1">IFERROR(__xludf.DUMMYFUNCTION("""COMPUTED_VALUE"""),"T179")</f>
        <v>T179</v>
      </c>
      <c r="C191" t="str">
        <f ca="1">IFERROR(__xludf.DUMMYFUNCTION("""COMPUTED_VALUE"""),"Sangmoon Bae")</f>
        <v>Sangmoon Bae</v>
      </c>
      <c r="D191">
        <f ca="1">IFERROR(__xludf.DUMMYFUNCTION("""COMPUTED_VALUE"""),8)</f>
        <v>8</v>
      </c>
      <c r="E191">
        <f ca="1">IFERROR(__xludf.DUMMYFUNCTION("""COMPUTED_VALUE"""),-0.314)</f>
        <v>-0.314</v>
      </c>
      <c r="F191">
        <f ca="1">IFERROR(__xludf.DUMMYFUNCTION("""COMPUTED_VALUE"""),-0.628)</f>
        <v>-0.628</v>
      </c>
      <c r="G191">
        <f ca="1">IFERROR(__xludf.DUMMYFUNCTION("""COMPUTED_VALUE"""),2)</f>
        <v>2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IFERROR(__xludf.DUMMYFUNCTION("""COMPUTED_VALUE"""),181)</f>
        <v>181</v>
      </c>
      <c r="C192" t="str">
        <f ca="1">IFERROR(__xludf.DUMMYFUNCTION("""COMPUTED_VALUE"""),"Rafa Cabrera Bello")</f>
        <v>Rafa Cabrera Bello</v>
      </c>
      <c r="D192">
        <f ca="1">IFERROR(__xludf.DUMMYFUNCTION("""COMPUTED_VALUE"""),14)</f>
        <v>14</v>
      </c>
      <c r="E192">
        <f ca="1">IFERROR(__xludf.DUMMYFUNCTION("""COMPUTED_VALUE"""),-0.316)</f>
        <v>-0.316</v>
      </c>
      <c r="F192">
        <f ca="1">IFERROR(__xludf.DUMMYFUNCTION("""COMPUTED_VALUE"""),-3.793)</f>
        <v>-3.7930000000000001</v>
      </c>
      <c r="G192">
        <f ca="1">IFERROR(__xludf.DUMMYFUNCTION("""COMPUTED_VALUE"""),12)</f>
        <v>12</v>
      </c>
    </row>
    <row r="193" spans="1:7" ht="12.75">
      <c r="A193">
        <f ca="1">IFERROR(__xludf.DUMMYFUNCTION("""COMPUTED_VALUE"""),192)</f>
        <v>192</v>
      </c>
      <c r="B193">
        <f ca="1">IFERROR(__xludf.DUMMYFUNCTION("""COMPUTED_VALUE"""),189)</f>
        <v>189</v>
      </c>
      <c r="C193" t="str">
        <f ca="1">IFERROR(__xludf.DUMMYFUNCTION("""COMPUTED_VALUE"""),"Phil Mickelson")</f>
        <v>Phil Mickelson</v>
      </c>
      <c r="D193">
        <f ca="1">IFERROR(__xludf.DUMMYFUNCTION("""COMPUTED_VALUE"""),12)</f>
        <v>12</v>
      </c>
      <c r="E193">
        <f ca="1">IFERROR(__xludf.DUMMYFUNCTION("""COMPUTED_VALUE"""),-0.332)</f>
        <v>-0.33200000000000002</v>
      </c>
      <c r="F193">
        <f ca="1">IFERROR(__xludf.DUMMYFUNCTION("""COMPUTED_VALUE"""),-3.987)</f>
        <v>-3.9870000000000001</v>
      </c>
      <c r="G193">
        <f ca="1">IFERROR(__xludf.DUMMYFUNCTION("""COMPUTED_VALUE"""),12)</f>
        <v>12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IFERROR(__xludf.DUMMYFUNCTION("""COMPUTED_VALUE"""),166)</f>
        <v>166</v>
      </c>
      <c r="C194" t="str">
        <f ca="1">IFERROR(__xludf.DUMMYFUNCTION("""COMPUTED_VALUE"""),"Brice Garnett")</f>
        <v>Brice Garnett</v>
      </c>
      <c r="D194">
        <f ca="1">IFERROR(__xludf.DUMMYFUNCTION("""COMPUTED_VALUE"""),22)</f>
        <v>22</v>
      </c>
      <c r="E194">
        <f ca="1">IFERROR(__xludf.DUMMYFUNCTION("""COMPUTED_VALUE"""),-0.344)</f>
        <v>-0.34399999999999997</v>
      </c>
      <c r="F194">
        <f ca="1">IFERROR(__xludf.DUMMYFUNCTION("""COMPUTED_VALUE"""),-4.819)</f>
        <v>-4.819</v>
      </c>
      <c r="G194">
        <f ca="1">IFERROR(__xludf.DUMMYFUNCTION("""COMPUTED_VALUE"""),14)</f>
        <v>14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IFERROR(__xludf.DUMMYFUNCTION("""COMPUTED_VALUE"""),195)</f>
        <v>195</v>
      </c>
      <c r="C195" t="str">
        <f ca="1">IFERROR(__xludf.DUMMYFUNCTION("""COMPUTED_VALUE"""),"Satoshi Kodaira")</f>
        <v>Satoshi Kodaira</v>
      </c>
      <c r="D195">
        <f ca="1">IFERROR(__xludf.DUMMYFUNCTION("""COMPUTED_VALUE"""),12)</f>
        <v>12</v>
      </c>
      <c r="E195">
        <f ca="1">IFERROR(__xludf.DUMMYFUNCTION("""COMPUTED_VALUE"""),-0.349)</f>
        <v>-0.34899999999999998</v>
      </c>
      <c r="F195">
        <f ca="1">IFERROR(__xludf.DUMMYFUNCTION("""COMPUTED_VALUE"""),-4.189)</f>
        <v>-4.1890000000000001</v>
      </c>
      <c r="G195">
        <f ca="1">IFERROR(__xludf.DUMMYFUNCTION("""COMPUTED_VALUE"""),12)</f>
        <v>12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IFERROR(__xludf.DUMMYFUNCTION("""COMPUTED_VALUE"""),187)</f>
        <v>187</v>
      </c>
      <c r="C196" t="str">
        <f ca="1">IFERROR(__xludf.DUMMYFUNCTION("""COMPUTED_VALUE"""),"Gary Woodland")</f>
        <v>Gary Woodland</v>
      </c>
      <c r="D196">
        <f ca="1">IFERROR(__xludf.DUMMYFUNCTION("""COMPUTED_VALUE"""),6)</f>
        <v>6</v>
      </c>
      <c r="E196">
        <f ca="1">IFERROR(__xludf.DUMMYFUNCTION("""COMPUTED_VALUE"""),-0.359)</f>
        <v>-0.35899999999999999</v>
      </c>
      <c r="F196">
        <f ca="1">IFERROR(__xludf.DUMMYFUNCTION("""COMPUTED_VALUE"""),-2.155)</f>
        <v>-2.1549999999999998</v>
      </c>
      <c r="G196">
        <f ca="1">IFERROR(__xludf.DUMMYFUNCTION("""COMPUTED_VALUE"""),6)</f>
        <v>6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IFERROR(__xludf.DUMMYFUNCTION("""COMPUTED_VALUE"""),188)</f>
        <v>188</v>
      </c>
      <c r="C197" t="str">
        <f ca="1">IFERROR(__xludf.DUMMYFUNCTION("""COMPUTED_VALUE"""),"Davis Riley")</f>
        <v>Davis Riley</v>
      </c>
      <c r="D197">
        <f ca="1">IFERROR(__xludf.DUMMYFUNCTION("""COMPUTED_VALUE"""),4)</f>
        <v>4</v>
      </c>
      <c r="E197">
        <f ca="1">IFERROR(__xludf.DUMMYFUNCTION("""COMPUTED_VALUE"""),-0.376)</f>
        <v>-0.376</v>
      </c>
      <c r="F197">
        <f ca="1">IFERROR(__xludf.DUMMYFUNCTION("""COMPUTED_VALUE"""),-1.506)</f>
        <v>-1.506</v>
      </c>
      <c r="G197">
        <f ca="1">IFERROR(__xludf.DUMMYFUNCTION("""COMPUTED_VALUE"""),4)</f>
        <v>4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IFERROR(__xludf.DUMMYFUNCTION("""COMPUTED_VALUE"""),203)</f>
        <v>203</v>
      </c>
      <c r="C198" t="str">
        <f ca="1">IFERROR(__xludf.DUMMYFUNCTION("""COMPUTED_VALUE"""),"Luke Donald")</f>
        <v>Luke Donald</v>
      </c>
      <c r="D198">
        <f ca="1">IFERROR(__xludf.DUMMYFUNCTION("""COMPUTED_VALUE"""),14)</f>
        <v>14</v>
      </c>
      <c r="E198">
        <f ca="1">IFERROR(__xludf.DUMMYFUNCTION("""COMPUTED_VALUE"""),-0.387)</f>
        <v>-0.38700000000000001</v>
      </c>
      <c r="F198">
        <f ca="1">IFERROR(__xludf.DUMMYFUNCTION("""COMPUTED_VALUE"""),-3.866)</f>
        <v>-3.8660000000000001</v>
      </c>
      <c r="G198">
        <f ca="1">IFERROR(__xludf.DUMMYFUNCTION("""COMPUTED_VALUE"""),10)</f>
        <v>10</v>
      </c>
    </row>
    <row r="199" spans="1:7" ht="12.75">
      <c r="A199" t="str">
        <f ca="1">IFERROR(__xludf.DUMMYFUNCTION("""COMPUTED_VALUE"""),"T198")</f>
        <v>T198</v>
      </c>
      <c r="B199">
        <f ca="1">IFERROR(__xludf.DUMMYFUNCTION("""COMPUTED_VALUE"""),117)</f>
        <v>117</v>
      </c>
      <c r="C199" t="str">
        <f ca="1">IFERROR(__xludf.DUMMYFUNCTION("""COMPUTED_VALUE"""),"Scott Harrington")</f>
        <v>Scott Harrington</v>
      </c>
      <c r="D199">
        <f ca="1">IFERROR(__xludf.DUMMYFUNCTION("""COMPUTED_VALUE"""),18)</f>
        <v>18</v>
      </c>
      <c r="E199">
        <f ca="1">IFERROR(__xludf.DUMMYFUNCTION("""COMPUTED_VALUE"""),-0.398)</f>
        <v>-0.39800000000000002</v>
      </c>
      <c r="F199">
        <f ca="1">IFERROR(__xludf.DUMMYFUNCTION("""COMPUTED_VALUE"""),-4.781)</f>
        <v>-4.7809999999999997</v>
      </c>
      <c r="G199">
        <f ca="1">IFERROR(__xludf.DUMMYFUNCTION("""COMPUTED_VALUE"""),12)</f>
        <v>12</v>
      </c>
    </row>
    <row r="200" spans="1:7" ht="12.75">
      <c r="A200" t="str">
        <f ca="1">IFERROR(__xludf.DUMMYFUNCTION("""COMPUTED_VALUE"""),"T198")</f>
        <v>T198</v>
      </c>
      <c r="B200">
        <f ca="1">IFERROR(__xludf.DUMMYFUNCTION("""COMPUTED_VALUE"""),191)</f>
        <v>191</v>
      </c>
      <c r="C200" t="str">
        <f ca="1">IFERROR(__xludf.DUMMYFUNCTION("""COMPUTED_VALUE"""),"Taylor Pendrith")</f>
        <v>Taylor Pendrith</v>
      </c>
      <c r="D200">
        <f ca="1">IFERROR(__xludf.DUMMYFUNCTION("""COMPUTED_VALUE"""),4)</f>
        <v>4</v>
      </c>
      <c r="E200">
        <f ca="1">IFERROR(__xludf.DUMMYFUNCTION("""COMPUTED_VALUE"""),-0.398)</f>
        <v>-0.39800000000000002</v>
      </c>
      <c r="F200">
        <f ca="1">IFERROR(__xludf.DUMMYFUNCTION("""COMPUTED_VALUE"""),-1.591)</f>
        <v>-1.591</v>
      </c>
      <c r="G200">
        <f ca="1">IFERROR(__xludf.DUMMYFUNCTION("""COMPUTED_VALUE"""),4)</f>
        <v>4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IFERROR(__xludf.DUMMYFUNCTION("""COMPUTED_VALUE"""),232)</f>
        <v>232</v>
      </c>
      <c r="C201" t="str">
        <f ca="1">IFERROR(__xludf.DUMMYFUNCTION("""COMPUTED_VALUE"""),"Mackenzie Hughes")</f>
        <v>Mackenzie Hughes</v>
      </c>
      <c r="D201">
        <f ca="1">IFERROR(__xludf.DUMMYFUNCTION("""COMPUTED_VALUE"""),18)</f>
        <v>18</v>
      </c>
      <c r="E201">
        <f ca="1">IFERROR(__xludf.DUMMYFUNCTION("""COMPUTED_VALUE"""),-0.399)</f>
        <v>-0.39900000000000002</v>
      </c>
      <c r="F201">
        <f ca="1">IFERROR(__xludf.DUMMYFUNCTION("""COMPUTED_VALUE"""),-5.579)</f>
        <v>-5.5789999999999997</v>
      </c>
      <c r="G201">
        <f ca="1">IFERROR(__xludf.DUMMYFUNCTION("""COMPUTED_VALUE"""),14)</f>
        <v>14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IFERROR(__xludf.DUMMYFUNCTION("""COMPUTED_VALUE"""),193)</f>
        <v>193</v>
      </c>
      <c r="C202" t="str">
        <f ca="1">IFERROR(__xludf.DUMMYFUNCTION("""COMPUTED_VALUE"""),"Jim Herman")</f>
        <v>Jim Herman</v>
      </c>
      <c r="D202">
        <f ca="1">IFERROR(__xludf.DUMMYFUNCTION("""COMPUTED_VALUE"""),12)</f>
        <v>12</v>
      </c>
      <c r="E202">
        <f ca="1">IFERROR(__xludf.DUMMYFUNCTION("""COMPUTED_VALUE"""),-0.404)</f>
        <v>-0.40400000000000003</v>
      </c>
      <c r="F202">
        <f ca="1">IFERROR(__xludf.DUMMYFUNCTION("""COMPUTED_VALUE"""),-4.845)</f>
        <v>-4.8449999999999998</v>
      </c>
      <c r="G202">
        <f ca="1">IFERROR(__xludf.DUMMYFUNCTION("""COMPUTED_VALUE"""),12)</f>
        <v>12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IFERROR(__xludf.DUMMYFUNCTION("""COMPUTED_VALUE"""),214)</f>
        <v>214</v>
      </c>
      <c r="C203" t="str">
        <f ca="1">IFERROR(__xludf.DUMMYFUNCTION("""COMPUTED_VALUE"""),"Wyndham Clark")</f>
        <v>Wyndham Clark</v>
      </c>
      <c r="D203">
        <f ca="1">IFERROR(__xludf.DUMMYFUNCTION("""COMPUTED_VALUE"""),16)</f>
        <v>16</v>
      </c>
      <c r="E203">
        <f ca="1">IFERROR(__xludf.DUMMYFUNCTION("""COMPUTED_VALUE"""),-0.415)</f>
        <v>-0.41499999999999998</v>
      </c>
      <c r="F203">
        <f ca="1">IFERROR(__xludf.DUMMYFUNCTION("""COMPUTED_VALUE"""),-4.983)</f>
        <v>-4.9829999999999997</v>
      </c>
      <c r="G203">
        <f ca="1">IFERROR(__xludf.DUMMYFUNCTION("""COMPUTED_VALUE"""),12)</f>
        <v>12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IFERROR(__xludf.DUMMYFUNCTION("""COMPUTED_VALUE"""),248)</f>
        <v>248</v>
      </c>
      <c r="C204" t="str">
        <f ca="1">IFERROR(__xludf.DUMMYFUNCTION("""COMPUTED_VALUE"""),"Graham DeLaet")</f>
        <v>Graham DeLaet</v>
      </c>
      <c r="D204">
        <f ca="1">IFERROR(__xludf.DUMMYFUNCTION("""COMPUTED_VALUE"""),9)</f>
        <v>9</v>
      </c>
      <c r="E204">
        <f ca="1">IFERROR(__xludf.DUMMYFUNCTION("""COMPUTED_VALUE"""),-0.418)</f>
        <v>-0.41799999999999998</v>
      </c>
      <c r="F204">
        <f ca="1">IFERROR(__xludf.DUMMYFUNCTION("""COMPUTED_VALUE"""),-2.088)</f>
        <v>-2.0880000000000001</v>
      </c>
      <c r="G204">
        <f ca="1">IFERROR(__xludf.DUMMYFUNCTION("""COMPUTED_VALUE"""),5)</f>
        <v>5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IFERROR(__xludf.DUMMYFUNCTION("""COMPUTED_VALUE"""),229)</f>
        <v>229</v>
      </c>
      <c r="C205" t="str">
        <f ca="1">IFERROR(__xludf.DUMMYFUNCTION("""COMPUTED_VALUE"""),"Michael Kim")</f>
        <v>Michael Kim</v>
      </c>
      <c r="D205">
        <f ca="1">IFERROR(__xludf.DUMMYFUNCTION("""COMPUTED_VALUE"""),12)</f>
        <v>12</v>
      </c>
      <c r="E205">
        <f ca="1">IFERROR(__xludf.DUMMYFUNCTION("""COMPUTED_VALUE"""),-0.442)</f>
        <v>-0.442</v>
      </c>
      <c r="F205">
        <f ca="1">IFERROR(__xludf.DUMMYFUNCTION("""COMPUTED_VALUE"""),-3.533)</f>
        <v>-3.5329999999999999</v>
      </c>
      <c r="G205">
        <f ca="1">IFERROR(__xludf.DUMMYFUNCTION("""COMPUTED_VALUE"""),8)</f>
        <v>8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IFERROR(__xludf.DUMMYFUNCTION("""COMPUTED_VALUE"""),198)</f>
        <v>198</v>
      </c>
      <c r="C206" t="str">
        <f ca="1">IFERROR(__xludf.DUMMYFUNCTION("""COMPUTED_VALUE"""),"Tommy Fleetwood")</f>
        <v>Tommy Fleetwood</v>
      </c>
      <c r="D206">
        <f ca="1">IFERROR(__xludf.DUMMYFUNCTION("""COMPUTED_VALUE"""),10)</f>
        <v>10</v>
      </c>
      <c r="E206">
        <f ca="1">IFERROR(__xludf.DUMMYFUNCTION("""COMPUTED_VALUE"""),-0.455)</f>
        <v>-0.45500000000000002</v>
      </c>
      <c r="F206">
        <f ca="1">IFERROR(__xludf.DUMMYFUNCTION("""COMPUTED_VALUE"""),-4.554)</f>
        <v>-4.5540000000000003</v>
      </c>
      <c r="G206">
        <f ca="1">IFERROR(__xludf.DUMMYFUNCTION("""COMPUTED_VALUE"""),10)</f>
        <v>10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IFERROR(__xludf.DUMMYFUNCTION("""COMPUTED_VALUE"""),200)</f>
        <v>200</v>
      </c>
      <c r="C207" t="str">
        <f ca="1">IFERROR(__xludf.DUMMYFUNCTION("""COMPUTED_VALUE"""),"Hank Lebioda")</f>
        <v>Hank Lebioda</v>
      </c>
      <c r="D207">
        <f ca="1">IFERROR(__xludf.DUMMYFUNCTION("""COMPUTED_VALUE"""),14)</f>
        <v>14</v>
      </c>
      <c r="E207">
        <f ca="1">IFERROR(__xludf.DUMMYFUNCTION("""COMPUTED_VALUE"""),-0.466)</f>
        <v>-0.46600000000000003</v>
      </c>
      <c r="F207">
        <f ca="1">IFERROR(__xludf.DUMMYFUNCTION("""COMPUTED_VALUE"""),-2.797)</f>
        <v>-2.7970000000000002</v>
      </c>
      <c r="G207">
        <f ca="1">IFERROR(__xludf.DUMMYFUNCTION("""COMPUTED_VALUE"""),6)</f>
        <v>6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IFERROR(__xludf.DUMMYFUNCTION("""COMPUTED_VALUE"""),201)</f>
        <v>201</v>
      </c>
      <c r="C208" t="str">
        <f ca="1">IFERROR(__xludf.DUMMYFUNCTION("""COMPUTED_VALUE"""),"Shugo Imahira")</f>
        <v>Shugo Imahira</v>
      </c>
      <c r="D208">
        <f ca="1">IFERROR(__xludf.DUMMYFUNCTION("""COMPUTED_VALUE"""),8)</f>
        <v>8</v>
      </c>
      <c r="E208">
        <f ca="1">IFERROR(__xludf.DUMMYFUNCTION("""COMPUTED_VALUE"""),-0.467)</f>
        <v>-0.46700000000000003</v>
      </c>
      <c r="F208">
        <f ca="1">IFERROR(__xludf.DUMMYFUNCTION("""COMPUTED_VALUE"""),-3.739)</f>
        <v>-3.7389999999999999</v>
      </c>
      <c r="G208">
        <f ca="1">IFERROR(__xludf.DUMMYFUNCTION("""COMPUTED_VALUE"""),8)</f>
        <v>8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IFERROR(__xludf.DUMMYFUNCTION("""COMPUTED_VALUE"""),202)</f>
        <v>202</v>
      </c>
      <c r="C209" t="str">
        <f ca="1">IFERROR(__xludf.DUMMYFUNCTION("""COMPUTED_VALUE"""),"Jonathan Byrd")</f>
        <v>Jonathan Byrd</v>
      </c>
      <c r="D209">
        <f ca="1">IFERROR(__xludf.DUMMYFUNCTION("""COMPUTED_VALUE"""),14)</f>
        <v>14</v>
      </c>
      <c r="E209">
        <f ca="1">IFERROR(__xludf.DUMMYFUNCTION("""COMPUTED_VALUE"""),-0.484)</f>
        <v>-0.48399999999999999</v>
      </c>
      <c r="F209">
        <f ca="1">IFERROR(__xludf.DUMMYFUNCTION("""COMPUTED_VALUE"""),-2.906)</f>
        <v>-2.9060000000000001</v>
      </c>
      <c r="G209">
        <f ca="1">IFERROR(__xludf.DUMMYFUNCTION("""COMPUTED_VALUE"""),6)</f>
        <v>6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IFERROR(__xludf.DUMMYFUNCTION("""COMPUTED_VALUE"""),204)</f>
        <v>204</v>
      </c>
      <c r="C210" t="str">
        <f ca="1">IFERROR(__xludf.DUMMYFUNCTION("""COMPUTED_VALUE"""),"Richy Werenski")</f>
        <v>Richy Werenski</v>
      </c>
      <c r="D210">
        <f ca="1">IFERROR(__xludf.DUMMYFUNCTION("""COMPUTED_VALUE"""),16)</f>
        <v>16</v>
      </c>
      <c r="E210">
        <f ca="1">IFERROR(__xludf.DUMMYFUNCTION("""COMPUTED_VALUE"""),-0.495)</f>
        <v>-0.495</v>
      </c>
      <c r="F210">
        <f ca="1">IFERROR(__xludf.DUMMYFUNCTION("""COMPUTED_VALUE"""),-7.916)</f>
        <v>-7.9160000000000004</v>
      </c>
      <c r="G210">
        <f ca="1">IFERROR(__xludf.DUMMYFUNCTION("""COMPUTED_VALUE"""),16)</f>
        <v>16</v>
      </c>
    </row>
    <row r="211" spans="1:7" ht="12.75">
      <c r="A211" t="str">
        <f ca="1">IFERROR(__xludf.DUMMYFUNCTION("""COMPUTED_VALUE"""),"T210")</f>
        <v>T210</v>
      </c>
      <c r="B211">
        <f ca="1">IFERROR(__xludf.DUMMYFUNCTION("""COMPUTED_VALUE"""),199)</f>
        <v>199</v>
      </c>
      <c r="C211" t="str">
        <f ca="1">IFERROR(__xludf.DUMMYFUNCTION("""COMPUTED_VALUE"""),"Kyoung-Hoon Lee")</f>
        <v>Kyoung-Hoon Lee</v>
      </c>
      <c r="D211">
        <f ca="1">IFERROR(__xludf.DUMMYFUNCTION("""COMPUTED_VALUE"""),20)</f>
        <v>20</v>
      </c>
      <c r="E211">
        <f ca="1">IFERROR(__xludf.DUMMYFUNCTION("""COMPUTED_VALUE"""),-0.496)</f>
        <v>-0.496</v>
      </c>
      <c r="F211">
        <f ca="1">IFERROR(__xludf.DUMMYFUNCTION("""COMPUTED_VALUE"""),-6.944)</f>
        <v>-6.944</v>
      </c>
      <c r="G211">
        <f ca="1">IFERROR(__xludf.DUMMYFUNCTION("""COMPUTED_VALUE"""),14)</f>
        <v>14</v>
      </c>
    </row>
    <row r="212" spans="1:7" ht="12.75">
      <c r="A212" t="str">
        <f ca="1">IFERROR(__xludf.DUMMYFUNCTION("""COMPUTED_VALUE"""),"T210")</f>
        <v>T210</v>
      </c>
      <c r="B212">
        <f ca="1">IFERROR(__xludf.DUMMYFUNCTION("""COMPUTED_VALUE"""),186)</f>
        <v>186</v>
      </c>
      <c r="C212" t="str">
        <f ca="1">IFERROR(__xludf.DUMMYFUNCTION("""COMPUTED_VALUE"""),"Dylan Frittelli")</f>
        <v>Dylan Frittelli</v>
      </c>
      <c r="D212">
        <f ca="1">IFERROR(__xludf.DUMMYFUNCTION("""COMPUTED_VALUE"""),16)</f>
        <v>16</v>
      </c>
      <c r="E212">
        <f ca="1">IFERROR(__xludf.DUMMYFUNCTION("""COMPUTED_VALUE"""),-0.496)</f>
        <v>-0.496</v>
      </c>
      <c r="F212">
        <f ca="1">IFERROR(__xludf.DUMMYFUNCTION("""COMPUTED_VALUE"""),-7.938)</f>
        <v>-7.9379999999999997</v>
      </c>
      <c r="G212">
        <f ca="1">IFERROR(__xludf.DUMMYFUNCTION("""COMPUTED_VALUE"""),16)</f>
        <v>16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IFERROR(__xludf.DUMMYFUNCTION("""COMPUTED_VALUE"""),205)</f>
        <v>205</v>
      </c>
      <c r="C213" t="str">
        <f ca="1">IFERROR(__xludf.DUMMYFUNCTION("""COMPUTED_VALUE"""),"Tim Wilkinson")</f>
        <v>Tim Wilkinson</v>
      </c>
      <c r="D213">
        <f ca="1">IFERROR(__xludf.DUMMYFUNCTION("""COMPUTED_VALUE"""),12)</f>
        <v>12</v>
      </c>
      <c r="E213">
        <f ca="1">IFERROR(__xludf.DUMMYFUNCTION("""COMPUTED_VALUE"""),-0.502)</f>
        <v>-0.502</v>
      </c>
      <c r="F213">
        <f ca="1">IFERROR(__xludf.DUMMYFUNCTION("""COMPUTED_VALUE"""),-3.011)</f>
        <v>-3.0110000000000001</v>
      </c>
      <c r="G213">
        <f ca="1">IFERROR(__xludf.DUMMYFUNCTION("""COMPUTED_VALUE"""),6)</f>
        <v>6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IFERROR(__xludf.DUMMYFUNCTION("""COMPUTED_VALUE"""),206)</f>
        <v>206</v>
      </c>
      <c r="C214" t="str">
        <f ca="1">IFERROR(__xludf.DUMMYFUNCTION("""COMPUTED_VALUE"""),"Rickie Fowler")</f>
        <v>Rickie Fowler</v>
      </c>
      <c r="D214">
        <f ca="1">IFERROR(__xludf.DUMMYFUNCTION("""COMPUTED_VALUE"""),14)</f>
        <v>14</v>
      </c>
      <c r="E214">
        <f ca="1">IFERROR(__xludf.DUMMYFUNCTION("""COMPUTED_VALUE"""),-0.51)</f>
        <v>-0.51</v>
      </c>
      <c r="F214">
        <f ca="1">IFERROR(__xludf.DUMMYFUNCTION("""COMPUTED_VALUE"""),-7.135)</f>
        <v>-7.1349999999999998</v>
      </c>
      <c r="G214">
        <f ca="1">IFERROR(__xludf.DUMMYFUNCTION("""COMPUTED_VALUE"""),14)</f>
        <v>14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IFERROR(__xludf.DUMMYFUNCTION("""COMPUTED_VALUE"""),219)</f>
        <v>219</v>
      </c>
      <c r="C215" t="str">
        <f ca="1">IFERROR(__xludf.DUMMYFUNCTION("""COMPUTED_VALUE"""),"Nate Lashley")</f>
        <v>Nate Lashley</v>
      </c>
      <c r="D215">
        <f ca="1">IFERROR(__xludf.DUMMYFUNCTION("""COMPUTED_VALUE"""),16)</f>
        <v>16</v>
      </c>
      <c r="E215">
        <f ca="1">IFERROR(__xludf.DUMMYFUNCTION("""COMPUTED_VALUE"""),-0.511)</f>
        <v>-0.51100000000000001</v>
      </c>
      <c r="F215">
        <f ca="1">IFERROR(__xludf.DUMMYFUNCTION("""COMPUTED_VALUE"""),-6.134)</f>
        <v>-6.1340000000000003</v>
      </c>
      <c r="G215">
        <f ca="1">IFERROR(__xludf.DUMMYFUNCTION("""COMPUTED_VALUE"""),12)</f>
        <v>12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IFERROR(__xludf.DUMMYFUNCTION("""COMPUTED_VALUE"""),194)</f>
        <v>194</v>
      </c>
      <c r="C216" t="str">
        <f ca="1">IFERROR(__xludf.DUMMYFUNCTION("""COMPUTED_VALUE"""),"Rory Sabbatini")</f>
        <v>Rory Sabbatini</v>
      </c>
      <c r="D216">
        <f ca="1">IFERROR(__xludf.DUMMYFUNCTION("""COMPUTED_VALUE"""),13)</f>
        <v>13</v>
      </c>
      <c r="E216">
        <f ca="1">IFERROR(__xludf.DUMMYFUNCTION("""COMPUTED_VALUE"""),-0.521)</f>
        <v>-0.52100000000000002</v>
      </c>
      <c r="F216">
        <f ca="1">IFERROR(__xludf.DUMMYFUNCTION("""COMPUTED_VALUE"""),-6.777)</f>
        <v>-6.7770000000000001</v>
      </c>
      <c r="G216">
        <f ca="1">IFERROR(__xludf.DUMMYFUNCTION("""COMPUTED_VALUE"""),13)</f>
        <v>13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IFERROR(__xludf.DUMMYFUNCTION("""COMPUTED_VALUE"""),207)</f>
        <v>207</v>
      </c>
      <c r="C217" t="str">
        <f ca="1">IFERROR(__xludf.DUMMYFUNCTION("""COMPUTED_VALUE"""),"Renato Paratore")</f>
        <v>Renato Paratore</v>
      </c>
      <c r="D217">
        <f ca="1">IFERROR(__xludf.DUMMYFUNCTION("""COMPUTED_VALUE"""),4)</f>
        <v>4</v>
      </c>
      <c r="E217">
        <f ca="1">IFERROR(__xludf.DUMMYFUNCTION("""COMPUTED_VALUE"""),-0.529)</f>
        <v>-0.52900000000000003</v>
      </c>
      <c r="F217">
        <f ca="1">IFERROR(__xludf.DUMMYFUNCTION("""COMPUTED_VALUE"""),-2.116)</f>
        <v>-2.1160000000000001</v>
      </c>
      <c r="G217">
        <f ca="1">IFERROR(__xludf.DUMMYFUNCTION("""COMPUTED_VALUE"""),4)</f>
        <v>4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IFERROR(__xludf.DUMMYFUNCTION("""COMPUTED_VALUE"""),197)</f>
        <v>197</v>
      </c>
      <c r="C218" t="str">
        <f ca="1">IFERROR(__xludf.DUMMYFUNCTION("""COMPUTED_VALUE"""),"Kristoffer Ventura")</f>
        <v>Kristoffer Ventura</v>
      </c>
      <c r="D218">
        <f ca="1">IFERROR(__xludf.DUMMYFUNCTION("""COMPUTED_VALUE"""),20)</f>
        <v>20</v>
      </c>
      <c r="E218">
        <f ca="1">IFERROR(__xludf.DUMMYFUNCTION("""COMPUTED_VALUE"""),-0.545)</f>
        <v>-0.54500000000000004</v>
      </c>
      <c r="F218">
        <f ca="1">IFERROR(__xludf.DUMMYFUNCTION("""COMPUTED_VALUE"""),-7.631)</f>
        <v>-7.6310000000000002</v>
      </c>
      <c r="G218">
        <f ca="1">IFERROR(__xludf.DUMMYFUNCTION("""COMPUTED_VALUE"""),14)</f>
        <v>14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IFERROR(__xludf.DUMMYFUNCTION("""COMPUTED_VALUE"""),208)</f>
        <v>208</v>
      </c>
      <c r="C219" t="str">
        <f ca="1">IFERROR(__xludf.DUMMYFUNCTION("""COMPUTED_VALUE"""),"Stephan Jaeger")</f>
        <v>Stephan Jaeger</v>
      </c>
      <c r="D219">
        <f ca="1">IFERROR(__xludf.DUMMYFUNCTION("""COMPUTED_VALUE"""),4)</f>
        <v>4</v>
      </c>
      <c r="E219">
        <f ca="1">IFERROR(__xludf.DUMMYFUNCTION("""COMPUTED_VALUE"""),-0.546)</f>
        <v>-0.54600000000000004</v>
      </c>
      <c r="F219">
        <f ca="1">IFERROR(__xludf.DUMMYFUNCTION("""COMPUTED_VALUE"""),-2.182)</f>
        <v>-2.1819999999999999</v>
      </c>
      <c r="G219">
        <f ca="1">IFERROR(__xludf.DUMMYFUNCTION("""COMPUTED_VALUE"""),4)</f>
        <v>4</v>
      </c>
    </row>
    <row r="220" spans="1:7" ht="12.75">
      <c r="A220">
        <f ca="1">IFERROR(__xludf.DUMMYFUNCTION("""COMPUTED_VALUE"""),219)</f>
        <v>219</v>
      </c>
      <c r="B220">
        <f ca="1">IFERROR(__xludf.DUMMYFUNCTION("""COMPUTED_VALUE"""),209)</f>
        <v>209</v>
      </c>
      <c r="C220" t="str">
        <f ca="1">IFERROR(__xludf.DUMMYFUNCTION("""COMPUTED_VALUE"""),"J.B. Holmes")</f>
        <v>J.B. Holmes</v>
      </c>
      <c r="D220">
        <f ca="1">IFERROR(__xludf.DUMMYFUNCTION("""COMPUTED_VALUE"""),10)</f>
        <v>10</v>
      </c>
      <c r="E220">
        <f ca="1">IFERROR(__xludf.DUMMYFUNCTION("""COMPUTED_VALUE"""),-0.55)</f>
        <v>-0.55000000000000004</v>
      </c>
      <c r="F220">
        <f ca="1">IFERROR(__xludf.DUMMYFUNCTION("""COMPUTED_VALUE"""),-5.503)</f>
        <v>-5.5030000000000001</v>
      </c>
      <c r="G220">
        <f ca="1">IFERROR(__xludf.DUMMYFUNCTION("""COMPUTED_VALUE"""),10)</f>
        <v>10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IFERROR(__xludf.DUMMYFUNCTION("""COMPUTED_VALUE"""),210)</f>
        <v>210</v>
      </c>
      <c r="C221" t="str">
        <f ca="1">IFERROR(__xludf.DUMMYFUNCTION("""COMPUTED_VALUE"""),"Dominic Bozzelli")</f>
        <v>Dominic Bozzelli</v>
      </c>
      <c r="D221">
        <f ca="1">IFERROR(__xludf.DUMMYFUNCTION("""COMPUTED_VALUE"""),8)</f>
        <v>8</v>
      </c>
      <c r="E221">
        <f ca="1">IFERROR(__xludf.DUMMYFUNCTION("""COMPUTED_VALUE"""),-0.569)</f>
        <v>-0.56899999999999995</v>
      </c>
      <c r="F221">
        <f ca="1">IFERROR(__xludf.DUMMYFUNCTION("""COMPUTED_VALUE"""),-1.138)</f>
        <v>-1.1379999999999999</v>
      </c>
      <c r="G221">
        <f ca="1">IFERROR(__xludf.DUMMYFUNCTION("""COMPUTED_VALUE"""),2)</f>
        <v>2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IFERROR(__xludf.DUMMYFUNCTION("""COMPUTED_VALUE"""),212)</f>
        <v>212</v>
      </c>
      <c r="C222" t="str">
        <f ca="1">IFERROR(__xludf.DUMMYFUNCTION("""COMPUTED_VALUE"""),"Billy Horschel")</f>
        <v>Billy Horschel</v>
      </c>
      <c r="D222">
        <f ca="1">IFERROR(__xludf.DUMMYFUNCTION("""COMPUTED_VALUE"""),12)</f>
        <v>12</v>
      </c>
      <c r="E222">
        <f ca="1">IFERROR(__xludf.DUMMYFUNCTION("""COMPUTED_VALUE"""),-0.579)</f>
        <v>-0.57899999999999996</v>
      </c>
      <c r="F222">
        <f ca="1">IFERROR(__xludf.DUMMYFUNCTION("""COMPUTED_VALUE"""),-6.954)</f>
        <v>-6.9539999999999997</v>
      </c>
      <c r="G222">
        <f ca="1">IFERROR(__xludf.DUMMYFUNCTION("""COMPUTED_VALUE"""),12)</f>
        <v>12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IFERROR(__xludf.DUMMYFUNCTION("""COMPUTED_VALUE"""),196)</f>
        <v>196</v>
      </c>
      <c r="C223" t="str">
        <f ca="1">IFERROR(__xludf.DUMMYFUNCTION("""COMPUTED_VALUE"""),"Scottie Scheffler")</f>
        <v>Scottie Scheffler</v>
      </c>
      <c r="D223">
        <f ca="1">IFERROR(__xludf.DUMMYFUNCTION("""COMPUTED_VALUE"""),18)</f>
        <v>18</v>
      </c>
      <c r="E223">
        <f ca="1">IFERROR(__xludf.DUMMYFUNCTION("""COMPUTED_VALUE"""),-0.634)</f>
        <v>-0.63400000000000001</v>
      </c>
      <c r="F223">
        <f ca="1">IFERROR(__xludf.DUMMYFUNCTION("""COMPUTED_VALUE"""),-11.408)</f>
        <v>-11.407999999999999</v>
      </c>
      <c r="G223">
        <f ca="1">IFERROR(__xludf.DUMMYFUNCTION("""COMPUTED_VALUE"""),18)</f>
        <v>18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IFERROR(__xludf.DUMMYFUNCTION("""COMPUTED_VALUE"""),190)</f>
        <v>190</v>
      </c>
      <c r="C224" t="str">
        <f ca="1">IFERROR(__xludf.DUMMYFUNCTION("""COMPUTED_VALUE"""),"Alex Noren")</f>
        <v>Alex Noren</v>
      </c>
      <c r="D224">
        <f ca="1">IFERROR(__xludf.DUMMYFUNCTION("""COMPUTED_VALUE"""),14)</f>
        <v>14</v>
      </c>
      <c r="E224">
        <f ca="1">IFERROR(__xludf.DUMMYFUNCTION("""COMPUTED_VALUE"""),-0.637)</f>
        <v>-0.63700000000000001</v>
      </c>
      <c r="F224">
        <f ca="1">IFERROR(__xludf.DUMMYFUNCTION("""COMPUTED_VALUE"""),-8.913)</f>
        <v>-8.9130000000000003</v>
      </c>
      <c r="G224">
        <f ca="1">IFERROR(__xludf.DUMMYFUNCTION("""COMPUTED_VALUE"""),14)</f>
        <v>14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IFERROR(__xludf.DUMMYFUNCTION("""COMPUTED_VALUE"""),216)</f>
        <v>216</v>
      </c>
      <c r="C225" t="str">
        <f ca="1">IFERROR(__xludf.DUMMYFUNCTION("""COMPUTED_VALUE"""),"Ryo Ishikawa")</f>
        <v>Ryo Ishikawa</v>
      </c>
      <c r="D225">
        <f ca="1">IFERROR(__xludf.DUMMYFUNCTION("""COMPUTED_VALUE"""),8)</f>
        <v>8</v>
      </c>
      <c r="E225">
        <f ca="1">IFERROR(__xludf.DUMMYFUNCTION("""COMPUTED_VALUE"""),-0.638)</f>
        <v>-0.63800000000000001</v>
      </c>
      <c r="F225">
        <f ca="1">IFERROR(__xludf.DUMMYFUNCTION("""COMPUTED_VALUE"""),-5.107)</f>
        <v>-5.1070000000000002</v>
      </c>
      <c r="G225">
        <f ca="1">IFERROR(__xludf.DUMMYFUNCTION("""COMPUTED_VALUE"""),8)</f>
        <v>8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IFERROR(__xludf.DUMMYFUNCTION("""COMPUTED_VALUE"""),217)</f>
        <v>217</v>
      </c>
      <c r="C226" t="str">
        <f ca="1">IFERROR(__xludf.DUMMYFUNCTION("""COMPUTED_VALUE"""),"Adam Hadwin")</f>
        <v>Adam Hadwin</v>
      </c>
      <c r="D226">
        <f ca="1">IFERROR(__xludf.DUMMYFUNCTION("""COMPUTED_VALUE"""),16)</f>
        <v>16</v>
      </c>
      <c r="E226">
        <f ca="1">IFERROR(__xludf.DUMMYFUNCTION("""COMPUTED_VALUE"""),-0.643)</f>
        <v>-0.64300000000000002</v>
      </c>
      <c r="F226">
        <f ca="1">IFERROR(__xludf.DUMMYFUNCTION("""COMPUTED_VALUE"""),-10.292)</f>
        <v>-10.292</v>
      </c>
      <c r="G226">
        <f ca="1">IFERROR(__xludf.DUMMYFUNCTION("""COMPUTED_VALUE"""),16)</f>
        <v>16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IFERROR(__xludf.DUMMYFUNCTION("""COMPUTED_VALUE"""),104)</f>
        <v>104</v>
      </c>
      <c r="C227" t="str">
        <f ca="1">IFERROR(__xludf.DUMMYFUNCTION("""COMPUTED_VALUE"""),"Bo Van Pelt")</f>
        <v>Bo Van Pelt</v>
      </c>
      <c r="D227">
        <f ca="1">IFERROR(__xludf.DUMMYFUNCTION("""COMPUTED_VALUE"""),10)</f>
        <v>10</v>
      </c>
      <c r="E227">
        <f ca="1">IFERROR(__xludf.DUMMYFUNCTION("""COMPUTED_VALUE"""),-0.647)</f>
        <v>-0.64700000000000002</v>
      </c>
      <c r="F227">
        <f ca="1">IFERROR(__xludf.DUMMYFUNCTION("""COMPUTED_VALUE"""),-3.883)</f>
        <v>-3.883</v>
      </c>
      <c r="G227">
        <f ca="1">IFERROR(__xludf.DUMMYFUNCTION("""COMPUTED_VALUE"""),6)</f>
        <v>6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IFERROR(__xludf.DUMMYFUNCTION("""COMPUTED_VALUE"""),233)</f>
        <v>233</v>
      </c>
      <c r="C228" t="str">
        <f ca="1">IFERROR(__xludf.DUMMYFUNCTION("""COMPUTED_VALUE"""),"Jordan Spieth")</f>
        <v>Jordan Spieth</v>
      </c>
      <c r="D228">
        <f ca="1">IFERROR(__xludf.DUMMYFUNCTION("""COMPUTED_VALUE"""),14)</f>
        <v>14</v>
      </c>
      <c r="E228">
        <f ca="1">IFERROR(__xludf.DUMMYFUNCTION("""COMPUTED_VALUE"""),-0.661)</f>
        <v>-0.66100000000000003</v>
      </c>
      <c r="F228">
        <f ca="1">IFERROR(__xludf.DUMMYFUNCTION("""COMPUTED_VALUE"""),-9.252)</f>
        <v>-9.2520000000000007</v>
      </c>
      <c r="G228">
        <f ca="1">IFERROR(__xludf.DUMMYFUNCTION("""COMPUTED_VALUE"""),14)</f>
        <v>14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IFERROR(__xludf.DUMMYFUNCTION("""COMPUTED_VALUE"""),218)</f>
        <v>218</v>
      </c>
      <c r="C229" t="str">
        <f ca="1">IFERROR(__xludf.DUMMYFUNCTION("""COMPUTED_VALUE"""),"Bill Haas")</f>
        <v>Bill Haas</v>
      </c>
      <c r="D229">
        <f ca="1">IFERROR(__xludf.DUMMYFUNCTION("""COMPUTED_VALUE"""),10)</f>
        <v>10</v>
      </c>
      <c r="E229">
        <f ca="1">IFERROR(__xludf.DUMMYFUNCTION("""COMPUTED_VALUE"""),-0.668)</f>
        <v>-0.66800000000000004</v>
      </c>
      <c r="F229">
        <f ca="1">IFERROR(__xludf.DUMMYFUNCTION("""COMPUTED_VALUE"""),-4.007)</f>
        <v>-4.0069999999999997</v>
      </c>
      <c r="G229">
        <f ca="1">IFERROR(__xludf.DUMMYFUNCTION("""COMPUTED_VALUE"""),6)</f>
        <v>6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IFERROR(__xludf.DUMMYFUNCTION("""COMPUTED_VALUE"""),221)</f>
        <v>221</v>
      </c>
      <c r="C230" t="str">
        <f ca="1">IFERROR(__xludf.DUMMYFUNCTION("""COMPUTED_VALUE"""),"Tiger Woods")</f>
        <v>Tiger Woods</v>
      </c>
      <c r="D230">
        <f ca="1">IFERROR(__xludf.DUMMYFUNCTION("""COMPUTED_VALUE"""),6)</f>
        <v>6</v>
      </c>
      <c r="E230">
        <f ca="1">IFERROR(__xludf.DUMMYFUNCTION("""COMPUTED_VALUE"""),-0.694)</f>
        <v>-0.69399999999999995</v>
      </c>
      <c r="F230">
        <f ca="1">IFERROR(__xludf.DUMMYFUNCTION("""COMPUTED_VALUE"""),-4.163)</f>
        <v>-4.1630000000000003</v>
      </c>
      <c r="G230">
        <f ca="1">IFERROR(__xludf.DUMMYFUNCTION("""COMPUTED_VALUE"""),6)</f>
        <v>6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IFERROR(__xludf.DUMMYFUNCTION("""COMPUTED_VALUE"""),224)</f>
        <v>224</v>
      </c>
      <c r="C231" t="str">
        <f ca="1">IFERROR(__xludf.DUMMYFUNCTION("""COMPUTED_VALUE"""),"Joohyung Kim")</f>
        <v>Joohyung Kim</v>
      </c>
      <c r="D231">
        <f ca="1">IFERROR(__xludf.DUMMYFUNCTION("""COMPUTED_VALUE"""),12)</f>
        <v>12</v>
      </c>
      <c r="E231">
        <f ca="1">IFERROR(__xludf.DUMMYFUNCTION("""COMPUTED_VALUE"""),-0.721)</f>
        <v>-0.72099999999999997</v>
      </c>
      <c r="F231">
        <f ca="1">IFERROR(__xludf.DUMMYFUNCTION("""COMPUTED_VALUE"""),-5.769)</f>
        <v>-5.7690000000000001</v>
      </c>
      <c r="G231">
        <f ca="1">IFERROR(__xludf.DUMMYFUNCTION("""COMPUTED_VALUE"""),8)</f>
        <v>8</v>
      </c>
    </row>
    <row r="232" spans="1:7" ht="12.75">
      <c r="A232">
        <f ca="1">IFERROR(__xludf.DUMMYFUNCTION("""COMPUTED_VALUE"""),231)</f>
        <v>231</v>
      </c>
      <c r="B232" t="str">
        <f ca="1">IFERROR(__xludf.DUMMYFUNCTION("""COMPUTED_VALUE"""),"T226")</f>
        <v>T226</v>
      </c>
      <c r="C232" t="str">
        <f ca="1">IFERROR(__xludf.DUMMYFUNCTION("""COMPUTED_VALUE"""),"Rafael Campos")</f>
        <v>Rafael Campos</v>
      </c>
      <c r="D232">
        <f ca="1">IFERROR(__xludf.DUMMYFUNCTION("""COMPUTED_VALUE"""),6)</f>
        <v>6</v>
      </c>
      <c r="E232">
        <f ca="1">IFERROR(__xludf.DUMMYFUNCTION("""COMPUTED_VALUE"""),-0.725)</f>
        <v>-0.72499999999999998</v>
      </c>
      <c r="F232">
        <f ca="1">IFERROR(__xludf.DUMMYFUNCTION("""COMPUTED_VALUE"""),-1.449)</f>
        <v>-1.4490000000000001</v>
      </c>
      <c r="G232">
        <f ca="1">IFERROR(__xludf.DUMMYFUNCTION("""COMPUTED_VALUE"""),2)</f>
        <v>2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IFERROR(__xludf.DUMMYFUNCTION("""COMPUTED_VALUE"""),228)</f>
        <v>228</v>
      </c>
      <c r="C233" t="str">
        <f ca="1">IFERROR(__xludf.DUMMYFUNCTION("""COMPUTED_VALUE"""),"Matt Every")</f>
        <v>Matt Every</v>
      </c>
      <c r="D233">
        <f ca="1">IFERROR(__xludf.DUMMYFUNCTION("""COMPUTED_VALUE"""),8)</f>
        <v>8</v>
      </c>
      <c r="E233">
        <f ca="1">IFERROR(__xludf.DUMMYFUNCTION("""COMPUTED_VALUE"""),-0.741)</f>
        <v>-0.74099999999999999</v>
      </c>
      <c r="F233">
        <f ca="1">IFERROR(__xludf.DUMMYFUNCTION("""COMPUTED_VALUE"""),-2.966)</f>
        <v>-2.9660000000000002</v>
      </c>
      <c r="G233">
        <f ca="1">IFERROR(__xludf.DUMMYFUNCTION("""COMPUTED_VALUE"""),4)</f>
        <v>4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IFERROR(__xludf.DUMMYFUNCTION("""COMPUTED_VALUE"""),162)</f>
        <v>162</v>
      </c>
      <c r="C234" t="str">
        <f ca="1">IFERROR(__xludf.DUMMYFUNCTION("""COMPUTED_VALUE"""),"Jimmy Walker")</f>
        <v>Jimmy Walker</v>
      </c>
      <c r="D234">
        <f ca="1">IFERROR(__xludf.DUMMYFUNCTION("""COMPUTED_VALUE"""),10)</f>
        <v>10</v>
      </c>
      <c r="E234">
        <f ca="1">IFERROR(__xludf.DUMMYFUNCTION("""COMPUTED_VALUE"""),-0.749)</f>
        <v>-0.749</v>
      </c>
      <c r="F234">
        <f ca="1">IFERROR(__xludf.DUMMYFUNCTION("""COMPUTED_VALUE"""),-7.487)</f>
        <v>-7.4870000000000001</v>
      </c>
      <c r="G234">
        <f ca="1">IFERROR(__xludf.DUMMYFUNCTION("""COMPUTED_VALUE"""),10)</f>
        <v>10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IFERROR(__xludf.DUMMYFUNCTION("""COMPUTED_VALUE"""),222)</f>
        <v>222</v>
      </c>
      <c r="C235" t="str">
        <f ca="1">IFERROR(__xludf.DUMMYFUNCTION("""COMPUTED_VALUE"""),"Bo Hoag")</f>
        <v>Bo Hoag</v>
      </c>
      <c r="D235">
        <f ca="1">IFERROR(__xludf.DUMMYFUNCTION("""COMPUTED_VALUE"""),14)</f>
        <v>14</v>
      </c>
      <c r="E235">
        <f ca="1">IFERROR(__xludf.DUMMYFUNCTION("""COMPUTED_VALUE"""),-0.756)</f>
        <v>-0.75600000000000001</v>
      </c>
      <c r="F235">
        <f ca="1">IFERROR(__xludf.DUMMYFUNCTION("""COMPUTED_VALUE"""),-7.562)</f>
        <v>-7.5620000000000003</v>
      </c>
      <c r="G235">
        <f ca="1">IFERROR(__xludf.DUMMYFUNCTION("""COMPUTED_VALUE"""),10)</f>
        <v>10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IFERROR(__xludf.DUMMYFUNCTION("""COMPUTED_VALUE"""),249)</f>
        <v>249</v>
      </c>
      <c r="C236" t="str">
        <f ca="1">IFERROR(__xludf.DUMMYFUNCTION("""COMPUTED_VALUE"""),"Graeme McDowell")</f>
        <v>Graeme McDowell</v>
      </c>
      <c r="D236">
        <f ca="1">IFERROR(__xludf.DUMMYFUNCTION("""COMPUTED_VALUE"""),8)</f>
        <v>8</v>
      </c>
      <c r="E236">
        <f ca="1">IFERROR(__xludf.DUMMYFUNCTION("""COMPUTED_VALUE"""),-0.758)</f>
        <v>-0.75800000000000001</v>
      </c>
      <c r="F236">
        <f ca="1">IFERROR(__xludf.DUMMYFUNCTION("""COMPUTED_VALUE"""),-4.548)</f>
        <v>-4.548</v>
      </c>
      <c r="G236">
        <f ca="1">IFERROR(__xludf.DUMMYFUNCTION("""COMPUTED_VALUE"""),6)</f>
        <v>6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IFERROR(__xludf.DUMMYFUNCTION("""COMPUTED_VALUE"""),213)</f>
        <v>213</v>
      </c>
      <c r="C237" t="str">
        <f ca="1">IFERROR(__xludf.DUMMYFUNCTION("""COMPUTED_VALUE"""),"Matt Jones")</f>
        <v>Matt Jones</v>
      </c>
      <c r="D237">
        <f ca="1">IFERROR(__xludf.DUMMYFUNCTION("""COMPUTED_VALUE"""),20)</f>
        <v>20</v>
      </c>
      <c r="E237">
        <f ca="1">IFERROR(__xludf.DUMMYFUNCTION("""COMPUTED_VALUE"""),-0.772)</f>
        <v>-0.77200000000000002</v>
      </c>
      <c r="F237">
        <f ca="1">IFERROR(__xludf.DUMMYFUNCTION("""COMPUTED_VALUE"""),-9.262)</f>
        <v>-9.2620000000000005</v>
      </c>
      <c r="G237">
        <f ca="1">IFERROR(__xludf.DUMMYFUNCTION("""COMPUTED_VALUE"""),12)</f>
        <v>12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IFERROR(__xludf.DUMMYFUNCTION("""COMPUTED_VALUE"""),230)</f>
        <v>230</v>
      </c>
      <c r="C238" t="str">
        <f ca="1">IFERROR(__xludf.DUMMYFUNCTION("""COMPUTED_VALUE"""),"Brandon Hagy")</f>
        <v>Brandon Hagy</v>
      </c>
      <c r="D238">
        <f ca="1">IFERROR(__xludf.DUMMYFUNCTION("""COMPUTED_VALUE"""),10)</f>
        <v>10</v>
      </c>
      <c r="E238">
        <f ca="1">IFERROR(__xludf.DUMMYFUNCTION("""COMPUTED_VALUE"""),-0.775)</f>
        <v>-0.77500000000000002</v>
      </c>
      <c r="F238">
        <f ca="1">IFERROR(__xludf.DUMMYFUNCTION("""COMPUTED_VALUE"""),-4.647)</f>
        <v>-4.6470000000000002</v>
      </c>
      <c r="G238">
        <f ca="1">IFERROR(__xludf.DUMMYFUNCTION("""COMPUTED_VALUE"""),6)</f>
        <v>6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IFERROR(__xludf.DUMMYFUNCTION("""COMPUTED_VALUE"""),255)</f>
        <v>255</v>
      </c>
      <c r="C239" t="str">
        <f ca="1">IFERROR(__xludf.DUMMYFUNCTION("""COMPUTED_VALUE"""),"Fabián Gómez")</f>
        <v>Fabián Gómez</v>
      </c>
      <c r="D239">
        <f ca="1">IFERROR(__xludf.DUMMYFUNCTION("""COMPUTED_VALUE"""),16)</f>
        <v>16</v>
      </c>
      <c r="E239">
        <f ca="1">IFERROR(__xludf.DUMMYFUNCTION("""COMPUTED_VALUE"""),-0.781)</f>
        <v>-0.78100000000000003</v>
      </c>
      <c r="F239">
        <f ca="1">IFERROR(__xludf.DUMMYFUNCTION("""COMPUTED_VALUE"""),-7.806)</f>
        <v>-7.806</v>
      </c>
      <c r="G239">
        <f ca="1">IFERROR(__xludf.DUMMYFUNCTION("""COMPUTED_VALUE"""),10)</f>
        <v>10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IFERROR(__xludf.DUMMYFUNCTION("""COMPUTED_VALUE"""),231)</f>
        <v>231</v>
      </c>
      <c r="C240" t="str">
        <f ca="1">IFERROR(__xludf.DUMMYFUNCTION("""COMPUTED_VALUE"""),"Christiaan Bezuidenhout")</f>
        <v>Christiaan Bezuidenhout</v>
      </c>
      <c r="D240">
        <f ca="1">IFERROR(__xludf.DUMMYFUNCTION("""COMPUTED_VALUE"""),4)</f>
        <v>4</v>
      </c>
      <c r="E240">
        <f ca="1">IFERROR(__xludf.DUMMYFUNCTION("""COMPUTED_VALUE"""),-0.785)</f>
        <v>-0.78500000000000003</v>
      </c>
      <c r="F240">
        <f ca="1">IFERROR(__xludf.DUMMYFUNCTION("""COMPUTED_VALUE"""),-3.139)</f>
        <v>-3.1389999999999998</v>
      </c>
      <c r="G240">
        <f ca="1">IFERROR(__xludf.DUMMYFUNCTION("""COMPUTED_VALUE"""),4)</f>
        <v>4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IFERROR(__xludf.DUMMYFUNCTION("""COMPUTED_VALUE"""),211)</f>
        <v>211</v>
      </c>
      <c r="C241" t="str">
        <f ca="1">IFERROR(__xludf.DUMMYFUNCTION("""COMPUTED_VALUE"""),"Beau Hossler")</f>
        <v>Beau Hossler</v>
      </c>
      <c r="D241">
        <f ca="1">IFERROR(__xludf.DUMMYFUNCTION("""COMPUTED_VALUE"""),22)</f>
        <v>22</v>
      </c>
      <c r="E241">
        <f ca="1">IFERROR(__xludf.DUMMYFUNCTION("""COMPUTED_VALUE"""),-0.806)</f>
        <v>-0.80600000000000005</v>
      </c>
      <c r="F241">
        <f ca="1">IFERROR(__xludf.DUMMYFUNCTION("""COMPUTED_VALUE"""),-11.286)</f>
        <v>-11.286</v>
      </c>
      <c r="G241">
        <f ca="1">IFERROR(__xludf.DUMMYFUNCTION("""COMPUTED_VALUE"""),14)</f>
        <v>14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IFERROR(__xludf.DUMMYFUNCTION("""COMPUTED_VALUE"""),234)</f>
        <v>234</v>
      </c>
      <c r="C242" t="str">
        <f ca="1">IFERROR(__xludf.DUMMYFUNCTION("""COMPUTED_VALUE"""),"Ian Poulter")</f>
        <v>Ian Poulter</v>
      </c>
      <c r="D242">
        <f ca="1">IFERROR(__xludf.DUMMYFUNCTION("""COMPUTED_VALUE"""),6)</f>
        <v>6</v>
      </c>
      <c r="E242">
        <f ca="1">IFERROR(__xludf.DUMMYFUNCTION("""COMPUTED_VALUE"""),-0.807)</f>
        <v>-0.80700000000000005</v>
      </c>
      <c r="F242">
        <f ca="1">IFERROR(__xludf.DUMMYFUNCTION("""COMPUTED_VALUE"""),-4.841)</f>
        <v>-4.8410000000000002</v>
      </c>
      <c r="G242">
        <f ca="1">IFERROR(__xludf.DUMMYFUNCTION("""COMPUTED_VALUE"""),6)</f>
        <v>6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IFERROR(__xludf.DUMMYFUNCTION("""COMPUTED_VALUE"""),236)</f>
        <v>236</v>
      </c>
      <c r="C243" t="str">
        <f ca="1">IFERROR(__xludf.DUMMYFUNCTION("""COMPUTED_VALUE"""),"Zack Sucher")</f>
        <v>Zack Sucher</v>
      </c>
      <c r="D243">
        <f ca="1">IFERROR(__xludf.DUMMYFUNCTION("""COMPUTED_VALUE"""),6)</f>
        <v>6</v>
      </c>
      <c r="E243">
        <f ca="1">IFERROR(__xludf.DUMMYFUNCTION("""COMPUTED_VALUE"""),-0.834)</f>
        <v>-0.83399999999999996</v>
      </c>
      <c r="F243">
        <f ca="1">IFERROR(__xludf.DUMMYFUNCTION("""COMPUTED_VALUE"""),-1.668)</f>
        <v>-1.6679999999999999</v>
      </c>
      <c r="G243">
        <f ca="1">IFERROR(__xludf.DUMMYFUNCTION("""COMPUTED_VALUE"""),2)</f>
        <v>2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IFERROR(__xludf.DUMMYFUNCTION("""COMPUTED_VALUE"""),237)</f>
        <v>237</v>
      </c>
      <c r="C244" t="str">
        <f ca="1">IFERROR(__xludf.DUMMYFUNCTION("""COMPUTED_VALUE"""),"Steve Lewton")</f>
        <v>Steve Lewton</v>
      </c>
      <c r="D244">
        <f ca="1">IFERROR(__xludf.DUMMYFUNCTION("""COMPUTED_VALUE"""),4)</f>
        <v>4</v>
      </c>
      <c r="E244">
        <f ca="1">IFERROR(__xludf.DUMMYFUNCTION("""COMPUTED_VALUE"""),-0.849)</f>
        <v>-0.84899999999999998</v>
      </c>
      <c r="F244">
        <f ca="1">IFERROR(__xludf.DUMMYFUNCTION("""COMPUTED_VALUE"""),-3.398)</f>
        <v>-3.3980000000000001</v>
      </c>
      <c r="G244">
        <f ca="1">IFERROR(__xludf.DUMMYFUNCTION("""COMPUTED_VALUE"""),4)</f>
        <v>4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IFERROR(__xludf.DUMMYFUNCTION("""COMPUTED_VALUE"""),238)</f>
        <v>238</v>
      </c>
      <c r="C245" t="str">
        <f ca="1">IFERROR(__xludf.DUMMYFUNCTION("""COMPUTED_VALUE"""),"Nick Taylor")</f>
        <v>Nick Taylor</v>
      </c>
      <c r="D245">
        <f ca="1">IFERROR(__xludf.DUMMYFUNCTION("""COMPUTED_VALUE"""),12)</f>
        <v>12</v>
      </c>
      <c r="E245">
        <f ca="1">IFERROR(__xludf.DUMMYFUNCTION("""COMPUTED_VALUE"""),-0.857)</f>
        <v>-0.85699999999999998</v>
      </c>
      <c r="F245">
        <f ca="1">IFERROR(__xludf.DUMMYFUNCTION("""COMPUTED_VALUE"""),-10.288)</f>
        <v>-10.288</v>
      </c>
      <c r="G245">
        <f ca="1">IFERROR(__xludf.DUMMYFUNCTION("""COMPUTED_VALUE"""),12)</f>
        <v>12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IFERROR(__xludf.DUMMYFUNCTION("""COMPUTED_VALUE"""),239)</f>
        <v>239</v>
      </c>
      <c r="C246" t="str">
        <f ca="1">IFERROR(__xludf.DUMMYFUNCTION("""COMPUTED_VALUE"""),"George Markham")</f>
        <v>George Markham</v>
      </c>
      <c r="D246">
        <f ca="1">IFERROR(__xludf.DUMMYFUNCTION("""COMPUTED_VALUE"""),4)</f>
        <v>4</v>
      </c>
      <c r="E246">
        <f ca="1">IFERROR(__xludf.DUMMYFUNCTION("""COMPUTED_VALUE"""),-0.888)</f>
        <v>-0.88800000000000001</v>
      </c>
      <c r="F246">
        <f ca="1">IFERROR(__xludf.DUMMYFUNCTION("""COMPUTED_VALUE"""),-3.551)</f>
        <v>-3.5510000000000002</v>
      </c>
      <c r="G246">
        <f ca="1">IFERROR(__xludf.DUMMYFUNCTION("""COMPUTED_VALUE"""),4)</f>
        <v>4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IFERROR(__xludf.DUMMYFUNCTION("""COMPUTED_VALUE"""),240)</f>
        <v>240</v>
      </c>
      <c r="C247" t="str">
        <f ca="1">IFERROR(__xludf.DUMMYFUNCTION("""COMPUTED_VALUE"""),"Rasmus Hojgaard")</f>
        <v>Rasmus Hojgaard</v>
      </c>
      <c r="D247">
        <f ca="1">IFERROR(__xludf.DUMMYFUNCTION("""COMPUTED_VALUE"""),6)</f>
        <v>6</v>
      </c>
      <c r="E247">
        <f ca="1">IFERROR(__xludf.DUMMYFUNCTION("""COMPUTED_VALUE"""),-0.901)</f>
        <v>-0.90100000000000002</v>
      </c>
      <c r="F247">
        <f ca="1">IFERROR(__xludf.DUMMYFUNCTION("""COMPUTED_VALUE"""),-1.802)</f>
        <v>-1.802</v>
      </c>
      <c r="G247">
        <f ca="1">IFERROR(__xludf.DUMMYFUNCTION("""COMPUTED_VALUE"""),2)</f>
        <v>2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IFERROR(__xludf.DUMMYFUNCTION("""COMPUTED_VALUE"""),241)</f>
        <v>241</v>
      </c>
      <c r="C248" t="str">
        <f ca="1">IFERROR(__xludf.DUMMYFUNCTION("""COMPUTED_VALUE"""),"Seonghyeon Kim")</f>
        <v>Seonghyeon Kim</v>
      </c>
      <c r="D248">
        <f ca="1">IFERROR(__xludf.DUMMYFUNCTION("""COMPUTED_VALUE"""),4)</f>
        <v>4</v>
      </c>
      <c r="E248">
        <f ca="1">IFERROR(__xludf.DUMMYFUNCTION("""COMPUTED_VALUE"""),-0.903)</f>
        <v>-0.90300000000000002</v>
      </c>
      <c r="F248">
        <f ca="1">IFERROR(__xludf.DUMMYFUNCTION("""COMPUTED_VALUE"""),-3.612)</f>
        <v>-3.6120000000000001</v>
      </c>
      <c r="G248">
        <f ca="1">IFERROR(__xludf.DUMMYFUNCTION("""COMPUTED_VALUE"""),4)</f>
        <v>4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IFERROR(__xludf.DUMMYFUNCTION("""COMPUTED_VALUE"""),242)</f>
        <v>242</v>
      </c>
      <c r="C249" t="str">
        <f ca="1">IFERROR(__xludf.DUMMYFUNCTION("""COMPUTED_VALUE"""),"Charles Howell III")</f>
        <v>Charles Howell III</v>
      </c>
      <c r="D249">
        <f ca="1">IFERROR(__xludf.DUMMYFUNCTION("""COMPUTED_VALUE"""),10)</f>
        <v>10</v>
      </c>
      <c r="E249">
        <f ca="1">IFERROR(__xludf.DUMMYFUNCTION("""COMPUTED_VALUE"""),-0.958)</f>
        <v>-0.95799999999999996</v>
      </c>
      <c r="F249">
        <f ca="1">IFERROR(__xludf.DUMMYFUNCTION("""COMPUTED_VALUE"""),-7.663)</f>
        <v>-7.6630000000000003</v>
      </c>
      <c r="G249">
        <f ca="1">IFERROR(__xludf.DUMMYFUNCTION("""COMPUTED_VALUE"""),8)</f>
        <v>8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IFERROR(__xludf.DUMMYFUNCTION("""COMPUTED_VALUE"""),243)</f>
        <v>243</v>
      </c>
      <c r="C250" t="str">
        <f ca="1">IFERROR(__xludf.DUMMYFUNCTION("""COMPUTED_VALUE"""),"Chris Stroud")</f>
        <v>Chris Stroud</v>
      </c>
      <c r="D250">
        <f ca="1">IFERROR(__xludf.DUMMYFUNCTION("""COMPUTED_VALUE"""),6)</f>
        <v>6</v>
      </c>
      <c r="E250">
        <f ca="1">IFERROR(__xludf.DUMMYFUNCTION("""COMPUTED_VALUE"""),-0.981)</f>
        <v>-0.98099999999999998</v>
      </c>
      <c r="F250">
        <f ca="1">IFERROR(__xludf.DUMMYFUNCTION("""COMPUTED_VALUE"""),-3.924)</f>
        <v>-3.9239999999999999</v>
      </c>
      <c r="G250">
        <f ca="1">IFERROR(__xludf.DUMMYFUNCTION("""COMPUTED_VALUE"""),4)</f>
        <v>4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IFERROR(__xludf.DUMMYFUNCTION("""COMPUTED_VALUE"""),246)</f>
        <v>246</v>
      </c>
      <c r="C251" t="str">
        <f ca="1">IFERROR(__xludf.DUMMYFUNCTION("""COMPUTED_VALUE"""),"Jamie Lovemark")</f>
        <v>Jamie Lovemark</v>
      </c>
      <c r="D251">
        <f ca="1">IFERROR(__xludf.DUMMYFUNCTION("""COMPUTED_VALUE"""),18)</f>
        <v>18</v>
      </c>
      <c r="E251">
        <f ca="1">IFERROR(__xludf.DUMMYFUNCTION("""COMPUTED_VALUE"""),-0.986)</f>
        <v>-0.98599999999999999</v>
      </c>
      <c r="F251">
        <f ca="1">IFERROR(__xludf.DUMMYFUNCTION("""COMPUTED_VALUE"""),-11.831)</f>
        <v>-11.831</v>
      </c>
      <c r="G251">
        <f ca="1">IFERROR(__xludf.DUMMYFUNCTION("""COMPUTED_VALUE"""),12)</f>
        <v>12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IFERROR(__xludf.DUMMYFUNCTION("""COMPUTED_VALUE"""),225)</f>
        <v>225</v>
      </c>
      <c r="C252" t="str">
        <f ca="1">IFERROR(__xludf.DUMMYFUNCTION("""COMPUTED_VALUE"""),"D.A. Points")</f>
        <v>D.A. Points</v>
      </c>
      <c r="D252">
        <f ca="1">IFERROR(__xludf.DUMMYFUNCTION("""COMPUTED_VALUE"""),12)</f>
        <v>12</v>
      </c>
      <c r="E252">
        <f ca="1">IFERROR(__xludf.DUMMYFUNCTION("""COMPUTED_VALUE"""),-1.014)</f>
        <v>-1.014</v>
      </c>
      <c r="F252">
        <f ca="1">IFERROR(__xludf.DUMMYFUNCTION("""COMPUTED_VALUE"""),-8.113)</f>
        <v>-8.1129999999999995</v>
      </c>
      <c r="G252">
        <f ca="1">IFERROR(__xludf.DUMMYFUNCTION("""COMPUTED_VALUE"""),8)</f>
        <v>8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IFERROR(__xludf.DUMMYFUNCTION("""COMPUTED_VALUE"""),254)</f>
        <v>254</v>
      </c>
      <c r="C253" t="str">
        <f ca="1">IFERROR(__xludf.DUMMYFUNCTION("""COMPUTED_VALUE"""),"Max Homa")</f>
        <v>Max Homa</v>
      </c>
      <c r="D253">
        <f ca="1">IFERROR(__xludf.DUMMYFUNCTION("""COMPUTED_VALUE"""),12)</f>
        <v>12</v>
      </c>
      <c r="E253">
        <f ca="1">IFERROR(__xludf.DUMMYFUNCTION("""COMPUTED_VALUE"""),-1.024)</f>
        <v>-1.024</v>
      </c>
      <c r="F253">
        <f ca="1">IFERROR(__xludf.DUMMYFUNCTION("""COMPUTED_VALUE"""),-8.196)</f>
        <v>-8.1959999999999997</v>
      </c>
      <c r="G253">
        <f ca="1">IFERROR(__xludf.DUMMYFUNCTION("""COMPUTED_VALUE"""),8)</f>
        <v>8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IFERROR(__xludf.DUMMYFUNCTION("""COMPUTED_VALUE"""),244)</f>
        <v>244</v>
      </c>
      <c r="C254" t="str">
        <f ca="1">IFERROR(__xludf.DUMMYFUNCTION("""COMPUTED_VALUE"""),"Alex Cejka")</f>
        <v>Alex Cejka</v>
      </c>
      <c r="D254">
        <f ca="1">IFERROR(__xludf.DUMMYFUNCTION("""COMPUTED_VALUE"""),6)</f>
        <v>6</v>
      </c>
      <c r="E254">
        <f ca="1">IFERROR(__xludf.DUMMYFUNCTION("""COMPUTED_VALUE"""),-1.092)</f>
        <v>-1.0920000000000001</v>
      </c>
      <c r="F254">
        <f ca="1">IFERROR(__xludf.DUMMYFUNCTION("""COMPUTED_VALUE"""),-2.184)</f>
        <v>-2.1840000000000002</v>
      </c>
      <c r="G254">
        <f ca="1">IFERROR(__xludf.DUMMYFUNCTION("""COMPUTED_VALUE"""),2)</f>
        <v>2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IFERROR(__xludf.DUMMYFUNCTION("""COMPUTED_VALUE"""),245)</f>
        <v>245</v>
      </c>
      <c r="C255" t="str">
        <f ca="1">IFERROR(__xludf.DUMMYFUNCTION("""COMPUTED_VALUE"""),"Matthias Schwab")</f>
        <v>Matthias Schwab</v>
      </c>
      <c r="D255">
        <f ca="1">IFERROR(__xludf.DUMMYFUNCTION("""COMPUTED_VALUE"""),8)</f>
        <v>8</v>
      </c>
      <c r="E255">
        <f ca="1">IFERROR(__xludf.DUMMYFUNCTION("""COMPUTED_VALUE"""),-1.096)</f>
        <v>-1.0960000000000001</v>
      </c>
      <c r="F255">
        <f ca="1">IFERROR(__xludf.DUMMYFUNCTION("""COMPUTED_VALUE"""),-4.385)</f>
        <v>-4.3849999999999998</v>
      </c>
      <c r="G255">
        <f ca="1">IFERROR(__xludf.DUMMYFUNCTION("""COMPUTED_VALUE"""),4)</f>
        <v>4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IFERROR(__xludf.DUMMYFUNCTION("""COMPUTED_VALUE"""),262)</f>
        <v>262</v>
      </c>
      <c r="C256" t="str">
        <f ca="1">IFERROR(__xludf.DUMMYFUNCTION("""COMPUTED_VALUE"""),"Kevin Stadler")</f>
        <v>Kevin Stadler</v>
      </c>
      <c r="D256">
        <f ca="1">IFERROR(__xludf.DUMMYFUNCTION("""COMPUTED_VALUE"""),8)</f>
        <v>8</v>
      </c>
      <c r="E256">
        <f ca="1">IFERROR(__xludf.DUMMYFUNCTION("""COMPUTED_VALUE"""),-1.111)</f>
        <v>-1.111</v>
      </c>
      <c r="F256">
        <f ca="1">IFERROR(__xludf.DUMMYFUNCTION("""COMPUTED_VALUE"""),-6.669)</f>
        <v>-6.6689999999999996</v>
      </c>
      <c r="G256">
        <f ca="1">IFERROR(__xludf.DUMMYFUNCTION("""COMPUTED_VALUE"""),6)</f>
        <v>6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IFERROR(__xludf.DUMMYFUNCTION("""COMPUTED_VALUE"""),247)</f>
        <v>247</v>
      </c>
      <c r="C257" t="str">
        <f ca="1">IFERROR(__xludf.DUMMYFUNCTION("""COMPUTED_VALUE"""),"Jaekyeong Lee")</f>
        <v>Jaekyeong Lee</v>
      </c>
      <c r="D257">
        <f ca="1">IFERROR(__xludf.DUMMYFUNCTION("""COMPUTED_VALUE"""),4)</f>
        <v>4</v>
      </c>
      <c r="E257">
        <f ca="1">IFERROR(__xludf.DUMMYFUNCTION("""COMPUTED_VALUE"""),-1.137)</f>
        <v>-1.137</v>
      </c>
      <c r="F257">
        <f ca="1">IFERROR(__xludf.DUMMYFUNCTION("""COMPUTED_VALUE"""),-4.547)</f>
        <v>-4.5469999999999997</v>
      </c>
      <c r="G257">
        <f ca="1">IFERROR(__xludf.DUMMYFUNCTION("""COMPUTED_VALUE"""),4)</f>
        <v>4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IFERROR(__xludf.DUMMYFUNCTION("""COMPUTED_VALUE"""),192)</f>
        <v>192</v>
      </c>
      <c r="C258" t="str">
        <f ca="1">IFERROR(__xludf.DUMMYFUNCTION("""COMPUTED_VALUE"""),"Tom Lewis")</f>
        <v>Tom Lewis</v>
      </c>
      <c r="D258">
        <f ca="1">IFERROR(__xludf.DUMMYFUNCTION("""COMPUTED_VALUE"""),12)</f>
        <v>12</v>
      </c>
      <c r="E258">
        <f ca="1">IFERROR(__xludf.DUMMYFUNCTION("""COMPUTED_VALUE"""),-1.239)</f>
        <v>-1.2390000000000001</v>
      </c>
      <c r="F258">
        <f ca="1">IFERROR(__xludf.DUMMYFUNCTION("""COMPUTED_VALUE"""),-12.387)</f>
        <v>-12.387</v>
      </c>
      <c r="G258">
        <f ca="1">IFERROR(__xludf.DUMMYFUNCTION("""COMPUTED_VALUE"""),10)</f>
        <v>10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IFERROR(__xludf.DUMMYFUNCTION("""COMPUTED_VALUE"""),250)</f>
        <v>250</v>
      </c>
      <c r="C259" t="str">
        <f ca="1">IFERROR(__xludf.DUMMYFUNCTION("""COMPUTED_VALUE"""),"Robert Streb")</f>
        <v>Robert Streb</v>
      </c>
      <c r="D259">
        <f ca="1">IFERROR(__xludf.DUMMYFUNCTION("""COMPUTED_VALUE"""),12)</f>
        <v>12</v>
      </c>
      <c r="E259">
        <f ca="1">IFERROR(__xludf.DUMMYFUNCTION("""COMPUTED_VALUE"""),-1.279)</f>
        <v>-1.2789999999999999</v>
      </c>
      <c r="F259">
        <f ca="1">IFERROR(__xludf.DUMMYFUNCTION("""COMPUTED_VALUE"""),-5.115)</f>
        <v>-5.1150000000000002</v>
      </c>
      <c r="G259">
        <f ca="1">IFERROR(__xludf.DUMMYFUNCTION("""COMPUTED_VALUE"""),4)</f>
        <v>4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IFERROR(__xludf.DUMMYFUNCTION("""COMPUTED_VALUE"""),251)</f>
        <v>251</v>
      </c>
      <c r="C260" t="str">
        <f ca="1">IFERROR(__xludf.DUMMYFUNCTION("""COMPUTED_VALUE"""),"Rikuya Hoshino")</f>
        <v>Rikuya Hoshino</v>
      </c>
      <c r="D260">
        <f ca="1">IFERROR(__xludf.DUMMYFUNCTION("""COMPUTED_VALUE"""),4)</f>
        <v>4</v>
      </c>
      <c r="E260">
        <f ca="1">IFERROR(__xludf.DUMMYFUNCTION("""COMPUTED_VALUE"""),-1.282)</f>
        <v>-1.282</v>
      </c>
      <c r="F260">
        <f ca="1">IFERROR(__xludf.DUMMYFUNCTION("""COMPUTED_VALUE"""),-5.129)</f>
        <v>-5.1289999999999996</v>
      </c>
      <c r="G260">
        <f ca="1">IFERROR(__xludf.DUMMYFUNCTION("""COMPUTED_VALUE"""),4)</f>
        <v>4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IFERROR(__xludf.DUMMYFUNCTION("""COMPUTED_VALUE"""),252)</f>
        <v>252</v>
      </c>
      <c r="C261" t="str">
        <f ca="1">IFERROR(__xludf.DUMMYFUNCTION("""COMPUTED_VALUE"""),"Shawn Stefani")</f>
        <v>Shawn Stefani</v>
      </c>
      <c r="D261">
        <f ca="1">IFERROR(__xludf.DUMMYFUNCTION("""COMPUTED_VALUE"""),5)</f>
        <v>5</v>
      </c>
      <c r="E261">
        <f ca="1">IFERROR(__xludf.DUMMYFUNCTION("""COMPUTED_VALUE"""),-1.317)</f>
        <v>-1.3169999999999999</v>
      </c>
      <c r="F261">
        <f ca="1">IFERROR(__xludf.DUMMYFUNCTION("""COMPUTED_VALUE"""),-2.634)</f>
        <v>-2.6339999999999999</v>
      </c>
      <c r="G261">
        <f ca="1">IFERROR(__xludf.DUMMYFUNCTION("""COMPUTED_VALUE"""),2)</f>
        <v>2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IFERROR(__xludf.DUMMYFUNCTION("""COMPUTED_VALUE"""),235)</f>
        <v>235</v>
      </c>
      <c r="C262" t="str">
        <f ca="1">IFERROR(__xludf.DUMMYFUNCTION("""COMPUTED_VALUE"""),"Hunter Mahan")</f>
        <v>Hunter Mahan</v>
      </c>
      <c r="D262">
        <f ca="1">IFERROR(__xludf.DUMMYFUNCTION("""COMPUTED_VALUE"""),14)</f>
        <v>14</v>
      </c>
      <c r="E262">
        <f ca="1">IFERROR(__xludf.DUMMYFUNCTION("""COMPUTED_VALUE"""),-1.368)</f>
        <v>-1.3680000000000001</v>
      </c>
      <c r="F262">
        <f ca="1">IFERROR(__xludf.DUMMYFUNCTION("""COMPUTED_VALUE"""),-13.684)</f>
        <v>-13.683999999999999</v>
      </c>
      <c r="G262">
        <f ca="1">IFERROR(__xludf.DUMMYFUNCTION("""COMPUTED_VALUE"""),10)</f>
        <v>10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IFERROR(__xludf.DUMMYFUNCTION("""COMPUTED_VALUE"""),253)</f>
        <v>253</v>
      </c>
      <c r="C263" t="str">
        <f ca="1">IFERROR(__xludf.DUMMYFUNCTION("""COMPUTED_VALUE"""),"Sung Kang")</f>
        <v>Sung Kang</v>
      </c>
      <c r="D263">
        <f ca="1">IFERROR(__xludf.DUMMYFUNCTION("""COMPUTED_VALUE"""),14)</f>
        <v>14</v>
      </c>
      <c r="E263">
        <f ca="1">IFERROR(__xludf.DUMMYFUNCTION("""COMPUTED_VALUE"""),-1.372)</f>
        <v>-1.3720000000000001</v>
      </c>
      <c r="F263">
        <f ca="1">IFERROR(__xludf.DUMMYFUNCTION("""COMPUTED_VALUE"""),-19.213)</f>
        <v>-19.213000000000001</v>
      </c>
      <c r="G263">
        <f ca="1">IFERROR(__xludf.DUMMYFUNCTION("""COMPUTED_VALUE"""),14)</f>
        <v>14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IFERROR(__xludf.DUMMYFUNCTION("""COMPUTED_VALUE"""),256)</f>
        <v>256</v>
      </c>
      <c r="C264" t="str">
        <f ca="1">IFERROR(__xludf.DUMMYFUNCTION("""COMPUTED_VALUE"""),"Seamus Power")</f>
        <v>Seamus Power</v>
      </c>
      <c r="D264">
        <f ca="1">IFERROR(__xludf.DUMMYFUNCTION("""COMPUTED_VALUE"""),8)</f>
        <v>8</v>
      </c>
      <c r="E264">
        <f ca="1">IFERROR(__xludf.DUMMYFUNCTION("""COMPUTED_VALUE"""),-1.465)</f>
        <v>-1.4650000000000001</v>
      </c>
      <c r="F264">
        <f ca="1">IFERROR(__xludf.DUMMYFUNCTION("""COMPUTED_VALUE"""),-2.929)</f>
        <v>-2.9289999999999998</v>
      </c>
      <c r="G264">
        <f ca="1">IFERROR(__xludf.DUMMYFUNCTION("""COMPUTED_VALUE"""),2)</f>
        <v>2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IFERROR(__xludf.DUMMYFUNCTION("""COMPUTED_VALUE"""),257)</f>
        <v>257</v>
      </c>
      <c r="C265" t="str">
        <f ca="1">IFERROR(__xludf.DUMMYFUNCTION("""COMPUTED_VALUE"""),"Rhein Gibson")</f>
        <v>Rhein Gibson</v>
      </c>
      <c r="D265">
        <f ca="1">IFERROR(__xludf.DUMMYFUNCTION("""COMPUTED_VALUE"""),10)</f>
        <v>10</v>
      </c>
      <c r="E265">
        <f ca="1">IFERROR(__xludf.DUMMYFUNCTION("""COMPUTED_VALUE"""),-1.553)</f>
        <v>-1.5529999999999999</v>
      </c>
      <c r="F265">
        <f ca="1">IFERROR(__xludf.DUMMYFUNCTION("""COMPUTED_VALUE"""),-6.21)</f>
        <v>-6.21</v>
      </c>
      <c r="G265">
        <f ca="1">IFERROR(__xludf.DUMMYFUNCTION("""COMPUTED_VALUE"""),4)</f>
        <v>4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IFERROR(__xludf.DUMMYFUNCTION("""COMPUTED_VALUE"""),264)</f>
        <v>264</v>
      </c>
      <c r="C266" t="str">
        <f ca="1">IFERROR(__xludf.DUMMYFUNCTION("""COMPUTED_VALUE"""),"Danny Willett")</f>
        <v>Danny Willett</v>
      </c>
      <c r="D266">
        <f ca="1">IFERROR(__xludf.DUMMYFUNCTION("""COMPUTED_VALUE"""),7)</f>
        <v>7</v>
      </c>
      <c r="E266">
        <f ca="1">IFERROR(__xludf.DUMMYFUNCTION("""COMPUTED_VALUE"""),-1.58)</f>
        <v>-1.58</v>
      </c>
      <c r="F266">
        <f ca="1">IFERROR(__xludf.DUMMYFUNCTION("""COMPUTED_VALUE"""),-4.741)</f>
        <v>-4.7409999999999997</v>
      </c>
      <c r="G266">
        <f ca="1">IFERROR(__xludf.DUMMYFUNCTION("""COMPUTED_VALUE"""),3)</f>
        <v>3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IFERROR(__xludf.DUMMYFUNCTION("""COMPUTED_VALUE"""),258)</f>
        <v>258</v>
      </c>
      <c r="C267" t="str">
        <f ca="1">IFERROR(__xludf.DUMMYFUNCTION("""COMPUTED_VALUE"""),"Jeongwoo Ham")</f>
        <v>Jeongwoo Ham</v>
      </c>
      <c r="D267">
        <f ca="1">IFERROR(__xludf.DUMMYFUNCTION("""COMPUTED_VALUE"""),4)</f>
        <v>4</v>
      </c>
      <c r="E267">
        <f ca="1">IFERROR(__xludf.DUMMYFUNCTION("""COMPUTED_VALUE"""),-1.592)</f>
        <v>-1.5920000000000001</v>
      </c>
      <c r="F267">
        <f ca="1">IFERROR(__xludf.DUMMYFUNCTION("""COMPUTED_VALUE"""),-6.368)</f>
        <v>-6.3680000000000003</v>
      </c>
      <c r="G267">
        <f ca="1">IFERROR(__xludf.DUMMYFUNCTION("""COMPUTED_VALUE"""),4)</f>
        <v>4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IFERROR(__xludf.DUMMYFUNCTION("""COMPUTED_VALUE"""),259)</f>
        <v>259</v>
      </c>
      <c r="C268" t="str">
        <f ca="1">IFERROR(__xludf.DUMMYFUNCTION("""COMPUTED_VALUE"""),"Kiradech Aphibarnrat")</f>
        <v>Kiradech Aphibarnrat</v>
      </c>
      <c r="D268">
        <f ca="1">IFERROR(__xludf.DUMMYFUNCTION("""COMPUTED_VALUE"""),12)</f>
        <v>12</v>
      </c>
      <c r="E268">
        <f ca="1">IFERROR(__xludf.DUMMYFUNCTION("""COMPUTED_VALUE"""),-1.611)</f>
        <v>-1.611</v>
      </c>
      <c r="F268">
        <f ca="1">IFERROR(__xludf.DUMMYFUNCTION("""COMPUTED_VALUE"""),-6.443)</f>
        <v>-6.4429999999999996</v>
      </c>
      <c r="G268">
        <f ca="1">IFERROR(__xludf.DUMMYFUNCTION("""COMPUTED_VALUE"""),4)</f>
        <v>4</v>
      </c>
    </row>
    <row r="269" spans="1:7" ht="12.75">
      <c r="A269">
        <f ca="1">IFERROR(__xludf.DUMMYFUNCTION("""COMPUTED_VALUE"""),268)</f>
        <v>268</v>
      </c>
      <c r="B269" t="str">
        <f ca="1">IFERROR(__xludf.DUMMYFUNCTION("""COMPUTED_VALUE"""),"")</f>
        <v/>
      </c>
      <c r="C269" t="str">
        <f ca="1">IFERROR(__xludf.DUMMYFUNCTION("""COMPUTED_VALUE"""),"Ollie Schniederjans")</f>
        <v>Ollie Schniederjans</v>
      </c>
      <c r="D269">
        <f ca="1">IFERROR(__xludf.DUMMYFUNCTION("""COMPUTED_VALUE"""),6)</f>
        <v>6</v>
      </c>
      <c r="E269">
        <f ca="1">IFERROR(__xludf.DUMMYFUNCTION("""COMPUTED_VALUE"""),-1.668)</f>
        <v>-1.6679999999999999</v>
      </c>
      <c r="F269">
        <f ca="1">IFERROR(__xludf.DUMMYFUNCTION("""COMPUTED_VALUE"""),-3.337)</f>
        <v>-3.3370000000000002</v>
      </c>
      <c r="G269">
        <f ca="1">IFERROR(__xludf.DUMMYFUNCTION("""COMPUTED_VALUE"""),2)</f>
        <v>2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IFERROR(__xludf.DUMMYFUNCTION("""COMPUTED_VALUE"""),260)</f>
        <v>260</v>
      </c>
      <c r="C270" t="str">
        <f ca="1">IFERROR(__xludf.DUMMYFUNCTION("""COMPUTED_VALUE"""),"Michael Gellerman")</f>
        <v>Michael Gellerman</v>
      </c>
      <c r="D270">
        <f ca="1">IFERROR(__xludf.DUMMYFUNCTION("""COMPUTED_VALUE"""),5)</f>
        <v>5</v>
      </c>
      <c r="E270">
        <f ca="1">IFERROR(__xludf.DUMMYFUNCTION("""COMPUTED_VALUE"""),-1.752)</f>
        <v>-1.752</v>
      </c>
      <c r="F270">
        <f ca="1">IFERROR(__xludf.DUMMYFUNCTION("""COMPUTED_VALUE"""),-3.503)</f>
        <v>-3.5030000000000001</v>
      </c>
      <c r="G270">
        <f ca="1">IFERROR(__xludf.DUMMYFUNCTION("""COMPUTED_VALUE"""),2)</f>
        <v>2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IFERROR(__xludf.DUMMYFUNCTION("""COMPUTED_VALUE"""),261)</f>
        <v>261</v>
      </c>
      <c r="C271" t="str">
        <f ca="1">IFERROR(__xludf.DUMMYFUNCTION("""COMPUTED_VALUE"""),"Johnson Wagner")</f>
        <v>Johnson Wagner</v>
      </c>
      <c r="D271">
        <f ca="1">IFERROR(__xludf.DUMMYFUNCTION("""COMPUTED_VALUE"""),8)</f>
        <v>8</v>
      </c>
      <c r="E271">
        <f ca="1">IFERROR(__xludf.DUMMYFUNCTION("""COMPUTED_VALUE"""),-1.758)</f>
        <v>-1.758</v>
      </c>
      <c r="F271">
        <f ca="1">IFERROR(__xludf.DUMMYFUNCTION("""COMPUTED_VALUE"""),-3.516)</f>
        <v>-3.516</v>
      </c>
      <c r="G271">
        <f ca="1">IFERROR(__xludf.DUMMYFUNCTION("""COMPUTED_VALUE"""),2)</f>
        <v>2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IFERROR(__xludf.DUMMYFUNCTION("""COMPUTED_VALUE"""),"Brian Gay")</f>
        <v>Brian Gay</v>
      </c>
      <c r="D272">
        <f ca="1">IFERROR(__xludf.DUMMYFUNCTION("""COMPUTED_VALUE"""),8)</f>
        <v>8</v>
      </c>
      <c r="E272">
        <f ca="1">IFERROR(__xludf.DUMMYFUNCTION("""COMPUTED_VALUE"""),-1.814)</f>
        <v>-1.8140000000000001</v>
      </c>
      <c r="F272">
        <f ca="1">IFERROR(__xludf.DUMMYFUNCTION("""COMPUTED_VALUE"""),-7.256)</f>
        <v>-7.2560000000000002</v>
      </c>
      <c r="G272">
        <f ca="1">IFERROR(__xludf.DUMMYFUNCTION("""COMPUTED_VALUE"""),4)</f>
        <v>4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IFERROR(__xludf.DUMMYFUNCTION("""COMPUTED_VALUE"""),"Martin Trainer")</f>
        <v>Martin Trainer</v>
      </c>
      <c r="D273">
        <f ca="1">IFERROR(__xludf.DUMMYFUNCTION("""COMPUTED_VALUE"""),10)</f>
        <v>10</v>
      </c>
      <c r="E273">
        <f ca="1">IFERROR(__xludf.DUMMYFUNCTION("""COMPUTED_VALUE"""),-2.001)</f>
        <v>-2.0009999999999999</v>
      </c>
      <c r="F273">
        <f ca="1">IFERROR(__xludf.DUMMYFUNCTION("""COMPUTED_VALUE"""),-16.008)</f>
        <v>-16.007999999999999</v>
      </c>
      <c r="G273">
        <f ca="1">IFERROR(__xludf.DUMMYFUNCTION("""COMPUTED_VALUE"""),8)</f>
        <v>8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IFERROR(__xludf.DUMMYFUNCTION("""COMPUTED_VALUE"""),266)</f>
        <v>266</v>
      </c>
      <c r="C274" t="str">
        <f ca="1">IFERROR(__xludf.DUMMYFUNCTION("""COMPUTED_VALUE"""),"Tae Hee Lee")</f>
        <v>Tae Hee Lee</v>
      </c>
      <c r="D274">
        <f ca="1">IFERROR(__xludf.DUMMYFUNCTION("""COMPUTED_VALUE"""),4)</f>
        <v>4</v>
      </c>
      <c r="E274">
        <f ca="1">IFERROR(__xludf.DUMMYFUNCTION("""COMPUTED_VALUE"""),-2.149)</f>
        <v>-2.149</v>
      </c>
      <c r="F274">
        <f ca="1">IFERROR(__xludf.DUMMYFUNCTION("""COMPUTED_VALUE"""),-8.596)</f>
        <v>-8.5960000000000001</v>
      </c>
      <c r="G274">
        <f ca="1">IFERROR(__xludf.DUMMYFUNCTION("""COMPUTED_VALUE"""),4)</f>
        <v>4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IFERROR(__xludf.DUMMYFUNCTION("""COMPUTED_VALUE"""),"Luke Schniederjans")</f>
        <v>Luke Schniederjans</v>
      </c>
      <c r="D275">
        <f ca="1">IFERROR(__xludf.DUMMYFUNCTION("""COMPUTED_VALUE"""),4)</f>
        <v>4</v>
      </c>
      <c r="E275">
        <f ca="1">IFERROR(__xludf.DUMMYFUNCTION("""COMPUTED_VALUE"""),-2.325)</f>
        <v>-2.3250000000000002</v>
      </c>
      <c r="F275">
        <f ca="1">IFERROR(__xludf.DUMMYFUNCTION("""COMPUTED_VALUE"""),-4.65)</f>
        <v>-4.6500000000000004</v>
      </c>
      <c r="G275">
        <f ca="1">IFERROR(__xludf.DUMMYFUNCTION("""COMPUTED_VALUE"""),2)</f>
        <v>2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IFERROR(__xludf.DUMMYFUNCTION("""COMPUTED_VALUE"""),"Naoki Sekito")</f>
        <v>Naoki Sekito</v>
      </c>
      <c r="D276">
        <f ca="1">IFERROR(__xludf.DUMMYFUNCTION("""COMPUTED_VALUE"""),4)</f>
        <v>4</v>
      </c>
      <c r="E276">
        <f ca="1">IFERROR(__xludf.DUMMYFUNCTION("""COMPUTED_VALUE"""),-2.592)</f>
        <v>-2.5920000000000001</v>
      </c>
      <c r="F276">
        <f ca="1">IFERROR(__xludf.DUMMYFUNCTION("""COMPUTED_VALUE"""),-10.367)</f>
        <v>-10.367000000000001</v>
      </c>
      <c r="G276">
        <f ca="1">IFERROR(__xludf.DUMMYFUNCTION("""COMPUTED_VALUE"""),4)</f>
        <v>4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IFERROR(__xludf.DUMMYFUNCTION("""COMPUTED_VALUE"""),-3.748)</f>
        <v>-3.7480000000000002</v>
      </c>
      <c r="F277">
        <f ca="1">IFERROR(__xludf.DUMMYFUNCTION("""COMPUTED_VALUE"""),-7.495)</f>
        <v>-7.4950000000000001</v>
      </c>
      <c r="G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s="3" t="str">
        <f ca="1">IFERROR(__xludf.DUMMYFUNCTION("importhtml(""http://www.pgatour.com/stats/stat.02569.html"",""table"",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SG:ARG")</f>
        <v>TOTAL SG:ARG</v>
      </c>
      <c r="G1" t="str">
        <f ca="1">IFERROR(__xludf.DUMMYFUNCTION("""COMPUTED_VALUE"""),"MEASURED ROUNDS")</f>
        <v>MEASURED ROUNDS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IFERROR(__xludf.DUMMYFUNCTION("""COMPUTED_VALUE"""),"Christiaan Bezuidenhout")</f>
        <v>Christiaan Bezuidenhout</v>
      </c>
      <c r="D2">
        <f ca="1">IFERROR(__xludf.DUMMYFUNCTION("""COMPUTED_VALUE"""),4)</f>
        <v>4</v>
      </c>
      <c r="E2">
        <f ca="1">IFERROR(__xludf.DUMMYFUNCTION("""COMPUTED_VALUE"""),1.183)</f>
        <v>1.1830000000000001</v>
      </c>
      <c r="F2">
        <f ca="1">IFERROR(__xludf.DUMMYFUNCTION("""COMPUTED_VALUE"""),4.73)</f>
        <v>4.7300000000000004</v>
      </c>
      <c r="G2">
        <f ca="1">IFERROR(__xludf.DUMMYFUNCTION("""COMPUTED_VALUE"""),4)</f>
        <v>4</v>
      </c>
    </row>
    <row r="3" spans="1:7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IFERROR(__xludf.DUMMYFUNCTION("""COMPUTED_VALUE"""),"Stephan Jaeger")</f>
        <v>Stephan Jaeger</v>
      </c>
      <c r="D3">
        <f ca="1">IFERROR(__xludf.DUMMYFUNCTION("""COMPUTED_VALUE"""),4)</f>
        <v>4</v>
      </c>
      <c r="E3">
        <f ca="1">IFERROR(__xludf.DUMMYFUNCTION("""COMPUTED_VALUE"""),1.117)</f>
        <v>1.117</v>
      </c>
      <c r="F3">
        <f ca="1">IFERROR(__xludf.DUMMYFUNCTION("""COMPUTED_VALUE"""),4.469)</f>
        <v>4.4690000000000003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IFERROR(__xludf.DUMMYFUNCTION("""COMPUTED_VALUE"""),"Renato Paratore")</f>
        <v>Renato Paratore</v>
      </c>
      <c r="D4">
        <f ca="1">IFERROR(__xludf.DUMMYFUNCTION("""COMPUTED_VALUE"""),4)</f>
        <v>4</v>
      </c>
      <c r="E4">
        <f ca="1">IFERROR(__xludf.DUMMYFUNCTION("""COMPUTED_VALUE"""),1.018)</f>
        <v>1.018</v>
      </c>
      <c r="F4">
        <f ca="1">IFERROR(__xludf.DUMMYFUNCTION("""COMPUTED_VALUE"""),4.073)</f>
        <v>4.0730000000000004</v>
      </c>
      <c r="G4">
        <f ca="1">IFERROR(__xludf.DUMMYFUNCTION("""COMPUTED_VALUE"""),4)</f>
        <v>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IFERROR(__xludf.DUMMYFUNCTION("""COMPUTED_VALUE"""),"Fabián Gómez")</f>
        <v>Fabián Gómez</v>
      </c>
      <c r="D5">
        <f ca="1">IFERROR(__xludf.DUMMYFUNCTION("""COMPUTED_VALUE"""),16)</f>
        <v>16</v>
      </c>
      <c r="E5">
        <f ca="1">IFERROR(__xludf.DUMMYFUNCTION("""COMPUTED_VALUE"""),0.853)</f>
        <v>0.85299999999999998</v>
      </c>
      <c r="F5">
        <f ca="1">IFERROR(__xludf.DUMMYFUNCTION("""COMPUTED_VALUE"""),8.53)</f>
        <v>8.5299999999999994</v>
      </c>
      <c r="G5">
        <f ca="1">IFERROR(__xludf.DUMMYFUNCTION("""COMPUTED_VALUE"""),10)</f>
        <v>10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IFERROR(__xludf.DUMMYFUNCTION("""COMPUTED_VALUE"""),"Bud Cauley")</f>
        <v>Bud Cauley</v>
      </c>
      <c r="D6">
        <f ca="1">IFERROR(__xludf.DUMMYFUNCTION("""COMPUTED_VALUE"""),4)</f>
        <v>4</v>
      </c>
      <c r="E6">
        <f ca="1">IFERROR(__xludf.DUMMYFUNCTION("""COMPUTED_VALUE"""),0.848)</f>
        <v>0.84799999999999998</v>
      </c>
      <c r="F6">
        <f ca="1">IFERROR(__xludf.DUMMYFUNCTION("""COMPUTED_VALUE"""),3.391)</f>
        <v>3.391</v>
      </c>
      <c r="G6">
        <f ca="1">IFERROR(__xludf.DUMMYFUNCTION("""COMPUTED_VALUE"""),4)</f>
        <v>4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IFERROR(__xludf.DUMMYFUNCTION("""COMPUTED_VALUE"""),"Ian Poulter")</f>
        <v>Ian Poulter</v>
      </c>
      <c r="D7">
        <f ca="1">IFERROR(__xludf.DUMMYFUNCTION("""COMPUTED_VALUE"""),6)</f>
        <v>6</v>
      </c>
      <c r="E7">
        <f ca="1">IFERROR(__xludf.DUMMYFUNCTION("""COMPUTED_VALUE"""),0.779)</f>
        <v>0.77900000000000003</v>
      </c>
      <c r="F7">
        <f ca="1">IFERROR(__xludf.DUMMYFUNCTION("""COMPUTED_VALUE"""),4.675)</f>
        <v>4.6749999999999998</v>
      </c>
      <c r="G7">
        <f ca="1">IFERROR(__xludf.DUMMYFUNCTION("""COMPUTED_VALUE"""),6)</f>
        <v>6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IFERROR(__xludf.DUMMYFUNCTION("""COMPUTED_VALUE"""),"Gunn Charoenkul")</f>
        <v>Gunn Charoenkul</v>
      </c>
      <c r="D8">
        <f ca="1">IFERROR(__xludf.DUMMYFUNCTION("""COMPUTED_VALUE"""),4)</f>
        <v>4</v>
      </c>
      <c r="E8">
        <f ca="1">IFERROR(__xludf.DUMMYFUNCTION("""COMPUTED_VALUE"""),0.765)</f>
        <v>0.76500000000000001</v>
      </c>
      <c r="F8">
        <f ca="1">IFERROR(__xludf.DUMMYFUNCTION("""COMPUTED_VALUE"""),3.058)</f>
        <v>3.0579999999999998</v>
      </c>
      <c r="G8">
        <f ca="1">IFERROR(__xludf.DUMMYFUNCTION("""COMPUTED_VALUE"""),4)</f>
        <v>4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IFERROR(__xludf.DUMMYFUNCTION("""COMPUTED_VALUE"""),"Akshay Bhatia")</f>
        <v>Akshay Bhatia</v>
      </c>
      <c r="D9">
        <f ca="1">IFERROR(__xludf.DUMMYFUNCTION("""COMPUTED_VALUE"""),6)</f>
        <v>6</v>
      </c>
      <c r="E9">
        <f ca="1">IFERROR(__xludf.DUMMYFUNCTION("""COMPUTED_VALUE"""),0.722)</f>
        <v>0.72199999999999998</v>
      </c>
      <c r="F9">
        <f ca="1">IFERROR(__xludf.DUMMYFUNCTION("""COMPUTED_VALUE"""),2.889)</f>
        <v>2.8889999999999998</v>
      </c>
      <c r="G9">
        <f ca="1">IFERROR(__xludf.DUMMYFUNCTION("""COMPUTED_VALUE"""),4)</f>
        <v>4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IFERROR(__xludf.DUMMYFUNCTION("""COMPUTED_VALUE"""),"")</f>
        <v/>
      </c>
      <c r="C10" t="str">
        <f ca="1">IFERROR(__xludf.DUMMYFUNCTION("""COMPUTED_VALUE"""),"Ollie Schniederjans")</f>
        <v>Ollie Schniederjans</v>
      </c>
      <c r="D10">
        <f ca="1">IFERROR(__xludf.DUMMYFUNCTION("""COMPUTED_VALUE"""),6)</f>
        <v>6</v>
      </c>
      <c r="E10">
        <f ca="1">IFERROR(__xludf.DUMMYFUNCTION("""COMPUTED_VALUE"""),0.718)</f>
        <v>0.71799999999999997</v>
      </c>
      <c r="F10">
        <f ca="1">IFERROR(__xludf.DUMMYFUNCTION("""COMPUTED_VALUE"""),1.435)</f>
        <v>1.4350000000000001</v>
      </c>
      <c r="G10">
        <f ca="1">IFERROR(__xludf.DUMMYFUNCTION("""COMPUTED_VALUE"""),2)</f>
        <v>2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IFERROR(__xludf.DUMMYFUNCTION("""COMPUTED_VALUE"""),"Xander Schauffele")</f>
        <v>Xander Schauffele</v>
      </c>
      <c r="D11">
        <f ca="1">IFERROR(__xludf.DUMMYFUNCTION("""COMPUTED_VALUE"""),12)</f>
        <v>12</v>
      </c>
      <c r="E11">
        <f ca="1">IFERROR(__xludf.DUMMYFUNCTION("""COMPUTED_VALUE"""),0.694)</f>
        <v>0.69399999999999995</v>
      </c>
      <c r="F11">
        <f ca="1">IFERROR(__xludf.DUMMYFUNCTION("""COMPUTED_VALUE"""),8.322)</f>
        <v>8.3219999999999992</v>
      </c>
      <c r="G11">
        <f ca="1">IFERROR(__xludf.DUMMYFUNCTION("""COMPUTED_VALUE"""),12)</f>
        <v>12</v>
      </c>
    </row>
    <row r="12" spans="1:7" ht="15.75" customHeight="1">
      <c r="A12">
        <f ca="1">IFERROR(__xludf.DUMMYFUNCTION("""COMPUTED_VALUE"""),11)</f>
        <v>11</v>
      </c>
      <c r="B12" t="str">
        <f ca="1">IFERROR(__xludf.DUMMYFUNCTION("""COMPUTED_VALUE"""),"")</f>
        <v/>
      </c>
      <c r="C12" t="str">
        <f ca="1">IFERROR(__xludf.DUMMYFUNCTION("""COMPUTED_VALUE"""),"Francesco Molinari")</f>
        <v>Francesco Molinari</v>
      </c>
      <c r="D12">
        <f ca="1">IFERROR(__xludf.DUMMYFUNCTION("""COMPUTED_VALUE"""),6)</f>
        <v>6</v>
      </c>
      <c r="E12">
        <f ca="1">IFERROR(__xludf.DUMMYFUNCTION("""COMPUTED_VALUE"""),0.643)</f>
        <v>0.64300000000000002</v>
      </c>
      <c r="F12">
        <f ca="1">IFERROR(__xludf.DUMMYFUNCTION("""COMPUTED_VALUE"""),3.857)</f>
        <v>3.8570000000000002</v>
      </c>
      <c r="G12">
        <f ca="1">IFERROR(__xludf.DUMMYFUNCTION("""COMPUTED_VALUE"""),6)</f>
        <v>6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IFERROR(__xludf.DUMMYFUNCTION("""COMPUTED_VALUE"""),12)</f>
        <v>12</v>
      </c>
      <c r="C13" t="str">
        <f ca="1">IFERROR(__xludf.DUMMYFUNCTION("""COMPUTED_VALUE"""),"Chris Stroud")</f>
        <v>Chris Stroud</v>
      </c>
      <c r="D13">
        <f ca="1">IFERROR(__xludf.DUMMYFUNCTION("""COMPUTED_VALUE"""),6)</f>
        <v>6</v>
      </c>
      <c r="E13">
        <f ca="1">IFERROR(__xludf.DUMMYFUNCTION("""COMPUTED_VALUE"""),0.632)</f>
        <v>0.63200000000000001</v>
      </c>
      <c r="F13">
        <f ca="1">IFERROR(__xludf.DUMMYFUNCTION("""COMPUTED_VALUE"""),2.527)</f>
        <v>2.5270000000000001</v>
      </c>
      <c r="G13">
        <f ca="1">IFERROR(__xludf.DUMMYFUNCTION("""COMPUTED_VALUE"""),4)</f>
        <v>4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IFERROR(__xludf.DUMMYFUNCTION("""COMPUTED_VALUE"""),"Doug Ghim")</f>
        <v>Doug Ghim</v>
      </c>
      <c r="D14">
        <f ca="1">IFERROR(__xludf.DUMMYFUNCTION("""COMPUTED_VALUE"""),14)</f>
        <v>14</v>
      </c>
      <c r="E14">
        <f ca="1">IFERROR(__xludf.DUMMYFUNCTION("""COMPUTED_VALUE"""),0.629)</f>
        <v>0.629</v>
      </c>
      <c r="F14">
        <f ca="1">IFERROR(__xludf.DUMMYFUNCTION("""COMPUTED_VALUE"""),5.03)</f>
        <v>5.03</v>
      </c>
      <c r="G14">
        <f ca="1">IFERROR(__xludf.DUMMYFUNCTION("""COMPUTED_VALUE"""),8)</f>
        <v>8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IFERROR(__xludf.DUMMYFUNCTION("""COMPUTED_VALUE"""),14)</f>
        <v>14</v>
      </c>
      <c r="C15" t="str">
        <f ca="1">IFERROR(__xludf.DUMMYFUNCTION("""COMPUTED_VALUE"""),"Webb Simpson")</f>
        <v>Webb Simpson</v>
      </c>
      <c r="D15">
        <f ca="1">IFERROR(__xludf.DUMMYFUNCTION("""COMPUTED_VALUE"""),12)</f>
        <v>12</v>
      </c>
      <c r="E15">
        <f ca="1">IFERROR(__xludf.DUMMYFUNCTION("""COMPUTED_VALUE"""),0.628)</f>
        <v>0.628</v>
      </c>
      <c r="F15">
        <f ca="1">IFERROR(__xludf.DUMMYFUNCTION("""COMPUTED_VALUE"""),7.533)</f>
        <v>7.5330000000000004</v>
      </c>
      <c r="G15">
        <f ca="1">IFERROR(__xludf.DUMMYFUNCTION("""COMPUTED_VALUE"""),12)</f>
        <v>12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IFERROR(__xludf.DUMMYFUNCTION("""COMPUTED_VALUE"""),"Bryson DeChambeau")</f>
        <v>Bryson DeChambeau</v>
      </c>
      <c r="D16">
        <f ca="1">IFERROR(__xludf.DUMMYFUNCTION("""COMPUTED_VALUE"""),8)</f>
        <v>8</v>
      </c>
      <c r="E16">
        <f ca="1">IFERROR(__xludf.DUMMYFUNCTION("""COMPUTED_VALUE"""),0.622)</f>
        <v>0.622</v>
      </c>
      <c r="F16">
        <f ca="1">IFERROR(__xludf.DUMMYFUNCTION("""COMPUTED_VALUE"""),4.974)</f>
        <v>4.9740000000000002</v>
      </c>
      <c r="G16">
        <f ca="1">IFERROR(__xludf.DUMMYFUNCTION("""COMPUTED_VALUE"""),8)</f>
        <v>8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IFERROR(__xludf.DUMMYFUNCTION("""COMPUTED_VALUE"""),16)</f>
        <v>16</v>
      </c>
      <c r="C17" t="str">
        <f ca="1">IFERROR(__xludf.DUMMYFUNCTION("""COMPUTED_VALUE"""),"Patrick Cantlay")</f>
        <v>Patrick Cantlay</v>
      </c>
      <c r="D17">
        <f ca="1">IFERROR(__xludf.DUMMYFUNCTION("""COMPUTED_VALUE"""),16)</f>
        <v>16</v>
      </c>
      <c r="E17">
        <f ca="1">IFERROR(__xludf.DUMMYFUNCTION("""COMPUTED_VALUE"""),0.621)</f>
        <v>0.621</v>
      </c>
      <c r="F17">
        <f ca="1">IFERROR(__xludf.DUMMYFUNCTION("""COMPUTED_VALUE"""),9.933)</f>
        <v>9.9329999999999998</v>
      </c>
      <c r="G17">
        <f ca="1">IFERROR(__xludf.DUMMYFUNCTION("""COMPUTED_VALUE"""),16)</f>
        <v>16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IFERROR(__xludf.DUMMYFUNCTION("""COMPUTED_VALUE"""),18)</f>
        <v>18</v>
      </c>
      <c r="C18" t="str">
        <f ca="1">IFERROR(__xludf.DUMMYFUNCTION("""COMPUTED_VALUE"""),"Taylor Pendrith")</f>
        <v>Taylor Pendrith</v>
      </c>
      <c r="D18">
        <f ca="1">IFERROR(__xludf.DUMMYFUNCTION("""COMPUTED_VALUE"""),4)</f>
        <v>4</v>
      </c>
      <c r="E18">
        <f ca="1">IFERROR(__xludf.DUMMYFUNCTION("""COMPUTED_VALUE"""),0.611)</f>
        <v>0.61099999999999999</v>
      </c>
      <c r="F18">
        <f ca="1">IFERROR(__xludf.DUMMYFUNCTION("""COMPUTED_VALUE"""),2.442)</f>
        <v>2.4420000000000002</v>
      </c>
      <c r="G18">
        <f ca="1">IFERROR(__xludf.DUMMYFUNCTION("""COMPUTED_VALUE"""),4)</f>
        <v>4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IFERROR(__xludf.DUMMYFUNCTION("""COMPUTED_VALUE"""),19)</f>
        <v>19</v>
      </c>
      <c r="C19" t="str">
        <f ca="1">IFERROR(__xludf.DUMMYFUNCTION("""COMPUTED_VALUE"""),"Josh Teater")</f>
        <v>Josh Teater</v>
      </c>
      <c r="D19">
        <f ca="1">IFERROR(__xludf.DUMMYFUNCTION("""COMPUTED_VALUE"""),6)</f>
        <v>6</v>
      </c>
      <c r="E19">
        <f ca="1">IFERROR(__xludf.DUMMYFUNCTION("""COMPUTED_VALUE"""),0.61)</f>
        <v>0.61</v>
      </c>
      <c r="F19">
        <f ca="1">IFERROR(__xludf.DUMMYFUNCTION("""COMPUTED_VALUE"""),1.22)</f>
        <v>1.22</v>
      </c>
      <c r="G19">
        <f ca="1">IFERROR(__xludf.DUMMYFUNCTION("""COMPUTED_VALUE"""),2)</f>
        <v>2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IFERROR(__xludf.DUMMYFUNCTION("""COMPUTED_VALUE"""),21)</f>
        <v>21</v>
      </c>
      <c r="C20" t="str">
        <f ca="1">IFERROR(__xludf.DUMMYFUNCTION("""COMPUTED_VALUE"""),"Collin Morikawa")</f>
        <v>Collin Morikawa</v>
      </c>
      <c r="D20">
        <f ca="1">IFERROR(__xludf.DUMMYFUNCTION("""COMPUTED_VALUE"""),12)</f>
        <v>12</v>
      </c>
      <c r="E20">
        <f ca="1">IFERROR(__xludf.DUMMYFUNCTION("""COMPUTED_VALUE"""),0.604)</f>
        <v>0.60399999999999998</v>
      </c>
      <c r="F20">
        <f ca="1">IFERROR(__xludf.DUMMYFUNCTION("""COMPUTED_VALUE"""),7.251)</f>
        <v>7.2510000000000003</v>
      </c>
      <c r="G20">
        <f ca="1">IFERROR(__xludf.DUMMYFUNCTION("""COMPUTED_VALUE"""),12)</f>
        <v>12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IFERROR(__xludf.DUMMYFUNCTION("""COMPUTED_VALUE"""),23)</f>
        <v>23</v>
      </c>
      <c r="C21" t="str">
        <f ca="1">IFERROR(__xludf.DUMMYFUNCTION("""COMPUTED_VALUE"""),"Justin Thomas")</f>
        <v>Justin Thomas</v>
      </c>
      <c r="D21">
        <f ca="1">IFERROR(__xludf.DUMMYFUNCTION("""COMPUTED_VALUE"""),12)</f>
        <v>12</v>
      </c>
      <c r="E21">
        <f ca="1">IFERROR(__xludf.DUMMYFUNCTION("""COMPUTED_VALUE"""),0.596)</f>
        <v>0.59599999999999997</v>
      </c>
      <c r="F21">
        <f ca="1">IFERROR(__xludf.DUMMYFUNCTION("""COMPUTED_VALUE"""),7.15)</f>
        <v>7.15</v>
      </c>
      <c r="G21">
        <f ca="1">IFERROR(__xludf.DUMMYFUNCTION("""COMPUTED_VALUE"""),12)</f>
        <v>12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IFERROR(__xludf.DUMMYFUNCTION("""COMPUTED_VALUE"""),24)</f>
        <v>24</v>
      </c>
      <c r="C22" t="str">
        <f ca="1">IFERROR(__xludf.DUMMYFUNCTION("""COMPUTED_VALUE"""),"Byeong Hun An")</f>
        <v>Byeong Hun An</v>
      </c>
      <c r="D22">
        <f ca="1">IFERROR(__xludf.DUMMYFUNCTION("""COMPUTED_VALUE"""),14)</f>
        <v>14</v>
      </c>
      <c r="E22">
        <f ca="1">IFERROR(__xludf.DUMMYFUNCTION("""COMPUTED_VALUE"""),0.583)</f>
        <v>0.58299999999999996</v>
      </c>
      <c r="F22">
        <f ca="1">IFERROR(__xludf.DUMMYFUNCTION("""COMPUTED_VALUE"""),8.167)</f>
        <v>8.1669999999999998</v>
      </c>
      <c r="G22">
        <f ca="1">IFERROR(__xludf.DUMMYFUNCTION("""COMPUTED_VALUE"""),14)</f>
        <v>14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IFERROR(__xludf.DUMMYFUNCTION("""COMPUTED_VALUE"""),122)</f>
        <v>122</v>
      </c>
      <c r="C23" t="str">
        <f ca="1">IFERROR(__xludf.DUMMYFUNCTION("""COMPUTED_VALUE"""),"Nate Lashley")</f>
        <v>Nate Lashley</v>
      </c>
      <c r="D23">
        <f ca="1">IFERROR(__xludf.DUMMYFUNCTION("""COMPUTED_VALUE"""),16)</f>
        <v>16</v>
      </c>
      <c r="E23">
        <f ca="1">IFERROR(__xludf.DUMMYFUNCTION("""COMPUTED_VALUE"""),0.577)</f>
        <v>0.57699999999999996</v>
      </c>
      <c r="F23">
        <f ca="1">IFERROR(__xludf.DUMMYFUNCTION("""COMPUTED_VALUE"""),6.918)</f>
        <v>6.9180000000000001</v>
      </c>
      <c r="G23">
        <f ca="1">IFERROR(__xludf.DUMMYFUNCTION("""COMPUTED_VALUE"""),12)</f>
        <v>12</v>
      </c>
    </row>
    <row r="24" spans="1:7" ht="15.75" customHeight="1">
      <c r="A24" t="str">
        <f ca="1">IFERROR(__xludf.DUMMYFUNCTION("""COMPUTED_VALUE"""),"T23")</f>
        <v>T23</v>
      </c>
      <c r="B24" t="str">
        <f ca="1">IFERROR(__xludf.DUMMYFUNCTION("""COMPUTED_VALUE"""),"T25")</f>
        <v>T25</v>
      </c>
      <c r="C24" t="str">
        <f ca="1">IFERROR(__xludf.DUMMYFUNCTION("""COMPUTED_VALUE"""),"Peter Uihlein")</f>
        <v>Peter Uihlein</v>
      </c>
      <c r="D24">
        <f ca="1">IFERROR(__xludf.DUMMYFUNCTION("""COMPUTED_VALUE"""),8)</f>
        <v>8</v>
      </c>
      <c r="E24">
        <f ca="1">IFERROR(__xludf.DUMMYFUNCTION("""COMPUTED_VALUE"""),0.572)</f>
        <v>0.57199999999999995</v>
      </c>
      <c r="F24">
        <f ca="1">IFERROR(__xludf.DUMMYFUNCTION("""COMPUTED_VALUE"""),1.144)</f>
        <v>1.1439999999999999</v>
      </c>
      <c r="G24">
        <f ca="1">IFERROR(__xludf.DUMMYFUNCTION("""COMPUTED_VALUE"""),2)</f>
        <v>2</v>
      </c>
    </row>
    <row r="25" spans="1:7" ht="15.75" customHeight="1">
      <c r="A25" t="str">
        <f ca="1">IFERROR(__xludf.DUMMYFUNCTION("""COMPUTED_VALUE"""),"T23")</f>
        <v>T23</v>
      </c>
      <c r="B25" t="str">
        <f ca="1">IFERROR(__xludf.DUMMYFUNCTION("""COMPUTED_VALUE"""),"T25")</f>
        <v>T25</v>
      </c>
      <c r="C25" t="str">
        <f ca="1">IFERROR(__xludf.DUMMYFUNCTION("""COMPUTED_VALUE"""),"George McNeill")</f>
        <v>George McNeill</v>
      </c>
      <c r="D25">
        <f ca="1">IFERROR(__xludf.DUMMYFUNCTION("""COMPUTED_VALUE"""),8)</f>
        <v>8</v>
      </c>
      <c r="E25">
        <f ca="1">IFERROR(__xludf.DUMMYFUNCTION("""COMPUTED_VALUE"""),0.572)</f>
        <v>0.57199999999999995</v>
      </c>
      <c r="F25">
        <f ca="1">IFERROR(__xludf.DUMMYFUNCTION("""COMPUTED_VALUE"""),1.144)</f>
        <v>1.1439999999999999</v>
      </c>
      <c r="G25">
        <f ca="1">IFERROR(__xludf.DUMMYFUNCTION("""COMPUTED_VALUE"""),2)</f>
        <v>2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IFERROR(__xludf.DUMMYFUNCTION("""COMPUTED_VALUE"""),27)</f>
        <v>27</v>
      </c>
      <c r="C26" t="str">
        <f ca="1">IFERROR(__xludf.DUMMYFUNCTION("""COMPUTED_VALUE"""),"Rhein Gibson")</f>
        <v>Rhein Gibson</v>
      </c>
      <c r="D26">
        <f ca="1">IFERROR(__xludf.DUMMYFUNCTION("""COMPUTED_VALUE"""),10)</f>
        <v>10</v>
      </c>
      <c r="E26">
        <f ca="1">IFERROR(__xludf.DUMMYFUNCTION("""COMPUTED_VALUE"""),0.571)</f>
        <v>0.57099999999999995</v>
      </c>
      <c r="F26">
        <f ca="1">IFERROR(__xludf.DUMMYFUNCTION("""COMPUTED_VALUE"""),2.285)</f>
        <v>2.2850000000000001</v>
      </c>
      <c r="G26">
        <f ca="1">IFERROR(__xludf.DUMMYFUNCTION("""COMPUTED_VALUE"""),4)</f>
        <v>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IFERROR(__xludf.DUMMYFUNCTION("""COMPUTED_VALUE"""),28)</f>
        <v>28</v>
      </c>
      <c r="C27" t="str">
        <f ca="1">IFERROR(__xludf.DUMMYFUNCTION("""COMPUTED_VALUE"""),"Thomas Pieters")</f>
        <v>Thomas Pieters</v>
      </c>
      <c r="D27">
        <f ca="1">IFERROR(__xludf.DUMMYFUNCTION("""COMPUTED_VALUE"""),4)</f>
        <v>4</v>
      </c>
      <c r="E27">
        <f ca="1">IFERROR(__xludf.DUMMYFUNCTION("""COMPUTED_VALUE"""),0.562)</f>
        <v>0.56200000000000006</v>
      </c>
      <c r="F27">
        <f ca="1">IFERROR(__xludf.DUMMYFUNCTION("""COMPUTED_VALUE"""),2.246)</f>
        <v>2.246</v>
      </c>
      <c r="G27">
        <f ca="1">IFERROR(__xludf.DUMMYFUNCTION("""COMPUTED_VALUE"""),4)</f>
        <v>4</v>
      </c>
    </row>
    <row r="28" spans="1:7" ht="15.75" customHeight="1">
      <c r="A28">
        <f ca="1">IFERROR(__xludf.DUMMYFUNCTION("""COMPUTED_VALUE"""),27)</f>
        <v>27</v>
      </c>
      <c r="B28" t="str">
        <f ca="1">IFERROR(__xludf.DUMMYFUNCTION("""COMPUTED_VALUE"""),"T58")</f>
        <v>T58</v>
      </c>
      <c r="C28" t="str">
        <f ca="1">IFERROR(__xludf.DUMMYFUNCTION("""COMPUTED_VALUE"""),"Harold Varner III")</f>
        <v>Harold Varner III</v>
      </c>
      <c r="D28">
        <f ca="1">IFERROR(__xludf.DUMMYFUNCTION("""COMPUTED_VALUE"""),14)</f>
        <v>14</v>
      </c>
      <c r="E28">
        <f ca="1">IFERROR(__xludf.DUMMYFUNCTION("""COMPUTED_VALUE"""),0.55)</f>
        <v>0.55000000000000004</v>
      </c>
      <c r="F28">
        <f ca="1">IFERROR(__xludf.DUMMYFUNCTION("""COMPUTED_VALUE"""),6.601)</f>
        <v>6.601</v>
      </c>
      <c r="G28">
        <f ca="1">IFERROR(__xludf.DUMMYFUNCTION("""COMPUTED_VALUE"""),12)</f>
        <v>12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IFERROR(__xludf.DUMMYFUNCTION("""COMPUTED_VALUE"""),30)</f>
        <v>30</v>
      </c>
      <c r="C29" t="str">
        <f ca="1">IFERROR(__xludf.DUMMYFUNCTION("""COMPUTED_VALUE"""),"Harris English")</f>
        <v>Harris English</v>
      </c>
      <c r="D29">
        <f ca="1">IFERROR(__xludf.DUMMYFUNCTION("""COMPUTED_VALUE"""),14)</f>
        <v>14</v>
      </c>
      <c r="E29">
        <f ca="1">IFERROR(__xludf.DUMMYFUNCTION("""COMPUTED_VALUE"""),0.548)</f>
        <v>0.54800000000000004</v>
      </c>
      <c r="F29">
        <f ca="1">IFERROR(__xludf.DUMMYFUNCTION("""COMPUTED_VALUE"""),7.667)</f>
        <v>7.6669999999999998</v>
      </c>
      <c r="G29">
        <f ca="1">IFERROR(__xludf.DUMMYFUNCTION("""COMPUTED_VALUE"""),14)</f>
        <v>14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IFERROR(__xludf.DUMMYFUNCTION("""COMPUTED_VALUE"""),11)</f>
        <v>11</v>
      </c>
      <c r="C30" t="str">
        <f ca="1">IFERROR(__xludf.DUMMYFUNCTION("""COMPUTED_VALUE"""),"Brooks Koepka")</f>
        <v>Brooks Koepka</v>
      </c>
      <c r="D30">
        <f ca="1">IFERROR(__xludf.DUMMYFUNCTION("""COMPUTED_VALUE"""),8)</f>
        <v>8</v>
      </c>
      <c r="E30">
        <f ca="1">IFERROR(__xludf.DUMMYFUNCTION("""COMPUTED_VALUE"""),0.539)</f>
        <v>0.53900000000000003</v>
      </c>
      <c r="F30">
        <f ca="1">IFERROR(__xludf.DUMMYFUNCTION("""COMPUTED_VALUE"""),4.312)</f>
        <v>4.3120000000000003</v>
      </c>
      <c r="G30">
        <f ca="1">IFERROR(__xludf.DUMMYFUNCTION("""COMPUTED_VALUE"""),8)</f>
        <v>8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IFERROR(__xludf.DUMMYFUNCTION("""COMPUTED_VALUE"""),32)</f>
        <v>32</v>
      </c>
      <c r="C31" t="str">
        <f ca="1">IFERROR(__xludf.DUMMYFUNCTION("""COMPUTED_VALUE"""),"Wes Roach")</f>
        <v>Wes Roach</v>
      </c>
      <c r="D31">
        <f ca="1">IFERROR(__xludf.DUMMYFUNCTION("""COMPUTED_VALUE"""),6)</f>
        <v>6</v>
      </c>
      <c r="E31">
        <f ca="1">IFERROR(__xludf.DUMMYFUNCTION("""COMPUTED_VALUE"""),0.534)</f>
        <v>0.53400000000000003</v>
      </c>
      <c r="F31">
        <f ca="1">IFERROR(__xludf.DUMMYFUNCTION("""COMPUTED_VALUE"""),1.068)</f>
        <v>1.0680000000000001</v>
      </c>
      <c r="G31">
        <f ca="1">IFERROR(__xludf.DUMMYFUNCTION("""COMPUTED_VALUE"""),2)</f>
        <v>2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IFERROR(__xludf.DUMMYFUNCTION("""COMPUTED_VALUE"""),17)</f>
        <v>17</v>
      </c>
      <c r="C32" t="str">
        <f ca="1">IFERROR(__xludf.DUMMYFUNCTION("""COMPUTED_VALUE"""),"Si Woo Kim")</f>
        <v>Si Woo Kim</v>
      </c>
      <c r="D32">
        <f ca="1">IFERROR(__xludf.DUMMYFUNCTION("""COMPUTED_VALUE"""),20)</f>
        <v>20</v>
      </c>
      <c r="E32">
        <f ca="1">IFERROR(__xludf.DUMMYFUNCTION("""COMPUTED_VALUE"""),0.529)</f>
        <v>0.52900000000000003</v>
      </c>
      <c r="F32">
        <f ca="1">IFERROR(__xludf.DUMMYFUNCTION("""COMPUTED_VALUE"""),10.571)</f>
        <v>10.571</v>
      </c>
      <c r="G32">
        <f ca="1">IFERROR(__xludf.DUMMYFUNCTION("""COMPUTED_VALUE"""),20)</f>
        <v>20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IFERROR(__xludf.DUMMYFUNCTION("""COMPUTED_VALUE"""),44)</f>
        <v>44</v>
      </c>
      <c r="C33" t="str">
        <f ca="1">IFERROR(__xludf.DUMMYFUNCTION("""COMPUTED_VALUE"""),"Hideki Matsuyama")</f>
        <v>Hideki Matsuyama</v>
      </c>
      <c r="D33">
        <f ca="1">IFERROR(__xludf.DUMMYFUNCTION("""COMPUTED_VALUE"""),18)</f>
        <v>18</v>
      </c>
      <c r="E33">
        <f ca="1">IFERROR(__xludf.DUMMYFUNCTION("""COMPUTED_VALUE"""),0.522)</f>
        <v>0.52200000000000002</v>
      </c>
      <c r="F33">
        <f ca="1">IFERROR(__xludf.DUMMYFUNCTION("""COMPUTED_VALUE"""),9.404)</f>
        <v>9.4039999999999999</v>
      </c>
      <c r="G33">
        <f ca="1">IFERROR(__xludf.DUMMYFUNCTION("""COMPUTED_VALUE"""),18)</f>
        <v>18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IFERROR(__xludf.DUMMYFUNCTION("""COMPUTED_VALUE"""),31)</f>
        <v>31</v>
      </c>
      <c r="C34" t="str">
        <f ca="1">IFERROR(__xludf.DUMMYFUNCTION("""COMPUTED_VALUE"""),"Bo Hoag")</f>
        <v>Bo Hoag</v>
      </c>
      <c r="D34">
        <f ca="1">IFERROR(__xludf.DUMMYFUNCTION("""COMPUTED_VALUE"""),14)</f>
        <v>14</v>
      </c>
      <c r="E34">
        <f ca="1">IFERROR(__xludf.DUMMYFUNCTION("""COMPUTED_VALUE"""),0.521)</f>
        <v>0.52100000000000002</v>
      </c>
      <c r="F34">
        <f ca="1">IFERROR(__xludf.DUMMYFUNCTION("""COMPUTED_VALUE"""),5.206)</f>
        <v>5.2060000000000004</v>
      </c>
      <c r="G34">
        <f ca="1">IFERROR(__xludf.DUMMYFUNCTION("""COMPUTED_VALUE"""),10)</f>
        <v>10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IFERROR(__xludf.DUMMYFUNCTION("""COMPUTED_VALUE"""),34)</f>
        <v>34</v>
      </c>
      <c r="C35" t="str">
        <f ca="1">IFERROR(__xludf.DUMMYFUNCTION("""COMPUTED_VALUE"""),"Tim Wilkinson")</f>
        <v>Tim Wilkinson</v>
      </c>
      <c r="D35">
        <f ca="1">IFERROR(__xludf.DUMMYFUNCTION("""COMPUTED_VALUE"""),12)</f>
        <v>12</v>
      </c>
      <c r="E35">
        <f ca="1">IFERROR(__xludf.DUMMYFUNCTION("""COMPUTED_VALUE"""),0.516)</f>
        <v>0.51600000000000001</v>
      </c>
      <c r="F35">
        <f ca="1">IFERROR(__xludf.DUMMYFUNCTION("""COMPUTED_VALUE"""),3.094)</f>
        <v>3.0939999999999999</v>
      </c>
      <c r="G35">
        <f ca="1">IFERROR(__xludf.DUMMYFUNCTION("""COMPUTED_VALUE"""),6)</f>
        <v>6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IFERROR(__xludf.DUMMYFUNCTION("""COMPUTED_VALUE"""),35)</f>
        <v>35</v>
      </c>
      <c r="C36" t="str">
        <f ca="1">IFERROR(__xludf.DUMMYFUNCTION("""COMPUTED_VALUE"""),"Hank Lebioda")</f>
        <v>Hank Lebioda</v>
      </c>
      <c r="D36">
        <f ca="1">IFERROR(__xludf.DUMMYFUNCTION("""COMPUTED_VALUE"""),14)</f>
        <v>14</v>
      </c>
      <c r="E36">
        <f ca="1">IFERROR(__xludf.DUMMYFUNCTION("""COMPUTED_VALUE"""),0.513)</f>
        <v>0.51300000000000001</v>
      </c>
      <c r="F36">
        <f ca="1">IFERROR(__xludf.DUMMYFUNCTION("""COMPUTED_VALUE"""),3.075)</f>
        <v>3.0750000000000002</v>
      </c>
      <c r="G36">
        <f ca="1">IFERROR(__xludf.DUMMYFUNCTION("""COMPUTED_VALUE"""),6)</f>
        <v>6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IFERROR(__xludf.DUMMYFUNCTION("""COMPUTED_VALUE"""),40)</f>
        <v>40</v>
      </c>
      <c r="C37" t="str">
        <f ca="1">IFERROR(__xludf.DUMMYFUNCTION("""COMPUTED_VALUE"""),"Jordan Spieth")</f>
        <v>Jordan Spieth</v>
      </c>
      <c r="D37">
        <f ca="1">IFERROR(__xludf.DUMMYFUNCTION("""COMPUTED_VALUE"""),14)</f>
        <v>14</v>
      </c>
      <c r="E37">
        <f ca="1">IFERROR(__xludf.DUMMYFUNCTION("""COMPUTED_VALUE"""),0.496)</f>
        <v>0.496</v>
      </c>
      <c r="F37">
        <f ca="1">IFERROR(__xludf.DUMMYFUNCTION("""COMPUTED_VALUE"""),6.951)</f>
        <v>6.9509999999999996</v>
      </c>
      <c r="G37">
        <f ca="1">IFERROR(__xludf.DUMMYFUNCTION("""COMPUTED_VALUE"""),14)</f>
        <v>14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IFERROR(__xludf.DUMMYFUNCTION("""COMPUTED_VALUE"""),52)</f>
        <v>52</v>
      </c>
      <c r="C38" t="str">
        <f ca="1">IFERROR(__xludf.DUMMYFUNCTION("""COMPUTED_VALUE"""),"Talor Gooch")</f>
        <v>Talor Gooch</v>
      </c>
      <c r="D38">
        <f ca="1">IFERROR(__xludf.DUMMYFUNCTION("""COMPUTED_VALUE"""),20)</f>
        <v>20</v>
      </c>
      <c r="E38">
        <f ca="1">IFERROR(__xludf.DUMMYFUNCTION("""COMPUTED_VALUE"""),0.491)</f>
        <v>0.49099999999999999</v>
      </c>
      <c r="F38">
        <f ca="1">IFERROR(__xludf.DUMMYFUNCTION("""COMPUTED_VALUE"""),9.824)</f>
        <v>9.8239999999999998</v>
      </c>
      <c r="G38">
        <f ca="1">IFERROR(__xludf.DUMMYFUNCTION("""COMPUTED_VALUE"""),20)</f>
        <v>20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IFERROR(__xludf.DUMMYFUNCTION("""COMPUTED_VALUE"""),36)</f>
        <v>36</v>
      </c>
      <c r="C39" t="str">
        <f ca="1">IFERROR(__xludf.DUMMYFUNCTION("""COMPUTED_VALUE"""),"Adam Hadwin")</f>
        <v>Adam Hadwin</v>
      </c>
      <c r="D39">
        <f ca="1">IFERROR(__xludf.DUMMYFUNCTION("""COMPUTED_VALUE"""),16)</f>
        <v>16</v>
      </c>
      <c r="E39">
        <f ca="1">IFERROR(__xludf.DUMMYFUNCTION("""COMPUTED_VALUE"""),0.489)</f>
        <v>0.48899999999999999</v>
      </c>
      <c r="F39">
        <f ca="1">IFERROR(__xludf.DUMMYFUNCTION("""COMPUTED_VALUE"""),7.827)</f>
        <v>7.827</v>
      </c>
      <c r="G39">
        <f ca="1">IFERROR(__xludf.DUMMYFUNCTION("""COMPUTED_VALUE"""),16)</f>
        <v>16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IFERROR(__xludf.DUMMYFUNCTION("""COMPUTED_VALUE"""),38)</f>
        <v>38</v>
      </c>
      <c r="C40" t="str">
        <f ca="1">IFERROR(__xludf.DUMMYFUNCTION("""COMPUTED_VALUE"""),"Charles Howell III")</f>
        <v>Charles Howell III</v>
      </c>
      <c r="D40">
        <f ca="1">IFERROR(__xludf.DUMMYFUNCTION("""COMPUTED_VALUE"""),10)</f>
        <v>10</v>
      </c>
      <c r="E40">
        <f ca="1">IFERROR(__xludf.DUMMYFUNCTION("""COMPUTED_VALUE"""),0.466)</f>
        <v>0.46600000000000003</v>
      </c>
      <c r="F40">
        <f ca="1">IFERROR(__xludf.DUMMYFUNCTION("""COMPUTED_VALUE"""),3.726)</f>
        <v>3.726</v>
      </c>
      <c r="G40">
        <f ca="1">IFERROR(__xludf.DUMMYFUNCTION("""COMPUTED_VALUE"""),8)</f>
        <v>8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IFERROR(__xludf.DUMMYFUNCTION("""COMPUTED_VALUE"""),39)</f>
        <v>39</v>
      </c>
      <c r="C41" t="str">
        <f ca="1">IFERROR(__xludf.DUMMYFUNCTION("""COMPUTED_VALUE"""),"Thomas Detry")</f>
        <v>Thomas Detry</v>
      </c>
      <c r="D41">
        <f ca="1">IFERROR(__xludf.DUMMYFUNCTION("""COMPUTED_VALUE"""),8)</f>
        <v>8</v>
      </c>
      <c r="E41">
        <f ca="1">IFERROR(__xludf.DUMMYFUNCTION("""COMPUTED_VALUE"""),0.465)</f>
        <v>0.46500000000000002</v>
      </c>
      <c r="F41">
        <f ca="1">IFERROR(__xludf.DUMMYFUNCTION("""COMPUTED_VALUE"""),1.861)</f>
        <v>1.861</v>
      </c>
      <c r="G41">
        <f ca="1">IFERROR(__xludf.DUMMYFUNCTION("""COMPUTED_VALUE"""),4)</f>
        <v>4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IFERROR(__xludf.DUMMYFUNCTION("""COMPUTED_VALUE"""),41)</f>
        <v>41</v>
      </c>
      <c r="C42" t="str">
        <f ca="1">IFERROR(__xludf.DUMMYFUNCTION("""COMPUTED_VALUE"""),"Brandon Hagy")</f>
        <v>Brandon Hagy</v>
      </c>
      <c r="D42">
        <f ca="1">IFERROR(__xludf.DUMMYFUNCTION("""COMPUTED_VALUE"""),10)</f>
        <v>10</v>
      </c>
      <c r="E42">
        <f ca="1">IFERROR(__xludf.DUMMYFUNCTION("""COMPUTED_VALUE"""),0.457)</f>
        <v>0.45700000000000002</v>
      </c>
      <c r="F42">
        <f ca="1">IFERROR(__xludf.DUMMYFUNCTION("""COMPUTED_VALUE"""),2.742)</f>
        <v>2.742</v>
      </c>
      <c r="G42">
        <f ca="1">IFERROR(__xludf.DUMMYFUNCTION("""COMPUTED_VALUE"""),6)</f>
        <v>6</v>
      </c>
    </row>
    <row r="43" spans="1:7" ht="12.75">
      <c r="A43">
        <f ca="1">IFERROR(__xludf.DUMMYFUNCTION("""COMPUTED_VALUE"""),42)</f>
        <v>42</v>
      </c>
      <c r="B43" t="str">
        <f ca="1">IFERROR(__xludf.DUMMYFUNCTION("""COMPUTED_VALUE"""),"T42")</f>
        <v>T42</v>
      </c>
      <c r="C43" t="str">
        <f ca="1">IFERROR(__xludf.DUMMYFUNCTION("""COMPUTED_VALUE"""),"Dustin Johnson")</f>
        <v>Dustin Johnson</v>
      </c>
      <c r="D43">
        <f ca="1">IFERROR(__xludf.DUMMYFUNCTION("""COMPUTED_VALUE"""),8)</f>
        <v>8</v>
      </c>
      <c r="E43">
        <f ca="1">IFERROR(__xludf.DUMMYFUNCTION("""COMPUTED_VALUE"""),0.446)</f>
        <v>0.44600000000000001</v>
      </c>
      <c r="F43">
        <f ca="1">IFERROR(__xludf.DUMMYFUNCTION("""COMPUTED_VALUE"""),3.572)</f>
        <v>3.5720000000000001</v>
      </c>
      <c r="G43">
        <f ca="1">IFERROR(__xludf.DUMMYFUNCTION("""COMPUTED_VALUE"""),8)</f>
        <v>8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IFERROR(__xludf.DUMMYFUNCTION("""COMPUTED_VALUE"""),46)</f>
        <v>46</v>
      </c>
      <c r="C44" t="str">
        <f ca="1">IFERROR(__xludf.DUMMYFUNCTION("""COMPUTED_VALUE"""),"Bernd Wiesberger")</f>
        <v>Bernd Wiesberger</v>
      </c>
      <c r="D44">
        <f ca="1">IFERROR(__xludf.DUMMYFUNCTION("""COMPUTED_VALUE"""),4)</f>
        <v>4</v>
      </c>
      <c r="E44">
        <f ca="1">IFERROR(__xludf.DUMMYFUNCTION("""COMPUTED_VALUE"""),0.422)</f>
        <v>0.42199999999999999</v>
      </c>
      <c r="F44">
        <f ca="1">IFERROR(__xludf.DUMMYFUNCTION("""COMPUTED_VALUE"""),1.686)</f>
        <v>1.6859999999999999</v>
      </c>
      <c r="G44">
        <f ca="1">IFERROR(__xludf.DUMMYFUNCTION("""COMPUTED_VALUE"""),4)</f>
        <v>4</v>
      </c>
    </row>
    <row r="45" spans="1:7" ht="12.75">
      <c r="A45">
        <f ca="1">IFERROR(__xludf.DUMMYFUNCTION("""COMPUTED_VALUE"""),44)</f>
        <v>44</v>
      </c>
      <c r="B45" t="str">
        <f ca="1">IFERROR(__xludf.DUMMYFUNCTION("""COMPUTED_VALUE"""),"T42")</f>
        <v>T42</v>
      </c>
      <c r="C45" t="str">
        <f ca="1">IFERROR(__xludf.DUMMYFUNCTION("""COMPUTED_VALUE"""),"Jamie Lovemark")</f>
        <v>Jamie Lovemark</v>
      </c>
      <c r="D45">
        <f ca="1">IFERROR(__xludf.DUMMYFUNCTION("""COMPUTED_VALUE"""),18)</f>
        <v>18</v>
      </c>
      <c r="E45">
        <f ca="1">IFERROR(__xludf.DUMMYFUNCTION("""COMPUTED_VALUE"""),0.421)</f>
        <v>0.42099999999999999</v>
      </c>
      <c r="F45">
        <f ca="1">IFERROR(__xludf.DUMMYFUNCTION("""COMPUTED_VALUE"""),5.057)</f>
        <v>5.0570000000000004</v>
      </c>
      <c r="G45">
        <f ca="1">IFERROR(__xludf.DUMMYFUNCTION("""COMPUTED_VALUE"""),12)</f>
        <v>12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IFERROR(__xludf.DUMMYFUNCTION("""COMPUTED_VALUE"""),47)</f>
        <v>47</v>
      </c>
      <c r="C46" t="str">
        <f ca="1">IFERROR(__xludf.DUMMYFUNCTION("""COMPUTED_VALUE"""),"Joseph Bramlett")</f>
        <v>Joseph Bramlett</v>
      </c>
      <c r="D46">
        <f ca="1">IFERROR(__xludf.DUMMYFUNCTION("""COMPUTED_VALUE"""),18)</f>
        <v>18</v>
      </c>
      <c r="E46">
        <f ca="1">IFERROR(__xludf.DUMMYFUNCTION("""COMPUTED_VALUE"""),0.419)</f>
        <v>0.41899999999999998</v>
      </c>
      <c r="F46">
        <f ca="1">IFERROR(__xludf.DUMMYFUNCTION("""COMPUTED_VALUE"""),4.193)</f>
        <v>4.1929999999999996</v>
      </c>
      <c r="G46">
        <f ca="1">IFERROR(__xludf.DUMMYFUNCTION("""COMPUTED_VALUE"""),10)</f>
        <v>10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IFERROR(__xludf.DUMMYFUNCTION("""COMPUTED_VALUE"""),246)</f>
        <v>246</v>
      </c>
      <c r="C47" t="str">
        <f ca="1">IFERROR(__xludf.DUMMYFUNCTION("""COMPUTED_VALUE"""),"Graeme McDowell")</f>
        <v>Graeme McDowell</v>
      </c>
      <c r="D47">
        <f ca="1">IFERROR(__xludf.DUMMYFUNCTION("""COMPUTED_VALUE"""),8)</f>
        <v>8</v>
      </c>
      <c r="E47">
        <f ca="1">IFERROR(__xludf.DUMMYFUNCTION("""COMPUTED_VALUE"""),0.418)</f>
        <v>0.41799999999999998</v>
      </c>
      <c r="F47">
        <f ca="1">IFERROR(__xludf.DUMMYFUNCTION("""COMPUTED_VALUE"""),2.51)</f>
        <v>2.5099999999999998</v>
      </c>
      <c r="G47">
        <f ca="1">IFERROR(__xludf.DUMMYFUNCTION("""COMPUTED_VALUE"""),6)</f>
        <v>6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IFERROR(__xludf.DUMMYFUNCTION("""COMPUTED_VALUE"""),48)</f>
        <v>48</v>
      </c>
      <c r="C48" t="str">
        <f ca="1">IFERROR(__xludf.DUMMYFUNCTION("""COMPUTED_VALUE"""),"Anirban Lahiri")</f>
        <v>Anirban Lahiri</v>
      </c>
      <c r="D48">
        <f ca="1">IFERROR(__xludf.DUMMYFUNCTION("""COMPUTED_VALUE"""),16)</f>
        <v>16</v>
      </c>
      <c r="E48">
        <f ca="1">IFERROR(__xludf.DUMMYFUNCTION("""COMPUTED_VALUE"""),0.41)</f>
        <v>0.41</v>
      </c>
      <c r="F48">
        <f ca="1">IFERROR(__xludf.DUMMYFUNCTION("""COMPUTED_VALUE"""),3.282)</f>
        <v>3.282</v>
      </c>
      <c r="G48">
        <f ca="1">IFERROR(__xludf.DUMMYFUNCTION("""COMPUTED_VALUE"""),8)</f>
        <v>8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IFERROR(__xludf.DUMMYFUNCTION("""COMPUTED_VALUE"""),65)</f>
        <v>65</v>
      </c>
      <c r="C49" t="str">
        <f ca="1">IFERROR(__xludf.DUMMYFUNCTION("""COMPUTED_VALUE"""),"Robby Shelton")</f>
        <v>Robby Shelton</v>
      </c>
      <c r="D49">
        <f ca="1">IFERROR(__xludf.DUMMYFUNCTION("""COMPUTED_VALUE"""),14)</f>
        <v>14</v>
      </c>
      <c r="E49">
        <f ca="1">IFERROR(__xludf.DUMMYFUNCTION("""COMPUTED_VALUE"""),0.398)</f>
        <v>0.39800000000000002</v>
      </c>
      <c r="F49">
        <f ca="1">IFERROR(__xludf.DUMMYFUNCTION("""COMPUTED_VALUE"""),5.567)</f>
        <v>5.5670000000000002</v>
      </c>
      <c r="G49">
        <f ca="1">IFERROR(__xludf.DUMMYFUNCTION("""COMPUTED_VALUE"""),14)</f>
        <v>14</v>
      </c>
    </row>
    <row r="50" spans="1:7" ht="12.75">
      <c r="A50">
        <f ca="1">IFERROR(__xludf.DUMMYFUNCTION("""COMPUTED_VALUE"""),49)</f>
        <v>49</v>
      </c>
      <c r="B50" t="str">
        <f ca="1">IFERROR(__xludf.DUMMYFUNCTION("""COMPUTED_VALUE"""),"T50")</f>
        <v>T50</v>
      </c>
      <c r="C50" t="str">
        <f ca="1">IFERROR(__xludf.DUMMYFUNCTION("""COMPUTED_VALUE"""),"Brad Kennedy")</f>
        <v>Brad Kennedy</v>
      </c>
      <c r="D50">
        <f ca="1">IFERROR(__xludf.DUMMYFUNCTION("""COMPUTED_VALUE"""),4)</f>
        <v>4</v>
      </c>
      <c r="E50">
        <f ca="1">IFERROR(__xludf.DUMMYFUNCTION("""COMPUTED_VALUE"""),0.397)</f>
        <v>0.39700000000000002</v>
      </c>
      <c r="F50">
        <f ca="1">IFERROR(__xludf.DUMMYFUNCTION("""COMPUTED_VALUE"""),1.586)</f>
        <v>1.5860000000000001</v>
      </c>
      <c r="G50">
        <f ca="1">IFERROR(__xludf.DUMMYFUNCTION("""COMPUTED_VALUE"""),4)</f>
        <v>4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IFERROR(__xludf.DUMMYFUNCTION("""COMPUTED_VALUE"""),53)</f>
        <v>53</v>
      </c>
      <c r="C51" t="str">
        <f ca="1">IFERROR(__xludf.DUMMYFUNCTION("""COMPUTED_VALUE"""),"Aaron Baddeley")</f>
        <v>Aaron Baddeley</v>
      </c>
      <c r="D51">
        <f ca="1">IFERROR(__xludf.DUMMYFUNCTION("""COMPUTED_VALUE"""),8)</f>
        <v>8</v>
      </c>
      <c r="E51">
        <f ca="1">IFERROR(__xludf.DUMMYFUNCTION("""COMPUTED_VALUE"""),0.387)</f>
        <v>0.38700000000000001</v>
      </c>
      <c r="F51">
        <f ca="1">IFERROR(__xludf.DUMMYFUNCTION("""COMPUTED_VALUE"""),1.547)</f>
        <v>1.5469999999999999</v>
      </c>
      <c r="G51">
        <f ca="1">IFERROR(__xludf.DUMMYFUNCTION("""COMPUTED_VALUE"""),4)</f>
        <v>4</v>
      </c>
    </row>
    <row r="52" spans="1:7" ht="12.75">
      <c r="A52" t="str">
        <f ca="1">IFERROR(__xludf.DUMMYFUNCTION("""COMPUTED_VALUE"""),"T51")</f>
        <v>T51</v>
      </c>
      <c r="B52">
        <f ca="1">IFERROR(__xludf.DUMMYFUNCTION("""COMPUTED_VALUE"""),54)</f>
        <v>54</v>
      </c>
      <c r="C52" t="str">
        <f ca="1">IFERROR(__xludf.DUMMYFUNCTION("""COMPUTED_VALUE"""),"Louis Oosthuizen")</f>
        <v>Louis Oosthuizen</v>
      </c>
      <c r="D52">
        <f ca="1">IFERROR(__xludf.DUMMYFUNCTION("""COMPUTED_VALUE"""),12)</f>
        <v>12</v>
      </c>
      <c r="E52">
        <f ca="1">IFERROR(__xludf.DUMMYFUNCTION("""COMPUTED_VALUE"""),0.378)</f>
        <v>0.378</v>
      </c>
      <c r="F52">
        <f ca="1">IFERROR(__xludf.DUMMYFUNCTION("""COMPUTED_VALUE"""),4.541)</f>
        <v>4.5410000000000004</v>
      </c>
      <c r="G52">
        <f ca="1">IFERROR(__xludf.DUMMYFUNCTION("""COMPUTED_VALUE"""),12)</f>
        <v>12</v>
      </c>
    </row>
    <row r="53" spans="1:7" ht="12.75">
      <c r="A53" t="str">
        <f ca="1">IFERROR(__xludf.DUMMYFUNCTION("""COMPUTED_VALUE"""),"T51")</f>
        <v>T51</v>
      </c>
      <c r="B53">
        <f ca="1">IFERROR(__xludf.DUMMYFUNCTION("""COMPUTED_VALUE"""),20)</f>
        <v>20</v>
      </c>
      <c r="C53" t="str">
        <f ca="1">IFERROR(__xludf.DUMMYFUNCTION("""COMPUTED_VALUE"""),"Camilo Villegas")</f>
        <v>Camilo Villegas</v>
      </c>
      <c r="D53">
        <f ca="1">IFERROR(__xludf.DUMMYFUNCTION("""COMPUTED_VALUE"""),14)</f>
        <v>14</v>
      </c>
      <c r="E53">
        <f ca="1">IFERROR(__xludf.DUMMYFUNCTION("""COMPUTED_VALUE"""),0.378)</f>
        <v>0.378</v>
      </c>
      <c r="F53">
        <f ca="1">IFERROR(__xludf.DUMMYFUNCTION("""COMPUTED_VALUE"""),3.777)</f>
        <v>3.7770000000000001</v>
      </c>
      <c r="G53">
        <f ca="1">IFERROR(__xludf.DUMMYFUNCTION("""COMPUTED_VALUE"""),10)</f>
        <v>10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IFERROR(__xludf.DUMMYFUNCTION("""COMPUTED_VALUE"""),76)</f>
        <v>76</v>
      </c>
      <c r="C54" t="str">
        <f ca="1">IFERROR(__xludf.DUMMYFUNCTION("""COMPUTED_VALUE"""),"Viktor Hovland")</f>
        <v>Viktor Hovland</v>
      </c>
      <c r="D54">
        <f ca="1">IFERROR(__xludf.DUMMYFUNCTION("""COMPUTED_VALUE"""),16)</f>
        <v>16</v>
      </c>
      <c r="E54">
        <f ca="1">IFERROR(__xludf.DUMMYFUNCTION("""COMPUTED_VALUE"""),0.376)</f>
        <v>0.376</v>
      </c>
      <c r="F54">
        <f ca="1">IFERROR(__xludf.DUMMYFUNCTION("""COMPUTED_VALUE"""),6.018)</f>
        <v>6.0179999999999998</v>
      </c>
      <c r="G54">
        <f ca="1">IFERROR(__xludf.DUMMYFUNCTION("""COMPUTED_VALUE"""),16)</f>
        <v>16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IFERROR(__xludf.DUMMYFUNCTION("""COMPUTED_VALUE"""),104)</f>
        <v>104</v>
      </c>
      <c r="C55" t="str">
        <f ca="1">IFERROR(__xludf.DUMMYFUNCTION("""COMPUTED_VALUE"""),"Carlos Ortiz")</f>
        <v>Carlos Ortiz</v>
      </c>
      <c r="D55">
        <f ca="1">IFERROR(__xludf.DUMMYFUNCTION("""COMPUTED_VALUE"""),20)</f>
        <v>20</v>
      </c>
      <c r="E55">
        <f ca="1">IFERROR(__xludf.DUMMYFUNCTION("""COMPUTED_VALUE"""),0.367)</f>
        <v>0.36699999999999999</v>
      </c>
      <c r="F55">
        <f ca="1">IFERROR(__xludf.DUMMYFUNCTION("""COMPUTED_VALUE"""),7.349)</f>
        <v>7.3490000000000002</v>
      </c>
      <c r="G55">
        <f ca="1">IFERROR(__xludf.DUMMYFUNCTION("""COMPUTED_VALUE"""),20)</f>
        <v>20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IFERROR(__xludf.DUMMYFUNCTION("""COMPUTED_VALUE"""),55)</f>
        <v>55</v>
      </c>
      <c r="C56" t="str">
        <f ca="1">IFERROR(__xludf.DUMMYFUNCTION("""COMPUTED_VALUE"""),"Kevin Na")</f>
        <v>Kevin Na</v>
      </c>
      <c r="D56">
        <f ca="1">IFERROR(__xludf.DUMMYFUNCTION("""COMPUTED_VALUE"""),14)</f>
        <v>14</v>
      </c>
      <c r="E56">
        <f ca="1">IFERROR(__xludf.DUMMYFUNCTION("""COMPUTED_VALUE"""),0.363)</f>
        <v>0.36299999999999999</v>
      </c>
      <c r="F56">
        <f ca="1">IFERROR(__xludf.DUMMYFUNCTION("""COMPUTED_VALUE"""),5.087)</f>
        <v>5.0869999999999997</v>
      </c>
      <c r="G56">
        <f ca="1">IFERROR(__xludf.DUMMYFUNCTION("""COMPUTED_VALUE"""),14)</f>
        <v>14</v>
      </c>
    </row>
    <row r="57" spans="1:7" ht="12.75">
      <c r="A57">
        <f ca="1">IFERROR(__xludf.DUMMYFUNCTION("""COMPUTED_VALUE"""),56)</f>
        <v>56</v>
      </c>
      <c r="B57" t="str">
        <f ca="1">IFERROR(__xludf.DUMMYFUNCTION("""COMPUTED_VALUE"""),"T50")</f>
        <v>T50</v>
      </c>
      <c r="C57" t="str">
        <f ca="1">IFERROR(__xludf.DUMMYFUNCTION("""COMPUTED_VALUE"""),"Stewart Cink")</f>
        <v>Stewart Cink</v>
      </c>
      <c r="D57">
        <f ca="1">IFERROR(__xludf.DUMMYFUNCTION("""COMPUTED_VALUE"""),18)</f>
        <v>18</v>
      </c>
      <c r="E57">
        <f ca="1">IFERROR(__xludf.DUMMYFUNCTION("""COMPUTED_VALUE"""),0.349)</f>
        <v>0.34899999999999998</v>
      </c>
      <c r="F57">
        <f ca="1">IFERROR(__xludf.DUMMYFUNCTION("""COMPUTED_VALUE"""),4.889)</f>
        <v>4.8890000000000002</v>
      </c>
      <c r="G57">
        <f ca="1">IFERROR(__xludf.DUMMYFUNCTION("""COMPUTED_VALUE"""),14)</f>
        <v>14</v>
      </c>
    </row>
    <row r="58" spans="1:7" ht="12.75">
      <c r="A58" t="str">
        <f ca="1">IFERROR(__xludf.DUMMYFUNCTION("""COMPUTED_VALUE"""),"T57")</f>
        <v>T57</v>
      </c>
      <c r="B58">
        <f ca="1">IFERROR(__xludf.DUMMYFUNCTION("""COMPUTED_VALUE"""),57)</f>
        <v>57</v>
      </c>
      <c r="C58" t="str">
        <f ca="1">IFERROR(__xludf.DUMMYFUNCTION("""COMPUTED_VALUE"""),"Ryo Ishikawa")</f>
        <v>Ryo Ishikawa</v>
      </c>
      <c r="D58">
        <f ca="1">IFERROR(__xludf.DUMMYFUNCTION("""COMPUTED_VALUE"""),8)</f>
        <v>8</v>
      </c>
      <c r="E58">
        <f ca="1">IFERROR(__xludf.DUMMYFUNCTION("""COMPUTED_VALUE"""),0.347)</f>
        <v>0.34699999999999998</v>
      </c>
      <c r="F58">
        <f ca="1">IFERROR(__xludf.DUMMYFUNCTION("""COMPUTED_VALUE"""),2.779)</f>
        <v>2.7789999999999999</v>
      </c>
      <c r="G58">
        <f ca="1">IFERROR(__xludf.DUMMYFUNCTION("""COMPUTED_VALUE"""),8)</f>
        <v>8</v>
      </c>
    </row>
    <row r="59" spans="1:7" ht="12.75">
      <c r="A59" t="str">
        <f ca="1">IFERROR(__xludf.DUMMYFUNCTION("""COMPUTED_VALUE"""),"T57")</f>
        <v>T57</v>
      </c>
      <c r="B59" t="str">
        <f ca="1">IFERROR(__xludf.DUMMYFUNCTION("""COMPUTED_VALUE"""),"T73")</f>
        <v>T73</v>
      </c>
      <c r="C59" t="str">
        <f ca="1">IFERROR(__xludf.DUMMYFUNCTION("""COMPUTED_VALUE"""),"Aaron Wise")</f>
        <v>Aaron Wise</v>
      </c>
      <c r="D59">
        <f ca="1">IFERROR(__xludf.DUMMYFUNCTION("""COMPUTED_VALUE"""),16)</f>
        <v>16</v>
      </c>
      <c r="E59">
        <f ca="1">IFERROR(__xludf.DUMMYFUNCTION("""COMPUTED_VALUE"""),0.347)</f>
        <v>0.34699999999999998</v>
      </c>
      <c r="F59">
        <f ca="1">IFERROR(__xludf.DUMMYFUNCTION("""COMPUTED_VALUE"""),4.163)</f>
        <v>4.1630000000000003</v>
      </c>
      <c r="G59">
        <f ca="1">IFERROR(__xludf.DUMMYFUNCTION("""COMPUTED_VALUE"""),12)</f>
        <v>12</v>
      </c>
    </row>
    <row r="60" spans="1:7" ht="12.75">
      <c r="A60">
        <f ca="1">IFERROR(__xludf.DUMMYFUNCTION("""COMPUTED_VALUE"""),59)</f>
        <v>59</v>
      </c>
      <c r="B60" t="str">
        <f ca="1">IFERROR(__xludf.DUMMYFUNCTION("""COMPUTED_VALUE"""),"T58")</f>
        <v>T58</v>
      </c>
      <c r="C60" t="str">
        <f ca="1">IFERROR(__xludf.DUMMYFUNCTION("""COMPUTED_VALUE"""),"Bubba Watson")</f>
        <v>Bubba Watson</v>
      </c>
      <c r="D60">
        <f ca="1">IFERROR(__xludf.DUMMYFUNCTION("""COMPUTED_VALUE"""),12)</f>
        <v>12</v>
      </c>
      <c r="E60">
        <f ca="1">IFERROR(__xludf.DUMMYFUNCTION("""COMPUTED_VALUE"""),0.345)</f>
        <v>0.34499999999999997</v>
      </c>
      <c r="F60">
        <f ca="1">IFERROR(__xludf.DUMMYFUNCTION("""COMPUTED_VALUE"""),4.145)</f>
        <v>4.1449999999999996</v>
      </c>
      <c r="G60">
        <f ca="1">IFERROR(__xludf.DUMMYFUNCTION("""COMPUTED_VALUE"""),12)</f>
        <v>12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IFERROR(__xludf.DUMMYFUNCTION("""COMPUTED_VALUE"""),56)</f>
        <v>56</v>
      </c>
      <c r="C61" t="str">
        <f ca="1">IFERROR(__xludf.DUMMYFUNCTION("""COMPUTED_VALUE"""),"Tony Finau")</f>
        <v>Tony Finau</v>
      </c>
      <c r="D61">
        <f ca="1">IFERROR(__xludf.DUMMYFUNCTION("""COMPUTED_VALUE"""),12)</f>
        <v>12</v>
      </c>
      <c r="E61">
        <f ca="1">IFERROR(__xludf.DUMMYFUNCTION("""COMPUTED_VALUE"""),0.338)</f>
        <v>0.33800000000000002</v>
      </c>
      <c r="F61">
        <f ca="1">IFERROR(__xludf.DUMMYFUNCTION("""COMPUTED_VALUE"""),4.06)</f>
        <v>4.0599999999999996</v>
      </c>
      <c r="G61">
        <f ca="1">IFERROR(__xludf.DUMMYFUNCTION("""COMPUTED_VALUE"""),12)</f>
        <v>12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IFERROR(__xludf.DUMMYFUNCTION("""COMPUTED_VALUE"""),61)</f>
        <v>61</v>
      </c>
      <c r="C62" t="str">
        <f ca="1">IFERROR(__xludf.DUMMYFUNCTION("""COMPUTED_VALUE"""),"Bill Haas")</f>
        <v>Bill Haas</v>
      </c>
      <c r="D62">
        <f ca="1">IFERROR(__xludf.DUMMYFUNCTION("""COMPUTED_VALUE"""),10)</f>
        <v>10</v>
      </c>
      <c r="E62">
        <f ca="1">IFERROR(__xludf.DUMMYFUNCTION("""COMPUTED_VALUE"""),0.33)</f>
        <v>0.33</v>
      </c>
      <c r="F62">
        <f ca="1">IFERROR(__xludf.DUMMYFUNCTION("""COMPUTED_VALUE"""),1.977)</f>
        <v>1.9770000000000001</v>
      </c>
      <c r="G62">
        <f ca="1">IFERROR(__xludf.DUMMYFUNCTION("""COMPUTED_VALUE"""),6)</f>
        <v>6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IFERROR(__xludf.DUMMYFUNCTION("""COMPUTED_VALUE"""),62)</f>
        <v>62</v>
      </c>
      <c r="C63" t="str">
        <f ca="1">IFERROR(__xludf.DUMMYFUNCTION("""COMPUTED_VALUE"""),"D.J. Trahan")</f>
        <v>D.J. Trahan</v>
      </c>
      <c r="D63">
        <f ca="1">IFERROR(__xludf.DUMMYFUNCTION("""COMPUTED_VALUE"""),16)</f>
        <v>16</v>
      </c>
      <c r="E63">
        <f ca="1">IFERROR(__xludf.DUMMYFUNCTION("""COMPUTED_VALUE"""),0.328)</f>
        <v>0.32800000000000001</v>
      </c>
      <c r="F63">
        <f ca="1">IFERROR(__xludf.DUMMYFUNCTION("""COMPUTED_VALUE"""),2.624)</f>
        <v>2.6240000000000001</v>
      </c>
      <c r="G63">
        <f ca="1">IFERROR(__xludf.DUMMYFUNCTION("""COMPUTED_VALUE"""),8)</f>
        <v>8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IFERROR(__xludf.DUMMYFUNCTION("""COMPUTED_VALUE"""),80)</f>
        <v>80</v>
      </c>
      <c r="C64" t="str">
        <f ca="1">IFERROR(__xludf.DUMMYFUNCTION("""COMPUTED_VALUE"""),"Dylan Frittelli")</f>
        <v>Dylan Frittelli</v>
      </c>
      <c r="D64">
        <f ca="1">IFERROR(__xludf.DUMMYFUNCTION("""COMPUTED_VALUE"""),16)</f>
        <v>16</v>
      </c>
      <c r="E64">
        <f ca="1">IFERROR(__xludf.DUMMYFUNCTION("""COMPUTED_VALUE"""),0.326)</f>
        <v>0.32600000000000001</v>
      </c>
      <c r="F64">
        <f ca="1">IFERROR(__xludf.DUMMYFUNCTION("""COMPUTED_VALUE"""),5.212)</f>
        <v>5.2119999999999997</v>
      </c>
      <c r="G64">
        <f ca="1">IFERROR(__xludf.DUMMYFUNCTION("""COMPUTED_VALUE"""),16)</f>
        <v>16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IFERROR(__xludf.DUMMYFUNCTION("""COMPUTED_VALUE"""),63)</f>
        <v>63</v>
      </c>
      <c r="C65" t="str">
        <f ca="1">IFERROR(__xludf.DUMMYFUNCTION("""COMPUTED_VALUE"""),"Roger Sloan")</f>
        <v>Roger Sloan</v>
      </c>
      <c r="D65">
        <f ca="1">IFERROR(__xludf.DUMMYFUNCTION("""COMPUTED_VALUE"""),12)</f>
        <v>12</v>
      </c>
      <c r="E65">
        <f ca="1">IFERROR(__xludf.DUMMYFUNCTION("""COMPUTED_VALUE"""),0.32)</f>
        <v>0.32</v>
      </c>
      <c r="F65">
        <f ca="1">IFERROR(__xludf.DUMMYFUNCTION("""COMPUTED_VALUE"""),1.917)</f>
        <v>1.917</v>
      </c>
      <c r="G65">
        <f ca="1">IFERROR(__xludf.DUMMYFUNCTION("""COMPUTED_VALUE"""),6)</f>
        <v>6</v>
      </c>
    </row>
    <row r="66" spans="1:7" ht="12.75">
      <c r="A66">
        <f ca="1">IFERROR(__xludf.DUMMYFUNCTION("""COMPUTED_VALUE"""),65)</f>
        <v>65</v>
      </c>
      <c r="B66">
        <f ca="1">IFERROR(__xludf.DUMMYFUNCTION("""COMPUTED_VALUE"""),119)</f>
        <v>119</v>
      </c>
      <c r="C66" t="str">
        <f ca="1">IFERROR(__xludf.DUMMYFUNCTION("""COMPUTED_VALUE"""),"D.A. Points")</f>
        <v>D.A. Points</v>
      </c>
      <c r="D66">
        <f ca="1">IFERROR(__xludf.DUMMYFUNCTION("""COMPUTED_VALUE"""),12)</f>
        <v>12</v>
      </c>
      <c r="E66">
        <f ca="1">IFERROR(__xludf.DUMMYFUNCTION("""COMPUTED_VALUE"""),0.311)</f>
        <v>0.311</v>
      </c>
      <c r="F66">
        <f ca="1">IFERROR(__xludf.DUMMYFUNCTION("""COMPUTED_VALUE"""),2.49)</f>
        <v>2.4900000000000002</v>
      </c>
      <c r="G66">
        <f ca="1">IFERROR(__xludf.DUMMYFUNCTION("""COMPUTED_VALUE"""),8)</f>
        <v>8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IFERROR(__xludf.DUMMYFUNCTION("""COMPUTED_VALUE"""),49)</f>
        <v>49</v>
      </c>
      <c r="C67" t="str">
        <f ca="1">IFERROR(__xludf.DUMMYFUNCTION("""COMPUTED_VALUE"""),"Kevin Tway")</f>
        <v>Kevin Tway</v>
      </c>
      <c r="D67">
        <f ca="1">IFERROR(__xludf.DUMMYFUNCTION("""COMPUTED_VALUE"""),16)</f>
        <v>16</v>
      </c>
      <c r="E67">
        <f ca="1">IFERROR(__xludf.DUMMYFUNCTION("""COMPUTED_VALUE"""),0.304)</f>
        <v>0.30399999999999999</v>
      </c>
      <c r="F67">
        <f ca="1">IFERROR(__xludf.DUMMYFUNCTION("""COMPUTED_VALUE"""),2.434)</f>
        <v>2.4340000000000002</v>
      </c>
      <c r="G67">
        <f ca="1">IFERROR(__xludf.DUMMYFUNCTION("""COMPUTED_VALUE"""),8)</f>
        <v>8</v>
      </c>
    </row>
    <row r="68" spans="1:7" ht="12.75">
      <c r="A68">
        <f ca="1">IFERROR(__xludf.DUMMYFUNCTION("""COMPUTED_VALUE"""),67)</f>
        <v>67</v>
      </c>
      <c r="B68">
        <f ca="1">IFERROR(__xludf.DUMMYFUNCTION("""COMPUTED_VALUE"""),64)</f>
        <v>64</v>
      </c>
      <c r="C68" t="str">
        <f ca="1">IFERROR(__xludf.DUMMYFUNCTION("""COMPUTED_VALUE"""),"Mackenzie Hughes")</f>
        <v>Mackenzie Hughes</v>
      </c>
      <c r="D68">
        <f ca="1">IFERROR(__xludf.DUMMYFUNCTION("""COMPUTED_VALUE"""),18)</f>
        <v>18</v>
      </c>
      <c r="E68">
        <f ca="1">IFERROR(__xludf.DUMMYFUNCTION("""COMPUTED_VALUE"""),0.296)</f>
        <v>0.29599999999999999</v>
      </c>
      <c r="F68">
        <f ca="1">IFERROR(__xludf.DUMMYFUNCTION("""COMPUTED_VALUE"""),4.151)</f>
        <v>4.1509999999999998</v>
      </c>
      <c r="G68">
        <f ca="1">IFERROR(__xludf.DUMMYFUNCTION("""COMPUTED_VALUE"""),14)</f>
        <v>14</v>
      </c>
    </row>
    <row r="69" spans="1:7" ht="12.75">
      <c r="A69">
        <f ca="1">IFERROR(__xludf.DUMMYFUNCTION("""COMPUTED_VALUE"""),68)</f>
        <v>68</v>
      </c>
      <c r="B69">
        <f ca="1">IFERROR(__xludf.DUMMYFUNCTION("""COMPUTED_VALUE"""),67)</f>
        <v>67</v>
      </c>
      <c r="C69" t="str">
        <f ca="1">IFERROR(__xludf.DUMMYFUNCTION("""COMPUTED_VALUE"""),"Mark Anderson")</f>
        <v>Mark Anderson</v>
      </c>
      <c r="D69">
        <f ca="1">IFERROR(__xludf.DUMMYFUNCTION("""COMPUTED_VALUE"""),14)</f>
        <v>14</v>
      </c>
      <c r="E69">
        <f ca="1">IFERROR(__xludf.DUMMYFUNCTION("""COMPUTED_VALUE"""),0.292)</f>
        <v>0.29199999999999998</v>
      </c>
      <c r="F69">
        <f ca="1">IFERROR(__xludf.DUMMYFUNCTION("""COMPUTED_VALUE"""),1.751)</f>
        <v>1.7509999999999999</v>
      </c>
      <c r="G69">
        <f ca="1">IFERROR(__xludf.DUMMYFUNCTION("""COMPUTED_VALUE"""),6)</f>
        <v>6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IFERROR(__xludf.DUMMYFUNCTION("""COMPUTED_VALUE"""),68)</f>
        <v>68</v>
      </c>
      <c r="C70" t="str">
        <f ca="1">IFERROR(__xludf.DUMMYFUNCTION("""COMPUTED_VALUE"""),"Tommy Fleetwood")</f>
        <v>Tommy Fleetwood</v>
      </c>
      <c r="D70">
        <f ca="1">IFERROR(__xludf.DUMMYFUNCTION("""COMPUTED_VALUE"""),10)</f>
        <v>10</v>
      </c>
      <c r="E70">
        <f ca="1">IFERROR(__xludf.DUMMYFUNCTION("""COMPUTED_VALUE"""),0.287)</f>
        <v>0.28699999999999998</v>
      </c>
      <c r="F70">
        <f ca="1">IFERROR(__xludf.DUMMYFUNCTION("""COMPUTED_VALUE"""),2.872)</f>
        <v>2.8719999999999999</v>
      </c>
      <c r="G70">
        <f ca="1">IFERROR(__xludf.DUMMYFUNCTION("""COMPUTED_VALUE"""),10)</f>
        <v>10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IFERROR(__xludf.DUMMYFUNCTION("""COMPUTED_VALUE"""),70)</f>
        <v>70</v>
      </c>
      <c r="C71" t="str">
        <f ca="1">IFERROR(__xludf.DUMMYFUNCTION("""COMPUTED_VALUE"""),"Sebastián Muñoz")</f>
        <v>Sebastián Muñoz</v>
      </c>
      <c r="D71">
        <f ca="1">IFERROR(__xludf.DUMMYFUNCTION("""COMPUTED_VALUE"""),20)</f>
        <v>20</v>
      </c>
      <c r="E71">
        <f ca="1">IFERROR(__xludf.DUMMYFUNCTION("""COMPUTED_VALUE"""),0.278)</f>
        <v>0.27800000000000002</v>
      </c>
      <c r="F71">
        <f ca="1">IFERROR(__xludf.DUMMYFUNCTION("""COMPUTED_VALUE"""),5.55)</f>
        <v>5.55</v>
      </c>
      <c r="G71">
        <f ca="1">IFERROR(__xludf.DUMMYFUNCTION("""COMPUTED_VALUE"""),20)</f>
        <v>20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IFERROR(__xludf.DUMMYFUNCTION("""COMPUTED_VALUE"""),84)</f>
        <v>84</v>
      </c>
      <c r="C72" t="str">
        <f ca="1">IFERROR(__xludf.DUMMYFUNCTION("""COMPUTED_VALUE"""),"Denny McCarthy")</f>
        <v>Denny McCarthy</v>
      </c>
      <c r="D72">
        <f ca="1">IFERROR(__xludf.DUMMYFUNCTION("""COMPUTED_VALUE"""),22)</f>
        <v>22</v>
      </c>
      <c r="E72">
        <f ca="1">IFERROR(__xludf.DUMMYFUNCTION("""COMPUTED_VALUE"""),0.273)</f>
        <v>0.27300000000000002</v>
      </c>
      <c r="F72">
        <f ca="1">IFERROR(__xludf.DUMMYFUNCTION("""COMPUTED_VALUE"""),3.821)</f>
        <v>3.8210000000000002</v>
      </c>
      <c r="G72">
        <f ca="1">IFERROR(__xludf.DUMMYFUNCTION("""COMPUTED_VALUE"""),14)</f>
        <v>14</v>
      </c>
    </row>
    <row r="73" spans="1:7" ht="12.75">
      <c r="A73">
        <f ca="1">IFERROR(__xludf.DUMMYFUNCTION("""COMPUTED_VALUE"""),72)</f>
        <v>72</v>
      </c>
      <c r="B73">
        <f ca="1">IFERROR(__xludf.DUMMYFUNCTION("""COMPUTED_VALUE"""),164)</f>
        <v>164</v>
      </c>
      <c r="C73" t="str">
        <f ca="1">IFERROR(__xludf.DUMMYFUNCTION("""COMPUTED_VALUE"""),"Lucas Glover")</f>
        <v>Lucas Glover</v>
      </c>
      <c r="D73">
        <f ca="1">IFERROR(__xludf.DUMMYFUNCTION("""COMPUTED_VALUE"""),12)</f>
        <v>12</v>
      </c>
      <c r="E73">
        <f ca="1">IFERROR(__xludf.DUMMYFUNCTION("""COMPUTED_VALUE"""),0.27)</f>
        <v>0.27</v>
      </c>
      <c r="F73">
        <f ca="1">IFERROR(__xludf.DUMMYFUNCTION("""COMPUTED_VALUE"""),3.235)</f>
        <v>3.2349999999999999</v>
      </c>
      <c r="G73">
        <f ca="1">IFERROR(__xludf.DUMMYFUNCTION("""COMPUTED_VALUE"""),12)</f>
        <v>12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IFERROR(__xludf.DUMMYFUNCTION("""COMPUTED_VALUE"""),72)</f>
        <v>72</v>
      </c>
      <c r="C74" t="str">
        <f ca="1">IFERROR(__xludf.DUMMYFUNCTION("""COMPUTED_VALUE"""),"Lucas Herbert")</f>
        <v>Lucas Herbert</v>
      </c>
      <c r="D74">
        <f ca="1">IFERROR(__xludf.DUMMYFUNCTION("""COMPUTED_VALUE"""),4)</f>
        <v>4</v>
      </c>
      <c r="E74">
        <f ca="1">IFERROR(__xludf.DUMMYFUNCTION("""COMPUTED_VALUE"""),0.267)</f>
        <v>0.26700000000000002</v>
      </c>
      <c r="F74">
        <f ca="1">IFERROR(__xludf.DUMMYFUNCTION("""COMPUTED_VALUE"""),1.066)</f>
        <v>1.0660000000000001</v>
      </c>
      <c r="G74">
        <f ca="1">IFERROR(__xludf.DUMMYFUNCTION("""COMPUTED_VALUE"""),4)</f>
        <v>4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IFERROR(__xludf.DUMMYFUNCTION("""COMPUTED_VALUE"""),"T73")</f>
        <v>T73</v>
      </c>
      <c r="C75" t="str">
        <f ca="1">IFERROR(__xludf.DUMMYFUNCTION("""COMPUTED_VALUE"""),"Ricky Barnes")</f>
        <v>Ricky Barnes</v>
      </c>
      <c r="D75">
        <f ca="1">IFERROR(__xludf.DUMMYFUNCTION("""COMPUTED_VALUE"""),12)</f>
        <v>12</v>
      </c>
      <c r="E75">
        <f ca="1">IFERROR(__xludf.DUMMYFUNCTION("""COMPUTED_VALUE"""),0.259)</f>
        <v>0.25900000000000001</v>
      </c>
      <c r="F75">
        <f ca="1">IFERROR(__xludf.DUMMYFUNCTION("""COMPUTED_VALUE"""),1.035)</f>
        <v>1.0349999999999999</v>
      </c>
      <c r="G75">
        <f ca="1">IFERROR(__xludf.DUMMYFUNCTION("""COMPUTED_VALUE"""),4)</f>
        <v>4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IFERROR(__xludf.DUMMYFUNCTION("""COMPUTED_VALUE"""),75)</f>
        <v>75</v>
      </c>
      <c r="C76" t="str">
        <f ca="1">IFERROR(__xludf.DUMMYFUNCTION("""COMPUTED_VALUE"""),"Abraham Ancer")</f>
        <v>Abraham Ancer</v>
      </c>
      <c r="D76">
        <f ca="1">IFERROR(__xludf.DUMMYFUNCTION("""COMPUTED_VALUE"""),16)</f>
        <v>16</v>
      </c>
      <c r="E76">
        <f ca="1">IFERROR(__xludf.DUMMYFUNCTION("""COMPUTED_VALUE"""),0.256)</f>
        <v>0.25600000000000001</v>
      </c>
      <c r="F76">
        <f ca="1">IFERROR(__xludf.DUMMYFUNCTION("""COMPUTED_VALUE"""),4.097)</f>
        <v>4.0970000000000004</v>
      </c>
      <c r="G76">
        <f ca="1">IFERROR(__xludf.DUMMYFUNCTION("""COMPUTED_VALUE"""),16)</f>
        <v>16</v>
      </c>
    </row>
    <row r="77" spans="1:7" ht="12.75">
      <c r="A77">
        <f ca="1">IFERROR(__xludf.DUMMYFUNCTION("""COMPUTED_VALUE"""),76)</f>
        <v>76</v>
      </c>
      <c r="B77" t="str">
        <f ca="1">IFERROR(__xludf.DUMMYFUNCTION("""COMPUTED_VALUE"""),"T128")</f>
        <v>T128</v>
      </c>
      <c r="C77" t="str">
        <f ca="1">IFERROR(__xludf.DUMMYFUNCTION("""COMPUTED_VALUE"""),"Brian Stuard")</f>
        <v>Brian Stuard</v>
      </c>
      <c r="D77">
        <f ca="1">IFERROR(__xludf.DUMMYFUNCTION("""COMPUTED_VALUE"""),18)</f>
        <v>18</v>
      </c>
      <c r="E77">
        <f ca="1">IFERROR(__xludf.DUMMYFUNCTION("""COMPUTED_VALUE"""),0.253)</f>
        <v>0.253</v>
      </c>
      <c r="F77">
        <f ca="1">IFERROR(__xludf.DUMMYFUNCTION("""COMPUTED_VALUE"""),3.032)</f>
        <v>3.032</v>
      </c>
      <c r="G77">
        <f ca="1">IFERROR(__xludf.DUMMYFUNCTION("""COMPUTED_VALUE"""),12)</f>
        <v>12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IFERROR(__xludf.DUMMYFUNCTION("""COMPUTED_VALUE"""),10)</f>
        <v>10</v>
      </c>
      <c r="C78" t="str">
        <f ca="1">IFERROR(__xludf.DUMMYFUNCTION("""COMPUTED_VALUE"""),"Lee Westwood")</f>
        <v>Lee Westwood</v>
      </c>
      <c r="D78">
        <f ca="1">IFERROR(__xludf.DUMMYFUNCTION("""COMPUTED_VALUE"""),6)</f>
        <v>6</v>
      </c>
      <c r="E78">
        <f ca="1">IFERROR(__xludf.DUMMYFUNCTION("""COMPUTED_VALUE"""),0.244)</f>
        <v>0.24399999999999999</v>
      </c>
      <c r="F78">
        <f ca="1">IFERROR(__xludf.DUMMYFUNCTION("""COMPUTED_VALUE"""),1.464)</f>
        <v>1.464</v>
      </c>
      <c r="G78">
        <f ca="1">IFERROR(__xludf.DUMMYFUNCTION("""COMPUTED_VALUE"""),6)</f>
        <v>6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IFERROR(__xludf.DUMMYFUNCTION("""COMPUTED_VALUE"""),77)</f>
        <v>77</v>
      </c>
      <c r="C79" t="str">
        <f ca="1">IFERROR(__xludf.DUMMYFUNCTION("""COMPUTED_VALUE"""),"Gary Woodland")</f>
        <v>Gary Woodland</v>
      </c>
      <c r="D79">
        <f ca="1">IFERROR(__xludf.DUMMYFUNCTION("""COMPUTED_VALUE"""),6)</f>
        <v>6</v>
      </c>
      <c r="E79">
        <f ca="1">IFERROR(__xludf.DUMMYFUNCTION("""COMPUTED_VALUE"""),0.241)</f>
        <v>0.24099999999999999</v>
      </c>
      <c r="F79">
        <f ca="1">IFERROR(__xludf.DUMMYFUNCTION("""COMPUTED_VALUE"""),1.445)</f>
        <v>1.4450000000000001</v>
      </c>
      <c r="G79">
        <f ca="1">IFERROR(__xludf.DUMMYFUNCTION("""COMPUTED_VALUE"""),6)</f>
        <v>6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IFERROR(__xludf.DUMMYFUNCTION("""COMPUTED_VALUE"""),78)</f>
        <v>78</v>
      </c>
      <c r="C80" t="str">
        <f ca="1">IFERROR(__xludf.DUMMYFUNCTION("""COMPUTED_VALUE"""),"Vincent Whaley")</f>
        <v>Vincent Whaley</v>
      </c>
      <c r="D80">
        <f ca="1">IFERROR(__xludf.DUMMYFUNCTION("""COMPUTED_VALUE"""),14)</f>
        <v>14</v>
      </c>
      <c r="E80">
        <f ca="1">IFERROR(__xludf.DUMMYFUNCTION("""COMPUTED_VALUE"""),0.239)</f>
        <v>0.23899999999999999</v>
      </c>
      <c r="F80">
        <f ca="1">IFERROR(__xludf.DUMMYFUNCTION("""COMPUTED_VALUE"""),1.91)</f>
        <v>1.91</v>
      </c>
      <c r="G80">
        <f ca="1">IFERROR(__xludf.DUMMYFUNCTION("""COMPUTED_VALUE"""),8)</f>
        <v>8</v>
      </c>
    </row>
    <row r="81" spans="1:7" ht="12.75">
      <c r="A81">
        <f ca="1">IFERROR(__xludf.DUMMYFUNCTION("""COMPUTED_VALUE"""),80)</f>
        <v>80</v>
      </c>
      <c r="B81">
        <f ca="1">IFERROR(__xludf.DUMMYFUNCTION("""COMPUTED_VALUE"""),79)</f>
        <v>79</v>
      </c>
      <c r="C81" t="str">
        <f ca="1">IFERROR(__xludf.DUMMYFUNCTION("""COMPUTED_VALUE"""),"Russell Henley")</f>
        <v>Russell Henley</v>
      </c>
      <c r="D81">
        <f ca="1">IFERROR(__xludf.DUMMYFUNCTION("""COMPUTED_VALUE"""),16)</f>
        <v>16</v>
      </c>
      <c r="E81">
        <f ca="1">IFERROR(__xludf.DUMMYFUNCTION("""COMPUTED_VALUE"""),0.235)</f>
        <v>0.23499999999999999</v>
      </c>
      <c r="F81">
        <f ca="1">IFERROR(__xludf.DUMMYFUNCTION("""COMPUTED_VALUE"""),3.766)</f>
        <v>3.766</v>
      </c>
      <c r="G81">
        <f ca="1">IFERROR(__xludf.DUMMYFUNCTION("""COMPUTED_VALUE"""),16)</f>
        <v>16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IFERROR(__xludf.DUMMYFUNCTION("""COMPUTED_VALUE"""),37)</f>
        <v>37</v>
      </c>
      <c r="C82" t="str">
        <f ca="1">IFERROR(__xludf.DUMMYFUNCTION("""COMPUTED_VALUE"""),"Wyndham Clark")</f>
        <v>Wyndham Clark</v>
      </c>
      <c r="D82">
        <f ca="1">IFERROR(__xludf.DUMMYFUNCTION("""COMPUTED_VALUE"""),16)</f>
        <v>16</v>
      </c>
      <c r="E82">
        <f ca="1">IFERROR(__xludf.DUMMYFUNCTION("""COMPUTED_VALUE"""),0.231)</f>
        <v>0.23100000000000001</v>
      </c>
      <c r="F82">
        <f ca="1">IFERROR(__xludf.DUMMYFUNCTION("""COMPUTED_VALUE"""),2.77)</f>
        <v>2.77</v>
      </c>
      <c r="G82">
        <f ca="1">IFERROR(__xludf.DUMMYFUNCTION("""COMPUTED_VALUE"""),12)</f>
        <v>12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IFERROR(__xludf.DUMMYFUNCTION("""COMPUTED_VALUE"""),133)</f>
        <v>133</v>
      </c>
      <c r="C83" t="str">
        <f ca="1">IFERROR(__xludf.DUMMYFUNCTION("""COMPUTED_VALUE"""),"Russell Knox")</f>
        <v>Russell Knox</v>
      </c>
      <c r="D83">
        <f ca="1">IFERROR(__xludf.DUMMYFUNCTION("""COMPUTED_VALUE"""),16)</f>
        <v>16</v>
      </c>
      <c r="E83">
        <f ca="1">IFERROR(__xludf.DUMMYFUNCTION("""COMPUTED_VALUE"""),0.214)</f>
        <v>0.214</v>
      </c>
      <c r="F83">
        <f ca="1">IFERROR(__xludf.DUMMYFUNCTION("""COMPUTED_VALUE"""),2.57)</f>
        <v>2.57</v>
      </c>
      <c r="G83">
        <f ca="1">IFERROR(__xludf.DUMMYFUNCTION("""COMPUTED_VALUE"""),12)</f>
        <v>12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IFERROR(__xludf.DUMMYFUNCTION("""COMPUTED_VALUE"""),102)</f>
        <v>102</v>
      </c>
      <c r="C84" t="str">
        <f ca="1">IFERROR(__xludf.DUMMYFUNCTION("""COMPUTED_VALUE"""),"Matt Jones")</f>
        <v>Matt Jones</v>
      </c>
      <c r="D84">
        <f ca="1">IFERROR(__xludf.DUMMYFUNCTION("""COMPUTED_VALUE"""),20)</f>
        <v>20</v>
      </c>
      <c r="E84">
        <f ca="1">IFERROR(__xludf.DUMMYFUNCTION("""COMPUTED_VALUE"""),0.203)</f>
        <v>0.20300000000000001</v>
      </c>
      <c r="F84">
        <f ca="1">IFERROR(__xludf.DUMMYFUNCTION("""COMPUTED_VALUE"""),2.442)</f>
        <v>2.4420000000000002</v>
      </c>
      <c r="G84">
        <f ca="1">IFERROR(__xludf.DUMMYFUNCTION("""COMPUTED_VALUE"""),12)</f>
        <v>12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IFERROR(__xludf.DUMMYFUNCTION("""COMPUTED_VALUE"""),82)</f>
        <v>82</v>
      </c>
      <c r="C85" t="str">
        <f ca="1">IFERROR(__xludf.DUMMYFUNCTION("""COMPUTED_VALUE"""),"Matt Every")</f>
        <v>Matt Every</v>
      </c>
      <c r="D85">
        <f ca="1">IFERROR(__xludf.DUMMYFUNCTION("""COMPUTED_VALUE"""),8)</f>
        <v>8</v>
      </c>
      <c r="E85">
        <f ca="1">IFERROR(__xludf.DUMMYFUNCTION("""COMPUTED_VALUE"""),0.202)</f>
        <v>0.20200000000000001</v>
      </c>
      <c r="F85">
        <f ca="1">IFERROR(__xludf.DUMMYFUNCTION("""COMPUTED_VALUE"""),0.808)</f>
        <v>0.80800000000000005</v>
      </c>
      <c r="G85">
        <f ca="1">IFERROR(__xludf.DUMMYFUNCTION("""COMPUTED_VALUE"""),4)</f>
        <v>4</v>
      </c>
    </row>
    <row r="86" spans="1:7" ht="12.75">
      <c r="A86" t="str">
        <f ca="1">IFERROR(__xludf.DUMMYFUNCTION("""COMPUTED_VALUE"""),"T85")</f>
        <v>T85</v>
      </c>
      <c r="B86">
        <f ca="1">IFERROR(__xludf.DUMMYFUNCTION("""COMPUTED_VALUE"""),90)</f>
        <v>90</v>
      </c>
      <c r="C86" t="str">
        <f ca="1">IFERROR(__xludf.DUMMYFUNCTION("""COMPUTED_VALUE"""),"C.T. Pan")</f>
        <v>C.T. Pan</v>
      </c>
      <c r="D86">
        <f ca="1">IFERROR(__xludf.DUMMYFUNCTION("""COMPUTED_VALUE"""),20)</f>
        <v>20</v>
      </c>
      <c r="E86">
        <f ca="1">IFERROR(__xludf.DUMMYFUNCTION("""COMPUTED_VALUE"""),0.184)</f>
        <v>0.184</v>
      </c>
      <c r="F86">
        <f ca="1">IFERROR(__xludf.DUMMYFUNCTION("""COMPUTED_VALUE"""),2.94)</f>
        <v>2.94</v>
      </c>
      <c r="G86">
        <f ca="1">IFERROR(__xludf.DUMMYFUNCTION("""COMPUTED_VALUE"""),16)</f>
        <v>16</v>
      </c>
    </row>
    <row r="87" spans="1:7" ht="12.75">
      <c r="A87" t="str">
        <f ca="1">IFERROR(__xludf.DUMMYFUNCTION("""COMPUTED_VALUE"""),"T85")</f>
        <v>T85</v>
      </c>
      <c r="B87">
        <f ca="1">IFERROR(__xludf.DUMMYFUNCTION("""COMPUTED_VALUE"""),81)</f>
        <v>81</v>
      </c>
      <c r="C87" t="str">
        <f ca="1">IFERROR(__xludf.DUMMYFUNCTION("""COMPUTED_VALUE"""),"Maverick McNealy")</f>
        <v>Maverick McNealy</v>
      </c>
      <c r="D87">
        <f ca="1">IFERROR(__xludf.DUMMYFUNCTION("""COMPUTED_VALUE"""),16)</f>
        <v>16</v>
      </c>
      <c r="E87">
        <f ca="1">IFERROR(__xludf.DUMMYFUNCTION("""COMPUTED_VALUE"""),0.184)</f>
        <v>0.184</v>
      </c>
      <c r="F87">
        <f ca="1">IFERROR(__xludf.DUMMYFUNCTION("""COMPUTED_VALUE"""),2.208)</f>
        <v>2.2080000000000002</v>
      </c>
      <c r="G87">
        <f ca="1">IFERROR(__xludf.DUMMYFUNCTION("""COMPUTED_VALUE"""),12)</f>
        <v>12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IFERROR(__xludf.DUMMYFUNCTION("""COMPUTED_VALUE"""),33)</f>
        <v>33</v>
      </c>
      <c r="C88" t="str">
        <f ca="1">IFERROR(__xludf.DUMMYFUNCTION("""COMPUTED_VALUE"""),"Adam Schenk")</f>
        <v>Adam Schenk</v>
      </c>
      <c r="D88">
        <f ca="1">IFERROR(__xludf.DUMMYFUNCTION("""COMPUTED_VALUE"""),22)</f>
        <v>22</v>
      </c>
      <c r="E88">
        <f ca="1">IFERROR(__xludf.DUMMYFUNCTION("""COMPUTED_VALUE"""),0.183)</f>
        <v>0.183</v>
      </c>
      <c r="F88">
        <f ca="1">IFERROR(__xludf.DUMMYFUNCTION("""COMPUTED_VALUE"""),2.565)</f>
        <v>2.5649999999999999</v>
      </c>
      <c r="G88">
        <f ca="1">IFERROR(__xludf.DUMMYFUNCTION("""COMPUTED_VALUE"""),14)</f>
        <v>14</v>
      </c>
    </row>
    <row r="89" spans="1:7" ht="12.75">
      <c r="A89">
        <f ca="1">IFERROR(__xludf.DUMMYFUNCTION("""COMPUTED_VALUE"""),88)</f>
        <v>88</v>
      </c>
      <c r="B89">
        <f ca="1">IFERROR(__xludf.DUMMYFUNCTION("""COMPUTED_VALUE"""),131)</f>
        <v>131</v>
      </c>
      <c r="C89" t="str">
        <f ca="1">IFERROR(__xludf.DUMMYFUNCTION("""COMPUTED_VALUE"""),"Scottie Scheffler")</f>
        <v>Scottie Scheffler</v>
      </c>
      <c r="D89">
        <f ca="1">IFERROR(__xludf.DUMMYFUNCTION("""COMPUTED_VALUE"""),18)</f>
        <v>18</v>
      </c>
      <c r="E89">
        <f ca="1">IFERROR(__xludf.DUMMYFUNCTION("""COMPUTED_VALUE"""),0.167)</f>
        <v>0.16700000000000001</v>
      </c>
      <c r="F89">
        <f ca="1">IFERROR(__xludf.DUMMYFUNCTION("""COMPUTED_VALUE"""),3.001)</f>
        <v>3.0009999999999999</v>
      </c>
      <c r="G89">
        <f ca="1">IFERROR(__xludf.DUMMYFUNCTION("""COMPUTED_VALUE"""),18)</f>
        <v>18</v>
      </c>
    </row>
    <row r="90" spans="1:7" ht="12.75">
      <c r="A90">
        <f ca="1">IFERROR(__xludf.DUMMYFUNCTION("""COMPUTED_VALUE"""),89)</f>
        <v>89</v>
      </c>
      <c r="B90" t="str">
        <f ca="1">IFERROR(__xludf.DUMMYFUNCTION("""COMPUTED_VALUE"""),"")</f>
        <v/>
      </c>
      <c r="C90" t="str">
        <f ca="1">IFERROR(__xludf.DUMMYFUNCTION("""COMPUTED_VALUE"""),"Greg Chalmers")</f>
        <v>Greg Chalmers</v>
      </c>
      <c r="D90">
        <f ca="1">IFERROR(__xludf.DUMMYFUNCTION("""COMPUTED_VALUE"""),6)</f>
        <v>6</v>
      </c>
      <c r="E90">
        <f ca="1">IFERROR(__xludf.DUMMYFUNCTION("""COMPUTED_VALUE"""),0.164)</f>
        <v>0.16400000000000001</v>
      </c>
      <c r="F90">
        <f ca="1">IFERROR(__xludf.DUMMYFUNCTION("""COMPUTED_VALUE"""),0.982)</f>
        <v>0.98199999999999998</v>
      </c>
      <c r="G90">
        <f ca="1">IFERROR(__xludf.DUMMYFUNCTION("""COMPUTED_VALUE"""),6)</f>
        <v>6</v>
      </c>
    </row>
    <row r="91" spans="1:7" ht="12.75">
      <c r="A91" t="str">
        <f ca="1">IFERROR(__xludf.DUMMYFUNCTION("""COMPUTED_VALUE"""),"T90")</f>
        <v>T90</v>
      </c>
      <c r="B91">
        <f ca="1">IFERROR(__xludf.DUMMYFUNCTION("""COMPUTED_VALUE"""),87)</f>
        <v>87</v>
      </c>
      <c r="C91" t="str">
        <f ca="1">IFERROR(__xludf.DUMMYFUNCTION("""COMPUTED_VALUE"""),"Seamus Power")</f>
        <v>Seamus Power</v>
      </c>
      <c r="D91">
        <f ca="1">IFERROR(__xludf.DUMMYFUNCTION("""COMPUTED_VALUE"""),8)</f>
        <v>8</v>
      </c>
      <c r="E91">
        <f ca="1">IFERROR(__xludf.DUMMYFUNCTION("""COMPUTED_VALUE"""),0.16)</f>
        <v>0.16</v>
      </c>
      <c r="F91">
        <f ca="1">IFERROR(__xludf.DUMMYFUNCTION("""COMPUTED_VALUE"""),0.32)</f>
        <v>0.32</v>
      </c>
      <c r="G91">
        <f ca="1">IFERROR(__xludf.DUMMYFUNCTION("""COMPUTED_VALUE"""),2)</f>
        <v>2</v>
      </c>
    </row>
    <row r="92" spans="1:7" ht="12.75">
      <c r="A92" t="str">
        <f ca="1">IFERROR(__xludf.DUMMYFUNCTION("""COMPUTED_VALUE"""),"T90")</f>
        <v>T90</v>
      </c>
      <c r="B92" t="str">
        <f ca="1">IFERROR(__xludf.DUMMYFUNCTION("""COMPUTED_VALUE"""),"T175")</f>
        <v>T175</v>
      </c>
      <c r="C92" t="str">
        <f ca="1">IFERROR(__xludf.DUMMYFUNCTION("""COMPUTED_VALUE"""),"Tom Lewis")</f>
        <v>Tom Lewis</v>
      </c>
      <c r="D92">
        <f ca="1">IFERROR(__xludf.DUMMYFUNCTION("""COMPUTED_VALUE"""),12)</f>
        <v>12</v>
      </c>
      <c r="E92">
        <f ca="1">IFERROR(__xludf.DUMMYFUNCTION("""COMPUTED_VALUE"""),0.16)</f>
        <v>0.16</v>
      </c>
      <c r="F92">
        <f ca="1">IFERROR(__xludf.DUMMYFUNCTION("""COMPUTED_VALUE"""),1.601)</f>
        <v>1.601</v>
      </c>
      <c r="G92">
        <f ca="1">IFERROR(__xludf.DUMMYFUNCTION("""COMPUTED_VALUE"""),10)</f>
        <v>10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IFERROR(__xludf.DUMMYFUNCTION("""COMPUTED_VALUE"""),123)</f>
        <v>123</v>
      </c>
      <c r="C93" t="str">
        <f ca="1">IFERROR(__xludf.DUMMYFUNCTION("""COMPUTED_VALUE"""),"Charl Schwartzel")</f>
        <v>Charl Schwartzel</v>
      </c>
      <c r="D93">
        <f ca="1">IFERROR(__xludf.DUMMYFUNCTION("""COMPUTED_VALUE"""),12)</f>
        <v>12</v>
      </c>
      <c r="E93">
        <f ca="1">IFERROR(__xludf.DUMMYFUNCTION("""COMPUTED_VALUE"""),0.159)</f>
        <v>0.159</v>
      </c>
      <c r="F93">
        <f ca="1">IFERROR(__xludf.DUMMYFUNCTION("""COMPUTED_VALUE"""),1.912)</f>
        <v>1.9119999999999999</v>
      </c>
      <c r="G93">
        <f ca="1">IFERROR(__xludf.DUMMYFUNCTION("""COMPUTED_VALUE"""),12)</f>
        <v>12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IFERROR(__xludf.DUMMYFUNCTION("""COMPUTED_VALUE"""),83)</f>
        <v>83</v>
      </c>
      <c r="C94" t="str">
        <f ca="1">IFERROR(__xludf.DUMMYFUNCTION("""COMPUTED_VALUE"""),"Alex Noren")</f>
        <v>Alex Noren</v>
      </c>
      <c r="D94">
        <f ca="1">IFERROR(__xludf.DUMMYFUNCTION("""COMPUTED_VALUE"""),14)</f>
        <v>14</v>
      </c>
      <c r="E94">
        <f ca="1">IFERROR(__xludf.DUMMYFUNCTION("""COMPUTED_VALUE"""),0.153)</f>
        <v>0.153</v>
      </c>
      <c r="F94">
        <f ca="1">IFERROR(__xludf.DUMMYFUNCTION("""COMPUTED_VALUE"""),2.145)</f>
        <v>2.145</v>
      </c>
      <c r="G94">
        <f ca="1">IFERROR(__xludf.DUMMYFUNCTION("""COMPUTED_VALUE"""),14)</f>
        <v>14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IFERROR(__xludf.DUMMYFUNCTION("""COMPUTED_VALUE"""),"T88")</f>
        <v>T88</v>
      </c>
      <c r="C95" t="str">
        <f ca="1">IFERROR(__xludf.DUMMYFUNCTION("""COMPUTED_VALUE"""),"Brendan Steele")</f>
        <v>Brendan Steele</v>
      </c>
      <c r="D95">
        <f ca="1">IFERROR(__xludf.DUMMYFUNCTION("""COMPUTED_VALUE"""),14)</f>
        <v>14</v>
      </c>
      <c r="E95">
        <f ca="1">IFERROR(__xludf.DUMMYFUNCTION("""COMPUTED_VALUE"""),0.152)</f>
        <v>0.152</v>
      </c>
      <c r="F95">
        <f ca="1">IFERROR(__xludf.DUMMYFUNCTION("""COMPUTED_VALUE"""),2.134)</f>
        <v>2.1339999999999999</v>
      </c>
      <c r="G95">
        <f ca="1">IFERROR(__xludf.DUMMYFUNCTION("""COMPUTED_VALUE"""),14)</f>
        <v>14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IFERROR(__xludf.DUMMYFUNCTION("""COMPUTED_VALUE"""),"T88")</f>
        <v>T88</v>
      </c>
      <c r="C96" t="str">
        <f ca="1">IFERROR(__xludf.DUMMYFUNCTION("""COMPUTED_VALUE"""),"Cameron Smith")</f>
        <v>Cameron Smith</v>
      </c>
      <c r="D96">
        <f ca="1">IFERROR(__xludf.DUMMYFUNCTION("""COMPUTED_VALUE"""),16)</f>
        <v>16</v>
      </c>
      <c r="E96">
        <f ca="1">IFERROR(__xludf.DUMMYFUNCTION("""COMPUTED_VALUE"""),0.152)</f>
        <v>0.152</v>
      </c>
      <c r="F96">
        <f ca="1">IFERROR(__xludf.DUMMYFUNCTION("""COMPUTED_VALUE"""),2.433)</f>
        <v>2.4329999999999998</v>
      </c>
      <c r="G96">
        <f ca="1">IFERROR(__xludf.DUMMYFUNCTION("""COMPUTED_VALUE"""),16)</f>
        <v>16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IFERROR(__xludf.DUMMYFUNCTION("""COMPUTED_VALUE"""),105)</f>
        <v>105</v>
      </c>
      <c r="C97" t="str">
        <f ca="1">IFERROR(__xludf.DUMMYFUNCTION("""COMPUTED_VALUE"""),"Mark Hubbard")</f>
        <v>Mark Hubbard</v>
      </c>
      <c r="D97">
        <f ca="1">IFERROR(__xludf.DUMMYFUNCTION("""COMPUTED_VALUE"""),20)</f>
        <v>20</v>
      </c>
      <c r="E97">
        <f ca="1">IFERROR(__xludf.DUMMYFUNCTION("""COMPUTED_VALUE"""),0.151)</f>
        <v>0.151</v>
      </c>
      <c r="F97">
        <f ca="1">IFERROR(__xludf.DUMMYFUNCTION("""COMPUTED_VALUE"""),3.012)</f>
        <v>3.012</v>
      </c>
      <c r="G97">
        <f ca="1">IFERROR(__xludf.DUMMYFUNCTION("""COMPUTED_VALUE"""),20)</f>
        <v>20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IFERROR(__xludf.DUMMYFUNCTION("""COMPUTED_VALUE"""),"T135")</f>
        <v>T135</v>
      </c>
      <c r="C98" t="str">
        <f ca="1">IFERROR(__xludf.DUMMYFUNCTION("""COMPUTED_VALUE"""),"Danny Willett")</f>
        <v>Danny Willett</v>
      </c>
      <c r="D98">
        <f ca="1">IFERROR(__xludf.DUMMYFUNCTION("""COMPUTED_VALUE"""),7)</f>
        <v>7</v>
      </c>
      <c r="E98">
        <f ca="1">IFERROR(__xludf.DUMMYFUNCTION("""COMPUTED_VALUE"""),0.147)</f>
        <v>0.14699999999999999</v>
      </c>
      <c r="F98">
        <f ca="1">IFERROR(__xludf.DUMMYFUNCTION("""COMPUTED_VALUE"""),0.442)</f>
        <v>0.442</v>
      </c>
      <c r="G98">
        <f ca="1">IFERROR(__xludf.DUMMYFUNCTION("""COMPUTED_VALUE"""),3)</f>
        <v>3</v>
      </c>
    </row>
    <row r="99" spans="1:7" ht="12.75">
      <c r="A99" t="str">
        <f ca="1">IFERROR(__xludf.DUMMYFUNCTION("""COMPUTED_VALUE"""),"T97")</f>
        <v>T97</v>
      </c>
      <c r="B99">
        <f ca="1">IFERROR(__xludf.DUMMYFUNCTION("""COMPUTED_VALUE"""),91)</f>
        <v>91</v>
      </c>
      <c r="C99" t="str">
        <f ca="1">IFERROR(__xludf.DUMMYFUNCTION("""COMPUTED_VALUE"""),"J.B. Holmes")</f>
        <v>J.B. Holmes</v>
      </c>
      <c r="D99">
        <f ca="1">IFERROR(__xludf.DUMMYFUNCTION("""COMPUTED_VALUE"""),10)</f>
        <v>10</v>
      </c>
      <c r="E99">
        <f ca="1">IFERROR(__xludf.DUMMYFUNCTION("""COMPUTED_VALUE"""),0.147)</f>
        <v>0.14699999999999999</v>
      </c>
      <c r="F99">
        <f ca="1">IFERROR(__xludf.DUMMYFUNCTION("""COMPUTED_VALUE"""),1.473)</f>
        <v>1.4730000000000001</v>
      </c>
      <c r="G99">
        <f ca="1">IFERROR(__xludf.DUMMYFUNCTION("""COMPUTED_VALUE"""),10)</f>
        <v>10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IFERROR(__xludf.DUMMYFUNCTION("""COMPUTED_VALUE"""),92)</f>
        <v>92</v>
      </c>
      <c r="C100" t="str">
        <f ca="1">IFERROR(__xludf.DUMMYFUNCTION("""COMPUTED_VALUE"""),"Michael Gellerman")</f>
        <v>Michael Gellerman</v>
      </c>
      <c r="D100">
        <f ca="1">IFERROR(__xludf.DUMMYFUNCTION("""COMPUTED_VALUE"""),5)</f>
        <v>5</v>
      </c>
      <c r="E100">
        <f ca="1">IFERROR(__xludf.DUMMYFUNCTION("""COMPUTED_VALUE"""),0.146)</f>
        <v>0.14599999999999999</v>
      </c>
      <c r="F100">
        <f ca="1">IFERROR(__xludf.DUMMYFUNCTION("""COMPUTED_VALUE"""),0.292)</f>
        <v>0.29199999999999998</v>
      </c>
      <c r="G100">
        <f ca="1">IFERROR(__xludf.DUMMYFUNCTION("""COMPUTED_VALUE"""),2)</f>
        <v>2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IFERROR(__xludf.DUMMYFUNCTION("""COMPUTED_VALUE"""),45)</f>
        <v>45</v>
      </c>
      <c r="C101" t="str">
        <f ca="1">IFERROR(__xludf.DUMMYFUNCTION("""COMPUTED_VALUE"""),"John Huh")</f>
        <v>John Huh</v>
      </c>
      <c r="D101">
        <f ca="1">IFERROR(__xludf.DUMMYFUNCTION("""COMPUTED_VALUE"""),8)</f>
        <v>8</v>
      </c>
      <c r="E101">
        <f ca="1">IFERROR(__xludf.DUMMYFUNCTION("""COMPUTED_VALUE"""),0.138)</f>
        <v>0.13800000000000001</v>
      </c>
      <c r="F101">
        <f ca="1">IFERROR(__xludf.DUMMYFUNCTION("""COMPUTED_VALUE"""),1.105)</f>
        <v>1.105</v>
      </c>
      <c r="G101">
        <f ca="1">IFERROR(__xludf.DUMMYFUNCTION("""COMPUTED_VALUE"""),8)</f>
        <v>8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IFERROR(__xludf.DUMMYFUNCTION("""COMPUTED_VALUE"""),66)</f>
        <v>66</v>
      </c>
      <c r="C102" t="str">
        <f ca="1">IFERROR(__xludf.DUMMYFUNCTION("""COMPUTED_VALUE"""),"Keegan Bradley")</f>
        <v>Keegan Bradley</v>
      </c>
      <c r="D102">
        <f ca="1">IFERROR(__xludf.DUMMYFUNCTION("""COMPUTED_VALUE"""),16)</f>
        <v>16</v>
      </c>
      <c r="E102">
        <f ca="1">IFERROR(__xludf.DUMMYFUNCTION("""COMPUTED_VALUE"""),0.137)</f>
        <v>0.13700000000000001</v>
      </c>
      <c r="F102">
        <f ca="1">IFERROR(__xludf.DUMMYFUNCTION("""COMPUTED_VALUE"""),2.198)</f>
        <v>2.198</v>
      </c>
      <c r="G102">
        <f ca="1">IFERROR(__xludf.DUMMYFUNCTION("""COMPUTED_VALUE"""),16)</f>
        <v>16</v>
      </c>
    </row>
    <row r="103" spans="1:7" ht="12.75">
      <c r="A103">
        <f ca="1">IFERROR(__xludf.DUMMYFUNCTION("""COMPUTED_VALUE"""),102)</f>
        <v>102</v>
      </c>
      <c r="B103">
        <f ca="1">IFERROR(__xludf.DUMMYFUNCTION("""COMPUTED_VALUE"""),93)</f>
        <v>93</v>
      </c>
      <c r="C103" t="str">
        <f ca="1">IFERROR(__xludf.DUMMYFUNCTION("""COMPUTED_VALUE"""),"Cameron Champ")</f>
        <v>Cameron Champ</v>
      </c>
      <c r="D103">
        <f ca="1">IFERROR(__xludf.DUMMYFUNCTION("""COMPUTED_VALUE"""),12)</f>
        <v>12</v>
      </c>
      <c r="E103">
        <f ca="1">IFERROR(__xludf.DUMMYFUNCTION("""COMPUTED_VALUE"""),0.134)</f>
        <v>0.13400000000000001</v>
      </c>
      <c r="F103">
        <f ca="1">IFERROR(__xludf.DUMMYFUNCTION("""COMPUTED_VALUE"""),1.612)</f>
        <v>1.6120000000000001</v>
      </c>
      <c r="G103">
        <f ca="1">IFERROR(__xludf.DUMMYFUNCTION("""COMPUTED_VALUE"""),12)</f>
        <v>12</v>
      </c>
    </row>
    <row r="104" spans="1:7" ht="12.75">
      <c r="A104">
        <f ca="1">IFERROR(__xludf.DUMMYFUNCTION("""COMPUTED_VALUE"""),103)</f>
        <v>103</v>
      </c>
      <c r="B104">
        <f ca="1">IFERROR(__xludf.DUMMYFUNCTION("""COMPUTED_VALUE"""),94)</f>
        <v>94</v>
      </c>
      <c r="C104" t="str">
        <f ca="1">IFERROR(__xludf.DUMMYFUNCTION("""COMPUTED_VALUE"""),"Peter Malnati")</f>
        <v>Peter Malnati</v>
      </c>
      <c r="D104">
        <f ca="1">IFERROR(__xludf.DUMMYFUNCTION("""COMPUTED_VALUE"""),18)</f>
        <v>18</v>
      </c>
      <c r="E104">
        <f ca="1">IFERROR(__xludf.DUMMYFUNCTION("""COMPUTED_VALUE"""),0.133)</f>
        <v>0.13300000000000001</v>
      </c>
      <c r="F104">
        <f ca="1">IFERROR(__xludf.DUMMYFUNCTION("""COMPUTED_VALUE"""),1.328)</f>
        <v>1.3280000000000001</v>
      </c>
      <c r="G104">
        <f ca="1">IFERROR(__xludf.DUMMYFUNCTION("""COMPUTED_VALUE"""),10)</f>
        <v>10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IFERROR(__xludf.DUMMYFUNCTION("""COMPUTED_VALUE"""),22)</f>
        <v>22</v>
      </c>
      <c r="C105" t="str">
        <f ca="1">IFERROR(__xludf.DUMMYFUNCTION("""COMPUTED_VALUE"""),"Michael Kim")</f>
        <v>Michael Kim</v>
      </c>
      <c r="D105">
        <f ca="1">IFERROR(__xludf.DUMMYFUNCTION("""COMPUTED_VALUE"""),12)</f>
        <v>12</v>
      </c>
      <c r="E105">
        <f ca="1">IFERROR(__xludf.DUMMYFUNCTION("""COMPUTED_VALUE"""),0.131)</f>
        <v>0.13100000000000001</v>
      </c>
      <c r="F105">
        <f ca="1">IFERROR(__xludf.DUMMYFUNCTION("""COMPUTED_VALUE"""),1.045)</f>
        <v>1.0449999999999999</v>
      </c>
      <c r="G105">
        <f ca="1">IFERROR(__xludf.DUMMYFUNCTION("""COMPUTED_VALUE"""),8)</f>
        <v>8</v>
      </c>
    </row>
    <row r="106" spans="1:7" ht="12.75">
      <c r="A106">
        <f ca="1">IFERROR(__xludf.DUMMYFUNCTION("""COMPUTED_VALUE"""),105)</f>
        <v>105</v>
      </c>
      <c r="B106">
        <f ca="1">IFERROR(__xludf.DUMMYFUNCTION("""COMPUTED_VALUE"""),96)</f>
        <v>96</v>
      </c>
      <c r="C106" t="str">
        <f ca="1">IFERROR(__xludf.DUMMYFUNCTION("""COMPUTED_VALUE"""),"Jim Furyk")</f>
        <v>Jim Furyk</v>
      </c>
      <c r="D106">
        <f ca="1">IFERROR(__xludf.DUMMYFUNCTION("""COMPUTED_VALUE"""),4)</f>
        <v>4</v>
      </c>
      <c r="E106">
        <f ca="1">IFERROR(__xludf.DUMMYFUNCTION("""COMPUTED_VALUE"""),0.123)</f>
        <v>0.123</v>
      </c>
      <c r="F106">
        <f ca="1">IFERROR(__xludf.DUMMYFUNCTION("""COMPUTED_VALUE"""),0.49)</f>
        <v>0.49</v>
      </c>
      <c r="G106">
        <f ca="1">IFERROR(__xludf.DUMMYFUNCTION("""COMPUTED_VALUE"""),4)</f>
        <v>4</v>
      </c>
    </row>
    <row r="107" spans="1:7" ht="12.75">
      <c r="A107" t="str">
        <f ca="1">IFERROR(__xludf.DUMMYFUNCTION("""COMPUTED_VALUE"""),"T106")</f>
        <v>T106</v>
      </c>
      <c r="B107">
        <f ca="1">IFERROR(__xludf.DUMMYFUNCTION("""COMPUTED_VALUE"""),97)</f>
        <v>97</v>
      </c>
      <c r="C107" t="str">
        <f ca="1">IFERROR(__xludf.DUMMYFUNCTION("""COMPUTED_VALUE"""),"Nick Watney")</f>
        <v>Nick Watney</v>
      </c>
      <c r="D107">
        <f ca="1">IFERROR(__xludf.DUMMYFUNCTION("""COMPUTED_VALUE"""),10)</f>
        <v>10</v>
      </c>
      <c r="E107">
        <f ca="1">IFERROR(__xludf.DUMMYFUNCTION("""COMPUTED_VALUE"""),0.121)</f>
        <v>0.121</v>
      </c>
      <c r="F107">
        <f ca="1">IFERROR(__xludf.DUMMYFUNCTION("""COMPUTED_VALUE"""),0.965)</f>
        <v>0.96499999999999997</v>
      </c>
      <c r="G107">
        <f ca="1">IFERROR(__xludf.DUMMYFUNCTION("""COMPUTED_VALUE"""),8)</f>
        <v>8</v>
      </c>
    </row>
    <row r="108" spans="1:7" ht="12.75">
      <c r="A108" t="str">
        <f ca="1">IFERROR(__xludf.DUMMYFUNCTION("""COMPUTED_VALUE"""),"T106")</f>
        <v>T106</v>
      </c>
      <c r="B108">
        <f ca="1">IFERROR(__xludf.DUMMYFUNCTION("""COMPUTED_VALUE"""),106)</f>
        <v>106</v>
      </c>
      <c r="C108" t="str">
        <f ca="1">IFERROR(__xludf.DUMMYFUNCTION("""COMPUTED_VALUE"""),"Brandt Snedeker")</f>
        <v>Brandt Snedeker</v>
      </c>
      <c r="D108">
        <f ca="1">IFERROR(__xludf.DUMMYFUNCTION("""COMPUTED_VALUE"""),16)</f>
        <v>16</v>
      </c>
      <c r="E108">
        <f ca="1">IFERROR(__xludf.DUMMYFUNCTION("""COMPUTED_VALUE"""),0.121)</f>
        <v>0.121</v>
      </c>
      <c r="F108">
        <f ca="1">IFERROR(__xludf.DUMMYFUNCTION("""COMPUTED_VALUE"""),1.938)</f>
        <v>1.9379999999999999</v>
      </c>
      <c r="G108">
        <f ca="1">IFERROR(__xludf.DUMMYFUNCTION("""COMPUTED_VALUE"""),16)</f>
        <v>16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IFERROR(__xludf.DUMMYFUNCTION("""COMPUTED_VALUE"""),98)</f>
        <v>98</v>
      </c>
      <c r="C109" t="str">
        <f ca="1">IFERROR(__xludf.DUMMYFUNCTION("""COMPUTED_VALUE"""),"Ryan Palmer")</f>
        <v>Ryan Palmer</v>
      </c>
      <c r="D109">
        <f ca="1">IFERROR(__xludf.DUMMYFUNCTION("""COMPUTED_VALUE"""),14)</f>
        <v>14</v>
      </c>
      <c r="E109">
        <f ca="1">IFERROR(__xludf.DUMMYFUNCTION("""COMPUTED_VALUE"""),0.117)</f>
        <v>0.11700000000000001</v>
      </c>
      <c r="F109">
        <f ca="1">IFERROR(__xludf.DUMMYFUNCTION("""COMPUTED_VALUE"""),1.637)</f>
        <v>1.637</v>
      </c>
      <c r="G109">
        <f ca="1">IFERROR(__xludf.DUMMYFUNCTION("""COMPUTED_VALUE"""),14)</f>
        <v>14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IFERROR(__xludf.DUMMYFUNCTION("""COMPUTED_VALUE"""),99)</f>
        <v>99</v>
      </c>
      <c r="C110" t="str">
        <f ca="1">IFERROR(__xludf.DUMMYFUNCTION("""COMPUTED_VALUE"""),"Kyle Stanley")</f>
        <v>Kyle Stanley</v>
      </c>
      <c r="D110">
        <f ca="1">IFERROR(__xludf.DUMMYFUNCTION("""COMPUTED_VALUE"""),16)</f>
        <v>16</v>
      </c>
      <c r="E110">
        <f ca="1">IFERROR(__xludf.DUMMYFUNCTION("""COMPUTED_VALUE"""),0.116)</f>
        <v>0.11600000000000001</v>
      </c>
      <c r="F110">
        <f ca="1">IFERROR(__xludf.DUMMYFUNCTION("""COMPUTED_VALUE"""),0.928)</f>
        <v>0.92800000000000005</v>
      </c>
      <c r="G110">
        <f ca="1">IFERROR(__xludf.DUMMYFUNCTION("""COMPUTED_VALUE"""),8)</f>
        <v>8</v>
      </c>
    </row>
    <row r="111" spans="1:7" ht="12.75">
      <c r="A111">
        <f ca="1">IFERROR(__xludf.DUMMYFUNCTION("""COMPUTED_VALUE"""),110)</f>
        <v>110</v>
      </c>
      <c r="B111" t="str">
        <f ca="1">IFERROR(__xludf.DUMMYFUNCTION("""COMPUTED_VALUE"""),"T100")</f>
        <v>T100</v>
      </c>
      <c r="C111" t="str">
        <f ca="1">IFERROR(__xludf.DUMMYFUNCTION("""COMPUTED_VALUE"""),"Rob Oppenheim")</f>
        <v>Rob Oppenheim</v>
      </c>
      <c r="D111">
        <f ca="1">IFERROR(__xludf.DUMMYFUNCTION("""COMPUTED_VALUE"""),16)</f>
        <v>16</v>
      </c>
      <c r="E111">
        <f ca="1">IFERROR(__xludf.DUMMYFUNCTION("""COMPUTED_VALUE"""),0.115)</f>
        <v>0.115</v>
      </c>
      <c r="F111">
        <f ca="1">IFERROR(__xludf.DUMMYFUNCTION("""COMPUTED_VALUE"""),1.149)</f>
        <v>1.149</v>
      </c>
      <c r="G111">
        <f ca="1">IFERROR(__xludf.DUMMYFUNCTION("""COMPUTED_VALUE"""),10)</f>
        <v>10</v>
      </c>
    </row>
    <row r="112" spans="1:7" ht="12.75">
      <c r="A112">
        <f ca="1">IFERROR(__xludf.DUMMYFUNCTION("""COMPUTED_VALUE"""),111)</f>
        <v>111</v>
      </c>
      <c r="B112" t="str">
        <f ca="1">IFERROR(__xludf.DUMMYFUNCTION("""COMPUTED_VALUE"""),"T144")</f>
        <v>T144</v>
      </c>
      <c r="C112" t="str">
        <f ca="1">IFERROR(__xludf.DUMMYFUNCTION("""COMPUTED_VALUE"""),"Henrik Stenson")</f>
        <v>Henrik Stenson</v>
      </c>
      <c r="D112">
        <f ca="1">IFERROR(__xludf.DUMMYFUNCTION("""COMPUTED_VALUE"""),11)</f>
        <v>11</v>
      </c>
      <c r="E112">
        <f ca="1">IFERROR(__xludf.DUMMYFUNCTION("""COMPUTED_VALUE"""),0.111)</f>
        <v>0.111</v>
      </c>
      <c r="F112">
        <f ca="1">IFERROR(__xludf.DUMMYFUNCTION("""COMPUTED_VALUE"""),0.665)</f>
        <v>0.66500000000000004</v>
      </c>
      <c r="G112">
        <f ca="1">IFERROR(__xludf.DUMMYFUNCTION("""COMPUTED_VALUE"""),6)</f>
        <v>6</v>
      </c>
    </row>
    <row r="113" spans="1:7" ht="12.75">
      <c r="A113">
        <f ca="1">IFERROR(__xludf.DUMMYFUNCTION("""COMPUTED_VALUE"""),112)</f>
        <v>112</v>
      </c>
      <c r="B113">
        <f ca="1">IFERROR(__xludf.DUMMYFUNCTION("""COMPUTED_VALUE"""),194)</f>
        <v>194</v>
      </c>
      <c r="C113" t="str">
        <f ca="1">IFERROR(__xludf.DUMMYFUNCTION("""COMPUTED_VALUE"""),"Jason Day")</f>
        <v>Jason Day</v>
      </c>
      <c r="D113">
        <f ca="1">IFERROR(__xludf.DUMMYFUNCTION("""COMPUTED_VALUE"""),17)</f>
        <v>17</v>
      </c>
      <c r="E113">
        <f ca="1">IFERROR(__xludf.DUMMYFUNCTION("""COMPUTED_VALUE"""),0.095)</f>
        <v>9.5000000000000001E-2</v>
      </c>
      <c r="F113">
        <f ca="1">IFERROR(__xludf.DUMMYFUNCTION("""COMPUTED_VALUE"""),1.62)</f>
        <v>1.62</v>
      </c>
      <c r="G113">
        <f ca="1">IFERROR(__xludf.DUMMYFUNCTION("""COMPUTED_VALUE"""),17)</f>
        <v>17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IFERROR(__xludf.DUMMYFUNCTION("""COMPUTED_VALUE"""),71)</f>
        <v>71</v>
      </c>
      <c r="C114" t="str">
        <f ca="1">IFERROR(__xludf.DUMMYFUNCTION("""COMPUTED_VALUE"""),"Phil Mickelson")</f>
        <v>Phil Mickelson</v>
      </c>
      <c r="D114">
        <f ca="1">IFERROR(__xludf.DUMMYFUNCTION("""COMPUTED_VALUE"""),12)</f>
        <v>12</v>
      </c>
      <c r="E114">
        <f ca="1">IFERROR(__xludf.DUMMYFUNCTION("""COMPUTED_VALUE"""),0.089)</f>
        <v>8.8999999999999996E-2</v>
      </c>
      <c r="F114">
        <f ca="1">IFERROR(__xludf.DUMMYFUNCTION("""COMPUTED_VALUE"""),1.066)</f>
        <v>1.0660000000000001</v>
      </c>
      <c r="G114">
        <f ca="1">IFERROR(__xludf.DUMMYFUNCTION("""COMPUTED_VALUE"""),12)</f>
        <v>12</v>
      </c>
    </row>
    <row r="115" spans="1:7" ht="12.75">
      <c r="A115">
        <f ca="1">IFERROR(__xludf.DUMMYFUNCTION("""COMPUTED_VALUE"""),114)</f>
        <v>114</v>
      </c>
      <c r="B115">
        <f ca="1">IFERROR(__xludf.DUMMYFUNCTION("""COMPUTED_VALUE"""),103)</f>
        <v>103</v>
      </c>
      <c r="C115" t="str">
        <f ca="1">IFERROR(__xludf.DUMMYFUNCTION("""COMPUTED_VALUE"""),"Andrew Putnam")</f>
        <v>Andrew Putnam</v>
      </c>
      <c r="D115">
        <f ca="1">IFERROR(__xludf.DUMMYFUNCTION("""COMPUTED_VALUE"""),19)</f>
        <v>19</v>
      </c>
      <c r="E115">
        <f ca="1">IFERROR(__xludf.DUMMYFUNCTION("""COMPUTED_VALUE"""),0.086)</f>
        <v>8.5999999999999993E-2</v>
      </c>
      <c r="F115">
        <f ca="1">IFERROR(__xludf.DUMMYFUNCTION("""COMPUTED_VALUE"""),1.285)</f>
        <v>1.2849999999999999</v>
      </c>
      <c r="G115">
        <f ca="1">IFERROR(__xludf.DUMMYFUNCTION("""COMPUTED_VALUE"""),15)</f>
        <v>15</v>
      </c>
    </row>
    <row r="116" spans="1:7" ht="12.75">
      <c r="A116">
        <f ca="1">IFERROR(__xludf.DUMMYFUNCTION("""COMPUTED_VALUE"""),115)</f>
        <v>115</v>
      </c>
      <c r="B116">
        <f ca="1">IFERROR(__xludf.DUMMYFUNCTION("""COMPUTED_VALUE"""),141)</f>
        <v>141</v>
      </c>
      <c r="C116" t="str">
        <f ca="1">IFERROR(__xludf.DUMMYFUNCTION("""COMPUTED_VALUE"""),"Kevin Streelman")</f>
        <v>Kevin Streelman</v>
      </c>
      <c r="D116">
        <f ca="1">IFERROR(__xludf.DUMMYFUNCTION("""COMPUTED_VALUE"""),18)</f>
        <v>18</v>
      </c>
      <c r="E116">
        <f ca="1">IFERROR(__xludf.DUMMYFUNCTION("""COMPUTED_VALUE"""),0.085)</f>
        <v>8.5000000000000006E-2</v>
      </c>
      <c r="F116">
        <f ca="1">IFERROR(__xludf.DUMMYFUNCTION("""COMPUTED_VALUE"""),1.526)</f>
        <v>1.526</v>
      </c>
      <c r="G116">
        <f ca="1">IFERROR(__xludf.DUMMYFUNCTION("""COMPUTED_VALUE"""),18)</f>
        <v>18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IFERROR(__xludf.DUMMYFUNCTION("""COMPUTED_VALUE"""),108)</f>
        <v>108</v>
      </c>
      <c r="C117" t="str">
        <f ca="1">IFERROR(__xludf.DUMMYFUNCTION("""COMPUTED_VALUE"""),"Rafa Cabrera Bello")</f>
        <v>Rafa Cabrera Bello</v>
      </c>
      <c r="D117">
        <f ca="1">IFERROR(__xludf.DUMMYFUNCTION("""COMPUTED_VALUE"""),14)</f>
        <v>14</v>
      </c>
      <c r="E117">
        <f ca="1">IFERROR(__xludf.DUMMYFUNCTION("""COMPUTED_VALUE"""),0.083)</f>
        <v>8.3000000000000004E-2</v>
      </c>
      <c r="F117">
        <f ca="1">IFERROR(__xludf.DUMMYFUNCTION("""COMPUTED_VALUE"""),0.997)</f>
        <v>0.997</v>
      </c>
      <c r="G117">
        <f ca="1">IFERROR(__xludf.DUMMYFUNCTION("""COMPUTED_VALUE"""),12)</f>
        <v>12</v>
      </c>
    </row>
    <row r="118" spans="1:7" ht="12.75">
      <c r="A118">
        <f ca="1">IFERROR(__xludf.DUMMYFUNCTION("""COMPUTED_VALUE"""),117)</f>
        <v>117</v>
      </c>
      <c r="B118" t="str">
        <f ca="1">IFERROR(__xludf.DUMMYFUNCTION("""COMPUTED_VALUE"""),"T109")</f>
        <v>T109</v>
      </c>
      <c r="C118" t="str">
        <f ca="1">IFERROR(__xludf.DUMMYFUNCTION("""COMPUTED_VALUE"""),"K.J. Choi")</f>
        <v>K.J. Choi</v>
      </c>
      <c r="D118">
        <f ca="1">IFERROR(__xludf.DUMMYFUNCTION("""COMPUTED_VALUE"""),6)</f>
        <v>6</v>
      </c>
      <c r="E118">
        <f ca="1">IFERROR(__xludf.DUMMYFUNCTION("""COMPUTED_VALUE"""),0.077)</f>
        <v>7.6999999999999999E-2</v>
      </c>
      <c r="F118">
        <f ca="1">IFERROR(__xludf.DUMMYFUNCTION("""COMPUTED_VALUE"""),0.46)</f>
        <v>0.46</v>
      </c>
      <c r="G118">
        <f ca="1">IFERROR(__xludf.DUMMYFUNCTION("""COMPUTED_VALUE"""),6)</f>
        <v>6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IFERROR(__xludf.DUMMYFUNCTION("""COMPUTED_VALUE"""),124)</f>
        <v>124</v>
      </c>
      <c r="C119" t="str">
        <f ca="1">IFERROR(__xludf.DUMMYFUNCTION("""COMPUTED_VALUE"""),"Chris Kirk")</f>
        <v>Chris Kirk</v>
      </c>
      <c r="D119">
        <f ca="1">IFERROR(__xludf.DUMMYFUNCTION("""COMPUTED_VALUE"""),10)</f>
        <v>10</v>
      </c>
      <c r="E119">
        <f ca="1">IFERROR(__xludf.DUMMYFUNCTION("""COMPUTED_VALUE"""),0.074)</f>
        <v>7.3999999999999996E-2</v>
      </c>
      <c r="F119">
        <f ca="1">IFERROR(__xludf.DUMMYFUNCTION("""COMPUTED_VALUE"""),0.589)</f>
        <v>0.58899999999999997</v>
      </c>
      <c r="G119">
        <f ca="1">IFERROR(__xludf.DUMMYFUNCTION("""COMPUTED_VALUE"""),8)</f>
        <v>8</v>
      </c>
    </row>
    <row r="120" spans="1:7" ht="12.75">
      <c r="A120" t="str">
        <f ca="1">IFERROR(__xludf.DUMMYFUNCTION("""COMPUTED_VALUE"""),"T119")</f>
        <v>T119</v>
      </c>
      <c r="B120">
        <f ca="1">IFERROR(__xludf.DUMMYFUNCTION("""COMPUTED_VALUE"""),86)</f>
        <v>86</v>
      </c>
      <c r="C120" t="str">
        <f ca="1">IFERROR(__xludf.DUMMYFUNCTION("""COMPUTED_VALUE"""),"James Hahn")</f>
        <v>James Hahn</v>
      </c>
      <c r="D120">
        <f ca="1">IFERROR(__xludf.DUMMYFUNCTION("""COMPUTED_VALUE"""),16)</f>
        <v>16</v>
      </c>
      <c r="E120">
        <f ca="1">IFERROR(__xludf.DUMMYFUNCTION("""COMPUTED_VALUE"""),0.071)</f>
        <v>7.0999999999999994E-2</v>
      </c>
      <c r="F120">
        <f ca="1">IFERROR(__xludf.DUMMYFUNCTION("""COMPUTED_VALUE"""),0.857)</f>
        <v>0.85699999999999998</v>
      </c>
      <c r="G120">
        <f ca="1">IFERROR(__xludf.DUMMYFUNCTION("""COMPUTED_VALUE"""),12)</f>
        <v>12</v>
      </c>
    </row>
    <row r="121" spans="1:7" ht="12.75">
      <c r="A121" t="str">
        <f ca="1">IFERROR(__xludf.DUMMYFUNCTION("""COMPUTED_VALUE"""),"T119")</f>
        <v>T119</v>
      </c>
      <c r="B121">
        <f ca="1">IFERROR(__xludf.DUMMYFUNCTION("""COMPUTED_VALUE"""),113)</f>
        <v>113</v>
      </c>
      <c r="C121" t="str">
        <f ca="1">IFERROR(__xludf.DUMMYFUNCTION("""COMPUTED_VALUE"""),"Jon Rahm")</f>
        <v>Jon Rahm</v>
      </c>
      <c r="D121">
        <f ca="1">IFERROR(__xludf.DUMMYFUNCTION("""COMPUTED_VALUE"""),12)</f>
        <v>12</v>
      </c>
      <c r="E121">
        <f ca="1">IFERROR(__xludf.DUMMYFUNCTION("""COMPUTED_VALUE"""),0.071)</f>
        <v>7.0999999999999994E-2</v>
      </c>
      <c r="F121">
        <f ca="1">IFERROR(__xludf.DUMMYFUNCTION("""COMPUTED_VALUE"""),0.857)</f>
        <v>0.85699999999999998</v>
      </c>
      <c r="G121">
        <f ca="1">IFERROR(__xludf.DUMMYFUNCTION("""COMPUTED_VALUE"""),12)</f>
        <v>12</v>
      </c>
    </row>
    <row r="122" spans="1:7" ht="12.75">
      <c r="A122">
        <f ca="1">IFERROR(__xludf.DUMMYFUNCTION("""COMPUTED_VALUE"""),121)</f>
        <v>121</v>
      </c>
      <c r="B122" t="str">
        <f ca="1">IFERROR(__xludf.DUMMYFUNCTION("""COMPUTED_VALUE"""),"T114")</f>
        <v>T114</v>
      </c>
      <c r="C122" t="str">
        <f ca="1">IFERROR(__xludf.DUMMYFUNCTION("""COMPUTED_VALUE"""),"Chez Reavie")</f>
        <v>Chez Reavie</v>
      </c>
      <c r="D122">
        <f ca="1">IFERROR(__xludf.DUMMYFUNCTION("""COMPUTED_VALUE"""),14)</f>
        <v>14</v>
      </c>
      <c r="E122">
        <f ca="1">IFERROR(__xludf.DUMMYFUNCTION("""COMPUTED_VALUE"""),0.07)</f>
        <v>7.0000000000000007E-2</v>
      </c>
      <c r="F122">
        <f ca="1">IFERROR(__xludf.DUMMYFUNCTION("""COMPUTED_VALUE"""),0.978)</f>
        <v>0.97799999999999998</v>
      </c>
      <c r="G122">
        <f ca="1">IFERROR(__xludf.DUMMYFUNCTION("""COMPUTED_VALUE"""),14)</f>
        <v>14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IFERROR(__xludf.DUMMYFUNCTION("""COMPUTED_VALUE"""),29)</f>
        <v>29</v>
      </c>
      <c r="C123" t="str">
        <f ca="1">IFERROR(__xludf.DUMMYFUNCTION("""COMPUTED_VALUE"""),"Kristoffer Ventura")</f>
        <v>Kristoffer Ventura</v>
      </c>
      <c r="D123">
        <f ca="1">IFERROR(__xludf.DUMMYFUNCTION("""COMPUTED_VALUE"""),20)</f>
        <v>20</v>
      </c>
      <c r="E123">
        <f ca="1">IFERROR(__xludf.DUMMYFUNCTION("""COMPUTED_VALUE"""),0.069)</f>
        <v>6.9000000000000006E-2</v>
      </c>
      <c r="F123">
        <f ca="1">IFERROR(__xludf.DUMMYFUNCTION("""COMPUTED_VALUE"""),0.963)</f>
        <v>0.96299999999999997</v>
      </c>
      <c r="G123">
        <f ca="1">IFERROR(__xludf.DUMMYFUNCTION("""COMPUTED_VALUE"""),14)</f>
        <v>14</v>
      </c>
    </row>
    <row r="124" spans="1:7" ht="12.75">
      <c r="A124" t="str">
        <f ca="1">IFERROR(__xludf.DUMMYFUNCTION("""COMPUTED_VALUE"""),"T123")</f>
        <v>T123</v>
      </c>
      <c r="B124">
        <f ca="1">IFERROR(__xludf.DUMMYFUNCTION("""COMPUTED_VALUE"""),116)</f>
        <v>116</v>
      </c>
      <c r="C124" t="str">
        <f ca="1">IFERROR(__xludf.DUMMYFUNCTION("""COMPUTED_VALUE"""),"Joel Dahmen")</f>
        <v>Joel Dahmen</v>
      </c>
      <c r="D124">
        <f ca="1">IFERROR(__xludf.DUMMYFUNCTION("""COMPUTED_VALUE"""),18)</f>
        <v>18</v>
      </c>
      <c r="E124">
        <f ca="1">IFERROR(__xludf.DUMMYFUNCTION("""COMPUTED_VALUE"""),0.067)</f>
        <v>6.7000000000000004E-2</v>
      </c>
      <c r="F124">
        <f ca="1">IFERROR(__xludf.DUMMYFUNCTION("""COMPUTED_VALUE"""),1.211)</f>
        <v>1.2110000000000001</v>
      </c>
      <c r="G124">
        <f ca="1">IFERROR(__xludf.DUMMYFUNCTION("""COMPUTED_VALUE"""),18)</f>
        <v>18</v>
      </c>
    </row>
    <row r="125" spans="1:7" ht="12.75">
      <c r="A125" t="str">
        <f ca="1">IFERROR(__xludf.DUMMYFUNCTION("""COMPUTED_VALUE"""),"T123")</f>
        <v>T123</v>
      </c>
      <c r="B125">
        <f ca="1">IFERROR(__xludf.DUMMYFUNCTION("""COMPUTED_VALUE"""),205)</f>
        <v>205</v>
      </c>
      <c r="C125" t="str">
        <f ca="1">IFERROR(__xludf.DUMMYFUNCTION("""COMPUTED_VALUE"""),"Cameron Tringale")</f>
        <v>Cameron Tringale</v>
      </c>
      <c r="D125">
        <f ca="1">IFERROR(__xludf.DUMMYFUNCTION("""COMPUTED_VALUE"""),16)</f>
        <v>16</v>
      </c>
      <c r="E125">
        <f ca="1">IFERROR(__xludf.DUMMYFUNCTION("""COMPUTED_VALUE"""),0.067)</f>
        <v>6.7000000000000004E-2</v>
      </c>
      <c r="F125">
        <f ca="1">IFERROR(__xludf.DUMMYFUNCTION("""COMPUTED_VALUE"""),0.933)</f>
        <v>0.93300000000000005</v>
      </c>
      <c r="G125">
        <f ca="1">IFERROR(__xludf.DUMMYFUNCTION("""COMPUTED_VALUE"""),14)</f>
        <v>14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IFERROR(__xludf.DUMMYFUNCTION("""COMPUTED_VALUE"""),117)</f>
        <v>117</v>
      </c>
      <c r="C126" t="str">
        <f ca="1">IFERROR(__xludf.DUMMYFUNCTION("""COMPUTED_VALUE"""),"Billy Horschel")</f>
        <v>Billy Horschel</v>
      </c>
      <c r="D126">
        <f ca="1">IFERROR(__xludf.DUMMYFUNCTION("""COMPUTED_VALUE"""),12)</f>
        <v>12</v>
      </c>
      <c r="E126">
        <f ca="1">IFERROR(__xludf.DUMMYFUNCTION("""COMPUTED_VALUE"""),0.064)</f>
        <v>6.4000000000000001E-2</v>
      </c>
      <c r="F126">
        <f ca="1">IFERROR(__xludf.DUMMYFUNCTION("""COMPUTED_VALUE"""),0.769)</f>
        <v>0.76900000000000002</v>
      </c>
      <c r="G126">
        <f ca="1">IFERROR(__xludf.DUMMYFUNCTION("""COMPUTED_VALUE"""),12)</f>
        <v>12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IFERROR(__xludf.DUMMYFUNCTION("""COMPUTED_VALUE"""),137)</f>
        <v>137</v>
      </c>
      <c r="C127" t="str">
        <f ca="1">IFERROR(__xludf.DUMMYFUNCTION("""COMPUTED_VALUE"""),"Ted Potter, Jr.")</f>
        <v>Ted Potter, Jr.</v>
      </c>
      <c r="D127">
        <f ca="1">IFERROR(__xludf.DUMMYFUNCTION("""COMPUTED_VALUE"""),8)</f>
        <v>8</v>
      </c>
      <c r="E127">
        <f ca="1">IFERROR(__xludf.DUMMYFUNCTION("""COMPUTED_VALUE"""),0.058)</f>
        <v>5.8000000000000003E-2</v>
      </c>
      <c r="F127">
        <f ca="1">IFERROR(__xludf.DUMMYFUNCTION("""COMPUTED_VALUE"""),0.461)</f>
        <v>0.46100000000000002</v>
      </c>
      <c r="G127">
        <f ca="1">IFERROR(__xludf.DUMMYFUNCTION("""COMPUTED_VALUE"""),8)</f>
        <v>8</v>
      </c>
    </row>
    <row r="128" spans="1:7" ht="12.75">
      <c r="A128">
        <f ca="1">IFERROR(__xludf.DUMMYFUNCTION("""COMPUTED_VALUE"""),127)</f>
        <v>127</v>
      </c>
      <c r="B128">
        <f ca="1">IFERROR(__xludf.DUMMYFUNCTION("""COMPUTED_VALUE"""),121)</f>
        <v>121</v>
      </c>
      <c r="C128" t="str">
        <f ca="1">IFERROR(__xludf.DUMMYFUNCTION("""COMPUTED_VALUE"""),"Harry Higgs")</f>
        <v>Harry Higgs</v>
      </c>
      <c r="D128">
        <f ca="1">IFERROR(__xludf.DUMMYFUNCTION("""COMPUTED_VALUE"""),14)</f>
        <v>14</v>
      </c>
      <c r="E128">
        <f ca="1">IFERROR(__xludf.DUMMYFUNCTION("""COMPUTED_VALUE"""),0.048)</f>
        <v>4.8000000000000001E-2</v>
      </c>
      <c r="F128">
        <f ca="1">IFERROR(__xludf.DUMMYFUNCTION("""COMPUTED_VALUE"""),0.678)</f>
        <v>0.67800000000000005</v>
      </c>
      <c r="G128">
        <f ca="1">IFERROR(__xludf.DUMMYFUNCTION("""COMPUTED_VALUE"""),14)</f>
        <v>14</v>
      </c>
    </row>
    <row r="129" spans="1:7" ht="12.75">
      <c r="A129">
        <f ca="1">IFERROR(__xludf.DUMMYFUNCTION("""COMPUTED_VALUE"""),128)</f>
        <v>128</v>
      </c>
      <c r="B129" t="str">
        <f ca="1">IFERROR(__xludf.DUMMYFUNCTION("""COMPUTED_VALUE"""),"T175")</f>
        <v>T175</v>
      </c>
      <c r="C129" t="str">
        <f ca="1">IFERROR(__xludf.DUMMYFUNCTION("""COMPUTED_VALUE"""),"Scott Harrington")</f>
        <v>Scott Harrington</v>
      </c>
      <c r="D129">
        <f ca="1">IFERROR(__xludf.DUMMYFUNCTION("""COMPUTED_VALUE"""),18)</f>
        <v>18</v>
      </c>
      <c r="E129">
        <f ca="1">IFERROR(__xludf.DUMMYFUNCTION("""COMPUTED_VALUE"""),0.043)</f>
        <v>4.2999999999999997E-2</v>
      </c>
      <c r="F129">
        <f ca="1">IFERROR(__xludf.DUMMYFUNCTION("""COMPUTED_VALUE"""),0.521)</f>
        <v>0.52100000000000002</v>
      </c>
      <c r="G129">
        <f ca="1">IFERROR(__xludf.DUMMYFUNCTION("""COMPUTED_VALUE"""),12)</f>
        <v>12</v>
      </c>
    </row>
    <row r="130" spans="1:7" ht="12.75">
      <c r="A130">
        <f ca="1">IFERROR(__xludf.DUMMYFUNCTION("""COMPUTED_VALUE"""),129)</f>
        <v>129</v>
      </c>
      <c r="B130" t="str">
        <f ca="1">IFERROR(__xludf.DUMMYFUNCTION("""COMPUTED_VALUE"""),"T166")</f>
        <v>T166</v>
      </c>
      <c r="C130" t="str">
        <f ca="1">IFERROR(__xludf.DUMMYFUNCTION("""COMPUTED_VALUE"""),"Brian Harman")</f>
        <v>Brian Harman</v>
      </c>
      <c r="D130">
        <f ca="1">IFERROR(__xludf.DUMMYFUNCTION("""COMPUTED_VALUE"""),24)</f>
        <v>24</v>
      </c>
      <c r="E130">
        <f ca="1">IFERROR(__xludf.DUMMYFUNCTION("""COMPUTED_VALUE"""),0.029)</f>
        <v>2.9000000000000001E-2</v>
      </c>
      <c r="F130">
        <f ca="1">IFERROR(__xludf.DUMMYFUNCTION("""COMPUTED_VALUE"""),0.69)</f>
        <v>0.69</v>
      </c>
      <c r="G130">
        <f ca="1">IFERROR(__xludf.DUMMYFUNCTION("""COMPUTED_VALUE"""),24)</f>
        <v>24</v>
      </c>
    </row>
    <row r="131" spans="1:7" ht="12.75">
      <c r="A131" t="str">
        <f ca="1">IFERROR(__xludf.DUMMYFUNCTION("""COMPUTED_VALUE"""),"T130")</f>
        <v>T130</v>
      </c>
      <c r="B131">
        <f ca="1">IFERROR(__xludf.DUMMYFUNCTION("""COMPUTED_VALUE"""),118)</f>
        <v>118</v>
      </c>
      <c r="C131" t="str">
        <f ca="1">IFERROR(__xludf.DUMMYFUNCTION("""COMPUTED_VALUE"""),"Michael Thompson")</f>
        <v>Michael Thompson</v>
      </c>
      <c r="D131">
        <f ca="1">IFERROR(__xludf.DUMMYFUNCTION("""COMPUTED_VALUE"""),16)</f>
        <v>16</v>
      </c>
      <c r="E131">
        <f ca="1">IFERROR(__xludf.DUMMYFUNCTION("""COMPUTED_VALUE"""),0.025)</f>
        <v>2.5000000000000001E-2</v>
      </c>
      <c r="F131">
        <f ca="1">IFERROR(__xludf.DUMMYFUNCTION("""COMPUTED_VALUE"""),0.394)</f>
        <v>0.39400000000000002</v>
      </c>
      <c r="G131">
        <f ca="1">IFERROR(__xludf.DUMMYFUNCTION("""COMPUTED_VALUE"""),16)</f>
        <v>16</v>
      </c>
    </row>
    <row r="132" spans="1:7" ht="12.75">
      <c r="A132" t="str">
        <f ca="1">IFERROR(__xludf.DUMMYFUNCTION("""COMPUTED_VALUE"""),"T130")</f>
        <v>T130</v>
      </c>
      <c r="B132">
        <f ca="1">IFERROR(__xludf.DUMMYFUNCTION("""COMPUTED_VALUE"""),172)</f>
        <v>172</v>
      </c>
      <c r="C132" t="str">
        <f ca="1">IFERROR(__xludf.DUMMYFUNCTION("""COMPUTED_VALUE"""),"Andrew Landry")</f>
        <v>Andrew Landry</v>
      </c>
      <c r="D132">
        <f ca="1">IFERROR(__xludf.DUMMYFUNCTION("""COMPUTED_VALUE"""),14)</f>
        <v>14</v>
      </c>
      <c r="E132">
        <f ca="1">IFERROR(__xludf.DUMMYFUNCTION("""COMPUTED_VALUE"""),0.025)</f>
        <v>2.5000000000000001E-2</v>
      </c>
      <c r="F132">
        <f ca="1">IFERROR(__xludf.DUMMYFUNCTION("""COMPUTED_VALUE"""),0.356)</f>
        <v>0.35599999999999998</v>
      </c>
      <c r="G132">
        <f ca="1">IFERROR(__xludf.DUMMYFUNCTION("""COMPUTED_VALUE"""),14)</f>
        <v>14</v>
      </c>
    </row>
    <row r="133" spans="1:7" ht="12.75">
      <c r="A133">
        <f ca="1">IFERROR(__xludf.DUMMYFUNCTION("""COMPUTED_VALUE"""),132)</f>
        <v>132</v>
      </c>
      <c r="B133" t="str">
        <f ca="1">IFERROR(__xludf.DUMMYFUNCTION("""COMPUTED_VALUE"""),"T109")</f>
        <v>T109</v>
      </c>
      <c r="C133" t="str">
        <f ca="1">IFERROR(__xludf.DUMMYFUNCTION("""COMPUTED_VALUE"""),"Sepp Straka")</f>
        <v>Sepp Straka</v>
      </c>
      <c r="D133">
        <f ca="1">IFERROR(__xludf.DUMMYFUNCTION("""COMPUTED_VALUE"""),22)</f>
        <v>22</v>
      </c>
      <c r="E133">
        <f ca="1">IFERROR(__xludf.DUMMYFUNCTION("""COMPUTED_VALUE"""),0.02)</f>
        <v>0.02</v>
      </c>
      <c r="F133">
        <f ca="1">IFERROR(__xludf.DUMMYFUNCTION("""COMPUTED_VALUE"""),0.285)</f>
        <v>0.28499999999999998</v>
      </c>
      <c r="G133">
        <f ca="1">IFERROR(__xludf.DUMMYFUNCTION("""COMPUTED_VALUE"""),14)</f>
        <v>14</v>
      </c>
    </row>
    <row r="134" spans="1:7" ht="12.75">
      <c r="A134">
        <f ca="1">IFERROR(__xludf.DUMMYFUNCTION("""COMPUTED_VALUE"""),133)</f>
        <v>133</v>
      </c>
      <c r="B134" t="str">
        <f ca="1">IFERROR(__xludf.DUMMYFUNCTION("""COMPUTED_VALUE"""),"T114")</f>
        <v>T114</v>
      </c>
      <c r="C134" t="str">
        <f ca="1">IFERROR(__xludf.DUMMYFUNCTION("""COMPUTED_VALUE"""),"Erik van Rooyen")</f>
        <v>Erik van Rooyen</v>
      </c>
      <c r="D134">
        <f ca="1">IFERROR(__xludf.DUMMYFUNCTION("""COMPUTED_VALUE"""),10)</f>
        <v>10</v>
      </c>
      <c r="E134">
        <f ca="1">IFERROR(__xludf.DUMMYFUNCTION("""COMPUTED_VALUE"""),0.019)</f>
        <v>1.9E-2</v>
      </c>
      <c r="F134">
        <f ca="1">IFERROR(__xludf.DUMMYFUNCTION("""COMPUTED_VALUE"""),0.193)</f>
        <v>0.193</v>
      </c>
      <c r="G134">
        <f ca="1">IFERROR(__xludf.DUMMYFUNCTION("""COMPUTED_VALUE"""),10)</f>
        <v>10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IFERROR(__xludf.DUMMYFUNCTION("""COMPUTED_VALUE"""),125)</f>
        <v>125</v>
      </c>
      <c r="C135" t="str">
        <f ca="1">IFERROR(__xludf.DUMMYFUNCTION("""COMPUTED_VALUE"""),"Will Zalatoris")</f>
        <v>Will Zalatoris</v>
      </c>
      <c r="D135">
        <f ca="1">IFERROR(__xludf.DUMMYFUNCTION("""COMPUTED_VALUE"""),18)</f>
        <v>18</v>
      </c>
      <c r="E135">
        <f ca="1">IFERROR(__xludf.DUMMYFUNCTION("""COMPUTED_VALUE"""),0.017)</f>
        <v>1.7000000000000001E-2</v>
      </c>
      <c r="F135">
        <f ca="1">IFERROR(__xludf.DUMMYFUNCTION("""COMPUTED_VALUE"""),0.169)</f>
        <v>0.16900000000000001</v>
      </c>
      <c r="G135">
        <f ca="1">IFERROR(__xludf.DUMMYFUNCTION("""COMPUTED_VALUE"""),10)</f>
        <v>10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IFERROR(__xludf.DUMMYFUNCTION("""COMPUTED_VALUE"""),"T126")</f>
        <v>T126</v>
      </c>
      <c r="C136" t="str">
        <f ca="1">IFERROR(__xludf.DUMMYFUNCTION("""COMPUTED_VALUE"""),"Patrick Reed")</f>
        <v>Patrick Reed</v>
      </c>
      <c r="D136">
        <f ca="1">IFERROR(__xludf.DUMMYFUNCTION("""COMPUTED_VALUE"""),8)</f>
        <v>8</v>
      </c>
      <c r="E136">
        <f ca="1">IFERROR(__xludf.DUMMYFUNCTION("""COMPUTED_VALUE"""),0.016)</f>
        <v>1.6E-2</v>
      </c>
      <c r="F136">
        <f ca="1">IFERROR(__xludf.DUMMYFUNCTION("""COMPUTED_VALUE"""),0.129)</f>
        <v>0.129</v>
      </c>
      <c r="G136">
        <f ca="1">IFERROR(__xludf.DUMMYFUNCTION("""COMPUTED_VALUE"""),8)</f>
        <v>8</v>
      </c>
    </row>
    <row r="137" spans="1:7" ht="12.75">
      <c r="A137" t="str">
        <f ca="1">IFERROR(__xludf.DUMMYFUNCTION("""COMPUTED_VALUE"""),"T135")</f>
        <v>T135</v>
      </c>
      <c r="B137">
        <f ca="1">IFERROR(__xludf.DUMMYFUNCTION("""COMPUTED_VALUE"""),85)</f>
        <v>85</v>
      </c>
      <c r="C137" t="str">
        <f ca="1">IFERROR(__xludf.DUMMYFUNCTION("""COMPUTED_VALUE"""),"Zach Johnson")</f>
        <v>Zach Johnson</v>
      </c>
      <c r="D137">
        <f ca="1">IFERROR(__xludf.DUMMYFUNCTION("""COMPUTED_VALUE"""),16)</f>
        <v>16</v>
      </c>
      <c r="E137">
        <f ca="1">IFERROR(__xludf.DUMMYFUNCTION("""COMPUTED_VALUE"""),0.016)</f>
        <v>1.6E-2</v>
      </c>
      <c r="F137">
        <f ca="1">IFERROR(__xludf.DUMMYFUNCTION("""COMPUTED_VALUE"""),0.257)</f>
        <v>0.25700000000000001</v>
      </c>
      <c r="G137">
        <f ca="1">IFERROR(__xludf.DUMMYFUNCTION("""COMPUTED_VALUE"""),16)</f>
        <v>16</v>
      </c>
    </row>
    <row r="138" spans="1:7" ht="12.75">
      <c r="A138">
        <f ca="1">IFERROR(__xludf.DUMMYFUNCTION("""COMPUTED_VALUE"""),137)</f>
        <v>137</v>
      </c>
      <c r="B138" t="str">
        <f ca="1">IFERROR(__xludf.DUMMYFUNCTION("""COMPUTED_VALUE"""),"T128")</f>
        <v>T128</v>
      </c>
      <c r="C138" t="str">
        <f ca="1">IFERROR(__xludf.DUMMYFUNCTION("""COMPUTED_VALUE"""),"Kiradech Aphibarnrat")</f>
        <v>Kiradech Aphibarnrat</v>
      </c>
      <c r="D138">
        <f ca="1">IFERROR(__xludf.DUMMYFUNCTION("""COMPUTED_VALUE"""),12)</f>
        <v>12</v>
      </c>
      <c r="E138">
        <f ca="1">IFERROR(__xludf.DUMMYFUNCTION("""COMPUTED_VALUE"""),0.012)</f>
        <v>1.2E-2</v>
      </c>
      <c r="F138">
        <f ca="1">IFERROR(__xludf.DUMMYFUNCTION("""COMPUTED_VALUE"""),0.046)</f>
        <v>4.5999999999999999E-2</v>
      </c>
      <c r="G138">
        <f ca="1">IFERROR(__xludf.DUMMYFUNCTION("""COMPUTED_VALUE"""),4)</f>
        <v>4</v>
      </c>
    </row>
    <row r="139" spans="1:7" ht="12.75">
      <c r="A139">
        <f ca="1">IFERROR(__xludf.DUMMYFUNCTION("""COMPUTED_VALUE"""),138)</f>
        <v>138</v>
      </c>
      <c r="B139" t="str">
        <f ca="1">IFERROR(__xludf.DUMMYFUNCTION("""COMPUTED_VALUE"""),"")</f>
        <v/>
      </c>
      <c r="C139" t="str">
        <f ca="1">IFERROR(__xludf.DUMMYFUNCTION("""COMPUTED_VALUE"""),"Justin Harding")</f>
        <v>Justin Harding</v>
      </c>
      <c r="D139">
        <f ca="1">IFERROR(__xludf.DUMMYFUNCTION("""COMPUTED_VALUE"""),6)</f>
        <v>6</v>
      </c>
      <c r="E139">
        <f ca="1">IFERROR(__xludf.DUMMYFUNCTION("""COMPUTED_VALUE"""),0.011)</f>
        <v>1.0999999999999999E-2</v>
      </c>
      <c r="F139">
        <f ca="1">IFERROR(__xludf.DUMMYFUNCTION("""COMPUTED_VALUE"""),0.068)</f>
        <v>6.8000000000000005E-2</v>
      </c>
      <c r="G139">
        <f ca="1">IFERROR(__xludf.DUMMYFUNCTION("""COMPUTED_VALUE"""),6)</f>
        <v>6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IFERROR(__xludf.DUMMYFUNCTION("""COMPUTED_VALUE"""),130)</f>
        <v>130</v>
      </c>
      <c r="C140" t="str">
        <f ca="1">IFERROR(__xludf.DUMMYFUNCTION("""COMPUTED_VALUE"""),"Chris Baker")</f>
        <v>Chris Baker</v>
      </c>
      <c r="D140">
        <f ca="1">IFERROR(__xludf.DUMMYFUNCTION("""COMPUTED_VALUE"""),8)</f>
        <v>8</v>
      </c>
      <c r="E140">
        <f ca="1">IFERROR(__xludf.DUMMYFUNCTION("""COMPUTED_VALUE"""),0.009)</f>
        <v>8.9999999999999993E-3</v>
      </c>
      <c r="F140">
        <f ca="1">IFERROR(__xludf.DUMMYFUNCTION("""COMPUTED_VALUE"""),0.037)</f>
        <v>3.6999999999999998E-2</v>
      </c>
      <c r="G140">
        <f ca="1">IFERROR(__xludf.DUMMYFUNCTION("""COMPUTED_VALUE"""),4)</f>
        <v>4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IFERROR(__xludf.DUMMYFUNCTION("""COMPUTED_VALUE"""),112)</f>
        <v>112</v>
      </c>
      <c r="C141" t="str">
        <f ca="1">IFERROR(__xludf.DUMMYFUNCTION("""COMPUTED_VALUE"""),"Austin Cook")</f>
        <v>Austin Cook</v>
      </c>
      <c r="D141">
        <f ca="1">IFERROR(__xludf.DUMMYFUNCTION("""COMPUTED_VALUE"""),14)</f>
        <v>14</v>
      </c>
      <c r="E141">
        <f ca="1">IFERROR(__xludf.DUMMYFUNCTION("""COMPUTED_VALUE"""),-0.003)</f>
        <v>-3.0000000000000001E-3</v>
      </c>
      <c r="F141">
        <f ca="1">IFERROR(__xludf.DUMMYFUNCTION("""COMPUTED_VALUE"""),-0.04)</f>
        <v>-0.04</v>
      </c>
      <c r="G141">
        <f ca="1">IFERROR(__xludf.DUMMYFUNCTION("""COMPUTED_VALUE"""),14)</f>
        <v>14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IFERROR(__xludf.DUMMYFUNCTION("""COMPUTED_VALUE"""),134)</f>
        <v>134</v>
      </c>
      <c r="C142" t="str">
        <f ca="1">IFERROR(__xludf.DUMMYFUNCTION("""COMPUTED_VALUE"""),"Michael Gligic")</f>
        <v>Michael Gligic</v>
      </c>
      <c r="D142">
        <f ca="1">IFERROR(__xludf.DUMMYFUNCTION("""COMPUTED_VALUE"""),18)</f>
        <v>18</v>
      </c>
      <c r="E142">
        <f ca="1">IFERROR(__xludf.DUMMYFUNCTION("""COMPUTED_VALUE"""),-0.005)</f>
        <v>-5.0000000000000001E-3</v>
      </c>
      <c r="F142">
        <f ca="1">IFERROR(__xludf.DUMMYFUNCTION("""COMPUTED_VALUE"""),-0.063)</f>
        <v>-6.3E-2</v>
      </c>
      <c r="G142">
        <f ca="1">IFERROR(__xludf.DUMMYFUNCTION("""COMPUTED_VALUE"""),12)</f>
        <v>12</v>
      </c>
    </row>
    <row r="143" spans="1:7" ht="12.75">
      <c r="A143">
        <f ca="1">IFERROR(__xludf.DUMMYFUNCTION("""COMPUTED_VALUE"""),142)</f>
        <v>142</v>
      </c>
      <c r="B143">
        <f ca="1">IFERROR(__xludf.DUMMYFUNCTION("""COMPUTED_VALUE"""),209)</f>
        <v>209</v>
      </c>
      <c r="C143" t="str">
        <f ca="1">IFERROR(__xludf.DUMMYFUNCTION("""COMPUTED_VALUE"""),"Shane Lowry")</f>
        <v>Shane Lowry</v>
      </c>
      <c r="D143">
        <f ca="1">IFERROR(__xludf.DUMMYFUNCTION("""COMPUTED_VALUE"""),14)</f>
        <v>14</v>
      </c>
      <c r="E143">
        <f ca="1">IFERROR(__xludf.DUMMYFUNCTION("""COMPUTED_VALUE"""),-0.012)</f>
        <v>-1.2E-2</v>
      </c>
      <c r="F143">
        <f ca="1">IFERROR(__xludf.DUMMYFUNCTION("""COMPUTED_VALUE"""),-0.165)</f>
        <v>-0.16500000000000001</v>
      </c>
      <c r="G143">
        <f ca="1">IFERROR(__xludf.DUMMYFUNCTION("""COMPUTED_VALUE"""),14)</f>
        <v>14</v>
      </c>
    </row>
    <row r="144" spans="1:7" ht="12.75">
      <c r="A144">
        <f ca="1">IFERROR(__xludf.DUMMYFUNCTION("""COMPUTED_VALUE"""),143)</f>
        <v>143</v>
      </c>
      <c r="B144">
        <f ca="1">IFERROR(__xludf.DUMMYFUNCTION("""COMPUTED_VALUE"""),138)</f>
        <v>138</v>
      </c>
      <c r="C144" t="str">
        <f ca="1">IFERROR(__xludf.DUMMYFUNCTION("""COMPUTED_VALUE"""),"Jonathan Byrd")</f>
        <v>Jonathan Byrd</v>
      </c>
      <c r="D144">
        <f ca="1">IFERROR(__xludf.DUMMYFUNCTION("""COMPUTED_VALUE"""),14)</f>
        <v>14</v>
      </c>
      <c r="E144">
        <f ca="1">IFERROR(__xludf.DUMMYFUNCTION("""COMPUTED_VALUE"""),-0.013)</f>
        <v>-1.2999999999999999E-2</v>
      </c>
      <c r="F144">
        <f ca="1">IFERROR(__xludf.DUMMYFUNCTION("""COMPUTED_VALUE"""),-0.081)</f>
        <v>-8.1000000000000003E-2</v>
      </c>
      <c r="G144">
        <f ca="1">IFERROR(__xludf.DUMMYFUNCTION("""COMPUTED_VALUE"""),6)</f>
        <v>6</v>
      </c>
    </row>
    <row r="145" spans="1:7" ht="12.75">
      <c r="A145">
        <f ca="1">IFERROR(__xludf.DUMMYFUNCTION("""COMPUTED_VALUE"""),144)</f>
        <v>144</v>
      </c>
      <c r="B145">
        <f ca="1">IFERROR(__xludf.DUMMYFUNCTION("""COMPUTED_VALUE"""),120)</f>
        <v>120</v>
      </c>
      <c r="C145" t="str">
        <f ca="1">IFERROR(__xludf.DUMMYFUNCTION("""COMPUTED_VALUE"""),"Martin Laird")</f>
        <v>Martin Laird</v>
      </c>
      <c r="D145">
        <f ca="1">IFERROR(__xludf.DUMMYFUNCTION("""COMPUTED_VALUE"""),16)</f>
        <v>16</v>
      </c>
      <c r="E145">
        <f ca="1">IFERROR(__xludf.DUMMYFUNCTION("""COMPUTED_VALUE"""),-0.022)</f>
        <v>-2.1999999999999999E-2</v>
      </c>
      <c r="F145">
        <f ca="1">IFERROR(__xludf.DUMMYFUNCTION("""COMPUTED_VALUE"""),-0.264)</f>
        <v>-0.26400000000000001</v>
      </c>
      <c r="G145">
        <f ca="1">IFERROR(__xludf.DUMMYFUNCTION("""COMPUTED_VALUE"""),12)</f>
        <v>12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IFERROR(__xludf.DUMMYFUNCTION("""COMPUTED_VALUE"""),140)</f>
        <v>140</v>
      </c>
      <c r="C146" t="str">
        <f ca="1">IFERROR(__xludf.DUMMYFUNCTION("""COMPUTED_VALUE"""),"Joaquin Niemann")</f>
        <v>Joaquin Niemann</v>
      </c>
      <c r="D146">
        <f ca="1">IFERROR(__xludf.DUMMYFUNCTION("""COMPUTED_VALUE"""),16)</f>
        <v>16</v>
      </c>
      <c r="E146">
        <f ca="1">IFERROR(__xludf.DUMMYFUNCTION("""COMPUTED_VALUE"""),-0.025)</f>
        <v>-2.5000000000000001E-2</v>
      </c>
      <c r="F146">
        <f ca="1">IFERROR(__xludf.DUMMYFUNCTION("""COMPUTED_VALUE"""),-0.394)</f>
        <v>-0.39400000000000002</v>
      </c>
      <c r="G146">
        <f ca="1">IFERROR(__xludf.DUMMYFUNCTION("""COMPUTED_VALUE"""),16)</f>
        <v>16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IFERROR(__xludf.DUMMYFUNCTION("""COMPUTED_VALUE"""),142)</f>
        <v>142</v>
      </c>
      <c r="C147" t="str">
        <f ca="1">IFERROR(__xludf.DUMMYFUNCTION("""COMPUTED_VALUE"""),"Jason Kokrak")</f>
        <v>Jason Kokrak</v>
      </c>
      <c r="D147">
        <f ca="1">IFERROR(__xludf.DUMMYFUNCTION("""COMPUTED_VALUE"""),14)</f>
        <v>14</v>
      </c>
      <c r="E147">
        <f ca="1">IFERROR(__xludf.DUMMYFUNCTION("""COMPUTED_VALUE"""),-0.028)</f>
        <v>-2.8000000000000001E-2</v>
      </c>
      <c r="F147">
        <f ca="1">IFERROR(__xludf.DUMMYFUNCTION("""COMPUTED_VALUE"""),-0.396)</f>
        <v>-0.39600000000000002</v>
      </c>
      <c r="G147">
        <f ca="1">IFERROR(__xludf.DUMMYFUNCTION("""COMPUTED_VALUE"""),14)</f>
        <v>14</v>
      </c>
    </row>
    <row r="148" spans="1:7" ht="12.75">
      <c r="A148" t="str">
        <f ca="1">IFERROR(__xludf.DUMMYFUNCTION("""COMPUTED_VALUE"""),"T147")</f>
        <v>T147</v>
      </c>
      <c r="B148">
        <f ca="1">IFERROR(__xludf.DUMMYFUNCTION("""COMPUTED_VALUE"""),228)</f>
        <v>228</v>
      </c>
      <c r="C148" t="str">
        <f ca="1">IFERROR(__xludf.DUMMYFUNCTION("""COMPUTED_VALUE"""),"Patton Kizzire")</f>
        <v>Patton Kizzire</v>
      </c>
      <c r="D148">
        <f ca="1">IFERROR(__xludf.DUMMYFUNCTION("""COMPUTED_VALUE"""),18)</f>
        <v>18</v>
      </c>
      <c r="E148">
        <f ca="1">IFERROR(__xludf.DUMMYFUNCTION("""COMPUTED_VALUE"""),-0.029)</f>
        <v>-2.9000000000000001E-2</v>
      </c>
      <c r="F148">
        <f ca="1">IFERROR(__xludf.DUMMYFUNCTION("""COMPUTED_VALUE"""),-0.402)</f>
        <v>-0.40200000000000002</v>
      </c>
      <c r="G148">
        <f ca="1">IFERROR(__xludf.DUMMYFUNCTION("""COMPUTED_VALUE"""),14)</f>
        <v>14</v>
      </c>
    </row>
    <row r="149" spans="1:7" ht="12.75">
      <c r="A149" t="str">
        <f ca="1">IFERROR(__xludf.DUMMYFUNCTION("""COMPUTED_VALUE"""),"T147")</f>
        <v>T147</v>
      </c>
      <c r="B149">
        <f ca="1">IFERROR(__xludf.DUMMYFUNCTION("""COMPUTED_VALUE"""),143)</f>
        <v>143</v>
      </c>
      <c r="C149" t="str">
        <f ca="1">IFERROR(__xludf.DUMMYFUNCTION("""COMPUTED_VALUE"""),"Alex Cejka")</f>
        <v>Alex Cejka</v>
      </c>
      <c r="D149">
        <f ca="1">IFERROR(__xludf.DUMMYFUNCTION("""COMPUTED_VALUE"""),6)</f>
        <v>6</v>
      </c>
      <c r="E149">
        <f ca="1">IFERROR(__xludf.DUMMYFUNCTION("""COMPUTED_VALUE"""),-0.029)</f>
        <v>-2.9000000000000001E-2</v>
      </c>
      <c r="F149">
        <f ca="1">IFERROR(__xludf.DUMMYFUNCTION("""COMPUTED_VALUE"""),-0.059)</f>
        <v>-5.8999999999999997E-2</v>
      </c>
      <c r="G149">
        <f ca="1">IFERROR(__xludf.DUMMYFUNCTION("""COMPUTED_VALUE"""),2)</f>
        <v>2</v>
      </c>
    </row>
    <row r="150" spans="1:7" ht="12.75">
      <c r="A150">
        <f ca="1">IFERROR(__xludf.DUMMYFUNCTION("""COMPUTED_VALUE"""),149)</f>
        <v>149</v>
      </c>
      <c r="B150" t="str">
        <f ca="1">IFERROR(__xludf.DUMMYFUNCTION("""COMPUTED_VALUE"""),"T144")</f>
        <v>T144</v>
      </c>
      <c r="C150" t="str">
        <f ca="1">IFERROR(__xludf.DUMMYFUNCTION("""COMPUTED_VALUE"""),"J.J. Spaun")</f>
        <v>J.J. Spaun</v>
      </c>
      <c r="D150">
        <f ca="1">IFERROR(__xludf.DUMMYFUNCTION("""COMPUTED_VALUE"""),10)</f>
        <v>10</v>
      </c>
      <c r="E150">
        <f ca="1">IFERROR(__xludf.DUMMYFUNCTION("""COMPUTED_VALUE"""),-0.033)</f>
        <v>-3.3000000000000002E-2</v>
      </c>
      <c r="F150">
        <f ca="1">IFERROR(__xludf.DUMMYFUNCTION("""COMPUTED_VALUE"""),-0.196)</f>
        <v>-0.19600000000000001</v>
      </c>
      <c r="G150">
        <f ca="1">IFERROR(__xludf.DUMMYFUNCTION("""COMPUTED_VALUE"""),6)</f>
        <v>6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IFERROR(__xludf.DUMMYFUNCTION("""COMPUTED_VALUE"""),95)</f>
        <v>95</v>
      </c>
      <c r="C151" t="str">
        <f ca="1">IFERROR(__xludf.DUMMYFUNCTION("""COMPUTED_VALUE"""),"Tom Hoge")</f>
        <v>Tom Hoge</v>
      </c>
      <c r="D151">
        <f ca="1">IFERROR(__xludf.DUMMYFUNCTION("""COMPUTED_VALUE"""),22)</f>
        <v>22</v>
      </c>
      <c r="E151">
        <f ca="1">IFERROR(__xludf.DUMMYFUNCTION("""COMPUTED_VALUE"""),-0.035)</f>
        <v>-3.5000000000000003E-2</v>
      </c>
      <c r="F151">
        <f ca="1">IFERROR(__xludf.DUMMYFUNCTION("""COMPUTED_VALUE"""),-0.776)</f>
        <v>-0.77600000000000002</v>
      </c>
      <c r="G151">
        <f ca="1">IFERROR(__xludf.DUMMYFUNCTION("""COMPUTED_VALUE"""),22)</f>
        <v>22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IFERROR(__xludf.DUMMYFUNCTION("""COMPUTED_VALUE"""),132)</f>
        <v>132</v>
      </c>
      <c r="C152" t="str">
        <f ca="1">IFERROR(__xludf.DUMMYFUNCTION("""COMPUTED_VALUE"""),"Luke List")</f>
        <v>Luke List</v>
      </c>
      <c r="D152">
        <f ca="1">IFERROR(__xludf.DUMMYFUNCTION("""COMPUTED_VALUE"""),18)</f>
        <v>18</v>
      </c>
      <c r="E152">
        <f ca="1">IFERROR(__xludf.DUMMYFUNCTION("""COMPUTED_VALUE"""),-0.036)</f>
        <v>-3.5999999999999997E-2</v>
      </c>
      <c r="F152">
        <f ca="1">IFERROR(__xludf.DUMMYFUNCTION("""COMPUTED_VALUE"""),-0.357)</f>
        <v>-0.35699999999999998</v>
      </c>
      <c r="G152">
        <f ca="1">IFERROR(__xludf.DUMMYFUNCTION("""COMPUTED_VALUE"""),10)</f>
        <v>10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IFERROR(__xludf.DUMMYFUNCTION("""COMPUTED_VALUE"""),"T147")</f>
        <v>T147</v>
      </c>
      <c r="C153" t="str">
        <f ca="1">IFERROR(__xludf.DUMMYFUNCTION("""COMPUTED_VALUE"""),"Matthew Fitzpatrick")</f>
        <v>Matthew Fitzpatrick</v>
      </c>
      <c r="D153">
        <f ca="1">IFERROR(__xludf.DUMMYFUNCTION("""COMPUTED_VALUE"""),10)</f>
        <v>10</v>
      </c>
      <c r="E153">
        <f ca="1">IFERROR(__xludf.DUMMYFUNCTION("""COMPUTED_VALUE"""),-0.043)</f>
        <v>-4.2999999999999997E-2</v>
      </c>
      <c r="F153">
        <f ca="1">IFERROR(__xludf.DUMMYFUNCTION("""COMPUTED_VALUE"""),-0.428)</f>
        <v>-0.42799999999999999</v>
      </c>
      <c r="G153">
        <f ca="1">IFERROR(__xludf.DUMMYFUNCTION("""COMPUTED_VALUE"""),10)</f>
        <v>10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IFERROR(__xludf.DUMMYFUNCTION("""COMPUTED_VALUE"""),"T147")</f>
        <v>T147</v>
      </c>
      <c r="C154" t="str">
        <f ca="1">IFERROR(__xludf.DUMMYFUNCTION("""COMPUTED_VALUE"""),"Richy Werenski")</f>
        <v>Richy Werenski</v>
      </c>
      <c r="D154">
        <f ca="1">IFERROR(__xludf.DUMMYFUNCTION("""COMPUTED_VALUE"""),16)</f>
        <v>16</v>
      </c>
      <c r="E154">
        <f ca="1">IFERROR(__xludf.DUMMYFUNCTION("""COMPUTED_VALUE"""),-0.043)</f>
        <v>-4.2999999999999997E-2</v>
      </c>
      <c r="F154">
        <f ca="1">IFERROR(__xludf.DUMMYFUNCTION("""COMPUTED_VALUE"""),-0.691)</f>
        <v>-0.69099999999999995</v>
      </c>
      <c r="G154">
        <f ca="1">IFERROR(__xludf.DUMMYFUNCTION("""COMPUTED_VALUE"""),16)</f>
        <v>16</v>
      </c>
    </row>
    <row r="155" spans="1:7" ht="12.75">
      <c r="A155" t="str">
        <f ca="1">IFERROR(__xludf.DUMMYFUNCTION("""COMPUTED_VALUE"""),"T154")</f>
        <v>T154</v>
      </c>
      <c r="B155" t="str">
        <f ca="1">IFERROR(__xludf.DUMMYFUNCTION("""COMPUTED_VALUE"""),"T149")</f>
        <v>T149</v>
      </c>
      <c r="C155" t="str">
        <f ca="1">IFERROR(__xludf.DUMMYFUNCTION("""COMPUTED_VALUE"""),"Takumi Kanaya")</f>
        <v>Takumi Kanaya</v>
      </c>
      <c r="D155">
        <f ca="1">IFERROR(__xludf.DUMMYFUNCTION("""COMPUTED_VALUE"""),6)</f>
        <v>6</v>
      </c>
      <c r="E155">
        <f ca="1">IFERROR(__xludf.DUMMYFUNCTION("""COMPUTED_VALUE"""),-0.044)</f>
        <v>-4.3999999999999997E-2</v>
      </c>
      <c r="F155">
        <f ca="1">IFERROR(__xludf.DUMMYFUNCTION("""COMPUTED_VALUE"""),-0.267)</f>
        <v>-0.26700000000000002</v>
      </c>
      <c r="G155">
        <f ca="1">IFERROR(__xludf.DUMMYFUNCTION("""COMPUTED_VALUE"""),6)</f>
        <v>6</v>
      </c>
    </row>
    <row r="156" spans="1:7" ht="12.75">
      <c r="A156" t="str">
        <f ca="1">IFERROR(__xludf.DUMMYFUNCTION("""COMPUTED_VALUE"""),"T154")</f>
        <v>T154</v>
      </c>
      <c r="B156" t="str">
        <f ca="1">IFERROR(__xludf.DUMMYFUNCTION("""COMPUTED_VALUE"""),"T149")</f>
        <v>T149</v>
      </c>
      <c r="C156" t="str">
        <f ca="1">IFERROR(__xludf.DUMMYFUNCTION("""COMPUTED_VALUE"""),"Matt Kuchar")</f>
        <v>Matt Kuchar</v>
      </c>
      <c r="D156">
        <f ca="1">IFERROR(__xludf.DUMMYFUNCTION("""COMPUTED_VALUE"""),14)</f>
        <v>14</v>
      </c>
      <c r="E156">
        <f ca="1">IFERROR(__xludf.DUMMYFUNCTION("""COMPUTED_VALUE"""),-0.044)</f>
        <v>-4.3999999999999997E-2</v>
      </c>
      <c r="F156">
        <f ca="1">IFERROR(__xludf.DUMMYFUNCTION("""COMPUTED_VALUE"""),-0.622)</f>
        <v>-0.622</v>
      </c>
      <c r="G156">
        <f ca="1">IFERROR(__xludf.DUMMYFUNCTION("""COMPUTED_VALUE"""),14)</f>
        <v>14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IFERROR(__xludf.DUMMYFUNCTION("""COMPUTED_VALUE"""),"T151")</f>
        <v>T151</v>
      </c>
      <c r="C157" t="str">
        <f ca="1">IFERROR(__xludf.DUMMYFUNCTION("""COMPUTED_VALUE"""),"Justin Rose")</f>
        <v>Justin Rose</v>
      </c>
      <c r="D157">
        <f ca="1">IFERROR(__xludf.DUMMYFUNCTION("""COMPUTED_VALUE"""),10)</f>
        <v>10</v>
      </c>
      <c r="E157">
        <f ca="1">IFERROR(__xludf.DUMMYFUNCTION("""COMPUTED_VALUE"""),-0.048)</f>
        <v>-4.8000000000000001E-2</v>
      </c>
      <c r="F157">
        <f ca="1">IFERROR(__xludf.DUMMYFUNCTION("""COMPUTED_VALUE"""),-0.481)</f>
        <v>-0.48099999999999998</v>
      </c>
      <c r="G157">
        <f ca="1">IFERROR(__xludf.DUMMYFUNCTION("""COMPUTED_VALUE"""),10)</f>
        <v>10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IFERROR(__xludf.DUMMYFUNCTION("""COMPUTED_VALUE"""),"T151")</f>
        <v>T151</v>
      </c>
      <c r="C158" t="str">
        <f ca="1">IFERROR(__xludf.DUMMYFUNCTION("""COMPUTED_VALUE"""),"George Markham")</f>
        <v>George Markham</v>
      </c>
      <c r="D158">
        <f ca="1">IFERROR(__xludf.DUMMYFUNCTION("""COMPUTED_VALUE"""),4)</f>
        <v>4</v>
      </c>
      <c r="E158">
        <f ca="1">IFERROR(__xludf.DUMMYFUNCTION("""COMPUTED_VALUE"""),-0.048)</f>
        <v>-4.8000000000000001E-2</v>
      </c>
      <c r="F158">
        <f ca="1">IFERROR(__xludf.DUMMYFUNCTION("""COMPUTED_VALUE"""),-0.193)</f>
        <v>-0.193</v>
      </c>
      <c r="G158">
        <f ca="1">IFERROR(__xludf.DUMMYFUNCTION("""COMPUTED_VALUE"""),4)</f>
        <v>4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IFERROR(__xludf.DUMMYFUNCTION("""COMPUTED_VALUE"""),154)</f>
        <v>154</v>
      </c>
      <c r="C159" t="str">
        <f ca="1">IFERROR(__xludf.DUMMYFUNCTION("""COMPUTED_VALUE"""),"Tyler McCumber")</f>
        <v>Tyler McCumber</v>
      </c>
      <c r="D159">
        <f ca="1">IFERROR(__xludf.DUMMYFUNCTION("""COMPUTED_VALUE"""),14)</f>
        <v>14</v>
      </c>
      <c r="E159">
        <f ca="1">IFERROR(__xludf.DUMMYFUNCTION("""COMPUTED_VALUE"""),-0.054)</f>
        <v>-5.3999999999999999E-2</v>
      </c>
      <c r="F159">
        <f ca="1">IFERROR(__xludf.DUMMYFUNCTION("""COMPUTED_VALUE"""),-0.431)</f>
        <v>-0.43099999999999999</v>
      </c>
      <c r="G159">
        <f ca="1">IFERROR(__xludf.DUMMYFUNCTION("""COMPUTED_VALUE"""),8)</f>
        <v>8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IFERROR(__xludf.DUMMYFUNCTION("""COMPUTED_VALUE"""),162)</f>
        <v>162</v>
      </c>
      <c r="C160" t="str">
        <f ca="1">IFERROR(__xludf.DUMMYFUNCTION("""COMPUTED_VALUE"""),"Kevin Chappell")</f>
        <v>Kevin Chappell</v>
      </c>
      <c r="D160">
        <f ca="1">IFERROR(__xludf.DUMMYFUNCTION("""COMPUTED_VALUE"""),16)</f>
        <v>16</v>
      </c>
      <c r="E160">
        <f ca="1">IFERROR(__xludf.DUMMYFUNCTION("""COMPUTED_VALUE"""),-0.055)</f>
        <v>-5.5E-2</v>
      </c>
      <c r="F160">
        <f ca="1">IFERROR(__xludf.DUMMYFUNCTION("""COMPUTED_VALUE"""),-0.773)</f>
        <v>-0.77300000000000002</v>
      </c>
      <c r="G160">
        <f ca="1">IFERROR(__xludf.DUMMYFUNCTION("""COMPUTED_VALUE"""),14)</f>
        <v>14</v>
      </c>
    </row>
    <row r="161" spans="1:7" ht="12.75">
      <c r="A161">
        <f ca="1">IFERROR(__xludf.DUMMYFUNCTION("""COMPUTED_VALUE"""),160)</f>
        <v>160</v>
      </c>
      <c r="B161">
        <f ca="1">IFERROR(__xludf.DUMMYFUNCTION("""COMPUTED_VALUE"""),69)</f>
        <v>69</v>
      </c>
      <c r="C161" t="str">
        <f ca="1">IFERROR(__xludf.DUMMYFUNCTION("""COMPUTED_VALUE"""),"Pat Perez")</f>
        <v>Pat Perez</v>
      </c>
      <c r="D161">
        <f ca="1">IFERROR(__xludf.DUMMYFUNCTION("""COMPUTED_VALUE"""),16)</f>
        <v>16</v>
      </c>
      <c r="E161">
        <f ca="1">IFERROR(__xludf.DUMMYFUNCTION("""COMPUTED_VALUE"""),-0.056)</f>
        <v>-5.6000000000000001E-2</v>
      </c>
      <c r="F161">
        <f ca="1">IFERROR(__xludf.DUMMYFUNCTION("""COMPUTED_VALUE"""),-0.565)</f>
        <v>-0.56499999999999995</v>
      </c>
      <c r="G161">
        <f ca="1">IFERROR(__xludf.DUMMYFUNCTION("""COMPUTED_VALUE"""),10)</f>
        <v>10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IFERROR(__xludf.DUMMYFUNCTION("""COMPUTED_VALUE"""),155)</f>
        <v>155</v>
      </c>
      <c r="C162" t="str">
        <f ca="1">IFERROR(__xludf.DUMMYFUNCTION("""COMPUTED_VALUE"""),"Rory McIlroy")</f>
        <v>Rory McIlroy</v>
      </c>
      <c r="D162">
        <f ca="1">IFERROR(__xludf.DUMMYFUNCTION("""COMPUTED_VALUE"""),12)</f>
        <v>12</v>
      </c>
      <c r="E162">
        <f ca="1">IFERROR(__xludf.DUMMYFUNCTION("""COMPUTED_VALUE"""),-0.057)</f>
        <v>-5.7000000000000002E-2</v>
      </c>
      <c r="F162">
        <f ca="1">IFERROR(__xludf.DUMMYFUNCTION("""COMPUTED_VALUE"""),-0.686)</f>
        <v>-0.68600000000000005</v>
      </c>
      <c r="G162">
        <f ca="1">IFERROR(__xludf.DUMMYFUNCTION("""COMPUTED_VALUE"""),12)</f>
        <v>12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IFERROR(__xludf.DUMMYFUNCTION("""COMPUTED_VALUE"""),156)</f>
        <v>156</v>
      </c>
      <c r="C163" t="str">
        <f ca="1">IFERROR(__xludf.DUMMYFUNCTION("""COMPUTED_VALUE"""),"Wesley Bryan")</f>
        <v>Wesley Bryan</v>
      </c>
      <c r="D163">
        <f ca="1">IFERROR(__xludf.DUMMYFUNCTION("""COMPUTED_VALUE"""),8)</f>
        <v>8</v>
      </c>
      <c r="E163">
        <f ca="1">IFERROR(__xludf.DUMMYFUNCTION("""COMPUTED_VALUE"""),-0.059)</f>
        <v>-5.8999999999999997E-2</v>
      </c>
      <c r="F163">
        <f ca="1">IFERROR(__xludf.DUMMYFUNCTION("""COMPUTED_VALUE"""),-0.357)</f>
        <v>-0.35699999999999998</v>
      </c>
      <c r="G163">
        <f ca="1">IFERROR(__xludf.DUMMYFUNCTION("""COMPUTED_VALUE"""),6)</f>
        <v>6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IFERROR(__xludf.DUMMYFUNCTION("""COMPUTED_VALUE"""),174)</f>
        <v>174</v>
      </c>
      <c r="C164" t="str">
        <f ca="1">IFERROR(__xludf.DUMMYFUNCTION("""COMPUTED_VALUE"""),"Branden Grace")</f>
        <v>Branden Grace</v>
      </c>
      <c r="D164">
        <f ca="1">IFERROR(__xludf.DUMMYFUNCTION("""COMPUTED_VALUE"""),16)</f>
        <v>16</v>
      </c>
      <c r="E164">
        <f ca="1">IFERROR(__xludf.DUMMYFUNCTION("""COMPUTED_VALUE"""),-0.065)</f>
        <v>-6.5000000000000002E-2</v>
      </c>
      <c r="F164">
        <f ca="1">IFERROR(__xludf.DUMMYFUNCTION("""COMPUTED_VALUE"""),-0.647)</f>
        <v>-0.64700000000000002</v>
      </c>
      <c r="G164">
        <f ca="1">IFERROR(__xludf.DUMMYFUNCTION("""COMPUTED_VALUE"""),10)</f>
        <v>10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IFERROR(__xludf.DUMMYFUNCTION("""COMPUTED_VALUE"""),158)</f>
        <v>158</v>
      </c>
      <c r="C165" t="str">
        <f ca="1">IFERROR(__xludf.DUMMYFUNCTION("""COMPUTED_VALUE"""),"Rickie Fowler")</f>
        <v>Rickie Fowler</v>
      </c>
      <c r="D165">
        <f ca="1">IFERROR(__xludf.DUMMYFUNCTION("""COMPUTED_VALUE"""),14)</f>
        <v>14</v>
      </c>
      <c r="E165">
        <f ca="1">IFERROR(__xludf.DUMMYFUNCTION("""COMPUTED_VALUE"""),-0.067)</f>
        <v>-6.7000000000000004E-2</v>
      </c>
      <c r="F165">
        <f ca="1">IFERROR(__xludf.DUMMYFUNCTION("""COMPUTED_VALUE"""),-0.941)</f>
        <v>-0.94099999999999995</v>
      </c>
      <c r="G165">
        <f ca="1">IFERROR(__xludf.DUMMYFUNCTION("""COMPUTED_VALUE"""),14)</f>
        <v>14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IFERROR(__xludf.DUMMYFUNCTION("""COMPUTED_VALUE"""),159)</f>
        <v>159</v>
      </c>
      <c r="C166" t="str">
        <f ca="1">IFERROR(__xludf.DUMMYFUNCTION("""COMPUTED_VALUE"""),"John Pak")</f>
        <v>John Pak</v>
      </c>
      <c r="D166">
        <f ca="1">IFERROR(__xludf.DUMMYFUNCTION("""COMPUTED_VALUE"""),4)</f>
        <v>4</v>
      </c>
      <c r="E166">
        <f ca="1">IFERROR(__xludf.DUMMYFUNCTION("""COMPUTED_VALUE"""),-0.068)</f>
        <v>-6.8000000000000005E-2</v>
      </c>
      <c r="F166">
        <f ca="1">IFERROR(__xludf.DUMMYFUNCTION("""COMPUTED_VALUE"""),-0.274)</f>
        <v>-0.27400000000000002</v>
      </c>
      <c r="G166">
        <f ca="1">IFERROR(__xludf.DUMMYFUNCTION("""COMPUTED_VALUE"""),4)</f>
        <v>4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IFERROR(__xludf.DUMMYFUNCTION("""COMPUTED_VALUE"""),160)</f>
        <v>160</v>
      </c>
      <c r="C167" t="str">
        <f ca="1">IFERROR(__xludf.DUMMYFUNCTION("""COMPUTED_VALUE"""),"Matthias Schwab")</f>
        <v>Matthias Schwab</v>
      </c>
      <c r="D167">
        <f ca="1">IFERROR(__xludf.DUMMYFUNCTION("""COMPUTED_VALUE"""),8)</f>
        <v>8</v>
      </c>
      <c r="E167">
        <f ca="1">IFERROR(__xludf.DUMMYFUNCTION("""COMPUTED_VALUE"""),-0.072)</f>
        <v>-7.1999999999999995E-2</v>
      </c>
      <c r="F167">
        <f ca="1">IFERROR(__xludf.DUMMYFUNCTION("""COMPUTED_VALUE"""),-0.287)</f>
        <v>-0.28699999999999998</v>
      </c>
      <c r="G167">
        <f ca="1">IFERROR(__xludf.DUMMYFUNCTION("""COMPUTED_VALUE"""),4)</f>
        <v>4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IFERROR(__xludf.DUMMYFUNCTION("""COMPUTED_VALUE"""),157)</f>
        <v>157</v>
      </c>
      <c r="C168" t="str">
        <f ca="1">IFERROR(__xludf.DUMMYFUNCTION("""COMPUTED_VALUE"""),"Sergio Garcia")</f>
        <v>Sergio Garcia</v>
      </c>
      <c r="D168">
        <f ca="1">IFERROR(__xludf.DUMMYFUNCTION("""COMPUTED_VALUE"""),18)</f>
        <v>18</v>
      </c>
      <c r="E168">
        <f ca="1">IFERROR(__xludf.DUMMYFUNCTION("""COMPUTED_VALUE"""),-0.073)</f>
        <v>-7.2999999999999995E-2</v>
      </c>
      <c r="F168">
        <f ca="1">IFERROR(__xludf.DUMMYFUNCTION("""COMPUTED_VALUE"""),-1.316)</f>
        <v>-1.3160000000000001</v>
      </c>
      <c r="G168">
        <f ca="1">IFERROR(__xludf.DUMMYFUNCTION("""COMPUTED_VALUE"""),18)</f>
        <v>18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IFERROR(__xludf.DUMMYFUNCTION("""COMPUTED_VALUE"""),161)</f>
        <v>161</v>
      </c>
      <c r="C169" t="str">
        <f ca="1">IFERROR(__xludf.DUMMYFUNCTION("""COMPUTED_VALUE"""),"Andy Zhang")</f>
        <v>Andy Zhang</v>
      </c>
      <c r="D169">
        <f ca="1">IFERROR(__xludf.DUMMYFUNCTION("""COMPUTED_VALUE"""),4)</f>
        <v>4</v>
      </c>
      <c r="E169">
        <f ca="1">IFERROR(__xludf.DUMMYFUNCTION("""COMPUTED_VALUE"""),-0.077)</f>
        <v>-7.6999999999999999E-2</v>
      </c>
      <c r="F169">
        <f ca="1">IFERROR(__xludf.DUMMYFUNCTION("""COMPUTED_VALUE"""),-0.308)</f>
        <v>-0.308</v>
      </c>
      <c r="G169">
        <f ca="1">IFERROR(__xludf.DUMMYFUNCTION("""COMPUTED_VALUE"""),4)</f>
        <v>4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IFERROR(__xludf.DUMMYFUNCTION("""COMPUTED_VALUE"""),"T126")</f>
        <v>T126</v>
      </c>
      <c r="C170" t="str">
        <f ca="1">IFERROR(__xludf.DUMMYFUNCTION("""COMPUTED_VALUE"""),"Patrick Rodgers")</f>
        <v>Patrick Rodgers</v>
      </c>
      <c r="D170">
        <f ca="1">IFERROR(__xludf.DUMMYFUNCTION("""COMPUTED_VALUE"""),18)</f>
        <v>18</v>
      </c>
      <c r="E170">
        <f ca="1">IFERROR(__xludf.DUMMYFUNCTION("""COMPUTED_VALUE"""),-0.089)</f>
        <v>-8.8999999999999996E-2</v>
      </c>
      <c r="F170">
        <f ca="1">IFERROR(__xludf.DUMMYFUNCTION("""COMPUTED_VALUE"""),-0.893)</f>
        <v>-0.89300000000000002</v>
      </c>
      <c r="G170">
        <f ca="1">IFERROR(__xludf.DUMMYFUNCTION("""COMPUTED_VALUE"""),10)</f>
        <v>10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IFERROR(__xludf.DUMMYFUNCTION("""COMPUTED_VALUE"""),201)</f>
        <v>201</v>
      </c>
      <c r="C171" t="str">
        <f ca="1">IFERROR(__xludf.DUMMYFUNCTION("""COMPUTED_VALUE"""),"Corey Conners")</f>
        <v>Corey Conners</v>
      </c>
      <c r="D171">
        <f ca="1">IFERROR(__xludf.DUMMYFUNCTION("""COMPUTED_VALUE"""),20)</f>
        <v>20</v>
      </c>
      <c r="E171">
        <f ca="1">IFERROR(__xludf.DUMMYFUNCTION("""COMPUTED_VALUE"""),-0.095)</f>
        <v>-9.5000000000000001E-2</v>
      </c>
      <c r="F171">
        <f ca="1">IFERROR(__xludf.DUMMYFUNCTION("""COMPUTED_VALUE"""),-1.715)</f>
        <v>-1.7150000000000001</v>
      </c>
      <c r="G171">
        <f ca="1">IFERROR(__xludf.DUMMYFUNCTION("""COMPUTED_VALUE"""),18)</f>
        <v>18</v>
      </c>
    </row>
    <row r="172" spans="1:7" ht="12.75">
      <c r="A172">
        <f ca="1">IFERROR(__xludf.DUMMYFUNCTION("""COMPUTED_VALUE"""),171)</f>
        <v>171</v>
      </c>
      <c r="B172">
        <f ca="1">IFERROR(__xludf.DUMMYFUNCTION("""COMPUTED_VALUE"""),178)</f>
        <v>178</v>
      </c>
      <c r="C172" t="str">
        <f ca="1">IFERROR(__xludf.DUMMYFUNCTION("""COMPUTED_VALUE"""),"J.T. Poston")</f>
        <v>J.T. Poston</v>
      </c>
      <c r="D172">
        <f ca="1">IFERROR(__xludf.DUMMYFUNCTION("""COMPUTED_VALUE"""),18)</f>
        <v>18</v>
      </c>
      <c r="E172">
        <f ca="1">IFERROR(__xludf.DUMMYFUNCTION("""COMPUTED_VALUE"""),-0.098)</f>
        <v>-9.8000000000000004E-2</v>
      </c>
      <c r="F172">
        <f ca="1">IFERROR(__xludf.DUMMYFUNCTION("""COMPUTED_VALUE"""),-1.772)</f>
        <v>-1.772</v>
      </c>
      <c r="G172">
        <f ca="1">IFERROR(__xludf.DUMMYFUNCTION("""COMPUTED_VALUE"""),18)</f>
        <v>18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IFERROR(__xludf.DUMMYFUNCTION("""COMPUTED_VALUE"""),169)</f>
        <v>169</v>
      </c>
      <c r="C173" t="str">
        <f ca="1">IFERROR(__xludf.DUMMYFUNCTION("""COMPUTED_VALUE"""),"Jason Dufner")</f>
        <v>Jason Dufner</v>
      </c>
      <c r="D173">
        <f ca="1">IFERROR(__xludf.DUMMYFUNCTION("""COMPUTED_VALUE"""),14)</f>
        <v>14</v>
      </c>
      <c r="E173">
        <f ca="1">IFERROR(__xludf.DUMMYFUNCTION("""COMPUTED_VALUE"""),-0.099)</f>
        <v>-9.9000000000000005E-2</v>
      </c>
      <c r="F173">
        <f ca="1">IFERROR(__xludf.DUMMYFUNCTION("""COMPUTED_VALUE"""),-0.992)</f>
        <v>-0.99199999999999999</v>
      </c>
      <c r="G173">
        <f ca="1">IFERROR(__xludf.DUMMYFUNCTION("""COMPUTED_VALUE"""),10)</f>
        <v>10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IFERROR(__xludf.DUMMYFUNCTION("""COMPUTED_VALUE"""),139)</f>
        <v>139</v>
      </c>
      <c r="C174" t="str">
        <f ca="1">IFERROR(__xludf.DUMMYFUNCTION("""COMPUTED_VALUE"""),"Xinjun Zhang")</f>
        <v>Xinjun Zhang</v>
      </c>
      <c r="D174">
        <f ca="1">IFERROR(__xludf.DUMMYFUNCTION("""COMPUTED_VALUE"""),14)</f>
        <v>14</v>
      </c>
      <c r="E174">
        <f ca="1">IFERROR(__xludf.DUMMYFUNCTION("""COMPUTED_VALUE"""),-0.101)</f>
        <v>-0.10100000000000001</v>
      </c>
      <c r="F174">
        <f ca="1">IFERROR(__xludf.DUMMYFUNCTION("""COMPUTED_VALUE"""),-1.008)</f>
        <v>-1.008</v>
      </c>
      <c r="G174">
        <f ca="1">IFERROR(__xludf.DUMMYFUNCTION("""COMPUTED_VALUE"""),10)</f>
        <v>10</v>
      </c>
    </row>
    <row r="175" spans="1:7" ht="12.75">
      <c r="A175">
        <f ca="1">IFERROR(__xludf.DUMMYFUNCTION("""COMPUTED_VALUE"""),174)</f>
        <v>174</v>
      </c>
      <c r="B175" t="str">
        <f ca="1">IFERROR(__xludf.DUMMYFUNCTION("""COMPUTED_VALUE"""),"T166")</f>
        <v>T166</v>
      </c>
      <c r="C175" t="str">
        <f ca="1">IFERROR(__xludf.DUMMYFUNCTION("""COMPUTED_VALUE"""),"Kurt Kitayama")</f>
        <v>Kurt Kitayama</v>
      </c>
      <c r="D175">
        <f ca="1">IFERROR(__xludf.DUMMYFUNCTION("""COMPUTED_VALUE"""),4)</f>
        <v>4</v>
      </c>
      <c r="E175">
        <f ca="1">IFERROR(__xludf.DUMMYFUNCTION("""COMPUTED_VALUE"""),-0.103)</f>
        <v>-0.10299999999999999</v>
      </c>
      <c r="F175">
        <f ca="1">IFERROR(__xludf.DUMMYFUNCTION("""COMPUTED_VALUE"""),-0.207)</f>
        <v>-0.20699999999999999</v>
      </c>
      <c r="G175">
        <f ca="1">IFERROR(__xludf.DUMMYFUNCTION("""COMPUTED_VALUE"""),2)</f>
        <v>2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IFERROR(__xludf.DUMMYFUNCTION("""COMPUTED_VALUE"""),168)</f>
        <v>168</v>
      </c>
      <c r="C176" t="str">
        <f ca="1">IFERROR(__xludf.DUMMYFUNCTION("""COMPUTED_VALUE"""),"Rasmus Hojgaard")</f>
        <v>Rasmus Hojgaard</v>
      </c>
      <c r="D176">
        <f ca="1">IFERROR(__xludf.DUMMYFUNCTION("""COMPUTED_VALUE"""),6)</f>
        <v>6</v>
      </c>
      <c r="E176">
        <f ca="1">IFERROR(__xludf.DUMMYFUNCTION("""COMPUTED_VALUE"""),-0.108)</f>
        <v>-0.108</v>
      </c>
      <c r="F176">
        <f ca="1">IFERROR(__xludf.DUMMYFUNCTION("""COMPUTED_VALUE"""),-0.216)</f>
        <v>-0.216</v>
      </c>
      <c r="G176">
        <f ca="1">IFERROR(__xludf.DUMMYFUNCTION("""COMPUTED_VALUE"""),2)</f>
        <v>2</v>
      </c>
    </row>
    <row r="177" spans="1:7" ht="12.75">
      <c r="A177">
        <f ca="1">IFERROR(__xludf.DUMMYFUNCTION("""COMPUTED_VALUE"""),176)</f>
        <v>176</v>
      </c>
      <c r="B177" t="str">
        <f ca="1">IFERROR(__xludf.DUMMYFUNCTION("""COMPUTED_VALUE"""),"")</f>
        <v/>
      </c>
      <c r="C177" t="str">
        <f ca="1">IFERROR(__xludf.DUMMYFUNCTION("""COMPUTED_VALUE"""),"Padraig Harrington")</f>
        <v>Padraig Harrington</v>
      </c>
      <c r="D177">
        <f ca="1">IFERROR(__xludf.DUMMYFUNCTION("""COMPUTED_VALUE"""),8)</f>
        <v>8</v>
      </c>
      <c r="E177">
        <f ca="1">IFERROR(__xludf.DUMMYFUNCTION("""COMPUTED_VALUE"""),-0.112)</f>
        <v>-0.112</v>
      </c>
      <c r="F177">
        <f ca="1">IFERROR(__xludf.DUMMYFUNCTION("""COMPUTED_VALUE"""),-0.447)</f>
        <v>-0.44700000000000001</v>
      </c>
      <c r="G177">
        <f ca="1">IFERROR(__xludf.DUMMYFUNCTION("""COMPUTED_VALUE"""),4)</f>
        <v>4</v>
      </c>
    </row>
    <row r="178" spans="1:7" ht="12.75">
      <c r="A178" t="str">
        <f ca="1">IFERROR(__xludf.DUMMYFUNCTION("""COMPUTED_VALUE"""),"T177")</f>
        <v>T177</v>
      </c>
      <c r="B178">
        <f ca="1">IFERROR(__xludf.DUMMYFUNCTION("""COMPUTED_VALUE"""),193)</f>
        <v>193</v>
      </c>
      <c r="C178" t="str">
        <f ca="1">IFERROR(__xludf.DUMMYFUNCTION("""COMPUTED_VALUE"""),"Kyoung-Hoon Lee")</f>
        <v>Kyoung-Hoon Lee</v>
      </c>
      <c r="D178">
        <f ca="1">IFERROR(__xludf.DUMMYFUNCTION("""COMPUTED_VALUE"""),20)</f>
        <v>20</v>
      </c>
      <c r="E178">
        <f ca="1">IFERROR(__xludf.DUMMYFUNCTION("""COMPUTED_VALUE"""),-0.125)</f>
        <v>-0.125</v>
      </c>
      <c r="F178">
        <f ca="1">IFERROR(__xludf.DUMMYFUNCTION("""COMPUTED_VALUE"""),-1.755)</f>
        <v>-1.7549999999999999</v>
      </c>
      <c r="G178">
        <f ca="1">IFERROR(__xludf.DUMMYFUNCTION("""COMPUTED_VALUE"""),14)</f>
        <v>14</v>
      </c>
    </row>
    <row r="179" spans="1:7" ht="12.75">
      <c r="A179" t="str">
        <f ca="1">IFERROR(__xludf.DUMMYFUNCTION("""COMPUTED_VALUE"""),"T177")</f>
        <v>T177</v>
      </c>
      <c r="B179">
        <f ca="1">IFERROR(__xludf.DUMMYFUNCTION("""COMPUTED_VALUE"""),263)</f>
        <v>263</v>
      </c>
      <c r="C179" t="str">
        <f ca="1">IFERROR(__xludf.DUMMYFUNCTION("""COMPUTED_VALUE"""),"Max Homa")</f>
        <v>Max Homa</v>
      </c>
      <c r="D179">
        <f ca="1">IFERROR(__xludf.DUMMYFUNCTION("""COMPUTED_VALUE"""),12)</f>
        <v>12</v>
      </c>
      <c r="E179">
        <f ca="1">IFERROR(__xludf.DUMMYFUNCTION("""COMPUTED_VALUE"""),-0.125)</f>
        <v>-0.125</v>
      </c>
      <c r="F179">
        <f ca="1">IFERROR(__xludf.DUMMYFUNCTION("""COMPUTED_VALUE"""),-1)</f>
        <v>-1</v>
      </c>
      <c r="G179">
        <f ca="1">IFERROR(__xludf.DUMMYFUNCTION("""COMPUTED_VALUE"""),8)</f>
        <v>8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IFERROR(__xludf.DUMMYFUNCTION("""COMPUTED_VALUE"""),210)</f>
        <v>210</v>
      </c>
      <c r="C180" t="str">
        <f ca="1">IFERROR(__xludf.DUMMYFUNCTION("""COMPUTED_VALUE"""),"Troy Merritt")</f>
        <v>Troy Merritt</v>
      </c>
      <c r="D180">
        <f ca="1">IFERROR(__xludf.DUMMYFUNCTION("""COMPUTED_VALUE"""),20)</f>
        <v>20</v>
      </c>
      <c r="E180">
        <f ca="1">IFERROR(__xludf.DUMMYFUNCTION("""COMPUTED_VALUE"""),-0.135)</f>
        <v>-0.13500000000000001</v>
      </c>
      <c r="F180">
        <f ca="1">IFERROR(__xludf.DUMMYFUNCTION("""COMPUTED_VALUE"""),-2.158)</f>
        <v>-2.1579999999999999</v>
      </c>
      <c r="G180">
        <f ca="1">IFERROR(__xludf.DUMMYFUNCTION("""COMPUTED_VALUE"""),16)</f>
        <v>16</v>
      </c>
    </row>
    <row r="181" spans="1:7" ht="12.75">
      <c r="A181">
        <f ca="1">IFERROR(__xludf.DUMMYFUNCTION("""COMPUTED_VALUE"""),180)</f>
        <v>180</v>
      </c>
      <c r="B181" t="str">
        <f ca="1">IFERROR(__xludf.DUMMYFUNCTION("""COMPUTED_VALUE"""),"")</f>
        <v/>
      </c>
      <c r="C181" t="str">
        <f ca="1">IFERROR(__xludf.DUMMYFUNCTION("""COMPUTED_VALUE"""),"Dawie van der Walt")</f>
        <v>Dawie van der Walt</v>
      </c>
      <c r="D181">
        <f ca="1">IFERROR(__xludf.DUMMYFUNCTION("""COMPUTED_VALUE"""),4)</f>
        <v>4</v>
      </c>
      <c r="E181">
        <f ca="1">IFERROR(__xludf.DUMMYFUNCTION("""COMPUTED_VALUE"""),-0.147)</f>
        <v>-0.14699999999999999</v>
      </c>
      <c r="F181">
        <f ca="1">IFERROR(__xludf.DUMMYFUNCTION("""COMPUTED_VALUE"""),-0.586)</f>
        <v>-0.58599999999999997</v>
      </c>
      <c r="G181">
        <f ca="1">IFERROR(__xludf.DUMMYFUNCTION("""COMPUTED_VALUE"""),4)</f>
        <v>4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IFERROR(__xludf.DUMMYFUNCTION("""COMPUTED_VALUE"""),177)</f>
        <v>177</v>
      </c>
      <c r="C182" t="str">
        <f ca="1">IFERROR(__xludf.DUMMYFUNCTION("""COMPUTED_VALUE"""),"Brendon Todd")</f>
        <v>Brendon Todd</v>
      </c>
      <c r="D182">
        <f ca="1">IFERROR(__xludf.DUMMYFUNCTION("""COMPUTED_VALUE"""),14)</f>
        <v>14</v>
      </c>
      <c r="E182">
        <f ca="1">IFERROR(__xludf.DUMMYFUNCTION("""COMPUTED_VALUE"""),-0.148)</f>
        <v>-0.14799999999999999</v>
      </c>
      <c r="F182">
        <f ca="1">IFERROR(__xludf.DUMMYFUNCTION("""COMPUTED_VALUE"""),-1.774)</f>
        <v>-1.774</v>
      </c>
      <c r="G182">
        <f ca="1">IFERROR(__xludf.DUMMYFUNCTION("""COMPUTED_VALUE"""),12)</f>
        <v>12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IFERROR(__xludf.DUMMYFUNCTION("""COMPUTED_VALUE"""),179)</f>
        <v>179</v>
      </c>
      <c r="C183" t="str">
        <f ca="1">IFERROR(__xludf.DUMMYFUNCTION("""COMPUTED_VALUE"""),"Paul Casey")</f>
        <v>Paul Casey</v>
      </c>
      <c r="D183">
        <f ca="1">IFERROR(__xludf.DUMMYFUNCTION("""COMPUTED_VALUE"""),14)</f>
        <v>14</v>
      </c>
      <c r="E183">
        <f ca="1">IFERROR(__xludf.DUMMYFUNCTION("""COMPUTED_VALUE"""),-0.156)</f>
        <v>-0.156</v>
      </c>
      <c r="F183">
        <f ca="1">IFERROR(__xludf.DUMMYFUNCTION("""COMPUTED_VALUE"""),-2.177)</f>
        <v>-2.177</v>
      </c>
      <c r="G183">
        <f ca="1">IFERROR(__xludf.DUMMYFUNCTION("""COMPUTED_VALUE"""),14)</f>
        <v>14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IFERROR(__xludf.DUMMYFUNCTION("""COMPUTED_VALUE"""),202)</f>
        <v>202</v>
      </c>
      <c r="C184" t="str">
        <f ca="1">IFERROR(__xludf.DUMMYFUNCTION("""COMPUTED_VALUE"""),"Adam Scott")</f>
        <v>Adam Scott</v>
      </c>
      <c r="D184">
        <f ca="1">IFERROR(__xludf.DUMMYFUNCTION("""COMPUTED_VALUE"""),8)</f>
        <v>8</v>
      </c>
      <c r="E184">
        <f ca="1">IFERROR(__xludf.DUMMYFUNCTION("""COMPUTED_VALUE"""),-0.162)</f>
        <v>-0.16200000000000001</v>
      </c>
      <c r="F184">
        <f ca="1">IFERROR(__xludf.DUMMYFUNCTION("""COMPUTED_VALUE"""),-1.298)</f>
        <v>-1.298</v>
      </c>
      <c r="G184">
        <f ca="1">IFERROR(__xludf.DUMMYFUNCTION("""COMPUTED_VALUE"""),8)</f>
        <v>8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IFERROR(__xludf.DUMMYFUNCTION("""COMPUTED_VALUE"""),180)</f>
        <v>180</v>
      </c>
      <c r="C185" t="str">
        <f ca="1">IFERROR(__xludf.DUMMYFUNCTION("""COMPUTED_VALUE"""),"Shugo Imahira")</f>
        <v>Shugo Imahira</v>
      </c>
      <c r="D185">
        <f ca="1">IFERROR(__xludf.DUMMYFUNCTION("""COMPUTED_VALUE"""),8)</f>
        <v>8</v>
      </c>
      <c r="E185">
        <f ca="1">IFERROR(__xludf.DUMMYFUNCTION("""COMPUTED_VALUE"""),-0.164)</f>
        <v>-0.16400000000000001</v>
      </c>
      <c r="F185">
        <f ca="1">IFERROR(__xludf.DUMMYFUNCTION("""COMPUTED_VALUE"""),-1.309)</f>
        <v>-1.3089999999999999</v>
      </c>
      <c r="G185">
        <f ca="1">IFERROR(__xludf.DUMMYFUNCTION("""COMPUTED_VALUE"""),8)</f>
        <v>8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IFERROR(__xludf.DUMMYFUNCTION("""COMPUTED_VALUE"""),"T181")</f>
        <v>T181</v>
      </c>
      <c r="C186" t="str">
        <f ca="1">IFERROR(__xludf.DUMMYFUNCTION("""COMPUTED_VALUE"""),"Tiger Woods")</f>
        <v>Tiger Woods</v>
      </c>
      <c r="D186">
        <f ca="1">IFERROR(__xludf.DUMMYFUNCTION("""COMPUTED_VALUE"""),6)</f>
        <v>6</v>
      </c>
      <c r="E186">
        <f ca="1">IFERROR(__xludf.DUMMYFUNCTION("""COMPUTED_VALUE"""),-0.167)</f>
        <v>-0.16700000000000001</v>
      </c>
      <c r="F186">
        <f ca="1">IFERROR(__xludf.DUMMYFUNCTION("""COMPUTED_VALUE"""),-1)</f>
        <v>-1</v>
      </c>
      <c r="G186">
        <f ca="1">IFERROR(__xludf.DUMMYFUNCTION("""COMPUTED_VALUE"""),6)</f>
        <v>6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IFERROR(__xludf.DUMMYFUNCTION("""COMPUTED_VALUE"""),198)</f>
        <v>198</v>
      </c>
      <c r="C187" t="str">
        <f ca="1">IFERROR(__xludf.DUMMYFUNCTION("""COMPUTED_VALUE"""),"Charley Hoffman")</f>
        <v>Charley Hoffman</v>
      </c>
      <c r="D187">
        <f ca="1">IFERROR(__xludf.DUMMYFUNCTION("""COMPUTED_VALUE"""),20)</f>
        <v>20</v>
      </c>
      <c r="E187">
        <f ca="1">IFERROR(__xludf.DUMMYFUNCTION("""COMPUTED_VALUE"""),-0.171)</f>
        <v>-0.17100000000000001</v>
      </c>
      <c r="F187">
        <f ca="1">IFERROR(__xludf.DUMMYFUNCTION("""COMPUTED_VALUE"""),-2.395)</f>
        <v>-2.395</v>
      </c>
      <c r="G187">
        <f ca="1">IFERROR(__xludf.DUMMYFUNCTION("""COMPUTED_VALUE"""),14)</f>
        <v>14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IFERROR(__xludf.DUMMYFUNCTION("""COMPUTED_VALUE"""),183)</f>
        <v>183</v>
      </c>
      <c r="C188" t="str">
        <f ca="1">IFERROR(__xludf.DUMMYFUNCTION("""COMPUTED_VALUE"""),"Rafael Campos")</f>
        <v>Rafael Campos</v>
      </c>
      <c r="D188">
        <f ca="1">IFERROR(__xludf.DUMMYFUNCTION("""COMPUTED_VALUE"""),6)</f>
        <v>6</v>
      </c>
      <c r="E188">
        <f ca="1">IFERROR(__xludf.DUMMYFUNCTION("""COMPUTED_VALUE"""),-0.172)</f>
        <v>-0.17199999999999999</v>
      </c>
      <c r="F188">
        <f ca="1">IFERROR(__xludf.DUMMYFUNCTION("""COMPUTED_VALUE"""),-0.345)</f>
        <v>-0.34499999999999997</v>
      </c>
      <c r="G188">
        <f ca="1">IFERROR(__xludf.DUMMYFUNCTION("""COMPUTED_VALUE"""),2)</f>
        <v>2</v>
      </c>
    </row>
    <row r="189" spans="1:7" ht="12.75">
      <c r="A189">
        <f ca="1">IFERROR(__xludf.DUMMYFUNCTION("""COMPUTED_VALUE"""),188)</f>
        <v>188</v>
      </c>
      <c r="B189">
        <f ca="1">IFERROR(__xludf.DUMMYFUNCTION("""COMPUTED_VALUE"""),224)</f>
        <v>224</v>
      </c>
      <c r="C189" t="str">
        <f ca="1">IFERROR(__xludf.DUMMYFUNCTION("""COMPUTED_VALUE"""),"Scott Piercy")</f>
        <v>Scott Piercy</v>
      </c>
      <c r="D189">
        <f ca="1">IFERROR(__xludf.DUMMYFUNCTION("""COMPUTED_VALUE"""),18)</f>
        <v>18</v>
      </c>
      <c r="E189">
        <f ca="1">IFERROR(__xludf.DUMMYFUNCTION("""COMPUTED_VALUE"""),-0.175)</f>
        <v>-0.17499999999999999</v>
      </c>
      <c r="F189">
        <f ca="1">IFERROR(__xludf.DUMMYFUNCTION("""COMPUTED_VALUE"""),-2.455)</f>
        <v>-2.4550000000000001</v>
      </c>
      <c r="G189">
        <f ca="1">IFERROR(__xludf.DUMMYFUNCTION("""COMPUTED_VALUE"""),14)</f>
        <v>14</v>
      </c>
    </row>
    <row r="190" spans="1:7" ht="12.75">
      <c r="A190">
        <f ca="1">IFERROR(__xludf.DUMMYFUNCTION("""COMPUTED_VALUE"""),189)</f>
        <v>189</v>
      </c>
      <c r="B190">
        <f ca="1">IFERROR(__xludf.DUMMYFUNCTION("""COMPUTED_VALUE"""),184)</f>
        <v>184</v>
      </c>
      <c r="C190" t="str">
        <f ca="1">IFERROR(__xludf.DUMMYFUNCTION("""COMPUTED_VALUE"""),"Sahith Theegala")</f>
        <v>Sahith Theegala</v>
      </c>
      <c r="D190">
        <f ca="1">IFERROR(__xludf.DUMMYFUNCTION("""COMPUTED_VALUE"""),6)</f>
        <v>6</v>
      </c>
      <c r="E190">
        <f ca="1">IFERROR(__xludf.DUMMYFUNCTION("""COMPUTED_VALUE"""),-0.176)</f>
        <v>-0.17599999999999999</v>
      </c>
      <c r="F190">
        <f ca="1">IFERROR(__xludf.DUMMYFUNCTION("""COMPUTED_VALUE"""),-1.054)</f>
        <v>-1.054</v>
      </c>
      <c r="G190">
        <f ca="1">IFERROR(__xludf.DUMMYFUNCTION("""COMPUTED_VALUE"""),6)</f>
        <v>6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IFERROR(__xludf.DUMMYFUNCTION("""COMPUTED_VALUE"""),146)</f>
        <v>146</v>
      </c>
      <c r="C191" t="str">
        <f ca="1">IFERROR(__xludf.DUMMYFUNCTION("""COMPUTED_VALUE"""),"Isaiah Salinda")</f>
        <v>Isaiah Salinda</v>
      </c>
      <c r="D191">
        <f ca="1">IFERROR(__xludf.DUMMYFUNCTION("""COMPUTED_VALUE"""),8)</f>
        <v>8</v>
      </c>
      <c r="E191">
        <f ca="1">IFERROR(__xludf.DUMMYFUNCTION("""COMPUTED_VALUE"""),-0.177)</f>
        <v>-0.17699999999999999</v>
      </c>
      <c r="F191">
        <f ca="1">IFERROR(__xludf.DUMMYFUNCTION("""COMPUTED_VALUE"""),-1.419)</f>
        <v>-1.419</v>
      </c>
      <c r="G191">
        <f ca="1">IFERROR(__xludf.DUMMYFUNCTION("""COMPUTED_VALUE"""),8)</f>
        <v>8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IFERROR(__xludf.DUMMYFUNCTION("""COMPUTED_VALUE"""),171)</f>
        <v>171</v>
      </c>
      <c r="C192" t="str">
        <f ca="1">IFERROR(__xludf.DUMMYFUNCTION("""COMPUTED_VALUE"""),"Danny Lee")</f>
        <v>Danny Lee</v>
      </c>
      <c r="D192">
        <f ca="1">IFERROR(__xludf.DUMMYFUNCTION("""COMPUTED_VALUE"""),15)</f>
        <v>15</v>
      </c>
      <c r="E192">
        <f ca="1">IFERROR(__xludf.DUMMYFUNCTION("""COMPUTED_VALUE"""),-0.182)</f>
        <v>-0.182</v>
      </c>
      <c r="F192">
        <f ca="1">IFERROR(__xludf.DUMMYFUNCTION("""COMPUTED_VALUE"""),-2.735)</f>
        <v>-2.7349999999999999</v>
      </c>
      <c r="G192">
        <f ca="1">IFERROR(__xludf.DUMMYFUNCTION("""COMPUTED_VALUE"""),15)</f>
        <v>15</v>
      </c>
    </row>
    <row r="193" spans="1:7" ht="12.75">
      <c r="A193">
        <f ca="1">IFERROR(__xludf.DUMMYFUNCTION("""COMPUTED_VALUE"""),192)</f>
        <v>192</v>
      </c>
      <c r="B193">
        <f ca="1">IFERROR(__xludf.DUMMYFUNCTION("""COMPUTED_VALUE"""),111)</f>
        <v>111</v>
      </c>
      <c r="C193" t="str">
        <f ca="1">IFERROR(__xludf.DUMMYFUNCTION("""COMPUTED_VALUE"""),"Bronson Burgoon")</f>
        <v>Bronson Burgoon</v>
      </c>
      <c r="D193">
        <f ca="1">IFERROR(__xludf.DUMMYFUNCTION("""COMPUTED_VALUE"""),10)</f>
        <v>10</v>
      </c>
      <c r="E193">
        <f ca="1">IFERROR(__xludf.DUMMYFUNCTION("""COMPUTED_VALUE"""),-0.184)</f>
        <v>-0.184</v>
      </c>
      <c r="F193">
        <f ca="1">IFERROR(__xludf.DUMMYFUNCTION("""COMPUTED_VALUE"""),-1.471)</f>
        <v>-1.4710000000000001</v>
      </c>
      <c r="G193">
        <f ca="1">IFERROR(__xludf.DUMMYFUNCTION("""COMPUTED_VALUE"""),8)</f>
        <v>8</v>
      </c>
    </row>
    <row r="194" spans="1:7" ht="12.75">
      <c r="A194" t="str">
        <f ca="1">IFERROR(__xludf.DUMMYFUNCTION("""COMPUTED_VALUE"""),"T193")</f>
        <v>T193</v>
      </c>
      <c r="B194" t="str">
        <f ca="1">IFERROR(__xludf.DUMMYFUNCTION("""COMPUTED_VALUE"""),"T185")</f>
        <v>T185</v>
      </c>
      <c r="C194" t="str">
        <f ca="1">IFERROR(__xludf.DUMMYFUNCTION("""COMPUTED_VALUE"""),"Ben Taylor")</f>
        <v>Ben Taylor</v>
      </c>
      <c r="D194">
        <f ca="1">IFERROR(__xludf.DUMMYFUNCTION("""COMPUTED_VALUE"""),10)</f>
        <v>10</v>
      </c>
      <c r="E194">
        <f ca="1">IFERROR(__xludf.DUMMYFUNCTION("""COMPUTED_VALUE"""),-0.188)</f>
        <v>-0.188</v>
      </c>
      <c r="F194">
        <f ca="1">IFERROR(__xludf.DUMMYFUNCTION("""COMPUTED_VALUE"""),-0.751)</f>
        <v>-0.751</v>
      </c>
      <c r="G194">
        <f ca="1">IFERROR(__xludf.DUMMYFUNCTION("""COMPUTED_VALUE"""),4)</f>
        <v>4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IFERROR(__xludf.DUMMYFUNCTION("""COMPUTED_VALUE"""),"T185")</f>
        <v>T185</v>
      </c>
      <c r="C195" t="str">
        <f ca="1">IFERROR(__xludf.DUMMYFUNCTION("""COMPUTED_VALUE"""),"Hanbyeol Kim")</f>
        <v>Hanbyeol Kim</v>
      </c>
      <c r="D195">
        <f ca="1">IFERROR(__xludf.DUMMYFUNCTION("""COMPUTED_VALUE"""),4)</f>
        <v>4</v>
      </c>
      <c r="E195">
        <f ca="1">IFERROR(__xludf.DUMMYFUNCTION("""COMPUTED_VALUE"""),-0.188)</f>
        <v>-0.188</v>
      </c>
      <c r="F195">
        <f ca="1">IFERROR(__xludf.DUMMYFUNCTION("""COMPUTED_VALUE"""),-0.752)</f>
        <v>-0.752</v>
      </c>
      <c r="G195">
        <f ca="1">IFERROR(__xludf.DUMMYFUNCTION("""COMPUTED_VALUE"""),4)</f>
        <v>4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IFERROR(__xludf.DUMMYFUNCTION("""COMPUTED_VALUE"""),187)</f>
        <v>187</v>
      </c>
      <c r="C196" t="str">
        <f ca="1">IFERROR(__xludf.DUMMYFUNCTION("""COMPUTED_VALUE"""),"Nelson Ledesma")</f>
        <v>Nelson Ledesma</v>
      </c>
      <c r="D196">
        <f ca="1">IFERROR(__xludf.DUMMYFUNCTION("""COMPUTED_VALUE"""),8)</f>
        <v>8</v>
      </c>
      <c r="E196">
        <f ca="1">IFERROR(__xludf.DUMMYFUNCTION("""COMPUTED_VALUE"""),-0.189)</f>
        <v>-0.189</v>
      </c>
      <c r="F196">
        <f ca="1">IFERROR(__xludf.DUMMYFUNCTION("""COMPUTED_VALUE"""),-0.756)</f>
        <v>-0.75600000000000001</v>
      </c>
      <c r="G196">
        <f ca="1">IFERROR(__xludf.DUMMYFUNCTION("""COMPUTED_VALUE"""),4)</f>
        <v>4</v>
      </c>
    </row>
    <row r="197" spans="1:7" ht="12.75">
      <c r="A197">
        <f ca="1">IFERROR(__xludf.DUMMYFUNCTION("""COMPUTED_VALUE"""),196)</f>
        <v>196</v>
      </c>
      <c r="B197" t="str">
        <f ca="1">IFERROR(__xludf.DUMMYFUNCTION("""COMPUTED_VALUE"""),"")</f>
        <v/>
      </c>
      <c r="C197" t="str">
        <f ca="1">IFERROR(__xludf.DUMMYFUNCTION("""COMPUTED_VALUE"""),"Erik Barnes")</f>
        <v>Erik Barnes</v>
      </c>
      <c r="D197">
        <f ca="1">IFERROR(__xludf.DUMMYFUNCTION("""COMPUTED_VALUE"""),4)</f>
        <v>4</v>
      </c>
      <c r="E197">
        <f ca="1">IFERROR(__xludf.DUMMYFUNCTION("""COMPUTED_VALUE"""),-0.193)</f>
        <v>-0.193</v>
      </c>
      <c r="F197">
        <f ca="1">IFERROR(__xludf.DUMMYFUNCTION("""COMPUTED_VALUE"""),-0.771)</f>
        <v>-0.77100000000000002</v>
      </c>
      <c r="G197">
        <f ca="1">IFERROR(__xludf.DUMMYFUNCTION("""COMPUTED_VALUE"""),4)</f>
        <v>4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IFERROR(__xludf.DUMMYFUNCTION("""COMPUTED_VALUE"""),189)</f>
        <v>189</v>
      </c>
      <c r="C198" t="str">
        <f ca="1">IFERROR(__xludf.DUMMYFUNCTION("""COMPUTED_VALUE"""),"Chan Kim")</f>
        <v>Chan Kim</v>
      </c>
      <c r="D198">
        <f ca="1">IFERROR(__xludf.DUMMYFUNCTION("""COMPUTED_VALUE"""),6)</f>
        <v>6</v>
      </c>
      <c r="E198">
        <f ca="1">IFERROR(__xludf.DUMMYFUNCTION("""COMPUTED_VALUE"""),-0.197)</f>
        <v>-0.19700000000000001</v>
      </c>
      <c r="F198">
        <f ca="1">IFERROR(__xludf.DUMMYFUNCTION("""COMPUTED_VALUE"""),-1.181)</f>
        <v>-1.181</v>
      </c>
      <c r="G198">
        <f ca="1">IFERROR(__xludf.DUMMYFUNCTION("""COMPUTED_VALUE"""),6)</f>
        <v>6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IFERROR(__xludf.DUMMYFUNCTION("""COMPUTED_VALUE"""),60)</f>
        <v>60</v>
      </c>
      <c r="C199" t="str">
        <f ca="1">IFERROR(__xludf.DUMMYFUNCTION("""COMPUTED_VALUE"""),"Beau Hossler")</f>
        <v>Beau Hossler</v>
      </c>
      <c r="D199">
        <f ca="1">IFERROR(__xludf.DUMMYFUNCTION("""COMPUTED_VALUE"""),22)</f>
        <v>22</v>
      </c>
      <c r="E199">
        <f ca="1">IFERROR(__xludf.DUMMYFUNCTION("""COMPUTED_VALUE"""),-0.205)</f>
        <v>-0.20499999999999999</v>
      </c>
      <c r="F199">
        <f ca="1">IFERROR(__xludf.DUMMYFUNCTION("""COMPUTED_VALUE"""),-2.864)</f>
        <v>-2.8639999999999999</v>
      </c>
      <c r="G199">
        <f ca="1">IFERROR(__xludf.DUMMYFUNCTION("""COMPUTED_VALUE"""),14)</f>
        <v>14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IFERROR(__xludf.DUMMYFUNCTION("""COMPUTED_VALUE"""),192)</f>
        <v>192</v>
      </c>
      <c r="C200" t="str">
        <f ca="1">IFERROR(__xludf.DUMMYFUNCTION("""COMPUTED_VALUE"""),"Zac Blair")</f>
        <v>Zac Blair</v>
      </c>
      <c r="D200">
        <f ca="1">IFERROR(__xludf.DUMMYFUNCTION("""COMPUTED_VALUE"""),10)</f>
        <v>10</v>
      </c>
      <c r="E200">
        <f ca="1">IFERROR(__xludf.DUMMYFUNCTION("""COMPUTED_VALUE"""),-0.216)</f>
        <v>-0.216</v>
      </c>
      <c r="F200">
        <f ca="1">IFERROR(__xludf.DUMMYFUNCTION("""COMPUTED_VALUE"""),-1.296)</f>
        <v>-1.296</v>
      </c>
      <c r="G200">
        <f ca="1">IFERROR(__xludf.DUMMYFUNCTION("""COMPUTED_VALUE"""),6)</f>
        <v>6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IFERROR(__xludf.DUMMYFUNCTION("""COMPUTED_VALUE"""),203)</f>
        <v>203</v>
      </c>
      <c r="C201" t="str">
        <f ca="1">IFERROR(__xludf.DUMMYFUNCTION("""COMPUTED_VALUE"""),"Sung Kang")</f>
        <v>Sung Kang</v>
      </c>
      <c r="D201">
        <f ca="1">IFERROR(__xludf.DUMMYFUNCTION("""COMPUTED_VALUE"""),14)</f>
        <v>14</v>
      </c>
      <c r="E201">
        <f ca="1">IFERROR(__xludf.DUMMYFUNCTION("""COMPUTED_VALUE"""),-0.22)</f>
        <v>-0.22</v>
      </c>
      <c r="F201">
        <f ca="1">IFERROR(__xludf.DUMMYFUNCTION("""COMPUTED_VALUE"""),-3.083)</f>
        <v>-3.0830000000000002</v>
      </c>
      <c r="G201">
        <f ca="1">IFERROR(__xludf.DUMMYFUNCTION("""COMPUTED_VALUE"""),14)</f>
        <v>14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IFERROR(__xludf.DUMMYFUNCTION("""COMPUTED_VALUE"""),163)</f>
        <v>163</v>
      </c>
      <c r="C202" t="str">
        <f ca="1">IFERROR(__xludf.DUMMYFUNCTION("""COMPUTED_VALUE"""),"Emiliano Grillo")</f>
        <v>Emiliano Grillo</v>
      </c>
      <c r="D202">
        <f ca="1">IFERROR(__xludf.DUMMYFUNCTION("""COMPUTED_VALUE"""),22)</f>
        <v>22</v>
      </c>
      <c r="E202">
        <f ca="1">IFERROR(__xludf.DUMMYFUNCTION("""COMPUTED_VALUE"""),-0.221)</f>
        <v>-0.221</v>
      </c>
      <c r="F202">
        <f ca="1">IFERROR(__xludf.DUMMYFUNCTION("""COMPUTED_VALUE"""),-3.095)</f>
        <v>-3.0950000000000002</v>
      </c>
      <c r="G202">
        <f ca="1">IFERROR(__xludf.DUMMYFUNCTION("""COMPUTED_VALUE"""),14)</f>
        <v>14</v>
      </c>
    </row>
    <row r="203" spans="1:7" ht="12.75">
      <c r="A203">
        <f ca="1">IFERROR(__xludf.DUMMYFUNCTION("""COMPUTED_VALUE"""),202)</f>
        <v>202</v>
      </c>
      <c r="B203">
        <f ca="1">IFERROR(__xludf.DUMMYFUNCTION("""COMPUTED_VALUE"""),195)</f>
        <v>195</v>
      </c>
      <c r="C203" t="str">
        <f ca="1">IFERROR(__xludf.DUMMYFUNCTION("""COMPUTED_VALUE"""),"Robert Streb")</f>
        <v>Robert Streb</v>
      </c>
      <c r="D203">
        <f ca="1">IFERROR(__xludf.DUMMYFUNCTION("""COMPUTED_VALUE"""),12)</f>
        <v>12</v>
      </c>
      <c r="E203">
        <f ca="1">IFERROR(__xludf.DUMMYFUNCTION("""COMPUTED_VALUE"""),-0.228)</f>
        <v>-0.22800000000000001</v>
      </c>
      <c r="F203">
        <f ca="1">IFERROR(__xludf.DUMMYFUNCTION("""COMPUTED_VALUE"""),-0.914)</f>
        <v>-0.91400000000000003</v>
      </c>
      <c r="G203">
        <f ca="1">IFERROR(__xludf.DUMMYFUNCTION("""COMPUTED_VALUE"""),4)</f>
        <v>4</v>
      </c>
    </row>
    <row r="204" spans="1:7" ht="12.75">
      <c r="A204">
        <f ca="1">IFERROR(__xludf.DUMMYFUNCTION("""COMPUTED_VALUE"""),203)</f>
        <v>203</v>
      </c>
      <c r="B204" t="str">
        <f ca="1">IFERROR(__xludf.DUMMYFUNCTION("""COMPUTED_VALUE"""),"T100")</f>
        <v>T100</v>
      </c>
      <c r="C204" t="str">
        <f ca="1">IFERROR(__xludf.DUMMYFUNCTION("""COMPUTED_VALUE"""),"Jhonattan Vegas")</f>
        <v>Jhonattan Vegas</v>
      </c>
      <c r="D204">
        <f ca="1">IFERROR(__xludf.DUMMYFUNCTION("""COMPUTED_VALUE"""),16)</f>
        <v>16</v>
      </c>
      <c r="E204">
        <f ca="1">IFERROR(__xludf.DUMMYFUNCTION("""COMPUTED_VALUE"""),-0.231)</f>
        <v>-0.23100000000000001</v>
      </c>
      <c r="F204">
        <f ca="1">IFERROR(__xludf.DUMMYFUNCTION("""COMPUTED_VALUE"""),-2.307)</f>
        <v>-2.3069999999999999</v>
      </c>
      <c r="G204">
        <f ca="1">IFERROR(__xludf.DUMMYFUNCTION("""COMPUTED_VALUE"""),10)</f>
        <v>10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IFERROR(__xludf.DUMMYFUNCTION("""COMPUTED_VALUE"""),196)</f>
        <v>196</v>
      </c>
      <c r="C205" t="str">
        <f ca="1">IFERROR(__xludf.DUMMYFUNCTION("""COMPUTED_VALUE"""),"Kevin Kisner")</f>
        <v>Kevin Kisner</v>
      </c>
      <c r="D205">
        <f ca="1">IFERROR(__xludf.DUMMYFUNCTION("""COMPUTED_VALUE"""),10)</f>
        <v>10</v>
      </c>
      <c r="E205">
        <f ca="1">IFERROR(__xludf.DUMMYFUNCTION("""COMPUTED_VALUE"""),-0.232)</f>
        <v>-0.23200000000000001</v>
      </c>
      <c r="F205">
        <f ca="1">IFERROR(__xludf.DUMMYFUNCTION("""COMPUTED_VALUE"""),-2.324)</f>
        <v>-2.3239999999999998</v>
      </c>
      <c r="G205">
        <f ca="1">IFERROR(__xludf.DUMMYFUNCTION("""COMPUTED_VALUE"""),10)</f>
        <v>10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IFERROR(__xludf.DUMMYFUNCTION("""COMPUTED_VALUE"""),197)</f>
        <v>197</v>
      </c>
      <c r="C206" t="str">
        <f ca="1">IFERROR(__xludf.DUMMYFUNCTION("""COMPUTED_VALUE"""),"Naoki Sekito")</f>
        <v>Naoki Sekito</v>
      </c>
      <c r="D206">
        <f ca="1">IFERROR(__xludf.DUMMYFUNCTION("""COMPUTED_VALUE"""),4)</f>
        <v>4</v>
      </c>
      <c r="E206">
        <f ca="1">IFERROR(__xludf.DUMMYFUNCTION("""COMPUTED_VALUE"""),-0.234)</f>
        <v>-0.23400000000000001</v>
      </c>
      <c r="F206">
        <f ca="1">IFERROR(__xludf.DUMMYFUNCTION("""COMPUTED_VALUE"""),-0.936)</f>
        <v>-0.93600000000000005</v>
      </c>
      <c r="G206">
        <f ca="1">IFERROR(__xludf.DUMMYFUNCTION("""COMPUTED_VALUE"""),4)</f>
        <v>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IFERROR(__xludf.DUMMYFUNCTION("""COMPUTED_VALUE"""),199)</f>
        <v>199</v>
      </c>
      <c r="C207" t="str">
        <f ca="1">IFERROR(__xludf.DUMMYFUNCTION("""COMPUTED_VALUE"""),"Steve Lewton")</f>
        <v>Steve Lewton</v>
      </c>
      <c r="D207">
        <f ca="1">IFERROR(__xludf.DUMMYFUNCTION("""COMPUTED_VALUE"""),4)</f>
        <v>4</v>
      </c>
      <c r="E207">
        <f ca="1">IFERROR(__xludf.DUMMYFUNCTION("""COMPUTED_VALUE"""),-0.246)</f>
        <v>-0.246</v>
      </c>
      <c r="F207">
        <f ca="1">IFERROR(__xludf.DUMMYFUNCTION("""COMPUTED_VALUE"""),-0.983)</f>
        <v>-0.98299999999999998</v>
      </c>
      <c r="G207">
        <f ca="1">IFERROR(__xludf.DUMMYFUNCTION("""COMPUTED_VALUE"""),4)</f>
        <v>4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IFERROR(__xludf.DUMMYFUNCTION("""COMPUTED_VALUE"""),190)</f>
        <v>190</v>
      </c>
      <c r="C208" t="str">
        <f ca="1">IFERROR(__xludf.DUMMYFUNCTION("""COMPUTED_VALUE"""),"Sean O'Hair")</f>
        <v>Sean O'Hair</v>
      </c>
      <c r="D208">
        <f ca="1">IFERROR(__xludf.DUMMYFUNCTION("""COMPUTED_VALUE"""),14)</f>
        <v>14</v>
      </c>
      <c r="E208">
        <f ca="1">IFERROR(__xludf.DUMMYFUNCTION("""COMPUTED_VALUE"""),-0.25)</f>
        <v>-0.25</v>
      </c>
      <c r="F208">
        <f ca="1">IFERROR(__xludf.DUMMYFUNCTION("""COMPUTED_VALUE"""),-2.503)</f>
        <v>-2.5030000000000001</v>
      </c>
      <c r="G208">
        <f ca="1">IFERROR(__xludf.DUMMYFUNCTION("""COMPUTED_VALUE"""),10)</f>
        <v>10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IFERROR(__xludf.DUMMYFUNCTION("""COMPUTED_VALUE"""),200)</f>
        <v>200</v>
      </c>
      <c r="C209" t="str">
        <f ca="1">IFERROR(__xludf.DUMMYFUNCTION("""COMPUTED_VALUE"""),"Marc Leishman")</f>
        <v>Marc Leishman</v>
      </c>
      <c r="D209">
        <f ca="1">IFERROR(__xludf.DUMMYFUNCTION("""COMPUTED_VALUE"""),10)</f>
        <v>10</v>
      </c>
      <c r="E209">
        <f ca="1">IFERROR(__xludf.DUMMYFUNCTION("""COMPUTED_VALUE"""),-0.26)</f>
        <v>-0.26</v>
      </c>
      <c r="F209">
        <f ca="1">IFERROR(__xludf.DUMMYFUNCTION("""COMPUTED_VALUE"""),-2.604)</f>
        <v>-2.6040000000000001</v>
      </c>
      <c r="G209">
        <f ca="1">IFERROR(__xludf.DUMMYFUNCTION("""COMPUTED_VALUE"""),10)</f>
        <v>10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IFERROR(__xludf.DUMMYFUNCTION("""COMPUTED_VALUE"""),153)</f>
        <v>153</v>
      </c>
      <c r="C210" t="str">
        <f ca="1">IFERROR(__xludf.DUMMYFUNCTION("""COMPUTED_VALUE"""),"Luke Donald")</f>
        <v>Luke Donald</v>
      </c>
      <c r="D210">
        <f ca="1">IFERROR(__xludf.DUMMYFUNCTION("""COMPUTED_VALUE"""),14)</f>
        <v>14</v>
      </c>
      <c r="E210">
        <f ca="1">IFERROR(__xludf.DUMMYFUNCTION("""COMPUTED_VALUE"""),-0.263)</f>
        <v>-0.26300000000000001</v>
      </c>
      <c r="F210">
        <f ca="1">IFERROR(__xludf.DUMMYFUNCTION("""COMPUTED_VALUE"""),-2.627)</f>
        <v>-2.6269999999999998</v>
      </c>
      <c r="G210">
        <f ca="1">IFERROR(__xludf.DUMMYFUNCTION("""COMPUTED_VALUE"""),10)</f>
        <v>10</v>
      </c>
    </row>
    <row r="211" spans="1:7" ht="12.75">
      <c r="A211">
        <f ca="1">IFERROR(__xludf.DUMMYFUNCTION("""COMPUTED_VALUE"""),210)</f>
        <v>210</v>
      </c>
      <c r="B211">
        <f ca="1">IFERROR(__xludf.DUMMYFUNCTION("""COMPUTED_VALUE"""),254)</f>
        <v>254</v>
      </c>
      <c r="C211" t="str">
        <f ca="1">IFERROR(__xludf.DUMMYFUNCTION("""COMPUTED_VALUE"""),"Kramer Hickok")</f>
        <v>Kramer Hickok</v>
      </c>
      <c r="D211">
        <f ca="1">IFERROR(__xludf.DUMMYFUNCTION("""COMPUTED_VALUE"""),16)</f>
        <v>16</v>
      </c>
      <c r="E211">
        <f ca="1">IFERROR(__xludf.DUMMYFUNCTION("""COMPUTED_VALUE"""),-0.281)</f>
        <v>-0.28100000000000003</v>
      </c>
      <c r="F211">
        <f ca="1">IFERROR(__xludf.DUMMYFUNCTION("""COMPUTED_VALUE"""),-2.248)</f>
        <v>-2.2480000000000002</v>
      </c>
      <c r="G211">
        <f ca="1">IFERROR(__xludf.DUMMYFUNCTION("""COMPUTED_VALUE"""),8)</f>
        <v>8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IFERROR(__xludf.DUMMYFUNCTION("""COMPUTED_VALUE"""),191)</f>
        <v>191</v>
      </c>
      <c r="C212" t="str">
        <f ca="1">IFERROR(__xludf.DUMMYFUNCTION("""COMPUTED_VALUE"""),"Lanto Griffin")</f>
        <v>Lanto Griffin</v>
      </c>
      <c r="D212">
        <f ca="1">IFERROR(__xludf.DUMMYFUNCTION("""COMPUTED_VALUE"""),18)</f>
        <v>18</v>
      </c>
      <c r="E212">
        <f ca="1">IFERROR(__xludf.DUMMYFUNCTION("""COMPUTED_VALUE"""),-0.289)</f>
        <v>-0.28899999999999998</v>
      </c>
      <c r="F212">
        <f ca="1">IFERROR(__xludf.DUMMYFUNCTION("""COMPUTED_VALUE"""),-5.195)</f>
        <v>-5.1950000000000003</v>
      </c>
      <c r="G212">
        <f ca="1">IFERROR(__xludf.DUMMYFUNCTION("""COMPUTED_VALUE"""),18)</f>
        <v>18</v>
      </c>
    </row>
    <row r="213" spans="1:7" ht="12.75">
      <c r="A213">
        <f ca="1">IFERROR(__xludf.DUMMYFUNCTION("""COMPUTED_VALUE"""),212)</f>
        <v>212</v>
      </c>
      <c r="B213">
        <f ca="1">IFERROR(__xludf.DUMMYFUNCTION("""COMPUTED_VALUE"""),223)</f>
        <v>223</v>
      </c>
      <c r="C213" t="str">
        <f ca="1">IFERROR(__xludf.DUMMYFUNCTION("""COMPUTED_VALUE"""),"Sam Burns")</f>
        <v>Sam Burns</v>
      </c>
      <c r="D213">
        <f ca="1">IFERROR(__xludf.DUMMYFUNCTION("""COMPUTED_VALUE"""),18)</f>
        <v>18</v>
      </c>
      <c r="E213">
        <f ca="1">IFERROR(__xludf.DUMMYFUNCTION("""COMPUTED_VALUE"""),-0.298)</f>
        <v>-0.29799999999999999</v>
      </c>
      <c r="F213">
        <f ca="1">IFERROR(__xludf.DUMMYFUNCTION("""COMPUTED_VALUE"""),-4.175)</f>
        <v>-4.1749999999999998</v>
      </c>
      <c r="G213">
        <f ca="1">IFERROR(__xludf.DUMMYFUNCTION("""COMPUTED_VALUE"""),14)</f>
        <v>14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IFERROR(__xludf.DUMMYFUNCTION("""COMPUTED_VALUE"""),188)</f>
        <v>188</v>
      </c>
      <c r="C214" t="str">
        <f ca="1">IFERROR(__xludf.DUMMYFUNCTION("""COMPUTED_VALUE"""),"Rory Sabbatini")</f>
        <v>Rory Sabbatini</v>
      </c>
      <c r="D214">
        <f ca="1">IFERROR(__xludf.DUMMYFUNCTION("""COMPUTED_VALUE"""),13)</f>
        <v>13</v>
      </c>
      <c r="E214">
        <f ca="1">IFERROR(__xludf.DUMMYFUNCTION("""COMPUTED_VALUE"""),-0.3)</f>
        <v>-0.3</v>
      </c>
      <c r="F214">
        <f ca="1">IFERROR(__xludf.DUMMYFUNCTION("""COMPUTED_VALUE"""),-3.895)</f>
        <v>-3.895</v>
      </c>
      <c r="G214">
        <f ca="1">IFERROR(__xludf.DUMMYFUNCTION("""COMPUTED_VALUE"""),13)</f>
        <v>13</v>
      </c>
    </row>
    <row r="215" spans="1:7" ht="12.75">
      <c r="A215">
        <f ca="1">IFERROR(__xludf.DUMMYFUNCTION("""COMPUTED_VALUE"""),214)</f>
        <v>214</v>
      </c>
      <c r="B215" t="str">
        <f ca="1">IFERROR(__xludf.DUMMYFUNCTION("""COMPUTED_VALUE"""),"T135")</f>
        <v>T135</v>
      </c>
      <c r="C215" t="str">
        <f ca="1">IFERROR(__xludf.DUMMYFUNCTION("""COMPUTED_VALUE"""),"Cameron Davis")</f>
        <v>Cameron Davis</v>
      </c>
      <c r="D215">
        <f ca="1">IFERROR(__xludf.DUMMYFUNCTION("""COMPUTED_VALUE"""),16)</f>
        <v>16</v>
      </c>
      <c r="E215">
        <f ca="1">IFERROR(__xludf.DUMMYFUNCTION("""COMPUTED_VALUE"""),-0.33)</f>
        <v>-0.33</v>
      </c>
      <c r="F215">
        <f ca="1">IFERROR(__xludf.DUMMYFUNCTION("""COMPUTED_VALUE"""),-5.277)</f>
        <v>-5.2770000000000001</v>
      </c>
      <c r="G215">
        <f ca="1">IFERROR(__xludf.DUMMYFUNCTION("""COMPUTED_VALUE"""),16)</f>
        <v>16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IFERROR(__xludf.DUMMYFUNCTION("""COMPUTED_VALUE"""),260)</f>
        <v>260</v>
      </c>
      <c r="C216" t="str">
        <f ca="1">IFERROR(__xludf.DUMMYFUNCTION("""COMPUTED_VALUE"""),"Satoshi Kodaira")</f>
        <v>Satoshi Kodaira</v>
      </c>
      <c r="D216">
        <f ca="1">IFERROR(__xludf.DUMMYFUNCTION("""COMPUTED_VALUE"""),12)</f>
        <v>12</v>
      </c>
      <c r="E216">
        <f ca="1">IFERROR(__xludf.DUMMYFUNCTION("""COMPUTED_VALUE"""),-0.331)</f>
        <v>-0.33100000000000002</v>
      </c>
      <c r="F216">
        <f ca="1">IFERROR(__xludf.DUMMYFUNCTION("""COMPUTED_VALUE"""),-3.968)</f>
        <v>-3.968</v>
      </c>
      <c r="G216">
        <f ca="1">IFERROR(__xludf.DUMMYFUNCTION("""COMPUTED_VALUE"""),12)</f>
        <v>12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IFERROR(__xludf.DUMMYFUNCTION("""COMPUTED_VALUE"""),208)</f>
        <v>208</v>
      </c>
      <c r="C217" t="str">
        <f ca="1">IFERROR(__xludf.DUMMYFUNCTION("""COMPUTED_VALUE"""),"Ryan Brehm")</f>
        <v>Ryan Brehm</v>
      </c>
      <c r="D217">
        <f ca="1">IFERROR(__xludf.DUMMYFUNCTION("""COMPUTED_VALUE"""),10)</f>
        <v>10</v>
      </c>
      <c r="E217">
        <f ca="1">IFERROR(__xludf.DUMMYFUNCTION("""COMPUTED_VALUE"""),-0.333)</f>
        <v>-0.33300000000000002</v>
      </c>
      <c r="F217">
        <f ca="1">IFERROR(__xludf.DUMMYFUNCTION("""COMPUTED_VALUE"""),-0.667)</f>
        <v>-0.66700000000000004</v>
      </c>
      <c r="G217">
        <f ca="1">IFERROR(__xludf.DUMMYFUNCTION("""COMPUTED_VALUE"""),2)</f>
        <v>2</v>
      </c>
    </row>
    <row r="218" spans="1:7" ht="12.75">
      <c r="A218" t="str">
        <f ca="1">IFERROR(__xludf.DUMMYFUNCTION("""COMPUTED_VALUE"""),"T217")</f>
        <v>T217</v>
      </c>
      <c r="B218">
        <f ca="1">IFERROR(__xludf.DUMMYFUNCTION("""COMPUTED_VALUE"""),239)</f>
        <v>239</v>
      </c>
      <c r="C218" t="str">
        <f ca="1">IFERROR(__xludf.DUMMYFUNCTION("""COMPUTED_VALUE"""),"Scott Brown")</f>
        <v>Scott Brown</v>
      </c>
      <c r="D218">
        <f ca="1">IFERROR(__xludf.DUMMYFUNCTION("""COMPUTED_VALUE"""),14)</f>
        <v>14</v>
      </c>
      <c r="E218">
        <f ca="1">IFERROR(__xludf.DUMMYFUNCTION("""COMPUTED_VALUE"""),-0.344)</f>
        <v>-0.34399999999999997</v>
      </c>
      <c r="F218">
        <f ca="1">IFERROR(__xludf.DUMMYFUNCTION("""COMPUTED_VALUE"""),-3.442)</f>
        <v>-3.4420000000000002</v>
      </c>
      <c r="G218">
        <f ca="1">IFERROR(__xludf.DUMMYFUNCTION("""COMPUTED_VALUE"""),10)</f>
        <v>10</v>
      </c>
    </row>
    <row r="219" spans="1:7" ht="12.75">
      <c r="A219" t="str">
        <f ca="1">IFERROR(__xludf.DUMMYFUNCTION("""COMPUTED_VALUE"""),"T217")</f>
        <v>T217</v>
      </c>
      <c r="B219">
        <f ca="1">IFERROR(__xludf.DUMMYFUNCTION("""COMPUTED_VALUE"""),165)</f>
        <v>165</v>
      </c>
      <c r="C219" t="str">
        <f ca="1">IFERROR(__xludf.DUMMYFUNCTION("""COMPUTED_VALUE"""),"Vaughn Taylor")</f>
        <v>Vaughn Taylor</v>
      </c>
      <c r="D219">
        <f ca="1">IFERROR(__xludf.DUMMYFUNCTION("""COMPUTED_VALUE"""),12)</f>
        <v>12</v>
      </c>
      <c r="E219">
        <f ca="1">IFERROR(__xludf.DUMMYFUNCTION("""COMPUTED_VALUE"""),-0.344)</f>
        <v>-0.34399999999999997</v>
      </c>
      <c r="F219">
        <f ca="1">IFERROR(__xludf.DUMMYFUNCTION("""COMPUTED_VALUE"""),-2.064)</f>
        <v>-2.0640000000000001</v>
      </c>
      <c r="G219">
        <f ca="1">IFERROR(__xludf.DUMMYFUNCTION("""COMPUTED_VALUE"""),6)</f>
        <v>6</v>
      </c>
    </row>
    <row r="220" spans="1:7" ht="12.75">
      <c r="A220" t="str">
        <f ca="1">IFERROR(__xludf.DUMMYFUNCTION("""COMPUTED_VALUE"""),"T217")</f>
        <v>T217</v>
      </c>
      <c r="B220">
        <f ca="1">IFERROR(__xludf.DUMMYFUNCTION("""COMPUTED_VALUE"""),170)</f>
        <v>170</v>
      </c>
      <c r="C220" t="str">
        <f ca="1">IFERROR(__xludf.DUMMYFUNCTION("""COMPUTED_VALUE"""),"David Hearn")</f>
        <v>David Hearn</v>
      </c>
      <c r="D220">
        <f ca="1">IFERROR(__xludf.DUMMYFUNCTION("""COMPUTED_VALUE"""),16)</f>
        <v>16</v>
      </c>
      <c r="E220">
        <f ca="1">IFERROR(__xludf.DUMMYFUNCTION("""COMPUTED_VALUE"""),-0.344)</f>
        <v>-0.34399999999999997</v>
      </c>
      <c r="F220">
        <f ca="1">IFERROR(__xludf.DUMMYFUNCTION("""COMPUTED_VALUE"""),-2.755)</f>
        <v>-2.7549999999999999</v>
      </c>
      <c r="G220">
        <f ca="1">IFERROR(__xludf.DUMMYFUNCTION("""COMPUTED_VALUE"""),8)</f>
        <v>8</v>
      </c>
    </row>
    <row r="221" spans="1:7" ht="12.75">
      <c r="A221" t="str">
        <f ca="1">IFERROR(__xludf.DUMMYFUNCTION("""COMPUTED_VALUE"""),"T217")</f>
        <v>T217</v>
      </c>
      <c r="B221">
        <f ca="1">IFERROR(__xludf.DUMMYFUNCTION("""COMPUTED_VALUE"""),242)</f>
        <v>242</v>
      </c>
      <c r="C221" t="str">
        <f ca="1">IFERROR(__xludf.DUMMYFUNCTION("""COMPUTED_VALUE"""),"Adam Long")</f>
        <v>Adam Long</v>
      </c>
      <c r="D221">
        <f ca="1">IFERROR(__xludf.DUMMYFUNCTION("""COMPUTED_VALUE"""),22)</f>
        <v>22</v>
      </c>
      <c r="E221">
        <f ca="1">IFERROR(__xludf.DUMMYFUNCTION("""COMPUTED_VALUE"""),-0.344)</f>
        <v>-0.34399999999999997</v>
      </c>
      <c r="F221">
        <f ca="1">IFERROR(__xludf.DUMMYFUNCTION("""COMPUTED_VALUE"""),-6.189)</f>
        <v>-6.1890000000000001</v>
      </c>
      <c r="G221">
        <f ca="1">IFERROR(__xludf.DUMMYFUNCTION("""COMPUTED_VALUE"""),18)</f>
        <v>18</v>
      </c>
    </row>
    <row r="222" spans="1:7" ht="12.75">
      <c r="A222">
        <f ca="1">IFERROR(__xludf.DUMMYFUNCTION("""COMPUTED_VALUE"""),221)</f>
        <v>221</v>
      </c>
      <c r="B222">
        <f ca="1">IFERROR(__xludf.DUMMYFUNCTION("""COMPUTED_VALUE"""),215)</f>
        <v>215</v>
      </c>
      <c r="C222" t="str">
        <f ca="1">IFERROR(__xludf.DUMMYFUNCTION("""COMPUTED_VALUE"""),"Scott Stallings")</f>
        <v>Scott Stallings</v>
      </c>
      <c r="D222">
        <f ca="1">IFERROR(__xludf.DUMMYFUNCTION("""COMPUTED_VALUE"""),14)</f>
        <v>14</v>
      </c>
      <c r="E222">
        <f ca="1">IFERROR(__xludf.DUMMYFUNCTION("""COMPUTED_VALUE"""),-0.359)</f>
        <v>-0.35899999999999999</v>
      </c>
      <c r="F222">
        <f ca="1">IFERROR(__xludf.DUMMYFUNCTION("""COMPUTED_VALUE"""),-3.591)</f>
        <v>-3.5910000000000002</v>
      </c>
      <c r="G222">
        <f ca="1">IFERROR(__xludf.DUMMYFUNCTION("""COMPUTED_VALUE"""),10)</f>
        <v>10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IFERROR(__xludf.DUMMYFUNCTION("""COMPUTED_VALUE"""),213)</f>
        <v>213</v>
      </c>
      <c r="C223" t="str">
        <f ca="1">IFERROR(__xludf.DUMMYFUNCTION("""COMPUTED_VALUE"""),"Jim Herman")</f>
        <v>Jim Herman</v>
      </c>
      <c r="D223">
        <f ca="1">IFERROR(__xludf.DUMMYFUNCTION("""COMPUTED_VALUE"""),12)</f>
        <v>12</v>
      </c>
      <c r="E223">
        <f ca="1">IFERROR(__xludf.DUMMYFUNCTION("""COMPUTED_VALUE"""),-0.367)</f>
        <v>-0.36699999999999999</v>
      </c>
      <c r="F223">
        <f ca="1">IFERROR(__xludf.DUMMYFUNCTION("""COMPUTED_VALUE"""),-4.401)</f>
        <v>-4.4009999999999998</v>
      </c>
      <c r="G223">
        <f ca="1">IFERROR(__xludf.DUMMYFUNCTION("""COMPUTED_VALUE"""),12)</f>
        <v>12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IFERROR(__xludf.DUMMYFUNCTION("""COMPUTED_VALUE"""),211)</f>
        <v>211</v>
      </c>
      <c r="C224" t="str">
        <f ca="1">IFERROR(__xludf.DUMMYFUNCTION("""COMPUTED_VALUE"""),"Sungjae Im")</f>
        <v>Sungjae Im</v>
      </c>
      <c r="D224">
        <f ca="1">IFERROR(__xludf.DUMMYFUNCTION("""COMPUTED_VALUE"""),24)</f>
        <v>24</v>
      </c>
      <c r="E224">
        <f ca="1">IFERROR(__xludf.DUMMYFUNCTION("""COMPUTED_VALUE"""),-0.368)</f>
        <v>-0.36799999999999999</v>
      </c>
      <c r="F224">
        <f ca="1">IFERROR(__xludf.DUMMYFUNCTION("""COMPUTED_VALUE"""),-8.823)</f>
        <v>-8.8230000000000004</v>
      </c>
      <c r="G224">
        <f ca="1">IFERROR(__xludf.DUMMYFUNCTION("""COMPUTED_VALUE"""),24)</f>
        <v>24</v>
      </c>
    </row>
    <row r="225" spans="1:7" ht="12.75">
      <c r="A225" t="str">
        <f ca="1">IFERROR(__xludf.DUMMYFUNCTION("""COMPUTED_VALUE"""),"T224")</f>
        <v>T224</v>
      </c>
      <c r="B225">
        <f ca="1">IFERROR(__xludf.DUMMYFUNCTION("""COMPUTED_VALUE"""),214)</f>
        <v>214</v>
      </c>
      <c r="C225" t="str">
        <f ca="1">IFERROR(__xludf.DUMMYFUNCTION("""COMPUTED_VALUE"""),"Sebastian Cappelen")</f>
        <v>Sebastian Cappelen</v>
      </c>
      <c r="D225">
        <f ca="1">IFERROR(__xludf.DUMMYFUNCTION("""COMPUTED_VALUE"""),8)</f>
        <v>8</v>
      </c>
      <c r="E225">
        <f ca="1">IFERROR(__xludf.DUMMYFUNCTION("""COMPUTED_VALUE"""),-0.376)</f>
        <v>-0.376</v>
      </c>
      <c r="F225">
        <f ca="1">IFERROR(__xludf.DUMMYFUNCTION("""COMPUTED_VALUE"""),-1.506)</f>
        <v>-1.506</v>
      </c>
      <c r="G225">
        <f ca="1">IFERROR(__xludf.DUMMYFUNCTION("""COMPUTED_VALUE"""),4)</f>
        <v>4</v>
      </c>
    </row>
    <row r="226" spans="1:7" ht="12.75">
      <c r="A226" t="str">
        <f ca="1">IFERROR(__xludf.DUMMYFUNCTION("""COMPUTED_VALUE"""),"T224")</f>
        <v>T224</v>
      </c>
      <c r="B226">
        <f ca="1">IFERROR(__xludf.DUMMYFUNCTION("""COMPUTED_VALUE"""),227)</f>
        <v>227</v>
      </c>
      <c r="C226" t="str">
        <f ca="1">IFERROR(__xludf.DUMMYFUNCTION("""COMPUTED_VALUE"""),"Graham DeLaet")</f>
        <v>Graham DeLaet</v>
      </c>
      <c r="D226">
        <f ca="1">IFERROR(__xludf.DUMMYFUNCTION("""COMPUTED_VALUE"""),9)</f>
        <v>9</v>
      </c>
      <c r="E226">
        <f ca="1">IFERROR(__xludf.DUMMYFUNCTION("""COMPUTED_VALUE"""),-0.376)</f>
        <v>-0.376</v>
      </c>
      <c r="F226">
        <f ca="1">IFERROR(__xludf.DUMMYFUNCTION("""COMPUTED_VALUE"""),-1.881)</f>
        <v>-1.881</v>
      </c>
      <c r="G226">
        <f ca="1">IFERROR(__xludf.DUMMYFUNCTION("""COMPUTED_VALUE"""),5)</f>
        <v>5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IFERROR(__xludf.DUMMYFUNCTION("""COMPUTED_VALUE"""),212)</f>
        <v>212</v>
      </c>
      <c r="C227" t="str">
        <f ca="1">IFERROR(__xludf.DUMMYFUNCTION("""COMPUTED_VALUE"""),"Henrik Norlander")</f>
        <v>Henrik Norlander</v>
      </c>
      <c r="D227">
        <f ca="1">IFERROR(__xludf.DUMMYFUNCTION("""COMPUTED_VALUE"""),16)</f>
        <v>16</v>
      </c>
      <c r="E227">
        <f ca="1">IFERROR(__xludf.DUMMYFUNCTION("""COMPUTED_VALUE"""),-0.377)</f>
        <v>-0.377</v>
      </c>
      <c r="F227">
        <f ca="1">IFERROR(__xludf.DUMMYFUNCTION("""COMPUTED_VALUE"""),-4.523)</f>
        <v>-4.5229999999999997</v>
      </c>
      <c r="G227">
        <f ca="1">IFERROR(__xludf.DUMMYFUNCTION("""COMPUTED_VALUE"""),12)</f>
        <v>12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IFERROR(__xludf.DUMMYFUNCTION("""COMPUTED_VALUE"""),216)</f>
        <v>216</v>
      </c>
      <c r="C228" t="str">
        <f ca="1">IFERROR(__xludf.DUMMYFUNCTION("""COMPUTED_VALUE"""),"Dominic Bozzelli")</f>
        <v>Dominic Bozzelli</v>
      </c>
      <c r="D228">
        <f ca="1">IFERROR(__xludf.DUMMYFUNCTION("""COMPUTED_VALUE"""),8)</f>
        <v>8</v>
      </c>
      <c r="E228">
        <f ca="1">IFERROR(__xludf.DUMMYFUNCTION("""COMPUTED_VALUE"""),-0.385)</f>
        <v>-0.38500000000000001</v>
      </c>
      <c r="F228">
        <f ca="1">IFERROR(__xludf.DUMMYFUNCTION("""COMPUTED_VALUE"""),-0.771)</f>
        <v>-0.77100000000000002</v>
      </c>
      <c r="G228">
        <f ca="1">IFERROR(__xludf.DUMMYFUNCTION("""COMPUTED_VALUE"""),2)</f>
        <v>2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IFERROR(__xludf.DUMMYFUNCTION("""COMPUTED_VALUE"""),217)</f>
        <v>217</v>
      </c>
      <c r="C229" t="str">
        <f ca="1">IFERROR(__xludf.DUMMYFUNCTION("""COMPUTED_VALUE"""),"Daniel Berger")</f>
        <v>Daniel Berger</v>
      </c>
      <c r="D229">
        <f ca="1">IFERROR(__xludf.DUMMYFUNCTION("""COMPUTED_VALUE"""),12)</f>
        <v>12</v>
      </c>
      <c r="E229">
        <f ca="1">IFERROR(__xludf.DUMMYFUNCTION("""COMPUTED_VALUE"""),-0.386)</f>
        <v>-0.38600000000000001</v>
      </c>
      <c r="F229">
        <f ca="1">IFERROR(__xludf.DUMMYFUNCTION("""COMPUTED_VALUE"""),-4.628)</f>
        <v>-4.6280000000000001</v>
      </c>
      <c r="G229">
        <f ca="1">IFERROR(__xludf.DUMMYFUNCTION("""COMPUTED_VALUE"""),12)</f>
        <v>12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IFERROR(__xludf.DUMMYFUNCTION("""COMPUTED_VALUE"""),207)</f>
        <v>207</v>
      </c>
      <c r="C230" t="str">
        <f ca="1">IFERROR(__xludf.DUMMYFUNCTION("""COMPUTED_VALUE"""),"Tyler Duncan")</f>
        <v>Tyler Duncan</v>
      </c>
      <c r="D230">
        <f ca="1">IFERROR(__xludf.DUMMYFUNCTION("""COMPUTED_VALUE"""),18)</f>
        <v>18</v>
      </c>
      <c r="E230">
        <f ca="1">IFERROR(__xludf.DUMMYFUNCTION("""COMPUTED_VALUE"""),-0.403)</f>
        <v>-0.40300000000000002</v>
      </c>
      <c r="F230">
        <f ca="1">IFERROR(__xludf.DUMMYFUNCTION("""COMPUTED_VALUE"""),-7.254)</f>
        <v>-7.2539999999999996</v>
      </c>
      <c r="G230">
        <f ca="1">IFERROR(__xludf.DUMMYFUNCTION("""COMPUTED_VALUE"""),18)</f>
        <v>18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IFERROR(__xludf.DUMMYFUNCTION("""COMPUTED_VALUE"""),225)</f>
        <v>225</v>
      </c>
      <c r="C231" t="str">
        <f ca="1">IFERROR(__xludf.DUMMYFUNCTION("""COMPUTED_VALUE"""),"Tyrrell Hatton")</f>
        <v>Tyrrell Hatton</v>
      </c>
      <c r="D231">
        <f ca="1">IFERROR(__xludf.DUMMYFUNCTION("""COMPUTED_VALUE"""),14)</f>
        <v>14</v>
      </c>
      <c r="E231">
        <f ca="1">IFERROR(__xludf.DUMMYFUNCTION("""COMPUTED_VALUE"""),-0.412)</f>
        <v>-0.41199999999999998</v>
      </c>
      <c r="F231">
        <f ca="1">IFERROR(__xludf.DUMMYFUNCTION("""COMPUTED_VALUE"""),-5.768)</f>
        <v>-5.7679999999999998</v>
      </c>
      <c r="G231">
        <f ca="1">IFERROR(__xludf.DUMMYFUNCTION("""COMPUTED_VALUE"""),14)</f>
        <v>14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IFERROR(__xludf.DUMMYFUNCTION("""COMPUTED_VALUE"""),218)</f>
        <v>218</v>
      </c>
      <c r="C232" t="str">
        <f ca="1">IFERROR(__xludf.DUMMYFUNCTION("""COMPUTED_VALUE"""),"Chase Seiffert")</f>
        <v>Chase Seiffert</v>
      </c>
      <c r="D232">
        <f ca="1">IFERROR(__xludf.DUMMYFUNCTION("""COMPUTED_VALUE"""),14)</f>
        <v>14</v>
      </c>
      <c r="E232">
        <f ca="1">IFERROR(__xludf.DUMMYFUNCTION("""COMPUTED_VALUE"""),-0.413)</f>
        <v>-0.41299999999999998</v>
      </c>
      <c r="F232">
        <f ca="1">IFERROR(__xludf.DUMMYFUNCTION("""COMPUTED_VALUE"""),-3.303)</f>
        <v>-3.3029999999999999</v>
      </c>
      <c r="G232">
        <f ca="1">IFERROR(__xludf.DUMMYFUNCTION("""COMPUTED_VALUE"""),8)</f>
        <v>8</v>
      </c>
    </row>
    <row r="233" spans="1:7" ht="12.75">
      <c r="A233">
        <f ca="1">IFERROR(__xludf.DUMMYFUNCTION("""COMPUTED_VALUE"""),232)</f>
        <v>232</v>
      </c>
      <c r="B233">
        <f ca="1">IFERROR(__xludf.DUMMYFUNCTION("""COMPUTED_VALUE"""),219)</f>
        <v>219</v>
      </c>
      <c r="C233" t="str">
        <f ca="1">IFERROR(__xludf.DUMMYFUNCTION("""COMPUTED_VALUE"""),"Matthew Wolff")</f>
        <v>Matthew Wolff</v>
      </c>
      <c r="D233">
        <f ca="1">IFERROR(__xludf.DUMMYFUNCTION("""COMPUTED_VALUE"""),16)</f>
        <v>16</v>
      </c>
      <c r="E233">
        <f ca="1">IFERROR(__xludf.DUMMYFUNCTION("""COMPUTED_VALUE"""),-0.423)</f>
        <v>-0.42299999999999999</v>
      </c>
      <c r="F233">
        <f ca="1">IFERROR(__xludf.DUMMYFUNCTION("""COMPUTED_VALUE"""),-6.775)</f>
        <v>-6.7750000000000004</v>
      </c>
      <c r="G233">
        <f ca="1">IFERROR(__xludf.DUMMYFUNCTION("""COMPUTED_VALUE"""),16)</f>
        <v>16</v>
      </c>
    </row>
    <row r="234" spans="1:7" ht="12.75">
      <c r="A234" t="str">
        <f ca="1">IFERROR(__xludf.DUMMYFUNCTION("""COMPUTED_VALUE"""),"T233")</f>
        <v>T233</v>
      </c>
      <c r="B234" t="str">
        <f ca="1">IFERROR(__xludf.DUMMYFUNCTION("""COMPUTED_VALUE"""),"T220")</f>
        <v>T220</v>
      </c>
      <c r="C234" t="str">
        <f ca="1">IFERROR(__xludf.DUMMYFUNCTION("""COMPUTED_VALUE"""),"MJ Daffue")</f>
        <v>MJ Daffue</v>
      </c>
      <c r="D234">
        <f ca="1">IFERROR(__xludf.DUMMYFUNCTION("""COMPUTED_VALUE"""),10)</f>
        <v>10</v>
      </c>
      <c r="E234">
        <f ca="1">IFERROR(__xludf.DUMMYFUNCTION("""COMPUTED_VALUE"""),-0.426)</f>
        <v>-0.42599999999999999</v>
      </c>
      <c r="F234">
        <f ca="1">IFERROR(__xludf.DUMMYFUNCTION("""COMPUTED_VALUE"""),-4.263)</f>
        <v>-4.2629999999999999</v>
      </c>
      <c r="G234">
        <f ca="1">IFERROR(__xludf.DUMMYFUNCTION("""COMPUTED_VALUE"""),10)</f>
        <v>10</v>
      </c>
    </row>
    <row r="235" spans="1:7" ht="12.75">
      <c r="A235" t="str">
        <f ca="1">IFERROR(__xludf.DUMMYFUNCTION("""COMPUTED_VALUE"""),"T233")</f>
        <v>T233</v>
      </c>
      <c r="B235" t="str">
        <f ca="1">IFERROR(__xludf.DUMMYFUNCTION("""COMPUTED_VALUE"""),"T220")</f>
        <v>T220</v>
      </c>
      <c r="C235" t="str">
        <f ca="1">IFERROR(__xludf.DUMMYFUNCTION("""COMPUTED_VALUE"""),"Nick Taylor")</f>
        <v>Nick Taylor</v>
      </c>
      <c r="D235">
        <f ca="1">IFERROR(__xludf.DUMMYFUNCTION("""COMPUTED_VALUE"""),12)</f>
        <v>12</v>
      </c>
      <c r="E235">
        <f ca="1">IFERROR(__xludf.DUMMYFUNCTION("""COMPUTED_VALUE"""),-0.426)</f>
        <v>-0.42599999999999999</v>
      </c>
      <c r="F235">
        <f ca="1">IFERROR(__xludf.DUMMYFUNCTION("""COMPUTED_VALUE"""),-5.106)</f>
        <v>-5.1059999999999999</v>
      </c>
      <c r="G235">
        <f ca="1">IFERROR(__xludf.DUMMYFUNCTION("""COMPUTED_VALUE"""),12)</f>
        <v>12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IFERROR(__xludf.DUMMYFUNCTION("""COMPUTED_VALUE"""),222)</f>
        <v>222</v>
      </c>
      <c r="C236" t="str">
        <f ca="1">IFERROR(__xludf.DUMMYFUNCTION("""COMPUTED_VALUE"""),"Cameron Percy")</f>
        <v>Cameron Percy</v>
      </c>
      <c r="D236">
        <f ca="1">IFERROR(__xludf.DUMMYFUNCTION("""COMPUTED_VALUE"""),16)</f>
        <v>16</v>
      </c>
      <c r="E236">
        <f ca="1">IFERROR(__xludf.DUMMYFUNCTION("""COMPUTED_VALUE"""),-0.431)</f>
        <v>-0.43099999999999999</v>
      </c>
      <c r="F236">
        <f ca="1">IFERROR(__xludf.DUMMYFUNCTION("""COMPUTED_VALUE"""),-3.445)</f>
        <v>-3.4449999999999998</v>
      </c>
      <c r="G236">
        <f ca="1">IFERROR(__xludf.DUMMYFUNCTION("""COMPUTED_VALUE"""),8)</f>
        <v>8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IFERROR(__xludf.DUMMYFUNCTION("""COMPUTED_VALUE"""),226)</f>
        <v>226</v>
      </c>
      <c r="C237" t="str">
        <f ca="1">IFERROR(__xludf.DUMMYFUNCTION("""COMPUTED_VALUE"""),"Brian Gay")</f>
        <v>Brian Gay</v>
      </c>
      <c r="D237">
        <f ca="1">IFERROR(__xludf.DUMMYFUNCTION("""COMPUTED_VALUE"""),8)</f>
        <v>8</v>
      </c>
      <c r="E237">
        <f ca="1">IFERROR(__xludf.DUMMYFUNCTION("""COMPUTED_VALUE"""),-0.452)</f>
        <v>-0.45200000000000001</v>
      </c>
      <c r="F237">
        <f ca="1">IFERROR(__xludf.DUMMYFUNCTION("""COMPUTED_VALUE"""),-1.806)</f>
        <v>-1.806</v>
      </c>
      <c r="G237">
        <f ca="1">IFERROR(__xludf.DUMMYFUNCTION("""COMPUTED_VALUE"""),4)</f>
        <v>4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IFERROR(__xludf.DUMMYFUNCTION("""COMPUTED_VALUE"""),229)</f>
        <v>229</v>
      </c>
      <c r="C238" t="str">
        <f ca="1">IFERROR(__xludf.DUMMYFUNCTION("""COMPUTED_VALUE"""),"Zack Sucher")</f>
        <v>Zack Sucher</v>
      </c>
      <c r="D238">
        <f ca="1">IFERROR(__xludf.DUMMYFUNCTION("""COMPUTED_VALUE"""),6)</f>
        <v>6</v>
      </c>
      <c r="E238">
        <f ca="1">IFERROR(__xludf.DUMMYFUNCTION("""COMPUTED_VALUE"""),-0.481)</f>
        <v>-0.48099999999999998</v>
      </c>
      <c r="F238">
        <f ca="1">IFERROR(__xludf.DUMMYFUNCTION("""COMPUTED_VALUE"""),-0.962)</f>
        <v>-0.96199999999999997</v>
      </c>
      <c r="G238">
        <f ca="1">IFERROR(__xludf.DUMMYFUNCTION("""COMPUTED_VALUE"""),2)</f>
        <v>2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IFERROR(__xludf.DUMMYFUNCTION("""COMPUTED_VALUE"""),230)</f>
        <v>230</v>
      </c>
      <c r="C239" t="str">
        <f ca="1">IFERROR(__xludf.DUMMYFUNCTION("""COMPUTED_VALUE"""),"Chesson Hadley")</f>
        <v>Chesson Hadley</v>
      </c>
      <c r="D239">
        <f ca="1">IFERROR(__xludf.DUMMYFUNCTION("""COMPUTED_VALUE"""),16)</f>
        <v>16</v>
      </c>
      <c r="E239">
        <f ca="1">IFERROR(__xludf.DUMMYFUNCTION("""COMPUTED_VALUE"""),-0.484)</f>
        <v>-0.48399999999999999</v>
      </c>
      <c r="F239">
        <f ca="1">IFERROR(__xludf.DUMMYFUNCTION("""COMPUTED_VALUE"""),-5.814)</f>
        <v>-5.8140000000000001</v>
      </c>
      <c r="G239">
        <f ca="1">IFERROR(__xludf.DUMMYFUNCTION("""COMPUTED_VALUE"""),12)</f>
        <v>12</v>
      </c>
    </row>
    <row r="240" spans="1:7" ht="12.75">
      <c r="A240" t="str">
        <f ca="1">IFERROR(__xludf.DUMMYFUNCTION("""COMPUTED_VALUE"""),"T239")</f>
        <v>T239</v>
      </c>
      <c r="B240" t="str">
        <f ca="1">IFERROR(__xludf.DUMMYFUNCTION("""COMPUTED_VALUE"""),"T231")</f>
        <v>T231</v>
      </c>
      <c r="C240" t="str">
        <f ca="1">IFERROR(__xludf.DUMMYFUNCTION("""COMPUTED_VALUE"""),"Robert MacIntyre")</f>
        <v>Robert MacIntyre</v>
      </c>
      <c r="D240">
        <f ca="1">IFERROR(__xludf.DUMMYFUNCTION("""COMPUTED_VALUE"""),4)</f>
        <v>4</v>
      </c>
      <c r="E240">
        <f ca="1">IFERROR(__xludf.DUMMYFUNCTION("""COMPUTED_VALUE"""),-0.502)</f>
        <v>-0.502</v>
      </c>
      <c r="F240">
        <f ca="1">IFERROR(__xludf.DUMMYFUNCTION("""COMPUTED_VALUE"""),-2.01)</f>
        <v>-2.0099999999999998</v>
      </c>
      <c r="G240">
        <f ca="1">IFERROR(__xludf.DUMMYFUNCTION("""COMPUTED_VALUE"""),4)</f>
        <v>4</v>
      </c>
    </row>
    <row r="241" spans="1:7" ht="12.75">
      <c r="A241" t="str">
        <f ca="1">IFERROR(__xludf.DUMMYFUNCTION("""COMPUTED_VALUE"""),"T239")</f>
        <v>T239</v>
      </c>
      <c r="B241" t="str">
        <f ca="1">IFERROR(__xludf.DUMMYFUNCTION("""COMPUTED_VALUE"""),"T231")</f>
        <v>T231</v>
      </c>
      <c r="C241" t="str">
        <f ca="1">IFERROR(__xludf.DUMMYFUNCTION("""COMPUTED_VALUE"""),"Justin Suh")</f>
        <v>Justin Suh</v>
      </c>
      <c r="D241">
        <f ca="1">IFERROR(__xludf.DUMMYFUNCTION("""COMPUTED_VALUE"""),10)</f>
        <v>10</v>
      </c>
      <c r="E241">
        <f ca="1">IFERROR(__xludf.DUMMYFUNCTION("""COMPUTED_VALUE"""),-0.502)</f>
        <v>-0.502</v>
      </c>
      <c r="F241">
        <f ca="1">IFERROR(__xludf.DUMMYFUNCTION("""COMPUTED_VALUE"""),-2.009)</f>
        <v>-2.0089999999999999</v>
      </c>
      <c r="G241">
        <f ca="1">IFERROR(__xludf.DUMMYFUNCTION("""COMPUTED_VALUE"""),4)</f>
        <v>4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IFERROR(__xludf.DUMMYFUNCTION("""COMPUTED_VALUE"""),234)</f>
        <v>234</v>
      </c>
      <c r="C242" t="str">
        <f ca="1">IFERROR(__xludf.DUMMYFUNCTION("""COMPUTED_VALUE"""),"Seonghyeon Kim")</f>
        <v>Seonghyeon Kim</v>
      </c>
      <c r="D242">
        <f ca="1">IFERROR(__xludf.DUMMYFUNCTION("""COMPUTED_VALUE"""),4)</f>
        <v>4</v>
      </c>
      <c r="E242">
        <f ca="1">IFERROR(__xludf.DUMMYFUNCTION("""COMPUTED_VALUE"""),-0.514)</f>
        <v>-0.51400000000000001</v>
      </c>
      <c r="F242">
        <f ca="1">IFERROR(__xludf.DUMMYFUNCTION("""COMPUTED_VALUE"""),-2.057)</f>
        <v>-2.0569999999999999</v>
      </c>
      <c r="G242">
        <f ca="1">IFERROR(__xludf.DUMMYFUNCTION("""COMPUTED_VALUE"""),4)</f>
        <v>4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IFERROR(__xludf.DUMMYFUNCTION("""COMPUTED_VALUE"""),235)</f>
        <v>235</v>
      </c>
      <c r="C243" t="str">
        <f ca="1">IFERROR(__xludf.DUMMYFUNCTION("""COMPUTED_VALUE"""),"Jeongwoo Ham")</f>
        <v>Jeongwoo Ham</v>
      </c>
      <c r="D243">
        <f ca="1">IFERROR(__xludf.DUMMYFUNCTION("""COMPUTED_VALUE"""),4)</f>
        <v>4</v>
      </c>
      <c r="E243">
        <f ca="1">IFERROR(__xludf.DUMMYFUNCTION("""COMPUTED_VALUE"""),-0.526)</f>
        <v>-0.52600000000000002</v>
      </c>
      <c r="F243">
        <f ca="1">IFERROR(__xludf.DUMMYFUNCTION("""COMPUTED_VALUE"""),-2.104)</f>
        <v>-2.1040000000000001</v>
      </c>
      <c r="G243">
        <f ca="1">IFERROR(__xludf.DUMMYFUNCTION("""COMPUTED_VALUE"""),4)</f>
        <v>4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IFERROR(__xludf.DUMMYFUNCTION("""COMPUTED_VALUE"""),243)</f>
        <v>243</v>
      </c>
      <c r="C244" t="str">
        <f ca="1">IFERROR(__xludf.DUMMYFUNCTION("""COMPUTED_VALUE"""),"Brice Garnett")</f>
        <v>Brice Garnett</v>
      </c>
      <c r="D244">
        <f ca="1">IFERROR(__xludf.DUMMYFUNCTION("""COMPUTED_VALUE"""),22)</f>
        <v>22</v>
      </c>
      <c r="E244">
        <f ca="1">IFERROR(__xludf.DUMMYFUNCTION("""COMPUTED_VALUE"""),-0.527)</f>
        <v>-0.52700000000000002</v>
      </c>
      <c r="F244">
        <f ca="1">IFERROR(__xludf.DUMMYFUNCTION("""COMPUTED_VALUE"""),-7.375)</f>
        <v>-7.375</v>
      </c>
      <c r="G244">
        <f ca="1">IFERROR(__xludf.DUMMYFUNCTION("""COMPUTED_VALUE"""),14)</f>
        <v>14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IFERROR(__xludf.DUMMYFUNCTION("""COMPUTED_VALUE"""),233)</f>
        <v>233</v>
      </c>
      <c r="C245" t="str">
        <f ca="1">IFERROR(__xludf.DUMMYFUNCTION("""COMPUTED_VALUE"""),"Jimmy Walker")</f>
        <v>Jimmy Walker</v>
      </c>
      <c r="D245">
        <f ca="1">IFERROR(__xludf.DUMMYFUNCTION("""COMPUTED_VALUE"""),10)</f>
        <v>10</v>
      </c>
      <c r="E245">
        <f ca="1">IFERROR(__xludf.DUMMYFUNCTION("""COMPUTED_VALUE"""),-0.55)</f>
        <v>-0.55000000000000004</v>
      </c>
      <c r="F245">
        <f ca="1">IFERROR(__xludf.DUMMYFUNCTION("""COMPUTED_VALUE"""),-5.501)</f>
        <v>-5.5010000000000003</v>
      </c>
      <c r="G245">
        <f ca="1">IFERROR(__xludf.DUMMYFUNCTION("""COMPUTED_VALUE"""),10)</f>
        <v>10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IFERROR(__xludf.DUMMYFUNCTION("""COMPUTED_VALUE"""),107)</f>
        <v>107</v>
      </c>
      <c r="C246" t="str">
        <f ca="1">IFERROR(__xludf.DUMMYFUNCTION("""COMPUTED_VALUE"""),"Matthew NeSmith")</f>
        <v>Matthew NeSmith</v>
      </c>
      <c r="D246">
        <f ca="1">IFERROR(__xludf.DUMMYFUNCTION("""COMPUTED_VALUE"""),16)</f>
        <v>16</v>
      </c>
      <c r="E246">
        <f ca="1">IFERROR(__xludf.DUMMYFUNCTION("""COMPUTED_VALUE"""),-0.555)</f>
        <v>-0.55500000000000005</v>
      </c>
      <c r="F246">
        <f ca="1">IFERROR(__xludf.DUMMYFUNCTION("""COMPUTED_VALUE"""),-6.665)</f>
        <v>-6.665</v>
      </c>
      <c r="G246">
        <f ca="1">IFERROR(__xludf.DUMMYFUNCTION("""COMPUTED_VALUE"""),12)</f>
        <v>12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IFERROR(__xludf.DUMMYFUNCTION("""COMPUTED_VALUE"""),236)</f>
        <v>236</v>
      </c>
      <c r="C247" t="str">
        <f ca="1">IFERROR(__xludf.DUMMYFUNCTION("""COMPUTED_VALUE"""),"Rikuya Hoshino")</f>
        <v>Rikuya Hoshino</v>
      </c>
      <c r="D247">
        <f ca="1">IFERROR(__xludf.DUMMYFUNCTION("""COMPUTED_VALUE"""),4)</f>
        <v>4</v>
      </c>
      <c r="E247">
        <f ca="1">IFERROR(__xludf.DUMMYFUNCTION("""COMPUTED_VALUE"""),-0.582)</f>
        <v>-0.58199999999999996</v>
      </c>
      <c r="F247">
        <f ca="1">IFERROR(__xludf.DUMMYFUNCTION("""COMPUTED_VALUE"""),-2.33)</f>
        <v>-2.33</v>
      </c>
      <c r="G247">
        <f ca="1">IFERROR(__xludf.DUMMYFUNCTION("""COMPUTED_VALUE"""),4)</f>
        <v>4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IFERROR(__xludf.DUMMYFUNCTION("""COMPUTED_VALUE"""),237)</f>
        <v>237</v>
      </c>
      <c r="C248" t="str">
        <f ca="1">IFERROR(__xludf.DUMMYFUNCTION("""COMPUTED_VALUE"""),"Matt Wallace")</f>
        <v>Matt Wallace</v>
      </c>
      <c r="D248">
        <f ca="1">IFERROR(__xludf.DUMMYFUNCTION("""COMPUTED_VALUE"""),4)</f>
        <v>4</v>
      </c>
      <c r="E248">
        <f ca="1">IFERROR(__xludf.DUMMYFUNCTION("""COMPUTED_VALUE"""),-0.595)</f>
        <v>-0.59499999999999997</v>
      </c>
      <c r="F248">
        <f ca="1">IFERROR(__xludf.DUMMYFUNCTION("""COMPUTED_VALUE"""),-2.382)</f>
        <v>-2.3820000000000001</v>
      </c>
      <c r="G248">
        <f ca="1">IFERROR(__xludf.DUMMYFUNCTION("""COMPUTED_VALUE"""),4)</f>
        <v>4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IFERROR(__xludf.DUMMYFUNCTION("""COMPUTED_VALUE"""),238)</f>
        <v>238</v>
      </c>
      <c r="C249" t="str">
        <f ca="1">IFERROR(__xludf.DUMMYFUNCTION("""COMPUTED_VALUE"""),"Joohyung Kim")</f>
        <v>Joohyung Kim</v>
      </c>
      <c r="D249">
        <f ca="1">IFERROR(__xludf.DUMMYFUNCTION("""COMPUTED_VALUE"""),12)</f>
        <v>12</v>
      </c>
      <c r="E249">
        <f ca="1">IFERROR(__xludf.DUMMYFUNCTION("""COMPUTED_VALUE"""),-0.597)</f>
        <v>-0.59699999999999998</v>
      </c>
      <c r="F249">
        <f ca="1">IFERROR(__xludf.DUMMYFUNCTION("""COMPUTED_VALUE"""),-4.775)</f>
        <v>-4.7750000000000004</v>
      </c>
      <c r="G249">
        <f ca="1">IFERROR(__xludf.DUMMYFUNCTION("""COMPUTED_VALUE"""),8)</f>
        <v>8</v>
      </c>
    </row>
    <row r="250" spans="1:7" ht="12.75">
      <c r="A250">
        <f ca="1">IFERROR(__xludf.DUMMYFUNCTION("""COMPUTED_VALUE"""),249)</f>
        <v>249</v>
      </c>
      <c r="B250" t="str">
        <f ca="1">IFERROR(__xludf.DUMMYFUNCTION("""COMPUTED_VALUE"""),"T181")</f>
        <v>T181</v>
      </c>
      <c r="C250" t="str">
        <f ca="1">IFERROR(__xludf.DUMMYFUNCTION("""COMPUTED_VALUE"""),"Doc Redman")</f>
        <v>Doc Redman</v>
      </c>
      <c r="D250">
        <f ca="1">IFERROR(__xludf.DUMMYFUNCTION("""COMPUTED_VALUE"""),18)</f>
        <v>18</v>
      </c>
      <c r="E250">
        <f ca="1">IFERROR(__xludf.DUMMYFUNCTION("""COMPUTED_VALUE"""),-0.599)</f>
        <v>-0.59899999999999998</v>
      </c>
      <c r="F250">
        <f ca="1">IFERROR(__xludf.DUMMYFUNCTION("""COMPUTED_VALUE"""),-8.391)</f>
        <v>-8.391</v>
      </c>
      <c r="G250">
        <f ca="1">IFERROR(__xludf.DUMMYFUNCTION("""COMPUTED_VALUE"""),14)</f>
        <v>14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IFERROR(__xludf.DUMMYFUNCTION("""COMPUTED_VALUE"""),241)</f>
        <v>241</v>
      </c>
      <c r="C251" t="str">
        <f ca="1">IFERROR(__xludf.DUMMYFUNCTION("""COMPUTED_VALUE"""),"Ryan Armour")</f>
        <v>Ryan Armour</v>
      </c>
      <c r="D251">
        <f ca="1">IFERROR(__xludf.DUMMYFUNCTION("""COMPUTED_VALUE"""),16)</f>
        <v>16</v>
      </c>
      <c r="E251">
        <f ca="1">IFERROR(__xludf.DUMMYFUNCTION("""COMPUTED_VALUE"""),-0.612)</f>
        <v>-0.61199999999999999</v>
      </c>
      <c r="F251">
        <f ca="1">IFERROR(__xludf.DUMMYFUNCTION("""COMPUTED_VALUE"""),-6.121)</f>
        <v>-6.1210000000000004</v>
      </c>
      <c r="G251">
        <f ca="1">IFERROR(__xludf.DUMMYFUNCTION("""COMPUTED_VALUE"""),10)</f>
        <v>10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IFERROR(__xludf.DUMMYFUNCTION("""COMPUTED_VALUE"""),240)</f>
        <v>240</v>
      </c>
      <c r="C252" t="str">
        <f ca="1">IFERROR(__xludf.DUMMYFUNCTION("""COMPUTED_VALUE"""),"Will Gordon")</f>
        <v>Will Gordon</v>
      </c>
      <c r="D252">
        <f ca="1">IFERROR(__xludf.DUMMYFUNCTION("""COMPUTED_VALUE"""),20)</f>
        <v>20</v>
      </c>
      <c r="E252">
        <f ca="1">IFERROR(__xludf.DUMMYFUNCTION("""COMPUTED_VALUE"""),-0.639)</f>
        <v>-0.63900000000000001</v>
      </c>
      <c r="F252">
        <f ca="1">IFERROR(__xludf.DUMMYFUNCTION("""COMPUTED_VALUE"""),-8.943)</f>
        <v>-8.9429999999999996</v>
      </c>
      <c r="G252">
        <f ca="1">IFERROR(__xludf.DUMMYFUNCTION("""COMPUTED_VALUE"""),14)</f>
        <v>14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IFERROR(__xludf.DUMMYFUNCTION("""COMPUTED_VALUE"""),244)</f>
        <v>244</v>
      </c>
      <c r="C253" t="str">
        <f ca="1">IFERROR(__xludf.DUMMYFUNCTION("""COMPUTED_VALUE"""),"Mikumu Horikawa")</f>
        <v>Mikumu Horikawa</v>
      </c>
      <c r="D253">
        <f ca="1">IFERROR(__xludf.DUMMYFUNCTION("""COMPUTED_VALUE"""),4)</f>
        <v>4</v>
      </c>
      <c r="E253">
        <f ca="1">IFERROR(__xludf.DUMMYFUNCTION("""COMPUTED_VALUE"""),-0.662)</f>
        <v>-0.66200000000000003</v>
      </c>
      <c r="F253">
        <f ca="1">IFERROR(__xludf.DUMMYFUNCTION("""COMPUTED_VALUE"""),-2.648)</f>
        <v>-2.6480000000000001</v>
      </c>
      <c r="G253">
        <f ca="1">IFERROR(__xludf.DUMMYFUNCTION("""COMPUTED_VALUE"""),4)</f>
        <v>4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IFERROR(__xludf.DUMMYFUNCTION("""COMPUTED_VALUE"""),247)</f>
        <v>247</v>
      </c>
      <c r="C254" t="str">
        <f ca="1">IFERROR(__xludf.DUMMYFUNCTION("""COMPUTED_VALUE"""),"Ryan Blaum")</f>
        <v>Ryan Blaum</v>
      </c>
      <c r="D254">
        <f ca="1">IFERROR(__xludf.DUMMYFUNCTION("""COMPUTED_VALUE"""),8)</f>
        <v>8</v>
      </c>
      <c r="E254">
        <f ca="1">IFERROR(__xludf.DUMMYFUNCTION("""COMPUTED_VALUE"""),-0.689)</f>
        <v>-0.68899999999999995</v>
      </c>
      <c r="F254">
        <f ca="1">IFERROR(__xludf.DUMMYFUNCTION("""COMPUTED_VALUE"""),-2.757)</f>
        <v>-2.7570000000000001</v>
      </c>
      <c r="G254">
        <f ca="1">IFERROR(__xludf.DUMMYFUNCTION("""COMPUTED_VALUE"""),4)</f>
        <v>4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IFERROR(__xludf.DUMMYFUNCTION("""COMPUTED_VALUE"""),248)</f>
        <v>248</v>
      </c>
      <c r="C255" t="str">
        <f ca="1">IFERROR(__xludf.DUMMYFUNCTION("""COMPUTED_VALUE"""),"Romain Langasque")</f>
        <v>Romain Langasque</v>
      </c>
      <c r="D255">
        <f ca="1">IFERROR(__xludf.DUMMYFUNCTION("""COMPUTED_VALUE"""),4)</f>
        <v>4</v>
      </c>
      <c r="E255">
        <f ca="1">IFERROR(__xludf.DUMMYFUNCTION("""COMPUTED_VALUE"""),-0.69)</f>
        <v>-0.69</v>
      </c>
      <c r="F255">
        <f ca="1">IFERROR(__xludf.DUMMYFUNCTION("""COMPUTED_VALUE"""),-2.761)</f>
        <v>-2.7610000000000001</v>
      </c>
      <c r="G255">
        <f ca="1">IFERROR(__xludf.DUMMYFUNCTION("""COMPUTED_VALUE"""),4)</f>
        <v>4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IFERROR(__xludf.DUMMYFUNCTION("""COMPUTED_VALUE"""),249)</f>
        <v>249</v>
      </c>
      <c r="C256" t="str">
        <f ca="1">IFERROR(__xludf.DUMMYFUNCTION("""COMPUTED_VALUE"""),"Shawn Stefani")</f>
        <v>Shawn Stefani</v>
      </c>
      <c r="D256">
        <f ca="1">IFERROR(__xludf.DUMMYFUNCTION("""COMPUTED_VALUE"""),5)</f>
        <v>5</v>
      </c>
      <c r="E256">
        <f ca="1">IFERROR(__xludf.DUMMYFUNCTION("""COMPUTED_VALUE"""),-0.693)</f>
        <v>-0.69299999999999995</v>
      </c>
      <c r="F256">
        <f ca="1">IFERROR(__xludf.DUMMYFUNCTION("""COMPUTED_VALUE"""),-1.386)</f>
        <v>-1.3859999999999999</v>
      </c>
      <c r="G256">
        <f ca="1">IFERROR(__xludf.DUMMYFUNCTION("""COMPUTED_VALUE"""),2)</f>
        <v>2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IFERROR(__xludf.DUMMYFUNCTION("""COMPUTED_VALUE"""),250)</f>
        <v>250</v>
      </c>
      <c r="C257" t="str">
        <f ca="1">IFERROR(__xludf.DUMMYFUNCTION("""COMPUTED_VALUE"""),"William McGirt")</f>
        <v>William McGirt</v>
      </c>
      <c r="D257">
        <f ca="1">IFERROR(__xludf.DUMMYFUNCTION("""COMPUTED_VALUE"""),6)</f>
        <v>6</v>
      </c>
      <c r="E257">
        <f ca="1">IFERROR(__xludf.DUMMYFUNCTION("""COMPUTED_VALUE"""),-0.703)</f>
        <v>-0.70299999999999996</v>
      </c>
      <c r="F257">
        <f ca="1">IFERROR(__xludf.DUMMYFUNCTION("""COMPUTED_VALUE"""),-4.219)</f>
        <v>-4.2190000000000003</v>
      </c>
      <c r="G257">
        <f ca="1">IFERROR(__xludf.DUMMYFUNCTION("""COMPUTED_VALUE"""),6)</f>
        <v>6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IFERROR(__xludf.DUMMYFUNCTION("""COMPUTED_VALUE"""),206)</f>
        <v>206</v>
      </c>
      <c r="C258" t="str">
        <f ca="1">IFERROR(__xludf.DUMMYFUNCTION("""COMPUTED_VALUE"""),"Hudson Swafford")</f>
        <v>Hudson Swafford</v>
      </c>
      <c r="D258">
        <f ca="1">IFERROR(__xludf.DUMMYFUNCTION("""COMPUTED_VALUE"""),18)</f>
        <v>18</v>
      </c>
      <c r="E258">
        <f ca="1">IFERROR(__xludf.DUMMYFUNCTION("""COMPUTED_VALUE"""),-0.71)</f>
        <v>-0.71</v>
      </c>
      <c r="F258">
        <f ca="1">IFERROR(__xludf.DUMMYFUNCTION("""COMPUTED_VALUE"""),-7.097)</f>
        <v>-7.0970000000000004</v>
      </c>
      <c r="G258">
        <f ca="1">IFERROR(__xludf.DUMMYFUNCTION("""COMPUTED_VALUE"""),10)</f>
        <v>10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IFERROR(__xludf.DUMMYFUNCTION("""COMPUTED_VALUE"""),256)</f>
        <v>256</v>
      </c>
      <c r="C259" t="str">
        <f ca="1">IFERROR(__xludf.DUMMYFUNCTION("""COMPUTED_VALUE"""),"Martin Trainer")</f>
        <v>Martin Trainer</v>
      </c>
      <c r="D259">
        <f ca="1">IFERROR(__xludf.DUMMYFUNCTION("""COMPUTED_VALUE"""),10)</f>
        <v>10</v>
      </c>
      <c r="E259">
        <f ca="1">IFERROR(__xludf.DUMMYFUNCTION("""COMPUTED_VALUE"""),-0.723)</f>
        <v>-0.72299999999999998</v>
      </c>
      <c r="F259">
        <f ca="1">IFERROR(__xludf.DUMMYFUNCTION("""COMPUTED_VALUE"""),-5.782)</f>
        <v>-5.782</v>
      </c>
      <c r="G259">
        <f ca="1">IFERROR(__xludf.DUMMYFUNCTION("""COMPUTED_VALUE"""),8)</f>
        <v>8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IFERROR(__xludf.DUMMYFUNCTION("""COMPUTED_VALUE"""),251)</f>
        <v>251</v>
      </c>
      <c r="C260" t="str">
        <f ca="1">IFERROR(__xludf.DUMMYFUNCTION("""COMPUTED_VALUE"""),"Bo Van Pelt")</f>
        <v>Bo Van Pelt</v>
      </c>
      <c r="D260">
        <f ca="1">IFERROR(__xludf.DUMMYFUNCTION("""COMPUTED_VALUE"""),10)</f>
        <v>10</v>
      </c>
      <c r="E260">
        <f ca="1">IFERROR(__xludf.DUMMYFUNCTION("""COMPUTED_VALUE"""),-0.742)</f>
        <v>-0.74199999999999999</v>
      </c>
      <c r="F260">
        <f ca="1">IFERROR(__xludf.DUMMYFUNCTION("""COMPUTED_VALUE"""),-4.452)</f>
        <v>-4.452</v>
      </c>
      <c r="G260">
        <f ca="1">IFERROR(__xludf.DUMMYFUNCTION("""COMPUTED_VALUE"""),6)</f>
        <v>6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IFERROR(__xludf.DUMMYFUNCTION("""COMPUTED_VALUE"""),252)</f>
        <v>252</v>
      </c>
      <c r="C261" t="str">
        <f ca="1">IFERROR(__xludf.DUMMYFUNCTION("""COMPUTED_VALUE"""),"Jazz Janewattananond")</f>
        <v>Jazz Janewattananond</v>
      </c>
      <c r="D261">
        <f ca="1">IFERROR(__xludf.DUMMYFUNCTION("""COMPUTED_VALUE"""),6)</f>
        <v>6</v>
      </c>
      <c r="E261">
        <f ca="1">IFERROR(__xludf.DUMMYFUNCTION("""COMPUTED_VALUE"""),-0.765)</f>
        <v>-0.76500000000000001</v>
      </c>
      <c r="F261">
        <f ca="1">IFERROR(__xludf.DUMMYFUNCTION("""COMPUTED_VALUE"""),-4.589)</f>
        <v>-4.5890000000000004</v>
      </c>
      <c r="G261">
        <f ca="1">IFERROR(__xludf.DUMMYFUNCTION("""COMPUTED_VALUE"""),6)</f>
        <v>6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IFERROR(__xludf.DUMMYFUNCTION("""COMPUTED_VALUE"""),253)</f>
        <v>253</v>
      </c>
      <c r="C262" t="str">
        <f ca="1">IFERROR(__xludf.DUMMYFUNCTION("""COMPUTED_VALUE"""),"Shaun Norris")</f>
        <v>Shaun Norris</v>
      </c>
      <c r="D262">
        <f ca="1">IFERROR(__xludf.DUMMYFUNCTION("""COMPUTED_VALUE"""),6)</f>
        <v>6</v>
      </c>
      <c r="E262">
        <f ca="1">IFERROR(__xludf.DUMMYFUNCTION("""COMPUTED_VALUE"""),-0.768)</f>
        <v>-0.76800000000000002</v>
      </c>
      <c r="F262">
        <f ca="1">IFERROR(__xludf.DUMMYFUNCTION("""COMPUTED_VALUE"""),-4.61)</f>
        <v>-4.6100000000000003</v>
      </c>
      <c r="G262">
        <f ca="1">IFERROR(__xludf.DUMMYFUNCTION("""COMPUTED_VALUE"""),6)</f>
        <v>6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IFERROR(__xludf.DUMMYFUNCTION("""COMPUTED_VALUE"""),245)</f>
        <v>245</v>
      </c>
      <c r="C263" t="str">
        <f ca="1">IFERROR(__xludf.DUMMYFUNCTION("""COMPUTED_VALUE"""),"Kelly Kraft")</f>
        <v>Kelly Kraft</v>
      </c>
      <c r="D263">
        <f ca="1">IFERROR(__xludf.DUMMYFUNCTION("""COMPUTED_VALUE"""),14)</f>
        <v>14</v>
      </c>
      <c r="E263">
        <f ca="1">IFERROR(__xludf.DUMMYFUNCTION("""COMPUTED_VALUE"""),-0.783)</f>
        <v>-0.78300000000000003</v>
      </c>
      <c r="F263">
        <f ca="1">IFERROR(__xludf.DUMMYFUNCTION("""COMPUTED_VALUE"""),-6.26)</f>
        <v>-6.26</v>
      </c>
      <c r="G263">
        <f ca="1">IFERROR(__xludf.DUMMYFUNCTION("""COMPUTED_VALUE"""),8)</f>
        <v>8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IFERROR(__xludf.DUMMYFUNCTION("""COMPUTED_VALUE"""),255)</f>
        <v>255</v>
      </c>
      <c r="C264" t="str">
        <f ca="1">IFERROR(__xludf.DUMMYFUNCTION("""COMPUTED_VALUE"""),"Tae Hee Lee")</f>
        <v>Tae Hee Lee</v>
      </c>
      <c r="D264">
        <f ca="1">IFERROR(__xludf.DUMMYFUNCTION("""COMPUTED_VALUE"""),4)</f>
        <v>4</v>
      </c>
      <c r="E264">
        <f ca="1">IFERROR(__xludf.DUMMYFUNCTION("""COMPUTED_VALUE"""),-0.925)</f>
        <v>-0.92500000000000004</v>
      </c>
      <c r="F264">
        <f ca="1">IFERROR(__xludf.DUMMYFUNCTION("""COMPUTED_VALUE"""),-3.698)</f>
        <v>-3.698</v>
      </c>
      <c r="G264">
        <f ca="1">IFERROR(__xludf.DUMMYFUNCTION("""COMPUTED_VALUE"""),4)</f>
        <v>4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IFERROR(__xludf.DUMMYFUNCTION("""COMPUTED_VALUE"""),257)</f>
        <v>257</v>
      </c>
      <c r="C265" t="str">
        <f ca="1">IFERROR(__xludf.DUMMYFUNCTION("""COMPUTED_VALUE"""),"John Senden")</f>
        <v>John Senden</v>
      </c>
      <c r="D265">
        <f ca="1">IFERROR(__xludf.DUMMYFUNCTION("""COMPUTED_VALUE"""),8)</f>
        <v>8</v>
      </c>
      <c r="E265">
        <f ca="1">IFERROR(__xludf.DUMMYFUNCTION("""COMPUTED_VALUE"""),-0.931)</f>
        <v>-0.93100000000000005</v>
      </c>
      <c r="F265">
        <f ca="1">IFERROR(__xludf.DUMMYFUNCTION("""COMPUTED_VALUE"""),-1.863)</f>
        <v>-1.863</v>
      </c>
      <c r="G265">
        <f ca="1">IFERROR(__xludf.DUMMYFUNCTION("""COMPUTED_VALUE"""),2)</f>
        <v>2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IFERROR(__xludf.DUMMYFUNCTION("""COMPUTED_VALUE"""),258)</f>
        <v>258</v>
      </c>
      <c r="C266" t="str">
        <f ca="1">IFERROR(__xludf.DUMMYFUNCTION("""COMPUTED_VALUE"""),"Jay McLuen")</f>
        <v>Jay McLuen</v>
      </c>
      <c r="D266">
        <f ca="1">IFERROR(__xludf.DUMMYFUNCTION("""COMPUTED_VALUE"""),4)</f>
        <v>4</v>
      </c>
      <c r="E266">
        <f ca="1">IFERROR(__xludf.DUMMYFUNCTION("""COMPUTED_VALUE"""),-0.954)</f>
        <v>-0.95399999999999996</v>
      </c>
      <c r="F266">
        <f ca="1">IFERROR(__xludf.DUMMYFUNCTION("""COMPUTED_VALUE"""),-3.817)</f>
        <v>-3.8170000000000002</v>
      </c>
      <c r="G266">
        <f ca="1">IFERROR(__xludf.DUMMYFUNCTION("""COMPUTED_VALUE"""),4)</f>
        <v>4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IFERROR(__xludf.DUMMYFUNCTION("""COMPUTED_VALUE"""),204)</f>
        <v>204</v>
      </c>
      <c r="C267" t="str">
        <f ca="1">IFERROR(__xludf.DUMMYFUNCTION("""COMPUTED_VALUE"""),"Keith Mitchell")</f>
        <v>Keith Mitchell</v>
      </c>
      <c r="D267">
        <f ca="1">IFERROR(__xludf.DUMMYFUNCTION("""COMPUTED_VALUE"""),14)</f>
        <v>14</v>
      </c>
      <c r="E267">
        <f ca="1">IFERROR(__xludf.DUMMYFUNCTION("""COMPUTED_VALUE"""),-1.034)</f>
        <v>-1.034</v>
      </c>
      <c r="F267">
        <f ca="1">IFERROR(__xludf.DUMMYFUNCTION("""COMPUTED_VALUE"""),-6.202)</f>
        <v>-6.202</v>
      </c>
      <c r="G267">
        <f ca="1">IFERROR(__xludf.DUMMYFUNCTION("""COMPUTED_VALUE"""),6)</f>
        <v>6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IFERROR(__xludf.DUMMYFUNCTION("""COMPUTED_VALUE"""),261)</f>
        <v>261</v>
      </c>
      <c r="C268" t="str">
        <f ca="1">IFERROR(__xludf.DUMMYFUNCTION("""COMPUTED_VALUE"""),"Sangmoon Bae")</f>
        <v>Sangmoon Bae</v>
      </c>
      <c r="D268">
        <f ca="1">IFERROR(__xludf.DUMMYFUNCTION("""COMPUTED_VALUE"""),8)</f>
        <v>8</v>
      </c>
      <c r="E268">
        <f ca="1">IFERROR(__xludf.DUMMYFUNCTION("""COMPUTED_VALUE"""),-1.117)</f>
        <v>-1.117</v>
      </c>
      <c r="F268">
        <f ca="1">IFERROR(__xludf.DUMMYFUNCTION("""COMPUTED_VALUE"""),-2.235)</f>
        <v>-2.2349999999999999</v>
      </c>
      <c r="G268">
        <f ca="1">IFERROR(__xludf.DUMMYFUNCTION("""COMPUTED_VALUE"""),2)</f>
        <v>2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IFERROR(__xludf.DUMMYFUNCTION("""COMPUTED_VALUE"""),262)</f>
        <v>262</v>
      </c>
      <c r="C269" t="str">
        <f ca="1">IFERROR(__xludf.DUMMYFUNCTION("""COMPUTED_VALUE"""),"Luke Schniederjans")</f>
        <v>Luke Schniederjans</v>
      </c>
      <c r="D269">
        <f ca="1">IFERROR(__xludf.DUMMYFUNCTION("""COMPUTED_VALUE"""),4)</f>
        <v>4</v>
      </c>
      <c r="E269">
        <f ca="1">IFERROR(__xludf.DUMMYFUNCTION("""COMPUTED_VALUE"""),-1.16)</f>
        <v>-1.1599999999999999</v>
      </c>
      <c r="F269">
        <f ca="1">IFERROR(__xludf.DUMMYFUNCTION("""COMPUTED_VALUE"""),-2.321)</f>
        <v>-2.3210000000000002</v>
      </c>
      <c r="G269">
        <f ca="1">IFERROR(__xludf.DUMMYFUNCTION("""COMPUTED_VALUE"""),2)</f>
        <v>2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IFERROR(__xludf.DUMMYFUNCTION("""COMPUTED_VALUE"""),259)</f>
        <v>259</v>
      </c>
      <c r="C270" t="str">
        <f ca="1">IFERROR(__xludf.DUMMYFUNCTION("""COMPUTED_VALUE"""),"Sam Ryder")</f>
        <v>Sam Ryder</v>
      </c>
      <c r="D270">
        <f ca="1">IFERROR(__xludf.DUMMYFUNCTION("""COMPUTED_VALUE"""),12)</f>
        <v>12</v>
      </c>
      <c r="E270">
        <f ca="1">IFERROR(__xludf.DUMMYFUNCTION("""COMPUTED_VALUE"""),-1.168)</f>
        <v>-1.1679999999999999</v>
      </c>
      <c r="F270">
        <f ca="1">IFERROR(__xludf.DUMMYFUNCTION("""COMPUTED_VALUE"""),-9.344)</f>
        <v>-9.3439999999999994</v>
      </c>
      <c r="G270">
        <f ca="1">IFERROR(__xludf.DUMMYFUNCTION("""COMPUTED_VALUE"""),8)</f>
        <v>8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IFERROR(__xludf.DUMMYFUNCTION("""COMPUTED_VALUE"""),266)</f>
        <v>266</v>
      </c>
      <c r="C271" t="str">
        <f ca="1">IFERROR(__xludf.DUMMYFUNCTION("""COMPUTED_VALUE"""),"Kevin Stadler")</f>
        <v>Kevin Stadler</v>
      </c>
      <c r="D271">
        <f ca="1">IFERROR(__xludf.DUMMYFUNCTION("""COMPUTED_VALUE"""),8)</f>
        <v>8</v>
      </c>
      <c r="E271">
        <f ca="1">IFERROR(__xludf.DUMMYFUNCTION("""COMPUTED_VALUE"""),-1.184)</f>
        <v>-1.1839999999999999</v>
      </c>
      <c r="F271">
        <f ca="1">IFERROR(__xludf.DUMMYFUNCTION("""COMPUTED_VALUE"""),-7.104)</f>
        <v>-7.1040000000000001</v>
      </c>
      <c r="G271">
        <f ca="1">IFERROR(__xludf.DUMMYFUNCTION("""COMPUTED_VALUE"""),6)</f>
        <v>6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IFERROR(__xludf.DUMMYFUNCTION("""COMPUTED_VALUE"""),"Jaekyeong Lee")</f>
        <v>Jaekyeong Lee</v>
      </c>
      <c r="D272">
        <f ca="1">IFERROR(__xludf.DUMMYFUNCTION("""COMPUTED_VALUE"""),4)</f>
        <v>4</v>
      </c>
      <c r="E272">
        <f ca="1">IFERROR(__xludf.DUMMYFUNCTION("""COMPUTED_VALUE"""),-1.213)</f>
        <v>-1.2130000000000001</v>
      </c>
      <c r="F272">
        <f ca="1">IFERROR(__xludf.DUMMYFUNCTION("""COMPUTED_VALUE"""),-4.853)</f>
        <v>-4.8529999999999998</v>
      </c>
      <c r="G272">
        <f ca="1">IFERROR(__xludf.DUMMYFUNCTION("""COMPUTED_VALUE"""),4)</f>
        <v>4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IFERROR(__xludf.DUMMYFUNCTION("""COMPUTED_VALUE"""),267)</f>
        <v>267</v>
      </c>
      <c r="C273" t="str">
        <f ca="1">IFERROR(__xludf.DUMMYFUNCTION("""COMPUTED_VALUE"""),"Hunter Mahan")</f>
        <v>Hunter Mahan</v>
      </c>
      <c r="D273">
        <f ca="1">IFERROR(__xludf.DUMMYFUNCTION("""COMPUTED_VALUE"""),14)</f>
        <v>14</v>
      </c>
      <c r="E273">
        <f ca="1">IFERROR(__xludf.DUMMYFUNCTION("""COMPUTED_VALUE"""),-1.22)</f>
        <v>-1.22</v>
      </c>
      <c r="F273">
        <f ca="1">IFERROR(__xludf.DUMMYFUNCTION("""COMPUTED_VALUE"""),-12.202)</f>
        <v>-12.202</v>
      </c>
      <c r="G273">
        <f ca="1">IFERROR(__xludf.DUMMYFUNCTION("""COMPUTED_VALUE"""),10)</f>
        <v>10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IFERROR(__xludf.DUMMYFUNCTION("""COMPUTED_VALUE"""),173)</f>
        <v>173</v>
      </c>
      <c r="C274" t="str">
        <f ca="1">IFERROR(__xludf.DUMMYFUNCTION("""COMPUTED_VALUE"""),"Grayson Murray")</f>
        <v>Grayson Murray</v>
      </c>
      <c r="D274">
        <f ca="1">IFERROR(__xludf.DUMMYFUNCTION("""COMPUTED_VALUE"""),10)</f>
        <v>10</v>
      </c>
      <c r="E274">
        <f ca="1">IFERROR(__xludf.DUMMYFUNCTION("""COMPUTED_VALUE"""),-1.459)</f>
        <v>-1.4590000000000001</v>
      </c>
      <c r="F274">
        <f ca="1">IFERROR(__xludf.DUMMYFUNCTION("""COMPUTED_VALUE"""),-11.675)</f>
        <v>-11.675000000000001</v>
      </c>
      <c r="G274">
        <f ca="1">IFERROR(__xludf.DUMMYFUNCTION("""COMPUTED_VALUE"""),8)</f>
        <v>8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IFERROR(__xludf.DUMMYFUNCTION("""COMPUTED_VALUE"""),265)</f>
        <v>265</v>
      </c>
      <c r="C275" t="str">
        <f ca="1">IFERROR(__xludf.DUMMYFUNCTION("""COMPUTED_VALUE"""),"Davis Riley")</f>
        <v>Davis Riley</v>
      </c>
      <c r="D275">
        <f ca="1">IFERROR(__xludf.DUMMYFUNCTION("""COMPUTED_VALUE"""),4)</f>
        <v>4</v>
      </c>
      <c r="E275">
        <f ca="1">IFERROR(__xludf.DUMMYFUNCTION("""COMPUTED_VALUE"""),-1.469)</f>
        <v>-1.4690000000000001</v>
      </c>
      <c r="F275">
        <f ca="1">IFERROR(__xludf.DUMMYFUNCTION("""COMPUTED_VALUE"""),-5.877)</f>
        <v>-5.8769999999999998</v>
      </c>
      <c r="G275">
        <f ca="1">IFERROR(__xludf.DUMMYFUNCTION("""COMPUTED_VALUE"""),4)</f>
        <v>4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IFERROR(__xludf.DUMMYFUNCTION("""COMPUTED_VALUE"""),"Johnson Wagner")</f>
        <v>Johnson Wagner</v>
      </c>
      <c r="D276">
        <f ca="1">IFERROR(__xludf.DUMMYFUNCTION("""COMPUTED_VALUE"""),8)</f>
        <v>8</v>
      </c>
      <c r="E276">
        <f ca="1">IFERROR(__xludf.DUMMYFUNCTION("""COMPUTED_VALUE"""),-1.609)</f>
        <v>-1.609</v>
      </c>
      <c r="F276">
        <f ca="1">IFERROR(__xludf.DUMMYFUNCTION("""COMPUTED_VALUE"""),-3.219)</f>
        <v>-3.2189999999999999</v>
      </c>
      <c r="G276">
        <f ca="1">IFERROR(__xludf.DUMMYFUNCTION("""COMPUTED_VALUE"""),2)</f>
        <v>2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IFERROR(__xludf.DUMMYFUNCTION("""COMPUTED_VALUE"""),-1.644)</f>
        <v>-1.6439999999999999</v>
      </c>
      <c r="F277">
        <f ca="1">IFERROR(__xludf.DUMMYFUNCTION("""COMPUTED_VALUE"""),-3.288)</f>
        <v>-3.2879999999999998</v>
      </c>
      <c r="G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G277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IFERROR(__xludf.DUMMYFUNCTION("importhtml(""http://www.pgatour.com/stats/stat.02564.html"",""table"",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SG:PUTTING")</f>
        <v>TOTAL SG:PUTTING</v>
      </c>
      <c r="G1" t="str">
        <f ca="1">IFERROR(__xludf.DUMMYFUNCTION("""COMPUTED_VALUE"""),"MEASURED ROUNDS")</f>
        <v>MEASURED ROUNDS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IFERROR(__xludf.DUMMYFUNCTION("""COMPUTED_VALUE"""),"Peter Malnati")</f>
        <v>Peter Malnati</v>
      </c>
      <c r="D2">
        <f ca="1">IFERROR(__xludf.DUMMYFUNCTION("""COMPUTED_VALUE"""),18)</f>
        <v>18</v>
      </c>
      <c r="E2">
        <f ca="1">IFERROR(__xludf.DUMMYFUNCTION("""COMPUTED_VALUE"""),1.745)</f>
        <v>1.7450000000000001</v>
      </c>
      <c r="F2">
        <f ca="1">IFERROR(__xludf.DUMMYFUNCTION("""COMPUTED_VALUE"""),17.447)</f>
        <v>17.446999999999999</v>
      </c>
      <c r="G2">
        <f ca="1">IFERROR(__xludf.DUMMYFUNCTION("""COMPUTED_VALUE"""),10)</f>
        <v>10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IFERROR(__xludf.DUMMYFUNCTION("""COMPUTED_VALUE"""),"")</f>
        <v/>
      </c>
      <c r="C3" t="str">
        <f ca="1">IFERROR(__xludf.DUMMYFUNCTION("""COMPUTED_VALUE"""),"Dawie van der Walt")</f>
        <v>Dawie van der Walt</v>
      </c>
      <c r="D3">
        <f ca="1">IFERROR(__xludf.DUMMYFUNCTION("""COMPUTED_VALUE"""),4)</f>
        <v>4</v>
      </c>
      <c r="E3">
        <f ca="1">IFERROR(__xludf.DUMMYFUNCTION("""COMPUTED_VALUE"""),1.582)</f>
        <v>1.5820000000000001</v>
      </c>
      <c r="F3">
        <f ca="1">IFERROR(__xludf.DUMMYFUNCTION("""COMPUTED_VALUE"""),6.326)</f>
        <v>6.3259999999999996</v>
      </c>
      <c r="G3">
        <f ca="1">IFERROR(__xludf.DUMMYFUNCTION("""COMPUTED_VALUE"""),4)</f>
        <v>4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IFERROR(__xludf.DUMMYFUNCTION("""COMPUTED_VALUE"""),2)</f>
        <v>2</v>
      </c>
      <c r="C4" t="str">
        <f ca="1">IFERROR(__xludf.DUMMYFUNCTION("""COMPUTED_VALUE"""),"Jason Kokrak")</f>
        <v>Jason Kokrak</v>
      </c>
      <c r="D4">
        <f ca="1">IFERROR(__xludf.DUMMYFUNCTION("""COMPUTED_VALUE"""),14)</f>
        <v>14</v>
      </c>
      <c r="E4">
        <f ca="1">IFERROR(__xludf.DUMMYFUNCTION("""COMPUTED_VALUE"""),1.546)</f>
        <v>1.546</v>
      </c>
      <c r="F4">
        <f ca="1">IFERROR(__xludf.DUMMYFUNCTION("""COMPUTED_VALUE"""),21.642)</f>
        <v>21.641999999999999</v>
      </c>
      <c r="G4">
        <f ca="1">IFERROR(__xludf.DUMMYFUNCTION("""COMPUTED_VALUE"""),14)</f>
        <v>14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IFERROR(__xludf.DUMMYFUNCTION("""COMPUTED_VALUE"""),"Charles Howell III")</f>
        <v>Charles Howell III</v>
      </c>
      <c r="D5">
        <f ca="1">IFERROR(__xludf.DUMMYFUNCTION("""COMPUTED_VALUE"""),10)</f>
        <v>10</v>
      </c>
      <c r="E5">
        <f ca="1">IFERROR(__xludf.DUMMYFUNCTION("""COMPUTED_VALUE"""),1.49)</f>
        <v>1.49</v>
      </c>
      <c r="F5">
        <f ca="1">IFERROR(__xludf.DUMMYFUNCTION("""COMPUTED_VALUE"""),11.921)</f>
        <v>11.920999999999999</v>
      </c>
      <c r="G5">
        <f ca="1">IFERROR(__xludf.DUMMYFUNCTION("""COMPUTED_VALUE"""),8)</f>
        <v>8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IFERROR(__xludf.DUMMYFUNCTION("""COMPUTED_VALUE"""),4)</f>
        <v>4</v>
      </c>
      <c r="C6" t="str">
        <f ca="1">IFERROR(__xludf.DUMMYFUNCTION("""COMPUTED_VALUE"""),"Lucas Herbert")</f>
        <v>Lucas Herbert</v>
      </c>
      <c r="D6">
        <f ca="1">IFERROR(__xludf.DUMMYFUNCTION("""COMPUTED_VALUE"""),4)</f>
        <v>4</v>
      </c>
      <c r="E6">
        <f ca="1">IFERROR(__xludf.DUMMYFUNCTION("""COMPUTED_VALUE"""),1.279)</f>
        <v>1.2789999999999999</v>
      </c>
      <c r="F6">
        <f ca="1">IFERROR(__xludf.DUMMYFUNCTION("""COMPUTED_VALUE"""),5.116)</f>
        <v>5.1159999999999997</v>
      </c>
      <c r="G6">
        <f ca="1">IFERROR(__xludf.DUMMYFUNCTION("""COMPUTED_VALUE"""),4)</f>
        <v>4</v>
      </c>
    </row>
    <row r="7" spans="1:7" ht="15.75" customHeight="1">
      <c r="A7">
        <f ca="1">IFERROR(__xludf.DUMMYFUNCTION("""COMPUTED_VALUE"""),6)</f>
        <v>6</v>
      </c>
      <c r="B7" t="str">
        <f ca="1">IFERROR(__xludf.DUMMYFUNCTION("""COMPUTED_VALUE"""),"")</f>
        <v/>
      </c>
      <c r="C7" t="str">
        <f ca="1">IFERROR(__xludf.DUMMYFUNCTION("""COMPUTED_VALUE"""),"Ollie Schniederjans")</f>
        <v>Ollie Schniederjans</v>
      </c>
      <c r="D7">
        <f ca="1">IFERROR(__xludf.DUMMYFUNCTION("""COMPUTED_VALUE"""),6)</f>
        <v>6</v>
      </c>
      <c r="E7">
        <f ca="1">IFERROR(__xludf.DUMMYFUNCTION("""COMPUTED_VALUE"""),1.261)</f>
        <v>1.2609999999999999</v>
      </c>
      <c r="F7">
        <f ca="1">IFERROR(__xludf.DUMMYFUNCTION("""COMPUTED_VALUE"""),2.522)</f>
        <v>2.5219999999999998</v>
      </c>
      <c r="G7">
        <f ca="1">IFERROR(__xludf.DUMMYFUNCTION("""COMPUTED_VALUE"""),2)</f>
        <v>2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IFERROR(__xludf.DUMMYFUNCTION("""COMPUTED_VALUE"""),5)</f>
        <v>5</v>
      </c>
      <c r="C8" t="str">
        <f ca="1">IFERROR(__xludf.DUMMYFUNCTION("""COMPUTED_VALUE"""),"Sahith Theegala")</f>
        <v>Sahith Theegala</v>
      </c>
      <c r="D8">
        <f ca="1">IFERROR(__xludf.DUMMYFUNCTION("""COMPUTED_VALUE"""),6)</f>
        <v>6</v>
      </c>
      <c r="E8">
        <f ca="1">IFERROR(__xludf.DUMMYFUNCTION("""COMPUTED_VALUE"""),1.212)</f>
        <v>1.212</v>
      </c>
      <c r="F8">
        <f ca="1">IFERROR(__xludf.DUMMYFUNCTION("""COMPUTED_VALUE"""),7.271)</f>
        <v>7.2709999999999999</v>
      </c>
      <c r="G8">
        <f ca="1">IFERROR(__xludf.DUMMYFUNCTION("""COMPUTED_VALUE"""),6)</f>
        <v>6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IFERROR(__xludf.DUMMYFUNCTION("""COMPUTED_VALUE"""),6)</f>
        <v>6</v>
      </c>
      <c r="C9" t="str">
        <f ca="1">IFERROR(__xludf.DUMMYFUNCTION("""COMPUTED_VALUE"""),"Ben Taylor")</f>
        <v>Ben Taylor</v>
      </c>
      <c r="D9">
        <f ca="1">IFERROR(__xludf.DUMMYFUNCTION("""COMPUTED_VALUE"""),10)</f>
        <v>10</v>
      </c>
      <c r="E9">
        <f ca="1">IFERROR(__xludf.DUMMYFUNCTION("""COMPUTED_VALUE"""),1.19)</f>
        <v>1.19</v>
      </c>
      <c r="F9">
        <f ca="1">IFERROR(__xludf.DUMMYFUNCTION("""COMPUTED_VALUE"""),4.759)</f>
        <v>4.7590000000000003</v>
      </c>
      <c r="G9">
        <f ca="1">IFERROR(__xludf.DUMMYFUNCTION("""COMPUTED_VALUE"""),4)</f>
        <v>4</v>
      </c>
    </row>
    <row r="10" spans="1:7" ht="15.75" customHeight="1">
      <c r="A10">
        <f ca="1">IFERROR(__xludf.DUMMYFUNCTION("""COMPUTED_VALUE"""),9)</f>
        <v>9</v>
      </c>
      <c r="B10">
        <f ca="1">IFERROR(__xludf.DUMMYFUNCTION("""COMPUTED_VALUE"""),7)</f>
        <v>7</v>
      </c>
      <c r="C10" t="str">
        <f ca="1">IFERROR(__xludf.DUMMYFUNCTION("""COMPUTED_VALUE"""),"Zack Sucher")</f>
        <v>Zack Sucher</v>
      </c>
      <c r="D10">
        <f ca="1">IFERROR(__xludf.DUMMYFUNCTION("""COMPUTED_VALUE"""),6)</f>
        <v>6</v>
      </c>
      <c r="E10">
        <f ca="1">IFERROR(__xludf.DUMMYFUNCTION("""COMPUTED_VALUE"""),1.174)</f>
        <v>1.1739999999999999</v>
      </c>
      <c r="F10">
        <f ca="1">IFERROR(__xludf.DUMMYFUNCTION("""COMPUTED_VALUE"""),2.347)</f>
        <v>2.347</v>
      </c>
      <c r="G10">
        <f ca="1">IFERROR(__xludf.DUMMYFUNCTION("""COMPUTED_VALUE"""),2)</f>
        <v>2</v>
      </c>
    </row>
    <row r="11" spans="1:7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IFERROR(__xludf.DUMMYFUNCTION("""COMPUTED_VALUE"""),"Parker McLachlin")</f>
        <v>Parker McLachlin</v>
      </c>
      <c r="D11">
        <f ca="1">IFERROR(__xludf.DUMMYFUNCTION("""COMPUTED_VALUE"""),4)</f>
        <v>4</v>
      </c>
      <c r="E11">
        <f ca="1">IFERROR(__xludf.DUMMYFUNCTION("""COMPUTED_VALUE"""),1.138)</f>
        <v>1.1379999999999999</v>
      </c>
      <c r="F11">
        <f ca="1">IFERROR(__xludf.DUMMYFUNCTION("""COMPUTED_VALUE"""),2.276)</f>
        <v>2.2759999999999998</v>
      </c>
      <c r="G11">
        <f ca="1">IFERROR(__xludf.DUMMYFUNCTION("""COMPUTED_VALUE"""),2)</f>
        <v>2</v>
      </c>
    </row>
    <row r="12" spans="1:7" ht="15.75" customHeight="1">
      <c r="A12">
        <f ca="1">IFERROR(__xludf.DUMMYFUNCTION("""COMPUTED_VALUE"""),11)</f>
        <v>11</v>
      </c>
      <c r="B12">
        <f ca="1">IFERROR(__xludf.DUMMYFUNCTION("""COMPUTED_VALUE"""),10)</f>
        <v>10</v>
      </c>
      <c r="C12" t="str">
        <f ca="1">IFERROR(__xludf.DUMMYFUNCTION("""COMPUTED_VALUE"""),"Brendon Todd")</f>
        <v>Brendon Todd</v>
      </c>
      <c r="D12">
        <f ca="1">IFERROR(__xludf.DUMMYFUNCTION("""COMPUTED_VALUE"""),14)</f>
        <v>14</v>
      </c>
      <c r="E12">
        <f ca="1">IFERROR(__xludf.DUMMYFUNCTION("""COMPUTED_VALUE"""),1.119)</f>
        <v>1.119</v>
      </c>
      <c r="F12">
        <f ca="1">IFERROR(__xludf.DUMMYFUNCTION("""COMPUTED_VALUE"""),13.427)</f>
        <v>13.427</v>
      </c>
      <c r="G12">
        <f ca="1">IFERROR(__xludf.DUMMYFUNCTION("""COMPUTED_VALUE"""),12)</f>
        <v>12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IFERROR(__xludf.DUMMYFUNCTION("""COMPUTED_VALUE"""),"Jaekyeong Lee")</f>
        <v>Jaekyeong Lee</v>
      </c>
      <c r="D13">
        <f ca="1">IFERROR(__xludf.DUMMYFUNCTION("""COMPUTED_VALUE"""),4)</f>
        <v>4</v>
      </c>
      <c r="E13">
        <f ca="1">IFERROR(__xludf.DUMMYFUNCTION("""COMPUTED_VALUE"""),1.081)</f>
        <v>1.081</v>
      </c>
      <c r="F13">
        <f ca="1">IFERROR(__xludf.DUMMYFUNCTION("""COMPUTED_VALUE"""),4.324)</f>
        <v>4.3239999999999998</v>
      </c>
      <c r="G13">
        <f ca="1">IFERROR(__xludf.DUMMYFUNCTION("""COMPUTED_VALUE"""),4)</f>
        <v>4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IFERROR(__xludf.DUMMYFUNCTION("""COMPUTED_VALUE"""),12)</f>
        <v>12</v>
      </c>
      <c r="C14" t="str">
        <f ca="1">IFERROR(__xludf.DUMMYFUNCTION("""COMPUTED_VALUE"""),"Xander Schauffele")</f>
        <v>Xander Schauffele</v>
      </c>
      <c r="D14">
        <f ca="1">IFERROR(__xludf.DUMMYFUNCTION("""COMPUTED_VALUE"""),12)</f>
        <v>12</v>
      </c>
      <c r="E14">
        <f ca="1">IFERROR(__xludf.DUMMYFUNCTION("""COMPUTED_VALUE"""),1.074)</f>
        <v>1.0740000000000001</v>
      </c>
      <c r="F14">
        <f ca="1">IFERROR(__xludf.DUMMYFUNCTION("""COMPUTED_VALUE"""),12.884)</f>
        <v>12.884</v>
      </c>
      <c r="G14">
        <f ca="1">IFERROR(__xludf.DUMMYFUNCTION("""COMPUTED_VALUE"""),12)</f>
        <v>12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IFERROR(__xludf.DUMMYFUNCTION("""COMPUTED_VALUE"""),13)</f>
        <v>13</v>
      </c>
      <c r="C15" t="str">
        <f ca="1">IFERROR(__xludf.DUMMYFUNCTION("""COMPUTED_VALUE"""),"Johnson Wagner")</f>
        <v>Johnson Wagner</v>
      </c>
      <c r="D15">
        <f ca="1">IFERROR(__xludf.DUMMYFUNCTION("""COMPUTED_VALUE"""),8)</f>
        <v>8</v>
      </c>
      <c r="E15">
        <f ca="1">IFERROR(__xludf.DUMMYFUNCTION("""COMPUTED_VALUE"""),1.06)</f>
        <v>1.06</v>
      </c>
      <c r="F15">
        <f ca="1">IFERROR(__xludf.DUMMYFUNCTION("""COMPUTED_VALUE"""),2.12)</f>
        <v>2.12</v>
      </c>
      <c r="G15">
        <f ca="1">IFERROR(__xludf.DUMMYFUNCTION("""COMPUTED_VALUE"""),2)</f>
        <v>2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IFERROR(__xludf.DUMMYFUNCTION("""COMPUTED_VALUE"""),16)</f>
        <v>16</v>
      </c>
      <c r="C16" t="str">
        <f ca="1">IFERROR(__xludf.DUMMYFUNCTION("""COMPUTED_VALUE"""),"Steve Lewton")</f>
        <v>Steve Lewton</v>
      </c>
      <c r="D16">
        <f ca="1">IFERROR(__xludf.DUMMYFUNCTION("""COMPUTED_VALUE"""),4)</f>
        <v>4</v>
      </c>
      <c r="E16">
        <f ca="1">IFERROR(__xludf.DUMMYFUNCTION("""COMPUTED_VALUE"""),1.023)</f>
        <v>1.0229999999999999</v>
      </c>
      <c r="F16">
        <f ca="1">IFERROR(__xludf.DUMMYFUNCTION("""COMPUTED_VALUE"""),4.094)</f>
        <v>4.0940000000000003</v>
      </c>
      <c r="G16">
        <f ca="1">IFERROR(__xludf.DUMMYFUNCTION("""COMPUTED_VALUE"""),4)</f>
        <v>4</v>
      </c>
    </row>
    <row r="17" spans="1:7" ht="15.75" customHeight="1">
      <c r="A17">
        <f ca="1">IFERROR(__xludf.DUMMYFUNCTION("""COMPUTED_VALUE"""),16)</f>
        <v>16</v>
      </c>
      <c r="B17">
        <f ca="1">IFERROR(__xludf.DUMMYFUNCTION("""COMPUTED_VALUE"""),17)</f>
        <v>17</v>
      </c>
      <c r="C17" t="str">
        <f ca="1">IFERROR(__xludf.DUMMYFUNCTION("""COMPUTED_VALUE"""),"Renato Paratore")</f>
        <v>Renato Paratore</v>
      </c>
      <c r="D17">
        <f ca="1">IFERROR(__xludf.DUMMYFUNCTION("""COMPUTED_VALUE"""),4)</f>
        <v>4</v>
      </c>
      <c r="E17">
        <f ca="1">IFERROR(__xludf.DUMMYFUNCTION("""COMPUTED_VALUE"""),1.012)</f>
        <v>1.012</v>
      </c>
      <c r="F17">
        <f ca="1">IFERROR(__xludf.DUMMYFUNCTION("""COMPUTED_VALUE"""),4.047)</f>
        <v>4.0469999999999997</v>
      </c>
      <c r="G17">
        <f ca="1">IFERROR(__xludf.DUMMYFUNCTION("""COMPUTED_VALUE"""),4)</f>
        <v>4</v>
      </c>
    </row>
    <row r="18" spans="1:7" ht="15.75" customHeight="1">
      <c r="A18">
        <f ca="1">IFERROR(__xludf.DUMMYFUNCTION("""COMPUTED_VALUE"""),17)</f>
        <v>17</v>
      </c>
      <c r="B18">
        <f ca="1">IFERROR(__xludf.DUMMYFUNCTION("""COMPUTED_VALUE"""),18)</f>
        <v>18</v>
      </c>
      <c r="C18" t="str">
        <f ca="1">IFERROR(__xludf.DUMMYFUNCTION("""COMPUTED_VALUE"""),"Patrick Reed")</f>
        <v>Patrick Reed</v>
      </c>
      <c r="D18">
        <f ca="1">IFERROR(__xludf.DUMMYFUNCTION("""COMPUTED_VALUE"""),8)</f>
        <v>8</v>
      </c>
      <c r="E18">
        <f ca="1">IFERROR(__xludf.DUMMYFUNCTION("""COMPUTED_VALUE"""),1.006)</f>
        <v>1.006</v>
      </c>
      <c r="F18">
        <f ca="1">IFERROR(__xludf.DUMMYFUNCTION("""COMPUTED_VALUE"""),8.051)</f>
        <v>8.0510000000000002</v>
      </c>
      <c r="G18">
        <f ca="1">IFERROR(__xludf.DUMMYFUNCTION("""COMPUTED_VALUE"""),8)</f>
        <v>8</v>
      </c>
    </row>
    <row r="19" spans="1:7" ht="15.75" customHeight="1">
      <c r="A19">
        <f ca="1">IFERROR(__xludf.DUMMYFUNCTION("""COMPUTED_VALUE"""),18)</f>
        <v>18</v>
      </c>
      <c r="B19">
        <f ca="1">IFERROR(__xludf.DUMMYFUNCTION("""COMPUTED_VALUE"""),15)</f>
        <v>15</v>
      </c>
      <c r="C19" t="str">
        <f ca="1">IFERROR(__xludf.DUMMYFUNCTION("""COMPUTED_VALUE"""),"David Hearn")</f>
        <v>David Hearn</v>
      </c>
      <c r="D19">
        <f ca="1">IFERROR(__xludf.DUMMYFUNCTION("""COMPUTED_VALUE"""),16)</f>
        <v>16</v>
      </c>
      <c r="E19">
        <f ca="1">IFERROR(__xludf.DUMMYFUNCTION("""COMPUTED_VALUE"""),0.952)</f>
        <v>0.95199999999999996</v>
      </c>
      <c r="F19">
        <f ca="1">IFERROR(__xludf.DUMMYFUNCTION("""COMPUTED_VALUE"""),7.614)</f>
        <v>7.6139999999999999</v>
      </c>
      <c r="G19">
        <f ca="1">IFERROR(__xludf.DUMMYFUNCTION("""COMPUTED_VALUE"""),8)</f>
        <v>8</v>
      </c>
    </row>
    <row r="20" spans="1:7" ht="15.75" customHeight="1">
      <c r="A20">
        <f ca="1">IFERROR(__xludf.DUMMYFUNCTION("""COMPUTED_VALUE"""),19)</f>
        <v>19</v>
      </c>
      <c r="B20">
        <f ca="1">IFERROR(__xludf.DUMMYFUNCTION("""COMPUTED_VALUE"""),21)</f>
        <v>21</v>
      </c>
      <c r="C20" t="str">
        <f ca="1">IFERROR(__xludf.DUMMYFUNCTION("""COMPUTED_VALUE"""),"J.T. Poston")</f>
        <v>J.T. Poston</v>
      </c>
      <c r="D20">
        <f ca="1">IFERROR(__xludf.DUMMYFUNCTION("""COMPUTED_VALUE"""),18)</f>
        <v>18</v>
      </c>
      <c r="E20">
        <f ca="1">IFERROR(__xludf.DUMMYFUNCTION("""COMPUTED_VALUE"""),0.942)</f>
        <v>0.94199999999999995</v>
      </c>
      <c r="F20">
        <f ca="1">IFERROR(__xludf.DUMMYFUNCTION("""COMPUTED_VALUE"""),16.961)</f>
        <v>16.960999999999999</v>
      </c>
      <c r="G20">
        <f ca="1">IFERROR(__xludf.DUMMYFUNCTION("""COMPUTED_VALUE"""),18)</f>
        <v>18</v>
      </c>
    </row>
    <row r="21" spans="1:7" ht="15.75" customHeight="1">
      <c r="A21">
        <f ca="1">IFERROR(__xludf.DUMMYFUNCTION("""COMPUTED_VALUE"""),20)</f>
        <v>20</v>
      </c>
      <c r="B21">
        <f ca="1">IFERROR(__xludf.DUMMYFUNCTION("""COMPUTED_VALUE"""),23)</f>
        <v>23</v>
      </c>
      <c r="C21" t="str">
        <f ca="1">IFERROR(__xludf.DUMMYFUNCTION("""COMPUTED_VALUE"""),"Cameron Smith")</f>
        <v>Cameron Smith</v>
      </c>
      <c r="D21">
        <f ca="1">IFERROR(__xludf.DUMMYFUNCTION("""COMPUTED_VALUE"""),16)</f>
        <v>16</v>
      </c>
      <c r="E21">
        <f ca="1">IFERROR(__xludf.DUMMYFUNCTION("""COMPUTED_VALUE"""),0.931)</f>
        <v>0.93100000000000005</v>
      </c>
      <c r="F21">
        <f ca="1">IFERROR(__xludf.DUMMYFUNCTION("""COMPUTED_VALUE"""),14.898)</f>
        <v>14.898</v>
      </c>
      <c r="G21">
        <f ca="1">IFERROR(__xludf.DUMMYFUNCTION("""COMPUTED_VALUE"""),16)</f>
        <v>16</v>
      </c>
    </row>
    <row r="22" spans="1:7" ht="15.75" customHeight="1">
      <c r="A22">
        <f ca="1">IFERROR(__xludf.DUMMYFUNCTION("""COMPUTED_VALUE"""),21)</f>
        <v>21</v>
      </c>
      <c r="B22">
        <f ca="1">IFERROR(__xludf.DUMMYFUNCTION("""COMPUTED_VALUE"""),14)</f>
        <v>14</v>
      </c>
      <c r="C22" t="str">
        <f ca="1">IFERROR(__xludf.DUMMYFUNCTION("""COMPUTED_VALUE"""),"Kristoffer Ventura")</f>
        <v>Kristoffer Ventura</v>
      </c>
      <c r="D22">
        <f ca="1">IFERROR(__xludf.DUMMYFUNCTION("""COMPUTED_VALUE"""),20)</f>
        <v>20</v>
      </c>
      <c r="E22">
        <f ca="1">IFERROR(__xludf.DUMMYFUNCTION("""COMPUTED_VALUE"""),0.926)</f>
        <v>0.92600000000000005</v>
      </c>
      <c r="F22">
        <f ca="1">IFERROR(__xludf.DUMMYFUNCTION("""COMPUTED_VALUE"""),12.963)</f>
        <v>12.962999999999999</v>
      </c>
      <c r="G22">
        <f ca="1">IFERROR(__xludf.DUMMYFUNCTION("""COMPUTED_VALUE"""),14)</f>
        <v>14</v>
      </c>
    </row>
    <row r="23" spans="1:7" ht="15.75" customHeight="1">
      <c r="A23">
        <f ca="1">IFERROR(__xludf.DUMMYFUNCTION("""COMPUTED_VALUE"""),22)</f>
        <v>22</v>
      </c>
      <c r="B23">
        <f ca="1">IFERROR(__xludf.DUMMYFUNCTION("""COMPUTED_VALUE"""),24)</f>
        <v>24</v>
      </c>
      <c r="C23" t="str">
        <f ca="1">IFERROR(__xludf.DUMMYFUNCTION("""COMPUTED_VALUE"""),"Rafa Cabrera Bello")</f>
        <v>Rafa Cabrera Bello</v>
      </c>
      <c r="D23">
        <f ca="1">IFERROR(__xludf.DUMMYFUNCTION("""COMPUTED_VALUE"""),14)</f>
        <v>14</v>
      </c>
      <c r="E23">
        <f ca="1">IFERROR(__xludf.DUMMYFUNCTION("""COMPUTED_VALUE"""),0.925)</f>
        <v>0.92500000000000004</v>
      </c>
      <c r="F23">
        <f ca="1">IFERROR(__xludf.DUMMYFUNCTION("""COMPUTED_VALUE"""),11.096)</f>
        <v>11.096</v>
      </c>
      <c r="G23">
        <f ca="1">IFERROR(__xludf.DUMMYFUNCTION("""COMPUTED_VALUE"""),12)</f>
        <v>12</v>
      </c>
    </row>
    <row r="24" spans="1:7" ht="15.75" customHeight="1">
      <c r="A24">
        <f ca="1">IFERROR(__xludf.DUMMYFUNCTION("""COMPUTED_VALUE"""),23)</f>
        <v>23</v>
      </c>
      <c r="B24">
        <f ca="1">IFERROR(__xludf.DUMMYFUNCTION("""COMPUTED_VALUE"""),25)</f>
        <v>25</v>
      </c>
      <c r="C24" t="str">
        <f ca="1">IFERROR(__xludf.DUMMYFUNCTION("""COMPUTED_VALUE"""),"Jay McLuen")</f>
        <v>Jay McLuen</v>
      </c>
      <c r="D24">
        <f ca="1">IFERROR(__xludf.DUMMYFUNCTION("""COMPUTED_VALUE"""),4)</f>
        <v>4</v>
      </c>
      <c r="E24">
        <f ca="1">IFERROR(__xludf.DUMMYFUNCTION("""COMPUTED_VALUE"""),0.91)</f>
        <v>0.91</v>
      </c>
      <c r="F24">
        <f ca="1">IFERROR(__xludf.DUMMYFUNCTION("""COMPUTED_VALUE"""),3.642)</f>
        <v>3.6419999999999999</v>
      </c>
      <c r="G24">
        <f ca="1">IFERROR(__xludf.DUMMYFUNCTION("""COMPUTED_VALUE"""),4)</f>
        <v>4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IFERROR(__xludf.DUMMYFUNCTION("""COMPUTED_VALUE"""),26)</f>
        <v>26</v>
      </c>
      <c r="C25" t="str">
        <f ca="1">IFERROR(__xludf.DUMMYFUNCTION("""COMPUTED_VALUE"""),"Luke Schniederjans")</f>
        <v>Luke Schniederjans</v>
      </c>
      <c r="D25">
        <f ca="1">IFERROR(__xludf.DUMMYFUNCTION("""COMPUTED_VALUE"""),4)</f>
        <v>4</v>
      </c>
      <c r="E25">
        <f ca="1">IFERROR(__xludf.DUMMYFUNCTION("""COMPUTED_VALUE"""),0.894)</f>
        <v>0.89400000000000002</v>
      </c>
      <c r="F25">
        <f ca="1">IFERROR(__xludf.DUMMYFUNCTION("""COMPUTED_VALUE"""),1.787)</f>
        <v>1.7869999999999999</v>
      </c>
      <c r="G25">
        <f ca="1">IFERROR(__xludf.DUMMYFUNCTION("""COMPUTED_VALUE"""),2)</f>
        <v>2</v>
      </c>
    </row>
    <row r="26" spans="1:7" ht="15.75" customHeight="1">
      <c r="A26">
        <f ca="1">IFERROR(__xludf.DUMMYFUNCTION("""COMPUTED_VALUE"""),25)</f>
        <v>25</v>
      </c>
      <c r="B26">
        <f ca="1">IFERROR(__xludf.DUMMYFUNCTION("""COMPUTED_VALUE"""),27)</f>
        <v>27</v>
      </c>
      <c r="C26" t="str">
        <f ca="1">IFERROR(__xludf.DUMMYFUNCTION("""COMPUTED_VALUE"""),"Hunter Mahan")</f>
        <v>Hunter Mahan</v>
      </c>
      <c r="D26">
        <f ca="1">IFERROR(__xludf.DUMMYFUNCTION("""COMPUTED_VALUE"""),14)</f>
        <v>14</v>
      </c>
      <c r="E26">
        <f ca="1">IFERROR(__xludf.DUMMYFUNCTION("""COMPUTED_VALUE"""),0.87)</f>
        <v>0.87</v>
      </c>
      <c r="F26">
        <f ca="1">IFERROR(__xludf.DUMMYFUNCTION("""COMPUTED_VALUE"""),8.698)</f>
        <v>8.6980000000000004</v>
      </c>
      <c r="G26">
        <f ca="1">IFERROR(__xludf.DUMMYFUNCTION("""COMPUTED_VALUE"""),10)</f>
        <v>10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IFERROR(__xludf.DUMMYFUNCTION("""COMPUTED_VALUE"""),28)</f>
        <v>28</v>
      </c>
      <c r="C27" t="str">
        <f ca="1">IFERROR(__xludf.DUMMYFUNCTION("""COMPUTED_VALUE"""),"Stephan Jaeger")</f>
        <v>Stephan Jaeger</v>
      </c>
      <c r="D27">
        <f ca="1">IFERROR(__xludf.DUMMYFUNCTION("""COMPUTED_VALUE"""),4)</f>
        <v>4</v>
      </c>
      <c r="E27">
        <f ca="1">IFERROR(__xludf.DUMMYFUNCTION("""COMPUTED_VALUE"""),0.86)</f>
        <v>0.86</v>
      </c>
      <c r="F27">
        <f ca="1">IFERROR(__xludf.DUMMYFUNCTION("""COMPUTED_VALUE"""),3.441)</f>
        <v>3.4409999999999998</v>
      </c>
      <c r="G27">
        <f ca="1">IFERROR(__xludf.DUMMYFUNCTION("""COMPUTED_VALUE"""),4)</f>
        <v>4</v>
      </c>
    </row>
    <row r="28" spans="1:7" ht="15.75" customHeight="1">
      <c r="A28">
        <f ca="1">IFERROR(__xludf.DUMMYFUNCTION("""COMPUTED_VALUE"""),27)</f>
        <v>27</v>
      </c>
      <c r="B28">
        <f ca="1">IFERROR(__xludf.DUMMYFUNCTION("""COMPUTED_VALUE"""),20)</f>
        <v>20</v>
      </c>
      <c r="C28" t="str">
        <f ca="1">IFERROR(__xludf.DUMMYFUNCTION("""COMPUTED_VALUE"""),"Zach Johnson")</f>
        <v>Zach Johnson</v>
      </c>
      <c r="D28">
        <f ca="1">IFERROR(__xludf.DUMMYFUNCTION("""COMPUTED_VALUE"""),16)</f>
        <v>16</v>
      </c>
      <c r="E28">
        <f ca="1">IFERROR(__xludf.DUMMYFUNCTION("""COMPUTED_VALUE"""),0.857)</f>
        <v>0.85699999999999998</v>
      </c>
      <c r="F28">
        <f ca="1">IFERROR(__xludf.DUMMYFUNCTION("""COMPUTED_VALUE"""),13.718)</f>
        <v>13.718</v>
      </c>
      <c r="G28">
        <f ca="1">IFERROR(__xludf.DUMMYFUNCTION("""COMPUTED_VALUE"""),16)</f>
        <v>16</v>
      </c>
    </row>
    <row r="29" spans="1:7" ht="15.75" customHeight="1">
      <c r="A29">
        <f ca="1">IFERROR(__xludf.DUMMYFUNCTION("""COMPUTED_VALUE"""),28)</f>
        <v>28</v>
      </c>
      <c r="B29">
        <f ca="1">IFERROR(__xludf.DUMMYFUNCTION("""COMPUTED_VALUE"""),8)</f>
        <v>8</v>
      </c>
      <c r="C29" t="str">
        <f ca="1">IFERROR(__xludf.DUMMYFUNCTION("""COMPUTED_VALUE"""),"Cameron Tringale")</f>
        <v>Cameron Tringale</v>
      </c>
      <c r="D29">
        <f ca="1">IFERROR(__xludf.DUMMYFUNCTION("""COMPUTED_VALUE"""),16)</f>
        <v>16</v>
      </c>
      <c r="E29">
        <f ca="1">IFERROR(__xludf.DUMMYFUNCTION("""COMPUTED_VALUE"""),0.847)</f>
        <v>0.84699999999999998</v>
      </c>
      <c r="F29">
        <f ca="1">IFERROR(__xludf.DUMMYFUNCTION("""COMPUTED_VALUE"""),11.857)</f>
        <v>11.856999999999999</v>
      </c>
      <c r="G29">
        <f ca="1">IFERROR(__xludf.DUMMYFUNCTION("""COMPUTED_VALUE"""),14)</f>
        <v>14</v>
      </c>
    </row>
    <row r="30" spans="1:7" ht="15.75" customHeight="1">
      <c r="A30">
        <f ca="1">IFERROR(__xludf.DUMMYFUNCTION("""COMPUTED_VALUE"""),29)</f>
        <v>29</v>
      </c>
      <c r="B30">
        <f ca="1">IFERROR(__xludf.DUMMYFUNCTION("""COMPUTED_VALUE"""),30)</f>
        <v>30</v>
      </c>
      <c r="C30" t="str">
        <f ca="1">IFERROR(__xludf.DUMMYFUNCTION("""COMPUTED_VALUE"""),"Daniel Berger")</f>
        <v>Daniel Berger</v>
      </c>
      <c r="D30">
        <f ca="1">IFERROR(__xludf.DUMMYFUNCTION("""COMPUTED_VALUE"""),12)</f>
        <v>12</v>
      </c>
      <c r="E30">
        <f ca="1">IFERROR(__xludf.DUMMYFUNCTION("""COMPUTED_VALUE"""),0.814)</f>
        <v>0.81399999999999995</v>
      </c>
      <c r="F30">
        <f ca="1">IFERROR(__xludf.DUMMYFUNCTION("""COMPUTED_VALUE"""),9.765)</f>
        <v>9.7650000000000006</v>
      </c>
      <c r="G30">
        <f ca="1">IFERROR(__xludf.DUMMYFUNCTION("""COMPUTED_VALUE"""),12)</f>
        <v>12</v>
      </c>
    </row>
    <row r="31" spans="1:7" ht="12.75">
      <c r="A31">
        <f ca="1">IFERROR(__xludf.DUMMYFUNCTION("""COMPUTED_VALUE"""),30)</f>
        <v>30</v>
      </c>
      <c r="B31">
        <f ca="1">IFERROR(__xludf.DUMMYFUNCTION("""COMPUTED_VALUE"""),35)</f>
        <v>35</v>
      </c>
      <c r="C31" t="str">
        <f ca="1">IFERROR(__xludf.DUMMYFUNCTION("""COMPUTED_VALUE"""),"Justin Suh")</f>
        <v>Justin Suh</v>
      </c>
      <c r="D31">
        <f ca="1">IFERROR(__xludf.DUMMYFUNCTION("""COMPUTED_VALUE"""),10)</f>
        <v>10</v>
      </c>
      <c r="E31">
        <f ca="1">IFERROR(__xludf.DUMMYFUNCTION("""COMPUTED_VALUE"""),0.772)</f>
        <v>0.77200000000000002</v>
      </c>
      <c r="F31">
        <f ca="1">IFERROR(__xludf.DUMMYFUNCTION("""COMPUTED_VALUE"""),3.086)</f>
        <v>3.0859999999999999</v>
      </c>
      <c r="G31">
        <f ca="1">IFERROR(__xludf.DUMMYFUNCTION("""COMPUTED_VALUE"""),4)</f>
        <v>4</v>
      </c>
    </row>
    <row r="32" spans="1:7" ht="12.75">
      <c r="A32">
        <f ca="1">IFERROR(__xludf.DUMMYFUNCTION("""COMPUTED_VALUE"""),31)</f>
        <v>31</v>
      </c>
      <c r="B32">
        <f ca="1">IFERROR(__xludf.DUMMYFUNCTION("""COMPUTED_VALUE"""),36)</f>
        <v>36</v>
      </c>
      <c r="C32" t="str">
        <f ca="1">IFERROR(__xludf.DUMMYFUNCTION("""COMPUTED_VALUE"""),"Louis Oosthuizen")</f>
        <v>Louis Oosthuizen</v>
      </c>
      <c r="D32">
        <f ca="1">IFERROR(__xludf.DUMMYFUNCTION("""COMPUTED_VALUE"""),12)</f>
        <v>12</v>
      </c>
      <c r="E32">
        <f ca="1">IFERROR(__xludf.DUMMYFUNCTION("""COMPUTED_VALUE"""),0.765)</f>
        <v>0.76500000000000001</v>
      </c>
      <c r="F32">
        <f ca="1">IFERROR(__xludf.DUMMYFUNCTION("""COMPUTED_VALUE"""),9.183)</f>
        <v>9.1829999999999998</v>
      </c>
      <c r="G32">
        <f ca="1">IFERROR(__xludf.DUMMYFUNCTION("""COMPUTED_VALUE"""),12)</f>
        <v>12</v>
      </c>
    </row>
    <row r="33" spans="1:7" ht="12.75">
      <c r="A33">
        <f ca="1">IFERROR(__xludf.DUMMYFUNCTION("""COMPUTED_VALUE"""),32)</f>
        <v>32</v>
      </c>
      <c r="B33">
        <f ca="1">IFERROR(__xludf.DUMMYFUNCTION("""COMPUTED_VALUE"""),37)</f>
        <v>37</v>
      </c>
      <c r="C33" t="str">
        <f ca="1">IFERROR(__xludf.DUMMYFUNCTION("""COMPUTED_VALUE"""),"Webb Simpson")</f>
        <v>Webb Simpson</v>
      </c>
      <c r="D33">
        <f ca="1">IFERROR(__xludf.DUMMYFUNCTION("""COMPUTED_VALUE"""),12)</f>
        <v>12</v>
      </c>
      <c r="E33">
        <f ca="1">IFERROR(__xludf.DUMMYFUNCTION("""COMPUTED_VALUE"""),0.754)</f>
        <v>0.754</v>
      </c>
      <c r="F33">
        <f ca="1">IFERROR(__xludf.DUMMYFUNCTION("""COMPUTED_VALUE"""),9.043)</f>
        <v>9.0429999999999993</v>
      </c>
      <c r="G33">
        <f ca="1">IFERROR(__xludf.DUMMYFUNCTION("""COMPUTED_VALUE"""),12)</f>
        <v>12</v>
      </c>
    </row>
    <row r="34" spans="1:7" ht="12.75">
      <c r="A34">
        <f ca="1">IFERROR(__xludf.DUMMYFUNCTION("""COMPUTED_VALUE"""),33)</f>
        <v>33</v>
      </c>
      <c r="B34">
        <f ca="1">IFERROR(__xludf.DUMMYFUNCTION("""COMPUTED_VALUE"""),38)</f>
        <v>38</v>
      </c>
      <c r="C34" t="str">
        <f ca="1">IFERROR(__xludf.DUMMYFUNCTION("""COMPUTED_VALUE"""),"Justin Thomas")</f>
        <v>Justin Thomas</v>
      </c>
      <c r="D34">
        <f ca="1">IFERROR(__xludf.DUMMYFUNCTION("""COMPUTED_VALUE"""),12)</f>
        <v>12</v>
      </c>
      <c r="E34">
        <f ca="1">IFERROR(__xludf.DUMMYFUNCTION("""COMPUTED_VALUE"""),0.751)</f>
        <v>0.751</v>
      </c>
      <c r="F34">
        <f ca="1">IFERROR(__xludf.DUMMYFUNCTION("""COMPUTED_VALUE"""),9.013)</f>
        <v>9.0129999999999999</v>
      </c>
      <c r="G34">
        <f ca="1">IFERROR(__xludf.DUMMYFUNCTION("""COMPUTED_VALUE"""),12)</f>
        <v>12</v>
      </c>
    </row>
    <row r="35" spans="1:7" ht="12.75">
      <c r="A35">
        <f ca="1">IFERROR(__xludf.DUMMYFUNCTION("""COMPUTED_VALUE"""),34)</f>
        <v>34</v>
      </c>
      <c r="B35">
        <f ca="1">IFERROR(__xludf.DUMMYFUNCTION("""COMPUTED_VALUE"""),39)</f>
        <v>39</v>
      </c>
      <c r="C35" t="str">
        <f ca="1">IFERROR(__xludf.DUMMYFUNCTION("""COMPUTED_VALUE"""),"Michael Gligic")</f>
        <v>Michael Gligic</v>
      </c>
      <c r="D35">
        <f ca="1">IFERROR(__xludf.DUMMYFUNCTION("""COMPUTED_VALUE"""),18)</f>
        <v>18</v>
      </c>
      <c r="E35">
        <f ca="1">IFERROR(__xludf.DUMMYFUNCTION("""COMPUTED_VALUE"""),0.746)</f>
        <v>0.746</v>
      </c>
      <c r="F35">
        <f ca="1">IFERROR(__xludf.DUMMYFUNCTION("""COMPUTED_VALUE"""),8.948)</f>
        <v>8.9480000000000004</v>
      </c>
      <c r="G35">
        <f ca="1">IFERROR(__xludf.DUMMYFUNCTION("""COMPUTED_VALUE"""),12)</f>
        <v>12</v>
      </c>
    </row>
    <row r="36" spans="1:7" ht="12.75">
      <c r="A36">
        <f ca="1">IFERROR(__xludf.DUMMYFUNCTION("""COMPUTED_VALUE"""),35)</f>
        <v>35</v>
      </c>
      <c r="B36">
        <f ca="1">IFERROR(__xludf.DUMMYFUNCTION("""COMPUTED_VALUE"""),40)</f>
        <v>40</v>
      </c>
      <c r="C36" t="str">
        <f ca="1">IFERROR(__xludf.DUMMYFUNCTION("""COMPUTED_VALUE"""),"Wesley Bryan")</f>
        <v>Wesley Bryan</v>
      </c>
      <c r="D36">
        <f ca="1">IFERROR(__xludf.DUMMYFUNCTION("""COMPUTED_VALUE"""),8)</f>
        <v>8</v>
      </c>
      <c r="E36">
        <f ca="1">IFERROR(__xludf.DUMMYFUNCTION("""COMPUTED_VALUE"""),0.744)</f>
        <v>0.74399999999999999</v>
      </c>
      <c r="F36">
        <f ca="1">IFERROR(__xludf.DUMMYFUNCTION("""COMPUTED_VALUE"""),4.467)</f>
        <v>4.4669999999999996</v>
      </c>
      <c r="G36">
        <f ca="1">IFERROR(__xludf.DUMMYFUNCTION("""COMPUTED_VALUE"""),6)</f>
        <v>6</v>
      </c>
    </row>
    <row r="37" spans="1:7" ht="12.75">
      <c r="A37">
        <f ca="1">IFERROR(__xludf.DUMMYFUNCTION("""COMPUTED_VALUE"""),36)</f>
        <v>36</v>
      </c>
      <c r="B37">
        <f ca="1">IFERROR(__xludf.DUMMYFUNCTION("""COMPUTED_VALUE"""),41)</f>
        <v>41</v>
      </c>
      <c r="C37" t="str">
        <f ca="1">IFERROR(__xludf.DUMMYFUNCTION("""COMPUTED_VALUE"""),"Akshay Bhatia")</f>
        <v>Akshay Bhatia</v>
      </c>
      <c r="D37">
        <f ca="1">IFERROR(__xludf.DUMMYFUNCTION("""COMPUTED_VALUE"""),6)</f>
        <v>6</v>
      </c>
      <c r="E37">
        <f ca="1">IFERROR(__xludf.DUMMYFUNCTION("""COMPUTED_VALUE"""),0.738)</f>
        <v>0.73799999999999999</v>
      </c>
      <c r="F37">
        <f ca="1">IFERROR(__xludf.DUMMYFUNCTION("""COMPUTED_VALUE"""),2.953)</f>
        <v>2.9529999999999998</v>
      </c>
      <c r="G37">
        <f ca="1">IFERROR(__xludf.DUMMYFUNCTION("""COMPUTED_VALUE"""),4)</f>
        <v>4</v>
      </c>
    </row>
    <row r="38" spans="1:7" ht="12.75">
      <c r="A38">
        <f ca="1">IFERROR(__xludf.DUMMYFUNCTION("""COMPUTED_VALUE"""),37)</f>
        <v>37</v>
      </c>
      <c r="B38">
        <f ca="1">IFERROR(__xludf.DUMMYFUNCTION("""COMPUTED_VALUE"""),33)</f>
        <v>33</v>
      </c>
      <c r="C38" t="str">
        <f ca="1">IFERROR(__xludf.DUMMYFUNCTION("""COMPUTED_VALUE"""),"Brice Garnett")</f>
        <v>Brice Garnett</v>
      </c>
      <c r="D38">
        <f ca="1">IFERROR(__xludf.DUMMYFUNCTION("""COMPUTED_VALUE"""),22)</f>
        <v>22</v>
      </c>
      <c r="E38">
        <f ca="1">IFERROR(__xludf.DUMMYFUNCTION("""COMPUTED_VALUE"""),0.722)</f>
        <v>0.72199999999999998</v>
      </c>
      <c r="F38">
        <f ca="1">IFERROR(__xludf.DUMMYFUNCTION("""COMPUTED_VALUE"""),10.108)</f>
        <v>10.108000000000001</v>
      </c>
      <c r="G38">
        <f ca="1">IFERROR(__xludf.DUMMYFUNCTION("""COMPUTED_VALUE"""),14)</f>
        <v>14</v>
      </c>
    </row>
    <row r="39" spans="1:7" ht="12.75">
      <c r="A39">
        <f ca="1">IFERROR(__xludf.DUMMYFUNCTION("""COMPUTED_VALUE"""),38)</f>
        <v>38</v>
      </c>
      <c r="B39">
        <f ca="1">IFERROR(__xludf.DUMMYFUNCTION("""COMPUTED_VALUE"""),73)</f>
        <v>73</v>
      </c>
      <c r="C39" t="str">
        <f ca="1">IFERROR(__xludf.DUMMYFUNCTION("""COMPUTED_VALUE"""),"Tyrrell Hatton")</f>
        <v>Tyrrell Hatton</v>
      </c>
      <c r="D39">
        <f ca="1">IFERROR(__xludf.DUMMYFUNCTION("""COMPUTED_VALUE"""),14)</f>
        <v>14</v>
      </c>
      <c r="E39">
        <f ca="1">IFERROR(__xludf.DUMMYFUNCTION("""COMPUTED_VALUE"""),0.718)</f>
        <v>0.71799999999999997</v>
      </c>
      <c r="F39">
        <f ca="1">IFERROR(__xludf.DUMMYFUNCTION("""COMPUTED_VALUE"""),10.051)</f>
        <v>10.051</v>
      </c>
      <c r="G39">
        <f ca="1">IFERROR(__xludf.DUMMYFUNCTION("""COMPUTED_VALUE"""),14)</f>
        <v>14</v>
      </c>
    </row>
    <row r="40" spans="1:7" ht="12.75">
      <c r="A40">
        <f ca="1">IFERROR(__xludf.DUMMYFUNCTION("""COMPUTED_VALUE"""),39)</f>
        <v>39</v>
      </c>
      <c r="B40">
        <f ca="1">IFERROR(__xludf.DUMMYFUNCTION("""COMPUTED_VALUE"""),42)</f>
        <v>42</v>
      </c>
      <c r="C40" t="str">
        <f ca="1">IFERROR(__xludf.DUMMYFUNCTION("""COMPUTED_VALUE"""),"Hanbyeol Kim")</f>
        <v>Hanbyeol Kim</v>
      </c>
      <c r="D40">
        <f ca="1">IFERROR(__xludf.DUMMYFUNCTION("""COMPUTED_VALUE"""),4)</f>
        <v>4</v>
      </c>
      <c r="E40">
        <f ca="1">IFERROR(__xludf.DUMMYFUNCTION("""COMPUTED_VALUE"""),0.71)</f>
        <v>0.71</v>
      </c>
      <c r="F40">
        <f ca="1">IFERROR(__xludf.DUMMYFUNCTION("""COMPUTED_VALUE"""),2.84)</f>
        <v>2.84</v>
      </c>
      <c r="G40">
        <f ca="1">IFERROR(__xludf.DUMMYFUNCTION("""COMPUTED_VALUE"""),4)</f>
        <v>4</v>
      </c>
    </row>
    <row r="41" spans="1:7" ht="12.75">
      <c r="A41">
        <f ca="1">IFERROR(__xludf.DUMMYFUNCTION("""COMPUTED_VALUE"""),40)</f>
        <v>40</v>
      </c>
      <c r="B41">
        <f ca="1">IFERROR(__xludf.DUMMYFUNCTION("""COMPUTED_VALUE"""),44)</f>
        <v>44</v>
      </c>
      <c r="C41" t="str">
        <f ca="1">IFERROR(__xludf.DUMMYFUNCTION("""COMPUTED_VALUE"""),"Shaun Norris")</f>
        <v>Shaun Norris</v>
      </c>
      <c r="D41">
        <f ca="1">IFERROR(__xludf.DUMMYFUNCTION("""COMPUTED_VALUE"""),6)</f>
        <v>6</v>
      </c>
      <c r="E41">
        <f ca="1">IFERROR(__xludf.DUMMYFUNCTION("""COMPUTED_VALUE"""),0.699)</f>
        <v>0.69899999999999995</v>
      </c>
      <c r="F41">
        <f ca="1">IFERROR(__xludf.DUMMYFUNCTION("""COMPUTED_VALUE"""),4.194)</f>
        <v>4.194</v>
      </c>
      <c r="G41">
        <f ca="1">IFERROR(__xludf.DUMMYFUNCTION("""COMPUTED_VALUE"""),6)</f>
        <v>6</v>
      </c>
    </row>
    <row r="42" spans="1:7" ht="12.75">
      <c r="A42">
        <f ca="1">IFERROR(__xludf.DUMMYFUNCTION("""COMPUTED_VALUE"""),41)</f>
        <v>41</v>
      </c>
      <c r="B42">
        <f ca="1">IFERROR(__xludf.DUMMYFUNCTION("""COMPUTED_VALUE"""),45)</f>
        <v>45</v>
      </c>
      <c r="C42" t="str">
        <f ca="1">IFERROR(__xludf.DUMMYFUNCTION("""COMPUTED_VALUE"""),"Rory Sabbatini")</f>
        <v>Rory Sabbatini</v>
      </c>
      <c r="D42">
        <f ca="1">IFERROR(__xludf.DUMMYFUNCTION("""COMPUTED_VALUE"""),13)</f>
        <v>13</v>
      </c>
      <c r="E42">
        <f ca="1">IFERROR(__xludf.DUMMYFUNCTION("""COMPUTED_VALUE"""),0.698)</f>
        <v>0.69799999999999995</v>
      </c>
      <c r="F42">
        <f ca="1">IFERROR(__xludf.DUMMYFUNCTION("""COMPUTED_VALUE"""),9.073)</f>
        <v>9.0730000000000004</v>
      </c>
      <c r="G42">
        <f ca="1">IFERROR(__xludf.DUMMYFUNCTION("""COMPUTED_VALUE"""),13)</f>
        <v>13</v>
      </c>
    </row>
    <row r="43" spans="1:7" ht="12.75">
      <c r="A43">
        <f ca="1">IFERROR(__xludf.DUMMYFUNCTION("""COMPUTED_VALUE"""),42)</f>
        <v>42</v>
      </c>
      <c r="B43">
        <f ca="1">IFERROR(__xludf.DUMMYFUNCTION("""COMPUTED_VALUE"""),162)</f>
        <v>162</v>
      </c>
      <c r="C43" t="str">
        <f ca="1">IFERROR(__xludf.DUMMYFUNCTION("""COMPUTED_VALUE"""),"Brooks Koepka")</f>
        <v>Brooks Koepka</v>
      </c>
      <c r="D43">
        <f ca="1">IFERROR(__xludf.DUMMYFUNCTION("""COMPUTED_VALUE"""),8)</f>
        <v>8</v>
      </c>
      <c r="E43">
        <f ca="1">IFERROR(__xludf.DUMMYFUNCTION("""COMPUTED_VALUE"""),0.697)</f>
        <v>0.69699999999999995</v>
      </c>
      <c r="F43">
        <f ca="1">IFERROR(__xludf.DUMMYFUNCTION("""COMPUTED_VALUE"""),5.575)</f>
        <v>5.5750000000000002</v>
      </c>
      <c r="G43">
        <f ca="1">IFERROR(__xludf.DUMMYFUNCTION("""COMPUTED_VALUE"""),8)</f>
        <v>8</v>
      </c>
    </row>
    <row r="44" spans="1:7" ht="12.75">
      <c r="A44">
        <f ca="1">IFERROR(__xludf.DUMMYFUNCTION("""COMPUTED_VALUE"""),43)</f>
        <v>43</v>
      </c>
      <c r="B44">
        <f ca="1">IFERROR(__xludf.DUMMYFUNCTION("""COMPUTED_VALUE"""),22)</f>
        <v>22</v>
      </c>
      <c r="C44" t="str">
        <f ca="1">IFERROR(__xludf.DUMMYFUNCTION("""COMPUTED_VALUE"""),"Denny McCarthy")</f>
        <v>Denny McCarthy</v>
      </c>
      <c r="D44">
        <f ca="1">IFERROR(__xludf.DUMMYFUNCTION("""COMPUTED_VALUE"""),22)</f>
        <v>22</v>
      </c>
      <c r="E44">
        <f ca="1">IFERROR(__xludf.DUMMYFUNCTION("""COMPUTED_VALUE"""),0.695)</f>
        <v>0.69499999999999995</v>
      </c>
      <c r="F44">
        <f ca="1">IFERROR(__xludf.DUMMYFUNCTION("""COMPUTED_VALUE"""),9.73)</f>
        <v>9.73</v>
      </c>
      <c r="G44">
        <f ca="1">IFERROR(__xludf.DUMMYFUNCTION("""COMPUTED_VALUE"""),14)</f>
        <v>14</v>
      </c>
    </row>
    <row r="45" spans="1:7" ht="12.75">
      <c r="A45">
        <f ca="1">IFERROR(__xludf.DUMMYFUNCTION("""COMPUTED_VALUE"""),44)</f>
        <v>44</v>
      </c>
      <c r="B45">
        <f ca="1">IFERROR(__xludf.DUMMYFUNCTION("""COMPUTED_VALUE"""),43)</f>
        <v>43</v>
      </c>
      <c r="C45" t="str">
        <f ca="1">IFERROR(__xludf.DUMMYFUNCTION("""COMPUTED_VALUE"""),"Brandt Snedeker")</f>
        <v>Brandt Snedeker</v>
      </c>
      <c r="D45">
        <f ca="1">IFERROR(__xludf.DUMMYFUNCTION("""COMPUTED_VALUE"""),16)</f>
        <v>16</v>
      </c>
      <c r="E45">
        <f ca="1">IFERROR(__xludf.DUMMYFUNCTION("""COMPUTED_VALUE"""),0.691)</f>
        <v>0.69099999999999995</v>
      </c>
      <c r="F45">
        <f ca="1">IFERROR(__xludf.DUMMYFUNCTION("""COMPUTED_VALUE"""),11.054)</f>
        <v>11.054</v>
      </c>
      <c r="G45">
        <f ca="1">IFERROR(__xludf.DUMMYFUNCTION("""COMPUTED_VALUE"""),16)</f>
        <v>16</v>
      </c>
    </row>
    <row r="46" spans="1:7" ht="12.75">
      <c r="A46">
        <f ca="1">IFERROR(__xludf.DUMMYFUNCTION("""COMPUTED_VALUE"""),45)</f>
        <v>45</v>
      </c>
      <c r="B46">
        <f ca="1">IFERROR(__xludf.DUMMYFUNCTION("""COMPUTED_VALUE"""),95)</f>
        <v>95</v>
      </c>
      <c r="C46" t="str">
        <f ca="1">IFERROR(__xludf.DUMMYFUNCTION("""COMPUTED_VALUE"""),"Mackenzie Hughes")</f>
        <v>Mackenzie Hughes</v>
      </c>
      <c r="D46">
        <f ca="1">IFERROR(__xludf.DUMMYFUNCTION("""COMPUTED_VALUE"""),18)</f>
        <v>18</v>
      </c>
      <c r="E46">
        <f ca="1">IFERROR(__xludf.DUMMYFUNCTION("""COMPUTED_VALUE"""),0.686)</f>
        <v>0.68600000000000005</v>
      </c>
      <c r="F46">
        <f ca="1">IFERROR(__xludf.DUMMYFUNCTION("""COMPUTED_VALUE"""),9.601)</f>
        <v>9.6010000000000009</v>
      </c>
      <c r="G46">
        <f ca="1">IFERROR(__xludf.DUMMYFUNCTION("""COMPUTED_VALUE"""),14)</f>
        <v>14</v>
      </c>
    </row>
    <row r="47" spans="1:7" ht="12.75">
      <c r="A47">
        <f ca="1">IFERROR(__xludf.DUMMYFUNCTION("""COMPUTED_VALUE"""),46)</f>
        <v>46</v>
      </c>
      <c r="B47">
        <f ca="1">IFERROR(__xludf.DUMMYFUNCTION("""COMPUTED_VALUE"""),48)</f>
        <v>48</v>
      </c>
      <c r="C47" t="str">
        <f ca="1">IFERROR(__xludf.DUMMYFUNCTION("""COMPUTED_VALUE"""),"Joaquin Niemann")</f>
        <v>Joaquin Niemann</v>
      </c>
      <c r="D47">
        <f ca="1">IFERROR(__xludf.DUMMYFUNCTION("""COMPUTED_VALUE"""),16)</f>
        <v>16</v>
      </c>
      <c r="E47">
        <f ca="1">IFERROR(__xludf.DUMMYFUNCTION("""COMPUTED_VALUE"""),0.649)</f>
        <v>0.64900000000000002</v>
      </c>
      <c r="F47">
        <f ca="1">IFERROR(__xludf.DUMMYFUNCTION("""COMPUTED_VALUE"""),10.39)</f>
        <v>10.39</v>
      </c>
      <c r="G47">
        <f ca="1">IFERROR(__xludf.DUMMYFUNCTION("""COMPUTED_VALUE"""),16)</f>
        <v>16</v>
      </c>
    </row>
    <row r="48" spans="1:7" ht="12.75">
      <c r="A48">
        <f ca="1">IFERROR(__xludf.DUMMYFUNCTION("""COMPUTED_VALUE"""),47)</f>
        <v>47</v>
      </c>
      <c r="B48">
        <f ca="1">IFERROR(__xludf.DUMMYFUNCTION("""COMPUTED_VALUE"""),31)</f>
        <v>31</v>
      </c>
      <c r="C48" t="str">
        <f ca="1">IFERROR(__xludf.DUMMYFUNCTION("""COMPUTED_VALUE"""),"Adam Scott")</f>
        <v>Adam Scott</v>
      </c>
      <c r="D48">
        <f ca="1">IFERROR(__xludf.DUMMYFUNCTION("""COMPUTED_VALUE"""),8)</f>
        <v>8</v>
      </c>
      <c r="E48">
        <f ca="1">IFERROR(__xludf.DUMMYFUNCTION("""COMPUTED_VALUE"""),0.638)</f>
        <v>0.63800000000000001</v>
      </c>
      <c r="F48">
        <f ca="1">IFERROR(__xludf.DUMMYFUNCTION("""COMPUTED_VALUE"""),5.104)</f>
        <v>5.1040000000000001</v>
      </c>
      <c r="G48">
        <f ca="1">IFERROR(__xludf.DUMMYFUNCTION("""COMPUTED_VALUE"""),8)</f>
        <v>8</v>
      </c>
    </row>
    <row r="49" spans="1:7" ht="12.75">
      <c r="A49">
        <f ca="1">IFERROR(__xludf.DUMMYFUNCTION("""COMPUTED_VALUE"""),48)</f>
        <v>48</v>
      </c>
      <c r="B49">
        <f ca="1">IFERROR(__xludf.DUMMYFUNCTION("""COMPUTED_VALUE"""),49)</f>
        <v>49</v>
      </c>
      <c r="C49" t="str">
        <f ca="1">IFERROR(__xludf.DUMMYFUNCTION("""COMPUTED_VALUE"""),"Brian Harman")</f>
        <v>Brian Harman</v>
      </c>
      <c r="D49">
        <f ca="1">IFERROR(__xludf.DUMMYFUNCTION("""COMPUTED_VALUE"""),24)</f>
        <v>24</v>
      </c>
      <c r="E49">
        <f ca="1">IFERROR(__xludf.DUMMYFUNCTION("""COMPUTED_VALUE"""),0.634)</f>
        <v>0.63400000000000001</v>
      </c>
      <c r="F49">
        <f ca="1">IFERROR(__xludf.DUMMYFUNCTION("""COMPUTED_VALUE"""),15.21)</f>
        <v>15.21</v>
      </c>
      <c r="G49">
        <f ca="1">IFERROR(__xludf.DUMMYFUNCTION("""COMPUTED_VALUE"""),24)</f>
        <v>24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IFERROR(__xludf.DUMMYFUNCTION("""COMPUTED_VALUE"""),51)</f>
        <v>51</v>
      </c>
      <c r="C50" t="str">
        <f ca="1">IFERROR(__xludf.DUMMYFUNCTION("""COMPUTED_VALUE"""),"Harris English")</f>
        <v>Harris English</v>
      </c>
      <c r="D50">
        <f ca="1">IFERROR(__xludf.DUMMYFUNCTION("""COMPUTED_VALUE"""),14)</f>
        <v>14</v>
      </c>
      <c r="E50">
        <f ca="1">IFERROR(__xludf.DUMMYFUNCTION("""COMPUTED_VALUE"""),0.624)</f>
        <v>0.624</v>
      </c>
      <c r="F50">
        <f ca="1">IFERROR(__xludf.DUMMYFUNCTION("""COMPUTED_VALUE"""),8.735)</f>
        <v>8.7349999999999994</v>
      </c>
      <c r="G50">
        <f ca="1">IFERROR(__xludf.DUMMYFUNCTION("""COMPUTED_VALUE"""),14)</f>
        <v>14</v>
      </c>
    </row>
    <row r="51" spans="1:7" ht="12.75">
      <c r="A51">
        <f ca="1">IFERROR(__xludf.DUMMYFUNCTION("""COMPUTED_VALUE"""),50)</f>
        <v>50</v>
      </c>
      <c r="B51">
        <f ca="1">IFERROR(__xludf.DUMMYFUNCTION("""COMPUTED_VALUE"""),53)</f>
        <v>53</v>
      </c>
      <c r="C51" t="str">
        <f ca="1">IFERROR(__xludf.DUMMYFUNCTION("""COMPUTED_VALUE"""),"Rhein Gibson")</f>
        <v>Rhein Gibson</v>
      </c>
      <c r="D51">
        <f ca="1">IFERROR(__xludf.DUMMYFUNCTION("""COMPUTED_VALUE"""),10)</f>
        <v>10</v>
      </c>
      <c r="E51">
        <f ca="1">IFERROR(__xludf.DUMMYFUNCTION("""COMPUTED_VALUE"""),0.611)</f>
        <v>0.61099999999999999</v>
      </c>
      <c r="F51">
        <f ca="1">IFERROR(__xludf.DUMMYFUNCTION("""COMPUTED_VALUE"""),2.445)</f>
        <v>2.4449999999999998</v>
      </c>
      <c r="G51">
        <f ca="1">IFERROR(__xludf.DUMMYFUNCTION("""COMPUTED_VALUE"""),4)</f>
        <v>4</v>
      </c>
    </row>
    <row r="52" spans="1:7" ht="12.75">
      <c r="A52">
        <f ca="1">IFERROR(__xludf.DUMMYFUNCTION("""COMPUTED_VALUE"""),51)</f>
        <v>51</v>
      </c>
      <c r="B52" t="str">
        <f ca="1">IFERROR(__xludf.DUMMYFUNCTION("""COMPUTED_VALUE"""),"T65")</f>
        <v>T65</v>
      </c>
      <c r="C52" t="str">
        <f ca="1">IFERROR(__xludf.DUMMYFUNCTION("""COMPUTED_VALUE"""),"James Hahn")</f>
        <v>James Hahn</v>
      </c>
      <c r="D52">
        <f ca="1">IFERROR(__xludf.DUMMYFUNCTION("""COMPUTED_VALUE"""),16)</f>
        <v>16</v>
      </c>
      <c r="E52">
        <f ca="1">IFERROR(__xludf.DUMMYFUNCTION("""COMPUTED_VALUE"""),0.61)</f>
        <v>0.61</v>
      </c>
      <c r="F52">
        <f ca="1">IFERROR(__xludf.DUMMYFUNCTION("""COMPUTED_VALUE"""),7.326)</f>
        <v>7.3259999999999996</v>
      </c>
      <c r="G52">
        <f ca="1">IFERROR(__xludf.DUMMYFUNCTION("""COMPUTED_VALUE"""),12)</f>
        <v>12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IFERROR(__xludf.DUMMYFUNCTION("""COMPUTED_VALUE"""),19)</f>
        <v>19</v>
      </c>
      <c r="C53" t="str">
        <f ca="1">IFERROR(__xludf.DUMMYFUNCTION("""COMPUTED_VALUE"""),"Maverick McNealy")</f>
        <v>Maverick McNealy</v>
      </c>
      <c r="D53">
        <f ca="1">IFERROR(__xludf.DUMMYFUNCTION("""COMPUTED_VALUE"""),16)</f>
        <v>16</v>
      </c>
      <c r="E53">
        <f ca="1">IFERROR(__xludf.DUMMYFUNCTION("""COMPUTED_VALUE"""),0.606)</f>
        <v>0.60599999999999998</v>
      </c>
      <c r="F53">
        <f ca="1">IFERROR(__xludf.DUMMYFUNCTION("""COMPUTED_VALUE"""),7.271)</f>
        <v>7.2709999999999999</v>
      </c>
      <c r="G53">
        <f ca="1">IFERROR(__xludf.DUMMYFUNCTION("""COMPUTED_VALUE"""),12)</f>
        <v>12</v>
      </c>
    </row>
    <row r="54" spans="1:7" ht="12.75">
      <c r="A54">
        <f ca="1">IFERROR(__xludf.DUMMYFUNCTION("""COMPUTED_VALUE"""),53)</f>
        <v>53</v>
      </c>
      <c r="B54">
        <f ca="1">IFERROR(__xludf.DUMMYFUNCTION("""COMPUTED_VALUE"""),55)</f>
        <v>55</v>
      </c>
      <c r="C54" t="str">
        <f ca="1">IFERROR(__xludf.DUMMYFUNCTION("""COMPUTED_VALUE"""),"Cameron Percy")</f>
        <v>Cameron Percy</v>
      </c>
      <c r="D54">
        <f ca="1">IFERROR(__xludf.DUMMYFUNCTION("""COMPUTED_VALUE"""),16)</f>
        <v>16</v>
      </c>
      <c r="E54">
        <f ca="1">IFERROR(__xludf.DUMMYFUNCTION("""COMPUTED_VALUE"""),0.594)</f>
        <v>0.59399999999999997</v>
      </c>
      <c r="F54">
        <f ca="1">IFERROR(__xludf.DUMMYFUNCTION("""COMPUTED_VALUE"""),4.749)</f>
        <v>4.7489999999999997</v>
      </c>
      <c r="G54">
        <f ca="1">IFERROR(__xludf.DUMMYFUNCTION("""COMPUTED_VALUE"""),8)</f>
        <v>8</v>
      </c>
    </row>
    <row r="55" spans="1:7" ht="12.75">
      <c r="A55">
        <f ca="1">IFERROR(__xludf.DUMMYFUNCTION("""COMPUTED_VALUE"""),54)</f>
        <v>54</v>
      </c>
      <c r="B55">
        <f ca="1">IFERROR(__xludf.DUMMYFUNCTION("""COMPUTED_VALUE"""),56)</f>
        <v>56</v>
      </c>
      <c r="C55" t="str">
        <f ca="1">IFERROR(__xludf.DUMMYFUNCTION("""COMPUTED_VALUE"""),"Brad Kennedy")</f>
        <v>Brad Kennedy</v>
      </c>
      <c r="D55">
        <f ca="1">IFERROR(__xludf.DUMMYFUNCTION("""COMPUTED_VALUE"""),4)</f>
        <v>4</v>
      </c>
      <c r="E55">
        <f ca="1">IFERROR(__xludf.DUMMYFUNCTION("""COMPUTED_VALUE"""),0.593)</f>
        <v>0.59299999999999997</v>
      </c>
      <c r="F55">
        <f ca="1">IFERROR(__xludf.DUMMYFUNCTION("""COMPUTED_VALUE"""),2.372)</f>
        <v>2.3719999999999999</v>
      </c>
      <c r="G55">
        <f ca="1">IFERROR(__xludf.DUMMYFUNCTION("""COMPUTED_VALUE"""),4)</f>
        <v>4</v>
      </c>
    </row>
    <row r="56" spans="1:7" ht="12.75">
      <c r="A56">
        <f ca="1">IFERROR(__xludf.DUMMYFUNCTION("""COMPUTED_VALUE"""),55)</f>
        <v>55</v>
      </c>
      <c r="B56">
        <f ca="1">IFERROR(__xludf.DUMMYFUNCTION("""COMPUTED_VALUE"""),104)</f>
        <v>104</v>
      </c>
      <c r="C56" t="str">
        <f ca="1">IFERROR(__xludf.DUMMYFUNCTION("""COMPUTED_VALUE"""),"Sepp Straka")</f>
        <v>Sepp Straka</v>
      </c>
      <c r="D56">
        <f ca="1">IFERROR(__xludf.DUMMYFUNCTION("""COMPUTED_VALUE"""),22)</f>
        <v>22</v>
      </c>
      <c r="E56">
        <f ca="1">IFERROR(__xludf.DUMMYFUNCTION("""COMPUTED_VALUE"""),0.582)</f>
        <v>0.58199999999999996</v>
      </c>
      <c r="F56">
        <f ca="1">IFERROR(__xludf.DUMMYFUNCTION("""COMPUTED_VALUE"""),8.142)</f>
        <v>8.1419999999999995</v>
      </c>
      <c r="G56">
        <f ca="1">IFERROR(__xludf.DUMMYFUNCTION("""COMPUTED_VALUE"""),14)</f>
        <v>14</v>
      </c>
    </row>
    <row r="57" spans="1:7" ht="12.75">
      <c r="A57" t="str">
        <f ca="1">IFERROR(__xludf.DUMMYFUNCTION("""COMPUTED_VALUE"""),"T56")</f>
        <v>T56</v>
      </c>
      <c r="B57">
        <f ca="1">IFERROR(__xludf.DUMMYFUNCTION("""COMPUTED_VALUE"""),32)</f>
        <v>32</v>
      </c>
      <c r="C57" t="str">
        <f ca="1">IFERROR(__xludf.DUMMYFUNCTION("""COMPUTED_VALUE"""),"Andrew Putnam")</f>
        <v>Andrew Putnam</v>
      </c>
      <c r="D57">
        <f ca="1">IFERROR(__xludf.DUMMYFUNCTION("""COMPUTED_VALUE"""),19)</f>
        <v>19</v>
      </c>
      <c r="E57">
        <f ca="1">IFERROR(__xludf.DUMMYFUNCTION("""COMPUTED_VALUE"""),0.58)</f>
        <v>0.57999999999999996</v>
      </c>
      <c r="F57">
        <f ca="1">IFERROR(__xludf.DUMMYFUNCTION("""COMPUTED_VALUE"""),8.694)</f>
        <v>8.6940000000000008</v>
      </c>
      <c r="G57">
        <f ca="1">IFERROR(__xludf.DUMMYFUNCTION("""COMPUTED_VALUE"""),15)</f>
        <v>15</v>
      </c>
    </row>
    <row r="58" spans="1:7" ht="12.75">
      <c r="A58" t="str">
        <f ca="1">IFERROR(__xludf.DUMMYFUNCTION("""COMPUTED_VALUE"""),"T56")</f>
        <v>T56</v>
      </c>
      <c r="B58">
        <f ca="1">IFERROR(__xludf.DUMMYFUNCTION("""COMPUTED_VALUE"""),89)</f>
        <v>89</v>
      </c>
      <c r="C58" t="str">
        <f ca="1">IFERROR(__xludf.DUMMYFUNCTION("""COMPUTED_VALUE"""),"Erik van Rooyen")</f>
        <v>Erik van Rooyen</v>
      </c>
      <c r="D58">
        <f ca="1">IFERROR(__xludf.DUMMYFUNCTION("""COMPUTED_VALUE"""),10)</f>
        <v>10</v>
      </c>
      <c r="E58">
        <f ca="1">IFERROR(__xludf.DUMMYFUNCTION("""COMPUTED_VALUE"""),0.58)</f>
        <v>0.57999999999999996</v>
      </c>
      <c r="F58">
        <f ca="1">IFERROR(__xludf.DUMMYFUNCTION("""COMPUTED_VALUE"""),5.795)</f>
        <v>5.7949999999999999</v>
      </c>
      <c r="G58">
        <f ca="1">IFERROR(__xludf.DUMMYFUNCTION("""COMPUTED_VALUE"""),10)</f>
        <v>10</v>
      </c>
    </row>
    <row r="59" spans="1:7" ht="12.75">
      <c r="A59">
        <f ca="1">IFERROR(__xludf.DUMMYFUNCTION("""COMPUTED_VALUE"""),58)</f>
        <v>58</v>
      </c>
      <c r="B59">
        <f ca="1">IFERROR(__xludf.DUMMYFUNCTION("""COMPUTED_VALUE"""),58)</f>
        <v>58</v>
      </c>
      <c r="C59" t="str">
        <f ca="1">IFERROR(__xludf.DUMMYFUNCTION("""COMPUTED_VALUE"""),"Seonghyeon Kim")</f>
        <v>Seonghyeon Kim</v>
      </c>
      <c r="D59">
        <f ca="1">IFERROR(__xludf.DUMMYFUNCTION("""COMPUTED_VALUE"""),4)</f>
        <v>4</v>
      </c>
      <c r="E59">
        <f ca="1">IFERROR(__xludf.DUMMYFUNCTION("""COMPUTED_VALUE"""),0.541)</f>
        <v>0.54100000000000004</v>
      </c>
      <c r="F59">
        <f ca="1">IFERROR(__xludf.DUMMYFUNCTION("""COMPUTED_VALUE"""),2.163)</f>
        <v>2.1629999999999998</v>
      </c>
      <c r="G59">
        <f ca="1">IFERROR(__xludf.DUMMYFUNCTION("""COMPUTED_VALUE"""),4)</f>
        <v>4</v>
      </c>
    </row>
    <row r="60" spans="1:7" ht="12.75">
      <c r="A60">
        <f ca="1">IFERROR(__xludf.DUMMYFUNCTION("""COMPUTED_VALUE"""),59)</f>
        <v>59</v>
      </c>
      <c r="B60">
        <f ca="1">IFERROR(__xludf.DUMMYFUNCTION("""COMPUTED_VALUE"""),59)</f>
        <v>59</v>
      </c>
      <c r="C60" t="str">
        <f ca="1">IFERROR(__xludf.DUMMYFUNCTION("""COMPUTED_VALUE"""),"Bryson DeChambeau")</f>
        <v>Bryson DeChambeau</v>
      </c>
      <c r="D60">
        <f ca="1">IFERROR(__xludf.DUMMYFUNCTION("""COMPUTED_VALUE"""),8)</f>
        <v>8</v>
      </c>
      <c r="E60">
        <f ca="1">IFERROR(__xludf.DUMMYFUNCTION("""COMPUTED_VALUE"""),0.54)</f>
        <v>0.54</v>
      </c>
      <c r="F60">
        <f ca="1">IFERROR(__xludf.DUMMYFUNCTION("""COMPUTED_VALUE"""),4.318)</f>
        <v>4.3179999999999996</v>
      </c>
      <c r="G60">
        <f ca="1">IFERROR(__xludf.DUMMYFUNCTION("""COMPUTED_VALUE"""),8)</f>
        <v>8</v>
      </c>
    </row>
    <row r="61" spans="1:7" ht="12.75">
      <c r="A61">
        <f ca="1">IFERROR(__xludf.DUMMYFUNCTION("""COMPUTED_VALUE"""),60)</f>
        <v>60</v>
      </c>
      <c r="B61">
        <f ca="1">IFERROR(__xludf.DUMMYFUNCTION("""COMPUTED_VALUE"""),34)</f>
        <v>34</v>
      </c>
      <c r="C61" t="str">
        <f ca="1">IFERROR(__xludf.DUMMYFUNCTION("""COMPUTED_VALUE"""),"Lanto Griffin")</f>
        <v>Lanto Griffin</v>
      </c>
      <c r="D61">
        <f ca="1">IFERROR(__xludf.DUMMYFUNCTION("""COMPUTED_VALUE"""),18)</f>
        <v>18</v>
      </c>
      <c r="E61">
        <f ca="1">IFERROR(__xludf.DUMMYFUNCTION("""COMPUTED_VALUE"""),0.521)</f>
        <v>0.52100000000000002</v>
      </c>
      <c r="F61">
        <f ca="1">IFERROR(__xludf.DUMMYFUNCTION("""COMPUTED_VALUE"""),9.375)</f>
        <v>9.375</v>
      </c>
      <c r="G61">
        <f ca="1">IFERROR(__xludf.DUMMYFUNCTION("""COMPUTED_VALUE"""),18)</f>
        <v>18</v>
      </c>
    </row>
    <row r="62" spans="1:7" ht="12.75">
      <c r="A62">
        <f ca="1">IFERROR(__xludf.DUMMYFUNCTION("""COMPUTED_VALUE"""),61)</f>
        <v>61</v>
      </c>
      <c r="B62">
        <f ca="1">IFERROR(__xludf.DUMMYFUNCTION("""COMPUTED_VALUE"""),61)</f>
        <v>61</v>
      </c>
      <c r="C62" t="str">
        <f ca="1">IFERROR(__xludf.DUMMYFUNCTION("""COMPUTED_VALUE"""),"Romain Langasque")</f>
        <v>Romain Langasque</v>
      </c>
      <c r="D62">
        <f ca="1">IFERROR(__xludf.DUMMYFUNCTION("""COMPUTED_VALUE"""),4)</f>
        <v>4</v>
      </c>
      <c r="E62">
        <f ca="1">IFERROR(__xludf.DUMMYFUNCTION("""COMPUTED_VALUE"""),0.504)</f>
        <v>0.504</v>
      </c>
      <c r="F62">
        <f ca="1">IFERROR(__xludf.DUMMYFUNCTION("""COMPUTED_VALUE"""),2.015)</f>
        <v>2.0150000000000001</v>
      </c>
      <c r="G62">
        <f ca="1">IFERROR(__xludf.DUMMYFUNCTION("""COMPUTED_VALUE"""),4)</f>
        <v>4</v>
      </c>
    </row>
    <row r="63" spans="1:7" ht="12.75">
      <c r="A63">
        <f ca="1">IFERROR(__xludf.DUMMYFUNCTION("""COMPUTED_VALUE"""),62)</f>
        <v>62</v>
      </c>
      <c r="B63">
        <f ca="1">IFERROR(__xludf.DUMMYFUNCTION("""COMPUTED_VALUE"""),62)</f>
        <v>62</v>
      </c>
      <c r="C63" t="str">
        <f ca="1">IFERROR(__xludf.DUMMYFUNCTION("""COMPUTED_VALUE"""),"Hank Lebioda")</f>
        <v>Hank Lebioda</v>
      </c>
      <c r="D63">
        <f ca="1">IFERROR(__xludf.DUMMYFUNCTION("""COMPUTED_VALUE"""),14)</f>
        <v>14</v>
      </c>
      <c r="E63">
        <f ca="1">IFERROR(__xludf.DUMMYFUNCTION("""COMPUTED_VALUE"""),0.503)</f>
        <v>0.503</v>
      </c>
      <c r="F63">
        <f ca="1">IFERROR(__xludf.DUMMYFUNCTION("""COMPUTED_VALUE"""),3.021)</f>
        <v>3.0209999999999999</v>
      </c>
      <c r="G63">
        <f ca="1">IFERROR(__xludf.DUMMYFUNCTION("""COMPUTED_VALUE"""),6)</f>
        <v>6</v>
      </c>
    </row>
    <row r="64" spans="1:7" ht="12.75">
      <c r="A64">
        <f ca="1">IFERROR(__xludf.DUMMYFUNCTION("""COMPUTED_VALUE"""),63)</f>
        <v>63</v>
      </c>
      <c r="B64">
        <f ca="1">IFERROR(__xludf.DUMMYFUNCTION("""COMPUTED_VALUE"""),47)</f>
        <v>47</v>
      </c>
      <c r="C64" t="str">
        <f ca="1">IFERROR(__xludf.DUMMYFUNCTION("""COMPUTED_VALUE"""),"Patton Kizzire")</f>
        <v>Patton Kizzire</v>
      </c>
      <c r="D64">
        <f ca="1">IFERROR(__xludf.DUMMYFUNCTION("""COMPUTED_VALUE"""),18)</f>
        <v>18</v>
      </c>
      <c r="E64">
        <f ca="1">IFERROR(__xludf.DUMMYFUNCTION("""COMPUTED_VALUE"""),0.484)</f>
        <v>0.48399999999999999</v>
      </c>
      <c r="F64">
        <f ca="1">IFERROR(__xludf.DUMMYFUNCTION("""COMPUTED_VALUE"""),6.771)</f>
        <v>6.7709999999999999</v>
      </c>
      <c r="G64">
        <f ca="1">IFERROR(__xludf.DUMMYFUNCTION("""COMPUTED_VALUE"""),14)</f>
        <v>14</v>
      </c>
    </row>
    <row r="65" spans="1:7" ht="12.75">
      <c r="A65">
        <f ca="1">IFERROR(__xludf.DUMMYFUNCTION("""COMPUTED_VALUE"""),64)</f>
        <v>64</v>
      </c>
      <c r="B65">
        <f ca="1">IFERROR(__xludf.DUMMYFUNCTION("""COMPUTED_VALUE"""),120)</f>
        <v>120</v>
      </c>
      <c r="C65" t="str">
        <f ca="1">IFERROR(__xludf.DUMMYFUNCTION("""COMPUTED_VALUE"""),"Dustin Johnson")</f>
        <v>Dustin Johnson</v>
      </c>
      <c r="D65">
        <f ca="1">IFERROR(__xludf.DUMMYFUNCTION("""COMPUTED_VALUE"""),8)</f>
        <v>8</v>
      </c>
      <c r="E65">
        <f ca="1">IFERROR(__xludf.DUMMYFUNCTION("""COMPUTED_VALUE"""),0.483)</f>
        <v>0.48299999999999998</v>
      </c>
      <c r="F65">
        <f ca="1">IFERROR(__xludf.DUMMYFUNCTION("""COMPUTED_VALUE"""),3.862)</f>
        <v>3.8620000000000001</v>
      </c>
      <c r="G65">
        <f ca="1">IFERROR(__xludf.DUMMYFUNCTION("""COMPUTED_VALUE"""),8)</f>
        <v>8</v>
      </c>
    </row>
    <row r="66" spans="1:7" ht="12.75">
      <c r="A66">
        <f ca="1">IFERROR(__xludf.DUMMYFUNCTION("""COMPUTED_VALUE"""),65)</f>
        <v>65</v>
      </c>
      <c r="B66" t="str">
        <f ca="1">IFERROR(__xludf.DUMMYFUNCTION("""COMPUTED_VALUE"""),"T71")</f>
        <v>T71</v>
      </c>
      <c r="C66" t="str">
        <f ca="1">IFERROR(__xludf.DUMMYFUNCTION("""COMPUTED_VALUE"""),"Beau Hossler")</f>
        <v>Beau Hossler</v>
      </c>
      <c r="D66">
        <f ca="1">IFERROR(__xludf.DUMMYFUNCTION("""COMPUTED_VALUE"""),22)</f>
        <v>22</v>
      </c>
      <c r="E66">
        <f ca="1">IFERROR(__xludf.DUMMYFUNCTION("""COMPUTED_VALUE"""),0.477)</f>
        <v>0.47699999999999998</v>
      </c>
      <c r="F66">
        <f ca="1">IFERROR(__xludf.DUMMYFUNCTION("""COMPUTED_VALUE"""),6.677)</f>
        <v>6.6769999999999996</v>
      </c>
      <c r="G66">
        <f ca="1">IFERROR(__xludf.DUMMYFUNCTION("""COMPUTED_VALUE"""),14)</f>
        <v>14</v>
      </c>
    </row>
    <row r="67" spans="1:7" ht="12.75">
      <c r="A67">
        <f ca="1">IFERROR(__xludf.DUMMYFUNCTION("""COMPUTED_VALUE"""),66)</f>
        <v>66</v>
      </c>
      <c r="B67">
        <f ca="1">IFERROR(__xludf.DUMMYFUNCTION("""COMPUTED_VALUE"""),54)</f>
        <v>54</v>
      </c>
      <c r="C67" t="str">
        <f ca="1">IFERROR(__xludf.DUMMYFUNCTION("""COMPUTED_VALUE"""),"C.T. Pan")</f>
        <v>C.T. Pan</v>
      </c>
      <c r="D67">
        <f ca="1">IFERROR(__xludf.DUMMYFUNCTION("""COMPUTED_VALUE"""),20)</f>
        <v>20</v>
      </c>
      <c r="E67">
        <f ca="1">IFERROR(__xludf.DUMMYFUNCTION("""COMPUTED_VALUE"""),0.466)</f>
        <v>0.46600000000000003</v>
      </c>
      <c r="F67">
        <f ca="1">IFERROR(__xludf.DUMMYFUNCTION("""COMPUTED_VALUE"""),7.449)</f>
        <v>7.4489999999999998</v>
      </c>
      <c r="G67">
        <f ca="1">IFERROR(__xludf.DUMMYFUNCTION("""COMPUTED_VALUE"""),16)</f>
        <v>16</v>
      </c>
    </row>
    <row r="68" spans="1:7" ht="12.75">
      <c r="A68">
        <f ca="1">IFERROR(__xludf.DUMMYFUNCTION("""COMPUTED_VALUE"""),67)</f>
        <v>67</v>
      </c>
      <c r="B68" t="str">
        <f ca="1">IFERROR(__xludf.DUMMYFUNCTION("""COMPUTED_VALUE"""),"T65")</f>
        <v>T65</v>
      </c>
      <c r="C68" t="str">
        <f ca="1">IFERROR(__xludf.DUMMYFUNCTION("""COMPUTED_VALUE"""),"Martin Trainer")</f>
        <v>Martin Trainer</v>
      </c>
      <c r="D68">
        <f ca="1">IFERROR(__xludf.DUMMYFUNCTION("""COMPUTED_VALUE"""),10)</f>
        <v>10</v>
      </c>
      <c r="E68">
        <f ca="1">IFERROR(__xludf.DUMMYFUNCTION("""COMPUTED_VALUE"""),0.464)</f>
        <v>0.46400000000000002</v>
      </c>
      <c r="F68">
        <f ca="1">IFERROR(__xludf.DUMMYFUNCTION("""COMPUTED_VALUE"""),3.709)</f>
        <v>3.7090000000000001</v>
      </c>
      <c r="G68">
        <f ca="1">IFERROR(__xludf.DUMMYFUNCTION("""COMPUTED_VALUE"""),8)</f>
        <v>8</v>
      </c>
    </row>
    <row r="69" spans="1:7" ht="12.75">
      <c r="A69">
        <f ca="1">IFERROR(__xludf.DUMMYFUNCTION("""COMPUTED_VALUE"""),68)</f>
        <v>68</v>
      </c>
      <c r="B69" t="str">
        <f ca="1">IFERROR(__xludf.DUMMYFUNCTION("""COMPUTED_VALUE"""),"T65")</f>
        <v>T65</v>
      </c>
      <c r="C69" t="str">
        <f ca="1">IFERROR(__xludf.DUMMYFUNCTION("""COMPUTED_VALUE"""),"Rory McIlroy")</f>
        <v>Rory McIlroy</v>
      </c>
      <c r="D69">
        <f ca="1">IFERROR(__xludf.DUMMYFUNCTION("""COMPUTED_VALUE"""),12)</f>
        <v>12</v>
      </c>
      <c r="E69">
        <f ca="1">IFERROR(__xludf.DUMMYFUNCTION("""COMPUTED_VALUE"""),0.462)</f>
        <v>0.46200000000000002</v>
      </c>
      <c r="F69">
        <f ca="1">IFERROR(__xludf.DUMMYFUNCTION("""COMPUTED_VALUE"""),5.542)</f>
        <v>5.5419999999999998</v>
      </c>
      <c r="G69">
        <f ca="1">IFERROR(__xludf.DUMMYFUNCTION("""COMPUTED_VALUE"""),12)</f>
        <v>12</v>
      </c>
    </row>
    <row r="70" spans="1:7" ht="12.75">
      <c r="A70">
        <f ca="1">IFERROR(__xludf.DUMMYFUNCTION("""COMPUTED_VALUE"""),69)</f>
        <v>69</v>
      </c>
      <c r="B70">
        <f ca="1">IFERROR(__xludf.DUMMYFUNCTION("""COMPUTED_VALUE"""),46)</f>
        <v>46</v>
      </c>
      <c r="C70" t="str">
        <f ca="1">IFERROR(__xludf.DUMMYFUNCTION("""COMPUTED_VALUE"""),"Kevin Chappell")</f>
        <v>Kevin Chappell</v>
      </c>
      <c r="D70">
        <f ca="1">IFERROR(__xludf.DUMMYFUNCTION("""COMPUTED_VALUE"""),16)</f>
        <v>16</v>
      </c>
      <c r="E70">
        <f ca="1">IFERROR(__xludf.DUMMYFUNCTION("""COMPUTED_VALUE"""),0.447)</f>
        <v>0.44700000000000001</v>
      </c>
      <c r="F70">
        <f ca="1">IFERROR(__xludf.DUMMYFUNCTION("""COMPUTED_VALUE"""),6.254)</f>
        <v>6.2539999999999996</v>
      </c>
      <c r="G70">
        <f ca="1">IFERROR(__xludf.DUMMYFUNCTION("""COMPUTED_VALUE"""),14)</f>
        <v>14</v>
      </c>
    </row>
    <row r="71" spans="1:7" ht="12.75">
      <c r="A71">
        <f ca="1">IFERROR(__xludf.DUMMYFUNCTION("""COMPUTED_VALUE"""),70)</f>
        <v>70</v>
      </c>
      <c r="B71">
        <f ca="1">IFERROR(__xludf.DUMMYFUNCTION("""COMPUTED_VALUE"""),69)</f>
        <v>69</v>
      </c>
      <c r="C71" t="str">
        <f ca="1">IFERROR(__xludf.DUMMYFUNCTION("""COMPUTED_VALUE"""),"Bill Haas")</f>
        <v>Bill Haas</v>
      </c>
      <c r="D71">
        <f ca="1">IFERROR(__xludf.DUMMYFUNCTION("""COMPUTED_VALUE"""),10)</f>
        <v>10</v>
      </c>
      <c r="E71">
        <f ca="1">IFERROR(__xludf.DUMMYFUNCTION("""COMPUTED_VALUE"""),0.444)</f>
        <v>0.44400000000000001</v>
      </c>
      <c r="F71">
        <f ca="1">IFERROR(__xludf.DUMMYFUNCTION("""COMPUTED_VALUE"""),2.662)</f>
        <v>2.6619999999999999</v>
      </c>
      <c r="G71">
        <f ca="1">IFERROR(__xludf.DUMMYFUNCTION("""COMPUTED_VALUE"""),6)</f>
        <v>6</v>
      </c>
    </row>
    <row r="72" spans="1:7" ht="12.75">
      <c r="A72">
        <f ca="1">IFERROR(__xludf.DUMMYFUNCTION("""COMPUTED_VALUE"""),71)</f>
        <v>71</v>
      </c>
      <c r="B72">
        <f ca="1">IFERROR(__xludf.DUMMYFUNCTION("""COMPUTED_VALUE"""),100)</f>
        <v>100</v>
      </c>
      <c r="C72" t="str">
        <f ca="1">IFERROR(__xludf.DUMMYFUNCTION("""COMPUTED_VALUE"""),"Talor Gooch")</f>
        <v>Talor Gooch</v>
      </c>
      <c r="D72">
        <f ca="1">IFERROR(__xludf.DUMMYFUNCTION("""COMPUTED_VALUE"""),20)</f>
        <v>20</v>
      </c>
      <c r="E72">
        <f ca="1">IFERROR(__xludf.DUMMYFUNCTION("""COMPUTED_VALUE"""),0.44)</f>
        <v>0.44</v>
      </c>
      <c r="F72">
        <f ca="1">IFERROR(__xludf.DUMMYFUNCTION("""COMPUTED_VALUE"""),8.791)</f>
        <v>8.7910000000000004</v>
      </c>
      <c r="G72">
        <f ca="1">IFERROR(__xludf.DUMMYFUNCTION("""COMPUTED_VALUE"""),20)</f>
        <v>20</v>
      </c>
    </row>
    <row r="73" spans="1:7" ht="12.75">
      <c r="A73">
        <f ca="1">IFERROR(__xludf.DUMMYFUNCTION("""COMPUTED_VALUE"""),72)</f>
        <v>72</v>
      </c>
      <c r="B73" t="str">
        <f ca="1">IFERROR(__xludf.DUMMYFUNCTION("""COMPUTED_VALUE"""),"T132")</f>
        <v>T132</v>
      </c>
      <c r="C73" t="str">
        <f ca="1">IFERROR(__xludf.DUMMYFUNCTION("""COMPUTED_VALUE"""),"Austin Cook")</f>
        <v>Austin Cook</v>
      </c>
      <c r="D73">
        <f ca="1">IFERROR(__xludf.DUMMYFUNCTION("""COMPUTED_VALUE"""),14)</f>
        <v>14</v>
      </c>
      <c r="E73">
        <f ca="1">IFERROR(__xludf.DUMMYFUNCTION("""COMPUTED_VALUE"""),0.438)</f>
        <v>0.438</v>
      </c>
      <c r="F73">
        <f ca="1">IFERROR(__xludf.DUMMYFUNCTION("""COMPUTED_VALUE"""),6.127)</f>
        <v>6.1269999999999998</v>
      </c>
      <c r="G73">
        <f ca="1">IFERROR(__xludf.DUMMYFUNCTION("""COMPUTED_VALUE"""),14)</f>
        <v>14</v>
      </c>
    </row>
    <row r="74" spans="1:7" ht="12.75">
      <c r="A74">
        <f ca="1">IFERROR(__xludf.DUMMYFUNCTION("""COMPUTED_VALUE"""),73)</f>
        <v>73</v>
      </c>
      <c r="B74">
        <f ca="1">IFERROR(__xludf.DUMMYFUNCTION("""COMPUTED_VALUE"""),70)</f>
        <v>70</v>
      </c>
      <c r="C74" t="str">
        <f ca="1">IFERROR(__xludf.DUMMYFUNCTION("""COMPUTED_VALUE"""),"Matthew Wolff")</f>
        <v>Matthew Wolff</v>
      </c>
      <c r="D74">
        <f ca="1">IFERROR(__xludf.DUMMYFUNCTION("""COMPUTED_VALUE"""),16)</f>
        <v>16</v>
      </c>
      <c r="E74">
        <f ca="1">IFERROR(__xludf.DUMMYFUNCTION("""COMPUTED_VALUE"""),0.436)</f>
        <v>0.436</v>
      </c>
      <c r="F74">
        <f ca="1">IFERROR(__xludf.DUMMYFUNCTION("""COMPUTED_VALUE"""),6.983)</f>
        <v>6.9829999999999997</v>
      </c>
      <c r="G74">
        <f ca="1">IFERROR(__xludf.DUMMYFUNCTION("""COMPUTED_VALUE"""),16)</f>
        <v>16</v>
      </c>
    </row>
    <row r="75" spans="1:7" ht="12.75">
      <c r="A75">
        <f ca="1">IFERROR(__xludf.DUMMYFUNCTION("""COMPUTED_VALUE"""),74)</f>
        <v>74</v>
      </c>
      <c r="B75" t="str">
        <f ca="1">IFERROR(__xludf.DUMMYFUNCTION("""COMPUTED_VALUE"""),"T71")</f>
        <v>T71</v>
      </c>
      <c r="C75" t="str">
        <f ca="1">IFERROR(__xludf.DUMMYFUNCTION("""COMPUTED_VALUE"""),"Richy Werenski")</f>
        <v>Richy Werenski</v>
      </c>
      <c r="D75">
        <f ca="1">IFERROR(__xludf.DUMMYFUNCTION("""COMPUTED_VALUE"""),16)</f>
        <v>16</v>
      </c>
      <c r="E75">
        <f ca="1">IFERROR(__xludf.DUMMYFUNCTION("""COMPUTED_VALUE"""),0.433)</f>
        <v>0.433</v>
      </c>
      <c r="F75">
        <f ca="1">IFERROR(__xludf.DUMMYFUNCTION("""COMPUTED_VALUE"""),6.921)</f>
        <v>6.9210000000000003</v>
      </c>
      <c r="G75">
        <f ca="1">IFERROR(__xludf.DUMMYFUNCTION("""COMPUTED_VALUE"""),16)</f>
        <v>16</v>
      </c>
    </row>
    <row r="76" spans="1:7" ht="12.75">
      <c r="A76">
        <f ca="1">IFERROR(__xludf.DUMMYFUNCTION("""COMPUTED_VALUE"""),75)</f>
        <v>75</v>
      </c>
      <c r="B76">
        <f ca="1">IFERROR(__xludf.DUMMYFUNCTION("""COMPUTED_VALUE"""),74)</f>
        <v>74</v>
      </c>
      <c r="C76" t="str">
        <f ca="1">IFERROR(__xludf.DUMMYFUNCTION("""COMPUTED_VALUE"""),"Chesson Hadley")</f>
        <v>Chesson Hadley</v>
      </c>
      <c r="D76">
        <f ca="1">IFERROR(__xludf.DUMMYFUNCTION("""COMPUTED_VALUE"""),16)</f>
        <v>16</v>
      </c>
      <c r="E76">
        <f ca="1">IFERROR(__xludf.DUMMYFUNCTION("""COMPUTED_VALUE"""),0.42)</f>
        <v>0.42</v>
      </c>
      <c r="F76">
        <f ca="1">IFERROR(__xludf.DUMMYFUNCTION("""COMPUTED_VALUE"""),5.039)</f>
        <v>5.0389999999999997</v>
      </c>
      <c r="G76">
        <f ca="1">IFERROR(__xludf.DUMMYFUNCTION("""COMPUTED_VALUE"""),12)</f>
        <v>12</v>
      </c>
    </row>
    <row r="77" spans="1:7" ht="12.75">
      <c r="A77">
        <f ca="1">IFERROR(__xludf.DUMMYFUNCTION("""COMPUTED_VALUE"""),76)</f>
        <v>76</v>
      </c>
      <c r="B77">
        <f ca="1">IFERROR(__xludf.DUMMYFUNCTION("""COMPUTED_VALUE"""),60)</f>
        <v>60</v>
      </c>
      <c r="C77" t="str">
        <f ca="1">IFERROR(__xludf.DUMMYFUNCTION("""COMPUTED_VALUE"""),"Kevin Streelman")</f>
        <v>Kevin Streelman</v>
      </c>
      <c r="D77">
        <f ca="1">IFERROR(__xludf.DUMMYFUNCTION("""COMPUTED_VALUE"""),18)</f>
        <v>18</v>
      </c>
      <c r="E77">
        <f ca="1">IFERROR(__xludf.DUMMYFUNCTION("""COMPUTED_VALUE"""),0.418)</f>
        <v>0.41799999999999998</v>
      </c>
      <c r="F77">
        <f ca="1">IFERROR(__xludf.DUMMYFUNCTION("""COMPUTED_VALUE"""),7.532)</f>
        <v>7.532</v>
      </c>
      <c r="G77">
        <f ca="1">IFERROR(__xludf.DUMMYFUNCTION("""COMPUTED_VALUE"""),18)</f>
        <v>18</v>
      </c>
    </row>
    <row r="78" spans="1:7" ht="12.75">
      <c r="A78">
        <f ca="1">IFERROR(__xludf.DUMMYFUNCTION("""COMPUTED_VALUE"""),77)</f>
        <v>77</v>
      </c>
      <c r="B78">
        <f ca="1">IFERROR(__xludf.DUMMYFUNCTION("""COMPUTED_VALUE"""),78)</f>
        <v>78</v>
      </c>
      <c r="C78" t="str">
        <f ca="1">IFERROR(__xludf.DUMMYFUNCTION("""COMPUTED_VALUE"""),"Alex Noren")</f>
        <v>Alex Noren</v>
      </c>
      <c r="D78">
        <f ca="1">IFERROR(__xludf.DUMMYFUNCTION("""COMPUTED_VALUE"""),14)</f>
        <v>14</v>
      </c>
      <c r="E78">
        <f ca="1">IFERROR(__xludf.DUMMYFUNCTION("""COMPUTED_VALUE"""),0.409)</f>
        <v>0.40899999999999997</v>
      </c>
      <c r="F78">
        <f ca="1">IFERROR(__xludf.DUMMYFUNCTION("""COMPUTED_VALUE"""),5.728)</f>
        <v>5.7279999999999998</v>
      </c>
      <c r="G78">
        <f ca="1">IFERROR(__xludf.DUMMYFUNCTION("""COMPUTED_VALUE"""),14)</f>
        <v>14</v>
      </c>
    </row>
    <row r="79" spans="1:7" ht="12.75">
      <c r="A79">
        <f ca="1">IFERROR(__xludf.DUMMYFUNCTION("""COMPUTED_VALUE"""),78)</f>
        <v>78</v>
      </c>
      <c r="B79">
        <f ca="1">IFERROR(__xludf.DUMMYFUNCTION("""COMPUTED_VALUE"""),125)</f>
        <v>125</v>
      </c>
      <c r="C79" t="str">
        <f ca="1">IFERROR(__xludf.DUMMYFUNCTION("""COMPUTED_VALUE"""),"Doc Redman")</f>
        <v>Doc Redman</v>
      </c>
      <c r="D79">
        <f ca="1">IFERROR(__xludf.DUMMYFUNCTION("""COMPUTED_VALUE"""),18)</f>
        <v>18</v>
      </c>
      <c r="E79">
        <f ca="1">IFERROR(__xludf.DUMMYFUNCTION("""COMPUTED_VALUE"""),0.388)</f>
        <v>0.38800000000000001</v>
      </c>
      <c r="F79">
        <f ca="1">IFERROR(__xludf.DUMMYFUNCTION("""COMPUTED_VALUE"""),5.432)</f>
        <v>5.4320000000000004</v>
      </c>
      <c r="G79">
        <f ca="1">IFERROR(__xludf.DUMMYFUNCTION("""COMPUTED_VALUE"""),14)</f>
        <v>14</v>
      </c>
    </row>
    <row r="80" spans="1:7" ht="12.75">
      <c r="A80">
        <f ca="1">IFERROR(__xludf.DUMMYFUNCTION("""COMPUTED_VALUE"""),79)</f>
        <v>79</v>
      </c>
      <c r="B80">
        <f ca="1">IFERROR(__xludf.DUMMYFUNCTION("""COMPUTED_VALUE"""),50)</f>
        <v>50</v>
      </c>
      <c r="C80" t="str">
        <f ca="1">IFERROR(__xludf.DUMMYFUNCTION("""COMPUTED_VALUE"""),"Charl Schwartzel")</f>
        <v>Charl Schwartzel</v>
      </c>
      <c r="D80">
        <f ca="1">IFERROR(__xludf.DUMMYFUNCTION("""COMPUTED_VALUE"""),12)</f>
        <v>12</v>
      </c>
      <c r="E80">
        <f ca="1">IFERROR(__xludf.DUMMYFUNCTION("""COMPUTED_VALUE"""),0.367)</f>
        <v>0.36699999999999999</v>
      </c>
      <c r="F80">
        <f ca="1">IFERROR(__xludf.DUMMYFUNCTION("""COMPUTED_VALUE"""),4.405)</f>
        <v>4.4050000000000002</v>
      </c>
      <c r="G80">
        <f ca="1">IFERROR(__xludf.DUMMYFUNCTION("""COMPUTED_VALUE"""),12)</f>
        <v>12</v>
      </c>
    </row>
    <row r="81" spans="1:7" ht="12.75">
      <c r="A81">
        <f ca="1">IFERROR(__xludf.DUMMYFUNCTION("""COMPUTED_VALUE"""),80)</f>
        <v>80</v>
      </c>
      <c r="B81">
        <f ca="1">IFERROR(__xludf.DUMMYFUNCTION("""COMPUTED_VALUE"""),79)</f>
        <v>79</v>
      </c>
      <c r="C81" t="str">
        <f ca="1">IFERROR(__xludf.DUMMYFUNCTION("""COMPUTED_VALUE"""),"Justin Rose")</f>
        <v>Justin Rose</v>
      </c>
      <c r="D81">
        <f ca="1">IFERROR(__xludf.DUMMYFUNCTION("""COMPUTED_VALUE"""),10)</f>
        <v>10</v>
      </c>
      <c r="E81">
        <f ca="1">IFERROR(__xludf.DUMMYFUNCTION("""COMPUTED_VALUE"""),0.361)</f>
        <v>0.36099999999999999</v>
      </c>
      <c r="F81">
        <f ca="1">IFERROR(__xludf.DUMMYFUNCTION("""COMPUTED_VALUE"""),3.612)</f>
        <v>3.6120000000000001</v>
      </c>
      <c r="G81">
        <f ca="1">IFERROR(__xludf.DUMMYFUNCTION("""COMPUTED_VALUE"""),10)</f>
        <v>10</v>
      </c>
    </row>
    <row r="82" spans="1:7" ht="12.75">
      <c r="A82">
        <f ca="1">IFERROR(__xludf.DUMMYFUNCTION("""COMPUTED_VALUE"""),81)</f>
        <v>81</v>
      </c>
      <c r="B82">
        <f ca="1">IFERROR(__xludf.DUMMYFUNCTION("""COMPUTED_VALUE"""),80)</f>
        <v>80</v>
      </c>
      <c r="C82" t="str">
        <f ca="1">IFERROR(__xludf.DUMMYFUNCTION("""COMPUTED_VALUE"""),"Ian Poulter")</f>
        <v>Ian Poulter</v>
      </c>
      <c r="D82">
        <f ca="1">IFERROR(__xludf.DUMMYFUNCTION("""COMPUTED_VALUE"""),6)</f>
        <v>6</v>
      </c>
      <c r="E82">
        <f ca="1">IFERROR(__xludf.DUMMYFUNCTION("""COMPUTED_VALUE"""),0.347)</f>
        <v>0.34699999999999998</v>
      </c>
      <c r="F82">
        <f ca="1">IFERROR(__xludf.DUMMYFUNCTION("""COMPUTED_VALUE"""),2.08)</f>
        <v>2.08</v>
      </c>
      <c r="G82">
        <f ca="1">IFERROR(__xludf.DUMMYFUNCTION("""COMPUTED_VALUE"""),6)</f>
        <v>6</v>
      </c>
    </row>
    <row r="83" spans="1:7" ht="12.75">
      <c r="A83">
        <f ca="1">IFERROR(__xludf.DUMMYFUNCTION("""COMPUTED_VALUE"""),82)</f>
        <v>82</v>
      </c>
      <c r="B83">
        <f ca="1">IFERROR(__xludf.DUMMYFUNCTION("""COMPUTED_VALUE"""),81)</f>
        <v>81</v>
      </c>
      <c r="C83" t="str">
        <f ca="1">IFERROR(__xludf.DUMMYFUNCTION("""COMPUTED_VALUE"""),"Tom Hoge")</f>
        <v>Tom Hoge</v>
      </c>
      <c r="D83">
        <f ca="1">IFERROR(__xludf.DUMMYFUNCTION("""COMPUTED_VALUE"""),22)</f>
        <v>22</v>
      </c>
      <c r="E83">
        <f ca="1">IFERROR(__xludf.DUMMYFUNCTION("""COMPUTED_VALUE"""),0.342)</f>
        <v>0.34200000000000003</v>
      </c>
      <c r="F83">
        <f ca="1">IFERROR(__xludf.DUMMYFUNCTION("""COMPUTED_VALUE"""),7.527)</f>
        <v>7.5270000000000001</v>
      </c>
      <c r="G83">
        <f ca="1">IFERROR(__xludf.DUMMYFUNCTION("""COMPUTED_VALUE"""),22)</f>
        <v>22</v>
      </c>
    </row>
    <row r="84" spans="1:7" ht="12.75">
      <c r="A84">
        <f ca="1">IFERROR(__xludf.DUMMYFUNCTION("""COMPUTED_VALUE"""),83)</f>
        <v>83</v>
      </c>
      <c r="B84">
        <f ca="1">IFERROR(__xludf.DUMMYFUNCTION("""COMPUTED_VALUE"""),52)</f>
        <v>52</v>
      </c>
      <c r="C84" t="str">
        <f ca="1">IFERROR(__xludf.DUMMYFUNCTION("""COMPUTED_VALUE"""),"Stewart Cink")</f>
        <v>Stewart Cink</v>
      </c>
      <c r="D84">
        <f ca="1">IFERROR(__xludf.DUMMYFUNCTION("""COMPUTED_VALUE"""),18)</f>
        <v>18</v>
      </c>
      <c r="E84">
        <f ca="1">IFERROR(__xludf.DUMMYFUNCTION("""COMPUTED_VALUE"""),0.33)</f>
        <v>0.33</v>
      </c>
      <c r="F84">
        <f ca="1">IFERROR(__xludf.DUMMYFUNCTION("""COMPUTED_VALUE"""),4.62)</f>
        <v>4.62</v>
      </c>
      <c r="G84">
        <f ca="1">IFERROR(__xludf.DUMMYFUNCTION("""COMPUTED_VALUE"""),14)</f>
        <v>14</v>
      </c>
    </row>
    <row r="85" spans="1:7" ht="12.75">
      <c r="A85">
        <f ca="1">IFERROR(__xludf.DUMMYFUNCTION("""COMPUTED_VALUE"""),84)</f>
        <v>84</v>
      </c>
      <c r="B85">
        <f ca="1">IFERROR(__xludf.DUMMYFUNCTION("""COMPUTED_VALUE"""),82)</f>
        <v>82</v>
      </c>
      <c r="C85" t="str">
        <f ca="1">IFERROR(__xludf.DUMMYFUNCTION("""COMPUTED_VALUE"""),"Michael Gellerman")</f>
        <v>Michael Gellerman</v>
      </c>
      <c r="D85">
        <f ca="1">IFERROR(__xludf.DUMMYFUNCTION("""COMPUTED_VALUE"""),5)</f>
        <v>5</v>
      </c>
      <c r="E85">
        <f ca="1">IFERROR(__xludf.DUMMYFUNCTION("""COMPUTED_VALUE"""),0.309)</f>
        <v>0.309</v>
      </c>
      <c r="F85">
        <f ca="1">IFERROR(__xludf.DUMMYFUNCTION("""COMPUTED_VALUE"""),0.617)</f>
        <v>0.61699999999999999</v>
      </c>
      <c r="G85">
        <f ca="1">IFERROR(__xludf.DUMMYFUNCTION("""COMPUTED_VALUE"""),2)</f>
        <v>2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IFERROR(__xludf.DUMMYFUNCTION("""COMPUTED_VALUE"""),63)</f>
        <v>63</v>
      </c>
      <c r="C86" t="str">
        <f ca="1">IFERROR(__xludf.DUMMYFUNCTION("""COMPUTED_VALUE"""),"Charley Hoffman")</f>
        <v>Charley Hoffman</v>
      </c>
      <c r="D86">
        <f ca="1">IFERROR(__xludf.DUMMYFUNCTION("""COMPUTED_VALUE"""),20)</f>
        <v>20</v>
      </c>
      <c r="E86">
        <f ca="1">IFERROR(__xludf.DUMMYFUNCTION("""COMPUTED_VALUE"""),0.306)</f>
        <v>0.30599999999999999</v>
      </c>
      <c r="F86">
        <f ca="1">IFERROR(__xludf.DUMMYFUNCTION("""COMPUTED_VALUE"""),4.285)</f>
        <v>4.2850000000000001</v>
      </c>
      <c r="G86">
        <f ca="1">IFERROR(__xludf.DUMMYFUNCTION("""COMPUTED_VALUE"""),14)</f>
        <v>14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IFERROR(__xludf.DUMMYFUNCTION("""COMPUTED_VALUE"""),84)</f>
        <v>84</v>
      </c>
      <c r="C87" t="str">
        <f ca="1">IFERROR(__xludf.DUMMYFUNCTION("""COMPUTED_VALUE"""),"Taylor Pendrith")</f>
        <v>Taylor Pendrith</v>
      </c>
      <c r="D87">
        <f ca="1">IFERROR(__xludf.DUMMYFUNCTION("""COMPUTED_VALUE"""),4)</f>
        <v>4</v>
      </c>
      <c r="E87">
        <f ca="1">IFERROR(__xludf.DUMMYFUNCTION("""COMPUTED_VALUE"""),0.303)</f>
        <v>0.30299999999999999</v>
      </c>
      <c r="F87">
        <f ca="1">IFERROR(__xludf.DUMMYFUNCTION("""COMPUTED_VALUE"""),1.211)</f>
        <v>1.2110000000000001</v>
      </c>
      <c r="G87">
        <f ca="1">IFERROR(__xludf.DUMMYFUNCTION("""COMPUTED_VALUE"""),4)</f>
        <v>4</v>
      </c>
    </row>
    <row r="88" spans="1:7" ht="12.75">
      <c r="A88">
        <f ca="1">IFERROR(__xludf.DUMMYFUNCTION("""COMPUTED_VALUE"""),87)</f>
        <v>87</v>
      </c>
      <c r="B88">
        <f ca="1">IFERROR(__xludf.DUMMYFUNCTION("""COMPUTED_VALUE"""),85)</f>
        <v>85</v>
      </c>
      <c r="C88" t="str">
        <f ca="1">IFERROR(__xludf.DUMMYFUNCTION("""COMPUTED_VALUE"""),"Ryan Blaum")</f>
        <v>Ryan Blaum</v>
      </c>
      <c r="D88">
        <f ca="1">IFERROR(__xludf.DUMMYFUNCTION("""COMPUTED_VALUE"""),8)</f>
        <v>8</v>
      </c>
      <c r="E88">
        <f ca="1">IFERROR(__xludf.DUMMYFUNCTION("""COMPUTED_VALUE"""),0.299)</f>
        <v>0.29899999999999999</v>
      </c>
      <c r="F88">
        <f ca="1">IFERROR(__xludf.DUMMYFUNCTION("""COMPUTED_VALUE"""),1.196)</f>
        <v>1.196</v>
      </c>
      <c r="G88">
        <f ca="1">IFERROR(__xludf.DUMMYFUNCTION("""COMPUTED_VALUE"""),4)</f>
        <v>4</v>
      </c>
    </row>
    <row r="89" spans="1:7" ht="12.75">
      <c r="A89" t="str">
        <f ca="1">IFERROR(__xludf.DUMMYFUNCTION("""COMPUTED_VALUE"""),"T88")</f>
        <v>T88</v>
      </c>
      <c r="B89">
        <f ca="1">IFERROR(__xludf.DUMMYFUNCTION("""COMPUTED_VALUE"""),68)</f>
        <v>68</v>
      </c>
      <c r="C89" t="str">
        <f ca="1">IFERROR(__xludf.DUMMYFUNCTION("""COMPUTED_VALUE"""),"Matt Jones")</f>
        <v>Matt Jones</v>
      </c>
      <c r="D89">
        <f ca="1">IFERROR(__xludf.DUMMYFUNCTION("""COMPUTED_VALUE"""),20)</f>
        <v>20</v>
      </c>
      <c r="E89">
        <f ca="1">IFERROR(__xludf.DUMMYFUNCTION("""COMPUTED_VALUE"""),0.298)</f>
        <v>0.29799999999999999</v>
      </c>
      <c r="F89">
        <f ca="1">IFERROR(__xludf.DUMMYFUNCTION("""COMPUTED_VALUE"""),3.576)</f>
        <v>3.5760000000000001</v>
      </c>
      <c r="G89">
        <f ca="1">IFERROR(__xludf.DUMMYFUNCTION("""COMPUTED_VALUE"""),12)</f>
        <v>12</v>
      </c>
    </row>
    <row r="90" spans="1:7" ht="12.75">
      <c r="A90" t="str">
        <f ca="1">IFERROR(__xludf.DUMMYFUNCTION("""COMPUTED_VALUE"""),"T88")</f>
        <v>T88</v>
      </c>
      <c r="B90">
        <f ca="1">IFERROR(__xludf.DUMMYFUNCTION("""COMPUTED_VALUE"""),86)</f>
        <v>86</v>
      </c>
      <c r="C90" t="str">
        <f ca="1">IFERROR(__xludf.DUMMYFUNCTION("""COMPUTED_VALUE"""),"Tim Wilkinson")</f>
        <v>Tim Wilkinson</v>
      </c>
      <c r="D90">
        <f ca="1">IFERROR(__xludf.DUMMYFUNCTION("""COMPUTED_VALUE"""),12)</f>
        <v>12</v>
      </c>
      <c r="E90">
        <f ca="1">IFERROR(__xludf.DUMMYFUNCTION("""COMPUTED_VALUE"""),0.298)</f>
        <v>0.29799999999999999</v>
      </c>
      <c r="F90">
        <f ca="1">IFERROR(__xludf.DUMMYFUNCTION("""COMPUTED_VALUE"""),1.787)</f>
        <v>1.7869999999999999</v>
      </c>
      <c r="G90">
        <f ca="1">IFERROR(__xludf.DUMMYFUNCTION("""COMPUTED_VALUE"""),6)</f>
        <v>6</v>
      </c>
    </row>
    <row r="91" spans="1:7" ht="12.75">
      <c r="A91">
        <f ca="1">IFERROR(__xludf.DUMMYFUNCTION("""COMPUTED_VALUE"""),90)</f>
        <v>90</v>
      </c>
      <c r="B91">
        <f ca="1">IFERROR(__xludf.DUMMYFUNCTION("""COMPUTED_VALUE"""),77)</f>
        <v>77</v>
      </c>
      <c r="C91" t="str">
        <f ca="1">IFERROR(__xludf.DUMMYFUNCTION("""COMPUTED_VALUE"""),"Lee Westwood")</f>
        <v>Lee Westwood</v>
      </c>
      <c r="D91">
        <f ca="1">IFERROR(__xludf.DUMMYFUNCTION("""COMPUTED_VALUE"""),6)</f>
        <v>6</v>
      </c>
      <c r="E91">
        <f ca="1">IFERROR(__xludf.DUMMYFUNCTION("""COMPUTED_VALUE"""),0.291)</f>
        <v>0.29099999999999998</v>
      </c>
      <c r="F91">
        <f ca="1">IFERROR(__xludf.DUMMYFUNCTION("""COMPUTED_VALUE"""),1.746)</f>
        <v>1.746</v>
      </c>
      <c r="G91">
        <f ca="1">IFERROR(__xludf.DUMMYFUNCTION("""COMPUTED_VALUE"""),6)</f>
        <v>6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IFERROR(__xludf.DUMMYFUNCTION("""COMPUTED_VALUE"""),88)</f>
        <v>88</v>
      </c>
      <c r="C92" t="str">
        <f ca="1">IFERROR(__xludf.DUMMYFUNCTION("""COMPUTED_VALUE"""),"Harry Higgs")</f>
        <v>Harry Higgs</v>
      </c>
      <c r="D92">
        <f ca="1">IFERROR(__xludf.DUMMYFUNCTION("""COMPUTED_VALUE"""),14)</f>
        <v>14</v>
      </c>
      <c r="E92">
        <f ca="1">IFERROR(__xludf.DUMMYFUNCTION("""COMPUTED_VALUE"""),0.29)</f>
        <v>0.28999999999999998</v>
      </c>
      <c r="F92">
        <f ca="1">IFERROR(__xludf.DUMMYFUNCTION("""COMPUTED_VALUE"""),4.054)</f>
        <v>4.0540000000000003</v>
      </c>
      <c r="G92">
        <f ca="1">IFERROR(__xludf.DUMMYFUNCTION("""COMPUTED_VALUE"""),14)</f>
        <v>14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IFERROR(__xludf.DUMMYFUNCTION("""COMPUTED_VALUE"""),91)</f>
        <v>91</v>
      </c>
      <c r="C93" t="str">
        <f ca="1">IFERROR(__xludf.DUMMYFUNCTION("""COMPUTED_VALUE"""),"MJ Daffue")</f>
        <v>MJ Daffue</v>
      </c>
      <c r="D93">
        <f ca="1">IFERROR(__xludf.DUMMYFUNCTION("""COMPUTED_VALUE"""),10)</f>
        <v>10</v>
      </c>
      <c r="E93">
        <f ca="1">IFERROR(__xludf.DUMMYFUNCTION("""COMPUTED_VALUE"""),0.275)</f>
        <v>0.27500000000000002</v>
      </c>
      <c r="F93">
        <f ca="1">IFERROR(__xludf.DUMMYFUNCTION("""COMPUTED_VALUE"""),2.748)</f>
        <v>2.7480000000000002</v>
      </c>
      <c r="G93">
        <f ca="1">IFERROR(__xludf.DUMMYFUNCTION("""COMPUTED_VALUE"""),10)</f>
        <v>10</v>
      </c>
    </row>
    <row r="94" spans="1:7" ht="12.75">
      <c r="A94" t="str">
        <f ca="1">IFERROR(__xludf.DUMMYFUNCTION("""COMPUTED_VALUE"""),"T93")</f>
        <v>T93</v>
      </c>
      <c r="B94">
        <f ca="1">IFERROR(__xludf.DUMMYFUNCTION("""COMPUTED_VALUE"""),126)</f>
        <v>126</v>
      </c>
      <c r="C94" t="str">
        <f ca="1">IFERROR(__xludf.DUMMYFUNCTION("""COMPUTED_VALUE"""),"Sam Ryder")</f>
        <v>Sam Ryder</v>
      </c>
      <c r="D94">
        <f ca="1">IFERROR(__xludf.DUMMYFUNCTION("""COMPUTED_VALUE"""),12)</f>
        <v>12</v>
      </c>
      <c r="E94">
        <f ca="1">IFERROR(__xludf.DUMMYFUNCTION("""COMPUTED_VALUE"""),0.273)</f>
        <v>0.27300000000000002</v>
      </c>
      <c r="F94">
        <f ca="1">IFERROR(__xludf.DUMMYFUNCTION("""COMPUTED_VALUE"""),2.184)</f>
        <v>2.1840000000000002</v>
      </c>
      <c r="G94">
        <f ca="1">IFERROR(__xludf.DUMMYFUNCTION("""COMPUTED_VALUE"""),8)</f>
        <v>8</v>
      </c>
    </row>
    <row r="95" spans="1:7" ht="12.75">
      <c r="A95" t="str">
        <f ca="1">IFERROR(__xludf.DUMMYFUNCTION("""COMPUTED_VALUE"""),"T93")</f>
        <v>T93</v>
      </c>
      <c r="B95" t="str">
        <f ca="1">IFERROR(__xludf.DUMMYFUNCTION("""COMPUTED_VALUE"""),"T92")</f>
        <v>T92</v>
      </c>
      <c r="C95" t="str">
        <f ca="1">IFERROR(__xludf.DUMMYFUNCTION("""COMPUTED_VALUE"""),"Robert Streb")</f>
        <v>Robert Streb</v>
      </c>
      <c r="D95">
        <f ca="1">IFERROR(__xludf.DUMMYFUNCTION("""COMPUTED_VALUE"""),12)</f>
        <v>12</v>
      </c>
      <c r="E95">
        <f ca="1">IFERROR(__xludf.DUMMYFUNCTION("""COMPUTED_VALUE"""),0.273)</f>
        <v>0.27300000000000002</v>
      </c>
      <c r="F95">
        <f ca="1">IFERROR(__xludf.DUMMYFUNCTION("""COMPUTED_VALUE"""),1.093)</f>
        <v>1.093</v>
      </c>
      <c r="G95">
        <f ca="1">IFERROR(__xludf.DUMMYFUNCTION("""COMPUTED_VALUE"""),4)</f>
        <v>4</v>
      </c>
    </row>
    <row r="96" spans="1:7" ht="12.75">
      <c r="A96">
        <f ca="1">IFERROR(__xludf.DUMMYFUNCTION("""COMPUTED_VALUE"""),95)</f>
        <v>95</v>
      </c>
      <c r="B96">
        <f ca="1">IFERROR(__xludf.DUMMYFUNCTION("""COMPUTED_VALUE"""),94)</f>
        <v>94</v>
      </c>
      <c r="C96" t="str">
        <f ca="1">IFERROR(__xludf.DUMMYFUNCTION("""COMPUTED_VALUE"""),"Doug Ghim")</f>
        <v>Doug Ghim</v>
      </c>
      <c r="D96">
        <f ca="1">IFERROR(__xludf.DUMMYFUNCTION("""COMPUTED_VALUE"""),14)</f>
        <v>14</v>
      </c>
      <c r="E96">
        <f ca="1">IFERROR(__xludf.DUMMYFUNCTION("""COMPUTED_VALUE"""),0.248)</f>
        <v>0.248</v>
      </c>
      <c r="F96">
        <f ca="1">IFERROR(__xludf.DUMMYFUNCTION("""COMPUTED_VALUE"""),1.986)</f>
        <v>1.986</v>
      </c>
      <c r="G96">
        <f ca="1">IFERROR(__xludf.DUMMYFUNCTION("""COMPUTED_VALUE"""),8)</f>
        <v>8</v>
      </c>
    </row>
    <row r="97" spans="1:7" ht="12.75">
      <c r="A97">
        <f ca="1">IFERROR(__xludf.DUMMYFUNCTION("""COMPUTED_VALUE"""),96)</f>
        <v>96</v>
      </c>
      <c r="B97">
        <f ca="1">IFERROR(__xludf.DUMMYFUNCTION("""COMPUTED_VALUE"""),96)</f>
        <v>96</v>
      </c>
      <c r="C97" t="str">
        <f ca="1">IFERROR(__xludf.DUMMYFUNCTION("""COMPUTED_VALUE"""),"Ryo Ishikawa")</f>
        <v>Ryo Ishikawa</v>
      </c>
      <c r="D97">
        <f ca="1">IFERROR(__xludf.DUMMYFUNCTION("""COMPUTED_VALUE"""),8)</f>
        <v>8</v>
      </c>
      <c r="E97">
        <f ca="1">IFERROR(__xludf.DUMMYFUNCTION("""COMPUTED_VALUE"""),0.246)</f>
        <v>0.246</v>
      </c>
      <c r="F97">
        <f ca="1">IFERROR(__xludf.DUMMYFUNCTION("""COMPUTED_VALUE"""),1.966)</f>
        <v>1.966</v>
      </c>
      <c r="G97">
        <f ca="1">IFERROR(__xludf.DUMMYFUNCTION("""COMPUTED_VALUE"""),8)</f>
        <v>8</v>
      </c>
    </row>
    <row r="98" spans="1:7" ht="12.75">
      <c r="A98">
        <f ca="1">IFERROR(__xludf.DUMMYFUNCTION("""COMPUTED_VALUE"""),97)</f>
        <v>97</v>
      </c>
      <c r="B98">
        <f ca="1">IFERROR(__xludf.DUMMYFUNCTION("""COMPUTED_VALUE"""),83)</f>
        <v>83</v>
      </c>
      <c r="C98" t="str">
        <f ca="1">IFERROR(__xludf.DUMMYFUNCTION("""COMPUTED_VALUE"""),"Corey Conners")</f>
        <v>Corey Conners</v>
      </c>
      <c r="D98">
        <f ca="1">IFERROR(__xludf.DUMMYFUNCTION("""COMPUTED_VALUE"""),20)</f>
        <v>20</v>
      </c>
      <c r="E98">
        <f ca="1">IFERROR(__xludf.DUMMYFUNCTION("""COMPUTED_VALUE"""),0.226)</f>
        <v>0.22600000000000001</v>
      </c>
      <c r="F98">
        <f ca="1">IFERROR(__xludf.DUMMYFUNCTION("""COMPUTED_VALUE"""),4.06)</f>
        <v>4.0599999999999996</v>
      </c>
      <c r="G98">
        <f ca="1">IFERROR(__xludf.DUMMYFUNCTION("""COMPUTED_VALUE"""),18)</f>
        <v>18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IFERROR(__xludf.DUMMYFUNCTION("""COMPUTED_VALUE"""),134)</f>
        <v>134</v>
      </c>
      <c r="C99" t="str">
        <f ca="1">IFERROR(__xludf.DUMMYFUNCTION("""COMPUTED_VALUE"""),"Tony Finau")</f>
        <v>Tony Finau</v>
      </c>
      <c r="D99">
        <f ca="1">IFERROR(__xludf.DUMMYFUNCTION("""COMPUTED_VALUE"""),12)</f>
        <v>12</v>
      </c>
      <c r="E99">
        <f ca="1">IFERROR(__xludf.DUMMYFUNCTION("""COMPUTED_VALUE"""),0.224)</f>
        <v>0.224</v>
      </c>
      <c r="F99">
        <f ca="1">IFERROR(__xludf.DUMMYFUNCTION("""COMPUTED_VALUE"""),2.686)</f>
        <v>2.6859999999999999</v>
      </c>
      <c r="G99">
        <f ca="1">IFERROR(__xludf.DUMMYFUNCTION("""COMPUTED_VALUE"""),12)</f>
        <v>12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IFERROR(__xludf.DUMMYFUNCTION("""COMPUTED_VALUE"""),113)</f>
        <v>113</v>
      </c>
      <c r="C100" t="str">
        <f ca="1">IFERROR(__xludf.DUMMYFUNCTION("""COMPUTED_VALUE"""),"Will Gordon")</f>
        <v>Will Gordon</v>
      </c>
      <c r="D100">
        <f ca="1">IFERROR(__xludf.DUMMYFUNCTION("""COMPUTED_VALUE"""),20)</f>
        <v>20</v>
      </c>
      <c r="E100">
        <f ca="1">IFERROR(__xludf.DUMMYFUNCTION("""COMPUTED_VALUE"""),0.204)</f>
        <v>0.20399999999999999</v>
      </c>
      <c r="F100">
        <f ca="1">IFERROR(__xludf.DUMMYFUNCTION("""COMPUTED_VALUE"""),2.86)</f>
        <v>2.86</v>
      </c>
      <c r="G100">
        <f ca="1">IFERROR(__xludf.DUMMYFUNCTION("""COMPUTED_VALUE"""),14)</f>
        <v>14</v>
      </c>
    </row>
    <row r="101" spans="1:7" ht="12.75">
      <c r="A101">
        <f ca="1">IFERROR(__xludf.DUMMYFUNCTION("""COMPUTED_VALUE"""),100)</f>
        <v>100</v>
      </c>
      <c r="B101">
        <f ca="1">IFERROR(__xludf.DUMMYFUNCTION("""COMPUTED_VALUE"""),103)</f>
        <v>103</v>
      </c>
      <c r="C101" t="str">
        <f ca="1">IFERROR(__xludf.DUMMYFUNCTION("""COMPUTED_VALUE"""),"Anirban Lahiri")</f>
        <v>Anirban Lahiri</v>
      </c>
      <c r="D101">
        <f ca="1">IFERROR(__xludf.DUMMYFUNCTION("""COMPUTED_VALUE"""),16)</f>
        <v>16</v>
      </c>
      <c r="E101">
        <f ca="1">IFERROR(__xludf.DUMMYFUNCTION("""COMPUTED_VALUE"""),0.198)</f>
        <v>0.19800000000000001</v>
      </c>
      <c r="F101">
        <f ca="1">IFERROR(__xludf.DUMMYFUNCTION("""COMPUTED_VALUE"""),1.585)</f>
        <v>1.585</v>
      </c>
      <c r="G101">
        <f ca="1">IFERROR(__xludf.DUMMYFUNCTION("""COMPUTED_VALUE"""),8)</f>
        <v>8</v>
      </c>
    </row>
    <row r="102" spans="1:7" ht="12.75">
      <c r="A102">
        <f ca="1">IFERROR(__xludf.DUMMYFUNCTION("""COMPUTED_VALUE"""),101)</f>
        <v>101</v>
      </c>
      <c r="B102">
        <f ca="1">IFERROR(__xludf.DUMMYFUNCTION("""COMPUTED_VALUE"""),105)</f>
        <v>105</v>
      </c>
      <c r="C102" t="str">
        <f ca="1">IFERROR(__xludf.DUMMYFUNCTION("""COMPUTED_VALUE"""),"Chris Stroud")</f>
        <v>Chris Stroud</v>
      </c>
      <c r="D102">
        <f ca="1">IFERROR(__xludf.DUMMYFUNCTION("""COMPUTED_VALUE"""),6)</f>
        <v>6</v>
      </c>
      <c r="E102">
        <f ca="1">IFERROR(__xludf.DUMMYFUNCTION("""COMPUTED_VALUE"""),0.188)</f>
        <v>0.188</v>
      </c>
      <c r="F102">
        <f ca="1">IFERROR(__xludf.DUMMYFUNCTION("""COMPUTED_VALUE"""),0.753)</f>
        <v>0.753</v>
      </c>
      <c r="G102">
        <f ca="1">IFERROR(__xludf.DUMMYFUNCTION("""COMPUTED_VALUE"""),4)</f>
        <v>4</v>
      </c>
    </row>
    <row r="103" spans="1:7" ht="12.75">
      <c r="A103" t="str">
        <f ca="1">IFERROR(__xludf.DUMMYFUNCTION("""COMPUTED_VALUE"""),"T102")</f>
        <v>T102</v>
      </c>
      <c r="B103">
        <f ca="1">IFERROR(__xludf.DUMMYFUNCTION("""COMPUTED_VALUE"""),124)</f>
        <v>124</v>
      </c>
      <c r="C103" t="str">
        <f ca="1">IFERROR(__xludf.DUMMYFUNCTION("""COMPUTED_VALUE"""),"Jason Day")</f>
        <v>Jason Day</v>
      </c>
      <c r="D103">
        <f ca="1">IFERROR(__xludf.DUMMYFUNCTION("""COMPUTED_VALUE"""),17)</f>
        <v>17</v>
      </c>
      <c r="E103">
        <f ca="1">IFERROR(__xludf.DUMMYFUNCTION("""COMPUTED_VALUE"""),0.187)</f>
        <v>0.187</v>
      </c>
      <c r="F103">
        <f ca="1">IFERROR(__xludf.DUMMYFUNCTION("""COMPUTED_VALUE"""),3.178)</f>
        <v>3.1779999999999999</v>
      </c>
      <c r="G103">
        <f ca="1">IFERROR(__xludf.DUMMYFUNCTION("""COMPUTED_VALUE"""),17)</f>
        <v>17</v>
      </c>
    </row>
    <row r="104" spans="1:7" ht="12.75">
      <c r="A104" t="str">
        <f ca="1">IFERROR(__xludf.DUMMYFUNCTION("""COMPUTED_VALUE"""),"T102")</f>
        <v>T102</v>
      </c>
      <c r="B104">
        <f ca="1">IFERROR(__xludf.DUMMYFUNCTION("""COMPUTED_VALUE"""),106)</f>
        <v>106</v>
      </c>
      <c r="C104" t="str">
        <f ca="1">IFERROR(__xludf.DUMMYFUNCTION("""COMPUTED_VALUE"""),"Patrick Cantlay")</f>
        <v>Patrick Cantlay</v>
      </c>
      <c r="D104">
        <f ca="1">IFERROR(__xludf.DUMMYFUNCTION("""COMPUTED_VALUE"""),16)</f>
        <v>16</v>
      </c>
      <c r="E104">
        <f ca="1">IFERROR(__xludf.DUMMYFUNCTION("""COMPUTED_VALUE"""),0.187)</f>
        <v>0.187</v>
      </c>
      <c r="F104">
        <f ca="1">IFERROR(__xludf.DUMMYFUNCTION("""COMPUTED_VALUE"""),2.989)</f>
        <v>2.9889999999999999</v>
      </c>
      <c r="G104">
        <f ca="1">IFERROR(__xludf.DUMMYFUNCTION("""COMPUTED_VALUE"""),16)</f>
        <v>16</v>
      </c>
    </row>
    <row r="105" spans="1:7" ht="12.75">
      <c r="A105">
        <f ca="1">IFERROR(__xludf.DUMMYFUNCTION("""COMPUTED_VALUE"""),104)</f>
        <v>104</v>
      </c>
      <c r="B105">
        <f ca="1">IFERROR(__xludf.DUMMYFUNCTION("""COMPUTED_VALUE"""),57)</f>
        <v>57</v>
      </c>
      <c r="C105" t="str">
        <f ca="1">IFERROR(__xludf.DUMMYFUNCTION("""COMPUTED_VALUE"""),"Harold Varner III")</f>
        <v>Harold Varner III</v>
      </c>
      <c r="D105">
        <f ca="1">IFERROR(__xludf.DUMMYFUNCTION("""COMPUTED_VALUE"""),14)</f>
        <v>14</v>
      </c>
      <c r="E105">
        <f ca="1">IFERROR(__xludf.DUMMYFUNCTION("""COMPUTED_VALUE"""),0.181)</f>
        <v>0.18099999999999999</v>
      </c>
      <c r="F105">
        <f ca="1">IFERROR(__xludf.DUMMYFUNCTION("""COMPUTED_VALUE"""),2.177)</f>
        <v>2.177</v>
      </c>
      <c r="G105">
        <f ca="1">IFERROR(__xludf.DUMMYFUNCTION("""COMPUTED_VALUE"""),12)</f>
        <v>12</v>
      </c>
    </row>
    <row r="106" spans="1:7" ht="12.75">
      <c r="A106" t="str">
        <f ca="1">IFERROR(__xludf.DUMMYFUNCTION("""COMPUTED_VALUE"""),"T105")</f>
        <v>T105</v>
      </c>
      <c r="B106">
        <f ca="1">IFERROR(__xludf.DUMMYFUNCTION("""COMPUTED_VALUE"""),107)</f>
        <v>107</v>
      </c>
      <c r="C106" t="str">
        <f ca="1">IFERROR(__xludf.DUMMYFUNCTION("""COMPUTED_VALUE"""),"Takumi Kanaya")</f>
        <v>Takumi Kanaya</v>
      </c>
      <c r="D106">
        <f ca="1">IFERROR(__xludf.DUMMYFUNCTION("""COMPUTED_VALUE"""),6)</f>
        <v>6</v>
      </c>
      <c r="E106">
        <f ca="1">IFERROR(__xludf.DUMMYFUNCTION("""COMPUTED_VALUE"""),0.18)</f>
        <v>0.18</v>
      </c>
      <c r="F106">
        <f ca="1">IFERROR(__xludf.DUMMYFUNCTION("""COMPUTED_VALUE"""),1.08)</f>
        <v>1.08</v>
      </c>
      <c r="G106">
        <f ca="1">IFERROR(__xludf.DUMMYFUNCTION("""COMPUTED_VALUE"""),6)</f>
        <v>6</v>
      </c>
    </row>
    <row r="107" spans="1:7" ht="12.75">
      <c r="A107" t="str">
        <f ca="1">IFERROR(__xludf.DUMMYFUNCTION("""COMPUTED_VALUE"""),"T105")</f>
        <v>T105</v>
      </c>
      <c r="B107">
        <f ca="1">IFERROR(__xludf.DUMMYFUNCTION("""COMPUTED_VALUE"""),75)</f>
        <v>75</v>
      </c>
      <c r="C107" t="str">
        <f ca="1">IFERROR(__xludf.DUMMYFUNCTION("""COMPUTED_VALUE"""),"Sam Burns")</f>
        <v>Sam Burns</v>
      </c>
      <c r="D107">
        <f ca="1">IFERROR(__xludf.DUMMYFUNCTION("""COMPUTED_VALUE"""),18)</f>
        <v>18</v>
      </c>
      <c r="E107">
        <f ca="1">IFERROR(__xludf.DUMMYFUNCTION("""COMPUTED_VALUE"""),0.18)</f>
        <v>0.18</v>
      </c>
      <c r="F107">
        <f ca="1">IFERROR(__xludf.DUMMYFUNCTION("""COMPUTED_VALUE"""),2.518)</f>
        <v>2.5179999999999998</v>
      </c>
      <c r="G107">
        <f ca="1">IFERROR(__xludf.DUMMYFUNCTION("""COMPUTED_VALUE"""),14)</f>
        <v>14</v>
      </c>
    </row>
    <row r="108" spans="1:7" ht="12.75">
      <c r="A108">
        <f ca="1">IFERROR(__xludf.DUMMYFUNCTION("""COMPUTED_VALUE"""),107)</f>
        <v>107</v>
      </c>
      <c r="B108">
        <f ca="1">IFERROR(__xludf.DUMMYFUNCTION("""COMPUTED_VALUE"""),108)</f>
        <v>108</v>
      </c>
      <c r="C108" t="str">
        <f ca="1">IFERROR(__xludf.DUMMYFUNCTION("""COMPUTED_VALUE"""),"Gary Woodland")</f>
        <v>Gary Woodland</v>
      </c>
      <c r="D108">
        <f ca="1">IFERROR(__xludf.DUMMYFUNCTION("""COMPUTED_VALUE"""),6)</f>
        <v>6</v>
      </c>
      <c r="E108">
        <f ca="1">IFERROR(__xludf.DUMMYFUNCTION("""COMPUTED_VALUE"""),0.172)</f>
        <v>0.17199999999999999</v>
      </c>
      <c r="F108">
        <f ca="1">IFERROR(__xludf.DUMMYFUNCTION("""COMPUTED_VALUE"""),1.033)</f>
        <v>1.0329999999999999</v>
      </c>
      <c r="G108">
        <f ca="1">IFERROR(__xludf.DUMMYFUNCTION("""COMPUTED_VALUE"""),6)</f>
        <v>6</v>
      </c>
    </row>
    <row r="109" spans="1:7" ht="12.75">
      <c r="A109">
        <f ca="1">IFERROR(__xludf.DUMMYFUNCTION("""COMPUTED_VALUE"""),108)</f>
        <v>108</v>
      </c>
      <c r="B109">
        <f ca="1">IFERROR(__xludf.DUMMYFUNCTION("""COMPUTED_VALUE"""),109)</f>
        <v>109</v>
      </c>
      <c r="C109" t="str">
        <f ca="1">IFERROR(__xludf.DUMMYFUNCTION("""COMPUTED_VALUE"""),"Abraham Ancer")</f>
        <v>Abraham Ancer</v>
      </c>
      <c r="D109">
        <f ca="1">IFERROR(__xludf.DUMMYFUNCTION("""COMPUTED_VALUE"""),16)</f>
        <v>16</v>
      </c>
      <c r="E109">
        <f ca="1">IFERROR(__xludf.DUMMYFUNCTION("""COMPUTED_VALUE"""),0.162)</f>
        <v>0.16200000000000001</v>
      </c>
      <c r="F109">
        <f ca="1">IFERROR(__xludf.DUMMYFUNCTION("""COMPUTED_VALUE"""),2.596)</f>
        <v>2.5960000000000001</v>
      </c>
      <c r="G109">
        <f ca="1">IFERROR(__xludf.DUMMYFUNCTION("""COMPUTED_VALUE"""),16)</f>
        <v>16</v>
      </c>
    </row>
    <row r="110" spans="1:7" ht="12.75">
      <c r="A110">
        <f ca="1">IFERROR(__xludf.DUMMYFUNCTION("""COMPUTED_VALUE"""),109)</f>
        <v>109</v>
      </c>
      <c r="B110">
        <f ca="1">IFERROR(__xludf.DUMMYFUNCTION("""COMPUTED_VALUE"""),121)</f>
        <v>121</v>
      </c>
      <c r="C110" t="str">
        <f ca="1">IFERROR(__xludf.DUMMYFUNCTION("""COMPUTED_VALUE"""),"Adam Long")</f>
        <v>Adam Long</v>
      </c>
      <c r="D110">
        <f ca="1">IFERROR(__xludf.DUMMYFUNCTION("""COMPUTED_VALUE"""),22)</f>
        <v>22</v>
      </c>
      <c r="E110">
        <f ca="1">IFERROR(__xludf.DUMMYFUNCTION("""COMPUTED_VALUE"""),0.155)</f>
        <v>0.155</v>
      </c>
      <c r="F110">
        <f ca="1">IFERROR(__xludf.DUMMYFUNCTION("""COMPUTED_VALUE"""),2.784)</f>
        <v>2.7839999999999998</v>
      </c>
      <c r="G110">
        <f ca="1">IFERROR(__xludf.DUMMYFUNCTION("""COMPUTED_VALUE"""),18)</f>
        <v>18</v>
      </c>
    </row>
    <row r="111" spans="1:7" ht="12.75">
      <c r="A111">
        <f ca="1">IFERROR(__xludf.DUMMYFUNCTION("""COMPUTED_VALUE"""),110)</f>
        <v>110</v>
      </c>
      <c r="B111">
        <f ca="1">IFERROR(__xludf.DUMMYFUNCTION("""COMPUTED_VALUE"""),110)</f>
        <v>110</v>
      </c>
      <c r="C111" t="str">
        <f ca="1">IFERROR(__xludf.DUMMYFUNCTION("""COMPUTED_VALUE"""),"Kiradech Aphibarnrat")</f>
        <v>Kiradech Aphibarnrat</v>
      </c>
      <c r="D111">
        <f ca="1">IFERROR(__xludf.DUMMYFUNCTION("""COMPUTED_VALUE"""),12)</f>
        <v>12</v>
      </c>
      <c r="E111">
        <f ca="1">IFERROR(__xludf.DUMMYFUNCTION("""COMPUTED_VALUE"""),0.154)</f>
        <v>0.154</v>
      </c>
      <c r="F111">
        <f ca="1">IFERROR(__xludf.DUMMYFUNCTION("""COMPUTED_VALUE"""),0.616)</f>
        <v>0.61599999999999999</v>
      </c>
      <c r="G111">
        <f ca="1">IFERROR(__xludf.DUMMYFUNCTION("""COMPUTED_VALUE"""),4)</f>
        <v>4</v>
      </c>
    </row>
    <row r="112" spans="1:7" ht="12.75">
      <c r="A112">
        <f ca="1">IFERROR(__xludf.DUMMYFUNCTION("""COMPUTED_VALUE"""),111)</f>
        <v>111</v>
      </c>
      <c r="B112">
        <f ca="1">IFERROR(__xludf.DUMMYFUNCTION("""COMPUTED_VALUE"""),111)</f>
        <v>111</v>
      </c>
      <c r="C112" t="str">
        <f ca="1">IFERROR(__xludf.DUMMYFUNCTION("""COMPUTED_VALUE"""),"Ryan Palmer")</f>
        <v>Ryan Palmer</v>
      </c>
      <c r="D112">
        <f ca="1">IFERROR(__xludf.DUMMYFUNCTION("""COMPUTED_VALUE"""),14)</f>
        <v>14</v>
      </c>
      <c r="E112">
        <f ca="1">IFERROR(__xludf.DUMMYFUNCTION("""COMPUTED_VALUE"""),0.151)</f>
        <v>0.151</v>
      </c>
      <c r="F112">
        <f ca="1">IFERROR(__xludf.DUMMYFUNCTION("""COMPUTED_VALUE"""),2.12)</f>
        <v>2.12</v>
      </c>
      <c r="G112">
        <f ca="1">IFERROR(__xludf.DUMMYFUNCTION("""COMPUTED_VALUE"""),14)</f>
        <v>14</v>
      </c>
    </row>
    <row r="113" spans="1:7" ht="12.75">
      <c r="A113">
        <f ca="1">IFERROR(__xludf.DUMMYFUNCTION("""COMPUTED_VALUE"""),112)</f>
        <v>112</v>
      </c>
      <c r="B113">
        <f ca="1">IFERROR(__xludf.DUMMYFUNCTION("""COMPUTED_VALUE"""),112)</f>
        <v>112</v>
      </c>
      <c r="C113" t="str">
        <f ca="1">IFERROR(__xludf.DUMMYFUNCTION("""COMPUTED_VALUE"""),"Joohyung Kim")</f>
        <v>Joohyung Kim</v>
      </c>
      <c r="D113">
        <f ca="1">IFERROR(__xludf.DUMMYFUNCTION("""COMPUTED_VALUE"""),12)</f>
        <v>12</v>
      </c>
      <c r="E113">
        <f ca="1">IFERROR(__xludf.DUMMYFUNCTION("""COMPUTED_VALUE"""),0.146)</f>
        <v>0.14599999999999999</v>
      </c>
      <c r="F113">
        <f ca="1">IFERROR(__xludf.DUMMYFUNCTION("""COMPUTED_VALUE"""),1.166)</f>
        <v>1.1659999999999999</v>
      </c>
      <c r="G113">
        <f ca="1">IFERROR(__xludf.DUMMYFUNCTION("""COMPUTED_VALUE"""),8)</f>
        <v>8</v>
      </c>
    </row>
    <row r="114" spans="1:7" ht="12.75">
      <c r="A114" t="str">
        <f ca="1">IFERROR(__xludf.DUMMYFUNCTION("""COMPUTED_VALUE"""),"T113")</f>
        <v>T113</v>
      </c>
      <c r="B114">
        <f ca="1">IFERROR(__xludf.DUMMYFUNCTION("""COMPUTED_VALUE"""),141)</f>
        <v>141</v>
      </c>
      <c r="C114" t="str">
        <f ca="1">IFERROR(__xludf.DUMMYFUNCTION("""COMPUTED_VALUE"""),"Kelly Kraft")</f>
        <v>Kelly Kraft</v>
      </c>
      <c r="D114">
        <f ca="1">IFERROR(__xludf.DUMMYFUNCTION("""COMPUTED_VALUE"""),14)</f>
        <v>14</v>
      </c>
      <c r="E114">
        <f ca="1">IFERROR(__xludf.DUMMYFUNCTION("""COMPUTED_VALUE"""),0.129)</f>
        <v>0.129</v>
      </c>
      <c r="F114">
        <f ca="1">IFERROR(__xludf.DUMMYFUNCTION("""COMPUTED_VALUE"""),1.033)</f>
        <v>1.0329999999999999</v>
      </c>
      <c r="G114">
        <f ca="1">IFERROR(__xludf.DUMMYFUNCTION("""COMPUTED_VALUE"""),8)</f>
        <v>8</v>
      </c>
    </row>
    <row r="115" spans="1:7" ht="12.75">
      <c r="A115" t="str">
        <f ca="1">IFERROR(__xludf.DUMMYFUNCTION("""COMPUTED_VALUE"""),"T113")</f>
        <v>T113</v>
      </c>
      <c r="B115">
        <f ca="1">IFERROR(__xludf.DUMMYFUNCTION("""COMPUTED_VALUE"""),101)</f>
        <v>101</v>
      </c>
      <c r="C115" t="str">
        <f ca="1">IFERROR(__xludf.DUMMYFUNCTION("""COMPUTED_VALUE"""),"Russell Henley")</f>
        <v>Russell Henley</v>
      </c>
      <c r="D115">
        <f ca="1">IFERROR(__xludf.DUMMYFUNCTION("""COMPUTED_VALUE"""),16)</f>
        <v>16</v>
      </c>
      <c r="E115">
        <f ca="1">IFERROR(__xludf.DUMMYFUNCTION("""COMPUTED_VALUE"""),0.129)</f>
        <v>0.129</v>
      </c>
      <c r="F115">
        <f ca="1">IFERROR(__xludf.DUMMYFUNCTION("""COMPUTED_VALUE"""),2.063)</f>
        <v>2.0630000000000002</v>
      </c>
      <c r="G115">
        <f ca="1">IFERROR(__xludf.DUMMYFUNCTION("""COMPUTED_VALUE"""),16)</f>
        <v>16</v>
      </c>
    </row>
    <row r="116" spans="1:7" ht="12.75">
      <c r="A116">
        <f ca="1">IFERROR(__xludf.DUMMYFUNCTION("""COMPUTED_VALUE"""),115)</f>
        <v>115</v>
      </c>
      <c r="B116" t="str">
        <f ca="1">IFERROR(__xludf.DUMMYFUNCTION("""COMPUTED_VALUE"""),"T92")</f>
        <v>T92</v>
      </c>
      <c r="C116" t="str">
        <f ca="1">IFERROR(__xludf.DUMMYFUNCTION("""COMPUTED_VALUE"""),"Satoshi Kodaira")</f>
        <v>Satoshi Kodaira</v>
      </c>
      <c r="D116">
        <f ca="1">IFERROR(__xludf.DUMMYFUNCTION("""COMPUTED_VALUE"""),12)</f>
        <v>12</v>
      </c>
      <c r="E116">
        <f ca="1">IFERROR(__xludf.DUMMYFUNCTION("""COMPUTED_VALUE"""),0.127)</f>
        <v>0.127</v>
      </c>
      <c r="F116">
        <f ca="1">IFERROR(__xludf.DUMMYFUNCTION("""COMPUTED_VALUE"""),1.526)</f>
        <v>1.526</v>
      </c>
      <c r="G116">
        <f ca="1">IFERROR(__xludf.DUMMYFUNCTION("""COMPUTED_VALUE"""),12)</f>
        <v>12</v>
      </c>
    </row>
    <row r="117" spans="1:7" ht="12.75">
      <c r="A117">
        <f ca="1">IFERROR(__xludf.DUMMYFUNCTION("""COMPUTED_VALUE"""),116)</f>
        <v>116</v>
      </c>
      <c r="B117">
        <f ca="1">IFERROR(__xludf.DUMMYFUNCTION("""COMPUTED_VALUE"""),182)</f>
        <v>182</v>
      </c>
      <c r="C117" t="str">
        <f ca="1">IFERROR(__xludf.DUMMYFUNCTION("""COMPUTED_VALUE"""),"Fabián Gómez")</f>
        <v>Fabián Gómez</v>
      </c>
      <c r="D117">
        <f ca="1">IFERROR(__xludf.DUMMYFUNCTION("""COMPUTED_VALUE"""),16)</f>
        <v>16</v>
      </c>
      <c r="E117">
        <f ca="1">IFERROR(__xludf.DUMMYFUNCTION("""COMPUTED_VALUE"""),0.119)</f>
        <v>0.11899999999999999</v>
      </c>
      <c r="F117">
        <f ca="1">IFERROR(__xludf.DUMMYFUNCTION("""COMPUTED_VALUE"""),1.194)</f>
        <v>1.194</v>
      </c>
      <c r="G117">
        <f ca="1">IFERROR(__xludf.DUMMYFUNCTION("""COMPUTED_VALUE"""),10)</f>
        <v>10</v>
      </c>
    </row>
    <row r="118" spans="1:7" ht="12.75">
      <c r="A118">
        <f ca="1">IFERROR(__xludf.DUMMYFUNCTION("""COMPUTED_VALUE"""),117)</f>
        <v>117</v>
      </c>
      <c r="B118">
        <f ca="1">IFERROR(__xludf.DUMMYFUNCTION("""COMPUTED_VALUE"""),115)</f>
        <v>115</v>
      </c>
      <c r="C118" t="str">
        <f ca="1">IFERROR(__xludf.DUMMYFUNCTION("""COMPUTED_VALUE"""),"Ricky Barnes")</f>
        <v>Ricky Barnes</v>
      </c>
      <c r="D118">
        <f ca="1">IFERROR(__xludf.DUMMYFUNCTION("""COMPUTED_VALUE"""),12)</f>
        <v>12</v>
      </c>
      <c r="E118">
        <f ca="1">IFERROR(__xludf.DUMMYFUNCTION("""COMPUTED_VALUE"""),0.107)</f>
        <v>0.107</v>
      </c>
      <c r="F118">
        <f ca="1">IFERROR(__xludf.DUMMYFUNCTION("""COMPUTED_VALUE"""),0.427)</f>
        <v>0.42699999999999999</v>
      </c>
      <c r="G118">
        <f ca="1">IFERROR(__xludf.DUMMYFUNCTION("""COMPUTED_VALUE"""),4)</f>
        <v>4</v>
      </c>
    </row>
    <row r="119" spans="1:7" ht="12.75">
      <c r="A119">
        <f ca="1">IFERROR(__xludf.DUMMYFUNCTION("""COMPUTED_VALUE"""),118)</f>
        <v>118</v>
      </c>
      <c r="B119">
        <f ca="1">IFERROR(__xludf.DUMMYFUNCTION("""COMPUTED_VALUE"""),90)</f>
        <v>90</v>
      </c>
      <c r="C119" t="str">
        <f ca="1">IFERROR(__xludf.DUMMYFUNCTION("""COMPUTED_VALUE"""),"Shane Lowry")</f>
        <v>Shane Lowry</v>
      </c>
      <c r="D119">
        <f ca="1">IFERROR(__xludf.DUMMYFUNCTION("""COMPUTED_VALUE"""),14)</f>
        <v>14</v>
      </c>
      <c r="E119">
        <f ca="1">IFERROR(__xludf.DUMMYFUNCTION("""COMPUTED_VALUE"""),0.106)</f>
        <v>0.106</v>
      </c>
      <c r="F119">
        <f ca="1">IFERROR(__xludf.DUMMYFUNCTION("""COMPUTED_VALUE"""),1.484)</f>
        <v>1.484</v>
      </c>
      <c r="G119">
        <f ca="1">IFERROR(__xludf.DUMMYFUNCTION("""COMPUTED_VALUE"""),14)</f>
        <v>14</v>
      </c>
    </row>
    <row r="120" spans="1:7" ht="12.75">
      <c r="A120">
        <f ca="1">IFERROR(__xludf.DUMMYFUNCTION("""COMPUTED_VALUE"""),119)</f>
        <v>119</v>
      </c>
      <c r="B120">
        <f ca="1">IFERROR(__xludf.DUMMYFUNCTION("""COMPUTED_VALUE"""),118)</f>
        <v>118</v>
      </c>
      <c r="C120" t="str">
        <f ca="1">IFERROR(__xludf.DUMMYFUNCTION("""COMPUTED_VALUE"""),"Rafael Campos")</f>
        <v>Rafael Campos</v>
      </c>
      <c r="D120">
        <f ca="1">IFERROR(__xludf.DUMMYFUNCTION("""COMPUTED_VALUE"""),6)</f>
        <v>6</v>
      </c>
      <c r="E120">
        <f ca="1">IFERROR(__xludf.DUMMYFUNCTION("""COMPUTED_VALUE"""),0.101)</f>
        <v>0.10100000000000001</v>
      </c>
      <c r="F120">
        <f ca="1">IFERROR(__xludf.DUMMYFUNCTION("""COMPUTED_VALUE"""),0.201)</f>
        <v>0.20100000000000001</v>
      </c>
      <c r="G120">
        <f ca="1">IFERROR(__xludf.DUMMYFUNCTION("""COMPUTED_VALUE"""),2)</f>
        <v>2</v>
      </c>
    </row>
    <row r="121" spans="1:7" ht="12.75">
      <c r="A121">
        <f ca="1">IFERROR(__xludf.DUMMYFUNCTION("""COMPUTED_VALUE"""),120)</f>
        <v>120</v>
      </c>
      <c r="B121">
        <f ca="1">IFERROR(__xludf.DUMMYFUNCTION("""COMPUTED_VALUE"""),119)</f>
        <v>119</v>
      </c>
      <c r="C121" t="str">
        <f ca="1">IFERROR(__xludf.DUMMYFUNCTION("""COMPUTED_VALUE"""),"Chase Seiffert")</f>
        <v>Chase Seiffert</v>
      </c>
      <c r="D121">
        <f ca="1">IFERROR(__xludf.DUMMYFUNCTION("""COMPUTED_VALUE"""),14)</f>
        <v>14</v>
      </c>
      <c r="E121">
        <f ca="1">IFERROR(__xludf.DUMMYFUNCTION("""COMPUTED_VALUE"""),0.098)</f>
        <v>9.8000000000000004E-2</v>
      </c>
      <c r="F121">
        <f ca="1">IFERROR(__xludf.DUMMYFUNCTION("""COMPUTED_VALUE"""),0.785)</f>
        <v>0.78500000000000003</v>
      </c>
      <c r="G121">
        <f ca="1">IFERROR(__xludf.DUMMYFUNCTION("""COMPUTED_VALUE"""),8)</f>
        <v>8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IFERROR(__xludf.DUMMYFUNCTION("""COMPUTED_VALUE"""),87)</f>
        <v>87</v>
      </c>
      <c r="C122" t="str">
        <f ca="1">IFERROR(__xludf.DUMMYFUNCTION("""COMPUTED_VALUE"""),"Jimmy Walker")</f>
        <v>Jimmy Walker</v>
      </c>
      <c r="D122">
        <f ca="1">IFERROR(__xludf.DUMMYFUNCTION("""COMPUTED_VALUE"""),10)</f>
        <v>10</v>
      </c>
      <c r="E122">
        <f ca="1">IFERROR(__xludf.DUMMYFUNCTION("""COMPUTED_VALUE"""),0.096)</f>
        <v>9.6000000000000002E-2</v>
      </c>
      <c r="F122">
        <f ca="1">IFERROR(__xludf.DUMMYFUNCTION("""COMPUTED_VALUE"""),0.956)</f>
        <v>0.95599999999999996</v>
      </c>
      <c r="G122">
        <f ca="1">IFERROR(__xludf.DUMMYFUNCTION("""COMPUTED_VALUE"""),10)</f>
        <v>10</v>
      </c>
    </row>
    <row r="123" spans="1:7" ht="12.75">
      <c r="A123">
        <f ca="1">IFERROR(__xludf.DUMMYFUNCTION("""COMPUTED_VALUE"""),122)</f>
        <v>122</v>
      </c>
      <c r="B123">
        <f ca="1">IFERROR(__xludf.DUMMYFUNCTION("""COMPUTED_VALUE"""),102)</f>
        <v>102</v>
      </c>
      <c r="C123" t="str">
        <f ca="1">IFERROR(__xludf.DUMMYFUNCTION("""COMPUTED_VALUE"""),"Mark Hubbard")</f>
        <v>Mark Hubbard</v>
      </c>
      <c r="D123">
        <f ca="1">IFERROR(__xludf.DUMMYFUNCTION("""COMPUTED_VALUE"""),20)</f>
        <v>20</v>
      </c>
      <c r="E123">
        <f ca="1">IFERROR(__xludf.DUMMYFUNCTION("""COMPUTED_VALUE"""),0.088)</f>
        <v>8.7999999999999995E-2</v>
      </c>
      <c r="F123">
        <f ca="1">IFERROR(__xludf.DUMMYFUNCTION("""COMPUTED_VALUE"""),1.761)</f>
        <v>1.7609999999999999</v>
      </c>
      <c r="G123">
        <f ca="1">IFERROR(__xludf.DUMMYFUNCTION("""COMPUTED_VALUE"""),20)</f>
        <v>20</v>
      </c>
    </row>
    <row r="124" spans="1:7" ht="12.75">
      <c r="A124">
        <f ca="1">IFERROR(__xludf.DUMMYFUNCTION("""COMPUTED_VALUE"""),123)</f>
        <v>123</v>
      </c>
      <c r="B124">
        <f ca="1">IFERROR(__xludf.DUMMYFUNCTION("""COMPUTED_VALUE"""),99)</f>
        <v>99</v>
      </c>
      <c r="C124" t="str">
        <f ca="1">IFERROR(__xludf.DUMMYFUNCTION("""COMPUTED_VALUE"""),"Jordan Spieth")</f>
        <v>Jordan Spieth</v>
      </c>
      <c r="D124">
        <f ca="1">IFERROR(__xludf.DUMMYFUNCTION("""COMPUTED_VALUE"""),14)</f>
        <v>14</v>
      </c>
      <c r="E124">
        <f ca="1">IFERROR(__xludf.DUMMYFUNCTION("""COMPUTED_VALUE"""),0.086)</f>
        <v>8.5999999999999993E-2</v>
      </c>
      <c r="F124">
        <f ca="1">IFERROR(__xludf.DUMMYFUNCTION("""COMPUTED_VALUE"""),1.198)</f>
        <v>1.198</v>
      </c>
      <c r="G124">
        <f ca="1">IFERROR(__xludf.DUMMYFUNCTION("""COMPUTED_VALUE"""),14)</f>
        <v>14</v>
      </c>
    </row>
    <row r="125" spans="1:7" ht="12.75">
      <c r="A125">
        <f ca="1">IFERROR(__xludf.DUMMYFUNCTION("""COMPUTED_VALUE"""),124)</f>
        <v>124</v>
      </c>
      <c r="B125" t="str">
        <f ca="1">IFERROR(__xludf.DUMMYFUNCTION("""COMPUTED_VALUE"""),"")</f>
        <v/>
      </c>
      <c r="C125" t="str">
        <f ca="1">IFERROR(__xludf.DUMMYFUNCTION("""COMPUTED_VALUE"""),"Erik Barnes")</f>
        <v>Erik Barnes</v>
      </c>
      <c r="D125">
        <f ca="1">IFERROR(__xludf.DUMMYFUNCTION("""COMPUTED_VALUE"""),4)</f>
        <v>4</v>
      </c>
      <c r="E125">
        <f ca="1">IFERROR(__xludf.DUMMYFUNCTION("""COMPUTED_VALUE"""),0.078)</f>
        <v>7.8E-2</v>
      </c>
      <c r="F125">
        <f ca="1">IFERROR(__xludf.DUMMYFUNCTION("""COMPUTED_VALUE"""),0.312)</f>
        <v>0.312</v>
      </c>
      <c r="G125">
        <f ca="1">IFERROR(__xludf.DUMMYFUNCTION("""COMPUTED_VALUE"""),4)</f>
        <v>4</v>
      </c>
    </row>
    <row r="126" spans="1:7" ht="12.75">
      <c r="A126">
        <f ca="1">IFERROR(__xludf.DUMMYFUNCTION("""COMPUTED_VALUE"""),125)</f>
        <v>125</v>
      </c>
      <c r="B126">
        <f ca="1">IFERROR(__xludf.DUMMYFUNCTION("""COMPUTED_VALUE"""),123)</f>
        <v>123</v>
      </c>
      <c r="C126" t="str">
        <f ca="1">IFERROR(__xludf.DUMMYFUNCTION("""COMPUTED_VALUE"""),"Sebastián Muñoz")</f>
        <v>Sebastián Muñoz</v>
      </c>
      <c r="D126">
        <f ca="1">IFERROR(__xludf.DUMMYFUNCTION("""COMPUTED_VALUE"""),20)</f>
        <v>20</v>
      </c>
      <c r="E126">
        <f ca="1">IFERROR(__xludf.DUMMYFUNCTION("""COMPUTED_VALUE"""),0.076)</f>
        <v>7.5999999999999998E-2</v>
      </c>
      <c r="F126">
        <f ca="1">IFERROR(__xludf.DUMMYFUNCTION("""COMPUTED_VALUE"""),1.515)</f>
        <v>1.5149999999999999</v>
      </c>
      <c r="G126">
        <f ca="1">IFERROR(__xludf.DUMMYFUNCTION("""COMPUTED_VALUE"""),20)</f>
        <v>20</v>
      </c>
    </row>
    <row r="127" spans="1:7" ht="12.75">
      <c r="A127">
        <f ca="1">IFERROR(__xludf.DUMMYFUNCTION("""COMPUTED_VALUE"""),126)</f>
        <v>126</v>
      </c>
      <c r="B127">
        <f ca="1">IFERROR(__xludf.DUMMYFUNCTION("""COMPUTED_VALUE"""),127)</f>
        <v>127</v>
      </c>
      <c r="C127" t="str">
        <f ca="1">IFERROR(__xludf.DUMMYFUNCTION("""COMPUTED_VALUE"""),"Rob Oppenheim")</f>
        <v>Rob Oppenheim</v>
      </c>
      <c r="D127">
        <f ca="1">IFERROR(__xludf.DUMMYFUNCTION("""COMPUTED_VALUE"""),16)</f>
        <v>16</v>
      </c>
      <c r="E127">
        <f ca="1">IFERROR(__xludf.DUMMYFUNCTION("""COMPUTED_VALUE"""),0.054)</f>
        <v>5.3999999999999999E-2</v>
      </c>
      <c r="F127">
        <f ca="1">IFERROR(__xludf.DUMMYFUNCTION("""COMPUTED_VALUE"""),0.537)</f>
        <v>0.53700000000000003</v>
      </c>
      <c r="G127">
        <f ca="1">IFERROR(__xludf.DUMMYFUNCTION("""COMPUTED_VALUE"""),10)</f>
        <v>10</v>
      </c>
    </row>
    <row r="128" spans="1:7" ht="12.75">
      <c r="A128">
        <f ca="1">IFERROR(__xludf.DUMMYFUNCTION("""COMPUTED_VALUE"""),127)</f>
        <v>127</v>
      </c>
      <c r="B128">
        <f ca="1">IFERROR(__xludf.DUMMYFUNCTION("""COMPUTED_VALUE"""),64)</f>
        <v>64</v>
      </c>
      <c r="C128" t="str">
        <f ca="1">IFERROR(__xludf.DUMMYFUNCTION("""COMPUTED_VALUE"""),"Cameron Davis")</f>
        <v>Cameron Davis</v>
      </c>
      <c r="D128">
        <f ca="1">IFERROR(__xludf.DUMMYFUNCTION("""COMPUTED_VALUE"""),16)</f>
        <v>16</v>
      </c>
      <c r="E128">
        <f ca="1">IFERROR(__xludf.DUMMYFUNCTION("""COMPUTED_VALUE"""),0.049)</f>
        <v>4.9000000000000002E-2</v>
      </c>
      <c r="F128">
        <f ca="1">IFERROR(__xludf.DUMMYFUNCTION("""COMPUTED_VALUE"""),0.788)</f>
        <v>0.78800000000000003</v>
      </c>
      <c r="G128">
        <f ca="1">IFERROR(__xludf.DUMMYFUNCTION("""COMPUTED_VALUE"""),16)</f>
        <v>16</v>
      </c>
    </row>
    <row r="129" spans="1:7" ht="12.75">
      <c r="A129">
        <f ca="1">IFERROR(__xludf.DUMMYFUNCTION("""COMPUTED_VALUE"""),128)</f>
        <v>128</v>
      </c>
      <c r="B129">
        <f ca="1">IFERROR(__xludf.DUMMYFUNCTION("""COMPUTED_VALUE"""),139)</f>
        <v>139</v>
      </c>
      <c r="C129" t="str">
        <f ca="1">IFERROR(__xludf.DUMMYFUNCTION("""COMPUTED_VALUE"""),"Si Woo Kim")</f>
        <v>Si Woo Kim</v>
      </c>
      <c r="D129">
        <f ca="1">IFERROR(__xludf.DUMMYFUNCTION("""COMPUTED_VALUE"""),20)</f>
        <v>20</v>
      </c>
      <c r="E129">
        <f ca="1">IFERROR(__xludf.DUMMYFUNCTION("""COMPUTED_VALUE"""),0.036)</f>
        <v>3.5999999999999997E-2</v>
      </c>
      <c r="F129">
        <f ca="1">IFERROR(__xludf.DUMMYFUNCTION("""COMPUTED_VALUE"""),0.717)</f>
        <v>0.71699999999999997</v>
      </c>
      <c r="G129">
        <f ca="1">IFERROR(__xludf.DUMMYFUNCTION("""COMPUTED_VALUE"""),20)</f>
        <v>20</v>
      </c>
    </row>
    <row r="130" spans="1:7" ht="12.75">
      <c r="A130">
        <f ca="1">IFERROR(__xludf.DUMMYFUNCTION("""COMPUTED_VALUE"""),129)</f>
        <v>129</v>
      </c>
      <c r="B130">
        <f ca="1">IFERROR(__xludf.DUMMYFUNCTION("""COMPUTED_VALUE"""),130)</f>
        <v>130</v>
      </c>
      <c r="C130" t="str">
        <f ca="1">IFERROR(__xludf.DUMMYFUNCTION("""COMPUTED_VALUE"""),"Joel Dahmen")</f>
        <v>Joel Dahmen</v>
      </c>
      <c r="D130">
        <f ca="1">IFERROR(__xludf.DUMMYFUNCTION("""COMPUTED_VALUE"""),18)</f>
        <v>18</v>
      </c>
      <c r="E130">
        <f ca="1">IFERROR(__xludf.DUMMYFUNCTION("""COMPUTED_VALUE"""),0.031)</f>
        <v>3.1E-2</v>
      </c>
      <c r="F130">
        <f ca="1">IFERROR(__xludf.DUMMYFUNCTION("""COMPUTED_VALUE"""),0.566)</f>
        <v>0.56599999999999995</v>
      </c>
      <c r="G130">
        <f ca="1">IFERROR(__xludf.DUMMYFUNCTION("""COMPUTED_VALUE"""),18)</f>
        <v>18</v>
      </c>
    </row>
    <row r="131" spans="1:7" ht="12.75">
      <c r="A131">
        <f ca="1">IFERROR(__xludf.DUMMYFUNCTION("""COMPUTED_VALUE"""),130)</f>
        <v>130</v>
      </c>
      <c r="B131">
        <f ca="1">IFERROR(__xludf.DUMMYFUNCTION("""COMPUTED_VALUE"""),76)</f>
        <v>76</v>
      </c>
      <c r="C131" t="str">
        <f ca="1">IFERROR(__xludf.DUMMYFUNCTION("""COMPUTED_VALUE"""),"Brian Stuard")</f>
        <v>Brian Stuard</v>
      </c>
      <c r="D131">
        <f ca="1">IFERROR(__xludf.DUMMYFUNCTION("""COMPUTED_VALUE"""),18)</f>
        <v>18</v>
      </c>
      <c r="E131">
        <f ca="1">IFERROR(__xludf.DUMMYFUNCTION("""COMPUTED_VALUE"""),0.021)</f>
        <v>2.1000000000000001E-2</v>
      </c>
      <c r="F131">
        <f ca="1">IFERROR(__xludf.DUMMYFUNCTION("""COMPUTED_VALUE"""),0.255)</f>
        <v>0.255</v>
      </c>
      <c r="G131">
        <f ca="1">IFERROR(__xludf.DUMMYFUNCTION("""COMPUTED_VALUE"""),12)</f>
        <v>12</v>
      </c>
    </row>
    <row r="132" spans="1:7" ht="12.75">
      <c r="A132">
        <f ca="1">IFERROR(__xludf.DUMMYFUNCTION("""COMPUTED_VALUE"""),131)</f>
        <v>131</v>
      </c>
      <c r="B132">
        <f ca="1">IFERROR(__xludf.DUMMYFUNCTION("""COMPUTED_VALUE"""),136)</f>
        <v>136</v>
      </c>
      <c r="C132" t="str">
        <f ca="1">IFERROR(__xludf.DUMMYFUNCTION("""COMPUTED_VALUE"""),"Aaron Baddeley")</f>
        <v>Aaron Baddeley</v>
      </c>
      <c r="D132">
        <f ca="1">IFERROR(__xludf.DUMMYFUNCTION("""COMPUTED_VALUE"""),8)</f>
        <v>8</v>
      </c>
      <c r="E132">
        <f ca="1">IFERROR(__xludf.DUMMYFUNCTION("""COMPUTED_VALUE"""),0.02)</f>
        <v>0.02</v>
      </c>
      <c r="F132">
        <f ca="1">IFERROR(__xludf.DUMMYFUNCTION("""COMPUTED_VALUE"""),0.08)</f>
        <v>0.08</v>
      </c>
      <c r="G132">
        <f ca="1">IFERROR(__xludf.DUMMYFUNCTION("""COMPUTED_VALUE"""),4)</f>
        <v>4</v>
      </c>
    </row>
    <row r="133" spans="1:7" ht="12.75">
      <c r="A133">
        <f ca="1">IFERROR(__xludf.DUMMYFUNCTION("""COMPUTED_VALUE"""),132)</f>
        <v>132</v>
      </c>
      <c r="B133" t="str">
        <f ca="1">IFERROR(__xludf.DUMMYFUNCTION("""COMPUTED_VALUE"""),"T137")</f>
        <v>T137</v>
      </c>
      <c r="C133" t="str">
        <f ca="1">IFERROR(__xludf.DUMMYFUNCTION("""COMPUTED_VALUE"""),"Billy Horschel")</f>
        <v>Billy Horschel</v>
      </c>
      <c r="D133">
        <f ca="1">IFERROR(__xludf.DUMMYFUNCTION("""COMPUTED_VALUE"""),12)</f>
        <v>12</v>
      </c>
      <c r="E133">
        <f ca="1">IFERROR(__xludf.DUMMYFUNCTION("""COMPUTED_VALUE"""),0.017)</f>
        <v>1.7000000000000001E-2</v>
      </c>
      <c r="F133">
        <f ca="1">IFERROR(__xludf.DUMMYFUNCTION("""COMPUTED_VALUE"""),0.203)</f>
        <v>0.20300000000000001</v>
      </c>
      <c r="G133">
        <f ca="1">IFERROR(__xludf.DUMMYFUNCTION("""COMPUTED_VALUE"""),12)</f>
        <v>12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IFERROR(__xludf.DUMMYFUNCTION("""COMPUTED_VALUE"""),142)</f>
        <v>142</v>
      </c>
      <c r="C134" t="str">
        <f ca="1">IFERROR(__xludf.DUMMYFUNCTION("""COMPUTED_VALUE"""),"Isaiah Salinda")</f>
        <v>Isaiah Salinda</v>
      </c>
      <c r="D134">
        <f ca="1">IFERROR(__xludf.DUMMYFUNCTION("""COMPUTED_VALUE"""),8)</f>
        <v>8</v>
      </c>
      <c r="E134">
        <f ca="1">IFERROR(__xludf.DUMMYFUNCTION("""COMPUTED_VALUE"""),0.015)</f>
        <v>1.4999999999999999E-2</v>
      </c>
      <c r="F134">
        <f ca="1">IFERROR(__xludf.DUMMYFUNCTION("""COMPUTED_VALUE"""),0.118)</f>
        <v>0.11799999999999999</v>
      </c>
      <c r="G134">
        <f ca="1">IFERROR(__xludf.DUMMYFUNCTION("""COMPUTED_VALUE"""),8)</f>
        <v>8</v>
      </c>
    </row>
    <row r="135" spans="1:7" ht="12.75">
      <c r="A135">
        <f ca="1">IFERROR(__xludf.DUMMYFUNCTION("""COMPUTED_VALUE"""),134)</f>
        <v>134</v>
      </c>
      <c r="B135">
        <f ca="1">IFERROR(__xludf.DUMMYFUNCTION("""COMPUTED_VALUE"""),155)</f>
        <v>155</v>
      </c>
      <c r="C135" t="str">
        <f ca="1">IFERROR(__xludf.DUMMYFUNCTION("""COMPUTED_VALUE"""),"Sungjae Im")</f>
        <v>Sungjae Im</v>
      </c>
      <c r="D135">
        <f ca="1">IFERROR(__xludf.DUMMYFUNCTION("""COMPUTED_VALUE"""),24)</f>
        <v>24</v>
      </c>
      <c r="E135">
        <f ca="1">IFERROR(__xludf.DUMMYFUNCTION("""COMPUTED_VALUE"""),0.012)</f>
        <v>1.2E-2</v>
      </c>
      <c r="F135">
        <f ca="1">IFERROR(__xludf.DUMMYFUNCTION("""COMPUTED_VALUE"""),0.279)</f>
        <v>0.27900000000000003</v>
      </c>
      <c r="G135">
        <f ca="1">IFERROR(__xludf.DUMMYFUNCTION("""COMPUTED_VALUE"""),24)</f>
        <v>24</v>
      </c>
    </row>
    <row r="136" spans="1:7" ht="12.75">
      <c r="A136">
        <f ca="1">IFERROR(__xludf.DUMMYFUNCTION("""COMPUTED_VALUE"""),135)</f>
        <v>135</v>
      </c>
      <c r="B136">
        <f ca="1">IFERROR(__xludf.DUMMYFUNCTION("""COMPUTED_VALUE"""),175)</f>
        <v>175</v>
      </c>
      <c r="C136" t="str">
        <f ca="1">IFERROR(__xludf.DUMMYFUNCTION("""COMPUTED_VALUE"""),"Viktor Hovland")</f>
        <v>Viktor Hovland</v>
      </c>
      <c r="D136">
        <f ca="1">IFERROR(__xludf.DUMMYFUNCTION("""COMPUTED_VALUE"""),16)</f>
        <v>16</v>
      </c>
      <c r="E136">
        <f ca="1">IFERROR(__xludf.DUMMYFUNCTION("""COMPUTED_VALUE"""),0.006)</f>
        <v>6.0000000000000001E-3</v>
      </c>
      <c r="F136">
        <f ca="1">IFERROR(__xludf.DUMMYFUNCTION("""COMPUTED_VALUE"""),0.101)</f>
        <v>0.10100000000000001</v>
      </c>
      <c r="G136">
        <f ca="1">IFERROR(__xludf.DUMMYFUNCTION("""COMPUTED_VALUE"""),16)</f>
        <v>16</v>
      </c>
    </row>
    <row r="137" spans="1:7" ht="12.75">
      <c r="A137">
        <f ca="1">IFERROR(__xludf.DUMMYFUNCTION("""COMPUTED_VALUE"""),136)</f>
        <v>136</v>
      </c>
      <c r="B137" t="str">
        <f ca="1">IFERROR(__xludf.DUMMYFUNCTION("""COMPUTED_VALUE"""),"T97")</f>
        <v>T97</v>
      </c>
      <c r="C137" t="str">
        <f ca="1">IFERROR(__xludf.DUMMYFUNCTION("""COMPUTED_VALUE"""),"Scott Harrington")</f>
        <v>Scott Harrington</v>
      </c>
      <c r="D137">
        <f ca="1">IFERROR(__xludf.DUMMYFUNCTION("""COMPUTED_VALUE"""),18)</f>
        <v>18</v>
      </c>
      <c r="E137">
        <f ca="1">IFERROR(__xludf.DUMMYFUNCTION("""COMPUTED_VALUE"""),0.005)</f>
        <v>5.0000000000000001E-3</v>
      </c>
      <c r="F137">
        <f ca="1">IFERROR(__xludf.DUMMYFUNCTION("""COMPUTED_VALUE"""),0.065)</f>
        <v>6.5000000000000002E-2</v>
      </c>
      <c r="G137">
        <f ca="1">IFERROR(__xludf.DUMMYFUNCTION("""COMPUTED_VALUE"""),12)</f>
        <v>12</v>
      </c>
    </row>
    <row r="138" spans="1:7" ht="12.75">
      <c r="A138">
        <f ca="1">IFERROR(__xludf.DUMMYFUNCTION("""COMPUTED_VALUE"""),137)</f>
        <v>137</v>
      </c>
      <c r="B138">
        <f ca="1">IFERROR(__xludf.DUMMYFUNCTION("""COMPUTED_VALUE"""),201)</f>
        <v>201</v>
      </c>
      <c r="C138" t="str">
        <f ca="1">IFERROR(__xludf.DUMMYFUNCTION("""COMPUTED_VALUE"""),"Bo Van Pelt")</f>
        <v>Bo Van Pelt</v>
      </c>
      <c r="D138">
        <f ca="1">IFERROR(__xludf.DUMMYFUNCTION("""COMPUTED_VALUE"""),10)</f>
        <v>10</v>
      </c>
      <c r="E138">
        <f ca="1">IFERROR(__xludf.DUMMYFUNCTION("""COMPUTED_VALUE"""),0.001)</f>
        <v>1E-3</v>
      </c>
      <c r="F138">
        <f ca="1">IFERROR(__xludf.DUMMYFUNCTION("""COMPUTED_VALUE"""),0.007)</f>
        <v>7.0000000000000001E-3</v>
      </c>
      <c r="G138">
        <f ca="1">IFERROR(__xludf.DUMMYFUNCTION("""COMPUTED_VALUE"""),6)</f>
        <v>6</v>
      </c>
    </row>
    <row r="139" spans="1:7" ht="12.75">
      <c r="A139">
        <f ca="1">IFERROR(__xludf.DUMMYFUNCTION("""COMPUTED_VALUE"""),138)</f>
        <v>138</v>
      </c>
      <c r="B139">
        <f ca="1">IFERROR(__xludf.DUMMYFUNCTION("""COMPUTED_VALUE"""),140)</f>
        <v>140</v>
      </c>
      <c r="C139" t="str">
        <f ca="1">IFERROR(__xludf.DUMMYFUNCTION("""COMPUTED_VALUE"""),"Kevin Kisner")</f>
        <v>Kevin Kisner</v>
      </c>
      <c r="D139">
        <f ca="1">IFERROR(__xludf.DUMMYFUNCTION("""COMPUTED_VALUE"""),10)</f>
        <v>10</v>
      </c>
      <c r="E139">
        <f ca="1">IFERROR(__xludf.DUMMYFUNCTION("""COMPUTED_VALUE"""),-0.003)</f>
        <v>-3.0000000000000001E-3</v>
      </c>
      <c r="F139">
        <f ca="1">IFERROR(__xludf.DUMMYFUNCTION("""COMPUTED_VALUE"""),-0.028)</f>
        <v>-2.8000000000000001E-2</v>
      </c>
      <c r="G139">
        <f ca="1">IFERROR(__xludf.DUMMYFUNCTION("""COMPUTED_VALUE"""),10)</f>
        <v>10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IFERROR(__xludf.DUMMYFUNCTION("""COMPUTED_VALUE"""),143)</f>
        <v>143</v>
      </c>
      <c r="C140" t="str">
        <f ca="1">IFERROR(__xludf.DUMMYFUNCTION("""COMPUTED_VALUE"""),"Will Zalatoris")</f>
        <v>Will Zalatoris</v>
      </c>
      <c r="D140">
        <f ca="1">IFERROR(__xludf.DUMMYFUNCTION("""COMPUTED_VALUE"""),18)</f>
        <v>18</v>
      </c>
      <c r="E140">
        <f ca="1">IFERROR(__xludf.DUMMYFUNCTION("""COMPUTED_VALUE"""),-0.017)</f>
        <v>-1.7000000000000001E-2</v>
      </c>
      <c r="F140">
        <f ca="1">IFERROR(__xludf.DUMMYFUNCTION("""COMPUTED_VALUE"""),-0.167)</f>
        <v>-0.16700000000000001</v>
      </c>
      <c r="G140">
        <f ca="1">IFERROR(__xludf.DUMMYFUNCTION("""COMPUTED_VALUE"""),10)</f>
        <v>10</v>
      </c>
    </row>
    <row r="141" spans="1:7" ht="12.75">
      <c r="A141">
        <f ca="1">IFERROR(__xludf.DUMMYFUNCTION("""COMPUTED_VALUE"""),140)</f>
        <v>140</v>
      </c>
      <c r="B141">
        <f ca="1">IFERROR(__xludf.DUMMYFUNCTION("""COMPUTED_VALUE"""),144)</f>
        <v>144</v>
      </c>
      <c r="C141" t="str">
        <f ca="1">IFERROR(__xludf.DUMMYFUNCTION("""COMPUTED_VALUE"""),"Tommy Fleetwood")</f>
        <v>Tommy Fleetwood</v>
      </c>
      <c r="D141">
        <f ca="1">IFERROR(__xludf.DUMMYFUNCTION("""COMPUTED_VALUE"""),10)</f>
        <v>10</v>
      </c>
      <c r="E141">
        <f ca="1">IFERROR(__xludf.DUMMYFUNCTION("""COMPUTED_VALUE"""),-0.022)</f>
        <v>-2.1999999999999999E-2</v>
      </c>
      <c r="F141">
        <f ca="1">IFERROR(__xludf.DUMMYFUNCTION("""COMPUTED_VALUE"""),-0.219)</f>
        <v>-0.219</v>
      </c>
      <c r="G141">
        <f ca="1">IFERROR(__xludf.DUMMYFUNCTION("""COMPUTED_VALUE"""),10)</f>
        <v>10</v>
      </c>
    </row>
    <row r="142" spans="1:7" ht="12.75">
      <c r="A142">
        <f ca="1">IFERROR(__xludf.DUMMYFUNCTION("""COMPUTED_VALUE"""),141)</f>
        <v>141</v>
      </c>
      <c r="B142">
        <f ca="1">IFERROR(__xludf.DUMMYFUNCTION("""COMPUTED_VALUE"""),145)</f>
        <v>145</v>
      </c>
      <c r="C142" t="str">
        <f ca="1">IFERROR(__xludf.DUMMYFUNCTION("""COMPUTED_VALUE"""),"Nick Taylor")</f>
        <v>Nick Taylor</v>
      </c>
      <c r="D142">
        <f ca="1">IFERROR(__xludf.DUMMYFUNCTION("""COMPUTED_VALUE"""),12)</f>
        <v>12</v>
      </c>
      <c r="E142">
        <f ca="1">IFERROR(__xludf.DUMMYFUNCTION("""COMPUTED_VALUE"""),-0.024)</f>
        <v>-2.4E-2</v>
      </c>
      <c r="F142">
        <f ca="1">IFERROR(__xludf.DUMMYFUNCTION("""COMPUTED_VALUE"""),-0.287)</f>
        <v>-0.28699999999999998</v>
      </c>
      <c r="G142">
        <f ca="1">IFERROR(__xludf.DUMMYFUNCTION("""COMPUTED_VALUE"""),12)</f>
        <v>12</v>
      </c>
    </row>
    <row r="143" spans="1:7" ht="12.75">
      <c r="A143" t="str">
        <f ca="1">IFERROR(__xludf.DUMMYFUNCTION("""COMPUTED_VALUE"""),"T142")</f>
        <v>T142</v>
      </c>
      <c r="B143" t="str">
        <f ca="1">IFERROR(__xludf.DUMMYFUNCTION("""COMPUTED_VALUE"""),"T163")</f>
        <v>T163</v>
      </c>
      <c r="C143" t="str">
        <f ca="1">IFERROR(__xludf.DUMMYFUNCTION("""COMPUTED_VALUE"""),"Scott Stallings")</f>
        <v>Scott Stallings</v>
      </c>
      <c r="D143">
        <f ca="1">IFERROR(__xludf.DUMMYFUNCTION("""COMPUTED_VALUE"""),14)</f>
        <v>14</v>
      </c>
      <c r="E143">
        <f ca="1">IFERROR(__xludf.DUMMYFUNCTION("""COMPUTED_VALUE"""),-0.028)</f>
        <v>-2.8000000000000001E-2</v>
      </c>
      <c r="F143">
        <f ca="1">IFERROR(__xludf.DUMMYFUNCTION("""COMPUTED_VALUE"""),-0.282)</f>
        <v>-0.28199999999999997</v>
      </c>
      <c r="G143">
        <f ca="1">IFERROR(__xludf.DUMMYFUNCTION("""COMPUTED_VALUE"""),10)</f>
        <v>10</v>
      </c>
    </row>
    <row r="144" spans="1:7" ht="12.75">
      <c r="A144" t="str">
        <f ca="1">IFERROR(__xludf.DUMMYFUNCTION("""COMPUTED_VALUE"""),"T142")</f>
        <v>T142</v>
      </c>
      <c r="B144" t="str">
        <f ca="1">IFERROR(__xludf.DUMMYFUNCTION("""COMPUTED_VALUE"""),"T192")</f>
        <v>T192</v>
      </c>
      <c r="C144" t="str">
        <f ca="1">IFERROR(__xludf.DUMMYFUNCTION("""COMPUTED_VALUE"""),"Carlos Ortiz")</f>
        <v>Carlos Ortiz</v>
      </c>
      <c r="D144">
        <f ca="1">IFERROR(__xludf.DUMMYFUNCTION("""COMPUTED_VALUE"""),20)</f>
        <v>20</v>
      </c>
      <c r="E144">
        <f ca="1">IFERROR(__xludf.DUMMYFUNCTION("""COMPUTED_VALUE"""),-0.028)</f>
        <v>-2.8000000000000001E-2</v>
      </c>
      <c r="F144">
        <f ca="1">IFERROR(__xludf.DUMMYFUNCTION("""COMPUTED_VALUE"""),-0.563)</f>
        <v>-0.56299999999999994</v>
      </c>
      <c r="G144">
        <f ca="1">IFERROR(__xludf.DUMMYFUNCTION("""COMPUTED_VALUE"""),20)</f>
        <v>20</v>
      </c>
    </row>
    <row r="145" spans="1:7" ht="12.75">
      <c r="A145" t="str">
        <f ca="1">IFERROR(__xludf.DUMMYFUNCTION("""COMPUTED_VALUE"""),"T144")</f>
        <v>T144</v>
      </c>
      <c r="B145" t="str">
        <f ca="1">IFERROR(__xludf.DUMMYFUNCTION("""COMPUTED_VALUE"""),"T147")</f>
        <v>T147</v>
      </c>
      <c r="C145" t="str">
        <f ca="1">IFERROR(__xludf.DUMMYFUNCTION("""COMPUTED_VALUE"""),"Roger Sloan")</f>
        <v>Roger Sloan</v>
      </c>
      <c r="D145">
        <f ca="1">IFERROR(__xludf.DUMMYFUNCTION("""COMPUTED_VALUE"""),12)</f>
        <v>12</v>
      </c>
      <c r="E145">
        <f ca="1">IFERROR(__xludf.DUMMYFUNCTION("""COMPUTED_VALUE"""),-0.038)</f>
        <v>-3.7999999999999999E-2</v>
      </c>
      <c r="F145">
        <f ca="1">IFERROR(__xludf.DUMMYFUNCTION("""COMPUTED_VALUE"""),-0.227)</f>
        <v>-0.22700000000000001</v>
      </c>
      <c r="G145">
        <f ca="1">IFERROR(__xludf.DUMMYFUNCTION("""COMPUTED_VALUE"""),6)</f>
        <v>6</v>
      </c>
    </row>
    <row r="146" spans="1:7" ht="12.75">
      <c r="A146" t="str">
        <f ca="1">IFERROR(__xludf.DUMMYFUNCTION("""COMPUTED_VALUE"""),"T144")</f>
        <v>T144</v>
      </c>
      <c r="B146" t="str">
        <f ca="1">IFERROR(__xludf.DUMMYFUNCTION("""COMPUTED_VALUE"""),"T147")</f>
        <v>T147</v>
      </c>
      <c r="C146" t="str">
        <f ca="1">IFERROR(__xludf.DUMMYFUNCTION("""COMPUTED_VALUE"""),"Nelson Ledesma")</f>
        <v>Nelson Ledesma</v>
      </c>
      <c r="D146">
        <f ca="1">IFERROR(__xludf.DUMMYFUNCTION("""COMPUTED_VALUE"""),8)</f>
        <v>8</v>
      </c>
      <c r="E146">
        <f ca="1">IFERROR(__xludf.DUMMYFUNCTION("""COMPUTED_VALUE"""),-0.038)</f>
        <v>-3.7999999999999999E-2</v>
      </c>
      <c r="F146">
        <f ca="1">IFERROR(__xludf.DUMMYFUNCTION("""COMPUTED_VALUE"""),-0.154)</f>
        <v>-0.154</v>
      </c>
      <c r="G146">
        <f ca="1">IFERROR(__xludf.DUMMYFUNCTION("""COMPUTED_VALUE"""),4)</f>
        <v>4</v>
      </c>
    </row>
    <row r="147" spans="1:7" ht="12.75">
      <c r="A147">
        <f ca="1">IFERROR(__xludf.DUMMYFUNCTION("""COMPUTED_VALUE"""),146)</f>
        <v>146</v>
      </c>
      <c r="B147">
        <f ca="1">IFERROR(__xludf.DUMMYFUNCTION("""COMPUTED_VALUE"""),149)</f>
        <v>149</v>
      </c>
      <c r="C147" t="str">
        <f ca="1">IFERROR(__xludf.DUMMYFUNCTION("""COMPUTED_VALUE"""),"Adam Hadwin")</f>
        <v>Adam Hadwin</v>
      </c>
      <c r="D147">
        <f ca="1">IFERROR(__xludf.DUMMYFUNCTION("""COMPUTED_VALUE"""),16)</f>
        <v>16</v>
      </c>
      <c r="E147">
        <f ca="1">IFERROR(__xludf.DUMMYFUNCTION("""COMPUTED_VALUE"""),-0.044)</f>
        <v>-4.3999999999999997E-2</v>
      </c>
      <c r="F147">
        <f ca="1">IFERROR(__xludf.DUMMYFUNCTION("""COMPUTED_VALUE"""),-0.704)</f>
        <v>-0.70399999999999996</v>
      </c>
      <c r="G147">
        <f ca="1">IFERROR(__xludf.DUMMYFUNCTION("""COMPUTED_VALUE"""),16)</f>
        <v>16</v>
      </c>
    </row>
    <row r="148" spans="1:7" ht="12.75">
      <c r="A148" t="str">
        <f ca="1">IFERROR(__xludf.DUMMYFUNCTION("""COMPUTED_VALUE"""),"T147")</f>
        <v>T147</v>
      </c>
      <c r="B148" t="str">
        <f ca="1">IFERROR(__xludf.DUMMYFUNCTION("""COMPUTED_VALUE"""),"T211")</f>
        <v>T211</v>
      </c>
      <c r="C148" t="str">
        <f ca="1">IFERROR(__xludf.DUMMYFUNCTION("""COMPUTED_VALUE"""),"Russell Knox")</f>
        <v>Russell Knox</v>
      </c>
      <c r="D148">
        <f ca="1">IFERROR(__xludf.DUMMYFUNCTION("""COMPUTED_VALUE"""),16)</f>
        <v>16</v>
      </c>
      <c r="E148">
        <f ca="1">IFERROR(__xludf.DUMMYFUNCTION("""COMPUTED_VALUE"""),-0.045)</f>
        <v>-4.4999999999999998E-2</v>
      </c>
      <c r="F148">
        <f ca="1">IFERROR(__xludf.DUMMYFUNCTION("""COMPUTED_VALUE"""),-0.543)</f>
        <v>-0.54300000000000004</v>
      </c>
      <c r="G148">
        <f ca="1">IFERROR(__xludf.DUMMYFUNCTION("""COMPUTED_VALUE"""),12)</f>
        <v>12</v>
      </c>
    </row>
    <row r="149" spans="1:7" ht="12.75">
      <c r="A149" t="str">
        <f ca="1">IFERROR(__xludf.DUMMYFUNCTION("""COMPUTED_VALUE"""),"T147")</f>
        <v>T147</v>
      </c>
      <c r="B149" t="str">
        <f ca="1">IFERROR(__xludf.DUMMYFUNCTION("""COMPUTED_VALUE"""),"T150")</f>
        <v>T150</v>
      </c>
      <c r="C149" t="str">
        <f ca="1">IFERROR(__xludf.DUMMYFUNCTION("""COMPUTED_VALUE"""),"Bernd Wiesberger")</f>
        <v>Bernd Wiesberger</v>
      </c>
      <c r="D149">
        <f ca="1">IFERROR(__xludf.DUMMYFUNCTION("""COMPUTED_VALUE"""),4)</f>
        <v>4</v>
      </c>
      <c r="E149">
        <f ca="1">IFERROR(__xludf.DUMMYFUNCTION("""COMPUTED_VALUE"""),-0.045)</f>
        <v>-4.4999999999999998E-2</v>
      </c>
      <c r="F149">
        <f ca="1">IFERROR(__xludf.DUMMYFUNCTION("""COMPUTED_VALUE"""),-0.18)</f>
        <v>-0.18</v>
      </c>
      <c r="G149">
        <f ca="1">IFERROR(__xludf.DUMMYFUNCTION("""COMPUTED_VALUE"""),4)</f>
        <v>4</v>
      </c>
    </row>
    <row r="150" spans="1:7" ht="12.75">
      <c r="A150" t="str">
        <f ca="1">IFERROR(__xludf.DUMMYFUNCTION("""COMPUTED_VALUE"""),"T147")</f>
        <v>T147</v>
      </c>
      <c r="B150" t="str">
        <f ca="1">IFERROR(__xludf.DUMMYFUNCTION("""COMPUTED_VALUE"""),"T150")</f>
        <v>T150</v>
      </c>
      <c r="C150" t="str">
        <f ca="1">IFERROR(__xludf.DUMMYFUNCTION("""COMPUTED_VALUE"""),"Jon Rahm")</f>
        <v>Jon Rahm</v>
      </c>
      <c r="D150">
        <f ca="1">IFERROR(__xludf.DUMMYFUNCTION("""COMPUTED_VALUE"""),12)</f>
        <v>12</v>
      </c>
      <c r="E150">
        <f ca="1">IFERROR(__xludf.DUMMYFUNCTION("""COMPUTED_VALUE"""),-0.045)</f>
        <v>-4.4999999999999998E-2</v>
      </c>
      <c r="F150">
        <f ca="1">IFERROR(__xludf.DUMMYFUNCTION("""COMPUTED_VALUE"""),-0.543)</f>
        <v>-0.54300000000000004</v>
      </c>
      <c r="G150">
        <f ca="1">IFERROR(__xludf.DUMMYFUNCTION("""COMPUTED_VALUE"""),12)</f>
        <v>12</v>
      </c>
    </row>
    <row r="151" spans="1:7" ht="12.75">
      <c r="A151">
        <f ca="1">IFERROR(__xludf.DUMMYFUNCTION("""COMPUTED_VALUE"""),150)</f>
        <v>150</v>
      </c>
      <c r="B151">
        <f ca="1">IFERROR(__xludf.DUMMYFUNCTION("""COMPUTED_VALUE"""),135)</f>
        <v>135</v>
      </c>
      <c r="C151" t="str">
        <f ca="1">IFERROR(__xludf.DUMMYFUNCTION("""COMPUTED_VALUE"""),"Tom Lewis")</f>
        <v>Tom Lewis</v>
      </c>
      <c r="D151">
        <f ca="1">IFERROR(__xludf.DUMMYFUNCTION("""COMPUTED_VALUE"""),12)</f>
        <v>12</v>
      </c>
      <c r="E151">
        <f ca="1">IFERROR(__xludf.DUMMYFUNCTION("""COMPUTED_VALUE"""),-0.069)</f>
        <v>-6.9000000000000006E-2</v>
      </c>
      <c r="F151">
        <f ca="1">IFERROR(__xludf.DUMMYFUNCTION("""COMPUTED_VALUE"""),-0.685)</f>
        <v>-0.68500000000000005</v>
      </c>
      <c r="G151">
        <f ca="1">IFERROR(__xludf.DUMMYFUNCTION("""COMPUTED_VALUE"""),10)</f>
        <v>10</v>
      </c>
    </row>
    <row r="152" spans="1:7" ht="12.75">
      <c r="A152">
        <f ca="1">IFERROR(__xludf.DUMMYFUNCTION("""COMPUTED_VALUE"""),151)</f>
        <v>151</v>
      </c>
      <c r="B152">
        <f ca="1">IFERROR(__xludf.DUMMYFUNCTION("""COMPUTED_VALUE"""),194)</f>
        <v>194</v>
      </c>
      <c r="C152" t="str">
        <f ca="1">IFERROR(__xludf.DUMMYFUNCTION("""COMPUTED_VALUE"""),"Aaron Wise")</f>
        <v>Aaron Wise</v>
      </c>
      <c r="D152">
        <f ca="1">IFERROR(__xludf.DUMMYFUNCTION("""COMPUTED_VALUE"""),16)</f>
        <v>16</v>
      </c>
      <c r="E152">
        <f ca="1">IFERROR(__xludf.DUMMYFUNCTION("""COMPUTED_VALUE"""),-0.074)</f>
        <v>-7.3999999999999996E-2</v>
      </c>
      <c r="F152">
        <f ca="1">IFERROR(__xludf.DUMMYFUNCTION("""COMPUTED_VALUE"""),-0.888)</f>
        <v>-0.88800000000000001</v>
      </c>
      <c r="G152">
        <f ca="1">IFERROR(__xludf.DUMMYFUNCTION("""COMPUTED_VALUE"""),12)</f>
        <v>12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IFERROR(__xludf.DUMMYFUNCTION("""COMPUTED_VALUE"""),"T97")</f>
        <v>T97</v>
      </c>
      <c r="C153" t="str">
        <f ca="1">IFERROR(__xludf.DUMMYFUNCTION("""COMPUTED_VALUE"""),"Matthew NeSmith")</f>
        <v>Matthew NeSmith</v>
      </c>
      <c r="D153">
        <f ca="1">IFERROR(__xludf.DUMMYFUNCTION("""COMPUTED_VALUE"""),16)</f>
        <v>16</v>
      </c>
      <c r="E153">
        <f ca="1">IFERROR(__xludf.DUMMYFUNCTION("""COMPUTED_VALUE"""),-0.077)</f>
        <v>-7.6999999999999999E-2</v>
      </c>
      <c r="F153">
        <f ca="1">IFERROR(__xludf.DUMMYFUNCTION("""COMPUTED_VALUE"""),-0.922)</f>
        <v>-0.92200000000000004</v>
      </c>
      <c r="G153">
        <f ca="1">IFERROR(__xludf.DUMMYFUNCTION("""COMPUTED_VALUE"""),12)</f>
        <v>12</v>
      </c>
    </row>
    <row r="154" spans="1:7" ht="12.75">
      <c r="A154" t="str">
        <f ca="1">IFERROR(__xludf.DUMMYFUNCTION("""COMPUTED_VALUE"""),"T152")</f>
        <v>T152</v>
      </c>
      <c r="B154">
        <f ca="1">IFERROR(__xludf.DUMMYFUNCTION("""COMPUTED_VALUE"""),195)</f>
        <v>195</v>
      </c>
      <c r="C154" t="str">
        <f ca="1">IFERROR(__xludf.DUMMYFUNCTION("""COMPUTED_VALUE"""),"Hideki Matsuyama")</f>
        <v>Hideki Matsuyama</v>
      </c>
      <c r="D154">
        <f ca="1">IFERROR(__xludf.DUMMYFUNCTION("""COMPUTED_VALUE"""),18)</f>
        <v>18</v>
      </c>
      <c r="E154">
        <f ca="1">IFERROR(__xludf.DUMMYFUNCTION("""COMPUTED_VALUE"""),-0.077)</f>
        <v>-7.6999999999999999E-2</v>
      </c>
      <c r="F154">
        <f ca="1">IFERROR(__xludf.DUMMYFUNCTION("""COMPUTED_VALUE"""),-1.38)</f>
        <v>-1.38</v>
      </c>
      <c r="G154">
        <f ca="1">IFERROR(__xludf.DUMMYFUNCTION("""COMPUTED_VALUE"""),18)</f>
        <v>18</v>
      </c>
    </row>
    <row r="155" spans="1:7" ht="12.75">
      <c r="A155">
        <f ca="1">IFERROR(__xludf.DUMMYFUNCTION("""COMPUTED_VALUE"""),154)</f>
        <v>154</v>
      </c>
      <c r="B155">
        <f ca="1">IFERROR(__xludf.DUMMYFUNCTION("""COMPUTED_VALUE"""),174)</f>
        <v>174</v>
      </c>
      <c r="C155" t="str">
        <f ca="1">IFERROR(__xludf.DUMMYFUNCTION("""COMPUTED_VALUE"""),"Troy Merritt")</f>
        <v>Troy Merritt</v>
      </c>
      <c r="D155">
        <f ca="1">IFERROR(__xludf.DUMMYFUNCTION("""COMPUTED_VALUE"""),20)</f>
        <v>20</v>
      </c>
      <c r="E155">
        <f ca="1">IFERROR(__xludf.DUMMYFUNCTION("""COMPUTED_VALUE"""),-0.084)</f>
        <v>-8.4000000000000005E-2</v>
      </c>
      <c r="F155">
        <f ca="1">IFERROR(__xludf.DUMMYFUNCTION("""COMPUTED_VALUE"""),-1.351)</f>
        <v>-1.351</v>
      </c>
      <c r="G155">
        <f ca="1">IFERROR(__xludf.DUMMYFUNCTION("""COMPUTED_VALUE"""),16)</f>
        <v>16</v>
      </c>
    </row>
    <row r="156" spans="1:7" ht="12.75">
      <c r="A156">
        <f ca="1">IFERROR(__xludf.DUMMYFUNCTION("""COMPUTED_VALUE"""),155)</f>
        <v>155</v>
      </c>
      <c r="B156">
        <f ca="1">IFERROR(__xludf.DUMMYFUNCTION("""COMPUTED_VALUE"""),180)</f>
        <v>180</v>
      </c>
      <c r="C156" t="str">
        <f ca="1">IFERROR(__xludf.DUMMYFUNCTION("""COMPUTED_VALUE"""),"Scottie Scheffler")</f>
        <v>Scottie Scheffler</v>
      </c>
      <c r="D156">
        <f ca="1">IFERROR(__xludf.DUMMYFUNCTION("""COMPUTED_VALUE"""),18)</f>
        <v>18</v>
      </c>
      <c r="E156">
        <f ca="1">IFERROR(__xludf.DUMMYFUNCTION("""COMPUTED_VALUE"""),-0.085)</f>
        <v>-8.5000000000000006E-2</v>
      </c>
      <c r="F156">
        <f ca="1">IFERROR(__xludf.DUMMYFUNCTION("""COMPUTED_VALUE"""),-1.526)</f>
        <v>-1.526</v>
      </c>
      <c r="G156">
        <f ca="1">IFERROR(__xludf.DUMMYFUNCTION("""COMPUTED_VALUE"""),18)</f>
        <v>18</v>
      </c>
    </row>
    <row r="157" spans="1:7" ht="12.75">
      <c r="A157">
        <f ca="1">IFERROR(__xludf.DUMMYFUNCTION("""COMPUTED_VALUE"""),156)</f>
        <v>156</v>
      </c>
      <c r="B157" t="str">
        <f ca="1">IFERROR(__xludf.DUMMYFUNCTION("""COMPUTED_VALUE"""),"T132")</f>
        <v>T132</v>
      </c>
      <c r="C157" t="str">
        <f ca="1">IFERROR(__xludf.DUMMYFUNCTION("""COMPUTED_VALUE"""),"Pat Perez")</f>
        <v>Pat Perez</v>
      </c>
      <c r="D157">
        <f ca="1">IFERROR(__xludf.DUMMYFUNCTION("""COMPUTED_VALUE"""),16)</f>
        <v>16</v>
      </c>
      <c r="E157">
        <f ca="1">IFERROR(__xludf.DUMMYFUNCTION("""COMPUTED_VALUE"""),-0.087)</f>
        <v>-8.6999999999999994E-2</v>
      </c>
      <c r="F157">
        <f ca="1">IFERROR(__xludf.DUMMYFUNCTION("""COMPUTED_VALUE"""),-0.872)</f>
        <v>-0.872</v>
      </c>
      <c r="G157">
        <f ca="1">IFERROR(__xludf.DUMMYFUNCTION("""COMPUTED_VALUE"""),10)</f>
        <v>10</v>
      </c>
    </row>
    <row r="158" spans="1:7" ht="12.75">
      <c r="A158">
        <f ca="1">IFERROR(__xludf.DUMMYFUNCTION("""COMPUTED_VALUE"""),157)</f>
        <v>157</v>
      </c>
      <c r="B158">
        <f ca="1">IFERROR(__xludf.DUMMYFUNCTION("""COMPUTED_VALUE"""),114)</f>
        <v>114</v>
      </c>
      <c r="C158" t="str">
        <f ca="1">IFERROR(__xludf.DUMMYFUNCTION("""COMPUTED_VALUE"""),"Jhonattan Vegas")</f>
        <v>Jhonattan Vegas</v>
      </c>
      <c r="D158">
        <f ca="1">IFERROR(__xludf.DUMMYFUNCTION("""COMPUTED_VALUE"""),16)</f>
        <v>16</v>
      </c>
      <c r="E158">
        <f ca="1">IFERROR(__xludf.DUMMYFUNCTION("""COMPUTED_VALUE"""),-0.109)</f>
        <v>-0.109</v>
      </c>
      <c r="F158">
        <f ca="1">IFERROR(__xludf.DUMMYFUNCTION("""COMPUTED_VALUE"""),-1.092)</f>
        <v>-1.0920000000000001</v>
      </c>
      <c r="G158">
        <f ca="1">IFERROR(__xludf.DUMMYFUNCTION("""COMPUTED_VALUE"""),10)</f>
        <v>10</v>
      </c>
    </row>
    <row r="159" spans="1:7" ht="12.75">
      <c r="A159">
        <f ca="1">IFERROR(__xludf.DUMMYFUNCTION("""COMPUTED_VALUE"""),158)</f>
        <v>158</v>
      </c>
      <c r="B159">
        <f ca="1">IFERROR(__xludf.DUMMYFUNCTION("""COMPUTED_VALUE"""),128)</f>
        <v>128</v>
      </c>
      <c r="C159" t="str">
        <f ca="1">IFERROR(__xludf.DUMMYFUNCTION("""COMPUTED_VALUE"""),"Nate Lashley")</f>
        <v>Nate Lashley</v>
      </c>
      <c r="D159">
        <f ca="1">IFERROR(__xludf.DUMMYFUNCTION("""COMPUTED_VALUE"""),16)</f>
        <v>16</v>
      </c>
      <c r="E159">
        <f ca="1">IFERROR(__xludf.DUMMYFUNCTION("""COMPUTED_VALUE"""),-0.113)</f>
        <v>-0.113</v>
      </c>
      <c r="F159">
        <f ca="1">IFERROR(__xludf.DUMMYFUNCTION("""COMPUTED_VALUE"""),-1.358)</f>
        <v>-1.3580000000000001</v>
      </c>
      <c r="G159">
        <f ca="1">IFERROR(__xludf.DUMMYFUNCTION("""COMPUTED_VALUE"""),12)</f>
        <v>12</v>
      </c>
    </row>
    <row r="160" spans="1:7" ht="12.75">
      <c r="A160">
        <f ca="1">IFERROR(__xludf.DUMMYFUNCTION("""COMPUTED_VALUE"""),159)</f>
        <v>159</v>
      </c>
      <c r="B160">
        <f ca="1">IFERROR(__xludf.DUMMYFUNCTION("""COMPUTED_VALUE"""),153)</f>
        <v>153</v>
      </c>
      <c r="C160" t="str">
        <f ca="1">IFERROR(__xludf.DUMMYFUNCTION("""COMPUTED_VALUE"""),"Matthew Fitzpatrick")</f>
        <v>Matthew Fitzpatrick</v>
      </c>
      <c r="D160">
        <f ca="1">IFERROR(__xludf.DUMMYFUNCTION("""COMPUTED_VALUE"""),10)</f>
        <v>10</v>
      </c>
      <c r="E160">
        <f ca="1">IFERROR(__xludf.DUMMYFUNCTION("""COMPUTED_VALUE"""),-0.119)</f>
        <v>-0.11899999999999999</v>
      </c>
      <c r="F160">
        <f ca="1">IFERROR(__xludf.DUMMYFUNCTION("""COMPUTED_VALUE"""),-1.192)</f>
        <v>-1.1919999999999999</v>
      </c>
      <c r="G160">
        <f ca="1">IFERROR(__xludf.DUMMYFUNCTION("""COMPUTED_VALUE"""),10)</f>
        <v>10</v>
      </c>
    </row>
    <row r="161" spans="1:7" ht="12.75">
      <c r="A161">
        <f ca="1">IFERROR(__xludf.DUMMYFUNCTION("""COMPUTED_VALUE"""),160)</f>
        <v>160</v>
      </c>
      <c r="B161" t="str">
        <f ca="1">IFERROR(__xludf.DUMMYFUNCTION("""COMPUTED_VALUE"""),"")</f>
        <v/>
      </c>
      <c r="C161" t="str">
        <f ca="1">IFERROR(__xludf.DUMMYFUNCTION("""COMPUTED_VALUE"""),"Francesco Molinari")</f>
        <v>Francesco Molinari</v>
      </c>
      <c r="D161">
        <f ca="1">IFERROR(__xludf.DUMMYFUNCTION("""COMPUTED_VALUE"""),6)</f>
        <v>6</v>
      </c>
      <c r="E161">
        <f ca="1">IFERROR(__xludf.DUMMYFUNCTION("""COMPUTED_VALUE"""),-0.128)</f>
        <v>-0.128</v>
      </c>
      <c r="F161">
        <f ca="1">IFERROR(__xludf.DUMMYFUNCTION("""COMPUTED_VALUE"""),-0.766)</f>
        <v>-0.76600000000000001</v>
      </c>
      <c r="G161">
        <f ca="1">IFERROR(__xludf.DUMMYFUNCTION("""COMPUTED_VALUE"""),6)</f>
        <v>6</v>
      </c>
    </row>
    <row r="162" spans="1:7" ht="12.75">
      <c r="A162">
        <f ca="1">IFERROR(__xludf.DUMMYFUNCTION("""COMPUTED_VALUE"""),161)</f>
        <v>161</v>
      </c>
      <c r="B162">
        <f ca="1">IFERROR(__xludf.DUMMYFUNCTION("""COMPUTED_VALUE"""),129)</f>
        <v>129</v>
      </c>
      <c r="C162" t="str">
        <f ca="1">IFERROR(__xludf.DUMMYFUNCTION("""COMPUTED_VALUE"""),"Henrik Norlander")</f>
        <v>Henrik Norlander</v>
      </c>
      <c r="D162">
        <f ca="1">IFERROR(__xludf.DUMMYFUNCTION("""COMPUTED_VALUE"""),16)</f>
        <v>16</v>
      </c>
      <c r="E162">
        <f ca="1">IFERROR(__xludf.DUMMYFUNCTION("""COMPUTED_VALUE"""),-0.133)</f>
        <v>-0.13300000000000001</v>
      </c>
      <c r="F162">
        <f ca="1">IFERROR(__xludf.DUMMYFUNCTION("""COMPUTED_VALUE"""),-1.593)</f>
        <v>-1.593</v>
      </c>
      <c r="G162">
        <f ca="1">IFERROR(__xludf.DUMMYFUNCTION("""COMPUTED_VALUE"""),12)</f>
        <v>12</v>
      </c>
    </row>
    <row r="163" spans="1:7" ht="12.75">
      <c r="A163">
        <f ca="1">IFERROR(__xludf.DUMMYFUNCTION("""COMPUTED_VALUE"""),162)</f>
        <v>162</v>
      </c>
      <c r="B163">
        <f ca="1">IFERROR(__xludf.DUMMYFUNCTION("""COMPUTED_VALUE"""),117)</f>
        <v>117</v>
      </c>
      <c r="C163" t="str">
        <f ca="1">IFERROR(__xludf.DUMMYFUNCTION("""COMPUTED_VALUE"""),"Ryan Armour")</f>
        <v>Ryan Armour</v>
      </c>
      <c r="D163">
        <f ca="1">IFERROR(__xludf.DUMMYFUNCTION("""COMPUTED_VALUE"""),16)</f>
        <v>16</v>
      </c>
      <c r="E163">
        <f ca="1">IFERROR(__xludf.DUMMYFUNCTION("""COMPUTED_VALUE"""),-0.135)</f>
        <v>-0.13500000000000001</v>
      </c>
      <c r="F163">
        <f ca="1">IFERROR(__xludf.DUMMYFUNCTION("""COMPUTED_VALUE"""),-1.351)</f>
        <v>-1.351</v>
      </c>
      <c r="G163">
        <f ca="1">IFERROR(__xludf.DUMMYFUNCTION("""COMPUTED_VALUE"""),10)</f>
        <v>10</v>
      </c>
    </row>
    <row r="164" spans="1:7" ht="12.75">
      <c r="A164">
        <f ca="1">IFERROR(__xludf.DUMMYFUNCTION("""COMPUTED_VALUE"""),163)</f>
        <v>163</v>
      </c>
      <c r="B164">
        <f ca="1">IFERROR(__xludf.DUMMYFUNCTION("""COMPUTED_VALUE"""),154)</f>
        <v>154</v>
      </c>
      <c r="C164" t="str">
        <f ca="1">IFERROR(__xludf.DUMMYFUNCTION("""COMPUTED_VALUE"""),"Thomas Detry")</f>
        <v>Thomas Detry</v>
      </c>
      <c r="D164">
        <f ca="1">IFERROR(__xludf.DUMMYFUNCTION("""COMPUTED_VALUE"""),8)</f>
        <v>8</v>
      </c>
      <c r="E164">
        <f ca="1">IFERROR(__xludf.DUMMYFUNCTION("""COMPUTED_VALUE"""),-0.145)</f>
        <v>-0.14499999999999999</v>
      </c>
      <c r="F164">
        <f ca="1">IFERROR(__xludf.DUMMYFUNCTION("""COMPUTED_VALUE"""),-0.581)</f>
        <v>-0.58099999999999996</v>
      </c>
      <c r="G164">
        <f ca="1">IFERROR(__xludf.DUMMYFUNCTION("""COMPUTED_VALUE"""),4)</f>
        <v>4</v>
      </c>
    </row>
    <row r="165" spans="1:7" ht="12.75">
      <c r="A165">
        <f ca="1">IFERROR(__xludf.DUMMYFUNCTION("""COMPUTED_VALUE"""),164)</f>
        <v>164</v>
      </c>
      <c r="B165">
        <f ca="1">IFERROR(__xludf.DUMMYFUNCTION("""COMPUTED_VALUE"""),156)</f>
        <v>156</v>
      </c>
      <c r="C165" t="str">
        <f ca="1">IFERROR(__xludf.DUMMYFUNCTION("""COMPUTED_VALUE"""),"Kevin Na")</f>
        <v>Kevin Na</v>
      </c>
      <c r="D165">
        <f ca="1">IFERROR(__xludf.DUMMYFUNCTION("""COMPUTED_VALUE"""),14)</f>
        <v>14</v>
      </c>
      <c r="E165">
        <f ca="1">IFERROR(__xludf.DUMMYFUNCTION("""COMPUTED_VALUE"""),-0.162)</f>
        <v>-0.16200000000000001</v>
      </c>
      <c r="F165">
        <f ca="1">IFERROR(__xludf.DUMMYFUNCTION("""COMPUTED_VALUE"""),-2.274)</f>
        <v>-2.274</v>
      </c>
      <c r="G165">
        <f ca="1">IFERROR(__xludf.DUMMYFUNCTION("""COMPUTED_VALUE"""),14)</f>
        <v>14</v>
      </c>
    </row>
    <row r="166" spans="1:7" ht="12.75">
      <c r="A166">
        <f ca="1">IFERROR(__xludf.DUMMYFUNCTION("""COMPUTED_VALUE"""),165)</f>
        <v>165</v>
      </c>
      <c r="B166">
        <f ca="1">IFERROR(__xludf.DUMMYFUNCTION("""COMPUTED_VALUE"""),160)</f>
        <v>160</v>
      </c>
      <c r="C166" t="str">
        <f ca="1">IFERROR(__xludf.DUMMYFUNCTION("""COMPUTED_VALUE"""),"Matt Kuchar")</f>
        <v>Matt Kuchar</v>
      </c>
      <c r="D166">
        <f ca="1">IFERROR(__xludf.DUMMYFUNCTION("""COMPUTED_VALUE"""),14)</f>
        <v>14</v>
      </c>
      <c r="E166">
        <f ca="1">IFERROR(__xludf.DUMMYFUNCTION("""COMPUTED_VALUE"""),-0.172)</f>
        <v>-0.17199999999999999</v>
      </c>
      <c r="F166">
        <f ca="1">IFERROR(__xludf.DUMMYFUNCTION("""COMPUTED_VALUE"""),-2.414)</f>
        <v>-2.4140000000000001</v>
      </c>
      <c r="G166">
        <f ca="1">IFERROR(__xludf.DUMMYFUNCTION("""COMPUTED_VALUE"""),14)</f>
        <v>14</v>
      </c>
    </row>
    <row r="167" spans="1:7" ht="12.75">
      <c r="A167">
        <f ca="1">IFERROR(__xludf.DUMMYFUNCTION("""COMPUTED_VALUE"""),166)</f>
        <v>166</v>
      </c>
      <c r="B167">
        <f ca="1">IFERROR(__xludf.DUMMYFUNCTION("""COMPUTED_VALUE"""),152)</f>
        <v>152</v>
      </c>
      <c r="C167" t="str">
        <f ca="1">IFERROR(__xludf.DUMMYFUNCTION("""COMPUTED_VALUE"""),"Kyoung-Hoon Lee")</f>
        <v>Kyoung-Hoon Lee</v>
      </c>
      <c r="D167">
        <f ca="1">IFERROR(__xludf.DUMMYFUNCTION("""COMPUTED_VALUE"""),20)</f>
        <v>20</v>
      </c>
      <c r="E167">
        <f ca="1">IFERROR(__xludf.DUMMYFUNCTION("""COMPUTED_VALUE"""),-0.177)</f>
        <v>-0.17699999999999999</v>
      </c>
      <c r="F167">
        <f ca="1">IFERROR(__xludf.DUMMYFUNCTION("""COMPUTED_VALUE"""),-2.471)</f>
        <v>-2.4710000000000001</v>
      </c>
      <c r="G167">
        <f ca="1">IFERROR(__xludf.DUMMYFUNCTION("""COMPUTED_VALUE"""),14)</f>
        <v>14</v>
      </c>
    </row>
    <row r="168" spans="1:7" ht="12.75">
      <c r="A168">
        <f ca="1">IFERROR(__xludf.DUMMYFUNCTION("""COMPUTED_VALUE"""),167)</f>
        <v>167</v>
      </c>
      <c r="B168">
        <f ca="1">IFERROR(__xludf.DUMMYFUNCTION("""COMPUTED_VALUE"""),146)</f>
        <v>146</v>
      </c>
      <c r="C168" t="str">
        <f ca="1">IFERROR(__xludf.DUMMYFUNCTION("""COMPUTED_VALUE"""),"Emiliano Grillo")</f>
        <v>Emiliano Grillo</v>
      </c>
      <c r="D168">
        <f ca="1">IFERROR(__xludf.DUMMYFUNCTION("""COMPUTED_VALUE"""),22)</f>
        <v>22</v>
      </c>
      <c r="E168">
        <f ca="1">IFERROR(__xludf.DUMMYFUNCTION("""COMPUTED_VALUE"""),-0.182)</f>
        <v>-0.182</v>
      </c>
      <c r="F168">
        <f ca="1">IFERROR(__xludf.DUMMYFUNCTION("""COMPUTED_VALUE"""),-2.552)</f>
        <v>-2.552</v>
      </c>
      <c r="G168">
        <f ca="1">IFERROR(__xludf.DUMMYFUNCTION("""COMPUTED_VALUE"""),14)</f>
        <v>14</v>
      </c>
    </row>
    <row r="169" spans="1:7" ht="12.75">
      <c r="A169">
        <f ca="1">IFERROR(__xludf.DUMMYFUNCTION("""COMPUTED_VALUE"""),168)</f>
        <v>168</v>
      </c>
      <c r="B169">
        <f ca="1">IFERROR(__xludf.DUMMYFUNCTION("""COMPUTED_VALUE"""),161)</f>
        <v>161</v>
      </c>
      <c r="C169" t="str">
        <f ca="1">IFERROR(__xludf.DUMMYFUNCTION("""COMPUTED_VALUE"""),"D.J. Trahan")</f>
        <v>D.J. Trahan</v>
      </c>
      <c r="D169">
        <f ca="1">IFERROR(__xludf.DUMMYFUNCTION("""COMPUTED_VALUE"""),16)</f>
        <v>16</v>
      </c>
      <c r="E169">
        <f ca="1">IFERROR(__xludf.DUMMYFUNCTION("""COMPUTED_VALUE"""),-0.197)</f>
        <v>-0.19700000000000001</v>
      </c>
      <c r="F169">
        <f ca="1">IFERROR(__xludf.DUMMYFUNCTION("""COMPUTED_VALUE"""),-1.574)</f>
        <v>-1.5740000000000001</v>
      </c>
      <c r="G169">
        <f ca="1">IFERROR(__xludf.DUMMYFUNCTION("""COMPUTED_VALUE"""),8)</f>
        <v>8</v>
      </c>
    </row>
    <row r="170" spans="1:7" ht="12.75">
      <c r="A170">
        <f ca="1">IFERROR(__xludf.DUMMYFUNCTION("""COMPUTED_VALUE"""),169)</f>
        <v>169</v>
      </c>
      <c r="B170" t="str">
        <f ca="1">IFERROR(__xludf.DUMMYFUNCTION("""COMPUTED_VALUE"""),"T163")</f>
        <v>T163</v>
      </c>
      <c r="C170" t="str">
        <f ca="1">IFERROR(__xludf.DUMMYFUNCTION("""COMPUTED_VALUE"""),"Rickie Fowler")</f>
        <v>Rickie Fowler</v>
      </c>
      <c r="D170">
        <f ca="1">IFERROR(__xludf.DUMMYFUNCTION("""COMPUTED_VALUE"""),14)</f>
        <v>14</v>
      </c>
      <c r="E170">
        <f ca="1">IFERROR(__xludf.DUMMYFUNCTION("""COMPUTED_VALUE"""),-0.201)</f>
        <v>-0.20100000000000001</v>
      </c>
      <c r="F170">
        <f ca="1">IFERROR(__xludf.DUMMYFUNCTION("""COMPUTED_VALUE"""),-2.817)</f>
        <v>-2.8170000000000002</v>
      </c>
      <c r="G170">
        <f ca="1">IFERROR(__xludf.DUMMYFUNCTION("""COMPUTED_VALUE"""),14)</f>
        <v>14</v>
      </c>
    </row>
    <row r="171" spans="1:7" ht="12.75">
      <c r="A171">
        <f ca="1">IFERROR(__xludf.DUMMYFUNCTION("""COMPUTED_VALUE"""),170)</f>
        <v>170</v>
      </c>
      <c r="B171">
        <f ca="1">IFERROR(__xludf.DUMMYFUNCTION("""COMPUTED_VALUE"""),259)</f>
        <v>259</v>
      </c>
      <c r="C171" t="str">
        <f ca="1">IFERROR(__xludf.DUMMYFUNCTION("""COMPUTED_VALUE"""),"Graeme McDowell")</f>
        <v>Graeme McDowell</v>
      </c>
      <c r="D171">
        <f ca="1">IFERROR(__xludf.DUMMYFUNCTION("""COMPUTED_VALUE"""),8)</f>
        <v>8</v>
      </c>
      <c r="E171">
        <f ca="1">IFERROR(__xludf.DUMMYFUNCTION("""COMPUTED_VALUE"""),-0.204)</f>
        <v>-0.20399999999999999</v>
      </c>
      <c r="F171">
        <f ca="1">IFERROR(__xludf.DUMMYFUNCTION("""COMPUTED_VALUE"""),-1.221)</f>
        <v>-1.2210000000000001</v>
      </c>
      <c r="G171">
        <f ca="1">IFERROR(__xludf.DUMMYFUNCTION("""COMPUTED_VALUE"""),6)</f>
        <v>6</v>
      </c>
    </row>
    <row r="172" spans="1:7" ht="12.75">
      <c r="A172">
        <f ca="1">IFERROR(__xludf.DUMMYFUNCTION("""COMPUTED_VALUE"""),171)</f>
        <v>171</v>
      </c>
      <c r="B172">
        <f ca="1">IFERROR(__xludf.DUMMYFUNCTION("""COMPUTED_VALUE"""),165)</f>
        <v>165</v>
      </c>
      <c r="C172" t="str">
        <f ca="1">IFERROR(__xludf.DUMMYFUNCTION("""COMPUTED_VALUE"""),"Paul Casey")</f>
        <v>Paul Casey</v>
      </c>
      <c r="D172">
        <f ca="1">IFERROR(__xludf.DUMMYFUNCTION("""COMPUTED_VALUE"""),14)</f>
        <v>14</v>
      </c>
      <c r="E172">
        <f ca="1">IFERROR(__xludf.DUMMYFUNCTION("""COMPUTED_VALUE"""),-0.223)</f>
        <v>-0.223</v>
      </c>
      <c r="F172">
        <f ca="1">IFERROR(__xludf.DUMMYFUNCTION("""COMPUTED_VALUE"""),-3.115)</f>
        <v>-3.1150000000000002</v>
      </c>
      <c r="G172">
        <f ca="1">IFERROR(__xludf.DUMMYFUNCTION("""COMPUTED_VALUE"""),14)</f>
        <v>14</v>
      </c>
    </row>
    <row r="173" spans="1:7" ht="12.75">
      <c r="A173">
        <f ca="1">IFERROR(__xludf.DUMMYFUNCTION("""COMPUTED_VALUE"""),172)</f>
        <v>172</v>
      </c>
      <c r="B173">
        <f ca="1">IFERROR(__xludf.DUMMYFUNCTION("""COMPUTED_VALUE"""),168)</f>
        <v>168</v>
      </c>
      <c r="C173" t="str">
        <f ca="1">IFERROR(__xludf.DUMMYFUNCTION("""COMPUTED_VALUE"""),"Kurt Kitayama")</f>
        <v>Kurt Kitayama</v>
      </c>
      <c r="D173">
        <f ca="1">IFERROR(__xludf.DUMMYFUNCTION("""COMPUTED_VALUE"""),4)</f>
        <v>4</v>
      </c>
      <c r="E173">
        <f ca="1">IFERROR(__xludf.DUMMYFUNCTION("""COMPUTED_VALUE"""),-0.233)</f>
        <v>-0.23300000000000001</v>
      </c>
      <c r="F173">
        <f ca="1">IFERROR(__xludf.DUMMYFUNCTION("""COMPUTED_VALUE"""),-0.467)</f>
        <v>-0.46700000000000003</v>
      </c>
      <c r="G173">
        <f ca="1">IFERROR(__xludf.DUMMYFUNCTION("""COMPUTED_VALUE"""),2)</f>
        <v>2</v>
      </c>
    </row>
    <row r="174" spans="1:7" ht="12.75">
      <c r="A174">
        <f ca="1">IFERROR(__xludf.DUMMYFUNCTION("""COMPUTED_VALUE"""),173)</f>
        <v>173</v>
      </c>
      <c r="B174">
        <f ca="1">IFERROR(__xludf.DUMMYFUNCTION("""COMPUTED_VALUE"""),169)</f>
        <v>169</v>
      </c>
      <c r="C174" t="str">
        <f ca="1">IFERROR(__xludf.DUMMYFUNCTION("""COMPUTED_VALUE"""),"Naoki Sekito")</f>
        <v>Naoki Sekito</v>
      </c>
      <c r="D174">
        <f ca="1">IFERROR(__xludf.DUMMYFUNCTION("""COMPUTED_VALUE"""),4)</f>
        <v>4</v>
      </c>
      <c r="E174">
        <f ca="1">IFERROR(__xludf.DUMMYFUNCTION("""COMPUTED_VALUE"""),-0.237)</f>
        <v>-0.23699999999999999</v>
      </c>
      <c r="F174">
        <f ca="1">IFERROR(__xludf.DUMMYFUNCTION("""COMPUTED_VALUE"""),-0.95)</f>
        <v>-0.95</v>
      </c>
      <c r="G174">
        <f ca="1">IFERROR(__xludf.DUMMYFUNCTION("""COMPUTED_VALUE"""),4)</f>
        <v>4</v>
      </c>
    </row>
    <row r="175" spans="1:7" ht="12.75">
      <c r="A175">
        <f ca="1">IFERROR(__xludf.DUMMYFUNCTION("""COMPUTED_VALUE"""),174)</f>
        <v>174</v>
      </c>
      <c r="B175">
        <f ca="1">IFERROR(__xludf.DUMMYFUNCTION("""COMPUTED_VALUE"""),171)</f>
        <v>171</v>
      </c>
      <c r="C175" t="str">
        <f ca="1">IFERROR(__xludf.DUMMYFUNCTION("""COMPUTED_VALUE"""),"Matt Wallace")</f>
        <v>Matt Wallace</v>
      </c>
      <c r="D175">
        <f ca="1">IFERROR(__xludf.DUMMYFUNCTION("""COMPUTED_VALUE"""),4)</f>
        <v>4</v>
      </c>
      <c r="E175">
        <f ca="1">IFERROR(__xludf.DUMMYFUNCTION("""COMPUTED_VALUE"""),-0.25)</f>
        <v>-0.25</v>
      </c>
      <c r="F175">
        <f ca="1">IFERROR(__xludf.DUMMYFUNCTION("""COMPUTED_VALUE"""),-1)</f>
        <v>-1</v>
      </c>
      <c r="G175">
        <f ca="1">IFERROR(__xludf.DUMMYFUNCTION("""COMPUTED_VALUE"""),4)</f>
        <v>4</v>
      </c>
    </row>
    <row r="176" spans="1:7" ht="12.75">
      <c r="A176">
        <f ca="1">IFERROR(__xludf.DUMMYFUNCTION("""COMPUTED_VALUE"""),175)</f>
        <v>175</v>
      </c>
      <c r="B176">
        <f ca="1">IFERROR(__xludf.DUMMYFUNCTION("""COMPUTED_VALUE"""),116)</f>
        <v>116</v>
      </c>
      <c r="C176" t="str">
        <f ca="1">IFERROR(__xludf.DUMMYFUNCTION("""COMPUTED_VALUE"""),"Adam Schenk")</f>
        <v>Adam Schenk</v>
      </c>
      <c r="D176">
        <f ca="1">IFERROR(__xludf.DUMMYFUNCTION("""COMPUTED_VALUE"""),22)</f>
        <v>22</v>
      </c>
      <c r="E176">
        <f ca="1">IFERROR(__xludf.DUMMYFUNCTION("""COMPUTED_VALUE"""),-0.257)</f>
        <v>-0.25700000000000001</v>
      </c>
      <c r="F176">
        <f ca="1">IFERROR(__xludf.DUMMYFUNCTION("""COMPUTED_VALUE"""),-3.6)</f>
        <v>-3.6</v>
      </c>
      <c r="G176">
        <f ca="1">IFERROR(__xludf.DUMMYFUNCTION("""COMPUTED_VALUE"""),14)</f>
        <v>14</v>
      </c>
    </row>
    <row r="177" spans="1:7" ht="12.75">
      <c r="A177" t="str">
        <f ca="1">IFERROR(__xludf.DUMMYFUNCTION("""COMPUTED_VALUE"""),"T176")</f>
        <v>T176</v>
      </c>
      <c r="B177">
        <f ca="1">IFERROR(__xludf.DUMMYFUNCTION("""COMPUTED_VALUE"""),158)</f>
        <v>158</v>
      </c>
      <c r="C177" t="str">
        <f ca="1">IFERROR(__xludf.DUMMYFUNCTION("""COMPUTED_VALUE"""),"Lucas Glover")</f>
        <v>Lucas Glover</v>
      </c>
      <c r="D177">
        <f ca="1">IFERROR(__xludf.DUMMYFUNCTION("""COMPUTED_VALUE"""),12)</f>
        <v>12</v>
      </c>
      <c r="E177">
        <f ca="1">IFERROR(__xludf.DUMMYFUNCTION("""COMPUTED_VALUE"""),-0.262)</f>
        <v>-0.26200000000000001</v>
      </c>
      <c r="F177">
        <f ca="1">IFERROR(__xludf.DUMMYFUNCTION("""COMPUTED_VALUE"""),-3.143)</f>
        <v>-3.1429999999999998</v>
      </c>
      <c r="G177">
        <f ca="1">IFERROR(__xludf.DUMMYFUNCTION("""COMPUTED_VALUE"""),12)</f>
        <v>12</v>
      </c>
    </row>
    <row r="178" spans="1:7" ht="12.75">
      <c r="A178" t="str">
        <f ca="1">IFERROR(__xludf.DUMMYFUNCTION("""COMPUTED_VALUE"""),"T176")</f>
        <v>T176</v>
      </c>
      <c r="B178">
        <f ca="1">IFERROR(__xludf.DUMMYFUNCTION("""COMPUTED_VALUE"""),167)</f>
        <v>167</v>
      </c>
      <c r="C178" t="str">
        <f ca="1">IFERROR(__xludf.DUMMYFUNCTION("""COMPUTED_VALUE"""),"Sergio Garcia")</f>
        <v>Sergio Garcia</v>
      </c>
      <c r="D178">
        <f ca="1">IFERROR(__xludf.DUMMYFUNCTION("""COMPUTED_VALUE"""),18)</f>
        <v>18</v>
      </c>
      <c r="E178">
        <f ca="1">IFERROR(__xludf.DUMMYFUNCTION("""COMPUTED_VALUE"""),-0.262)</f>
        <v>-0.26200000000000001</v>
      </c>
      <c r="F178">
        <f ca="1">IFERROR(__xludf.DUMMYFUNCTION("""COMPUTED_VALUE"""),-4.721)</f>
        <v>-4.7210000000000001</v>
      </c>
      <c r="G178">
        <f ca="1">IFERROR(__xludf.DUMMYFUNCTION("""COMPUTED_VALUE"""),18)</f>
        <v>18</v>
      </c>
    </row>
    <row r="179" spans="1:7" ht="12.75">
      <c r="A179">
        <f ca="1">IFERROR(__xludf.DUMMYFUNCTION("""COMPUTED_VALUE"""),178)</f>
        <v>178</v>
      </c>
      <c r="B179">
        <f ca="1">IFERROR(__xludf.DUMMYFUNCTION("""COMPUTED_VALUE"""),173)</f>
        <v>173</v>
      </c>
      <c r="C179" t="str">
        <f ca="1">IFERROR(__xludf.DUMMYFUNCTION("""COMPUTED_VALUE"""),"Tiger Woods")</f>
        <v>Tiger Woods</v>
      </c>
      <c r="D179">
        <f ca="1">IFERROR(__xludf.DUMMYFUNCTION("""COMPUTED_VALUE"""),6)</f>
        <v>6</v>
      </c>
      <c r="E179">
        <f ca="1">IFERROR(__xludf.DUMMYFUNCTION("""COMPUTED_VALUE"""),-0.264)</f>
        <v>-0.26400000000000001</v>
      </c>
      <c r="F179">
        <f ca="1">IFERROR(__xludf.DUMMYFUNCTION("""COMPUTED_VALUE"""),-1.582)</f>
        <v>-1.5820000000000001</v>
      </c>
      <c r="G179">
        <f ca="1">IFERROR(__xludf.DUMMYFUNCTION("""COMPUTED_VALUE"""),6)</f>
        <v>6</v>
      </c>
    </row>
    <row r="180" spans="1:7" ht="12.75">
      <c r="A180">
        <f ca="1">IFERROR(__xludf.DUMMYFUNCTION("""COMPUTED_VALUE"""),179)</f>
        <v>179</v>
      </c>
      <c r="B180">
        <f ca="1">IFERROR(__xludf.DUMMYFUNCTION("""COMPUTED_VALUE"""),122)</f>
        <v>122</v>
      </c>
      <c r="C180" t="str">
        <f ca="1">IFERROR(__xludf.DUMMYFUNCTION("""COMPUTED_VALUE"""),"Martin Laird")</f>
        <v>Martin Laird</v>
      </c>
      <c r="D180">
        <f ca="1">IFERROR(__xludf.DUMMYFUNCTION("""COMPUTED_VALUE"""),16)</f>
        <v>16</v>
      </c>
      <c r="E180">
        <f ca="1">IFERROR(__xludf.DUMMYFUNCTION("""COMPUTED_VALUE"""),-0.269)</f>
        <v>-0.26900000000000002</v>
      </c>
      <c r="F180">
        <f ca="1">IFERROR(__xludf.DUMMYFUNCTION("""COMPUTED_VALUE"""),-3.227)</f>
        <v>-3.2269999999999999</v>
      </c>
      <c r="G180">
        <f ca="1">IFERROR(__xludf.DUMMYFUNCTION("""COMPUTED_VALUE"""),12)</f>
        <v>12</v>
      </c>
    </row>
    <row r="181" spans="1:7" ht="12.75">
      <c r="A181">
        <f ca="1">IFERROR(__xludf.DUMMYFUNCTION("""COMPUTED_VALUE"""),180)</f>
        <v>180</v>
      </c>
      <c r="B181">
        <f ca="1">IFERROR(__xludf.DUMMYFUNCTION("""COMPUTED_VALUE"""),176)</f>
        <v>176</v>
      </c>
      <c r="C181" t="str">
        <f ca="1">IFERROR(__xludf.DUMMYFUNCTION("""COMPUTED_VALUE"""),"Mikumu Horikawa")</f>
        <v>Mikumu Horikawa</v>
      </c>
      <c r="D181">
        <f ca="1">IFERROR(__xludf.DUMMYFUNCTION("""COMPUTED_VALUE"""),4)</f>
        <v>4</v>
      </c>
      <c r="E181">
        <f ca="1">IFERROR(__xludf.DUMMYFUNCTION("""COMPUTED_VALUE"""),-0.282)</f>
        <v>-0.28199999999999997</v>
      </c>
      <c r="F181">
        <f ca="1">IFERROR(__xludf.DUMMYFUNCTION("""COMPUTED_VALUE"""),-1.127)</f>
        <v>-1.127</v>
      </c>
      <c r="G181">
        <f ca="1">IFERROR(__xludf.DUMMYFUNCTION("""COMPUTED_VALUE"""),4)</f>
        <v>4</v>
      </c>
    </row>
    <row r="182" spans="1:7" ht="12.75">
      <c r="A182">
        <f ca="1">IFERROR(__xludf.DUMMYFUNCTION("""COMPUTED_VALUE"""),181)</f>
        <v>181</v>
      </c>
      <c r="B182">
        <f ca="1">IFERROR(__xludf.DUMMYFUNCTION("""COMPUTED_VALUE"""),177)</f>
        <v>177</v>
      </c>
      <c r="C182" t="str">
        <f ca="1">IFERROR(__xludf.DUMMYFUNCTION("""COMPUTED_VALUE"""),"Vincent Whaley")</f>
        <v>Vincent Whaley</v>
      </c>
      <c r="D182">
        <f ca="1">IFERROR(__xludf.DUMMYFUNCTION("""COMPUTED_VALUE"""),14)</f>
        <v>14</v>
      </c>
      <c r="E182">
        <f ca="1">IFERROR(__xludf.DUMMYFUNCTION("""COMPUTED_VALUE"""),-0.294)</f>
        <v>-0.29399999999999998</v>
      </c>
      <c r="F182">
        <f ca="1">IFERROR(__xludf.DUMMYFUNCTION("""COMPUTED_VALUE"""),-2.35)</f>
        <v>-2.35</v>
      </c>
      <c r="G182">
        <f ca="1">IFERROR(__xludf.DUMMYFUNCTION("""COMPUTED_VALUE"""),8)</f>
        <v>8</v>
      </c>
    </row>
    <row r="183" spans="1:7" ht="12.75">
      <c r="A183">
        <f ca="1">IFERROR(__xludf.DUMMYFUNCTION("""COMPUTED_VALUE"""),182)</f>
        <v>182</v>
      </c>
      <c r="B183" t="str">
        <f ca="1">IFERROR(__xludf.DUMMYFUNCTION("""COMPUTED_VALUE"""),"T225")</f>
        <v>T225</v>
      </c>
      <c r="C183" t="str">
        <f ca="1">IFERROR(__xludf.DUMMYFUNCTION("""COMPUTED_VALUE"""),"John Huh")</f>
        <v>John Huh</v>
      </c>
      <c r="D183">
        <f ca="1">IFERROR(__xludf.DUMMYFUNCTION("""COMPUTED_VALUE"""),8)</f>
        <v>8</v>
      </c>
      <c r="E183">
        <f ca="1">IFERROR(__xludf.DUMMYFUNCTION("""COMPUTED_VALUE"""),-0.298)</f>
        <v>-0.29799999999999999</v>
      </c>
      <c r="F183">
        <f ca="1">IFERROR(__xludf.DUMMYFUNCTION("""COMPUTED_VALUE"""),-2.38)</f>
        <v>-2.38</v>
      </c>
      <c r="G183">
        <f ca="1">IFERROR(__xludf.DUMMYFUNCTION("""COMPUTED_VALUE"""),8)</f>
        <v>8</v>
      </c>
    </row>
    <row r="184" spans="1:7" ht="12.75">
      <c r="A184">
        <f ca="1">IFERROR(__xludf.DUMMYFUNCTION("""COMPUTED_VALUE"""),183)</f>
        <v>183</v>
      </c>
      <c r="B184">
        <f ca="1">IFERROR(__xludf.DUMMYFUNCTION("""COMPUTED_VALUE"""),178)</f>
        <v>178</v>
      </c>
      <c r="C184" t="str">
        <f ca="1">IFERROR(__xludf.DUMMYFUNCTION("""COMPUTED_VALUE"""),"Sebastian Cappelen")</f>
        <v>Sebastian Cappelen</v>
      </c>
      <c r="D184">
        <f ca="1">IFERROR(__xludf.DUMMYFUNCTION("""COMPUTED_VALUE"""),8)</f>
        <v>8</v>
      </c>
      <c r="E184">
        <f ca="1">IFERROR(__xludf.DUMMYFUNCTION("""COMPUTED_VALUE"""),-0.299)</f>
        <v>-0.29899999999999999</v>
      </c>
      <c r="F184">
        <f ca="1">IFERROR(__xludf.DUMMYFUNCTION("""COMPUTED_VALUE"""),-1.197)</f>
        <v>-1.1970000000000001</v>
      </c>
      <c r="G184">
        <f ca="1">IFERROR(__xludf.DUMMYFUNCTION("""COMPUTED_VALUE"""),4)</f>
        <v>4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IFERROR(__xludf.DUMMYFUNCTION("""COMPUTED_VALUE"""),157)</f>
        <v>157</v>
      </c>
      <c r="C185" t="str">
        <f ca="1">IFERROR(__xludf.DUMMYFUNCTION("""COMPUTED_VALUE"""),"Michael Kim")</f>
        <v>Michael Kim</v>
      </c>
      <c r="D185">
        <f ca="1">IFERROR(__xludf.DUMMYFUNCTION("""COMPUTED_VALUE"""),12)</f>
        <v>12</v>
      </c>
      <c r="E185">
        <f ca="1">IFERROR(__xludf.DUMMYFUNCTION("""COMPUTED_VALUE"""),-0.31)</f>
        <v>-0.31</v>
      </c>
      <c r="F185">
        <f ca="1">IFERROR(__xludf.DUMMYFUNCTION("""COMPUTED_VALUE"""),-2.482)</f>
        <v>-2.4820000000000002</v>
      </c>
      <c r="G185">
        <f ca="1">IFERROR(__xludf.DUMMYFUNCTION("""COMPUTED_VALUE"""),8)</f>
        <v>8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IFERROR(__xludf.DUMMYFUNCTION("""COMPUTED_VALUE"""),"T137")</f>
        <v>T137</v>
      </c>
      <c r="C186" t="str">
        <f ca="1">IFERROR(__xludf.DUMMYFUNCTION("""COMPUTED_VALUE"""),"Bo Hoag")</f>
        <v>Bo Hoag</v>
      </c>
      <c r="D186">
        <f ca="1">IFERROR(__xludf.DUMMYFUNCTION("""COMPUTED_VALUE"""),14)</f>
        <v>14</v>
      </c>
      <c r="E186">
        <f ca="1">IFERROR(__xludf.DUMMYFUNCTION("""COMPUTED_VALUE"""),-0.32)</f>
        <v>-0.32</v>
      </c>
      <c r="F186">
        <f ca="1">IFERROR(__xludf.DUMMYFUNCTION("""COMPUTED_VALUE"""),-3.201)</f>
        <v>-3.2010000000000001</v>
      </c>
      <c r="G186">
        <f ca="1">IFERROR(__xludf.DUMMYFUNCTION("""COMPUTED_VALUE"""),10)</f>
        <v>10</v>
      </c>
    </row>
    <row r="187" spans="1:7" ht="12.75">
      <c r="A187">
        <f ca="1">IFERROR(__xludf.DUMMYFUNCTION("""COMPUTED_VALUE"""),186)</f>
        <v>186</v>
      </c>
      <c r="B187">
        <f ca="1">IFERROR(__xludf.DUMMYFUNCTION("""COMPUTED_VALUE"""),170)</f>
        <v>170</v>
      </c>
      <c r="C187" t="str">
        <f ca="1">IFERROR(__xludf.DUMMYFUNCTION("""COMPUTED_VALUE"""),"Tyler Duncan")</f>
        <v>Tyler Duncan</v>
      </c>
      <c r="D187">
        <f ca="1">IFERROR(__xludf.DUMMYFUNCTION("""COMPUTED_VALUE"""),18)</f>
        <v>18</v>
      </c>
      <c r="E187">
        <f ca="1">IFERROR(__xludf.DUMMYFUNCTION("""COMPUTED_VALUE"""),-0.331)</f>
        <v>-0.33100000000000002</v>
      </c>
      <c r="F187">
        <f ca="1">IFERROR(__xludf.DUMMYFUNCTION("""COMPUTED_VALUE"""),-5.964)</f>
        <v>-5.9640000000000004</v>
      </c>
      <c r="G187">
        <f ca="1">IFERROR(__xludf.DUMMYFUNCTION("""COMPUTED_VALUE"""),18)</f>
        <v>18</v>
      </c>
    </row>
    <row r="188" spans="1:7" ht="12.75">
      <c r="A188">
        <f ca="1">IFERROR(__xludf.DUMMYFUNCTION("""COMPUTED_VALUE"""),187)</f>
        <v>187</v>
      </c>
      <c r="B188">
        <f ca="1">IFERROR(__xludf.DUMMYFUNCTION("""COMPUTED_VALUE"""),131)</f>
        <v>131</v>
      </c>
      <c r="C188" t="str">
        <f ca="1">IFERROR(__xludf.DUMMYFUNCTION("""COMPUTED_VALUE"""),"Jason Dufner")</f>
        <v>Jason Dufner</v>
      </c>
      <c r="D188">
        <f ca="1">IFERROR(__xludf.DUMMYFUNCTION("""COMPUTED_VALUE"""),14)</f>
        <v>14</v>
      </c>
      <c r="E188">
        <f ca="1">IFERROR(__xludf.DUMMYFUNCTION("""COMPUTED_VALUE"""),-0.338)</f>
        <v>-0.33800000000000002</v>
      </c>
      <c r="F188">
        <f ca="1">IFERROR(__xludf.DUMMYFUNCTION("""COMPUTED_VALUE"""),-3.384)</f>
        <v>-3.3839999999999999</v>
      </c>
      <c r="G188">
        <f ca="1">IFERROR(__xludf.DUMMYFUNCTION("""COMPUTED_VALUE"""),10)</f>
        <v>10</v>
      </c>
    </row>
    <row r="189" spans="1:7" ht="12.75">
      <c r="A189" t="str">
        <f ca="1">IFERROR(__xludf.DUMMYFUNCTION("""COMPUTED_VALUE"""),"T188")</f>
        <v>T188</v>
      </c>
      <c r="B189">
        <f ca="1">IFERROR(__xludf.DUMMYFUNCTION("""COMPUTED_VALUE"""),224)</f>
        <v>224</v>
      </c>
      <c r="C189" t="str">
        <f ca="1">IFERROR(__xludf.DUMMYFUNCTION("""COMPUTED_VALUE"""),"Michael Thompson")</f>
        <v>Michael Thompson</v>
      </c>
      <c r="D189">
        <f ca="1">IFERROR(__xludf.DUMMYFUNCTION("""COMPUTED_VALUE"""),16)</f>
        <v>16</v>
      </c>
      <c r="E189">
        <f ca="1">IFERROR(__xludf.DUMMYFUNCTION("""COMPUTED_VALUE"""),-0.343)</f>
        <v>-0.34300000000000003</v>
      </c>
      <c r="F189">
        <f ca="1">IFERROR(__xludf.DUMMYFUNCTION("""COMPUTED_VALUE"""),-5.486)</f>
        <v>-5.4859999999999998</v>
      </c>
      <c r="G189">
        <f ca="1">IFERROR(__xludf.DUMMYFUNCTION("""COMPUTED_VALUE"""),16)</f>
        <v>16</v>
      </c>
    </row>
    <row r="190" spans="1:7" ht="12.75">
      <c r="A190" t="str">
        <f ca="1">IFERROR(__xludf.DUMMYFUNCTION("""COMPUTED_VALUE"""),"T188")</f>
        <v>T188</v>
      </c>
      <c r="B190">
        <f ca="1">IFERROR(__xludf.DUMMYFUNCTION("""COMPUTED_VALUE"""),181)</f>
        <v>181</v>
      </c>
      <c r="C190" t="str">
        <f ca="1">IFERROR(__xludf.DUMMYFUNCTION("""COMPUTED_VALUE"""),"J.J. Spaun")</f>
        <v>J.J. Spaun</v>
      </c>
      <c r="D190">
        <f ca="1">IFERROR(__xludf.DUMMYFUNCTION("""COMPUTED_VALUE"""),10)</f>
        <v>10</v>
      </c>
      <c r="E190">
        <f ca="1">IFERROR(__xludf.DUMMYFUNCTION("""COMPUTED_VALUE"""),-0.343)</f>
        <v>-0.34300000000000003</v>
      </c>
      <c r="F190">
        <f ca="1">IFERROR(__xludf.DUMMYFUNCTION("""COMPUTED_VALUE"""),-2.056)</f>
        <v>-2.056</v>
      </c>
      <c r="G190">
        <f ca="1">IFERROR(__xludf.DUMMYFUNCTION("""COMPUTED_VALUE"""),6)</f>
        <v>6</v>
      </c>
    </row>
    <row r="191" spans="1:7" ht="12.75">
      <c r="A191">
        <f ca="1">IFERROR(__xludf.DUMMYFUNCTION("""COMPUTED_VALUE"""),190)</f>
        <v>190</v>
      </c>
      <c r="B191">
        <f ca="1">IFERROR(__xludf.DUMMYFUNCTION("""COMPUTED_VALUE"""),183)</f>
        <v>183</v>
      </c>
      <c r="C191" t="str">
        <f ca="1">IFERROR(__xludf.DUMMYFUNCTION("""COMPUTED_VALUE"""),"Jonathan Byrd")</f>
        <v>Jonathan Byrd</v>
      </c>
      <c r="D191">
        <f ca="1">IFERROR(__xludf.DUMMYFUNCTION("""COMPUTED_VALUE"""),14)</f>
        <v>14</v>
      </c>
      <c r="E191">
        <f ca="1">IFERROR(__xludf.DUMMYFUNCTION("""COMPUTED_VALUE"""),-0.348)</f>
        <v>-0.34799999999999998</v>
      </c>
      <c r="F191">
        <f ca="1">IFERROR(__xludf.DUMMYFUNCTION("""COMPUTED_VALUE"""),-2.086)</f>
        <v>-2.0859999999999999</v>
      </c>
      <c r="G191">
        <f ca="1">IFERROR(__xludf.DUMMYFUNCTION("""COMPUTED_VALUE"""),6)</f>
        <v>6</v>
      </c>
    </row>
    <row r="192" spans="1:7" ht="12.75">
      <c r="A192">
        <f ca="1">IFERROR(__xludf.DUMMYFUNCTION("""COMPUTED_VALUE"""),191)</f>
        <v>191</v>
      </c>
      <c r="B192">
        <f ca="1">IFERROR(__xludf.DUMMYFUNCTION("""COMPUTED_VALUE"""),184)</f>
        <v>184</v>
      </c>
      <c r="C192" t="str">
        <f ca="1">IFERROR(__xludf.DUMMYFUNCTION("""COMPUTED_VALUE"""),"Christiaan Bezuidenhout")</f>
        <v>Christiaan Bezuidenhout</v>
      </c>
      <c r="D192">
        <f ca="1">IFERROR(__xludf.DUMMYFUNCTION("""COMPUTED_VALUE"""),4)</f>
        <v>4</v>
      </c>
      <c r="E192">
        <f ca="1">IFERROR(__xludf.DUMMYFUNCTION("""COMPUTED_VALUE"""),-0.369)</f>
        <v>-0.36899999999999999</v>
      </c>
      <c r="F192">
        <f ca="1">IFERROR(__xludf.DUMMYFUNCTION("""COMPUTED_VALUE"""),-1.475)</f>
        <v>-1.4750000000000001</v>
      </c>
      <c r="G192">
        <f ca="1">IFERROR(__xludf.DUMMYFUNCTION("""COMPUTED_VALUE"""),4)</f>
        <v>4</v>
      </c>
    </row>
    <row r="193" spans="1:7" ht="12.75">
      <c r="A193">
        <f ca="1">IFERROR(__xludf.DUMMYFUNCTION("""COMPUTED_VALUE"""),192)</f>
        <v>192</v>
      </c>
      <c r="B193">
        <f ca="1">IFERROR(__xludf.DUMMYFUNCTION("""COMPUTED_VALUE"""),179)</f>
        <v>179</v>
      </c>
      <c r="C193" t="str">
        <f ca="1">IFERROR(__xludf.DUMMYFUNCTION("""COMPUTED_VALUE"""),"Phil Mickelson")</f>
        <v>Phil Mickelson</v>
      </c>
      <c r="D193">
        <f ca="1">IFERROR(__xludf.DUMMYFUNCTION("""COMPUTED_VALUE"""),12)</f>
        <v>12</v>
      </c>
      <c r="E193">
        <f ca="1">IFERROR(__xludf.DUMMYFUNCTION("""COMPUTED_VALUE"""),-0.37)</f>
        <v>-0.37</v>
      </c>
      <c r="F193">
        <f ca="1">IFERROR(__xludf.DUMMYFUNCTION("""COMPUTED_VALUE"""),-4.446)</f>
        <v>-4.4459999999999997</v>
      </c>
      <c r="G193">
        <f ca="1">IFERROR(__xludf.DUMMYFUNCTION("""COMPUTED_VALUE"""),12)</f>
        <v>12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IFERROR(__xludf.DUMMYFUNCTION("""COMPUTED_VALUE"""),185)</f>
        <v>185</v>
      </c>
      <c r="C194" t="str">
        <f ca="1">IFERROR(__xludf.DUMMYFUNCTION("""COMPUTED_VALUE"""),"Nick Watney")</f>
        <v>Nick Watney</v>
      </c>
      <c r="D194">
        <f ca="1">IFERROR(__xludf.DUMMYFUNCTION("""COMPUTED_VALUE"""),10)</f>
        <v>10</v>
      </c>
      <c r="E194">
        <f ca="1">IFERROR(__xludf.DUMMYFUNCTION("""COMPUTED_VALUE"""),-0.375)</f>
        <v>-0.375</v>
      </c>
      <c r="F194">
        <f ca="1">IFERROR(__xludf.DUMMYFUNCTION("""COMPUTED_VALUE"""),-3.003)</f>
        <v>-3.0030000000000001</v>
      </c>
      <c r="G194">
        <f ca="1">IFERROR(__xludf.DUMMYFUNCTION("""COMPUTED_VALUE"""),8)</f>
        <v>8</v>
      </c>
    </row>
    <row r="195" spans="1:7" ht="12.75">
      <c r="A195">
        <f ca="1">IFERROR(__xludf.DUMMYFUNCTION("""COMPUTED_VALUE"""),194)</f>
        <v>194</v>
      </c>
      <c r="B195">
        <f ca="1">IFERROR(__xludf.DUMMYFUNCTION("""COMPUTED_VALUE"""),186)</f>
        <v>186</v>
      </c>
      <c r="C195" t="str">
        <f ca="1">IFERROR(__xludf.DUMMYFUNCTION("""COMPUTED_VALUE"""),"Brandon Hagy")</f>
        <v>Brandon Hagy</v>
      </c>
      <c r="D195">
        <f ca="1">IFERROR(__xludf.DUMMYFUNCTION("""COMPUTED_VALUE"""),10)</f>
        <v>10</v>
      </c>
      <c r="E195">
        <f ca="1">IFERROR(__xludf.DUMMYFUNCTION("""COMPUTED_VALUE"""),-0.384)</f>
        <v>-0.38400000000000001</v>
      </c>
      <c r="F195">
        <f ca="1">IFERROR(__xludf.DUMMYFUNCTION("""COMPUTED_VALUE"""),-2.307)</f>
        <v>-2.3069999999999999</v>
      </c>
      <c r="G195">
        <f ca="1">IFERROR(__xludf.DUMMYFUNCTION("""COMPUTED_VALUE"""),6)</f>
        <v>6</v>
      </c>
    </row>
    <row r="196" spans="1:7" ht="12.75">
      <c r="A196">
        <f ca="1">IFERROR(__xludf.DUMMYFUNCTION("""COMPUTED_VALUE"""),195)</f>
        <v>195</v>
      </c>
      <c r="B196">
        <f ca="1">IFERROR(__xludf.DUMMYFUNCTION("""COMPUTED_VALUE"""),187)</f>
        <v>187</v>
      </c>
      <c r="C196" t="str">
        <f ca="1">IFERROR(__xludf.DUMMYFUNCTION("""COMPUTED_VALUE"""),"Bud Cauley")</f>
        <v>Bud Cauley</v>
      </c>
      <c r="D196">
        <f ca="1">IFERROR(__xludf.DUMMYFUNCTION("""COMPUTED_VALUE"""),4)</f>
        <v>4</v>
      </c>
      <c r="E196">
        <f ca="1">IFERROR(__xludf.DUMMYFUNCTION("""COMPUTED_VALUE"""),-0.385)</f>
        <v>-0.38500000000000001</v>
      </c>
      <c r="F196">
        <f ca="1">IFERROR(__xludf.DUMMYFUNCTION("""COMPUTED_VALUE"""),-1.54)</f>
        <v>-1.54</v>
      </c>
      <c r="G196">
        <f ca="1">IFERROR(__xludf.DUMMYFUNCTION("""COMPUTED_VALUE"""),4)</f>
        <v>4</v>
      </c>
    </row>
    <row r="197" spans="1:7" ht="12.75">
      <c r="A197">
        <f ca="1">IFERROR(__xludf.DUMMYFUNCTION("""COMPUTED_VALUE"""),196)</f>
        <v>196</v>
      </c>
      <c r="B197">
        <f ca="1">IFERROR(__xludf.DUMMYFUNCTION("""COMPUTED_VALUE"""),172)</f>
        <v>172</v>
      </c>
      <c r="C197" t="str">
        <f ca="1">IFERROR(__xludf.DUMMYFUNCTION("""COMPUTED_VALUE"""),"Jamie Lovemark")</f>
        <v>Jamie Lovemark</v>
      </c>
      <c r="D197">
        <f ca="1">IFERROR(__xludf.DUMMYFUNCTION("""COMPUTED_VALUE"""),18)</f>
        <v>18</v>
      </c>
      <c r="E197">
        <f ca="1">IFERROR(__xludf.DUMMYFUNCTION("""COMPUTED_VALUE"""),-0.388)</f>
        <v>-0.38800000000000001</v>
      </c>
      <c r="F197">
        <f ca="1">IFERROR(__xludf.DUMMYFUNCTION("""COMPUTED_VALUE"""),-4.651)</f>
        <v>-4.6509999999999998</v>
      </c>
      <c r="G197">
        <f ca="1">IFERROR(__xludf.DUMMYFUNCTION("""COMPUTED_VALUE"""),12)</f>
        <v>12</v>
      </c>
    </row>
    <row r="198" spans="1:7" ht="12.75">
      <c r="A198">
        <f ca="1">IFERROR(__xludf.DUMMYFUNCTION("""COMPUTED_VALUE"""),197)</f>
        <v>197</v>
      </c>
      <c r="B198">
        <f ca="1">IFERROR(__xludf.DUMMYFUNCTION("""COMPUTED_VALUE"""),188)</f>
        <v>188</v>
      </c>
      <c r="C198" t="str">
        <f ca="1">IFERROR(__xludf.DUMMYFUNCTION("""COMPUTED_VALUE"""),"J.B. Holmes")</f>
        <v>J.B. Holmes</v>
      </c>
      <c r="D198">
        <f ca="1">IFERROR(__xludf.DUMMYFUNCTION("""COMPUTED_VALUE"""),10)</f>
        <v>10</v>
      </c>
      <c r="E198">
        <f ca="1">IFERROR(__xludf.DUMMYFUNCTION("""COMPUTED_VALUE"""),-0.392)</f>
        <v>-0.39200000000000002</v>
      </c>
      <c r="F198">
        <f ca="1">IFERROR(__xludf.DUMMYFUNCTION("""COMPUTED_VALUE"""),-3.918)</f>
        <v>-3.9180000000000001</v>
      </c>
      <c r="G198">
        <f ca="1">IFERROR(__xludf.DUMMYFUNCTION("""COMPUTED_VALUE"""),10)</f>
        <v>10</v>
      </c>
    </row>
    <row r="199" spans="1:7" ht="12.75">
      <c r="A199">
        <f ca="1">IFERROR(__xludf.DUMMYFUNCTION("""COMPUTED_VALUE"""),198)</f>
        <v>198</v>
      </c>
      <c r="B199">
        <f ca="1">IFERROR(__xludf.DUMMYFUNCTION("""COMPUTED_VALUE"""),199)</f>
        <v>199</v>
      </c>
      <c r="C199" t="str">
        <f ca="1">IFERROR(__xludf.DUMMYFUNCTION("""COMPUTED_VALUE"""),"Grayson Murray")</f>
        <v>Grayson Murray</v>
      </c>
      <c r="D199">
        <f ca="1">IFERROR(__xludf.DUMMYFUNCTION("""COMPUTED_VALUE"""),10)</f>
        <v>10</v>
      </c>
      <c r="E199">
        <f ca="1">IFERROR(__xludf.DUMMYFUNCTION("""COMPUTED_VALUE"""),-0.399)</f>
        <v>-0.39900000000000002</v>
      </c>
      <c r="F199">
        <f ca="1">IFERROR(__xludf.DUMMYFUNCTION("""COMPUTED_VALUE"""),-3.195)</f>
        <v>-3.1949999999999998</v>
      </c>
      <c r="G199">
        <f ca="1">IFERROR(__xludf.DUMMYFUNCTION("""COMPUTED_VALUE"""),8)</f>
        <v>8</v>
      </c>
    </row>
    <row r="200" spans="1:7" ht="12.75">
      <c r="A200">
        <f ca="1">IFERROR(__xludf.DUMMYFUNCTION("""COMPUTED_VALUE"""),199)</f>
        <v>199</v>
      </c>
      <c r="B200">
        <f ca="1">IFERROR(__xludf.DUMMYFUNCTION("""COMPUTED_VALUE"""),190)</f>
        <v>190</v>
      </c>
      <c r="C200" t="str">
        <f ca="1">IFERROR(__xludf.DUMMYFUNCTION("""COMPUTED_VALUE"""),"Peter Uihlein")</f>
        <v>Peter Uihlein</v>
      </c>
      <c r="D200">
        <f ca="1">IFERROR(__xludf.DUMMYFUNCTION("""COMPUTED_VALUE"""),8)</f>
        <v>8</v>
      </c>
      <c r="E200">
        <f ca="1">IFERROR(__xludf.DUMMYFUNCTION("""COMPUTED_VALUE"""),-0.41)</f>
        <v>-0.41</v>
      </c>
      <c r="F200">
        <f ca="1">IFERROR(__xludf.DUMMYFUNCTION("""COMPUTED_VALUE"""),-0.82)</f>
        <v>-0.82</v>
      </c>
      <c r="G200">
        <f ca="1">IFERROR(__xludf.DUMMYFUNCTION("""COMPUTED_VALUE"""),2)</f>
        <v>2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IFERROR(__xludf.DUMMYFUNCTION("""COMPUTED_VALUE"""),189)</f>
        <v>189</v>
      </c>
      <c r="C201" t="str">
        <f ca="1">IFERROR(__xludf.DUMMYFUNCTION("""COMPUTED_VALUE"""),"Chris Kirk")</f>
        <v>Chris Kirk</v>
      </c>
      <c r="D201">
        <f ca="1">IFERROR(__xludf.DUMMYFUNCTION("""COMPUTED_VALUE"""),10)</f>
        <v>10</v>
      </c>
      <c r="E201">
        <f ca="1">IFERROR(__xludf.DUMMYFUNCTION("""COMPUTED_VALUE"""),-0.413)</f>
        <v>-0.41299999999999998</v>
      </c>
      <c r="F201">
        <f ca="1">IFERROR(__xludf.DUMMYFUNCTION("""COMPUTED_VALUE"""),-3.301)</f>
        <v>-3.3010000000000002</v>
      </c>
      <c r="G201">
        <f ca="1">IFERROR(__xludf.DUMMYFUNCTION("""COMPUTED_VALUE"""),8)</f>
        <v>8</v>
      </c>
    </row>
    <row r="202" spans="1:7" ht="12.75">
      <c r="A202">
        <f ca="1">IFERROR(__xludf.DUMMYFUNCTION("""COMPUTED_VALUE"""),201)</f>
        <v>201</v>
      </c>
      <c r="B202">
        <f ca="1">IFERROR(__xludf.DUMMYFUNCTION("""COMPUTED_VALUE"""),191)</f>
        <v>191</v>
      </c>
      <c r="C202" t="str">
        <f ca="1">IFERROR(__xludf.DUMMYFUNCTION("""COMPUTED_VALUE"""),"Dominic Bozzelli")</f>
        <v>Dominic Bozzelli</v>
      </c>
      <c r="D202">
        <f ca="1">IFERROR(__xludf.DUMMYFUNCTION("""COMPUTED_VALUE"""),8)</f>
        <v>8</v>
      </c>
      <c r="E202">
        <f ca="1">IFERROR(__xludf.DUMMYFUNCTION("""COMPUTED_VALUE"""),-0.414)</f>
        <v>-0.41399999999999998</v>
      </c>
      <c r="F202">
        <f ca="1">IFERROR(__xludf.DUMMYFUNCTION("""COMPUTED_VALUE"""),-0.828)</f>
        <v>-0.82799999999999996</v>
      </c>
      <c r="G202">
        <f ca="1">IFERROR(__xludf.DUMMYFUNCTION("""COMPUTED_VALUE"""),2)</f>
        <v>2</v>
      </c>
    </row>
    <row r="203" spans="1:7" ht="12.75">
      <c r="A203">
        <f ca="1">IFERROR(__xludf.DUMMYFUNCTION("""COMPUTED_VALUE"""),202)</f>
        <v>202</v>
      </c>
      <c r="B203" t="str">
        <f ca="1">IFERROR(__xludf.DUMMYFUNCTION("""COMPUTED_VALUE"""),"T192")</f>
        <v>T192</v>
      </c>
      <c r="C203" t="str">
        <f ca="1">IFERROR(__xludf.DUMMYFUNCTION("""COMPUTED_VALUE"""),"Jazz Janewattananond")</f>
        <v>Jazz Janewattananond</v>
      </c>
      <c r="D203">
        <f ca="1">IFERROR(__xludf.DUMMYFUNCTION("""COMPUTED_VALUE"""),6)</f>
        <v>6</v>
      </c>
      <c r="E203">
        <f ca="1">IFERROR(__xludf.DUMMYFUNCTION("""COMPUTED_VALUE"""),-0.418)</f>
        <v>-0.41799999999999998</v>
      </c>
      <c r="F203">
        <f ca="1">IFERROR(__xludf.DUMMYFUNCTION("""COMPUTED_VALUE"""),-2.505)</f>
        <v>-2.5049999999999999</v>
      </c>
      <c r="G203">
        <f ca="1">IFERROR(__xludf.DUMMYFUNCTION("""COMPUTED_VALUE"""),6)</f>
        <v>6</v>
      </c>
    </row>
    <row r="204" spans="1:7" ht="12.75">
      <c r="A204">
        <f ca="1">IFERROR(__xludf.DUMMYFUNCTION("""COMPUTED_VALUE"""),203)</f>
        <v>203</v>
      </c>
      <c r="B204">
        <f ca="1">IFERROR(__xludf.DUMMYFUNCTION("""COMPUTED_VALUE"""),220)</f>
        <v>220</v>
      </c>
      <c r="C204" t="str">
        <f ca="1">IFERROR(__xludf.DUMMYFUNCTION("""COMPUTED_VALUE"""),"Scott Brown")</f>
        <v>Scott Brown</v>
      </c>
      <c r="D204">
        <f ca="1">IFERROR(__xludf.DUMMYFUNCTION("""COMPUTED_VALUE"""),14)</f>
        <v>14</v>
      </c>
      <c r="E204">
        <f ca="1">IFERROR(__xludf.DUMMYFUNCTION("""COMPUTED_VALUE"""),-0.424)</f>
        <v>-0.42399999999999999</v>
      </c>
      <c r="F204">
        <f ca="1">IFERROR(__xludf.DUMMYFUNCTION("""COMPUTED_VALUE"""),-4.243)</f>
        <v>-4.2430000000000003</v>
      </c>
      <c r="G204">
        <f ca="1">IFERROR(__xludf.DUMMYFUNCTION("""COMPUTED_VALUE"""),10)</f>
        <v>10</v>
      </c>
    </row>
    <row r="205" spans="1:7" ht="12.75">
      <c r="A205">
        <f ca="1">IFERROR(__xludf.DUMMYFUNCTION("""COMPUTED_VALUE"""),204)</f>
        <v>204</v>
      </c>
      <c r="B205">
        <f ca="1">IFERROR(__xludf.DUMMYFUNCTION("""COMPUTED_VALUE"""),198)</f>
        <v>198</v>
      </c>
      <c r="C205" t="str">
        <f ca="1">IFERROR(__xludf.DUMMYFUNCTION("""COMPUTED_VALUE"""),"D.A. Points")</f>
        <v>D.A. Points</v>
      </c>
      <c r="D205">
        <f ca="1">IFERROR(__xludf.DUMMYFUNCTION("""COMPUTED_VALUE"""),12)</f>
        <v>12</v>
      </c>
      <c r="E205">
        <f ca="1">IFERROR(__xludf.DUMMYFUNCTION("""COMPUTED_VALUE"""),-0.425)</f>
        <v>-0.42499999999999999</v>
      </c>
      <c r="F205">
        <f ca="1">IFERROR(__xludf.DUMMYFUNCTION("""COMPUTED_VALUE"""),-3.397)</f>
        <v>-3.3969999999999998</v>
      </c>
      <c r="G205">
        <f ca="1">IFERROR(__xludf.DUMMYFUNCTION("""COMPUTED_VALUE"""),8)</f>
        <v>8</v>
      </c>
    </row>
    <row r="206" spans="1:7" ht="12.75">
      <c r="A206">
        <f ca="1">IFERROR(__xludf.DUMMYFUNCTION("""COMPUTED_VALUE"""),205)</f>
        <v>205</v>
      </c>
      <c r="B206">
        <f ca="1">IFERROR(__xludf.DUMMYFUNCTION("""COMPUTED_VALUE"""),196)</f>
        <v>196</v>
      </c>
      <c r="C206" t="str">
        <f ca="1">IFERROR(__xludf.DUMMYFUNCTION("""COMPUTED_VALUE"""),"Jeongwoo Ham")</f>
        <v>Jeongwoo Ham</v>
      </c>
      <c r="D206">
        <f ca="1">IFERROR(__xludf.DUMMYFUNCTION("""COMPUTED_VALUE"""),4)</f>
        <v>4</v>
      </c>
      <c r="E206">
        <f ca="1">IFERROR(__xludf.DUMMYFUNCTION("""COMPUTED_VALUE"""),-0.434)</f>
        <v>-0.434</v>
      </c>
      <c r="F206">
        <f ca="1">IFERROR(__xludf.DUMMYFUNCTION("""COMPUTED_VALUE"""),-1.735)</f>
        <v>-1.7350000000000001</v>
      </c>
      <c r="G206">
        <f ca="1">IFERROR(__xludf.DUMMYFUNCTION("""COMPUTED_VALUE"""),4)</f>
        <v>4</v>
      </c>
    </row>
    <row r="207" spans="1:7" ht="12.75">
      <c r="A207">
        <f ca="1">IFERROR(__xludf.DUMMYFUNCTION("""COMPUTED_VALUE"""),206)</f>
        <v>206</v>
      </c>
      <c r="B207">
        <f ca="1">IFERROR(__xludf.DUMMYFUNCTION("""COMPUTED_VALUE"""),197)</f>
        <v>197</v>
      </c>
      <c r="C207" t="str">
        <f ca="1">IFERROR(__xludf.DUMMYFUNCTION("""COMPUTED_VALUE"""),"Tae Hee Lee")</f>
        <v>Tae Hee Lee</v>
      </c>
      <c r="D207">
        <f ca="1">IFERROR(__xludf.DUMMYFUNCTION("""COMPUTED_VALUE"""),4)</f>
        <v>4</v>
      </c>
      <c r="E207">
        <f ca="1">IFERROR(__xludf.DUMMYFUNCTION("""COMPUTED_VALUE"""),-0.451)</f>
        <v>-0.45100000000000001</v>
      </c>
      <c r="F207">
        <f ca="1">IFERROR(__xludf.DUMMYFUNCTION("""COMPUTED_VALUE"""),-1.802)</f>
        <v>-1.802</v>
      </c>
      <c r="G207">
        <f ca="1">IFERROR(__xludf.DUMMYFUNCTION("""COMPUTED_VALUE"""),4)</f>
        <v>4</v>
      </c>
    </row>
    <row r="208" spans="1:7" ht="12.75">
      <c r="A208">
        <f ca="1">IFERROR(__xludf.DUMMYFUNCTION("""COMPUTED_VALUE"""),207)</f>
        <v>207</v>
      </c>
      <c r="B208">
        <f ca="1">IFERROR(__xludf.DUMMYFUNCTION("""COMPUTED_VALUE"""),229)</f>
        <v>229</v>
      </c>
      <c r="C208" t="str">
        <f ca="1">IFERROR(__xludf.DUMMYFUNCTION("""COMPUTED_VALUE"""),"Hudson Swafford")</f>
        <v>Hudson Swafford</v>
      </c>
      <c r="D208">
        <f ca="1">IFERROR(__xludf.DUMMYFUNCTION("""COMPUTED_VALUE"""),18)</f>
        <v>18</v>
      </c>
      <c r="E208">
        <f ca="1">IFERROR(__xludf.DUMMYFUNCTION("""COMPUTED_VALUE"""),-0.465)</f>
        <v>-0.46500000000000002</v>
      </c>
      <c r="F208">
        <f ca="1">IFERROR(__xludf.DUMMYFUNCTION("""COMPUTED_VALUE"""),-4.651)</f>
        <v>-4.6509999999999998</v>
      </c>
      <c r="G208">
        <f ca="1">IFERROR(__xludf.DUMMYFUNCTION("""COMPUTED_VALUE"""),10)</f>
        <v>10</v>
      </c>
    </row>
    <row r="209" spans="1:7" ht="12.75">
      <c r="A209">
        <f ca="1">IFERROR(__xludf.DUMMYFUNCTION("""COMPUTED_VALUE"""),208)</f>
        <v>208</v>
      </c>
      <c r="B209">
        <f ca="1">IFERROR(__xludf.DUMMYFUNCTION("""COMPUTED_VALUE"""),215)</f>
        <v>215</v>
      </c>
      <c r="C209" t="str">
        <f ca="1">IFERROR(__xludf.DUMMYFUNCTION("""COMPUTED_VALUE"""),"Scott Piercy")</f>
        <v>Scott Piercy</v>
      </c>
      <c r="D209">
        <f ca="1">IFERROR(__xludf.DUMMYFUNCTION("""COMPUTED_VALUE"""),18)</f>
        <v>18</v>
      </c>
      <c r="E209">
        <f ca="1">IFERROR(__xludf.DUMMYFUNCTION("""COMPUTED_VALUE"""),-0.467)</f>
        <v>-0.46700000000000003</v>
      </c>
      <c r="F209">
        <f ca="1">IFERROR(__xludf.DUMMYFUNCTION("""COMPUTED_VALUE"""),-6.542)</f>
        <v>-6.5419999999999998</v>
      </c>
      <c r="G209">
        <f ca="1">IFERROR(__xludf.DUMMYFUNCTION("""COMPUTED_VALUE"""),14)</f>
        <v>14</v>
      </c>
    </row>
    <row r="210" spans="1:7" ht="12.75">
      <c r="A210">
        <f ca="1">IFERROR(__xludf.DUMMYFUNCTION("""COMPUTED_VALUE"""),209)</f>
        <v>209</v>
      </c>
      <c r="B210">
        <f ca="1">IFERROR(__xludf.DUMMYFUNCTION("""COMPUTED_VALUE"""),221)</f>
        <v>221</v>
      </c>
      <c r="C210" t="str">
        <f ca="1">IFERROR(__xludf.DUMMYFUNCTION("""COMPUTED_VALUE"""),"Dylan Frittelli")</f>
        <v>Dylan Frittelli</v>
      </c>
      <c r="D210">
        <f ca="1">IFERROR(__xludf.DUMMYFUNCTION("""COMPUTED_VALUE"""),16)</f>
        <v>16</v>
      </c>
      <c r="E210">
        <f ca="1">IFERROR(__xludf.DUMMYFUNCTION("""COMPUTED_VALUE"""),-0.485)</f>
        <v>-0.48499999999999999</v>
      </c>
      <c r="F210">
        <f ca="1">IFERROR(__xludf.DUMMYFUNCTION("""COMPUTED_VALUE"""),-7.762)</f>
        <v>-7.7619999999999996</v>
      </c>
      <c r="G210">
        <f ca="1">IFERROR(__xludf.DUMMYFUNCTION("""COMPUTED_VALUE"""),16)</f>
        <v>16</v>
      </c>
    </row>
    <row r="211" spans="1:7" ht="12.75">
      <c r="A211">
        <f ca="1">IFERROR(__xludf.DUMMYFUNCTION("""COMPUTED_VALUE"""),210)</f>
        <v>210</v>
      </c>
      <c r="B211" t="str">
        <f ca="1">IFERROR(__xludf.DUMMYFUNCTION("""COMPUTED_VALUE"""),"")</f>
        <v/>
      </c>
      <c r="C211" t="str">
        <f ca="1">IFERROR(__xludf.DUMMYFUNCTION("""COMPUTED_VALUE"""),"Padraig Harrington")</f>
        <v>Padraig Harrington</v>
      </c>
      <c r="D211">
        <f ca="1">IFERROR(__xludf.DUMMYFUNCTION("""COMPUTED_VALUE"""),8)</f>
        <v>8</v>
      </c>
      <c r="E211">
        <f ca="1">IFERROR(__xludf.DUMMYFUNCTION("""COMPUTED_VALUE"""),-0.486)</f>
        <v>-0.48599999999999999</v>
      </c>
      <c r="F211">
        <f ca="1">IFERROR(__xludf.DUMMYFUNCTION("""COMPUTED_VALUE"""),-1.944)</f>
        <v>-1.944</v>
      </c>
      <c r="G211">
        <f ca="1">IFERROR(__xludf.DUMMYFUNCTION("""COMPUTED_VALUE"""),4)</f>
        <v>4</v>
      </c>
    </row>
    <row r="212" spans="1:7" ht="12.75">
      <c r="A212">
        <f ca="1">IFERROR(__xludf.DUMMYFUNCTION("""COMPUTED_VALUE"""),211)</f>
        <v>211</v>
      </c>
      <c r="B212">
        <f ca="1">IFERROR(__xludf.DUMMYFUNCTION("""COMPUTED_VALUE"""),230)</f>
        <v>230</v>
      </c>
      <c r="C212" t="str">
        <f ca="1">IFERROR(__xludf.DUMMYFUNCTION("""COMPUTED_VALUE"""),"Xinjun Zhang")</f>
        <v>Xinjun Zhang</v>
      </c>
      <c r="D212">
        <f ca="1">IFERROR(__xludf.DUMMYFUNCTION("""COMPUTED_VALUE"""),14)</f>
        <v>14</v>
      </c>
      <c r="E212">
        <f ca="1">IFERROR(__xludf.DUMMYFUNCTION("""COMPUTED_VALUE"""),-0.49)</f>
        <v>-0.49</v>
      </c>
      <c r="F212">
        <f ca="1">IFERROR(__xludf.DUMMYFUNCTION("""COMPUTED_VALUE"""),-4.904)</f>
        <v>-4.9039999999999999</v>
      </c>
      <c r="G212">
        <f ca="1">IFERROR(__xludf.DUMMYFUNCTION("""COMPUTED_VALUE"""),10)</f>
        <v>10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IFERROR(__xludf.DUMMYFUNCTION("""COMPUTED_VALUE"""),"T211")</f>
        <v>T211</v>
      </c>
      <c r="C213" t="str">
        <f ca="1">IFERROR(__xludf.DUMMYFUNCTION("""COMPUTED_VALUE"""),"Wyndham Clark")</f>
        <v>Wyndham Clark</v>
      </c>
      <c r="D213">
        <f ca="1">IFERROR(__xludf.DUMMYFUNCTION("""COMPUTED_VALUE"""),16)</f>
        <v>16</v>
      </c>
      <c r="E213">
        <f ca="1">IFERROR(__xludf.DUMMYFUNCTION("""COMPUTED_VALUE"""),-0.493)</f>
        <v>-0.49299999999999999</v>
      </c>
      <c r="F213">
        <f ca="1">IFERROR(__xludf.DUMMYFUNCTION("""COMPUTED_VALUE"""),-5.917)</f>
        <v>-5.9169999999999998</v>
      </c>
      <c r="G213">
        <f ca="1">IFERROR(__xludf.DUMMYFUNCTION("""COMPUTED_VALUE"""),12)</f>
        <v>12</v>
      </c>
    </row>
    <row r="214" spans="1:7" ht="12.75">
      <c r="A214">
        <f ca="1">IFERROR(__xludf.DUMMYFUNCTION("""COMPUTED_VALUE"""),213)</f>
        <v>213</v>
      </c>
      <c r="B214">
        <f ca="1">IFERROR(__xludf.DUMMYFUNCTION("""COMPUTED_VALUE"""),159)</f>
        <v>159</v>
      </c>
      <c r="C214" t="str">
        <f ca="1">IFERROR(__xludf.DUMMYFUNCTION("""COMPUTED_VALUE"""),"Bronson Burgoon")</f>
        <v>Bronson Burgoon</v>
      </c>
      <c r="D214">
        <f ca="1">IFERROR(__xludf.DUMMYFUNCTION("""COMPUTED_VALUE"""),10)</f>
        <v>10</v>
      </c>
      <c r="E214">
        <f ca="1">IFERROR(__xludf.DUMMYFUNCTION("""COMPUTED_VALUE"""),-0.496)</f>
        <v>-0.496</v>
      </c>
      <c r="F214">
        <f ca="1">IFERROR(__xludf.DUMMYFUNCTION("""COMPUTED_VALUE"""),-3.967)</f>
        <v>-3.9670000000000001</v>
      </c>
      <c r="G214">
        <f ca="1">IFERROR(__xludf.DUMMYFUNCTION("""COMPUTED_VALUE"""),8)</f>
        <v>8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IFERROR(__xludf.DUMMYFUNCTION("""COMPUTED_VALUE"""),166)</f>
        <v>166</v>
      </c>
      <c r="C215" t="str">
        <f ca="1">IFERROR(__xludf.DUMMYFUNCTION("""COMPUTED_VALUE"""),"Robby Shelton")</f>
        <v>Robby Shelton</v>
      </c>
      <c r="D215">
        <f ca="1">IFERROR(__xludf.DUMMYFUNCTION("""COMPUTED_VALUE"""),14)</f>
        <v>14</v>
      </c>
      <c r="E215">
        <f ca="1">IFERROR(__xludf.DUMMYFUNCTION("""COMPUTED_VALUE"""),-0.509)</f>
        <v>-0.50900000000000001</v>
      </c>
      <c r="F215">
        <f ca="1">IFERROR(__xludf.DUMMYFUNCTION("""COMPUTED_VALUE"""),-7.128)</f>
        <v>-7.1280000000000001</v>
      </c>
      <c r="G215">
        <f ca="1">IFERROR(__xludf.DUMMYFUNCTION("""COMPUTED_VALUE"""),14)</f>
        <v>14</v>
      </c>
    </row>
    <row r="216" spans="1:7" ht="12.75">
      <c r="A216">
        <f ca="1">IFERROR(__xludf.DUMMYFUNCTION("""COMPUTED_VALUE"""),215)</f>
        <v>215</v>
      </c>
      <c r="B216">
        <f ca="1">IFERROR(__xludf.DUMMYFUNCTION("""COMPUTED_VALUE"""),200)</f>
        <v>200</v>
      </c>
      <c r="C216" t="str">
        <f ca="1">IFERROR(__xludf.DUMMYFUNCTION("""COMPUTED_VALUE"""),"Andrew Landry")</f>
        <v>Andrew Landry</v>
      </c>
      <c r="D216">
        <f ca="1">IFERROR(__xludf.DUMMYFUNCTION("""COMPUTED_VALUE"""),14)</f>
        <v>14</v>
      </c>
      <c r="E216">
        <f ca="1">IFERROR(__xludf.DUMMYFUNCTION("""COMPUTED_VALUE"""),-0.515)</f>
        <v>-0.51500000000000001</v>
      </c>
      <c r="F216">
        <f ca="1">IFERROR(__xludf.DUMMYFUNCTION("""COMPUTED_VALUE"""),-7.213)</f>
        <v>-7.2130000000000001</v>
      </c>
      <c r="G216">
        <f ca="1">IFERROR(__xludf.DUMMYFUNCTION("""COMPUTED_VALUE"""),14)</f>
        <v>14</v>
      </c>
    </row>
    <row r="217" spans="1:7" ht="12.75">
      <c r="A217">
        <f ca="1">IFERROR(__xludf.DUMMYFUNCTION("""COMPUTED_VALUE"""),216)</f>
        <v>216</v>
      </c>
      <c r="B217">
        <f ca="1">IFERROR(__xludf.DUMMYFUNCTION("""COMPUTED_VALUE"""),202)</f>
        <v>202</v>
      </c>
      <c r="C217" t="str">
        <f ca="1">IFERROR(__xludf.DUMMYFUNCTION("""COMPUTED_VALUE"""),"Vaughn Taylor")</f>
        <v>Vaughn Taylor</v>
      </c>
      <c r="D217">
        <f ca="1">IFERROR(__xludf.DUMMYFUNCTION("""COMPUTED_VALUE"""),12)</f>
        <v>12</v>
      </c>
      <c r="E217">
        <f ca="1">IFERROR(__xludf.DUMMYFUNCTION("""COMPUTED_VALUE"""),-0.528)</f>
        <v>-0.52800000000000002</v>
      </c>
      <c r="F217">
        <f ca="1">IFERROR(__xludf.DUMMYFUNCTION("""COMPUTED_VALUE"""),-3.167)</f>
        <v>-3.1669999999999998</v>
      </c>
      <c r="G217">
        <f ca="1">IFERROR(__xludf.DUMMYFUNCTION("""COMPUTED_VALUE"""),6)</f>
        <v>6</v>
      </c>
    </row>
    <row r="218" spans="1:7" ht="12.75">
      <c r="A218">
        <f ca="1">IFERROR(__xludf.DUMMYFUNCTION("""COMPUTED_VALUE"""),217)</f>
        <v>217</v>
      </c>
      <c r="B218">
        <f ca="1">IFERROR(__xludf.DUMMYFUNCTION("""COMPUTED_VALUE"""),203)</f>
        <v>203</v>
      </c>
      <c r="C218" t="str">
        <f ca="1">IFERROR(__xludf.DUMMYFUNCTION("""COMPUTED_VALUE"""),"Chris Baker")</f>
        <v>Chris Baker</v>
      </c>
      <c r="D218">
        <f ca="1">IFERROR(__xludf.DUMMYFUNCTION("""COMPUTED_VALUE"""),8)</f>
        <v>8</v>
      </c>
      <c r="E218">
        <f ca="1">IFERROR(__xludf.DUMMYFUNCTION("""COMPUTED_VALUE"""),-0.538)</f>
        <v>-0.53800000000000003</v>
      </c>
      <c r="F218">
        <f ca="1">IFERROR(__xludf.DUMMYFUNCTION("""COMPUTED_VALUE"""),-2.152)</f>
        <v>-2.1520000000000001</v>
      </c>
      <c r="G218">
        <f ca="1">IFERROR(__xludf.DUMMYFUNCTION("""COMPUTED_VALUE"""),4)</f>
        <v>4</v>
      </c>
    </row>
    <row r="219" spans="1:7" ht="12.75">
      <c r="A219">
        <f ca="1">IFERROR(__xludf.DUMMYFUNCTION("""COMPUTED_VALUE"""),218)</f>
        <v>218</v>
      </c>
      <c r="B219">
        <f ca="1">IFERROR(__xludf.DUMMYFUNCTION("""COMPUTED_VALUE"""),204)</f>
        <v>204</v>
      </c>
      <c r="C219" t="str">
        <f ca="1">IFERROR(__xludf.DUMMYFUNCTION("""COMPUTED_VALUE"""),"Jim Herman")</f>
        <v>Jim Herman</v>
      </c>
      <c r="D219">
        <f ca="1">IFERROR(__xludf.DUMMYFUNCTION("""COMPUTED_VALUE"""),12)</f>
        <v>12</v>
      </c>
      <c r="E219">
        <f ca="1">IFERROR(__xludf.DUMMYFUNCTION("""COMPUTED_VALUE"""),-0.542)</f>
        <v>-0.54200000000000004</v>
      </c>
      <c r="F219">
        <f ca="1">IFERROR(__xludf.DUMMYFUNCTION("""COMPUTED_VALUE"""),-6.509)</f>
        <v>-6.5090000000000003</v>
      </c>
      <c r="G219">
        <f ca="1">IFERROR(__xludf.DUMMYFUNCTION("""COMPUTED_VALUE"""),12)</f>
        <v>12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IFERROR(__xludf.DUMMYFUNCTION("""COMPUTED_VALUE"""),"")</f>
        <v/>
      </c>
      <c r="C220" t="str">
        <f ca="1">IFERROR(__xludf.DUMMYFUNCTION("""COMPUTED_VALUE"""),"Justin Harding")</f>
        <v>Justin Harding</v>
      </c>
      <c r="D220">
        <f ca="1">IFERROR(__xludf.DUMMYFUNCTION("""COMPUTED_VALUE"""),6)</f>
        <v>6</v>
      </c>
      <c r="E220">
        <f ca="1">IFERROR(__xludf.DUMMYFUNCTION("""COMPUTED_VALUE"""),-0.548)</f>
        <v>-0.54800000000000004</v>
      </c>
      <c r="F220">
        <f ca="1">IFERROR(__xludf.DUMMYFUNCTION("""COMPUTED_VALUE"""),-3.289)</f>
        <v>-3.2890000000000001</v>
      </c>
      <c r="G220">
        <f ca="1">IFERROR(__xludf.DUMMYFUNCTION("""COMPUTED_VALUE"""),6)</f>
        <v>6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IFERROR(__xludf.DUMMYFUNCTION("""COMPUTED_VALUE"""),206)</f>
        <v>206</v>
      </c>
      <c r="C221" t="str">
        <f ca="1">IFERROR(__xludf.DUMMYFUNCTION("""COMPUTED_VALUE"""),"Matt Every")</f>
        <v>Matt Every</v>
      </c>
      <c r="D221">
        <f ca="1">IFERROR(__xludf.DUMMYFUNCTION("""COMPUTED_VALUE"""),8)</f>
        <v>8</v>
      </c>
      <c r="E221">
        <f ca="1">IFERROR(__xludf.DUMMYFUNCTION("""COMPUTED_VALUE"""),-0.557)</f>
        <v>-0.55700000000000005</v>
      </c>
      <c r="F221">
        <f ca="1">IFERROR(__xludf.DUMMYFUNCTION("""COMPUTED_VALUE"""),-2.23)</f>
        <v>-2.23</v>
      </c>
      <c r="G221">
        <f ca="1">IFERROR(__xludf.DUMMYFUNCTION("""COMPUTED_VALUE"""),4)</f>
        <v>4</v>
      </c>
    </row>
    <row r="222" spans="1:7" ht="12.75">
      <c r="A222">
        <f ca="1">IFERROR(__xludf.DUMMYFUNCTION("""COMPUTED_VALUE"""),221)</f>
        <v>221</v>
      </c>
      <c r="B222" t="str">
        <f ca="1">IFERROR(__xludf.DUMMYFUNCTION("""COMPUTED_VALUE"""),"")</f>
        <v/>
      </c>
      <c r="C222" t="str">
        <f ca="1">IFERROR(__xludf.DUMMYFUNCTION("""COMPUTED_VALUE"""),"Greg Chalmers")</f>
        <v>Greg Chalmers</v>
      </c>
      <c r="D222">
        <f ca="1">IFERROR(__xludf.DUMMYFUNCTION("""COMPUTED_VALUE"""),6)</f>
        <v>6</v>
      </c>
      <c r="E222">
        <f ca="1">IFERROR(__xludf.DUMMYFUNCTION("""COMPUTED_VALUE"""),-0.577)</f>
        <v>-0.57699999999999996</v>
      </c>
      <c r="F222">
        <f ca="1">IFERROR(__xludf.DUMMYFUNCTION("""COMPUTED_VALUE"""),-3.462)</f>
        <v>-3.4620000000000002</v>
      </c>
      <c r="G222">
        <f ca="1">IFERROR(__xludf.DUMMYFUNCTION("""COMPUTED_VALUE"""),6)</f>
        <v>6</v>
      </c>
    </row>
    <row r="223" spans="1:7" ht="12.75">
      <c r="A223">
        <f ca="1">IFERROR(__xludf.DUMMYFUNCTION("""COMPUTED_VALUE"""),222)</f>
        <v>222</v>
      </c>
      <c r="B223">
        <f ca="1">IFERROR(__xludf.DUMMYFUNCTION("""COMPUTED_VALUE"""),207)</f>
        <v>207</v>
      </c>
      <c r="C223" t="str">
        <f ca="1">IFERROR(__xludf.DUMMYFUNCTION("""COMPUTED_VALUE"""),"John Senden")</f>
        <v>John Senden</v>
      </c>
      <c r="D223">
        <f ca="1">IFERROR(__xludf.DUMMYFUNCTION("""COMPUTED_VALUE"""),8)</f>
        <v>8</v>
      </c>
      <c r="E223">
        <f ca="1">IFERROR(__xludf.DUMMYFUNCTION("""COMPUTED_VALUE"""),-0.578)</f>
        <v>-0.57799999999999996</v>
      </c>
      <c r="F223">
        <f ca="1">IFERROR(__xludf.DUMMYFUNCTION("""COMPUTED_VALUE"""),-1.157)</f>
        <v>-1.157</v>
      </c>
      <c r="G223">
        <f ca="1">IFERROR(__xludf.DUMMYFUNCTION("""COMPUTED_VALUE"""),2)</f>
        <v>2</v>
      </c>
    </row>
    <row r="224" spans="1:7" ht="12.75">
      <c r="A224">
        <f ca="1">IFERROR(__xludf.DUMMYFUNCTION("""COMPUTED_VALUE"""),223)</f>
        <v>223</v>
      </c>
      <c r="B224">
        <f ca="1">IFERROR(__xludf.DUMMYFUNCTION("""COMPUTED_VALUE"""),208)</f>
        <v>208</v>
      </c>
      <c r="C224" t="str">
        <f ca="1">IFERROR(__xludf.DUMMYFUNCTION("""COMPUTED_VALUE"""),"Zac Blair")</f>
        <v>Zac Blair</v>
      </c>
      <c r="D224">
        <f ca="1">IFERROR(__xludf.DUMMYFUNCTION("""COMPUTED_VALUE"""),10)</f>
        <v>10</v>
      </c>
      <c r="E224">
        <f ca="1">IFERROR(__xludf.DUMMYFUNCTION("""COMPUTED_VALUE"""),-0.585)</f>
        <v>-0.58499999999999996</v>
      </c>
      <c r="F224">
        <f ca="1">IFERROR(__xludf.DUMMYFUNCTION("""COMPUTED_VALUE"""),-3.508)</f>
        <v>-3.508</v>
      </c>
      <c r="G224">
        <f ca="1">IFERROR(__xludf.DUMMYFUNCTION("""COMPUTED_VALUE"""),6)</f>
        <v>6</v>
      </c>
    </row>
    <row r="225" spans="1:7" ht="12.75">
      <c r="A225">
        <f ca="1">IFERROR(__xludf.DUMMYFUNCTION("""COMPUTED_VALUE"""),224)</f>
        <v>224</v>
      </c>
      <c r="B225">
        <f ca="1">IFERROR(__xludf.DUMMYFUNCTION("""COMPUTED_VALUE"""),209)</f>
        <v>209</v>
      </c>
      <c r="C225" t="str">
        <f ca="1">IFERROR(__xludf.DUMMYFUNCTION("""COMPUTED_VALUE"""),"Wes Roach")</f>
        <v>Wes Roach</v>
      </c>
      <c r="D225">
        <f ca="1">IFERROR(__xludf.DUMMYFUNCTION("""COMPUTED_VALUE"""),6)</f>
        <v>6</v>
      </c>
      <c r="E225">
        <f ca="1">IFERROR(__xludf.DUMMYFUNCTION("""COMPUTED_VALUE"""),-0.591)</f>
        <v>-0.59099999999999997</v>
      </c>
      <c r="F225">
        <f ca="1">IFERROR(__xludf.DUMMYFUNCTION("""COMPUTED_VALUE"""),-1.183)</f>
        <v>-1.1830000000000001</v>
      </c>
      <c r="G225">
        <f ca="1">IFERROR(__xludf.DUMMYFUNCTION("""COMPUTED_VALUE"""),2)</f>
        <v>2</v>
      </c>
    </row>
    <row r="226" spans="1:7" ht="12.75">
      <c r="A226">
        <f ca="1">IFERROR(__xludf.DUMMYFUNCTION("""COMPUTED_VALUE"""),225)</f>
        <v>225</v>
      </c>
      <c r="B226">
        <f ca="1">IFERROR(__xludf.DUMMYFUNCTION("""COMPUTED_VALUE"""),210)</f>
        <v>210</v>
      </c>
      <c r="C226" t="str">
        <f ca="1">IFERROR(__xludf.DUMMYFUNCTION("""COMPUTED_VALUE"""),"William McGirt")</f>
        <v>William McGirt</v>
      </c>
      <c r="D226">
        <f ca="1">IFERROR(__xludf.DUMMYFUNCTION("""COMPUTED_VALUE"""),6)</f>
        <v>6</v>
      </c>
      <c r="E226">
        <f ca="1">IFERROR(__xludf.DUMMYFUNCTION("""COMPUTED_VALUE"""),-0.593)</f>
        <v>-0.59299999999999997</v>
      </c>
      <c r="F226">
        <f ca="1">IFERROR(__xludf.DUMMYFUNCTION("""COMPUTED_VALUE"""),-3.558)</f>
        <v>-3.5579999999999998</v>
      </c>
      <c r="G226">
        <f ca="1">IFERROR(__xludf.DUMMYFUNCTION("""COMPUTED_VALUE"""),6)</f>
        <v>6</v>
      </c>
    </row>
    <row r="227" spans="1:7" ht="12.75">
      <c r="A227">
        <f ca="1">IFERROR(__xludf.DUMMYFUNCTION("""COMPUTED_VALUE"""),226)</f>
        <v>226</v>
      </c>
      <c r="B227">
        <f ca="1">IFERROR(__xludf.DUMMYFUNCTION("""COMPUTED_VALUE"""),214)</f>
        <v>214</v>
      </c>
      <c r="C227" t="str">
        <f ca="1">IFERROR(__xludf.DUMMYFUNCTION("""COMPUTED_VALUE"""),"Jim Furyk")</f>
        <v>Jim Furyk</v>
      </c>
      <c r="D227">
        <f ca="1">IFERROR(__xludf.DUMMYFUNCTION("""COMPUTED_VALUE"""),4)</f>
        <v>4</v>
      </c>
      <c r="E227">
        <f ca="1">IFERROR(__xludf.DUMMYFUNCTION("""COMPUTED_VALUE"""),-0.607)</f>
        <v>-0.60699999999999998</v>
      </c>
      <c r="F227">
        <f ca="1">IFERROR(__xludf.DUMMYFUNCTION("""COMPUTED_VALUE"""),-2.428)</f>
        <v>-2.4279999999999999</v>
      </c>
      <c r="G227">
        <f ca="1">IFERROR(__xludf.DUMMYFUNCTION("""COMPUTED_VALUE"""),4)</f>
        <v>4</v>
      </c>
    </row>
    <row r="228" spans="1:7" ht="12.75">
      <c r="A228">
        <f ca="1">IFERROR(__xludf.DUMMYFUNCTION("""COMPUTED_VALUE"""),227)</f>
        <v>227</v>
      </c>
      <c r="B228">
        <f ca="1">IFERROR(__xludf.DUMMYFUNCTION("""COMPUTED_VALUE"""),216)</f>
        <v>216</v>
      </c>
      <c r="C228" t="str">
        <f ca="1">IFERROR(__xludf.DUMMYFUNCTION("""COMPUTED_VALUE"""),"Mark Anderson")</f>
        <v>Mark Anderson</v>
      </c>
      <c r="D228">
        <f ca="1">IFERROR(__xludf.DUMMYFUNCTION("""COMPUTED_VALUE"""),14)</f>
        <v>14</v>
      </c>
      <c r="E228">
        <f ca="1">IFERROR(__xludf.DUMMYFUNCTION("""COMPUTED_VALUE"""),-0.667)</f>
        <v>-0.66700000000000004</v>
      </c>
      <c r="F228">
        <f ca="1">IFERROR(__xludf.DUMMYFUNCTION("""COMPUTED_VALUE"""),-4.001)</f>
        <v>-4.0010000000000003</v>
      </c>
      <c r="G228">
        <f ca="1">IFERROR(__xludf.DUMMYFUNCTION("""COMPUTED_VALUE"""),6)</f>
        <v>6</v>
      </c>
    </row>
    <row r="229" spans="1:7" ht="12.75">
      <c r="A229">
        <f ca="1">IFERROR(__xludf.DUMMYFUNCTION("""COMPUTED_VALUE"""),228)</f>
        <v>228</v>
      </c>
      <c r="B229">
        <f ca="1">IFERROR(__xludf.DUMMYFUNCTION("""COMPUTED_VALUE"""),217)</f>
        <v>217</v>
      </c>
      <c r="C229" t="str">
        <f ca="1">IFERROR(__xludf.DUMMYFUNCTION("""COMPUTED_VALUE"""),"Brian Gay")</f>
        <v>Brian Gay</v>
      </c>
      <c r="D229">
        <f ca="1">IFERROR(__xludf.DUMMYFUNCTION("""COMPUTED_VALUE"""),8)</f>
        <v>8</v>
      </c>
      <c r="E229">
        <f ca="1">IFERROR(__xludf.DUMMYFUNCTION("""COMPUTED_VALUE"""),-0.669)</f>
        <v>-0.66900000000000004</v>
      </c>
      <c r="F229">
        <f ca="1">IFERROR(__xludf.DUMMYFUNCTION("""COMPUTED_VALUE"""),-2.677)</f>
        <v>-2.677</v>
      </c>
      <c r="G229">
        <f ca="1">IFERROR(__xludf.DUMMYFUNCTION("""COMPUTED_VALUE"""),4)</f>
        <v>4</v>
      </c>
    </row>
    <row r="230" spans="1:7" ht="12.75">
      <c r="A230">
        <f ca="1">IFERROR(__xludf.DUMMYFUNCTION("""COMPUTED_VALUE"""),229)</f>
        <v>229</v>
      </c>
      <c r="B230">
        <f ca="1">IFERROR(__xludf.DUMMYFUNCTION("""COMPUTED_VALUE"""),218)</f>
        <v>218</v>
      </c>
      <c r="C230" t="str">
        <f ca="1">IFERROR(__xludf.DUMMYFUNCTION("""COMPUTED_VALUE"""),"Chez Reavie")</f>
        <v>Chez Reavie</v>
      </c>
      <c r="D230">
        <f ca="1">IFERROR(__xludf.DUMMYFUNCTION("""COMPUTED_VALUE"""),14)</f>
        <v>14</v>
      </c>
      <c r="E230">
        <f ca="1">IFERROR(__xludf.DUMMYFUNCTION("""COMPUTED_VALUE"""),-0.673)</f>
        <v>-0.67300000000000004</v>
      </c>
      <c r="F230">
        <f ca="1">IFERROR(__xludf.DUMMYFUNCTION("""COMPUTED_VALUE"""),-9.424)</f>
        <v>-9.4239999999999995</v>
      </c>
      <c r="G230">
        <f ca="1">IFERROR(__xludf.DUMMYFUNCTION("""COMPUTED_VALUE"""),14)</f>
        <v>14</v>
      </c>
    </row>
    <row r="231" spans="1:7" ht="12.75">
      <c r="A231">
        <f ca="1">IFERROR(__xludf.DUMMYFUNCTION("""COMPUTED_VALUE"""),230)</f>
        <v>230</v>
      </c>
      <c r="B231">
        <f ca="1">IFERROR(__xludf.DUMMYFUNCTION("""COMPUTED_VALUE"""),219)</f>
        <v>219</v>
      </c>
      <c r="C231" t="str">
        <f ca="1">IFERROR(__xludf.DUMMYFUNCTION("""COMPUTED_VALUE"""),"Bubba Watson")</f>
        <v>Bubba Watson</v>
      </c>
      <c r="D231">
        <f ca="1">IFERROR(__xludf.DUMMYFUNCTION("""COMPUTED_VALUE"""),12)</f>
        <v>12</v>
      </c>
      <c r="E231">
        <f ca="1">IFERROR(__xludf.DUMMYFUNCTION("""COMPUTED_VALUE"""),-0.676)</f>
        <v>-0.67600000000000005</v>
      </c>
      <c r="F231">
        <f ca="1">IFERROR(__xludf.DUMMYFUNCTION("""COMPUTED_VALUE"""),-8.117)</f>
        <v>-8.1170000000000009</v>
      </c>
      <c r="G231">
        <f ca="1">IFERROR(__xludf.DUMMYFUNCTION("""COMPUTED_VALUE"""),12)</f>
        <v>12</v>
      </c>
    </row>
    <row r="232" spans="1:7" ht="12.75">
      <c r="A232">
        <f ca="1">IFERROR(__xludf.DUMMYFUNCTION("""COMPUTED_VALUE"""),231)</f>
        <v>231</v>
      </c>
      <c r="B232">
        <f ca="1">IFERROR(__xludf.DUMMYFUNCTION("""COMPUTED_VALUE"""),205)</f>
        <v>205</v>
      </c>
      <c r="C232" t="str">
        <f ca="1">IFERROR(__xludf.DUMMYFUNCTION("""COMPUTED_VALUE"""),"Keegan Bradley")</f>
        <v>Keegan Bradley</v>
      </c>
      <c r="D232">
        <f ca="1">IFERROR(__xludf.DUMMYFUNCTION("""COMPUTED_VALUE"""),16)</f>
        <v>16</v>
      </c>
      <c r="E232">
        <f ca="1">IFERROR(__xludf.DUMMYFUNCTION("""COMPUTED_VALUE"""),-0.707)</f>
        <v>-0.70699999999999996</v>
      </c>
      <c r="F232">
        <f ca="1">IFERROR(__xludf.DUMMYFUNCTION("""COMPUTED_VALUE"""),-11.308)</f>
        <v>-11.308</v>
      </c>
      <c r="G232">
        <f ca="1">IFERROR(__xludf.DUMMYFUNCTION("""COMPUTED_VALUE"""),16)</f>
        <v>16</v>
      </c>
    </row>
    <row r="233" spans="1:7" ht="12.75">
      <c r="A233">
        <f ca="1">IFERROR(__xludf.DUMMYFUNCTION("""COMPUTED_VALUE"""),232)</f>
        <v>232</v>
      </c>
      <c r="B233" t="str">
        <f ca="1">IFERROR(__xludf.DUMMYFUNCTION("""COMPUTED_VALUE"""),"T225")</f>
        <v>T225</v>
      </c>
      <c r="C233" t="str">
        <f ca="1">IFERROR(__xludf.DUMMYFUNCTION("""COMPUTED_VALUE"""),"Sung Kang")</f>
        <v>Sung Kang</v>
      </c>
      <c r="D233">
        <f ca="1">IFERROR(__xludf.DUMMYFUNCTION("""COMPUTED_VALUE"""),14)</f>
        <v>14</v>
      </c>
      <c r="E233">
        <f ca="1">IFERROR(__xludf.DUMMYFUNCTION("""COMPUTED_VALUE"""),-0.709)</f>
        <v>-0.70899999999999996</v>
      </c>
      <c r="F233">
        <f ca="1">IFERROR(__xludf.DUMMYFUNCTION("""COMPUTED_VALUE"""),-9.922)</f>
        <v>-9.9220000000000006</v>
      </c>
      <c r="G233">
        <f ca="1">IFERROR(__xludf.DUMMYFUNCTION("""COMPUTED_VALUE"""),14)</f>
        <v>14</v>
      </c>
    </row>
    <row r="234" spans="1:7" ht="12.75">
      <c r="A234">
        <f ca="1">IFERROR(__xludf.DUMMYFUNCTION("""COMPUTED_VALUE"""),233)</f>
        <v>233</v>
      </c>
      <c r="B234">
        <f ca="1">IFERROR(__xludf.DUMMYFUNCTION("""COMPUTED_VALUE"""),223)</f>
        <v>223</v>
      </c>
      <c r="C234" t="str">
        <f ca="1">IFERROR(__xludf.DUMMYFUNCTION("""COMPUTED_VALUE"""),"Rikuya Hoshino")</f>
        <v>Rikuya Hoshino</v>
      </c>
      <c r="D234">
        <f ca="1">IFERROR(__xludf.DUMMYFUNCTION("""COMPUTED_VALUE"""),4)</f>
        <v>4</v>
      </c>
      <c r="E234">
        <f ca="1">IFERROR(__xludf.DUMMYFUNCTION("""COMPUTED_VALUE"""),-0.713)</f>
        <v>-0.71299999999999997</v>
      </c>
      <c r="F234">
        <f ca="1">IFERROR(__xludf.DUMMYFUNCTION("""COMPUTED_VALUE"""),-2.851)</f>
        <v>-2.851</v>
      </c>
      <c r="G234">
        <f ca="1">IFERROR(__xludf.DUMMYFUNCTION("""COMPUTED_VALUE"""),4)</f>
        <v>4</v>
      </c>
    </row>
    <row r="235" spans="1:7" ht="12.75">
      <c r="A235">
        <f ca="1">IFERROR(__xludf.DUMMYFUNCTION("""COMPUTED_VALUE"""),234)</f>
        <v>234</v>
      </c>
      <c r="B235">
        <f ca="1">IFERROR(__xludf.DUMMYFUNCTION("""COMPUTED_VALUE"""),238)</f>
        <v>238</v>
      </c>
      <c r="C235" t="str">
        <f ca="1">IFERROR(__xludf.DUMMYFUNCTION("""COMPUTED_VALUE"""),"Luke Donald")</f>
        <v>Luke Donald</v>
      </c>
      <c r="D235">
        <f ca="1">IFERROR(__xludf.DUMMYFUNCTION("""COMPUTED_VALUE"""),14)</f>
        <v>14</v>
      </c>
      <c r="E235">
        <f ca="1">IFERROR(__xludf.DUMMYFUNCTION("""COMPUTED_VALUE"""),-0.719)</f>
        <v>-0.71899999999999997</v>
      </c>
      <c r="F235">
        <f ca="1">IFERROR(__xludf.DUMMYFUNCTION("""COMPUTED_VALUE"""),-7.195)</f>
        <v>-7.1950000000000003</v>
      </c>
      <c r="G235">
        <f ca="1">IFERROR(__xludf.DUMMYFUNCTION("""COMPUTED_VALUE"""),10)</f>
        <v>10</v>
      </c>
    </row>
    <row r="236" spans="1:7" ht="12.75">
      <c r="A236">
        <f ca="1">IFERROR(__xludf.DUMMYFUNCTION("""COMPUTED_VALUE"""),235)</f>
        <v>235</v>
      </c>
      <c r="B236">
        <f ca="1">IFERROR(__xludf.DUMMYFUNCTION("""COMPUTED_VALUE"""),227)</f>
        <v>227</v>
      </c>
      <c r="C236" t="str">
        <f ca="1">IFERROR(__xludf.DUMMYFUNCTION("""COMPUTED_VALUE"""),"George Markham")</f>
        <v>George Markham</v>
      </c>
      <c r="D236">
        <f ca="1">IFERROR(__xludf.DUMMYFUNCTION("""COMPUTED_VALUE"""),4)</f>
        <v>4</v>
      </c>
      <c r="E236">
        <f ca="1">IFERROR(__xludf.DUMMYFUNCTION("""COMPUTED_VALUE"""),-0.732)</f>
        <v>-0.73199999999999998</v>
      </c>
      <c r="F236">
        <f ca="1">IFERROR(__xludf.DUMMYFUNCTION("""COMPUTED_VALUE"""),-2.93)</f>
        <v>-2.93</v>
      </c>
      <c r="G236">
        <f ca="1">IFERROR(__xludf.DUMMYFUNCTION("""COMPUTED_VALUE"""),4)</f>
        <v>4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IFERROR(__xludf.DUMMYFUNCTION("""COMPUTED_VALUE"""),231)</f>
        <v>231</v>
      </c>
      <c r="C237" t="str">
        <f ca="1">IFERROR(__xludf.DUMMYFUNCTION("""COMPUTED_VALUE"""),"Davis Riley")</f>
        <v>Davis Riley</v>
      </c>
      <c r="D237">
        <f ca="1">IFERROR(__xludf.DUMMYFUNCTION("""COMPUTED_VALUE"""),4)</f>
        <v>4</v>
      </c>
      <c r="E237">
        <f ca="1">IFERROR(__xludf.DUMMYFUNCTION("""COMPUTED_VALUE"""),-0.754)</f>
        <v>-0.754</v>
      </c>
      <c r="F237">
        <f ca="1">IFERROR(__xludf.DUMMYFUNCTION("""COMPUTED_VALUE"""),-3.015)</f>
        <v>-3.0150000000000001</v>
      </c>
      <c r="G237">
        <f ca="1">IFERROR(__xludf.DUMMYFUNCTION("""COMPUTED_VALUE"""),4)</f>
        <v>4</v>
      </c>
    </row>
    <row r="238" spans="1:7" ht="12.75">
      <c r="A238">
        <f ca="1">IFERROR(__xludf.DUMMYFUNCTION("""COMPUTED_VALUE"""),237)</f>
        <v>237</v>
      </c>
      <c r="B238">
        <f ca="1">IFERROR(__xludf.DUMMYFUNCTION("""COMPUTED_VALUE"""),232)</f>
        <v>232</v>
      </c>
      <c r="C238" t="str">
        <f ca="1">IFERROR(__xludf.DUMMYFUNCTION("""COMPUTED_VALUE"""),"Seamus Power")</f>
        <v>Seamus Power</v>
      </c>
      <c r="D238">
        <f ca="1">IFERROR(__xludf.DUMMYFUNCTION("""COMPUTED_VALUE"""),8)</f>
        <v>8</v>
      </c>
      <c r="E238">
        <f ca="1">IFERROR(__xludf.DUMMYFUNCTION("""COMPUTED_VALUE"""),-0.763)</f>
        <v>-0.76300000000000001</v>
      </c>
      <c r="F238">
        <f ca="1">IFERROR(__xludf.DUMMYFUNCTION("""COMPUTED_VALUE"""),-1.527)</f>
        <v>-1.5269999999999999</v>
      </c>
      <c r="G238">
        <f ca="1">IFERROR(__xludf.DUMMYFUNCTION("""COMPUTED_VALUE"""),2)</f>
        <v>2</v>
      </c>
    </row>
    <row r="239" spans="1:7" ht="12.75">
      <c r="A239">
        <f ca="1">IFERROR(__xludf.DUMMYFUNCTION("""COMPUTED_VALUE"""),238)</f>
        <v>238</v>
      </c>
      <c r="B239">
        <f ca="1">IFERROR(__xludf.DUMMYFUNCTION("""COMPUTED_VALUE"""),233)</f>
        <v>233</v>
      </c>
      <c r="C239" t="str">
        <f ca="1">IFERROR(__xludf.DUMMYFUNCTION("""COMPUTED_VALUE"""),"Joseph Bramlett")</f>
        <v>Joseph Bramlett</v>
      </c>
      <c r="D239">
        <f ca="1">IFERROR(__xludf.DUMMYFUNCTION("""COMPUTED_VALUE"""),18)</f>
        <v>18</v>
      </c>
      <c r="E239">
        <f ca="1">IFERROR(__xludf.DUMMYFUNCTION("""COMPUTED_VALUE"""),-0.786)</f>
        <v>-0.78600000000000003</v>
      </c>
      <c r="F239">
        <f ca="1">IFERROR(__xludf.DUMMYFUNCTION("""COMPUTED_VALUE"""),-7.856)</f>
        <v>-7.8559999999999999</v>
      </c>
      <c r="G239">
        <f ca="1">IFERROR(__xludf.DUMMYFUNCTION("""COMPUTED_VALUE"""),10)</f>
        <v>10</v>
      </c>
    </row>
    <row r="240" spans="1:7" ht="12.75">
      <c r="A240">
        <f ca="1">IFERROR(__xludf.DUMMYFUNCTION("""COMPUTED_VALUE"""),239)</f>
        <v>239</v>
      </c>
      <c r="B240">
        <f ca="1">IFERROR(__xludf.DUMMYFUNCTION("""COMPUTED_VALUE"""),234)</f>
        <v>234</v>
      </c>
      <c r="C240" t="str">
        <f ca="1">IFERROR(__xludf.DUMMYFUNCTION("""COMPUTED_VALUE"""),"Kyle Stanley")</f>
        <v>Kyle Stanley</v>
      </c>
      <c r="D240">
        <f ca="1">IFERROR(__xludf.DUMMYFUNCTION("""COMPUTED_VALUE"""),16)</f>
        <v>16</v>
      </c>
      <c r="E240">
        <f ca="1">IFERROR(__xludf.DUMMYFUNCTION("""COMPUTED_VALUE"""),-0.805)</f>
        <v>-0.80500000000000005</v>
      </c>
      <c r="F240">
        <f ca="1">IFERROR(__xludf.DUMMYFUNCTION("""COMPUTED_VALUE"""),-6.439)</f>
        <v>-6.4390000000000001</v>
      </c>
      <c r="G240">
        <f ca="1">IFERROR(__xludf.DUMMYFUNCTION("""COMPUTED_VALUE"""),8)</f>
        <v>8</v>
      </c>
    </row>
    <row r="241" spans="1:7" ht="12.75">
      <c r="A241">
        <f ca="1">IFERROR(__xludf.DUMMYFUNCTION("""COMPUTED_VALUE"""),240)</f>
        <v>240</v>
      </c>
      <c r="B241">
        <f ca="1">IFERROR(__xludf.DUMMYFUNCTION("""COMPUTED_VALUE"""),235)</f>
        <v>235</v>
      </c>
      <c r="C241" t="str">
        <f ca="1">IFERROR(__xludf.DUMMYFUNCTION("""COMPUTED_VALUE"""),"Brendan Steele")</f>
        <v>Brendan Steele</v>
      </c>
      <c r="D241">
        <f ca="1">IFERROR(__xludf.DUMMYFUNCTION("""COMPUTED_VALUE"""),14)</f>
        <v>14</v>
      </c>
      <c r="E241">
        <f ca="1">IFERROR(__xludf.DUMMYFUNCTION("""COMPUTED_VALUE"""),-0.812)</f>
        <v>-0.81200000000000006</v>
      </c>
      <c r="F241">
        <f ca="1">IFERROR(__xludf.DUMMYFUNCTION("""COMPUTED_VALUE"""),-11.374)</f>
        <v>-11.374000000000001</v>
      </c>
      <c r="G241">
        <f ca="1">IFERROR(__xludf.DUMMYFUNCTION("""COMPUTED_VALUE"""),14)</f>
        <v>14</v>
      </c>
    </row>
    <row r="242" spans="1:7" ht="12.75">
      <c r="A242">
        <f ca="1">IFERROR(__xludf.DUMMYFUNCTION("""COMPUTED_VALUE"""),241)</f>
        <v>241</v>
      </c>
      <c r="B242">
        <f ca="1">IFERROR(__xludf.DUMMYFUNCTION("""COMPUTED_VALUE"""),237)</f>
        <v>237</v>
      </c>
      <c r="C242" t="str">
        <f ca="1">IFERROR(__xludf.DUMMYFUNCTION("""COMPUTED_VALUE"""),"Robert MacIntyre")</f>
        <v>Robert MacIntyre</v>
      </c>
      <c r="D242">
        <f ca="1">IFERROR(__xludf.DUMMYFUNCTION("""COMPUTED_VALUE"""),4)</f>
        <v>4</v>
      </c>
      <c r="E242">
        <f ca="1">IFERROR(__xludf.DUMMYFUNCTION("""COMPUTED_VALUE"""),-0.839)</f>
        <v>-0.83899999999999997</v>
      </c>
      <c r="F242">
        <f ca="1">IFERROR(__xludf.DUMMYFUNCTION("""COMPUTED_VALUE"""),-3.357)</f>
        <v>-3.3570000000000002</v>
      </c>
      <c r="G242">
        <f ca="1">IFERROR(__xludf.DUMMYFUNCTION("""COMPUTED_VALUE"""),4)</f>
        <v>4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IFERROR(__xludf.DUMMYFUNCTION("""COMPUTED_VALUE"""),29)</f>
        <v>29</v>
      </c>
      <c r="C243" t="str">
        <f ca="1">IFERROR(__xludf.DUMMYFUNCTION("""COMPUTED_VALUE"""),"Danny Willett")</f>
        <v>Danny Willett</v>
      </c>
      <c r="D243">
        <f ca="1">IFERROR(__xludf.DUMMYFUNCTION("""COMPUTED_VALUE"""),7)</f>
        <v>7</v>
      </c>
      <c r="E243">
        <f ca="1">IFERROR(__xludf.DUMMYFUNCTION("""COMPUTED_VALUE"""),-0.888)</f>
        <v>-0.88800000000000001</v>
      </c>
      <c r="F243">
        <f ca="1">IFERROR(__xludf.DUMMYFUNCTION("""COMPUTED_VALUE"""),-2.665)</f>
        <v>-2.665</v>
      </c>
      <c r="G243">
        <f ca="1">IFERROR(__xludf.DUMMYFUNCTION("""COMPUTED_VALUE"""),3)</f>
        <v>3</v>
      </c>
    </row>
    <row r="244" spans="1:7" ht="12.75">
      <c r="A244">
        <f ca="1">IFERROR(__xludf.DUMMYFUNCTION("""COMPUTED_VALUE"""),243)</f>
        <v>243</v>
      </c>
      <c r="B244">
        <f ca="1">IFERROR(__xludf.DUMMYFUNCTION("""COMPUTED_VALUE"""),248)</f>
        <v>248</v>
      </c>
      <c r="C244" t="str">
        <f ca="1">IFERROR(__xludf.DUMMYFUNCTION("""COMPUTED_VALUE"""),"Max Homa")</f>
        <v>Max Homa</v>
      </c>
      <c r="D244">
        <f ca="1">IFERROR(__xludf.DUMMYFUNCTION("""COMPUTED_VALUE"""),12)</f>
        <v>12</v>
      </c>
      <c r="E244">
        <f ca="1">IFERROR(__xludf.DUMMYFUNCTION("""COMPUTED_VALUE"""),-0.906)</f>
        <v>-0.90600000000000003</v>
      </c>
      <c r="F244">
        <f ca="1">IFERROR(__xludf.DUMMYFUNCTION("""COMPUTED_VALUE"""),-7.249)</f>
        <v>-7.2489999999999997</v>
      </c>
      <c r="G244">
        <f ca="1">IFERROR(__xludf.DUMMYFUNCTION("""COMPUTED_VALUE"""),8)</f>
        <v>8</v>
      </c>
    </row>
    <row r="245" spans="1:7" ht="12.75">
      <c r="A245">
        <f ca="1">IFERROR(__xludf.DUMMYFUNCTION("""COMPUTED_VALUE"""),244)</f>
        <v>244</v>
      </c>
      <c r="B245">
        <f ca="1">IFERROR(__xludf.DUMMYFUNCTION("""COMPUTED_VALUE"""),239)</f>
        <v>239</v>
      </c>
      <c r="C245" t="str">
        <f ca="1">IFERROR(__xludf.DUMMYFUNCTION("""COMPUTED_VALUE"""),"K.J. Choi")</f>
        <v>K.J. Choi</v>
      </c>
      <c r="D245">
        <f ca="1">IFERROR(__xludf.DUMMYFUNCTION("""COMPUTED_VALUE"""),6)</f>
        <v>6</v>
      </c>
      <c r="E245">
        <f ca="1">IFERROR(__xludf.DUMMYFUNCTION("""COMPUTED_VALUE"""),-0.927)</f>
        <v>-0.92700000000000005</v>
      </c>
      <c r="F245">
        <f ca="1">IFERROR(__xludf.DUMMYFUNCTION("""COMPUTED_VALUE"""),-5.56)</f>
        <v>-5.56</v>
      </c>
      <c r="G245">
        <f ca="1">IFERROR(__xludf.DUMMYFUNCTION("""COMPUTED_VALUE"""),6)</f>
        <v>6</v>
      </c>
    </row>
    <row r="246" spans="1:7" ht="12.75">
      <c r="A246">
        <f ca="1">IFERROR(__xludf.DUMMYFUNCTION("""COMPUTED_VALUE"""),245)</f>
        <v>245</v>
      </c>
      <c r="B246">
        <f ca="1">IFERROR(__xludf.DUMMYFUNCTION("""COMPUTED_VALUE"""),240)</f>
        <v>240</v>
      </c>
      <c r="C246" t="str">
        <f ca="1">IFERROR(__xludf.DUMMYFUNCTION("""COMPUTED_VALUE"""),"John Pak")</f>
        <v>John Pak</v>
      </c>
      <c r="D246">
        <f ca="1">IFERROR(__xludf.DUMMYFUNCTION("""COMPUTED_VALUE"""),4)</f>
        <v>4</v>
      </c>
      <c r="E246">
        <f ca="1">IFERROR(__xludf.DUMMYFUNCTION("""COMPUTED_VALUE"""),-0.931)</f>
        <v>-0.93100000000000005</v>
      </c>
      <c r="F246">
        <f ca="1">IFERROR(__xludf.DUMMYFUNCTION("""COMPUTED_VALUE"""),-3.725)</f>
        <v>-3.7250000000000001</v>
      </c>
      <c r="G246">
        <f ca="1">IFERROR(__xludf.DUMMYFUNCTION("""COMPUTED_VALUE"""),4)</f>
        <v>4</v>
      </c>
    </row>
    <row r="247" spans="1:7" ht="12.75">
      <c r="A247">
        <f ca="1">IFERROR(__xludf.DUMMYFUNCTION("""COMPUTED_VALUE"""),246)</f>
        <v>246</v>
      </c>
      <c r="B247">
        <f ca="1">IFERROR(__xludf.DUMMYFUNCTION("""COMPUTED_VALUE"""),228)</f>
        <v>228</v>
      </c>
      <c r="C247" t="str">
        <f ca="1">IFERROR(__xludf.DUMMYFUNCTION("""COMPUTED_VALUE"""),"Branden Grace")</f>
        <v>Branden Grace</v>
      </c>
      <c r="D247">
        <f ca="1">IFERROR(__xludf.DUMMYFUNCTION("""COMPUTED_VALUE"""),16)</f>
        <v>16</v>
      </c>
      <c r="E247">
        <f ca="1">IFERROR(__xludf.DUMMYFUNCTION("""COMPUTED_VALUE"""),-0.934)</f>
        <v>-0.93400000000000005</v>
      </c>
      <c r="F247">
        <f ca="1">IFERROR(__xludf.DUMMYFUNCTION("""COMPUTED_VALUE"""),-9.336)</f>
        <v>-9.3360000000000003</v>
      </c>
      <c r="G247">
        <f ca="1">IFERROR(__xludf.DUMMYFUNCTION("""COMPUTED_VALUE"""),10)</f>
        <v>10</v>
      </c>
    </row>
    <row r="248" spans="1:7" ht="12.75">
      <c r="A248">
        <f ca="1">IFERROR(__xludf.DUMMYFUNCTION("""COMPUTED_VALUE"""),247)</f>
        <v>247</v>
      </c>
      <c r="B248">
        <f ca="1">IFERROR(__xludf.DUMMYFUNCTION("""COMPUTED_VALUE"""),242)</f>
        <v>242</v>
      </c>
      <c r="C248" t="str">
        <f ca="1">IFERROR(__xludf.DUMMYFUNCTION("""COMPUTED_VALUE"""),"Collin Morikawa")</f>
        <v>Collin Morikawa</v>
      </c>
      <c r="D248">
        <f ca="1">IFERROR(__xludf.DUMMYFUNCTION("""COMPUTED_VALUE"""),12)</f>
        <v>12</v>
      </c>
      <c r="E248">
        <f ca="1">IFERROR(__xludf.DUMMYFUNCTION("""COMPUTED_VALUE"""),-0.969)</f>
        <v>-0.96899999999999997</v>
      </c>
      <c r="F248">
        <f ca="1">IFERROR(__xludf.DUMMYFUNCTION("""COMPUTED_VALUE"""),-11.631)</f>
        <v>-11.631</v>
      </c>
      <c r="G248">
        <f ca="1">IFERROR(__xludf.DUMMYFUNCTION("""COMPUTED_VALUE"""),12)</f>
        <v>12</v>
      </c>
    </row>
    <row r="249" spans="1:7" ht="12.75">
      <c r="A249">
        <f ca="1">IFERROR(__xludf.DUMMYFUNCTION("""COMPUTED_VALUE"""),248)</f>
        <v>248</v>
      </c>
      <c r="B249">
        <f ca="1">IFERROR(__xludf.DUMMYFUNCTION("""COMPUTED_VALUE"""),213)</f>
        <v>213</v>
      </c>
      <c r="C249" t="str">
        <f ca="1">IFERROR(__xludf.DUMMYFUNCTION("""COMPUTED_VALUE"""),"Sean O'Hair")</f>
        <v>Sean O'Hair</v>
      </c>
      <c r="D249">
        <f ca="1">IFERROR(__xludf.DUMMYFUNCTION("""COMPUTED_VALUE"""),14)</f>
        <v>14</v>
      </c>
      <c r="E249">
        <f ca="1">IFERROR(__xludf.DUMMYFUNCTION("""COMPUTED_VALUE"""),-0.977)</f>
        <v>-0.97699999999999998</v>
      </c>
      <c r="F249">
        <f ca="1">IFERROR(__xludf.DUMMYFUNCTION("""COMPUTED_VALUE"""),-9.774)</f>
        <v>-9.7739999999999991</v>
      </c>
      <c r="G249">
        <f ca="1">IFERROR(__xludf.DUMMYFUNCTION("""COMPUTED_VALUE"""),10)</f>
        <v>10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IFERROR(__xludf.DUMMYFUNCTION("""COMPUTED_VALUE"""),243)</f>
        <v>243</v>
      </c>
      <c r="C250" t="str">
        <f ca="1">IFERROR(__xludf.DUMMYFUNCTION("""COMPUTED_VALUE"""),"Marc Leishman")</f>
        <v>Marc Leishman</v>
      </c>
      <c r="D250">
        <f ca="1">IFERROR(__xludf.DUMMYFUNCTION("""COMPUTED_VALUE"""),10)</f>
        <v>10</v>
      </c>
      <c r="E250">
        <f ca="1">IFERROR(__xludf.DUMMYFUNCTION("""COMPUTED_VALUE"""),-1.004)</f>
        <v>-1.004</v>
      </c>
      <c r="F250">
        <f ca="1">IFERROR(__xludf.DUMMYFUNCTION("""COMPUTED_VALUE"""),-10.045)</f>
        <v>-10.045</v>
      </c>
      <c r="G250">
        <f ca="1">IFERROR(__xludf.DUMMYFUNCTION("""COMPUTED_VALUE"""),10)</f>
        <v>10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IFERROR(__xludf.DUMMYFUNCTION("""COMPUTED_VALUE"""),222)</f>
        <v>222</v>
      </c>
      <c r="C251" t="str">
        <f ca="1">IFERROR(__xludf.DUMMYFUNCTION("""COMPUTED_VALUE"""),"Keith Mitchell")</f>
        <v>Keith Mitchell</v>
      </c>
      <c r="D251">
        <f ca="1">IFERROR(__xludf.DUMMYFUNCTION("""COMPUTED_VALUE"""),14)</f>
        <v>14</v>
      </c>
      <c r="E251">
        <f ca="1">IFERROR(__xludf.DUMMYFUNCTION("""COMPUTED_VALUE"""),-1.014)</f>
        <v>-1.014</v>
      </c>
      <c r="F251">
        <f ca="1">IFERROR(__xludf.DUMMYFUNCTION("""COMPUTED_VALUE"""),-6.082)</f>
        <v>-6.0819999999999999</v>
      </c>
      <c r="G251">
        <f ca="1">IFERROR(__xludf.DUMMYFUNCTION("""COMPUTED_VALUE"""),6)</f>
        <v>6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IFERROR(__xludf.DUMMYFUNCTION("""COMPUTED_VALUE"""),264)</f>
        <v>264</v>
      </c>
      <c r="C252" t="str">
        <f ca="1">IFERROR(__xludf.DUMMYFUNCTION("""COMPUTED_VALUE"""),"Henrik Stenson")</f>
        <v>Henrik Stenson</v>
      </c>
      <c r="D252">
        <f ca="1">IFERROR(__xludf.DUMMYFUNCTION("""COMPUTED_VALUE"""),11)</f>
        <v>11</v>
      </c>
      <c r="E252">
        <f ca="1">IFERROR(__xludf.DUMMYFUNCTION("""COMPUTED_VALUE"""),-1.018)</f>
        <v>-1.018</v>
      </c>
      <c r="F252">
        <f ca="1">IFERROR(__xludf.DUMMYFUNCTION("""COMPUTED_VALUE"""),-6.106)</f>
        <v>-6.1059999999999999</v>
      </c>
      <c r="G252">
        <f ca="1">IFERROR(__xludf.DUMMYFUNCTION("""COMPUTED_VALUE"""),6)</f>
        <v>6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IFERROR(__xludf.DUMMYFUNCTION("""COMPUTED_VALUE"""),244)</f>
        <v>244</v>
      </c>
      <c r="C253" t="str">
        <f ca="1">IFERROR(__xludf.DUMMYFUNCTION("""COMPUTED_VALUE"""),"Cameron Champ")</f>
        <v>Cameron Champ</v>
      </c>
      <c r="D253">
        <f ca="1">IFERROR(__xludf.DUMMYFUNCTION("""COMPUTED_VALUE"""),12)</f>
        <v>12</v>
      </c>
      <c r="E253">
        <f ca="1">IFERROR(__xludf.DUMMYFUNCTION("""COMPUTED_VALUE"""),-1.021)</f>
        <v>-1.0209999999999999</v>
      </c>
      <c r="F253">
        <f ca="1">IFERROR(__xludf.DUMMYFUNCTION("""COMPUTED_VALUE"""),-12.25)</f>
        <v>-12.25</v>
      </c>
      <c r="G253">
        <f ca="1">IFERROR(__xludf.DUMMYFUNCTION("""COMPUTED_VALUE"""),12)</f>
        <v>12</v>
      </c>
    </row>
    <row r="254" spans="1:7" ht="12.75">
      <c r="A254">
        <f ca="1">IFERROR(__xludf.DUMMYFUNCTION("""COMPUTED_VALUE"""),253)</f>
        <v>253</v>
      </c>
      <c r="B254">
        <f ca="1">IFERROR(__xludf.DUMMYFUNCTION("""COMPUTED_VALUE"""),245)</f>
        <v>245</v>
      </c>
      <c r="C254" t="str">
        <f ca="1">IFERROR(__xludf.DUMMYFUNCTION("""COMPUTED_VALUE"""),"Tyler McCumber")</f>
        <v>Tyler McCumber</v>
      </c>
      <c r="D254">
        <f ca="1">IFERROR(__xludf.DUMMYFUNCTION("""COMPUTED_VALUE"""),14)</f>
        <v>14</v>
      </c>
      <c r="E254">
        <f ca="1">IFERROR(__xludf.DUMMYFUNCTION("""COMPUTED_VALUE"""),-1.03)</f>
        <v>-1.03</v>
      </c>
      <c r="F254">
        <f ca="1">IFERROR(__xludf.DUMMYFUNCTION("""COMPUTED_VALUE"""),-8.244)</f>
        <v>-8.2439999999999998</v>
      </c>
      <c r="G254">
        <f ca="1">IFERROR(__xludf.DUMMYFUNCTION("""COMPUTED_VALUE"""),8)</f>
        <v>8</v>
      </c>
    </row>
    <row r="255" spans="1:7" ht="12.75">
      <c r="A255">
        <f ca="1">IFERROR(__xludf.DUMMYFUNCTION("""COMPUTED_VALUE"""),254)</f>
        <v>254</v>
      </c>
      <c r="B255">
        <f ca="1">IFERROR(__xludf.DUMMYFUNCTION("""COMPUTED_VALUE"""),246)</f>
        <v>246</v>
      </c>
      <c r="C255" t="str">
        <f ca="1">IFERROR(__xludf.DUMMYFUNCTION("""COMPUTED_VALUE"""),"Shugo Imahira")</f>
        <v>Shugo Imahira</v>
      </c>
      <c r="D255">
        <f ca="1">IFERROR(__xludf.DUMMYFUNCTION("""COMPUTED_VALUE"""),8)</f>
        <v>8</v>
      </c>
      <c r="E255">
        <f ca="1">IFERROR(__xludf.DUMMYFUNCTION("""COMPUTED_VALUE"""),-1.041)</f>
        <v>-1.0409999999999999</v>
      </c>
      <c r="F255">
        <f ca="1">IFERROR(__xludf.DUMMYFUNCTION("""COMPUTED_VALUE"""),-8.328)</f>
        <v>-8.3279999999999994</v>
      </c>
      <c r="G255">
        <f ca="1">IFERROR(__xludf.DUMMYFUNCTION("""COMPUTED_VALUE"""),8)</f>
        <v>8</v>
      </c>
    </row>
    <row r="256" spans="1:7" ht="12.75">
      <c r="A256">
        <f ca="1">IFERROR(__xludf.DUMMYFUNCTION("""COMPUTED_VALUE"""),255)</f>
        <v>255</v>
      </c>
      <c r="B256">
        <f ca="1">IFERROR(__xludf.DUMMYFUNCTION("""COMPUTED_VALUE"""),247)</f>
        <v>247</v>
      </c>
      <c r="C256" t="str">
        <f ca="1">IFERROR(__xludf.DUMMYFUNCTION("""COMPUTED_VALUE"""),"Thomas Pieters")</f>
        <v>Thomas Pieters</v>
      </c>
      <c r="D256">
        <f ca="1">IFERROR(__xludf.DUMMYFUNCTION("""COMPUTED_VALUE"""),4)</f>
        <v>4</v>
      </c>
      <c r="E256">
        <f ca="1">IFERROR(__xludf.DUMMYFUNCTION("""COMPUTED_VALUE"""),-1.051)</f>
        <v>-1.0509999999999999</v>
      </c>
      <c r="F256">
        <f ca="1">IFERROR(__xludf.DUMMYFUNCTION("""COMPUTED_VALUE"""),-4.204)</f>
        <v>-4.2039999999999997</v>
      </c>
      <c r="G256">
        <f ca="1">IFERROR(__xludf.DUMMYFUNCTION("""COMPUTED_VALUE"""),4)</f>
        <v>4</v>
      </c>
    </row>
    <row r="257" spans="1:7" ht="12.75">
      <c r="A257">
        <f ca="1">IFERROR(__xludf.DUMMYFUNCTION("""COMPUTED_VALUE"""),256)</f>
        <v>256</v>
      </c>
      <c r="B257">
        <f ca="1">IFERROR(__xludf.DUMMYFUNCTION("""COMPUTED_VALUE"""),266)</f>
        <v>266</v>
      </c>
      <c r="C257" t="str">
        <f ca="1">IFERROR(__xludf.DUMMYFUNCTION("""COMPUTED_VALUE"""),"Kevin Stadler")</f>
        <v>Kevin Stadler</v>
      </c>
      <c r="D257">
        <f ca="1">IFERROR(__xludf.DUMMYFUNCTION("""COMPUTED_VALUE"""),8)</f>
        <v>8</v>
      </c>
      <c r="E257">
        <f ca="1">IFERROR(__xludf.DUMMYFUNCTION("""COMPUTED_VALUE"""),-1.076)</f>
        <v>-1.0760000000000001</v>
      </c>
      <c r="F257">
        <f ca="1">IFERROR(__xludf.DUMMYFUNCTION("""COMPUTED_VALUE"""),-6.458)</f>
        <v>-6.4580000000000002</v>
      </c>
      <c r="G257">
        <f ca="1">IFERROR(__xludf.DUMMYFUNCTION("""COMPUTED_VALUE"""),6)</f>
        <v>6</v>
      </c>
    </row>
    <row r="258" spans="1:7" ht="12.75">
      <c r="A258">
        <f ca="1">IFERROR(__xludf.DUMMYFUNCTION("""COMPUTED_VALUE"""),257)</f>
        <v>257</v>
      </c>
      <c r="B258">
        <f ca="1">IFERROR(__xludf.DUMMYFUNCTION("""COMPUTED_VALUE"""),249)</f>
        <v>249</v>
      </c>
      <c r="C258" t="str">
        <f ca="1">IFERROR(__xludf.DUMMYFUNCTION("""COMPUTED_VALUE"""),"Chan Kim")</f>
        <v>Chan Kim</v>
      </c>
      <c r="D258">
        <f ca="1">IFERROR(__xludf.DUMMYFUNCTION("""COMPUTED_VALUE"""),6)</f>
        <v>6</v>
      </c>
      <c r="E258">
        <f ca="1">IFERROR(__xludf.DUMMYFUNCTION("""COMPUTED_VALUE"""),-1.077)</f>
        <v>-1.077</v>
      </c>
      <c r="F258">
        <f ca="1">IFERROR(__xludf.DUMMYFUNCTION("""COMPUTED_VALUE"""),-6.459)</f>
        <v>-6.4589999999999996</v>
      </c>
      <c r="G258">
        <f ca="1">IFERROR(__xludf.DUMMYFUNCTION("""COMPUTED_VALUE"""),6)</f>
        <v>6</v>
      </c>
    </row>
    <row r="259" spans="1:7" ht="12.75">
      <c r="A259">
        <f ca="1">IFERROR(__xludf.DUMMYFUNCTION("""COMPUTED_VALUE"""),258)</f>
        <v>258</v>
      </c>
      <c r="B259">
        <f ca="1">IFERROR(__xludf.DUMMYFUNCTION("""COMPUTED_VALUE"""),252)</f>
        <v>252</v>
      </c>
      <c r="C259" t="str">
        <f ca="1">IFERROR(__xludf.DUMMYFUNCTION("""COMPUTED_VALUE"""),"Luke List")</f>
        <v>Luke List</v>
      </c>
      <c r="D259">
        <f ca="1">IFERROR(__xludf.DUMMYFUNCTION("""COMPUTED_VALUE"""),18)</f>
        <v>18</v>
      </c>
      <c r="E259">
        <f ca="1">IFERROR(__xludf.DUMMYFUNCTION("""COMPUTED_VALUE"""),-1.094)</f>
        <v>-1.0940000000000001</v>
      </c>
      <c r="F259">
        <f ca="1">IFERROR(__xludf.DUMMYFUNCTION("""COMPUTED_VALUE"""),-10.935)</f>
        <v>-10.935</v>
      </c>
      <c r="G259">
        <f ca="1">IFERROR(__xludf.DUMMYFUNCTION("""COMPUTED_VALUE"""),10)</f>
        <v>10</v>
      </c>
    </row>
    <row r="260" spans="1:7" ht="12.75">
      <c r="A260">
        <f ca="1">IFERROR(__xludf.DUMMYFUNCTION("""COMPUTED_VALUE"""),259)</f>
        <v>259</v>
      </c>
      <c r="B260">
        <f ca="1">IFERROR(__xludf.DUMMYFUNCTION("""COMPUTED_VALUE"""),250)</f>
        <v>250</v>
      </c>
      <c r="C260" t="str">
        <f ca="1">IFERROR(__xludf.DUMMYFUNCTION("""COMPUTED_VALUE"""),"Gunn Charoenkul")</f>
        <v>Gunn Charoenkul</v>
      </c>
      <c r="D260">
        <f ca="1">IFERROR(__xludf.DUMMYFUNCTION("""COMPUTED_VALUE"""),4)</f>
        <v>4</v>
      </c>
      <c r="E260">
        <f ca="1">IFERROR(__xludf.DUMMYFUNCTION("""COMPUTED_VALUE"""),-1.132)</f>
        <v>-1.1319999999999999</v>
      </c>
      <c r="F260">
        <f ca="1">IFERROR(__xludf.DUMMYFUNCTION("""COMPUTED_VALUE"""),-4.528)</f>
        <v>-4.5279999999999996</v>
      </c>
      <c r="G260">
        <f ca="1">IFERROR(__xludf.DUMMYFUNCTION("""COMPUTED_VALUE"""),4)</f>
        <v>4</v>
      </c>
    </row>
    <row r="261" spans="1:7" ht="12.75">
      <c r="A261">
        <f ca="1">IFERROR(__xludf.DUMMYFUNCTION("""COMPUTED_VALUE"""),260)</f>
        <v>260</v>
      </c>
      <c r="B261">
        <f ca="1">IFERROR(__xludf.DUMMYFUNCTION("""COMPUTED_VALUE"""),251)</f>
        <v>251</v>
      </c>
      <c r="C261" t="str">
        <f ca="1">IFERROR(__xludf.DUMMYFUNCTION("""COMPUTED_VALUE"""),"Sangmoon Bae")</f>
        <v>Sangmoon Bae</v>
      </c>
      <c r="D261">
        <f ca="1">IFERROR(__xludf.DUMMYFUNCTION("""COMPUTED_VALUE"""),8)</f>
        <v>8</v>
      </c>
      <c r="E261">
        <f ca="1">IFERROR(__xludf.DUMMYFUNCTION("""COMPUTED_VALUE"""),-1.168)</f>
        <v>-1.1679999999999999</v>
      </c>
      <c r="F261">
        <f ca="1">IFERROR(__xludf.DUMMYFUNCTION("""COMPUTED_VALUE"""),-2.337)</f>
        <v>-2.3370000000000002</v>
      </c>
      <c r="G261">
        <f ca="1">IFERROR(__xludf.DUMMYFUNCTION("""COMPUTED_VALUE"""),2)</f>
        <v>2</v>
      </c>
    </row>
    <row r="262" spans="1:7" ht="12.75">
      <c r="A262">
        <f ca="1">IFERROR(__xludf.DUMMYFUNCTION("""COMPUTED_VALUE"""),261)</f>
        <v>261</v>
      </c>
      <c r="B262">
        <f ca="1">IFERROR(__xludf.DUMMYFUNCTION("""COMPUTED_VALUE"""),241)</f>
        <v>241</v>
      </c>
      <c r="C262" t="str">
        <f ca="1">IFERROR(__xludf.DUMMYFUNCTION("""COMPUTED_VALUE"""),"Patrick Rodgers")</f>
        <v>Patrick Rodgers</v>
      </c>
      <c r="D262">
        <f ca="1">IFERROR(__xludf.DUMMYFUNCTION("""COMPUTED_VALUE"""),18)</f>
        <v>18</v>
      </c>
      <c r="E262">
        <f ca="1">IFERROR(__xludf.DUMMYFUNCTION("""COMPUTED_VALUE"""),-1.201)</f>
        <v>-1.2010000000000001</v>
      </c>
      <c r="F262">
        <f ca="1">IFERROR(__xludf.DUMMYFUNCTION("""COMPUTED_VALUE"""),-12.012)</f>
        <v>-12.012</v>
      </c>
      <c r="G262">
        <f ca="1">IFERROR(__xludf.DUMMYFUNCTION("""COMPUTED_VALUE"""),10)</f>
        <v>10</v>
      </c>
    </row>
    <row r="263" spans="1:7" ht="12.75">
      <c r="A263">
        <f ca="1">IFERROR(__xludf.DUMMYFUNCTION("""COMPUTED_VALUE"""),262)</f>
        <v>262</v>
      </c>
      <c r="B263">
        <f ca="1">IFERROR(__xludf.DUMMYFUNCTION("""COMPUTED_VALUE"""),253)</f>
        <v>253</v>
      </c>
      <c r="C263" t="str">
        <f ca="1">IFERROR(__xludf.DUMMYFUNCTION("""COMPUTED_VALUE"""),"Josh Teater")</f>
        <v>Josh Teater</v>
      </c>
      <c r="D263">
        <f ca="1">IFERROR(__xludf.DUMMYFUNCTION("""COMPUTED_VALUE"""),6)</f>
        <v>6</v>
      </c>
      <c r="E263">
        <f ca="1">IFERROR(__xludf.DUMMYFUNCTION("""COMPUTED_VALUE"""),-1.203)</f>
        <v>-1.2030000000000001</v>
      </c>
      <c r="F263">
        <f ca="1">IFERROR(__xludf.DUMMYFUNCTION("""COMPUTED_VALUE"""),-2.406)</f>
        <v>-2.4060000000000001</v>
      </c>
      <c r="G263">
        <f ca="1">IFERROR(__xludf.DUMMYFUNCTION("""COMPUTED_VALUE"""),2)</f>
        <v>2</v>
      </c>
    </row>
    <row r="264" spans="1:7" ht="12.75">
      <c r="A264">
        <f ca="1">IFERROR(__xludf.DUMMYFUNCTION("""COMPUTED_VALUE"""),263)</f>
        <v>263</v>
      </c>
      <c r="B264">
        <f ca="1">IFERROR(__xludf.DUMMYFUNCTION("""COMPUTED_VALUE"""),255)</f>
        <v>255</v>
      </c>
      <c r="C264" t="str">
        <f ca="1">IFERROR(__xludf.DUMMYFUNCTION("""COMPUTED_VALUE"""),"Kevin Tway")</f>
        <v>Kevin Tway</v>
      </c>
      <c r="D264">
        <f ca="1">IFERROR(__xludf.DUMMYFUNCTION("""COMPUTED_VALUE"""),16)</f>
        <v>16</v>
      </c>
      <c r="E264">
        <f ca="1">IFERROR(__xludf.DUMMYFUNCTION("""COMPUTED_VALUE"""),-1.237)</f>
        <v>-1.2370000000000001</v>
      </c>
      <c r="F264">
        <f ca="1">IFERROR(__xludf.DUMMYFUNCTION("""COMPUTED_VALUE"""),-9.898)</f>
        <v>-9.8979999999999997</v>
      </c>
      <c r="G264">
        <f ca="1">IFERROR(__xludf.DUMMYFUNCTION("""COMPUTED_VALUE"""),8)</f>
        <v>8</v>
      </c>
    </row>
    <row r="265" spans="1:7" ht="12.75">
      <c r="A265">
        <f ca="1">IFERROR(__xludf.DUMMYFUNCTION("""COMPUTED_VALUE"""),264)</f>
        <v>264</v>
      </c>
      <c r="B265">
        <f ca="1">IFERROR(__xludf.DUMMYFUNCTION("""COMPUTED_VALUE"""),254)</f>
        <v>254</v>
      </c>
      <c r="C265" t="str">
        <f ca="1">IFERROR(__xludf.DUMMYFUNCTION("""COMPUTED_VALUE"""),"Kramer Hickok")</f>
        <v>Kramer Hickok</v>
      </c>
      <c r="D265">
        <f ca="1">IFERROR(__xludf.DUMMYFUNCTION("""COMPUTED_VALUE"""),16)</f>
        <v>16</v>
      </c>
      <c r="E265">
        <f ca="1">IFERROR(__xludf.DUMMYFUNCTION("""COMPUTED_VALUE"""),-1.241)</f>
        <v>-1.2410000000000001</v>
      </c>
      <c r="F265">
        <f ca="1">IFERROR(__xludf.DUMMYFUNCTION("""COMPUTED_VALUE"""),-9.925)</f>
        <v>-9.9250000000000007</v>
      </c>
      <c r="G265">
        <f ca="1">IFERROR(__xludf.DUMMYFUNCTION("""COMPUTED_VALUE"""),8)</f>
        <v>8</v>
      </c>
    </row>
    <row r="266" spans="1:7" ht="12.75">
      <c r="A266">
        <f ca="1">IFERROR(__xludf.DUMMYFUNCTION("""COMPUTED_VALUE"""),265)</f>
        <v>265</v>
      </c>
      <c r="B266">
        <f ca="1">IFERROR(__xludf.DUMMYFUNCTION("""COMPUTED_VALUE"""),257)</f>
        <v>257</v>
      </c>
      <c r="C266" t="str">
        <f ca="1">IFERROR(__xludf.DUMMYFUNCTION("""COMPUTED_VALUE"""),"Ryan Brehm")</f>
        <v>Ryan Brehm</v>
      </c>
      <c r="D266">
        <f ca="1">IFERROR(__xludf.DUMMYFUNCTION("""COMPUTED_VALUE"""),10)</f>
        <v>10</v>
      </c>
      <c r="E266">
        <f ca="1">IFERROR(__xludf.DUMMYFUNCTION("""COMPUTED_VALUE"""),-1.32)</f>
        <v>-1.32</v>
      </c>
      <c r="F266">
        <f ca="1">IFERROR(__xludf.DUMMYFUNCTION("""COMPUTED_VALUE"""),-2.64)</f>
        <v>-2.64</v>
      </c>
      <c r="G266">
        <f ca="1">IFERROR(__xludf.DUMMYFUNCTION("""COMPUTED_VALUE"""),2)</f>
        <v>2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IFERROR(__xludf.DUMMYFUNCTION("""COMPUTED_VALUE"""),236)</f>
        <v>236</v>
      </c>
      <c r="C267" t="str">
        <f ca="1">IFERROR(__xludf.DUMMYFUNCTION("""COMPUTED_VALUE"""),"Ted Potter, Jr.")</f>
        <v>Ted Potter, Jr.</v>
      </c>
      <c r="D267">
        <f ca="1">IFERROR(__xludf.DUMMYFUNCTION("""COMPUTED_VALUE"""),8)</f>
        <v>8</v>
      </c>
      <c r="E267">
        <f ca="1">IFERROR(__xludf.DUMMYFUNCTION("""COMPUTED_VALUE"""),-1.336)</f>
        <v>-1.3360000000000001</v>
      </c>
      <c r="F267">
        <f ca="1">IFERROR(__xludf.DUMMYFUNCTION("""COMPUTED_VALUE"""),-10.689)</f>
        <v>-10.689</v>
      </c>
      <c r="G267">
        <f ca="1">IFERROR(__xludf.DUMMYFUNCTION("""COMPUTED_VALUE"""),8)</f>
        <v>8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IFERROR(__xludf.DUMMYFUNCTION("""COMPUTED_VALUE"""),258)</f>
        <v>258</v>
      </c>
      <c r="C268" t="str">
        <f ca="1">IFERROR(__xludf.DUMMYFUNCTION("""COMPUTED_VALUE"""),"Danny Lee")</f>
        <v>Danny Lee</v>
      </c>
      <c r="D268">
        <f ca="1">IFERROR(__xludf.DUMMYFUNCTION("""COMPUTED_VALUE"""),15)</f>
        <v>15</v>
      </c>
      <c r="E268">
        <f ca="1">IFERROR(__xludf.DUMMYFUNCTION("""COMPUTED_VALUE"""),-1.358)</f>
        <v>-1.3580000000000001</v>
      </c>
      <c r="F268">
        <f ca="1">IFERROR(__xludf.DUMMYFUNCTION("""COMPUTED_VALUE"""),-20.374)</f>
        <v>-20.373999999999999</v>
      </c>
      <c r="G268">
        <f ca="1">IFERROR(__xludf.DUMMYFUNCTION("""COMPUTED_VALUE"""),15)</f>
        <v>15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IFERROR(__xludf.DUMMYFUNCTION("""COMPUTED_VALUE"""),260)</f>
        <v>260</v>
      </c>
      <c r="C269" t="str">
        <f ca="1">IFERROR(__xludf.DUMMYFUNCTION("""COMPUTED_VALUE"""),"Andy Zhang")</f>
        <v>Andy Zhang</v>
      </c>
      <c r="D269">
        <f ca="1">IFERROR(__xludf.DUMMYFUNCTION("""COMPUTED_VALUE"""),4)</f>
        <v>4</v>
      </c>
      <c r="E269">
        <f ca="1">IFERROR(__xludf.DUMMYFUNCTION("""COMPUTED_VALUE"""),-1.482)</f>
        <v>-1.482</v>
      </c>
      <c r="F269">
        <f ca="1">IFERROR(__xludf.DUMMYFUNCTION("""COMPUTED_VALUE"""),-5.929)</f>
        <v>-5.9290000000000003</v>
      </c>
      <c r="G269">
        <f ca="1">IFERROR(__xludf.DUMMYFUNCTION("""COMPUTED_VALUE"""),4)</f>
        <v>4</v>
      </c>
    </row>
    <row r="270" spans="1:7" ht="12.75">
      <c r="A270">
        <f ca="1">IFERROR(__xludf.DUMMYFUNCTION("""COMPUTED_VALUE"""),269)</f>
        <v>269</v>
      </c>
      <c r="B270">
        <f ca="1">IFERROR(__xludf.DUMMYFUNCTION("""COMPUTED_VALUE"""),261)</f>
        <v>261</v>
      </c>
      <c r="C270" t="str">
        <f ca="1">IFERROR(__xludf.DUMMYFUNCTION("""COMPUTED_VALUE"""),"Shawn Stefani")</f>
        <v>Shawn Stefani</v>
      </c>
      <c r="D270">
        <f ca="1">IFERROR(__xludf.DUMMYFUNCTION("""COMPUTED_VALUE"""),5)</f>
        <v>5</v>
      </c>
      <c r="E270">
        <f ca="1">IFERROR(__xludf.DUMMYFUNCTION("""COMPUTED_VALUE"""),-1.52)</f>
        <v>-1.52</v>
      </c>
      <c r="F270">
        <f ca="1">IFERROR(__xludf.DUMMYFUNCTION("""COMPUTED_VALUE"""),-3.04)</f>
        <v>-3.04</v>
      </c>
      <c r="G270">
        <f ca="1">IFERROR(__xludf.DUMMYFUNCTION("""COMPUTED_VALUE"""),2)</f>
        <v>2</v>
      </c>
    </row>
    <row r="271" spans="1:7" ht="12.75">
      <c r="A271">
        <f ca="1">IFERROR(__xludf.DUMMYFUNCTION("""COMPUTED_VALUE"""),270)</f>
        <v>270</v>
      </c>
      <c r="B271">
        <f ca="1">IFERROR(__xludf.DUMMYFUNCTION("""COMPUTED_VALUE"""),262)</f>
        <v>262</v>
      </c>
      <c r="C271" t="str">
        <f ca="1">IFERROR(__xludf.DUMMYFUNCTION("""COMPUTED_VALUE"""),"Byeong Hun An")</f>
        <v>Byeong Hun An</v>
      </c>
      <c r="D271">
        <f ca="1">IFERROR(__xludf.DUMMYFUNCTION("""COMPUTED_VALUE"""),14)</f>
        <v>14</v>
      </c>
      <c r="E271">
        <f ca="1">IFERROR(__xludf.DUMMYFUNCTION("""COMPUTED_VALUE"""),-1.588)</f>
        <v>-1.5880000000000001</v>
      </c>
      <c r="F271">
        <f ca="1">IFERROR(__xludf.DUMMYFUNCTION("""COMPUTED_VALUE"""),-22.227)</f>
        <v>-22.227</v>
      </c>
      <c r="G271">
        <f ca="1">IFERROR(__xludf.DUMMYFUNCTION("""COMPUTED_VALUE"""),14)</f>
        <v>14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IFERROR(__xludf.DUMMYFUNCTION("""COMPUTED_VALUE"""),263)</f>
        <v>263</v>
      </c>
      <c r="C272" t="str">
        <f ca="1">IFERROR(__xludf.DUMMYFUNCTION("""COMPUTED_VALUE"""),"Alex Cejka")</f>
        <v>Alex Cejka</v>
      </c>
      <c r="D272">
        <f ca="1">IFERROR(__xludf.DUMMYFUNCTION("""COMPUTED_VALUE"""),6)</f>
        <v>6</v>
      </c>
      <c r="E272">
        <f ca="1">IFERROR(__xludf.DUMMYFUNCTION("""COMPUTED_VALUE"""),-1.621)</f>
        <v>-1.621</v>
      </c>
      <c r="F272">
        <f ca="1">IFERROR(__xludf.DUMMYFUNCTION("""COMPUTED_VALUE"""),-3.243)</f>
        <v>-3.2429999999999999</v>
      </c>
      <c r="G272">
        <f ca="1">IFERROR(__xludf.DUMMYFUNCTION("""COMPUTED_VALUE"""),2)</f>
        <v>2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IFERROR(__xludf.DUMMYFUNCTION("""COMPUTED_VALUE"""),265)</f>
        <v>265</v>
      </c>
      <c r="C273" t="str">
        <f ca="1">IFERROR(__xludf.DUMMYFUNCTION("""COMPUTED_VALUE"""),"George McNeill")</f>
        <v>George McNeill</v>
      </c>
      <c r="D273">
        <f ca="1">IFERROR(__xludf.DUMMYFUNCTION("""COMPUTED_VALUE"""),8)</f>
        <v>8</v>
      </c>
      <c r="E273">
        <f ca="1">IFERROR(__xludf.DUMMYFUNCTION("""COMPUTED_VALUE"""),-1.769)</f>
        <v>-1.7689999999999999</v>
      </c>
      <c r="F273">
        <f ca="1">IFERROR(__xludf.DUMMYFUNCTION("""COMPUTED_VALUE"""),-3.538)</f>
        <v>-3.5379999999999998</v>
      </c>
      <c r="G273">
        <f ca="1">IFERROR(__xludf.DUMMYFUNCTION("""COMPUTED_VALUE"""),2)</f>
        <v>2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IFERROR(__xludf.DUMMYFUNCTION("""COMPUTED_VALUE"""),256)</f>
        <v>256</v>
      </c>
      <c r="C274" t="str">
        <f ca="1">IFERROR(__xludf.DUMMYFUNCTION("""COMPUTED_VALUE"""),"Camilo Villegas")</f>
        <v>Camilo Villegas</v>
      </c>
      <c r="D274">
        <f ca="1">IFERROR(__xludf.DUMMYFUNCTION("""COMPUTED_VALUE"""),14)</f>
        <v>14</v>
      </c>
      <c r="E274">
        <f ca="1">IFERROR(__xludf.DUMMYFUNCTION("""COMPUTED_VALUE"""),-1.873)</f>
        <v>-1.873</v>
      </c>
      <c r="F274">
        <f ca="1">IFERROR(__xludf.DUMMYFUNCTION("""COMPUTED_VALUE"""),-18.733)</f>
        <v>-18.733000000000001</v>
      </c>
      <c r="G274">
        <f ca="1">IFERROR(__xludf.DUMMYFUNCTION("""COMPUTED_VALUE"""),10)</f>
        <v>10</v>
      </c>
    </row>
    <row r="275" spans="1:7" ht="12.75">
      <c r="A275">
        <f ca="1">IFERROR(__xludf.DUMMYFUNCTION("""COMPUTED_VALUE"""),274)</f>
        <v>274</v>
      </c>
      <c r="B275">
        <f ca="1">IFERROR(__xludf.DUMMYFUNCTION("""COMPUTED_VALUE"""),267)</f>
        <v>267</v>
      </c>
      <c r="C275" t="str">
        <f ca="1">IFERROR(__xludf.DUMMYFUNCTION("""COMPUTED_VALUE"""),"Matthias Schwab")</f>
        <v>Matthias Schwab</v>
      </c>
      <c r="D275">
        <f ca="1">IFERROR(__xludf.DUMMYFUNCTION("""COMPUTED_VALUE"""),8)</f>
        <v>8</v>
      </c>
      <c r="E275">
        <f ca="1">IFERROR(__xludf.DUMMYFUNCTION("""COMPUTED_VALUE"""),-2.009)</f>
        <v>-2.0089999999999999</v>
      </c>
      <c r="F275">
        <f ca="1">IFERROR(__xludf.DUMMYFUNCTION("""COMPUTED_VALUE"""),-8.037)</f>
        <v>-8.0370000000000008</v>
      </c>
      <c r="G275">
        <f ca="1">IFERROR(__xludf.DUMMYFUNCTION("""COMPUTED_VALUE"""),4)</f>
        <v>4</v>
      </c>
    </row>
    <row r="276" spans="1:7" ht="12.75">
      <c r="A276">
        <f ca="1">IFERROR(__xludf.DUMMYFUNCTION("""COMPUTED_VALUE"""),275)</f>
        <v>275</v>
      </c>
      <c r="B276">
        <f ca="1">IFERROR(__xludf.DUMMYFUNCTION("""COMPUTED_VALUE"""),268)</f>
        <v>268</v>
      </c>
      <c r="C276" t="str">
        <f ca="1">IFERROR(__xludf.DUMMYFUNCTION("""COMPUTED_VALUE"""),"Rasmus Hojgaard")</f>
        <v>Rasmus Hojgaard</v>
      </c>
      <c r="D276">
        <f ca="1">IFERROR(__xludf.DUMMYFUNCTION("""COMPUTED_VALUE"""),6)</f>
        <v>6</v>
      </c>
      <c r="E276">
        <f ca="1">IFERROR(__xludf.DUMMYFUNCTION("""COMPUTED_VALUE"""),-2.295)</f>
        <v>-2.2949999999999999</v>
      </c>
      <c r="F276">
        <f ca="1">IFERROR(__xludf.DUMMYFUNCTION("""COMPUTED_VALUE"""),-4.591)</f>
        <v>-4.5910000000000002</v>
      </c>
      <c r="G276">
        <f ca="1">IFERROR(__xludf.DUMMYFUNCTION("""COMPUTED_VALUE"""),2)</f>
        <v>2</v>
      </c>
    </row>
    <row r="277" spans="1:7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IFERROR(__xludf.DUMMYFUNCTION("""COMPUTED_VALUE"""),"Graham DeLaet")</f>
        <v>Graham DeLaet</v>
      </c>
      <c r="D277">
        <f ca="1">IFERROR(__xludf.DUMMYFUNCTION("""COMPUTED_VALUE"""),9)</f>
        <v>9</v>
      </c>
      <c r="E277">
        <f ca="1">IFERROR(__xludf.DUMMYFUNCTION("""COMPUTED_VALUE"""),-3.301)</f>
        <v>-3.3010000000000002</v>
      </c>
      <c r="F277">
        <f ca="1">IFERROR(__xludf.DUMMYFUNCTION("""COMPUTED_VALUE"""),-16.507)</f>
        <v>-16.507000000000001</v>
      </c>
      <c r="G277">
        <f ca="1">IFERROR(__xludf.DUMMYFUNCTION("""COMPUTED_VALUE"""),5)</f>
        <v>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277"/>
  <sheetViews>
    <sheetView workbookViewId="0"/>
  </sheetViews>
  <sheetFormatPr defaultColWidth="14.42578125" defaultRowHeight="15.75" customHeight="1"/>
  <sheetData>
    <row r="1" spans="1:9" ht="15.75" customHeight="1">
      <c r="A1" t="str">
        <f ca="1">IFERROR(__xludf.DUMMYFUNCTION("importhtml(""http://www.pgatour.com/stats/stat.02675.html"",""table"",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IFERROR(__xludf.DUMMYFUNCTION("""COMPUTED_VALUE"""),"AVERAGE")</f>
        <v>AVERAGE</v>
      </c>
      <c r="F1" t="str">
        <f ca="1">IFERROR(__xludf.DUMMYFUNCTION("""COMPUTED_VALUE"""),"TOTAL SG:T")</f>
        <v>TOTAL SG:T</v>
      </c>
      <c r="G1" t="str">
        <f ca="1">IFERROR(__xludf.DUMMYFUNCTION("""COMPUTED_VALUE"""),"TOTAL SG:T2G")</f>
        <v>TOTAL SG:T2G</v>
      </c>
      <c r="H1" t="str">
        <f ca="1">IFERROR(__xludf.DUMMYFUNCTION("""COMPUTED_VALUE"""),"TOTAL SG:P")</f>
        <v>TOTAL SG:P</v>
      </c>
      <c r="I1" t="str">
        <f ca="1">IFERROR(__xludf.DUMMYFUNCTION("""COMPUTED_VALUE"""),"MEASURED ROUNDS")</f>
        <v>MEASURED ROUNDS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IFERROR(__xludf.DUMMYFUNCTION("""COMPUTED_VALUE"""),3.789)</f>
        <v>3.7890000000000001</v>
      </c>
      <c r="F2">
        <f ca="1">IFERROR(__xludf.DUMMYFUNCTION("""COMPUTED_VALUE"""),30.315)</f>
        <v>30.315000000000001</v>
      </c>
      <c r="G2">
        <f ca="1">IFERROR(__xludf.DUMMYFUNCTION("""COMPUTED_VALUE"""),25.998)</f>
        <v>25.998000000000001</v>
      </c>
      <c r="H2">
        <f ca="1">IFERROR(__xludf.DUMMYFUNCTION("""COMPUTED_VALUE"""),4.318)</f>
        <v>4.3179999999999996</v>
      </c>
      <c r="I2">
        <f ca="1">IFERROR(__xludf.DUMMYFUNCTION("""COMPUTED_VALUE"""),8)</f>
        <v>8</v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IFERROR(__xludf.DUMMYFUNCTION("""COMPUTED_VALUE"""),"Dustin Johnson")</f>
        <v>Dustin Johnson</v>
      </c>
      <c r="D3">
        <f ca="1">IFERROR(__xludf.DUMMYFUNCTION("""COMPUTED_VALUE"""),8)</f>
        <v>8</v>
      </c>
      <c r="E3">
        <f ca="1">IFERROR(__xludf.DUMMYFUNCTION("""COMPUTED_VALUE"""),3.123)</f>
        <v>3.1230000000000002</v>
      </c>
      <c r="F3">
        <f ca="1">IFERROR(__xludf.DUMMYFUNCTION("""COMPUTED_VALUE"""),24.98)</f>
        <v>24.98</v>
      </c>
      <c r="G3">
        <f ca="1">IFERROR(__xludf.DUMMYFUNCTION("""COMPUTED_VALUE"""),21.119)</f>
        <v>21.119</v>
      </c>
      <c r="H3">
        <f ca="1">IFERROR(__xludf.DUMMYFUNCTION("""COMPUTED_VALUE"""),3.862)</f>
        <v>3.8620000000000001</v>
      </c>
      <c r="I3">
        <f ca="1">IFERROR(__xludf.DUMMYFUNCTION("""COMPUTED_VALUE"""),8)</f>
        <v>8</v>
      </c>
    </row>
    <row r="4" spans="1:9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IFERROR(__xludf.DUMMYFUNCTION("""COMPUTED_VALUE"""),"Xander Schauffele")</f>
        <v>Xander Schauffele</v>
      </c>
      <c r="D4">
        <f ca="1">IFERROR(__xludf.DUMMYFUNCTION("""COMPUTED_VALUE"""),12)</f>
        <v>12</v>
      </c>
      <c r="E4">
        <f ca="1">IFERROR(__xludf.DUMMYFUNCTION("""COMPUTED_VALUE"""),2.641)</f>
        <v>2.641</v>
      </c>
      <c r="F4">
        <f ca="1">IFERROR(__xludf.DUMMYFUNCTION("""COMPUTED_VALUE"""),31.691)</f>
        <v>31.690999999999999</v>
      </c>
      <c r="G4">
        <f ca="1">IFERROR(__xludf.DUMMYFUNCTION("""COMPUTED_VALUE"""),18.807)</f>
        <v>18.806999999999999</v>
      </c>
      <c r="H4">
        <f ca="1">IFERROR(__xludf.DUMMYFUNCTION("""COMPUTED_VALUE"""),12.884)</f>
        <v>12.884</v>
      </c>
      <c r="I4">
        <f ca="1">IFERROR(__xludf.DUMMYFUNCTION("""COMPUTED_VALUE"""),12)</f>
        <v>12</v>
      </c>
    </row>
    <row r="5" spans="1:9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IFERROR(__xludf.DUMMYFUNCTION("""COMPUTED_VALUE"""),"Peter Malnati")</f>
        <v>Peter Malnati</v>
      </c>
      <c r="D5">
        <f ca="1">IFERROR(__xludf.DUMMYFUNCTION("""COMPUTED_VALUE"""),18)</f>
        <v>18</v>
      </c>
      <c r="E5">
        <f ca="1">IFERROR(__xludf.DUMMYFUNCTION("""COMPUTED_VALUE"""),2.254)</f>
        <v>2.254</v>
      </c>
      <c r="F5">
        <f ca="1">IFERROR(__xludf.DUMMYFUNCTION("""COMPUTED_VALUE"""),22.536)</f>
        <v>22.536000000000001</v>
      </c>
      <c r="G5">
        <f ca="1">IFERROR(__xludf.DUMMYFUNCTION("""COMPUTED_VALUE"""),5.09)</f>
        <v>5.09</v>
      </c>
      <c r="H5">
        <f ca="1">IFERROR(__xludf.DUMMYFUNCTION("""COMPUTED_VALUE"""),17.447)</f>
        <v>17.446999999999999</v>
      </c>
      <c r="I5">
        <f ca="1">IFERROR(__xludf.DUMMYFUNCTION("""COMPUTED_VALUE"""),10)</f>
        <v>10</v>
      </c>
    </row>
    <row r="6" spans="1:9" ht="15.75" customHeight="1">
      <c r="A6">
        <f ca="1">IFERROR(__xludf.DUMMYFUNCTION("""COMPUTED_VALUE"""),5)</f>
        <v>5</v>
      </c>
      <c r="B6">
        <f ca="1">IFERROR(__xludf.DUMMYFUNCTION("""COMPUTED_VALUE"""),6)</f>
        <v>6</v>
      </c>
      <c r="C6" t="str">
        <f ca="1">IFERROR(__xludf.DUMMYFUNCTION("""COMPUTED_VALUE"""),"Justin Thomas")</f>
        <v>Justin Thomas</v>
      </c>
      <c r="D6">
        <f ca="1">IFERROR(__xludf.DUMMYFUNCTION("""COMPUTED_VALUE"""),12)</f>
        <v>12</v>
      </c>
      <c r="E6">
        <f ca="1">IFERROR(__xludf.DUMMYFUNCTION("""COMPUTED_VALUE"""),2.224)</f>
        <v>2.2240000000000002</v>
      </c>
      <c r="F6">
        <f ca="1">IFERROR(__xludf.DUMMYFUNCTION("""COMPUTED_VALUE"""),26.691)</f>
        <v>26.690999999999999</v>
      </c>
      <c r="G6">
        <f ca="1">IFERROR(__xludf.DUMMYFUNCTION("""COMPUTED_VALUE"""),17.678)</f>
        <v>17.678000000000001</v>
      </c>
      <c r="H6">
        <f ca="1">IFERROR(__xludf.DUMMYFUNCTION("""COMPUTED_VALUE"""),9.013)</f>
        <v>9.0129999999999999</v>
      </c>
      <c r="I6">
        <f ca="1">IFERROR(__xludf.DUMMYFUNCTION("""COMPUTED_VALUE"""),12)</f>
        <v>12</v>
      </c>
    </row>
    <row r="7" spans="1:9" ht="15.75" customHeight="1">
      <c r="A7">
        <f ca="1">IFERROR(__xludf.DUMMYFUNCTION("""COMPUTED_VALUE"""),6)</f>
        <v>6</v>
      </c>
      <c r="B7">
        <f ca="1">IFERROR(__xludf.DUMMYFUNCTION("""COMPUTED_VALUE"""),9)</f>
        <v>9</v>
      </c>
      <c r="C7" t="str">
        <f ca="1">IFERROR(__xludf.DUMMYFUNCTION("""COMPUTED_VALUE"""),"Akshay Bhatia")</f>
        <v>Akshay Bhatia</v>
      </c>
      <c r="D7">
        <f ca="1">IFERROR(__xludf.DUMMYFUNCTION("""COMPUTED_VALUE"""),6)</f>
        <v>6</v>
      </c>
      <c r="E7">
        <f ca="1">IFERROR(__xludf.DUMMYFUNCTION("""COMPUTED_VALUE"""),2.136)</f>
        <v>2.1360000000000001</v>
      </c>
      <c r="F7">
        <f ca="1">IFERROR(__xludf.DUMMYFUNCTION("""COMPUTED_VALUE"""),8.542)</f>
        <v>8.5419999999999998</v>
      </c>
      <c r="G7">
        <f ca="1">IFERROR(__xludf.DUMMYFUNCTION("""COMPUTED_VALUE"""),5.589)</f>
        <v>5.5890000000000004</v>
      </c>
      <c r="H7">
        <f ca="1">IFERROR(__xludf.DUMMYFUNCTION("""COMPUTED_VALUE"""),2.953)</f>
        <v>2.9529999999999998</v>
      </c>
      <c r="I7">
        <f ca="1">IFERROR(__xludf.DUMMYFUNCTION("""COMPUTED_VALUE"""),4)</f>
        <v>4</v>
      </c>
    </row>
    <row r="8" spans="1:9" ht="15.75" customHeight="1">
      <c r="A8">
        <f ca="1">IFERROR(__xludf.DUMMYFUNCTION("""COMPUTED_VALUE"""),7)</f>
        <v>7</v>
      </c>
      <c r="B8">
        <f ca="1">IFERROR(__xludf.DUMMYFUNCTION("""COMPUTED_VALUE"""),10)</f>
        <v>10</v>
      </c>
      <c r="C8" t="str">
        <f ca="1">IFERROR(__xludf.DUMMYFUNCTION("""COMPUTED_VALUE"""),"Jason Kokrak")</f>
        <v>Jason Kokrak</v>
      </c>
      <c r="D8">
        <f ca="1">IFERROR(__xludf.DUMMYFUNCTION("""COMPUTED_VALUE"""),14)</f>
        <v>14</v>
      </c>
      <c r="E8">
        <f ca="1">IFERROR(__xludf.DUMMYFUNCTION("""COMPUTED_VALUE"""),2.134)</f>
        <v>2.1339999999999999</v>
      </c>
      <c r="F8">
        <f ca="1">IFERROR(__xludf.DUMMYFUNCTION("""COMPUTED_VALUE"""),29.872)</f>
        <v>29.872</v>
      </c>
      <c r="G8">
        <f ca="1">IFERROR(__xludf.DUMMYFUNCTION("""COMPUTED_VALUE"""),8.231)</f>
        <v>8.2309999999999999</v>
      </c>
      <c r="H8">
        <f ca="1">IFERROR(__xludf.DUMMYFUNCTION("""COMPUTED_VALUE"""),21.642)</f>
        <v>21.641999999999999</v>
      </c>
      <c r="I8">
        <f ca="1">IFERROR(__xludf.DUMMYFUNCTION("""COMPUTED_VALUE"""),14)</f>
        <v>14</v>
      </c>
    </row>
    <row r="9" spans="1:9" ht="15.75" customHeight="1">
      <c r="A9">
        <f ca="1">IFERROR(__xludf.DUMMYFUNCTION("""COMPUTED_VALUE"""),8)</f>
        <v>8</v>
      </c>
      <c r="B9">
        <f ca="1">IFERROR(__xludf.DUMMYFUNCTION("""COMPUTED_VALUE"""),12)</f>
        <v>12</v>
      </c>
      <c r="C9" t="str">
        <f ca="1">IFERROR(__xludf.DUMMYFUNCTION("""COMPUTED_VALUE"""),"Justin Suh")</f>
        <v>Justin Suh</v>
      </c>
      <c r="D9">
        <f ca="1">IFERROR(__xludf.DUMMYFUNCTION("""COMPUTED_VALUE"""),10)</f>
        <v>10</v>
      </c>
      <c r="E9">
        <f ca="1">IFERROR(__xludf.DUMMYFUNCTION("""COMPUTED_VALUE"""),1.992)</f>
        <v>1.992</v>
      </c>
      <c r="F9">
        <f ca="1">IFERROR(__xludf.DUMMYFUNCTION("""COMPUTED_VALUE"""),7.969)</f>
        <v>7.9690000000000003</v>
      </c>
      <c r="G9">
        <f ca="1">IFERROR(__xludf.DUMMYFUNCTION("""COMPUTED_VALUE"""),4.883)</f>
        <v>4.883</v>
      </c>
      <c r="H9">
        <f ca="1">IFERROR(__xludf.DUMMYFUNCTION("""COMPUTED_VALUE"""),3.086)</f>
        <v>3.0859999999999999</v>
      </c>
      <c r="I9">
        <f ca="1">IFERROR(__xludf.DUMMYFUNCTION("""COMPUTED_VALUE"""),4)</f>
        <v>4</v>
      </c>
    </row>
    <row r="10" spans="1:9" ht="15.75" customHeight="1">
      <c r="A10">
        <f ca="1">IFERROR(__xludf.DUMMYFUNCTION("""COMPUTED_VALUE"""),9)</f>
        <v>9</v>
      </c>
      <c r="B10">
        <f ca="1">IFERROR(__xludf.DUMMYFUNCTION("""COMPUTED_VALUE"""),7)</f>
        <v>7</v>
      </c>
      <c r="C10" t="str">
        <f ca="1">IFERROR(__xludf.DUMMYFUNCTION("""COMPUTED_VALUE"""),"Russell Henley")</f>
        <v>Russell Henley</v>
      </c>
      <c r="D10">
        <f ca="1">IFERROR(__xludf.DUMMYFUNCTION("""COMPUTED_VALUE"""),16)</f>
        <v>16</v>
      </c>
      <c r="E10">
        <f ca="1">IFERROR(__xludf.DUMMYFUNCTION("""COMPUTED_VALUE"""),1.934)</f>
        <v>1.9339999999999999</v>
      </c>
      <c r="F10">
        <f ca="1">IFERROR(__xludf.DUMMYFUNCTION("""COMPUTED_VALUE"""),30.949)</f>
        <v>30.949000000000002</v>
      </c>
      <c r="G10">
        <f ca="1">IFERROR(__xludf.DUMMYFUNCTION("""COMPUTED_VALUE"""),28.887)</f>
        <v>28.887</v>
      </c>
      <c r="H10">
        <f ca="1">IFERROR(__xludf.DUMMYFUNCTION("""COMPUTED_VALUE"""),2.063)</f>
        <v>2.0630000000000002</v>
      </c>
      <c r="I10">
        <f ca="1">IFERROR(__xludf.DUMMYFUNCTION("""COMPUTED_VALUE"""),16)</f>
        <v>16</v>
      </c>
    </row>
    <row r="11" spans="1:9" ht="15.75" customHeight="1">
      <c r="A11" t="str">
        <f ca="1">IFERROR(__xludf.DUMMYFUNCTION("""COMPUTED_VALUE"""),"T10")</f>
        <v>T10</v>
      </c>
      <c r="B11" t="str">
        <f ca="1">IFERROR(__xludf.DUMMYFUNCTION("""COMPUTED_VALUE"""),"T13")</f>
        <v>T13</v>
      </c>
      <c r="C11" t="str">
        <f ca="1">IFERROR(__xludf.DUMMYFUNCTION("""COMPUTED_VALUE"""),"Bud Cauley")</f>
        <v>Bud Cauley</v>
      </c>
      <c r="D11">
        <f ca="1">IFERROR(__xludf.DUMMYFUNCTION("""COMPUTED_VALUE"""),4)</f>
        <v>4</v>
      </c>
      <c r="E11">
        <f ca="1">IFERROR(__xludf.DUMMYFUNCTION("""COMPUTED_VALUE"""),1.886)</f>
        <v>1.8859999999999999</v>
      </c>
      <c r="F11">
        <f ca="1">IFERROR(__xludf.DUMMYFUNCTION("""COMPUTED_VALUE"""),7.542)</f>
        <v>7.5419999999999998</v>
      </c>
      <c r="G11">
        <f ca="1">IFERROR(__xludf.DUMMYFUNCTION("""COMPUTED_VALUE"""),9.082)</f>
        <v>9.0820000000000007</v>
      </c>
      <c r="H11">
        <f ca="1">IFERROR(__xludf.DUMMYFUNCTION("""COMPUTED_VALUE"""),-1.54)</f>
        <v>-1.54</v>
      </c>
      <c r="I11">
        <f ca="1">IFERROR(__xludf.DUMMYFUNCTION("""COMPUTED_VALUE"""),4)</f>
        <v>4</v>
      </c>
    </row>
    <row r="12" spans="1:9" ht="15.75" customHeight="1">
      <c r="A12" t="str">
        <f ca="1">IFERROR(__xludf.DUMMYFUNCTION("""COMPUTED_VALUE"""),"T10")</f>
        <v>T10</v>
      </c>
      <c r="B12" t="str">
        <f ca="1">IFERROR(__xludf.DUMMYFUNCTION("""COMPUTED_VALUE"""),"T13")</f>
        <v>T13</v>
      </c>
      <c r="C12" t="str">
        <f ca="1">IFERROR(__xludf.DUMMYFUNCTION("""COMPUTED_VALUE"""),"Will Zalatoris")</f>
        <v>Will Zalatoris</v>
      </c>
      <c r="D12">
        <f ca="1">IFERROR(__xludf.DUMMYFUNCTION("""COMPUTED_VALUE"""),18)</f>
        <v>18</v>
      </c>
      <c r="E12">
        <f ca="1">IFERROR(__xludf.DUMMYFUNCTION("""COMPUTED_VALUE"""),1.886)</f>
        <v>1.8859999999999999</v>
      </c>
      <c r="F12">
        <f ca="1">IFERROR(__xludf.DUMMYFUNCTION("""COMPUTED_VALUE"""),18.856)</f>
        <v>18.856000000000002</v>
      </c>
      <c r="G12">
        <f ca="1">IFERROR(__xludf.DUMMYFUNCTION("""COMPUTED_VALUE"""),19.024)</f>
        <v>19.024000000000001</v>
      </c>
      <c r="H12">
        <f ca="1">IFERROR(__xludf.DUMMYFUNCTION("""COMPUTED_VALUE"""),-0.167)</f>
        <v>-0.16700000000000001</v>
      </c>
      <c r="I12">
        <f ca="1">IFERROR(__xludf.DUMMYFUNCTION("""COMPUTED_VALUE"""),10)</f>
        <v>10</v>
      </c>
    </row>
    <row r="13" spans="1:9" ht="15.75" customHeight="1">
      <c r="A13">
        <f ca="1">IFERROR(__xludf.DUMMYFUNCTION("""COMPUTED_VALUE"""),12)</f>
        <v>12</v>
      </c>
      <c r="B13">
        <f ca="1">IFERROR(__xludf.DUMMYFUNCTION("""COMPUTED_VALUE"""),11)</f>
        <v>11</v>
      </c>
      <c r="C13" t="str">
        <f ca="1">IFERROR(__xludf.DUMMYFUNCTION("""COMPUTED_VALUE"""),"Tony Finau")</f>
        <v>Tony Finau</v>
      </c>
      <c r="D13">
        <f ca="1">IFERROR(__xludf.DUMMYFUNCTION("""COMPUTED_VALUE"""),12)</f>
        <v>12</v>
      </c>
      <c r="E13">
        <f ca="1">IFERROR(__xludf.DUMMYFUNCTION("""COMPUTED_VALUE"""),1.835)</f>
        <v>1.835</v>
      </c>
      <c r="F13">
        <f ca="1">IFERROR(__xludf.DUMMYFUNCTION("""COMPUTED_VALUE"""),22.02)</f>
        <v>22.02</v>
      </c>
      <c r="G13">
        <f ca="1">IFERROR(__xludf.DUMMYFUNCTION("""COMPUTED_VALUE"""),19.335)</f>
        <v>19.335000000000001</v>
      </c>
      <c r="H13">
        <f ca="1">IFERROR(__xludf.DUMMYFUNCTION("""COMPUTED_VALUE"""),2.686)</f>
        <v>2.6859999999999999</v>
      </c>
      <c r="I13">
        <f ca="1">IFERROR(__xludf.DUMMYFUNCTION("""COMPUTED_VALUE"""),12)</f>
        <v>12</v>
      </c>
    </row>
    <row r="14" spans="1:9" ht="15.75" customHeight="1">
      <c r="A14" t="str">
        <f ca="1">IFERROR(__xludf.DUMMYFUNCTION("""COMPUTED_VALUE"""),"T13")</f>
        <v>T13</v>
      </c>
      <c r="B14" t="str">
        <f ca="1">IFERROR(__xludf.DUMMYFUNCTION("""COMPUTED_VALUE"""),"T17")</f>
        <v>T17</v>
      </c>
      <c r="C14" t="str">
        <f ca="1">IFERROR(__xludf.DUMMYFUNCTION("""COMPUTED_VALUE"""),"Bubba Watson")</f>
        <v>Bubba Watson</v>
      </c>
      <c r="D14">
        <f ca="1">IFERROR(__xludf.DUMMYFUNCTION("""COMPUTED_VALUE"""),12)</f>
        <v>12</v>
      </c>
      <c r="E14">
        <f ca="1">IFERROR(__xludf.DUMMYFUNCTION("""COMPUTED_VALUE"""),1.808)</f>
        <v>1.8080000000000001</v>
      </c>
      <c r="F14">
        <f ca="1">IFERROR(__xludf.DUMMYFUNCTION("""COMPUTED_VALUE"""),21.691)</f>
        <v>21.690999999999999</v>
      </c>
      <c r="G14">
        <f ca="1">IFERROR(__xludf.DUMMYFUNCTION("""COMPUTED_VALUE"""),29.808)</f>
        <v>29.808</v>
      </c>
      <c r="H14">
        <f ca="1">IFERROR(__xludf.DUMMYFUNCTION("""COMPUTED_VALUE"""),-8.117)</f>
        <v>-8.1170000000000009</v>
      </c>
      <c r="I14">
        <f ca="1">IFERROR(__xludf.DUMMYFUNCTION("""COMPUTED_VALUE"""),12)</f>
        <v>12</v>
      </c>
    </row>
    <row r="15" spans="1:9" ht="15.75" customHeight="1">
      <c r="A15" t="str">
        <f ca="1">IFERROR(__xludf.DUMMYFUNCTION("""COMPUTED_VALUE"""),"T13")</f>
        <v>T13</v>
      </c>
      <c r="B15" t="str">
        <f ca="1">IFERROR(__xludf.DUMMYFUNCTION("""COMPUTED_VALUE"""),"T17")</f>
        <v>T17</v>
      </c>
      <c r="C15" t="str">
        <f ca="1">IFERROR(__xludf.DUMMYFUNCTION("""COMPUTED_VALUE"""),"Jon Rahm")</f>
        <v>Jon Rahm</v>
      </c>
      <c r="D15">
        <f ca="1">IFERROR(__xludf.DUMMYFUNCTION("""COMPUTED_VALUE"""),12)</f>
        <v>12</v>
      </c>
      <c r="E15">
        <f ca="1">IFERROR(__xludf.DUMMYFUNCTION("""COMPUTED_VALUE"""),1.808)</f>
        <v>1.8080000000000001</v>
      </c>
      <c r="F15">
        <f ca="1">IFERROR(__xludf.DUMMYFUNCTION("""COMPUTED_VALUE"""),21.691)</f>
        <v>21.690999999999999</v>
      </c>
      <c r="G15">
        <f ca="1">IFERROR(__xludf.DUMMYFUNCTION("""COMPUTED_VALUE"""),22.234)</f>
        <v>22.234000000000002</v>
      </c>
      <c r="H15">
        <f ca="1">IFERROR(__xludf.DUMMYFUNCTION("""COMPUTED_VALUE"""),-0.543)</f>
        <v>-0.54300000000000004</v>
      </c>
      <c r="I15">
        <f ca="1">IFERROR(__xludf.DUMMYFUNCTION("""COMPUTED_VALUE"""),12)</f>
        <v>12</v>
      </c>
    </row>
    <row r="16" spans="1:9" ht="15.75" customHeight="1">
      <c r="A16">
        <f ca="1">IFERROR(__xludf.DUMMYFUNCTION("""COMPUTED_VALUE"""),15)</f>
        <v>15</v>
      </c>
      <c r="B16">
        <f ca="1">IFERROR(__xludf.DUMMYFUNCTION("""COMPUTED_VALUE"""),19)</f>
        <v>19</v>
      </c>
      <c r="C16" t="str">
        <f ca="1">IFERROR(__xludf.DUMMYFUNCTION("""COMPUTED_VALUE"""),"Patrick Reed")</f>
        <v>Patrick Reed</v>
      </c>
      <c r="D16">
        <f ca="1">IFERROR(__xludf.DUMMYFUNCTION("""COMPUTED_VALUE"""),8)</f>
        <v>8</v>
      </c>
      <c r="E16">
        <f ca="1">IFERROR(__xludf.DUMMYFUNCTION("""COMPUTED_VALUE"""),1.798)</f>
        <v>1.798</v>
      </c>
      <c r="F16">
        <f ca="1">IFERROR(__xludf.DUMMYFUNCTION("""COMPUTED_VALUE"""),14.385)</f>
        <v>14.385</v>
      </c>
      <c r="G16">
        <f ca="1">IFERROR(__xludf.DUMMYFUNCTION("""COMPUTED_VALUE"""),6.335)</f>
        <v>6.335</v>
      </c>
      <c r="H16">
        <f ca="1">IFERROR(__xludf.DUMMYFUNCTION("""COMPUTED_VALUE"""),8.051)</f>
        <v>8.0510000000000002</v>
      </c>
      <c r="I16">
        <f ca="1">IFERROR(__xludf.DUMMYFUNCTION("""COMPUTED_VALUE"""),8)</f>
        <v>8</v>
      </c>
    </row>
    <row r="17" spans="1:9" ht="15.75" customHeight="1">
      <c r="A17">
        <f ca="1">IFERROR(__xludf.DUMMYFUNCTION("""COMPUTED_VALUE"""),16)</f>
        <v>16</v>
      </c>
      <c r="B17">
        <f ca="1">IFERROR(__xludf.DUMMYFUNCTION("""COMPUTED_VALUE"""),20)</f>
        <v>20</v>
      </c>
      <c r="C17" t="str">
        <f ca="1">IFERROR(__xludf.DUMMYFUNCTION("""COMPUTED_VALUE"""),"Webb Simpson")</f>
        <v>Webb Simpson</v>
      </c>
      <c r="D17">
        <f ca="1">IFERROR(__xludf.DUMMYFUNCTION("""COMPUTED_VALUE"""),12)</f>
        <v>12</v>
      </c>
      <c r="E17">
        <f ca="1">IFERROR(__xludf.DUMMYFUNCTION("""COMPUTED_VALUE"""),1.78)</f>
        <v>1.78</v>
      </c>
      <c r="F17">
        <f ca="1">IFERROR(__xludf.DUMMYFUNCTION("""COMPUTED_VALUE"""),21.354)</f>
        <v>21.353999999999999</v>
      </c>
      <c r="G17">
        <f ca="1">IFERROR(__xludf.DUMMYFUNCTION("""COMPUTED_VALUE"""),12.312)</f>
        <v>12.311999999999999</v>
      </c>
      <c r="H17">
        <f ca="1">IFERROR(__xludf.DUMMYFUNCTION("""COMPUTED_VALUE"""),9.043)</f>
        <v>9.0429999999999993</v>
      </c>
      <c r="I17">
        <f ca="1">IFERROR(__xludf.DUMMYFUNCTION("""COMPUTED_VALUE"""),12)</f>
        <v>12</v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IFERROR(__xludf.DUMMYFUNCTION("""COMPUTED_VALUE"""),21)</f>
        <v>21</v>
      </c>
      <c r="C18" t="str">
        <f ca="1">IFERROR(__xludf.DUMMYFUNCTION("""COMPUTED_VALUE"""),"Joaquin Niemann")</f>
        <v>Joaquin Niemann</v>
      </c>
      <c r="D18">
        <f ca="1">IFERROR(__xludf.DUMMYFUNCTION("""COMPUTED_VALUE"""),16)</f>
        <v>16</v>
      </c>
      <c r="E18">
        <f ca="1">IFERROR(__xludf.DUMMYFUNCTION("""COMPUTED_VALUE"""),1.729)</f>
        <v>1.7290000000000001</v>
      </c>
      <c r="F18">
        <f ca="1">IFERROR(__xludf.DUMMYFUNCTION("""COMPUTED_VALUE"""),27.66)</f>
        <v>27.66</v>
      </c>
      <c r="G18">
        <f ca="1">IFERROR(__xludf.DUMMYFUNCTION("""COMPUTED_VALUE"""),17.271)</f>
        <v>17.271000000000001</v>
      </c>
      <c r="H18">
        <f ca="1">IFERROR(__xludf.DUMMYFUNCTION("""COMPUTED_VALUE"""),10.39)</f>
        <v>10.39</v>
      </c>
      <c r="I18">
        <f ca="1">IFERROR(__xludf.DUMMYFUNCTION("""COMPUTED_VALUE"""),16)</f>
        <v>16</v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IFERROR(__xludf.DUMMYFUNCTION("""COMPUTED_VALUE"""),28)</f>
        <v>28</v>
      </c>
      <c r="C19" t="str">
        <f ca="1">IFERROR(__xludf.DUMMYFUNCTION("""COMPUTED_VALUE"""),"Harold Varner III")</f>
        <v>Harold Varner III</v>
      </c>
      <c r="D19">
        <f ca="1">IFERROR(__xludf.DUMMYFUNCTION("""COMPUTED_VALUE"""),14)</f>
        <v>14</v>
      </c>
      <c r="E19">
        <f ca="1">IFERROR(__xludf.DUMMYFUNCTION("""COMPUTED_VALUE"""),1.679)</f>
        <v>1.679</v>
      </c>
      <c r="F19">
        <f ca="1">IFERROR(__xludf.DUMMYFUNCTION("""COMPUTED_VALUE"""),20.146)</f>
        <v>20.146000000000001</v>
      </c>
      <c r="G19">
        <f ca="1">IFERROR(__xludf.DUMMYFUNCTION("""COMPUTED_VALUE"""),17.97)</f>
        <v>17.97</v>
      </c>
      <c r="H19">
        <f ca="1">IFERROR(__xludf.DUMMYFUNCTION("""COMPUTED_VALUE"""),2.177)</f>
        <v>2.177</v>
      </c>
      <c r="I19">
        <f ca="1">IFERROR(__xludf.DUMMYFUNCTION("""COMPUTED_VALUE"""),12)</f>
        <v>12</v>
      </c>
    </row>
    <row r="20" spans="1:9" ht="15.75" customHeight="1">
      <c r="A20">
        <f ca="1">IFERROR(__xludf.DUMMYFUNCTION("""COMPUTED_VALUE"""),19)</f>
        <v>19</v>
      </c>
      <c r="B20">
        <f ca="1">IFERROR(__xludf.DUMMYFUNCTION("""COMPUTED_VALUE"""),22)</f>
        <v>22</v>
      </c>
      <c r="C20" t="str">
        <f ca="1">IFERROR(__xludf.DUMMYFUNCTION("""COMPUTED_VALUE"""),"Doug Ghim")</f>
        <v>Doug Ghim</v>
      </c>
      <c r="D20">
        <f ca="1">IFERROR(__xludf.DUMMYFUNCTION("""COMPUTED_VALUE"""),14)</f>
        <v>14</v>
      </c>
      <c r="E20">
        <f ca="1">IFERROR(__xludf.DUMMYFUNCTION("""COMPUTED_VALUE"""),1.677)</f>
        <v>1.677</v>
      </c>
      <c r="F20">
        <f ca="1">IFERROR(__xludf.DUMMYFUNCTION("""COMPUTED_VALUE"""),13.416)</f>
        <v>13.416</v>
      </c>
      <c r="G20">
        <f ca="1">IFERROR(__xludf.DUMMYFUNCTION("""COMPUTED_VALUE"""),11.431)</f>
        <v>11.430999999999999</v>
      </c>
      <c r="H20">
        <f ca="1">IFERROR(__xludf.DUMMYFUNCTION("""COMPUTED_VALUE"""),1.986)</f>
        <v>1.986</v>
      </c>
      <c r="I20">
        <f ca="1">IFERROR(__xludf.DUMMYFUNCTION("""COMPUTED_VALUE"""),8)</f>
        <v>8</v>
      </c>
    </row>
    <row r="21" spans="1:9" ht="15.75" customHeight="1">
      <c r="A21">
        <f ca="1">IFERROR(__xludf.DUMMYFUNCTION("""COMPUTED_VALUE"""),20)</f>
        <v>20</v>
      </c>
      <c r="B21" t="str">
        <f ca="1">IFERROR(__xludf.DUMMYFUNCTION("""COMPUTED_VALUE"""),"")</f>
        <v/>
      </c>
      <c r="C21" t="str">
        <f ca="1">IFERROR(__xludf.DUMMYFUNCTION("""COMPUTED_VALUE"""),"Dawie van der Walt")</f>
        <v>Dawie van der Walt</v>
      </c>
      <c r="D21">
        <f ca="1">IFERROR(__xludf.DUMMYFUNCTION("""COMPUTED_VALUE"""),4)</f>
        <v>4</v>
      </c>
      <c r="E21">
        <f ca="1">IFERROR(__xludf.DUMMYFUNCTION("""COMPUTED_VALUE"""),1.659)</f>
        <v>1.659</v>
      </c>
      <c r="F21">
        <f ca="1">IFERROR(__xludf.DUMMYFUNCTION("""COMPUTED_VALUE"""),6.635)</f>
        <v>6.6349999999999998</v>
      </c>
      <c r="G21">
        <f ca="1">IFERROR(__xludf.DUMMYFUNCTION("""COMPUTED_VALUE"""),0.309)</f>
        <v>0.309</v>
      </c>
      <c r="H21">
        <f ca="1">IFERROR(__xludf.DUMMYFUNCTION("""COMPUTED_VALUE"""),6.326)</f>
        <v>6.3259999999999996</v>
      </c>
      <c r="I21">
        <f ca="1">IFERROR(__xludf.DUMMYFUNCTION("""COMPUTED_VALUE"""),4)</f>
        <v>4</v>
      </c>
    </row>
    <row r="22" spans="1:9" ht="15.75" customHeight="1">
      <c r="A22" t="str">
        <f ca="1">IFERROR(__xludf.DUMMYFUNCTION("""COMPUTED_VALUE"""),"T21")</f>
        <v>T21</v>
      </c>
      <c r="B22" t="str">
        <f ca="1">IFERROR(__xludf.DUMMYFUNCTION("""COMPUTED_VALUE"""),"T23")</f>
        <v>T23</v>
      </c>
      <c r="C22" t="str">
        <f ca="1">IFERROR(__xludf.DUMMYFUNCTION("""COMPUTED_VALUE"""),"Ricky Barnes")</f>
        <v>Ricky Barnes</v>
      </c>
      <c r="D22">
        <f ca="1">IFERROR(__xludf.DUMMYFUNCTION("""COMPUTED_VALUE"""),12)</f>
        <v>12</v>
      </c>
      <c r="E22">
        <f ca="1">IFERROR(__xludf.DUMMYFUNCTION("""COMPUTED_VALUE"""),1.636)</f>
        <v>1.6359999999999999</v>
      </c>
      <c r="F22">
        <f ca="1">IFERROR(__xludf.DUMMYFUNCTION("""COMPUTED_VALUE"""),6.542)</f>
        <v>6.5419999999999998</v>
      </c>
      <c r="G22">
        <f ca="1">IFERROR(__xludf.DUMMYFUNCTION("""COMPUTED_VALUE"""),6.115)</f>
        <v>6.1150000000000002</v>
      </c>
      <c r="H22">
        <f ca="1">IFERROR(__xludf.DUMMYFUNCTION("""COMPUTED_VALUE"""),0.427)</f>
        <v>0.42699999999999999</v>
      </c>
      <c r="I22">
        <f ca="1">IFERROR(__xludf.DUMMYFUNCTION("""COMPUTED_VALUE"""),4)</f>
        <v>4</v>
      </c>
    </row>
    <row r="23" spans="1:9" ht="15.75" customHeight="1">
      <c r="A23" t="str">
        <f ca="1">IFERROR(__xludf.DUMMYFUNCTION("""COMPUTED_VALUE"""),"T21")</f>
        <v>T21</v>
      </c>
      <c r="B23" t="str">
        <f ca="1">IFERROR(__xludf.DUMMYFUNCTION("""COMPUTED_VALUE"""),"T23")</f>
        <v>T23</v>
      </c>
      <c r="C23" t="str">
        <f ca="1">IFERROR(__xludf.DUMMYFUNCTION("""COMPUTED_VALUE"""),"Nelson Ledesma")</f>
        <v>Nelson Ledesma</v>
      </c>
      <c r="D23">
        <f ca="1">IFERROR(__xludf.DUMMYFUNCTION("""COMPUTED_VALUE"""),8)</f>
        <v>8</v>
      </c>
      <c r="E23">
        <f ca="1">IFERROR(__xludf.DUMMYFUNCTION("""COMPUTED_VALUE"""),1.636)</f>
        <v>1.6359999999999999</v>
      </c>
      <c r="F23">
        <f ca="1">IFERROR(__xludf.DUMMYFUNCTION("""COMPUTED_VALUE"""),6.542)</f>
        <v>6.5419999999999998</v>
      </c>
      <c r="G23">
        <f ca="1">IFERROR(__xludf.DUMMYFUNCTION("""COMPUTED_VALUE"""),6.696)</f>
        <v>6.6959999999999997</v>
      </c>
      <c r="H23">
        <f ca="1">IFERROR(__xludf.DUMMYFUNCTION("""COMPUTED_VALUE"""),-0.154)</f>
        <v>-0.154</v>
      </c>
      <c r="I23">
        <f ca="1">IFERROR(__xludf.DUMMYFUNCTION("""COMPUTED_VALUE"""),4)</f>
        <v>4</v>
      </c>
    </row>
    <row r="24" spans="1:9" ht="15.75" customHeight="1">
      <c r="A24">
        <f ca="1">IFERROR(__xludf.DUMMYFUNCTION("""COMPUTED_VALUE"""),23)</f>
        <v>23</v>
      </c>
      <c r="B24">
        <f ca="1">IFERROR(__xludf.DUMMYFUNCTION("""COMPUTED_VALUE"""),86)</f>
        <v>86</v>
      </c>
      <c r="C24" t="str">
        <f ca="1">IFERROR(__xludf.DUMMYFUNCTION("""COMPUTED_VALUE"""),"Brooks Koepka")</f>
        <v>Brooks Koepka</v>
      </c>
      <c r="D24">
        <f ca="1">IFERROR(__xludf.DUMMYFUNCTION("""COMPUTED_VALUE"""),8)</f>
        <v>8</v>
      </c>
      <c r="E24">
        <f ca="1">IFERROR(__xludf.DUMMYFUNCTION("""COMPUTED_VALUE"""),1.618)</f>
        <v>1.6180000000000001</v>
      </c>
      <c r="F24">
        <f ca="1">IFERROR(__xludf.DUMMYFUNCTION("""COMPUTED_VALUE"""),12.941)</f>
        <v>12.941000000000001</v>
      </c>
      <c r="G24">
        <f ca="1">IFERROR(__xludf.DUMMYFUNCTION("""COMPUTED_VALUE"""),7.366)</f>
        <v>7.3659999999999997</v>
      </c>
      <c r="H24">
        <f ca="1">IFERROR(__xludf.DUMMYFUNCTION("""COMPUTED_VALUE"""),5.575)</f>
        <v>5.5750000000000002</v>
      </c>
      <c r="I24">
        <f ca="1">IFERROR(__xludf.DUMMYFUNCTION("""COMPUTED_VALUE"""),8)</f>
        <v>8</v>
      </c>
    </row>
    <row r="25" spans="1:9" ht="15.75" customHeight="1">
      <c r="A25">
        <f ca="1">IFERROR(__xludf.DUMMYFUNCTION("""COMPUTED_VALUE"""),24)</f>
        <v>24</v>
      </c>
      <c r="B25">
        <f ca="1">IFERROR(__xludf.DUMMYFUNCTION("""COMPUTED_VALUE"""),25)</f>
        <v>25</v>
      </c>
      <c r="C25" t="str">
        <f ca="1">IFERROR(__xludf.DUMMYFUNCTION("""COMPUTED_VALUE"""),"Wesley Bryan")</f>
        <v>Wesley Bryan</v>
      </c>
      <c r="D25">
        <f ca="1">IFERROR(__xludf.DUMMYFUNCTION("""COMPUTED_VALUE"""),8)</f>
        <v>8</v>
      </c>
      <c r="E25">
        <f ca="1">IFERROR(__xludf.DUMMYFUNCTION("""COMPUTED_VALUE"""),1.595)</f>
        <v>1.595</v>
      </c>
      <c r="F25">
        <f ca="1">IFERROR(__xludf.DUMMYFUNCTION("""COMPUTED_VALUE"""),9.567)</f>
        <v>9.5670000000000002</v>
      </c>
      <c r="G25">
        <f ca="1">IFERROR(__xludf.DUMMYFUNCTION("""COMPUTED_VALUE"""),5.101)</f>
        <v>5.101</v>
      </c>
      <c r="H25">
        <f ca="1">IFERROR(__xludf.DUMMYFUNCTION("""COMPUTED_VALUE"""),4.467)</f>
        <v>4.4669999999999996</v>
      </c>
      <c r="I25">
        <f ca="1">IFERROR(__xludf.DUMMYFUNCTION("""COMPUTED_VALUE"""),6)</f>
        <v>6</v>
      </c>
    </row>
    <row r="26" spans="1:9" ht="15.75" customHeight="1">
      <c r="A26" t="str">
        <f ca="1">IFERROR(__xludf.DUMMYFUNCTION("""COMPUTED_VALUE"""),"T25")</f>
        <v>T25</v>
      </c>
      <c r="B26" t="str">
        <f ca="1">IFERROR(__xludf.DUMMYFUNCTION("""COMPUTED_VALUE"""),"T26")</f>
        <v>T26</v>
      </c>
      <c r="C26" t="str">
        <f ca="1">IFERROR(__xludf.DUMMYFUNCTION("""COMPUTED_VALUE"""),"Thomas Pieters")</f>
        <v>Thomas Pieters</v>
      </c>
      <c r="D26">
        <f ca="1">IFERROR(__xludf.DUMMYFUNCTION("""COMPUTED_VALUE"""),4)</f>
        <v>4</v>
      </c>
      <c r="E26">
        <f ca="1">IFERROR(__xludf.DUMMYFUNCTION("""COMPUTED_VALUE"""),1.587)</f>
        <v>1.587</v>
      </c>
      <c r="F26">
        <f ca="1">IFERROR(__xludf.DUMMYFUNCTION("""COMPUTED_VALUE"""),6.346)</f>
        <v>6.3460000000000001</v>
      </c>
      <c r="G26">
        <f ca="1">IFERROR(__xludf.DUMMYFUNCTION("""COMPUTED_VALUE"""),10.55)</f>
        <v>10.55</v>
      </c>
      <c r="H26">
        <f ca="1">IFERROR(__xludf.DUMMYFUNCTION("""COMPUTED_VALUE"""),-4.204)</f>
        <v>-4.2039999999999997</v>
      </c>
      <c r="I26">
        <f ca="1">IFERROR(__xludf.DUMMYFUNCTION("""COMPUTED_VALUE"""),4)</f>
        <v>4</v>
      </c>
    </row>
    <row r="27" spans="1:9" ht="15.75" customHeight="1">
      <c r="A27" t="str">
        <f ca="1">IFERROR(__xludf.DUMMYFUNCTION("""COMPUTED_VALUE"""),"T25")</f>
        <v>T25</v>
      </c>
      <c r="B27" t="str">
        <f ca="1">IFERROR(__xludf.DUMMYFUNCTION("""COMPUTED_VALUE"""),"T26")</f>
        <v>T26</v>
      </c>
      <c r="C27" t="str">
        <f ca="1">IFERROR(__xludf.DUMMYFUNCTION("""COMPUTED_VALUE"""),"Taylor Pendrith")</f>
        <v>Taylor Pendrith</v>
      </c>
      <c r="D27">
        <f ca="1">IFERROR(__xludf.DUMMYFUNCTION("""COMPUTED_VALUE"""),4)</f>
        <v>4</v>
      </c>
      <c r="E27">
        <f ca="1">IFERROR(__xludf.DUMMYFUNCTION("""COMPUTED_VALUE"""),1.587)</f>
        <v>1.587</v>
      </c>
      <c r="F27">
        <f ca="1">IFERROR(__xludf.DUMMYFUNCTION("""COMPUTED_VALUE"""),6.346)</f>
        <v>6.3460000000000001</v>
      </c>
      <c r="G27">
        <f ca="1">IFERROR(__xludf.DUMMYFUNCTION("""COMPUTED_VALUE"""),5.135)</f>
        <v>5.1349999999999998</v>
      </c>
      <c r="H27">
        <f ca="1">IFERROR(__xludf.DUMMYFUNCTION("""COMPUTED_VALUE"""),1.211)</f>
        <v>1.2110000000000001</v>
      </c>
      <c r="I27">
        <f ca="1">IFERROR(__xludf.DUMMYFUNCTION("""COMPUTED_VALUE"""),4)</f>
        <v>4</v>
      </c>
    </row>
    <row r="28" spans="1:9" ht="15.75" customHeight="1">
      <c r="A28">
        <f ca="1">IFERROR(__xludf.DUMMYFUNCTION("""COMPUTED_VALUE"""),27)</f>
        <v>27</v>
      </c>
      <c r="B28">
        <f ca="1">IFERROR(__xludf.DUMMYFUNCTION("""COMPUTED_VALUE"""),29)</f>
        <v>29</v>
      </c>
      <c r="C28" t="str">
        <f ca="1">IFERROR(__xludf.DUMMYFUNCTION("""COMPUTED_VALUE"""),"Harris English")</f>
        <v>Harris English</v>
      </c>
      <c r="D28">
        <f ca="1">IFERROR(__xludf.DUMMYFUNCTION("""COMPUTED_VALUE"""),14)</f>
        <v>14</v>
      </c>
      <c r="E28">
        <f ca="1">IFERROR(__xludf.DUMMYFUNCTION("""COMPUTED_VALUE"""),1.562)</f>
        <v>1.5620000000000001</v>
      </c>
      <c r="F28">
        <f ca="1">IFERROR(__xludf.DUMMYFUNCTION("""COMPUTED_VALUE"""),21.872)</f>
        <v>21.872</v>
      </c>
      <c r="G28">
        <f ca="1">IFERROR(__xludf.DUMMYFUNCTION("""COMPUTED_VALUE"""),13.138)</f>
        <v>13.138</v>
      </c>
      <c r="H28">
        <f ca="1">IFERROR(__xludf.DUMMYFUNCTION("""COMPUTED_VALUE"""),8.735)</f>
        <v>8.7349999999999994</v>
      </c>
      <c r="I28">
        <f ca="1">IFERROR(__xludf.DUMMYFUNCTION("""COMPUTED_VALUE"""),14)</f>
        <v>14</v>
      </c>
    </row>
    <row r="29" spans="1:9" ht="15.75" customHeight="1">
      <c r="A29">
        <f ca="1">IFERROR(__xludf.DUMMYFUNCTION("""COMPUTED_VALUE"""),28)</f>
        <v>28</v>
      </c>
      <c r="B29">
        <f ca="1">IFERROR(__xludf.DUMMYFUNCTION("""COMPUTED_VALUE"""),41)</f>
        <v>41</v>
      </c>
      <c r="C29" t="str">
        <f ca="1">IFERROR(__xludf.DUMMYFUNCTION("""COMPUTED_VALUE"""),"Tyrrell Hatton")</f>
        <v>Tyrrell Hatton</v>
      </c>
      <c r="D29">
        <f ca="1">IFERROR(__xludf.DUMMYFUNCTION("""COMPUTED_VALUE"""),14)</f>
        <v>14</v>
      </c>
      <c r="E29">
        <f ca="1">IFERROR(__xludf.DUMMYFUNCTION("""COMPUTED_VALUE"""),1.557)</f>
        <v>1.5569999999999999</v>
      </c>
      <c r="F29">
        <f ca="1">IFERROR(__xludf.DUMMYFUNCTION("""COMPUTED_VALUE"""),21.794)</f>
        <v>21.794</v>
      </c>
      <c r="G29">
        <f ca="1">IFERROR(__xludf.DUMMYFUNCTION("""COMPUTED_VALUE"""),11.744)</f>
        <v>11.744</v>
      </c>
      <c r="H29">
        <f ca="1">IFERROR(__xludf.DUMMYFUNCTION("""COMPUTED_VALUE"""),10.051)</f>
        <v>10.051</v>
      </c>
      <c r="I29">
        <f ca="1">IFERROR(__xludf.DUMMYFUNCTION("""COMPUTED_VALUE"""),14)</f>
        <v>14</v>
      </c>
    </row>
    <row r="30" spans="1:9" ht="15.75" customHeight="1">
      <c r="A30">
        <f ca="1">IFERROR(__xludf.DUMMYFUNCTION("""COMPUTED_VALUE"""),29)</f>
        <v>29</v>
      </c>
      <c r="B30">
        <f ca="1">IFERROR(__xludf.DUMMYFUNCTION("""COMPUTED_VALUE"""),31)</f>
        <v>31</v>
      </c>
      <c r="C30" t="str">
        <f ca="1">IFERROR(__xludf.DUMMYFUNCTION("""COMPUTED_VALUE"""),"Louis Oosthuizen")</f>
        <v>Louis Oosthuizen</v>
      </c>
      <c r="D30">
        <f ca="1">IFERROR(__xludf.DUMMYFUNCTION("""COMPUTED_VALUE"""),12)</f>
        <v>12</v>
      </c>
      <c r="E30">
        <f ca="1">IFERROR(__xludf.DUMMYFUNCTION("""COMPUTED_VALUE"""),1.552)</f>
        <v>1.552</v>
      </c>
      <c r="F30">
        <f ca="1">IFERROR(__xludf.DUMMYFUNCTION("""COMPUTED_VALUE"""),18.621)</f>
        <v>18.620999999999999</v>
      </c>
      <c r="G30">
        <f ca="1">IFERROR(__xludf.DUMMYFUNCTION("""COMPUTED_VALUE"""),9.438)</f>
        <v>9.4380000000000006</v>
      </c>
      <c r="H30">
        <f ca="1">IFERROR(__xludf.DUMMYFUNCTION("""COMPUTED_VALUE"""),9.183)</f>
        <v>9.1829999999999998</v>
      </c>
      <c r="I30">
        <f ca="1">IFERROR(__xludf.DUMMYFUNCTION("""COMPUTED_VALUE"""),12)</f>
        <v>12</v>
      </c>
    </row>
    <row r="31" spans="1:9" ht="12.75">
      <c r="A31">
        <f ca="1">IFERROR(__xludf.DUMMYFUNCTION("""COMPUTED_VALUE"""),30)</f>
        <v>30</v>
      </c>
      <c r="B31">
        <f ca="1">IFERROR(__xludf.DUMMYFUNCTION("""COMPUTED_VALUE"""),32)</f>
        <v>32</v>
      </c>
      <c r="C31" t="str">
        <f ca="1">IFERROR(__xludf.DUMMYFUNCTION("""COMPUTED_VALUE"""),"J.J. Spaun")</f>
        <v>J.J. Spaun</v>
      </c>
      <c r="D31">
        <f ca="1">IFERROR(__xludf.DUMMYFUNCTION("""COMPUTED_VALUE"""),10)</f>
        <v>10</v>
      </c>
      <c r="E31">
        <f ca="1">IFERROR(__xludf.DUMMYFUNCTION("""COMPUTED_VALUE"""),1.514)</f>
        <v>1.514</v>
      </c>
      <c r="F31">
        <f ca="1">IFERROR(__xludf.DUMMYFUNCTION("""COMPUTED_VALUE"""),9.083)</f>
        <v>9.0830000000000002</v>
      </c>
      <c r="G31">
        <f ca="1">IFERROR(__xludf.DUMMYFUNCTION("""COMPUTED_VALUE"""),11.139)</f>
        <v>11.138999999999999</v>
      </c>
      <c r="H31">
        <f ca="1">IFERROR(__xludf.DUMMYFUNCTION("""COMPUTED_VALUE"""),-2.056)</f>
        <v>-2.056</v>
      </c>
      <c r="I31">
        <f ca="1">IFERROR(__xludf.DUMMYFUNCTION("""COMPUTED_VALUE"""),6)</f>
        <v>6</v>
      </c>
    </row>
    <row r="32" spans="1:9" ht="12.75">
      <c r="A32">
        <f ca="1">IFERROR(__xludf.DUMMYFUNCTION("""COMPUTED_VALUE"""),31)</f>
        <v>31</v>
      </c>
      <c r="B32" t="str">
        <f ca="1">IFERROR(__xludf.DUMMYFUNCTION("""COMPUTED_VALUE"""),"T53")</f>
        <v>T53</v>
      </c>
      <c r="C32" t="str">
        <f ca="1">IFERROR(__xludf.DUMMYFUNCTION("""COMPUTED_VALUE"""),"Sepp Straka")</f>
        <v>Sepp Straka</v>
      </c>
      <c r="D32">
        <f ca="1">IFERROR(__xludf.DUMMYFUNCTION("""COMPUTED_VALUE"""),22)</f>
        <v>22</v>
      </c>
      <c r="E32">
        <f ca="1">IFERROR(__xludf.DUMMYFUNCTION("""COMPUTED_VALUE"""),1.478)</f>
        <v>1.478</v>
      </c>
      <c r="F32">
        <f ca="1">IFERROR(__xludf.DUMMYFUNCTION("""COMPUTED_VALUE"""),20.687)</f>
        <v>20.687000000000001</v>
      </c>
      <c r="G32">
        <f ca="1">IFERROR(__xludf.DUMMYFUNCTION("""COMPUTED_VALUE"""),12.547)</f>
        <v>12.547000000000001</v>
      </c>
      <c r="H32">
        <f ca="1">IFERROR(__xludf.DUMMYFUNCTION("""COMPUTED_VALUE"""),8.142)</f>
        <v>8.1419999999999995</v>
      </c>
      <c r="I32">
        <f ca="1">IFERROR(__xludf.DUMMYFUNCTION("""COMPUTED_VALUE"""),14)</f>
        <v>14</v>
      </c>
    </row>
    <row r="33" spans="1:9" ht="12.75">
      <c r="A33">
        <f ca="1">IFERROR(__xludf.DUMMYFUNCTION("""COMPUTED_VALUE"""),32)</f>
        <v>32</v>
      </c>
      <c r="B33">
        <f ca="1">IFERROR(__xludf.DUMMYFUNCTION("""COMPUTED_VALUE"""),34)</f>
        <v>34</v>
      </c>
      <c r="C33" t="str">
        <f ca="1">IFERROR(__xludf.DUMMYFUNCTION("""COMPUTED_VALUE"""),"Rory McIlroy")</f>
        <v>Rory McIlroy</v>
      </c>
      <c r="D33">
        <f ca="1">IFERROR(__xludf.DUMMYFUNCTION("""COMPUTED_VALUE"""),12)</f>
        <v>12</v>
      </c>
      <c r="E33">
        <f ca="1">IFERROR(__xludf.DUMMYFUNCTION("""COMPUTED_VALUE"""),1.474)</f>
        <v>1.474</v>
      </c>
      <c r="F33">
        <f ca="1">IFERROR(__xludf.DUMMYFUNCTION("""COMPUTED_VALUE"""),17.691)</f>
        <v>17.690999999999999</v>
      </c>
      <c r="G33">
        <f ca="1">IFERROR(__xludf.DUMMYFUNCTION("""COMPUTED_VALUE"""),12.149)</f>
        <v>12.148999999999999</v>
      </c>
      <c r="H33">
        <f ca="1">IFERROR(__xludf.DUMMYFUNCTION("""COMPUTED_VALUE"""),5.542)</f>
        <v>5.5419999999999998</v>
      </c>
      <c r="I33">
        <f ca="1">IFERROR(__xludf.DUMMYFUNCTION("""COMPUTED_VALUE"""),12)</f>
        <v>12</v>
      </c>
    </row>
    <row r="34" spans="1:9" ht="12.75">
      <c r="A34">
        <f ca="1">IFERROR(__xludf.DUMMYFUNCTION("""COMPUTED_VALUE"""),33)</f>
        <v>33</v>
      </c>
      <c r="B34" t="str">
        <f ca="1">IFERROR(__xludf.DUMMYFUNCTION("""COMPUTED_VALUE"""),"T59")</f>
        <v>T59</v>
      </c>
      <c r="C34" t="str">
        <f ca="1">IFERROR(__xludf.DUMMYFUNCTION("""COMPUTED_VALUE"""),"Hideki Matsuyama")</f>
        <v>Hideki Matsuyama</v>
      </c>
      <c r="D34">
        <f ca="1">IFERROR(__xludf.DUMMYFUNCTION("""COMPUTED_VALUE"""),18)</f>
        <v>18</v>
      </c>
      <c r="E34">
        <f ca="1">IFERROR(__xludf.DUMMYFUNCTION("""COMPUTED_VALUE"""),1.473)</f>
        <v>1.4730000000000001</v>
      </c>
      <c r="F34">
        <f ca="1">IFERROR(__xludf.DUMMYFUNCTION("""COMPUTED_VALUE"""),26.507)</f>
        <v>26.507000000000001</v>
      </c>
      <c r="G34">
        <f ca="1">IFERROR(__xludf.DUMMYFUNCTION("""COMPUTED_VALUE"""),27.888)</f>
        <v>27.888000000000002</v>
      </c>
      <c r="H34">
        <f ca="1">IFERROR(__xludf.DUMMYFUNCTION("""COMPUTED_VALUE"""),-1.38)</f>
        <v>-1.38</v>
      </c>
      <c r="I34">
        <f ca="1">IFERROR(__xludf.DUMMYFUNCTION("""COMPUTED_VALUE"""),18)</f>
        <v>18</v>
      </c>
    </row>
    <row r="35" spans="1:9" ht="12.75">
      <c r="A35">
        <f ca="1">IFERROR(__xludf.DUMMYFUNCTION("""COMPUTED_VALUE"""),34)</f>
        <v>34</v>
      </c>
      <c r="B35">
        <f ca="1">IFERROR(__xludf.DUMMYFUNCTION("""COMPUTED_VALUE"""),8)</f>
        <v>8</v>
      </c>
      <c r="C35" t="str">
        <f ca="1">IFERROR(__xludf.DUMMYFUNCTION("""COMPUTED_VALUE"""),"James Hahn")</f>
        <v>James Hahn</v>
      </c>
      <c r="D35">
        <f ca="1">IFERROR(__xludf.DUMMYFUNCTION("""COMPUTED_VALUE"""),16)</f>
        <v>16</v>
      </c>
      <c r="E35">
        <f ca="1">IFERROR(__xludf.DUMMYFUNCTION("""COMPUTED_VALUE"""),1.429)</f>
        <v>1.429</v>
      </c>
      <c r="F35">
        <f ca="1">IFERROR(__xludf.DUMMYFUNCTION("""COMPUTED_VALUE"""),17.146)</f>
        <v>17.146000000000001</v>
      </c>
      <c r="G35">
        <f ca="1">IFERROR(__xludf.DUMMYFUNCTION("""COMPUTED_VALUE"""),9.821)</f>
        <v>9.8209999999999997</v>
      </c>
      <c r="H35">
        <f ca="1">IFERROR(__xludf.DUMMYFUNCTION("""COMPUTED_VALUE"""),7.326)</f>
        <v>7.3259999999999996</v>
      </c>
      <c r="I35">
        <f ca="1">IFERROR(__xludf.DUMMYFUNCTION("""COMPUTED_VALUE"""),12)</f>
        <v>12</v>
      </c>
    </row>
    <row r="36" spans="1:9" ht="12.75">
      <c r="A36">
        <f ca="1">IFERROR(__xludf.DUMMYFUNCTION("""COMPUTED_VALUE"""),35)</f>
        <v>35</v>
      </c>
      <c r="B36">
        <f ca="1">IFERROR(__xludf.DUMMYFUNCTION("""COMPUTED_VALUE"""),36)</f>
        <v>36</v>
      </c>
      <c r="C36" t="str">
        <f ca="1">IFERROR(__xludf.DUMMYFUNCTION("""COMPUTED_VALUE"""),"Patrick Cantlay")</f>
        <v>Patrick Cantlay</v>
      </c>
      <c r="D36">
        <f ca="1">IFERROR(__xludf.DUMMYFUNCTION("""COMPUTED_VALUE"""),16)</f>
        <v>16</v>
      </c>
      <c r="E36">
        <f ca="1">IFERROR(__xludf.DUMMYFUNCTION("""COMPUTED_VALUE"""),1.416)</f>
        <v>1.4159999999999999</v>
      </c>
      <c r="F36">
        <f ca="1">IFERROR(__xludf.DUMMYFUNCTION("""COMPUTED_VALUE"""),22.66)</f>
        <v>22.66</v>
      </c>
      <c r="G36">
        <f ca="1">IFERROR(__xludf.DUMMYFUNCTION("""COMPUTED_VALUE"""),19.672)</f>
        <v>19.672000000000001</v>
      </c>
      <c r="H36">
        <f ca="1">IFERROR(__xludf.DUMMYFUNCTION("""COMPUTED_VALUE"""),2.989)</f>
        <v>2.9889999999999999</v>
      </c>
      <c r="I36">
        <f ca="1">IFERROR(__xludf.DUMMYFUNCTION("""COMPUTED_VALUE"""),16)</f>
        <v>16</v>
      </c>
    </row>
    <row r="37" spans="1:9" ht="12.75">
      <c r="A37">
        <f ca="1">IFERROR(__xludf.DUMMYFUNCTION("""COMPUTED_VALUE"""),36)</f>
        <v>36</v>
      </c>
      <c r="B37" t="str">
        <f ca="1">IFERROR(__xludf.DUMMYFUNCTION("""COMPUTED_VALUE"""),"T53")</f>
        <v>T53</v>
      </c>
      <c r="C37" t="str">
        <f ca="1">IFERROR(__xludf.DUMMYFUNCTION("""COMPUTED_VALUE"""),"Sam Burns")</f>
        <v>Sam Burns</v>
      </c>
      <c r="D37">
        <f ca="1">IFERROR(__xludf.DUMMYFUNCTION("""COMPUTED_VALUE"""),18)</f>
        <v>18</v>
      </c>
      <c r="E37">
        <f ca="1">IFERROR(__xludf.DUMMYFUNCTION("""COMPUTED_VALUE"""),1.406)</f>
        <v>1.4059999999999999</v>
      </c>
      <c r="F37">
        <f ca="1">IFERROR(__xludf.DUMMYFUNCTION("""COMPUTED_VALUE"""),19.687)</f>
        <v>19.687000000000001</v>
      </c>
      <c r="G37">
        <f ca="1">IFERROR(__xludf.DUMMYFUNCTION("""COMPUTED_VALUE"""),17.171)</f>
        <v>17.170999999999999</v>
      </c>
      <c r="H37">
        <f ca="1">IFERROR(__xludf.DUMMYFUNCTION("""COMPUTED_VALUE"""),2.518)</f>
        <v>2.5179999999999998</v>
      </c>
      <c r="I37">
        <f ca="1">IFERROR(__xludf.DUMMYFUNCTION("""COMPUTED_VALUE"""),14)</f>
        <v>14</v>
      </c>
    </row>
    <row r="38" spans="1:9" ht="12.75">
      <c r="A38">
        <f ca="1">IFERROR(__xludf.DUMMYFUNCTION("""COMPUTED_VALUE"""),37)</f>
        <v>37</v>
      </c>
      <c r="B38">
        <f ca="1">IFERROR(__xludf.DUMMYFUNCTION("""COMPUTED_VALUE"""),16)</f>
        <v>16</v>
      </c>
      <c r="C38" t="str">
        <f ca="1">IFERROR(__xludf.DUMMYFUNCTION("""COMPUTED_VALUE"""),"Zach Johnson")</f>
        <v>Zach Johnson</v>
      </c>
      <c r="D38">
        <f ca="1">IFERROR(__xludf.DUMMYFUNCTION("""COMPUTED_VALUE"""),16)</f>
        <v>16</v>
      </c>
      <c r="E38">
        <f ca="1">IFERROR(__xludf.DUMMYFUNCTION("""COMPUTED_VALUE"""),1.364)</f>
        <v>1.3640000000000001</v>
      </c>
      <c r="F38">
        <f ca="1">IFERROR(__xludf.DUMMYFUNCTION("""COMPUTED_VALUE"""),21.824)</f>
        <v>21.824000000000002</v>
      </c>
      <c r="G38">
        <f ca="1">IFERROR(__xludf.DUMMYFUNCTION("""COMPUTED_VALUE"""),8.108)</f>
        <v>8.1080000000000005</v>
      </c>
      <c r="H38">
        <f ca="1">IFERROR(__xludf.DUMMYFUNCTION("""COMPUTED_VALUE"""),13.718)</f>
        <v>13.718</v>
      </c>
      <c r="I38">
        <f ca="1">IFERROR(__xludf.DUMMYFUNCTION("""COMPUTED_VALUE"""),16)</f>
        <v>16</v>
      </c>
    </row>
    <row r="39" spans="1:9" ht="12.75">
      <c r="A39">
        <f ca="1">IFERROR(__xludf.DUMMYFUNCTION("""COMPUTED_VALUE"""),38)</f>
        <v>38</v>
      </c>
      <c r="B39" t="str">
        <f ca="1">IFERROR(__xludf.DUMMYFUNCTION("""COMPUTED_VALUE"""),"T37")</f>
        <v>T37</v>
      </c>
      <c r="C39" t="str">
        <f ca="1">IFERROR(__xludf.DUMMYFUNCTION("""COMPUTED_VALUE"""),"Cameron Smith")</f>
        <v>Cameron Smith</v>
      </c>
      <c r="D39">
        <f ca="1">IFERROR(__xludf.DUMMYFUNCTION("""COMPUTED_VALUE"""),16)</f>
        <v>16</v>
      </c>
      <c r="E39">
        <f ca="1">IFERROR(__xludf.DUMMYFUNCTION("""COMPUTED_VALUE"""),1.354)</f>
        <v>1.3540000000000001</v>
      </c>
      <c r="F39">
        <f ca="1">IFERROR(__xludf.DUMMYFUNCTION("""COMPUTED_VALUE"""),21.66)</f>
        <v>21.66</v>
      </c>
      <c r="G39">
        <f ca="1">IFERROR(__xludf.DUMMYFUNCTION("""COMPUTED_VALUE"""),6.763)</f>
        <v>6.7629999999999999</v>
      </c>
      <c r="H39">
        <f ca="1">IFERROR(__xludf.DUMMYFUNCTION("""COMPUTED_VALUE"""),14.898)</f>
        <v>14.898</v>
      </c>
      <c r="I39">
        <f ca="1">IFERROR(__xludf.DUMMYFUNCTION("""COMPUTED_VALUE"""),16)</f>
        <v>16</v>
      </c>
    </row>
    <row r="40" spans="1:9" ht="12.75">
      <c r="A40">
        <f ca="1">IFERROR(__xludf.DUMMYFUNCTION("""COMPUTED_VALUE"""),39)</f>
        <v>39</v>
      </c>
      <c r="B40">
        <f ca="1">IFERROR(__xludf.DUMMYFUNCTION("""COMPUTED_VALUE"""),39)</f>
        <v>39</v>
      </c>
      <c r="C40" t="str">
        <f ca="1">IFERROR(__xludf.DUMMYFUNCTION("""COMPUTED_VALUE"""),"Austin Cook")</f>
        <v>Austin Cook</v>
      </c>
      <c r="D40">
        <f ca="1">IFERROR(__xludf.DUMMYFUNCTION("""COMPUTED_VALUE"""),14)</f>
        <v>14</v>
      </c>
      <c r="E40">
        <f ca="1">IFERROR(__xludf.DUMMYFUNCTION("""COMPUTED_VALUE"""),1.335)</f>
        <v>1.335</v>
      </c>
      <c r="F40">
        <f ca="1">IFERROR(__xludf.DUMMYFUNCTION("""COMPUTED_VALUE"""),18.687)</f>
        <v>18.687000000000001</v>
      </c>
      <c r="G40">
        <f ca="1">IFERROR(__xludf.DUMMYFUNCTION("""COMPUTED_VALUE"""),12.562)</f>
        <v>12.561999999999999</v>
      </c>
      <c r="H40">
        <f ca="1">IFERROR(__xludf.DUMMYFUNCTION("""COMPUTED_VALUE"""),6.127)</f>
        <v>6.1269999999999998</v>
      </c>
      <c r="I40">
        <f ca="1">IFERROR(__xludf.DUMMYFUNCTION("""COMPUTED_VALUE"""),14)</f>
        <v>14</v>
      </c>
    </row>
    <row r="41" spans="1:9" ht="12.75">
      <c r="A41">
        <f ca="1">IFERROR(__xludf.DUMMYFUNCTION("""COMPUTED_VALUE"""),40)</f>
        <v>40</v>
      </c>
      <c r="B41">
        <f ca="1">IFERROR(__xludf.DUMMYFUNCTION("""COMPUTED_VALUE"""),44)</f>
        <v>44</v>
      </c>
      <c r="C41" t="str">
        <f ca="1">IFERROR(__xludf.DUMMYFUNCTION("""COMPUTED_VALUE"""),"Viktor Hovland")</f>
        <v>Viktor Hovland</v>
      </c>
      <c r="D41">
        <f ca="1">IFERROR(__xludf.DUMMYFUNCTION("""COMPUTED_VALUE"""),16)</f>
        <v>16</v>
      </c>
      <c r="E41">
        <f ca="1">IFERROR(__xludf.DUMMYFUNCTION("""COMPUTED_VALUE"""),1.333)</f>
        <v>1.333</v>
      </c>
      <c r="F41">
        <f ca="1">IFERROR(__xludf.DUMMYFUNCTION("""COMPUTED_VALUE"""),21.326)</f>
        <v>21.326000000000001</v>
      </c>
      <c r="G41">
        <f ca="1">IFERROR(__xludf.DUMMYFUNCTION("""COMPUTED_VALUE"""),21.226)</f>
        <v>21.225999999999999</v>
      </c>
      <c r="H41">
        <f ca="1">IFERROR(__xludf.DUMMYFUNCTION("""COMPUTED_VALUE"""),0.101)</f>
        <v>0.10100000000000001</v>
      </c>
      <c r="I41">
        <f ca="1">IFERROR(__xludf.DUMMYFUNCTION("""COMPUTED_VALUE"""),16)</f>
        <v>16</v>
      </c>
    </row>
    <row r="42" spans="1:9" ht="12.75">
      <c r="A42">
        <f ca="1">IFERROR(__xludf.DUMMYFUNCTION("""COMPUTED_VALUE"""),41)</f>
        <v>41</v>
      </c>
      <c r="B42">
        <f ca="1">IFERROR(__xludf.DUMMYFUNCTION("""COMPUTED_VALUE"""),52)</f>
        <v>52</v>
      </c>
      <c r="C42" t="str">
        <f ca="1">IFERROR(__xludf.DUMMYFUNCTION("""COMPUTED_VALUE"""),"Erik van Rooyen")</f>
        <v>Erik van Rooyen</v>
      </c>
      <c r="D42">
        <f ca="1">IFERROR(__xludf.DUMMYFUNCTION("""COMPUTED_VALUE"""),10)</f>
        <v>10</v>
      </c>
      <c r="E42">
        <f ca="1">IFERROR(__xludf.DUMMYFUNCTION("""COMPUTED_VALUE"""),1.267)</f>
        <v>1.2669999999999999</v>
      </c>
      <c r="F42">
        <f ca="1">IFERROR(__xludf.DUMMYFUNCTION("""COMPUTED_VALUE"""),12.674)</f>
        <v>12.673999999999999</v>
      </c>
      <c r="G42">
        <f ca="1">IFERROR(__xludf.DUMMYFUNCTION("""COMPUTED_VALUE"""),6.88)</f>
        <v>6.88</v>
      </c>
      <c r="H42">
        <f ca="1">IFERROR(__xludf.DUMMYFUNCTION("""COMPUTED_VALUE"""),5.795)</f>
        <v>5.7949999999999999</v>
      </c>
      <c r="I42">
        <f ca="1">IFERROR(__xludf.DUMMYFUNCTION("""COMPUTED_VALUE"""),10)</f>
        <v>10</v>
      </c>
    </row>
    <row r="43" spans="1:9" ht="12.75">
      <c r="A43">
        <f ca="1">IFERROR(__xludf.DUMMYFUNCTION("""COMPUTED_VALUE"""),42)</f>
        <v>42</v>
      </c>
      <c r="B43">
        <f ca="1">IFERROR(__xludf.DUMMYFUNCTION("""COMPUTED_VALUE"""),79)</f>
        <v>79</v>
      </c>
      <c r="C43" t="str">
        <f ca="1">IFERROR(__xludf.DUMMYFUNCTION("""COMPUTED_VALUE"""),"Talor Gooch")</f>
        <v>Talor Gooch</v>
      </c>
      <c r="D43">
        <f ca="1">IFERROR(__xludf.DUMMYFUNCTION("""COMPUTED_VALUE"""),20)</f>
        <v>20</v>
      </c>
      <c r="E43">
        <f ca="1">IFERROR(__xludf.DUMMYFUNCTION("""COMPUTED_VALUE"""),1.186)</f>
        <v>1.1859999999999999</v>
      </c>
      <c r="F43">
        <f ca="1">IFERROR(__xludf.DUMMYFUNCTION("""COMPUTED_VALUE"""),23.728)</f>
        <v>23.728000000000002</v>
      </c>
      <c r="G43">
        <f ca="1">IFERROR(__xludf.DUMMYFUNCTION("""COMPUTED_VALUE"""),14.939)</f>
        <v>14.939</v>
      </c>
      <c r="H43">
        <f ca="1">IFERROR(__xludf.DUMMYFUNCTION("""COMPUTED_VALUE"""),8.791)</f>
        <v>8.7910000000000004</v>
      </c>
      <c r="I43">
        <f ca="1">IFERROR(__xludf.DUMMYFUNCTION("""COMPUTED_VALUE"""),20)</f>
        <v>20</v>
      </c>
    </row>
    <row r="44" spans="1:9" ht="12.75">
      <c r="A44">
        <f ca="1">IFERROR(__xludf.DUMMYFUNCTION("""COMPUTED_VALUE"""),43)</f>
        <v>43</v>
      </c>
      <c r="B44">
        <f ca="1">IFERROR(__xludf.DUMMYFUNCTION("""COMPUTED_VALUE"""),43)</f>
        <v>43</v>
      </c>
      <c r="C44" t="str">
        <f ca="1">IFERROR(__xludf.DUMMYFUNCTION("""COMPUTED_VALUE"""),"Sahith Theegala")</f>
        <v>Sahith Theegala</v>
      </c>
      <c r="D44">
        <f ca="1">IFERROR(__xludf.DUMMYFUNCTION("""COMPUTED_VALUE"""),6)</f>
        <v>6</v>
      </c>
      <c r="E44">
        <f ca="1">IFERROR(__xludf.DUMMYFUNCTION("""COMPUTED_VALUE"""),1.181)</f>
        <v>1.181</v>
      </c>
      <c r="F44">
        <f ca="1">IFERROR(__xludf.DUMMYFUNCTION("""COMPUTED_VALUE"""),7.083)</f>
        <v>7.0830000000000002</v>
      </c>
      <c r="G44">
        <f ca="1">IFERROR(__xludf.DUMMYFUNCTION("""COMPUTED_VALUE"""),-0.187)</f>
        <v>-0.187</v>
      </c>
      <c r="H44">
        <f ca="1">IFERROR(__xludf.DUMMYFUNCTION("""COMPUTED_VALUE"""),7.271)</f>
        <v>7.2709999999999999</v>
      </c>
      <c r="I44">
        <f ca="1">IFERROR(__xludf.DUMMYFUNCTION("""COMPUTED_VALUE"""),6)</f>
        <v>6</v>
      </c>
    </row>
    <row r="45" spans="1:9" ht="12.75">
      <c r="A45">
        <f ca="1">IFERROR(__xludf.DUMMYFUNCTION("""COMPUTED_VALUE"""),44)</f>
        <v>44</v>
      </c>
      <c r="B45">
        <f ca="1">IFERROR(__xludf.DUMMYFUNCTION("""COMPUTED_VALUE"""),4)</f>
        <v>4</v>
      </c>
      <c r="C45" t="str">
        <f ca="1">IFERROR(__xludf.DUMMYFUNCTION("""COMPUTED_VALUE"""),"Lee Westwood")</f>
        <v>Lee Westwood</v>
      </c>
      <c r="D45">
        <f ca="1">IFERROR(__xludf.DUMMYFUNCTION("""COMPUTED_VALUE"""),6)</f>
        <v>6</v>
      </c>
      <c r="E45">
        <f ca="1">IFERROR(__xludf.DUMMYFUNCTION("""COMPUTED_VALUE"""),1.161)</f>
        <v>1.161</v>
      </c>
      <c r="F45">
        <f ca="1">IFERROR(__xludf.DUMMYFUNCTION("""COMPUTED_VALUE"""),6.967)</f>
        <v>6.9669999999999996</v>
      </c>
      <c r="G45">
        <f ca="1">IFERROR(__xludf.DUMMYFUNCTION("""COMPUTED_VALUE"""),5.221)</f>
        <v>5.2210000000000001</v>
      </c>
      <c r="H45">
        <f ca="1">IFERROR(__xludf.DUMMYFUNCTION("""COMPUTED_VALUE"""),1.746)</f>
        <v>1.746</v>
      </c>
      <c r="I45">
        <f ca="1">IFERROR(__xludf.DUMMYFUNCTION("""COMPUTED_VALUE"""),6)</f>
        <v>6</v>
      </c>
    </row>
    <row r="46" spans="1:9" ht="12.75">
      <c r="A46">
        <f ca="1">IFERROR(__xludf.DUMMYFUNCTION("""COMPUTED_VALUE"""),45)</f>
        <v>45</v>
      </c>
      <c r="B46">
        <f ca="1">IFERROR(__xludf.DUMMYFUNCTION("""COMPUTED_VALUE"""),45)</f>
        <v>45</v>
      </c>
      <c r="C46" t="str">
        <f ca="1">IFERROR(__xludf.DUMMYFUNCTION("""COMPUTED_VALUE"""),"Ben Taylor")</f>
        <v>Ben Taylor</v>
      </c>
      <c r="D46">
        <f ca="1">IFERROR(__xludf.DUMMYFUNCTION("""COMPUTED_VALUE"""),10)</f>
        <v>10</v>
      </c>
      <c r="E46">
        <f ca="1">IFERROR(__xludf.DUMMYFUNCTION("""COMPUTED_VALUE"""),1.136)</f>
        <v>1.1359999999999999</v>
      </c>
      <c r="F46">
        <f ca="1">IFERROR(__xludf.DUMMYFUNCTION("""COMPUTED_VALUE"""),4.542)</f>
        <v>4.5419999999999998</v>
      </c>
      <c r="G46">
        <f ca="1">IFERROR(__xludf.DUMMYFUNCTION("""COMPUTED_VALUE"""),-0.217)</f>
        <v>-0.217</v>
      </c>
      <c r="H46">
        <f ca="1">IFERROR(__xludf.DUMMYFUNCTION("""COMPUTED_VALUE"""),4.759)</f>
        <v>4.7590000000000003</v>
      </c>
      <c r="I46">
        <f ca="1">IFERROR(__xludf.DUMMYFUNCTION("""COMPUTED_VALUE"""),4)</f>
        <v>4</v>
      </c>
    </row>
    <row r="47" spans="1:9" ht="12.75">
      <c r="A47">
        <f ca="1">IFERROR(__xludf.DUMMYFUNCTION("""COMPUTED_VALUE"""),46)</f>
        <v>46</v>
      </c>
      <c r="B47">
        <f ca="1">IFERROR(__xludf.DUMMYFUNCTION("""COMPUTED_VALUE"""),46)</f>
        <v>46</v>
      </c>
      <c r="C47" t="str">
        <f ca="1">IFERROR(__xludf.DUMMYFUNCTION("""COMPUTED_VALUE"""),"Michael Gligic")</f>
        <v>Michael Gligic</v>
      </c>
      <c r="D47">
        <f ca="1">IFERROR(__xludf.DUMMYFUNCTION("""COMPUTED_VALUE"""),18)</f>
        <v>18</v>
      </c>
      <c r="E47">
        <f ca="1">IFERROR(__xludf.DUMMYFUNCTION("""COMPUTED_VALUE"""),1.115)</f>
        <v>1.115</v>
      </c>
      <c r="F47">
        <f ca="1">IFERROR(__xludf.DUMMYFUNCTION("""COMPUTED_VALUE"""),13.385)</f>
        <v>13.385</v>
      </c>
      <c r="G47">
        <f ca="1">IFERROR(__xludf.DUMMYFUNCTION("""COMPUTED_VALUE"""),4.438)</f>
        <v>4.4379999999999997</v>
      </c>
      <c r="H47">
        <f ca="1">IFERROR(__xludf.DUMMYFUNCTION("""COMPUTED_VALUE"""),8.948)</f>
        <v>8.9480000000000004</v>
      </c>
      <c r="I47">
        <f ca="1">IFERROR(__xludf.DUMMYFUNCTION("""COMPUTED_VALUE"""),12)</f>
        <v>12</v>
      </c>
    </row>
    <row r="48" spans="1:9" ht="12.75">
      <c r="A48">
        <f ca="1">IFERROR(__xludf.DUMMYFUNCTION("""COMPUTED_VALUE"""),47)</f>
        <v>47</v>
      </c>
      <c r="B48">
        <f ca="1">IFERROR(__xludf.DUMMYFUNCTION("""COMPUTED_VALUE"""),30)</f>
        <v>30</v>
      </c>
      <c r="C48" t="str">
        <f ca="1">IFERROR(__xludf.DUMMYFUNCTION("""COMPUTED_VALUE"""),"Martin Laird")</f>
        <v>Martin Laird</v>
      </c>
      <c r="D48">
        <f ca="1">IFERROR(__xludf.DUMMYFUNCTION("""COMPUTED_VALUE"""),16)</f>
        <v>16</v>
      </c>
      <c r="E48">
        <f ca="1">IFERROR(__xludf.DUMMYFUNCTION("""COMPUTED_VALUE"""),1.096)</f>
        <v>1.0960000000000001</v>
      </c>
      <c r="F48">
        <f ca="1">IFERROR(__xludf.DUMMYFUNCTION("""COMPUTED_VALUE"""),13.157)</f>
        <v>13.157</v>
      </c>
      <c r="G48">
        <f ca="1">IFERROR(__xludf.DUMMYFUNCTION("""COMPUTED_VALUE"""),16.384)</f>
        <v>16.384</v>
      </c>
      <c r="H48">
        <f ca="1">IFERROR(__xludf.DUMMYFUNCTION("""COMPUTED_VALUE"""),-3.227)</f>
        <v>-3.2269999999999999</v>
      </c>
      <c r="I48">
        <f ca="1">IFERROR(__xludf.DUMMYFUNCTION("""COMPUTED_VALUE"""),12)</f>
        <v>12</v>
      </c>
    </row>
    <row r="49" spans="1:9" ht="12.75">
      <c r="A49" t="str">
        <f ca="1">IFERROR(__xludf.DUMMYFUNCTION("""COMPUTED_VALUE"""),"T48")</f>
        <v>T48</v>
      </c>
      <c r="B49" t="str">
        <f ca="1">IFERROR(__xludf.DUMMYFUNCTION("""COMPUTED_VALUE"""),"T47")</f>
        <v>T47</v>
      </c>
      <c r="C49" t="str">
        <f ca="1">IFERROR(__xludf.DUMMYFUNCTION("""COMPUTED_VALUE"""),"Renato Paratore")</f>
        <v>Renato Paratore</v>
      </c>
      <c r="D49">
        <f ca="1">IFERROR(__xludf.DUMMYFUNCTION("""COMPUTED_VALUE"""),4)</f>
        <v>4</v>
      </c>
      <c r="E49">
        <f ca="1">IFERROR(__xludf.DUMMYFUNCTION("""COMPUTED_VALUE"""),1.087)</f>
        <v>1.087</v>
      </c>
      <c r="F49">
        <f ca="1">IFERROR(__xludf.DUMMYFUNCTION("""COMPUTED_VALUE"""),4.346)</f>
        <v>4.3460000000000001</v>
      </c>
      <c r="G49">
        <f ca="1">IFERROR(__xludf.DUMMYFUNCTION("""COMPUTED_VALUE"""),0.299)</f>
        <v>0.29899999999999999</v>
      </c>
      <c r="H49">
        <f ca="1">IFERROR(__xludf.DUMMYFUNCTION("""COMPUTED_VALUE"""),4.047)</f>
        <v>4.0469999999999997</v>
      </c>
      <c r="I49">
        <f ca="1">IFERROR(__xludf.DUMMYFUNCTION("""COMPUTED_VALUE"""),4)</f>
        <v>4</v>
      </c>
    </row>
    <row r="50" spans="1:9" ht="12.75">
      <c r="A50" t="str">
        <f ca="1">IFERROR(__xludf.DUMMYFUNCTION("""COMPUTED_VALUE"""),"T48")</f>
        <v>T48</v>
      </c>
      <c r="B50" t="str">
        <f ca="1">IFERROR(__xludf.DUMMYFUNCTION("""COMPUTED_VALUE"""),"T47")</f>
        <v>T47</v>
      </c>
      <c r="C50" t="str">
        <f ca="1">IFERROR(__xludf.DUMMYFUNCTION("""COMPUTED_VALUE"""),"Lucas Herbert")</f>
        <v>Lucas Herbert</v>
      </c>
      <c r="D50">
        <f ca="1">IFERROR(__xludf.DUMMYFUNCTION("""COMPUTED_VALUE"""),4)</f>
        <v>4</v>
      </c>
      <c r="E50">
        <f ca="1">IFERROR(__xludf.DUMMYFUNCTION("""COMPUTED_VALUE"""),1.087)</f>
        <v>1.087</v>
      </c>
      <c r="F50">
        <f ca="1">IFERROR(__xludf.DUMMYFUNCTION("""COMPUTED_VALUE"""),4.346)</f>
        <v>4.3460000000000001</v>
      </c>
      <c r="G50">
        <f ca="1">IFERROR(__xludf.DUMMYFUNCTION("""COMPUTED_VALUE"""),-0.77)</f>
        <v>-0.77</v>
      </c>
      <c r="H50">
        <f ca="1">IFERROR(__xludf.DUMMYFUNCTION("""COMPUTED_VALUE"""),5.116)</f>
        <v>5.1159999999999997</v>
      </c>
      <c r="I50">
        <f ca="1">IFERROR(__xludf.DUMMYFUNCTION("""COMPUTED_VALUE"""),4)</f>
        <v>4</v>
      </c>
    </row>
    <row r="51" spans="1:9" ht="12.75">
      <c r="A51">
        <f ca="1">IFERROR(__xludf.DUMMYFUNCTION("""COMPUTED_VALUE"""),50)</f>
        <v>50</v>
      </c>
      <c r="B51">
        <f ca="1">IFERROR(__xludf.DUMMYFUNCTION("""COMPUTED_VALUE"""),49)</f>
        <v>49</v>
      </c>
      <c r="C51" t="str">
        <f ca="1">IFERROR(__xludf.DUMMYFUNCTION("""COMPUTED_VALUE"""),"Ryan Palmer")</f>
        <v>Ryan Palmer</v>
      </c>
      <c r="D51">
        <f ca="1">IFERROR(__xludf.DUMMYFUNCTION("""COMPUTED_VALUE"""),14)</f>
        <v>14</v>
      </c>
      <c r="E51">
        <f ca="1">IFERROR(__xludf.DUMMYFUNCTION("""COMPUTED_VALUE"""),1.081)</f>
        <v>1.081</v>
      </c>
      <c r="F51">
        <f ca="1">IFERROR(__xludf.DUMMYFUNCTION("""COMPUTED_VALUE"""),15.128)</f>
        <v>15.128</v>
      </c>
      <c r="G51">
        <f ca="1">IFERROR(__xludf.DUMMYFUNCTION("""COMPUTED_VALUE"""),13.009)</f>
        <v>13.009</v>
      </c>
      <c r="H51">
        <f ca="1">IFERROR(__xludf.DUMMYFUNCTION("""COMPUTED_VALUE"""),2.12)</f>
        <v>2.12</v>
      </c>
      <c r="I51">
        <f ca="1">IFERROR(__xludf.DUMMYFUNCTION("""COMPUTED_VALUE"""),14)</f>
        <v>14</v>
      </c>
    </row>
    <row r="52" spans="1:9" ht="12.75">
      <c r="A52">
        <f ca="1">IFERROR(__xludf.DUMMYFUNCTION("""COMPUTED_VALUE"""),51)</f>
        <v>51</v>
      </c>
      <c r="B52">
        <f ca="1">IFERROR(__xludf.DUMMYFUNCTION("""COMPUTED_VALUE"""),50)</f>
        <v>50</v>
      </c>
      <c r="C52" t="str">
        <f ca="1">IFERROR(__xludf.DUMMYFUNCTION("""COMPUTED_VALUE"""),"Charles Howell III")</f>
        <v>Charles Howell III</v>
      </c>
      <c r="D52">
        <f ca="1">IFERROR(__xludf.DUMMYFUNCTION("""COMPUTED_VALUE"""),10)</f>
        <v>10</v>
      </c>
      <c r="E52">
        <f ca="1">IFERROR(__xludf.DUMMYFUNCTION("""COMPUTED_VALUE"""),1.039)</f>
        <v>1.0389999999999999</v>
      </c>
      <c r="F52">
        <f ca="1">IFERROR(__xludf.DUMMYFUNCTION("""COMPUTED_VALUE"""),8.314)</f>
        <v>8.3140000000000001</v>
      </c>
      <c r="G52">
        <f ca="1">IFERROR(__xludf.DUMMYFUNCTION("""COMPUTED_VALUE"""),-3.606)</f>
        <v>-3.6059999999999999</v>
      </c>
      <c r="H52">
        <f ca="1">IFERROR(__xludf.DUMMYFUNCTION("""COMPUTED_VALUE"""),11.921)</f>
        <v>11.920999999999999</v>
      </c>
      <c r="I52">
        <f ca="1">IFERROR(__xludf.DUMMYFUNCTION("""COMPUTED_VALUE"""),8)</f>
        <v>8</v>
      </c>
    </row>
    <row r="53" spans="1:9" ht="12.75">
      <c r="A53">
        <f ca="1">IFERROR(__xludf.DUMMYFUNCTION("""COMPUTED_VALUE"""),52)</f>
        <v>52</v>
      </c>
      <c r="B53">
        <f ca="1">IFERROR(__xludf.DUMMYFUNCTION("""COMPUTED_VALUE"""),15)</f>
        <v>15</v>
      </c>
      <c r="C53" t="str">
        <f ca="1">IFERROR(__xludf.DUMMYFUNCTION("""COMPUTED_VALUE"""),"Kristoffer Ventura")</f>
        <v>Kristoffer Ventura</v>
      </c>
      <c r="D53">
        <f ca="1">IFERROR(__xludf.DUMMYFUNCTION("""COMPUTED_VALUE"""),20)</f>
        <v>20</v>
      </c>
      <c r="E53">
        <f ca="1">IFERROR(__xludf.DUMMYFUNCTION("""COMPUTED_VALUE"""),1.017)</f>
        <v>1.0169999999999999</v>
      </c>
      <c r="F53">
        <f ca="1">IFERROR(__xludf.DUMMYFUNCTION("""COMPUTED_VALUE"""),14.232)</f>
        <v>14.231999999999999</v>
      </c>
      <c r="G53">
        <f ca="1">IFERROR(__xludf.DUMMYFUNCTION("""COMPUTED_VALUE"""),1.271)</f>
        <v>1.2709999999999999</v>
      </c>
      <c r="H53">
        <f ca="1">IFERROR(__xludf.DUMMYFUNCTION("""COMPUTED_VALUE"""),12.963)</f>
        <v>12.962999999999999</v>
      </c>
      <c r="I53">
        <f ca="1">IFERROR(__xludf.DUMMYFUNCTION("""COMPUTED_VALUE"""),14)</f>
        <v>14</v>
      </c>
    </row>
    <row r="54" spans="1:9" ht="12.75">
      <c r="A54">
        <f ca="1">IFERROR(__xludf.DUMMYFUNCTION("""COMPUTED_VALUE"""),53)</f>
        <v>53</v>
      </c>
      <c r="B54" t="str">
        <f ca="1">IFERROR(__xludf.DUMMYFUNCTION("""COMPUTED_VALUE"""),"")</f>
        <v/>
      </c>
      <c r="C54" t="str">
        <f ca="1">IFERROR(__xludf.DUMMYFUNCTION("""COMPUTED_VALUE"""),"Francesco Molinari")</f>
        <v>Francesco Molinari</v>
      </c>
      <c r="D54">
        <f ca="1">IFERROR(__xludf.DUMMYFUNCTION("""COMPUTED_VALUE"""),6)</f>
        <v>6</v>
      </c>
      <c r="E54">
        <f ca="1">IFERROR(__xludf.DUMMYFUNCTION("""COMPUTED_VALUE"""),0.969)</f>
        <v>0.96899999999999997</v>
      </c>
      <c r="F54">
        <f ca="1">IFERROR(__xludf.DUMMYFUNCTION("""COMPUTED_VALUE"""),5.816)</f>
        <v>5.8159999999999998</v>
      </c>
      <c r="G54">
        <f ca="1">IFERROR(__xludf.DUMMYFUNCTION("""COMPUTED_VALUE"""),6.583)</f>
        <v>6.5830000000000002</v>
      </c>
      <c r="H54">
        <f ca="1">IFERROR(__xludf.DUMMYFUNCTION("""COMPUTED_VALUE"""),-0.766)</f>
        <v>-0.76600000000000001</v>
      </c>
      <c r="I54">
        <f ca="1">IFERROR(__xludf.DUMMYFUNCTION("""COMPUTED_VALUE"""),6)</f>
        <v>6</v>
      </c>
    </row>
    <row r="55" spans="1:9" ht="12.75">
      <c r="A55">
        <f ca="1">IFERROR(__xludf.DUMMYFUNCTION("""COMPUTED_VALUE"""),54)</f>
        <v>54</v>
      </c>
      <c r="B55">
        <f ca="1">IFERROR(__xludf.DUMMYFUNCTION("""COMPUTED_VALUE"""),40)</f>
        <v>40</v>
      </c>
      <c r="C55" t="str">
        <f ca="1">IFERROR(__xludf.DUMMYFUNCTION("""COMPUTED_VALUE"""),"Stewart Cink")</f>
        <v>Stewart Cink</v>
      </c>
      <c r="D55">
        <f ca="1">IFERROR(__xludf.DUMMYFUNCTION("""COMPUTED_VALUE"""),18)</f>
        <v>18</v>
      </c>
      <c r="E55">
        <f ca="1">IFERROR(__xludf.DUMMYFUNCTION("""COMPUTED_VALUE"""),0.929)</f>
        <v>0.92900000000000005</v>
      </c>
      <c r="F55">
        <f ca="1">IFERROR(__xludf.DUMMYFUNCTION("""COMPUTED_VALUE"""),13.006)</f>
        <v>13.006</v>
      </c>
      <c r="G55">
        <f ca="1">IFERROR(__xludf.DUMMYFUNCTION("""COMPUTED_VALUE"""),8.386)</f>
        <v>8.3859999999999992</v>
      </c>
      <c r="H55">
        <f ca="1">IFERROR(__xludf.DUMMYFUNCTION("""COMPUTED_VALUE"""),4.62)</f>
        <v>4.62</v>
      </c>
      <c r="I55">
        <f ca="1">IFERROR(__xludf.DUMMYFUNCTION("""COMPUTED_VALUE"""),14)</f>
        <v>14</v>
      </c>
    </row>
    <row r="56" spans="1:9" ht="12.75">
      <c r="A56">
        <f ca="1">IFERROR(__xludf.DUMMYFUNCTION("""COMPUTED_VALUE"""),55)</f>
        <v>55</v>
      </c>
      <c r="B56" t="str">
        <f ca="1">IFERROR(__xludf.DUMMYFUNCTION("""COMPUTED_VALUE"""),"T57")</f>
        <v>T57</v>
      </c>
      <c r="C56" t="str">
        <f ca="1">IFERROR(__xludf.DUMMYFUNCTION("""COMPUTED_VALUE"""),"D.J. Trahan")</f>
        <v>D.J. Trahan</v>
      </c>
      <c r="D56">
        <f ca="1">IFERROR(__xludf.DUMMYFUNCTION("""COMPUTED_VALUE"""),16)</f>
        <v>16</v>
      </c>
      <c r="E56">
        <f ca="1">IFERROR(__xludf.DUMMYFUNCTION("""COMPUTED_VALUE"""),0.927)</f>
        <v>0.92700000000000005</v>
      </c>
      <c r="F56">
        <f ca="1">IFERROR(__xludf.DUMMYFUNCTION("""COMPUTED_VALUE"""),7.416)</f>
        <v>7.4160000000000004</v>
      </c>
      <c r="G56">
        <f ca="1">IFERROR(__xludf.DUMMYFUNCTION("""COMPUTED_VALUE"""),8.99)</f>
        <v>8.99</v>
      </c>
      <c r="H56">
        <f ca="1">IFERROR(__xludf.DUMMYFUNCTION("""COMPUTED_VALUE"""),-1.574)</f>
        <v>-1.5740000000000001</v>
      </c>
      <c r="I56">
        <f ca="1">IFERROR(__xludf.DUMMYFUNCTION("""COMPUTED_VALUE"""),8)</f>
        <v>8</v>
      </c>
    </row>
    <row r="57" spans="1:9" ht="12.75">
      <c r="A57">
        <f ca="1">IFERROR(__xludf.DUMMYFUNCTION("""COMPUTED_VALUE"""),56)</f>
        <v>56</v>
      </c>
      <c r="B57">
        <f ca="1">IFERROR(__xludf.DUMMYFUNCTION("""COMPUTED_VALUE"""),70)</f>
        <v>70</v>
      </c>
      <c r="C57" t="str">
        <f ca="1">IFERROR(__xludf.DUMMYFUNCTION("""COMPUTED_VALUE"""),"Brian Harman")</f>
        <v>Brian Harman</v>
      </c>
      <c r="D57">
        <f ca="1">IFERROR(__xludf.DUMMYFUNCTION("""COMPUTED_VALUE"""),24)</f>
        <v>24</v>
      </c>
      <c r="E57">
        <f ca="1">IFERROR(__xludf.DUMMYFUNCTION("""COMPUTED_VALUE"""),0.924)</f>
        <v>0.92400000000000004</v>
      </c>
      <c r="F57">
        <f ca="1">IFERROR(__xludf.DUMMYFUNCTION("""COMPUTED_VALUE"""),22.168)</f>
        <v>22.167999999999999</v>
      </c>
      <c r="G57">
        <f ca="1">IFERROR(__xludf.DUMMYFUNCTION("""COMPUTED_VALUE"""),6.959)</f>
        <v>6.9589999999999996</v>
      </c>
      <c r="H57">
        <f ca="1">IFERROR(__xludf.DUMMYFUNCTION("""COMPUTED_VALUE"""),15.21)</f>
        <v>15.21</v>
      </c>
      <c r="I57">
        <f ca="1">IFERROR(__xludf.DUMMYFUNCTION("""COMPUTED_VALUE"""),24)</f>
        <v>24</v>
      </c>
    </row>
    <row r="58" spans="1:9" ht="12.75">
      <c r="A58">
        <f ca="1">IFERROR(__xludf.DUMMYFUNCTION("""COMPUTED_VALUE"""),57)</f>
        <v>57</v>
      </c>
      <c r="B58">
        <f ca="1">IFERROR(__xludf.DUMMYFUNCTION("""COMPUTED_VALUE"""),61)</f>
        <v>61</v>
      </c>
      <c r="C58" t="str">
        <f ca="1">IFERROR(__xludf.DUMMYFUNCTION("""COMPUTED_VALUE"""),"Matthew Fitzpatrick")</f>
        <v>Matthew Fitzpatrick</v>
      </c>
      <c r="D58">
        <f ca="1">IFERROR(__xludf.DUMMYFUNCTION("""COMPUTED_VALUE"""),10)</f>
        <v>10</v>
      </c>
      <c r="E58">
        <f ca="1">IFERROR(__xludf.DUMMYFUNCTION("""COMPUTED_VALUE"""),0.916)</f>
        <v>0.91600000000000004</v>
      </c>
      <c r="F58">
        <f ca="1">IFERROR(__xludf.DUMMYFUNCTION("""COMPUTED_VALUE"""),9.159)</f>
        <v>9.1590000000000007</v>
      </c>
      <c r="G58">
        <f ca="1">IFERROR(__xludf.DUMMYFUNCTION("""COMPUTED_VALUE"""),10.351)</f>
        <v>10.351000000000001</v>
      </c>
      <c r="H58">
        <f ca="1">IFERROR(__xludf.DUMMYFUNCTION("""COMPUTED_VALUE"""),-1.192)</f>
        <v>-1.1919999999999999</v>
      </c>
      <c r="I58">
        <f ca="1">IFERROR(__xludf.DUMMYFUNCTION("""COMPUTED_VALUE"""),10)</f>
        <v>10</v>
      </c>
    </row>
    <row r="59" spans="1:9" ht="12.75">
      <c r="A59">
        <f ca="1">IFERROR(__xludf.DUMMYFUNCTION("""COMPUTED_VALUE"""),58)</f>
        <v>58</v>
      </c>
      <c r="B59" t="str">
        <f ca="1">IFERROR(__xludf.DUMMYFUNCTION("""COMPUTED_VALUE"""),"")</f>
        <v/>
      </c>
      <c r="C59" t="str">
        <f ca="1">IFERROR(__xludf.DUMMYFUNCTION("""COMPUTED_VALUE"""),"Padraig Harrington")</f>
        <v>Padraig Harrington</v>
      </c>
      <c r="D59">
        <f ca="1">IFERROR(__xludf.DUMMYFUNCTION("""COMPUTED_VALUE"""),8)</f>
        <v>8</v>
      </c>
      <c r="E59">
        <f ca="1">IFERROR(__xludf.DUMMYFUNCTION("""COMPUTED_VALUE"""),0.909)</f>
        <v>0.90900000000000003</v>
      </c>
      <c r="F59">
        <f ca="1">IFERROR(__xludf.DUMMYFUNCTION("""COMPUTED_VALUE"""),3.635)</f>
        <v>3.6349999999999998</v>
      </c>
      <c r="G59">
        <f ca="1">IFERROR(__xludf.DUMMYFUNCTION("""COMPUTED_VALUE"""),5.579)</f>
        <v>5.5789999999999997</v>
      </c>
      <c r="H59">
        <f ca="1">IFERROR(__xludf.DUMMYFUNCTION("""COMPUTED_VALUE"""),-1.944)</f>
        <v>-1.944</v>
      </c>
      <c r="I59">
        <f ca="1">IFERROR(__xludf.DUMMYFUNCTION("""COMPUTED_VALUE"""),4)</f>
        <v>4</v>
      </c>
    </row>
    <row r="60" spans="1:9" ht="12.75">
      <c r="A60">
        <f ca="1">IFERROR(__xludf.DUMMYFUNCTION("""COMPUTED_VALUE"""),59)</f>
        <v>59</v>
      </c>
      <c r="B60">
        <f ca="1">IFERROR(__xludf.DUMMYFUNCTION("""COMPUTED_VALUE"""),35)</f>
        <v>35</v>
      </c>
      <c r="C60" t="str">
        <f ca="1">IFERROR(__xludf.DUMMYFUNCTION("""COMPUTED_VALUE"""),"Doc Redman")</f>
        <v>Doc Redman</v>
      </c>
      <c r="D60">
        <f ca="1">IFERROR(__xludf.DUMMYFUNCTION("""COMPUTED_VALUE"""),18)</f>
        <v>18</v>
      </c>
      <c r="E60">
        <f ca="1">IFERROR(__xludf.DUMMYFUNCTION("""COMPUTED_VALUE"""),0.874)</f>
        <v>0.874</v>
      </c>
      <c r="F60">
        <f ca="1">IFERROR(__xludf.DUMMYFUNCTION("""COMPUTED_VALUE"""),12.232)</f>
        <v>12.231999999999999</v>
      </c>
      <c r="G60">
        <f ca="1">IFERROR(__xludf.DUMMYFUNCTION("""COMPUTED_VALUE"""),6.802)</f>
        <v>6.8019999999999996</v>
      </c>
      <c r="H60">
        <f ca="1">IFERROR(__xludf.DUMMYFUNCTION("""COMPUTED_VALUE"""),5.432)</f>
        <v>5.4320000000000004</v>
      </c>
      <c r="I60">
        <f ca="1">IFERROR(__xludf.DUMMYFUNCTION("""COMPUTED_VALUE"""),14)</f>
        <v>14</v>
      </c>
    </row>
    <row r="61" spans="1:9" ht="12.75">
      <c r="A61">
        <f ca="1">IFERROR(__xludf.DUMMYFUNCTION("""COMPUTED_VALUE"""),60)</f>
        <v>60</v>
      </c>
      <c r="B61">
        <f ca="1">IFERROR(__xludf.DUMMYFUNCTION("""COMPUTED_VALUE"""),81)</f>
        <v>81</v>
      </c>
      <c r="C61" t="str">
        <f ca="1">IFERROR(__xludf.DUMMYFUNCTION("""COMPUTED_VALUE"""),"Corey Conners")</f>
        <v>Corey Conners</v>
      </c>
      <c r="D61">
        <f ca="1">IFERROR(__xludf.DUMMYFUNCTION("""COMPUTED_VALUE"""),20)</f>
        <v>20</v>
      </c>
      <c r="E61">
        <f ca="1">IFERROR(__xludf.DUMMYFUNCTION("""COMPUTED_VALUE"""),0.871)</f>
        <v>0.871</v>
      </c>
      <c r="F61">
        <f ca="1">IFERROR(__xludf.DUMMYFUNCTION("""COMPUTED_VALUE"""),15.669)</f>
        <v>15.669</v>
      </c>
      <c r="G61">
        <f ca="1">IFERROR(__xludf.DUMMYFUNCTION("""COMPUTED_VALUE"""),11.61)</f>
        <v>11.61</v>
      </c>
      <c r="H61">
        <f ca="1">IFERROR(__xludf.DUMMYFUNCTION("""COMPUTED_VALUE"""),4.06)</f>
        <v>4.0599999999999996</v>
      </c>
      <c r="I61">
        <f ca="1">IFERROR(__xludf.DUMMYFUNCTION("""COMPUTED_VALUE"""),18)</f>
        <v>18</v>
      </c>
    </row>
    <row r="62" spans="1:9" ht="12.75">
      <c r="A62">
        <f ca="1">IFERROR(__xludf.DUMMYFUNCTION("""COMPUTED_VALUE"""),61)</f>
        <v>61</v>
      </c>
      <c r="B62">
        <f ca="1">IFERROR(__xludf.DUMMYFUNCTION("""COMPUTED_VALUE"""),80)</f>
        <v>80</v>
      </c>
      <c r="C62" t="str">
        <f ca="1">IFERROR(__xludf.DUMMYFUNCTION("""COMPUTED_VALUE"""),"Cameron Tringale")</f>
        <v>Cameron Tringale</v>
      </c>
      <c r="D62">
        <f ca="1">IFERROR(__xludf.DUMMYFUNCTION("""COMPUTED_VALUE"""),16)</f>
        <v>16</v>
      </c>
      <c r="E62">
        <f ca="1">IFERROR(__xludf.DUMMYFUNCTION("""COMPUTED_VALUE"""),0.869)</f>
        <v>0.86899999999999999</v>
      </c>
      <c r="F62">
        <f ca="1">IFERROR(__xludf.DUMMYFUNCTION("""COMPUTED_VALUE"""),12.171)</f>
        <v>12.170999999999999</v>
      </c>
      <c r="G62">
        <f ca="1">IFERROR(__xludf.DUMMYFUNCTION("""COMPUTED_VALUE"""),0.316)</f>
        <v>0.316</v>
      </c>
      <c r="H62">
        <f ca="1">IFERROR(__xludf.DUMMYFUNCTION("""COMPUTED_VALUE"""),11.857)</f>
        <v>11.856999999999999</v>
      </c>
      <c r="I62">
        <f ca="1">IFERROR(__xludf.DUMMYFUNCTION("""COMPUTED_VALUE"""),14)</f>
        <v>14</v>
      </c>
    </row>
    <row r="63" spans="1:9" ht="12.75">
      <c r="A63">
        <f ca="1">IFERROR(__xludf.DUMMYFUNCTION("""COMPUTED_VALUE"""),62)</f>
        <v>62</v>
      </c>
      <c r="B63" t="str">
        <f ca="1">IFERROR(__xludf.DUMMYFUNCTION("""COMPUTED_VALUE"""),"T92")</f>
        <v>T92</v>
      </c>
      <c r="C63" t="str">
        <f ca="1">IFERROR(__xludf.DUMMYFUNCTION("""COMPUTED_VALUE"""),"Maverick McNealy")</f>
        <v>Maverick McNealy</v>
      </c>
      <c r="D63">
        <f ca="1">IFERROR(__xludf.DUMMYFUNCTION("""COMPUTED_VALUE"""),16)</f>
        <v>16</v>
      </c>
      <c r="E63">
        <f ca="1">IFERROR(__xludf.DUMMYFUNCTION("""COMPUTED_VALUE"""),0.865)</f>
        <v>0.86499999999999999</v>
      </c>
      <c r="F63">
        <f ca="1">IFERROR(__xludf.DUMMYFUNCTION("""COMPUTED_VALUE"""),10.383)</f>
        <v>10.382999999999999</v>
      </c>
      <c r="G63">
        <f ca="1">IFERROR(__xludf.DUMMYFUNCTION("""COMPUTED_VALUE"""),3.114)</f>
        <v>3.1139999999999999</v>
      </c>
      <c r="H63">
        <f ca="1">IFERROR(__xludf.DUMMYFUNCTION("""COMPUTED_VALUE"""),7.271)</f>
        <v>7.2709999999999999</v>
      </c>
      <c r="I63">
        <f ca="1">IFERROR(__xludf.DUMMYFUNCTION("""COMPUTED_VALUE"""),12)</f>
        <v>12</v>
      </c>
    </row>
    <row r="64" spans="1:9" ht="12.75">
      <c r="A64">
        <f ca="1">IFERROR(__xludf.DUMMYFUNCTION("""COMPUTED_VALUE"""),63)</f>
        <v>63</v>
      </c>
      <c r="B64">
        <f ca="1">IFERROR(__xludf.DUMMYFUNCTION("""COMPUTED_VALUE"""),63)</f>
        <v>63</v>
      </c>
      <c r="C64" t="str">
        <f ca="1">IFERROR(__xludf.DUMMYFUNCTION("""COMPUTED_VALUE"""),"Harry Higgs")</f>
        <v>Harry Higgs</v>
      </c>
      <c r="D64">
        <f ca="1">IFERROR(__xludf.DUMMYFUNCTION("""COMPUTED_VALUE"""),14)</f>
        <v>14</v>
      </c>
      <c r="E64">
        <f ca="1">IFERROR(__xludf.DUMMYFUNCTION("""COMPUTED_VALUE"""),0.862)</f>
        <v>0.86199999999999999</v>
      </c>
      <c r="F64">
        <f ca="1">IFERROR(__xludf.DUMMYFUNCTION("""COMPUTED_VALUE"""),12.068)</f>
        <v>12.068</v>
      </c>
      <c r="G64">
        <f ca="1">IFERROR(__xludf.DUMMYFUNCTION("""COMPUTED_VALUE"""),8.015)</f>
        <v>8.0150000000000006</v>
      </c>
      <c r="H64">
        <f ca="1">IFERROR(__xludf.DUMMYFUNCTION("""COMPUTED_VALUE"""),4.054)</f>
        <v>4.0540000000000003</v>
      </c>
      <c r="I64">
        <f ca="1">IFERROR(__xludf.DUMMYFUNCTION("""COMPUTED_VALUE"""),14)</f>
        <v>14</v>
      </c>
    </row>
    <row r="65" spans="1:9" ht="12.75">
      <c r="A65">
        <f ca="1">IFERROR(__xludf.DUMMYFUNCTION("""COMPUTED_VALUE"""),64)</f>
        <v>64</v>
      </c>
      <c r="B65">
        <f ca="1">IFERROR(__xludf.DUMMYFUNCTION("""COMPUTED_VALUE"""),55)</f>
        <v>55</v>
      </c>
      <c r="C65" t="str">
        <f ca="1">IFERROR(__xludf.DUMMYFUNCTION("""COMPUTED_VALUE"""),"Kevin Streelman")</f>
        <v>Kevin Streelman</v>
      </c>
      <c r="D65">
        <f ca="1">IFERROR(__xludf.DUMMYFUNCTION("""COMPUTED_VALUE"""),18)</f>
        <v>18</v>
      </c>
      <c r="E65">
        <f ca="1">IFERROR(__xludf.DUMMYFUNCTION("""COMPUTED_VALUE"""),0.861)</f>
        <v>0.86099999999999999</v>
      </c>
      <c r="F65">
        <f ca="1">IFERROR(__xludf.DUMMYFUNCTION("""COMPUTED_VALUE"""),15.503)</f>
        <v>15.503</v>
      </c>
      <c r="G65">
        <f ca="1">IFERROR(__xludf.DUMMYFUNCTION("""COMPUTED_VALUE"""),7.972)</f>
        <v>7.9720000000000004</v>
      </c>
      <c r="H65">
        <f ca="1">IFERROR(__xludf.DUMMYFUNCTION("""COMPUTED_VALUE"""),7.532)</f>
        <v>7.532</v>
      </c>
      <c r="I65">
        <f ca="1">IFERROR(__xludf.DUMMYFUNCTION("""COMPUTED_VALUE"""),18)</f>
        <v>18</v>
      </c>
    </row>
    <row r="66" spans="1:9" ht="12.75">
      <c r="A66">
        <f ca="1">IFERROR(__xludf.DUMMYFUNCTION("""COMPUTED_VALUE"""),65)</f>
        <v>65</v>
      </c>
      <c r="B66">
        <f ca="1">IFERROR(__xludf.DUMMYFUNCTION("""COMPUTED_VALUE"""),105)</f>
        <v>105</v>
      </c>
      <c r="C66" t="str">
        <f ca="1">IFERROR(__xludf.DUMMYFUNCTION("""COMPUTED_VALUE"""),"Shane Lowry")</f>
        <v>Shane Lowry</v>
      </c>
      <c r="D66">
        <f ca="1">IFERROR(__xludf.DUMMYFUNCTION("""COMPUTED_VALUE"""),14)</f>
        <v>14</v>
      </c>
      <c r="E66">
        <f ca="1">IFERROR(__xludf.DUMMYFUNCTION("""COMPUTED_VALUE"""),0.856)</f>
        <v>0.85599999999999998</v>
      </c>
      <c r="F66">
        <f ca="1">IFERROR(__xludf.DUMMYFUNCTION("""COMPUTED_VALUE"""),11.979)</f>
        <v>11.978999999999999</v>
      </c>
      <c r="G66">
        <f ca="1">IFERROR(__xludf.DUMMYFUNCTION("""COMPUTED_VALUE"""),10.496)</f>
        <v>10.496</v>
      </c>
      <c r="H66">
        <f ca="1">IFERROR(__xludf.DUMMYFUNCTION("""COMPUTED_VALUE"""),1.484)</f>
        <v>1.484</v>
      </c>
      <c r="I66">
        <f ca="1">IFERROR(__xludf.DUMMYFUNCTION("""COMPUTED_VALUE"""),14)</f>
        <v>14</v>
      </c>
    </row>
    <row r="67" spans="1:9" ht="12.75">
      <c r="A67">
        <f ca="1">IFERROR(__xludf.DUMMYFUNCTION("""COMPUTED_VALUE"""),66)</f>
        <v>66</v>
      </c>
      <c r="B67" t="str">
        <f ca="1">IFERROR(__xludf.DUMMYFUNCTION("""COMPUTED_VALUE"""),"T66")</f>
        <v>T66</v>
      </c>
      <c r="C67" t="str">
        <f ca="1">IFERROR(__xludf.DUMMYFUNCTION("""COMPUTED_VALUE"""),"Matthew Wolff")</f>
        <v>Matthew Wolff</v>
      </c>
      <c r="D67">
        <f ca="1">IFERROR(__xludf.DUMMYFUNCTION("""COMPUTED_VALUE"""),16)</f>
        <v>16</v>
      </c>
      <c r="E67">
        <f ca="1">IFERROR(__xludf.DUMMYFUNCTION("""COMPUTED_VALUE"""),0.854)</f>
        <v>0.85399999999999998</v>
      </c>
      <c r="F67">
        <f ca="1">IFERROR(__xludf.DUMMYFUNCTION("""COMPUTED_VALUE"""),13.66)</f>
        <v>13.66</v>
      </c>
      <c r="G67">
        <f ca="1">IFERROR(__xludf.DUMMYFUNCTION("""COMPUTED_VALUE"""),6.678)</f>
        <v>6.6779999999999999</v>
      </c>
      <c r="H67">
        <f ca="1">IFERROR(__xludf.DUMMYFUNCTION("""COMPUTED_VALUE"""),6.983)</f>
        <v>6.9829999999999997</v>
      </c>
      <c r="I67">
        <f ca="1">IFERROR(__xludf.DUMMYFUNCTION("""COMPUTED_VALUE"""),16)</f>
        <v>16</v>
      </c>
    </row>
    <row r="68" spans="1:9" ht="12.75">
      <c r="A68" t="str">
        <f ca="1">IFERROR(__xludf.DUMMYFUNCTION("""COMPUTED_VALUE"""),"T67")</f>
        <v>T67</v>
      </c>
      <c r="B68" t="str">
        <f ca="1">IFERROR(__xludf.DUMMYFUNCTION("""COMPUTED_VALUE"""),"T68")</f>
        <v>T68</v>
      </c>
      <c r="C68" t="str">
        <f ca="1">IFERROR(__xludf.DUMMYFUNCTION("""COMPUTED_VALUE"""),"Stephan Jaeger")</f>
        <v>Stephan Jaeger</v>
      </c>
      <c r="D68">
        <f ca="1">IFERROR(__xludf.DUMMYFUNCTION("""COMPUTED_VALUE"""),4)</f>
        <v>4</v>
      </c>
      <c r="E68">
        <f ca="1">IFERROR(__xludf.DUMMYFUNCTION("""COMPUTED_VALUE"""),0.837)</f>
        <v>0.83699999999999997</v>
      </c>
      <c r="F68">
        <f ca="1">IFERROR(__xludf.DUMMYFUNCTION("""COMPUTED_VALUE"""),3.346)</f>
        <v>3.3460000000000001</v>
      </c>
      <c r="G68">
        <f ca="1">IFERROR(__xludf.DUMMYFUNCTION("""COMPUTED_VALUE"""),-0.095)</f>
        <v>-9.5000000000000001E-2</v>
      </c>
      <c r="H68">
        <f ca="1">IFERROR(__xludf.DUMMYFUNCTION("""COMPUTED_VALUE"""),3.441)</f>
        <v>3.4409999999999998</v>
      </c>
      <c r="I68">
        <f ca="1">IFERROR(__xludf.DUMMYFUNCTION("""COMPUTED_VALUE"""),4)</f>
        <v>4</v>
      </c>
    </row>
    <row r="69" spans="1:9" ht="12.75">
      <c r="A69" t="str">
        <f ca="1">IFERROR(__xludf.DUMMYFUNCTION("""COMPUTED_VALUE"""),"T67")</f>
        <v>T67</v>
      </c>
      <c r="B69" t="str">
        <f ca="1">IFERROR(__xludf.DUMMYFUNCTION("""COMPUTED_VALUE"""),"T68")</f>
        <v>T68</v>
      </c>
      <c r="C69" t="str">
        <f ca="1">IFERROR(__xludf.DUMMYFUNCTION("""COMPUTED_VALUE"""),"Romain Langasque")</f>
        <v>Romain Langasque</v>
      </c>
      <c r="D69">
        <f ca="1">IFERROR(__xludf.DUMMYFUNCTION("""COMPUTED_VALUE"""),4)</f>
        <v>4</v>
      </c>
      <c r="E69">
        <f ca="1">IFERROR(__xludf.DUMMYFUNCTION("""COMPUTED_VALUE"""),0.837)</f>
        <v>0.83699999999999997</v>
      </c>
      <c r="F69">
        <f ca="1">IFERROR(__xludf.DUMMYFUNCTION("""COMPUTED_VALUE"""),3.346)</f>
        <v>3.3460000000000001</v>
      </c>
      <c r="G69">
        <f ca="1">IFERROR(__xludf.DUMMYFUNCTION("""COMPUTED_VALUE"""),1.331)</f>
        <v>1.331</v>
      </c>
      <c r="H69">
        <f ca="1">IFERROR(__xludf.DUMMYFUNCTION("""COMPUTED_VALUE"""),2.015)</f>
        <v>2.0150000000000001</v>
      </c>
      <c r="I69">
        <f ca="1">IFERROR(__xludf.DUMMYFUNCTION("""COMPUTED_VALUE"""),4)</f>
        <v>4</v>
      </c>
    </row>
    <row r="70" spans="1:9" ht="12.75">
      <c r="A70">
        <f ca="1">IFERROR(__xludf.DUMMYFUNCTION("""COMPUTED_VALUE"""),69)</f>
        <v>69</v>
      </c>
      <c r="B70">
        <f ca="1">IFERROR(__xludf.DUMMYFUNCTION("""COMPUTED_VALUE"""),33)</f>
        <v>33</v>
      </c>
      <c r="C70" t="str">
        <f ca="1">IFERROR(__xludf.DUMMYFUNCTION("""COMPUTED_VALUE"""),"John Huh")</f>
        <v>John Huh</v>
      </c>
      <c r="D70">
        <f ca="1">IFERROR(__xludf.DUMMYFUNCTION("""COMPUTED_VALUE"""),8)</f>
        <v>8</v>
      </c>
      <c r="E70">
        <f ca="1">IFERROR(__xludf.DUMMYFUNCTION("""COMPUTED_VALUE"""),0.826)</f>
        <v>0.82599999999999996</v>
      </c>
      <c r="F70">
        <f ca="1">IFERROR(__xludf.DUMMYFUNCTION("""COMPUTED_VALUE"""),6.604)</f>
        <v>6.6040000000000001</v>
      </c>
      <c r="G70">
        <f ca="1">IFERROR(__xludf.DUMMYFUNCTION("""COMPUTED_VALUE"""),8.985)</f>
        <v>8.9849999999999994</v>
      </c>
      <c r="H70">
        <f ca="1">IFERROR(__xludf.DUMMYFUNCTION("""COMPUTED_VALUE"""),-2.38)</f>
        <v>-2.38</v>
      </c>
      <c r="I70">
        <f ca="1">IFERROR(__xludf.DUMMYFUNCTION("""COMPUTED_VALUE"""),8)</f>
        <v>8</v>
      </c>
    </row>
    <row r="71" spans="1:9" ht="12.75">
      <c r="A71">
        <f ca="1">IFERROR(__xludf.DUMMYFUNCTION("""COMPUTED_VALUE"""),70)</f>
        <v>70</v>
      </c>
      <c r="B71">
        <f ca="1">IFERROR(__xludf.DUMMYFUNCTION("""COMPUTED_VALUE"""),131)</f>
        <v>131</v>
      </c>
      <c r="C71" t="str">
        <f ca="1">IFERROR(__xludf.DUMMYFUNCTION("""COMPUTED_VALUE"""),"Carlos Ortiz")</f>
        <v>Carlos Ortiz</v>
      </c>
      <c r="D71">
        <f ca="1">IFERROR(__xludf.DUMMYFUNCTION("""COMPUTED_VALUE"""),20)</f>
        <v>20</v>
      </c>
      <c r="E71">
        <f ca="1">IFERROR(__xludf.DUMMYFUNCTION("""COMPUTED_VALUE"""),0.812)</f>
        <v>0.81200000000000006</v>
      </c>
      <c r="F71">
        <f ca="1">IFERROR(__xludf.DUMMYFUNCTION("""COMPUTED_VALUE"""),16.244)</f>
        <v>16.244</v>
      </c>
      <c r="G71">
        <f ca="1">IFERROR(__xludf.DUMMYFUNCTION("""COMPUTED_VALUE"""),16.808)</f>
        <v>16.808</v>
      </c>
      <c r="H71">
        <f ca="1">IFERROR(__xludf.DUMMYFUNCTION("""COMPUTED_VALUE"""),-0.563)</f>
        <v>-0.56299999999999994</v>
      </c>
      <c r="I71">
        <f ca="1">IFERROR(__xludf.DUMMYFUNCTION("""COMPUTED_VALUE"""),20)</f>
        <v>20</v>
      </c>
    </row>
    <row r="72" spans="1:9" ht="12.75">
      <c r="A72">
        <f ca="1">IFERROR(__xludf.DUMMYFUNCTION("""COMPUTED_VALUE"""),71)</f>
        <v>71</v>
      </c>
      <c r="B72">
        <f ca="1">IFERROR(__xludf.DUMMYFUNCTION("""COMPUTED_VALUE"""),87)</f>
        <v>87</v>
      </c>
      <c r="C72" t="str">
        <f ca="1">IFERROR(__xludf.DUMMYFUNCTION("""COMPUTED_VALUE"""),"J.T. Poston")</f>
        <v>J.T. Poston</v>
      </c>
      <c r="D72">
        <f ca="1">IFERROR(__xludf.DUMMYFUNCTION("""COMPUTED_VALUE"""),18)</f>
        <v>18</v>
      </c>
      <c r="E72">
        <f ca="1">IFERROR(__xludf.DUMMYFUNCTION("""COMPUTED_VALUE"""),0.811)</f>
        <v>0.81100000000000005</v>
      </c>
      <c r="F72">
        <f ca="1">IFERROR(__xludf.DUMMYFUNCTION("""COMPUTED_VALUE"""),14.599)</f>
        <v>14.599</v>
      </c>
      <c r="G72">
        <f ca="1">IFERROR(__xludf.DUMMYFUNCTION("""COMPUTED_VALUE"""),-2.361)</f>
        <v>-2.3610000000000002</v>
      </c>
      <c r="H72">
        <f ca="1">IFERROR(__xludf.DUMMYFUNCTION("""COMPUTED_VALUE"""),16.961)</f>
        <v>16.960999999999999</v>
      </c>
      <c r="I72">
        <f ca="1">IFERROR(__xludf.DUMMYFUNCTION("""COMPUTED_VALUE"""),18)</f>
        <v>18</v>
      </c>
    </row>
    <row r="73" spans="1:9" ht="12.75">
      <c r="A73">
        <f ca="1">IFERROR(__xludf.DUMMYFUNCTION("""COMPUTED_VALUE"""),72)</f>
        <v>72</v>
      </c>
      <c r="B73">
        <f ca="1">IFERROR(__xludf.DUMMYFUNCTION("""COMPUTED_VALUE"""),71)</f>
        <v>71</v>
      </c>
      <c r="C73" t="str">
        <f ca="1">IFERROR(__xludf.DUMMYFUNCTION("""COMPUTED_VALUE"""),"Daniel Berger")</f>
        <v>Daniel Berger</v>
      </c>
      <c r="D73">
        <f ca="1">IFERROR(__xludf.DUMMYFUNCTION("""COMPUTED_VALUE"""),12)</f>
        <v>12</v>
      </c>
      <c r="E73">
        <f ca="1">IFERROR(__xludf.DUMMYFUNCTION("""COMPUTED_VALUE"""),0.808)</f>
        <v>0.80800000000000005</v>
      </c>
      <c r="F73">
        <f ca="1">IFERROR(__xludf.DUMMYFUNCTION("""COMPUTED_VALUE"""),9.69)</f>
        <v>9.69</v>
      </c>
      <c r="G73">
        <f ca="1">IFERROR(__xludf.DUMMYFUNCTION("""COMPUTED_VALUE"""),-0.075)</f>
        <v>-7.4999999999999997E-2</v>
      </c>
      <c r="H73">
        <f ca="1">IFERROR(__xludf.DUMMYFUNCTION("""COMPUTED_VALUE"""),9.765)</f>
        <v>9.7650000000000006</v>
      </c>
      <c r="I73">
        <f ca="1">IFERROR(__xludf.DUMMYFUNCTION("""COMPUTED_VALUE"""),12)</f>
        <v>12</v>
      </c>
    </row>
    <row r="74" spans="1:9" ht="12.75">
      <c r="A74">
        <f ca="1">IFERROR(__xludf.DUMMYFUNCTION("""COMPUTED_VALUE"""),73)</f>
        <v>73</v>
      </c>
      <c r="B74">
        <f ca="1">IFERROR(__xludf.DUMMYFUNCTION("""COMPUTED_VALUE"""),72)</f>
        <v>72</v>
      </c>
      <c r="C74" t="str">
        <f ca="1">IFERROR(__xludf.DUMMYFUNCTION("""COMPUTED_VALUE"""),"Anirban Lahiri")</f>
        <v>Anirban Lahiri</v>
      </c>
      <c r="D74">
        <f ca="1">IFERROR(__xludf.DUMMYFUNCTION("""COMPUTED_VALUE"""),16)</f>
        <v>16</v>
      </c>
      <c r="E74">
        <f ca="1">IFERROR(__xludf.DUMMYFUNCTION("""COMPUTED_VALUE"""),0.802)</f>
        <v>0.80200000000000005</v>
      </c>
      <c r="F74">
        <f ca="1">IFERROR(__xludf.DUMMYFUNCTION("""COMPUTED_VALUE"""),6.416)</f>
        <v>6.4160000000000004</v>
      </c>
      <c r="G74">
        <f ca="1">IFERROR(__xludf.DUMMYFUNCTION("""COMPUTED_VALUE"""),4.832)</f>
        <v>4.8319999999999999</v>
      </c>
      <c r="H74">
        <f ca="1">IFERROR(__xludf.DUMMYFUNCTION("""COMPUTED_VALUE"""),1.585)</f>
        <v>1.585</v>
      </c>
      <c r="I74">
        <f ca="1">IFERROR(__xludf.DUMMYFUNCTION("""COMPUTED_VALUE"""),8)</f>
        <v>8</v>
      </c>
    </row>
    <row r="75" spans="1:9" ht="12.75">
      <c r="A75">
        <f ca="1">IFERROR(__xludf.DUMMYFUNCTION("""COMPUTED_VALUE"""),74)</f>
        <v>74</v>
      </c>
      <c r="B75" t="str">
        <f ca="1">IFERROR(__xludf.DUMMYFUNCTION("""COMPUTED_VALUE"""),"T66")</f>
        <v>T66</v>
      </c>
      <c r="C75" t="str">
        <f ca="1">IFERROR(__xludf.DUMMYFUNCTION("""COMPUTED_VALUE"""),"Denny McCarthy")</f>
        <v>Denny McCarthy</v>
      </c>
      <c r="D75">
        <f ca="1">IFERROR(__xludf.DUMMYFUNCTION("""COMPUTED_VALUE"""),22)</f>
        <v>22</v>
      </c>
      <c r="E75">
        <f ca="1">IFERROR(__xludf.DUMMYFUNCTION("""COMPUTED_VALUE"""),0.798)</f>
        <v>0.79800000000000004</v>
      </c>
      <c r="F75">
        <f ca="1">IFERROR(__xludf.DUMMYFUNCTION("""COMPUTED_VALUE"""),11.171)</f>
        <v>11.170999999999999</v>
      </c>
      <c r="G75">
        <f ca="1">IFERROR(__xludf.DUMMYFUNCTION("""COMPUTED_VALUE"""),1.443)</f>
        <v>1.4430000000000001</v>
      </c>
      <c r="H75">
        <f ca="1">IFERROR(__xludf.DUMMYFUNCTION("""COMPUTED_VALUE"""),9.73)</f>
        <v>9.73</v>
      </c>
      <c r="I75">
        <f ca="1">IFERROR(__xludf.DUMMYFUNCTION("""COMPUTED_VALUE"""),14)</f>
        <v>14</v>
      </c>
    </row>
    <row r="76" spans="1:9" ht="12.75">
      <c r="A76">
        <f ca="1">IFERROR(__xludf.DUMMYFUNCTION("""COMPUTED_VALUE"""),75)</f>
        <v>75</v>
      </c>
      <c r="B76" t="str">
        <f ca="1">IFERROR(__xludf.DUMMYFUNCTION("""COMPUTED_VALUE"""),"T127")</f>
        <v>T127</v>
      </c>
      <c r="C76" t="str">
        <f ca="1">IFERROR(__xludf.DUMMYFUNCTION("""COMPUTED_VALUE"""),"Aaron Wise")</f>
        <v>Aaron Wise</v>
      </c>
      <c r="D76">
        <f ca="1">IFERROR(__xludf.DUMMYFUNCTION("""COMPUTED_VALUE"""),16)</f>
        <v>16</v>
      </c>
      <c r="E76">
        <f ca="1">IFERROR(__xludf.DUMMYFUNCTION("""COMPUTED_VALUE"""),0.782)</f>
        <v>0.78200000000000003</v>
      </c>
      <c r="F76">
        <f ca="1">IFERROR(__xludf.DUMMYFUNCTION("""COMPUTED_VALUE"""),9.383)</f>
        <v>9.3829999999999991</v>
      </c>
      <c r="G76">
        <f ca="1">IFERROR(__xludf.DUMMYFUNCTION("""COMPUTED_VALUE"""),10.273)</f>
        <v>10.273</v>
      </c>
      <c r="H76">
        <f ca="1">IFERROR(__xludf.DUMMYFUNCTION("""COMPUTED_VALUE"""),-0.888)</f>
        <v>-0.88800000000000001</v>
      </c>
      <c r="I76">
        <f ca="1">IFERROR(__xludf.DUMMYFUNCTION("""COMPUTED_VALUE"""),12)</f>
        <v>12</v>
      </c>
    </row>
    <row r="77" spans="1:9" ht="12.75">
      <c r="A77">
        <f ca="1">IFERROR(__xludf.DUMMYFUNCTION("""COMPUTED_VALUE"""),76)</f>
        <v>76</v>
      </c>
      <c r="B77">
        <f ca="1">IFERROR(__xludf.DUMMYFUNCTION("""COMPUTED_VALUE"""),76)</f>
        <v>76</v>
      </c>
      <c r="C77" t="str">
        <f ca="1">IFERROR(__xludf.DUMMYFUNCTION("""COMPUTED_VALUE"""),"Sebastián Muñoz")</f>
        <v>Sebastián Muñoz</v>
      </c>
      <c r="D77">
        <f ca="1">IFERROR(__xludf.DUMMYFUNCTION("""COMPUTED_VALUE"""),20)</f>
        <v>20</v>
      </c>
      <c r="E77">
        <f ca="1">IFERROR(__xludf.DUMMYFUNCTION("""COMPUTED_VALUE"""),0.777)</f>
        <v>0.77700000000000002</v>
      </c>
      <c r="F77">
        <f ca="1">IFERROR(__xludf.DUMMYFUNCTION("""COMPUTED_VALUE"""),15.534)</f>
        <v>15.534000000000001</v>
      </c>
      <c r="G77">
        <f ca="1">IFERROR(__xludf.DUMMYFUNCTION("""COMPUTED_VALUE"""),14.02)</f>
        <v>14.02</v>
      </c>
      <c r="H77">
        <f ca="1">IFERROR(__xludf.DUMMYFUNCTION("""COMPUTED_VALUE"""),1.515)</f>
        <v>1.5149999999999999</v>
      </c>
      <c r="I77">
        <f ca="1">IFERROR(__xludf.DUMMYFUNCTION("""COMPUTED_VALUE"""),20)</f>
        <v>20</v>
      </c>
    </row>
    <row r="78" spans="1:9" ht="12.75">
      <c r="A78">
        <f ca="1">IFERROR(__xludf.DUMMYFUNCTION("""COMPUTED_VALUE"""),77)</f>
        <v>77</v>
      </c>
      <c r="B78" t="str">
        <f ca="1">IFERROR(__xludf.DUMMYFUNCTION("""COMPUTED_VALUE"""),"T37")</f>
        <v>T37</v>
      </c>
      <c r="C78" t="str">
        <f ca="1">IFERROR(__xludf.DUMMYFUNCTION("""COMPUTED_VALUE"""),"Matthew NeSmith")</f>
        <v>Matthew NeSmith</v>
      </c>
      <c r="D78">
        <f ca="1">IFERROR(__xludf.DUMMYFUNCTION("""COMPUTED_VALUE"""),16)</f>
        <v>16</v>
      </c>
      <c r="E78">
        <f ca="1">IFERROR(__xludf.DUMMYFUNCTION("""COMPUTED_VALUE"""),0.763)</f>
        <v>0.76300000000000001</v>
      </c>
      <c r="F78">
        <f ca="1">IFERROR(__xludf.DUMMYFUNCTION("""COMPUTED_VALUE"""),9.157)</f>
        <v>9.157</v>
      </c>
      <c r="G78">
        <f ca="1">IFERROR(__xludf.DUMMYFUNCTION("""COMPUTED_VALUE"""),10.08)</f>
        <v>10.08</v>
      </c>
      <c r="H78">
        <f ca="1">IFERROR(__xludf.DUMMYFUNCTION("""COMPUTED_VALUE"""),-0.922)</f>
        <v>-0.92200000000000004</v>
      </c>
      <c r="I78">
        <f ca="1">IFERROR(__xludf.DUMMYFUNCTION("""COMPUTED_VALUE"""),12)</f>
        <v>12</v>
      </c>
    </row>
    <row r="79" spans="1:9" ht="12.75">
      <c r="A79">
        <f ca="1">IFERROR(__xludf.DUMMYFUNCTION("""COMPUTED_VALUE"""),78)</f>
        <v>78</v>
      </c>
      <c r="B79">
        <f ca="1">IFERROR(__xludf.DUMMYFUNCTION("""COMPUTED_VALUE"""),78)</f>
        <v>78</v>
      </c>
      <c r="C79" t="str">
        <f ca="1">IFERROR(__xludf.DUMMYFUNCTION("""COMPUTED_VALUE"""),"Roger Sloan")</f>
        <v>Roger Sloan</v>
      </c>
      <c r="D79">
        <f ca="1">IFERROR(__xludf.DUMMYFUNCTION("""COMPUTED_VALUE"""),12)</f>
        <v>12</v>
      </c>
      <c r="E79">
        <f ca="1">IFERROR(__xludf.DUMMYFUNCTION("""COMPUTED_VALUE"""),0.761)</f>
        <v>0.76100000000000001</v>
      </c>
      <c r="F79">
        <f ca="1">IFERROR(__xludf.DUMMYFUNCTION("""COMPUTED_VALUE"""),4.567)</f>
        <v>4.5670000000000002</v>
      </c>
      <c r="G79">
        <f ca="1">IFERROR(__xludf.DUMMYFUNCTION("""COMPUTED_VALUE"""),4.795)</f>
        <v>4.7949999999999999</v>
      </c>
      <c r="H79">
        <f ca="1">IFERROR(__xludf.DUMMYFUNCTION("""COMPUTED_VALUE"""),-0.227)</f>
        <v>-0.22700000000000001</v>
      </c>
      <c r="I79">
        <f ca="1">IFERROR(__xludf.DUMMYFUNCTION("""COMPUTED_VALUE"""),6)</f>
        <v>6</v>
      </c>
    </row>
    <row r="80" spans="1:9" ht="12.75">
      <c r="A80">
        <f ca="1">IFERROR(__xludf.DUMMYFUNCTION("""COMPUTED_VALUE"""),79)</f>
        <v>79</v>
      </c>
      <c r="B80" t="str">
        <f ca="1">IFERROR(__xludf.DUMMYFUNCTION("""COMPUTED_VALUE"""),"T57")</f>
        <v>T57</v>
      </c>
      <c r="C80" t="str">
        <f ca="1">IFERROR(__xludf.DUMMYFUNCTION("""COMPUTED_VALUE"""),"Sungjae Im")</f>
        <v>Sungjae Im</v>
      </c>
      <c r="D80">
        <f ca="1">IFERROR(__xludf.DUMMYFUNCTION("""COMPUTED_VALUE"""),24)</f>
        <v>24</v>
      </c>
      <c r="E80">
        <f ca="1">IFERROR(__xludf.DUMMYFUNCTION("""COMPUTED_VALUE"""),0.757)</f>
        <v>0.75700000000000001</v>
      </c>
      <c r="F80">
        <f ca="1">IFERROR(__xludf.DUMMYFUNCTION("""COMPUTED_VALUE"""),18.169)</f>
        <v>18.169</v>
      </c>
      <c r="G80">
        <f ca="1">IFERROR(__xludf.DUMMYFUNCTION("""COMPUTED_VALUE"""),17.891)</f>
        <v>17.890999999999998</v>
      </c>
      <c r="H80">
        <f ca="1">IFERROR(__xludf.DUMMYFUNCTION("""COMPUTED_VALUE"""),0.279)</f>
        <v>0.27900000000000003</v>
      </c>
      <c r="I80">
        <f ca="1">IFERROR(__xludf.DUMMYFUNCTION("""COMPUTED_VALUE"""),24)</f>
        <v>24</v>
      </c>
    </row>
    <row r="81" spans="1:9" ht="12.75">
      <c r="A81">
        <f ca="1">IFERROR(__xludf.DUMMYFUNCTION("""COMPUTED_VALUE"""),80)</f>
        <v>80</v>
      </c>
      <c r="B81">
        <f ca="1">IFERROR(__xludf.DUMMYFUNCTION("""COMPUTED_VALUE"""),64)</f>
        <v>64</v>
      </c>
      <c r="C81" t="str">
        <f ca="1">IFERROR(__xludf.DUMMYFUNCTION("""COMPUTED_VALUE"""),"Si Woo Kim")</f>
        <v>Si Woo Kim</v>
      </c>
      <c r="D81">
        <f ca="1">IFERROR(__xludf.DUMMYFUNCTION("""COMPUTED_VALUE"""),20)</f>
        <v>20</v>
      </c>
      <c r="E81">
        <f ca="1">IFERROR(__xludf.DUMMYFUNCTION("""COMPUTED_VALUE"""),0.756)</f>
        <v>0.75600000000000001</v>
      </c>
      <c r="F81">
        <f ca="1">IFERROR(__xludf.DUMMYFUNCTION("""COMPUTED_VALUE"""),15.127)</f>
        <v>15.127000000000001</v>
      </c>
      <c r="G81">
        <f ca="1">IFERROR(__xludf.DUMMYFUNCTION("""COMPUTED_VALUE"""),14.411)</f>
        <v>14.411</v>
      </c>
      <c r="H81">
        <f ca="1">IFERROR(__xludf.DUMMYFUNCTION("""COMPUTED_VALUE"""),0.717)</f>
        <v>0.71699999999999997</v>
      </c>
      <c r="I81">
        <f ca="1">IFERROR(__xludf.DUMMYFUNCTION("""COMPUTED_VALUE"""),20)</f>
        <v>20</v>
      </c>
    </row>
    <row r="82" spans="1:9" ht="12.75">
      <c r="A82">
        <f ca="1">IFERROR(__xludf.DUMMYFUNCTION("""COMPUTED_VALUE"""),81)</f>
        <v>81</v>
      </c>
      <c r="B82">
        <f ca="1">IFERROR(__xludf.DUMMYFUNCTION("""COMPUTED_VALUE"""),85)</f>
        <v>85</v>
      </c>
      <c r="C82" t="str">
        <f ca="1">IFERROR(__xludf.DUMMYFUNCTION("""COMPUTED_VALUE"""),"Adam Scott")</f>
        <v>Adam Scott</v>
      </c>
      <c r="D82">
        <f ca="1">IFERROR(__xludf.DUMMYFUNCTION("""COMPUTED_VALUE"""),8)</f>
        <v>8</v>
      </c>
      <c r="E82">
        <f ca="1">IFERROR(__xludf.DUMMYFUNCTION("""COMPUTED_VALUE"""),0.748)</f>
        <v>0.748</v>
      </c>
      <c r="F82">
        <f ca="1">IFERROR(__xludf.DUMMYFUNCTION("""COMPUTED_VALUE"""),5.981)</f>
        <v>5.9809999999999999</v>
      </c>
      <c r="G82">
        <f ca="1">IFERROR(__xludf.DUMMYFUNCTION("""COMPUTED_VALUE"""),0.878)</f>
        <v>0.878</v>
      </c>
      <c r="H82">
        <f ca="1">IFERROR(__xludf.DUMMYFUNCTION("""COMPUTED_VALUE"""),5.104)</f>
        <v>5.1040000000000001</v>
      </c>
      <c r="I82">
        <f ca="1">IFERROR(__xludf.DUMMYFUNCTION("""COMPUTED_VALUE"""),8)</f>
        <v>8</v>
      </c>
    </row>
    <row r="83" spans="1:9" ht="12.75">
      <c r="A83">
        <f ca="1">IFERROR(__xludf.DUMMYFUNCTION("""COMPUTED_VALUE"""),82)</f>
        <v>82</v>
      </c>
      <c r="B83">
        <f ca="1">IFERROR(__xludf.DUMMYFUNCTION("""COMPUTED_VALUE"""),118)</f>
        <v>118</v>
      </c>
      <c r="C83" t="str">
        <f ca="1">IFERROR(__xludf.DUMMYFUNCTION("""COMPUTED_VALUE"""),"Russell Knox")</f>
        <v>Russell Knox</v>
      </c>
      <c r="D83">
        <f ca="1">IFERROR(__xludf.DUMMYFUNCTION("""COMPUTED_VALUE"""),16)</f>
        <v>16</v>
      </c>
      <c r="E83">
        <f ca="1">IFERROR(__xludf.DUMMYFUNCTION("""COMPUTED_VALUE"""),0.742)</f>
        <v>0.74199999999999999</v>
      </c>
      <c r="F83">
        <f ca="1">IFERROR(__xludf.DUMMYFUNCTION("""COMPUTED_VALUE"""),8.899)</f>
        <v>8.8989999999999991</v>
      </c>
      <c r="G83">
        <f ca="1">IFERROR(__xludf.DUMMYFUNCTION("""COMPUTED_VALUE"""),9.443)</f>
        <v>9.4429999999999996</v>
      </c>
      <c r="H83">
        <f ca="1">IFERROR(__xludf.DUMMYFUNCTION("""COMPUTED_VALUE"""),-0.543)</f>
        <v>-0.54300000000000004</v>
      </c>
      <c r="I83">
        <f ca="1">IFERROR(__xludf.DUMMYFUNCTION("""COMPUTED_VALUE"""),12)</f>
        <v>12</v>
      </c>
    </row>
    <row r="84" spans="1:9" ht="12.75">
      <c r="A84">
        <f ca="1">IFERROR(__xludf.DUMMYFUNCTION("""COMPUTED_VALUE"""),83)</f>
        <v>83</v>
      </c>
      <c r="B84">
        <f ca="1">IFERROR(__xludf.DUMMYFUNCTION("""COMPUTED_VALUE"""),56)</f>
        <v>56</v>
      </c>
      <c r="C84" t="str">
        <f ca="1">IFERROR(__xludf.DUMMYFUNCTION("""COMPUTED_VALUE"""),"Emiliano Grillo")</f>
        <v>Emiliano Grillo</v>
      </c>
      <c r="D84">
        <f ca="1">IFERROR(__xludf.DUMMYFUNCTION("""COMPUTED_VALUE"""),22)</f>
        <v>22</v>
      </c>
      <c r="E84">
        <f ca="1">IFERROR(__xludf.DUMMYFUNCTION("""COMPUTED_VALUE"""),0.715)</f>
        <v>0.71499999999999997</v>
      </c>
      <c r="F84">
        <f ca="1">IFERROR(__xludf.DUMMYFUNCTION("""COMPUTED_VALUE"""),10.006)</f>
        <v>10.006</v>
      </c>
      <c r="G84">
        <f ca="1">IFERROR(__xludf.DUMMYFUNCTION("""COMPUTED_VALUE"""),12.559)</f>
        <v>12.558999999999999</v>
      </c>
      <c r="H84">
        <f ca="1">IFERROR(__xludf.DUMMYFUNCTION("""COMPUTED_VALUE"""),-2.552)</f>
        <v>-2.552</v>
      </c>
      <c r="I84">
        <f ca="1">IFERROR(__xludf.DUMMYFUNCTION("""COMPUTED_VALUE"""),14)</f>
        <v>14</v>
      </c>
    </row>
    <row r="85" spans="1:9" ht="12.75">
      <c r="A85">
        <f ca="1">IFERROR(__xludf.DUMMYFUNCTION("""COMPUTED_VALUE"""),84)</f>
        <v>84</v>
      </c>
      <c r="B85">
        <f ca="1">IFERROR(__xludf.DUMMYFUNCTION("""COMPUTED_VALUE"""),65)</f>
        <v>65</v>
      </c>
      <c r="C85" t="str">
        <f ca="1">IFERROR(__xludf.DUMMYFUNCTION("""COMPUTED_VALUE"""),"Charl Schwartzel")</f>
        <v>Charl Schwartzel</v>
      </c>
      <c r="D85">
        <f ca="1">IFERROR(__xludf.DUMMYFUNCTION("""COMPUTED_VALUE"""),12)</f>
        <v>12</v>
      </c>
      <c r="E85">
        <f ca="1">IFERROR(__xludf.DUMMYFUNCTION("""COMPUTED_VALUE"""),0.685)</f>
        <v>0.68500000000000005</v>
      </c>
      <c r="F85">
        <f ca="1">IFERROR(__xludf.DUMMYFUNCTION("""COMPUTED_VALUE"""),8.218)</f>
        <v>8.218</v>
      </c>
      <c r="G85">
        <f ca="1">IFERROR(__xludf.DUMMYFUNCTION("""COMPUTED_VALUE"""),3.814)</f>
        <v>3.8140000000000001</v>
      </c>
      <c r="H85">
        <f ca="1">IFERROR(__xludf.DUMMYFUNCTION("""COMPUTED_VALUE"""),4.405)</f>
        <v>4.4050000000000002</v>
      </c>
      <c r="I85">
        <f ca="1">IFERROR(__xludf.DUMMYFUNCTION("""COMPUTED_VALUE"""),12)</f>
        <v>12</v>
      </c>
    </row>
    <row r="86" spans="1:9" ht="12.75">
      <c r="A86">
        <f ca="1">IFERROR(__xludf.DUMMYFUNCTION("""COMPUTED_VALUE"""),85)</f>
        <v>85</v>
      </c>
      <c r="B86">
        <f ca="1">IFERROR(__xludf.DUMMYFUNCTION("""COMPUTED_VALUE"""),120)</f>
        <v>120</v>
      </c>
      <c r="C86" t="str">
        <f ca="1">IFERROR(__xludf.DUMMYFUNCTION("""COMPUTED_VALUE"""),"Jason Day")</f>
        <v>Jason Day</v>
      </c>
      <c r="D86">
        <f ca="1">IFERROR(__xludf.DUMMYFUNCTION("""COMPUTED_VALUE"""),17)</f>
        <v>17</v>
      </c>
      <c r="E86">
        <f ca="1">IFERROR(__xludf.DUMMYFUNCTION("""COMPUTED_VALUE"""),0.681)</f>
        <v>0.68100000000000005</v>
      </c>
      <c r="F86">
        <f ca="1">IFERROR(__xludf.DUMMYFUNCTION("""COMPUTED_VALUE"""),11.585)</f>
        <v>11.585000000000001</v>
      </c>
      <c r="G86">
        <f ca="1">IFERROR(__xludf.DUMMYFUNCTION("""COMPUTED_VALUE"""),8.408)</f>
        <v>8.4079999999999995</v>
      </c>
      <c r="H86">
        <f ca="1">IFERROR(__xludf.DUMMYFUNCTION("""COMPUTED_VALUE"""),3.178)</f>
        <v>3.1779999999999999</v>
      </c>
      <c r="I86">
        <f ca="1">IFERROR(__xludf.DUMMYFUNCTION("""COMPUTED_VALUE"""),17)</f>
        <v>17</v>
      </c>
    </row>
    <row r="87" spans="1:9" ht="12.75">
      <c r="A87" t="str">
        <f ca="1">IFERROR(__xludf.DUMMYFUNCTION("""COMPUTED_VALUE"""),"T86")</f>
        <v>T86</v>
      </c>
      <c r="B87">
        <f ca="1">IFERROR(__xludf.DUMMYFUNCTION("""COMPUTED_VALUE"""),94)</f>
        <v>94</v>
      </c>
      <c r="C87" t="str">
        <f ca="1">IFERROR(__xludf.DUMMYFUNCTION("""COMPUTED_VALUE"""),"Charley Hoffman")</f>
        <v>Charley Hoffman</v>
      </c>
      <c r="D87">
        <f ca="1">IFERROR(__xludf.DUMMYFUNCTION("""COMPUTED_VALUE"""),20)</f>
        <v>20</v>
      </c>
      <c r="E87">
        <f ca="1">IFERROR(__xludf.DUMMYFUNCTION("""COMPUTED_VALUE"""),0.659)</f>
        <v>0.65900000000000003</v>
      </c>
      <c r="F87">
        <f ca="1">IFERROR(__xludf.DUMMYFUNCTION("""COMPUTED_VALUE"""),9.232)</f>
        <v>9.2319999999999993</v>
      </c>
      <c r="G87">
        <f ca="1">IFERROR(__xludf.DUMMYFUNCTION("""COMPUTED_VALUE"""),4.949)</f>
        <v>4.9489999999999998</v>
      </c>
      <c r="H87">
        <f ca="1">IFERROR(__xludf.DUMMYFUNCTION("""COMPUTED_VALUE"""),4.285)</f>
        <v>4.2850000000000001</v>
      </c>
      <c r="I87">
        <f ca="1">IFERROR(__xludf.DUMMYFUNCTION("""COMPUTED_VALUE"""),14)</f>
        <v>14</v>
      </c>
    </row>
    <row r="88" spans="1:9" ht="12.75">
      <c r="A88" t="str">
        <f ca="1">IFERROR(__xludf.DUMMYFUNCTION("""COMPUTED_VALUE"""),"T86")</f>
        <v>T86</v>
      </c>
      <c r="B88" t="str">
        <f ca="1">IFERROR(__xludf.DUMMYFUNCTION("""COMPUTED_VALUE"""),"")</f>
        <v/>
      </c>
      <c r="C88" t="str">
        <f ca="1">IFERROR(__xludf.DUMMYFUNCTION("""COMPUTED_VALUE"""),"Erik Barnes")</f>
        <v>Erik Barnes</v>
      </c>
      <c r="D88">
        <f ca="1">IFERROR(__xludf.DUMMYFUNCTION("""COMPUTED_VALUE"""),4)</f>
        <v>4</v>
      </c>
      <c r="E88">
        <f ca="1">IFERROR(__xludf.DUMMYFUNCTION("""COMPUTED_VALUE"""),0.659)</f>
        <v>0.65900000000000003</v>
      </c>
      <c r="F88">
        <f ca="1">IFERROR(__xludf.DUMMYFUNCTION("""COMPUTED_VALUE"""),2.635)</f>
        <v>2.6349999999999998</v>
      </c>
      <c r="G88">
        <f ca="1">IFERROR(__xludf.DUMMYFUNCTION("""COMPUTED_VALUE"""),2.323)</f>
        <v>2.323</v>
      </c>
      <c r="H88">
        <f ca="1">IFERROR(__xludf.DUMMYFUNCTION("""COMPUTED_VALUE"""),0.312)</f>
        <v>0.312</v>
      </c>
      <c r="I88">
        <f ca="1">IFERROR(__xludf.DUMMYFUNCTION("""COMPUTED_VALUE"""),4)</f>
        <v>4</v>
      </c>
    </row>
    <row r="89" spans="1:9" ht="12.75">
      <c r="A89">
        <f ca="1">IFERROR(__xludf.DUMMYFUNCTION("""COMPUTED_VALUE"""),88)</f>
        <v>88</v>
      </c>
      <c r="B89">
        <f ca="1">IFERROR(__xludf.DUMMYFUNCTION("""COMPUTED_VALUE"""),74)</f>
        <v>74</v>
      </c>
      <c r="C89" t="str">
        <f ca="1">IFERROR(__xludf.DUMMYFUNCTION("""COMPUTED_VALUE"""),"Tom Hoge")</f>
        <v>Tom Hoge</v>
      </c>
      <c r="D89">
        <f ca="1">IFERROR(__xludf.DUMMYFUNCTION("""COMPUTED_VALUE"""),22)</f>
        <v>22</v>
      </c>
      <c r="E89">
        <f ca="1">IFERROR(__xludf.DUMMYFUNCTION("""COMPUTED_VALUE"""),0.652)</f>
        <v>0.65200000000000002</v>
      </c>
      <c r="F89">
        <f ca="1">IFERROR(__xludf.DUMMYFUNCTION("""COMPUTED_VALUE"""),14.351)</f>
        <v>14.351000000000001</v>
      </c>
      <c r="G89">
        <f ca="1">IFERROR(__xludf.DUMMYFUNCTION("""COMPUTED_VALUE"""),6.825)</f>
        <v>6.8250000000000002</v>
      </c>
      <c r="H89">
        <f ca="1">IFERROR(__xludf.DUMMYFUNCTION("""COMPUTED_VALUE"""),7.527)</f>
        <v>7.5270000000000001</v>
      </c>
      <c r="I89">
        <f ca="1">IFERROR(__xludf.DUMMYFUNCTION("""COMPUTED_VALUE"""),22)</f>
        <v>22</v>
      </c>
    </row>
    <row r="90" spans="1:9" ht="12.75">
      <c r="A90">
        <f ca="1">IFERROR(__xludf.DUMMYFUNCTION("""COMPUTED_VALUE"""),89)</f>
        <v>89</v>
      </c>
      <c r="B90" t="str">
        <f ca="1">IFERROR(__xludf.DUMMYFUNCTION("""COMPUTED_VALUE"""),"T59")</f>
        <v>T59</v>
      </c>
      <c r="C90" t="str">
        <f ca="1">IFERROR(__xludf.DUMMYFUNCTION("""COMPUTED_VALUE"""),"Lanto Griffin")</f>
        <v>Lanto Griffin</v>
      </c>
      <c r="D90">
        <f ca="1">IFERROR(__xludf.DUMMYFUNCTION("""COMPUTED_VALUE"""),18)</f>
        <v>18</v>
      </c>
      <c r="E90">
        <f ca="1">IFERROR(__xludf.DUMMYFUNCTION("""COMPUTED_VALUE"""),0.639)</f>
        <v>0.63900000000000001</v>
      </c>
      <c r="F90">
        <f ca="1">IFERROR(__xludf.DUMMYFUNCTION("""COMPUTED_VALUE"""),11.507)</f>
        <v>11.507</v>
      </c>
      <c r="G90">
        <f ca="1">IFERROR(__xludf.DUMMYFUNCTION("""COMPUTED_VALUE"""),2.133)</f>
        <v>2.133</v>
      </c>
      <c r="H90">
        <f ca="1">IFERROR(__xludf.DUMMYFUNCTION("""COMPUTED_VALUE"""),9.375)</f>
        <v>9.375</v>
      </c>
      <c r="I90">
        <f ca="1">IFERROR(__xludf.DUMMYFUNCTION("""COMPUTED_VALUE"""),18)</f>
        <v>18</v>
      </c>
    </row>
    <row r="91" spans="1:9" ht="12.75">
      <c r="A91">
        <f ca="1">IFERROR(__xludf.DUMMYFUNCTION("""COMPUTED_VALUE"""),90)</f>
        <v>90</v>
      </c>
      <c r="B91">
        <f ca="1">IFERROR(__xludf.DUMMYFUNCTION("""COMPUTED_VALUE"""),73)</f>
        <v>73</v>
      </c>
      <c r="C91" t="str">
        <f ca="1">IFERROR(__xludf.DUMMYFUNCTION("""COMPUTED_VALUE"""),"Sergio Garcia")</f>
        <v>Sergio Garcia</v>
      </c>
      <c r="D91">
        <f ca="1">IFERROR(__xludf.DUMMYFUNCTION("""COMPUTED_VALUE"""),18)</f>
        <v>18</v>
      </c>
      <c r="E91">
        <f ca="1">IFERROR(__xludf.DUMMYFUNCTION("""COMPUTED_VALUE"""),0.627)</f>
        <v>0.627</v>
      </c>
      <c r="F91">
        <f ca="1">IFERROR(__xludf.DUMMYFUNCTION("""COMPUTED_VALUE"""),11.277)</f>
        <v>11.276999999999999</v>
      </c>
      <c r="G91">
        <f ca="1">IFERROR(__xludf.DUMMYFUNCTION("""COMPUTED_VALUE"""),15.999)</f>
        <v>15.999000000000001</v>
      </c>
      <c r="H91">
        <f ca="1">IFERROR(__xludf.DUMMYFUNCTION("""COMPUTED_VALUE"""),-4.721)</f>
        <v>-4.7210000000000001</v>
      </c>
      <c r="I91">
        <f ca="1">IFERROR(__xludf.DUMMYFUNCTION("""COMPUTED_VALUE"""),18)</f>
        <v>18</v>
      </c>
    </row>
    <row r="92" spans="1:9" ht="12.75">
      <c r="A92">
        <f ca="1">IFERROR(__xludf.DUMMYFUNCTION("""COMPUTED_VALUE"""),91)</f>
        <v>91</v>
      </c>
      <c r="B92">
        <f ca="1">IFERROR(__xludf.DUMMYFUNCTION("""COMPUTED_VALUE"""),77)</f>
        <v>77</v>
      </c>
      <c r="C92" t="str">
        <f ca="1">IFERROR(__xludf.DUMMYFUNCTION("""COMPUTED_VALUE"""),"Keegan Bradley")</f>
        <v>Keegan Bradley</v>
      </c>
      <c r="D92">
        <f ca="1">IFERROR(__xludf.DUMMYFUNCTION("""COMPUTED_VALUE"""),16)</f>
        <v>16</v>
      </c>
      <c r="E92">
        <f ca="1">IFERROR(__xludf.DUMMYFUNCTION("""COMPUTED_VALUE"""),0.593)</f>
        <v>0.59299999999999997</v>
      </c>
      <c r="F92">
        <f ca="1">IFERROR(__xludf.DUMMYFUNCTION("""COMPUTED_VALUE"""),9.489)</f>
        <v>9.4890000000000008</v>
      </c>
      <c r="G92">
        <f ca="1">IFERROR(__xludf.DUMMYFUNCTION("""COMPUTED_VALUE"""),20.798)</f>
        <v>20.797999999999998</v>
      </c>
      <c r="H92">
        <f ca="1">IFERROR(__xludf.DUMMYFUNCTION("""COMPUTED_VALUE"""),-11.308)</f>
        <v>-11.308</v>
      </c>
      <c r="I92">
        <f ca="1">IFERROR(__xludf.DUMMYFUNCTION("""COMPUTED_VALUE"""),16)</f>
        <v>16</v>
      </c>
    </row>
    <row r="93" spans="1:9" ht="12.75">
      <c r="A93">
        <f ca="1">IFERROR(__xludf.DUMMYFUNCTION("""COMPUTED_VALUE"""),92)</f>
        <v>92</v>
      </c>
      <c r="B93">
        <f ca="1">IFERROR(__xludf.DUMMYFUNCTION("""COMPUTED_VALUE"""),136)</f>
        <v>136</v>
      </c>
      <c r="C93" t="str">
        <f ca="1">IFERROR(__xludf.DUMMYFUNCTION("""COMPUTED_VALUE"""),"Patton Kizzire")</f>
        <v>Patton Kizzire</v>
      </c>
      <c r="D93">
        <f ca="1">IFERROR(__xludf.DUMMYFUNCTION("""COMPUTED_VALUE"""),18)</f>
        <v>18</v>
      </c>
      <c r="E93">
        <f ca="1">IFERROR(__xludf.DUMMYFUNCTION("""COMPUTED_VALUE"""),0.584)</f>
        <v>0.58399999999999996</v>
      </c>
      <c r="F93">
        <f ca="1">IFERROR(__xludf.DUMMYFUNCTION("""COMPUTED_VALUE"""),8.171)</f>
        <v>8.1709999999999994</v>
      </c>
      <c r="G93">
        <f ca="1">IFERROR(__xludf.DUMMYFUNCTION("""COMPUTED_VALUE"""),1.402)</f>
        <v>1.4019999999999999</v>
      </c>
      <c r="H93">
        <f ca="1">IFERROR(__xludf.DUMMYFUNCTION("""COMPUTED_VALUE"""),6.771)</f>
        <v>6.7709999999999999</v>
      </c>
      <c r="I93">
        <f ca="1">IFERROR(__xludf.DUMMYFUNCTION("""COMPUTED_VALUE"""),14)</f>
        <v>14</v>
      </c>
    </row>
    <row r="94" spans="1:9" ht="12.75">
      <c r="A94">
        <f ca="1">IFERROR(__xludf.DUMMYFUNCTION("""COMPUTED_VALUE"""),93)</f>
        <v>93</v>
      </c>
      <c r="B94">
        <f ca="1">IFERROR(__xludf.DUMMYFUNCTION("""COMPUTED_VALUE"""),62)</f>
        <v>62</v>
      </c>
      <c r="C94" t="str">
        <f ca="1">IFERROR(__xludf.DUMMYFUNCTION("""COMPUTED_VALUE"""),"Brian Stuard")</f>
        <v>Brian Stuard</v>
      </c>
      <c r="D94">
        <f ca="1">IFERROR(__xludf.DUMMYFUNCTION("""COMPUTED_VALUE"""),18)</f>
        <v>18</v>
      </c>
      <c r="E94">
        <f ca="1">IFERROR(__xludf.DUMMYFUNCTION("""COMPUTED_VALUE"""),0.575)</f>
        <v>0.57499999999999996</v>
      </c>
      <c r="F94">
        <f ca="1">IFERROR(__xludf.DUMMYFUNCTION("""COMPUTED_VALUE"""),6.899)</f>
        <v>6.899</v>
      </c>
      <c r="G94">
        <f ca="1">IFERROR(__xludf.DUMMYFUNCTION("""COMPUTED_VALUE"""),6.646)</f>
        <v>6.6459999999999999</v>
      </c>
      <c r="H94">
        <f ca="1">IFERROR(__xludf.DUMMYFUNCTION("""COMPUTED_VALUE"""),0.255)</f>
        <v>0.255</v>
      </c>
      <c r="I94">
        <f ca="1">IFERROR(__xludf.DUMMYFUNCTION("""COMPUTED_VALUE"""),12)</f>
        <v>12</v>
      </c>
    </row>
    <row r="95" spans="1:9" ht="12.75">
      <c r="A95">
        <f ca="1">IFERROR(__xludf.DUMMYFUNCTION("""COMPUTED_VALUE"""),94)</f>
        <v>94</v>
      </c>
      <c r="B95">
        <f ca="1">IFERROR(__xludf.DUMMYFUNCTION("""COMPUTED_VALUE"""),88)</f>
        <v>88</v>
      </c>
      <c r="C95" t="str">
        <f ca="1">IFERROR(__xludf.DUMMYFUNCTION("""COMPUTED_VALUE"""),"Abraham Ancer")</f>
        <v>Abraham Ancer</v>
      </c>
      <c r="D95">
        <f ca="1">IFERROR(__xludf.DUMMYFUNCTION("""COMPUTED_VALUE"""),16)</f>
        <v>16</v>
      </c>
      <c r="E95">
        <f ca="1">IFERROR(__xludf.DUMMYFUNCTION("""COMPUTED_VALUE"""),0.541)</f>
        <v>0.54100000000000004</v>
      </c>
      <c r="F95">
        <f ca="1">IFERROR(__xludf.DUMMYFUNCTION("""COMPUTED_VALUE"""),8.66)</f>
        <v>8.66</v>
      </c>
      <c r="G95">
        <f ca="1">IFERROR(__xludf.DUMMYFUNCTION("""COMPUTED_VALUE"""),6.065)</f>
        <v>6.0650000000000004</v>
      </c>
      <c r="H95">
        <f ca="1">IFERROR(__xludf.DUMMYFUNCTION("""COMPUTED_VALUE"""),2.596)</f>
        <v>2.5960000000000001</v>
      </c>
      <c r="I95">
        <f ca="1">IFERROR(__xludf.DUMMYFUNCTION("""COMPUTED_VALUE"""),16)</f>
        <v>16</v>
      </c>
    </row>
    <row r="96" spans="1:9" ht="12.75">
      <c r="A96">
        <f ca="1">IFERROR(__xludf.DUMMYFUNCTION("""COMPUTED_VALUE"""),95)</f>
        <v>95</v>
      </c>
      <c r="B96">
        <f ca="1">IFERROR(__xludf.DUMMYFUNCTION("""COMPUTED_VALUE"""),90)</f>
        <v>90</v>
      </c>
      <c r="C96" t="str">
        <f ca="1">IFERROR(__xludf.DUMMYFUNCTION("""COMPUTED_VALUE"""),"Mark Anderson")</f>
        <v>Mark Anderson</v>
      </c>
      <c r="D96">
        <f ca="1">IFERROR(__xludf.DUMMYFUNCTION("""COMPUTED_VALUE"""),14)</f>
        <v>14</v>
      </c>
      <c r="E96">
        <f ca="1">IFERROR(__xludf.DUMMYFUNCTION("""COMPUTED_VALUE"""),0.514)</f>
        <v>0.51400000000000001</v>
      </c>
      <c r="F96">
        <f ca="1">IFERROR(__xludf.DUMMYFUNCTION("""COMPUTED_VALUE"""),3.083)</f>
        <v>3.0830000000000002</v>
      </c>
      <c r="G96">
        <f ca="1">IFERROR(__xludf.DUMMYFUNCTION("""COMPUTED_VALUE"""),7.084)</f>
        <v>7.0839999999999996</v>
      </c>
      <c r="H96">
        <f ca="1">IFERROR(__xludf.DUMMYFUNCTION("""COMPUTED_VALUE"""),-4.001)</f>
        <v>-4.0010000000000003</v>
      </c>
      <c r="I96">
        <f ca="1">IFERROR(__xludf.DUMMYFUNCTION("""COMPUTED_VALUE"""),6)</f>
        <v>6</v>
      </c>
    </row>
    <row r="97" spans="1:9" ht="12.75">
      <c r="A97">
        <f ca="1">IFERROR(__xludf.DUMMYFUNCTION("""COMPUTED_VALUE"""),96)</f>
        <v>96</v>
      </c>
      <c r="B97">
        <f ca="1">IFERROR(__xludf.DUMMYFUNCTION("""COMPUTED_VALUE"""),91)</f>
        <v>91</v>
      </c>
      <c r="C97" t="str">
        <f ca="1">IFERROR(__xludf.DUMMYFUNCTION("""COMPUTED_VALUE"""),"Rob Oppenheim")</f>
        <v>Rob Oppenheim</v>
      </c>
      <c r="D97">
        <f ca="1">IFERROR(__xludf.DUMMYFUNCTION("""COMPUTED_VALUE"""),16)</f>
        <v>16</v>
      </c>
      <c r="E97">
        <f ca="1">IFERROR(__xludf.DUMMYFUNCTION("""COMPUTED_VALUE"""),0.505)</f>
        <v>0.505</v>
      </c>
      <c r="F97">
        <f ca="1">IFERROR(__xludf.DUMMYFUNCTION("""COMPUTED_VALUE"""),5.052)</f>
        <v>5.0519999999999996</v>
      </c>
      <c r="G97">
        <f ca="1">IFERROR(__xludf.DUMMYFUNCTION("""COMPUTED_VALUE"""),4.515)</f>
        <v>4.5149999999999997</v>
      </c>
      <c r="H97">
        <f ca="1">IFERROR(__xludf.DUMMYFUNCTION("""COMPUTED_VALUE"""),0.537)</f>
        <v>0.53700000000000003</v>
      </c>
      <c r="I97">
        <f ca="1">IFERROR(__xludf.DUMMYFUNCTION("""COMPUTED_VALUE"""),10)</f>
        <v>10</v>
      </c>
    </row>
    <row r="98" spans="1:9" ht="12.75">
      <c r="A98">
        <f ca="1">IFERROR(__xludf.DUMMYFUNCTION("""COMPUTED_VALUE"""),97)</f>
        <v>97</v>
      </c>
      <c r="B98">
        <f ca="1">IFERROR(__xludf.DUMMYFUNCTION("""COMPUTED_VALUE"""),95)</f>
        <v>95</v>
      </c>
      <c r="C98" t="str">
        <f ca="1">IFERROR(__xludf.DUMMYFUNCTION("""COMPUTED_VALUE"""),"Cameron Percy")</f>
        <v>Cameron Percy</v>
      </c>
      <c r="D98">
        <f ca="1">IFERROR(__xludf.DUMMYFUNCTION("""COMPUTED_VALUE"""),16)</f>
        <v>16</v>
      </c>
      <c r="E98">
        <f ca="1">IFERROR(__xludf.DUMMYFUNCTION("""COMPUTED_VALUE"""),0.427)</f>
        <v>0.42699999999999999</v>
      </c>
      <c r="F98">
        <f ca="1">IFERROR(__xludf.DUMMYFUNCTION("""COMPUTED_VALUE"""),3.416)</f>
        <v>3.4159999999999999</v>
      </c>
      <c r="G98">
        <f ca="1">IFERROR(__xludf.DUMMYFUNCTION("""COMPUTED_VALUE"""),-1.332)</f>
        <v>-1.3320000000000001</v>
      </c>
      <c r="H98">
        <f ca="1">IFERROR(__xludf.DUMMYFUNCTION("""COMPUTED_VALUE"""),4.749)</f>
        <v>4.7489999999999997</v>
      </c>
      <c r="I98">
        <f ca="1">IFERROR(__xludf.DUMMYFUNCTION("""COMPUTED_VALUE"""),8)</f>
        <v>8</v>
      </c>
    </row>
    <row r="99" spans="1:9" ht="12.75">
      <c r="A99">
        <f ca="1">IFERROR(__xludf.DUMMYFUNCTION("""COMPUTED_VALUE"""),98)</f>
        <v>98</v>
      </c>
      <c r="B99">
        <f ca="1">IFERROR(__xludf.DUMMYFUNCTION("""COMPUTED_VALUE"""),96)</f>
        <v>96</v>
      </c>
      <c r="C99" t="str">
        <f ca="1">IFERROR(__xludf.DUMMYFUNCTION("""COMPUTED_VALUE"""),"Joel Dahmen")</f>
        <v>Joel Dahmen</v>
      </c>
      <c r="D99">
        <f ca="1">IFERROR(__xludf.DUMMYFUNCTION("""COMPUTED_VALUE"""),18)</f>
        <v>18</v>
      </c>
      <c r="E99">
        <f ca="1">IFERROR(__xludf.DUMMYFUNCTION("""COMPUTED_VALUE"""),0.426)</f>
        <v>0.42599999999999999</v>
      </c>
      <c r="F99">
        <f ca="1">IFERROR(__xludf.DUMMYFUNCTION("""COMPUTED_VALUE"""),7.67)</f>
        <v>7.67</v>
      </c>
      <c r="G99">
        <f ca="1">IFERROR(__xludf.DUMMYFUNCTION("""COMPUTED_VALUE"""),7.105)</f>
        <v>7.1050000000000004</v>
      </c>
      <c r="H99">
        <f ca="1">IFERROR(__xludf.DUMMYFUNCTION("""COMPUTED_VALUE"""),0.566)</f>
        <v>0.56599999999999995</v>
      </c>
      <c r="I99">
        <f ca="1">IFERROR(__xludf.DUMMYFUNCTION("""COMPUTED_VALUE"""),18)</f>
        <v>18</v>
      </c>
    </row>
    <row r="100" spans="1:9" ht="12.75">
      <c r="A100">
        <f ca="1">IFERROR(__xludf.DUMMYFUNCTION("""COMPUTED_VALUE"""),99)</f>
        <v>99</v>
      </c>
      <c r="B100">
        <f ca="1">IFERROR(__xludf.DUMMYFUNCTION("""COMPUTED_VALUE"""),97)</f>
        <v>97</v>
      </c>
      <c r="C100" t="str">
        <f ca="1">IFERROR(__xludf.DUMMYFUNCTION("""COMPUTED_VALUE"""),"Kurt Kitayama")</f>
        <v>Kurt Kitayama</v>
      </c>
      <c r="D100">
        <f ca="1">IFERROR(__xludf.DUMMYFUNCTION("""COMPUTED_VALUE"""),4)</f>
        <v>4</v>
      </c>
      <c r="E100">
        <f ca="1">IFERROR(__xludf.DUMMYFUNCTION("""COMPUTED_VALUE"""),0.408)</f>
        <v>0.40799999999999997</v>
      </c>
      <c r="F100">
        <f ca="1">IFERROR(__xludf.DUMMYFUNCTION("""COMPUTED_VALUE"""),0.815)</f>
        <v>0.81499999999999995</v>
      </c>
      <c r="G100">
        <f ca="1">IFERROR(__xludf.DUMMYFUNCTION("""COMPUTED_VALUE"""),1.282)</f>
        <v>1.282</v>
      </c>
      <c r="H100">
        <f ca="1">IFERROR(__xludf.DUMMYFUNCTION("""COMPUTED_VALUE"""),-0.467)</f>
        <v>-0.46700000000000003</v>
      </c>
      <c r="I100">
        <f ca="1">IFERROR(__xludf.DUMMYFUNCTION("""COMPUTED_VALUE"""),2)</f>
        <v>2</v>
      </c>
    </row>
    <row r="101" spans="1:9" ht="12.75">
      <c r="A101">
        <f ca="1">IFERROR(__xludf.DUMMYFUNCTION("""COMPUTED_VALUE"""),100)</f>
        <v>100</v>
      </c>
      <c r="B101">
        <f ca="1">IFERROR(__xludf.DUMMYFUNCTION("""COMPUTED_VALUE"""),98)</f>
        <v>98</v>
      </c>
      <c r="C101" t="str">
        <f ca="1">IFERROR(__xludf.DUMMYFUNCTION("""COMPUTED_VALUE"""),"Jim Furyk")</f>
        <v>Jim Furyk</v>
      </c>
      <c r="D101">
        <f ca="1">IFERROR(__xludf.DUMMYFUNCTION("""COMPUTED_VALUE"""),4)</f>
        <v>4</v>
      </c>
      <c r="E101">
        <f ca="1">IFERROR(__xludf.DUMMYFUNCTION("""COMPUTED_VALUE"""),0.386)</f>
        <v>0.38600000000000001</v>
      </c>
      <c r="F101">
        <f ca="1">IFERROR(__xludf.DUMMYFUNCTION("""COMPUTED_VALUE"""),1.542)</f>
        <v>1.542</v>
      </c>
      <c r="G101">
        <f ca="1">IFERROR(__xludf.DUMMYFUNCTION("""COMPUTED_VALUE"""),3.97)</f>
        <v>3.97</v>
      </c>
      <c r="H101">
        <f ca="1">IFERROR(__xludf.DUMMYFUNCTION("""COMPUTED_VALUE"""),-2.428)</f>
        <v>-2.4279999999999999</v>
      </c>
      <c r="I101">
        <f ca="1">IFERROR(__xludf.DUMMYFUNCTION("""COMPUTED_VALUE"""),4)</f>
        <v>4</v>
      </c>
    </row>
    <row r="102" spans="1:9" ht="12.75">
      <c r="A102">
        <f ca="1">IFERROR(__xludf.DUMMYFUNCTION("""COMPUTED_VALUE"""),101)</f>
        <v>101</v>
      </c>
      <c r="B102" t="str">
        <f ca="1">IFERROR(__xludf.DUMMYFUNCTION("""COMPUTED_VALUE"""),"T82")</f>
        <v>T82</v>
      </c>
      <c r="C102" t="str">
        <f ca="1">IFERROR(__xludf.DUMMYFUNCTION("""COMPUTED_VALUE"""),"C.T. Pan")</f>
        <v>C.T. Pan</v>
      </c>
      <c r="D102">
        <f ca="1">IFERROR(__xludf.DUMMYFUNCTION("""COMPUTED_VALUE"""),20)</f>
        <v>20</v>
      </c>
      <c r="E102">
        <f ca="1">IFERROR(__xludf.DUMMYFUNCTION("""COMPUTED_VALUE"""),0.376)</f>
        <v>0.376</v>
      </c>
      <c r="F102">
        <f ca="1">IFERROR(__xludf.DUMMYFUNCTION("""COMPUTED_VALUE"""),6.02)</f>
        <v>6.02</v>
      </c>
      <c r="G102">
        <f ca="1">IFERROR(__xludf.DUMMYFUNCTION("""COMPUTED_VALUE"""),-1.427)</f>
        <v>-1.427</v>
      </c>
      <c r="H102">
        <f ca="1">IFERROR(__xludf.DUMMYFUNCTION("""COMPUTED_VALUE"""),7.449)</f>
        <v>7.4489999999999998</v>
      </c>
      <c r="I102">
        <f ca="1">IFERROR(__xludf.DUMMYFUNCTION("""COMPUTED_VALUE"""),16)</f>
        <v>16</v>
      </c>
    </row>
    <row r="103" spans="1:9" ht="12.75">
      <c r="A103">
        <f ca="1">IFERROR(__xludf.DUMMYFUNCTION("""COMPUTED_VALUE"""),102)</f>
        <v>102</v>
      </c>
      <c r="B103">
        <f ca="1">IFERROR(__xludf.DUMMYFUNCTION("""COMPUTED_VALUE"""),119)</f>
        <v>119</v>
      </c>
      <c r="C103" t="str">
        <f ca="1">IFERROR(__xludf.DUMMYFUNCTION("""COMPUTED_VALUE"""),"Scott Piercy")</f>
        <v>Scott Piercy</v>
      </c>
      <c r="D103">
        <f ca="1">IFERROR(__xludf.DUMMYFUNCTION("""COMPUTED_VALUE"""),18)</f>
        <v>18</v>
      </c>
      <c r="E103">
        <f ca="1">IFERROR(__xludf.DUMMYFUNCTION("""COMPUTED_VALUE"""),0.369)</f>
        <v>0.36899999999999999</v>
      </c>
      <c r="F103">
        <f ca="1">IFERROR(__xludf.DUMMYFUNCTION("""COMPUTED_VALUE"""),5.171)</f>
        <v>5.1710000000000003</v>
      </c>
      <c r="G103">
        <f ca="1">IFERROR(__xludf.DUMMYFUNCTION("""COMPUTED_VALUE"""),11.714)</f>
        <v>11.714</v>
      </c>
      <c r="H103">
        <f ca="1">IFERROR(__xludf.DUMMYFUNCTION("""COMPUTED_VALUE"""),-6.542)</f>
        <v>-6.5419999999999998</v>
      </c>
      <c r="I103">
        <f ca="1">IFERROR(__xludf.DUMMYFUNCTION("""COMPUTED_VALUE"""),14)</f>
        <v>14</v>
      </c>
    </row>
    <row r="104" spans="1:9" ht="12.75">
      <c r="A104">
        <f ca="1">IFERROR(__xludf.DUMMYFUNCTION("""COMPUTED_VALUE"""),103)</f>
        <v>103</v>
      </c>
      <c r="B104">
        <f ca="1">IFERROR(__xludf.DUMMYFUNCTION("""COMPUTED_VALUE"""),99)</f>
        <v>99</v>
      </c>
      <c r="C104" t="str">
        <f ca="1">IFERROR(__xludf.DUMMYFUNCTION("""COMPUTED_VALUE"""),"Collin Morikawa")</f>
        <v>Collin Morikawa</v>
      </c>
      <c r="D104">
        <f ca="1">IFERROR(__xludf.DUMMYFUNCTION("""COMPUTED_VALUE"""),12)</f>
        <v>12</v>
      </c>
      <c r="E104">
        <f ca="1">IFERROR(__xludf.DUMMYFUNCTION("""COMPUTED_VALUE"""),0.362)</f>
        <v>0.36199999999999999</v>
      </c>
      <c r="F104">
        <f ca="1">IFERROR(__xludf.DUMMYFUNCTION("""COMPUTED_VALUE"""),4.34)</f>
        <v>4.34</v>
      </c>
      <c r="G104">
        <f ca="1">IFERROR(__xludf.DUMMYFUNCTION("""COMPUTED_VALUE"""),15.972)</f>
        <v>15.972</v>
      </c>
      <c r="H104">
        <f ca="1">IFERROR(__xludf.DUMMYFUNCTION("""COMPUTED_VALUE"""),-11.631)</f>
        <v>-11.631</v>
      </c>
      <c r="I104">
        <f ca="1">IFERROR(__xludf.DUMMYFUNCTION("""COMPUTED_VALUE"""),12)</f>
        <v>12</v>
      </c>
    </row>
    <row r="105" spans="1:9" ht="12.75">
      <c r="A105">
        <f ca="1">IFERROR(__xludf.DUMMYFUNCTION("""COMPUTED_VALUE"""),104)</f>
        <v>104</v>
      </c>
      <c r="B105">
        <f ca="1">IFERROR(__xludf.DUMMYFUNCTION("""COMPUTED_VALUE"""),101)</f>
        <v>101</v>
      </c>
      <c r="C105" t="str">
        <f ca="1">IFERROR(__xludf.DUMMYFUNCTION("""COMPUTED_VALUE"""),"Josh Teater")</f>
        <v>Josh Teater</v>
      </c>
      <c r="D105">
        <f ca="1">IFERROR(__xludf.DUMMYFUNCTION("""COMPUTED_VALUE"""),6)</f>
        <v>6</v>
      </c>
      <c r="E105">
        <f ca="1">IFERROR(__xludf.DUMMYFUNCTION("""COMPUTED_VALUE"""),0.347)</f>
        <v>0.34699999999999998</v>
      </c>
      <c r="F105">
        <f ca="1">IFERROR(__xludf.DUMMYFUNCTION("""COMPUTED_VALUE"""),0.693)</f>
        <v>0.69299999999999995</v>
      </c>
      <c r="G105">
        <f ca="1">IFERROR(__xludf.DUMMYFUNCTION("""COMPUTED_VALUE"""),3.099)</f>
        <v>3.0990000000000002</v>
      </c>
      <c r="H105">
        <f ca="1">IFERROR(__xludf.DUMMYFUNCTION("""COMPUTED_VALUE"""),-2.406)</f>
        <v>-2.4060000000000001</v>
      </c>
      <c r="I105">
        <f ca="1">IFERROR(__xludf.DUMMYFUNCTION("""COMPUTED_VALUE"""),2)</f>
        <v>2</v>
      </c>
    </row>
    <row r="106" spans="1:9" ht="12.75">
      <c r="A106" t="str">
        <f ca="1">IFERROR(__xludf.DUMMYFUNCTION("""COMPUTED_VALUE"""),"T105")</f>
        <v>T105</v>
      </c>
      <c r="B106">
        <f ca="1">IFERROR(__xludf.DUMMYFUNCTION("""COMPUTED_VALUE"""),84)</f>
        <v>84</v>
      </c>
      <c r="C106" t="str">
        <f ca="1">IFERROR(__xludf.DUMMYFUNCTION("""COMPUTED_VALUE"""),"Scott Stallings")</f>
        <v>Scott Stallings</v>
      </c>
      <c r="D106">
        <f ca="1">IFERROR(__xludf.DUMMYFUNCTION("""COMPUTED_VALUE"""),14)</f>
        <v>14</v>
      </c>
      <c r="E106">
        <f ca="1">IFERROR(__xludf.DUMMYFUNCTION("""COMPUTED_VALUE"""),0.337)</f>
        <v>0.33700000000000002</v>
      </c>
      <c r="F106">
        <f ca="1">IFERROR(__xludf.DUMMYFUNCTION("""COMPUTED_VALUE"""),3.369)</f>
        <v>3.3690000000000002</v>
      </c>
      <c r="G106">
        <f ca="1">IFERROR(__xludf.DUMMYFUNCTION("""COMPUTED_VALUE"""),3.652)</f>
        <v>3.6520000000000001</v>
      </c>
      <c r="H106">
        <f ca="1">IFERROR(__xludf.DUMMYFUNCTION("""COMPUTED_VALUE"""),-0.282)</f>
        <v>-0.28199999999999997</v>
      </c>
      <c r="I106">
        <f ca="1">IFERROR(__xludf.DUMMYFUNCTION("""COMPUTED_VALUE"""),10)</f>
        <v>10</v>
      </c>
    </row>
    <row r="107" spans="1:9" ht="12.75">
      <c r="A107" t="str">
        <f ca="1">IFERROR(__xludf.DUMMYFUNCTION("""COMPUTED_VALUE"""),"T105")</f>
        <v>T105</v>
      </c>
      <c r="B107">
        <f ca="1">IFERROR(__xludf.DUMMYFUNCTION("""COMPUTED_VALUE"""),103)</f>
        <v>103</v>
      </c>
      <c r="C107" t="str">
        <f ca="1">IFERROR(__xludf.DUMMYFUNCTION("""COMPUTED_VALUE"""),"Matt Wallace")</f>
        <v>Matt Wallace</v>
      </c>
      <c r="D107">
        <f ca="1">IFERROR(__xludf.DUMMYFUNCTION("""COMPUTED_VALUE"""),4)</f>
        <v>4</v>
      </c>
      <c r="E107">
        <f ca="1">IFERROR(__xludf.DUMMYFUNCTION("""COMPUTED_VALUE"""),0.337)</f>
        <v>0.33700000000000002</v>
      </c>
      <c r="F107">
        <f ca="1">IFERROR(__xludf.DUMMYFUNCTION("""COMPUTED_VALUE"""),1.346)</f>
        <v>1.3460000000000001</v>
      </c>
      <c r="G107">
        <f ca="1">IFERROR(__xludf.DUMMYFUNCTION("""COMPUTED_VALUE"""),2.346)</f>
        <v>2.3460000000000001</v>
      </c>
      <c r="H107">
        <f ca="1">IFERROR(__xludf.DUMMYFUNCTION("""COMPUTED_VALUE"""),-1)</f>
        <v>-1</v>
      </c>
      <c r="I107">
        <f ca="1">IFERROR(__xludf.DUMMYFUNCTION("""COMPUTED_VALUE"""),4)</f>
        <v>4</v>
      </c>
    </row>
    <row r="108" spans="1:9" ht="12.75">
      <c r="A108">
        <f ca="1">IFERROR(__xludf.DUMMYFUNCTION("""COMPUTED_VALUE"""),107)</f>
        <v>107</v>
      </c>
      <c r="B108">
        <f ca="1">IFERROR(__xludf.DUMMYFUNCTION("""COMPUTED_VALUE"""),104)</f>
        <v>104</v>
      </c>
      <c r="C108" t="str">
        <f ca="1">IFERROR(__xludf.DUMMYFUNCTION("""COMPUTED_VALUE"""),"Bernd Wiesberger")</f>
        <v>Bernd Wiesberger</v>
      </c>
      <c r="D108">
        <f ca="1">IFERROR(__xludf.DUMMYFUNCTION("""COMPUTED_VALUE"""),4)</f>
        <v>4</v>
      </c>
      <c r="E108">
        <f ca="1">IFERROR(__xludf.DUMMYFUNCTION("""COMPUTED_VALUE"""),0.336)</f>
        <v>0.33600000000000002</v>
      </c>
      <c r="F108">
        <f ca="1">IFERROR(__xludf.DUMMYFUNCTION("""COMPUTED_VALUE"""),1.345)</f>
        <v>1.345</v>
      </c>
      <c r="G108">
        <f ca="1">IFERROR(__xludf.DUMMYFUNCTION("""COMPUTED_VALUE"""),1.525)</f>
        <v>1.5249999999999999</v>
      </c>
      <c r="H108">
        <f ca="1">IFERROR(__xludf.DUMMYFUNCTION("""COMPUTED_VALUE"""),-0.18)</f>
        <v>-0.18</v>
      </c>
      <c r="I108">
        <f ca="1">IFERROR(__xludf.DUMMYFUNCTION("""COMPUTED_VALUE"""),4)</f>
        <v>4</v>
      </c>
    </row>
    <row r="109" spans="1:9" ht="12.75">
      <c r="A109">
        <f ca="1">IFERROR(__xludf.DUMMYFUNCTION("""COMPUTED_VALUE"""),108)</f>
        <v>108</v>
      </c>
      <c r="B109">
        <f ca="1">IFERROR(__xludf.DUMMYFUNCTION("""COMPUTED_VALUE"""),116)</f>
        <v>116</v>
      </c>
      <c r="C109" t="str">
        <f ca="1">IFERROR(__xludf.DUMMYFUNCTION("""COMPUTED_VALUE"""),"Scottie Scheffler")</f>
        <v>Scottie Scheffler</v>
      </c>
      <c r="D109">
        <f ca="1">IFERROR(__xludf.DUMMYFUNCTION("""COMPUTED_VALUE"""),18)</f>
        <v>18</v>
      </c>
      <c r="E109">
        <f ca="1">IFERROR(__xludf.DUMMYFUNCTION("""COMPUTED_VALUE"""),0.335)</f>
        <v>0.33500000000000002</v>
      </c>
      <c r="F109">
        <f ca="1">IFERROR(__xludf.DUMMYFUNCTION("""COMPUTED_VALUE"""),6.035)</f>
        <v>6.0350000000000001</v>
      </c>
      <c r="G109">
        <f ca="1">IFERROR(__xludf.DUMMYFUNCTION("""COMPUTED_VALUE"""),7.561)</f>
        <v>7.5609999999999999</v>
      </c>
      <c r="H109">
        <f ca="1">IFERROR(__xludf.DUMMYFUNCTION("""COMPUTED_VALUE"""),-1.526)</f>
        <v>-1.526</v>
      </c>
      <c r="I109">
        <f ca="1">IFERROR(__xludf.DUMMYFUNCTION("""COMPUTED_VALUE"""),18)</f>
        <v>18</v>
      </c>
    </row>
    <row r="110" spans="1:9" ht="12.75">
      <c r="A110">
        <f ca="1">IFERROR(__xludf.DUMMYFUNCTION("""COMPUTED_VALUE"""),109)</f>
        <v>109</v>
      </c>
      <c r="B110">
        <f ca="1">IFERROR(__xludf.DUMMYFUNCTION("""COMPUTED_VALUE"""),111)</f>
        <v>111</v>
      </c>
      <c r="C110" t="str">
        <f ca="1">IFERROR(__xludf.DUMMYFUNCTION("""COMPUTED_VALUE"""),"Brandt Snedeker")</f>
        <v>Brandt Snedeker</v>
      </c>
      <c r="D110">
        <f ca="1">IFERROR(__xludf.DUMMYFUNCTION("""COMPUTED_VALUE"""),16)</f>
        <v>16</v>
      </c>
      <c r="E110">
        <f ca="1">IFERROR(__xludf.DUMMYFUNCTION("""COMPUTED_VALUE"""),0.312)</f>
        <v>0.312</v>
      </c>
      <c r="F110">
        <f ca="1">IFERROR(__xludf.DUMMYFUNCTION("""COMPUTED_VALUE"""),4.985)</f>
        <v>4.9850000000000003</v>
      </c>
      <c r="G110">
        <f ca="1">IFERROR(__xludf.DUMMYFUNCTION("""COMPUTED_VALUE"""),-6.067)</f>
        <v>-6.0670000000000002</v>
      </c>
      <c r="H110">
        <f ca="1">IFERROR(__xludf.DUMMYFUNCTION("""COMPUTED_VALUE"""),11.054)</f>
        <v>11.054</v>
      </c>
      <c r="I110">
        <f ca="1">IFERROR(__xludf.DUMMYFUNCTION("""COMPUTED_VALUE"""),16)</f>
        <v>16</v>
      </c>
    </row>
    <row r="111" spans="1:9" ht="12.75">
      <c r="A111" t="str">
        <f ca="1">IFERROR(__xludf.DUMMYFUNCTION("""COMPUTED_VALUE"""),"T110")</f>
        <v>T110</v>
      </c>
      <c r="B111" t="str">
        <f ca="1">IFERROR(__xludf.DUMMYFUNCTION("""COMPUTED_VALUE"""),"T106")</f>
        <v>T106</v>
      </c>
      <c r="C111" t="str">
        <f ca="1">IFERROR(__xludf.DUMMYFUNCTION("""COMPUTED_VALUE"""),"Aaron Baddeley")</f>
        <v>Aaron Baddeley</v>
      </c>
      <c r="D111">
        <f ca="1">IFERROR(__xludf.DUMMYFUNCTION("""COMPUTED_VALUE"""),8)</f>
        <v>8</v>
      </c>
      <c r="E111">
        <f ca="1">IFERROR(__xludf.DUMMYFUNCTION("""COMPUTED_VALUE"""),0.309)</f>
        <v>0.309</v>
      </c>
      <c r="F111">
        <f ca="1">IFERROR(__xludf.DUMMYFUNCTION("""COMPUTED_VALUE"""),1.234)</f>
        <v>1.234</v>
      </c>
      <c r="G111">
        <f ca="1">IFERROR(__xludf.DUMMYFUNCTION("""COMPUTED_VALUE"""),1.154)</f>
        <v>1.1539999999999999</v>
      </c>
      <c r="H111">
        <f ca="1">IFERROR(__xludf.DUMMYFUNCTION("""COMPUTED_VALUE"""),0.08)</f>
        <v>0.08</v>
      </c>
      <c r="I111">
        <f ca="1">IFERROR(__xludf.DUMMYFUNCTION("""COMPUTED_VALUE"""),4)</f>
        <v>4</v>
      </c>
    </row>
    <row r="112" spans="1:9" ht="12.75">
      <c r="A112" t="str">
        <f ca="1">IFERROR(__xludf.DUMMYFUNCTION("""COMPUTED_VALUE"""),"T110")</f>
        <v>T110</v>
      </c>
      <c r="B112" t="str">
        <f ca="1">IFERROR(__xludf.DUMMYFUNCTION("""COMPUTED_VALUE"""),"T106")</f>
        <v>T106</v>
      </c>
      <c r="C112" t="str">
        <f ca="1">IFERROR(__xludf.DUMMYFUNCTION("""COMPUTED_VALUE"""),"Shaun Norris")</f>
        <v>Shaun Norris</v>
      </c>
      <c r="D112">
        <f ca="1">IFERROR(__xludf.DUMMYFUNCTION("""COMPUTED_VALUE"""),6)</f>
        <v>6</v>
      </c>
      <c r="E112">
        <f ca="1">IFERROR(__xludf.DUMMYFUNCTION("""COMPUTED_VALUE"""),0.309)</f>
        <v>0.309</v>
      </c>
      <c r="F112">
        <f ca="1">IFERROR(__xludf.DUMMYFUNCTION("""COMPUTED_VALUE"""),1.854)</f>
        <v>1.8540000000000001</v>
      </c>
      <c r="G112">
        <f ca="1">IFERROR(__xludf.DUMMYFUNCTION("""COMPUTED_VALUE"""),-2.339)</f>
        <v>-2.339</v>
      </c>
      <c r="H112">
        <f ca="1">IFERROR(__xludf.DUMMYFUNCTION("""COMPUTED_VALUE"""),4.194)</f>
        <v>4.194</v>
      </c>
      <c r="I112">
        <f ca="1">IFERROR(__xludf.DUMMYFUNCTION("""COMPUTED_VALUE"""),6)</f>
        <v>6</v>
      </c>
    </row>
    <row r="113" spans="1:9" ht="12.75">
      <c r="A113">
        <f ca="1">IFERROR(__xludf.DUMMYFUNCTION("""COMPUTED_VALUE"""),112)</f>
        <v>112</v>
      </c>
      <c r="B113">
        <f ca="1">IFERROR(__xludf.DUMMYFUNCTION("""COMPUTED_VALUE"""),100)</f>
        <v>100</v>
      </c>
      <c r="C113" t="str">
        <f ca="1">IFERROR(__xludf.DUMMYFUNCTION("""COMPUTED_VALUE"""),"Henrik Norlander")</f>
        <v>Henrik Norlander</v>
      </c>
      <c r="D113">
        <f ca="1">IFERROR(__xludf.DUMMYFUNCTION("""COMPUTED_VALUE"""),16)</f>
        <v>16</v>
      </c>
      <c r="E113">
        <f ca="1">IFERROR(__xludf.DUMMYFUNCTION("""COMPUTED_VALUE"""),0.263)</f>
        <v>0.26300000000000001</v>
      </c>
      <c r="F113">
        <f ca="1">IFERROR(__xludf.DUMMYFUNCTION("""COMPUTED_VALUE"""),3.157)</f>
        <v>3.157</v>
      </c>
      <c r="G113">
        <f ca="1">IFERROR(__xludf.DUMMYFUNCTION("""COMPUTED_VALUE"""),4.751)</f>
        <v>4.7510000000000003</v>
      </c>
      <c r="H113">
        <f ca="1">IFERROR(__xludf.DUMMYFUNCTION("""COMPUTED_VALUE"""),-1.593)</f>
        <v>-1.593</v>
      </c>
      <c r="I113">
        <f ca="1">IFERROR(__xludf.DUMMYFUNCTION("""COMPUTED_VALUE"""),12)</f>
        <v>12</v>
      </c>
    </row>
    <row r="114" spans="1:9" ht="12.75">
      <c r="A114">
        <f ca="1">IFERROR(__xludf.DUMMYFUNCTION("""COMPUTED_VALUE"""),113)</f>
        <v>113</v>
      </c>
      <c r="B114">
        <f ca="1">IFERROR(__xludf.DUMMYFUNCTION("""COMPUTED_VALUE"""),112)</f>
        <v>112</v>
      </c>
      <c r="C114" t="str">
        <f ca="1">IFERROR(__xludf.DUMMYFUNCTION("""COMPUTED_VALUE"""),"Bill Haas")</f>
        <v>Bill Haas</v>
      </c>
      <c r="D114">
        <f ca="1">IFERROR(__xludf.DUMMYFUNCTION("""COMPUTED_VALUE"""),10)</f>
        <v>10</v>
      </c>
      <c r="E114">
        <f ca="1">IFERROR(__xludf.DUMMYFUNCTION("""COMPUTED_VALUE"""),0.261)</f>
        <v>0.26100000000000001</v>
      </c>
      <c r="F114">
        <f ca="1">IFERROR(__xludf.DUMMYFUNCTION("""COMPUTED_VALUE"""),1.567)</f>
        <v>1.5669999999999999</v>
      </c>
      <c r="G114">
        <f ca="1">IFERROR(__xludf.DUMMYFUNCTION("""COMPUTED_VALUE"""),-1.095)</f>
        <v>-1.095</v>
      </c>
      <c r="H114">
        <f ca="1">IFERROR(__xludf.DUMMYFUNCTION("""COMPUTED_VALUE"""),2.662)</f>
        <v>2.6619999999999999</v>
      </c>
      <c r="I114">
        <f ca="1">IFERROR(__xludf.DUMMYFUNCTION("""COMPUTED_VALUE"""),6)</f>
        <v>6</v>
      </c>
    </row>
    <row r="115" spans="1:9" ht="12.75">
      <c r="A115">
        <f ca="1">IFERROR(__xludf.DUMMYFUNCTION("""COMPUTED_VALUE"""),114)</f>
        <v>114</v>
      </c>
      <c r="B115">
        <f ca="1">IFERROR(__xludf.DUMMYFUNCTION("""COMPUTED_VALUE"""),102)</f>
        <v>102</v>
      </c>
      <c r="C115" t="str">
        <f ca="1">IFERROR(__xludf.DUMMYFUNCTION("""COMPUTED_VALUE"""),"Lucas Glover")</f>
        <v>Lucas Glover</v>
      </c>
      <c r="D115">
        <f ca="1">IFERROR(__xludf.DUMMYFUNCTION("""COMPUTED_VALUE"""),12)</f>
        <v>12</v>
      </c>
      <c r="E115">
        <f ca="1">IFERROR(__xludf.DUMMYFUNCTION("""COMPUTED_VALUE"""),0.254)</f>
        <v>0.254</v>
      </c>
      <c r="F115">
        <f ca="1">IFERROR(__xludf.DUMMYFUNCTION("""COMPUTED_VALUE"""),3.05)</f>
        <v>3.05</v>
      </c>
      <c r="G115">
        <f ca="1">IFERROR(__xludf.DUMMYFUNCTION("""COMPUTED_VALUE"""),6.194)</f>
        <v>6.194</v>
      </c>
      <c r="H115">
        <f ca="1">IFERROR(__xludf.DUMMYFUNCTION("""COMPUTED_VALUE"""),-3.143)</f>
        <v>-3.1429999999999998</v>
      </c>
      <c r="I115">
        <f ca="1">IFERROR(__xludf.DUMMYFUNCTION("""COMPUTED_VALUE"""),12)</f>
        <v>12</v>
      </c>
    </row>
    <row r="116" spans="1:9" ht="12.75">
      <c r="A116">
        <f ca="1">IFERROR(__xludf.DUMMYFUNCTION("""COMPUTED_VALUE"""),115)</f>
        <v>115</v>
      </c>
      <c r="B116">
        <f ca="1">IFERROR(__xludf.DUMMYFUNCTION("""COMPUTED_VALUE"""),113)</f>
        <v>113</v>
      </c>
      <c r="C116" t="str">
        <f ca="1">IFERROR(__xludf.DUMMYFUNCTION("""COMPUTED_VALUE"""),"Chez Reavie")</f>
        <v>Chez Reavie</v>
      </c>
      <c r="D116">
        <f ca="1">IFERROR(__xludf.DUMMYFUNCTION("""COMPUTED_VALUE"""),14)</f>
        <v>14</v>
      </c>
      <c r="E116">
        <f ca="1">IFERROR(__xludf.DUMMYFUNCTION("""COMPUTED_VALUE"""),0.229)</f>
        <v>0.22900000000000001</v>
      </c>
      <c r="F116">
        <f ca="1">IFERROR(__xludf.DUMMYFUNCTION("""COMPUTED_VALUE"""),3.199)</f>
        <v>3.1989999999999998</v>
      </c>
      <c r="G116">
        <f ca="1">IFERROR(__xludf.DUMMYFUNCTION("""COMPUTED_VALUE"""),12.624)</f>
        <v>12.624000000000001</v>
      </c>
      <c r="H116">
        <f ca="1">IFERROR(__xludf.DUMMYFUNCTION("""COMPUTED_VALUE"""),-9.424)</f>
        <v>-9.4239999999999995</v>
      </c>
      <c r="I116">
        <f ca="1">IFERROR(__xludf.DUMMYFUNCTION("""COMPUTED_VALUE"""),14)</f>
        <v>14</v>
      </c>
    </row>
    <row r="117" spans="1:9" ht="12.75">
      <c r="A117" t="str">
        <f ca="1">IFERROR(__xludf.DUMMYFUNCTION("""COMPUTED_VALUE"""),"T116")</f>
        <v>T116</v>
      </c>
      <c r="B117">
        <f ca="1">IFERROR(__xludf.DUMMYFUNCTION("""COMPUTED_VALUE"""),75)</f>
        <v>75</v>
      </c>
      <c r="C117" t="str">
        <f ca="1">IFERROR(__xludf.DUMMYFUNCTION("""COMPUTED_VALUE"""),"Pat Perez")</f>
        <v>Pat Perez</v>
      </c>
      <c r="D117">
        <f ca="1">IFERROR(__xludf.DUMMYFUNCTION("""COMPUTED_VALUE"""),16)</f>
        <v>16</v>
      </c>
      <c r="E117">
        <f ca="1">IFERROR(__xludf.DUMMYFUNCTION("""COMPUTED_VALUE"""),0.189)</f>
        <v>0.189</v>
      </c>
      <c r="F117">
        <f ca="1">IFERROR(__xludf.DUMMYFUNCTION("""COMPUTED_VALUE"""),1.885)</f>
        <v>1.885</v>
      </c>
      <c r="G117">
        <f ca="1">IFERROR(__xludf.DUMMYFUNCTION("""COMPUTED_VALUE"""),2.759)</f>
        <v>2.7589999999999999</v>
      </c>
      <c r="H117">
        <f ca="1">IFERROR(__xludf.DUMMYFUNCTION("""COMPUTED_VALUE"""),-0.872)</f>
        <v>-0.872</v>
      </c>
      <c r="I117">
        <f ca="1">IFERROR(__xludf.DUMMYFUNCTION("""COMPUTED_VALUE"""),10)</f>
        <v>10</v>
      </c>
    </row>
    <row r="118" spans="1:9" ht="12.75">
      <c r="A118" t="str">
        <f ca="1">IFERROR(__xludf.DUMMYFUNCTION("""COMPUTED_VALUE"""),"T116")</f>
        <v>T116</v>
      </c>
      <c r="B118" t="str">
        <f ca="1">IFERROR(__xludf.DUMMYFUNCTION("""COMPUTED_VALUE"""),"T108")</f>
        <v>T108</v>
      </c>
      <c r="C118" t="str">
        <f ca="1">IFERROR(__xludf.DUMMYFUNCTION("""COMPUTED_VALUE"""),"Xinjun Zhang")</f>
        <v>Xinjun Zhang</v>
      </c>
      <c r="D118">
        <f ca="1">IFERROR(__xludf.DUMMYFUNCTION("""COMPUTED_VALUE"""),14)</f>
        <v>14</v>
      </c>
      <c r="E118">
        <f ca="1">IFERROR(__xludf.DUMMYFUNCTION("""COMPUTED_VALUE"""),0.189)</f>
        <v>0.189</v>
      </c>
      <c r="F118">
        <f ca="1">IFERROR(__xludf.DUMMYFUNCTION("""COMPUTED_VALUE"""),1.885)</f>
        <v>1.885</v>
      </c>
      <c r="G118">
        <f ca="1">IFERROR(__xludf.DUMMYFUNCTION("""COMPUTED_VALUE"""),6.791)</f>
        <v>6.7910000000000004</v>
      </c>
      <c r="H118">
        <f ca="1">IFERROR(__xludf.DUMMYFUNCTION("""COMPUTED_VALUE"""),-4.904)</f>
        <v>-4.9039999999999999</v>
      </c>
      <c r="I118">
        <f ca="1">IFERROR(__xludf.DUMMYFUNCTION("""COMPUTED_VALUE"""),10)</f>
        <v>10</v>
      </c>
    </row>
    <row r="119" spans="1:9" ht="12.75">
      <c r="A119">
        <f ca="1">IFERROR(__xludf.DUMMYFUNCTION("""COMPUTED_VALUE"""),118)</f>
        <v>118</v>
      </c>
      <c r="B119">
        <f ca="1">IFERROR(__xludf.DUMMYFUNCTION("""COMPUTED_VALUE"""),114)</f>
        <v>114</v>
      </c>
      <c r="C119" t="str">
        <f ca="1">IFERROR(__xludf.DUMMYFUNCTION("""COMPUTED_VALUE"""),"Ian Poulter")</f>
        <v>Ian Poulter</v>
      </c>
      <c r="D119">
        <f ca="1">IFERROR(__xludf.DUMMYFUNCTION("""COMPUTED_VALUE"""),6)</f>
        <v>6</v>
      </c>
      <c r="E119">
        <f ca="1">IFERROR(__xludf.DUMMYFUNCTION("""COMPUTED_VALUE"""),0.187)</f>
        <v>0.187</v>
      </c>
      <c r="F119">
        <f ca="1">IFERROR(__xludf.DUMMYFUNCTION("""COMPUTED_VALUE"""),1.12)</f>
        <v>1.1200000000000001</v>
      </c>
      <c r="G119">
        <f ca="1">IFERROR(__xludf.DUMMYFUNCTION("""COMPUTED_VALUE"""),-0.96)</f>
        <v>-0.96</v>
      </c>
      <c r="H119">
        <f ca="1">IFERROR(__xludf.DUMMYFUNCTION("""COMPUTED_VALUE"""),2.08)</f>
        <v>2.08</v>
      </c>
      <c r="I119">
        <f ca="1">IFERROR(__xludf.DUMMYFUNCTION("""COMPUTED_VALUE"""),6)</f>
        <v>6</v>
      </c>
    </row>
    <row r="120" spans="1:9" ht="12.75">
      <c r="A120">
        <f ca="1">IFERROR(__xludf.DUMMYFUNCTION("""COMPUTED_VALUE"""),119)</f>
        <v>119</v>
      </c>
      <c r="B120">
        <f ca="1">IFERROR(__xludf.DUMMYFUNCTION("""COMPUTED_VALUE"""),115)</f>
        <v>115</v>
      </c>
      <c r="C120" t="str">
        <f ca="1">IFERROR(__xludf.DUMMYFUNCTION("""COMPUTED_VALUE"""),"Rafa Cabrera Bello")</f>
        <v>Rafa Cabrera Bello</v>
      </c>
      <c r="D120">
        <f ca="1">IFERROR(__xludf.DUMMYFUNCTION("""COMPUTED_VALUE"""),14)</f>
        <v>14</v>
      </c>
      <c r="E120">
        <f ca="1">IFERROR(__xludf.DUMMYFUNCTION("""COMPUTED_VALUE"""),0.175)</f>
        <v>0.17499999999999999</v>
      </c>
      <c r="F120">
        <f ca="1">IFERROR(__xludf.DUMMYFUNCTION("""COMPUTED_VALUE"""),2.094)</f>
        <v>2.0939999999999999</v>
      </c>
      <c r="G120">
        <f ca="1">IFERROR(__xludf.DUMMYFUNCTION("""COMPUTED_VALUE"""),-9)</f>
        <v>-9</v>
      </c>
      <c r="H120">
        <f ca="1">IFERROR(__xludf.DUMMYFUNCTION("""COMPUTED_VALUE"""),11.096)</f>
        <v>11.096</v>
      </c>
      <c r="I120">
        <f ca="1">IFERROR(__xludf.DUMMYFUNCTION("""COMPUTED_VALUE"""),12)</f>
        <v>12</v>
      </c>
    </row>
    <row r="121" spans="1:9" ht="12.75">
      <c r="A121">
        <f ca="1">IFERROR(__xludf.DUMMYFUNCTION("""COMPUTED_VALUE"""),120)</f>
        <v>120</v>
      </c>
      <c r="B121">
        <f ca="1">IFERROR(__xludf.DUMMYFUNCTION("""COMPUTED_VALUE"""),121)</f>
        <v>121</v>
      </c>
      <c r="C121" t="str">
        <f ca="1">IFERROR(__xludf.DUMMYFUNCTION("""COMPUTED_VALUE"""),"Takumi Kanaya")</f>
        <v>Takumi Kanaya</v>
      </c>
      <c r="D121">
        <f ca="1">IFERROR(__xludf.DUMMYFUNCTION("""COMPUTED_VALUE"""),6)</f>
        <v>6</v>
      </c>
      <c r="E121">
        <f ca="1">IFERROR(__xludf.DUMMYFUNCTION("""COMPUTED_VALUE"""),0.142)</f>
        <v>0.14199999999999999</v>
      </c>
      <c r="F121">
        <f ca="1">IFERROR(__xludf.DUMMYFUNCTION("""COMPUTED_VALUE"""),0.854)</f>
        <v>0.85399999999999998</v>
      </c>
      <c r="G121">
        <f ca="1">IFERROR(__xludf.DUMMYFUNCTION("""COMPUTED_VALUE"""),-0.225)</f>
        <v>-0.22500000000000001</v>
      </c>
      <c r="H121">
        <f ca="1">IFERROR(__xludf.DUMMYFUNCTION("""COMPUTED_VALUE"""),1.08)</f>
        <v>1.08</v>
      </c>
      <c r="I121">
        <f ca="1">IFERROR(__xludf.DUMMYFUNCTION("""COMPUTED_VALUE"""),6)</f>
        <v>6</v>
      </c>
    </row>
    <row r="122" spans="1:9" ht="12.75">
      <c r="A122">
        <f ca="1">IFERROR(__xludf.DUMMYFUNCTION("""COMPUTED_VALUE"""),121)</f>
        <v>121</v>
      </c>
      <c r="B122">
        <f ca="1">IFERROR(__xludf.DUMMYFUNCTION("""COMPUTED_VALUE"""),122)</f>
        <v>122</v>
      </c>
      <c r="C122" t="str">
        <f ca="1">IFERROR(__xludf.DUMMYFUNCTION("""COMPUTED_VALUE"""),"Brendon Todd")</f>
        <v>Brendon Todd</v>
      </c>
      <c r="D122">
        <f ca="1">IFERROR(__xludf.DUMMYFUNCTION("""COMPUTED_VALUE"""),14)</f>
        <v>14</v>
      </c>
      <c r="E122">
        <f ca="1">IFERROR(__xludf.DUMMYFUNCTION("""COMPUTED_VALUE"""),0.141)</f>
        <v>0.14099999999999999</v>
      </c>
      <c r="F122">
        <f ca="1">IFERROR(__xludf.DUMMYFUNCTION("""COMPUTED_VALUE"""),1.691)</f>
        <v>1.6910000000000001</v>
      </c>
      <c r="G122">
        <f ca="1">IFERROR(__xludf.DUMMYFUNCTION("""COMPUTED_VALUE"""),-11.736)</f>
        <v>-11.736000000000001</v>
      </c>
      <c r="H122">
        <f ca="1">IFERROR(__xludf.DUMMYFUNCTION("""COMPUTED_VALUE"""),13.427)</f>
        <v>13.427</v>
      </c>
      <c r="I122">
        <f ca="1">IFERROR(__xludf.DUMMYFUNCTION("""COMPUTED_VALUE"""),12)</f>
        <v>12</v>
      </c>
    </row>
    <row r="123" spans="1:9" ht="12.75">
      <c r="A123">
        <f ca="1">IFERROR(__xludf.DUMMYFUNCTION("""COMPUTED_VALUE"""),122)</f>
        <v>122</v>
      </c>
      <c r="B123">
        <f ca="1">IFERROR(__xludf.DUMMYFUNCTION("""COMPUTED_VALUE"""),123)</f>
        <v>123</v>
      </c>
      <c r="C123" t="str">
        <f ca="1">IFERROR(__xludf.DUMMYFUNCTION("""COMPUTED_VALUE"""),"Ryan Blaum")</f>
        <v>Ryan Blaum</v>
      </c>
      <c r="D123">
        <f ca="1">IFERROR(__xludf.DUMMYFUNCTION("""COMPUTED_VALUE"""),8)</f>
        <v>8</v>
      </c>
      <c r="E123">
        <f ca="1">IFERROR(__xludf.DUMMYFUNCTION("""COMPUTED_VALUE"""),0.136)</f>
        <v>0.13600000000000001</v>
      </c>
      <c r="F123">
        <f ca="1">IFERROR(__xludf.DUMMYFUNCTION("""COMPUTED_VALUE"""),0.542)</f>
        <v>0.54200000000000004</v>
      </c>
      <c r="G123">
        <f ca="1">IFERROR(__xludf.DUMMYFUNCTION("""COMPUTED_VALUE"""),-0.654)</f>
        <v>-0.65400000000000003</v>
      </c>
      <c r="H123">
        <f ca="1">IFERROR(__xludf.DUMMYFUNCTION("""COMPUTED_VALUE"""),1.196)</f>
        <v>1.196</v>
      </c>
      <c r="I123">
        <f ca="1">IFERROR(__xludf.DUMMYFUNCTION("""COMPUTED_VALUE"""),4)</f>
        <v>4</v>
      </c>
    </row>
    <row r="124" spans="1:9" ht="12.75">
      <c r="A124">
        <f ca="1">IFERROR(__xludf.DUMMYFUNCTION("""COMPUTED_VALUE"""),123)</f>
        <v>123</v>
      </c>
      <c r="B124">
        <f ca="1">IFERROR(__xludf.DUMMYFUNCTION("""COMPUTED_VALUE"""),42)</f>
        <v>42</v>
      </c>
      <c r="C124" t="str">
        <f ca="1">IFERROR(__xludf.DUMMYFUNCTION("""COMPUTED_VALUE"""),"Cameron Davis")</f>
        <v>Cameron Davis</v>
      </c>
      <c r="D124">
        <f ca="1">IFERROR(__xludf.DUMMYFUNCTION("""COMPUTED_VALUE"""),16)</f>
        <v>16</v>
      </c>
      <c r="E124">
        <f ca="1">IFERROR(__xludf.DUMMYFUNCTION("""COMPUTED_VALUE"""),0.126)</f>
        <v>0.126</v>
      </c>
      <c r="F124">
        <f ca="1">IFERROR(__xludf.DUMMYFUNCTION("""COMPUTED_VALUE"""),2.02)</f>
        <v>2.02</v>
      </c>
      <c r="G124">
        <f ca="1">IFERROR(__xludf.DUMMYFUNCTION("""COMPUTED_VALUE"""),1.234)</f>
        <v>1.234</v>
      </c>
      <c r="H124">
        <f ca="1">IFERROR(__xludf.DUMMYFUNCTION("""COMPUTED_VALUE"""),0.788)</f>
        <v>0.78800000000000003</v>
      </c>
      <c r="I124">
        <f ca="1">IFERROR(__xludf.DUMMYFUNCTION("""COMPUTED_VALUE"""),16)</f>
        <v>16</v>
      </c>
    </row>
    <row r="125" spans="1:9" ht="12.75">
      <c r="A125">
        <f ca="1">IFERROR(__xludf.DUMMYFUNCTION("""COMPUTED_VALUE"""),124)</f>
        <v>124</v>
      </c>
      <c r="B125">
        <f ca="1">IFERROR(__xludf.DUMMYFUNCTION("""COMPUTED_VALUE"""),124)</f>
        <v>124</v>
      </c>
      <c r="C125" t="str">
        <f ca="1">IFERROR(__xludf.DUMMYFUNCTION("""COMPUTED_VALUE"""),"Cameron Champ")</f>
        <v>Cameron Champ</v>
      </c>
      <c r="D125">
        <f ca="1">IFERROR(__xludf.DUMMYFUNCTION("""COMPUTED_VALUE"""),12)</f>
        <v>12</v>
      </c>
      <c r="E125">
        <f ca="1">IFERROR(__xludf.DUMMYFUNCTION("""COMPUTED_VALUE"""),0.112)</f>
        <v>0.112</v>
      </c>
      <c r="F125">
        <f ca="1">IFERROR(__xludf.DUMMYFUNCTION("""COMPUTED_VALUE"""),1.34)</f>
        <v>1.34</v>
      </c>
      <c r="G125">
        <f ca="1">IFERROR(__xludf.DUMMYFUNCTION("""COMPUTED_VALUE"""),13.591)</f>
        <v>13.590999999999999</v>
      </c>
      <c r="H125">
        <f ca="1">IFERROR(__xludf.DUMMYFUNCTION("""COMPUTED_VALUE"""),-12.25)</f>
        <v>-12.25</v>
      </c>
      <c r="I125">
        <f ca="1">IFERROR(__xludf.DUMMYFUNCTION("""COMPUTED_VALUE"""),12)</f>
        <v>12</v>
      </c>
    </row>
    <row r="126" spans="1:9" ht="12.75">
      <c r="A126">
        <f ca="1">IFERROR(__xludf.DUMMYFUNCTION("""COMPUTED_VALUE"""),125)</f>
        <v>125</v>
      </c>
      <c r="B126">
        <f ca="1">IFERROR(__xludf.DUMMYFUNCTION("""COMPUTED_VALUE"""),126)</f>
        <v>126</v>
      </c>
      <c r="C126" t="str">
        <f ca="1">IFERROR(__xludf.DUMMYFUNCTION("""COMPUTED_VALUE"""),"Hank Lebioda")</f>
        <v>Hank Lebioda</v>
      </c>
      <c r="D126">
        <f ca="1">IFERROR(__xludf.DUMMYFUNCTION("""COMPUTED_VALUE"""),14)</f>
        <v>14</v>
      </c>
      <c r="E126">
        <f ca="1">IFERROR(__xludf.DUMMYFUNCTION("""COMPUTED_VALUE"""),0.095)</f>
        <v>9.5000000000000001E-2</v>
      </c>
      <c r="F126">
        <f ca="1">IFERROR(__xludf.DUMMYFUNCTION("""COMPUTED_VALUE"""),0.567)</f>
        <v>0.56699999999999995</v>
      </c>
      <c r="G126">
        <f ca="1">IFERROR(__xludf.DUMMYFUNCTION("""COMPUTED_VALUE"""),-2.453)</f>
        <v>-2.4529999999999998</v>
      </c>
      <c r="H126">
        <f ca="1">IFERROR(__xludf.DUMMYFUNCTION("""COMPUTED_VALUE"""),3.021)</f>
        <v>3.0209999999999999</v>
      </c>
      <c r="I126">
        <f ca="1">IFERROR(__xludf.DUMMYFUNCTION("""COMPUTED_VALUE"""),6)</f>
        <v>6</v>
      </c>
    </row>
    <row r="127" spans="1:9" ht="12.75">
      <c r="A127">
        <f ca="1">IFERROR(__xludf.DUMMYFUNCTION("""COMPUTED_VALUE"""),126)</f>
        <v>126</v>
      </c>
      <c r="B127" t="str">
        <f ca="1">IFERROR(__xludf.DUMMYFUNCTION("""COMPUTED_VALUE"""),"T127")</f>
        <v>T127</v>
      </c>
      <c r="C127" t="str">
        <f ca="1">IFERROR(__xludf.DUMMYFUNCTION("""COMPUTED_VALUE"""),"Chase Seiffert")</f>
        <v>Chase Seiffert</v>
      </c>
      <c r="D127">
        <f ca="1">IFERROR(__xludf.DUMMYFUNCTION("""COMPUTED_VALUE"""),14)</f>
        <v>14</v>
      </c>
      <c r="E127">
        <f ca="1">IFERROR(__xludf.DUMMYFUNCTION("""COMPUTED_VALUE"""),0.094)</f>
        <v>9.4E-2</v>
      </c>
      <c r="F127">
        <f ca="1">IFERROR(__xludf.DUMMYFUNCTION("""COMPUTED_VALUE"""),0.748)</f>
        <v>0.748</v>
      </c>
      <c r="G127">
        <f ca="1">IFERROR(__xludf.DUMMYFUNCTION("""COMPUTED_VALUE"""),-0.036)</f>
        <v>-3.5999999999999997E-2</v>
      </c>
      <c r="H127">
        <f ca="1">IFERROR(__xludf.DUMMYFUNCTION("""COMPUTED_VALUE"""),0.785)</f>
        <v>0.78500000000000003</v>
      </c>
      <c r="I127">
        <f ca="1">IFERROR(__xludf.DUMMYFUNCTION("""COMPUTED_VALUE"""),8)</f>
        <v>8</v>
      </c>
    </row>
    <row r="128" spans="1:9" ht="12.75">
      <c r="A128">
        <f ca="1">IFERROR(__xludf.DUMMYFUNCTION("""COMPUTED_VALUE"""),127)</f>
        <v>127</v>
      </c>
      <c r="B128" t="str">
        <f ca="1">IFERROR(__xludf.DUMMYFUNCTION("""COMPUTED_VALUE"""),"T156")</f>
        <v>T156</v>
      </c>
      <c r="C128" t="str">
        <f ca="1">IFERROR(__xludf.DUMMYFUNCTION("""COMPUTED_VALUE"""),"Chris Kirk")</f>
        <v>Chris Kirk</v>
      </c>
      <c r="D128">
        <f ca="1">IFERROR(__xludf.DUMMYFUNCTION("""COMPUTED_VALUE"""),10)</f>
        <v>10</v>
      </c>
      <c r="E128">
        <f ca="1">IFERROR(__xludf.DUMMYFUNCTION("""COMPUTED_VALUE"""),0.064)</f>
        <v>6.4000000000000001E-2</v>
      </c>
      <c r="F128">
        <f ca="1">IFERROR(__xludf.DUMMYFUNCTION("""COMPUTED_VALUE"""),0.509)</f>
        <v>0.50900000000000001</v>
      </c>
      <c r="G128">
        <f ca="1">IFERROR(__xludf.DUMMYFUNCTION("""COMPUTED_VALUE"""),3.811)</f>
        <v>3.8109999999999999</v>
      </c>
      <c r="H128">
        <f ca="1">IFERROR(__xludf.DUMMYFUNCTION("""COMPUTED_VALUE"""),-3.301)</f>
        <v>-3.3010000000000002</v>
      </c>
      <c r="I128">
        <f ca="1">IFERROR(__xludf.DUMMYFUNCTION("""COMPUTED_VALUE"""),8)</f>
        <v>8</v>
      </c>
    </row>
    <row r="129" spans="1:9" ht="12.75">
      <c r="A129">
        <f ca="1">IFERROR(__xludf.DUMMYFUNCTION("""COMPUTED_VALUE"""),128)</f>
        <v>128</v>
      </c>
      <c r="B129" t="str">
        <f ca="1">IFERROR(__xludf.DUMMYFUNCTION("""COMPUTED_VALUE"""),"T193")</f>
        <v>T193</v>
      </c>
      <c r="C129" t="str">
        <f ca="1">IFERROR(__xludf.DUMMYFUNCTION("""COMPUTED_VALUE"""),"Mackenzie Hughes")</f>
        <v>Mackenzie Hughes</v>
      </c>
      <c r="D129">
        <f ca="1">IFERROR(__xludf.DUMMYFUNCTION("""COMPUTED_VALUE"""),18)</f>
        <v>18</v>
      </c>
      <c r="E129">
        <f ca="1">IFERROR(__xludf.DUMMYFUNCTION("""COMPUTED_VALUE"""),0.057)</f>
        <v>5.7000000000000002E-2</v>
      </c>
      <c r="F129">
        <f ca="1">IFERROR(__xludf.DUMMYFUNCTION("""COMPUTED_VALUE"""),0.795)</f>
        <v>0.79500000000000004</v>
      </c>
      <c r="G129">
        <f ca="1">IFERROR(__xludf.DUMMYFUNCTION("""COMPUTED_VALUE"""),-8.805)</f>
        <v>-8.8049999999999997</v>
      </c>
      <c r="H129">
        <f ca="1">IFERROR(__xludf.DUMMYFUNCTION("""COMPUTED_VALUE"""),9.601)</f>
        <v>9.6010000000000009</v>
      </c>
      <c r="I129">
        <f ca="1">IFERROR(__xludf.DUMMYFUNCTION("""COMPUTED_VALUE"""),14)</f>
        <v>14</v>
      </c>
    </row>
    <row r="130" spans="1:9" ht="12.75">
      <c r="A130">
        <f ca="1">IFERROR(__xludf.DUMMYFUNCTION("""COMPUTED_VALUE"""),129)</f>
        <v>129</v>
      </c>
      <c r="B130">
        <f ca="1">IFERROR(__xludf.DUMMYFUNCTION("""COMPUTED_VALUE"""),130)</f>
        <v>130</v>
      </c>
      <c r="C130" t="str">
        <f ca="1">IFERROR(__xludf.DUMMYFUNCTION("""COMPUTED_VALUE"""),"Vincent Whaley")</f>
        <v>Vincent Whaley</v>
      </c>
      <c r="D130">
        <f ca="1">IFERROR(__xludf.DUMMYFUNCTION("""COMPUTED_VALUE"""),14)</f>
        <v>14</v>
      </c>
      <c r="E130">
        <f ca="1">IFERROR(__xludf.DUMMYFUNCTION("""COMPUTED_VALUE"""),0.052)</f>
        <v>5.1999999999999998E-2</v>
      </c>
      <c r="F130">
        <f ca="1">IFERROR(__xludf.DUMMYFUNCTION("""COMPUTED_VALUE"""),0.416)</f>
        <v>0.41599999999999998</v>
      </c>
      <c r="G130">
        <f ca="1">IFERROR(__xludf.DUMMYFUNCTION("""COMPUTED_VALUE"""),2.767)</f>
        <v>2.7669999999999999</v>
      </c>
      <c r="H130">
        <f ca="1">IFERROR(__xludf.DUMMYFUNCTION("""COMPUTED_VALUE"""),-2.35)</f>
        <v>-2.35</v>
      </c>
      <c r="I130">
        <f ca="1">IFERROR(__xludf.DUMMYFUNCTION("""COMPUTED_VALUE"""),8)</f>
        <v>8</v>
      </c>
    </row>
    <row r="131" spans="1:9" ht="12.75">
      <c r="A131">
        <f ca="1">IFERROR(__xludf.DUMMYFUNCTION("""COMPUTED_VALUE"""),130)</f>
        <v>130</v>
      </c>
      <c r="B131" t="str">
        <f ca="1">IFERROR(__xludf.DUMMYFUNCTION("""COMPUTED_VALUE"""),"T152")</f>
        <v>T152</v>
      </c>
      <c r="C131" t="str">
        <f ca="1">IFERROR(__xludf.DUMMYFUNCTION("""COMPUTED_VALUE"""),"Will Gordon")</f>
        <v>Will Gordon</v>
      </c>
      <c r="D131">
        <f ca="1">IFERROR(__xludf.DUMMYFUNCTION("""COMPUTED_VALUE"""),20)</f>
        <v>20</v>
      </c>
      <c r="E131">
        <f ca="1">IFERROR(__xludf.DUMMYFUNCTION("""COMPUTED_VALUE"""),0.017)</f>
        <v>1.7000000000000001E-2</v>
      </c>
      <c r="F131">
        <f ca="1">IFERROR(__xludf.DUMMYFUNCTION("""COMPUTED_VALUE"""),0.232)</f>
        <v>0.23200000000000001</v>
      </c>
      <c r="G131">
        <f ca="1">IFERROR(__xludf.DUMMYFUNCTION("""COMPUTED_VALUE"""),-2.627)</f>
        <v>-2.6269999999999998</v>
      </c>
      <c r="H131">
        <f ca="1">IFERROR(__xludf.DUMMYFUNCTION("""COMPUTED_VALUE"""),2.86)</f>
        <v>2.86</v>
      </c>
      <c r="I131">
        <f ca="1">IFERROR(__xludf.DUMMYFUNCTION("""COMPUTED_VALUE"""),14)</f>
        <v>14</v>
      </c>
    </row>
    <row r="132" spans="1:9" ht="12.75">
      <c r="A132">
        <f ca="1">IFERROR(__xludf.DUMMYFUNCTION("""COMPUTED_VALUE"""),131)</f>
        <v>131</v>
      </c>
      <c r="B132">
        <f ca="1">IFERROR(__xludf.DUMMYFUNCTION("""COMPUTED_VALUE"""),132)</f>
        <v>132</v>
      </c>
      <c r="C132" t="str">
        <f ca="1">IFERROR(__xludf.DUMMYFUNCTION("""COMPUTED_VALUE"""),"Kevin Kisner")</f>
        <v>Kevin Kisner</v>
      </c>
      <c r="D132">
        <f ca="1">IFERROR(__xludf.DUMMYFUNCTION("""COMPUTED_VALUE"""),10)</f>
        <v>10</v>
      </c>
      <c r="E132">
        <f ca="1">IFERROR(__xludf.DUMMYFUNCTION("""COMPUTED_VALUE"""),0.016)</f>
        <v>1.6E-2</v>
      </c>
      <c r="F132">
        <f ca="1">IFERROR(__xludf.DUMMYFUNCTION("""COMPUTED_VALUE"""),0.159)</f>
        <v>0.159</v>
      </c>
      <c r="G132">
        <f ca="1">IFERROR(__xludf.DUMMYFUNCTION("""COMPUTED_VALUE"""),0.187)</f>
        <v>0.187</v>
      </c>
      <c r="H132">
        <f ca="1">IFERROR(__xludf.DUMMYFUNCTION("""COMPUTED_VALUE"""),-0.028)</f>
        <v>-2.8000000000000001E-2</v>
      </c>
      <c r="I132">
        <f ca="1">IFERROR(__xludf.DUMMYFUNCTION("""COMPUTED_VALUE"""),10)</f>
        <v>10</v>
      </c>
    </row>
    <row r="133" spans="1:9" ht="12.75">
      <c r="A133">
        <f ca="1">IFERROR(__xludf.DUMMYFUNCTION("""COMPUTED_VALUE"""),132)</f>
        <v>132</v>
      </c>
      <c r="B133">
        <f ca="1">IFERROR(__xludf.DUMMYFUNCTION("""COMPUTED_VALUE"""),133)</f>
        <v>133</v>
      </c>
      <c r="C133" t="str">
        <f ca="1">IFERROR(__xludf.DUMMYFUNCTION("""COMPUTED_VALUE"""),"Tim Wilkinson")</f>
        <v>Tim Wilkinson</v>
      </c>
      <c r="D133">
        <f ca="1">IFERROR(__xludf.DUMMYFUNCTION("""COMPUTED_VALUE"""),12)</f>
        <v>12</v>
      </c>
      <c r="E133">
        <f ca="1">IFERROR(__xludf.DUMMYFUNCTION("""COMPUTED_VALUE"""),0.014)</f>
        <v>1.4E-2</v>
      </c>
      <c r="F133">
        <f ca="1">IFERROR(__xludf.DUMMYFUNCTION("""COMPUTED_VALUE"""),0.083)</f>
        <v>8.3000000000000004E-2</v>
      </c>
      <c r="G133">
        <f ca="1">IFERROR(__xludf.DUMMYFUNCTION("""COMPUTED_VALUE"""),-1.703)</f>
        <v>-1.7030000000000001</v>
      </c>
      <c r="H133">
        <f ca="1">IFERROR(__xludf.DUMMYFUNCTION("""COMPUTED_VALUE"""),1.787)</f>
        <v>1.7869999999999999</v>
      </c>
      <c r="I133">
        <f ca="1">IFERROR(__xludf.DUMMYFUNCTION("""COMPUTED_VALUE"""),6)</f>
        <v>6</v>
      </c>
    </row>
    <row r="134" spans="1:9" ht="12.75">
      <c r="A134">
        <f ca="1">IFERROR(__xludf.DUMMYFUNCTION("""COMPUTED_VALUE"""),133)</f>
        <v>133</v>
      </c>
      <c r="B134">
        <f ca="1">IFERROR(__xludf.DUMMYFUNCTION("""COMPUTED_VALUE"""),134)</f>
        <v>134</v>
      </c>
      <c r="C134" t="str">
        <f ca="1">IFERROR(__xludf.DUMMYFUNCTION("""COMPUTED_VALUE"""),"Brad Kennedy")</f>
        <v>Brad Kennedy</v>
      </c>
      <c r="D134">
        <f ca="1">IFERROR(__xludf.DUMMYFUNCTION("""COMPUTED_VALUE"""),4)</f>
        <v>4</v>
      </c>
      <c r="E134">
        <f ca="1">IFERROR(__xludf.DUMMYFUNCTION("""COMPUTED_VALUE"""),0.01)</f>
        <v>0.01</v>
      </c>
      <c r="F134">
        <f ca="1">IFERROR(__xludf.DUMMYFUNCTION("""COMPUTED_VALUE"""),0.039)</f>
        <v>3.9E-2</v>
      </c>
      <c r="G134">
        <f ca="1">IFERROR(__xludf.DUMMYFUNCTION("""COMPUTED_VALUE"""),-2.333)</f>
        <v>-2.3330000000000002</v>
      </c>
      <c r="H134">
        <f ca="1">IFERROR(__xludf.DUMMYFUNCTION("""COMPUTED_VALUE"""),2.372)</f>
        <v>2.3719999999999999</v>
      </c>
      <c r="I134">
        <f ca="1">IFERROR(__xludf.DUMMYFUNCTION("""COMPUTED_VALUE"""),4)</f>
        <v>4</v>
      </c>
    </row>
    <row r="135" spans="1:9" ht="12.75">
      <c r="A135">
        <f ca="1">IFERROR(__xludf.DUMMYFUNCTION("""COMPUTED_VALUE"""),134)</f>
        <v>134</v>
      </c>
      <c r="B135">
        <f ca="1">IFERROR(__xludf.DUMMYFUNCTION("""COMPUTED_VALUE"""),89)</f>
        <v>89</v>
      </c>
      <c r="C135" t="str">
        <f ca="1">IFERROR(__xludf.DUMMYFUNCTION("""COMPUTED_VALUE"""),"Adam Schenk")</f>
        <v>Adam Schenk</v>
      </c>
      <c r="D135">
        <f ca="1">IFERROR(__xludf.DUMMYFUNCTION("""COMPUTED_VALUE"""),22)</f>
        <v>22</v>
      </c>
      <c r="E135">
        <f ca="1">IFERROR(__xludf.DUMMYFUNCTION("""COMPUTED_VALUE"""),0)</f>
        <v>0</v>
      </c>
      <c r="F135">
        <f ca="1">IFERROR(__xludf.DUMMYFUNCTION("""COMPUTED_VALUE"""),0.006)</f>
        <v>6.0000000000000001E-3</v>
      </c>
      <c r="G135">
        <f ca="1">IFERROR(__xludf.DUMMYFUNCTION("""COMPUTED_VALUE"""),3.606)</f>
        <v>3.6059999999999999</v>
      </c>
      <c r="H135">
        <f ca="1">IFERROR(__xludf.DUMMYFUNCTION("""COMPUTED_VALUE"""),-3.6)</f>
        <v>-3.6</v>
      </c>
      <c r="I135">
        <f ca="1">IFERROR(__xludf.DUMMYFUNCTION("""COMPUTED_VALUE"""),14)</f>
        <v>14</v>
      </c>
    </row>
    <row r="136" spans="1:9" ht="12.75">
      <c r="A136">
        <f ca="1">IFERROR(__xludf.DUMMYFUNCTION("""COMPUTED_VALUE"""),135)</f>
        <v>135</v>
      </c>
      <c r="B136">
        <f ca="1">IFERROR(__xludf.DUMMYFUNCTION("""COMPUTED_VALUE"""),161)</f>
        <v>161</v>
      </c>
      <c r="C136" t="str">
        <f ca="1">IFERROR(__xludf.DUMMYFUNCTION("""COMPUTED_VALUE"""),"Jhonattan Vegas")</f>
        <v>Jhonattan Vegas</v>
      </c>
      <c r="D136">
        <f ca="1">IFERROR(__xludf.DUMMYFUNCTION("""COMPUTED_VALUE"""),16)</f>
        <v>16</v>
      </c>
      <c r="E136">
        <f ca="1">IFERROR(__xludf.DUMMYFUNCTION("""COMPUTED_VALUE"""),-0.028)</f>
        <v>-2.8000000000000001E-2</v>
      </c>
      <c r="F136">
        <f ca="1">IFERROR(__xludf.DUMMYFUNCTION("""COMPUTED_VALUE"""),-0.282)</f>
        <v>-0.28199999999999997</v>
      </c>
      <c r="G136">
        <f ca="1">IFERROR(__xludf.DUMMYFUNCTION("""COMPUTED_VALUE"""),0.812)</f>
        <v>0.81200000000000006</v>
      </c>
      <c r="H136">
        <f ca="1">IFERROR(__xludf.DUMMYFUNCTION("""COMPUTED_VALUE"""),-1.092)</f>
        <v>-1.0920000000000001</v>
      </c>
      <c r="I136">
        <f ca="1">IFERROR(__xludf.DUMMYFUNCTION("""COMPUTED_VALUE"""),10)</f>
        <v>10</v>
      </c>
    </row>
    <row r="137" spans="1:9" ht="12.75">
      <c r="A137">
        <f ca="1">IFERROR(__xludf.DUMMYFUNCTION("""COMPUTED_VALUE"""),136)</f>
        <v>136</v>
      </c>
      <c r="B137">
        <f ca="1">IFERROR(__xludf.DUMMYFUNCTION("""COMPUTED_VALUE"""),129)</f>
        <v>129</v>
      </c>
      <c r="C137" t="str">
        <f ca="1">IFERROR(__xludf.DUMMYFUNCTION("""COMPUTED_VALUE"""),"Andrew Putnam")</f>
        <v>Andrew Putnam</v>
      </c>
      <c r="D137">
        <f ca="1">IFERROR(__xludf.DUMMYFUNCTION("""COMPUTED_VALUE"""),19)</f>
        <v>19</v>
      </c>
      <c r="E137">
        <f ca="1">IFERROR(__xludf.DUMMYFUNCTION("""COMPUTED_VALUE"""),-0.029)</f>
        <v>-2.9000000000000001E-2</v>
      </c>
      <c r="F137">
        <f ca="1">IFERROR(__xludf.DUMMYFUNCTION("""COMPUTED_VALUE"""),-0.432)</f>
        <v>-0.432</v>
      </c>
      <c r="G137">
        <f ca="1">IFERROR(__xludf.DUMMYFUNCTION("""COMPUTED_VALUE"""),-9.124)</f>
        <v>-9.1240000000000006</v>
      </c>
      <c r="H137">
        <f ca="1">IFERROR(__xludf.DUMMYFUNCTION("""COMPUTED_VALUE"""),8.694)</f>
        <v>8.6940000000000008</v>
      </c>
      <c r="I137">
        <f ca="1">IFERROR(__xludf.DUMMYFUNCTION("""COMPUTED_VALUE"""),15)</f>
        <v>15</v>
      </c>
    </row>
    <row r="138" spans="1:9" ht="12.75">
      <c r="A138">
        <f ca="1">IFERROR(__xludf.DUMMYFUNCTION("""COMPUTED_VALUE"""),137)</f>
        <v>137</v>
      </c>
      <c r="B138">
        <f ca="1">IFERROR(__xludf.DUMMYFUNCTION("""COMPUTED_VALUE"""),51)</f>
        <v>51</v>
      </c>
      <c r="C138" t="str">
        <f ca="1">IFERROR(__xludf.DUMMYFUNCTION("""COMPUTED_VALUE"""),"David Hearn")</f>
        <v>David Hearn</v>
      </c>
      <c r="D138">
        <f ca="1">IFERROR(__xludf.DUMMYFUNCTION("""COMPUTED_VALUE"""),16)</f>
        <v>16</v>
      </c>
      <c r="E138">
        <f ca="1">IFERROR(__xludf.DUMMYFUNCTION("""COMPUTED_VALUE"""),-0.037)</f>
        <v>-3.6999999999999998E-2</v>
      </c>
      <c r="F138">
        <f ca="1">IFERROR(__xludf.DUMMYFUNCTION("""COMPUTED_VALUE"""),-0.296)</f>
        <v>-0.29599999999999999</v>
      </c>
      <c r="G138">
        <f ca="1">IFERROR(__xludf.DUMMYFUNCTION("""COMPUTED_VALUE"""),-7.909)</f>
        <v>-7.9089999999999998</v>
      </c>
      <c r="H138">
        <f ca="1">IFERROR(__xludf.DUMMYFUNCTION("""COMPUTED_VALUE"""),7.614)</f>
        <v>7.6139999999999999</v>
      </c>
      <c r="I138">
        <f ca="1">IFERROR(__xludf.DUMMYFUNCTION("""COMPUTED_VALUE"""),8)</f>
        <v>8</v>
      </c>
    </row>
    <row r="139" spans="1:9" ht="12.75">
      <c r="A139">
        <f ca="1">IFERROR(__xludf.DUMMYFUNCTION("""COMPUTED_VALUE"""),138)</f>
        <v>138</v>
      </c>
      <c r="B139">
        <f ca="1">IFERROR(__xludf.DUMMYFUNCTION("""COMPUTED_VALUE"""),137)</f>
        <v>137</v>
      </c>
      <c r="C139" t="str">
        <f ca="1">IFERROR(__xludf.DUMMYFUNCTION("""COMPUTED_VALUE"""),"Kevin Na")</f>
        <v>Kevin Na</v>
      </c>
      <c r="D139">
        <f ca="1">IFERROR(__xludf.DUMMYFUNCTION("""COMPUTED_VALUE"""),14)</f>
        <v>14</v>
      </c>
      <c r="E139">
        <f ca="1">IFERROR(__xludf.DUMMYFUNCTION("""COMPUTED_VALUE"""),-0.062)</f>
        <v>-6.2E-2</v>
      </c>
      <c r="F139">
        <f ca="1">IFERROR(__xludf.DUMMYFUNCTION("""COMPUTED_VALUE"""),-0.872)</f>
        <v>-0.872</v>
      </c>
      <c r="G139">
        <f ca="1">IFERROR(__xludf.DUMMYFUNCTION("""COMPUTED_VALUE"""),1.403)</f>
        <v>1.403</v>
      </c>
      <c r="H139">
        <f ca="1">IFERROR(__xludf.DUMMYFUNCTION("""COMPUTED_VALUE"""),-2.274)</f>
        <v>-2.274</v>
      </c>
      <c r="I139">
        <f ca="1">IFERROR(__xludf.DUMMYFUNCTION("""COMPUTED_VALUE"""),14)</f>
        <v>14</v>
      </c>
    </row>
    <row r="140" spans="1:9" ht="12.75">
      <c r="A140">
        <f ca="1">IFERROR(__xludf.DUMMYFUNCTION("""COMPUTED_VALUE"""),139)</f>
        <v>139</v>
      </c>
      <c r="B140">
        <f ca="1">IFERROR(__xludf.DUMMYFUNCTION("""COMPUTED_VALUE"""),139)</f>
        <v>139</v>
      </c>
      <c r="C140" t="str">
        <f ca="1">IFERROR(__xludf.DUMMYFUNCTION("""COMPUTED_VALUE"""),"Paul Casey")</f>
        <v>Paul Casey</v>
      </c>
      <c r="D140">
        <f ca="1">IFERROR(__xludf.DUMMYFUNCTION("""COMPUTED_VALUE"""),14)</f>
        <v>14</v>
      </c>
      <c r="E140">
        <f ca="1">IFERROR(__xludf.DUMMYFUNCTION("""COMPUTED_VALUE"""),-0.081)</f>
        <v>-8.1000000000000003E-2</v>
      </c>
      <c r="F140">
        <f ca="1">IFERROR(__xludf.DUMMYFUNCTION("""COMPUTED_VALUE"""),-1.129)</f>
        <v>-1.129</v>
      </c>
      <c r="G140">
        <f ca="1">IFERROR(__xludf.DUMMYFUNCTION("""COMPUTED_VALUE"""),1.987)</f>
        <v>1.9870000000000001</v>
      </c>
      <c r="H140">
        <f ca="1">IFERROR(__xludf.DUMMYFUNCTION("""COMPUTED_VALUE"""),-3.115)</f>
        <v>-3.1150000000000002</v>
      </c>
      <c r="I140">
        <f ca="1">IFERROR(__xludf.DUMMYFUNCTION("""COMPUTED_VALUE"""),14)</f>
        <v>14</v>
      </c>
    </row>
    <row r="141" spans="1:9" ht="12.75">
      <c r="A141">
        <f ca="1">IFERROR(__xludf.DUMMYFUNCTION("""COMPUTED_VALUE"""),140)</f>
        <v>140</v>
      </c>
      <c r="B141">
        <f ca="1">IFERROR(__xludf.DUMMYFUNCTION("""COMPUTED_VALUE"""),140)</f>
        <v>140</v>
      </c>
      <c r="C141" t="str">
        <f ca="1">IFERROR(__xludf.DUMMYFUNCTION("""COMPUTED_VALUE"""),"Isaiah Salinda")</f>
        <v>Isaiah Salinda</v>
      </c>
      <c r="D141">
        <f ca="1">IFERROR(__xludf.DUMMYFUNCTION("""COMPUTED_VALUE"""),8)</f>
        <v>8</v>
      </c>
      <c r="E141">
        <f ca="1">IFERROR(__xludf.DUMMYFUNCTION("""COMPUTED_VALUE"""),-0.103)</f>
        <v>-0.10299999999999999</v>
      </c>
      <c r="F141">
        <f ca="1">IFERROR(__xludf.DUMMYFUNCTION("""COMPUTED_VALUE"""),-0.823)</f>
        <v>-0.82299999999999995</v>
      </c>
      <c r="G141">
        <f ca="1">IFERROR(__xludf.DUMMYFUNCTION("""COMPUTED_VALUE"""),-0.94)</f>
        <v>-0.94</v>
      </c>
      <c r="H141">
        <f ca="1">IFERROR(__xludf.DUMMYFUNCTION("""COMPUTED_VALUE"""),0.118)</f>
        <v>0.11799999999999999</v>
      </c>
      <c r="I141">
        <f ca="1">IFERROR(__xludf.DUMMYFUNCTION("""COMPUTED_VALUE"""),8)</f>
        <v>8</v>
      </c>
    </row>
    <row r="142" spans="1:9" ht="12.75">
      <c r="A142">
        <f ca="1">IFERROR(__xludf.DUMMYFUNCTION("""COMPUTED_VALUE"""),141)</f>
        <v>141</v>
      </c>
      <c r="B142">
        <f ca="1">IFERROR(__xludf.DUMMYFUNCTION("""COMPUTED_VALUE"""),125)</f>
        <v>125</v>
      </c>
      <c r="C142" t="str">
        <f ca="1">IFERROR(__xludf.DUMMYFUNCTION("""COMPUTED_VALUE"""),"Rory Sabbatini")</f>
        <v>Rory Sabbatini</v>
      </c>
      <c r="D142">
        <f ca="1">IFERROR(__xludf.DUMMYFUNCTION("""COMPUTED_VALUE"""),13)</f>
        <v>13</v>
      </c>
      <c r="E142">
        <f ca="1">IFERROR(__xludf.DUMMYFUNCTION("""COMPUTED_VALUE"""),-0.116)</f>
        <v>-0.11600000000000001</v>
      </c>
      <c r="F142">
        <f ca="1">IFERROR(__xludf.DUMMYFUNCTION("""COMPUTED_VALUE"""),-1.508)</f>
        <v>-1.508</v>
      </c>
      <c r="G142">
        <f ca="1">IFERROR(__xludf.DUMMYFUNCTION("""COMPUTED_VALUE"""),-10.58)</f>
        <v>-10.58</v>
      </c>
      <c r="H142">
        <f ca="1">IFERROR(__xludf.DUMMYFUNCTION("""COMPUTED_VALUE"""),9.073)</f>
        <v>9.0730000000000004</v>
      </c>
      <c r="I142">
        <f ca="1">IFERROR(__xludf.DUMMYFUNCTION("""COMPUTED_VALUE"""),13)</f>
        <v>13</v>
      </c>
    </row>
    <row r="143" spans="1:9" ht="12.75">
      <c r="A143">
        <f ca="1">IFERROR(__xludf.DUMMYFUNCTION("""COMPUTED_VALUE"""),142)</f>
        <v>142</v>
      </c>
      <c r="B143">
        <f ca="1">IFERROR(__xludf.DUMMYFUNCTION("""COMPUTED_VALUE"""),141)</f>
        <v>141</v>
      </c>
      <c r="C143" t="str">
        <f ca="1">IFERROR(__xludf.DUMMYFUNCTION("""COMPUTED_VALUE"""),"Robby Shelton")</f>
        <v>Robby Shelton</v>
      </c>
      <c r="D143">
        <f ca="1">IFERROR(__xludf.DUMMYFUNCTION("""COMPUTED_VALUE"""),14)</f>
        <v>14</v>
      </c>
      <c r="E143">
        <f ca="1">IFERROR(__xludf.DUMMYFUNCTION("""COMPUTED_VALUE"""),-0.134)</f>
        <v>-0.13400000000000001</v>
      </c>
      <c r="F143">
        <f ca="1">IFERROR(__xludf.DUMMYFUNCTION("""COMPUTED_VALUE"""),-1.87)</f>
        <v>-1.87</v>
      </c>
      <c r="G143">
        <f ca="1">IFERROR(__xludf.DUMMYFUNCTION("""COMPUTED_VALUE"""),5.258)</f>
        <v>5.258</v>
      </c>
      <c r="H143">
        <f ca="1">IFERROR(__xludf.DUMMYFUNCTION("""COMPUTED_VALUE"""),-7.128)</f>
        <v>-7.1280000000000001</v>
      </c>
      <c r="I143">
        <f ca="1">IFERROR(__xludf.DUMMYFUNCTION("""COMPUTED_VALUE"""),14)</f>
        <v>14</v>
      </c>
    </row>
    <row r="144" spans="1:9" ht="12.75">
      <c r="A144" t="str">
        <f ca="1">IFERROR(__xludf.DUMMYFUNCTION("""COMPUTED_VALUE"""),"T143")</f>
        <v>T143</v>
      </c>
      <c r="B144" t="str">
        <f ca="1">IFERROR(__xludf.DUMMYFUNCTION("""COMPUTED_VALUE"""),"T142")</f>
        <v>T142</v>
      </c>
      <c r="C144" t="str">
        <f ca="1">IFERROR(__xludf.DUMMYFUNCTION("""COMPUTED_VALUE"""),"Ryan Brehm")</f>
        <v>Ryan Brehm</v>
      </c>
      <c r="D144">
        <f ca="1">IFERROR(__xludf.DUMMYFUNCTION("""COMPUTED_VALUE"""),10)</f>
        <v>10</v>
      </c>
      <c r="E144">
        <f ca="1">IFERROR(__xludf.DUMMYFUNCTION("""COMPUTED_VALUE"""),-0.154)</f>
        <v>-0.154</v>
      </c>
      <c r="F144">
        <f ca="1">IFERROR(__xludf.DUMMYFUNCTION("""COMPUTED_VALUE"""),-0.307)</f>
        <v>-0.307</v>
      </c>
      <c r="G144">
        <f ca="1">IFERROR(__xludf.DUMMYFUNCTION("""COMPUTED_VALUE"""),2.333)</f>
        <v>2.3330000000000002</v>
      </c>
      <c r="H144">
        <f ca="1">IFERROR(__xludf.DUMMYFUNCTION("""COMPUTED_VALUE"""),-2.64)</f>
        <v>-2.64</v>
      </c>
      <c r="I144">
        <f ca="1">IFERROR(__xludf.DUMMYFUNCTION("""COMPUTED_VALUE"""),2)</f>
        <v>2</v>
      </c>
    </row>
    <row r="145" spans="1:9" ht="12.75">
      <c r="A145" t="str">
        <f ca="1">IFERROR(__xludf.DUMMYFUNCTION("""COMPUTED_VALUE"""),"T143")</f>
        <v>T143</v>
      </c>
      <c r="B145" t="str">
        <f ca="1">IFERROR(__xludf.DUMMYFUNCTION("""COMPUTED_VALUE"""),"T142")</f>
        <v>T142</v>
      </c>
      <c r="C145" t="str">
        <f ca="1">IFERROR(__xludf.DUMMYFUNCTION("""COMPUTED_VALUE"""),"Zack Sucher")</f>
        <v>Zack Sucher</v>
      </c>
      <c r="D145">
        <f ca="1">IFERROR(__xludf.DUMMYFUNCTION("""COMPUTED_VALUE"""),6)</f>
        <v>6</v>
      </c>
      <c r="E145">
        <f ca="1">IFERROR(__xludf.DUMMYFUNCTION("""COMPUTED_VALUE"""),-0.154)</f>
        <v>-0.154</v>
      </c>
      <c r="F145">
        <f ca="1">IFERROR(__xludf.DUMMYFUNCTION("""COMPUTED_VALUE"""),-0.307)</f>
        <v>-0.307</v>
      </c>
      <c r="G145">
        <f ca="1">IFERROR(__xludf.DUMMYFUNCTION("""COMPUTED_VALUE"""),-2.654)</f>
        <v>-2.6539999999999999</v>
      </c>
      <c r="H145">
        <f ca="1">IFERROR(__xludf.DUMMYFUNCTION("""COMPUTED_VALUE"""),2.347)</f>
        <v>2.347</v>
      </c>
      <c r="I145">
        <f ca="1">IFERROR(__xludf.DUMMYFUNCTION("""COMPUTED_VALUE"""),2)</f>
        <v>2</v>
      </c>
    </row>
    <row r="146" spans="1:9" ht="12.75">
      <c r="A146" t="str">
        <f ca="1">IFERROR(__xludf.DUMMYFUNCTION("""COMPUTED_VALUE"""),"T143")</f>
        <v>T143</v>
      </c>
      <c r="B146" t="str">
        <f ca="1">IFERROR(__xludf.DUMMYFUNCTION("""COMPUTED_VALUE"""),"T142")</f>
        <v>T142</v>
      </c>
      <c r="C146" t="str">
        <f ca="1">IFERROR(__xludf.DUMMYFUNCTION("""COMPUTED_VALUE"""),"Wes Roach")</f>
        <v>Wes Roach</v>
      </c>
      <c r="D146">
        <f ca="1">IFERROR(__xludf.DUMMYFUNCTION("""COMPUTED_VALUE"""),6)</f>
        <v>6</v>
      </c>
      <c r="E146">
        <f ca="1">IFERROR(__xludf.DUMMYFUNCTION("""COMPUTED_VALUE"""),-0.154)</f>
        <v>-0.154</v>
      </c>
      <c r="F146">
        <f ca="1">IFERROR(__xludf.DUMMYFUNCTION("""COMPUTED_VALUE"""),-0.307)</f>
        <v>-0.307</v>
      </c>
      <c r="G146">
        <f ca="1">IFERROR(__xludf.DUMMYFUNCTION("""COMPUTED_VALUE"""),0.876)</f>
        <v>0.876</v>
      </c>
      <c r="H146">
        <f ca="1">IFERROR(__xludf.DUMMYFUNCTION("""COMPUTED_VALUE"""),-1.183)</f>
        <v>-1.1830000000000001</v>
      </c>
      <c r="I146">
        <f ca="1">IFERROR(__xludf.DUMMYFUNCTION("""COMPUTED_VALUE"""),2)</f>
        <v>2</v>
      </c>
    </row>
    <row r="147" spans="1:9" ht="12.75">
      <c r="A147">
        <f ca="1">IFERROR(__xludf.DUMMYFUNCTION("""COMPUTED_VALUE"""),146)</f>
        <v>146</v>
      </c>
      <c r="B147">
        <f ca="1">IFERROR(__xludf.DUMMYFUNCTION("""COMPUTED_VALUE"""),117)</f>
        <v>117</v>
      </c>
      <c r="C147" t="str">
        <f ca="1">IFERROR(__xludf.DUMMYFUNCTION("""COMPUTED_VALUE"""),"Tyler Duncan")</f>
        <v>Tyler Duncan</v>
      </c>
      <c r="D147">
        <f ca="1">IFERROR(__xludf.DUMMYFUNCTION("""COMPUTED_VALUE"""),18)</f>
        <v>18</v>
      </c>
      <c r="E147">
        <f ca="1">IFERROR(__xludf.DUMMYFUNCTION("""COMPUTED_VALUE"""),-0.156)</f>
        <v>-0.156</v>
      </c>
      <c r="F147">
        <f ca="1">IFERROR(__xludf.DUMMYFUNCTION("""COMPUTED_VALUE"""),-2.815)</f>
        <v>-2.8149999999999999</v>
      </c>
      <c r="G147">
        <f ca="1">IFERROR(__xludf.DUMMYFUNCTION("""COMPUTED_VALUE"""),3.15)</f>
        <v>3.15</v>
      </c>
      <c r="H147">
        <f ca="1">IFERROR(__xludf.DUMMYFUNCTION("""COMPUTED_VALUE"""),-5.964)</f>
        <v>-5.9640000000000004</v>
      </c>
      <c r="I147">
        <f ca="1">IFERROR(__xludf.DUMMYFUNCTION("""COMPUTED_VALUE"""),18)</f>
        <v>18</v>
      </c>
    </row>
    <row r="148" spans="1:9" ht="12.75">
      <c r="A148">
        <f ca="1">IFERROR(__xludf.DUMMYFUNCTION("""COMPUTED_VALUE"""),147)</f>
        <v>147</v>
      </c>
      <c r="B148">
        <f ca="1">IFERROR(__xludf.DUMMYFUNCTION("""COMPUTED_VALUE"""),145)</f>
        <v>145</v>
      </c>
      <c r="C148" t="str">
        <f ca="1">IFERROR(__xludf.DUMMYFUNCTION("""COMPUTED_VALUE"""),"Thomas Detry")</f>
        <v>Thomas Detry</v>
      </c>
      <c r="D148">
        <f ca="1">IFERROR(__xludf.DUMMYFUNCTION("""COMPUTED_VALUE"""),8)</f>
        <v>8</v>
      </c>
      <c r="E148">
        <f ca="1">IFERROR(__xludf.DUMMYFUNCTION("""COMPUTED_VALUE"""),-0.164)</f>
        <v>-0.16400000000000001</v>
      </c>
      <c r="F148">
        <f ca="1">IFERROR(__xludf.DUMMYFUNCTION("""COMPUTED_VALUE"""),-0.654)</f>
        <v>-0.65400000000000003</v>
      </c>
      <c r="G148">
        <f ca="1">IFERROR(__xludf.DUMMYFUNCTION("""COMPUTED_VALUE"""),-0.073)</f>
        <v>-7.2999999999999995E-2</v>
      </c>
      <c r="H148">
        <f ca="1">IFERROR(__xludf.DUMMYFUNCTION("""COMPUTED_VALUE"""),-0.581)</f>
        <v>-0.58099999999999996</v>
      </c>
      <c r="I148">
        <f ca="1">IFERROR(__xludf.DUMMYFUNCTION("""COMPUTED_VALUE"""),4)</f>
        <v>4</v>
      </c>
    </row>
    <row r="149" spans="1:9" ht="12.75">
      <c r="A149">
        <f ca="1">IFERROR(__xludf.DUMMYFUNCTION("""COMPUTED_VALUE"""),148)</f>
        <v>148</v>
      </c>
      <c r="B149">
        <f ca="1">IFERROR(__xludf.DUMMYFUNCTION("""COMPUTED_VALUE"""),148)</f>
        <v>148</v>
      </c>
      <c r="C149" t="str">
        <f ca="1">IFERROR(__xludf.DUMMYFUNCTION("""COMPUTED_VALUE"""),"Brice Garnett")</f>
        <v>Brice Garnett</v>
      </c>
      <c r="D149">
        <f ca="1">IFERROR(__xludf.DUMMYFUNCTION("""COMPUTED_VALUE"""),22)</f>
        <v>22</v>
      </c>
      <c r="E149">
        <f ca="1">IFERROR(__xludf.DUMMYFUNCTION("""COMPUTED_VALUE"""),-0.165)</f>
        <v>-0.16500000000000001</v>
      </c>
      <c r="F149">
        <f ca="1">IFERROR(__xludf.DUMMYFUNCTION("""COMPUTED_VALUE"""),-2.313)</f>
        <v>-2.3130000000000002</v>
      </c>
      <c r="G149">
        <f ca="1">IFERROR(__xludf.DUMMYFUNCTION("""COMPUTED_VALUE"""),-12.419)</f>
        <v>-12.419</v>
      </c>
      <c r="H149">
        <f ca="1">IFERROR(__xludf.DUMMYFUNCTION("""COMPUTED_VALUE"""),10.108)</f>
        <v>10.108000000000001</v>
      </c>
      <c r="I149">
        <f ca="1">IFERROR(__xludf.DUMMYFUNCTION("""COMPUTED_VALUE"""),14)</f>
        <v>14</v>
      </c>
    </row>
    <row r="150" spans="1:9" ht="12.75">
      <c r="A150">
        <f ca="1">IFERROR(__xludf.DUMMYFUNCTION("""COMPUTED_VALUE"""),149)</f>
        <v>149</v>
      </c>
      <c r="B150">
        <f ca="1">IFERROR(__xludf.DUMMYFUNCTION("""COMPUTED_VALUE"""),174)</f>
        <v>174</v>
      </c>
      <c r="C150" t="str">
        <f ca="1">IFERROR(__xludf.DUMMYFUNCTION("""COMPUTED_VALUE"""),"Troy Merritt")</f>
        <v>Troy Merritt</v>
      </c>
      <c r="D150">
        <f ca="1">IFERROR(__xludf.DUMMYFUNCTION("""COMPUTED_VALUE"""),20)</f>
        <v>20</v>
      </c>
      <c r="E150">
        <f ca="1">IFERROR(__xludf.DUMMYFUNCTION("""COMPUTED_VALUE"""),-0.176)</f>
        <v>-0.17599999999999999</v>
      </c>
      <c r="F150">
        <f ca="1">IFERROR(__xludf.DUMMYFUNCTION("""COMPUTED_VALUE"""),-2.816)</f>
        <v>-2.8159999999999998</v>
      </c>
      <c r="G150">
        <f ca="1">IFERROR(__xludf.DUMMYFUNCTION("""COMPUTED_VALUE"""),-1.463)</f>
        <v>-1.4630000000000001</v>
      </c>
      <c r="H150">
        <f ca="1">IFERROR(__xludf.DUMMYFUNCTION("""COMPUTED_VALUE"""),-1.351)</f>
        <v>-1.351</v>
      </c>
      <c r="I150">
        <f ca="1">IFERROR(__xludf.DUMMYFUNCTION("""COMPUTED_VALUE"""),16)</f>
        <v>16</v>
      </c>
    </row>
    <row r="151" spans="1:9" ht="12.75">
      <c r="A151">
        <f ca="1">IFERROR(__xludf.DUMMYFUNCTION("""COMPUTED_VALUE"""),150)</f>
        <v>150</v>
      </c>
      <c r="B151">
        <f ca="1">IFERROR(__xludf.DUMMYFUNCTION("""COMPUTED_VALUE"""),146)</f>
        <v>146</v>
      </c>
      <c r="C151" t="str">
        <f ca="1">IFERROR(__xludf.DUMMYFUNCTION("""COMPUTED_VALUE"""),"Justin Rose")</f>
        <v>Justin Rose</v>
      </c>
      <c r="D151">
        <f ca="1">IFERROR(__xludf.DUMMYFUNCTION("""COMPUTED_VALUE"""),10)</f>
        <v>10</v>
      </c>
      <c r="E151">
        <f ca="1">IFERROR(__xludf.DUMMYFUNCTION("""COMPUTED_VALUE"""),-0.184)</f>
        <v>-0.184</v>
      </c>
      <c r="F151">
        <f ca="1">IFERROR(__xludf.DUMMYFUNCTION("""COMPUTED_VALUE"""),-1.841)</f>
        <v>-1.841</v>
      </c>
      <c r="G151">
        <f ca="1">IFERROR(__xludf.DUMMYFUNCTION("""COMPUTED_VALUE"""),-5.453)</f>
        <v>-5.4530000000000003</v>
      </c>
      <c r="H151">
        <f ca="1">IFERROR(__xludf.DUMMYFUNCTION("""COMPUTED_VALUE"""),3.612)</f>
        <v>3.6120000000000001</v>
      </c>
      <c r="I151">
        <f ca="1">IFERROR(__xludf.DUMMYFUNCTION("""COMPUTED_VALUE"""),10)</f>
        <v>10</v>
      </c>
    </row>
    <row r="152" spans="1:9" ht="12.75">
      <c r="A152">
        <f ca="1">IFERROR(__xludf.DUMMYFUNCTION("""COMPUTED_VALUE"""),151)</f>
        <v>151</v>
      </c>
      <c r="B152">
        <f ca="1">IFERROR(__xludf.DUMMYFUNCTION("""COMPUTED_VALUE"""),147)</f>
        <v>147</v>
      </c>
      <c r="C152" t="str">
        <f ca="1">IFERROR(__xludf.DUMMYFUNCTION("""COMPUTED_VALUE"""),"Chris Baker")</f>
        <v>Chris Baker</v>
      </c>
      <c r="D152">
        <f ca="1">IFERROR(__xludf.DUMMYFUNCTION("""COMPUTED_VALUE"""),8)</f>
        <v>8</v>
      </c>
      <c r="E152">
        <f ca="1">IFERROR(__xludf.DUMMYFUNCTION("""COMPUTED_VALUE"""),-0.192)</f>
        <v>-0.192</v>
      </c>
      <c r="F152">
        <f ca="1">IFERROR(__xludf.DUMMYFUNCTION("""COMPUTED_VALUE"""),-0.766)</f>
        <v>-0.76600000000000001</v>
      </c>
      <c r="G152">
        <f ca="1">IFERROR(__xludf.DUMMYFUNCTION("""COMPUTED_VALUE"""),1.387)</f>
        <v>1.387</v>
      </c>
      <c r="H152">
        <f ca="1">IFERROR(__xludf.DUMMYFUNCTION("""COMPUTED_VALUE"""),-2.152)</f>
        <v>-2.1520000000000001</v>
      </c>
      <c r="I152">
        <f ca="1">IFERROR(__xludf.DUMMYFUNCTION("""COMPUTED_VALUE"""),4)</f>
        <v>4</v>
      </c>
    </row>
    <row r="153" spans="1:9" ht="12.75">
      <c r="A153">
        <f ca="1">IFERROR(__xludf.DUMMYFUNCTION("""COMPUTED_VALUE"""),152)</f>
        <v>152</v>
      </c>
      <c r="B153" t="str">
        <f ca="1">IFERROR(__xludf.DUMMYFUNCTION("""COMPUTED_VALUE"""),"T200")</f>
        <v>T200</v>
      </c>
      <c r="C153" t="str">
        <f ca="1">IFERROR(__xludf.DUMMYFUNCTION("""COMPUTED_VALUE"""),"Fabián Gómez")</f>
        <v>Fabián Gómez</v>
      </c>
      <c r="D153">
        <f ca="1">IFERROR(__xludf.DUMMYFUNCTION("""COMPUTED_VALUE"""),16)</f>
        <v>16</v>
      </c>
      <c r="E153">
        <f ca="1">IFERROR(__xludf.DUMMYFUNCTION("""COMPUTED_VALUE"""),-0.195)</f>
        <v>-0.19500000000000001</v>
      </c>
      <c r="F153">
        <f ca="1">IFERROR(__xludf.DUMMYFUNCTION("""COMPUTED_VALUE"""),-1.95)</f>
        <v>-1.95</v>
      </c>
      <c r="G153">
        <f ca="1">IFERROR(__xludf.DUMMYFUNCTION("""COMPUTED_VALUE"""),-3.142)</f>
        <v>-3.1419999999999999</v>
      </c>
      <c r="H153">
        <f ca="1">IFERROR(__xludf.DUMMYFUNCTION("""COMPUTED_VALUE"""),1.194)</f>
        <v>1.194</v>
      </c>
      <c r="I153">
        <f ca="1">IFERROR(__xludf.DUMMYFUNCTION("""COMPUTED_VALUE"""),10)</f>
        <v>10</v>
      </c>
    </row>
    <row r="154" spans="1:9" ht="12.75">
      <c r="A154">
        <f ca="1">IFERROR(__xludf.DUMMYFUNCTION("""COMPUTED_VALUE"""),153)</f>
        <v>153</v>
      </c>
      <c r="B154">
        <f ca="1">IFERROR(__xludf.DUMMYFUNCTION("""COMPUTED_VALUE"""),135)</f>
        <v>135</v>
      </c>
      <c r="C154" t="str">
        <f ca="1">IFERROR(__xludf.DUMMYFUNCTION("""COMPUTED_VALUE"""),"Kevin Chappell")</f>
        <v>Kevin Chappell</v>
      </c>
      <c r="D154">
        <f ca="1">IFERROR(__xludf.DUMMYFUNCTION("""COMPUTED_VALUE"""),16)</f>
        <v>16</v>
      </c>
      <c r="E154">
        <f ca="1">IFERROR(__xludf.DUMMYFUNCTION("""COMPUTED_VALUE"""),-0.198)</f>
        <v>-0.19800000000000001</v>
      </c>
      <c r="F154">
        <f ca="1">IFERROR(__xludf.DUMMYFUNCTION("""COMPUTED_VALUE"""),-2.768)</f>
        <v>-2.7679999999999998</v>
      </c>
      <c r="G154">
        <f ca="1">IFERROR(__xludf.DUMMYFUNCTION("""COMPUTED_VALUE"""),-9.02)</f>
        <v>-9.02</v>
      </c>
      <c r="H154">
        <f ca="1">IFERROR(__xludf.DUMMYFUNCTION("""COMPUTED_VALUE"""),6.254)</f>
        <v>6.2539999999999996</v>
      </c>
      <c r="I154">
        <f ca="1">IFERROR(__xludf.DUMMYFUNCTION("""COMPUTED_VALUE"""),14)</f>
        <v>14</v>
      </c>
    </row>
    <row r="155" spans="1:9" ht="12.75">
      <c r="A155">
        <f ca="1">IFERROR(__xludf.DUMMYFUNCTION("""COMPUTED_VALUE"""),154)</f>
        <v>154</v>
      </c>
      <c r="B155">
        <f ca="1">IFERROR(__xludf.DUMMYFUNCTION("""COMPUTED_VALUE"""),149)</f>
        <v>149</v>
      </c>
      <c r="C155" t="str">
        <f ca="1">IFERROR(__xludf.DUMMYFUNCTION("""COMPUTED_VALUE"""),"Chesson Hadley")</f>
        <v>Chesson Hadley</v>
      </c>
      <c r="D155">
        <f ca="1">IFERROR(__xludf.DUMMYFUNCTION("""COMPUTED_VALUE"""),16)</f>
        <v>16</v>
      </c>
      <c r="E155">
        <f ca="1">IFERROR(__xludf.DUMMYFUNCTION("""COMPUTED_VALUE"""),-0.199)</f>
        <v>-0.19900000000000001</v>
      </c>
      <c r="F155">
        <f ca="1">IFERROR(__xludf.DUMMYFUNCTION("""COMPUTED_VALUE"""),-2.391)</f>
        <v>-2.391</v>
      </c>
      <c r="G155">
        <f ca="1">IFERROR(__xludf.DUMMYFUNCTION("""COMPUTED_VALUE"""),-7.429)</f>
        <v>-7.4290000000000003</v>
      </c>
      <c r="H155">
        <f ca="1">IFERROR(__xludf.DUMMYFUNCTION("""COMPUTED_VALUE"""),5.039)</f>
        <v>5.0389999999999997</v>
      </c>
      <c r="I155">
        <f ca="1">IFERROR(__xludf.DUMMYFUNCTION("""COMPUTED_VALUE"""),12)</f>
        <v>12</v>
      </c>
    </row>
    <row r="156" spans="1:9" ht="12.75">
      <c r="A156">
        <f ca="1">IFERROR(__xludf.DUMMYFUNCTION("""COMPUTED_VALUE"""),155)</f>
        <v>155</v>
      </c>
      <c r="B156">
        <f ca="1">IFERROR(__xludf.DUMMYFUNCTION("""COMPUTED_VALUE"""),150)</f>
        <v>150</v>
      </c>
      <c r="C156" t="str">
        <f ca="1">IFERROR(__xludf.DUMMYFUNCTION("""COMPUTED_VALUE"""),"Adam Hadwin")</f>
        <v>Adam Hadwin</v>
      </c>
      <c r="D156">
        <f ca="1">IFERROR(__xludf.DUMMYFUNCTION("""COMPUTED_VALUE"""),16)</f>
        <v>16</v>
      </c>
      <c r="E156">
        <f ca="1">IFERROR(__xludf.DUMMYFUNCTION("""COMPUTED_VALUE"""),-0.209)</f>
        <v>-0.20899999999999999</v>
      </c>
      <c r="F156">
        <f ca="1">IFERROR(__xludf.DUMMYFUNCTION("""COMPUTED_VALUE"""),-3.34)</f>
        <v>-3.34</v>
      </c>
      <c r="G156">
        <f ca="1">IFERROR(__xludf.DUMMYFUNCTION("""COMPUTED_VALUE"""),-2.635)</f>
        <v>-2.6349999999999998</v>
      </c>
      <c r="H156">
        <f ca="1">IFERROR(__xludf.DUMMYFUNCTION("""COMPUTED_VALUE"""),-0.704)</f>
        <v>-0.70399999999999996</v>
      </c>
      <c r="I156">
        <f ca="1">IFERROR(__xludf.DUMMYFUNCTION("""COMPUTED_VALUE"""),16)</f>
        <v>16</v>
      </c>
    </row>
    <row r="157" spans="1:9" ht="12.75">
      <c r="A157">
        <f ca="1">IFERROR(__xludf.DUMMYFUNCTION("""COMPUTED_VALUE"""),156)</f>
        <v>156</v>
      </c>
      <c r="B157">
        <f ca="1">IFERROR(__xludf.DUMMYFUNCTION("""COMPUTED_VALUE"""),154)</f>
        <v>154</v>
      </c>
      <c r="C157" t="str">
        <f ca="1">IFERROR(__xludf.DUMMYFUNCTION("""COMPUTED_VALUE"""),"Wyndham Clark")</f>
        <v>Wyndham Clark</v>
      </c>
      <c r="D157">
        <f ca="1">IFERROR(__xludf.DUMMYFUNCTION("""COMPUTED_VALUE"""),16)</f>
        <v>16</v>
      </c>
      <c r="E157">
        <f ca="1">IFERROR(__xludf.DUMMYFUNCTION("""COMPUTED_VALUE"""),-0.237)</f>
        <v>-0.23699999999999999</v>
      </c>
      <c r="F157">
        <f ca="1">IFERROR(__xludf.DUMMYFUNCTION("""COMPUTED_VALUE"""),-2.843)</f>
        <v>-2.843</v>
      </c>
      <c r="G157">
        <f ca="1">IFERROR(__xludf.DUMMYFUNCTION("""COMPUTED_VALUE"""),3.074)</f>
        <v>3.0739999999999998</v>
      </c>
      <c r="H157">
        <f ca="1">IFERROR(__xludf.DUMMYFUNCTION("""COMPUTED_VALUE"""),-5.917)</f>
        <v>-5.9169999999999998</v>
      </c>
      <c r="I157">
        <f ca="1">IFERROR(__xludf.DUMMYFUNCTION("""COMPUTED_VALUE"""),12)</f>
        <v>12</v>
      </c>
    </row>
    <row r="158" spans="1:9" ht="12.75">
      <c r="A158">
        <f ca="1">IFERROR(__xludf.DUMMYFUNCTION("""COMPUTED_VALUE"""),157)</f>
        <v>157</v>
      </c>
      <c r="B158" t="str">
        <f ca="1">IFERROR(__xludf.DUMMYFUNCTION("""COMPUTED_VALUE"""),"T152")</f>
        <v>T152</v>
      </c>
      <c r="C158" t="str">
        <f ca="1">IFERROR(__xludf.DUMMYFUNCTION("""COMPUTED_VALUE"""),"MJ Daffue")</f>
        <v>MJ Daffue</v>
      </c>
      <c r="D158">
        <f ca="1">IFERROR(__xludf.DUMMYFUNCTION("""COMPUTED_VALUE"""),10)</f>
        <v>10</v>
      </c>
      <c r="E158">
        <f ca="1">IFERROR(__xludf.DUMMYFUNCTION("""COMPUTED_VALUE"""),-0.24)</f>
        <v>-0.24</v>
      </c>
      <c r="F158">
        <f ca="1">IFERROR(__xludf.DUMMYFUNCTION("""COMPUTED_VALUE"""),-2.403)</f>
        <v>-2.403</v>
      </c>
      <c r="G158">
        <f ca="1">IFERROR(__xludf.DUMMYFUNCTION("""COMPUTED_VALUE"""),-5.15)</f>
        <v>-5.15</v>
      </c>
      <c r="H158">
        <f ca="1">IFERROR(__xludf.DUMMYFUNCTION("""COMPUTED_VALUE"""),2.748)</f>
        <v>2.7480000000000002</v>
      </c>
      <c r="I158">
        <f ca="1">IFERROR(__xludf.DUMMYFUNCTION("""COMPUTED_VALUE"""),10)</f>
        <v>10</v>
      </c>
    </row>
    <row r="159" spans="1:9" ht="12.75">
      <c r="A159">
        <f ca="1">IFERROR(__xludf.DUMMYFUNCTION("""COMPUTED_VALUE"""),158)</f>
        <v>158</v>
      </c>
      <c r="B159">
        <f ca="1">IFERROR(__xludf.DUMMYFUNCTION("""COMPUTED_VALUE"""),155)</f>
        <v>155</v>
      </c>
      <c r="C159" t="str">
        <f ca="1">IFERROR(__xludf.DUMMYFUNCTION("""COMPUTED_VALUE"""),"Billy Horschel")</f>
        <v>Billy Horschel</v>
      </c>
      <c r="D159">
        <f ca="1">IFERROR(__xludf.DUMMYFUNCTION("""COMPUTED_VALUE"""),12)</f>
        <v>12</v>
      </c>
      <c r="E159">
        <f ca="1">IFERROR(__xludf.DUMMYFUNCTION("""COMPUTED_VALUE"""),-0.276)</f>
        <v>-0.27600000000000002</v>
      </c>
      <c r="F159">
        <f ca="1">IFERROR(__xludf.DUMMYFUNCTION("""COMPUTED_VALUE"""),-3.309)</f>
        <v>-3.3090000000000002</v>
      </c>
      <c r="G159">
        <f ca="1">IFERROR(__xludf.DUMMYFUNCTION("""COMPUTED_VALUE"""),-3.512)</f>
        <v>-3.512</v>
      </c>
      <c r="H159">
        <f ca="1">IFERROR(__xludf.DUMMYFUNCTION("""COMPUTED_VALUE"""),0.203)</f>
        <v>0.20300000000000001</v>
      </c>
      <c r="I159">
        <f ca="1">IFERROR(__xludf.DUMMYFUNCTION("""COMPUTED_VALUE"""),12)</f>
        <v>12</v>
      </c>
    </row>
    <row r="160" spans="1:9" ht="12.75">
      <c r="A160">
        <f ca="1">IFERROR(__xludf.DUMMYFUNCTION("""COMPUTED_VALUE"""),159)</f>
        <v>159</v>
      </c>
      <c r="B160" t="str">
        <f ca="1">IFERROR(__xludf.DUMMYFUNCTION("""COMPUTED_VALUE"""),"T156")</f>
        <v>T156</v>
      </c>
      <c r="C160" t="str">
        <f ca="1">IFERROR(__xludf.DUMMYFUNCTION("""COMPUTED_VALUE"""),"Tyler McCumber")</f>
        <v>Tyler McCumber</v>
      </c>
      <c r="D160">
        <f ca="1">IFERROR(__xludf.DUMMYFUNCTION("""COMPUTED_VALUE"""),14)</f>
        <v>14</v>
      </c>
      <c r="E160">
        <f ca="1">IFERROR(__xludf.DUMMYFUNCTION("""COMPUTED_VALUE"""),-0.282)</f>
        <v>-0.28199999999999997</v>
      </c>
      <c r="F160">
        <f ca="1">IFERROR(__xludf.DUMMYFUNCTION("""COMPUTED_VALUE"""),-2.252)</f>
        <v>-2.2519999999999998</v>
      </c>
      <c r="G160">
        <f ca="1">IFERROR(__xludf.DUMMYFUNCTION("""COMPUTED_VALUE"""),5.993)</f>
        <v>5.9930000000000003</v>
      </c>
      <c r="H160">
        <f ca="1">IFERROR(__xludf.DUMMYFUNCTION("""COMPUTED_VALUE"""),-8.244)</f>
        <v>-8.2439999999999998</v>
      </c>
      <c r="I160">
        <f ca="1">IFERROR(__xludf.DUMMYFUNCTION("""COMPUTED_VALUE"""),8)</f>
        <v>8</v>
      </c>
    </row>
    <row r="161" spans="1:9" ht="12.75">
      <c r="A161">
        <f ca="1">IFERROR(__xludf.DUMMYFUNCTION("""COMPUTED_VALUE"""),160)</f>
        <v>160</v>
      </c>
      <c r="B161">
        <f ca="1">IFERROR(__xludf.DUMMYFUNCTION("""COMPUTED_VALUE"""),159)</f>
        <v>159</v>
      </c>
      <c r="C161" t="str">
        <f ca="1">IFERROR(__xludf.DUMMYFUNCTION("""COMPUTED_VALUE"""),"Dylan Frittelli")</f>
        <v>Dylan Frittelli</v>
      </c>
      <c r="D161">
        <f ca="1">IFERROR(__xludf.DUMMYFUNCTION("""COMPUTED_VALUE"""),16)</f>
        <v>16</v>
      </c>
      <c r="E161">
        <f ca="1">IFERROR(__xludf.DUMMYFUNCTION("""COMPUTED_VALUE"""),-0.283)</f>
        <v>-0.28299999999999997</v>
      </c>
      <c r="F161">
        <f ca="1">IFERROR(__xludf.DUMMYFUNCTION("""COMPUTED_VALUE"""),-4.524)</f>
        <v>-4.524</v>
      </c>
      <c r="G161">
        <f ca="1">IFERROR(__xludf.DUMMYFUNCTION("""COMPUTED_VALUE"""),3.239)</f>
        <v>3.2389999999999999</v>
      </c>
      <c r="H161">
        <f ca="1">IFERROR(__xludf.DUMMYFUNCTION("""COMPUTED_VALUE"""),-7.762)</f>
        <v>-7.7619999999999996</v>
      </c>
      <c r="I161">
        <f ca="1">IFERROR(__xludf.DUMMYFUNCTION("""COMPUTED_VALUE"""),16)</f>
        <v>16</v>
      </c>
    </row>
    <row r="162" spans="1:9" ht="12.75">
      <c r="A162">
        <f ca="1">IFERROR(__xludf.DUMMYFUNCTION("""COMPUTED_VALUE"""),161)</f>
        <v>161</v>
      </c>
      <c r="B162">
        <f ca="1">IFERROR(__xludf.DUMMYFUNCTION("""COMPUTED_VALUE"""),163)</f>
        <v>163</v>
      </c>
      <c r="C162" t="str">
        <f ca="1">IFERROR(__xludf.DUMMYFUNCTION("""COMPUTED_VALUE"""),"Mark Hubbard")</f>
        <v>Mark Hubbard</v>
      </c>
      <c r="D162">
        <f ca="1">IFERROR(__xludf.DUMMYFUNCTION("""COMPUTED_VALUE"""),20)</f>
        <v>20</v>
      </c>
      <c r="E162">
        <f ca="1">IFERROR(__xludf.DUMMYFUNCTION("""COMPUTED_VALUE"""),-0.29)</f>
        <v>-0.28999999999999998</v>
      </c>
      <c r="F162">
        <f ca="1">IFERROR(__xludf.DUMMYFUNCTION("""COMPUTED_VALUE"""),-5.791)</f>
        <v>-5.7910000000000004</v>
      </c>
      <c r="G162">
        <f ca="1">IFERROR(__xludf.DUMMYFUNCTION("""COMPUTED_VALUE"""),-7.55)</f>
        <v>-7.55</v>
      </c>
      <c r="H162">
        <f ca="1">IFERROR(__xludf.DUMMYFUNCTION("""COMPUTED_VALUE"""),1.761)</f>
        <v>1.7609999999999999</v>
      </c>
      <c r="I162">
        <f ca="1">IFERROR(__xludf.DUMMYFUNCTION("""COMPUTED_VALUE"""),20)</f>
        <v>20</v>
      </c>
    </row>
    <row r="163" spans="1:9" ht="12.75">
      <c r="A163">
        <f ca="1">IFERROR(__xludf.DUMMYFUNCTION("""COMPUTED_VALUE"""),162)</f>
        <v>162</v>
      </c>
      <c r="B163">
        <f ca="1">IFERROR(__xludf.DUMMYFUNCTION("""COMPUTED_VALUE"""),158)</f>
        <v>158</v>
      </c>
      <c r="C163" t="str">
        <f ca="1">IFERROR(__xludf.DUMMYFUNCTION("""COMPUTED_VALUE"""),"Byeong Hun An")</f>
        <v>Byeong Hun An</v>
      </c>
      <c r="D163">
        <f ca="1">IFERROR(__xludf.DUMMYFUNCTION("""COMPUTED_VALUE"""),14)</f>
        <v>14</v>
      </c>
      <c r="E163">
        <f ca="1">IFERROR(__xludf.DUMMYFUNCTION("""COMPUTED_VALUE"""),-0.294)</f>
        <v>-0.29399999999999998</v>
      </c>
      <c r="F163">
        <f ca="1">IFERROR(__xludf.DUMMYFUNCTION("""COMPUTED_VALUE"""),-4.118)</f>
        <v>-4.1180000000000003</v>
      </c>
      <c r="G163">
        <f ca="1">IFERROR(__xludf.DUMMYFUNCTION("""COMPUTED_VALUE"""),18.109)</f>
        <v>18.109000000000002</v>
      </c>
      <c r="H163">
        <f ca="1">IFERROR(__xludf.DUMMYFUNCTION("""COMPUTED_VALUE"""),-22.227)</f>
        <v>-22.227</v>
      </c>
      <c r="I163">
        <f ca="1">IFERROR(__xludf.DUMMYFUNCTION("""COMPUTED_VALUE"""),14)</f>
        <v>14</v>
      </c>
    </row>
    <row r="164" spans="1:9" ht="12.75">
      <c r="A164">
        <f ca="1">IFERROR(__xludf.DUMMYFUNCTION("""COMPUTED_VALUE"""),163)</f>
        <v>163</v>
      </c>
      <c r="B164" t="str">
        <f ca="1">IFERROR(__xludf.DUMMYFUNCTION("""COMPUTED_VALUE"""),"T108")</f>
        <v>T108</v>
      </c>
      <c r="C164" t="str">
        <f ca="1">IFERROR(__xludf.DUMMYFUNCTION("""COMPUTED_VALUE"""),"Jason Dufner")</f>
        <v>Jason Dufner</v>
      </c>
      <c r="D164">
        <f ca="1">IFERROR(__xludf.DUMMYFUNCTION("""COMPUTED_VALUE"""),14)</f>
        <v>14</v>
      </c>
      <c r="E164">
        <f ca="1">IFERROR(__xludf.DUMMYFUNCTION("""COMPUTED_VALUE"""),-0.312)</f>
        <v>-0.312</v>
      </c>
      <c r="F164">
        <f ca="1">IFERROR(__xludf.DUMMYFUNCTION("""COMPUTED_VALUE"""),-3.115)</f>
        <v>-3.1150000000000002</v>
      </c>
      <c r="G164">
        <f ca="1">IFERROR(__xludf.DUMMYFUNCTION("""COMPUTED_VALUE"""),0.27)</f>
        <v>0.27</v>
      </c>
      <c r="H164">
        <f ca="1">IFERROR(__xludf.DUMMYFUNCTION("""COMPUTED_VALUE"""),-3.384)</f>
        <v>-3.3839999999999999</v>
      </c>
      <c r="I164">
        <f ca="1">IFERROR(__xludf.DUMMYFUNCTION("""COMPUTED_VALUE"""),10)</f>
        <v>10</v>
      </c>
    </row>
    <row r="165" spans="1:9" ht="12.75">
      <c r="A165">
        <f ca="1">IFERROR(__xludf.DUMMYFUNCTION("""COMPUTED_VALUE"""),164)</f>
        <v>164</v>
      </c>
      <c r="B165" t="str">
        <f ca="1">IFERROR(__xludf.DUMMYFUNCTION("""COMPUTED_VALUE"""),"T108")</f>
        <v>T108</v>
      </c>
      <c r="C165" t="str">
        <f ca="1">IFERROR(__xludf.DUMMYFUNCTION("""COMPUTED_VALUE"""),"Scott Harrington")</f>
        <v>Scott Harrington</v>
      </c>
      <c r="D165">
        <f ca="1">IFERROR(__xludf.DUMMYFUNCTION("""COMPUTED_VALUE"""),18)</f>
        <v>18</v>
      </c>
      <c r="E165">
        <f ca="1">IFERROR(__xludf.DUMMYFUNCTION("""COMPUTED_VALUE"""),-0.342)</f>
        <v>-0.34200000000000003</v>
      </c>
      <c r="F165">
        <f ca="1">IFERROR(__xludf.DUMMYFUNCTION("""COMPUTED_VALUE"""),-4.101)</f>
        <v>-4.101</v>
      </c>
      <c r="G165">
        <f ca="1">IFERROR(__xludf.DUMMYFUNCTION("""COMPUTED_VALUE"""),-4.164)</f>
        <v>-4.1639999999999997</v>
      </c>
      <c r="H165">
        <f ca="1">IFERROR(__xludf.DUMMYFUNCTION("""COMPUTED_VALUE"""),0.065)</f>
        <v>6.5000000000000002E-2</v>
      </c>
      <c r="I165">
        <f ca="1">IFERROR(__xludf.DUMMYFUNCTION("""COMPUTED_VALUE"""),12)</f>
        <v>12</v>
      </c>
    </row>
    <row r="166" spans="1:9" ht="12.75">
      <c r="A166">
        <f ca="1">IFERROR(__xludf.DUMMYFUNCTION("""COMPUTED_VALUE"""),165)</f>
        <v>165</v>
      </c>
      <c r="B166">
        <f ca="1">IFERROR(__xludf.DUMMYFUNCTION("""COMPUTED_VALUE"""),164)</f>
        <v>164</v>
      </c>
      <c r="C166" t="str">
        <f ca="1">IFERROR(__xludf.DUMMYFUNCTION("""COMPUTED_VALUE"""),"Joseph Bramlett")</f>
        <v>Joseph Bramlett</v>
      </c>
      <c r="D166">
        <f ca="1">IFERROR(__xludf.DUMMYFUNCTION("""COMPUTED_VALUE"""),18)</f>
        <v>18</v>
      </c>
      <c r="E166">
        <f ca="1">IFERROR(__xludf.DUMMYFUNCTION("""COMPUTED_VALUE"""),-0.346)</f>
        <v>-0.34599999999999997</v>
      </c>
      <c r="F166">
        <f ca="1">IFERROR(__xludf.DUMMYFUNCTION("""COMPUTED_VALUE"""),-3.464)</f>
        <v>-3.464</v>
      </c>
      <c r="G166">
        <f ca="1">IFERROR(__xludf.DUMMYFUNCTION("""COMPUTED_VALUE"""),4.392)</f>
        <v>4.3920000000000003</v>
      </c>
      <c r="H166">
        <f ca="1">IFERROR(__xludf.DUMMYFUNCTION("""COMPUTED_VALUE"""),-7.856)</f>
        <v>-7.8559999999999999</v>
      </c>
      <c r="I166">
        <f ca="1">IFERROR(__xludf.DUMMYFUNCTION("""COMPUTED_VALUE"""),10)</f>
        <v>10</v>
      </c>
    </row>
    <row r="167" spans="1:9" ht="12.75">
      <c r="A167">
        <f ca="1">IFERROR(__xludf.DUMMYFUNCTION("""COMPUTED_VALUE"""),166)</f>
        <v>166</v>
      </c>
      <c r="B167">
        <f ca="1">IFERROR(__xludf.DUMMYFUNCTION("""COMPUTED_VALUE"""),165)</f>
        <v>165</v>
      </c>
      <c r="C167" t="str">
        <f ca="1">IFERROR(__xludf.DUMMYFUNCTION("""COMPUTED_VALUE"""),"Matt Kuchar")</f>
        <v>Matt Kuchar</v>
      </c>
      <c r="D167">
        <f ca="1">IFERROR(__xludf.DUMMYFUNCTION("""COMPUTED_VALUE"""),14)</f>
        <v>14</v>
      </c>
      <c r="E167">
        <f ca="1">IFERROR(__xludf.DUMMYFUNCTION("""COMPUTED_VALUE"""),-0.348)</f>
        <v>-0.34799999999999998</v>
      </c>
      <c r="F167">
        <f ca="1">IFERROR(__xludf.DUMMYFUNCTION("""COMPUTED_VALUE"""),-4.872)</f>
        <v>-4.8719999999999999</v>
      </c>
      <c r="G167">
        <f ca="1">IFERROR(__xludf.DUMMYFUNCTION("""COMPUTED_VALUE"""),-2.457)</f>
        <v>-2.4569999999999999</v>
      </c>
      <c r="H167">
        <f ca="1">IFERROR(__xludf.DUMMYFUNCTION("""COMPUTED_VALUE"""),-2.414)</f>
        <v>-2.4140000000000001</v>
      </c>
      <c r="I167">
        <f ca="1">IFERROR(__xludf.DUMMYFUNCTION("""COMPUTED_VALUE"""),14)</f>
        <v>14</v>
      </c>
    </row>
    <row r="168" spans="1:9" ht="12.75">
      <c r="A168">
        <f ca="1">IFERROR(__xludf.DUMMYFUNCTION("""COMPUTED_VALUE"""),167)</f>
        <v>167</v>
      </c>
      <c r="B168" t="str">
        <f ca="1">IFERROR(__xludf.DUMMYFUNCTION("""COMPUTED_VALUE"""),"T92")</f>
        <v>T92</v>
      </c>
      <c r="C168" t="str">
        <f ca="1">IFERROR(__xludf.DUMMYFUNCTION("""COMPUTED_VALUE"""),"Camilo Villegas")</f>
        <v>Camilo Villegas</v>
      </c>
      <c r="D168">
        <f ca="1">IFERROR(__xludf.DUMMYFUNCTION("""COMPUTED_VALUE"""),14)</f>
        <v>14</v>
      </c>
      <c r="E168">
        <f ca="1">IFERROR(__xludf.DUMMYFUNCTION("""COMPUTED_VALUE"""),-0.363)</f>
        <v>-0.36299999999999999</v>
      </c>
      <c r="F168">
        <f ca="1">IFERROR(__xludf.DUMMYFUNCTION("""COMPUTED_VALUE"""),-3.631)</f>
        <v>-3.6309999999999998</v>
      </c>
      <c r="G168">
        <f ca="1">IFERROR(__xludf.DUMMYFUNCTION("""COMPUTED_VALUE"""),15.103)</f>
        <v>15.103</v>
      </c>
      <c r="H168">
        <f ca="1">IFERROR(__xludf.DUMMYFUNCTION("""COMPUTED_VALUE"""),-18.733)</f>
        <v>-18.733000000000001</v>
      </c>
      <c r="I168">
        <f ca="1">IFERROR(__xludf.DUMMYFUNCTION("""COMPUTED_VALUE"""),10)</f>
        <v>10</v>
      </c>
    </row>
    <row r="169" spans="1:9" ht="12.75">
      <c r="A169">
        <f ca="1">IFERROR(__xludf.DUMMYFUNCTION("""COMPUTED_VALUE"""),168)</f>
        <v>168</v>
      </c>
      <c r="B169">
        <f ca="1">IFERROR(__xludf.DUMMYFUNCTION("""COMPUTED_VALUE"""),212)</f>
        <v>212</v>
      </c>
      <c r="C169" t="str">
        <f ca="1">IFERROR(__xludf.DUMMYFUNCTION("""COMPUTED_VALUE"""),"Adam Long")</f>
        <v>Adam Long</v>
      </c>
      <c r="D169">
        <f ca="1">IFERROR(__xludf.DUMMYFUNCTION("""COMPUTED_VALUE"""),22)</f>
        <v>22</v>
      </c>
      <c r="E169">
        <f ca="1">IFERROR(__xludf.DUMMYFUNCTION("""COMPUTED_VALUE"""),-0.396)</f>
        <v>-0.39600000000000002</v>
      </c>
      <c r="F169">
        <f ca="1">IFERROR(__xludf.DUMMYFUNCTION("""COMPUTED_VALUE"""),-7.133)</f>
        <v>-7.133</v>
      </c>
      <c r="G169">
        <f ca="1">IFERROR(__xludf.DUMMYFUNCTION("""COMPUTED_VALUE"""),-9.915)</f>
        <v>-9.9149999999999991</v>
      </c>
      <c r="H169">
        <f ca="1">IFERROR(__xludf.DUMMYFUNCTION("""COMPUTED_VALUE"""),2.784)</f>
        <v>2.7839999999999998</v>
      </c>
      <c r="I169">
        <f ca="1">IFERROR(__xludf.DUMMYFUNCTION("""COMPUTED_VALUE"""),18)</f>
        <v>18</v>
      </c>
    </row>
    <row r="170" spans="1:9" ht="12.75">
      <c r="A170">
        <f ca="1">IFERROR(__xludf.DUMMYFUNCTION("""COMPUTED_VALUE"""),169)</f>
        <v>169</v>
      </c>
      <c r="B170">
        <f ca="1">IFERROR(__xludf.DUMMYFUNCTION("""COMPUTED_VALUE"""),151)</f>
        <v>151</v>
      </c>
      <c r="C170" t="str">
        <f ca="1">IFERROR(__xludf.DUMMYFUNCTION("""COMPUTED_VALUE"""),"Bo Hoag")</f>
        <v>Bo Hoag</v>
      </c>
      <c r="D170">
        <f ca="1">IFERROR(__xludf.DUMMYFUNCTION("""COMPUTED_VALUE"""),14)</f>
        <v>14</v>
      </c>
      <c r="E170">
        <f ca="1">IFERROR(__xludf.DUMMYFUNCTION("""COMPUTED_VALUE"""),-0.412)</f>
        <v>-0.41199999999999998</v>
      </c>
      <c r="F170">
        <f ca="1">IFERROR(__xludf.DUMMYFUNCTION("""COMPUTED_VALUE"""),-4.115)</f>
        <v>-4.1150000000000002</v>
      </c>
      <c r="G170">
        <f ca="1">IFERROR(__xludf.DUMMYFUNCTION("""COMPUTED_VALUE"""),-0.913)</f>
        <v>-0.91300000000000003</v>
      </c>
      <c r="H170">
        <f ca="1">IFERROR(__xludf.DUMMYFUNCTION("""COMPUTED_VALUE"""),-3.201)</f>
        <v>-3.2010000000000001</v>
      </c>
      <c r="I170">
        <f ca="1">IFERROR(__xludf.DUMMYFUNCTION("""COMPUTED_VALUE"""),10)</f>
        <v>10</v>
      </c>
    </row>
    <row r="171" spans="1:9" ht="12.75">
      <c r="A171">
        <f ca="1">IFERROR(__xludf.DUMMYFUNCTION("""COMPUTED_VALUE"""),170)</f>
        <v>170</v>
      </c>
      <c r="B171">
        <f ca="1">IFERROR(__xludf.DUMMYFUNCTION("""COMPUTED_VALUE"""),166)</f>
        <v>166</v>
      </c>
      <c r="C171" t="str">
        <f ca="1">IFERROR(__xludf.DUMMYFUNCTION("""COMPUTED_VALUE"""),"John Pak")</f>
        <v>John Pak</v>
      </c>
      <c r="D171">
        <f ca="1">IFERROR(__xludf.DUMMYFUNCTION("""COMPUTED_VALUE"""),4)</f>
        <v>4</v>
      </c>
      <c r="E171">
        <f ca="1">IFERROR(__xludf.DUMMYFUNCTION("""COMPUTED_VALUE"""),-0.414)</f>
        <v>-0.41399999999999998</v>
      </c>
      <c r="F171">
        <f ca="1">IFERROR(__xludf.DUMMYFUNCTION("""COMPUTED_VALUE"""),-1.654)</f>
        <v>-1.6539999999999999</v>
      </c>
      <c r="G171">
        <f ca="1">IFERROR(__xludf.DUMMYFUNCTION("""COMPUTED_VALUE"""),2.071)</f>
        <v>2.0710000000000002</v>
      </c>
      <c r="H171">
        <f ca="1">IFERROR(__xludf.DUMMYFUNCTION("""COMPUTED_VALUE"""),-3.725)</f>
        <v>-3.7250000000000001</v>
      </c>
      <c r="I171">
        <f ca="1">IFERROR(__xludf.DUMMYFUNCTION("""COMPUTED_VALUE"""),4)</f>
        <v>4</v>
      </c>
    </row>
    <row r="172" spans="1:9" ht="12.75">
      <c r="A172">
        <f ca="1">IFERROR(__xludf.DUMMYFUNCTION("""COMPUTED_VALUE"""),171)</f>
        <v>171</v>
      </c>
      <c r="B172">
        <f ca="1">IFERROR(__xludf.DUMMYFUNCTION("""COMPUTED_VALUE"""),168)</f>
        <v>168</v>
      </c>
      <c r="C172" t="str">
        <f ca="1">IFERROR(__xludf.DUMMYFUNCTION("""COMPUTED_VALUE"""),"Hanbyeol Kim")</f>
        <v>Hanbyeol Kim</v>
      </c>
      <c r="D172">
        <f ca="1">IFERROR(__xludf.DUMMYFUNCTION("""COMPUTED_VALUE"""),4)</f>
        <v>4</v>
      </c>
      <c r="E172">
        <f ca="1">IFERROR(__xludf.DUMMYFUNCTION("""COMPUTED_VALUE"""),-0.424)</f>
        <v>-0.42399999999999999</v>
      </c>
      <c r="F172">
        <f ca="1">IFERROR(__xludf.DUMMYFUNCTION("""COMPUTED_VALUE"""),-1.694)</f>
        <v>-1.694</v>
      </c>
      <c r="G172">
        <f ca="1">IFERROR(__xludf.DUMMYFUNCTION("""COMPUTED_VALUE"""),-4.534)</f>
        <v>-4.5339999999999998</v>
      </c>
      <c r="H172">
        <f ca="1">IFERROR(__xludf.DUMMYFUNCTION("""COMPUTED_VALUE"""),2.84)</f>
        <v>2.84</v>
      </c>
      <c r="I172">
        <f ca="1">IFERROR(__xludf.DUMMYFUNCTION("""COMPUTED_VALUE"""),4)</f>
        <v>4</v>
      </c>
    </row>
    <row r="173" spans="1:9" ht="12.75">
      <c r="A173">
        <f ca="1">IFERROR(__xludf.DUMMYFUNCTION("""COMPUTED_VALUE"""),172)</f>
        <v>172</v>
      </c>
      <c r="B173" t="str">
        <f ca="1">IFERROR(__xludf.DUMMYFUNCTION("""COMPUTED_VALUE"""),"")</f>
        <v/>
      </c>
      <c r="C173" t="str">
        <f ca="1">IFERROR(__xludf.DUMMYFUNCTION("""COMPUTED_VALUE"""),"Justin Harding")</f>
        <v>Justin Harding</v>
      </c>
      <c r="D173">
        <f ca="1">IFERROR(__xludf.DUMMYFUNCTION("""COMPUTED_VALUE"""),6)</f>
        <v>6</v>
      </c>
      <c r="E173">
        <f ca="1">IFERROR(__xludf.DUMMYFUNCTION("""COMPUTED_VALUE"""),-0.425)</f>
        <v>-0.42499999999999999</v>
      </c>
      <c r="F173">
        <f ca="1">IFERROR(__xludf.DUMMYFUNCTION("""COMPUTED_VALUE"""),-2.551)</f>
        <v>-2.5510000000000002</v>
      </c>
      <c r="G173">
        <f ca="1">IFERROR(__xludf.DUMMYFUNCTION("""COMPUTED_VALUE"""),0.739)</f>
        <v>0.73899999999999999</v>
      </c>
      <c r="H173">
        <f ca="1">IFERROR(__xludf.DUMMYFUNCTION("""COMPUTED_VALUE"""),-3.289)</f>
        <v>-3.2890000000000001</v>
      </c>
      <c r="I173">
        <f ca="1">IFERROR(__xludf.DUMMYFUNCTION("""COMPUTED_VALUE"""),6)</f>
        <v>6</v>
      </c>
    </row>
    <row r="174" spans="1:9" ht="12.75">
      <c r="A174">
        <f ca="1">IFERROR(__xludf.DUMMYFUNCTION("""COMPUTED_VALUE"""),173)</f>
        <v>173</v>
      </c>
      <c r="B174" t="str">
        <f ca="1">IFERROR(__xludf.DUMMYFUNCTION("""COMPUTED_VALUE"""),"T82")</f>
        <v>T82</v>
      </c>
      <c r="C174" t="str">
        <f ca="1">IFERROR(__xludf.DUMMYFUNCTION("""COMPUTED_VALUE"""),"Beau Hossler")</f>
        <v>Beau Hossler</v>
      </c>
      <c r="D174">
        <f ca="1">IFERROR(__xludf.DUMMYFUNCTION("""COMPUTED_VALUE"""),22)</f>
        <v>22</v>
      </c>
      <c r="E174">
        <f ca="1">IFERROR(__xludf.DUMMYFUNCTION("""COMPUTED_VALUE"""),-0.428)</f>
        <v>-0.42799999999999999</v>
      </c>
      <c r="F174">
        <f ca="1">IFERROR(__xludf.DUMMYFUNCTION("""COMPUTED_VALUE"""),-5.994)</f>
        <v>-5.9939999999999998</v>
      </c>
      <c r="G174">
        <f ca="1">IFERROR(__xludf.DUMMYFUNCTION("""COMPUTED_VALUE"""),-12.671)</f>
        <v>-12.670999999999999</v>
      </c>
      <c r="H174">
        <f ca="1">IFERROR(__xludf.DUMMYFUNCTION("""COMPUTED_VALUE"""),6.677)</f>
        <v>6.6769999999999996</v>
      </c>
      <c r="I174">
        <f ca="1">IFERROR(__xludf.DUMMYFUNCTION("""COMPUTED_VALUE"""),14)</f>
        <v>14</v>
      </c>
    </row>
    <row r="175" spans="1:9" ht="12.75">
      <c r="A175">
        <f ca="1">IFERROR(__xludf.DUMMYFUNCTION("""COMPUTED_VALUE"""),174)</f>
        <v>174</v>
      </c>
      <c r="B175">
        <f ca="1">IFERROR(__xludf.DUMMYFUNCTION("""COMPUTED_VALUE"""),204)</f>
        <v>204</v>
      </c>
      <c r="C175" t="str">
        <f ca="1">IFERROR(__xludf.DUMMYFUNCTION("""COMPUTED_VALUE"""),"Nate Lashley")</f>
        <v>Nate Lashley</v>
      </c>
      <c r="D175">
        <f ca="1">IFERROR(__xludf.DUMMYFUNCTION("""COMPUTED_VALUE"""),16)</f>
        <v>16</v>
      </c>
      <c r="E175">
        <f ca="1">IFERROR(__xludf.DUMMYFUNCTION("""COMPUTED_VALUE"""),-0.43)</f>
        <v>-0.43</v>
      </c>
      <c r="F175">
        <f ca="1">IFERROR(__xludf.DUMMYFUNCTION("""COMPUTED_VALUE"""),-5.162)</f>
        <v>-5.1619999999999999</v>
      </c>
      <c r="G175">
        <f ca="1">IFERROR(__xludf.DUMMYFUNCTION("""COMPUTED_VALUE"""),-3.802)</f>
        <v>-3.802</v>
      </c>
      <c r="H175">
        <f ca="1">IFERROR(__xludf.DUMMYFUNCTION("""COMPUTED_VALUE"""),-1.358)</f>
        <v>-1.3580000000000001</v>
      </c>
      <c r="I175">
        <f ca="1">IFERROR(__xludf.DUMMYFUNCTION("""COMPUTED_VALUE"""),12)</f>
        <v>12</v>
      </c>
    </row>
    <row r="176" spans="1:9" ht="12.75">
      <c r="A176">
        <f ca="1">IFERROR(__xludf.DUMMYFUNCTION("""COMPUTED_VALUE"""),175)</f>
        <v>175</v>
      </c>
      <c r="B176">
        <f ca="1">IFERROR(__xludf.DUMMYFUNCTION("""COMPUTED_VALUE"""),170)</f>
        <v>170</v>
      </c>
      <c r="C176" t="str">
        <f ca="1">IFERROR(__xludf.DUMMYFUNCTION("""COMPUTED_VALUE"""),"Chris Stroud")</f>
        <v>Chris Stroud</v>
      </c>
      <c r="D176">
        <f ca="1">IFERROR(__xludf.DUMMYFUNCTION("""COMPUTED_VALUE"""),6)</f>
        <v>6</v>
      </c>
      <c r="E176">
        <f ca="1">IFERROR(__xludf.DUMMYFUNCTION("""COMPUTED_VALUE"""),-0.442)</f>
        <v>-0.442</v>
      </c>
      <c r="F176">
        <f ca="1">IFERROR(__xludf.DUMMYFUNCTION("""COMPUTED_VALUE"""),-1.766)</f>
        <v>-1.766</v>
      </c>
      <c r="G176">
        <f ca="1">IFERROR(__xludf.DUMMYFUNCTION("""COMPUTED_VALUE"""),-2.518)</f>
        <v>-2.5179999999999998</v>
      </c>
      <c r="H176">
        <f ca="1">IFERROR(__xludf.DUMMYFUNCTION("""COMPUTED_VALUE"""),0.753)</f>
        <v>0.753</v>
      </c>
      <c r="I176">
        <f ca="1">IFERROR(__xludf.DUMMYFUNCTION("""COMPUTED_VALUE"""),4)</f>
        <v>4</v>
      </c>
    </row>
    <row r="177" spans="1:9" ht="12.75">
      <c r="A177">
        <f ca="1">IFERROR(__xludf.DUMMYFUNCTION("""COMPUTED_VALUE"""),176)</f>
        <v>176</v>
      </c>
      <c r="B177">
        <f ca="1">IFERROR(__xludf.DUMMYFUNCTION("""COMPUTED_VALUE"""),171)</f>
        <v>171</v>
      </c>
      <c r="C177" t="str">
        <f ca="1">IFERROR(__xludf.DUMMYFUNCTION("""COMPUTED_VALUE"""),"Nick Watney")</f>
        <v>Nick Watney</v>
      </c>
      <c r="D177">
        <f ca="1">IFERROR(__xludf.DUMMYFUNCTION("""COMPUTED_VALUE"""),10)</f>
        <v>10</v>
      </c>
      <c r="E177">
        <f ca="1">IFERROR(__xludf.DUMMYFUNCTION("""COMPUTED_VALUE"""),-0.467)</f>
        <v>-0.46700000000000003</v>
      </c>
      <c r="F177">
        <f ca="1">IFERROR(__xludf.DUMMYFUNCTION("""COMPUTED_VALUE"""),-3.736)</f>
        <v>-3.7360000000000002</v>
      </c>
      <c r="G177">
        <f ca="1">IFERROR(__xludf.DUMMYFUNCTION("""COMPUTED_VALUE"""),-0.732)</f>
        <v>-0.73199999999999998</v>
      </c>
      <c r="H177">
        <f ca="1">IFERROR(__xludf.DUMMYFUNCTION("""COMPUTED_VALUE"""),-3.003)</f>
        <v>-3.0030000000000001</v>
      </c>
      <c r="I177">
        <f ca="1">IFERROR(__xludf.DUMMYFUNCTION("""COMPUTED_VALUE"""),8)</f>
        <v>8</v>
      </c>
    </row>
    <row r="178" spans="1:9" ht="12.75">
      <c r="A178">
        <f ca="1">IFERROR(__xludf.DUMMYFUNCTION("""COMPUTED_VALUE"""),177)</f>
        <v>177</v>
      </c>
      <c r="B178">
        <f ca="1">IFERROR(__xludf.DUMMYFUNCTION("""COMPUTED_VALUE"""),172)</f>
        <v>172</v>
      </c>
      <c r="C178" t="str">
        <f ca="1">IFERROR(__xludf.DUMMYFUNCTION("""COMPUTED_VALUE"""),"Brandon Hagy")</f>
        <v>Brandon Hagy</v>
      </c>
      <c r="D178">
        <f ca="1">IFERROR(__xludf.DUMMYFUNCTION("""COMPUTED_VALUE"""),10)</f>
        <v>10</v>
      </c>
      <c r="E178">
        <f ca="1">IFERROR(__xludf.DUMMYFUNCTION("""COMPUTED_VALUE"""),-0.486)</f>
        <v>-0.48599999999999999</v>
      </c>
      <c r="F178">
        <f ca="1">IFERROR(__xludf.DUMMYFUNCTION("""COMPUTED_VALUE"""),-2.917)</f>
        <v>-2.9169999999999998</v>
      </c>
      <c r="G178">
        <f ca="1">IFERROR(__xludf.DUMMYFUNCTION("""COMPUTED_VALUE"""),-0.61)</f>
        <v>-0.61</v>
      </c>
      <c r="H178">
        <f ca="1">IFERROR(__xludf.DUMMYFUNCTION("""COMPUTED_VALUE"""),-2.307)</f>
        <v>-2.3069999999999999</v>
      </c>
      <c r="I178">
        <f ca="1">IFERROR(__xludf.DUMMYFUNCTION("""COMPUTED_VALUE"""),6)</f>
        <v>6</v>
      </c>
    </row>
    <row r="179" spans="1:9" ht="12.75">
      <c r="A179">
        <f ca="1">IFERROR(__xludf.DUMMYFUNCTION("""COMPUTED_VALUE"""),178)</f>
        <v>178</v>
      </c>
      <c r="B179">
        <f ca="1">IFERROR(__xludf.DUMMYFUNCTION("""COMPUTED_VALUE"""),162)</f>
        <v>162</v>
      </c>
      <c r="C179" t="str">
        <f ca="1">IFERROR(__xludf.DUMMYFUNCTION("""COMPUTED_VALUE"""),"Matt Jones")</f>
        <v>Matt Jones</v>
      </c>
      <c r="D179">
        <f ca="1">IFERROR(__xludf.DUMMYFUNCTION("""COMPUTED_VALUE"""),20)</f>
        <v>20</v>
      </c>
      <c r="E179">
        <f ca="1">IFERROR(__xludf.DUMMYFUNCTION("""COMPUTED_VALUE"""),-0.503)</f>
        <v>-0.503</v>
      </c>
      <c r="F179">
        <f ca="1">IFERROR(__xludf.DUMMYFUNCTION("""COMPUTED_VALUE"""),-6.041)</f>
        <v>-6.0410000000000004</v>
      </c>
      <c r="G179">
        <f ca="1">IFERROR(__xludf.DUMMYFUNCTION("""COMPUTED_VALUE"""),-9.615)</f>
        <v>-9.6150000000000002</v>
      </c>
      <c r="H179">
        <f ca="1">IFERROR(__xludf.DUMMYFUNCTION("""COMPUTED_VALUE"""),3.576)</f>
        <v>3.5760000000000001</v>
      </c>
      <c r="I179">
        <f ca="1">IFERROR(__xludf.DUMMYFUNCTION("""COMPUTED_VALUE"""),12)</f>
        <v>12</v>
      </c>
    </row>
    <row r="180" spans="1:9" ht="12.75">
      <c r="A180">
        <f ca="1">IFERROR(__xludf.DUMMYFUNCTION("""COMPUTED_VALUE"""),179)</f>
        <v>179</v>
      </c>
      <c r="B180">
        <f ca="1">IFERROR(__xludf.DUMMYFUNCTION("""COMPUTED_VALUE"""),160)</f>
        <v>160</v>
      </c>
      <c r="C180" t="str">
        <f ca="1">IFERROR(__xludf.DUMMYFUNCTION("""COMPUTED_VALUE"""),"Andrew Landry")</f>
        <v>Andrew Landry</v>
      </c>
      <c r="D180">
        <f ca="1">IFERROR(__xludf.DUMMYFUNCTION("""COMPUTED_VALUE"""),14)</f>
        <v>14</v>
      </c>
      <c r="E180">
        <f ca="1">IFERROR(__xludf.DUMMYFUNCTION("""COMPUTED_VALUE"""),-0.505)</f>
        <v>-0.505</v>
      </c>
      <c r="F180">
        <f ca="1">IFERROR(__xludf.DUMMYFUNCTION("""COMPUTED_VALUE"""),-7.065)</f>
        <v>-7.0650000000000004</v>
      </c>
      <c r="G180">
        <f ca="1">IFERROR(__xludf.DUMMYFUNCTION("""COMPUTED_VALUE"""),0.148)</f>
        <v>0.14799999999999999</v>
      </c>
      <c r="H180">
        <f ca="1">IFERROR(__xludf.DUMMYFUNCTION("""COMPUTED_VALUE"""),-7.213)</f>
        <v>-7.2130000000000001</v>
      </c>
      <c r="I180">
        <f ca="1">IFERROR(__xludf.DUMMYFUNCTION("""COMPUTED_VALUE"""),14)</f>
        <v>14</v>
      </c>
    </row>
    <row r="181" spans="1:9" ht="12.75">
      <c r="A181">
        <f ca="1">IFERROR(__xludf.DUMMYFUNCTION("""COMPUTED_VALUE"""),180)</f>
        <v>180</v>
      </c>
      <c r="B181">
        <f ca="1">IFERROR(__xludf.DUMMYFUNCTION("""COMPUTED_VALUE"""),173)</f>
        <v>173</v>
      </c>
      <c r="C181" t="str">
        <f ca="1">IFERROR(__xludf.DUMMYFUNCTION("""COMPUTED_VALUE"""),"Rickie Fowler")</f>
        <v>Rickie Fowler</v>
      </c>
      <c r="D181">
        <f ca="1">IFERROR(__xludf.DUMMYFUNCTION("""COMPUTED_VALUE"""),14)</f>
        <v>14</v>
      </c>
      <c r="E181">
        <f ca="1">IFERROR(__xludf.DUMMYFUNCTION("""COMPUTED_VALUE"""),-0.509)</f>
        <v>-0.50900000000000001</v>
      </c>
      <c r="F181">
        <f ca="1">IFERROR(__xludf.DUMMYFUNCTION("""COMPUTED_VALUE"""),-7.128)</f>
        <v>-7.1280000000000001</v>
      </c>
      <c r="G181">
        <f ca="1">IFERROR(__xludf.DUMMYFUNCTION("""COMPUTED_VALUE"""),-4.31)</f>
        <v>-4.3099999999999996</v>
      </c>
      <c r="H181">
        <f ca="1">IFERROR(__xludf.DUMMYFUNCTION("""COMPUTED_VALUE"""),-2.817)</f>
        <v>-2.8170000000000002</v>
      </c>
      <c r="I181">
        <f ca="1">IFERROR(__xludf.DUMMYFUNCTION("""COMPUTED_VALUE"""),14)</f>
        <v>14</v>
      </c>
    </row>
    <row r="182" spans="1:9" ht="12.75">
      <c r="A182">
        <f ca="1">IFERROR(__xludf.DUMMYFUNCTION("""COMPUTED_VALUE"""),181)</f>
        <v>181</v>
      </c>
      <c r="B182">
        <f ca="1">IFERROR(__xludf.DUMMYFUNCTION("""COMPUTED_VALUE"""),178)</f>
        <v>178</v>
      </c>
      <c r="C182" t="str">
        <f ca="1">IFERROR(__xludf.DUMMYFUNCTION("""COMPUTED_VALUE"""),"Jordan Spieth")</f>
        <v>Jordan Spieth</v>
      </c>
      <c r="D182">
        <f ca="1">IFERROR(__xludf.DUMMYFUNCTION("""COMPUTED_VALUE"""),14)</f>
        <v>14</v>
      </c>
      <c r="E182">
        <f ca="1">IFERROR(__xludf.DUMMYFUNCTION("""COMPUTED_VALUE"""),-0.538)</f>
        <v>-0.53800000000000003</v>
      </c>
      <c r="F182">
        <f ca="1">IFERROR(__xludf.DUMMYFUNCTION("""COMPUTED_VALUE"""),-7.527)</f>
        <v>-7.5270000000000001</v>
      </c>
      <c r="G182">
        <f ca="1">IFERROR(__xludf.DUMMYFUNCTION("""COMPUTED_VALUE"""),-8.725)</f>
        <v>-8.7249999999999996</v>
      </c>
      <c r="H182">
        <f ca="1">IFERROR(__xludf.DUMMYFUNCTION("""COMPUTED_VALUE"""),1.198)</f>
        <v>1.198</v>
      </c>
      <c r="I182">
        <f ca="1">IFERROR(__xludf.DUMMYFUNCTION("""COMPUTED_VALUE"""),14)</f>
        <v>14</v>
      </c>
    </row>
    <row r="183" spans="1:9" ht="12.75">
      <c r="A183">
        <f ca="1">IFERROR(__xludf.DUMMYFUNCTION("""COMPUTED_VALUE"""),182)</f>
        <v>182</v>
      </c>
      <c r="B183" t="str">
        <f ca="1">IFERROR(__xludf.DUMMYFUNCTION("""COMPUTED_VALUE"""),"T176")</f>
        <v>T176</v>
      </c>
      <c r="C183" t="str">
        <f ca="1">IFERROR(__xludf.DUMMYFUNCTION("""COMPUTED_VALUE"""),"Luke List")</f>
        <v>Luke List</v>
      </c>
      <c r="D183">
        <f ca="1">IFERROR(__xludf.DUMMYFUNCTION("""COMPUTED_VALUE"""),18)</f>
        <v>18</v>
      </c>
      <c r="E183">
        <f ca="1">IFERROR(__xludf.DUMMYFUNCTION("""COMPUTED_VALUE"""),-0.612)</f>
        <v>-0.61199999999999999</v>
      </c>
      <c r="F183">
        <f ca="1">IFERROR(__xludf.DUMMYFUNCTION("""COMPUTED_VALUE"""),-6.115)</f>
        <v>-6.1150000000000002</v>
      </c>
      <c r="G183">
        <f ca="1">IFERROR(__xludf.DUMMYFUNCTION("""COMPUTED_VALUE"""),4.822)</f>
        <v>4.8220000000000001</v>
      </c>
      <c r="H183">
        <f ca="1">IFERROR(__xludf.DUMMYFUNCTION("""COMPUTED_VALUE"""),-10.935)</f>
        <v>-10.935</v>
      </c>
      <c r="I183">
        <f ca="1">IFERROR(__xludf.DUMMYFUNCTION("""COMPUTED_VALUE"""),10)</f>
        <v>10</v>
      </c>
    </row>
    <row r="184" spans="1:9" ht="12.75">
      <c r="A184">
        <f ca="1">IFERROR(__xludf.DUMMYFUNCTION("""COMPUTED_VALUE"""),183)</f>
        <v>183</v>
      </c>
      <c r="B184">
        <f ca="1">IFERROR(__xludf.DUMMYFUNCTION("""COMPUTED_VALUE"""),169)</f>
        <v>169</v>
      </c>
      <c r="C184" t="str">
        <f ca="1">IFERROR(__xludf.DUMMYFUNCTION("""COMPUTED_VALUE"""),"Kevin Tway")</f>
        <v>Kevin Tway</v>
      </c>
      <c r="D184">
        <f ca="1">IFERROR(__xludf.DUMMYFUNCTION("""COMPUTED_VALUE"""),16)</f>
        <v>16</v>
      </c>
      <c r="E184">
        <f ca="1">IFERROR(__xludf.DUMMYFUNCTION("""COMPUTED_VALUE"""),-0.621)</f>
        <v>-0.621</v>
      </c>
      <c r="F184">
        <f ca="1">IFERROR(__xludf.DUMMYFUNCTION("""COMPUTED_VALUE"""),-4.964)</f>
        <v>-4.9640000000000004</v>
      </c>
      <c r="G184">
        <f ca="1">IFERROR(__xludf.DUMMYFUNCTION("""COMPUTED_VALUE"""),4.936)</f>
        <v>4.9359999999999999</v>
      </c>
      <c r="H184">
        <f ca="1">IFERROR(__xludf.DUMMYFUNCTION("""COMPUTED_VALUE"""),-9.898)</f>
        <v>-9.8979999999999997</v>
      </c>
      <c r="I184">
        <f ca="1">IFERROR(__xludf.DUMMYFUNCTION("""COMPUTED_VALUE"""),8)</f>
        <v>8</v>
      </c>
    </row>
    <row r="185" spans="1:9" ht="12.75">
      <c r="A185" t="str">
        <f ca="1">IFERROR(__xludf.DUMMYFUNCTION("""COMPUTED_VALUE"""),"T184")</f>
        <v>T184</v>
      </c>
      <c r="B185" t="str">
        <f ca="1">IFERROR(__xludf.DUMMYFUNCTION("""COMPUTED_VALUE"""),"T183")</f>
        <v>T183</v>
      </c>
      <c r="C185" t="str">
        <f ca="1">IFERROR(__xludf.DUMMYFUNCTION("""COMPUTED_VALUE"""),"Rafael Campos")</f>
        <v>Rafael Campos</v>
      </c>
      <c r="D185">
        <f ca="1">IFERROR(__xludf.DUMMYFUNCTION("""COMPUTED_VALUE"""),6)</f>
        <v>6</v>
      </c>
      <c r="E185">
        <f ca="1">IFERROR(__xludf.DUMMYFUNCTION("""COMPUTED_VALUE"""),-0.654)</f>
        <v>-0.65400000000000003</v>
      </c>
      <c r="F185">
        <f ca="1">IFERROR(__xludf.DUMMYFUNCTION("""COMPUTED_VALUE"""),-1.307)</f>
        <v>-1.3069999999999999</v>
      </c>
      <c r="G185">
        <f ca="1">IFERROR(__xludf.DUMMYFUNCTION("""COMPUTED_VALUE"""),-1.508)</f>
        <v>-1.508</v>
      </c>
      <c r="H185">
        <f ca="1">IFERROR(__xludf.DUMMYFUNCTION("""COMPUTED_VALUE"""),0.201)</f>
        <v>0.20100000000000001</v>
      </c>
      <c r="I185">
        <f ca="1">IFERROR(__xludf.DUMMYFUNCTION("""COMPUTED_VALUE"""),2)</f>
        <v>2</v>
      </c>
    </row>
    <row r="186" spans="1:9" ht="12.75">
      <c r="A186" t="str">
        <f ca="1">IFERROR(__xludf.DUMMYFUNCTION("""COMPUTED_VALUE"""),"T184")</f>
        <v>T184</v>
      </c>
      <c r="B186" t="str">
        <f ca="1">IFERROR(__xludf.DUMMYFUNCTION("""COMPUTED_VALUE"""),"T183")</f>
        <v>T183</v>
      </c>
      <c r="C186" t="str">
        <f ca="1">IFERROR(__xludf.DUMMYFUNCTION("""COMPUTED_VALUE"""),"Michael Gellerman")</f>
        <v>Michael Gellerman</v>
      </c>
      <c r="D186">
        <f ca="1">IFERROR(__xludf.DUMMYFUNCTION("""COMPUTED_VALUE"""),5)</f>
        <v>5</v>
      </c>
      <c r="E186">
        <f ca="1">IFERROR(__xludf.DUMMYFUNCTION("""COMPUTED_VALUE"""),-0.654)</f>
        <v>-0.65400000000000003</v>
      </c>
      <c r="F186">
        <f ca="1">IFERROR(__xludf.DUMMYFUNCTION("""COMPUTED_VALUE"""),-1.307)</f>
        <v>-1.3069999999999999</v>
      </c>
      <c r="G186">
        <f ca="1">IFERROR(__xludf.DUMMYFUNCTION("""COMPUTED_VALUE"""),-1.924)</f>
        <v>-1.9239999999999999</v>
      </c>
      <c r="H186">
        <f ca="1">IFERROR(__xludf.DUMMYFUNCTION("""COMPUTED_VALUE"""),0.617)</f>
        <v>0.61699999999999999</v>
      </c>
      <c r="I186">
        <f ca="1">IFERROR(__xludf.DUMMYFUNCTION("""COMPUTED_VALUE"""),2)</f>
        <v>2</v>
      </c>
    </row>
    <row r="187" spans="1:9" ht="12.75">
      <c r="A187">
        <f ca="1">IFERROR(__xludf.DUMMYFUNCTION("""COMPUTED_VALUE"""),186)</f>
        <v>186</v>
      </c>
      <c r="B187" t="str">
        <f ca="1">IFERROR(__xludf.DUMMYFUNCTION("""COMPUTED_VALUE"""),"")</f>
        <v/>
      </c>
      <c r="C187" t="str">
        <f ca="1">IFERROR(__xludf.DUMMYFUNCTION("""COMPUTED_VALUE"""),"Ollie Schniederjans")</f>
        <v>Ollie Schniederjans</v>
      </c>
      <c r="D187">
        <f ca="1">IFERROR(__xludf.DUMMYFUNCTION("""COMPUTED_VALUE"""),6)</f>
        <v>6</v>
      </c>
      <c r="E187">
        <f ca="1">IFERROR(__xludf.DUMMYFUNCTION("""COMPUTED_VALUE"""),-0.69)</f>
        <v>-0.69</v>
      </c>
      <c r="F187">
        <f ca="1">IFERROR(__xludf.DUMMYFUNCTION("""COMPUTED_VALUE"""),-1.379)</f>
        <v>-1.379</v>
      </c>
      <c r="G187">
        <f ca="1">IFERROR(__xludf.DUMMYFUNCTION("""COMPUTED_VALUE"""),-3.901)</f>
        <v>-3.9009999999999998</v>
      </c>
      <c r="H187">
        <f ca="1">IFERROR(__xludf.DUMMYFUNCTION("""COMPUTED_VALUE"""),2.522)</f>
        <v>2.5219999999999998</v>
      </c>
      <c r="I187">
        <f ca="1">IFERROR(__xludf.DUMMYFUNCTION("""COMPUTED_VALUE"""),2)</f>
        <v>2</v>
      </c>
    </row>
    <row r="188" spans="1:9" ht="12.75">
      <c r="A188">
        <f ca="1">IFERROR(__xludf.DUMMYFUNCTION("""COMPUTED_VALUE"""),187)</f>
        <v>187</v>
      </c>
      <c r="B188">
        <f ca="1">IFERROR(__xludf.DUMMYFUNCTION("""COMPUTED_VALUE"""),185)</f>
        <v>185</v>
      </c>
      <c r="C188" t="str">
        <f ca="1">IFERROR(__xludf.DUMMYFUNCTION("""COMPUTED_VALUE"""),"Chan Kim")</f>
        <v>Chan Kim</v>
      </c>
      <c r="D188">
        <f ca="1">IFERROR(__xludf.DUMMYFUNCTION("""COMPUTED_VALUE"""),6)</f>
        <v>6</v>
      </c>
      <c r="E188">
        <f ca="1">IFERROR(__xludf.DUMMYFUNCTION("""COMPUTED_VALUE"""),-0.691)</f>
        <v>-0.69099999999999995</v>
      </c>
      <c r="F188">
        <f ca="1">IFERROR(__xludf.DUMMYFUNCTION("""COMPUTED_VALUE"""),-4.146)</f>
        <v>-4.1459999999999999</v>
      </c>
      <c r="G188">
        <f ca="1">IFERROR(__xludf.DUMMYFUNCTION("""COMPUTED_VALUE"""),2.314)</f>
        <v>2.3140000000000001</v>
      </c>
      <c r="H188">
        <f ca="1">IFERROR(__xludf.DUMMYFUNCTION("""COMPUTED_VALUE"""),-6.459)</f>
        <v>-6.4589999999999996</v>
      </c>
      <c r="I188">
        <f ca="1">IFERROR(__xludf.DUMMYFUNCTION("""COMPUTED_VALUE"""),6)</f>
        <v>6</v>
      </c>
    </row>
    <row r="189" spans="1:9" ht="12.75">
      <c r="A189">
        <f ca="1">IFERROR(__xludf.DUMMYFUNCTION("""COMPUTED_VALUE"""),188)</f>
        <v>188</v>
      </c>
      <c r="B189">
        <f ca="1">IFERROR(__xludf.DUMMYFUNCTION("""COMPUTED_VALUE"""),186)</f>
        <v>186</v>
      </c>
      <c r="C189" t="str">
        <f ca="1">IFERROR(__xludf.DUMMYFUNCTION("""COMPUTED_VALUE"""),"Sebastian Cappelen")</f>
        <v>Sebastian Cappelen</v>
      </c>
      <c r="D189">
        <f ca="1">IFERROR(__xludf.DUMMYFUNCTION("""COMPUTED_VALUE"""),8)</f>
        <v>8</v>
      </c>
      <c r="E189">
        <f ca="1">IFERROR(__xludf.DUMMYFUNCTION("""COMPUTED_VALUE"""),-0.692)</f>
        <v>-0.69199999999999995</v>
      </c>
      <c r="F189">
        <f ca="1">IFERROR(__xludf.DUMMYFUNCTION("""COMPUTED_VALUE"""),-2.766)</f>
        <v>-2.766</v>
      </c>
      <c r="G189">
        <f ca="1">IFERROR(__xludf.DUMMYFUNCTION("""COMPUTED_VALUE"""),-1.568)</f>
        <v>-1.5680000000000001</v>
      </c>
      <c r="H189">
        <f ca="1">IFERROR(__xludf.DUMMYFUNCTION("""COMPUTED_VALUE"""),-1.197)</f>
        <v>-1.1970000000000001</v>
      </c>
      <c r="I189">
        <f ca="1">IFERROR(__xludf.DUMMYFUNCTION("""COMPUTED_VALUE"""),4)</f>
        <v>4</v>
      </c>
    </row>
    <row r="190" spans="1:9" ht="12.75">
      <c r="A190">
        <f ca="1">IFERROR(__xludf.DUMMYFUNCTION("""COMPUTED_VALUE"""),189)</f>
        <v>189</v>
      </c>
      <c r="B190">
        <f ca="1">IFERROR(__xludf.DUMMYFUNCTION("""COMPUTED_VALUE"""),188)</f>
        <v>188</v>
      </c>
      <c r="C190" t="str">
        <f ca="1">IFERROR(__xludf.DUMMYFUNCTION("""COMPUTED_VALUE"""),"Gunn Charoenkul")</f>
        <v>Gunn Charoenkul</v>
      </c>
      <c r="D190">
        <f ca="1">IFERROR(__xludf.DUMMYFUNCTION("""COMPUTED_VALUE"""),4)</f>
        <v>4</v>
      </c>
      <c r="E190">
        <f ca="1">IFERROR(__xludf.DUMMYFUNCTION("""COMPUTED_VALUE"""),-0.74)</f>
        <v>-0.74</v>
      </c>
      <c r="F190">
        <f ca="1">IFERROR(__xludf.DUMMYFUNCTION("""COMPUTED_VALUE"""),-2.961)</f>
        <v>-2.9609999999999999</v>
      </c>
      <c r="G190">
        <f ca="1">IFERROR(__xludf.DUMMYFUNCTION("""COMPUTED_VALUE"""),1.567)</f>
        <v>1.5669999999999999</v>
      </c>
      <c r="H190">
        <f ca="1">IFERROR(__xludf.DUMMYFUNCTION("""COMPUTED_VALUE"""),-4.528)</f>
        <v>-4.5279999999999996</v>
      </c>
      <c r="I190">
        <f ca="1">IFERROR(__xludf.DUMMYFUNCTION("""COMPUTED_VALUE"""),4)</f>
        <v>4</v>
      </c>
    </row>
    <row r="191" spans="1:9" ht="12.75">
      <c r="A191">
        <f ca="1">IFERROR(__xludf.DUMMYFUNCTION("""COMPUTED_VALUE"""),190)</f>
        <v>190</v>
      </c>
      <c r="B191" t="str">
        <f ca="1">IFERROR(__xludf.DUMMYFUNCTION("""COMPUTED_VALUE"""),"T176")</f>
        <v>T176</v>
      </c>
      <c r="C191" t="str">
        <f ca="1">IFERROR(__xludf.DUMMYFUNCTION("""COMPUTED_VALUE"""),"Jamie Lovemark")</f>
        <v>Jamie Lovemark</v>
      </c>
      <c r="D191">
        <f ca="1">IFERROR(__xludf.DUMMYFUNCTION("""COMPUTED_VALUE"""),18)</f>
        <v>18</v>
      </c>
      <c r="E191">
        <f ca="1">IFERROR(__xludf.DUMMYFUNCTION("""COMPUTED_VALUE"""),-0.758)</f>
        <v>-0.75800000000000001</v>
      </c>
      <c r="F191">
        <f ca="1">IFERROR(__xludf.DUMMYFUNCTION("""COMPUTED_VALUE"""),-9.101)</f>
        <v>-9.1010000000000009</v>
      </c>
      <c r="G191">
        <f ca="1">IFERROR(__xludf.DUMMYFUNCTION("""COMPUTED_VALUE"""),-4.449)</f>
        <v>-4.4489999999999998</v>
      </c>
      <c r="H191">
        <f ca="1">IFERROR(__xludf.DUMMYFUNCTION("""COMPUTED_VALUE"""),-4.651)</f>
        <v>-4.6509999999999998</v>
      </c>
      <c r="I191">
        <f ca="1">IFERROR(__xludf.DUMMYFUNCTION("""COMPUTED_VALUE"""),12)</f>
        <v>12</v>
      </c>
    </row>
    <row r="192" spans="1:9" ht="12.75">
      <c r="A192">
        <f ca="1">IFERROR(__xludf.DUMMYFUNCTION("""COMPUTED_VALUE"""),191)</f>
        <v>191</v>
      </c>
      <c r="B192">
        <f ca="1">IFERROR(__xludf.DUMMYFUNCTION("""COMPUTED_VALUE"""),189)</f>
        <v>189</v>
      </c>
      <c r="C192" t="str">
        <f ca="1">IFERROR(__xludf.DUMMYFUNCTION("""COMPUTED_VALUE"""),"Steve Lewton")</f>
        <v>Steve Lewton</v>
      </c>
      <c r="D192">
        <f ca="1">IFERROR(__xludf.DUMMYFUNCTION("""COMPUTED_VALUE"""),4)</f>
        <v>4</v>
      </c>
      <c r="E192">
        <f ca="1">IFERROR(__xludf.DUMMYFUNCTION("""COMPUTED_VALUE"""),-0.782)</f>
        <v>-0.78200000000000003</v>
      </c>
      <c r="F192">
        <f ca="1">IFERROR(__xludf.DUMMYFUNCTION("""COMPUTED_VALUE"""),-3.126)</f>
        <v>-3.1259999999999999</v>
      </c>
      <c r="G192">
        <f ca="1">IFERROR(__xludf.DUMMYFUNCTION("""COMPUTED_VALUE"""),-7.219)</f>
        <v>-7.2190000000000003</v>
      </c>
      <c r="H192">
        <f ca="1">IFERROR(__xludf.DUMMYFUNCTION("""COMPUTED_VALUE"""),4.094)</f>
        <v>4.0940000000000003</v>
      </c>
      <c r="I192">
        <f ca="1">IFERROR(__xludf.DUMMYFUNCTION("""COMPUTED_VALUE"""),4)</f>
        <v>4</v>
      </c>
    </row>
    <row r="193" spans="1:9" ht="12.75">
      <c r="A193">
        <f ca="1">IFERROR(__xludf.DUMMYFUNCTION("""COMPUTED_VALUE"""),192)</f>
        <v>192</v>
      </c>
      <c r="B193">
        <f ca="1">IFERROR(__xludf.DUMMYFUNCTION("""COMPUTED_VALUE"""),190)</f>
        <v>190</v>
      </c>
      <c r="C193" t="str">
        <f ca="1">IFERROR(__xludf.DUMMYFUNCTION("""COMPUTED_VALUE"""),"William McGirt")</f>
        <v>William McGirt</v>
      </c>
      <c r="D193">
        <f ca="1">IFERROR(__xludf.DUMMYFUNCTION("""COMPUTED_VALUE"""),6)</f>
        <v>6</v>
      </c>
      <c r="E193">
        <f ca="1">IFERROR(__xludf.DUMMYFUNCTION("""COMPUTED_VALUE"""),-0.82)</f>
        <v>-0.82</v>
      </c>
      <c r="F193">
        <f ca="1">IFERROR(__xludf.DUMMYFUNCTION("""COMPUTED_VALUE"""),-4.917)</f>
        <v>-4.9169999999999998</v>
      </c>
      <c r="G193">
        <f ca="1">IFERROR(__xludf.DUMMYFUNCTION("""COMPUTED_VALUE"""),-1.359)</f>
        <v>-1.359</v>
      </c>
      <c r="H193">
        <f ca="1">IFERROR(__xludf.DUMMYFUNCTION("""COMPUTED_VALUE"""),-3.558)</f>
        <v>-3.5579999999999998</v>
      </c>
      <c r="I193">
        <f ca="1">IFERROR(__xludf.DUMMYFUNCTION("""COMPUTED_VALUE"""),6)</f>
        <v>6</v>
      </c>
    </row>
    <row r="194" spans="1:9" ht="12.75">
      <c r="A194">
        <f ca="1">IFERROR(__xludf.DUMMYFUNCTION("""COMPUTED_VALUE"""),193)</f>
        <v>193</v>
      </c>
      <c r="B194">
        <f ca="1">IFERROR(__xludf.DUMMYFUNCTION("""COMPUTED_VALUE"""),181)</f>
        <v>181</v>
      </c>
      <c r="C194" t="str">
        <f ca="1">IFERROR(__xludf.DUMMYFUNCTION("""COMPUTED_VALUE"""),"Alex Noren")</f>
        <v>Alex Noren</v>
      </c>
      <c r="D194">
        <f ca="1">IFERROR(__xludf.DUMMYFUNCTION("""COMPUTED_VALUE"""),14)</f>
        <v>14</v>
      </c>
      <c r="E194">
        <f ca="1">IFERROR(__xludf.DUMMYFUNCTION("""COMPUTED_VALUE"""),-0.835)</f>
        <v>-0.83499999999999996</v>
      </c>
      <c r="F194">
        <f ca="1">IFERROR(__xludf.DUMMYFUNCTION("""COMPUTED_VALUE"""),-11.688)</f>
        <v>-11.688000000000001</v>
      </c>
      <c r="G194">
        <f ca="1">IFERROR(__xludf.DUMMYFUNCTION("""COMPUTED_VALUE"""),-17.416)</f>
        <v>-17.416</v>
      </c>
      <c r="H194">
        <f ca="1">IFERROR(__xludf.DUMMYFUNCTION("""COMPUTED_VALUE"""),5.728)</f>
        <v>5.7279999999999998</v>
      </c>
      <c r="I194">
        <f ca="1">IFERROR(__xludf.DUMMYFUNCTION("""COMPUTED_VALUE"""),14)</f>
        <v>14</v>
      </c>
    </row>
    <row r="195" spans="1:9" ht="12.75">
      <c r="A195">
        <f ca="1">IFERROR(__xludf.DUMMYFUNCTION("""COMPUTED_VALUE"""),194)</f>
        <v>194</v>
      </c>
      <c r="B195">
        <f ca="1">IFERROR(__xludf.DUMMYFUNCTION("""COMPUTED_VALUE"""),191)</f>
        <v>191</v>
      </c>
      <c r="C195" t="str">
        <f ca="1">IFERROR(__xludf.DUMMYFUNCTION("""COMPUTED_VALUE"""),"Kyle Stanley")</f>
        <v>Kyle Stanley</v>
      </c>
      <c r="D195">
        <f ca="1">IFERROR(__xludf.DUMMYFUNCTION("""COMPUTED_VALUE"""),16)</f>
        <v>16</v>
      </c>
      <c r="E195">
        <f ca="1">IFERROR(__xludf.DUMMYFUNCTION("""COMPUTED_VALUE"""),-0.842)</f>
        <v>-0.84199999999999997</v>
      </c>
      <c r="F195">
        <f ca="1">IFERROR(__xludf.DUMMYFUNCTION("""COMPUTED_VALUE"""),-6.736)</f>
        <v>-6.7359999999999998</v>
      </c>
      <c r="G195">
        <f ca="1">IFERROR(__xludf.DUMMYFUNCTION("""COMPUTED_VALUE"""),-0.295)</f>
        <v>-0.29499999999999998</v>
      </c>
      <c r="H195">
        <f ca="1">IFERROR(__xludf.DUMMYFUNCTION("""COMPUTED_VALUE"""),-6.439)</f>
        <v>-6.4390000000000001</v>
      </c>
      <c r="I195">
        <f ca="1">IFERROR(__xludf.DUMMYFUNCTION("""COMPUTED_VALUE"""),8)</f>
        <v>8</v>
      </c>
    </row>
    <row r="196" spans="1:9" ht="12.75">
      <c r="A196">
        <f ca="1">IFERROR(__xludf.DUMMYFUNCTION("""COMPUTED_VALUE"""),195)</f>
        <v>195</v>
      </c>
      <c r="B196">
        <f ca="1">IFERROR(__xludf.DUMMYFUNCTION("""COMPUTED_VALUE"""),192)</f>
        <v>192</v>
      </c>
      <c r="C196" t="str">
        <f ca="1">IFERROR(__xludf.DUMMYFUNCTION("""COMPUTED_VALUE"""),"Brendan Steele")</f>
        <v>Brendan Steele</v>
      </c>
      <c r="D196">
        <f ca="1">IFERROR(__xludf.DUMMYFUNCTION("""COMPUTED_VALUE"""),14)</f>
        <v>14</v>
      </c>
      <c r="E196">
        <f ca="1">IFERROR(__xludf.DUMMYFUNCTION("""COMPUTED_VALUE"""),-0.852)</f>
        <v>-0.85199999999999998</v>
      </c>
      <c r="F196">
        <f ca="1">IFERROR(__xludf.DUMMYFUNCTION("""COMPUTED_VALUE"""),-11.932)</f>
        <v>-11.932</v>
      </c>
      <c r="G196">
        <f ca="1">IFERROR(__xludf.DUMMYFUNCTION("""COMPUTED_VALUE"""),-0.557)</f>
        <v>-0.55700000000000005</v>
      </c>
      <c r="H196">
        <f ca="1">IFERROR(__xludf.DUMMYFUNCTION("""COMPUTED_VALUE"""),-11.374)</f>
        <v>-11.374000000000001</v>
      </c>
      <c r="I196">
        <f ca="1">IFERROR(__xludf.DUMMYFUNCTION("""COMPUTED_VALUE"""),14)</f>
        <v>14</v>
      </c>
    </row>
    <row r="197" spans="1:9" ht="12.75">
      <c r="A197" t="str">
        <f ca="1">IFERROR(__xludf.DUMMYFUNCTION("""COMPUTED_VALUE"""),"T196")</f>
        <v>T196</v>
      </c>
      <c r="B197" t="str">
        <f ca="1">IFERROR(__xludf.DUMMYFUNCTION("""COMPUTED_VALUE"""),"T193")</f>
        <v>T193</v>
      </c>
      <c r="C197" t="str">
        <f ca="1">IFERROR(__xludf.DUMMYFUNCTION("""COMPUTED_VALUE"""),"Tommy Fleetwood")</f>
        <v>Tommy Fleetwood</v>
      </c>
      <c r="D197">
        <f ca="1">IFERROR(__xludf.DUMMYFUNCTION("""COMPUTED_VALUE"""),10)</f>
        <v>10</v>
      </c>
      <c r="E197">
        <f ca="1">IFERROR(__xludf.DUMMYFUNCTION("""COMPUTED_VALUE"""),-0.884)</f>
        <v>-0.88400000000000001</v>
      </c>
      <c r="F197">
        <f ca="1">IFERROR(__xludf.DUMMYFUNCTION("""COMPUTED_VALUE"""),-8.841)</f>
        <v>-8.8409999999999993</v>
      </c>
      <c r="G197">
        <f ca="1">IFERROR(__xludf.DUMMYFUNCTION("""COMPUTED_VALUE"""),-8.622)</f>
        <v>-8.6219999999999999</v>
      </c>
      <c r="H197">
        <f ca="1">IFERROR(__xludf.DUMMYFUNCTION("""COMPUTED_VALUE"""),-0.219)</f>
        <v>-0.219</v>
      </c>
      <c r="I197">
        <f ca="1">IFERROR(__xludf.DUMMYFUNCTION("""COMPUTED_VALUE"""),10)</f>
        <v>10</v>
      </c>
    </row>
    <row r="198" spans="1:9" ht="12.75">
      <c r="A198" t="str">
        <f ca="1">IFERROR(__xludf.DUMMYFUNCTION("""COMPUTED_VALUE"""),"T196")</f>
        <v>T196</v>
      </c>
      <c r="B198">
        <f ca="1">IFERROR(__xludf.DUMMYFUNCTION("""COMPUTED_VALUE"""),230)</f>
        <v>230</v>
      </c>
      <c r="C198" t="str">
        <f ca="1">IFERROR(__xludf.DUMMYFUNCTION("""COMPUTED_VALUE"""),"Satoshi Kodaira")</f>
        <v>Satoshi Kodaira</v>
      </c>
      <c r="D198">
        <f ca="1">IFERROR(__xludf.DUMMYFUNCTION("""COMPUTED_VALUE"""),12)</f>
        <v>12</v>
      </c>
      <c r="E198">
        <f ca="1">IFERROR(__xludf.DUMMYFUNCTION("""COMPUTED_VALUE"""),-0.884)</f>
        <v>-0.88400000000000001</v>
      </c>
      <c r="F198">
        <f ca="1">IFERROR(__xludf.DUMMYFUNCTION("""COMPUTED_VALUE"""),-10.604)</f>
        <v>-10.603999999999999</v>
      </c>
      <c r="G198">
        <f ca="1">IFERROR(__xludf.DUMMYFUNCTION("""COMPUTED_VALUE"""),-12.129)</f>
        <v>-12.129</v>
      </c>
      <c r="H198">
        <f ca="1">IFERROR(__xludf.DUMMYFUNCTION("""COMPUTED_VALUE"""),1.526)</f>
        <v>1.526</v>
      </c>
      <c r="I198">
        <f ca="1">IFERROR(__xludf.DUMMYFUNCTION("""COMPUTED_VALUE"""),12)</f>
        <v>12</v>
      </c>
    </row>
    <row r="199" spans="1:9" ht="12.75">
      <c r="A199">
        <f ca="1">IFERROR(__xludf.DUMMYFUNCTION("""COMPUTED_VALUE"""),198)</f>
        <v>198</v>
      </c>
      <c r="B199">
        <f ca="1">IFERROR(__xludf.DUMMYFUNCTION("""COMPUTED_VALUE"""),197)</f>
        <v>197</v>
      </c>
      <c r="C199" t="str">
        <f ca="1">IFERROR(__xludf.DUMMYFUNCTION("""COMPUTED_VALUE"""),"Christiaan Bezuidenhout")</f>
        <v>Christiaan Bezuidenhout</v>
      </c>
      <c r="D199">
        <f ca="1">IFERROR(__xludf.DUMMYFUNCTION("""COMPUTED_VALUE"""),4)</f>
        <v>4</v>
      </c>
      <c r="E199">
        <f ca="1">IFERROR(__xludf.DUMMYFUNCTION("""COMPUTED_VALUE"""),-0.914)</f>
        <v>-0.91400000000000003</v>
      </c>
      <c r="F199">
        <f ca="1">IFERROR(__xludf.DUMMYFUNCTION("""COMPUTED_VALUE"""),-3.654)</f>
        <v>-3.6539999999999999</v>
      </c>
      <c r="G199">
        <f ca="1">IFERROR(__xludf.DUMMYFUNCTION("""COMPUTED_VALUE"""),-2.179)</f>
        <v>-2.1789999999999998</v>
      </c>
      <c r="H199">
        <f ca="1">IFERROR(__xludf.DUMMYFUNCTION("""COMPUTED_VALUE"""),-1.475)</f>
        <v>-1.4750000000000001</v>
      </c>
      <c r="I199">
        <f ca="1">IFERROR(__xludf.DUMMYFUNCTION("""COMPUTED_VALUE"""),4)</f>
        <v>4</v>
      </c>
    </row>
    <row r="200" spans="1:9" ht="12.75">
      <c r="A200" t="str">
        <f ca="1">IFERROR(__xludf.DUMMYFUNCTION("""COMPUTED_VALUE"""),"T199")</f>
        <v>T199</v>
      </c>
      <c r="B200" t="str">
        <f ca="1">IFERROR(__xludf.DUMMYFUNCTION("""COMPUTED_VALUE"""),"T198")</f>
        <v>T198</v>
      </c>
      <c r="C200" t="str">
        <f ca="1">IFERROR(__xludf.DUMMYFUNCTION("""COMPUTED_VALUE"""),"Richy Werenski")</f>
        <v>Richy Werenski</v>
      </c>
      <c r="D200">
        <f ca="1">IFERROR(__xludf.DUMMYFUNCTION("""COMPUTED_VALUE"""),16)</f>
        <v>16</v>
      </c>
      <c r="E200">
        <f ca="1">IFERROR(__xludf.DUMMYFUNCTION("""COMPUTED_VALUE"""),-0.924)</f>
        <v>-0.92400000000000004</v>
      </c>
      <c r="F200">
        <f ca="1">IFERROR(__xludf.DUMMYFUNCTION("""COMPUTED_VALUE"""),-14.786)</f>
        <v>-14.786</v>
      </c>
      <c r="G200">
        <f ca="1">IFERROR(__xludf.DUMMYFUNCTION("""COMPUTED_VALUE"""),-21.706)</f>
        <v>-21.706</v>
      </c>
      <c r="H200">
        <f ca="1">IFERROR(__xludf.DUMMYFUNCTION("""COMPUTED_VALUE"""),6.921)</f>
        <v>6.9210000000000003</v>
      </c>
      <c r="I200">
        <f ca="1">IFERROR(__xludf.DUMMYFUNCTION("""COMPUTED_VALUE"""),16)</f>
        <v>16</v>
      </c>
    </row>
    <row r="201" spans="1:9" ht="12.75">
      <c r="A201" t="str">
        <f ca="1">IFERROR(__xludf.DUMMYFUNCTION("""COMPUTED_VALUE"""),"T199")</f>
        <v>T199</v>
      </c>
      <c r="B201" t="str">
        <f ca="1">IFERROR(__xludf.DUMMYFUNCTION("""COMPUTED_VALUE"""),"T198")</f>
        <v>T198</v>
      </c>
      <c r="C201" t="str">
        <f ca="1">IFERROR(__xludf.DUMMYFUNCTION("""COMPUTED_VALUE"""),"Seonghyeon Kim")</f>
        <v>Seonghyeon Kim</v>
      </c>
      <c r="D201">
        <f ca="1">IFERROR(__xludf.DUMMYFUNCTION("""COMPUTED_VALUE"""),4)</f>
        <v>4</v>
      </c>
      <c r="E201">
        <f ca="1">IFERROR(__xludf.DUMMYFUNCTION("""COMPUTED_VALUE"""),-0.924)</f>
        <v>-0.92400000000000004</v>
      </c>
      <c r="F201">
        <f ca="1">IFERROR(__xludf.DUMMYFUNCTION("""COMPUTED_VALUE"""),-3.694)</f>
        <v>-3.694</v>
      </c>
      <c r="G201">
        <f ca="1">IFERROR(__xludf.DUMMYFUNCTION("""COMPUTED_VALUE"""),-5.857)</f>
        <v>-5.8570000000000002</v>
      </c>
      <c r="H201">
        <f ca="1">IFERROR(__xludf.DUMMYFUNCTION("""COMPUTED_VALUE"""),2.163)</f>
        <v>2.1629999999999998</v>
      </c>
      <c r="I201">
        <f ca="1">IFERROR(__xludf.DUMMYFUNCTION("""COMPUTED_VALUE"""),4)</f>
        <v>4</v>
      </c>
    </row>
    <row r="202" spans="1:9" ht="12.75">
      <c r="A202">
        <f ca="1">IFERROR(__xludf.DUMMYFUNCTION("""COMPUTED_VALUE"""),201)</f>
        <v>201</v>
      </c>
      <c r="B202">
        <f ca="1">IFERROR(__xludf.DUMMYFUNCTION("""COMPUTED_VALUE"""),202)</f>
        <v>202</v>
      </c>
      <c r="C202" t="str">
        <f ca="1">IFERROR(__xludf.DUMMYFUNCTION("""COMPUTED_VALUE"""),"J.B. Holmes")</f>
        <v>J.B. Holmes</v>
      </c>
      <c r="D202">
        <f ca="1">IFERROR(__xludf.DUMMYFUNCTION("""COMPUTED_VALUE"""),10)</f>
        <v>10</v>
      </c>
      <c r="E202">
        <f ca="1">IFERROR(__xludf.DUMMYFUNCTION("""COMPUTED_VALUE"""),-0.94)</f>
        <v>-0.94</v>
      </c>
      <c r="F202">
        <f ca="1">IFERROR(__xludf.DUMMYFUNCTION("""COMPUTED_VALUE"""),-9.403)</f>
        <v>-9.4030000000000005</v>
      </c>
      <c r="G202">
        <f ca="1">IFERROR(__xludf.DUMMYFUNCTION("""COMPUTED_VALUE"""),-5.484)</f>
        <v>-5.484</v>
      </c>
      <c r="H202">
        <f ca="1">IFERROR(__xludf.DUMMYFUNCTION("""COMPUTED_VALUE"""),-3.918)</f>
        <v>-3.9180000000000001</v>
      </c>
      <c r="I202">
        <f ca="1">IFERROR(__xludf.DUMMYFUNCTION("""COMPUTED_VALUE"""),10)</f>
        <v>10</v>
      </c>
    </row>
    <row r="203" spans="1:9" ht="12.75">
      <c r="A203">
        <f ca="1">IFERROR(__xludf.DUMMYFUNCTION("""COMPUTED_VALUE"""),202)</f>
        <v>202</v>
      </c>
      <c r="B203">
        <f ca="1">IFERROR(__xludf.DUMMYFUNCTION("""COMPUTED_VALUE"""),203)</f>
        <v>203</v>
      </c>
      <c r="C203" t="str">
        <f ca="1">IFERROR(__xludf.DUMMYFUNCTION("""COMPUTED_VALUE"""),"Ryo Ishikawa")</f>
        <v>Ryo Ishikawa</v>
      </c>
      <c r="D203">
        <f ca="1">IFERROR(__xludf.DUMMYFUNCTION("""COMPUTED_VALUE"""),8)</f>
        <v>8</v>
      </c>
      <c r="E203">
        <f ca="1">IFERROR(__xludf.DUMMYFUNCTION("""COMPUTED_VALUE"""),-0.952)</f>
        <v>-0.95199999999999996</v>
      </c>
      <c r="F203">
        <f ca="1">IFERROR(__xludf.DUMMYFUNCTION("""COMPUTED_VALUE"""),-7.615)</f>
        <v>-7.6150000000000002</v>
      </c>
      <c r="G203">
        <f ca="1">IFERROR(__xludf.DUMMYFUNCTION("""COMPUTED_VALUE"""),-9.58)</f>
        <v>-9.58</v>
      </c>
      <c r="H203">
        <f ca="1">IFERROR(__xludf.DUMMYFUNCTION("""COMPUTED_VALUE"""),1.966)</f>
        <v>1.966</v>
      </c>
      <c r="I203">
        <f ca="1">IFERROR(__xludf.DUMMYFUNCTION("""COMPUTED_VALUE"""),8)</f>
        <v>8</v>
      </c>
    </row>
    <row r="204" spans="1:9" ht="12.75">
      <c r="A204">
        <f ca="1">IFERROR(__xludf.DUMMYFUNCTION("""COMPUTED_VALUE"""),203)</f>
        <v>203</v>
      </c>
      <c r="B204" t="str">
        <f ca="1">IFERROR(__xludf.DUMMYFUNCTION("""COMPUTED_VALUE"""),"")</f>
        <v/>
      </c>
      <c r="C204" t="str">
        <f ca="1">IFERROR(__xludf.DUMMYFUNCTION("""COMPUTED_VALUE"""),"Greg Chalmers")</f>
        <v>Greg Chalmers</v>
      </c>
      <c r="D204">
        <f ca="1">IFERROR(__xludf.DUMMYFUNCTION("""COMPUTED_VALUE"""),6)</f>
        <v>6</v>
      </c>
      <c r="E204">
        <f ca="1">IFERROR(__xludf.DUMMYFUNCTION("""COMPUTED_VALUE"""),-0.971)</f>
        <v>-0.97099999999999997</v>
      </c>
      <c r="F204">
        <f ca="1">IFERROR(__xludf.DUMMYFUNCTION("""COMPUTED_VALUE"""),-5.824)</f>
        <v>-5.8239999999999998</v>
      </c>
      <c r="G204">
        <f ca="1">IFERROR(__xludf.DUMMYFUNCTION("""COMPUTED_VALUE"""),-2.362)</f>
        <v>-2.3620000000000001</v>
      </c>
      <c r="H204">
        <f ca="1">IFERROR(__xludf.DUMMYFUNCTION("""COMPUTED_VALUE"""),-3.462)</f>
        <v>-3.4620000000000002</v>
      </c>
      <c r="I204">
        <f ca="1">IFERROR(__xludf.DUMMYFUNCTION("""COMPUTED_VALUE"""),6)</f>
        <v>6</v>
      </c>
    </row>
    <row r="205" spans="1:9" ht="12.75">
      <c r="A205">
        <f ca="1">IFERROR(__xludf.DUMMYFUNCTION("""COMPUTED_VALUE"""),204)</f>
        <v>204</v>
      </c>
      <c r="B205">
        <f ca="1">IFERROR(__xludf.DUMMYFUNCTION("""COMPUTED_VALUE"""),208)</f>
        <v>208</v>
      </c>
      <c r="C205" t="str">
        <f ca="1">IFERROR(__xludf.DUMMYFUNCTION("""COMPUTED_VALUE"""),"Kelly Kraft")</f>
        <v>Kelly Kraft</v>
      </c>
      <c r="D205">
        <f ca="1">IFERROR(__xludf.DUMMYFUNCTION("""COMPUTED_VALUE"""),14)</f>
        <v>14</v>
      </c>
      <c r="E205">
        <f ca="1">IFERROR(__xludf.DUMMYFUNCTION("""COMPUTED_VALUE"""),-0.977)</f>
        <v>-0.97699999999999998</v>
      </c>
      <c r="F205">
        <f ca="1">IFERROR(__xludf.DUMMYFUNCTION("""COMPUTED_VALUE"""),-7.812)</f>
        <v>-7.8120000000000003</v>
      </c>
      <c r="G205">
        <f ca="1">IFERROR(__xludf.DUMMYFUNCTION("""COMPUTED_VALUE"""),-8.845)</f>
        <v>-8.8450000000000006</v>
      </c>
      <c r="H205">
        <f ca="1">IFERROR(__xludf.DUMMYFUNCTION("""COMPUTED_VALUE"""),1.033)</f>
        <v>1.0329999999999999</v>
      </c>
      <c r="I205">
        <f ca="1">IFERROR(__xludf.DUMMYFUNCTION("""COMPUTED_VALUE"""),8)</f>
        <v>8</v>
      </c>
    </row>
    <row r="206" spans="1:9" ht="12.75">
      <c r="A206">
        <f ca="1">IFERROR(__xludf.DUMMYFUNCTION("""COMPUTED_VALUE"""),205)</f>
        <v>205</v>
      </c>
      <c r="B206">
        <f ca="1">IFERROR(__xludf.DUMMYFUNCTION("""COMPUTED_VALUE"""),187)</f>
        <v>187</v>
      </c>
      <c r="C206" t="str">
        <f ca="1">IFERROR(__xludf.DUMMYFUNCTION("""COMPUTED_VALUE"""),"Patrick Rodgers")</f>
        <v>Patrick Rodgers</v>
      </c>
      <c r="D206">
        <f ca="1">IFERROR(__xludf.DUMMYFUNCTION("""COMPUTED_VALUE"""),18)</f>
        <v>18</v>
      </c>
      <c r="E206">
        <f ca="1">IFERROR(__xludf.DUMMYFUNCTION("""COMPUTED_VALUE"""),-1.012)</f>
        <v>-1.012</v>
      </c>
      <c r="F206">
        <f ca="1">IFERROR(__xludf.DUMMYFUNCTION("""COMPUTED_VALUE"""),-10.115)</f>
        <v>-10.115</v>
      </c>
      <c r="G206">
        <f ca="1">IFERROR(__xludf.DUMMYFUNCTION("""COMPUTED_VALUE"""),1.898)</f>
        <v>1.8979999999999999</v>
      </c>
      <c r="H206">
        <f ca="1">IFERROR(__xludf.DUMMYFUNCTION("""COMPUTED_VALUE"""),-12.012)</f>
        <v>-12.012</v>
      </c>
      <c r="I206">
        <f ca="1">IFERROR(__xludf.DUMMYFUNCTION("""COMPUTED_VALUE"""),10)</f>
        <v>10</v>
      </c>
    </row>
    <row r="207" spans="1:9" ht="12.75">
      <c r="A207">
        <f ca="1">IFERROR(__xludf.DUMMYFUNCTION("""COMPUTED_VALUE"""),206)</f>
        <v>206</v>
      </c>
      <c r="B207">
        <f ca="1">IFERROR(__xludf.DUMMYFUNCTION("""COMPUTED_VALUE"""),196)</f>
        <v>196</v>
      </c>
      <c r="C207" t="str">
        <f ca="1">IFERROR(__xludf.DUMMYFUNCTION("""COMPUTED_VALUE"""),"Ryan Armour")</f>
        <v>Ryan Armour</v>
      </c>
      <c r="D207">
        <f ca="1">IFERROR(__xludf.DUMMYFUNCTION("""COMPUTED_VALUE"""),16)</f>
        <v>16</v>
      </c>
      <c r="E207">
        <f ca="1">IFERROR(__xludf.DUMMYFUNCTION("""COMPUTED_VALUE"""),-1.063)</f>
        <v>-1.0629999999999999</v>
      </c>
      <c r="F207">
        <f ca="1">IFERROR(__xludf.DUMMYFUNCTION("""COMPUTED_VALUE"""),-10.631)</f>
        <v>-10.631</v>
      </c>
      <c r="G207">
        <f ca="1">IFERROR(__xludf.DUMMYFUNCTION("""COMPUTED_VALUE"""),-9.28)</f>
        <v>-9.2799999999999994</v>
      </c>
      <c r="H207">
        <f ca="1">IFERROR(__xludf.DUMMYFUNCTION("""COMPUTED_VALUE"""),-1.351)</f>
        <v>-1.351</v>
      </c>
      <c r="I207">
        <f ca="1">IFERROR(__xludf.DUMMYFUNCTION("""COMPUTED_VALUE"""),10)</f>
        <v>10</v>
      </c>
    </row>
    <row r="208" spans="1:9" ht="12.75">
      <c r="A208">
        <f ca="1">IFERROR(__xludf.DUMMYFUNCTION("""COMPUTED_VALUE"""),207)</f>
        <v>207</v>
      </c>
      <c r="B208">
        <f ca="1">IFERROR(__xludf.DUMMYFUNCTION("""COMPUTED_VALUE"""),265)</f>
        <v>265</v>
      </c>
      <c r="C208" t="str">
        <f ca="1">IFERROR(__xludf.DUMMYFUNCTION("""COMPUTED_VALUE"""),"Graeme McDowell")</f>
        <v>Graeme McDowell</v>
      </c>
      <c r="D208">
        <f ca="1">IFERROR(__xludf.DUMMYFUNCTION("""COMPUTED_VALUE"""),8)</f>
        <v>8</v>
      </c>
      <c r="E208">
        <f ca="1">IFERROR(__xludf.DUMMYFUNCTION("""COMPUTED_VALUE"""),-1.092)</f>
        <v>-1.0920000000000001</v>
      </c>
      <c r="F208">
        <f ca="1">IFERROR(__xludf.DUMMYFUNCTION("""COMPUTED_VALUE"""),-6.551)</f>
        <v>-6.5510000000000002</v>
      </c>
      <c r="G208">
        <f ca="1">IFERROR(__xludf.DUMMYFUNCTION("""COMPUTED_VALUE"""),-5.329)</f>
        <v>-5.3289999999999997</v>
      </c>
      <c r="H208">
        <f ca="1">IFERROR(__xludf.DUMMYFUNCTION("""COMPUTED_VALUE"""),-1.221)</f>
        <v>-1.2210000000000001</v>
      </c>
      <c r="I208">
        <f ca="1">IFERROR(__xludf.DUMMYFUNCTION("""COMPUTED_VALUE"""),6)</f>
        <v>6</v>
      </c>
    </row>
    <row r="209" spans="1:9" ht="12.75">
      <c r="A209">
        <f ca="1">IFERROR(__xludf.DUMMYFUNCTION("""COMPUTED_VALUE"""),208)</f>
        <v>208</v>
      </c>
      <c r="B209">
        <f ca="1">IFERROR(__xludf.DUMMYFUNCTION("""COMPUTED_VALUE"""),209)</f>
        <v>209</v>
      </c>
      <c r="C209" t="str">
        <f ca="1">IFERROR(__xludf.DUMMYFUNCTION("""COMPUTED_VALUE"""),"Kyoung-Hoon Lee")</f>
        <v>Kyoung-Hoon Lee</v>
      </c>
      <c r="D209">
        <f ca="1">IFERROR(__xludf.DUMMYFUNCTION("""COMPUTED_VALUE"""),20)</f>
        <v>20</v>
      </c>
      <c r="E209">
        <f ca="1">IFERROR(__xludf.DUMMYFUNCTION("""COMPUTED_VALUE"""),-1.095)</f>
        <v>-1.095</v>
      </c>
      <c r="F209">
        <f ca="1">IFERROR(__xludf.DUMMYFUNCTION("""COMPUTED_VALUE"""),-15.325)</f>
        <v>-15.324999999999999</v>
      </c>
      <c r="G209">
        <f ca="1">IFERROR(__xludf.DUMMYFUNCTION("""COMPUTED_VALUE"""),-12.853)</f>
        <v>-12.853</v>
      </c>
      <c r="H209">
        <f ca="1">IFERROR(__xludf.DUMMYFUNCTION("""COMPUTED_VALUE"""),-2.471)</f>
        <v>-2.4710000000000001</v>
      </c>
      <c r="I209">
        <f ca="1">IFERROR(__xludf.DUMMYFUNCTION("""COMPUTED_VALUE"""),14)</f>
        <v>14</v>
      </c>
    </row>
    <row r="210" spans="1:9" ht="12.75">
      <c r="A210">
        <f ca="1">IFERROR(__xludf.DUMMYFUNCTION("""COMPUTED_VALUE"""),209)</f>
        <v>209</v>
      </c>
      <c r="B210">
        <f ca="1">IFERROR(__xludf.DUMMYFUNCTION("""COMPUTED_VALUE"""),241)</f>
        <v>241</v>
      </c>
      <c r="C210" t="str">
        <f ca="1">IFERROR(__xludf.DUMMYFUNCTION("""COMPUTED_VALUE"""),"Michael Thompson")</f>
        <v>Michael Thompson</v>
      </c>
      <c r="D210">
        <f ca="1">IFERROR(__xludf.DUMMYFUNCTION("""COMPUTED_VALUE"""),16)</f>
        <v>16</v>
      </c>
      <c r="E210">
        <f ca="1">IFERROR(__xludf.DUMMYFUNCTION("""COMPUTED_VALUE"""),-1.105)</f>
        <v>-1.105</v>
      </c>
      <c r="F210">
        <f ca="1">IFERROR(__xludf.DUMMYFUNCTION("""COMPUTED_VALUE"""),-17.674)</f>
        <v>-17.673999999999999</v>
      </c>
      <c r="G210">
        <f ca="1">IFERROR(__xludf.DUMMYFUNCTION("""COMPUTED_VALUE"""),-12.187)</f>
        <v>-12.186999999999999</v>
      </c>
      <c r="H210">
        <f ca="1">IFERROR(__xludf.DUMMYFUNCTION("""COMPUTED_VALUE"""),-5.486)</f>
        <v>-5.4859999999999998</v>
      </c>
      <c r="I210">
        <f ca="1">IFERROR(__xludf.DUMMYFUNCTION("""COMPUTED_VALUE"""),16)</f>
        <v>16</v>
      </c>
    </row>
    <row r="211" spans="1:9" ht="12.75">
      <c r="A211">
        <f ca="1">IFERROR(__xludf.DUMMYFUNCTION("""COMPUTED_VALUE"""),210)</f>
        <v>210</v>
      </c>
      <c r="B211" t="str">
        <f ca="1">IFERROR(__xludf.DUMMYFUNCTION("""COMPUTED_VALUE"""),"T222")</f>
        <v>T222</v>
      </c>
      <c r="C211" t="str">
        <f ca="1">IFERROR(__xludf.DUMMYFUNCTION("""COMPUTED_VALUE"""),"Vaughn Taylor")</f>
        <v>Vaughn Taylor</v>
      </c>
      <c r="D211">
        <f ca="1">IFERROR(__xludf.DUMMYFUNCTION("""COMPUTED_VALUE"""),12)</f>
        <v>12</v>
      </c>
      <c r="E211">
        <f ca="1">IFERROR(__xludf.DUMMYFUNCTION("""COMPUTED_VALUE"""),-1.11)</f>
        <v>-1.1100000000000001</v>
      </c>
      <c r="F211">
        <f ca="1">IFERROR(__xludf.DUMMYFUNCTION("""COMPUTED_VALUE"""),-6.657)</f>
        <v>-6.657</v>
      </c>
      <c r="G211">
        <f ca="1">IFERROR(__xludf.DUMMYFUNCTION("""COMPUTED_VALUE"""),-3.489)</f>
        <v>-3.4889999999999999</v>
      </c>
      <c r="H211">
        <f ca="1">IFERROR(__xludf.DUMMYFUNCTION("""COMPUTED_VALUE"""),-3.167)</f>
        <v>-3.1669999999999998</v>
      </c>
      <c r="I211">
        <f ca="1">IFERROR(__xludf.DUMMYFUNCTION("""COMPUTED_VALUE"""),6)</f>
        <v>6</v>
      </c>
    </row>
    <row r="212" spans="1:9" ht="12.75">
      <c r="A212" t="str">
        <f ca="1">IFERROR(__xludf.DUMMYFUNCTION("""COMPUTED_VALUE"""),"T211")</f>
        <v>T211</v>
      </c>
      <c r="B212" t="str">
        <f ca="1">IFERROR(__xludf.DUMMYFUNCTION("""COMPUTED_VALUE"""),"T179")</f>
        <v>T179</v>
      </c>
      <c r="C212" t="str">
        <f ca="1">IFERROR(__xludf.DUMMYFUNCTION("""COMPUTED_VALUE"""),"Ted Potter, Jr.")</f>
        <v>Ted Potter, Jr.</v>
      </c>
      <c r="D212">
        <f ca="1">IFERROR(__xludf.DUMMYFUNCTION("""COMPUTED_VALUE"""),8)</f>
        <v>8</v>
      </c>
      <c r="E212">
        <f ca="1">IFERROR(__xludf.DUMMYFUNCTION("""COMPUTED_VALUE"""),-1.121)</f>
        <v>-1.121</v>
      </c>
      <c r="F212">
        <f ca="1">IFERROR(__xludf.DUMMYFUNCTION("""COMPUTED_VALUE"""),-8.964)</f>
        <v>-8.9640000000000004</v>
      </c>
      <c r="G212">
        <f ca="1">IFERROR(__xludf.DUMMYFUNCTION("""COMPUTED_VALUE"""),1.726)</f>
        <v>1.726</v>
      </c>
      <c r="H212">
        <f ca="1">IFERROR(__xludf.DUMMYFUNCTION("""COMPUTED_VALUE"""),-10.689)</f>
        <v>-10.689</v>
      </c>
      <c r="I212">
        <f ca="1">IFERROR(__xludf.DUMMYFUNCTION("""COMPUTED_VALUE"""),8)</f>
        <v>8</v>
      </c>
    </row>
    <row r="213" spans="1:9" ht="12.75">
      <c r="A213" t="str">
        <f ca="1">IFERROR(__xludf.DUMMYFUNCTION("""COMPUTED_VALUE"""),"T211")</f>
        <v>T211</v>
      </c>
      <c r="B213" t="str">
        <f ca="1">IFERROR(__xludf.DUMMYFUNCTION("""COMPUTED_VALUE"""),"T179")</f>
        <v>T179</v>
      </c>
      <c r="C213" t="str">
        <f ca="1">IFERROR(__xludf.DUMMYFUNCTION("""COMPUTED_VALUE"""),"Sam Ryder")</f>
        <v>Sam Ryder</v>
      </c>
      <c r="D213">
        <f ca="1">IFERROR(__xludf.DUMMYFUNCTION("""COMPUTED_VALUE"""),12)</f>
        <v>12</v>
      </c>
      <c r="E213">
        <f ca="1">IFERROR(__xludf.DUMMYFUNCTION("""COMPUTED_VALUE"""),-1.121)</f>
        <v>-1.121</v>
      </c>
      <c r="F213">
        <f ca="1">IFERROR(__xludf.DUMMYFUNCTION("""COMPUTED_VALUE"""),-8.964)</f>
        <v>-8.9640000000000004</v>
      </c>
      <c r="G213">
        <f ca="1">IFERROR(__xludf.DUMMYFUNCTION("""COMPUTED_VALUE"""),-11.146)</f>
        <v>-11.146000000000001</v>
      </c>
      <c r="H213">
        <f ca="1">IFERROR(__xludf.DUMMYFUNCTION("""COMPUTED_VALUE"""),2.184)</f>
        <v>2.1840000000000002</v>
      </c>
      <c r="I213">
        <f ca="1">IFERROR(__xludf.DUMMYFUNCTION("""COMPUTED_VALUE"""),8)</f>
        <v>8</v>
      </c>
    </row>
    <row r="214" spans="1:9" ht="12.75">
      <c r="A214" t="str">
        <f ca="1">IFERROR(__xludf.DUMMYFUNCTION("""COMPUTED_VALUE"""),"T211")</f>
        <v>T211</v>
      </c>
      <c r="B214">
        <f ca="1">IFERROR(__xludf.DUMMYFUNCTION("""COMPUTED_VALUE"""),211)</f>
        <v>211</v>
      </c>
      <c r="C214" t="str">
        <f ca="1">IFERROR(__xludf.DUMMYFUNCTION("""COMPUTED_VALUE"""),"Michael Kim")</f>
        <v>Michael Kim</v>
      </c>
      <c r="D214">
        <f ca="1">IFERROR(__xludf.DUMMYFUNCTION("""COMPUTED_VALUE"""),12)</f>
        <v>12</v>
      </c>
      <c r="E214">
        <f ca="1">IFERROR(__xludf.DUMMYFUNCTION("""COMPUTED_VALUE"""),-1.121)</f>
        <v>-1.121</v>
      </c>
      <c r="F214">
        <f ca="1">IFERROR(__xludf.DUMMYFUNCTION("""COMPUTED_VALUE"""),-8.964)</f>
        <v>-8.9640000000000004</v>
      </c>
      <c r="G214">
        <f ca="1">IFERROR(__xludf.DUMMYFUNCTION("""COMPUTED_VALUE"""),-6.48)</f>
        <v>-6.48</v>
      </c>
      <c r="H214">
        <f ca="1">IFERROR(__xludf.DUMMYFUNCTION("""COMPUTED_VALUE"""),-2.482)</f>
        <v>-2.4820000000000002</v>
      </c>
      <c r="I214">
        <f ca="1">IFERROR(__xludf.DUMMYFUNCTION("""COMPUTED_VALUE"""),8)</f>
        <v>8</v>
      </c>
    </row>
    <row r="215" spans="1:9" ht="12.75">
      <c r="A215">
        <f ca="1">IFERROR(__xludf.DUMMYFUNCTION("""COMPUTED_VALUE"""),214)</f>
        <v>214</v>
      </c>
      <c r="B215">
        <f ca="1">IFERROR(__xludf.DUMMYFUNCTION("""COMPUTED_VALUE"""),213)</f>
        <v>213</v>
      </c>
      <c r="C215" t="str">
        <f ca="1">IFERROR(__xludf.DUMMYFUNCTION("""COMPUTED_VALUE"""),"Peter Uihlein")</f>
        <v>Peter Uihlein</v>
      </c>
      <c r="D215">
        <f ca="1">IFERROR(__xludf.DUMMYFUNCTION("""COMPUTED_VALUE"""),8)</f>
        <v>8</v>
      </c>
      <c r="E215">
        <f ca="1">IFERROR(__xludf.DUMMYFUNCTION("""COMPUTED_VALUE"""),-1.154)</f>
        <v>-1.1539999999999999</v>
      </c>
      <c r="F215">
        <f ca="1">IFERROR(__xludf.DUMMYFUNCTION("""COMPUTED_VALUE"""),-2.307)</f>
        <v>-2.3069999999999999</v>
      </c>
      <c r="G215">
        <f ca="1">IFERROR(__xludf.DUMMYFUNCTION("""COMPUTED_VALUE"""),-1.487)</f>
        <v>-1.4870000000000001</v>
      </c>
      <c r="H215">
        <f ca="1">IFERROR(__xludf.DUMMYFUNCTION("""COMPUTED_VALUE"""),-0.82)</f>
        <v>-0.82</v>
      </c>
      <c r="I215">
        <f ca="1">IFERROR(__xludf.DUMMYFUNCTION("""COMPUTED_VALUE"""),2)</f>
        <v>2</v>
      </c>
    </row>
    <row r="216" spans="1:9" ht="12.75">
      <c r="A216">
        <f ca="1">IFERROR(__xludf.DUMMYFUNCTION("""COMPUTED_VALUE"""),215)</f>
        <v>215</v>
      </c>
      <c r="B216">
        <f ca="1">IFERROR(__xludf.DUMMYFUNCTION("""COMPUTED_VALUE"""),215)</f>
        <v>215</v>
      </c>
      <c r="C216" t="str">
        <f ca="1">IFERROR(__xludf.DUMMYFUNCTION("""COMPUTED_VALUE"""),"Robert MacIntyre")</f>
        <v>Robert MacIntyre</v>
      </c>
      <c r="D216">
        <f ca="1">IFERROR(__xludf.DUMMYFUNCTION("""COMPUTED_VALUE"""),4)</f>
        <v>4</v>
      </c>
      <c r="E216">
        <f ca="1">IFERROR(__xludf.DUMMYFUNCTION("""COMPUTED_VALUE"""),-1.164)</f>
        <v>-1.1639999999999999</v>
      </c>
      <c r="F216">
        <f ca="1">IFERROR(__xludf.DUMMYFUNCTION("""COMPUTED_VALUE"""),-4.655)</f>
        <v>-4.6550000000000002</v>
      </c>
      <c r="G216">
        <f ca="1">IFERROR(__xludf.DUMMYFUNCTION("""COMPUTED_VALUE"""),-1.298)</f>
        <v>-1.298</v>
      </c>
      <c r="H216">
        <f ca="1">IFERROR(__xludf.DUMMYFUNCTION("""COMPUTED_VALUE"""),-3.357)</f>
        <v>-3.3570000000000002</v>
      </c>
      <c r="I216">
        <f ca="1">IFERROR(__xludf.DUMMYFUNCTION("""COMPUTED_VALUE"""),4)</f>
        <v>4</v>
      </c>
    </row>
    <row r="217" spans="1:9" ht="12.75">
      <c r="A217">
        <f ca="1">IFERROR(__xludf.DUMMYFUNCTION("""COMPUTED_VALUE"""),216)</f>
        <v>216</v>
      </c>
      <c r="B217">
        <f ca="1">IFERROR(__xludf.DUMMYFUNCTION("""COMPUTED_VALUE"""),216)</f>
        <v>216</v>
      </c>
      <c r="C217" t="str">
        <f ca="1">IFERROR(__xludf.DUMMYFUNCTION("""COMPUTED_VALUE"""),"Jaekyeong Lee")</f>
        <v>Jaekyeong Lee</v>
      </c>
      <c r="D217">
        <f ca="1">IFERROR(__xludf.DUMMYFUNCTION("""COMPUTED_VALUE"""),4)</f>
        <v>4</v>
      </c>
      <c r="E217">
        <f ca="1">IFERROR(__xludf.DUMMYFUNCTION("""COMPUTED_VALUE"""),-1.174)</f>
        <v>-1.1739999999999999</v>
      </c>
      <c r="F217">
        <f ca="1">IFERROR(__xludf.DUMMYFUNCTION("""COMPUTED_VALUE"""),-4.694)</f>
        <v>-4.694</v>
      </c>
      <c r="G217">
        <f ca="1">IFERROR(__xludf.DUMMYFUNCTION("""COMPUTED_VALUE"""),-9.018)</f>
        <v>-9.0180000000000007</v>
      </c>
      <c r="H217">
        <f ca="1">IFERROR(__xludf.DUMMYFUNCTION("""COMPUTED_VALUE"""),4.324)</f>
        <v>4.3239999999999998</v>
      </c>
      <c r="I217">
        <f ca="1">IFERROR(__xludf.DUMMYFUNCTION("""COMPUTED_VALUE"""),4)</f>
        <v>4</v>
      </c>
    </row>
    <row r="218" spans="1:9" ht="12.75">
      <c r="A218">
        <f ca="1">IFERROR(__xludf.DUMMYFUNCTION("""COMPUTED_VALUE"""),217)</f>
        <v>217</v>
      </c>
      <c r="B218">
        <f ca="1">IFERROR(__xludf.DUMMYFUNCTION("""COMPUTED_VALUE"""),217)</f>
        <v>217</v>
      </c>
      <c r="C218" t="str">
        <f ca="1">IFERROR(__xludf.DUMMYFUNCTION("""COMPUTED_VALUE"""),"Jazz Janewattananond")</f>
        <v>Jazz Janewattananond</v>
      </c>
      <c r="D218">
        <f ca="1">IFERROR(__xludf.DUMMYFUNCTION("""COMPUTED_VALUE"""),6)</f>
        <v>6</v>
      </c>
      <c r="E218">
        <f ca="1">IFERROR(__xludf.DUMMYFUNCTION("""COMPUTED_VALUE"""),-1.191)</f>
        <v>-1.1910000000000001</v>
      </c>
      <c r="F218">
        <f ca="1">IFERROR(__xludf.DUMMYFUNCTION("""COMPUTED_VALUE"""),-7.147)</f>
        <v>-7.1470000000000002</v>
      </c>
      <c r="G218">
        <f ca="1">IFERROR(__xludf.DUMMYFUNCTION("""COMPUTED_VALUE"""),-4.641)</f>
        <v>-4.641</v>
      </c>
      <c r="H218">
        <f ca="1">IFERROR(__xludf.DUMMYFUNCTION("""COMPUTED_VALUE"""),-2.505)</f>
        <v>-2.5049999999999999</v>
      </c>
      <c r="I218">
        <f ca="1">IFERROR(__xludf.DUMMYFUNCTION("""COMPUTED_VALUE"""),6)</f>
        <v>6</v>
      </c>
    </row>
    <row r="219" spans="1:9" ht="12.75">
      <c r="A219" t="str">
        <f ca="1">IFERROR(__xludf.DUMMYFUNCTION("""COMPUTED_VALUE"""),"T218")</f>
        <v>T218</v>
      </c>
      <c r="B219" t="str">
        <f ca="1">IFERROR(__xludf.DUMMYFUNCTION("""COMPUTED_VALUE"""),"T218")</f>
        <v>T218</v>
      </c>
      <c r="C219" t="str">
        <f ca="1">IFERROR(__xludf.DUMMYFUNCTION("""COMPUTED_VALUE"""),"Jim Herman")</f>
        <v>Jim Herman</v>
      </c>
      <c r="D219">
        <f ca="1">IFERROR(__xludf.DUMMYFUNCTION("""COMPUTED_VALUE"""),12)</f>
        <v>12</v>
      </c>
      <c r="E219">
        <f ca="1">IFERROR(__xludf.DUMMYFUNCTION("""COMPUTED_VALUE"""),-1.192)</f>
        <v>-1.1919999999999999</v>
      </c>
      <c r="F219">
        <f ca="1">IFERROR(__xludf.DUMMYFUNCTION("""COMPUTED_VALUE"""),-14.3)</f>
        <v>-14.3</v>
      </c>
      <c r="G219">
        <f ca="1">IFERROR(__xludf.DUMMYFUNCTION("""COMPUTED_VALUE"""),-7.79)</f>
        <v>-7.79</v>
      </c>
      <c r="H219">
        <f ca="1">IFERROR(__xludf.DUMMYFUNCTION("""COMPUTED_VALUE"""),-6.509)</f>
        <v>-6.5090000000000003</v>
      </c>
      <c r="I219">
        <f ca="1">IFERROR(__xludf.DUMMYFUNCTION("""COMPUTED_VALUE"""),12)</f>
        <v>12</v>
      </c>
    </row>
    <row r="220" spans="1:9" ht="12.75">
      <c r="A220" t="str">
        <f ca="1">IFERROR(__xludf.DUMMYFUNCTION("""COMPUTED_VALUE"""),"T218")</f>
        <v>T218</v>
      </c>
      <c r="B220" t="str">
        <f ca="1">IFERROR(__xludf.DUMMYFUNCTION("""COMPUTED_VALUE"""),"T218")</f>
        <v>T218</v>
      </c>
      <c r="C220" t="str">
        <f ca="1">IFERROR(__xludf.DUMMYFUNCTION("""COMPUTED_VALUE"""),"Robert Streb")</f>
        <v>Robert Streb</v>
      </c>
      <c r="D220">
        <f ca="1">IFERROR(__xludf.DUMMYFUNCTION("""COMPUTED_VALUE"""),12)</f>
        <v>12</v>
      </c>
      <c r="E220">
        <f ca="1">IFERROR(__xludf.DUMMYFUNCTION("""COMPUTED_VALUE"""),-1.192)</f>
        <v>-1.1919999999999999</v>
      </c>
      <c r="F220">
        <f ca="1">IFERROR(__xludf.DUMMYFUNCTION("""COMPUTED_VALUE"""),-4.766)</f>
        <v>-4.766</v>
      </c>
      <c r="G220">
        <f ca="1">IFERROR(__xludf.DUMMYFUNCTION("""COMPUTED_VALUE"""),-5.858)</f>
        <v>-5.8579999999999997</v>
      </c>
      <c r="H220">
        <f ca="1">IFERROR(__xludf.DUMMYFUNCTION("""COMPUTED_VALUE"""),1.093)</f>
        <v>1.093</v>
      </c>
      <c r="I220">
        <f ca="1">IFERROR(__xludf.DUMMYFUNCTION("""COMPUTED_VALUE"""),4)</f>
        <v>4</v>
      </c>
    </row>
    <row r="221" spans="1:9" ht="12.75">
      <c r="A221">
        <f ca="1">IFERROR(__xludf.DUMMYFUNCTION("""COMPUTED_VALUE"""),220)</f>
        <v>220</v>
      </c>
      <c r="B221" t="str">
        <f ca="1">IFERROR(__xludf.DUMMYFUNCTION("""COMPUTED_VALUE"""),"T200")</f>
        <v>T200</v>
      </c>
      <c r="C221" t="str">
        <f ca="1">IFERROR(__xludf.DUMMYFUNCTION("""COMPUTED_VALUE"""),"Sean O'Hair")</f>
        <v>Sean O'Hair</v>
      </c>
      <c r="D221">
        <f ca="1">IFERROR(__xludf.DUMMYFUNCTION("""COMPUTED_VALUE"""),14)</f>
        <v>14</v>
      </c>
      <c r="E221">
        <f ca="1">IFERROR(__xludf.DUMMYFUNCTION("""COMPUTED_VALUE"""),-1.195)</f>
        <v>-1.1950000000000001</v>
      </c>
      <c r="F221">
        <f ca="1">IFERROR(__xludf.DUMMYFUNCTION("""COMPUTED_VALUE"""),-11.95)</f>
        <v>-11.95</v>
      </c>
      <c r="G221">
        <f ca="1">IFERROR(__xludf.DUMMYFUNCTION("""COMPUTED_VALUE"""),-2.174)</f>
        <v>-2.1739999999999999</v>
      </c>
      <c r="H221">
        <f ca="1">IFERROR(__xludf.DUMMYFUNCTION("""COMPUTED_VALUE"""),-9.774)</f>
        <v>-9.7739999999999991</v>
      </c>
      <c r="I221">
        <f ca="1">IFERROR(__xludf.DUMMYFUNCTION("""COMPUTED_VALUE"""),10)</f>
        <v>10</v>
      </c>
    </row>
    <row r="222" spans="1:9" ht="12.75">
      <c r="A222">
        <f ca="1">IFERROR(__xludf.DUMMYFUNCTION("""COMPUTED_VALUE"""),221)</f>
        <v>221</v>
      </c>
      <c r="B222">
        <f ca="1">IFERROR(__xludf.DUMMYFUNCTION("""COMPUTED_VALUE"""),175)</f>
        <v>175</v>
      </c>
      <c r="C222" t="str">
        <f ca="1">IFERROR(__xludf.DUMMYFUNCTION("""COMPUTED_VALUE"""),"Tom Lewis")</f>
        <v>Tom Lewis</v>
      </c>
      <c r="D222">
        <f ca="1">IFERROR(__xludf.DUMMYFUNCTION("""COMPUTED_VALUE"""),12)</f>
        <v>12</v>
      </c>
      <c r="E222">
        <f ca="1">IFERROR(__xludf.DUMMYFUNCTION("""COMPUTED_VALUE"""),-1.206)</f>
        <v>-1.206</v>
      </c>
      <c r="F222">
        <f ca="1">IFERROR(__xludf.DUMMYFUNCTION("""COMPUTED_VALUE"""),-12.055)</f>
        <v>-12.055</v>
      </c>
      <c r="G222">
        <f ca="1">IFERROR(__xludf.DUMMYFUNCTION("""COMPUTED_VALUE"""),-11.368)</f>
        <v>-11.368</v>
      </c>
      <c r="H222">
        <f ca="1">IFERROR(__xludf.DUMMYFUNCTION("""COMPUTED_VALUE"""),-0.685)</f>
        <v>-0.68500000000000005</v>
      </c>
      <c r="I222">
        <f ca="1">IFERROR(__xludf.DUMMYFUNCTION("""COMPUTED_VALUE"""),10)</f>
        <v>10</v>
      </c>
    </row>
    <row r="223" spans="1:9" ht="12.75">
      <c r="A223">
        <f ca="1">IFERROR(__xludf.DUMMYFUNCTION("""COMPUTED_VALUE"""),222)</f>
        <v>222</v>
      </c>
      <c r="B223">
        <f ca="1">IFERROR(__xludf.DUMMYFUNCTION("""COMPUTED_VALUE"""),167)</f>
        <v>167</v>
      </c>
      <c r="C223" t="str">
        <f ca="1">IFERROR(__xludf.DUMMYFUNCTION("""COMPUTED_VALUE"""),"Bronson Burgoon")</f>
        <v>Bronson Burgoon</v>
      </c>
      <c r="D223">
        <f ca="1">IFERROR(__xludf.DUMMYFUNCTION("""COMPUTED_VALUE"""),10)</f>
        <v>10</v>
      </c>
      <c r="E223">
        <f ca="1">IFERROR(__xludf.DUMMYFUNCTION("""COMPUTED_VALUE"""),-1.234)</f>
        <v>-1.234</v>
      </c>
      <c r="F223">
        <f ca="1">IFERROR(__xludf.DUMMYFUNCTION("""COMPUTED_VALUE"""),-9.869)</f>
        <v>-9.8689999999999998</v>
      </c>
      <c r="G223">
        <f ca="1">IFERROR(__xludf.DUMMYFUNCTION("""COMPUTED_VALUE"""),-5.901)</f>
        <v>-5.9009999999999998</v>
      </c>
      <c r="H223">
        <f ca="1">IFERROR(__xludf.DUMMYFUNCTION("""COMPUTED_VALUE"""),-3.967)</f>
        <v>-3.9670000000000001</v>
      </c>
      <c r="I223">
        <f ca="1">IFERROR(__xludf.DUMMYFUNCTION("""COMPUTED_VALUE"""),8)</f>
        <v>8</v>
      </c>
    </row>
    <row r="224" spans="1:9" ht="12.75">
      <c r="A224">
        <f ca="1">IFERROR(__xludf.DUMMYFUNCTION("""COMPUTED_VALUE"""),223)</f>
        <v>223</v>
      </c>
      <c r="B224">
        <f ca="1">IFERROR(__xludf.DUMMYFUNCTION("""COMPUTED_VALUE"""),182)</f>
        <v>182</v>
      </c>
      <c r="C224" t="str">
        <f ca="1">IFERROR(__xludf.DUMMYFUNCTION("""COMPUTED_VALUE"""),"Branden Grace")</f>
        <v>Branden Grace</v>
      </c>
      <c r="D224">
        <f ca="1">IFERROR(__xludf.DUMMYFUNCTION("""COMPUTED_VALUE"""),16)</f>
        <v>16</v>
      </c>
      <c r="E224">
        <f ca="1">IFERROR(__xludf.DUMMYFUNCTION("""COMPUTED_VALUE"""),-1.248)</f>
        <v>-1.248</v>
      </c>
      <c r="F224">
        <f ca="1">IFERROR(__xludf.DUMMYFUNCTION("""COMPUTED_VALUE"""),-12.482)</f>
        <v>-12.481999999999999</v>
      </c>
      <c r="G224">
        <f ca="1">IFERROR(__xludf.DUMMYFUNCTION("""COMPUTED_VALUE"""),-3.144)</f>
        <v>-3.1440000000000001</v>
      </c>
      <c r="H224">
        <f ca="1">IFERROR(__xludf.DUMMYFUNCTION("""COMPUTED_VALUE"""),-9.336)</f>
        <v>-9.3360000000000003</v>
      </c>
      <c r="I224">
        <f ca="1">IFERROR(__xludf.DUMMYFUNCTION("""COMPUTED_VALUE"""),10)</f>
        <v>10</v>
      </c>
    </row>
    <row r="225" spans="1:9" ht="12.75">
      <c r="A225">
        <f ca="1">IFERROR(__xludf.DUMMYFUNCTION("""COMPUTED_VALUE"""),224)</f>
        <v>224</v>
      </c>
      <c r="B225">
        <f ca="1">IFERROR(__xludf.DUMMYFUNCTION("""COMPUTED_VALUE"""),220)</f>
        <v>220</v>
      </c>
      <c r="C225" t="str">
        <f ca="1">IFERROR(__xludf.DUMMYFUNCTION("""COMPUTED_VALUE"""),"Joohyung Kim")</f>
        <v>Joohyung Kim</v>
      </c>
      <c r="D225">
        <f ca="1">IFERROR(__xludf.DUMMYFUNCTION("""COMPUTED_VALUE"""),12)</f>
        <v>12</v>
      </c>
      <c r="E225">
        <f ca="1">IFERROR(__xludf.DUMMYFUNCTION("""COMPUTED_VALUE"""),-1.269)</f>
        <v>-1.2689999999999999</v>
      </c>
      <c r="F225">
        <f ca="1">IFERROR(__xludf.DUMMYFUNCTION("""COMPUTED_VALUE"""),-10.152)</f>
        <v>-10.151999999999999</v>
      </c>
      <c r="G225">
        <f ca="1">IFERROR(__xludf.DUMMYFUNCTION("""COMPUTED_VALUE"""),-11.318)</f>
        <v>-11.318</v>
      </c>
      <c r="H225">
        <f ca="1">IFERROR(__xludf.DUMMYFUNCTION("""COMPUTED_VALUE"""),1.166)</f>
        <v>1.1659999999999999</v>
      </c>
      <c r="I225">
        <f ca="1">IFERROR(__xludf.DUMMYFUNCTION("""COMPUTED_VALUE"""),8)</f>
        <v>8</v>
      </c>
    </row>
    <row r="226" spans="1:9" ht="12.75">
      <c r="A226">
        <f ca="1">IFERROR(__xludf.DUMMYFUNCTION("""COMPUTED_VALUE"""),225)</f>
        <v>225</v>
      </c>
      <c r="B226">
        <f ca="1">IFERROR(__xludf.DUMMYFUNCTION("""COMPUTED_VALUE"""),221)</f>
        <v>221</v>
      </c>
      <c r="C226" t="str">
        <f ca="1">IFERROR(__xludf.DUMMYFUNCTION("""COMPUTED_VALUE"""),"Jay McLuen")</f>
        <v>Jay McLuen</v>
      </c>
      <c r="D226">
        <f ca="1">IFERROR(__xludf.DUMMYFUNCTION("""COMPUTED_VALUE"""),4)</f>
        <v>4</v>
      </c>
      <c r="E226">
        <f ca="1">IFERROR(__xludf.DUMMYFUNCTION("""COMPUTED_VALUE"""),-1.282)</f>
        <v>-1.282</v>
      </c>
      <c r="F226">
        <f ca="1">IFERROR(__xludf.DUMMYFUNCTION("""COMPUTED_VALUE"""),-5.126)</f>
        <v>-5.1260000000000003</v>
      </c>
      <c r="G226">
        <f ca="1">IFERROR(__xludf.DUMMYFUNCTION("""COMPUTED_VALUE"""),-8.767)</f>
        <v>-8.7669999999999995</v>
      </c>
      <c r="H226">
        <f ca="1">IFERROR(__xludf.DUMMYFUNCTION("""COMPUTED_VALUE"""),3.642)</f>
        <v>3.6419999999999999</v>
      </c>
      <c r="I226">
        <f ca="1">IFERROR(__xludf.DUMMYFUNCTION("""COMPUTED_VALUE"""),4)</f>
        <v>4</v>
      </c>
    </row>
    <row r="227" spans="1:9" ht="12.75">
      <c r="A227">
        <f ca="1">IFERROR(__xludf.DUMMYFUNCTION("""COMPUTED_VALUE"""),226)</f>
        <v>226</v>
      </c>
      <c r="B227" t="str">
        <f ca="1">IFERROR(__xludf.DUMMYFUNCTION("""COMPUTED_VALUE"""),"T222")</f>
        <v>T222</v>
      </c>
      <c r="C227" t="str">
        <f ca="1">IFERROR(__xludf.DUMMYFUNCTION("""COMPUTED_VALUE"""),"Jonathan Byrd")</f>
        <v>Jonathan Byrd</v>
      </c>
      <c r="D227">
        <f ca="1">IFERROR(__xludf.DUMMYFUNCTION("""COMPUTED_VALUE"""),14)</f>
        <v>14</v>
      </c>
      <c r="E227">
        <f ca="1">IFERROR(__xludf.DUMMYFUNCTION("""COMPUTED_VALUE"""),-1.32)</f>
        <v>-1.32</v>
      </c>
      <c r="F227">
        <f ca="1">IFERROR(__xludf.DUMMYFUNCTION("""COMPUTED_VALUE"""),-7.917)</f>
        <v>-7.9169999999999998</v>
      </c>
      <c r="G227">
        <f ca="1">IFERROR(__xludf.DUMMYFUNCTION("""COMPUTED_VALUE"""),-5.831)</f>
        <v>-5.8310000000000004</v>
      </c>
      <c r="H227">
        <f ca="1">IFERROR(__xludf.DUMMYFUNCTION("""COMPUTED_VALUE"""),-2.086)</f>
        <v>-2.0859999999999999</v>
      </c>
      <c r="I227">
        <f ca="1">IFERROR(__xludf.DUMMYFUNCTION("""COMPUTED_VALUE"""),6)</f>
        <v>6</v>
      </c>
    </row>
    <row r="228" spans="1:9" ht="12.75">
      <c r="A228">
        <f ca="1">IFERROR(__xludf.DUMMYFUNCTION("""COMPUTED_VALUE"""),227)</f>
        <v>227</v>
      </c>
      <c r="B228">
        <f ca="1">IFERROR(__xludf.DUMMYFUNCTION("""COMPUTED_VALUE"""),214)</f>
        <v>214</v>
      </c>
      <c r="C228" t="str">
        <f ca="1">IFERROR(__xludf.DUMMYFUNCTION("""COMPUTED_VALUE"""),"Henrik Stenson")</f>
        <v>Henrik Stenson</v>
      </c>
      <c r="D228">
        <f ca="1">IFERROR(__xludf.DUMMYFUNCTION("""COMPUTED_VALUE"""),11)</f>
        <v>11</v>
      </c>
      <c r="E228">
        <f ca="1">IFERROR(__xludf.DUMMYFUNCTION("""COMPUTED_VALUE"""),-1.337)</f>
        <v>-1.337</v>
      </c>
      <c r="F228">
        <f ca="1">IFERROR(__xludf.DUMMYFUNCTION("""COMPUTED_VALUE"""),-8.024)</f>
        <v>-8.0239999999999991</v>
      </c>
      <c r="G228">
        <f ca="1">IFERROR(__xludf.DUMMYFUNCTION("""COMPUTED_VALUE"""),-1.917)</f>
        <v>-1.917</v>
      </c>
      <c r="H228">
        <f ca="1">IFERROR(__xludf.DUMMYFUNCTION("""COMPUTED_VALUE"""),-6.106)</f>
        <v>-6.1059999999999999</v>
      </c>
      <c r="I228">
        <f ca="1">IFERROR(__xludf.DUMMYFUNCTION("""COMPUTED_VALUE"""),6)</f>
        <v>6</v>
      </c>
    </row>
    <row r="229" spans="1:9" ht="12.75">
      <c r="A229">
        <f ca="1">IFERROR(__xludf.DUMMYFUNCTION("""COMPUTED_VALUE"""),228)</f>
        <v>228</v>
      </c>
      <c r="B229">
        <f ca="1">IFERROR(__xludf.DUMMYFUNCTION("""COMPUTED_VALUE"""),205)</f>
        <v>205</v>
      </c>
      <c r="C229" t="str">
        <f ca="1">IFERROR(__xludf.DUMMYFUNCTION("""COMPUTED_VALUE"""),"Danny Lee")</f>
        <v>Danny Lee</v>
      </c>
      <c r="D229">
        <f ca="1">IFERROR(__xludf.DUMMYFUNCTION("""COMPUTED_VALUE"""),15)</f>
        <v>15</v>
      </c>
      <c r="E229">
        <f ca="1">IFERROR(__xludf.DUMMYFUNCTION("""COMPUTED_VALUE"""),-1.361)</f>
        <v>-1.361</v>
      </c>
      <c r="F229">
        <f ca="1">IFERROR(__xludf.DUMMYFUNCTION("""COMPUTED_VALUE"""),-20.409)</f>
        <v>-20.408999999999999</v>
      </c>
      <c r="G229">
        <f ca="1">IFERROR(__xludf.DUMMYFUNCTION("""COMPUTED_VALUE"""),-0.035)</f>
        <v>-3.5000000000000003E-2</v>
      </c>
      <c r="H229">
        <f ca="1">IFERROR(__xludf.DUMMYFUNCTION("""COMPUTED_VALUE"""),-20.374)</f>
        <v>-20.373999999999999</v>
      </c>
      <c r="I229">
        <f ca="1">IFERROR(__xludf.DUMMYFUNCTION("""COMPUTED_VALUE"""),15)</f>
        <v>15</v>
      </c>
    </row>
    <row r="230" spans="1:9" ht="12.75">
      <c r="A230">
        <f ca="1">IFERROR(__xludf.DUMMYFUNCTION("""COMPUTED_VALUE"""),229)</f>
        <v>229</v>
      </c>
      <c r="B230">
        <f ca="1">IFERROR(__xludf.DUMMYFUNCTION("""COMPUTED_VALUE"""),224)</f>
        <v>224</v>
      </c>
      <c r="C230" t="str">
        <f ca="1">IFERROR(__xludf.DUMMYFUNCTION("""COMPUTED_VALUE"""),"Andy Zhang")</f>
        <v>Andy Zhang</v>
      </c>
      <c r="D230">
        <f ca="1">IFERROR(__xludf.DUMMYFUNCTION("""COMPUTED_VALUE"""),4)</f>
        <v>4</v>
      </c>
      <c r="E230">
        <f ca="1">IFERROR(__xludf.DUMMYFUNCTION("""COMPUTED_VALUE"""),-1.365)</f>
        <v>-1.365</v>
      </c>
      <c r="F230">
        <f ca="1">IFERROR(__xludf.DUMMYFUNCTION("""COMPUTED_VALUE"""),-5.458)</f>
        <v>-5.4580000000000002</v>
      </c>
      <c r="G230">
        <f ca="1">IFERROR(__xludf.DUMMYFUNCTION("""COMPUTED_VALUE"""),0.471)</f>
        <v>0.47099999999999997</v>
      </c>
      <c r="H230">
        <f ca="1">IFERROR(__xludf.DUMMYFUNCTION("""COMPUTED_VALUE"""),-5.929)</f>
        <v>-5.9290000000000003</v>
      </c>
      <c r="I230">
        <f ca="1">IFERROR(__xludf.DUMMYFUNCTION("""COMPUTED_VALUE"""),4)</f>
        <v>4</v>
      </c>
    </row>
    <row r="231" spans="1:9" ht="12.75">
      <c r="A231">
        <f ca="1">IFERROR(__xludf.DUMMYFUNCTION("""COMPUTED_VALUE"""),230)</f>
        <v>230</v>
      </c>
      <c r="B231">
        <f ca="1">IFERROR(__xludf.DUMMYFUNCTION("""COMPUTED_VALUE"""),232)</f>
        <v>232</v>
      </c>
      <c r="C231" t="str">
        <f ca="1">IFERROR(__xludf.DUMMYFUNCTION("""COMPUTED_VALUE"""),"Hudson Swafford")</f>
        <v>Hudson Swafford</v>
      </c>
      <c r="D231">
        <f ca="1">IFERROR(__xludf.DUMMYFUNCTION("""COMPUTED_VALUE"""),18)</f>
        <v>18</v>
      </c>
      <c r="E231">
        <f ca="1">IFERROR(__xludf.DUMMYFUNCTION("""COMPUTED_VALUE"""),-1.412)</f>
        <v>-1.4119999999999999</v>
      </c>
      <c r="F231">
        <f ca="1">IFERROR(__xludf.DUMMYFUNCTION("""COMPUTED_VALUE"""),-14.115)</f>
        <v>-14.115</v>
      </c>
      <c r="G231">
        <f ca="1">IFERROR(__xludf.DUMMYFUNCTION("""COMPUTED_VALUE"""),-9.462)</f>
        <v>-9.4619999999999997</v>
      </c>
      <c r="H231">
        <f ca="1">IFERROR(__xludf.DUMMYFUNCTION("""COMPUTED_VALUE"""),-4.651)</f>
        <v>-4.6509999999999998</v>
      </c>
      <c r="I231">
        <f ca="1">IFERROR(__xludf.DUMMYFUNCTION("""COMPUTED_VALUE"""),10)</f>
        <v>10</v>
      </c>
    </row>
    <row r="232" spans="1:9" ht="12.75">
      <c r="A232">
        <f ca="1">IFERROR(__xludf.DUMMYFUNCTION("""COMPUTED_VALUE"""),231)</f>
        <v>231</v>
      </c>
      <c r="B232">
        <f ca="1">IFERROR(__xludf.DUMMYFUNCTION("""COMPUTED_VALUE"""),225)</f>
        <v>225</v>
      </c>
      <c r="C232" t="str">
        <f ca="1">IFERROR(__xludf.DUMMYFUNCTION("""COMPUTED_VALUE"""),"Zac Blair")</f>
        <v>Zac Blair</v>
      </c>
      <c r="D232">
        <f ca="1">IFERROR(__xludf.DUMMYFUNCTION("""COMPUTED_VALUE"""),10)</f>
        <v>10</v>
      </c>
      <c r="E232">
        <f ca="1">IFERROR(__xludf.DUMMYFUNCTION("""COMPUTED_VALUE"""),-1.431)</f>
        <v>-1.431</v>
      </c>
      <c r="F232">
        <f ca="1">IFERROR(__xludf.DUMMYFUNCTION("""COMPUTED_VALUE"""),-8.585)</f>
        <v>-8.5850000000000009</v>
      </c>
      <c r="G232">
        <f ca="1">IFERROR(__xludf.DUMMYFUNCTION("""COMPUTED_VALUE"""),-5.076)</f>
        <v>-5.0759999999999996</v>
      </c>
      <c r="H232">
        <f ca="1">IFERROR(__xludf.DUMMYFUNCTION("""COMPUTED_VALUE"""),-3.508)</f>
        <v>-3.508</v>
      </c>
      <c r="I232">
        <f ca="1">IFERROR(__xludf.DUMMYFUNCTION("""COMPUTED_VALUE"""),6)</f>
        <v>6</v>
      </c>
    </row>
    <row r="233" spans="1:9" ht="12.75">
      <c r="A233">
        <f ca="1">IFERROR(__xludf.DUMMYFUNCTION("""COMPUTED_VALUE"""),232)</f>
        <v>232</v>
      </c>
      <c r="B233">
        <f ca="1">IFERROR(__xludf.DUMMYFUNCTION("""COMPUTED_VALUE"""),226)</f>
        <v>226</v>
      </c>
      <c r="C233" t="str">
        <f ca="1">IFERROR(__xludf.DUMMYFUNCTION("""COMPUTED_VALUE"""),"Kiradech Aphibarnrat")</f>
        <v>Kiradech Aphibarnrat</v>
      </c>
      <c r="D233">
        <f ca="1">IFERROR(__xludf.DUMMYFUNCTION("""COMPUTED_VALUE"""),12)</f>
        <v>12</v>
      </c>
      <c r="E233">
        <f ca="1">IFERROR(__xludf.DUMMYFUNCTION("""COMPUTED_VALUE"""),-1.442)</f>
        <v>-1.4419999999999999</v>
      </c>
      <c r="F233">
        <f ca="1">IFERROR(__xludf.DUMMYFUNCTION("""COMPUTED_VALUE"""),-5.766)</f>
        <v>-5.766</v>
      </c>
      <c r="G233">
        <f ca="1">IFERROR(__xludf.DUMMYFUNCTION("""COMPUTED_VALUE"""),-6.382)</f>
        <v>-6.3819999999999997</v>
      </c>
      <c r="H233">
        <f ca="1">IFERROR(__xludf.DUMMYFUNCTION("""COMPUTED_VALUE"""),0.616)</f>
        <v>0.61599999999999999</v>
      </c>
      <c r="I233">
        <f ca="1">IFERROR(__xludf.DUMMYFUNCTION("""COMPUTED_VALUE"""),4)</f>
        <v>4</v>
      </c>
    </row>
    <row r="234" spans="1:9" ht="12.75">
      <c r="A234">
        <f ca="1">IFERROR(__xludf.DUMMYFUNCTION("""COMPUTED_VALUE"""),233)</f>
        <v>233</v>
      </c>
      <c r="B234">
        <f ca="1">IFERROR(__xludf.DUMMYFUNCTION("""COMPUTED_VALUE"""),227)</f>
        <v>227</v>
      </c>
      <c r="C234" t="str">
        <f ca="1">IFERROR(__xludf.DUMMYFUNCTION("""COMPUTED_VALUE"""),"Nick Taylor")</f>
        <v>Nick Taylor</v>
      </c>
      <c r="D234">
        <f ca="1">IFERROR(__xludf.DUMMYFUNCTION("""COMPUTED_VALUE"""),12)</f>
        <v>12</v>
      </c>
      <c r="E234">
        <f ca="1">IFERROR(__xludf.DUMMYFUNCTION("""COMPUTED_VALUE"""),-1.494)</f>
        <v>-1.494</v>
      </c>
      <c r="F234">
        <f ca="1">IFERROR(__xludf.DUMMYFUNCTION("""COMPUTED_VALUE"""),-17.933)</f>
        <v>-17.933</v>
      </c>
      <c r="G234">
        <f ca="1">IFERROR(__xludf.DUMMYFUNCTION("""COMPUTED_VALUE"""),-17.645)</f>
        <v>-17.645</v>
      </c>
      <c r="H234">
        <f ca="1">IFERROR(__xludf.DUMMYFUNCTION("""COMPUTED_VALUE"""),-0.287)</f>
        <v>-0.28699999999999998</v>
      </c>
      <c r="I234">
        <f ca="1">IFERROR(__xludf.DUMMYFUNCTION("""COMPUTED_VALUE"""),12)</f>
        <v>12</v>
      </c>
    </row>
    <row r="235" spans="1:9" ht="12.75">
      <c r="A235">
        <f ca="1">IFERROR(__xludf.DUMMYFUNCTION("""COMPUTED_VALUE"""),234)</f>
        <v>234</v>
      </c>
      <c r="B235">
        <f ca="1">IFERROR(__xludf.DUMMYFUNCTION("""COMPUTED_VALUE"""),262)</f>
        <v>262</v>
      </c>
      <c r="C235" t="str">
        <f ca="1">IFERROR(__xludf.DUMMYFUNCTION("""COMPUTED_VALUE"""),"Scott Brown")</f>
        <v>Scott Brown</v>
      </c>
      <c r="D235">
        <f ca="1">IFERROR(__xludf.DUMMYFUNCTION("""COMPUTED_VALUE"""),14)</f>
        <v>14</v>
      </c>
      <c r="E235">
        <f ca="1">IFERROR(__xludf.DUMMYFUNCTION("""COMPUTED_VALUE"""),-1.495)</f>
        <v>-1.4950000000000001</v>
      </c>
      <c r="F235">
        <f ca="1">IFERROR(__xludf.DUMMYFUNCTION("""COMPUTED_VALUE"""),-14.95)</f>
        <v>-14.95</v>
      </c>
      <c r="G235">
        <f ca="1">IFERROR(__xludf.DUMMYFUNCTION("""COMPUTED_VALUE"""),-10.706)</f>
        <v>-10.706</v>
      </c>
      <c r="H235">
        <f ca="1">IFERROR(__xludf.DUMMYFUNCTION("""COMPUTED_VALUE"""),-4.243)</f>
        <v>-4.2430000000000003</v>
      </c>
      <c r="I235">
        <f ca="1">IFERROR(__xludf.DUMMYFUNCTION("""COMPUTED_VALUE"""),10)</f>
        <v>10</v>
      </c>
    </row>
    <row r="236" spans="1:9" ht="12.75">
      <c r="A236">
        <f ca="1">IFERROR(__xludf.DUMMYFUNCTION("""COMPUTED_VALUE"""),235)</f>
        <v>235</v>
      </c>
      <c r="B236">
        <f ca="1">IFERROR(__xludf.DUMMYFUNCTION("""COMPUTED_VALUE"""),228)</f>
        <v>228</v>
      </c>
      <c r="C236" t="str">
        <f ca="1">IFERROR(__xludf.DUMMYFUNCTION("""COMPUTED_VALUE"""),"Marc Leishman")</f>
        <v>Marc Leishman</v>
      </c>
      <c r="D236">
        <f ca="1">IFERROR(__xludf.DUMMYFUNCTION("""COMPUTED_VALUE"""),10)</f>
        <v>10</v>
      </c>
      <c r="E236">
        <f ca="1">IFERROR(__xludf.DUMMYFUNCTION("""COMPUTED_VALUE"""),-1.584)</f>
        <v>-1.5840000000000001</v>
      </c>
      <c r="F236">
        <f ca="1">IFERROR(__xludf.DUMMYFUNCTION("""COMPUTED_VALUE"""),-15.841)</f>
        <v>-15.840999999999999</v>
      </c>
      <c r="G236">
        <f ca="1">IFERROR(__xludf.DUMMYFUNCTION("""COMPUTED_VALUE"""),-5.796)</f>
        <v>-5.7960000000000003</v>
      </c>
      <c r="H236">
        <f ca="1">IFERROR(__xludf.DUMMYFUNCTION("""COMPUTED_VALUE"""),-10.045)</f>
        <v>-10.045</v>
      </c>
      <c r="I236">
        <f ca="1">IFERROR(__xludf.DUMMYFUNCTION("""COMPUTED_VALUE"""),10)</f>
        <v>10</v>
      </c>
    </row>
    <row r="237" spans="1:9" ht="12.75">
      <c r="A237">
        <f ca="1">IFERROR(__xludf.DUMMYFUNCTION("""COMPUTED_VALUE"""),236)</f>
        <v>236</v>
      </c>
      <c r="B237" t="str">
        <f ca="1">IFERROR(__xludf.DUMMYFUNCTION("""COMPUTED_VALUE"""),"T206")</f>
        <v>T206</v>
      </c>
      <c r="C237" t="str">
        <f ca="1">IFERROR(__xludf.DUMMYFUNCTION("""COMPUTED_VALUE"""),"Bo Van Pelt")</f>
        <v>Bo Van Pelt</v>
      </c>
      <c r="D237">
        <f ca="1">IFERROR(__xludf.DUMMYFUNCTION("""COMPUTED_VALUE"""),10)</f>
        <v>10</v>
      </c>
      <c r="E237">
        <f ca="1">IFERROR(__xludf.DUMMYFUNCTION("""COMPUTED_VALUE"""),-1.61)</f>
        <v>-1.61</v>
      </c>
      <c r="F237">
        <f ca="1">IFERROR(__xludf.DUMMYFUNCTION("""COMPUTED_VALUE"""),-9.657)</f>
        <v>-9.657</v>
      </c>
      <c r="G237">
        <f ca="1">IFERROR(__xludf.DUMMYFUNCTION("""COMPUTED_VALUE"""),-9.663)</f>
        <v>-9.6630000000000003</v>
      </c>
      <c r="H237">
        <f ca="1">IFERROR(__xludf.DUMMYFUNCTION("""COMPUTED_VALUE"""),0.007)</f>
        <v>7.0000000000000001E-3</v>
      </c>
      <c r="I237">
        <f ca="1">IFERROR(__xludf.DUMMYFUNCTION("""COMPUTED_VALUE"""),6)</f>
        <v>6</v>
      </c>
    </row>
    <row r="238" spans="1:9" ht="12.75">
      <c r="A238">
        <f ca="1">IFERROR(__xludf.DUMMYFUNCTION("""COMPUTED_VALUE"""),237)</f>
        <v>237</v>
      </c>
      <c r="B238">
        <f ca="1">IFERROR(__xludf.DUMMYFUNCTION("""COMPUTED_VALUE"""),252)</f>
        <v>252</v>
      </c>
      <c r="C238" t="str">
        <f ca="1">IFERROR(__xludf.DUMMYFUNCTION("""COMPUTED_VALUE"""),"Kramer Hickok")</f>
        <v>Kramer Hickok</v>
      </c>
      <c r="D238">
        <f ca="1">IFERROR(__xludf.DUMMYFUNCTION("""COMPUTED_VALUE"""),16)</f>
        <v>16</v>
      </c>
      <c r="E238">
        <f ca="1">IFERROR(__xludf.DUMMYFUNCTION("""COMPUTED_VALUE"""),-1.641)</f>
        <v>-1.641</v>
      </c>
      <c r="F238">
        <f ca="1">IFERROR(__xludf.DUMMYFUNCTION("""COMPUTED_VALUE"""),-13.131)</f>
        <v>-13.131</v>
      </c>
      <c r="G238">
        <f ca="1">IFERROR(__xludf.DUMMYFUNCTION("""COMPUTED_VALUE"""),-3.205)</f>
        <v>-3.2050000000000001</v>
      </c>
      <c r="H238">
        <f ca="1">IFERROR(__xludf.DUMMYFUNCTION("""COMPUTED_VALUE"""),-9.925)</f>
        <v>-9.9250000000000007</v>
      </c>
      <c r="I238">
        <f ca="1">IFERROR(__xludf.DUMMYFUNCTION("""COMPUTED_VALUE"""),8)</f>
        <v>8</v>
      </c>
    </row>
    <row r="239" spans="1:9" ht="12.75">
      <c r="A239">
        <f ca="1">IFERROR(__xludf.DUMMYFUNCTION("""COMPUTED_VALUE"""),238)</f>
        <v>238</v>
      </c>
      <c r="B239">
        <f ca="1">IFERROR(__xludf.DUMMYFUNCTION("""COMPUTED_VALUE"""),229)</f>
        <v>229</v>
      </c>
      <c r="C239" t="str">
        <f ca="1">IFERROR(__xludf.DUMMYFUNCTION("""COMPUTED_VALUE"""),"Johnson Wagner")</f>
        <v>Johnson Wagner</v>
      </c>
      <c r="D239">
        <f ca="1">IFERROR(__xludf.DUMMYFUNCTION("""COMPUTED_VALUE"""),8)</f>
        <v>8</v>
      </c>
      <c r="E239">
        <f ca="1">IFERROR(__xludf.DUMMYFUNCTION("""COMPUTED_VALUE"""),-1.654)</f>
        <v>-1.6539999999999999</v>
      </c>
      <c r="F239">
        <f ca="1">IFERROR(__xludf.DUMMYFUNCTION("""COMPUTED_VALUE"""),-3.307)</f>
        <v>-3.3069999999999999</v>
      </c>
      <c r="G239">
        <f ca="1">IFERROR(__xludf.DUMMYFUNCTION("""COMPUTED_VALUE"""),-5.427)</f>
        <v>-5.4269999999999996</v>
      </c>
      <c r="H239">
        <f ca="1">IFERROR(__xludf.DUMMYFUNCTION("""COMPUTED_VALUE"""),2.12)</f>
        <v>2.12</v>
      </c>
      <c r="I239">
        <f ca="1">IFERROR(__xludf.DUMMYFUNCTION("""COMPUTED_VALUE"""),2)</f>
        <v>2</v>
      </c>
    </row>
    <row r="240" spans="1:9" ht="12.75">
      <c r="A240">
        <f ca="1">IFERROR(__xludf.DUMMYFUNCTION("""COMPUTED_VALUE"""),239)</f>
        <v>239</v>
      </c>
      <c r="B240">
        <f ca="1">IFERROR(__xludf.DUMMYFUNCTION("""COMPUTED_VALUE"""),138)</f>
        <v>138</v>
      </c>
      <c r="C240" t="str">
        <f ca="1">IFERROR(__xludf.DUMMYFUNCTION("""COMPUTED_VALUE"""),"Grayson Murray")</f>
        <v>Grayson Murray</v>
      </c>
      <c r="D240">
        <f ca="1">IFERROR(__xludf.DUMMYFUNCTION("""COMPUTED_VALUE"""),10)</f>
        <v>10</v>
      </c>
      <c r="E240">
        <f ca="1">IFERROR(__xludf.DUMMYFUNCTION("""COMPUTED_VALUE"""),-1.727)</f>
        <v>-1.7270000000000001</v>
      </c>
      <c r="F240">
        <f ca="1">IFERROR(__xludf.DUMMYFUNCTION("""COMPUTED_VALUE"""),-13.812)</f>
        <v>-13.811999999999999</v>
      </c>
      <c r="G240">
        <f ca="1">IFERROR(__xludf.DUMMYFUNCTION("""COMPUTED_VALUE"""),-10.616)</f>
        <v>-10.616</v>
      </c>
      <c r="H240">
        <f ca="1">IFERROR(__xludf.DUMMYFUNCTION("""COMPUTED_VALUE"""),-3.195)</f>
        <v>-3.1949999999999998</v>
      </c>
      <c r="I240">
        <f ca="1">IFERROR(__xludf.DUMMYFUNCTION("""COMPUTED_VALUE"""),8)</f>
        <v>8</v>
      </c>
    </row>
    <row r="241" spans="1:9" ht="12.75">
      <c r="A241">
        <f ca="1">IFERROR(__xludf.DUMMYFUNCTION("""COMPUTED_VALUE"""),240)</f>
        <v>240</v>
      </c>
      <c r="B241">
        <f ca="1">IFERROR(__xludf.DUMMYFUNCTION("""COMPUTED_VALUE"""),233)</f>
        <v>233</v>
      </c>
      <c r="C241" t="str">
        <f ca="1">IFERROR(__xludf.DUMMYFUNCTION("""COMPUTED_VALUE"""),"Mikumu Horikawa")</f>
        <v>Mikumu Horikawa</v>
      </c>
      <c r="D241">
        <f ca="1">IFERROR(__xludf.DUMMYFUNCTION("""COMPUTED_VALUE"""),4)</f>
        <v>4</v>
      </c>
      <c r="E241">
        <f ca="1">IFERROR(__xludf.DUMMYFUNCTION("""COMPUTED_VALUE"""),-1.74)</f>
        <v>-1.74</v>
      </c>
      <c r="F241">
        <f ca="1">IFERROR(__xludf.DUMMYFUNCTION("""COMPUTED_VALUE"""),-6.961)</f>
        <v>-6.9610000000000003</v>
      </c>
      <c r="G241">
        <f ca="1">IFERROR(__xludf.DUMMYFUNCTION("""COMPUTED_VALUE"""),-5.834)</f>
        <v>-5.8339999999999996</v>
      </c>
      <c r="H241">
        <f ca="1">IFERROR(__xludf.DUMMYFUNCTION("""COMPUTED_VALUE"""),-1.127)</f>
        <v>-1.127</v>
      </c>
      <c r="I241">
        <f ca="1">IFERROR(__xludf.DUMMYFUNCTION("""COMPUTED_VALUE"""),4)</f>
        <v>4</v>
      </c>
    </row>
    <row r="242" spans="1:9" ht="12.75">
      <c r="A242">
        <f ca="1">IFERROR(__xludf.DUMMYFUNCTION("""COMPUTED_VALUE"""),241)</f>
        <v>241</v>
      </c>
      <c r="B242">
        <f ca="1">IFERROR(__xludf.DUMMYFUNCTION("""COMPUTED_VALUE"""),234)</f>
        <v>234</v>
      </c>
      <c r="C242" t="str">
        <f ca="1">IFERROR(__xludf.DUMMYFUNCTION("""COMPUTED_VALUE"""),"George Markham")</f>
        <v>George Markham</v>
      </c>
      <c r="D242">
        <f ca="1">IFERROR(__xludf.DUMMYFUNCTION("""COMPUTED_VALUE"""),4)</f>
        <v>4</v>
      </c>
      <c r="E242">
        <f ca="1">IFERROR(__xludf.DUMMYFUNCTION("""COMPUTED_VALUE"""),-1.758)</f>
        <v>-1.758</v>
      </c>
      <c r="F242">
        <f ca="1">IFERROR(__xludf.DUMMYFUNCTION("""COMPUTED_VALUE"""),-7.031)</f>
        <v>-7.0309999999999997</v>
      </c>
      <c r="G242">
        <f ca="1">IFERROR(__xludf.DUMMYFUNCTION("""COMPUTED_VALUE"""),-4.101)</f>
        <v>-4.101</v>
      </c>
      <c r="H242">
        <f ca="1">IFERROR(__xludf.DUMMYFUNCTION("""COMPUTED_VALUE"""),-2.93)</f>
        <v>-2.93</v>
      </c>
      <c r="I242">
        <f ca="1">IFERROR(__xludf.DUMMYFUNCTION("""COMPUTED_VALUE"""),4)</f>
        <v>4</v>
      </c>
    </row>
    <row r="243" spans="1:9" ht="12.75">
      <c r="A243">
        <f ca="1">IFERROR(__xludf.DUMMYFUNCTION("""COMPUTED_VALUE"""),242)</f>
        <v>242</v>
      </c>
      <c r="B243">
        <f ca="1">IFERROR(__xludf.DUMMYFUNCTION("""COMPUTED_VALUE"""),235)</f>
        <v>235</v>
      </c>
      <c r="C243" t="str">
        <f ca="1">IFERROR(__xludf.DUMMYFUNCTION("""COMPUTED_VALUE"""),"K.J. Choi")</f>
        <v>K.J. Choi</v>
      </c>
      <c r="D243">
        <f ca="1">IFERROR(__xludf.DUMMYFUNCTION("""COMPUTED_VALUE"""),6)</f>
        <v>6</v>
      </c>
      <c r="E243">
        <f ca="1">IFERROR(__xludf.DUMMYFUNCTION("""COMPUTED_VALUE"""),-1.764)</f>
        <v>-1.764</v>
      </c>
      <c r="F243">
        <f ca="1">IFERROR(__xludf.DUMMYFUNCTION("""COMPUTED_VALUE"""),-10.585)</f>
        <v>-10.585000000000001</v>
      </c>
      <c r="G243">
        <f ca="1">IFERROR(__xludf.DUMMYFUNCTION("""COMPUTED_VALUE"""),-5.025)</f>
        <v>-5.0250000000000004</v>
      </c>
      <c r="H243">
        <f ca="1">IFERROR(__xludf.DUMMYFUNCTION("""COMPUTED_VALUE"""),-5.56)</f>
        <v>-5.56</v>
      </c>
      <c r="I243">
        <f ca="1">IFERROR(__xludf.DUMMYFUNCTION("""COMPUTED_VALUE"""),6)</f>
        <v>6</v>
      </c>
    </row>
    <row r="244" spans="1:9" ht="12.75">
      <c r="A244">
        <f ca="1">IFERROR(__xludf.DUMMYFUNCTION("""COMPUTED_VALUE"""),243)</f>
        <v>243</v>
      </c>
      <c r="B244">
        <f ca="1">IFERROR(__xludf.DUMMYFUNCTION("""COMPUTED_VALUE"""),263)</f>
        <v>263</v>
      </c>
      <c r="C244" t="str">
        <f ca="1">IFERROR(__xludf.DUMMYFUNCTION("""COMPUTED_VALUE"""),"Max Homa")</f>
        <v>Max Homa</v>
      </c>
      <c r="D244">
        <f ca="1">IFERROR(__xludf.DUMMYFUNCTION("""COMPUTED_VALUE"""),12)</f>
        <v>12</v>
      </c>
      <c r="E244">
        <f ca="1">IFERROR(__xludf.DUMMYFUNCTION("""COMPUTED_VALUE"""),-1.796)</f>
        <v>-1.796</v>
      </c>
      <c r="F244">
        <f ca="1">IFERROR(__xludf.DUMMYFUNCTION("""COMPUTED_VALUE"""),-14.37)</f>
        <v>-14.37</v>
      </c>
      <c r="G244">
        <f ca="1">IFERROR(__xludf.DUMMYFUNCTION("""COMPUTED_VALUE"""),-7.12)</f>
        <v>-7.12</v>
      </c>
      <c r="H244">
        <f ca="1">IFERROR(__xludf.DUMMYFUNCTION("""COMPUTED_VALUE"""),-7.249)</f>
        <v>-7.2489999999999997</v>
      </c>
      <c r="I244">
        <f ca="1">IFERROR(__xludf.DUMMYFUNCTION("""COMPUTED_VALUE"""),8)</f>
        <v>8</v>
      </c>
    </row>
    <row r="245" spans="1:9" ht="12.75">
      <c r="A245">
        <f ca="1">IFERROR(__xludf.DUMMYFUNCTION("""COMPUTED_VALUE"""),244)</f>
        <v>244</v>
      </c>
      <c r="B245">
        <f ca="1">IFERROR(__xludf.DUMMYFUNCTION("""COMPUTED_VALUE"""),231)</f>
        <v>231</v>
      </c>
      <c r="C245" t="str">
        <f ca="1">IFERROR(__xludf.DUMMYFUNCTION("""COMPUTED_VALUE"""),"Phil Mickelson")</f>
        <v>Phil Mickelson</v>
      </c>
      <c r="D245">
        <f ca="1">IFERROR(__xludf.DUMMYFUNCTION("""COMPUTED_VALUE"""),12)</f>
        <v>12</v>
      </c>
      <c r="E245">
        <f ca="1">IFERROR(__xludf.DUMMYFUNCTION("""COMPUTED_VALUE"""),-1.832)</f>
        <v>-1.8320000000000001</v>
      </c>
      <c r="F245">
        <f ca="1">IFERROR(__xludf.DUMMYFUNCTION("""COMPUTED_VALUE"""),-21.984)</f>
        <v>-21.984000000000002</v>
      </c>
      <c r="G245">
        <f ca="1">IFERROR(__xludf.DUMMYFUNCTION("""COMPUTED_VALUE"""),-17.537)</f>
        <v>-17.536999999999999</v>
      </c>
      <c r="H245">
        <f ca="1">IFERROR(__xludf.DUMMYFUNCTION("""COMPUTED_VALUE"""),-4.446)</f>
        <v>-4.4459999999999997</v>
      </c>
      <c r="I245">
        <f ca="1">IFERROR(__xludf.DUMMYFUNCTION("""COMPUTED_VALUE"""),12)</f>
        <v>12</v>
      </c>
    </row>
    <row r="246" spans="1:9" ht="12.75">
      <c r="A246">
        <f ca="1">IFERROR(__xludf.DUMMYFUNCTION("""COMPUTED_VALUE"""),245)</f>
        <v>245</v>
      </c>
      <c r="B246">
        <f ca="1">IFERROR(__xludf.DUMMYFUNCTION("""COMPUTED_VALUE"""),195)</f>
        <v>195</v>
      </c>
      <c r="C246" t="str">
        <f ca="1">IFERROR(__xludf.DUMMYFUNCTION("""COMPUTED_VALUE"""),"Jimmy Walker")</f>
        <v>Jimmy Walker</v>
      </c>
      <c r="D246">
        <f ca="1">IFERROR(__xludf.DUMMYFUNCTION("""COMPUTED_VALUE"""),10)</f>
        <v>10</v>
      </c>
      <c r="E246">
        <f ca="1">IFERROR(__xludf.DUMMYFUNCTION("""COMPUTED_VALUE"""),-1.851)</f>
        <v>-1.851</v>
      </c>
      <c r="F246">
        <f ca="1">IFERROR(__xludf.DUMMYFUNCTION("""COMPUTED_VALUE"""),-18.509)</f>
        <v>-18.509</v>
      </c>
      <c r="G246">
        <f ca="1">IFERROR(__xludf.DUMMYFUNCTION("""COMPUTED_VALUE"""),-19.464)</f>
        <v>-19.463999999999999</v>
      </c>
      <c r="H246">
        <f ca="1">IFERROR(__xludf.DUMMYFUNCTION("""COMPUTED_VALUE"""),0.956)</f>
        <v>0.95599999999999996</v>
      </c>
      <c r="I246">
        <f ca="1">IFERROR(__xludf.DUMMYFUNCTION("""COMPUTED_VALUE"""),10)</f>
        <v>10</v>
      </c>
    </row>
    <row r="247" spans="1:9" ht="12.75">
      <c r="A247">
        <f ca="1">IFERROR(__xludf.DUMMYFUNCTION("""COMPUTED_VALUE"""),246)</f>
        <v>246</v>
      </c>
      <c r="B247">
        <f ca="1">IFERROR(__xludf.DUMMYFUNCTION("""COMPUTED_VALUE"""),236)</f>
        <v>236</v>
      </c>
      <c r="C247" t="str">
        <f ca="1">IFERROR(__xludf.DUMMYFUNCTION("""COMPUTED_VALUE"""),"Matt Every")</f>
        <v>Matt Every</v>
      </c>
      <c r="D247">
        <f ca="1">IFERROR(__xludf.DUMMYFUNCTION("""COMPUTED_VALUE"""),8)</f>
        <v>8</v>
      </c>
      <c r="E247">
        <f ca="1">IFERROR(__xludf.DUMMYFUNCTION("""COMPUTED_VALUE"""),-1.942)</f>
        <v>-1.9419999999999999</v>
      </c>
      <c r="F247">
        <f ca="1">IFERROR(__xludf.DUMMYFUNCTION("""COMPUTED_VALUE"""),-7.766)</f>
        <v>-7.766</v>
      </c>
      <c r="G247">
        <f ca="1">IFERROR(__xludf.DUMMYFUNCTION("""COMPUTED_VALUE"""),-5.535)</f>
        <v>-5.5350000000000001</v>
      </c>
      <c r="H247">
        <f ca="1">IFERROR(__xludf.DUMMYFUNCTION("""COMPUTED_VALUE"""),-2.23)</f>
        <v>-2.23</v>
      </c>
      <c r="I247">
        <f ca="1">IFERROR(__xludf.DUMMYFUNCTION("""COMPUTED_VALUE"""),4)</f>
        <v>4</v>
      </c>
    </row>
    <row r="248" spans="1:9" ht="12.75">
      <c r="A248">
        <f ca="1">IFERROR(__xludf.DUMMYFUNCTION("""COMPUTED_VALUE"""),247)</f>
        <v>247</v>
      </c>
      <c r="B248">
        <f ca="1">IFERROR(__xludf.DUMMYFUNCTION("""COMPUTED_VALUE"""),237)</f>
        <v>237</v>
      </c>
      <c r="C248" t="str">
        <f ca="1">IFERROR(__xludf.DUMMYFUNCTION("""COMPUTED_VALUE"""),"Shugo Imahira")</f>
        <v>Shugo Imahira</v>
      </c>
      <c r="D248">
        <f ca="1">IFERROR(__xludf.DUMMYFUNCTION("""COMPUTED_VALUE"""),8)</f>
        <v>8</v>
      </c>
      <c r="E248">
        <f ca="1">IFERROR(__xludf.DUMMYFUNCTION("""COMPUTED_VALUE"""),-1.952)</f>
        <v>-1.952</v>
      </c>
      <c r="F248">
        <f ca="1">IFERROR(__xludf.DUMMYFUNCTION("""COMPUTED_VALUE"""),-15.615)</f>
        <v>-15.615</v>
      </c>
      <c r="G248">
        <f ca="1">IFERROR(__xludf.DUMMYFUNCTION("""COMPUTED_VALUE"""),-7.286)</f>
        <v>-7.2859999999999996</v>
      </c>
      <c r="H248">
        <f ca="1">IFERROR(__xludf.DUMMYFUNCTION("""COMPUTED_VALUE"""),-8.328)</f>
        <v>-8.3279999999999994</v>
      </c>
      <c r="I248">
        <f ca="1">IFERROR(__xludf.DUMMYFUNCTION("""COMPUTED_VALUE"""),8)</f>
        <v>8</v>
      </c>
    </row>
    <row r="249" spans="1:9" ht="12.75">
      <c r="A249">
        <f ca="1">IFERROR(__xludf.DUMMYFUNCTION("""COMPUTED_VALUE"""),248)</f>
        <v>248</v>
      </c>
      <c r="B249">
        <f ca="1">IFERROR(__xludf.DUMMYFUNCTION("""COMPUTED_VALUE"""),239)</f>
        <v>239</v>
      </c>
      <c r="C249" t="str">
        <f ca="1">IFERROR(__xludf.DUMMYFUNCTION("""COMPUTED_VALUE"""),"Gary Woodland")</f>
        <v>Gary Woodland</v>
      </c>
      <c r="D249">
        <f ca="1">IFERROR(__xludf.DUMMYFUNCTION("""COMPUTED_VALUE"""),6)</f>
        <v>6</v>
      </c>
      <c r="E249">
        <f ca="1">IFERROR(__xludf.DUMMYFUNCTION("""COMPUTED_VALUE"""),-1.98)</f>
        <v>-1.98</v>
      </c>
      <c r="F249">
        <f ca="1">IFERROR(__xludf.DUMMYFUNCTION("""COMPUTED_VALUE"""),-11.88)</f>
        <v>-11.88</v>
      </c>
      <c r="G249">
        <f ca="1">IFERROR(__xludf.DUMMYFUNCTION("""COMPUTED_VALUE"""),-12.913)</f>
        <v>-12.913</v>
      </c>
      <c r="H249">
        <f ca="1">IFERROR(__xludf.DUMMYFUNCTION("""COMPUTED_VALUE"""),1.033)</f>
        <v>1.0329999999999999</v>
      </c>
      <c r="I249">
        <f ca="1">IFERROR(__xludf.DUMMYFUNCTION("""COMPUTED_VALUE"""),6)</f>
        <v>6</v>
      </c>
    </row>
    <row r="250" spans="1:9" ht="12.75">
      <c r="A250">
        <f ca="1">IFERROR(__xludf.DUMMYFUNCTION("""COMPUTED_VALUE"""),249)</f>
        <v>249</v>
      </c>
      <c r="B250">
        <f ca="1">IFERROR(__xludf.DUMMYFUNCTION("""COMPUTED_VALUE"""),240)</f>
        <v>240</v>
      </c>
      <c r="C250" t="str">
        <f ca="1">IFERROR(__xludf.DUMMYFUNCTION("""COMPUTED_VALUE"""),"Tiger Woods")</f>
        <v>Tiger Woods</v>
      </c>
      <c r="D250">
        <f ca="1">IFERROR(__xludf.DUMMYFUNCTION("""COMPUTED_VALUE"""),6)</f>
        <v>6</v>
      </c>
      <c r="E250">
        <f ca="1">IFERROR(__xludf.DUMMYFUNCTION("""COMPUTED_VALUE"""),-2.025)</f>
        <v>-2.0249999999999999</v>
      </c>
      <c r="F250">
        <f ca="1">IFERROR(__xludf.DUMMYFUNCTION("""COMPUTED_VALUE"""),-12.147)</f>
        <v>-12.147</v>
      </c>
      <c r="G250">
        <f ca="1">IFERROR(__xludf.DUMMYFUNCTION("""COMPUTED_VALUE"""),-10.564)</f>
        <v>-10.564</v>
      </c>
      <c r="H250">
        <f ca="1">IFERROR(__xludf.DUMMYFUNCTION("""COMPUTED_VALUE"""),-1.582)</f>
        <v>-1.5820000000000001</v>
      </c>
      <c r="I250">
        <f ca="1">IFERROR(__xludf.DUMMYFUNCTION("""COMPUTED_VALUE"""),6)</f>
        <v>6</v>
      </c>
    </row>
    <row r="251" spans="1:9" ht="12.75">
      <c r="A251">
        <f ca="1">IFERROR(__xludf.DUMMYFUNCTION("""COMPUTED_VALUE"""),250)</f>
        <v>250</v>
      </c>
      <c r="B251">
        <f ca="1">IFERROR(__xludf.DUMMYFUNCTION("""COMPUTED_VALUE"""),242)</f>
        <v>242</v>
      </c>
      <c r="C251" t="str">
        <f ca="1">IFERROR(__xludf.DUMMYFUNCTION("""COMPUTED_VALUE"""),"Dominic Bozzelli")</f>
        <v>Dominic Bozzelli</v>
      </c>
      <c r="D251">
        <f ca="1">IFERROR(__xludf.DUMMYFUNCTION("""COMPUTED_VALUE"""),8)</f>
        <v>8</v>
      </c>
      <c r="E251">
        <f ca="1">IFERROR(__xludf.DUMMYFUNCTION("""COMPUTED_VALUE"""),-2.154)</f>
        <v>-2.1539999999999999</v>
      </c>
      <c r="F251">
        <f ca="1">IFERROR(__xludf.DUMMYFUNCTION("""COMPUTED_VALUE"""),-4.307)</f>
        <v>-4.3070000000000004</v>
      </c>
      <c r="G251">
        <f ca="1">IFERROR(__xludf.DUMMYFUNCTION("""COMPUTED_VALUE"""),-3.479)</f>
        <v>-3.4790000000000001</v>
      </c>
      <c r="H251">
        <f ca="1">IFERROR(__xludf.DUMMYFUNCTION("""COMPUTED_VALUE"""),-0.828)</f>
        <v>-0.82799999999999996</v>
      </c>
      <c r="I251">
        <f ca="1">IFERROR(__xludf.DUMMYFUNCTION("""COMPUTED_VALUE"""),2)</f>
        <v>2</v>
      </c>
    </row>
    <row r="252" spans="1:9" ht="12.75">
      <c r="A252">
        <f ca="1">IFERROR(__xludf.DUMMYFUNCTION("""COMPUTED_VALUE"""),251)</f>
        <v>251</v>
      </c>
      <c r="B252">
        <f ca="1">IFERROR(__xludf.DUMMYFUNCTION("""COMPUTED_VALUE"""),243)</f>
        <v>243</v>
      </c>
      <c r="C252" t="str">
        <f ca="1">IFERROR(__xludf.DUMMYFUNCTION("""COMPUTED_VALUE"""),"Davis Riley")</f>
        <v>Davis Riley</v>
      </c>
      <c r="D252">
        <f ca="1">IFERROR(__xludf.DUMMYFUNCTION("""COMPUTED_VALUE"""),4)</f>
        <v>4</v>
      </c>
      <c r="E252">
        <f ca="1">IFERROR(__xludf.DUMMYFUNCTION("""COMPUTED_VALUE"""),-2.161)</f>
        <v>-2.161</v>
      </c>
      <c r="F252">
        <f ca="1">IFERROR(__xludf.DUMMYFUNCTION("""COMPUTED_VALUE"""),-8.645)</f>
        <v>-8.6449999999999996</v>
      </c>
      <c r="G252">
        <f ca="1">IFERROR(__xludf.DUMMYFUNCTION("""COMPUTED_VALUE"""),-5.63)</f>
        <v>-5.63</v>
      </c>
      <c r="H252">
        <f ca="1">IFERROR(__xludf.DUMMYFUNCTION("""COMPUTED_VALUE"""),-3.015)</f>
        <v>-3.0150000000000001</v>
      </c>
      <c r="I252">
        <f ca="1">IFERROR(__xludf.DUMMYFUNCTION("""COMPUTED_VALUE"""),4)</f>
        <v>4</v>
      </c>
    </row>
    <row r="253" spans="1:9" ht="12.75">
      <c r="A253" t="str">
        <f ca="1">IFERROR(__xludf.DUMMYFUNCTION("""COMPUTED_VALUE"""),"T252")</f>
        <v>T252</v>
      </c>
      <c r="B253">
        <f ca="1">IFERROR(__xludf.DUMMYFUNCTION("""COMPUTED_VALUE"""),244)</f>
        <v>244</v>
      </c>
      <c r="C253" t="str">
        <f ca="1">IFERROR(__xludf.DUMMYFUNCTION("""COMPUTED_VALUE"""),"Luke Donald")</f>
        <v>Luke Donald</v>
      </c>
      <c r="D253">
        <f ca="1">IFERROR(__xludf.DUMMYFUNCTION("""COMPUTED_VALUE"""),14)</f>
        <v>14</v>
      </c>
      <c r="E253">
        <f ca="1">IFERROR(__xludf.DUMMYFUNCTION("""COMPUTED_VALUE"""),-2.218)</f>
        <v>-2.218</v>
      </c>
      <c r="F253">
        <f ca="1">IFERROR(__xludf.DUMMYFUNCTION("""COMPUTED_VALUE"""),-22.176)</f>
        <v>-22.175999999999998</v>
      </c>
      <c r="G253">
        <f ca="1">IFERROR(__xludf.DUMMYFUNCTION("""COMPUTED_VALUE"""),-14.981)</f>
        <v>-14.981</v>
      </c>
      <c r="H253">
        <f ca="1">IFERROR(__xludf.DUMMYFUNCTION("""COMPUTED_VALUE"""),-7.195)</f>
        <v>-7.1950000000000003</v>
      </c>
      <c r="I253">
        <f ca="1">IFERROR(__xludf.DUMMYFUNCTION("""COMPUTED_VALUE"""),10)</f>
        <v>10</v>
      </c>
    </row>
    <row r="254" spans="1:9" ht="12.75">
      <c r="A254" t="str">
        <f ca="1">IFERROR(__xludf.DUMMYFUNCTION("""COMPUTED_VALUE"""),"T252")</f>
        <v>T252</v>
      </c>
      <c r="B254">
        <f ca="1">IFERROR(__xludf.DUMMYFUNCTION("""COMPUTED_VALUE"""),238)</f>
        <v>238</v>
      </c>
      <c r="C254" t="str">
        <f ca="1">IFERROR(__xludf.DUMMYFUNCTION("""COMPUTED_VALUE"""),"Hunter Mahan")</f>
        <v>Hunter Mahan</v>
      </c>
      <c r="D254">
        <f ca="1">IFERROR(__xludf.DUMMYFUNCTION("""COMPUTED_VALUE"""),14)</f>
        <v>14</v>
      </c>
      <c r="E254">
        <f ca="1">IFERROR(__xludf.DUMMYFUNCTION("""COMPUTED_VALUE"""),-2.218)</f>
        <v>-2.218</v>
      </c>
      <c r="F254">
        <f ca="1">IFERROR(__xludf.DUMMYFUNCTION("""COMPUTED_VALUE"""),-22.176)</f>
        <v>-22.175999999999998</v>
      </c>
      <c r="G254">
        <f ca="1">IFERROR(__xludf.DUMMYFUNCTION("""COMPUTED_VALUE"""),-30.873)</f>
        <v>-30.873000000000001</v>
      </c>
      <c r="H254">
        <f ca="1">IFERROR(__xludf.DUMMYFUNCTION("""COMPUTED_VALUE"""),8.698)</f>
        <v>8.6980000000000004</v>
      </c>
      <c r="I254">
        <f ca="1">IFERROR(__xludf.DUMMYFUNCTION("""COMPUTED_VALUE"""),10)</f>
        <v>10</v>
      </c>
    </row>
    <row r="255" spans="1:9" ht="12.75">
      <c r="A255">
        <f ca="1">IFERROR(__xludf.DUMMYFUNCTION("""COMPUTED_VALUE"""),254)</f>
        <v>254</v>
      </c>
      <c r="B255">
        <f ca="1">IFERROR(__xludf.DUMMYFUNCTION("""COMPUTED_VALUE"""),210)</f>
        <v>210</v>
      </c>
      <c r="C255" t="str">
        <f ca="1">IFERROR(__xludf.DUMMYFUNCTION("""COMPUTED_VALUE"""),"Danny Willett")</f>
        <v>Danny Willett</v>
      </c>
      <c r="D255">
        <f ca="1">IFERROR(__xludf.DUMMYFUNCTION("""COMPUTED_VALUE"""),7)</f>
        <v>7</v>
      </c>
      <c r="E255">
        <f ca="1">IFERROR(__xludf.DUMMYFUNCTION("""COMPUTED_VALUE"""),-2.294)</f>
        <v>-2.294</v>
      </c>
      <c r="F255">
        <f ca="1">IFERROR(__xludf.DUMMYFUNCTION("""COMPUTED_VALUE"""),-6.883)</f>
        <v>-6.883</v>
      </c>
      <c r="G255">
        <f ca="1">IFERROR(__xludf.DUMMYFUNCTION("""COMPUTED_VALUE"""),-4.218)</f>
        <v>-4.218</v>
      </c>
      <c r="H255">
        <f ca="1">IFERROR(__xludf.DUMMYFUNCTION("""COMPUTED_VALUE"""),-2.665)</f>
        <v>-2.665</v>
      </c>
      <c r="I255">
        <f ca="1">IFERROR(__xludf.DUMMYFUNCTION("""COMPUTED_VALUE"""),3)</f>
        <v>3</v>
      </c>
    </row>
    <row r="256" spans="1:9" ht="12.75">
      <c r="A256">
        <f ca="1">IFERROR(__xludf.DUMMYFUNCTION("""COMPUTED_VALUE"""),255)</f>
        <v>255</v>
      </c>
      <c r="B256" t="str">
        <f ca="1">IFERROR(__xludf.DUMMYFUNCTION("""COMPUTED_VALUE"""),"T206")</f>
        <v>T206</v>
      </c>
      <c r="C256" t="str">
        <f ca="1">IFERROR(__xludf.DUMMYFUNCTION("""COMPUTED_VALUE"""),"Keith Mitchell")</f>
        <v>Keith Mitchell</v>
      </c>
      <c r="D256">
        <f ca="1">IFERROR(__xludf.DUMMYFUNCTION("""COMPUTED_VALUE"""),14)</f>
        <v>14</v>
      </c>
      <c r="E256">
        <f ca="1">IFERROR(__xludf.DUMMYFUNCTION("""COMPUTED_VALUE"""),-2.443)</f>
        <v>-2.4430000000000001</v>
      </c>
      <c r="F256">
        <f ca="1">IFERROR(__xludf.DUMMYFUNCTION("""COMPUTED_VALUE"""),-14.657)</f>
        <v>-14.657</v>
      </c>
      <c r="G256">
        <f ca="1">IFERROR(__xludf.DUMMYFUNCTION("""COMPUTED_VALUE"""),-8.575)</f>
        <v>-8.5749999999999993</v>
      </c>
      <c r="H256">
        <f ca="1">IFERROR(__xludf.DUMMYFUNCTION("""COMPUTED_VALUE"""),-6.082)</f>
        <v>-6.0819999999999999</v>
      </c>
      <c r="I256">
        <f ca="1">IFERROR(__xludf.DUMMYFUNCTION("""COMPUTED_VALUE"""),6)</f>
        <v>6</v>
      </c>
    </row>
    <row r="257" spans="1:9" ht="12.75">
      <c r="A257">
        <f ca="1">IFERROR(__xludf.DUMMYFUNCTION("""COMPUTED_VALUE"""),256)</f>
        <v>256</v>
      </c>
      <c r="B257">
        <f ca="1">IFERROR(__xludf.DUMMYFUNCTION("""COMPUTED_VALUE"""),245)</f>
        <v>245</v>
      </c>
      <c r="C257" t="str">
        <f ca="1">IFERROR(__xludf.DUMMYFUNCTION("""COMPUTED_VALUE"""),"Rikuya Hoshino")</f>
        <v>Rikuya Hoshino</v>
      </c>
      <c r="D257">
        <f ca="1">IFERROR(__xludf.DUMMYFUNCTION("""COMPUTED_VALUE"""),4)</f>
        <v>4</v>
      </c>
      <c r="E257">
        <f ca="1">IFERROR(__xludf.DUMMYFUNCTION("""COMPUTED_VALUE"""),-2.49)</f>
        <v>-2.4900000000000002</v>
      </c>
      <c r="F257">
        <f ca="1">IFERROR(__xludf.DUMMYFUNCTION("""COMPUTED_VALUE"""),-9.961)</f>
        <v>-9.9610000000000003</v>
      </c>
      <c r="G257">
        <f ca="1">IFERROR(__xludf.DUMMYFUNCTION("""COMPUTED_VALUE"""),-7.11)</f>
        <v>-7.11</v>
      </c>
      <c r="H257">
        <f ca="1">IFERROR(__xludf.DUMMYFUNCTION("""COMPUTED_VALUE"""),-2.851)</f>
        <v>-2.851</v>
      </c>
      <c r="I257">
        <f ca="1">IFERROR(__xludf.DUMMYFUNCTION("""COMPUTED_VALUE"""),4)</f>
        <v>4</v>
      </c>
    </row>
    <row r="258" spans="1:9" ht="12.75">
      <c r="A258">
        <f ca="1">IFERROR(__xludf.DUMMYFUNCTION("""COMPUTED_VALUE"""),257)</f>
        <v>257</v>
      </c>
      <c r="B258">
        <f ca="1">IFERROR(__xludf.DUMMYFUNCTION("""COMPUTED_VALUE"""),247)</f>
        <v>247</v>
      </c>
      <c r="C258" t="str">
        <f ca="1">IFERROR(__xludf.DUMMYFUNCTION("""COMPUTED_VALUE"""),"Rhein Gibson")</f>
        <v>Rhein Gibson</v>
      </c>
      <c r="D258">
        <f ca="1">IFERROR(__xludf.DUMMYFUNCTION("""COMPUTED_VALUE"""),10)</f>
        <v>10</v>
      </c>
      <c r="E258">
        <f ca="1">IFERROR(__xludf.DUMMYFUNCTION("""COMPUTED_VALUE"""),-2.615)</f>
        <v>-2.6150000000000002</v>
      </c>
      <c r="F258">
        <f ca="1">IFERROR(__xludf.DUMMYFUNCTION("""COMPUTED_VALUE"""),-10.458)</f>
        <v>-10.458</v>
      </c>
      <c r="G258">
        <f ca="1">IFERROR(__xludf.DUMMYFUNCTION("""COMPUTED_VALUE"""),-12.903)</f>
        <v>-12.903</v>
      </c>
      <c r="H258">
        <f ca="1">IFERROR(__xludf.DUMMYFUNCTION("""COMPUTED_VALUE"""),2.445)</f>
        <v>2.4449999999999998</v>
      </c>
      <c r="I258">
        <f ca="1">IFERROR(__xludf.DUMMYFUNCTION("""COMPUTED_VALUE"""),4)</f>
        <v>4</v>
      </c>
    </row>
    <row r="259" spans="1:9" ht="12.75">
      <c r="A259" t="str">
        <f ca="1">IFERROR(__xludf.DUMMYFUNCTION("""COMPUTED_VALUE"""),"T258")</f>
        <v>T258</v>
      </c>
      <c r="B259" t="str">
        <f ca="1">IFERROR(__xludf.DUMMYFUNCTION("""COMPUTED_VALUE"""),"T248")</f>
        <v>T248</v>
      </c>
      <c r="C259" t="str">
        <f ca="1">IFERROR(__xludf.DUMMYFUNCTION("""COMPUTED_VALUE"""),"John Senden")</f>
        <v>John Senden</v>
      </c>
      <c r="D259">
        <f ca="1">IFERROR(__xludf.DUMMYFUNCTION("""COMPUTED_VALUE"""),8)</f>
        <v>8</v>
      </c>
      <c r="E259">
        <f ca="1">IFERROR(__xludf.DUMMYFUNCTION("""COMPUTED_VALUE"""),-2.654)</f>
        <v>-2.6539999999999999</v>
      </c>
      <c r="F259">
        <f ca="1">IFERROR(__xludf.DUMMYFUNCTION("""COMPUTED_VALUE"""),-5.307)</f>
        <v>-5.3070000000000004</v>
      </c>
      <c r="G259">
        <f ca="1">IFERROR(__xludf.DUMMYFUNCTION("""COMPUTED_VALUE"""),-4.15)</f>
        <v>-4.1500000000000004</v>
      </c>
      <c r="H259">
        <f ca="1">IFERROR(__xludf.DUMMYFUNCTION("""COMPUTED_VALUE"""),-1.157)</f>
        <v>-1.157</v>
      </c>
      <c r="I259">
        <f ca="1">IFERROR(__xludf.DUMMYFUNCTION("""COMPUTED_VALUE"""),2)</f>
        <v>2</v>
      </c>
    </row>
    <row r="260" spans="1:9" ht="12.75">
      <c r="A260" t="str">
        <f ca="1">IFERROR(__xludf.DUMMYFUNCTION("""COMPUTED_VALUE"""),"T258")</f>
        <v>T258</v>
      </c>
      <c r="B260" t="str">
        <f ca="1">IFERROR(__xludf.DUMMYFUNCTION("""COMPUTED_VALUE"""),"T248")</f>
        <v>T248</v>
      </c>
      <c r="C260" t="str">
        <f ca="1">IFERROR(__xludf.DUMMYFUNCTION("""COMPUTED_VALUE"""),"Seamus Power")</f>
        <v>Seamus Power</v>
      </c>
      <c r="D260">
        <f ca="1">IFERROR(__xludf.DUMMYFUNCTION("""COMPUTED_VALUE"""),8)</f>
        <v>8</v>
      </c>
      <c r="E260">
        <f ca="1">IFERROR(__xludf.DUMMYFUNCTION("""COMPUTED_VALUE"""),-2.654)</f>
        <v>-2.6539999999999999</v>
      </c>
      <c r="F260">
        <f ca="1">IFERROR(__xludf.DUMMYFUNCTION("""COMPUTED_VALUE"""),-5.307)</f>
        <v>-5.3070000000000004</v>
      </c>
      <c r="G260">
        <f ca="1">IFERROR(__xludf.DUMMYFUNCTION("""COMPUTED_VALUE"""),-3.78)</f>
        <v>-3.78</v>
      </c>
      <c r="H260">
        <f ca="1">IFERROR(__xludf.DUMMYFUNCTION("""COMPUTED_VALUE"""),-1.527)</f>
        <v>-1.5269999999999999</v>
      </c>
      <c r="I260">
        <f ca="1">IFERROR(__xludf.DUMMYFUNCTION("""COMPUTED_VALUE"""),2)</f>
        <v>2</v>
      </c>
    </row>
    <row r="261" spans="1:9" ht="12.75">
      <c r="A261">
        <f ca="1">IFERROR(__xludf.DUMMYFUNCTION("""COMPUTED_VALUE"""),260)</f>
        <v>260</v>
      </c>
      <c r="B261">
        <f ca="1">IFERROR(__xludf.DUMMYFUNCTION("""COMPUTED_VALUE"""),250)</f>
        <v>250</v>
      </c>
      <c r="C261" t="str">
        <f ca="1">IFERROR(__xludf.DUMMYFUNCTION("""COMPUTED_VALUE"""),"Jeongwoo Ham")</f>
        <v>Jeongwoo Ham</v>
      </c>
      <c r="D261">
        <f ca="1">IFERROR(__xludf.DUMMYFUNCTION("""COMPUTED_VALUE"""),4)</f>
        <v>4</v>
      </c>
      <c r="E261">
        <f ca="1">IFERROR(__xludf.DUMMYFUNCTION("""COMPUTED_VALUE"""),-2.674)</f>
        <v>-2.6739999999999999</v>
      </c>
      <c r="F261">
        <f ca="1">IFERROR(__xludf.DUMMYFUNCTION("""COMPUTED_VALUE"""),-10.694)</f>
        <v>-10.694000000000001</v>
      </c>
      <c r="G261">
        <f ca="1">IFERROR(__xludf.DUMMYFUNCTION("""COMPUTED_VALUE"""),-8.959)</f>
        <v>-8.9589999999999996</v>
      </c>
      <c r="H261">
        <f ca="1">IFERROR(__xludf.DUMMYFUNCTION("""COMPUTED_VALUE"""),-1.735)</f>
        <v>-1.7350000000000001</v>
      </c>
      <c r="I261">
        <f ca="1">IFERROR(__xludf.DUMMYFUNCTION("""COMPUTED_VALUE"""),4)</f>
        <v>4</v>
      </c>
    </row>
    <row r="262" spans="1:9" ht="12.75">
      <c r="A262">
        <f ca="1">IFERROR(__xludf.DUMMYFUNCTION("""COMPUTED_VALUE"""),261)</f>
        <v>261</v>
      </c>
      <c r="B262">
        <f ca="1">IFERROR(__xludf.DUMMYFUNCTION("""COMPUTED_VALUE"""),254)</f>
        <v>254</v>
      </c>
      <c r="C262" t="str">
        <f ca="1">IFERROR(__xludf.DUMMYFUNCTION("""COMPUTED_VALUE"""),"Sung Kang")</f>
        <v>Sung Kang</v>
      </c>
      <c r="D262">
        <f ca="1">IFERROR(__xludf.DUMMYFUNCTION("""COMPUTED_VALUE"""),14)</f>
        <v>14</v>
      </c>
      <c r="E262">
        <f ca="1">IFERROR(__xludf.DUMMYFUNCTION("""COMPUTED_VALUE"""),-2.839)</f>
        <v>-2.839</v>
      </c>
      <c r="F262">
        <f ca="1">IFERROR(__xludf.DUMMYFUNCTION("""COMPUTED_VALUE"""),-39.749)</f>
        <v>-39.749000000000002</v>
      </c>
      <c r="G262">
        <f ca="1">IFERROR(__xludf.DUMMYFUNCTION("""COMPUTED_VALUE"""),-29.826)</f>
        <v>-29.826000000000001</v>
      </c>
      <c r="H262">
        <f ca="1">IFERROR(__xludf.DUMMYFUNCTION("""COMPUTED_VALUE"""),-9.922)</f>
        <v>-9.9220000000000006</v>
      </c>
      <c r="I262">
        <f ca="1">IFERROR(__xludf.DUMMYFUNCTION("""COMPUTED_VALUE"""),14)</f>
        <v>14</v>
      </c>
    </row>
    <row r="263" spans="1:9" ht="12.75">
      <c r="A263">
        <f ca="1">IFERROR(__xludf.DUMMYFUNCTION("""COMPUTED_VALUE"""),262)</f>
        <v>262</v>
      </c>
      <c r="B263">
        <f ca="1">IFERROR(__xludf.DUMMYFUNCTION("""COMPUTED_VALUE"""),246)</f>
        <v>246</v>
      </c>
      <c r="C263" t="str">
        <f ca="1">IFERROR(__xludf.DUMMYFUNCTION("""COMPUTED_VALUE"""),"D.A. Points")</f>
        <v>D.A. Points</v>
      </c>
      <c r="D263">
        <f ca="1">IFERROR(__xludf.DUMMYFUNCTION("""COMPUTED_VALUE"""),12)</f>
        <v>12</v>
      </c>
      <c r="E263">
        <f ca="1">IFERROR(__xludf.DUMMYFUNCTION("""COMPUTED_VALUE"""),-2.871)</f>
        <v>-2.871</v>
      </c>
      <c r="F263">
        <f ca="1">IFERROR(__xludf.DUMMYFUNCTION("""COMPUTED_VALUE"""),-22.964)</f>
        <v>-22.963999999999999</v>
      </c>
      <c r="G263">
        <f ca="1">IFERROR(__xludf.DUMMYFUNCTION("""COMPUTED_VALUE"""),-19.565)</f>
        <v>-19.565000000000001</v>
      </c>
      <c r="H263">
        <f ca="1">IFERROR(__xludf.DUMMYFUNCTION("""COMPUTED_VALUE"""),-3.397)</f>
        <v>-3.3969999999999998</v>
      </c>
      <c r="I263">
        <f ca="1">IFERROR(__xludf.DUMMYFUNCTION("""COMPUTED_VALUE"""),8)</f>
        <v>8</v>
      </c>
    </row>
    <row r="264" spans="1:9" ht="12.75">
      <c r="A264">
        <f ca="1">IFERROR(__xludf.DUMMYFUNCTION("""COMPUTED_VALUE"""),263)</f>
        <v>263</v>
      </c>
      <c r="B264">
        <f ca="1">IFERROR(__xludf.DUMMYFUNCTION("""COMPUTED_VALUE"""),253)</f>
        <v>253</v>
      </c>
      <c r="C264" t="str">
        <f ca="1">IFERROR(__xludf.DUMMYFUNCTION("""COMPUTED_VALUE"""),"Naoki Sekito")</f>
        <v>Naoki Sekito</v>
      </c>
      <c r="D264">
        <f ca="1">IFERROR(__xludf.DUMMYFUNCTION("""COMPUTED_VALUE"""),4)</f>
        <v>4</v>
      </c>
      <c r="E264">
        <f ca="1">IFERROR(__xludf.DUMMYFUNCTION("""COMPUTED_VALUE"""),-2.99)</f>
        <v>-2.99</v>
      </c>
      <c r="F264">
        <f ca="1">IFERROR(__xludf.DUMMYFUNCTION("""COMPUTED_VALUE"""),-11.961)</f>
        <v>-11.961</v>
      </c>
      <c r="G264">
        <f ca="1">IFERROR(__xludf.DUMMYFUNCTION("""COMPUTED_VALUE"""),-11.011)</f>
        <v>-11.010999999999999</v>
      </c>
      <c r="H264">
        <f ca="1">IFERROR(__xludf.DUMMYFUNCTION("""COMPUTED_VALUE"""),-0.95)</f>
        <v>-0.95</v>
      </c>
      <c r="I264">
        <f ca="1">IFERROR(__xludf.DUMMYFUNCTION("""COMPUTED_VALUE"""),4)</f>
        <v>4</v>
      </c>
    </row>
    <row r="265" spans="1:9" ht="12.75">
      <c r="A265">
        <f ca="1">IFERROR(__xludf.DUMMYFUNCTION("""COMPUTED_VALUE"""),264)</f>
        <v>264</v>
      </c>
      <c r="B265">
        <f ca="1">IFERROR(__xludf.DUMMYFUNCTION("""COMPUTED_VALUE"""),251)</f>
        <v>251</v>
      </c>
      <c r="C265" t="str">
        <f ca="1">IFERROR(__xludf.DUMMYFUNCTION("""COMPUTED_VALUE"""),"Martin Trainer")</f>
        <v>Martin Trainer</v>
      </c>
      <c r="D265">
        <f ca="1">IFERROR(__xludf.DUMMYFUNCTION("""COMPUTED_VALUE"""),10)</f>
        <v>10</v>
      </c>
      <c r="E265">
        <f ca="1">IFERROR(__xludf.DUMMYFUNCTION("""COMPUTED_VALUE"""),-2.996)</f>
        <v>-2.996</v>
      </c>
      <c r="F265">
        <f ca="1">IFERROR(__xludf.DUMMYFUNCTION("""COMPUTED_VALUE"""),-23.964)</f>
        <v>-23.963999999999999</v>
      </c>
      <c r="G265">
        <f ca="1">IFERROR(__xludf.DUMMYFUNCTION("""COMPUTED_VALUE"""),-27.671)</f>
        <v>-27.670999999999999</v>
      </c>
      <c r="H265">
        <f ca="1">IFERROR(__xludf.DUMMYFUNCTION("""COMPUTED_VALUE"""),3.709)</f>
        <v>3.7090000000000001</v>
      </c>
      <c r="I265">
        <f ca="1">IFERROR(__xludf.DUMMYFUNCTION("""COMPUTED_VALUE"""),8)</f>
        <v>8</v>
      </c>
    </row>
    <row r="266" spans="1:9" ht="12.75">
      <c r="A266">
        <f ca="1">IFERROR(__xludf.DUMMYFUNCTION("""COMPUTED_VALUE"""),265)</f>
        <v>265</v>
      </c>
      <c r="B266">
        <f ca="1">IFERROR(__xludf.DUMMYFUNCTION("""COMPUTED_VALUE"""),255)</f>
        <v>255</v>
      </c>
      <c r="C266" t="str">
        <f ca="1">IFERROR(__xludf.DUMMYFUNCTION("""COMPUTED_VALUE"""),"Brian Gay")</f>
        <v>Brian Gay</v>
      </c>
      <c r="D266">
        <f ca="1">IFERROR(__xludf.DUMMYFUNCTION("""COMPUTED_VALUE"""),8)</f>
        <v>8</v>
      </c>
      <c r="E266">
        <f ca="1">IFERROR(__xludf.DUMMYFUNCTION("""COMPUTED_VALUE"""),-3.032)</f>
        <v>-3.032</v>
      </c>
      <c r="F266">
        <f ca="1">IFERROR(__xludf.DUMMYFUNCTION("""COMPUTED_VALUE"""),-12.126)</f>
        <v>-12.125999999999999</v>
      </c>
      <c r="G266">
        <f ca="1">IFERROR(__xludf.DUMMYFUNCTION("""COMPUTED_VALUE"""),-9.448)</f>
        <v>-9.4480000000000004</v>
      </c>
      <c r="H266">
        <f ca="1">IFERROR(__xludf.DUMMYFUNCTION("""COMPUTED_VALUE"""),-2.677)</f>
        <v>-2.677</v>
      </c>
      <c r="I266">
        <f ca="1">IFERROR(__xludf.DUMMYFUNCTION("""COMPUTED_VALUE"""),4)</f>
        <v>4</v>
      </c>
    </row>
    <row r="267" spans="1:9" ht="12.75">
      <c r="A267">
        <f ca="1">IFERROR(__xludf.DUMMYFUNCTION("""COMPUTED_VALUE"""),266)</f>
        <v>266</v>
      </c>
      <c r="B267">
        <f ca="1">IFERROR(__xludf.DUMMYFUNCTION("""COMPUTED_VALUE"""),256)</f>
        <v>256</v>
      </c>
      <c r="C267" t="str">
        <f ca="1">IFERROR(__xludf.DUMMYFUNCTION("""COMPUTED_VALUE"""),"Rasmus Hojgaard")</f>
        <v>Rasmus Hojgaard</v>
      </c>
      <c r="D267">
        <f ca="1">IFERROR(__xludf.DUMMYFUNCTION("""COMPUTED_VALUE"""),6)</f>
        <v>6</v>
      </c>
      <c r="E267">
        <f ca="1">IFERROR(__xludf.DUMMYFUNCTION("""COMPUTED_VALUE"""),-3.093)</f>
        <v>-3.093</v>
      </c>
      <c r="F267">
        <f ca="1">IFERROR(__xludf.DUMMYFUNCTION("""COMPUTED_VALUE"""),-6.186)</f>
        <v>-6.1859999999999999</v>
      </c>
      <c r="G267">
        <f ca="1">IFERROR(__xludf.DUMMYFUNCTION("""COMPUTED_VALUE"""),-1.595)</f>
        <v>-1.595</v>
      </c>
      <c r="H267">
        <f ca="1">IFERROR(__xludf.DUMMYFUNCTION("""COMPUTED_VALUE"""),-4.591)</f>
        <v>-4.5910000000000002</v>
      </c>
      <c r="I267">
        <f ca="1">IFERROR(__xludf.DUMMYFUNCTION("""COMPUTED_VALUE"""),2)</f>
        <v>2</v>
      </c>
    </row>
    <row r="268" spans="1:9" ht="12.75">
      <c r="A268" t="str">
        <f ca="1">IFERROR(__xludf.DUMMYFUNCTION("""COMPUTED_VALUE"""),"T267")</f>
        <v>T267</v>
      </c>
      <c r="B268" t="str">
        <f ca="1">IFERROR(__xludf.DUMMYFUNCTION("""COMPUTED_VALUE"""),"T257")</f>
        <v>T257</v>
      </c>
      <c r="C268" t="str">
        <f ca="1">IFERROR(__xludf.DUMMYFUNCTION("""COMPUTED_VALUE"""),"Alex Cejka")</f>
        <v>Alex Cejka</v>
      </c>
      <c r="D268">
        <f ca="1">IFERROR(__xludf.DUMMYFUNCTION("""COMPUTED_VALUE"""),6)</f>
        <v>6</v>
      </c>
      <c r="E268">
        <f ca="1">IFERROR(__xludf.DUMMYFUNCTION("""COMPUTED_VALUE"""),-3.154)</f>
        <v>-3.1539999999999999</v>
      </c>
      <c r="F268">
        <f ca="1">IFERROR(__xludf.DUMMYFUNCTION("""COMPUTED_VALUE"""),-6.307)</f>
        <v>-6.3070000000000004</v>
      </c>
      <c r="G268">
        <f ca="1">IFERROR(__xludf.DUMMYFUNCTION("""COMPUTED_VALUE"""),-3.064)</f>
        <v>-3.0640000000000001</v>
      </c>
      <c r="H268">
        <f ca="1">IFERROR(__xludf.DUMMYFUNCTION("""COMPUTED_VALUE"""),-3.243)</f>
        <v>-3.2429999999999999</v>
      </c>
      <c r="I268">
        <f ca="1">IFERROR(__xludf.DUMMYFUNCTION("""COMPUTED_VALUE"""),2)</f>
        <v>2</v>
      </c>
    </row>
    <row r="269" spans="1:9" ht="12.75">
      <c r="A269" t="str">
        <f ca="1">IFERROR(__xludf.DUMMYFUNCTION("""COMPUTED_VALUE"""),"T267")</f>
        <v>T267</v>
      </c>
      <c r="B269" t="str">
        <f ca="1">IFERROR(__xludf.DUMMYFUNCTION("""COMPUTED_VALUE"""),"T257")</f>
        <v>T257</v>
      </c>
      <c r="C269" t="str">
        <f ca="1">IFERROR(__xludf.DUMMYFUNCTION("""COMPUTED_VALUE"""),"George McNeill")</f>
        <v>George McNeill</v>
      </c>
      <c r="D269">
        <f ca="1">IFERROR(__xludf.DUMMYFUNCTION("""COMPUTED_VALUE"""),8)</f>
        <v>8</v>
      </c>
      <c r="E269">
        <f ca="1">IFERROR(__xludf.DUMMYFUNCTION("""COMPUTED_VALUE"""),-3.154)</f>
        <v>-3.1539999999999999</v>
      </c>
      <c r="F269">
        <f ca="1">IFERROR(__xludf.DUMMYFUNCTION("""COMPUTED_VALUE"""),-6.307)</f>
        <v>-6.3070000000000004</v>
      </c>
      <c r="G269">
        <f ca="1">IFERROR(__xludf.DUMMYFUNCTION("""COMPUTED_VALUE"""),-2.769)</f>
        <v>-2.7690000000000001</v>
      </c>
      <c r="H269">
        <f ca="1">IFERROR(__xludf.DUMMYFUNCTION("""COMPUTED_VALUE"""),-3.538)</f>
        <v>-3.5379999999999998</v>
      </c>
      <c r="I269">
        <f ca="1">IFERROR(__xludf.DUMMYFUNCTION("""COMPUTED_VALUE"""),2)</f>
        <v>2</v>
      </c>
    </row>
    <row r="270" spans="1:9" ht="12.75">
      <c r="A270" t="str">
        <f ca="1">IFERROR(__xludf.DUMMYFUNCTION("""COMPUTED_VALUE"""),"T267")</f>
        <v>T267</v>
      </c>
      <c r="B270" t="str">
        <f ca="1">IFERROR(__xludf.DUMMYFUNCTION("""COMPUTED_VALUE"""),"T257")</f>
        <v>T257</v>
      </c>
      <c r="C270" t="str">
        <f ca="1">IFERROR(__xludf.DUMMYFUNCTION("""COMPUTED_VALUE"""),"Sangmoon Bae")</f>
        <v>Sangmoon Bae</v>
      </c>
      <c r="D270">
        <f ca="1">IFERROR(__xludf.DUMMYFUNCTION("""COMPUTED_VALUE"""),8)</f>
        <v>8</v>
      </c>
      <c r="E270">
        <f ca="1">IFERROR(__xludf.DUMMYFUNCTION("""COMPUTED_VALUE"""),-3.154)</f>
        <v>-3.1539999999999999</v>
      </c>
      <c r="F270">
        <f ca="1">IFERROR(__xludf.DUMMYFUNCTION("""COMPUTED_VALUE"""),-6.307)</f>
        <v>-6.3070000000000004</v>
      </c>
      <c r="G270">
        <f ca="1">IFERROR(__xludf.DUMMYFUNCTION("""COMPUTED_VALUE"""),-3.97)</f>
        <v>-3.97</v>
      </c>
      <c r="H270">
        <f ca="1">IFERROR(__xludf.DUMMYFUNCTION("""COMPUTED_VALUE"""),-2.337)</f>
        <v>-2.3370000000000002</v>
      </c>
      <c r="I270">
        <f ca="1">IFERROR(__xludf.DUMMYFUNCTION("""COMPUTED_VALUE"""),2)</f>
        <v>2</v>
      </c>
    </row>
    <row r="271" spans="1:9" ht="12.75">
      <c r="A271" t="str">
        <f ca="1">IFERROR(__xludf.DUMMYFUNCTION("""COMPUTED_VALUE"""),"T267")</f>
        <v>T267</v>
      </c>
      <c r="B271" t="str">
        <f ca="1">IFERROR(__xludf.DUMMYFUNCTION("""COMPUTED_VALUE"""),"T257")</f>
        <v>T257</v>
      </c>
      <c r="C271" t="str">
        <f ca="1">IFERROR(__xludf.DUMMYFUNCTION("""COMPUTED_VALUE"""),"Luke Schniederjans")</f>
        <v>Luke Schniederjans</v>
      </c>
      <c r="D271">
        <f ca="1">IFERROR(__xludf.DUMMYFUNCTION("""COMPUTED_VALUE"""),4)</f>
        <v>4</v>
      </c>
      <c r="E271">
        <f ca="1">IFERROR(__xludf.DUMMYFUNCTION("""COMPUTED_VALUE"""),-3.154)</f>
        <v>-3.1539999999999999</v>
      </c>
      <c r="F271">
        <f ca="1">IFERROR(__xludf.DUMMYFUNCTION("""COMPUTED_VALUE"""),-6.307)</f>
        <v>-6.3070000000000004</v>
      </c>
      <c r="G271">
        <f ca="1">IFERROR(__xludf.DUMMYFUNCTION("""COMPUTED_VALUE"""),-8.094)</f>
        <v>-8.0939999999999994</v>
      </c>
      <c r="H271">
        <f ca="1">IFERROR(__xludf.DUMMYFUNCTION("""COMPUTED_VALUE"""),1.787)</f>
        <v>1.7869999999999999</v>
      </c>
      <c r="I271">
        <f ca="1">IFERROR(__xludf.DUMMYFUNCTION("""COMPUTED_VALUE"""),2)</f>
        <v>2</v>
      </c>
    </row>
    <row r="272" spans="1:9" ht="12.75">
      <c r="A272">
        <f ca="1">IFERROR(__xludf.DUMMYFUNCTION("""COMPUTED_VALUE"""),271)</f>
        <v>271</v>
      </c>
      <c r="B272">
        <f ca="1">IFERROR(__xludf.DUMMYFUNCTION("""COMPUTED_VALUE"""),261)</f>
        <v>261</v>
      </c>
      <c r="C272" t="str">
        <f ca="1">IFERROR(__xludf.DUMMYFUNCTION("""COMPUTED_VALUE"""),"Matthias Schwab")</f>
        <v>Matthias Schwab</v>
      </c>
      <c r="D272">
        <f ca="1">IFERROR(__xludf.DUMMYFUNCTION("""COMPUTED_VALUE"""),8)</f>
        <v>8</v>
      </c>
      <c r="E272">
        <f ca="1">IFERROR(__xludf.DUMMYFUNCTION("""COMPUTED_VALUE"""),-3.161)</f>
        <v>-3.161</v>
      </c>
      <c r="F272">
        <f ca="1">IFERROR(__xludf.DUMMYFUNCTION("""COMPUTED_VALUE"""),-12.645)</f>
        <v>-12.645</v>
      </c>
      <c r="G272">
        <f ca="1">IFERROR(__xludf.DUMMYFUNCTION("""COMPUTED_VALUE"""),-4.607)</f>
        <v>-4.6070000000000002</v>
      </c>
      <c r="H272">
        <f ca="1">IFERROR(__xludf.DUMMYFUNCTION("""COMPUTED_VALUE"""),-8.037)</f>
        <v>-8.0370000000000008</v>
      </c>
      <c r="I272">
        <f ca="1">IFERROR(__xludf.DUMMYFUNCTION("""COMPUTED_VALUE"""),4)</f>
        <v>4</v>
      </c>
    </row>
    <row r="273" spans="1:9" ht="12.75">
      <c r="A273">
        <f ca="1">IFERROR(__xludf.DUMMYFUNCTION("""COMPUTED_VALUE"""),272)</f>
        <v>272</v>
      </c>
      <c r="B273">
        <f ca="1">IFERROR(__xludf.DUMMYFUNCTION("""COMPUTED_VALUE"""),264)</f>
        <v>264</v>
      </c>
      <c r="C273" t="str">
        <f ca="1">IFERROR(__xludf.DUMMYFUNCTION("""COMPUTED_VALUE"""),"Graham DeLaet")</f>
        <v>Graham DeLaet</v>
      </c>
      <c r="D273">
        <f ca="1">IFERROR(__xludf.DUMMYFUNCTION("""COMPUTED_VALUE"""),9)</f>
        <v>9</v>
      </c>
      <c r="E273">
        <f ca="1">IFERROR(__xludf.DUMMYFUNCTION("""COMPUTED_VALUE"""),-3.965)</f>
        <v>-3.9649999999999999</v>
      </c>
      <c r="F273">
        <f ca="1">IFERROR(__xludf.DUMMYFUNCTION("""COMPUTED_VALUE"""),-19.823)</f>
        <v>-19.823</v>
      </c>
      <c r="G273">
        <f ca="1">IFERROR(__xludf.DUMMYFUNCTION("""COMPUTED_VALUE"""),-3.315)</f>
        <v>-3.3149999999999999</v>
      </c>
      <c r="H273">
        <f ca="1">IFERROR(__xludf.DUMMYFUNCTION("""COMPUTED_VALUE"""),-16.507)</f>
        <v>-16.507000000000001</v>
      </c>
      <c r="I273">
        <f ca="1">IFERROR(__xludf.DUMMYFUNCTION("""COMPUTED_VALUE"""),5)</f>
        <v>5</v>
      </c>
    </row>
    <row r="274" spans="1:9" ht="12.75">
      <c r="A274">
        <f ca="1">IFERROR(__xludf.DUMMYFUNCTION("""COMPUTED_VALUE"""),273)</f>
        <v>273</v>
      </c>
      <c r="B274">
        <f ca="1">IFERROR(__xludf.DUMMYFUNCTION("""COMPUTED_VALUE"""),268)</f>
        <v>268</v>
      </c>
      <c r="C274" t="str">
        <f ca="1">IFERROR(__xludf.DUMMYFUNCTION("""COMPUTED_VALUE"""),"Kevin Stadler")</f>
        <v>Kevin Stadler</v>
      </c>
      <c r="D274">
        <f ca="1">IFERROR(__xludf.DUMMYFUNCTION("""COMPUTED_VALUE"""),8)</f>
        <v>8</v>
      </c>
      <c r="E274">
        <f ca="1">IFERROR(__xludf.DUMMYFUNCTION("""COMPUTED_VALUE"""),-4.276)</f>
        <v>-4.2759999999999998</v>
      </c>
      <c r="F274">
        <f ca="1">IFERROR(__xludf.DUMMYFUNCTION("""COMPUTED_VALUE"""),-25.657)</f>
        <v>-25.657</v>
      </c>
      <c r="G274">
        <f ca="1">IFERROR(__xludf.DUMMYFUNCTION("""COMPUTED_VALUE"""),-19.198)</f>
        <v>-19.198</v>
      </c>
      <c r="H274">
        <f ca="1">IFERROR(__xludf.DUMMYFUNCTION("""COMPUTED_VALUE"""),-6.458)</f>
        <v>-6.4580000000000002</v>
      </c>
      <c r="I274">
        <f ca="1">IFERROR(__xludf.DUMMYFUNCTION("""COMPUTED_VALUE"""),6)</f>
        <v>6</v>
      </c>
    </row>
    <row r="275" spans="1:9" ht="12.75">
      <c r="A275">
        <f ca="1">IFERROR(__xludf.DUMMYFUNCTION("""COMPUTED_VALUE"""),274)</f>
        <v>274</v>
      </c>
      <c r="B275">
        <f ca="1">IFERROR(__xludf.DUMMYFUNCTION("""COMPUTED_VALUE"""),266)</f>
        <v>266</v>
      </c>
      <c r="C275" t="str">
        <f ca="1">IFERROR(__xludf.DUMMYFUNCTION("""COMPUTED_VALUE"""),"Shawn Stefani")</f>
        <v>Shawn Stefani</v>
      </c>
      <c r="D275">
        <f ca="1">IFERROR(__xludf.DUMMYFUNCTION("""COMPUTED_VALUE"""),5)</f>
        <v>5</v>
      </c>
      <c r="E275">
        <f ca="1">IFERROR(__xludf.DUMMYFUNCTION("""COMPUTED_VALUE"""),-4.654)</f>
        <v>-4.6539999999999999</v>
      </c>
      <c r="F275">
        <f ca="1">IFERROR(__xludf.DUMMYFUNCTION("""COMPUTED_VALUE"""),-9.307)</f>
        <v>-9.3070000000000004</v>
      </c>
      <c r="G275">
        <f ca="1">IFERROR(__xludf.DUMMYFUNCTION("""COMPUTED_VALUE"""),-6.267)</f>
        <v>-6.2670000000000003</v>
      </c>
      <c r="H275">
        <f ca="1">IFERROR(__xludf.DUMMYFUNCTION("""COMPUTED_VALUE"""),-3.04)</f>
        <v>-3.04</v>
      </c>
      <c r="I275">
        <f ca="1">IFERROR(__xludf.DUMMYFUNCTION("""COMPUTED_VALUE"""),2)</f>
        <v>2</v>
      </c>
    </row>
    <row r="276" spans="1:9" ht="12.75">
      <c r="A276">
        <f ca="1">IFERROR(__xludf.DUMMYFUNCTION("""COMPUTED_VALUE"""),275)</f>
        <v>275</v>
      </c>
      <c r="B276">
        <f ca="1">IFERROR(__xludf.DUMMYFUNCTION("""COMPUTED_VALUE"""),267)</f>
        <v>267</v>
      </c>
      <c r="C276" t="str">
        <f ca="1">IFERROR(__xludf.DUMMYFUNCTION("""COMPUTED_VALUE"""),"Tae Hee Lee")</f>
        <v>Tae Hee Lee</v>
      </c>
      <c r="D276">
        <f ca="1">IFERROR(__xludf.DUMMYFUNCTION("""COMPUTED_VALUE"""),4)</f>
        <v>4</v>
      </c>
      <c r="E276">
        <f ca="1">IFERROR(__xludf.DUMMYFUNCTION("""COMPUTED_VALUE"""),-5.174)</f>
        <v>-5.1740000000000004</v>
      </c>
      <c r="F276">
        <f ca="1">IFERROR(__xludf.DUMMYFUNCTION("""COMPUTED_VALUE"""),-20.694)</f>
        <v>-20.693999999999999</v>
      </c>
      <c r="G276">
        <f ca="1">IFERROR(__xludf.DUMMYFUNCTION("""COMPUTED_VALUE"""),-18.892)</f>
        <v>-18.891999999999999</v>
      </c>
      <c r="H276">
        <f ca="1">IFERROR(__xludf.DUMMYFUNCTION("""COMPUTED_VALUE"""),-1.802)</f>
        <v>-1.802</v>
      </c>
      <c r="I276">
        <f ca="1">IFERROR(__xludf.DUMMYFUNCTION("""COMPUTED_VALUE"""),4)</f>
        <v>4</v>
      </c>
    </row>
    <row r="277" spans="1:9" ht="12.75">
      <c r="A277">
        <f ca="1">IFERROR(__xludf.DUMMYFUNCTION("""COMPUTED_VALUE"""),276)</f>
        <v>276</v>
      </c>
      <c r="B277">
        <f ca="1">IFERROR(__xludf.DUMMYFUNCTION("""COMPUTED_VALUE"""),269)</f>
        <v>269</v>
      </c>
      <c r="C277" t="str">
        <f ca="1">IFERROR(__xludf.DUMMYFUNCTION("""COMPUTED_VALUE"""),"Parker McLachlin")</f>
        <v>Parker McLachlin</v>
      </c>
      <c r="D277">
        <f ca="1">IFERROR(__xludf.DUMMYFUNCTION("""COMPUTED_VALUE"""),4)</f>
        <v>4</v>
      </c>
      <c r="E277">
        <f ca="1">IFERROR(__xludf.DUMMYFUNCTION("""COMPUTED_VALUE"""),-7.654)</f>
        <v>-7.6539999999999999</v>
      </c>
      <c r="F277">
        <f ca="1">IFERROR(__xludf.DUMMYFUNCTION("""COMPUTED_VALUE"""),-15.307)</f>
        <v>-15.307</v>
      </c>
      <c r="G277">
        <f ca="1">IFERROR(__xludf.DUMMYFUNCTION("""COMPUTED_VALUE"""),-17.583)</f>
        <v>-17.582999999999998</v>
      </c>
      <c r="H277">
        <f ca="1">IFERROR(__xludf.DUMMYFUNCTION("""COMPUTED_VALUE"""),2.276)</f>
        <v>2.2759999999999998</v>
      </c>
      <c r="I277">
        <f ca="1">IFERROR(__xludf.DUMMYFUNCTION("""COMPUTED_VALUE"""),2)</f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H236"/>
  <sheetViews>
    <sheetView workbookViewId="0"/>
  </sheetViews>
  <sheetFormatPr defaultColWidth="14.42578125" defaultRowHeight="15.75" customHeight="1"/>
  <sheetData>
    <row r="1" spans="1:8" ht="15.75" customHeight="1">
      <c r="A1" t="str">
        <f ca="1">IFERROR(__xludf.DUMMYFUNCTION("importhtml(""http://www.pgatour.com/stats/stat.120.html"",""table"",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STROKES")</f>
        <v>TOTAL STROKES</v>
      </c>
      <c r="G1" t="str">
        <f ca="1">IFERROR(__xludf.DUMMYFUNCTION("""COMPUTED_VALUE"""),"TOTAL ADJUSTMENT")</f>
        <v>TOTAL ADJUSTMENT</v>
      </c>
      <c r="H1" t="str">
        <f ca="1">IFERROR(__xludf.DUMMYFUNCTION("""COMPUTED_VALUE"""),"TOTAL ROUNDS")</f>
        <v>TOTAL ROUNDS</v>
      </c>
    </row>
    <row r="2" spans="1:8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IFERROR(__xludf.DUMMYFUNCTION("""COMPUTED_VALUE"""),66.711)</f>
        <v>66.710999999999999</v>
      </c>
      <c r="F2">
        <f ca="1">IFERROR(__xludf.DUMMYFUNCTION("""COMPUTED_VALUE"""),540)</f>
        <v>540</v>
      </c>
      <c r="G2">
        <f ca="1">IFERROR(__xludf.DUMMYFUNCTION("""COMPUTED_VALUE"""),-6.313)</f>
        <v>-6.3129999999999997</v>
      </c>
      <c r="H2">
        <f ca="1">IFERROR(__xludf.DUMMYFUNCTION("""COMPUTED_VALUE"""),8)</f>
        <v>8</v>
      </c>
    </row>
    <row r="3" spans="1:8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IFERROR(__xludf.DUMMYFUNCTION("""COMPUTED_VALUE"""),"Dustin Johnson")</f>
        <v>Dustin Johnson</v>
      </c>
      <c r="D3">
        <f ca="1">IFERROR(__xludf.DUMMYFUNCTION("""COMPUTED_VALUE"""),8)</f>
        <v>8</v>
      </c>
      <c r="E3">
        <f ca="1">IFERROR(__xludf.DUMMYFUNCTION("""COMPUTED_VALUE"""),66.877)</f>
        <v>66.876999999999995</v>
      </c>
      <c r="F3">
        <f ca="1">IFERROR(__xludf.DUMMYFUNCTION("""COMPUTED_VALUE"""),554)</f>
        <v>554</v>
      </c>
      <c r="G3">
        <f ca="1">IFERROR(__xludf.DUMMYFUNCTION("""COMPUTED_VALUE"""),-18.981)</f>
        <v>-18.981000000000002</v>
      </c>
      <c r="H3">
        <f ca="1">IFERROR(__xludf.DUMMYFUNCTION("""COMPUTED_VALUE"""),8)</f>
        <v>8</v>
      </c>
    </row>
    <row r="4" spans="1:8" ht="15.75" customHeight="1">
      <c r="A4">
        <f ca="1">IFERROR(__xludf.DUMMYFUNCTION("""COMPUTED_VALUE"""),3)</f>
        <v>3</v>
      </c>
      <c r="B4">
        <f ca="1">IFERROR(__xludf.DUMMYFUNCTION("""COMPUTED_VALUE"""),4)</f>
        <v>4</v>
      </c>
      <c r="C4" t="str">
        <f ca="1">IFERROR(__xludf.DUMMYFUNCTION("""COMPUTED_VALUE"""),"Xander Schauffele")</f>
        <v>Xander Schauffele</v>
      </c>
      <c r="D4">
        <f ca="1">IFERROR(__xludf.DUMMYFUNCTION("""COMPUTED_VALUE"""),12)</f>
        <v>12</v>
      </c>
      <c r="E4">
        <f ca="1">IFERROR(__xludf.DUMMYFUNCTION("""COMPUTED_VALUE"""),68.693)</f>
        <v>68.692999999999998</v>
      </c>
      <c r="F4">
        <f ca="1">IFERROR(__xludf.DUMMYFUNCTION("""COMPUTED_VALUE"""),827)</f>
        <v>827</v>
      </c>
      <c r="G4">
        <f ca="1">IFERROR(__xludf.DUMMYFUNCTION("""COMPUTED_VALUE"""),-2.683)</f>
        <v>-2.6829999999999998</v>
      </c>
      <c r="H4">
        <f ca="1">IFERROR(__xludf.DUMMYFUNCTION("""COMPUTED_VALUE"""),12)</f>
        <v>12</v>
      </c>
    </row>
    <row r="5" spans="1:8" ht="15.75" customHeight="1">
      <c r="A5">
        <f ca="1">IFERROR(__xludf.DUMMYFUNCTION("""COMPUTED_VALUE"""),4)</f>
        <v>4</v>
      </c>
      <c r="B5">
        <f ca="1">IFERROR(__xludf.DUMMYFUNCTION("""COMPUTED_VALUE"""),5)</f>
        <v>5</v>
      </c>
      <c r="C5" t="str">
        <f ca="1">IFERROR(__xludf.DUMMYFUNCTION("""COMPUTED_VALUE"""),"Tony Finau")</f>
        <v>Tony Finau</v>
      </c>
      <c r="D5">
        <f ca="1">IFERROR(__xludf.DUMMYFUNCTION("""COMPUTED_VALUE"""),12)</f>
        <v>12</v>
      </c>
      <c r="E5">
        <f ca="1">IFERROR(__xludf.DUMMYFUNCTION("""COMPUTED_VALUE"""),68.832)</f>
        <v>68.831999999999994</v>
      </c>
      <c r="F5">
        <f ca="1">IFERROR(__xludf.DUMMYFUNCTION("""COMPUTED_VALUE"""),834)</f>
        <v>834</v>
      </c>
      <c r="G5">
        <f ca="1">IFERROR(__xludf.DUMMYFUNCTION("""COMPUTED_VALUE"""),-8.015)</f>
        <v>-8.0150000000000006</v>
      </c>
      <c r="H5">
        <f ca="1">IFERROR(__xludf.DUMMYFUNCTION("""COMPUTED_VALUE"""),12)</f>
        <v>12</v>
      </c>
    </row>
    <row r="6" spans="1:8" ht="15.75" customHeight="1">
      <c r="A6">
        <f ca="1">IFERROR(__xludf.DUMMYFUNCTION("""COMPUTED_VALUE"""),5)</f>
        <v>5</v>
      </c>
      <c r="B6">
        <f ca="1">IFERROR(__xludf.DUMMYFUNCTION("""COMPUTED_VALUE"""),3)</f>
        <v>3</v>
      </c>
      <c r="C6" t="str">
        <f ca="1">IFERROR(__xludf.DUMMYFUNCTION("""COMPUTED_VALUE"""),"Lee Westwood")</f>
        <v>Lee Westwood</v>
      </c>
      <c r="D6">
        <f ca="1">IFERROR(__xludf.DUMMYFUNCTION("""COMPUTED_VALUE"""),6)</f>
        <v>6</v>
      </c>
      <c r="E6">
        <f ca="1">IFERROR(__xludf.DUMMYFUNCTION("""COMPUTED_VALUE"""),68.839)</f>
        <v>68.838999999999999</v>
      </c>
      <c r="F6">
        <f ca="1">IFERROR(__xludf.DUMMYFUNCTION("""COMPUTED_VALUE"""),433)</f>
        <v>433</v>
      </c>
      <c r="G6">
        <f ca="1">IFERROR(__xludf.DUMMYFUNCTION("""COMPUTED_VALUE"""),-19.968)</f>
        <v>-19.968</v>
      </c>
      <c r="H6">
        <f ca="1">IFERROR(__xludf.DUMMYFUNCTION("""COMPUTED_VALUE"""),6)</f>
        <v>6</v>
      </c>
    </row>
    <row r="7" spans="1:8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IFERROR(__xludf.DUMMYFUNCTION("""COMPUTED_VALUE"""),"Justin Thomas")</f>
        <v>Justin Thomas</v>
      </c>
      <c r="D7">
        <f ca="1">IFERROR(__xludf.DUMMYFUNCTION("""COMPUTED_VALUE"""),12)</f>
        <v>12</v>
      </c>
      <c r="E7">
        <f ca="1">IFERROR(__xludf.DUMMYFUNCTION("""COMPUTED_VALUE"""),69.11)</f>
        <v>69.11</v>
      </c>
      <c r="F7">
        <f ca="1">IFERROR(__xludf.DUMMYFUNCTION("""COMPUTED_VALUE"""),832)</f>
        <v>832</v>
      </c>
      <c r="G7">
        <f ca="1">IFERROR(__xludf.DUMMYFUNCTION("""COMPUTED_VALUE"""),-2.683)</f>
        <v>-2.6829999999999998</v>
      </c>
      <c r="H7">
        <f ca="1">IFERROR(__xludf.DUMMYFUNCTION("""COMPUTED_VALUE"""),12)</f>
        <v>12</v>
      </c>
    </row>
    <row r="8" spans="1:8" ht="15.75" customHeight="1">
      <c r="A8">
        <f ca="1">IFERROR(__xludf.DUMMYFUNCTION("""COMPUTED_VALUE"""),7)</f>
        <v>7</v>
      </c>
      <c r="B8">
        <f ca="1">IFERROR(__xludf.DUMMYFUNCTION("""COMPUTED_VALUE"""),20)</f>
        <v>20</v>
      </c>
      <c r="C8" t="str">
        <f ca="1">IFERROR(__xludf.DUMMYFUNCTION("""COMPUTED_VALUE"""),"Erik van Rooyen")</f>
        <v>Erik van Rooyen</v>
      </c>
      <c r="D8">
        <f ca="1">IFERROR(__xludf.DUMMYFUNCTION("""COMPUTED_VALUE"""),10)</f>
        <v>10</v>
      </c>
      <c r="E8">
        <f ca="1">IFERROR(__xludf.DUMMYFUNCTION("""COMPUTED_VALUE"""),69.133)</f>
        <v>69.132999999999996</v>
      </c>
      <c r="F8">
        <f ca="1">IFERROR(__xludf.DUMMYFUNCTION("""COMPUTED_VALUE"""),707)</f>
        <v>707</v>
      </c>
      <c r="G8">
        <f ca="1">IFERROR(__xludf.DUMMYFUNCTION("""COMPUTED_VALUE"""),-15.675)</f>
        <v>-15.675000000000001</v>
      </c>
      <c r="H8">
        <f ca="1">IFERROR(__xludf.DUMMYFUNCTION("""COMPUTED_VALUE"""),10)</f>
        <v>10</v>
      </c>
    </row>
    <row r="9" spans="1:8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IFERROR(__xludf.DUMMYFUNCTION("""COMPUTED_VALUE"""),"Jason Kokrak")</f>
        <v>Jason Kokrak</v>
      </c>
      <c r="D9">
        <f ca="1">IFERROR(__xludf.DUMMYFUNCTION("""COMPUTED_VALUE"""),14)</f>
        <v>14</v>
      </c>
      <c r="E9">
        <f ca="1">IFERROR(__xludf.DUMMYFUNCTION("""COMPUTED_VALUE"""),69.153)</f>
        <v>69.153000000000006</v>
      </c>
      <c r="F9">
        <f ca="1">IFERROR(__xludf.DUMMYFUNCTION("""COMPUTED_VALUE"""),965)</f>
        <v>965</v>
      </c>
      <c r="G9">
        <f ca="1">IFERROR(__xludf.DUMMYFUNCTION("""COMPUTED_VALUE"""),3.135)</f>
        <v>3.1349999999999998</v>
      </c>
      <c r="H9">
        <f ca="1">IFERROR(__xludf.DUMMYFUNCTION("""COMPUTED_VALUE"""),14)</f>
        <v>14</v>
      </c>
    </row>
    <row r="10" spans="1:8" ht="15.75" customHeight="1">
      <c r="A10">
        <f ca="1">IFERROR(__xludf.DUMMYFUNCTION("""COMPUTED_VALUE"""),9)</f>
        <v>9</v>
      </c>
      <c r="B10">
        <f ca="1">IFERROR(__xludf.DUMMYFUNCTION("""COMPUTED_VALUE"""),9)</f>
        <v>9</v>
      </c>
      <c r="C10" t="str">
        <f ca="1">IFERROR(__xludf.DUMMYFUNCTION("""COMPUTED_VALUE"""),"Patrick Reed")</f>
        <v>Patrick Reed</v>
      </c>
      <c r="D10">
        <f ca="1">IFERROR(__xludf.DUMMYFUNCTION("""COMPUTED_VALUE"""),8)</f>
        <v>8</v>
      </c>
      <c r="E10">
        <f ca="1">IFERROR(__xludf.DUMMYFUNCTION("""COMPUTED_VALUE"""),69.203)</f>
        <v>69.203000000000003</v>
      </c>
      <c r="F10">
        <f ca="1">IFERROR(__xludf.DUMMYFUNCTION("""COMPUTED_VALUE"""),559)</f>
        <v>559</v>
      </c>
      <c r="G10">
        <f ca="1">IFERROR(__xludf.DUMMYFUNCTION("""COMPUTED_VALUE"""),-5.378)</f>
        <v>-5.3780000000000001</v>
      </c>
      <c r="H10">
        <f ca="1">IFERROR(__xludf.DUMMYFUNCTION("""COMPUTED_VALUE"""),8)</f>
        <v>8</v>
      </c>
    </row>
    <row r="11" spans="1:8" ht="15.75" customHeight="1">
      <c r="A11">
        <f ca="1">IFERROR(__xludf.DUMMYFUNCTION("""COMPUTED_VALUE"""),10)</f>
        <v>10</v>
      </c>
      <c r="B11">
        <f ca="1">IFERROR(__xludf.DUMMYFUNCTION("""COMPUTED_VALUE"""),10)</f>
        <v>10</v>
      </c>
      <c r="C11" t="str">
        <f ca="1">IFERROR(__xludf.DUMMYFUNCTION("""COMPUTED_VALUE"""),"Webb Simpson")</f>
        <v>Webb Simpson</v>
      </c>
      <c r="D11">
        <f ca="1">IFERROR(__xludf.DUMMYFUNCTION("""COMPUTED_VALUE"""),12)</f>
        <v>12</v>
      </c>
      <c r="E11">
        <f ca="1">IFERROR(__xludf.DUMMYFUNCTION("""COMPUTED_VALUE"""),69.221)</f>
        <v>69.221000000000004</v>
      </c>
      <c r="F11">
        <f ca="1">IFERROR(__xludf.DUMMYFUNCTION("""COMPUTED_VALUE"""),826)</f>
        <v>826</v>
      </c>
      <c r="G11">
        <f ca="1">IFERROR(__xludf.DUMMYFUNCTION("""COMPUTED_VALUE"""),4.653)</f>
        <v>4.6529999999999996</v>
      </c>
      <c r="H11">
        <f ca="1">IFERROR(__xludf.DUMMYFUNCTION("""COMPUTED_VALUE"""),12)</f>
        <v>12</v>
      </c>
    </row>
    <row r="12" spans="1:8" ht="15.75" customHeight="1">
      <c r="A12">
        <f ca="1">IFERROR(__xludf.DUMMYFUNCTION("""COMPUTED_VALUE"""),11)</f>
        <v>11</v>
      </c>
      <c r="B12">
        <f ca="1">IFERROR(__xludf.DUMMYFUNCTION("""COMPUTED_VALUE"""),11)</f>
        <v>11</v>
      </c>
      <c r="C12" t="str">
        <f ca="1">IFERROR(__xludf.DUMMYFUNCTION("""COMPUTED_VALUE"""),"Adam Scott")</f>
        <v>Adam Scott</v>
      </c>
      <c r="D12">
        <f ca="1">IFERROR(__xludf.DUMMYFUNCTION("""COMPUTED_VALUE"""),8)</f>
        <v>8</v>
      </c>
      <c r="E12">
        <f ca="1">IFERROR(__xludf.DUMMYFUNCTION("""COMPUTED_VALUE"""),69.252)</f>
        <v>69.251999999999995</v>
      </c>
      <c r="F12">
        <f ca="1">IFERROR(__xludf.DUMMYFUNCTION("""COMPUTED_VALUE"""),573)</f>
        <v>573</v>
      </c>
      <c r="G12">
        <f ca="1">IFERROR(__xludf.DUMMYFUNCTION("""COMPUTED_VALUE"""),-18.981)</f>
        <v>-18.981000000000002</v>
      </c>
      <c r="H12">
        <f ca="1">IFERROR(__xludf.DUMMYFUNCTION("""COMPUTED_VALUE"""),8)</f>
        <v>8</v>
      </c>
    </row>
    <row r="13" spans="1:8" ht="15.75" customHeight="1">
      <c r="A13">
        <f ca="1">IFERROR(__xludf.DUMMYFUNCTION("""COMPUTED_VALUE"""),12)</f>
        <v>12</v>
      </c>
      <c r="B13">
        <f ca="1">IFERROR(__xludf.DUMMYFUNCTION("""COMPUTED_VALUE"""),14)</f>
        <v>14</v>
      </c>
      <c r="C13" t="str">
        <f ca="1">IFERROR(__xludf.DUMMYFUNCTION("""COMPUTED_VALUE"""),"Russell Henley")</f>
        <v>Russell Henley</v>
      </c>
      <c r="D13">
        <f ca="1">IFERROR(__xludf.DUMMYFUNCTION("""COMPUTED_VALUE"""),16)</f>
        <v>16</v>
      </c>
      <c r="E13">
        <f ca="1">IFERROR(__xludf.DUMMYFUNCTION("""COMPUTED_VALUE"""),69.316)</f>
        <v>69.316000000000003</v>
      </c>
      <c r="F13" s="1">
        <f ca="1">IFERROR(__xludf.DUMMYFUNCTION("""COMPUTED_VALUE"""),1088)</f>
        <v>1088</v>
      </c>
      <c r="G13">
        <f ca="1">IFERROR(__xludf.DUMMYFUNCTION("""COMPUTED_VALUE"""),21.055)</f>
        <v>21.055</v>
      </c>
      <c r="H13">
        <f ca="1">IFERROR(__xludf.DUMMYFUNCTION("""COMPUTED_VALUE"""),16)</f>
        <v>16</v>
      </c>
    </row>
    <row r="14" spans="1:8" ht="15.75" customHeight="1">
      <c r="A14">
        <f ca="1">IFERROR(__xludf.DUMMYFUNCTION("""COMPUTED_VALUE"""),13)</f>
        <v>13</v>
      </c>
      <c r="B14" t="str">
        <f ca="1">IFERROR(__xludf.DUMMYFUNCTION("""COMPUTED_VALUE"""),"")</f>
        <v/>
      </c>
      <c r="C14" t="str">
        <f ca="1">IFERROR(__xludf.DUMMYFUNCTION("""COMPUTED_VALUE"""),"Francesco Molinari")</f>
        <v>Francesco Molinari</v>
      </c>
      <c r="D14">
        <f ca="1">IFERROR(__xludf.DUMMYFUNCTION("""COMPUTED_VALUE"""),6)</f>
        <v>6</v>
      </c>
      <c r="E14">
        <f ca="1">IFERROR(__xludf.DUMMYFUNCTION("""COMPUTED_VALUE"""),69.364)</f>
        <v>69.364000000000004</v>
      </c>
      <c r="F14">
        <f ca="1">IFERROR(__xludf.DUMMYFUNCTION("""COMPUTED_VALUE"""),413)</f>
        <v>413</v>
      </c>
      <c r="G14">
        <f ca="1">IFERROR(__xludf.DUMMYFUNCTION("""COMPUTED_VALUE"""),3.181)</f>
        <v>3.181</v>
      </c>
      <c r="H14">
        <f ca="1">IFERROR(__xludf.DUMMYFUNCTION("""COMPUTED_VALUE"""),6)</f>
        <v>6</v>
      </c>
    </row>
    <row r="15" spans="1:8" ht="15.75" customHeight="1">
      <c r="A15">
        <f ca="1">IFERROR(__xludf.DUMMYFUNCTION("""COMPUTED_VALUE"""),14)</f>
        <v>14</v>
      </c>
      <c r="B15">
        <f ca="1">IFERROR(__xludf.DUMMYFUNCTION("""COMPUTED_VALUE"""),19)</f>
        <v>19</v>
      </c>
      <c r="C15" t="str">
        <f ca="1">IFERROR(__xludf.DUMMYFUNCTION("""COMPUTED_VALUE"""),"Padraig Harrington")</f>
        <v>Padraig Harrington</v>
      </c>
      <c r="D15">
        <f ca="1">IFERROR(__xludf.DUMMYFUNCTION("""COMPUTED_VALUE"""),8)</f>
        <v>8</v>
      </c>
      <c r="E15">
        <f ca="1">IFERROR(__xludf.DUMMYFUNCTION("""COMPUTED_VALUE"""),69.365)</f>
        <v>69.364999999999995</v>
      </c>
      <c r="F15">
        <f ca="1">IFERROR(__xludf.DUMMYFUNCTION("""COMPUTED_VALUE"""),557)</f>
        <v>557</v>
      </c>
      <c r="G15">
        <f ca="1">IFERROR(__xludf.DUMMYFUNCTION("""COMPUTED_VALUE"""),-2.084)</f>
        <v>-2.0840000000000001</v>
      </c>
      <c r="H15">
        <f ca="1">IFERROR(__xludf.DUMMYFUNCTION("""COMPUTED_VALUE"""),8)</f>
        <v>8</v>
      </c>
    </row>
    <row r="16" spans="1:8" ht="15.75" customHeight="1">
      <c r="A16">
        <f ca="1">IFERROR(__xludf.DUMMYFUNCTION("""COMPUTED_VALUE"""),15)</f>
        <v>15</v>
      </c>
      <c r="B16">
        <f ca="1">IFERROR(__xludf.DUMMYFUNCTION("""COMPUTED_VALUE"""),120)</f>
        <v>120</v>
      </c>
      <c r="C16" t="str">
        <f ca="1">IFERROR(__xludf.DUMMYFUNCTION("""COMPUTED_VALUE"""),"Brooks Koepka")</f>
        <v>Brooks Koepka</v>
      </c>
      <c r="D16">
        <f ca="1">IFERROR(__xludf.DUMMYFUNCTION("""COMPUTED_VALUE"""),8)</f>
        <v>8</v>
      </c>
      <c r="E16">
        <f ca="1">IFERROR(__xludf.DUMMYFUNCTION("""COMPUTED_VALUE"""),69.382)</f>
        <v>69.382000000000005</v>
      </c>
      <c r="F16">
        <f ca="1">IFERROR(__xludf.DUMMYFUNCTION("""COMPUTED_VALUE"""),555)</f>
        <v>555</v>
      </c>
      <c r="G16">
        <f ca="1">IFERROR(__xludf.DUMMYFUNCTION("""COMPUTED_VALUE"""),0.058)</f>
        <v>5.8000000000000003E-2</v>
      </c>
      <c r="H16">
        <f ca="1">IFERROR(__xludf.DUMMYFUNCTION("""COMPUTED_VALUE"""),8)</f>
        <v>8</v>
      </c>
    </row>
    <row r="17" spans="1:8" ht="15.75" customHeight="1">
      <c r="A17">
        <f ca="1">IFERROR(__xludf.DUMMYFUNCTION("""COMPUTED_VALUE"""),16)</f>
        <v>16</v>
      </c>
      <c r="B17">
        <f ca="1">IFERROR(__xludf.DUMMYFUNCTION("""COMPUTED_VALUE"""),7)</f>
        <v>7</v>
      </c>
      <c r="C17" t="str">
        <f ca="1">IFERROR(__xludf.DUMMYFUNCTION("""COMPUTED_VALUE"""),"Zach Johnson")</f>
        <v>Zach Johnson</v>
      </c>
      <c r="D17">
        <f ca="1">IFERROR(__xludf.DUMMYFUNCTION("""COMPUTED_VALUE"""),16)</f>
        <v>16</v>
      </c>
      <c r="E17">
        <f ca="1">IFERROR(__xludf.DUMMYFUNCTION("""COMPUTED_VALUE"""),69.386)</f>
        <v>69.385999999999996</v>
      </c>
      <c r="F17" s="1">
        <f ca="1">IFERROR(__xludf.DUMMYFUNCTION("""COMPUTED_VALUE"""),1115)</f>
        <v>1115</v>
      </c>
      <c r="G17">
        <f ca="1">IFERROR(__xludf.DUMMYFUNCTION("""COMPUTED_VALUE"""),-4.825)</f>
        <v>-4.8250000000000002</v>
      </c>
      <c r="H17">
        <f ca="1">IFERROR(__xludf.DUMMYFUNCTION("""COMPUTED_VALUE"""),16)</f>
        <v>16</v>
      </c>
    </row>
    <row r="18" spans="1:8" ht="15.75" customHeight="1">
      <c r="A18">
        <f ca="1">IFERROR(__xludf.DUMMYFUNCTION("""COMPUTED_VALUE"""),17)</f>
        <v>17</v>
      </c>
      <c r="B18">
        <f ca="1">IFERROR(__xludf.DUMMYFUNCTION("""COMPUTED_VALUE"""),13)</f>
        <v>13</v>
      </c>
      <c r="C18" t="str">
        <f ca="1">IFERROR(__xludf.DUMMYFUNCTION("""COMPUTED_VALUE"""),"Louis Oosthuizen")</f>
        <v>Louis Oosthuizen</v>
      </c>
      <c r="D18">
        <f ca="1">IFERROR(__xludf.DUMMYFUNCTION("""COMPUTED_VALUE"""),12)</f>
        <v>12</v>
      </c>
      <c r="E18">
        <f ca="1">IFERROR(__xludf.DUMMYFUNCTION("""COMPUTED_VALUE"""),69.449)</f>
        <v>69.448999999999998</v>
      </c>
      <c r="F18">
        <f ca="1">IFERROR(__xludf.DUMMYFUNCTION("""COMPUTED_VALUE"""),837)</f>
        <v>837</v>
      </c>
      <c r="G18">
        <f ca="1">IFERROR(__xludf.DUMMYFUNCTION("""COMPUTED_VALUE"""),-3.618)</f>
        <v>-3.6179999999999999</v>
      </c>
      <c r="H18">
        <f ca="1">IFERROR(__xludf.DUMMYFUNCTION("""COMPUTED_VALUE"""),12)</f>
        <v>12</v>
      </c>
    </row>
    <row r="19" spans="1:8" ht="15.75" customHeight="1">
      <c r="A19">
        <f ca="1">IFERROR(__xludf.DUMMYFUNCTION("""COMPUTED_VALUE"""),18)</f>
        <v>18</v>
      </c>
      <c r="B19">
        <f ca="1">IFERROR(__xludf.DUMMYFUNCTION("""COMPUTED_VALUE"""),16)</f>
        <v>16</v>
      </c>
      <c r="C19" t="str">
        <f ca="1">IFERROR(__xludf.DUMMYFUNCTION("""COMPUTED_VALUE"""),"Joaquin Niemann")</f>
        <v>Joaquin Niemann</v>
      </c>
      <c r="D19">
        <f ca="1">IFERROR(__xludf.DUMMYFUNCTION("""COMPUTED_VALUE"""),16)</f>
        <v>16</v>
      </c>
      <c r="E19">
        <f ca="1">IFERROR(__xludf.DUMMYFUNCTION("""COMPUTED_VALUE"""),69.522)</f>
        <v>69.522000000000006</v>
      </c>
      <c r="F19" s="1">
        <f ca="1">IFERROR(__xludf.DUMMYFUNCTION("""COMPUTED_VALUE"""),1105)</f>
        <v>1105</v>
      </c>
      <c r="G19">
        <f ca="1">IFERROR(__xludf.DUMMYFUNCTION("""COMPUTED_VALUE"""),7.348)</f>
        <v>7.3479999999999999</v>
      </c>
      <c r="H19">
        <f ca="1">IFERROR(__xludf.DUMMYFUNCTION("""COMPUTED_VALUE"""),16)</f>
        <v>16</v>
      </c>
    </row>
    <row r="20" spans="1:8" ht="15.75" customHeight="1">
      <c r="A20" t="str">
        <f ca="1">IFERROR(__xludf.DUMMYFUNCTION("""COMPUTED_VALUE"""),"T19")</f>
        <v>T19</v>
      </c>
      <c r="B20" t="str">
        <f ca="1">IFERROR(__xludf.DUMMYFUNCTION("""COMPUTED_VALUE"""),"T17")</f>
        <v>T17</v>
      </c>
      <c r="C20" t="str">
        <f ca="1">IFERROR(__xludf.DUMMYFUNCTION("""COMPUTED_VALUE"""),"Jon Rahm")</f>
        <v>Jon Rahm</v>
      </c>
      <c r="D20">
        <f ca="1">IFERROR(__xludf.DUMMYFUNCTION("""COMPUTED_VALUE"""),12)</f>
        <v>12</v>
      </c>
      <c r="E20">
        <f ca="1">IFERROR(__xludf.DUMMYFUNCTION("""COMPUTED_VALUE"""),69.526)</f>
        <v>69.525999999999996</v>
      </c>
      <c r="F20">
        <f ca="1">IFERROR(__xludf.DUMMYFUNCTION("""COMPUTED_VALUE"""),837)</f>
        <v>837</v>
      </c>
      <c r="G20">
        <f ca="1">IFERROR(__xludf.DUMMYFUNCTION("""COMPUTED_VALUE"""),-2.683)</f>
        <v>-2.6829999999999998</v>
      </c>
      <c r="H20">
        <f ca="1">IFERROR(__xludf.DUMMYFUNCTION("""COMPUTED_VALUE"""),12)</f>
        <v>12</v>
      </c>
    </row>
    <row r="21" spans="1:8" ht="15.75" customHeight="1">
      <c r="A21" t="str">
        <f ca="1">IFERROR(__xludf.DUMMYFUNCTION("""COMPUTED_VALUE"""),"T19")</f>
        <v>T19</v>
      </c>
      <c r="B21" t="str">
        <f ca="1">IFERROR(__xludf.DUMMYFUNCTION("""COMPUTED_VALUE"""),"T17")</f>
        <v>T17</v>
      </c>
      <c r="C21" t="str">
        <f ca="1">IFERROR(__xludf.DUMMYFUNCTION("""COMPUTED_VALUE"""),"Bubba Watson")</f>
        <v>Bubba Watson</v>
      </c>
      <c r="D21">
        <f ca="1">IFERROR(__xludf.DUMMYFUNCTION("""COMPUTED_VALUE"""),12)</f>
        <v>12</v>
      </c>
      <c r="E21">
        <f ca="1">IFERROR(__xludf.DUMMYFUNCTION("""COMPUTED_VALUE"""),69.526)</f>
        <v>69.525999999999996</v>
      </c>
      <c r="F21">
        <f ca="1">IFERROR(__xludf.DUMMYFUNCTION("""COMPUTED_VALUE"""),837)</f>
        <v>837</v>
      </c>
      <c r="G21">
        <f ca="1">IFERROR(__xludf.DUMMYFUNCTION("""COMPUTED_VALUE"""),-2.683)</f>
        <v>-2.6829999999999998</v>
      </c>
      <c r="H21">
        <f ca="1">IFERROR(__xludf.DUMMYFUNCTION("""COMPUTED_VALUE"""),12)</f>
        <v>12</v>
      </c>
    </row>
    <row r="22" spans="1:8" ht="15.75" customHeight="1">
      <c r="A22">
        <f ca="1">IFERROR(__xludf.DUMMYFUNCTION("""COMPUTED_VALUE"""),21)</f>
        <v>21</v>
      </c>
      <c r="B22" t="str">
        <f ca="1">IFERROR(__xludf.DUMMYFUNCTION("""COMPUTED_VALUE"""),"T39")</f>
        <v>T39</v>
      </c>
      <c r="C22" t="str">
        <f ca="1">IFERROR(__xludf.DUMMYFUNCTION("""COMPUTED_VALUE"""),"Hideki Matsuyama")</f>
        <v>Hideki Matsuyama</v>
      </c>
      <c r="D22">
        <f ca="1">IFERROR(__xludf.DUMMYFUNCTION("""COMPUTED_VALUE"""),18)</f>
        <v>18</v>
      </c>
      <c r="E22">
        <f ca="1">IFERROR(__xludf.DUMMYFUNCTION("""COMPUTED_VALUE"""),69.528)</f>
        <v>69.528000000000006</v>
      </c>
      <c r="F22" s="1">
        <f ca="1">IFERROR(__xludf.DUMMYFUNCTION("""COMPUTED_VALUE"""),1251)</f>
        <v>1251</v>
      </c>
      <c r="G22">
        <f ca="1">IFERROR(__xludf.DUMMYFUNCTION("""COMPUTED_VALUE"""),0.498)</f>
        <v>0.498</v>
      </c>
      <c r="H22">
        <f ca="1">IFERROR(__xludf.DUMMYFUNCTION("""COMPUTED_VALUE"""),18)</f>
        <v>18</v>
      </c>
    </row>
    <row r="23" spans="1:8" ht="15.75" customHeight="1">
      <c r="A23">
        <f ca="1">IFERROR(__xludf.DUMMYFUNCTION("""COMPUTED_VALUE"""),22)</f>
        <v>22</v>
      </c>
      <c r="B23">
        <f ca="1">IFERROR(__xludf.DUMMYFUNCTION("""COMPUTED_VALUE"""),41)</f>
        <v>41</v>
      </c>
      <c r="C23" t="str">
        <f ca="1">IFERROR(__xludf.DUMMYFUNCTION("""COMPUTED_VALUE"""),"Tyrrell Hatton")</f>
        <v>Tyrrell Hatton</v>
      </c>
      <c r="D23">
        <f ca="1">IFERROR(__xludf.DUMMYFUNCTION("""COMPUTED_VALUE"""),14)</f>
        <v>14</v>
      </c>
      <c r="E23">
        <f ca="1">IFERROR(__xludf.DUMMYFUNCTION("""COMPUTED_VALUE"""),69.586)</f>
        <v>69.585999999999999</v>
      </c>
      <c r="F23">
        <f ca="1">IFERROR(__xludf.DUMMYFUNCTION("""COMPUTED_VALUE"""),971)</f>
        <v>971</v>
      </c>
      <c r="G23">
        <f ca="1">IFERROR(__xludf.DUMMYFUNCTION("""COMPUTED_VALUE"""),3.209)</f>
        <v>3.2090000000000001</v>
      </c>
      <c r="H23">
        <f ca="1">IFERROR(__xludf.DUMMYFUNCTION("""COMPUTED_VALUE"""),14)</f>
        <v>14</v>
      </c>
    </row>
    <row r="24" spans="1:8" ht="15.75" customHeight="1">
      <c r="A24">
        <f ca="1">IFERROR(__xludf.DUMMYFUNCTION("""COMPUTED_VALUE"""),23)</f>
        <v>23</v>
      </c>
      <c r="B24">
        <f ca="1">IFERROR(__xludf.DUMMYFUNCTION("""COMPUTED_VALUE"""),12)</f>
        <v>12</v>
      </c>
      <c r="C24" t="str">
        <f ca="1">IFERROR(__xludf.DUMMYFUNCTION("""COMPUTED_VALUE"""),"James Hahn")</f>
        <v>James Hahn</v>
      </c>
      <c r="D24">
        <f ca="1">IFERROR(__xludf.DUMMYFUNCTION("""COMPUTED_VALUE"""),16)</f>
        <v>16</v>
      </c>
      <c r="E24">
        <f ca="1">IFERROR(__xludf.DUMMYFUNCTION("""COMPUTED_VALUE"""),69.59)</f>
        <v>69.59</v>
      </c>
      <c r="F24" s="1">
        <f ca="1">IFERROR(__xludf.DUMMYFUNCTION("""COMPUTED_VALUE"""),1095)</f>
        <v>1095</v>
      </c>
      <c r="G24">
        <f ca="1">IFERROR(__xludf.DUMMYFUNCTION("""COMPUTED_VALUE"""),18.44)</f>
        <v>18.440000000000001</v>
      </c>
      <c r="H24">
        <f ca="1">IFERROR(__xludf.DUMMYFUNCTION("""COMPUTED_VALUE"""),16)</f>
        <v>16</v>
      </c>
    </row>
    <row r="25" spans="1:8" ht="15.75" customHeight="1">
      <c r="A25">
        <f ca="1">IFERROR(__xludf.DUMMYFUNCTION("""COMPUTED_VALUE"""),24)</f>
        <v>24</v>
      </c>
      <c r="B25">
        <f ca="1">IFERROR(__xludf.DUMMYFUNCTION("""COMPUTED_VALUE"""),21)</f>
        <v>21</v>
      </c>
      <c r="C25" t="str">
        <f ca="1">IFERROR(__xludf.DUMMYFUNCTION("""COMPUTED_VALUE"""),"Matt Wallace")</f>
        <v>Matt Wallace</v>
      </c>
      <c r="D25">
        <f ca="1">IFERROR(__xludf.DUMMYFUNCTION("""COMPUTED_VALUE"""),4)</f>
        <v>4</v>
      </c>
      <c r="E25">
        <f ca="1">IFERROR(__xludf.DUMMYFUNCTION("""COMPUTED_VALUE"""),69.664)</f>
        <v>69.664000000000001</v>
      </c>
      <c r="F25">
        <f ca="1">IFERROR(__xludf.DUMMYFUNCTION("""COMPUTED_VALUE"""),295)</f>
        <v>295</v>
      </c>
      <c r="G25">
        <f ca="1">IFERROR(__xludf.DUMMYFUNCTION("""COMPUTED_VALUE"""),-16.344)</f>
        <v>-16.344000000000001</v>
      </c>
      <c r="H25">
        <f ca="1">IFERROR(__xludf.DUMMYFUNCTION("""COMPUTED_VALUE"""),4)</f>
        <v>4</v>
      </c>
    </row>
    <row r="26" spans="1:8" ht="15.75" customHeight="1">
      <c r="A26">
        <f ca="1">IFERROR(__xludf.DUMMYFUNCTION("""COMPUTED_VALUE"""),25)</f>
        <v>25</v>
      </c>
      <c r="B26">
        <f ca="1">IFERROR(__xludf.DUMMYFUNCTION("""COMPUTED_VALUE"""),32)</f>
        <v>32</v>
      </c>
      <c r="C26" t="str">
        <f ca="1">IFERROR(__xludf.DUMMYFUNCTION("""COMPUTED_VALUE"""),"Viktor Hovland")</f>
        <v>Viktor Hovland</v>
      </c>
      <c r="D26">
        <f ca="1">IFERROR(__xludf.DUMMYFUNCTION("""COMPUTED_VALUE"""),16)</f>
        <v>16</v>
      </c>
      <c r="E26">
        <f ca="1">IFERROR(__xludf.DUMMYFUNCTION("""COMPUTED_VALUE"""),69.668)</f>
        <v>69.668000000000006</v>
      </c>
      <c r="F26" s="1">
        <f ca="1">IFERROR(__xludf.DUMMYFUNCTION("""COMPUTED_VALUE"""),1120)</f>
        <v>1120</v>
      </c>
      <c r="G26">
        <f ca="1">IFERROR(__xludf.DUMMYFUNCTION("""COMPUTED_VALUE"""),-5.32)</f>
        <v>-5.32</v>
      </c>
      <c r="H26">
        <f ca="1">IFERROR(__xludf.DUMMYFUNCTION("""COMPUTED_VALUE"""),16)</f>
        <v>16</v>
      </c>
    </row>
    <row r="27" spans="1:8" ht="15.75" customHeight="1">
      <c r="A27">
        <f ca="1">IFERROR(__xludf.DUMMYFUNCTION("""COMPUTED_VALUE"""),26)</f>
        <v>26</v>
      </c>
      <c r="B27">
        <f ca="1">IFERROR(__xludf.DUMMYFUNCTION("""COMPUTED_VALUE"""),15)</f>
        <v>15</v>
      </c>
      <c r="C27" t="str">
        <f ca="1">IFERROR(__xludf.DUMMYFUNCTION("""COMPUTED_VALUE"""),"John Huh")</f>
        <v>John Huh</v>
      </c>
      <c r="D27">
        <f ca="1">IFERROR(__xludf.DUMMYFUNCTION("""COMPUTED_VALUE"""),8)</f>
        <v>8</v>
      </c>
      <c r="E27">
        <f ca="1">IFERROR(__xludf.DUMMYFUNCTION("""COMPUTED_VALUE"""),69.674)</f>
        <v>69.674000000000007</v>
      </c>
      <c r="F27">
        <f ca="1">IFERROR(__xludf.DUMMYFUNCTION("""COMPUTED_VALUE"""),550)</f>
        <v>550</v>
      </c>
      <c r="G27">
        <f ca="1">IFERROR(__xludf.DUMMYFUNCTION("""COMPUTED_VALUE"""),7.394)</f>
        <v>7.3940000000000001</v>
      </c>
      <c r="H27">
        <f ca="1">IFERROR(__xludf.DUMMYFUNCTION("""COMPUTED_VALUE"""),8)</f>
        <v>8</v>
      </c>
    </row>
    <row r="28" spans="1:8" ht="15.75" customHeight="1">
      <c r="A28">
        <f ca="1">IFERROR(__xludf.DUMMYFUNCTION("""COMPUTED_VALUE"""),27)</f>
        <v>27</v>
      </c>
      <c r="B28">
        <f ca="1">IFERROR(__xludf.DUMMYFUNCTION("""COMPUTED_VALUE"""),23)</f>
        <v>23</v>
      </c>
      <c r="C28" t="str">
        <f ca="1">IFERROR(__xludf.DUMMYFUNCTION("""COMPUTED_VALUE"""),"Harris English")</f>
        <v>Harris English</v>
      </c>
      <c r="D28">
        <f ca="1">IFERROR(__xludf.DUMMYFUNCTION("""COMPUTED_VALUE"""),14)</f>
        <v>14</v>
      </c>
      <c r="E28">
        <f ca="1">IFERROR(__xludf.DUMMYFUNCTION("""COMPUTED_VALUE"""),69.724)</f>
        <v>69.724000000000004</v>
      </c>
      <c r="F28">
        <f ca="1">IFERROR(__xludf.DUMMYFUNCTION("""COMPUTED_VALUE"""),973)</f>
        <v>973</v>
      </c>
      <c r="G28">
        <f ca="1">IFERROR(__xludf.DUMMYFUNCTION("""COMPUTED_VALUE"""),3.135)</f>
        <v>3.1349999999999998</v>
      </c>
      <c r="H28">
        <f ca="1">IFERROR(__xludf.DUMMYFUNCTION("""COMPUTED_VALUE"""),14)</f>
        <v>14</v>
      </c>
    </row>
    <row r="29" spans="1:8" ht="15.75" customHeight="1">
      <c r="A29">
        <f ca="1">IFERROR(__xludf.DUMMYFUNCTION("""COMPUTED_VALUE"""),28)</f>
        <v>28</v>
      </c>
      <c r="B29">
        <f ca="1">IFERROR(__xludf.DUMMYFUNCTION("""COMPUTED_VALUE"""),35)</f>
        <v>35</v>
      </c>
      <c r="C29" t="str">
        <f ca="1">IFERROR(__xludf.DUMMYFUNCTION("""COMPUTED_VALUE"""),"Austin Cook")</f>
        <v>Austin Cook</v>
      </c>
      <c r="D29">
        <f ca="1">IFERROR(__xludf.DUMMYFUNCTION("""COMPUTED_VALUE"""),14)</f>
        <v>14</v>
      </c>
      <c r="E29">
        <f ca="1">IFERROR(__xludf.DUMMYFUNCTION("""COMPUTED_VALUE"""),69.808)</f>
        <v>69.808000000000007</v>
      </c>
      <c r="F29">
        <f ca="1">IFERROR(__xludf.DUMMYFUNCTION("""COMPUTED_VALUE"""),961)</f>
        <v>961</v>
      </c>
      <c r="G29">
        <f ca="1">IFERROR(__xludf.DUMMYFUNCTION("""COMPUTED_VALUE"""),16.308)</f>
        <v>16.308</v>
      </c>
      <c r="H29">
        <f ca="1">IFERROR(__xludf.DUMMYFUNCTION("""COMPUTED_VALUE"""),14)</f>
        <v>14</v>
      </c>
    </row>
    <row r="30" spans="1:8" ht="15.75" customHeight="1">
      <c r="A30">
        <f ca="1">IFERROR(__xludf.DUMMYFUNCTION("""COMPUTED_VALUE"""),29)</f>
        <v>29</v>
      </c>
      <c r="B30">
        <f ca="1">IFERROR(__xludf.DUMMYFUNCTION("""COMPUTED_VALUE"""),24)</f>
        <v>24</v>
      </c>
      <c r="C30" t="str">
        <f ca="1">IFERROR(__xludf.DUMMYFUNCTION("""COMPUTED_VALUE"""),"Peter Malnati")</f>
        <v>Peter Malnati</v>
      </c>
      <c r="D30">
        <f ca="1">IFERROR(__xludf.DUMMYFUNCTION("""COMPUTED_VALUE"""),18)</f>
        <v>18</v>
      </c>
      <c r="E30">
        <f ca="1">IFERROR(__xludf.DUMMYFUNCTION("""COMPUTED_VALUE"""),69.811)</f>
        <v>69.811000000000007</v>
      </c>
      <c r="F30" s="1">
        <f ca="1">IFERROR(__xludf.DUMMYFUNCTION("""COMPUTED_VALUE"""),1235)</f>
        <v>1235</v>
      </c>
      <c r="G30">
        <f ca="1">IFERROR(__xludf.DUMMYFUNCTION("""COMPUTED_VALUE"""),21.605)</f>
        <v>21.605</v>
      </c>
      <c r="H30">
        <f ca="1">IFERROR(__xludf.DUMMYFUNCTION("""COMPUTED_VALUE"""),18)</f>
        <v>18</v>
      </c>
    </row>
    <row r="31" spans="1:8" ht="12.75">
      <c r="A31">
        <f ca="1">IFERROR(__xludf.DUMMYFUNCTION("""COMPUTED_VALUE"""),30)</f>
        <v>30</v>
      </c>
      <c r="B31">
        <f ca="1">IFERROR(__xludf.DUMMYFUNCTION("""COMPUTED_VALUE"""),26)</f>
        <v>26</v>
      </c>
      <c r="C31" t="str">
        <f ca="1">IFERROR(__xludf.DUMMYFUNCTION("""COMPUTED_VALUE"""),"Patrick Cantlay")</f>
        <v>Patrick Cantlay</v>
      </c>
      <c r="D31">
        <f ca="1">IFERROR(__xludf.DUMMYFUNCTION("""COMPUTED_VALUE"""),16)</f>
        <v>16</v>
      </c>
      <c r="E31">
        <f ca="1">IFERROR(__xludf.DUMMYFUNCTION("""COMPUTED_VALUE"""),69.834)</f>
        <v>69.834000000000003</v>
      </c>
      <c r="F31" s="1">
        <f ca="1">IFERROR(__xludf.DUMMYFUNCTION("""COMPUTED_VALUE"""),1110)</f>
        <v>1110</v>
      </c>
      <c r="G31">
        <f ca="1">IFERROR(__xludf.DUMMYFUNCTION("""COMPUTED_VALUE"""),7.348)</f>
        <v>7.3479999999999999</v>
      </c>
      <c r="H31">
        <f ca="1">IFERROR(__xludf.DUMMYFUNCTION("""COMPUTED_VALUE"""),16)</f>
        <v>16</v>
      </c>
    </row>
    <row r="32" spans="1:8" ht="12.75">
      <c r="A32">
        <f ca="1">IFERROR(__xludf.DUMMYFUNCTION("""COMPUTED_VALUE"""),31)</f>
        <v>31</v>
      </c>
      <c r="B32">
        <f ca="1">IFERROR(__xludf.DUMMYFUNCTION("""COMPUTED_VALUE"""),27)</f>
        <v>27</v>
      </c>
      <c r="C32" t="str">
        <f ca="1">IFERROR(__xludf.DUMMYFUNCTION("""COMPUTED_VALUE"""),"Rory McIlroy")</f>
        <v>Rory McIlroy</v>
      </c>
      <c r="D32">
        <f ca="1">IFERROR(__xludf.DUMMYFUNCTION("""COMPUTED_VALUE"""),12)</f>
        <v>12</v>
      </c>
      <c r="E32">
        <f ca="1">IFERROR(__xludf.DUMMYFUNCTION("""COMPUTED_VALUE"""),69.86)</f>
        <v>69.86</v>
      </c>
      <c r="F32">
        <f ca="1">IFERROR(__xludf.DUMMYFUNCTION("""COMPUTED_VALUE"""),841)</f>
        <v>841</v>
      </c>
      <c r="G32">
        <f ca="1">IFERROR(__xludf.DUMMYFUNCTION("""COMPUTED_VALUE"""),-2.683)</f>
        <v>-2.6829999999999998</v>
      </c>
      <c r="H32">
        <f ca="1">IFERROR(__xludf.DUMMYFUNCTION("""COMPUTED_VALUE"""),12)</f>
        <v>12</v>
      </c>
    </row>
    <row r="33" spans="1:8" ht="12.75">
      <c r="A33">
        <f ca="1">IFERROR(__xludf.DUMMYFUNCTION("""COMPUTED_VALUE"""),32)</f>
        <v>32</v>
      </c>
      <c r="B33">
        <f ca="1">IFERROR(__xludf.DUMMYFUNCTION("""COMPUTED_VALUE"""),44)</f>
        <v>44</v>
      </c>
      <c r="C33" t="str">
        <f ca="1">IFERROR(__xludf.DUMMYFUNCTION("""COMPUTED_VALUE"""),"Sepp Straka")</f>
        <v>Sepp Straka</v>
      </c>
      <c r="D33">
        <f ca="1">IFERROR(__xludf.DUMMYFUNCTION("""COMPUTED_VALUE"""),22)</f>
        <v>22</v>
      </c>
      <c r="E33">
        <f ca="1">IFERROR(__xludf.DUMMYFUNCTION("""COMPUTED_VALUE"""),69.884)</f>
        <v>69.884</v>
      </c>
      <c r="F33" s="1">
        <f ca="1">IFERROR(__xludf.DUMMYFUNCTION("""COMPUTED_VALUE"""),1517)</f>
        <v>1517</v>
      </c>
      <c r="G33">
        <f ca="1">IFERROR(__xludf.DUMMYFUNCTION("""COMPUTED_VALUE"""),20.451)</f>
        <v>20.451000000000001</v>
      </c>
      <c r="H33">
        <f ca="1">IFERROR(__xludf.DUMMYFUNCTION("""COMPUTED_VALUE"""),22)</f>
        <v>22</v>
      </c>
    </row>
    <row r="34" spans="1:8" ht="12.75">
      <c r="A34">
        <f ca="1">IFERROR(__xludf.DUMMYFUNCTION("""COMPUTED_VALUE"""),33)</f>
        <v>33</v>
      </c>
      <c r="B34">
        <f ca="1">IFERROR(__xludf.DUMMYFUNCTION("""COMPUTED_VALUE"""),28)</f>
        <v>28</v>
      </c>
      <c r="C34" t="str">
        <f ca="1">IFERROR(__xludf.DUMMYFUNCTION("""COMPUTED_VALUE"""),"Cameron Smith")</f>
        <v>Cameron Smith</v>
      </c>
      <c r="D34">
        <f ca="1">IFERROR(__xludf.DUMMYFUNCTION("""COMPUTED_VALUE"""),16)</f>
        <v>16</v>
      </c>
      <c r="E34">
        <f ca="1">IFERROR(__xludf.DUMMYFUNCTION("""COMPUTED_VALUE"""),69.897)</f>
        <v>69.897000000000006</v>
      </c>
      <c r="F34" s="1">
        <f ca="1">IFERROR(__xludf.DUMMYFUNCTION("""COMPUTED_VALUE"""),1111)</f>
        <v>1111</v>
      </c>
      <c r="G34">
        <f ca="1">IFERROR(__xludf.DUMMYFUNCTION("""COMPUTED_VALUE"""),7.348)</f>
        <v>7.3479999999999999</v>
      </c>
      <c r="H34">
        <f ca="1">IFERROR(__xludf.DUMMYFUNCTION("""COMPUTED_VALUE"""),16)</f>
        <v>16</v>
      </c>
    </row>
    <row r="35" spans="1:8" ht="12.75">
      <c r="A35">
        <f ca="1">IFERROR(__xludf.DUMMYFUNCTION("""COMPUTED_VALUE"""),34)</f>
        <v>34</v>
      </c>
      <c r="B35">
        <f ca="1">IFERROR(__xludf.DUMMYFUNCTION("""COMPUTED_VALUE"""),22)</f>
        <v>22</v>
      </c>
      <c r="C35" t="str">
        <f ca="1">IFERROR(__xludf.DUMMYFUNCTION("""COMPUTED_VALUE"""),"Doc Redman")</f>
        <v>Doc Redman</v>
      </c>
      <c r="D35">
        <f ca="1">IFERROR(__xludf.DUMMYFUNCTION("""COMPUTED_VALUE"""),18)</f>
        <v>18</v>
      </c>
      <c r="E35">
        <f ca="1">IFERROR(__xludf.DUMMYFUNCTION("""COMPUTED_VALUE"""),69.906)</f>
        <v>69.906000000000006</v>
      </c>
      <c r="F35" s="1">
        <f ca="1">IFERROR(__xludf.DUMMYFUNCTION("""COMPUTED_VALUE"""),1243)</f>
        <v>1243</v>
      </c>
      <c r="G35">
        <f ca="1">IFERROR(__xludf.DUMMYFUNCTION("""COMPUTED_VALUE"""),15.315)</f>
        <v>15.315</v>
      </c>
      <c r="H35">
        <f ca="1">IFERROR(__xludf.DUMMYFUNCTION("""COMPUTED_VALUE"""),18)</f>
        <v>18</v>
      </c>
    </row>
    <row r="36" spans="1:8" ht="12.75">
      <c r="A36">
        <f ca="1">IFERROR(__xludf.DUMMYFUNCTION("""COMPUTED_VALUE"""),35)</f>
        <v>35</v>
      </c>
      <c r="B36">
        <f ca="1">IFERROR(__xludf.DUMMYFUNCTION("""COMPUTED_VALUE"""),60)</f>
        <v>60</v>
      </c>
      <c r="C36" t="str">
        <f ca="1">IFERROR(__xludf.DUMMYFUNCTION("""COMPUTED_VALUE"""),"Harold Varner III")</f>
        <v>Harold Varner III</v>
      </c>
      <c r="D36">
        <f ca="1">IFERROR(__xludf.DUMMYFUNCTION("""COMPUTED_VALUE"""),14)</f>
        <v>14</v>
      </c>
      <c r="E36">
        <f ca="1">IFERROR(__xludf.DUMMYFUNCTION("""COMPUTED_VALUE"""),69.946)</f>
        <v>69.945999999999998</v>
      </c>
      <c r="F36">
        <f ca="1">IFERROR(__xludf.DUMMYFUNCTION("""COMPUTED_VALUE"""),966)</f>
        <v>966</v>
      </c>
      <c r="G36">
        <f ca="1">IFERROR(__xludf.DUMMYFUNCTION("""COMPUTED_VALUE"""),13.242)</f>
        <v>13.242000000000001</v>
      </c>
      <c r="H36">
        <f ca="1">IFERROR(__xludf.DUMMYFUNCTION("""COMPUTED_VALUE"""),14)</f>
        <v>14</v>
      </c>
    </row>
    <row r="37" spans="1:8" ht="12.75">
      <c r="A37">
        <f ca="1">IFERROR(__xludf.DUMMYFUNCTION("""COMPUTED_VALUE"""),36)</f>
        <v>36</v>
      </c>
      <c r="B37">
        <f ca="1">IFERROR(__xludf.DUMMYFUNCTION("""COMPUTED_VALUE"""),25)</f>
        <v>25</v>
      </c>
      <c r="C37" t="str">
        <f ca="1">IFERROR(__xludf.DUMMYFUNCTION("""COMPUTED_VALUE"""),"Stewart Cink")</f>
        <v>Stewart Cink</v>
      </c>
      <c r="D37">
        <f ca="1">IFERROR(__xludf.DUMMYFUNCTION("""COMPUTED_VALUE"""),18)</f>
        <v>18</v>
      </c>
      <c r="E37">
        <f ca="1">IFERROR(__xludf.DUMMYFUNCTION("""COMPUTED_VALUE"""),69.975)</f>
        <v>69.974999999999994</v>
      </c>
      <c r="F37" s="1">
        <f ca="1">IFERROR(__xludf.DUMMYFUNCTION("""COMPUTED_VALUE"""),1241)</f>
        <v>1241</v>
      </c>
      <c r="G37">
        <f ca="1">IFERROR(__xludf.DUMMYFUNCTION("""COMPUTED_VALUE"""),18.541)</f>
        <v>18.541</v>
      </c>
      <c r="H37">
        <f ca="1">IFERROR(__xludf.DUMMYFUNCTION("""COMPUTED_VALUE"""),18)</f>
        <v>18</v>
      </c>
    </row>
    <row r="38" spans="1:8" ht="12.75">
      <c r="A38">
        <f ca="1">IFERROR(__xludf.DUMMYFUNCTION("""COMPUTED_VALUE"""),37)</f>
        <v>37</v>
      </c>
      <c r="B38">
        <f ca="1">IFERROR(__xludf.DUMMYFUNCTION("""COMPUTED_VALUE"""),58)</f>
        <v>58</v>
      </c>
      <c r="C38" t="str">
        <f ca="1">IFERROR(__xludf.DUMMYFUNCTION("""COMPUTED_VALUE"""),"Sam Burns")</f>
        <v>Sam Burns</v>
      </c>
      <c r="D38">
        <f ca="1">IFERROR(__xludf.DUMMYFUNCTION("""COMPUTED_VALUE"""),18)</f>
        <v>18</v>
      </c>
      <c r="E38">
        <f ca="1">IFERROR(__xludf.DUMMYFUNCTION("""COMPUTED_VALUE"""),69.994)</f>
        <v>69.994</v>
      </c>
      <c r="F38" s="1">
        <f ca="1">IFERROR(__xludf.DUMMYFUNCTION("""COMPUTED_VALUE"""),1240)</f>
        <v>1240</v>
      </c>
      <c r="G38">
        <f ca="1">IFERROR(__xludf.DUMMYFUNCTION("""COMPUTED_VALUE"""),19.898)</f>
        <v>19.898</v>
      </c>
      <c r="H38">
        <f ca="1">IFERROR(__xludf.DUMMYFUNCTION("""COMPUTED_VALUE"""),18)</f>
        <v>18</v>
      </c>
    </row>
    <row r="39" spans="1:8" ht="12.75">
      <c r="A39">
        <f ca="1">IFERROR(__xludf.DUMMYFUNCTION("""COMPUTED_VALUE"""),38)</f>
        <v>38</v>
      </c>
      <c r="B39">
        <f ca="1">IFERROR(__xludf.DUMMYFUNCTION("""COMPUTED_VALUE"""),75)</f>
        <v>75</v>
      </c>
      <c r="C39" t="str">
        <f ca="1">IFERROR(__xludf.DUMMYFUNCTION("""COMPUTED_VALUE"""),"Shane Lowry")</f>
        <v>Shane Lowry</v>
      </c>
      <c r="D39">
        <f ca="1">IFERROR(__xludf.DUMMYFUNCTION("""COMPUTED_VALUE"""),14)</f>
        <v>14</v>
      </c>
      <c r="E39">
        <f ca="1">IFERROR(__xludf.DUMMYFUNCTION("""COMPUTED_VALUE"""),70.001)</f>
        <v>70.001000000000005</v>
      </c>
      <c r="F39">
        <f ca="1">IFERROR(__xludf.DUMMYFUNCTION("""COMPUTED_VALUE"""),993)</f>
        <v>993</v>
      </c>
      <c r="G39">
        <f ca="1">IFERROR(__xludf.DUMMYFUNCTION("""COMPUTED_VALUE"""),-12.98)</f>
        <v>-12.98</v>
      </c>
      <c r="H39">
        <f ca="1">IFERROR(__xludf.DUMMYFUNCTION("""COMPUTED_VALUE"""),14)</f>
        <v>14</v>
      </c>
    </row>
    <row r="40" spans="1:8" ht="12.75">
      <c r="A40">
        <f ca="1">IFERROR(__xludf.DUMMYFUNCTION("""COMPUTED_VALUE"""),39)</f>
        <v>39</v>
      </c>
      <c r="B40" t="str">
        <f ca="1">IFERROR(__xludf.DUMMYFUNCTION("""COMPUTED_VALUE"""),"T55")</f>
        <v>T55</v>
      </c>
      <c r="C40" t="str">
        <f ca="1">IFERROR(__xludf.DUMMYFUNCTION("""COMPUTED_VALUE"""),"Maverick McNealy")</f>
        <v>Maverick McNealy</v>
      </c>
      <c r="D40">
        <f ca="1">IFERROR(__xludf.DUMMYFUNCTION("""COMPUTED_VALUE"""),16)</f>
        <v>16</v>
      </c>
      <c r="E40">
        <f ca="1">IFERROR(__xludf.DUMMYFUNCTION("""COMPUTED_VALUE"""),70.073)</f>
        <v>70.072999999999993</v>
      </c>
      <c r="F40" s="1">
        <f ca="1">IFERROR(__xludf.DUMMYFUNCTION("""COMPUTED_VALUE"""),1110)</f>
        <v>1110</v>
      </c>
      <c r="G40">
        <f ca="1">IFERROR(__xludf.DUMMYFUNCTION("""COMPUTED_VALUE"""),11.165)</f>
        <v>11.164999999999999</v>
      </c>
      <c r="H40">
        <f ca="1">IFERROR(__xludf.DUMMYFUNCTION("""COMPUTED_VALUE"""),16)</f>
        <v>16</v>
      </c>
    </row>
    <row r="41" spans="1:8" ht="12.75">
      <c r="A41">
        <f ca="1">IFERROR(__xludf.DUMMYFUNCTION("""COMPUTED_VALUE"""),40)</f>
        <v>40</v>
      </c>
      <c r="B41">
        <f ca="1">IFERROR(__xludf.DUMMYFUNCTION("""COMPUTED_VALUE"""),68)</f>
        <v>68</v>
      </c>
      <c r="C41" t="str">
        <f ca="1">IFERROR(__xludf.DUMMYFUNCTION("""COMPUTED_VALUE"""),"Russell Knox")</f>
        <v>Russell Knox</v>
      </c>
      <c r="D41">
        <f ca="1">IFERROR(__xludf.DUMMYFUNCTION("""COMPUTED_VALUE"""),16)</f>
        <v>16</v>
      </c>
      <c r="E41">
        <f ca="1">IFERROR(__xludf.DUMMYFUNCTION("""COMPUTED_VALUE"""),70.103)</f>
        <v>70.102999999999994</v>
      </c>
      <c r="F41" s="1">
        <f ca="1">IFERROR(__xludf.DUMMYFUNCTION("""COMPUTED_VALUE"""),1109)</f>
        <v>1109</v>
      </c>
      <c r="G41">
        <f ca="1">IFERROR(__xludf.DUMMYFUNCTION("""COMPUTED_VALUE"""),12.648)</f>
        <v>12.648</v>
      </c>
      <c r="H41">
        <f ca="1">IFERROR(__xludf.DUMMYFUNCTION("""COMPUTED_VALUE"""),16)</f>
        <v>16</v>
      </c>
    </row>
    <row r="42" spans="1:8" ht="12.75">
      <c r="A42">
        <f ca="1">IFERROR(__xludf.DUMMYFUNCTION("""COMPUTED_VALUE"""),41)</f>
        <v>41</v>
      </c>
      <c r="B42">
        <f ca="1">IFERROR(__xludf.DUMMYFUNCTION("""COMPUTED_VALUE"""),29)</f>
        <v>29</v>
      </c>
      <c r="C42" t="str">
        <f ca="1">IFERROR(__xludf.DUMMYFUNCTION("""COMPUTED_VALUE"""),"Bud Cauley")</f>
        <v>Bud Cauley</v>
      </c>
      <c r="D42">
        <f ca="1">IFERROR(__xludf.DUMMYFUNCTION("""COMPUTED_VALUE"""),4)</f>
        <v>4</v>
      </c>
      <c r="E42">
        <f ca="1">IFERROR(__xludf.DUMMYFUNCTION("""COMPUTED_VALUE"""),70.114)</f>
        <v>70.114000000000004</v>
      </c>
      <c r="F42">
        <f ca="1">IFERROR(__xludf.DUMMYFUNCTION("""COMPUTED_VALUE"""),273)</f>
        <v>273</v>
      </c>
      <c r="G42">
        <f ca="1">IFERROR(__xludf.DUMMYFUNCTION("""COMPUTED_VALUE"""),7.456)</f>
        <v>7.4560000000000004</v>
      </c>
      <c r="H42">
        <f ca="1">IFERROR(__xludf.DUMMYFUNCTION("""COMPUTED_VALUE"""),4)</f>
        <v>4</v>
      </c>
    </row>
    <row r="43" spans="1:8" ht="12.75">
      <c r="A43">
        <f ca="1">IFERROR(__xludf.DUMMYFUNCTION("""COMPUTED_VALUE"""),42)</f>
        <v>42</v>
      </c>
      <c r="B43">
        <f ca="1">IFERROR(__xludf.DUMMYFUNCTION("""COMPUTED_VALUE"""),37)</f>
        <v>37</v>
      </c>
      <c r="C43" t="str">
        <f ca="1">IFERROR(__xludf.DUMMYFUNCTION("""COMPUTED_VALUE"""),"Denny McCarthy")</f>
        <v>Denny McCarthy</v>
      </c>
      <c r="D43">
        <f ca="1">IFERROR(__xludf.DUMMYFUNCTION("""COMPUTED_VALUE"""),22)</f>
        <v>22</v>
      </c>
      <c r="E43">
        <f ca="1">IFERROR(__xludf.DUMMYFUNCTION("""COMPUTED_VALUE"""),70.135)</f>
        <v>70.135000000000005</v>
      </c>
      <c r="F43" s="1">
        <f ca="1">IFERROR(__xludf.DUMMYFUNCTION("""COMPUTED_VALUE"""),1524)</f>
        <v>1524</v>
      </c>
      <c r="G43">
        <f ca="1">IFERROR(__xludf.DUMMYFUNCTION("""COMPUTED_VALUE"""),18.968)</f>
        <v>18.968</v>
      </c>
      <c r="H43">
        <f ca="1">IFERROR(__xludf.DUMMYFUNCTION("""COMPUTED_VALUE"""),22)</f>
        <v>22</v>
      </c>
    </row>
    <row r="44" spans="1:8" ht="12.75">
      <c r="A44">
        <f ca="1">IFERROR(__xludf.DUMMYFUNCTION("""COMPUTED_VALUE"""),43)</f>
        <v>43</v>
      </c>
      <c r="B44">
        <f ca="1">IFERROR(__xludf.DUMMYFUNCTION("""COMPUTED_VALUE"""),30)</f>
        <v>30</v>
      </c>
      <c r="C44" t="str">
        <f ca="1">IFERROR(__xludf.DUMMYFUNCTION("""COMPUTED_VALUE"""),"Charles Howell III")</f>
        <v>Charles Howell III</v>
      </c>
      <c r="D44">
        <f ca="1">IFERROR(__xludf.DUMMYFUNCTION("""COMPUTED_VALUE"""),10)</f>
        <v>10</v>
      </c>
      <c r="E44">
        <f ca="1">IFERROR(__xludf.DUMMYFUNCTION("""COMPUTED_VALUE"""),70.138)</f>
        <v>70.138000000000005</v>
      </c>
      <c r="F44">
        <f ca="1">IFERROR(__xludf.DUMMYFUNCTION("""COMPUTED_VALUE"""),706)</f>
        <v>706</v>
      </c>
      <c r="G44">
        <f ca="1">IFERROR(__xludf.DUMMYFUNCTION("""COMPUTED_VALUE"""),-4.616)</f>
        <v>-4.6159999999999997</v>
      </c>
      <c r="H44">
        <f ca="1">IFERROR(__xludf.DUMMYFUNCTION("""COMPUTED_VALUE"""),10)</f>
        <v>10</v>
      </c>
    </row>
    <row r="45" spans="1:8" ht="12.75">
      <c r="A45">
        <f ca="1">IFERROR(__xludf.DUMMYFUNCTION("""COMPUTED_VALUE"""),44)</f>
        <v>44</v>
      </c>
      <c r="B45">
        <f ca="1">IFERROR(__xludf.DUMMYFUNCTION("""COMPUTED_VALUE"""),31)</f>
        <v>31</v>
      </c>
      <c r="C45" t="str">
        <f ca="1">IFERROR(__xludf.DUMMYFUNCTION("""COMPUTED_VALUE"""),"Anirban Lahiri")</f>
        <v>Anirban Lahiri</v>
      </c>
      <c r="D45">
        <f ca="1">IFERROR(__xludf.DUMMYFUNCTION("""COMPUTED_VALUE"""),16)</f>
        <v>16</v>
      </c>
      <c r="E45">
        <f ca="1">IFERROR(__xludf.DUMMYFUNCTION("""COMPUTED_VALUE"""),70.17)</f>
        <v>70.17</v>
      </c>
      <c r="F45" s="1">
        <f ca="1">IFERROR(__xludf.DUMMYFUNCTION("""COMPUTED_VALUE"""),1107)</f>
        <v>1107</v>
      </c>
      <c r="G45">
        <f ca="1">IFERROR(__xludf.DUMMYFUNCTION("""COMPUTED_VALUE"""),15.724)</f>
        <v>15.724</v>
      </c>
      <c r="H45">
        <f ca="1">IFERROR(__xludf.DUMMYFUNCTION("""COMPUTED_VALUE"""),16)</f>
        <v>16</v>
      </c>
    </row>
    <row r="46" spans="1:8" ht="12.75">
      <c r="A46">
        <f ca="1">IFERROR(__xludf.DUMMYFUNCTION("""COMPUTED_VALUE"""),45)</f>
        <v>45</v>
      </c>
      <c r="B46">
        <f ca="1">IFERROR(__xludf.DUMMYFUNCTION("""COMPUTED_VALUE"""),82)</f>
        <v>82</v>
      </c>
      <c r="C46" t="str">
        <f ca="1">IFERROR(__xludf.DUMMYFUNCTION("""COMPUTED_VALUE"""),"Aaron Wise")</f>
        <v>Aaron Wise</v>
      </c>
      <c r="D46">
        <f ca="1">IFERROR(__xludf.DUMMYFUNCTION("""COMPUTED_VALUE"""),16)</f>
        <v>16</v>
      </c>
      <c r="E46">
        <f ca="1">IFERROR(__xludf.DUMMYFUNCTION("""COMPUTED_VALUE"""),70.198)</f>
        <v>70.197999999999993</v>
      </c>
      <c r="F46" s="1">
        <f ca="1">IFERROR(__xludf.DUMMYFUNCTION("""COMPUTED_VALUE"""),1112)</f>
        <v>1112</v>
      </c>
      <c r="G46">
        <f ca="1">IFERROR(__xludf.DUMMYFUNCTION("""COMPUTED_VALUE"""),11.165)</f>
        <v>11.164999999999999</v>
      </c>
      <c r="H46">
        <f ca="1">IFERROR(__xludf.DUMMYFUNCTION("""COMPUTED_VALUE"""),16)</f>
        <v>16</v>
      </c>
    </row>
    <row r="47" spans="1:8" ht="12.75">
      <c r="A47">
        <f ca="1">IFERROR(__xludf.DUMMYFUNCTION("""COMPUTED_VALUE"""),46)</f>
        <v>46</v>
      </c>
      <c r="B47">
        <f ca="1">IFERROR(__xludf.DUMMYFUNCTION("""COMPUTED_VALUE"""),51)</f>
        <v>51</v>
      </c>
      <c r="C47" t="str">
        <f ca="1">IFERROR(__xludf.DUMMYFUNCTION("""COMPUTED_VALUE"""),"Brian Harman")</f>
        <v>Brian Harman</v>
      </c>
      <c r="D47">
        <f ca="1">IFERROR(__xludf.DUMMYFUNCTION("""COMPUTED_VALUE"""),24)</f>
        <v>24</v>
      </c>
      <c r="E47">
        <f ca="1">IFERROR(__xludf.DUMMYFUNCTION("""COMPUTED_VALUE"""),70.243)</f>
        <v>70.242999999999995</v>
      </c>
      <c r="F47" s="1">
        <f ca="1">IFERROR(__xludf.DUMMYFUNCTION("""COMPUTED_VALUE"""),1677)</f>
        <v>1677</v>
      </c>
      <c r="G47">
        <f ca="1">IFERROR(__xludf.DUMMYFUNCTION("""COMPUTED_VALUE"""),8.836)</f>
        <v>8.8360000000000003</v>
      </c>
      <c r="H47">
        <f ca="1">IFERROR(__xludf.DUMMYFUNCTION("""COMPUTED_VALUE"""),24)</f>
        <v>24</v>
      </c>
    </row>
    <row r="48" spans="1:8" ht="12.75">
      <c r="A48">
        <f ca="1">IFERROR(__xludf.DUMMYFUNCTION("""COMPUTED_VALUE"""),47)</f>
        <v>47</v>
      </c>
      <c r="B48">
        <f ca="1">IFERROR(__xludf.DUMMYFUNCTION("""COMPUTED_VALUE"""),92)</f>
        <v>92</v>
      </c>
      <c r="C48" t="str">
        <f ca="1">IFERROR(__xludf.DUMMYFUNCTION("""COMPUTED_VALUE"""),"Jason Day")</f>
        <v>Jason Day</v>
      </c>
      <c r="D48">
        <f ca="1">IFERROR(__xludf.DUMMYFUNCTION("""COMPUTED_VALUE"""),17)</f>
        <v>17</v>
      </c>
      <c r="E48">
        <f ca="1">IFERROR(__xludf.DUMMYFUNCTION("""COMPUTED_VALUE"""),70.26)</f>
        <v>70.260000000000005</v>
      </c>
      <c r="F48" s="1">
        <f ca="1">IFERROR(__xludf.DUMMYFUNCTION("""COMPUTED_VALUE"""),1195)</f>
        <v>1195</v>
      </c>
      <c r="G48">
        <f ca="1">IFERROR(__xludf.DUMMYFUNCTION("""COMPUTED_VALUE"""),-0.581)</f>
        <v>-0.58099999999999996</v>
      </c>
      <c r="H48">
        <f ca="1">IFERROR(__xludf.DUMMYFUNCTION("""COMPUTED_VALUE"""),17)</f>
        <v>17</v>
      </c>
    </row>
    <row r="49" spans="1:8" ht="12.75">
      <c r="A49">
        <f ca="1">IFERROR(__xludf.DUMMYFUNCTION("""COMPUTED_VALUE"""),48)</f>
        <v>48</v>
      </c>
      <c r="B49">
        <f ca="1">IFERROR(__xludf.DUMMYFUNCTION("""COMPUTED_VALUE"""),33)</f>
        <v>33</v>
      </c>
      <c r="C49" t="str">
        <f ca="1">IFERROR(__xludf.DUMMYFUNCTION("""COMPUTED_VALUE"""),"Doug Ghim")</f>
        <v>Doug Ghim</v>
      </c>
      <c r="D49">
        <f ca="1">IFERROR(__xludf.DUMMYFUNCTION("""COMPUTED_VALUE"""),14)</f>
        <v>14</v>
      </c>
      <c r="E49">
        <f ca="1">IFERROR(__xludf.DUMMYFUNCTION("""COMPUTED_VALUE"""),70.274)</f>
        <v>70.274000000000001</v>
      </c>
      <c r="F49">
        <f ca="1">IFERROR(__xludf.DUMMYFUNCTION("""COMPUTED_VALUE"""),970)</f>
        <v>970</v>
      </c>
      <c r="G49">
        <f ca="1">IFERROR(__xludf.DUMMYFUNCTION("""COMPUTED_VALUE"""),13.831)</f>
        <v>13.831</v>
      </c>
      <c r="H49">
        <f ca="1">IFERROR(__xludf.DUMMYFUNCTION("""COMPUTED_VALUE"""),14)</f>
        <v>14</v>
      </c>
    </row>
    <row r="50" spans="1:8" ht="12.75">
      <c r="A50">
        <f ca="1">IFERROR(__xludf.DUMMYFUNCTION("""COMPUTED_VALUE"""),49)</f>
        <v>49</v>
      </c>
      <c r="B50">
        <f ca="1">IFERROR(__xludf.DUMMYFUNCTION("""COMPUTED_VALUE"""),74)</f>
        <v>74</v>
      </c>
      <c r="C50" t="str">
        <f ca="1">IFERROR(__xludf.DUMMYFUNCTION("""COMPUTED_VALUE"""),"J.T. Poston")</f>
        <v>J.T. Poston</v>
      </c>
      <c r="D50">
        <f ca="1">IFERROR(__xludf.DUMMYFUNCTION("""COMPUTED_VALUE"""),18)</f>
        <v>18</v>
      </c>
      <c r="E50">
        <f ca="1">IFERROR(__xludf.DUMMYFUNCTION("""COMPUTED_VALUE"""),70.3)</f>
        <v>70.3</v>
      </c>
      <c r="F50" s="1">
        <f ca="1">IFERROR(__xludf.DUMMYFUNCTION("""COMPUTED_VALUE"""),1259)</f>
        <v>1259</v>
      </c>
      <c r="G50">
        <f ca="1">IFERROR(__xludf.DUMMYFUNCTION("""COMPUTED_VALUE"""),6.399)</f>
        <v>6.399</v>
      </c>
      <c r="H50">
        <f ca="1">IFERROR(__xludf.DUMMYFUNCTION("""COMPUTED_VALUE"""),18)</f>
        <v>18</v>
      </c>
    </row>
    <row r="51" spans="1:8" ht="12.75">
      <c r="A51">
        <f ca="1">IFERROR(__xludf.DUMMYFUNCTION("""COMPUTED_VALUE"""),50)</f>
        <v>50</v>
      </c>
      <c r="B51">
        <f ca="1">IFERROR(__xludf.DUMMYFUNCTION("""COMPUTED_VALUE"""),95)</f>
        <v>95</v>
      </c>
      <c r="C51" t="str">
        <f ca="1">IFERROR(__xludf.DUMMYFUNCTION("""COMPUTED_VALUE"""),"Talor Gooch")</f>
        <v>Talor Gooch</v>
      </c>
      <c r="D51">
        <f ca="1">IFERROR(__xludf.DUMMYFUNCTION("""COMPUTED_VALUE"""),20)</f>
        <v>20</v>
      </c>
      <c r="E51">
        <f ca="1">IFERROR(__xludf.DUMMYFUNCTION("""COMPUTED_VALUE"""),70.314)</f>
        <v>70.313999999999993</v>
      </c>
      <c r="F51" s="1">
        <f ca="1">IFERROR(__xludf.DUMMYFUNCTION("""COMPUTED_VALUE"""),1382)</f>
        <v>1382</v>
      </c>
      <c r="G51">
        <f ca="1">IFERROR(__xludf.DUMMYFUNCTION("""COMPUTED_VALUE"""),24.273)</f>
        <v>24.273</v>
      </c>
      <c r="H51">
        <f ca="1">IFERROR(__xludf.DUMMYFUNCTION("""COMPUTED_VALUE"""),20)</f>
        <v>20</v>
      </c>
    </row>
    <row r="52" spans="1:8" ht="12.75">
      <c r="A52">
        <f ca="1">IFERROR(__xludf.DUMMYFUNCTION("""COMPUTED_VALUE"""),51)</f>
        <v>51</v>
      </c>
      <c r="B52">
        <f ca="1">IFERROR(__xludf.DUMMYFUNCTION("""COMPUTED_VALUE"""),38)</f>
        <v>38</v>
      </c>
      <c r="C52" t="str">
        <f ca="1">IFERROR(__xludf.DUMMYFUNCTION("""COMPUTED_VALUE"""),"Ryan Palmer")</f>
        <v>Ryan Palmer</v>
      </c>
      <c r="D52">
        <f ca="1">IFERROR(__xludf.DUMMYFUNCTION("""COMPUTED_VALUE"""),14)</f>
        <v>14</v>
      </c>
      <c r="E52">
        <f ca="1">IFERROR(__xludf.DUMMYFUNCTION("""COMPUTED_VALUE"""),70.348)</f>
        <v>70.347999999999999</v>
      </c>
      <c r="F52">
        <f ca="1">IFERROR(__xludf.DUMMYFUNCTION("""COMPUTED_VALUE"""),969)</f>
        <v>969</v>
      </c>
      <c r="G52">
        <f ca="1">IFERROR(__xludf.DUMMYFUNCTION("""COMPUTED_VALUE"""),15.877)</f>
        <v>15.877000000000001</v>
      </c>
      <c r="H52">
        <f ca="1">IFERROR(__xludf.DUMMYFUNCTION("""COMPUTED_VALUE"""),14)</f>
        <v>14</v>
      </c>
    </row>
    <row r="53" spans="1:8" ht="12.75">
      <c r="A53">
        <f ca="1">IFERROR(__xludf.DUMMYFUNCTION("""COMPUTED_VALUE"""),52)</f>
        <v>52</v>
      </c>
      <c r="B53">
        <f ca="1">IFERROR(__xludf.DUMMYFUNCTION("""COMPUTED_VALUE"""),64)</f>
        <v>64</v>
      </c>
      <c r="C53" t="str">
        <f ca="1">IFERROR(__xludf.DUMMYFUNCTION("""COMPUTED_VALUE"""),"Scott Piercy")</f>
        <v>Scott Piercy</v>
      </c>
      <c r="D53">
        <f ca="1">IFERROR(__xludf.DUMMYFUNCTION("""COMPUTED_VALUE"""),18)</f>
        <v>18</v>
      </c>
      <c r="E53">
        <f ca="1">IFERROR(__xludf.DUMMYFUNCTION("""COMPUTED_VALUE"""),70.354)</f>
        <v>70.353999999999999</v>
      </c>
      <c r="F53" s="1">
        <f ca="1">IFERROR(__xludf.DUMMYFUNCTION("""COMPUTED_VALUE"""),1251)</f>
        <v>1251</v>
      </c>
      <c r="G53">
        <f ca="1">IFERROR(__xludf.DUMMYFUNCTION("""COMPUTED_VALUE"""),15.378)</f>
        <v>15.378</v>
      </c>
      <c r="H53">
        <f ca="1">IFERROR(__xludf.DUMMYFUNCTION("""COMPUTED_VALUE"""),18)</f>
        <v>18</v>
      </c>
    </row>
    <row r="54" spans="1:8" ht="12.75">
      <c r="A54">
        <f ca="1">IFERROR(__xludf.DUMMYFUNCTION("""COMPUTED_VALUE"""),53)</f>
        <v>53</v>
      </c>
      <c r="B54" t="str">
        <f ca="1">IFERROR(__xludf.DUMMYFUNCTION("""COMPUTED_VALUE"""),"T39")</f>
        <v>T39</v>
      </c>
      <c r="C54" t="str">
        <f ca="1">IFERROR(__xludf.DUMMYFUNCTION("""COMPUTED_VALUE"""),"Lanto Griffin")</f>
        <v>Lanto Griffin</v>
      </c>
      <c r="D54">
        <f ca="1">IFERROR(__xludf.DUMMYFUNCTION("""COMPUTED_VALUE"""),18)</f>
        <v>18</v>
      </c>
      <c r="E54">
        <f ca="1">IFERROR(__xludf.DUMMYFUNCTION("""COMPUTED_VALUE"""),70.361)</f>
        <v>70.361000000000004</v>
      </c>
      <c r="F54" s="1">
        <f ca="1">IFERROR(__xludf.DUMMYFUNCTION("""COMPUTED_VALUE"""),1266)</f>
        <v>1266</v>
      </c>
      <c r="G54">
        <f ca="1">IFERROR(__xludf.DUMMYFUNCTION("""COMPUTED_VALUE"""),0.498)</f>
        <v>0.498</v>
      </c>
      <c r="H54">
        <f ca="1">IFERROR(__xludf.DUMMYFUNCTION("""COMPUTED_VALUE"""),18)</f>
        <v>18</v>
      </c>
    </row>
    <row r="55" spans="1:8" ht="12.75">
      <c r="A55">
        <f ca="1">IFERROR(__xludf.DUMMYFUNCTION("""COMPUTED_VALUE"""),54)</f>
        <v>54</v>
      </c>
      <c r="B55">
        <f ca="1">IFERROR(__xludf.DUMMYFUNCTION("""COMPUTED_VALUE"""),77)</f>
        <v>77</v>
      </c>
      <c r="C55" t="str">
        <f ca="1">IFERROR(__xludf.DUMMYFUNCTION("""COMPUTED_VALUE"""),"Cameron Tringale")</f>
        <v>Cameron Tringale</v>
      </c>
      <c r="D55">
        <f ca="1">IFERROR(__xludf.DUMMYFUNCTION("""COMPUTED_VALUE"""),16)</f>
        <v>16</v>
      </c>
      <c r="E55">
        <f ca="1">IFERROR(__xludf.DUMMYFUNCTION("""COMPUTED_VALUE"""),70.389)</f>
        <v>70.388999999999996</v>
      </c>
      <c r="F55" s="1">
        <f ca="1">IFERROR(__xludf.DUMMYFUNCTION("""COMPUTED_VALUE"""),1113)</f>
        <v>1113</v>
      </c>
      <c r="G55">
        <f ca="1">IFERROR(__xludf.DUMMYFUNCTION("""COMPUTED_VALUE"""),13.217)</f>
        <v>13.217000000000001</v>
      </c>
      <c r="H55">
        <f ca="1">IFERROR(__xludf.DUMMYFUNCTION("""COMPUTED_VALUE"""),16)</f>
        <v>16</v>
      </c>
    </row>
    <row r="56" spans="1:8" ht="12.75">
      <c r="A56">
        <f ca="1">IFERROR(__xludf.DUMMYFUNCTION("""COMPUTED_VALUE"""),55)</f>
        <v>55</v>
      </c>
      <c r="B56">
        <f ca="1">IFERROR(__xludf.DUMMYFUNCTION("""COMPUTED_VALUE"""),42)</f>
        <v>42</v>
      </c>
      <c r="C56" t="str">
        <f ca="1">IFERROR(__xludf.DUMMYFUNCTION("""COMPUTED_VALUE"""),"Matthew Wolff")</f>
        <v>Matthew Wolff</v>
      </c>
      <c r="D56">
        <f ca="1">IFERROR(__xludf.DUMMYFUNCTION("""COMPUTED_VALUE"""),16)</f>
        <v>16</v>
      </c>
      <c r="E56">
        <f ca="1">IFERROR(__xludf.DUMMYFUNCTION("""COMPUTED_VALUE"""),70.397)</f>
        <v>70.397000000000006</v>
      </c>
      <c r="F56" s="1">
        <f ca="1">IFERROR(__xludf.DUMMYFUNCTION("""COMPUTED_VALUE"""),1119)</f>
        <v>1119</v>
      </c>
      <c r="G56">
        <f ca="1">IFERROR(__xludf.DUMMYFUNCTION("""COMPUTED_VALUE"""),7.348)</f>
        <v>7.3479999999999999</v>
      </c>
      <c r="H56">
        <f ca="1">IFERROR(__xludf.DUMMYFUNCTION("""COMPUTED_VALUE"""),16)</f>
        <v>16</v>
      </c>
    </row>
    <row r="57" spans="1:8" ht="12.75">
      <c r="A57">
        <f ca="1">IFERROR(__xludf.DUMMYFUNCTION("""COMPUTED_VALUE"""),56)</f>
        <v>56</v>
      </c>
      <c r="B57">
        <f ca="1">IFERROR(__xludf.DUMMYFUNCTION("""COMPUTED_VALUE"""),36)</f>
        <v>36</v>
      </c>
      <c r="C57" t="str">
        <f ca="1">IFERROR(__xludf.DUMMYFUNCTION("""COMPUTED_VALUE"""),"Matt Jones")</f>
        <v>Matt Jones</v>
      </c>
      <c r="D57">
        <f ca="1">IFERROR(__xludf.DUMMYFUNCTION("""COMPUTED_VALUE"""),20)</f>
        <v>20</v>
      </c>
      <c r="E57">
        <f ca="1">IFERROR(__xludf.DUMMYFUNCTION("""COMPUTED_VALUE"""),70.409)</f>
        <v>70.409000000000006</v>
      </c>
      <c r="F57" s="1">
        <f ca="1">IFERROR(__xludf.DUMMYFUNCTION("""COMPUTED_VALUE"""),1403)</f>
        <v>1403</v>
      </c>
      <c r="G57">
        <f ca="1">IFERROR(__xludf.DUMMYFUNCTION("""COMPUTED_VALUE"""),5.18)</f>
        <v>5.18</v>
      </c>
      <c r="H57">
        <f ca="1">IFERROR(__xludf.DUMMYFUNCTION("""COMPUTED_VALUE"""),20)</f>
        <v>20</v>
      </c>
    </row>
    <row r="58" spans="1:8" ht="12.75">
      <c r="A58">
        <f ca="1">IFERROR(__xludf.DUMMYFUNCTION("""COMPUTED_VALUE"""),57)</f>
        <v>57</v>
      </c>
      <c r="B58">
        <f ca="1">IFERROR(__xludf.DUMMYFUNCTION("""COMPUTED_VALUE"""),46)</f>
        <v>46</v>
      </c>
      <c r="C58" t="str">
        <f ca="1">IFERROR(__xludf.DUMMYFUNCTION("""COMPUTED_VALUE"""),"Sungjae Im")</f>
        <v>Sungjae Im</v>
      </c>
      <c r="D58">
        <f ca="1">IFERROR(__xludf.DUMMYFUNCTION("""COMPUTED_VALUE"""),24)</f>
        <v>24</v>
      </c>
      <c r="E58">
        <f ca="1">IFERROR(__xludf.DUMMYFUNCTION("""COMPUTED_VALUE"""),70.41)</f>
        <v>70.41</v>
      </c>
      <c r="F58" s="1">
        <f ca="1">IFERROR(__xludf.DUMMYFUNCTION("""COMPUTED_VALUE"""),1681)</f>
        <v>1681</v>
      </c>
      <c r="G58">
        <f ca="1">IFERROR(__xludf.DUMMYFUNCTION("""COMPUTED_VALUE"""),8.836)</f>
        <v>8.8360000000000003</v>
      </c>
      <c r="H58">
        <f ca="1">IFERROR(__xludf.DUMMYFUNCTION("""COMPUTED_VALUE"""),24)</f>
        <v>24</v>
      </c>
    </row>
    <row r="59" spans="1:8" ht="12.75">
      <c r="A59">
        <f ca="1">IFERROR(__xludf.DUMMYFUNCTION("""COMPUTED_VALUE"""),58)</f>
        <v>58</v>
      </c>
      <c r="B59">
        <f ca="1">IFERROR(__xludf.DUMMYFUNCTION("""COMPUTED_VALUE"""),43)</f>
        <v>43</v>
      </c>
      <c r="C59" t="str">
        <f ca="1">IFERROR(__xludf.DUMMYFUNCTION("""COMPUTED_VALUE"""),"Michael Gligic")</f>
        <v>Michael Gligic</v>
      </c>
      <c r="D59">
        <f ca="1">IFERROR(__xludf.DUMMYFUNCTION("""COMPUTED_VALUE"""),18)</f>
        <v>18</v>
      </c>
      <c r="E59">
        <f ca="1">IFERROR(__xludf.DUMMYFUNCTION("""COMPUTED_VALUE"""),70.437)</f>
        <v>70.436999999999998</v>
      </c>
      <c r="F59" s="1">
        <f ca="1">IFERROR(__xludf.DUMMYFUNCTION("""COMPUTED_VALUE"""),1244)</f>
        <v>1244</v>
      </c>
      <c r="G59">
        <f ca="1">IFERROR(__xludf.DUMMYFUNCTION("""COMPUTED_VALUE"""),23.862)</f>
        <v>23.861999999999998</v>
      </c>
      <c r="H59">
        <f ca="1">IFERROR(__xludf.DUMMYFUNCTION("""COMPUTED_VALUE"""),18)</f>
        <v>18</v>
      </c>
    </row>
    <row r="60" spans="1:8" ht="12.75">
      <c r="A60">
        <f ca="1">IFERROR(__xludf.DUMMYFUNCTION("""COMPUTED_VALUE"""),59)</f>
        <v>59</v>
      </c>
      <c r="B60">
        <f ca="1">IFERROR(__xludf.DUMMYFUNCTION("""COMPUTED_VALUE"""),50)</f>
        <v>50</v>
      </c>
      <c r="C60" t="str">
        <f ca="1">IFERROR(__xludf.DUMMYFUNCTION("""COMPUTED_VALUE"""),"Wyndham Clark")</f>
        <v>Wyndham Clark</v>
      </c>
      <c r="D60">
        <f ca="1">IFERROR(__xludf.DUMMYFUNCTION("""COMPUTED_VALUE"""),16)</f>
        <v>16</v>
      </c>
      <c r="E60">
        <f ca="1">IFERROR(__xludf.DUMMYFUNCTION("""COMPUTED_VALUE"""),70.524)</f>
        <v>70.524000000000001</v>
      </c>
      <c r="F60" s="1">
        <f ca="1">IFERROR(__xludf.DUMMYFUNCTION("""COMPUTED_VALUE"""),1114)</f>
        <v>1114</v>
      </c>
      <c r="G60">
        <f ca="1">IFERROR(__xludf.DUMMYFUNCTION("""COMPUTED_VALUE"""),14.391)</f>
        <v>14.391</v>
      </c>
      <c r="H60">
        <f ca="1">IFERROR(__xludf.DUMMYFUNCTION("""COMPUTED_VALUE"""),16)</f>
        <v>16</v>
      </c>
    </row>
    <row r="61" spans="1:8" ht="12.75">
      <c r="A61">
        <f ca="1">IFERROR(__xludf.DUMMYFUNCTION("""COMPUTED_VALUE"""),60)</f>
        <v>60</v>
      </c>
      <c r="B61">
        <f ca="1">IFERROR(__xludf.DUMMYFUNCTION("""COMPUTED_VALUE"""),48)</f>
        <v>48</v>
      </c>
      <c r="C61" t="str">
        <f ca="1">IFERROR(__xludf.DUMMYFUNCTION("""COMPUTED_VALUE"""),"Daniel Berger")</f>
        <v>Daniel Berger</v>
      </c>
      <c r="D61">
        <f ca="1">IFERROR(__xludf.DUMMYFUNCTION("""COMPUTED_VALUE"""),12)</f>
        <v>12</v>
      </c>
      <c r="E61">
        <f ca="1">IFERROR(__xludf.DUMMYFUNCTION("""COMPUTED_VALUE"""),70.526)</f>
        <v>70.525999999999996</v>
      </c>
      <c r="F61">
        <f ca="1">IFERROR(__xludf.DUMMYFUNCTION("""COMPUTED_VALUE"""),849)</f>
        <v>849</v>
      </c>
      <c r="G61">
        <f ca="1">IFERROR(__xludf.DUMMYFUNCTION("""COMPUTED_VALUE"""),-2.683)</f>
        <v>-2.6829999999999998</v>
      </c>
      <c r="H61">
        <f ca="1">IFERROR(__xludf.DUMMYFUNCTION("""COMPUTED_VALUE"""),12)</f>
        <v>12</v>
      </c>
    </row>
    <row r="62" spans="1:8" ht="12.75">
      <c r="A62">
        <f ca="1">IFERROR(__xludf.DUMMYFUNCTION("""COMPUTED_VALUE"""),61)</f>
        <v>61</v>
      </c>
      <c r="B62">
        <f ca="1">IFERROR(__xludf.DUMMYFUNCTION("""COMPUTED_VALUE"""),49)</f>
        <v>49</v>
      </c>
      <c r="C62" t="str">
        <f ca="1">IFERROR(__xludf.DUMMYFUNCTION("""COMPUTED_VALUE"""),"Emiliano Grillo")</f>
        <v>Emiliano Grillo</v>
      </c>
      <c r="D62">
        <f ca="1">IFERROR(__xludf.DUMMYFUNCTION("""COMPUTED_VALUE"""),22)</f>
        <v>22</v>
      </c>
      <c r="E62">
        <f ca="1">IFERROR(__xludf.DUMMYFUNCTION("""COMPUTED_VALUE"""),70.551)</f>
        <v>70.551000000000002</v>
      </c>
      <c r="F62" s="1">
        <f ca="1">IFERROR(__xludf.DUMMYFUNCTION("""COMPUTED_VALUE"""),1530)</f>
        <v>1530</v>
      </c>
      <c r="G62">
        <f ca="1">IFERROR(__xludf.DUMMYFUNCTION("""COMPUTED_VALUE"""),22.131)</f>
        <v>22.131</v>
      </c>
      <c r="H62">
        <f ca="1">IFERROR(__xludf.DUMMYFUNCTION("""COMPUTED_VALUE"""),22)</f>
        <v>22</v>
      </c>
    </row>
    <row r="63" spans="1:8" ht="12.75">
      <c r="A63">
        <f ca="1">IFERROR(__xludf.DUMMYFUNCTION("""COMPUTED_VALUE"""),62)</f>
        <v>62</v>
      </c>
      <c r="B63">
        <f ca="1">IFERROR(__xludf.DUMMYFUNCTION("""COMPUTED_VALUE"""),54)</f>
        <v>54</v>
      </c>
      <c r="C63" t="str">
        <f ca="1">IFERROR(__xludf.DUMMYFUNCTION("""COMPUTED_VALUE"""),"Kevin Streelman")</f>
        <v>Kevin Streelman</v>
      </c>
      <c r="D63">
        <f ca="1">IFERROR(__xludf.DUMMYFUNCTION("""COMPUTED_VALUE"""),18)</f>
        <v>18</v>
      </c>
      <c r="E63">
        <f ca="1">IFERROR(__xludf.DUMMYFUNCTION("""COMPUTED_VALUE"""),70.583)</f>
        <v>70.582999999999998</v>
      </c>
      <c r="F63" s="1">
        <f ca="1">IFERROR(__xludf.DUMMYFUNCTION("""COMPUTED_VALUE"""),1255)</f>
        <v>1255</v>
      </c>
      <c r="G63">
        <f ca="1">IFERROR(__xludf.DUMMYFUNCTION("""COMPUTED_VALUE"""),15.496)</f>
        <v>15.496</v>
      </c>
      <c r="H63">
        <f ca="1">IFERROR(__xludf.DUMMYFUNCTION("""COMPUTED_VALUE"""),18)</f>
        <v>18</v>
      </c>
    </row>
    <row r="64" spans="1:8" ht="12.75">
      <c r="A64">
        <f ca="1">IFERROR(__xludf.DUMMYFUNCTION("""COMPUTED_VALUE"""),63)</f>
        <v>63</v>
      </c>
      <c r="B64">
        <f ca="1">IFERROR(__xludf.DUMMYFUNCTION("""COMPUTED_VALUE"""),123)</f>
        <v>123</v>
      </c>
      <c r="C64" t="str">
        <f ca="1">IFERROR(__xludf.DUMMYFUNCTION("""COMPUTED_VALUE"""),"Mackenzie Hughes")</f>
        <v>Mackenzie Hughes</v>
      </c>
      <c r="D64">
        <f ca="1">IFERROR(__xludf.DUMMYFUNCTION("""COMPUTED_VALUE"""),18)</f>
        <v>18</v>
      </c>
      <c r="E64">
        <f ca="1">IFERROR(__xludf.DUMMYFUNCTION("""COMPUTED_VALUE"""),70.6)</f>
        <v>70.599999999999994</v>
      </c>
      <c r="F64" s="1">
        <f ca="1">IFERROR(__xludf.DUMMYFUNCTION("""COMPUTED_VALUE"""),1264)</f>
        <v>1264</v>
      </c>
      <c r="G64">
        <f ca="1">IFERROR(__xludf.DUMMYFUNCTION("""COMPUTED_VALUE"""),6.799)</f>
        <v>6.7990000000000004</v>
      </c>
      <c r="H64">
        <f ca="1">IFERROR(__xludf.DUMMYFUNCTION("""COMPUTED_VALUE"""),18)</f>
        <v>18</v>
      </c>
    </row>
    <row r="65" spans="1:8" ht="12.75">
      <c r="A65">
        <f ca="1">IFERROR(__xludf.DUMMYFUNCTION("""COMPUTED_VALUE"""),64)</f>
        <v>64</v>
      </c>
      <c r="B65">
        <f ca="1">IFERROR(__xludf.DUMMYFUNCTION("""COMPUTED_VALUE"""),53)</f>
        <v>53</v>
      </c>
      <c r="C65" t="str">
        <f ca="1">IFERROR(__xludf.DUMMYFUNCTION("""COMPUTED_VALUE"""),"Sebastián Muñoz")</f>
        <v>Sebastián Muñoz</v>
      </c>
      <c r="D65">
        <f ca="1">IFERROR(__xludf.DUMMYFUNCTION("""COMPUTED_VALUE"""),20)</f>
        <v>20</v>
      </c>
      <c r="E65">
        <f ca="1">IFERROR(__xludf.DUMMYFUNCTION("""COMPUTED_VALUE"""),70.624)</f>
        <v>70.623999999999995</v>
      </c>
      <c r="F65" s="1">
        <f ca="1">IFERROR(__xludf.DUMMYFUNCTION("""COMPUTED_VALUE"""),1401)</f>
        <v>1401</v>
      </c>
      <c r="G65">
        <f ca="1">IFERROR(__xludf.DUMMYFUNCTION("""COMPUTED_VALUE"""),11.473)</f>
        <v>11.473000000000001</v>
      </c>
      <c r="H65">
        <f ca="1">IFERROR(__xludf.DUMMYFUNCTION("""COMPUTED_VALUE"""),20)</f>
        <v>20</v>
      </c>
    </row>
    <row r="66" spans="1:8" ht="12.75">
      <c r="A66">
        <f ca="1">IFERROR(__xludf.DUMMYFUNCTION("""COMPUTED_VALUE"""),65)</f>
        <v>65</v>
      </c>
      <c r="B66">
        <f ca="1">IFERROR(__xludf.DUMMYFUNCTION("""COMPUTED_VALUE"""),47)</f>
        <v>47</v>
      </c>
      <c r="C66" t="str">
        <f ca="1">IFERROR(__xludf.DUMMYFUNCTION("""COMPUTED_VALUE"""),"Kristoffer Ventura")</f>
        <v>Kristoffer Ventura</v>
      </c>
      <c r="D66">
        <f ca="1">IFERROR(__xludf.DUMMYFUNCTION("""COMPUTED_VALUE"""),20)</f>
        <v>20</v>
      </c>
      <c r="E66">
        <f ca="1">IFERROR(__xludf.DUMMYFUNCTION("""COMPUTED_VALUE"""),70.637)</f>
        <v>70.637</v>
      </c>
      <c r="F66" s="1">
        <f ca="1">IFERROR(__xludf.DUMMYFUNCTION("""COMPUTED_VALUE"""),1396)</f>
        <v>1396</v>
      </c>
      <c r="G66">
        <f ca="1">IFERROR(__xludf.DUMMYFUNCTION("""COMPUTED_VALUE"""),16.744)</f>
        <v>16.744</v>
      </c>
      <c r="H66">
        <f ca="1">IFERROR(__xludf.DUMMYFUNCTION("""COMPUTED_VALUE"""),20)</f>
        <v>20</v>
      </c>
    </row>
    <row r="67" spans="1:8" ht="12.75">
      <c r="A67">
        <f ca="1">IFERROR(__xludf.DUMMYFUNCTION("""COMPUTED_VALUE"""),66)</f>
        <v>66</v>
      </c>
      <c r="B67">
        <f ca="1">IFERROR(__xludf.DUMMYFUNCTION("""COMPUTED_VALUE"""),61)</f>
        <v>61</v>
      </c>
      <c r="C67" t="str">
        <f ca="1">IFERROR(__xludf.DUMMYFUNCTION("""COMPUTED_VALUE"""),"Si Woo Kim")</f>
        <v>Si Woo Kim</v>
      </c>
      <c r="D67">
        <f ca="1">IFERROR(__xludf.DUMMYFUNCTION("""COMPUTED_VALUE"""),20)</f>
        <v>20</v>
      </c>
      <c r="E67">
        <f ca="1">IFERROR(__xludf.DUMMYFUNCTION("""COMPUTED_VALUE"""),70.643)</f>
        <v>70.643000000000001</v>
      </c>
      <c r="F67" s="1">
        <f ca="1">IFERROR(__xludf.DUMMYFUNCTION("""COMPUTED_VALUE"""),1400)</f>
        <v>1400</v>
      </c>
      <c r="G67">
        <f ca="1">IFERROR(__xludf.DUMMYFUNCTION("""COMPUTED_VALUE"""),12.868)</f>
        <v>12.868</v>
      </c>
      <c r="H67">
        <f ca="1">IFERROR(__xludf.DUMMYFUNCTION("""COMPUTED_VALUE"""),20)</f>
        <v>20</v>
      </c>
    </row>
    <row r="68" spans="1:8" ht="12.75">
      <c r="A68">
        <f ca="1">IFERROR(__xludf.DUMMYFUNCTION("""COMPUTED_VALUE"""),67)</f>
        <v>67</v>
      </c>
      <c r="B68">
        <f ca="1">IFERROR(__xludf.DUMMYFUNCTION("""COMPUTED_VALUE"""),34)</f>
        <v>34</v>
      </c>
      <c r="C68" t="str">
        <f ca="1">IFERROR(__xludf.DUMMYFUNCTION("""COMPUTED_VALUE"""),"David Hearn")</f>
        <v>David Hearn</v>
      </c>
      <c r="D68">
        <f ca="1">IFERROR(__xludf.DUMMYFUNCTION("""COMPUTED_VALUE"""),16)</f>
        <v>16</v>
      </c>
      <c r="E68">
        <f ca="1">IFERROR(__xludf.DUMMYFUNCTION("""COMPUTED_VALUE"""),70.652)</f>
        <v>70.652000000000001</v>
      </c>
      <c r="F68" s="1">
        <f ca="1">IFERROR(__xludf.DUMMYFUNCTION("""COMPUTED_VALUE"""),1121)</f>
        <v>1121</v>
      </c>
      <c r="G68">
        <f ca="1">IFERROR(__xludf.DUMMYFUNCTION("""COMPUTED_VALUE"""),9.433)</f>
        <v>9.4329999999999998</v>
      </c>
      <c r="H68">
        <f ca="1">IFERROR(__xludf.DUMMYFUNCTION("""COMPUTED_VALUE"""),16)</f>
        <v>16</v>
      </c>
    </row>
    <row r="69" spans="1:8" ht="12.75">
      <c r="A69">
        <f ca="1">IFERROR(__xludf.DUMMYFUNCTION("""COMPUTED_VALUE"""),68)</f>
        <v>68</v>
      </c>
      <c r="B69" t="str">
        <f ca="1">IFERROR(__xludf.DUMMYFUNCTION("""COMPUTED_VALUE"""),"T55")</f>
        <v>T55</v>
      </c>
      <c r="C69" t="str">
        <f ca="1">IFERROR(__xludf.DUMMYFUNCTION("""COMPUTED_VALUE"""),"Scott Stallings")</f>
        <v>Scott Stallings</v>
      </c>
      <c r="D69">
        <f ca="1">IFERROR(__xludf.DUMMYFUNCTION("""COMPUTED_VALUE"""),14)</f>
        <v>14</v>
      </c>
      <c r="E69">
        <f ca="1">IFERROR(__xludf.DUMMYFUNCTION("""COMPUTED_VALUE"""),70.656)</f>
        <v>70.656000000000006</v>
      </c>
      <c r="F69">
        <f ca="1">IFERROR(__xludf.DUMMYFUNCTION("""COMPUTED_VALUE"""),979)</f>
        <v>979</v>
      </c>
      <c r="G69">
        <f ca="1">IFERROR(__xludf.DUMMYFUNCTION("""COMPUTED_VALUE"""),10.178)</f>
        <v>10.178000000000001</v>
      </c>
      <c r="H69">
        <f ca="1">IFERROR(__xludf.DUMMYFUNCTION("""COMPUTED_VALUE"""),14)</f>
        <v>14</v>
      </c>
    </row>
    <row r="70" spans="1:8" ht="12.75">
      <c r="A70">
        <f ca="1">IFERROR(__xludf.DUMMYFUNCTION("""COMPUTED_VALUE"""),69)</f>
        <v>69</v>
      </c>
      <c r="B70">
        <f ca="1">IFERROR(__xludf.DUMMYFUNCTION("""COMPUTED_VALUE"""),57)</f>
        <v>57</v>
      </c>
      <c r="C70" t="str">
        <f ca="1">IFERROR(__xludf.DUMMYFUNCTION("""COMPUTED_VALUE"""),"Cameron Percy")</f>
        <v>Cameron Percy</v>
      </c>
      <c r="D70">
        <f ca="1">IFERROR(__xludf.DUMMYFUNCTION("""COMPUTED_VALUE"""),16)</f>
        <v>16</v>
      </c>
      <c r="E70">
        <f ca="1">IFERROR(__xludf.DUMMYFUNCTION("""COMPUTED_VALUE"""),70.67)</f>
        <v>70.67</v>
      </c>
      <c r="F70" s="1">
        <f ca="1">IFERROR(__xludf.DUMMYFUNCTION("""COMPUTED_VALUE"""),1115)</f>
        <v>1115</v>
      </c>
      <c r="G70">
        <f ca="1">IFERROR(__xludf.DUMMYFUNCTION("""COMPUTED_VALUE"""),15.724)</f>
        <v>15.724</v>
      </c>
      <c r="H70">
        <f ca="1">IFERROR(__xludf.DUMMYFUNCTION("""COMPUTED_VALUE"""),16)</f>
        <v>16</v>
      </c>
    </row>
    <row r="71" spans="1:8" ht="12.75">
      <c r="A71">
        <f ca="1">IFERROR(__xludf.DUMMYFUNCTION("""COMPUTED_VALUE"""),70)</f>
        <v>70</v>
      </c>
      <c r="B71">
        <f ca="1">IFERROR(__xludf.DUMMYFUNCTION("""COMPUTED_VALUE"""),59)</f>
        <v>59</v>
      </c>
      <c r="C71" t="str">
        <f ca="1">IFERROR(__xludf.DUMMYFUNCTION("""COMPUTED_VALUE"""),"Matthew Fitzpatrick")</f>
        <v>Matthew Fitzpatrick</v>
      </c>
      <c r="D71">
        <f ca="1">IFERROR(__xludf.DUMMYFUNCTION("""COMPUTED_VALUE"""),10)</f>
        <v>10</v>
      </c>
      <c r="E71">
        <f ca="1">IFERROR(__xludf.DUMMYFUNCTION("""COMPUTED_VALUE"""),70.685)</f>
        <v>70.685000000000002</v>
      </c>
      <c r="F71">
        <f ca="1">IFERROR(__xludf.DUMMYFUNCTION("""COMPUTED_VALUE"""),701)</f>
        <v>701</v>
      </c>
      <c r="G71">
        <f ca="1">IFERROR(__xludf.DUMMYFUNCTION("""COMPUTED_VALUE"""),5.846)</f>
        <v>5.8460000000000001</v>
      </c>
      <c r="H71">
        <f ca="1">IFERROR(__xludf.DUMMYFUNCTION("""COMPUTED_VALUE"""),10)</f>
        <v>10</v>
      </c>
    </row>
    <row r="72" spans="1:8" ht="12.75">
      <c r="A72" t="str">
        <f ca="1">IFERROR(__xludf.DUMMYFUNCTION("""COMPUTED_VALUE"""),"T71")</f>
        <v>T71</v>
      </c>
      <c r="B72">
        <f ca="1">IFERROR(__xludf.DUMMYFUNCTION("""COMPUTED_VALUE"""),149)</f>
        <v>149</v>
      </c>
      <c r="C72" t="str">
        <f ca="1">IFERROR(__xludf.DUMMYFUNCTION("""COMPUTED_VALUE"""),"Carlos Ortiz")</f>
        <v>Carlos Ortiz</v>
      </c>
      <c r="D72">
        <f ca="1">IFERROR(__xludf.DUMMYFUNCTION("""COMPUTED_VALUE"""),20)</f>
        <v>20</v>
      </c>
      <c r="E72">
        <f ca="1">IFERROR(__xludf.DUMMYFUNCTION("""COMPUTED_VALUE"""),70.688)</f>
        <v>70.688000000000002</v>
      </c>
      <c r="F72" s="1">
        <f ca="1">IFERROR(__xludf.DUMMYFUNCTION("""COMPUTED_VALUE"""),1388)</f>
        <v>1388</v>
      </c>
      <c r="G72">
        <f ca="1">IFERROR(__xludf.DUMMYFUNCTION("""COMPUTED_VALUE"""),25.756)</f>
        <v>25.756</v>
      </c>
      <c r="H72">
        <f ca="1">IFERROR(__xludf.DUMMYFUNCTION("""COMPUTED_VALUE"""),20)</f>
        <v>20</v>
      </c>
    </row>
    <row r="73" spans="1:8" ht="12.75">
      <c r="A73" t="str">
        <f ca="1">IFERROR(__xludf.DUMMYFUNCTION("""COMPUTED_VALUE"""),"T71")</f>
        <v>T71</v>
      </c>
      <c r="B73">
        <f ca="1">IFERROR(__xludf.DUMMYFUNCTION("""COMPUTED_VALUE"""),91)</f>
        <v>91</v>
      </c>
      <c r="C73" t="str">
        <f ca="1">IFERROR(__xludf.DUMMYFUNCTION("""COMPUTED_VALUE"""),"Brandt Snedeker")</f>
        <v>Brandt Snedeker</v>
      </c>
      <c r="D73">
        <f ca="1">IFERROR(__xludf.DUMMYFUNCTION("""COMPUTED_VALUE"""),16)</f>
        <v>16</v>
      </c>
      <c r="E73">
        <f ca="1">IFERROR(__xludf.DUMMYFUNCTION("""COMPUTED_VALUE"""),70.688)</f>
        <v>70.688000000000002</v>
      </c>
      <c r="F73" s="1">
        <f ca="1">IFERROR(__xludf.DUMMYFUNCTION("""COMPUTED_VALUE"""),1124)</f>
        <v>1124</v>
      </c>
      <c r="G73">
        <f ca="1">IFERROR(__xludf.DUMMYFUNCTION("""COMPUTED_VALUE"""),7.01)</f>
        <v>7.01</v>
      </c>
      <c r="H73">
        <f ca="1">IFERROR(__xludf.DUMMYFUNCTION("""COMPUTED_VALUE"""),16)</f>
        <v>16</v>
      </c>
    </row>
    <row r="74" spans="1:8" ht="12.75">
      <c r="A74">
        <f ca="1">IFERROR(__xludf.DUMMYFUNCTION("""COMPUTED_VALUE"""),73)</f>
        <v>73</v>
      </c>
      <c r="B74" t="str">
        <f ca="1">IFERROR(__xludf.DUMMYFUNCTION("""COMPUTED_VALUE"""),"T62")</f>
        <v>T62</v>
      </c>
      <c r="C74" t="str">
        <f ca="1">IFERROR(__xludf.DUMMYFUNCTION("""COMPUTED_VALUE"""),"Sergio Garcia")</f>
        <v>Sergio Garcia</v>
      </c>
      <c r="D74">
        <f ca="1">IFERROR(__xludf.DUMMYFUNCTION("""COMPUTED_VALUE"""),18)</f>
        <v>18</v>
      </c>
      <c r="E74">
        <f ca="1">IFERROR(__xludf.DUMMYFUNCTION("""COMPUTED_VALUE"""),70.707)</f>
        <v>70.706999999999994</v>
      </c>
      <c r="F74" s="1">
        <f ca="1">IFERROR(__xludf.DUMMYFUNCTION("""COMPUTED_VALUE"""),1264)</f>
        <v>1264</v>
      </c>
      <c r="G74">
        <f ca="1">IFERROR(__xludf.DUMMYFUNCTION("""COMPUTED_VALUE"""),8.718)</f>
        <v>8.718</v>
      </c>
      <c r="H74">
        <f ca="1">IFERROR(__xludf.DUMMYFUNCTION("""COMPUTED_VALUE"""),18)</f>
        <v>18</v>
      </c>
    </row>
    <row r="75" spans="1:8" ht="12.75">
      <c r="A75">
        <f ca="1">IFERROR(__xludf.DUMMYFUNCTION("""COMPUTED_VALUE"""),74)</f>
        <v>74</v>
      </c>
      <c r="B75" t="str">
        <f ca="1">IFERROR(__xludf.DUMMYFUNCTION("""COMPUTED_VALUE"""),"T62")</f>
        <v>T62</v>
      </c>
      <c r="C75" t="str">
        <f ca="1">IFERROR(__xludf.DUMMYFUNCTION("""COMPUTED_VALUE"""),"Abraham Ancer")</f>
        <v>Abraham Ancer</v>
      </c>
      <c r="D75">
        <f ca="1">IFERROR(__xludf.DUMMYFUNCTION("""COMPUTED_VALUE"""),16)</f>
        <v>16</v>
      </c>
      <c r="E75">
        <f ca="1">IFERROR(__xludf.DUMMYFUNCTION("""COMPUTED_VALUE"""),70.709)</f>
        <v>70.709000000000003</v>
      </c>
      <c r="F75" s="1">
        <f ca="1">IFERROR(__xludf.DUMMYFUNCTION("""COMPUTED_VALUE"""),1124)</f>
        <v>1124</v>
      </c>
      <c r="G75">
        <f ca="1">IFERROR(__xludf.DUMMYFUNCTION("""COMPUTED_VALUE"""),7.348)</f>
        <v>7.3479999999999999</v>
      </c>
      <c r="H75">
        <f ca="1">IFERROR(__xludf.DUMMYFUNCTION("""COMPUTED_VALUE"""),16)</f>
        <v>16</v>
      </c>
    </row>
    <row r="76" spans="1:8" ht="12.75">
      <c r="A76" t="str">
        <f ca="1">IFERROR(__xludf.DUMMYFUNCTION("""COMPUTED_VALUE"""),"T75")</f>
        <v>T75</v>
      </c>
      <c r="B76">
        <f ca="1">IFERROR(__xludf.DUMMYFUNCTION("""COMPUTED_VALUE"""),66)</f>
        <v>66</v>
      </c>
      <c r="C76" t="str">
        <f ca="1">IFERROR(__xludf.DUMMYFUNCTION("""COMPUTED_VALUE"""),"Ryan Brehm")</f>
        <v>Ryan Brehm</v>
      </c>
      <c r="D76">
        <f ca="1">IFERROR(__xludf.DUMMYFUNCTION("""COMPUTED_VALUE"""),10)</f>
        <v>10</v>
      </c>
      <c r="E76">
        <f ca="1">IFERROR(__xludf.DUMMYFUNCTION("""COMPUTED_VALUE"""),70.745)</f>
        <v>70.745000000000005</v>
      </c>
      <c r="F76">
        <f ca="1">IFERROR(__xludf.DUMMYFUNCTION("""COMPUTED_VALUE"""),700)</f>
        <v>700</v>
      </c>
      <c r="G76">
        <f ca="1">IFERROR(__xludf.DUMMYFUNCTION("""COMPUTED_VALUE"""),7.449)</f>
        <v>7.4489999999999998</v>
      </c>
      <c r="H76">
        <f ca="1">IFERROR(__xludf.DUMMYFUNCTION("""COMPUTED_VALUE"""),10)</f>
        <v>10</v>
      </c>
    </row>
    <row r="77" spans="1:8" ht="12.75">
      <c r="A77" t="str">
        <f ca="1">IFERROR(__xludf.DUMMYFUNCTION("""COMPUTED_VALUE"""),"T75")</f>
        <v>T75</v>
      </c>
      <c r="B77">
        <f ca="1">IFERROR(__xludf.DUMMYFUNCTION("""COMPUTED_VALUE"""),129)</f>
        <v>129</v>
      </c>
      <c r="C77" t="str">
        <f ca="1">IFERROR(__xludf.DUMMYFUNCTION("""COMPUTED_VALUE"""),"Patton Kizzire")</f>
        <v>Patton Kizzire</v>
      </c>
      <c r="D77">
        <f ca="1">IFERROR(__xludf.DUMMYFUNCTION("""COMPUTED_VALUE"""),18)</f>
        <v>18</v>
      </c>
      <c r="E77">
        <f ca="1">IFERROR(__xludf.DUMMYFUNCTION("""COMPUTED_VALUE"""),70.745)</f>
        <v>70.745000000000005</v>
      </c>
      <c r="F77" s="1">
        <f ca="1">IFERROR(__xludf.DUMMYFUNCTION("""COMPUTED_VALUE"""),1255)</f>
        <v>1255</v>
      </c>
      <c r="G77">
        <f ca="1">IFERROR(__xludf.DUMMYFUNCTION("""COMPUTED_VALUE"""),18.415)</f>
        <v>18.414999999999999</v>
      </c>
      <c r="H77">
        <f ca="1">IFERROR(__xludf.DUMMYFUNCTION("""COMPUTED_VALUE"""),18)</f>
        <v>18</v>
      </c>
    </row>
    <row r="78" spans="1:8" ht="12.75">
      <c r="A78">
        <f ca="1">IFERROR(__xludf.DUMMYFUNCTION("""COMPUTED_VALUE"""),77)</f>
        <v>77</v>
      </c>
      <c r="B78">
        <f ca="1">IFERROR(__xludf.DUMMYFUNCTION("""COMPUTED_VALUE"""),73)</f>
        <v>73</v>
      </c>
      <c r="C78" t="str">
        <f ca="1">IFERROR(__xludf.DUMMYFUNCTION("""COMPUTED_VALUE"""),"Lucas Glover")</f>
        <v>Lucas Glover</v>
      </c>
      <c r="D78">
        <f ca="1">IFERROR(__xludf.DUMMYFUNCTION("""COMPUTED_VALUE"""),12)</f>
        <v>12</v>
      </c>
      <c r="E78">
        <f ca="1">IFERROR(__xludf.DUMMYFUNCTION("""COMPUTED_VALUE"""),70.746)</f>
        <v>70.745999999999995</v>
      </c>
      <c r="F78">
        <f ca="1">IFERROR(__xludf.DUMMYFUNCTION("""COMPUTED_VALUE"""),860)</f>
        <v>860</v>
      </c>
      <c r="G78">
        <f ca="1">IFERROR(__xludf.DUMMYFUNCTION("""COMPUTED_VALUE"""),-11.054)</f>
        <v>-11.054</v>
      </c>
      <c r="H78">
        <f ca="1">IFERROR(__xludf.DUMMYFUNCTION("""COMPUTED_VALUE"""),12)</f>
        <v>12</v>
      </c>
    </row>
    <row r="79" spans="1:8" ht="12.75">
      <c r="A79">
        <f ca="1">IFERROR(__xludf.DUMMYFUNCTION("""COMPUTED_VALUE"""),78)</f>
        <v>78</v>
      </c>
      <c r="B79">
        <f ca="1">IFERROR(__xludf.DUMMYFUNCTION("""COMPUTED_VALUE"""),67)</f>
        <v>67</v>
      </c>
      <c r="C79" t="str">
        <f ca="1">IFERROR(__xludf.DUMMYFUNCTION("""COMPUTED_VALUE"""),"Hank Lebioda")</f>
        <v>Hank Lebioda</v>
      </c>
      <c r="D79">
        <f ca="1">IFERROR(__xludf.DUMMYFUNCTION("""COMPUTED_VALUE"""),14)</f>
        <v>14</v>
      </c>
      <c r="E79">
        <f ca="1">IFERROR(__xludf.DUMMYFUNCTION("""COMPUTED_VALUE"""),70.755)</f>
        <v>70.754999999999995</v>
      </c>
      <c r="F79">
        <f ca="1">IFERROR(__xludf.DUMMYFUNCTION("""COMPUTED_VALUE"""),979)</f>
        <v>979</v>
      </c>
      <c r="G79">
        <f ca="1">IFERROR(__xludf.DUMMYFUNCTION("""COMPUTED_VALUE"""),11.574)</f>
        <v>11.574</v>
      </c>
      <c r="H79">
        <f ca="1">IFERROR(__xludf.DUMMYFUNCTION("""COMPUTED_VALUE"""),14)</f>
        <v>14</v>
      </c>
    </row>
    <row r="80" spans="1:8" ht="12.75">
      <c r="A80" t="str">
        <f ca="1">IFERROR(__xludf.DUMMYFUNCTION("""COMPUTED_VALUE"""),"T79")</f>
        <v>T79</v>
      </c>
      <c r="B80">
        <f ca="1">IFERROR(__xludf.DUMMYFUNCTION("""COMPUTED_VALUE"""),52)</f>
        <v>52</v>
      </c>
      <c r="C80" t="str">
        <f ca="1">IFERROR(__xludf.DUMMYFUNCTION("""COMPUTED_VALUE"""),"Matthew NeSmith")</f>
        <v>Matthew NeSmith</v>
      </c>
      <c r="D80">
        <f ca="1">IFERROR(__xludf.DUMMYFUNCTION("""COMPUTED_VALUE"""),16)</f>
        <v>16</v>
      </c>
      <c r="E80">
        <f ca="1">IFERROR(__xludf.DUMMYFUNCTION("""COMPUTED_VALUE"""),70.777)</f>
        <v>70.777000000000001</v>
      </c>
      <c r="F80" s="1">
        <f ca="1">IFERROR(__xludf.DUMMYFUNCTION("""COMPUTED_VALUE"""),1115)</f>
        <v>1115</v>
      </c>
      <c r="G80">
        <f ca="1">IFERROR(__xludf.DUMMYFUNCTION("""COMPUTED_VALUE"""),17.428)</f>
        <v>17.428000000000001</v>
      </c>
      <c r="H80">
        <f ca="1">IFERROR(__xludf.DUMMYFUNCTION("""COMPUTED_VALUE"""),16)</f>
        <v>16</v>
      </c>
    </row>
    <row r="81" spans="1:8" ht="12.75">
      <c r="A81" t="str">
        <f ca="1">IFERROR(__xludf.DUMMYFUNCTION("""COMPUTED_VALUE"""),"T79")</f>
        <v>T79</v>
      </c>
      <c r="B81">
        <f ca="1">IFERROR(__xludf.DUMMYFUNCTION("""COMPUTED_VALUE"""),65)</f>
        <v>65</v>
      </c>
      <c r="C81" t="str">
        <f ca="1">IFERROR(__xludf.DUMMYFUNCTION("""COMPUTED_VALUE"""),"Martin Laird")</f>
        <v>Martin Laird</v>
      </c>
      <c r="D81">
        <f ca="1">IFERROR(__xludf.DUMMYFUNCTION("""COMPUTED_VALUE"""),16)</f>
        <v>16</v>
      </c>
      <c r="E81">
        <f ca="1">IFERROR(__xludf.DUMMYFUNCTION("""COMPUTED_VALUE"""),70.777)</f>
        <v>70.777000000000001</v>
      </c>
      <c r="F81" s="1">
        <f ca="1">IFERROR(__xludf.DUMMYFUNCTION("""COMPUTED_VALUE"""),1115)</f>
        <v>1115</v>
      </c>
      <c r="G81">
        <f ca="1">IFERROR(__xludf.DUMMYFUNCTION("""COMPUTED_VALUE"""),17.428)</f>
        <v>17.428000000000001</v>
      </c>
      <c r="H81">
        <f ca="1">IFERROR(__xludf.DUMMYFUNCTION("""COMPUTED_VALUE"""),16)</f>
        <v>16</v>
      </c>
    </row>
    <row r="82" spans="1:8" ht="12.75">
      <c r="A82">
        <f ca="1">IFERROR(__xludf.DUMMYFUNCTION("""COMPUTED_VALUE"""),81)</f>
        <v>81</v>
      </c>
      <c r="B82">
        <f ca="1">IFERROR(__xludf.DUMMYFUNCTION("""COMPUTED_VALUE"""),69)</f>
        <v>69</v>
      </c>
      <c r="C82" t="str">
        <f ca="1">IFERROR(__xludf.DUMMYFUNCTION("""COMPUTED_VALUE"""),"Keegan Bradley")</f>
        <v>Keegan Bradley</v>
      </c>
      <c r="D82">
        <f ca="1">IFERROR(__xludf.DUMMYFUNCTION("""COMPUTED_VALUE"""),16)</f>
        <v>16</v>
      </c>
      <c r="E82">
        <f ca="1">IFERROR(__xludf.DUMMYFUNCTION("""COMPUTED_VALUE"""),70.782)</f>
        <v>70.781999999999996</v>
      </c>
      <c r="F82" s="1">
        <f ca="1">IFERROR(__xludf.DUMMYFUNCTION("""COMPUTED_VALUE"""),1128)</f>
        <v>1128</v>
      </c>
      <c r="G82">
        <f ca="1">IFERROR(__xludf.DUMMYFUNCTION("""COMPUTED_VALUE"""),4.505)</f>
        <v>4.5049999999999999</v>
      </c>
      <c r="H82">
        <f ca="1">IFERROR(__xludf.DUMMYFUNCTION("""COMPUTED_VALUE"""),16)</f>
        <v>16</v>
      </c>
    </row>
    <row r="83" spans="1:8" ht="12.75">
      <c r="A83">
        <f ca="1">IFERROR(__xludf.DUMMYFUNCTION("""COMPUTED_VALUE"""),82)</f>
        <v>82</v>
      </c>
      <c r="B83">
        <f ca="1">IFERROR(__xludf.DUMMYFUNCTION("""COMPUTED_VALUE"""),112)</f>
        <v>112</v>
      </c>
      <c r="C83" t="str">
        <f ca="1">IFERROR(__xludf.DUMMYFUNCTION("""COMPUTED_VALUE"""),"Corey Conners")</f>
        <v>Corey Conners</v>
      </c>
      <c r="D83">
        <f ca="1">IFERROR(__xludf.DUMMYFUNCTION("""COMPUTED_VALUE"""),20)</f>
        <v>20</v>
      </c>
      <c r="E83">
        <f ca="1">IFERROR(__xludf.DUMMYFUNCTION("""COMPUTED_VALUE"""),70.802)</f>
        <v>70.802000000000007</v>
      </c>
      <c r="F83" s="1">
        <f ca="1">IFERROR(__xludf.DUMMYFUNCTION("""COMPUTED_VALUE"""),1407)</f>
        <v>1407</v>
      </c>
      <c r="G83">
        <f ca="1">IFERROR(__xludf.DUMMYFUNCTION("""COMPUTED_VALUE"""),9.031)</f>
        <v>9.0310000000000006</v>
      </c>
      <c r="H83">
        <f ca="1">IFERROR(__xludf.DUMMYFUNCTION("""COMPUTED_VALUE"""),20)</f>
        <v>20</v>
      </c>
    </row>
    <row r="84" spans="1:8" ht="12.75">
      <c r="A84">
        <f ca="1">IFERROR(__xludf.DUMMYFUNCTION("""COMPUTED_VALUE"""),83)</f>
        <v>83</v>
      </c>
      <c r="B84">
        <f ca="1">IFERROR(__xludf.DUMMYFUNCTION("""COMPUTED_VALUE"""),70)</f>
        <v>70</v>
      </c>
      <c r="C84" t="str">
        <f ca="1">IFERROR(__xludf.DUMMYFUNCTION("""COMPUTED_VALUE"""),"Chesson Hadley")</f>
        <v>Chesson Hadley</v>
      </c>
      <c r="D84">
        <f ca="1">IFERROR(__xludf.DUMMYFUNCTION("""COMPUTED_VALUE"""),16)</f>
        <v>16</v>
      </c>
      <c r="E84">
        <f ca="1">IFERROR(__xludf.DUMMYFUNCTION("""COMPUTED_VALUE"""),70.809)</f>
        <v>70.808999999999997</v>
      </c>
      <c r="F84" s="1">
        <f ca="1">IFERROR(__xludf.DUMMYFUNCTION("""COMPUTED_VALUE"""),1134)</f>
        <v>1134</v>
      </c>
      <c r="G84">
        <f ca="1">IFERROR(__xludf.DUMMYFUNCTION("""COMPUTED_VALUE"""),-1.059)</f>
        <v>-1.0589999999999999</v>
      </c>
      <c r="H84">
        <f ca="1">IFERROR(__xludf.DUMMYFUNCTION("""COMPUTED_VALUE"""),16)</f>
        <v>16</v>
      </c>
    </row>
    <row r="85" spans="1:8" ht="12.75">
      <c r="A85">
        <f ca="1">IFERROR(__xludf.DUMMYFUNCTION("""COMPUTED_VALUE"""),84)</f>
        <v>84</v>
      </c>
      <c r="B85">
        <f ca="1">IFERROR(__xludf.DUMMYFUNCTION("""COMPUTED_VALUE"""),78)</f>
        <v>78</v>
      </c>
      <c r="C85" t="str">
        <f ca="1">IFERROR(__xludf.DUMMYFUNCTION("""COMPUTED_VALUE"""),"Charl Schwartzel")</f>
        <v>Charl Schwartzel</v>
      </c>
      <c r="D85">
        <f ca="1">IFERROR(__xludf.DUMMYFUNCTION("""COMPUTED_VALUE"""),12)</f>
        <v>12</v>
      </c>
      <c r="E85">
        <f ca="1">IFERROR(__xludf.DUMMYFUNCTION("""COMPUTED_VALUE"""),70.815)</f>
        <v>70.814999999999998</v>
      </c>
      <c r="F85">
        <f ca="1">IFERROR(__xludf.DUMMYFUNCTION("""COMPUTED_VALUE"""),836)</f>
        <v>836</v>
      </c>
      <c r="G85">
        <f ca="1">IFERROR(__xludf.DUMMYFUNCTION("""COMPUTED_VALUE"""),13.775)</f>
        <v>13.775</v>
      </c>
      <c r="H85">
        <f ca="1">IFERROR(__xludf.DUMMYFUNCTION("""COMPUTED_VALUE"""),12)</f>
        <v>12</v>
      </c>
    </row>
    <row r="86" spans="1:8" ht="12.75">
      <c r="A86">
        <f ca="1">IFERROR(__xludf.DUMMYFUNCTION("""COMPUTED_VALUE"""),85)</f>
        <v>85</v>
      </c>
      <c r="B86">
        <f ca="1">IFERROR(__xludf.DUMMYFUNCTION("""COMPUTED_VALUE"""),104)</f>
        <v>104</v>
      </c>
      <c r="C86" t="str">
        <f ca="1">IFERROR(__xludf.DUMMYFUNCTION("""COMPUTED_VALUE"""),"Troy Merritt")</f>
        <v>Troy Merritt</v>
      </c>
      <c r="D86">
        <f ca="1">IFERROR(__xludf.DUMMYFUNCTION("""COMPUTED_VALUE"""),20)</f>
        <v>20</v>
      </c>
      <c r="E86">
        <f ca="1">IFERROR(__xludf.DUMMYFUNCTION("""COMPUTED_VALUE"""),70.818)</f>
        <v>70.817999999999998</v>
      </c>
      <c r="F86" s="1">
        <f ca="1">IFERROR(__xludf.DUMMYFUNCTION("""COMPUTED_VALUE"""),1420)</f>
        <v>1420</v>
      </c>
      <c r="G86">
        <f ca="1">IFERROR(__xludf.DUMMYFUNCTION("""COMPUTED_VALUE"""),-3.633)</f>
        <v>-3.633</v>
      </c>
      <c r="H86">
        <f ca="1">IFERROR(__xludf.DUMMYFUNCTION("""COMPUTED_VALUE"""),20)</f>
        <v>20</v>
      </c>
    </row>
    <row r="87" spans="1:8" ht="12.75">
      <c r="A87">
        <f ca="1">IFERROR(__xludf.DUMMYFUNCTION("""COMPUTED_VALUE"""),86)</f>
        <v>86</v>
      </c>
      <c r="B87">
        <f ca="1">IFERROR(__xludf.DUMMYFUNCTION("""COMPUTED_VALUE"""),90)</f>
        <v>90</v>
      </c>
      <c r="C87" t="str">
        <f ca="1">IFERROR(__xludf.DUMMYFUNCTION("""COMPUTED_VALUE"""),"Brian Stuard")</f>
        <v>Brian Stuard</v>
      </c>
      <c r="D87">
        <f ca="1">IFERROR(__xludf.DUMMYFUNCTION("""COMPUTED_VALUE"""),18)</f>
        <v>18</v>
      </c>
      <c r="E87">
        <f ca="1">IFERROR(__xludf.DUMMYFUNCTION("""COMPUTED_VALUE"""),70.838)</f>
        <v>70.837999999999994</v>
      </c>
      <c r="F87" s="1">
        <f ca="1">IFERROR(__xludf.DUMMYFUNCTION("""COMPUTED_VALUE"""),1261)</f>
        <v>1261</v>
      </c>
      <c r="G87">
        <f ca="1">IFERROR(__xludf.DUMMYFUNCTION("""COMPUTED_VALUE"""),14.077)</f>
        <v>14.077</v>
      </c>
      <c r="H87">
        <f ca="1">IFERROR(__xludf.DUMMYFUNCTION("""COMPUTED_VALUE"""),18)</f>
        <v>18</v>
      </c>
    </row>
    <row r="88" spans="1:8" ht="12.75">
      <c r="A88">
        <f ca="1">IFERROR(__xludf.DUMMYFUNCTION("""COMPUTED_VALUE"""),87)</f>
        <v>87</v>
      </c>
      <c r="B88">
        <f ca="1">IFERROR(__xludf.DUMMYFUNCTION("""COMPUTED_VALUE"""),113)</f>
        <v>113</v>
      </c>
      <c r="C88" t="str">
        <f ca="1">IFERROR(__xludf.DUMMYFUNCTION("""COMPUTED_VALUE"""),"Nate Lashley")</f>
        <v>Nate Lashley</v>
      </c>
      <c r="D88">
        <f ca="1">IFERROR(__xludf.DUMMYFUNCTION("""COMPUTED_VALUE"""),16)</f>
        <v>16</v>
      </c>
      <c r="E88">
        <f ca="1">IFERROR(__xludf.DUMMYFUNCTION("""COMPUTED_VALUE"""),70.859)</f>
        <v>70.858999999999995</v>
      </c>
      <c r="F88" s="1">
        <f ca="1">IFERROR(__xludf.DUMMYFUNCTION("""COMPUTED_VALUE"""),1118)</f>
        <v>1118</v>
      </c>
      <c r="G88">
        <f ca="1">IFERROR(__xludf.DUMMYFUNCTION("""COMPUTED_VALUE"""),15.748)</f>
        <v>15.747999999999999</v>
      </c>
      <c r="H88">
        <f ca="1">IFERROR(__xludf.DUMMYFUNCTION("""COMPUTED_VALUE"""),16)</f>
        <v>16</v>
      </c>
    </row>
    <row r="89" spans="1:8" ht="12.75">
      <c r="A89">
        <f ca="1">IFERROR(__xludf.DUMMYFUNCTION("""COMPUTED_VALUE"""),88)</f>
        <v>88</v>
      </c>
      <c r="B89">
        <f ca="1">IFERROR(__xludf.DUMMYFUNCTION("""COMPUTED_VALUE"""),88)</f>
        <v>88</v>
      </c>
      <c r="C89" t="str">
        <f ca="1">IFERROR(__xludf.DUMMYFUNCTION("""COMPUTED_VALUE"""),"Xinjun Zhang")</f>
        <v>Xinjun Zhang</v>
      </c>
      <c r="D89">
        <f ca="1">IFERROR(__xludf.DUMMYFUNCTION("""COMPUTED_VALUE"""),14)</f>
        <v>14</v>
      </c>
      <c r="E89">
        <f ca="1">IFERROR(__xludf.DUMMYFUNCTION("""COMPUTED_VALUE"""),70.907)</f>
        <v>70.906999999999996</v>
      </c>
      <c r="F89">
        <f ca="1">IFERROR(__xludf.DUMMYFUNCTION("""COMPUTED_VALUE"""),978)</f>
        <v>978</v>
      </c>
      <c r="G89">
        <f ca="1">IFERROR(__xludf.DUMMYFUNCTION("""COMPUTED_VALUE"""),14.698)</f>
        <v>14.698</v>
      </c>
      <c r="H89">
        <f ca="1">IFERROR(__xludf.DUMMYFUNCTION("""COMPUTED_VALUE"""),14)</f>
        <v>14</v>
      </c>
    </row>
    <row r="90" spans="1:8" ht="12.75">
      <c r="A90">
        <f ca="1">IFERROR(__xludf.DUMMYFUNCTION("""COMPUTED_VALUE"""),89)</f>
        <v>89</v>
      </c>
      <c r="B90">
        <f ca="1">IFERROR(__xludf.DUMMYFUNCTION("""COMPUTED_VALUE"""),81)</f>
        <v>81</v>
      </c>
      <c r="C90" t="str">
        <f ca="1">IFERROR(__xludf.DUMMYFUNCTION("""COMPUTED_VALUE"""),"Andrew Putnam")</f>
        <v>Andrew Putnam</v>
      </c>
      <c r="D90">
        <f ca="1">IFERROR(__xludf.DUMMYFUNCTION("""COMPUTED_VALUE"""),19)</f>
        <v>19</v>
      </c>
      <c r="E90">
        <f ca="1">IFERROR(__xludf.DUMMYFUNCTION("""COMPUTED_VALUE"""),70.946)</f>
        <v>70.945999999999998</v>
      </c>
      <c r="F90" s="1">
        <f ca="1">IFERROR(__xludf.DUMMYFUNCTION("""COMPUTED_VALUE"""),1332)</f>
        <v>1332</v>
      </c>
      <c r="G90">
        <f ca="1">IFERROR(__xludf.DUMMYFUNCTION("""COMPUTED_VALUE"""),15.98)</f>
        <v>15.98</v>
      </c>
      <c r="H90">
        <f ca="1">IFERROR(__xludf.DUMMYFUNCTION("""COMPUTED_VALUE"""),19)</f>
        <v>19</v>
      </c>
    </row>
    <row r="91" spans="1:8" ht="12.75">
      <c r="A91">
        <f ca="1">IFERROR(__xludf.DUMMYFUNCTION("""COMPUTED_VALUE"""),90)</f>
        <v>90</v>
      </c>
      <c r="B91">
        <f ca="1">IFERROR(__xludf.DUMMYFUNCTION("""COMPUTED_VALUE"""),79)</f>
        <v>79</v>
      </c>
      <c r="C91" t="str">
        <f ca="1">IFERROR(__xludf.DUMMYFUNCTION("""COMPUTED_VALUE"""),"Brian Gay")</f>
        <v>Brian Gay</v>
      </c>
      <c r="D91">
        <f ca="1">IFERROR(__xludf.DUMMYFUNCTION("""COMPUTED_VALUE"""),8)</f>
        <v>8</v>
      </c>
      <c r="E91">
        <f ca="1">IFERROR(__xludf.DUMMYFUNCTION("""COMPUTED_VALUE"""),70.96)</f>
        <v>70.959999999999994</v>
      </c>
      <c r="F91">
        <f ca="1">IFERROR(__xludf.DUMMYFUNCTION("""COMPUTED_VALUE"""),558)</f>
        <v>558</v>
      </c>
      <c r="G91">
        <f ca="1">IFERROR(__xludf.DUMMYFUNCTION("""COMPUTED_VALUE"""),9.677)</f>
        <v>9.6769999999999996</v>
      </c>
      <c r="H91">
        <f ca="1">IFERROR(__xludf.DUMMYFUNCTION("""COMPUTED_VALUE"""),8)</f>
        <v>8</v>
      </c>
    </row>
    <row r="92" spans="1:8" ht="12.75">
      <c r="A92">
        <f ca="1">IFERROR(__xludf.DUMMYFUNCTION("""COMPUTED_VALUE"""),91)</f>
        <v>91</v>
      </c>
      <c r="B92">
        <f ca="1">IFERROR(__xludf.DUMMYFUNCTION("""COMPUTED_VALUE"""),80)</f>
        <v>80</v>
      </c>
      <c r="C92" t="str">
        <f ca="1">IFERROR(__xludf.DUMMYFUNCTION("""COMPUTED_VALUE"""),"Roger Sloan")</f>
        <v>Roger Sloan</v>
      </c>
      <c r="D92">
        <f ca="1">IFERROR(__xludf.DUMMYFUNCTION("""COMPUTED_VALUE"""),12)</f>
        <v>12</v>
      </c>
      <c r="E92">
        <f ca="1">IFERROR(__xludf.DUMMYFUNCTION("""COMPUTED_VALUE"""),70.973)</f>
        <v>70.972999999999999</v>
      </c>
      <c r="F92">
        <f ca="1">IFERROR(__xludf.DUMMYFUNCTION("""COMPUTED_VALUE"""),842)</f>
        <v>842</v>
      </c>
      <c r="G92">
        <f ca="1">IFERROR(__xludf.DUMMYFUNCTION("""COMPUTED_VALUE"""),9.681)</f>
        <v>9.6809999999999992</v>
      </c>
      <c r="H92">
        <f ca="1">IFERROR(__xludf.DUMMYFUNCTION("""COMPUTED_VALUE"""),12)</f>
        <v>12</v>
      </c>
    </row>
    <row r="93" spans="1:8" ht="12.75">
      <c r="A93">
        <f ca="1">IFERROR(__xludf.DUMMYFUNCTION("""COMPUTED_VALUE"""),92)</f>
        <v>92</v>
      </c>
      <c r="B93">
        <f ca="1">IFERROR(__xludf.DUMMYFUNCTION("""COMPUTED_VALUE"""),85)</f>
        <v>85</v>
      </c>
      <c r="C93" t="str">
        <f ca="1">IFERROR(__xludf.DUMMYFUNCTION("""COMPUTED_VALUE"""),"Tom Hoge")</f>
        <v>Tom Hoge</v>
      </c>
      <c r="D93">
        <f ca="1">IFERROR(__xludf.DUMMYFUNCTION("""COMPUTED_VALUE"""),22)</f>
        <v>22</v>
      </c>
      <c r="E93">
        <f ca="1">IFERROR(__xludf.DUMMYFUNCTION("""COMPUTED_VALUE"""),70.984)</f>
        <v>70.983999999999995</v>
      </c>
      <c r="F93" s="1">
        <f ca="1">IFERROR(__xludf.DUMMYFUNCTION("""COMPUTED_VALUE"""),1530)</f>
        <v>1530</v>
      </c>
      <c r="G93">
        <f ca="1">IFERROR(__xludf.DUMMYFUNCTION("""COMPUTED_VALUE"""),31.649)</f>
        <v>31.649000000000001</v>
      </c>
      <c r="H93">
        <f ca="1">IFERROR(__xludf.DUMMYFUNCTION("""COMPUTED_VALUE"""),22)</f>
        <v>22</v>
      </c>
    </row>
    <row r="94" spans="1:8" ht="12.75">
      <c r="A94">
        <f ca="1">IFERROR(__xludf.DUMMYFUNCTION("""COMPUTED_VALUE"""),93)</f>
        <v>93</v>
      </c>
      <c r="B94">
        <f ca="1">IFERROR(__xludf.DUMMYFUNCTION("""COMPUTED_VALUE"""),84)</f>
        <v>84</v>
      </c>
      <c r="C94" t="str">
        <f ca="1">IFERROR(__xludf.DUMMYFUNCTION("""COMPUTED_VALUE"""),"Harry Higgs")</f>
        <v>Harry Higgs</v>
      </c>
      <c r="D94">
        <f ca="1">IFERROR(__xludf.DUMMYFUNCTION("""COMPUTED_VALUE"""),14)</f>
        <v>14</v>
      </c>
      <c r="E94">
        <f ca="1">IFERROR(__xludf.DUMMYFUNCTION("""COMPUTED_VALUE"""),70.995)</f>
        <v>70.995000000000005</v>
      </c>
      <c r="F94">
        <f ca="1">IFERROR(__xludf.DUMMYFUNCTION("""COMPUTED_VALUE"""),967)</f>
        <v>967</v>
      </c>
      <c r="G94">
        <f ca="1">IFERROR(__xludf.DUMMYFUNCTION("""COMPUTED_VALUE"""),26.935)</f>
        <v>26.934999999999999</v>
      </c>
      <c r="H94">
        <f ca="1">IFERROR(__xludf.DUMMYFUNCTION("""COMPUTED_VALUE"""),14)</f>
        <v>14</v>
      </c>
    </row>
    <row r="95" spans="1:8" ht="12.75">
      <c r="A95">
        <f ca="1">IFERROR(__xludf.DUMMYFUNCTION("""COMPUTED_VALUE"""),94)</f>
        <v>94</v>
      </c>
      <c r="B95">
        <f ca="1">IFERROR(__xludf.DUMMYFUNCTION("""COMPUTED_VALUE"""),71)</f>
        <v>71</v>
      </c>
      <c r="C95" t="str">
        <f ca="1">IFERROR(__xludf.DUMMYFUNCTION("""COMPUTED_VALUE"""),"Pat Perez")</f>
        <v>Pat Perez</v>
      </c>
      <c r="D95">
        <f ca="1">IFERROR(__xludf.DUMMYFUNCTION("""COMPUTED_VALUE"""),16)</f>
        <v>16</v>
      </c>
      <c r="E95">
        <f ca="1">IFERROR(__xludf.DUMMYFUNCTION("""COMPUTED_VALUE"""),71.006)</f>
        <v>71.006</v>
      </c>
      <c r="F95" s="1">
        <f ca="1">IFERROR(__xludf.DUMMYFUNCTION("""COMPUTED_VALUE"""),1123)</f>
        <v>1123</v>
      </c>
      <c r="G95">
        <f ca="1">IFERROR(__xludf.DUMMYFUNCTION("""COMPUTED_VALUE"""),13.09)</f>
        <v>13.09</v>
      </c>
      <c r="H95">
        <f ca="1">IFERROR(__xludf.DUMMYFUNCTION("""COMPUTED_VALUE"""),16)</f>
        <v>16</v>
      </c>
    </row>
    <row r="96" spans="1:8" ht="12.75">
      <c r="A96">
        <f ca="1">IFERROR(__xludf.DUMMYFUNCTION("""COMPUTED_VALUE"""),95)</f>
        <v>95</v>
      </c>
      <c r="B96">
        <f ca="1">IFERROR(__xludf.DUMMYFUNCTION("""COMPUTED_VALUE"""),86)</f>
        <v>86</v>
      </c>
      <c r="C96" t="str">
        <f ca="1">IFERROR(__xludf.DUMMYFUNCTION("""COMPUTED_VALUE"""),"Tyler McCumber")</f>
        <v>Tyler McCumber</v>
      </c>
      <c r="D96">
        <f ca="1">IFERROR(__xludf.DUMMYFUNCTION("""COMPUTED_VALUE"""),14)</f>
        <v>14</v>
      </c>
      <c r="E96">
        <f ca="1">IFERROR(__xludf.DUMMYFUNCTION("""COMPUTED_VALUE"""),71.017)</f>
        <v>71.016999999999996</v>
      </c>
      <c r="F96">
        <f ca="1">IFERROR(__xludf.DUMMYFUNCTION("""COMPUTED_VALUE"""),979)</f>
        <v>979</v>
      </c>
      <c r="G96">
        <f ca="1">IFERROR(__xludf.DUMMYFUNCTION("""COMPUTED_VALUE"""),15.231)</f>
        <v>15.231</v>
      </c>
      <c r="H96">
        <f ca="1">IFERROR(__xludf.DUMMYFUNCTION("""COMPUTED_VALUE"""),14)</f>
        <v>14</v>
      </c>
    </row>
    <row r="97" spans="1:8" ht="12.75">
      <c r="A97">
        <f ca="1">IFERROR(__xludf.DUMMYFUNCTION("""COMPUTED_VALUE"""),96)</f>
        <v>96</v>
      </c>
      <c r="B97">
        <f ca="1">IFERROR(__xludf.DUMMYFUNCTION("""COMPUTED_VALUE"""),87)</f>
        <v>87</v>
      </c>
      <c r="C97" t="str">
        <f ca="1">IFERROR(__xludf.DUMMYFUNCTION("""COMPUTED_VALUE"""),"Rafa Cabrera Bello")</f>
        <v>Rafa Cabrera Bello</v>
      </c>
      <c r="D97">
        <f ca="1">IFERROR(__xludf.DUMMYFUNCTION("""COMPUTED_VALUE"""),14)</f>
        <v>14</v>
      </c>
      <c r="E97">
        <f ca="1">IFERROR(__xludf.DUMMYFUNCTION("""COMPUTED_VALUE"""),71.021)</f>
        <v>71.021000000000001</v>
      </c>
      <c r="F97">
        <f ca="1">IFERROR(__xludf.DUMMYFUNCTION("""COMPUTED_VALUE"""),999)</f>
        <v>999</v>
      </c>
      <c r="G97">
        <f ca="1">IFERROR(__xludf.DUMMYFUNCTION("""COMPUTED_VALUE"""),-4.703)</f>
        <v>-4.7030000000000003</v>
      </c>
      <c r="H97">
        <f ca="1">IFERROR(__xludf.DUMMYFUNCTION("""COMPUTED_VALUE"""),14)</f>
        <v>14</v>
      </c>
    </row>
    <row r="98" spans="1:8" ht="12.75">
      <c r="A98">
        <f ca="1">IFERROR(__xludf.DUMMYFUNCTION("""COMPUTED_VALUE"""),97)</f>
        <v>97</v>
      </c>
      <c r="B98">
        <f ca="1">IFERROR(__xludf.DUMMYFUNCTION("""COMPUTED_VALUE"""),76)</f>
        <v>76</v>
      </c>
      <c r="C98" t="str">
        <f ca="1">IFERROR(__xludf.DUMMYFUNCTION("""COMPUTED_VALUE"""),"Rory Sabbatini")</f>
        <v>Rory Sabbatini</v>
      </c>
      <c r="D98">
        <f ca="1">IFERROR(__xludf.DUMMYFUNCTION("""COMPUTED_VALUE"""),13)</f>
        <v>13</v>
      </c>
      <c r="E98">
        <f ca="1">IFERROR(__xludf.DUMMYFUNCTION("""COMPUTED_VALUE"""),71.039)</f>
        <v>71.039000000000001</v>
      </c>
      <c r="F98">
        <f ca="1">IFERROR(__xludf.DUMMYFUNCTION("""COMPUTED_VALUE"""),928)</f>
        <v>928</v>
      </c>
      <c r="G98">
        <f ca="1">IFERROR(__xludf.DUMMYFUNCTION("""COMPUTED_VALUE"""),-4.491)</f>
        <v>-4.4909999999999997</v>
      </c>
      <c r="H98">
        <f ca="1">IFERROR(__xludf.DUMMYFUNCTION("""COMPUTED_VALUE"""),13)</f>
        <v>13</v>
      </c>
    </row>
    <row r="99" spans="1:8" ht="12.75">
      <c r="A99">
        <f ca="1">IFERROR(__xludf.DUMMYFUNCTION("""COMPUTED_VALUE"""),98)</f>
        <v>98</v>
      </c>
      <c r="B99">
        <f ca="1">IFERROR(__xludf.DUMMYFUNCTION("""COMPUTED_VALUE"""),89)</f>
        <v>89</v>
      </c>
      <c r="C99" t="str">
        <f ca="1">IFERROR(__xludf.DUMMYFUNCTION("""COMPUTED_VALUE"""),"J.J. Spaun")</f>
        <v>J.J. Spaun</v>
      </c>
      <c r="D99">
        <f ca="1">IFERROR(__xludf.DUMMYFUNCTION("""COMPUTED_VALUE"""),10)</f>
        <v>10</v>
      </c>
      <c r="E99">
        <f ca="1">IFERROR(__xludf.DUMMYFUNCTION("""COMPUTED_VALUE"""),71.05)</f>
        <v>71.05</v>
      </c>
      <c r="F99">
        <f ca="1">IFERROR(__xludf.DUMMYFUNCTION("""COMPUTED_VALUE"""),698)</f>
        <v>698</v>
      </c>
      <c r="G99">
        <f ca="1">IFERROR(__xludf.DUMMYFUNCTION("""COMPUTED_VALUE"""),12.504)</f>
        <v>12.504</v>
      </c>
      <c r="H99">
        <f ca="1">IFERROR(__xludf.DUMMYFUNCTION("""COMPUTED_VALUE"""),10)</f>
        <v>10</v>
      </c>
    </row>
    <row r="100" spans="1:8" ht="12.75">
      <c r="A100">
        <f ca="1">IFERROR(__xludf.DUMMYFUNCTION("""COMPUTED_VALUE"""),99)</f>
        <v>99</v>
      </c>
      <c r="B100">
        <f ca="1">IFERROR(__xludf.DUMMYFUNCTION("""COMPUTED_VALUE"""),109)</f>
        <v>109</v>
      </c>
      <c r="C100" t="str">
        <f ca="1">IFERROR(__xludf.DUMMYFUNCTION("""COMPUTED_VALUE"""),"Kramer Hickok")</f>
        <v>Kramer Hickok</v>
      </c>
      <c r="D100">
        <f ca="1">IFERROR(__xludf.DUMMYFUNCTION("""COMPUTED_VALUE"""),16)</f>
        <v>16</v>
      </c>
      <c r="E100">
        <f ca="1">IFERROR(__xludf.DUMMYFUNCTION("""COMPUTED_VALUE"""),71.079)</f>
        <v>71.078999999999994</v>
      </c>
      <c r="F100" s="1">
        <f ca="1">IFERROR(__xludf.DUMMYFUNCTION("""COMPUTED_VALUE"""),1131)</f>
        <v>1131</v>
      </c>
      <c r="G100">
        <f ca="1">IFERROR(__xludf.DUMMYFUNCTION("""COMPUTED_VALUE"""),6.27)</f>
        <v>6.27</v>
      </c>
      <c r="H100">
        <f ca="1">IFERROR(__xludf.DUMMYFUNCTION("""COMPUTED_VALUE"""),16)</f>
        <v>16</v>
      </c>
    </row>
    <row r="101" spans="1:8" ht="12.75">
      <c r="A101">
        <f ca="1">IFERROR(__xludf.DUMMYFUNCTION("""COMPUTED_VALUE"""),100)</f>
        <v>100</v>
      </c>
      <c r="B101">
        <f ca="1">IFERROR(__xludf.DUMMYFUNCTION("""COMPUTED_VALUE"""),93)</f>
        <v>93</v>
      </c>
      <c r="C101" t="str">
        <f ca="1">IFERROR(__xludf.DUMMYFUNCTION("""COMPUTED_VALUE"""),"Wesley Bryan")</f>
        <v>Wesley Bryan</v>
      </c>
      <c r="D101">
        <f ca="1">IFERROR(__xludf.DUMMYFUNCTION("""COMPUTED_VALUE"""),8)</f>
        <v>8</v>
      </c>
      <c r="E101">
        <f ca="1">IFERROR(__xludf.DUMMYFUNCTION("""COMPUTED_VALUE"""),71.103)</f>
        <v>71.102999999999994</v>
      </c>
      <c r="F101">
        <f ca="1">IFERROR(__xludf.DUMMYFUNCTION("""COMPUTED_VALUE"""),563)</f>
        <v>563</v>
      </c>
      <c r="G101">
        <f ca="1">IFERROR(__xludf.DUMMYFUNCTION("""COMPUTED_VALUE"""),5.823)</f>
        <v>5.8230000000000004</v>
      </c>
      <c r="H101">
        <f ca="1">IFERROR(__xludf.DUMMYFUNCTION("""COMPUTED_VALUE"""),8)</f>
        <v>8</v>
      </c>
    </row>
    <row r="102" spans="1:8" ht="12.75">
      <c r="A102">
        <f ca="1">IFERROR(__xludf.DUMMYFUNCTION("""COMPUTED_VALUE"""),101)</f>
        <v>101</v>
      </c>
      <c r="B102">
        <f ca="1">IFERROR(__xludf.DUMMYFUNCTION("""COMPUTED_VALUE"""),94)</f>
        <v>94</v>
      </c>
      <c r="C102" t="str">
        <f ca="1">IFERROR(__xludf.DUMMYFUNCTION("""COMPUTED_VALUE"""),"D.J. Trahan")</f>
        <v>D.J. Trahan</v>
      </c>
      <c r="D102">
        <f ca="1">IFERROR(__xludf.DUMMYFUNCTION("""COMPUTED_VALUE"""),16)</f>
        <v>16</v>
      </c>
      <c r="E102">
        <f ca="1">IFERROR(__xludf.DUMMYFUNCTION("""COMPUTED_VALUE"""),71.108)</f>
        <v>71.108000000000004</v>
      </c>
      <c r="F102" s="1">
        <f ca="1">IFERROR(__xludf.DUMMYFUNCTION("""COMPUTED_VALUE"""),1122)</f>
        <v>1122</v>
      </c>
      <c r="G102">
        <f ca="1">IFERROR(__xludf.DUMMYFUNCTION("""COMPUTED_VALUE"""),15.724)</f>
        <v>15.724</v>
      </c>
      <c r="H102">
        <f ca="1">IFERROR(__xludf.DUMMYFUNCTION("""COMPUTED_VALUE"""),16)</f>
        <v>16</v>
      </c>
    </row>
    <row r="103" spans="1:8" ht="12.75">
      <c r="A103">
        <f ca="1">IFERROR(__xludf.DUMMYFUNCTION("""COMPUTED_VALUE"""),102)</f>
        <v>102</v>
      </c>
      <c r="B103">
        <f ca="1">IFERROR(__xludf.DUMMYFUNCTION("""COMPUTED_VALUE"""),139)</f>
        <v>139</v>
      </c>
      <c r="C103" t="str">
        <f ca="1">IFERROR(__xludf.DUMMYFUNCTION("""COMPUTED_VALUE"""),"Scottie Scheffler")</f>
        <v>Scottie Scheffler</v>
      </c>
      <c r="D103">
        <f ca="1">IFERROR(__xludf.DUMMYFUNCTION("""COMPUTED_VALUE"""),18)</f>
        <v>18</v>
      </c>
      <c r="E103">
        <f ca="1">IFERROR(__xludf.DUMMYFUNCTION("""COMPUTED_VALUE"""),71.109)</f>
        <v>71.108999999999995</v>
      </c>
      <c r="F103" s="1">
        <f ca="1">IFERROR(__xludf.DUMMYFUNCTION("""COMPUTED_VALUE"""),1259)</f>
        <v>1259</v>
      </c>
      <c r="G103">
        <f ca="1">IFERROR(__xludf.DUMMYFUNCTION("""COMPUTED_VALUE"""),20.967)</f>
        <v>20.966999999999999</v>
      </c>
      <c r="H103">
        <f ca="1">IFERROR(__xludf.DUMMYFUNCTION("""COMPUTED_VALUE"""),18)</f>
        <v>18</v>
      </c>
    </row>
    <row r="104" spans="1:8" ht="12.75">
      <c r="A104">
        <f ca="1">IFERROR(__xludf.DUMMYFUNCTION("""COMPUTED_VALUE"""),103)</f>
        <v>103</v>
      </c>
      <c r="B104">
        <f ca="1">IFERROR(__xludf.DUMMYFUNCTION("""COMPUTED_VALUE"""),111)</f>
        <v>111</v>
      </c>
      <c r="C104" t="str">
        <f ca="1">IFERROR(__xludf.DUMMYFUNCTION("""COMPUTED_VALUE"""),"Brice Garnett")</f>
        <v>Brice Garnett</v>
      </c>
      <c r="D104">
        <f ca="1">IFERROR(__xludf.DUMMYFUNCTION("""COMPUTED_VALUE"""),22)</f>
        <v>22</v>
      </c>
      <c r="E104">
        <f ca="1">IFERROR(__xludf.DUMMYFUNCTION("""COMPUTED_VALUE"""),71.111)</f>
        <v>71.111000000000004</v>
      </c>
      <c r="F104" s="1">
        <f ca="1">IFERROR(__xludf.DUMMYFUNCTION("""COMPUTED_VALUE"""),1544)</f>
        <v>1544</v>
      </c>
      <c r="G104">
        <f ca="1">IFERROR(__xludf.DUMMYFUNCTION("""COMPUTED_VALUE"""),20.451)</f>
        <v>20.451000000000001</v>
      </c>
      <c r="H104">
        <f ca="1">IFERROR(__xludf.DUMMYFUNCTION("""COMPUTED_VALUE"""),22)</f>
        <v>22</v>
      </c>
    </row>
    <row r="105" spans="1:8" ht="12.75">
      <c r="A105">
        <f ca="1">IFERROR(__xludf.DUMMYFUNCTION("""COMPUTED_VALUE"""),104)</f>
        <v>104</v>
      </c>
      <c r="B105">
        <f ca="1">IFERROR(__xludf.DUMMYFUNCTION("""COMPUTED_VALUE"""),45)</f>
        <v>45</v>
      </c>
      <c r="C105" t="str">
        <f ca="1">IFERROR(__xludf.DUMMYFUNCTION("""COMPUTED_VALUE"""),"Cameron Davis")</f>
        <v>Cameron Davis</v>
      </c>
      <c r="D105">
        <f ca="1">IFERROR(__xludf.DUMMYFUNCTION("""COMPUTED_VALUE"""),16)</f>
        <v>16</v>
      </c>
      <c r="E105">
        <f ca="1">IFERROR(__xludf.DUMMYFUNCTION("""COMPUTED_VALUE"""),71.123)</f>
        <v>71.123000000000005</v>
      </c>
      <c r="F105" s="1">
        <f ca="1">IFERROR(__xludf.DUMMYFUNCTION("""COMPUTED_VALUE"""),1119)</f>
        <v>1119</v>
      </c>
      <c r="G105">
        <f ca="1">IFERROR(__xludf.DUMMYFUNCTION("""COMPUTED_VALUE"""),18.975)</f>
        <v>18.975000000000001</v>
      </c>
      <c r="H105">
        <f ca="1">IFERROR(__xludf.DUMMYFUNCTION("""COMPUTED_VALUE"""),16)</f>
        <v>16</v>
      </c>
    </row>
    <row r="106" spans="1:8" ht="12.75">
      <c r="A106">
        <f ca="1">IFERROR(__xludf.DUMMYFUNCTION("""COMPUTED_VALUE"""),105)</f>
        <v>105</v>
      </c>
      <c r="B106">
        <f ca="1">IFERROR(__xludf.DUMMYFUNCTION("""COMPUTED_VALUE"""),151)</f>
        <v>151</v>
      </c>
      <c r="C106" t="str">
        <f ca="1">IFERROR(__xludf.DUMMYFUNCTION("""COMPUTED_VALUE"""),"Adam Long")</f>
        <v>Adam Long</v>
      </c>
      <c r="D106">
        <f ca="1">IFERROR(__xludf.DUMMYFUNCTION("""COMPUTED_VALUE"""),22)</f>
        <v>22</v>
      </c>
      <c r="E106">
        <f ca="1">IFERROR(__xludf.DUMMYFUNCTION("""COMPUTED_VALUE"""),71.124)</f>
        <v>71.123999999999995</v>
      </c>
      <c r="F106" s="1">
        <f ca="1">IFERROR(__xludf.DUMMYFUNCTION("""COMPUTED_VALUE"""),1565)</f>
        <v>1565</v>
      </c>
      <c r="G106">
        <f ca="1">IFERROR(__xludf.DUMMYFUNCTION("""COMPUTED_VALUE"""),-0.272)</f>
        <v>-0.27200000000000002</v>
      </c>
      <c r="H106">
        <f ca="1">IFERROR(__xludf.DUMMYFUNCTION("""COMPUTED_VALUE"""),22)</f>
        <v>22</v>
      </c>
    </row>
    <row r="107" spans="1:8" ht="12.75">
      <c r="A107">
        <f ca="1">IFERROR(__xludf.DUMMYFUNCTION("""COMPUTED_VALUE"""),106)</f>
        <v>106</v>
      </c>
      <c r="B107">
        <f ca="1">IFERROR(__xludf.DUMMYFUNCTION("""COMPUTED_VALUE"""),108)</f>
        <v>108</v>
      </c>
      <c r="C107" t="str">
        <f ca="1">IFERROR(__xludf.DUMMYFUNCTION("""COMPUTED_VALUE"""),"C.T. Pan")</f>
        <v>C.T. Pan</v>
      </c>
      <c r="D107">
        <f ca="1">IFERROR(__xludf.DUMMYFUNCTION("""COMPUTED_VALUE"""),20)</f>
        <v>20</v>
      </c>
      <c r="E107">
        <f ca="1">IFERROR(__xludf.DUMMYFUNCTION("""COMPUTED_VALUE"""),71.128)</f>
        <v>71.128</v>
      </c>
      <c r="F107" s="1">
        <f ca="1">IFERROR(__xludf.DUMMYFUNCTION("""COMPUTED_VALUE"""),1400)</f>
        <v>1400</v>
      </c>
      <c r="G107">
        <f ca="1">IFERROR(__xludf.DUMMYFUNCTION("""COMPUTED_VALUE"""),22.565)</f>
        <v>22.565000000000001</v>
      </c>
      <c r="H107">
        <f ca="1">IFERROR(__xludf.DUMMYFUNCTION("""COMPUTED_VALUE"""),20)</f>
        <v>20</v>
      </c>
    </row>
    <row r="108" spans="1:8" ht="12.75">
      <c r="A108">
        <f ca="1">IFERROR(__xludf.DUMMYFUNCTION("""COMPUTED_VALUE"""),107)</f>
        <v>107</v>
      </c>
      <c r="B108">
        <f ca="1">IFERROR(__xludf.DUMMYFUNCTION("""COMPUTED_VALUE"""),96)</f>
        <v>96</v>
      </c>
      <c r="C108" t="str">
        <f ca="1">IFERROR(__xludf.DUMMYFUNCTION("""COMPUTED_VALUE"""),"Joel Dahmen")</f>
        <v>Joel Dahmen</v>
      </c>
      <c r="D108">
        <f ca="1">IFERROR(__xludf.DUMMYFUNCTION("""COMPUTED_VALUE"""),18)</f>
        <v>18</v>
      </c>
      <c r="E108">
        <f ca="1">IFERROR(__xludf.DUMMYFUNCTION("""COMPUTED_VALUE"""),71.13)</f>
        <v>71.13</v>
      </c>
      <c r="F108" s="1">
        <f ca="1">IFERROR(__xludf.DUMMYFUNCTION("""COMPUTED_VALUE"""),1257)</f>
        <v>1257</v>
      </c>
      <c r="G108">
        <f ca="1">IFERROR(__xludf.DUMMYFUNCTION("""COMPUTED_VALUE"""),23.333)</f>
        <v>23.332999999999998</v>
      </c>
      <c r="H108">
        <f ca="1">IFERROR(__xludf.DUMMYFUNCTION("""COMPUTED_VALUE"""),18)</f>
        <v>18</v>
      </c>
    </row>
    <row r="109" spans="1:8" ht="12.75">
      <c r="A109">
        <f ca="1">IFERROR(__xludf.DUMMYFUNCTION("""COMPUTED_VALUE"""),108)</f>
        <v>108</v>
      </c>
      <c r="B109">
        <f ca="1">IFERROR(__xludf.DUMMYFUNCTION("""COMPUTED_VALUE"""),97)</f>
        <v>97</v>
      </c>
      <c r="C109" t="str">
        <f ca="1">IFERROR(__xludf.DUMMYFUNCTION("""COMPUTED_VALUE"""),"Collin Morikawa")</f>
        <v>Collin Morikawa</v>
      </c>
      <c r="D109">
        <f ca="1">IFERROR(__xludf.DUMMYFUNCTION("""COMPUTED_VALUE"""),12)</f>
        <v>12</v>
      </c>
      <c r="E109">
        <f ca="1">IFERROR(__xludf.DUMMYFUNCTION("""COMPUTED_VALUE"""),71.139)</f>
        <v>71.138999999999996</v>
      </c>
      <c r="F109">
        <f ca="1">IFERROR(__xludf.DUMMYFUNCTION("""COMPUTED_VALUE"""),842)</f>
        <v>842</v>
      </c>
      <c r="G109">
        <f ca="1">IFERROR(__xludf.DUMMYFUNCTION("""COMPUTED_VALUE"""),11.664)</f>
        <v>11.664</v>
      </c>
      <c r="H109">
        <f ca="1">IFERROR(__xludf.DUMMYFUNCTION("""COMPUTED_VALUE"""),12)</f>
        <v>12</v>
      </c>
    </row>
    <row r="110" spans="1:8" ht="12.75">
      <c r="A110">
        <f ca="1">IFERROR(__xludf.DUMMYFUNCTION("""COMPUTED_VALUE"""),109)</f>
        <v>109</v>
      </c>
      <c r="B110">
        <f ca="1">IFERROR(__xludf.DUMMYFUNCTION("""COMPUTED_VALUE"""),98)</f>
        <v>98</v>
      </c>
      <c r="C110" t="str">
        <f ca="1">IFERROR(__xludf.DUMMYFUNCTION("""COMPUTED_VALUE"""),"Ian Poulter")</f>
        <v>Ian Poulter</v>
      </c>
      <c r="D110">
        <f ca="1">IFERROR(__xludf.DUMMYFUNCTION("""COMPUTED_VALUE"""),6)</f>
        <v>6</v>
      </c>
      <c r="E110">
        <f ca="1">IFERROR(__xludf.DUMMYFUNCTION("""COMPUTED_VALUE"""),71.147)</f>
        <v>71.147000000000006</v>
      </c>
      <c r="F110">
        <f ca="1">IFERROR(__xludf.DUMMYFUNCTION("""COMPUTED_VALUE"""),432)</f>
        <v>432</v>
      </c>
      <c r="G110">
        <f ca="1">IFERROR(__xludf.DUMMYFUNCTION("""COMPUTED_VALUE"""),-5.12)</f>
        <v>-5.12</v>
      </c>
      <c r="H110">
        <f ca="1">IFERROR(__xludf.DUMMYFUNCTION("""COMPUTED_VALUE"""),6)</f>
        <v>6</v>
      </c>
    </row>
    <row r="111" spans="1:8" ht="12.75">
      <c r="A111">
        <f ca="1">IFERROR(__xludf.DUMMYFUNCTION("""COMPUTED_VALUE"""),110)</f>
        <v>110</v>
      </c>
      <c r="B111">
        <f ca="1">IFERROR(__xludf.DUMMYFUNCTION("""COMPUTED_VALUE"""),133)</f>
        <v>133</v>
      </c>
      <c r="C111" t="str">
        <f ca="1">IFERROR(__xludf.DUMMYFUNCTION("""COMPUTED_VALUE"""),"Will Gordon")</f>
        <v>Will Gordon</v>
      </c>
      <c r="D111">
        <f ca="1">IFERROR(__xludf.DUMMYFUNCTION("""COMPUTED_VALUE"""),20)</f>
        <v>20</v>
      </c>
      <c r="E111">
        <f ca="1">IFERROR(__xludf.DUMMYFUNCTION("""COMPUTED_VALUE"""),71.151)</f>
        <v>71.150999999999996</v>
      </c>
      <c r="F111" s="1">
        <f ca="1">IFERROR(__xludf.DUMMYFUNCTION("""COMPUTED_VALUE"""),1406)</f>
        <v>1406</v>
      </c>
      <c r="G111">
        <f ca="1">IFERROR(__xludf.DUMMYFUNCTION("""COMPUTED_VALUE"""),17.012)</f>
        <v>17.012</v>
      </c>
      <c r="H111">
        <f ca="1">IFERROR(__xludf.DUMMYFUNCTION("""COMPUTED_VALUE"""),20)</f>
        <v>20</v>
      </c>
    </row>
    <row r="112" spans="1:8" ht="12.75">
      <c r="A112">
        <f ca="1">IFERROR(__xludf.DUMMYFUNCTION("""COMPUTED_VALUE"""),111)</f>
        <v>111</v>
      </c>
      <c r="B112">
        <f ca="1">IFERROR(__xludf.DUMMYFUNCTION("""COMPUTED_VALUE"""),99)</f>
        <v>99</v>
      </c>
      <c r="C112" t="str">
        <f ca="1">IFERROR(__xludf.DUMMYFUNCTION("""COMPUTED_VALUE"""),"Ben Taylor")</f>
        <v>Ben Taylor</v>
      </c>
      <c r="D112">
        <f ca="1">IFERROR(__xludf.DUMMYFUNCTION("""COMPUTED_VALUE"""),10)</f>
        <v>10</v>
      </c>
      <c r="E112">
        <f ca="1">IFERROR(__xludf.DUMMYFUNCTION("""COMPUTED_VALUE"""),71.171)</f>
        <v>71.171000000000006</v>
      </c>
      <c r="F112">
        <f ca="1">IFERROR(__xludf.DUMMYFUNCTION("""COMPUTED_VALUE"""),702)</f>
        <v>702</v>
      </c>
      <c r="G112">
        <f ca="1">IFERROR(__xludf.DUMMYFUNCTION("""COMPUTED_VALUE"""),9.706)</f>
        <v>9.7059999999999995</v>
      </c>
      <c r="H112">
        <f ca="1">IFERROR(__xludf.DUMMYFUNCTION("""COMPUTED_VALUE"""),10)</f>
        <v>10</v>
      </c>
    </row>
    <row r="113" spans="1:8" ht="12.75">
      <c r="A113">
        <f ca="1">IFERROR(__xludf.DUMMYFUNCTION("""COMPUTED_VALUE"""),112)</f>
        <v>112</v>
      </c>
      <c r="B113">
        <f ca="1">IFERROR(__xludf.DUMMYFUNCTION("""COMPUTED_VALUE"""),83)</f>
        <v>83</v>
      </c>
      <c r="C113" t="str">
        <f ca="1">IFERROR(__xludf.DUMMYFUNCTION("""COMPUTED_VALUE"""),"Adam Schenk")</f>
        <v>Adam Schenk</v>
      </c>
      <c r="D113">
        <f ca="1">IFERROR(__xludf.DUMMYFUNCTION("""COMPUTED_VALUE"""),22)</f>
        <v>22</v>
      </c>
      <c r="E113">
        <f ca="1">IFERROR(__xludf.DUMMYFUNCTION("""COMPUTED_VALUE"""),71.188)</f>
        <v>71.188000000000002</v>
      </c>
      <c r="F113" s="1">
        <f ca="1">IFERROR(__xludf.DUMMYFUNCTION("""COMPUTED_VALUE"""),1544)</f>
        <v>1544</v>
      </c>
      <c r="G113">
        <f ca="1">IFERROR(__xludf.DUMMYFUNCTION("""COMPUTED_VALUE"""),22.131)</f>
        <v>22.131</v>
      </c>
      <c r="H113">
        <f ca="1">IFERROR(__xludf.DUMMYFUNCTION("""COMPUTED_VALUE"""),22)</f>
        <v>22</v>
      </c>
    </row>
    <row r="114" spans="1:8" ht="12.75">
      <c r="A114">
        <f ca="1">IFERROR(__xludf.DUMMYFUNCTION("""COMPUTED_VALUE"""),113)</f>
        <v>113</v>
      </c>
      <c r="B114">
        <f ca="1">IFERROR(__xludf.DUMMYFUNCTION("""COMPUTED_VALUE"""),100)</f>
        <v>100</v>
      </c>
      <c r="C114" t="str">
        <f ca="1">IFERROR(__xludf.DUMMYFUNCTION("""COMPUTED_VALUE"""),"Chez Reavie")</f>
        <v>Chez Reavie</v>
      </c>
      <c r="D114">
        <f ca="1">IFERROR(__xludf.DUMMYFUNCTION("""COMPUTED_VALUE"""),14)</f>
        <v>14</v>
      </c>
      <c r="E114">
        <f ca="1">IFERROR(__xludf.DUMMYFUNCTION("""COMPUTED_VALUE"""),71.2)</f>
        <v>71.2</v>
      </c>
      <c r="F114">
        <f ca="1">IFERROR(__xludf.DUMMYFUNCTION("""COMPUTED_VALUE"""),983)</f>
        <v>983</v>
      </c>
      <c r="G114">
        <f ca="1">IFERROR(__xludf.DUMMYFUNCTION("""COMPUTED_VALUE"""),13.797)</f>
        <v>13.797000000000001</v>
      </c>
      <c r="H114">
        <f ca="1">IFERROR(__xludf.DUMMYFUNCTION("""COMPUTED_VALUE"""),14)</f>
        <v>14</v>
      </c>
    </row>
    <row r="115" spans="1:8" ht="12.75">
      <c r="A115">
        <f ca="1">IFERROR(__xludf.DUMMYFUNCTION("""COMPUTED_VALUE"""),114)</f>
        <v>114</v>
      </c>
      <c r="B115">
        <f ca="1">IFERROR(__xludf.DUMMYFUNCTION("""COMPUTED_VALUE"""),102)</f>
        <v>102</v>
      </c>
      <c r="C115" t="str">
        <f ca="1">IFERROR(__xludf.DUMMYFUNCTION("""COMPUTED_VALUE"""),"Mark Anderson")</f>
        <v>Mark Anderson</v>
      </c>
      <c r="D115">
        <f ca="1">IFERROR(__xludf.DUMMYFUNCTION("""COMPUTED_VALUE"""),14)</f>
        <v>14</v>
      </c>
      <c r="E115">
        <f ca="1">IFERROR(__xludf.DUMMYFUNCTION("""COMPUTED_VALUE"""),71.218)</f>
        <v>71.218000000000004</v>
      </c>
      <c r="F115">
        <f ca="1">IFERROR(__xludf.DUMMYFUNCTION("""COMPUTED_VALUE"""),984)</f>
        <v>984</v>
      </c>
      <c r="G115">
        <f ca="1">IFERROR(__xludf.DUMMYFUNCTION("""COMPUTED_VALUE"""),13.057)</f>
        <v>13.057</v>
      </c>
      <c r="H115">
        <f ca="1">IFERROR(__xludf.DUMMYFUNCTION("""COMPUTED_VALUE"""),14)</f>
        <v>14</v>
      </c>
    </row>
    <row r="116" spans="1:8" ht="12.75">
      <c r="A116">
        <f ca="1">IFERROR(__xludf.DUMMYFUNCTION("""COMPUTED_VALUE"""),115)</f>
        <v>115</v>
      </c>
      <c r="B116">
        <f ca="1">IFERROR(__xludf.DUMMYFUNCTION("""COMPUTED_VALUE"""),103)</f>
        <v>103</v>
      </c>
      <c r="C116" t="str">
        <f ca="1">IFERROR(__xludf.DUMMYFUNCTION("""COMPUTED_VALUE"""),"Rob Oppenheim")</f>
        <v>Rob Oppenheim</v>
      </c>
      <c r="D116">
        <f ca="1">IFERROR(__xludf.DUMMYFUNCTION("""COMPUTED_VALUE"""),16)</f>
        <v>16</v>
      </c>
      <c r="E116">
        <f ca="1">IFERROR(__xludf.DUMMYFUNCTION("""COMPUTED_VALUE"""),71.245)</f>
        <v>71.245000000000005</v>
      </c>
      <c r="F116" s="1">
        <f ca="1">IFERROR(__xludf.DUMMYFUNCTION("""COMPUTED_VALUE"""),1119)</f>
        <v>1119</v>
      </c>
      <c r="G116">
        <f ca="1">IFERROR(__xludf.DUMMYFUNCTION("""COMPUTED_VALUE"""),20.927)</f>
        <v>20.927</v>
      </c>
      <c r="H116">
        <f ca="1">IFERROR(__xludf.DUMMYFUNCTION("""COMPUTED_VALUE"""),16)</f>
        <v>16</v>
      </c>
    </row>
    <row r="117" spans="1:8" ht="12.75">
      <c r="A117">
        <f ca="1">IFERROR(__xludf.DUMMYFUNCTION("""COMPUTED_VALUE"""),116)</f>
        <v>116</v>
      </c>
      <c r="B117">
        <f ca="1">IFERROR(__xludf.DUMMYFUNCTION("""COMPUTED_VALUE"""),155)</f>
        <v>155</v>
      </c>
      <c r="C117" t="str">
        <f ca="1">IFERROR(__xludf.DUMMYFUNCTION("""COMPUTED_VALUE"""),"Charley Hoffman")</f>
        <v>Charley Hoffman</v>
      </c>
      <c r="D117">
        <f ca="1">IFERROR(__xludf.DUMMYFUNCTION("""COMPUTED_VALUE"""),20)</f>
        <v>20</v>
      </c>
      <c r="E117">
        <f ca="1">IFERROR(__xludf.DUMMYFUNCTION("""COMPUTED_VALUE"""),71.287)</f>
        <v>71.287000000000006</v>
      </c>
      <c r="F117" s="1">
        <f ca="1">IFERROR(__xludf.DUMMYFUNCTION("""COMPUTED_VALUE"""),1409)</f>
        <v>1409</v>
      </c>
      <c r="G117">
        <f ca="1">IFERROR(__xludf.DUMMYFUNCTION("""COMPUTED_VALUE"""),16.744)</f>
        <v>16.744</v>
      </c>
      <c r="H117">
        <f ca="1">IFERROR(__xludf.DUMMYFUNCTION("""COMPUTED_VALUE"""),20)</f>
        <v>20</v>
      </c>
    </row>
    <row r="118" spans="1:8" ht="12.75">
      <c r="A118">
        <f ca="1">IFERROR(__xludf.DUMMYFUNCTION("""COMPUTED_VALUE"""),117)</f>
        <v>117</v>
      </c>
      <c r="B118">
        <f ca="1">IFERROR(__xludf.DUMMYFUNCTION("""COMPUTED_VALUE"""),189)</f>
        <v>189</v>
      </c>
      <c r="C118" t="str">
        <f ca="1">IFERROR(__xludf.DUMMYFUNCTION("""COMPUTED_VALUE"""),"Chris Kirk")</f>
        <v>Chris Kirk</v>
      </c>
      <c r="D118">
        <f ca="1">IFERROR(__xludf.DUMMYFUNCTION("""COMPUTED_VALUE"""),10)</f>
        <v>10</v>
      </c>
      <c r="E118">
        <f ca="1">IFERROR(__xludf.DUMMYFUNCTION("""COMPUTED_VALUE"""),71.319)</f>
        <v>71.319000000000003</v>
      </c>
      <c r="F118">
        <f ca="1">IFERROR(__xludf.DUMMYFUNCTION("""COMPUTED_VALUE"""),710)</f>
        <v>710</v>
      </c>
      <c r="G118">
        <f ca="1">IFERROR(__xludf.DUMMYFUNCTION("""COMPUTED_VALUE"""),3.185)</f>
        <v>3.1850000000000001</v>
      </c>
      <c r="H118">
        <f ca="1">IFERROR(__xludf.DUMMYFUNCTION("""COMPUTED_VALUE"""),10)</f>
        <v>10</v>
      </c>
    </row>
    <row r="119" spans="1:8" ht="12.75">
      <c r="A119">
        <f ca="1">IFERROR(__xludf.DUMMYFUNCTION("""COMPUTED_VALUE"""),118)</f>
        <v>118</v>
      </c>
      <c r="B119">
        <f ca="1">IFERROR(__xludf.DUMMYFUNCTION("""COMPUTED_VALUE"""),170)</f>
        <v>170</v>
      </c>
      <c r="C119" t="str">
        <f ca="1">IFERROR(__xludf.DUMMYFUNCTION("""COMPUTED_VALUE"""),"Max Homa")</f>
        <v>Max Homa</v>
      </c>
      <c r="D119">
        <f ca="1">IFERROR(__xludf.DUMMYFUNCTION("""COMPUTED_VALUE"""),12)</f>
        <v>12</v>
      </c>
      <c r="E119">
        <f ca="1">IFERROR(__xludf.DUMMYFUNCTION("""COMPUTED_VALUE"""),71.327)</f>
        <v>71.326999999999998</v>
      </c>
      <c r="F119">
        <f ca="1">IFERROR(__xludf.DUMMYFUNCTION("""COMPUTED_VALUE"""),860)</f>
        <v>860</v>
      </c>
      <c r="G119">
        <f ca="1">IFERROR(__xludf.DUMMYFUNCTION("""COMPUTED_VALUE"""),-4.081)</f>
        <v>-4.0810000000000004</v>
      </c>
      <c r="H119">
        <f ca="1">IFERROR(__xludf.DUMMYFUNCTION("""COMPUTED_VALUE"""),12)</f>
        <v>12</v>
      </c>
    </row>
    <row r="120" spans="1:8" ht="12.75">
      <c r="A120">
        <f ca="1">IFERROR(__xludf.DUMMYFUNCTION("""COMPUTED_VALUE"""),119)</f>
        <v>119</v>
      </c>
      <c r="B120">
        <f ca="1">IFERROR(__xludf.DUMMYFUNCTION("""COMPUTED_VALUE"""),105)</f>
        <v>105</v>
      </c>
      <c r="C120" t="str">
        <f ca="1">IFERROR(__xludf.DUMMYFUNCTION("""COMPUTED_VALUE"""),"Henrik Stenson")</f>
        <v>Henrik Stenson</v>
      </c>
      <c r="D120">
        <f ca="1">IFERROR(__xludf.DUMMYFUNCTION("""COMPUTED_VALUE"""),11)</f>
        <v>11</v>
      </c>
      <c r="E120">
        <f ca="1">IFERROR(__xludf.DUMMYFUNCTION("""COMPUTED_VALUE"""),71.331)</f>
        <v>71.331000000000003</v>
      </c>
      <c r="F120">
        <f ca="1">IFERROR(__xludf.DUMMYFUNCTION("""COMPUTED_VALUE"""),790)</f>
        <v>790</v>
      </c>
      <c r="G120">
        <f ca="1">IFERROR(__xludf.DUMMYFUNCTION("""COMPUTED_VALUE"""),-5.361)</f>
        <v>-5.3609999999999998</v>
      </c>
      <c r="H120">
        <f ca="1">IFERROR(__xludf.DUMMYFUNCTION("""COMPUTED_VALUE"""),11)</f>
        <v>11</v>
      </c>
    </row>
    <row r="121" spans="1:8" ht="12.75">
      <c r="A121">
        <f ca="1">IFERROR(__xludf.DUMMYFUNCTION("""COMPUTED_VALUE"""),120)</f>
        <v>120</v>
      </c>
      <c r="B121">
        <f ca="1">IFERROR(__xludf.DUMMYFUNCTION("""COMPUTED_VALUE"""),110)</f>
        <v>110</v>
      </c>
      <c r="C121" t="str">
        <f ca="1">IFERROR(__xludf.DUMMYFUNCTION("""COMPUTED_VALUE"""),"Brendon Todd")</f>
        <v>Brendon Todd</v>
      </c>
      <c r="D121">
        <f ca="1">IFERROR(__xludf.DUMMYFUNCTION("""COMPUTED_VALUE"""),14)</f>
        <v>14</v>
      </c>
      <c r="E121">
        <f ca="1">IFERROR(__xludf.DUMMYFUNCTION("""COMPUTED_VALUE"""),71.336)</f>
        <v>71.335999999999999</v>
      </c>
      <c r="F121" s="1">
        <f ca="1">IFERROR(__xludf.DUMMYFUNCTION("""COMPUTED_VALUE"""),1003)</f>
        <v>1003</v>
      </c>
      <c r="G121">
        <f ca="1">IFERROR(__xludf.DUMMYFUNCTION("""COMPUTED_VALUE"""),-4.291)</f>
        <v>-4.2910000000000004</v>
      </c>
      <c r="H121">
        <f ca="1">IFERROR(__xludf.DUMMYFUNCTION("""COMPUTED_VALUE"""),14)</f>
        <v>14</v>
      </c>
    </row>
    <row r="122" spans="1:8" ht="12.75">
      <c r="A122">
        <f ca="1">IFERROR(__xludf.DUMMYFUNCTION("""COMPUTED_VALUE"""),121)</f>
        <v>121</v>
      </c>
      <c r="B122">
        <f ca="1">IFERROR(__xludf.DUMMYFUNCTION("""COMPUTED_VALUE"""),121)</f>
        <v>121</v>
      </c>
      <c r="C122" t="str">
        <f ca="1">IFERROR(__xludf.DUMMYFUNCTION("""COMPUTED_VALUE"""),"Luke List")</f>
        <v>Luke List</v>
      </c>
      <c r="D122">
        <f ca="1">IFERROR(__xludf.DUMMYFUNCTION("""COMPUTED_VALUE"""),18)</f>
        <v>18</v>
      </c>
      <c r="E122">
        <f ca="1">IFERROR(__xludf.DUMMYFUNCTION("""COMPUTED_VALUE"""),71.347)</f>
        <v>71.346999999999994</v>
      </c>
      <c r="F122" s="1">
        <f ca="1">IFERROR(__xludf.DUMMYFUNCTION("""COMPUTED_VALUE"""),1269)</f>
        <v>1269</v>
      </c>
      <c r="G122">
        <f ca="1">IFERROR(__xludf.DUMMYFUNCTION("""COMPUTED_VALUE"""),15.251)</f>
        <v>15.250999999999999</v>
      </c>
      <c r="H122">
        <f ca="1">IFERROR(__xludf.DUMMYFUNCTION("""COMPUTED_VALUE"""),18)</f>
        <v>18</v>
      </c>
    </row>
    <row r="123" spans="1:8" ht="12.75">
      <c r="A123">
        <f ca="1">IFERROR(__xludf.DUMMYFUNCTION("""COMPUTED_VALUE"""),122)</f>
        <v>122</v>
      </c>
      <c r="B123">
        <f ca="1">IFERROR(__xludf.DUMMYFUNCTION("""COMPUTED_VALUE"""),114)</f>
        <v>114</v>
      </c>
      <c r="C123" t="str">
        <f ca="1">IFERROR(__xludf.DUMMYFUNCTION("""COMPUTED_VALUE"""),"Paul Casey")</f>
        <v>Paul Casey</v>
      </c>
      <c r="D123">
        <f ca="1">IFERROR(__xludf.DUMMYFUNCTION("""COMPUTED_VALUE"""),14)</f>
        <v>14</v>
      </c>
      <c r="E123">
        <f ca="1">IFERROR(__xludf.DUMMYFUNCTION("""COMPUTED_VALUE"""),71.367)</f>
        <v>71.367000000000004</v>
      </c>
      <c r="F123">
        <f ca="1">IFERROR(__xludf.DUMMYFUNCTION("""COMPUTED_VALUE"""),996)</f>
        <v>996</v>
      </c>
      <c r="G123">
        <f ca="1">IFERROR(__xludf.DUMMYFUNCTION("""COMPUTED_VALUE"""),3.135)</f>
        <v>3.1349999999999998</v>
      </c>
      <c r="H123">
        <f ca="1">IFERROR(__xludf.DUMMYFUNCTION("""COMPUTED_VALUE"""),14)</f>
        <v>14</v>
      </c>
    </row>
    <row r="124" spans="1:8" ht="12.75">
      <c r="A124" t="str">
        <f ca="1">IFERROR(__xludf.DUMMYFUNCTION("""COMPUTED_VALUE"""),"T123")</f>
        <v>T123</v>
      </c>
      <c r="B124">
        <f ca="1">IFERROR(__xludf.DUMMYFUNCTION("""COMPUTED_VALUE"""),128)</f>
        <v>128</v>
      </c>
      <c r="C124" t="str">
        <f ca="1">IFERROR(__xludf.DUMMYFUNCTION("""COMPUTED_VALUE"""),"Henrik Norlander")</f>
        <v>Henrik Norlander</v>
      </c>
      <c r="D124">
        <f ca="1">IFERROR(__xludf.DUMMYFUNCTION("""COMPUTED_VALUE"""),16)</f>
        <v>16</v>
      </c>
      <c r="E124">
        <f ca="1">IFERROR(__xludf.DUMMYFUNCTION("""COMPUTED_VALUE"""),71.37)</f>
        <v>71.37</v>
      </c>
      <c r="F124" s="1">
        <f ca="1">IFERROR(__xludf.DUMMYFUNCTION("""COMPUTED_VALUE"""),1128)</f>
        <v>1128</v>
      </c>
      <c r="G124">
        <f ca="1">IFERROR(__xludf.DUMMYFUNCTION("""COMPUTED_VALUE"""),13.927)</f>
        <v>13.927</v>
      </c>
      <c r="H124">
        <f ca="1">IFERROR(__xludf.DUMMYFUNCTION("""COMPUTED_VALUE"""),16)</f>
        <v>16</v>
      </c>
    </row>
    <row r="125" spans="1:8" ht="12.75">
      <c r="A125" t="str">
        <f ca="1">IFERROR(__xludf.DUMMYFUNCTION("""COMPUTED_VALUE"""),"T123")</f>
        <v>T123</v>
      </c>
      <c r="B125">
        <f ca="1">IFERROR(__xludf.DUMMYFUNCTION("""COMPUTED_VALUE"""),72)</f>
        <v>72</v>
      </c>
      <c r="C125" t="str">
        <f ca="1">IFERROR(__xludf.DUMMYFUNCTION("""COMPUTED_VALUE"""),"Beau Hossler")</f>
        <v>Beau Hossler</v>
      </c>
      <c r="D125">
        <f ca="1">IFERROR(__xludf.DUMMYFUNCTION("""COMPUTED_VALUE"""),22)</f>
        <v>22</v>
      </c>
      <c r="E125">
        <f ca="1">IFERROR(__xludf.DUMMYFUNCTION("""COMPUTED_VALUE"""),71.37)</f>
        <v>71.37</v>
      </c>
      <c r="F125" s="1">
        <f ca="1">IFERROR(__xludf.DUMMYFUNCTION("""COMPUTED_VALUE"""),1548)</f>
        <v>1548</v>
      </c>
      <c r="G125">
        <f ca="1">IFERROR(__xludf.DUMMYFUNCTION("""COMPUTED_VALUE"""),22.131)</f>
        <v>22.131</v>
      </c>
      <c r="H125">
        <f ca="1">IFERROR(__xludf.DUMMYFUNCTION("""COMPUTED_VALUE"""),22)</f>
        <v>22</v>
      </c>
    </row>
    <row r="126" spans="1:8" ht="12.75">
      <c r="A126">
        <f ca="1">IFERROR(__xludf.DUMMYFUNCTION("""COMPUTED_VALUE"""),125)</f>
        <v>125</v>
      </c>
      <c r="B126">
        <f ca="1">IFERROR(__xludf.DUMMYFUNCTION("""COMPUTED_VALUE"""),101)</f>
        <v>101</v>
      </c>
      <c r="C126" t="str">
        <f ca="1">IFERROR(__xludf.DUMMYFUNCTION("""COMPUTED_VALUE"""),"Tyler Duncan")</f>
        <v>Tyler Duncan</v>
      </c>
      <c r="D126">
        <f ca="1">IFERROR(__xludf.DUMMYFUNCTION("""COMPUTED_VALUE"""),18)</f>
        <v>18</v>
      </c>
      <c r="E126">
        <f ca="1">IFERROR(__xludf.DUMMYFUNCTION("""COMPUTED_VALUE"""),71.379)</f>
        <v>71.379000000000005</v>
      </c>
      <c r="F126" s="1">
        <f ca="1">IFERROR(__xludf.DUMMYFUNCTION("""COMPUTED_VALUE"""),1282)</f>
        <v>1282</v>
      </c>
      <c r="G126">
        <f ca="1">IFERROR(__xludf.DUMMYFUNCTION("""COMPUTED_VALUE"""),2.817)</f>
        <v>2.8170000000000002</v>
      </c>
      <c r="H126">
        <f ca="1">IFERROR(__xludf.DUMMYFUNCTION("""COMPUTED_VALUE"""),18)</f>
        <v>18</v>
      </c>
    </row>
    <row r="127" spans="1:8" ht="12.75">
      <c r="A127">
        <f ca="1">IFERROR(__xludf.DUMMYFUNCTION("""COMPUTED_VALUE"""),126)</f>
        <v>126</v>
      </c>
      <c r="B127">
        <f ca="1">IFERROR(__xludf.DUMMYFUNCTION("""COMPUTED_VALUE"""),118)</f>
        <v>118</v>
      </c>
      <c r="C127" t="str">
        <f ca="1">IFERROR(__xludf.DUMMYFUNCTION("""COMPUTED_VALUE"""),"Kevin Tway")</f>
        <v>Kevin Tway</v>
      </c>
      <c r="D127">
        <f ca="1">IFERROR(__xludf.DUMMYFUNCTION("""COMPUTED_VALUE"""),16)</f>
        <v>16</v>
      </c>
      <c r="E127">
        <f ca="1">IFERROR(__xludf.DUMMYFUNCTION("""COMPUTED_VALUE"""),71.381)</f>
        <v>71.381</v>
      </c>
      <c r="F127" s="1">
        <f ca="1">IFERROR(__xludf.DUMMYFUNCTION("""COMPUTED_VALUE"""),1131)</f>
        <v>1131</v>
      </c>
      <c r="G127">
        <f ca="1">IFERROR(__xludf.DUMMYFUNCTION("""COMPUTED_VALUE"""),11.101)</f>
        <v>11.101000000000001</v>
      </c>
      <c r="H127">
        <f ca="1">IFERROR(__xludf.DUMMYFUNCTION("""COMPUTED_VALUE"""),16)</f>
        <v>16</v>
      </c>
    </row>
    <row r="128" spans="1:8" ht="12.75">
      <c r="A128">
        <f ca="1">IFERROR(__xludf.DUMMYFUNCTION("""COMPUTED_VALUE"""),127)</f>
        <v>127</v>
      </c>
      <c r="B128">
        <f ca="1">IFERROR(__xludf.DUMMYFUNCTION("""COMPUTED_VALUE"""),115)</f>
        <v>115</v>
      </c>
      <c r="C128" t="str">
        <f ca="1">IFERROR(__xludf.DUMMYFUNCTION("""COMPUTED_VALUE"""),"Ricky Barnes")</f>
        <v>Ricky Barnes</v>
      </c>
      <c r="D128">
        <f ca="1">IFERROR(__xludf.DUMMYFUNCTION("""COMPUTED_VALUE"""),12)</f>
        <v>12</v>
      </c>
      <c r="E128">
        <f ca="1">IFERROR(__xludf.DUMMYFUNCTION("""COMPUTED_VALUE"""),71.383)</f>
        <v>71.382999999999996</v>
      </c>
      <c r="F128">
        <f ca="1">IFERROR(__xludf.DUMMYFUNCTION("""COMPUTED_VALUE"""),845)</f>
        <v>845</v>
      </c>
      <c r="G128">
        <f ca="1">IFERROR(__xludf.DUMMYFUNCTION("""COMPUTED_VALUE"""),11.599)</f>
        <v>11.599</v>
      </c>
      <c r="H128">
        <f ca="1">IFERROR(__xludf.DUMMYFUNCTION("""COMPUTED_VALUE"""),12)</f>
        <v>12</v>
      </c>
    </row>
    <row r="129" spans="1:8" ht="12.75">
      <c r="A129">
        <f ca="1">IFERROR(__xludf.DUMMYFUNCTION("""COMPUTED_VALUE"""),128)</f>
        <v>128</v>
      </c>
      <c r="B129">
        <f ca="1">IFERROR(__xludf.DUMMYFUNCTION("""COMPUTED_VALUE"""),116)</f>
        <v>116</v>
      </c>
      <c r="C129" t="str">
        <f ca="1">IFERROR(__xludf.DUMMYFUNCTION("""COMPUTED_VALUE"""),"Cameron Champ")</f>
        <v>Cameron Champ</v>
      </c>
      <c r="D129">
        <f ca="1">IFERROR(__xludf.DUMMYFUNCTION("""COMPUTED_VALUE"""),12)</f>
        <v>12</v>
      </c>
      <c r="E129">
        <f ca="1">IFERROR(__xludf.DUMMYFUNCTION("""COMPUTED_VALUE"""),71.389)</f>
        <v>71.388999999999996</v>
      </c>
      <c r="F129">
        <f ca="1">IFERROR(__xludf.DUMMYFUNCTION("""COMPUTED_VALUE"""),845)</f>
        <v>845</v>
      </c>
      <c r="G129">
        <f ca="1">IFERROR(__xludf.DUMMYFUNCTION("""COMPUTED_VALUE"""),11.664)</f>
        <v>11.664</v>
      </c>
      <c r="H129">
        <f ca="1">IFERROR(__xludf.DUMMYFUNCTION("""COMPUTED_VALUE"""),12)</f>
        <v>12</v>
      </c>
    </row>
    <row r="130" spans="1:8" ht="12.75">
      <c r="A130">
        <f ca="1">IFERROR(__xludf.DUMMYFUNCTION("""COMPUTED_VALUE"""),129)</f>
        <v>129</v>
      </c>
      <c r="B130">
        <f ca="1">IFERROR(__xludf.DUMMYFUNCTION("""COMPUTED_VALUE"""),211)</f>
        <v>211</v>
      </c>
      <c r="C130" t="str">
        <f ca="1">IFERROR(__xludf.DUMMYFUNCTION("""COMPUTED_VALUE"""),"Graeme McDowell")</f>
        <v>Graeme McDowell</v>
      </c>
      <c r="D130">
        <f ca="1">IFERROR(__xludf.DUMMYFUNCTION("""COMPUTED_VALUE"""),8)</f>
        <v>8</v>
      </c>
      <c r="E130">
        <f ca="1">IFERROR(__xludf.DUMMYFUNCTION("""COMPUTED_VALUE"""),71.406)</f>
        <v>71.406000000000006</v>
      </c>
      <c r="F130">
        <f ca="1">IFERROR(__xludf.DUMMYFUNCTION("""COMPUTED_VALUE"""),580)</f>
        <v>580</v>
      </c>
      <c r="G130">
        <f ca="1">IFERROR(__xludf.DUMMYFUNCTION("""COMPUTED_VALUE"""),-8.755)</f>
        <v>-8.7550000000000008</v>
      </c>
      <c r="H130">
        <f ca="1">IFERROR(__xludf.DUMMYFUNCTION("""COMPUTED_VALUE"""),8)</f>
        <v>8</v>
      </c>
    </row>
    <row r="131" spans="1:8" ht="12.75">
      <c r="A131">
        <f ca="1">IFERROR(__xludf.DUMMYFUNCTION("""COMPUTED_VALUE"""),130)</f>
        <v>130</v>
      </c>
      <c r="B131">
        <f ca="1">IFERROR(__xludf.DUMMYFUNCTION("""COMPUTED_VALUE"""),119)</f>
        <v>119</v>
      </c>
      <c r="C131" t="str">
        <f ca="1">IFERROR(__xludf.DUMMYFUNCTION("""COMPUTED_VALUE"""),"Sebastian Cappelen")</f>
        <v>Sebastian Cappelen</v>
      </c>
      <c r="D131">
        <f ca="1">IFERROR(__xludf.DUMMYFUNCTION("""COMPUTED_VALUE"""),8)</f>
        <v>8</v>
      </c>
      <c r="E131">
        <f ca="1">IFERROR(__xludf.DUMMYFUNCTION("""COMPUTED_VALUE"""),71.419)</f>
        <v>71.418999999999997</v>
      </c>
      <c r="F131">
        <f ca="1">IFERROR(__xludf.DUMMYFUNCTION("""COMPUTED_VALUE"""),563)</f>
        <v>563</v>
      </c>
      <c r="G131">
        <f ca="1">IFERROR(__xludf.DUMMYFUNCTION("""COMPUTED_VALUE"""),8.354)</f>
        <v>8.3539999999999992</v>
      </c>
      <c r="H131">
        <f ca="1">IFERROR(__xludf.DUMMYFUNCTION("""COMPUTED_VALUE"""),8)</f>
        <v>8</v>
      </c>
    </row>
    <row r="132" spans="1:8" ht="12.75">
      <c r="A132">
        <f ca="1">IFERROR(__xludf.DUMMYFUNCTION("""COMPUTED_VALUE"""),131)</f>
        <v>131</v>
      </c>
      <c r="B132">
        <f ca="1">IFERROR(__xludf.DUMMYFUNCTION("""COMPUTED_VALUE"""),117)</f>
        <v>117</v>
      </c>
      <c r="C132" t="str">
        <f ca="1">IFERROR(__xludf.DUMMYFUNCTION("""COMPUTED_VALUE"""),"Ryan Armour")</f>
        <v>Ryan Armour</v>
      </c>
      <c r="D132">
        <f ca="1">IFERROR(__xludf.DUMMYFUNCTION("""COMPUTED_VALUE"""),16)</f>
        <v>16</v>
      </c>
      <c r="E132">
        <f ca="1">IFERROR(__xludf.DUMMYFUNCTION("""COMPUTED_VALUE"""),71.43)</f>
        <v>71.430000000000007</v>
      </c>
      <c r="F132" s="1">
        <f ca="1">IFERROR(__xludf.DUMMYFUNCTION("""COMPUTED_VALUE"""),1131)</f>
        <v>1131</v>
      </c>
      <c r="G132">
        <f ca="1">IFERROR(__xludf.DUMMYFUNCTION("""COMPUTED_VALUE"""),11.875)</f>
        <v>11.875</v>
      </c>
      <c r="H132">
        <f ca="1">IFERROR(__xludf.DUMMYFUNCTION("""COMPUTED_VALUE"""),16)</f>
        <v>16</v>
      </c>
    </row>
    <row r="133" spans="1:8" ht="12.75">
      <c r="A133">
        <f ca="1">IFERROR(__xludf.DUMMYFUNCTION("""COMPUTED_VALUE"""),132)</f>
        <v>132</v>
      </c>
      <c r="B133">
        <f ca="1">IFERROR(__xludf.DUMMYFUNCTION("""COMPUTED_VALUE"""),122)</f>
        <v>122</v>
      </c>
      <c r="C133" t="str">
        <f ca="1">IFERROR(__xludf.DUMMYFUNCTION("""COMPUTED_VALUE"""),"Adam Hadwin")</f>
        <v>Adam Hadwin</v>
      </c>
      <c r="D133">
        <f ca="1">IFERROR(__xludf.DUMMYFUNCTION("""COMPUTED_VALUE"""),16)</f>
        <v>16</v>
      </c>
      <c r="E133">
        <f ca="1">IFERROR(__xludf.DUMMYFUNCTION("""COMPUTED_VALUE"""),71.459)</f>
        <v>71.459000000000003</v>
      </c>
      <c r="F133" s="1">
        <f ca="1">IFERROR(__xludf.DUMMYFUNCTION("""COMPUTED_VALUE"""),1136)</f>
        <v>1136</v>
      </c>
      <c r="G133">
        <f ca="1">IFERROR(__xludf.DUMMYFUNCTION("""COMPUTED_VALUE"""),7.348)</f>
        <v>7.3479999999999999</v>
      </c>
      <c r="H133">
        <f ca="1">IFERROR(__xludf.DUMMYFUNCTION("""COMPUTED_VALUE"""),16)</f>
        <v>16</v>
      </c>
    </row>
    <row r="134" spans="1:8" ht="12.75">
      <c r="A134">
        <f ca="1">IFERROR(__xludf.DUMMYFUNCTION("""COMPUTED_VALUE"""),133)</f>
        <v>133</v>
      </c>
      <c r="B134">
        <f ca="1">IFERROR(__xludf.DUMMYFUNCTION("""COMPUTED_VALUE"""),125)</f>
        <v>125</v>
      </c>
      <c r="C134" t="str">
        <f ca="1">IFERROR(__xludf.DUMMYFUNCTION("""COMPUTED_VALUE"""),"Kevin Na")</f>
        <v>Kevin Na</v>
      </c>
      <c r="D134">
        <f ca="1">IFERROR(__xludf.DUMMYFUNCTION("""COMPUTED_VALUE"""),14)</f>
        <v>14</v>
      </c>
      <c r="E134">
        <f ca="1">IFERROR(__xludf.DUMMYFUNCTION("""COMPUTED_VALUE"""),71.491)</f>
        <v>71.491</v>
      </c>
      <c r="F134">
        <f ca="1">IFERROR(__xludf.DUMMYFUNCTION("""COMPUTED_VALUE"""),985)</f>
        <v>985</v>
      </c>
      <c r="G134">
        <f ca="1">IFERROR(__xludf.DUMMYFUNCTION("""COMPUTED_VALUE"""),15.877)</f>
        <v>15.877000000000001</v>
      </c>
      <c r="H134">
        <f ca="1">IFERROR(__xludf.DUMMYFUNCTION("""COMPUTED_VALUE"""),14)</f>
        <v>14</v>
      </c>
    </row>
    <row r="135" spans="1:8" ht="12.75">
      <c r="A135">
        <f ca="1">IFERROR(__xludf.DUMMYFUNCTION("""COMPUTED_VALUE"""),134)</f>
        <v>134</v>
      </c>
      <c r="B135">
        <f ca="1">IFERROR(__xludf.DUMMYFUNCTION("""COMPUTED_VALUE"""),178)</f>
        <v>178</v>
      </c>
      <c r="C135" t="str">
        <f ca="1">IFERROR(__xludf.DUMMYFUNCTION("""COMPUTED_VALUE"""),"Fabián Gómez")</f>
        <v>Fabián Gómez</v>
      </c>
      <c r="D135">
        <f ca="1">IFERROR(__xludf.DUMMYFUNCTION("""COMPUTED_VALUE"""),16)</f>
        <v>16</v>
      </c>
      <c r="E135">
        <f ca="1">IFERROR(__xludf.DUMMYFUNCTION("""COMPUTED_VALUE"""),71.495)</f>
        <v>71.495000000000005</v>
      </c>
      <c r="F135" s="1">
        <f ca="1">IFERROR(__xludf.DUMMYFUNCTION("""COMPUTED_VALUE"""),1134)</f>
        <v>1134</v>
      </c>
      <c r="G135">
        <f ca="1">IFERROR(__xludf.DUMMYFUNCTION("""COMPUTED_VALUE"""),9.927)</f>
        <v>9.9269999999999996</v>
      </c>
      <c r="H135">
        <f ca="1">IFERROR(__xludf.DUMMYFUNCTION("""COMPUTED_VALUE"""),16)</f>
        <v>16</v>
      </c>
    </row>
    <row r="136" spans="1:8" ht="12.75">
      <c r="A136">
        <f ca="1">IFERROR(__xludf.DUMMYFUNCTION("""COMPUTED_VALUE"""),135)</f>
        <v>135</v>
      </c>
      <c r="B136">
        <f ca="1">IFERROR(__xludf.DUMMYFUNCTION("""COMPUTED_VALUE"""),124)</f>
        <v>124</v>
      </c>
      <c r="C136" t="str">
        <f ca="1">IFERROR(__xludf.DUMMYFUNCTION("""COMPUTED_VALUE"""),"Scott Harrington")</f>
        <v>Scott Harrington</v>
      </c>
      <c r="D136">
        <f ca="1">IFERROR(__xludf.DUMMYFUNCTION("""COMPUTED_VALUE"""),18)</f>
        <v>18</v>
      </c>
      <c r="E136">
        <f ca="1">IFERROR(__xludf.DUMMYFUNCTION("""COMPUTED_VALUE"""),71.504)</f>
        <v>71.504000000000005</v>
      </c>
      <c r="F136" s="1">
        <f ca="1">IFERROR(__xludf.DUMMYFUNCTION("""COMPUTED_VALUE"""),1273)</f>
        <v>1273</v>
      </c>
      <c r="G136">
        <f ca="1">IFERROR(__xludf.DUMMYFUNCTION("""COMPUTED_VALUE"""),14.077)</f>
        <v>14.077</v>
      </c>
      <c r="H136">
        <f ca="1">IFERROR(__xludf.DUMMYFUNCTION("""COMPUTED_VALUE"""),18)</f>
        <v>18</v>
      </c>
    </row>
    <row r="137" spans="1:8" ht="12.75">
      <c r="A137">
        <f ca="1">IFERROR(__xludf.DUMMYFUNCTION("""COMPUTED_VALUE"""),136)</f>
        <v>136</v>
      </c>
      <c r="B137">
        <f ca="1">IFERROR(__xludf.DUMMYFUNCTION("""COMPUTED_VALUE"""),150)</f>
        <v>150</v>
      </c>
      <c r="C137" t="str">
        <f ca="1">IFERROR(__xludf.DUMMYFUNCTION("""COMPUTED_VALUE"""),"Kevin Chappell")</f>
        <v>Kevin Chappell</v>
      </c>
      <c r="D137">
        <f ca="1">IFERROR(__xludf.DUMMYFUNCTION("""COMPUTED_VALUE"""),16)</f>
        <v>16</v>
      </c>
      <c r="E137">
        <f ca="1">IFERROR(__xludf.DUMMYFUNCTION("""COMPUTED_VALUE"""),71.529)</f>
        <v>71.528999999999996</v>
      </c>
      <c r="F137" s="1">
        <f ca="1">IFERROR(__xludf.DUMMYFUNCTION("""COMPUTED_VALUE"""),1128)</f>
        <v>1128</v>
      </c>
      <c r="G137">
        <f ca="1">IFERROR(__xludf.DUMMYFUNCTION("""COMPUTED_VALUE"""),16.459)</f>
        <v>16.459</v>
      </c>
      <c r="H137">
        <f ca="1">IFERROR(__xludf.DUMMYFUNCTION("""COMPUTED_VALUE"""),16)</f>
        <v>16</v>
      </c>
    </row>
    <row r="138" spans="1:8" ht="12.75">
      <c r="A138">
        <f ca="1">IFERROR(__xludf.DUMMYFUNCTION("""COMPUTED_VALUE"""),137)</f>
        <v>137</v>
      </c>
      <c r="B138">
        <f ca="1">IFERROR(__xludf.DUMMYFUNCTION("""COMPUTED_VALUE"""),173)</f>
        <v>173</v>
      </c>
      <c r="C138" t="str">
        <f ca="1">IFERROR(__xludf.DUMMYFUNCTION("""COMPUTED_VALUE"""),"Jhonattan Vegas")</f>
        <v>Jhonattan Vegas</v>
      </c>
      <c r="D138">
        <f ca="1">IFERROR(__xludf.DUMMYFUNCTION("""COMPUTED_VALUE"""),16)</f>
        <v>16</v>
      </c>
      <c r="E138">
        <f ca="1">IFERROR(__xludf.DUMMYFUNCTION("""COMPUTED_VALUE"""),71.533)</f>
        <v>71.533000000000001</v>
      </c>
      <c r="F138" s="1">
        <f ca="1">IFERROR(__xludf.DUMMYFUNCTION("""COMPUTED_VALUE"""),1136)</f>
        <v>1136</v>
      </c>
      <c r="G138">
        <f ca="1">IFERROR(__xludf.DUMMYFUNCTION("""COMPUTED_VALUE"""),8.527)</f>
        <v>8.5269999999999992</v>
      </c>
      <c r="H138">
        <f ca="1">IFERROR(__xludf.DUMMYFUNCTION("""COMPUTED_VALUE"""),16)</f>
        <v>16</v>
      </c>
    </row>
    <row r="139" spans="1:8" ht="12.75">
      <c r="A139">
        <f ca="1">IFERROR(__xludf.DUMMYFUNCTION("""COMPUTED_VALUE"""),138)</f>
        <v>138</v>
      </c>
      <c r="B139">
        <f ca="1">IFERROR(__xludf.DUMMYFUNCTION("""COMPUTED_VALUE"""),127)</f>
        <v>127</v>
      </c>
      <c r="C139" t="str">
        <f ca="1">IFERROR(__xludf.DUMMYFUNCTION("""COMPUTED_VALUE"""),"Joseph Bramlett")</f>
        <v>Joseph Bramlett</v>
      </c>
      <c r="D139">
        <f ca="1">IFERROR(__xludf.DUMMYFUNCTION("""COMPUTED_VALUE"""),18)</f>
        <v>18</v>
      </c>
      <c r="E139">
        <f ca="1">IFERROR(__xludf.DUMMYFUNCTION("""COMPUTED_VALUE"""),71.534)</f>
        <v>71.534000000000006</v>
      </c>
      <c r="F139" s="1">
        <f ca="1">IFERROR(__xludf.DUMMYFUNCTION("""COMPUTED_VALUE"""),1266)</f>
        <v>1266</v>
      </c>
      <c r="G139">
        <f ca="1">IFERROR(__xludf.DUMMYFUNCTION("""COMPUTED_VALUE"""),21.605)</f>
        <v>21.605</v>
      </c>
      <c r="H139">
        <f ca="1">IFERROR(__xludf.DUMMYFUNCTION("""COMPUTED_VALUE"""),18)</f>
        <v>18</v>
      </c>
    </row>
    <row r="140" spans="1:8" ht="12.75">
      <c r="A140">
        <f ca="1">IFERROR(__xludf.DUMMYFUNCTION("""COMPUTED_VALUE"""),139)</f>
        <v>139</v>
      </c>
      <c r="B140">
        <f ca="1">IFERROR(__xludf.DUMMYFUNCTION("""COMPUTED_VALUE"""),145)</f>
        <v>145</v>
      </c>
      <c r="C140" t="str">
        <f ca="1">IFERROR(__xludf.DUMMYFUNCTION("""COMPUTED_VALUE"""),"Robby Shelton")</f>
        <v>Robby Shelton</v>
      </c>
      <c r="D140">
        <f ca="1">IFERROR(__xludf.DUMMYFUNCTION("""COMPUTED_VALUE"""),14)</f>
        <v>14</v>
      </c>
      <c r="E140">
        <f ca="1">IFERROR(__xludf.DUMMYFUNCTION("""COMPUTED_VALUE"""),71.562)</f>
        <v>71.561999999999998</v>
      </c>
      <c r="F140">
        <f ca="1">IFERROR(__xludf.DUMMYFUNCTION("""COMPUTED_VALUE"""),988)</f>
        <v>988</v>
      </c>
      <c r="G140">
        <f ca="1">IFERROR(__xludf.DUMMYFUNCTION("""COMPUTED_VALUE"""),13.866)</f>
        <v>13.866</v>
      </c>
      <c r="H140">
        <f ca="1">IFERROR(__xludf.DUMMYFUNCTION("""COMPUTED_VALUE"""),14)</f>
        <v>14</v>
      </c>
    </row>
    <row r="141" spans="1:8" ht="12.75">
      <c r="A141">
        <f ca="1">IFERROR(__xludf.DUMMYFUNCTION("""COMPUTED_VALUE"""),140)</f>
        <v>140</v>
      </c>
      <c r="B141">
        <f ca="1">IFERROR(__xludf.DUMMYFUNCTION("""COMPUTED_VALUE"""),130)</f>
        <v>130</v>
      </c>
      <c r="C141" t="str">
        <f ca="1">IFERROR(__xludf.DUMMYFUNCTION("""COMPUTED_VALUE"""),"Kiradech Aphibarnrat")</f>
        <v>Kiradech Aphibarnrat</v>
      </c>
      <c r="D141">
        <f ca="1">IFERROR(__xludf.DUMMYFUNCTION("""COMPUTED_VALUE"""),12)</f>
        <v>12</v>
      </c>
      <c r="E141">
        <f ca="1">IFERROR(__xludf.DUMMYFUNCTION("""COMPUTED_VALUE"""),71.576)</f>
        <v>71.575999999999993</v>
      </c>
      <c r="F141">
        <f ca="1">IFERROR(__xludf.DUMMYFUNCTION("""COMPUTED_VALUE"""),850)</f>
        <v>850</v>
      </c>
      <c r="G141">
        <f ca="1">IFERROR(__xludf.DUMMYFUNCTION("""COMPUTED_VALUE"""),8.907)</f>
        <v>8.907</v>
      </c>
      <c r="H141">
        <f ca="1">IFERROR(__xludf.DUMMYFUNCTION("""COMPUTED_VALUE"""),12)</f>
        <v>12</v>
      </c>
    </row>
    <row r="142" spans="1:8" ht="12.75">
      <c r="A142">
        <f ca="1">IFERROR(__xludf.DUMMYFUNCTION("""COMPUTED_VALUE"""),141)</f>
        <v>141</v>
      </c>
      <c r="B142">
        <f ca="1">IFERROR(__xludf.DUMMYFUNCTION("""COMPUTED_VALUE"""),131)</f>
        <v>131</v>
      </c>
      <c r="C142" t="str">
        <f ca="1">IFERROR(__xludf.DUMMYFUNCTION("""COMPUTED_VALUE"""),"Kevin Kisner")</f>
        <v>Kevin Kisner</v>
      </c>
      <c r="D142">
        <f ca="1">IFERROR(__xludf.DUMMYFUNCTION("""COMPUTED_VALUE"""),10)</f>
        <v>10</v>
      </c>
      <c r="E142">
        <f ca="1">IFERROR(__xludf.DUMMYFUNCTION("""COMPUTED_VALUE"""),71.585)</f>
        <v>71.584999999999994</v>
      </c>
      <c r="F142">
        <f ca="1">IFERROR(__xludf.DUMMYFUNCTION("""COMPUTED_VALUE"""),710)</f>
        <v>710</v>
      </c>
      <c r="G142">
        <f ca="1">IFERROR(__xludf.DUMMYFUNCTION("""COMPUTED_VALUE"""),5.846)</f>
        <v>5.8460000000000001</v>
      </c>
      <c r="H142">
        <f ca="1">IFERROR(__xludf.DUMMYFUNCTION("""COMPUTED_VALUE"""),10)</f>
        <v>10</v>
      </c>
    </row>
    <row r="143" spans="1:8" ht="12.75">
      <c r="A143">
        <f ca="1">IFERROR(__xludf.DUMMYFUNCTION("""COMPUTED_VALUE"""),142)</f>
        <v>142</v>
      </c>
      <c r="B143">
        <f ca="1">IFERROR(__xludf.DUMMYFUNCTION("""COMPUTED_VALUE"""),132)</f>
        <v>132</v>
      </c>
      <c r="C143" t="str">
        <f ca="1">IFERROR(__xludf.DUMMYFUNCTION("""COMPUTED_VALUE"""),"Chase Seiffert")</f>
        <v>Chase Seiffert</v>
      </c>
      <c r="D143">
        <f ca="1">IFERROR(__xludf.DUMMYFUNCTION("""COMPUTED_VALUE"""),14)</f>
        <v>14</v>
      </c>
      <c r="E143">
        <f ca="1">IFERROR(__xludf.DUMMYFUNCTION("""COMPUTED_VALUE"""),71.588)</f>
        <v>71.587999999999994</v>
      </c>
      <c r="F143">
        <f ca="1">IFERROR(__xludf.DUMMYFUNCTION("""COMPUTED_VALUE"""),987)</f>
        <v>987</v>
      </c>
      <c r="G143">
        <f ca="1">IFERROR(__xludf.DUMMYFUNCTION("""COMPUTED_VALUE"""),15.231)</f>
        <v>15.231</v>
      </c>
      <c r="H143">
        <f ca="1">IFERROR(__xludf.DUMMYFUNCTION("""COMPUTED_VALUE"""),14)</f>
        <v>14</v>
      </c>
    </row>
    <row r="144" spans="1:8" ht="12.75">
      <c r="A144">
        <f ca="1">IFERROR(__xludf.DUMMYFUNCTION("""COMPUTED_VALUE"""),143)</f>
        <v>143</v>
      </c>
      <c r="B144">
        <f ca="1">IFERROR(__xludf.DUMMYFUNCTION("""COMPUTED_VALUE"""),161)</f>
        <v>161</v>
      </c>
      <c r="C144" t="str">
        <f ca="1">IFERROR(__xludf.DUMMYFUNCTION("""COMPUTED_VALUE"""),"Mark Hubbard")</f>
        <v>Mark Hubbard</v>
      </c>
      <c r="D144">
        <f ca="1">IFERROR(__xludf.DUMMYFUNCTION("""COMPUTED_VALUE"""),20)</f>
        <v>20</v>
      </c>
      <c r="E144">
        <f ca="1">IFERROR(__xludf.DUMMYFUNCTION("""COMPUTED_VALUE"""),71.59)</f>
        <v>71.59</v>
      </c>
      <c r="F144" s="1">
        <f ca="1">IFERROR(__xludf.DUMMYFUNCTION("""COMPUTED_VALUE"""),1418)</f>
        <v>1418</v>
      </c>
      <c r="G144">
        <f ca="1">IFERROR(__xludf.DUMMYFUNCTION("""COMPUTED_VALUE"""),13.791)</f>
        <v>13.791</v>
      </c>
      <c r="H144">
        <f ca="1">IFERROR(__xludf.DUMMYFUNCTION("""COMPUTED_VALUE"""),20)</f>
        <v>20</v>
      </c>
    </row>
    <row r="145" spans="1:8" ht="12.75">
      <c r="A145">
        <f ca="1">IFERROR(__xludf.DUMMYFUNCTION("""COMPUTED_VALUE"""),144)</f>
        <v>144</v>
      </c>
      <c r="B145">
        <f ca="1">IFERROR(__xludf.DUMMYFUNCTION("""COMPUTED_VALUE"""),134)</f>
        <v>134</v>
      </c>
      <c r="C145" t="str">
        <f ca="1">IFERROR(__xludf.DUMMYFUNCTION("""COMPUTED_VALUE"""),"Billy Horschel")</f>
        <v>Billy Horschel</v>
      </c>
      <c r="D145">
        <f ca="1">IFERROR(__xludf.DUMMYFUNCTION("""COMPUTED_VALUE"""),12)</f>
        <v>12</v>
      </c>
      <c r="E145">
        <f ca="1">IFERROR(__xludf.DUMMYFUNCTION("""COMPUTED_VALUE"""),71.61)</f>
        <v>71.61</v>
      </c>
      <c r="F145">
        <f ca="1">IFERROR(__xludf.DUMMYFUNCTION("""COMPUTED_VALUE"""),862)</f>
        <v>862</v>
      </c>
      <c r="G145">
        <f ca="1">IFERROR(__xludf.DUMMYFUNCTION("""COMPUTED_VALUE"""),-2.683)</f>
        <v>-2.6829999999999998</v>
      </c>
      <c r="H145">
        <f ca="1">IFERROR(__xludf.DUMMYFUNCTION("""COMPUTED_VALUE"""),12)</f>
        <v>12</v>
      </c>
    </row>
    <row r="146" spans="1:8" ht="12.75">
      <c r="A146">
        <f ca="1">IFERROR(__xludf.DUMMYFUNCTION("""COMPUTED_VALUE"""),145)</f>
        <v>145</v>
      </c>
      <c r="B146">
        <f ca="1">IFERROR(__xludf.DUMMYFUNCTION("""COMPUTED_VALUE"""),135)</f>
        <v>135</v>
      </c>
      <c r="C146" t="str">
        <f ca="1">IFERROR(__xludf.DUMMYFUNCTION("""COMPUTED_VALUE"""),"Jim Furyk")</f>
        <v>Jim Furyk</v>
      </c>
      <c r="D146">
        <f ca="1">IFERROR(__xludf.DUMMYFUNCTION("""COMPUTED_VALUE"""),4)</f>
        <v>4</v>
      </c>
      <c r="E146">
        <f ca="1">IFERROR(__xludf.DUMMYFUNCTION("""COMPUTED_VALUE"""),71.614)</f>
        <v>71.614000000000004</v>
      </c>
      <c r="F146">
        <f ca="1">IFERROR(__xludf.DUMMYFUNCTION("""COMPUTED_VALUE"""),279)</f>
        <v>279</v>
      </c>
      <c r="G146">
        <f ca="1">IFERROR(__xludf.DUMMYFUNCTION("""COMPUTED_VALUE"""),7.456)</f>
        <v>7.4560000000000004</v>
      </c>
      <c r="H146">
        <f ca="1">IFERROR(__xludf.DUMMYFUNCTION("""COMPUTED_VALUE"""),4)</f>
        <v>4</v>
      </c>
    </row>
    <row r="147" spans="1:8" ht="12.75">
      <c r="A147">
        <f ca="1">IFERROR(__xludf.DUMMYFUNCTION("""COMPUTED_VALUE"""),146)</f>
        <v>146</v>
      </c>
      <c r="B147" t="str">
        <f ca="1">IFERROR(__xludf.DUMMYFUNCTION("""COMPUTED_VALUE"""),"")</f>
        <v/>
      </c>
      <c r="C147" t="str">
        <f ca="1">IFERROR(__xludf.DUMMYFUNCTION("""COMPUTED_VALUE"""),"Greg Chalmers")</f>
        <v>Greg Chalmers</v>
      </c>
      <c r="D147">
        <f ca="1">IFERROR(__xludf.DUMMYFUNCTION("""COMPUTED_VALUE"""),6)</f>
        <v>6</v>
      </c>
      <c r="E147">
        <f ca="1">IFERROR(__xludf.DUMMYFUNCTION("""COMPUTED_VALUE"""),71.637)</f>
        <v>71.637</v>
      </c>
      <c r="F147">
        <f ca="1">IFERROR(__xludf.DUMMYFUNCTION("""COMPUTED_VALUE"""),431)</f>
        <v>431</v>
      </c>
      <c r="G147">
        <f ca="1">IFERROR(__xludf.DUMMYFUNCTION("""COMPUTED_VALUE"""),-1.179)</f>
        <v>-1.179</v>
      </c>
      <c r="H147">
        <f ca="1">IFERROR(__xludf.DUMMYFUNCTION("""COMPUTED_VALUE"""),6)</f>
        <v>6</v>
      </c>
    </row>
    <row r="148" spans="1:8" ht="12.75">
      <c r="A148">
        <f ca="1">IFERROR(__xludf.DUMMYFUNCTION("""COMPUTED_VALUE"""),147)</f>
        <v>147</v>
      </c>
      <c r="B148">
        <f ca="1">IFERROR(__xludf.DUMMYFUNCTION("""COMPUTED_VALUE"""),107)</f>
        <v>107</v>
      </c>
      <c r="C148" t="str">
        <f ca="1">IFERROR(__xludf.DUMMYFUNCTION("""COMPUTED_VALUE"""),"Camilo Villegas")</f>
        <v>Camilo Villegas</v>
      </c>
      <c r="D148">
        <f ca="1">IFERROR(__xludf.DUMMYFUNCTION("""COMPUTED_VALUE"""),14)</f>
        <v>14</v>
      </c>
      <c r="E148">
        <f ca="1">IFERROR(__xludf.DUMMYFUNCTION("""COMPUTED_VALUE"""),71.656)</f>
        <v>71.656000000000006</v>
      </c>
      <c r="F148">
        <f ca="1">IFERROR(__xludf.DUMMYFUNCTION("""COMPUTED_VALUE"""),993)</f>
        <v>993</v>
      </c>
      <c r="G148">
        <f ca="1">IFERROR(__xludf.DUMMYFUNCTION("""COMPUTED_VALUE"""),10.178)</f>
        <v>10.178000000000001</v>
      </c>
      <c r="H148">
        <f ca="1">IFERROR(__xludf.DUMMYFUNCTION("""COMPUTED_VALUE"""),14)</f>
        <v>14</v>
      </c>
    </row>
    <row r="149" spans="1:8" ht="12.75">
      <c r="A149">
        <f ca="1">IFERROR(__xludf.DUMMYFUNCTION("""COMPUTED_VALUE"""),148)</f>
        <v>148</v>
      </c>
      <c r="B149">
        <f ca="1">IFERROR(__xludf.DUMMYFUNCTION("""COMPUTED_VALUE"""),136)</f>
        <v>136</v>
      </c>
      <c r="C149" t="str">
        <f ca="1">IFERROR(__xludf.DUMMYFUNCTION("""COMPUTED_VALUE"""),"Ben Martin")</f>
        <v>Ben Martin</v>
      </c>
      <c r="D149">
        <f ca="1">IFERROR(__xludf.DUMMYFUNCTION("""COMPUTED_VALUE"""),6)</f>
        <v>6</v>
      </c>
      <c r="E149">
        <f ca="1">IFERROR(__xludf.DUMMYFUNCTION("""COMPUTED_VALUE"""),71.664)</f>
        <v>71.664000000000001</v>
      </c>
      <c r="F149">
        <f ca="1">IFERROR(__xludf.DUMMYFUNCTION("""COMPUTED_VALUE"""),428)</f>
        <v>428</v>
      </c>
      <c r="G149">
        <f ca="1">IFERROR(__xludf.DUMMYFUNCTION("""COMPUTED_VALUE"""),1.982)</f>
        <v>1.982</v>
      </c>
      <c r="H149">
        <f ca="1">IFERROR(__xludf.DUMMYFUNCTION("""COMPUTED_VALUE"""),6)</f>
        <v>6</v>
      </c>
    </row>
    <row r="150" spans="1:8" ht="12.75">
      <c r="A150">
        <f ca="1">IFERROR(__xludf.DUMMYFUNCTION("""COMPUTED_VALUE"""),149)</f>
        <v>149</v>
      </c>
      <c r="B150">
        <f ca="1">IFERROR(__xludf.DUMMYFUNCTION("""COMPUTED_VALUE"""),140)</f>
        <v>140</v>
      </c>
      <c r="C150" t="str">
        <f ca="1">IFERROR(__xludf.DUMMYFUNCTION("""COMPUTED_VALUE"""),"Sean O'Hair")</f>
        <v>Sean O'Hair</v>
      </c>
      <c r="D150">
        <f ca="1">IFERROR(__xludf.DUMMYFUNCTION("""COMPUTED_VALUE"""),14)</f>
        <v>14</v>
      </c>
      <c r="E150">
        <f ca="1">IFERROR(__xludf.DUMMYFUNCTION("""COMPUTED_VALUE"""),71.681)</f>
        <v>71.680999999999997</v>
      </c>
      <c r="F150">
        <f ca="1">IFERROR(__xludf.DUMMYFUNCTION("""COMPUTED_VALUE"""),992)</f>
        <v>992</v>
      </c>
      <c r="G150">
        <f ca="1">IFERROR(__xludf.DUMMYFUNCTION("""COMPUTED_VALUE"""),11.535)</f>
        <v>11.535</v>
      </c>
      <c r="H150">
        <f ca="1">IFERROR(__xludf.DUMMYFUNCTION("""COMPUTED_VALUE"""),14)</f>
        <v>14</v>
      </c>
    </row>
    <row r="151" spans="1:8" ht="12.75">
      <c r="A151">
        <f ca="1">IFERROR(__xludf.DUMMYFUNCTION("""COMPUTED_VALUE"""),150)</f>
        <v>150</v>
      </c>
      <c r="B151">
        <f ca="1">IFERROR(__xludf.DUMMYFUNCTION("""COMPUTED_VALUE"""),138)</f>
        <v>138</v>
      </c>
      <c r="C151" t="str">
        <f ca="1">IFERROR(__xludf.DUMMYFUNCTION("""COMPUTED_VALUE"""),"Vincent Whaley")</f>
        <v>Vincent Whaley</v>
      </c>
      <c r="D151">
        <f ca="1">IFERROR(__xludf.DUMMYFUNCTION("""COMPUTED_VALUE"""),14)</f>
        <v>14</v>
      </c>
      <c r="E151">
        <f ca="1">IFERROR(__xludf.DUMMYFUNCTION("""COMPUTED_VALUE"""),71.683)</f>
        <v>71.683000000000007</v>
      </c>
      <c r="F151">
        <f ca="1">IFERROR(__xludf.DUMMYFUNCTION("""COMPUTED_VALUE"""),990)</f>
        <v>990</v>
      </c>
      <c r="G151">
        <f ca="1">IFERROR(__xludf.DUMMYFUNCTION("""COMPUTED_VALUE"""),13.563)</f>
        <v>13.563000000000001</v>
      </c>
      <c r="H151">
        <f ca="1">IFERROR(__xludf.DUMMYFUNCTION("""COMPUTED_VALUE"""),14)</f>
        <v>14</v>
      </c>
    </row>
    <row r="152" spans="1:8" ht="12.75">
      <c r="A152">
        <f ca="1">IFERROR(__xludf.DUMMYFUNCTION("""COMPUTED_VALUE"""),151)</f>
        <v>151</v>
      </c>
      <c r="B152">
        <f ca="1">IFERROR(__xludf.DUMMYFUNCTION("""COMPUTED_VALUE"""),126)</f>
        <v>126</v>
      </c>
      <c r="C152" t="str">
        <f ca="1">IFERROR(__xludf.DUMMYFUNCTION("""COMPUTED_VALUE"""),"Jason Dufner")</f>
        <v>Jason Dufner</v>
      </c>
      <c r="D152">
        <f ca="1">IFERROR(__xludf.DUMMYFUNCTION("""COMPUTED_VALUE"""),14)</f>
        <v>14</v>
      </c>
      <c r="E152">
        <f ca="1">IFERROR(__xludf.DUMMYFUNCTION("""COMPUTED_VALUE"""),71.69)</f>
        <v>71.69</v>
      </c>
      <c r="F152">
        <f ca="1">IFERROR(__xludf.DUMMYFUNCTION("""COMPUTED_VALUE"""),992)</f>
        <v>992</v>
      </c>
      <c r="G152">
        <f ca="1">IFERROR(__xludf.DUMMYFUNCTION("""COMPUTED_VALUE"""),11.661)</f>
        <v>11.661</v>
      </c>
      <c r="H152">
        <f ca="1">IFERROR(__xludf.DUMMYFUNCTION("""COMPUTED_VALUE"""),14)</f>
        <v>14</v>
      </c>
    </row>
    <row r="153" spans="1:8" ht="12.75">
      <c r="A153">
        <f ca="1">IFERROR(__xludf.DUMMYFUNCTION("""COMPUTED_VALUE"""),152)</f>
        <v>152</v>
      </c>
      <c r="B153">
        <f ca="1">IFERROR(__xludf.DUMMYFUNCTION("""COMPUTED_VALUE"""),157)</f>
        <v>157</v>
      </c>
      <c r="C153" t="str">
        <f ca="1">IFERROR(__xludf.DUMMYFUNCTION("""COMPUTED_VALUE"""),"Hudson Swafford")</f>
        <v>Hudson Swafford</v>
      </c>
      <c r="D153">
        <f ca="1">IFERROR(__xludf.DUMMYFUNCTION("""COMPUTED_VALUE"""),18)</f>
        <v>18</v>
      </c>
      <c r="E153">
        <f ca="1">IFERROR(__xludf.DUMMYFUNCTION("""COMPUTED_VALUE"""),71.736)</f>
        <v>71.736000000000004</v>
      </c>
      <c r="F153" s="1">
        <f ca="1">IFERROR(__xludf.DUMMYFUNCTION("""COMPUTED_VALUE"""),1276)</f>
        <v>1276</v>
      </c>
      <c r="G153">
        <f ca="1">IFERROR(__xludf.DUMMYFUNCTION("""COMPUTED_VALUE"""),15.251)</f>
        <v>15.250999999999999</v>
      </c>
      <c r="H153">
        <f ca="1">IFERROR(__xludf.DUMMYFUNCTION("""COMPUTED_VALUE"""),18)</f>
        <v>18</v>
      </c>
    </row>
    <row r="154" spans="1:8" ht="12.75">
      <c r="A154">
        <f ca="1">IFERROR(__xludf.DUMMYFUNCTION("""COMPUTED_VALUE"""),153)</f>
        <v>153</v>
      </c>
      <c r="B154" t="str">
        <f ca="1">IFERROR(__xludf.DUMMYFUNCTION("""COMPUTED_VALUE"""),"T141")</f>
        <v>T141</v>
      </c>
      <c r="C154" t="str">
        <f ca="1">IFERROR(__xludf.DUMMYFUNCTION("""COMPUTED_VALUE"""),"Robert Streb")</f>
        <v>Robert Streb</v>
      </c>
      <c r="D154">
        <f ca="1">IFERROR(__xludf.DUMMYFUNCTION("""COMPUTED_VALUE"""),12)</f>
        <v>12</v>
      </c>
      <c r="E154">
        <f ca="1">IFERROR(__xludf.DUMMYFUNCTION("""COMPUTED_VALUE"""),71.742)</f>
        <v>71.742000000000004</v>
      </c>
      <c r="F154">
        <f ca="1">IFERROR(__xludf.DUMMYFUNCTION("""COMPUTED_VALUE"""),852)</f>
        <v>852</v>
      </c>
      <c r="G154">
        <f ca="1">IFERROR(__xludf.DUMMYFUNCTION("""COMPUTED_VALUE"""),8.907)</f>
        <v>8.907</v>
      </c>
      <c r="H154">
        <f ca="1">IFERROR(__xludf.DUMMYFUNCTION("""COMPUTED_VALUE"""),12)</f>
        <v>12</v>
      </c>
    </row>
    <row r="155" spans="1:8" ht="12.75">
      <c r="A155">
        <f ca="1">IFERROR(__xludf.DUMMYFUNCTION("""COMPUTED_VALUE"""),154)</f>
        <v>154</v>
      </c>
      <c r="B155">
        <f ca="1">IFERROR(__xludf.DUMMYFUNCTION("""COMPUTED_VALUE"""),106)</f>
        <v>106</v>
      </c>
      <c r="C155" t="str">
        <f ca="1">IFERROR(__xludf.DUMMYFUNCTION("""COMPUTED_VALUE"""),"Danny Willett")</f>
        <v>Danny Willett</v>
      </c>
      <c r="D155">
        <f ca="1">IFERROR(__xludf.DUMMYFUNCTION("""COMPUTED_VALUE"""),7)</f>
        <v>7</v>
      </c>
      <c r="E155">
        <f ca="1">IFERROR(__xludf.DUMMYFUNCTION("""COMPUTED_VALUE"""),71.776)</f>
        <v>71.775999999999996</v>
      </c>
      <c r="F155">
        <f ca="1">IFERROR(__xludf.DUMMYFUNCTION("""COMPUTED_VALUE"""),512)</f>
        <v>512</v>
      </c>
      <c r="G155">
        <f ca="1">IFERROR(__xludf.DUMMYFUNCTION("""COMPUTED_VALUE"""),-9.565)</f>
        <v>-9.5649999999999995</v>
      </c>
      <c r="H155">
        <f ca="1">IFERROR(__xludf.DUMMYFUNCTION("""COMPUTED_VALUE"""),7)</f>
        <v>7</v>
      </c>
    </row>
    <row r="156" spans="1:8" ht="12.75">
      <c r="A156">
        <f ca="1">IFERROR(__xludf.DUMMYFUNCTION("""COMPUTED_VALUE"""),155)</f>
        <v>155</v>
      </c>
      <c r="B156">
        <f ca="1">IFERROR(__xludf.DUMMYFUNCTION("""COMPUTED_VALUE"""),143)</f>
        <v>143</v>
      </c>
      <c r="C156" t="str">
        <f ca="1">IFERROR(__xludf.DUMMYFUNCTION("""COMPUTED_VALUE"""),"Matt Kuchar")</f>
        <v>Matt Kuchar</v>
      </c>
      <c r="D156">
        <f ca="1">IFERROR(__xludf.DUMMYFUNCTION("""COMPUTED_VALUE"""),14)</f>
        <v>14</v>
      </c>
      <c r="E156">
        <f ca="1">IFERROR(__xludf.DUMMYFUNCTION("""COMPUTED_VALUE"""),71.777)</f>
        <v>71.777000000000001</v>
      </c>
      <c r="F156">
        <f ca="1">IFERROR(__xludf.DUMMYFUNCTION("""COMPUTED_VALUE"""),989)</f>
        <v>989</v>
      </c>
      <c r="G156">
        <f ca="1">IFERROR(__xludf.DUMMYFUNCTION("""COMPUTED_VALUE"""),15.877)</f>
        <v>15.877000000000001</v>
      </c>
      <c r="H156">
        <f ca="1">IFERROR(__xludf.DUMMYFUNCTION("""COMPUTED_VALUE"""),14)</f>
        <v>14</v>
      </c>
    </row>
    <row r="157" spans="1:8" ht="12.75">
      <c r="A157">
        <f ca="1">IFERROR(__xludf.DUMMYFUNCTION("""COMPUTED_VALUE"""),156)</f>
        <v>156</v>
      </c>
      <c r="B157">
        <f ca="1">IFERROR(__xludf.DUMMYFUNCTION("""COMPUTED_VALUE"""),166)</f>
        <v>166</v>
      </c>
      <c r="C157" t="str">
        <f ca="1">IFERROR(__xludf.DUMMYFUNCTION("""COMPUTED_VALUE"""),"Dylan Frittelli")</f>
        <v>Dylan Frittelli</v>
      </c>
      <c r="D157">
        <f ca="1">IFERROR(__xludf.DUMMYFUNCTION("""COMPUTED_VALUE"""),16)</f>
        <v>16</v>
      </c>
      <c r="E157">
        <f ca="1">IFERROR(__xludf.DUMMYFUNCTION("""COMPUTED_VALUE"""),71.783)</f>
        <v>71.783000000000001</v>
      </c>
      <c r="F157" s="1">
        <f ca="1">IFERROR(__xludf.DUMMYFUNCTION("""COMPUTED_VALUE"""),1127)</f>
        <v>1127</v>
      </c>
      <c r="G157">
        <f ca="1">IFERROR(__xludf.DUMMYFUNCTION("""COMPUTED_VALUE"""),21.526)</f>
        <v>21.526</v>
      </c>
      <c r="H157">
        <f ca="1">IFERROR(__xludf.DUMMYFUNCTION("""COMPUTED_VALUE"""),16)</f>
        <v>16</v>
      </c>
    </row>
    <row r="158" spans="1:8" ht="12.75">
      <c r="A158">
        <f ca="1">IFERROR(__xludf.DUMMYFUNCTION("""COMPUTED_VALUE"""),157)</f>
        <v>157</v>
      </c>
      <c r="B158">
        <f ca="1">IFERROR(__xludf.DUMMYFUNCTION("""COMPUTED_VALUE"""),144)</f>
        <v>144</v>
      </c>
      <c r="C158" t="str">
        <f ca="1">IFERROR(__xludf.DUMMYFUNCTION("""COMPUTED_VALUE"""),"Justin Rose")</f>
        <v>Justin Rose</v>
      </c>
      <c r="D158">
        <f ca="1">IFERROR(__xludf.DUMMYFUNCTION("""COMPUTED_VALUE"""),10)</f>
        <v>10</v>
      </c>
      <c r="E158">
        <f ca="1">IFERROR(__xludf.DUMMYFUNCTION("""COMPUTED_VALUE"""),71.785)</f>
        <v>71.784999999999997</v>
      </c>
      <c r="F158">
        <f ca="1">IFERROR(__xludf.DUMMYFUNCTION("""COMPUTED_VALUE"""),712)</f>
        <v>712</v>
      </c>
      <c r="G158">
        <f ca="1">IFERROR(__xludf.DUMMYFUNCTION("""COMPUTED_VALUE"""),5.846)</f>
        <v>5.8460000000000001</v>
      </c>
      <c r="H158">
        <f ca="1">IFERROR(__xludf.DUMMYFUNCTION("""COMPUTED_VALUE"""),10)</f>
        <v>10</v>
      </c>
    </row>
    <row r="159" spans="1:8" ht="12.75">
      <c r="A159">
        <f ca="1">IFERROR(__xludf.DUMMYFUNCTION("""COMPUTED_VALUE"""),158)</f>
        <v>158</v>
      </c>
      <c r="B159" t="str">
        <f ca="1">IFERROR(__xludf.DUMMYFUNCTION("""COMPUTED_VALUE"""),"T141")</f>
        <v>T141</v>
      </c>
      <c r="C159" t="str">
        <f ca="1">IFERROR(__xludf.DUMMYFUNCTION("""COMPUTED_VALUE"""),"Patrick Rodgers")</f>
        <v>Patrick Rodgers</v>
      </c>
      <c r="D159">
        <f ca="1">IFERROR(__xludf.DUMMYFUNCTION("""COMPUTED_VALUE"""),18)</f>
        <v>18</v>
      </c>
      <c r="E159">
        <f ca="1">IFERROR(__xludf.DUMMYFUNCTION("""COMPUTED_VALUE"""),71.792)</f>
        <v>71.792000000000002</v>
      </c>
      <c r="F159" s="1">
        <f ca="1">IFERROR(__xludf.DUMMYFUNCTION("""COMPUTED_VALUE"""),1277)</f>
        <v>1277</v>
      </c>
      <c r="G159">
        <f ca="1">IFERROR(__xludf.DUMMYFUNCTION("""COMPUTED_VALUE"""),15.251)</f>
        <v>15.250999999999999</v>
      </c>
      <c r="H159">
        <f ca="1">IFERROR(__xludf.DUMMYFUNCTION("""COMPUTED_VALUE"""),18)</f>
        <v>18</v>
      </c>
    </row>
    <row r="160" spans="1:8" ht="12.75">
      <c r="A160">
        <f ca="1">IFERROR(__xludf.DUMMYFUNCTION("""COMPUTED_VALUE"""),159)</f>
        <v>159</v>
      </c>
      <c r="B160">
        <f ca="1">IFERROR(__xludf.DUMMYFUNCTION("""COMPUTED_VALUE"""),146)</f>
        <v>146</v>
      </c>
      <c r="C160" t="str">
        <f ca="1">IFERROR(__xludf.DUMMYFUNCTION("""COMPUTED_VALUE"""),"Rickie Fowler")</f>
        <v>Rickie Fowler</v>
      </c>
      <c r="D160">
        <f ca="1">IFERROR(__xludf.DUMMYFUNCTION("""COMPUTED_VALUE"""),14)</f>
        <v>14</v>
      </c>
      <c r="E160">
        <f ca="1">IFERROR(__xludf.DUMMYFUNCTION("""COMPUTED_VALUE"""),71.795)</f>
        <v>71.795000000000002</v>
      </c>
      <c r="F160" s="1">
        <f ca="1">IFERROR(__xludf.DUMMYFUNCTION("""COMPUTED_VALUE"""),1002)</f>
        <v>1002</v>
      </c>
      <c r="G160">
        <f ca="1">IFERROR(__xludf.DUMMYFUNCTION("""COMPUTED_VALUE"""),3.135)</f>
        <v>3.1349999999999998</v>
      </c>
      <c r="H160">
        <f ca="1">IFERROR(__xludf.DUMMYFUNCTION("""COMPUTED_VALUE"""),14)</f>
        <v>14</v>
      </c>
    </row>
    <row r="161" spans="1:8" ht="12.75">
      <c r="A161">
        <f ca="1">IFERROR(__xludf.DUMMYFUNCTION("""COMPUTED_VALUE"""),160)</f>
        <v>160</v>
      </c>
      <c r="B161">
        <f ca="1">IFERROR(__xludf.DUMMYFUNCTION("""COMPUTED_VALUE"""),147)</f>
        <v>147</v>
      </c>
      <c r="C161" t="str">
        <f ca="1">IFERROR(__xludf.DUMMYFUNCTION("""COMPUTED_VALUE"""),"Ryan Blaum")</f>
        <v>Ryan Blaum</v>
      </c>
      <c r="D161">
        <f ca="1">IFERROR(__xludf.DUMMYFUNCTION("""COMPUTED_VALUE"""),8)</f>
        <v>8</v>
      </c>
      <c r="E161">
        <f ca="1">IFERROR(__xludf.DUMMYFUNCTION("""COMPUTED_VALUE"""),71.818)</f>
        <v>71.817999999999998</v>
      </c>
      <c r="F161">
        <f ca="1">IFERROR(__xludf.DUMMYFUNCTION("""COMPUTED_VALUE"""),567)</f>
        <v>567</v>
      </c>
      <c r="G161">
        <f ca="1">IFERROR(__xludf.DUMMYFUNCTION("""COMPUTED_VALUE"""),7.545)</f>
        <v>7.5449999999999999</v>
      </c>
      <c r="H161">
        <f ca="1">IFERROR(__xludf.DUMMYFUNCTION("""COMPUTED_VALUE"""),8)</f>
        <v>8</v>
      </c>
    </row>
    <row r="162" spans="1:8" ht="12.75">
      <c r="A162">
        <f ca="1">IFERROR(__xludf.DUMMYFUNCTION("""COMPUTED_VALUE"""),161)</f>
        <v>161</v>
      </c>
      <c r="B162">
        <f ca="1">IFERROR(__xludf.DUMMYFUNCTION("""COMPUTED_VALUE"""),148)</f>
        <v>148</v>
      </c>
      <c r="C162" t="str">
        <f ca="1">IFERROR(__xludf.DUMMYFUNCTION("""COMPUTED_VALUE"""),"Seamus Power")</f>
        <v>Seamus Power</v>
      </c>
      <c r="D162">
        <f ca="1">IFERROR(__xludf.DUMMYFUNCTION("""COMPUTED_VALUE"""),8)</f>
        <v>8</v>
      </c>
      <c r="E162">
        <f ca="1">IFERROR(__xludf.DUMMYFUNCTION("""COMPUTED_VALUE"""),71.82)</f>
        <v>71.819999999999993</v>
      </c>
      <c r="F162">
        <f ca="1">IFERROR(__xludf.DUMMYFUNCTION("""COMPUTED_VALUE"""),569)</f>
        <v>569</v>
      </c>
      <c r="G162">
        <f ca="1">IFERROR(__xludf.DUMMYFUNCTION("""COMPUTED_VALUE"""),5.556)</f>
        <v>5.556</v>
      </c>
      <c r="H162">
        <f ca="1">IFERROR(__xludf.DUMMYFUNCTION("""COMPUTED_VALUE"""),8)</f>
        <v>8</v>
      </c>
    </row>
    <row r="163" spans="1:8" ht="12.75">
      <c r="A163">
        <f ca="1">IFERROR(__xludf.DUMMYFUNCTION("""COMPUTED_VALUE"""),162)</f>
        <v>162</v>
      </c>
      <c r="B163">
        <f ca="1">IFERROR(__xludf.DUMMYFUNCTION("""COMPUTED_VALUE"""),169)</f>
        <v>169</v>
      </c>
      <c r="C163" t="str">
        <f ca="1">IFERROR(__xludf.DUMMYFUNCTION("""COMPUTED_VALUE"""),"Vaughn Taylor")</f>
        <v>Vaughn Taylor</v>
      </c>
      <c r="D163">
        <f ca="1">IFERROR(__xludf.DUMMYFUNCTION("""COMPUTED_VALUE"""),12)</f>
        <v>12</v>
      </c>
      <c r="E163">
        <f ca="1">IFERROR(__xludf.DUMMYFUNCTION("""COMPUTED_VALUE"""),71.825)</f>
        <v>71.825000000000003</v>
      </c>
      <c r="F163">
        <f ca="1">IFERROR(__xludf.DUMMYFUNCTION("""COMPUTED_VALUE"""),856)</f>
        <v>856</v>
      </c>
      <c r="G163">
        <f ca="1">IFERROR(__xludf.DUMMYFUNCTION("""COMPUTED_VALUE"""),5.902)</f>
        <v>5.9020000000000001</v>
      </c>
      <c r="H163">
        <f ca="1">IFERROR(__xludf.DUMMYFUNCTION("""COMPUTED_VALUE"""),12)</f>
        <v>12</v>
      </c>
    </row>
    <row r="164" spans="1:8" ht="12.75">
      <c r="A164">
        <f ca="1">IFERROR(__xludf.DUMMYFUNCTION("""COMPUTED_VALUE"""),163)</f>
        <v>163</v>
      </c>
      <c r="B164">
        <f ca="1">IFERROR(__xludf.DUMMYFUNCTION("""COMPUTED_VALUE"""),152)</f>
        <v>152</v>
      </c>
      <c r="C164" t="str">
        <f ca="1">IFERROR(__xludf.DUMMYFUNCTION("""COMPUTED_VALUE"""),"Byeong Hun An")</f>
        <v>Byeong Hun An</v>
      </c>
      <c r="D164">
        <f ca="1">IFERROR(__xludf.DUMMYFUNCTION("""COMPUTED_VALUE"""),14)</f>
        <v>14</v>
      </c>
      <c r="E164">
        <f ca="1">IFERROR(__xludf.DUMMYFUNCTION("""COMPUTED_VALUE"""),71.866)</f>
        <v>71.866</v>
      </c>
      <c r="F164">
        <f ca="1">IFERROR(__xludf.DUMMYFUNCTION("""COMPUTED_VALUE"""),993)</f>
        <v>993</v>
      </c>
      <c r="G164">
        <f ca="1">IFERROR(__xludf.DUMMYFUNCTION("""COMPUTED_VALUE"""),13.122)</f>
        <v>13.122</v>
      </c>
      <c r="H164">
        <f ca="1">IFERROR(__xludf.DUMMYFUNCTION("""COMPUTED_VALUE"""),14)</f>
        <v>14</v>
      </c>
    </row>
    <row r="165" spans="1:8" ht="12.75">
      <c r="A165">
        <f ca="1">IFERROR(__xludf.DUMMYFUNCTION("""COMPUTED_VALUE"""),164)</f>
        <v>164</v>
      </c>
      <c r="B165">
        <f ca="1">IFERROR(__xludf.DUMMYFUNCTION("""COMPUTED_VALUE"""),163)</f>
        <v>163</v>
      </c>
      <c r="C165" t="str">
        <f ca="1">IFERROR(__xludf.DUMMYFUNCTION("""COMPUTED_VALUE"""),"Bo Hoag")</f>
        <v>Bo Hoag</v>
      </c>
      <c r="D165">
        <f ca="1">IFERROR(__xludf.DUMMYFUNCTION("""COMPUTED_VALUE"""),14)</f>
        <v>14</v>
      </c>
      <c r="E165">
        <f ca="1">IFERROR(__xludf.DUMMYFUNCTION("""COMPUTED_VALUE"""),71.871)</f>
        <v>71.870999999999995</v>
      </c>
      <c r="F165">
        <f ca="1">IFERROR(__xludf.DUMMYFUNCTION("""COMPUTED_VALUE"""),995)</f>
        <v>995</v>
      </c>
      <c r="G165">
        <f ca="1">IFERROR(__xludf.DUMMYFUNCTION("""COMPUTED_VALUE"""),11.197)</f>
        <v>11.196999999999999</v>
      </c>
      <c r="H165">
        <f ca="1">IFERROR(__xludf.DUMMYFUNCTION("""COMPUTED_VALUE"""),14)</f>
        <v>14</v>
      </c>
    </row>
    <row r="166" spans="1:8" ht="12.75">
      <c r="A166">
        <f ca="1">IFERROR(__xludf.DUMMYFUNCTION("""COMPUTED_VALUE"""),165)</f>
        <v>165</v>
      </c>
      <c r="B166">
        <f ca="1">IFERROR(__xludf.DUMMYFUNCTION("""COMPUTED_VALUE"""),154)</f>
        <v>154</v>
      </c>
      <c r="C166" t="str">
        <f ca="1">IFERROR(__xludf.DUMMYFUNCTION("""COMPUTED_VALUE"""),"Fred Funk")</f>
        <v>Fred Funk</v>
      </c>
      <c r="D166">
        <f ca="1">IFERROR(__xludf.DUMMYFUNCTION("""COMPUTED_VALUE"""),4)</f>
        <v>4</v>
      </c>
      <c r="E166">
        <f ca="1">IFERROR(__xludf.DUMMYFUNCTION("""COMPUTED_VALUE"""),71.888)</f>
        <v>71.888000000000005</v>
      </c>
      <c r="F166">
        <f ca="1">IFERROR(__xludf.DUMMYFUNCTION("""COMPUTED_VALUE"""),287)</f>
        <v>287</v>
      </c>
      <c r="G166">
        <f ca="1">IFERROR(__xludf.DUMMYFUNCTION("""COMPUTED_VALUE"""),0.553)</f>
        <v>0.55300000000000005</v>
      </c>
      <c r="H166">
        <f ca="1">IFERROR(__xludf.DUMMYFUNCTION("""COMPUTED_VALUE"""),4)</f>
        <v>4</v>
      </c>
    </row>
    <row r="167" spans="1:8" ht="12.75">
      <c r="A167">
        <f ca="1">IFERROR(__xludf.DUMMYFUNCTION("""COMPUTED_VALUE"""),166)</f>
        <v>166</v>
      </c>
      <c r="B167">
        <f ca="1">IFERROR(__xludf.DUMMYFUNCTION("""COMPUTED_VALUE"""),137)</f>
        <v>137</v>
      </c>
      <c r="C167" t="str">
        <f ca="1">IFERROR(__xludf.DUMMYFUNCTION("""COMPUTED_VALUE"""),"Branden Grace")</f>
        <v>Branden Grace</v>
      </c>
      <c r="D167">
        <f ca="1">IFERROR(__xludf.DUMMYFUNCTION("""COMPUTED_VALUE"""),16)</f>
        <v>16</v>
      </c>
      <c r="E167">
        <f ca="1">IFERROR(__xludf.DUMMYFUNCTION("""COMPUTED_VALUE"""),71.92)</f>
        <v>71.92</v>
      </c>
      <c r="F167" s="1">
        <f ca="1">IFERROR(__xludf.DUMMYFUNCTION("""COMPUTED_VALUE"""),1151)</f>
        <v>1151</v>
      </c>
      <c r="G167">
        <f ca="1">IFERROR(__xludf.DUMMYFUNCTION("""COMPUTED_VALUE"""),-0.275)</f>
        <v>-0.27500000000000002</v>
      </c>
      <c r="H167">
        <f ca="1">IFERROR(__xludf.DUMMYFUNCTION("""COMPUTED_VALUE"""),16)</f>
        <v>16</v>
      </c>
    </row>
    <row r="168" spans="1:8" ht="12.75">
      <c r="A168">
        <f ca="1">IFERROR(__xludf.DUMMYFUNCTION("""COMPUTED_VALUE"""),167)</f>
        <v>167</v>
      </c>
      <c r="B168">
        <f ca="1">IFERROR(__xludf.DUMMYFUNCTION("""COMPUTED_VALUE"""),162)</f>
        <v>162</v>
      </c>
      <c r="C168" t="str">
        <f ca="1">IFERROR(__xludf.DUMMYFUNCTION("""COMPUTED_VALUE"""),"Andrew Landry")</f>
        <v>Andrew Landry</v>
      </c>
      <c r="D168">
        <f ca="1">IFERROR(__xludf.DUMMYFUNCTION("""COMPUTED_VALUE"""),14)</f>
        <v>14</v>
      </c>
      <c r="E168">
        <f ca="1">IFERROR(__xludf.DUMMYFUNCTION("""COMPUTED_VALUE"""),71.933)</f>
        <v>71.933000000000007</v>
      </c>
      <c r="F168">
        <f ca="1">IFERROR(__xludf.DUMMYFUNCTION("""COMPUTED_VALUE"""),987)</f>
        <v>987</v>
      </c>
      <c r="G168">
        <f ca="1">IFERROR(__xludf.DUMMYFUNCTION("""COMPUTED_VALUE"""),20.068)</f>
        <v>20.068000000000001</v>
      </c>
      <c r="H168">
        <f ca="1">IFERROR(__xludf.DUMMYFUNCTION("""COMPUTED_VALUE"""),14)</f>
        <v>14</v>
      </c>
    </row>
    <row r="169" spans="1:8" ht="12.75">
      <c r="A169">
        <f ca="1">IFERROR(__xludf.DUMMYFUNCTION("""COMPUTED_VALUE"""),168)</f>
        <v>168</v>
      </c>
      <c r="B169">
        <f ca="1">IFERROR(__xludf.DUMMYFUNCTION("""COMPUTED_VALUE"""),159)</f>
        <v>159</v>
      </c>
      <c r="C169" t="str">
        <f ca="1">IFERROR(__xludf.DUMMYFUNCTION("""COMPUTED_VALUE"""),"Johnson Wagner")</f>
        <v>Johnson Wagner</v>
      </c>
      <c r="D169">
        <f ca="1">IFERROR(__xludf.DUMMYFUNCTION("""COMPUTED_VALUE"""),8)</f>
        <v>8</v>
      </c>
      <c r="E169">
        <f ca="1">IFERROR(__xludf.DUMMYFUNCTION("""COMPUTED_VALUE"""),71.945)</f>
        <v>71.944999999999993</v>
      </c>
      <c r="F169">
        <f ca="1">IFERROR(__xludf.DUMMYFUNCTION("""COMPUTED_VALUE"""),570)</f>
        <v>570</v>
      </c>
      <c r="G169">
        <f ca="1">IFERROR(__xludf.DUMMYFUNCTION("""COMPUTED_VALUE"""),5.556)</f>
        <v>5.556</v>
      </c>
      <c r="H169">
        <f ca="1">IFERROR(__xludf.DUMMYFUNCTION("""COMPUTED_VALUE"""),8)</f>
        <v>8</v>
      </c>
    </row>
    <row r="170" spans="1:8" ht="12.75">
      <c r="A170">
        <f ca="1">IFERROR(__xludf.DUMMYFUNCTION("""COMPUTED_VALUE"""),169)</f>
        <v>169</v>
      </c>
      <c r="B170">
        <f ca="1">IFERROR(__xludf.DUMMYFUNCTION("""COMPUTED_VALUE"""),160)</f>
        <v>160</v>
      </c>
      <c r="C170" t="str">
        <f ca="1">IFERROR(__xludf.DUMMYFUNCTION("""COMPUTED_VALUE"""),"Bill Haas")</f>
        <v>Bill Haas</v>
      </c>
      <c r="D170">
        <f ca="1">IFERROR(__xludf.DUMMYFUNCTION("""COMPUTED_VALUE"""),10)</f>
        <v>10</v>
      </c>
      <c r="E170">
        <f ca="1">IFERROR(__xludf.DUMMYFUNCTION("""COMPUTED_VALUE"""),71.952)</f>
        <v>71.951999999999998</v>
      </c>
      <c r="F170">
        <f ca="1">IFERROR(__xludf.DUMMYFUNCTION("""COMPUTED_VALUE"""),712)</f>
        <v>712</v>
      </c>
      <c r="G170">
        <f ca="1">IFERROR(__xludf.DUMMYFUNCTION("""COMPUTED_VALUE"""),7.52)</f>
        <v>7.52</v>
      </c>
      <c r="H170">
        <f ca="1">IFERROR(__xludf.DUMMYFUNCTION("""COMPUTED_VALUE"""),10)</f>
        <v>10</v>
      </c>
    </row>
    <row r="171" spans="1:8" ht="12.75">
      <c r="A171">
        <f ca="1">IFERROR(__xludf.DUMMYFUNCTION("""COMPUTED_VALUE"""),170)</f>
        <v>170</v>
      </c>
      <c r="B171">
        <f ca="1">IFERROR(__xludf.DUMMYFUNCTION("""COMPUTED_VALUE"""),176)</f>
        <v>176</v>
      </c>
      <c r="C171" t="str">
        <f ca="1">IFERROR(__xludf.DUMMYFUNCTION("""COMPUTED_VALUE"""),"Jordan Spieth")</f>
        <v>Jordan Spieth</v>
      </c>
      <c r="D171">
        <f ca="1">IFERROR(__xludf.DUMMYFUNCTION("""COMPUTED_VALUE"""),14)</f>
        <v>14</v>
      </c>
      <c r="E171">
        <f ca="1">IFERROR(__xludf.DUMMYFUNCTION("""COMPUTED_VALUE"""),71.966)</f>
        <v>71.965999999999994</v>
      </c>
      <c r="F171" s="1">
        <f ca="1">IFERROR(__xludf.DUMMYFUNCTION("""COMPUTED_VALUE"""),1002)</f>
        <v>1002</v>
      </c>
      <c r="G171">
        <f ca="1">IFERROR(__xludf.DUMMYFUNCTION("""COMPUTED_VALUE"""),5.528)</f>
        <v>5.5279999999999996</v>
      </c>
      <c r="H171">
        <f ca="1">IFERROR(__xludf.DUMMYFUNCTION("""COMPUTED_VALUE"""),14)</f>
        <v>14</v>
      </c>
    </row>
    <row r="172" spans="1:8" ht="12.75">
      <c r="A172">
        <f ca="1">IFERROR(__xludf.DUMMYFUNCTION("""COMPUTED_VALUE"""),171)</f>
        <v>171</v>
      </c>
      <c r="B172">
        <f ca="1">IFERROR(__xludf.DUMMYFUNCTION("""COMPUTED_VALUE"""),158)</f>
        <v>158</v>
      </c>
      <c r="C172" t="str">
        <f ca="1">IFERROR(__xludf.DUMMYFUNCTION("""COMPUTED_VALUE"""),"Alex Noren")</f>
        <v>Alex Noren</v>
      </c>
      <c r="D172">
        <f ca="1">IFERROR(__xludf.DUMMYFUNCTION("""COMPUTED_VALUE"""),14)</f>
        <v>14</v>
      </c>
      <c r="E172">
        <f ca="1">IFERROR(__xludf.DUMMYFUNCTION("""COMPUTED_VALUE"""),71.978)</f>
        <v>71.977999999999994</v>
      </c>
      <c r="F172" s="1">
        <f ca="1">IFERROR(__xludf.DUMMYFUNCTION("""COMPUTED_VALUE"""),1014)</f>
        <v>1014</v>
      </c>
      <c r="G172">
        <f ca="1">IFERROR(__xludf.DUMMYFUNCTION("""COMPUTED_VALUE"""),-6.307)</f>
        <v>-6.3070000000000004</v>
      </c>
      <c r="H172">
        <f ca="1">IFERROR(__xludf.DUMMYFUNCTION("""COMPUTED_VALUE"""),14)</f>
        <v>14</v>
      </c>
    </row>
    <row r="173" spans="1:8" ht="12.75">
      <c r="A173">
        <f ca="1">IFERROR(__xludf.DUMMYFUNCTION("""COMPUTED_VALUE"""),172)</f>
        <v>172</v>
      </c>
      <c r="B173">
        <f ca="1">IFERROR(__xludf.DUMMYFUNCTION("""COMPUTED_VALUE"""),164)</f>
        <v>164</v>
      </c>
      <c r="C173" t="str">
        <f ca="1">IFERROR(__xludf.DUMMYFUNCTION("""COMPUTED_VALUE"""),"Tim Wilkinson")</f>
        <v>Tim Wilkinson</v>
      </c>
      <c r="D173">
        <f ca="1">IFERROR(__xludf.DUMMYFUNCTION("""COMPUTED_VALUE"""),12)</f>
        <v>12</v>
      </c>
      <c r="E173">
        <f ca="1">IFERROR(__xludf.DUMMYFUNCTION("""COMPUTED_VALUE"""),71.991)</f>
        <v>71.991</v>
      </c>
      <c r="F173">
        <f ca="1">IFERROR(__xludf.DUMMYFUNCTION("""COMPUTED_VALUE"""),853)</f>
        <v>853</v>
      </c>
      <c r="G173">
        <f ca="1">IFERROR(__xludf.DUMMYFUNCTION("""COMPUTED_VALUE"""),10.896)</f>
        <v>10.896000000000001</v>
      </c>
      <c r="H173">
        <f ca="1">IFERROR(__xludf.DUMMYFUNCTION("""COMPUTED_VALUE"""),12)</f>
        <v>12</v>
      </c>
    </row>
    <row r="174" spans="1:8" ht="12.75">
      <c r="A174">
        <f ca="1">IFERROR(__xludf.DUMMYFUNCTION("""COMPUTED_VALUE"""),173)</f>
        <v>173</v>
      </c>
      <c r="B174">
        <f ca="1">IFERROR(__xludf.DUMMYFUNCTION("""COMPUTED_VALUE"""),165)</f>
        <v>165</v>
      </c>
      <c r="C174" t="str">
        <f ca="1">IFERROR(__xludf.DUMMYFUNCTION("""COMPUTED_VALUE"""),"Jonathan Byrd")</f>
        <v>Jonathan Byrd</v>
      </c>
      <c r="D174">
        <f ca="1">IFERROR(__xludf.DUMMYFUNCTION("""COMPUTED_VALUE"""),14)</f>
        <v>14</v>
      </c>
      <c r="E174">
        <f ca="1">IFERROR(__xludf.DUMMYFUNCTION("""COMPUTED_VALUE"""),72.004)</f>
        <v>72.004000000000005</v>
      </c>
      <c r="F174">
        <f ca="1">IFERROR(__xludf.DUMMYFUNCTION("""COMPUTED_VALUE"""),995)</f>
        <v>995</v>
      </c>
      <c r="G174">
        <f ca="1">IFERROR(__xludf.DUMMYFUNCTION("""COMPUTED_VALUE"""),13.057)</f>
        <v>13.057</v>
      </c>
      <c r="H174">
        <f ca="1">IFERROR(__xludf.DUMMYFUNCTION("""COMPUTED_VALUE"""),14)</f>
        <v>14</v>
      </c>
    </row>
    <row r="175" spans="1:8" ht="12.75">
      <c r="A175">
        <f ca="1">IFERROR(__xludf.DUMMYFUNCTION("""COMPUTED_VALUE"""),174)</f>
        <v>174</v>
      </c>
      <c r="B175">
        <f ca="1">IFERROR(__xludf.DUMMYFUNCTION("""COMPUTED_VALUE"""),167)</f>
        <v>167</v>
      </c>
      <c r="C175" t="str">
        <f ca="1">IFERROR(__xludf.DUMMYFUNCTION("""COMPUTED_VALUE"""),"Nick Watney")</f>
        <v>Nick Watney</v>
      </c>
      <c r="D175">
        <f ca="1">IFERROR(__xludf.DUMMYFUNCTION("""COMPUTED_VALUE"""),10)</f>
        <v>10</v>
      </c>
      <c r="E175">
        <f ca="1">IFERROR(__xludf.DUMMYFUNCTION("""COMPUTED_VALUE"""),72.012)</f>
        <v>72.012</v>
      </c>
      <c r="F175">
        <f ca="1">IFERROR(__xludf.DUMMYFUNCTION("""COMPUTED_VALUE"""),707)</f>
        <v>707</v>
      </c>
      <c r="G175">
        <f ca="1">IFERROR(__xludf.DUMMYFUNCTION("""COMPUTED_VALUE"""),13.124)</f>
        <v>13.124000000000001</v>
      </c>
      <c r="H175">
        <f ca="1">IFERROR(__xludf.DUMMYFUNCTION("""COMPUTED_VALUE"""),10)</f>
        <v>10</v>
      </c>
    </row>
    <row r="176" spans="1:8" ht="12.75">
      <c r="A176">
        <f ca="1">IFERROR(__xludf.DUMMYFUNCTION("""COMPUTED_VALUE"""),175)</f>
        <v>175</v>
      </c>
      <c r="B176">
        <f ca="1">IFERROR(__xludf.DUMMYFUNCTION("""COMPUTED_VALUE"""),219)</f>
        <v>219</v>
      </c>
      <c r="C176" t="str">
        <f ca="1">IFERROR(__xludf.DUMMYFUNCTION("""COMPUTED_VALUE"""),"Satoshi Kodaira")</f>
        <v>Satoshi Kodaira</v>
      </c>
      <c r="D176">
        <f ca="1">IFERROR(__xludf.DUMMYFUNCTION("""COMPUTED_VALUE"""),12)</f>
        <v>12</v>
      </c>
      <c r="E176">
        <f ca="1">IFERROR(__xludf.DUMMYFUNCTION("""COMPUTED_VALUE"""),72.05)</f>
        <v>72.05</v>
      </c>
      <c r="F176">
        <f ca="1">IFERROR(__xludf.DUMMYFUNCTION("""COMPUTED_VALUE"""),849)</f>
        <v>849</v>
      </c>
      <c r="G176">
        <f ca="1">IFERROR(__xludf.DUMMYFUNCTION("""COMPUTED_VALUE"""),15.605)</f>
        <v>15.605</v>
      </c>
      <c r="H176">
        <f ca="1">IFERROR(__xludf.DUMMYFUNCTION("""COMPUTED_VALUE"""),12)</f>
        <v>12</v>
      </c>
    </row>
    <row r="177" spans="1:8" ht="12.75">
      <c r="A177">
        <f ca="1">IFERROR(__xludf.DUMMYFUNCTION("""COMPUTED_VALUE"""),176)</f>
        <v>176</v>
      </c>
      <c r="B177">
        <f ca="1">IFERROR(__xludf.DUMMYFUNCTION("""COMPUTED_VALUE"""),182)</f>
        <v>182</v>
      </c>
      <c r="C177" t="str">
        <f ca="1">IFERROR(__xludf.DUMMYFUNCTION("""COMPUTED_VALUE"""),"Jamie Lovemark")</f>
        <v>Jamie Lovemark</v>
      </c>
      <c r="D177">
        <f ca="1">IFERROR(__xludf.DUMMYFUNCTION("""COMPUTED_VALUE"""),18)</f>
        <v>18</v>
      </c>
      <c r="E177">
        <f ca="1">IFERROR(__xludf.DUMMYFUNCTION("""COMPUTED_VALUE"""),72.06)</f>
        <v>72.06</v>
      </c>
      <c r="F177" s="1">
        <f ca="1">IFERROR(__xludf.DUMMYFUNCTION("""COMPUTED_VALUE"""),1283)</f>
        <v>1283</v>
      </c>
      <c r="G177">
        <f ca="1">IFERROR(__xludf.DUMMYFUNCTION("""COMPUTED_VALUE"""),14.077)</f>
        <v>14.077</v>
      </c>
      <c r="H177">
        <f ca="1">IFERROR(__xludf.DUMMYFUNCTION("""COMPUTED_VALUE"""),18)</f>
        <v>18</v>
      </c>
    </row>
    <row r="178" spans="1:8" ht="12.75">
      <c r="A178">
        <f ca="1">IFERROR(__xludf.DUMMYFUNCTION("""COMPUTED_VALUE"""),177)</f>
        <v>177</v>
      </c>
      <c r="B178">
        <f ca="1">IFERROR(__xludf.DUMMYFUNCTION("""COMPUTED_VALUE"""),222)</f>
        <v>222</v>
      </c>
      <c r="C178" t="str">
        <f ca="1">IFERROR(__xludf.DUMMYFUNCTION("""COMPUTED_VALUE"""),"Michael Thompson")</f>
        <v>Michael Thompson</v>
      </c>
      <c r="D178">
        <f ca="1">IFERROR(__xludf.DUMMYFUNCTION("""COMPUTED_VALUE"""),16)</f>
        <v>16</v>
      </c>
      <c r="E178">
        <f ca="1">IFERROR(__xludf.DUMMYFUNCTION("""COMPUTED_VALUE"""),72.105)</f>
        <v>72.105000000000004</v>
      </c>
      <c r="F178" s="1">
        <f ca="1">IFERROR(__xludf.DUMMYFUNCTION("""COMPUTED_VALUE"""),1159)</f>
        <v>1159</v>
      </c>
      <c r="G178">
        <f ca="1">IFERROR(__xludf.DUMMYFUNCTION("""COMPUTED_VALUE"""),-5.32)</f>
        <v>-5.32</v>
      </c>
      <c r="H178">
        <f ca="1">IFERROR(__xludf.DUMMYFUNCTION("""COMPUTED_VALUE"""),16)</f>
        <v>16</v>
      </c>
    </row>
    <row r="179" spans="1:8" ht="12.75">
      <c r="A179">
        <f ca="1">IFERROR(__xludf.DUMMYFUNCTION("""COMPUTED_VALUE"""),178)</f>
        <v>178</v>
      </c>
      <c r="B179">
        <f ca="1">IFERROR(__xludf.DUMMYFUNCTION("""COMPUTED_VALUE"""),171)</f>
        <v>171</v>
      </c>
      <c r="C179" t="str">
        <f ca="1">IFERROR(__xludf.DUMMYFUNCTION("""COMPUTED_VALUE"""),"Robert Garrigus")</f>
        <v>Robert Garrigus</v>
      </c>
      <c r="D179">
        <f ca="1">IFERROR(__xludf.DUMMYFUNCTION("""COMPUTED_VALUE"""),3)</f>
        <v>3</v>
      </c>
      <c r="E179">
        <f ca="1">IFERROR(__xludf.DUMMYFUNCTION("""COMPUTED_VALUE"""),72.107)</f>
        <v>72.106999999999999</v>
      </c>
      <c r="F179">
        <f ca="1">IFERROR(__xludf.DUMMYFUNCTION("""COMPUTED_VALUE"""),217)</f>
        <v>217</v>
      </c>
      <c r="G179">
        <f ca="1">IFERROR(__xludf.DUMMYFUNCTION("""COMPUTED_VALUE"""),-0.678)</f>
        <v>-0.67800000000000005</v>
      </c>
      <c r="H179">
        <f ca="1">IFERROR(__xludf.DUMMYFUNCTION("""COMPUTED_VALUE"""),3)</f>
        <v>3</v>
      </c>
    </row>
    <row r="180" spans="1:8" ht="12.75">
      <c r="A180">
        <f ca="1">IFERROR(__xludf.DUMMYFUNCTION("""COMPUTED_VALUE"""),179)</f>
        <v>179</v>
      </c>
      <c r="B180">
        <f ca="1">IFERROR(__xludf.DUMMYFUNCTION("""COMPUTED_VALUE"""),185)</f>
        <v>185</v>
      </c>
      <c r="C180" t="str">
        <f ca="1">IFERROR(__xludf.DUMMYFUNCTION("""COMPUTED_VALUE"""),"Kelly Kraft")</f>
        <v>Kelly Kraft</v>
      </c>
      <c r="D180">
        <f ca="1">IFERROR(__xludf.DUMMYFUNCTION("""COMPUTED_VALUE"""),14)</f>
        <v>14</v>
      </c>
      <c r="E180">
        <f ca="1">IFERROR(__xludf.DUMMYFUNCTION("""COMPUTED_VALUE"""),72.128)</f>
        <v>72.128</v>
      </c>
      <c r="F180" s="1">
        <f ca="1">IFERROR(__xludf.DUMMYFUNCTION("""COMPUTED_VALUE"""),1004)</f>
        <v>1004</v>
      </c>
      <c r="G180">
        <f ca="1">IFERROR(__xludf.DUMMYFUNCTION("""COMPUTED_VALUE"""),5.789)</f>
        <v>5.7889999999999997</v>
      </c>
      <c r="H180">
        <f ca="1">IFERROR(__xludf.DUMMYFUNCTION("""COMPUTED_VALUE"""),14)</f>
        <v>14</v>
      </c>
    </row>
    <row r="181" spans="1:8" ht="12.75">
      <c r="A181">
        <f ca="1">IFERROR(__xludf.DUMMYFUNCTION("""COMPUTED_VALUE"""),180)</f>
        <v>180</v>
      </c>
      <c r="B181">
        <f ca="1">IFERROR(__xludf.DUMMYFUNCTION("""COMPUTED_VALUE"""),168)</f>
        <v>168</v>
      </c>
      <c r="C181" t="str">
        <f ca="1">IFERROR(__xludf.DUMMYFUNCTION("""COMPUTED_VALUE"""),"Sam Ryder")</f>
        <v>Sam Ryder</v>
      </c>
      <c r="D181">
        <f ca="1">IFERROR(__xludf.DUMMYFUNCTION("""COMPUTED_VALUE"""),12)</f>
        <v>12</v>
      </c>
      <c r="E181">
        <f ca="1">IFERROR(__xludf.DUMMYFUNCTION("""COMPUTED_VALUE"""),72.129)</f>
        <v>72.129000000000005</v>
      </c>
      <c r="F181">
        <f ca="1">IFERROR(__xludf.DUMMYFUNCTION("""COMPUTED_VALUE"""),855)</f>
        <v>855</v>
      </c>
      <c r="G181">
        <f ca="1">IFERROR(__xludf.DUMMYFUNCTION("""COMPUTED_VALUE"""),10.548)</f>
        <v>10.548</v>
      </c>
      <c r="H181">
        <f ca="1">IFERROR(__xludf.DUMMYFUNCTION("""COMPUTED_VALUE"""),12)</f>
        <v>12</v>
      </c>
    </row>
    <row r="182" spans="1:8" ht="12.75">
      <c r="A182">
        <f ca="1">IFERROR(__xludf.DUMMYFUNCTION("""COMPUTED_VALUE"""),181)</f>
        <v>181</v>
      </c>
      <c r="B182">
        <f ca="1">IFERROR(__xludf.DUMMYFUNCTION("""COMPUTED_VALUE"""),174)</f>
        <v>174</v>
      </c>
      <c r="C182" t="str">
        <f ca="1">IFERROR(__xludf.DUMMYFUNCTION("""COMPUTED_VALUE"""),"Nelson Ledesma")</f>
        <v>Nelson Ledesma</v>
      </c>
      <c r="D182">
        <f ca="1">IFERROR(__xludf.DUMMYFUNCTION("""COMPUTED_VALUE"""),8)</f>
        <v>8</v>
      </c>
      <c r="E182">
        <f ca="1">IFERROR(__xludf.DUMMYFUNCTION("""COMPUTED_VALUE"""),72.193)</f>
        <v>72.192999999999998</v>
      </c>
      <c r="F182">
        <f ca="1">IFERROR(__xludf.DUMMYFUNCTION("""COMPUTED_VALUE"""),570)</f>
        <v>570</v>
      </c>
      <c r="G182">
        <f ca="1">IFERROR(__xludf.DUMMYFUNCTION("""COMPUTED_VALUE"""),7.545)</f>
        <v>7.5449999999999999</v>
      </c>
      <c r="H182">
        <f ca="1">IFERROR(__xludf.DUMMYFUNCTION("""COMPUTED_VALUE"""),8)</f>
        <v>8</v>
      </c>
    </row>
    <row r="183" spans="1:8" ht="12.75">
      <c r="A183">
        <f ca="1">IFERROR(__xludf.DUMMYFUNCTION("""COMPUTED_VALUE"""),182)</f>
        <v>182</v>
      </c>
      <c r="B183">
        <f ca="1">IFERROR(__xludf.DUMMYFUNCTION("""COMPUTED_VALUE"""),156)</f>
        <v>156</v>
      </c>
      <c r="C183" t="str">
        <f ca="1">IFERROR(__xludf.DUMMYFUNCTION("""COMPUTED_VALUE"""),"Tom Lewis")</f>
        <v>Tom Lewis</v>
      </c>
      <c r="D183">
        <f ca="1">IFERROR(__xludf.DUMMYFUNCTION("""COMPUTED_VALUE"""),12)</f>
        <v>12</v>
      </c>
      <c r="E183">
        <f ca="1">IFERROR(__xludf.DUMMYFUNCTION("""COMPUTED_VALUE"""),72.204)</f>
        <v>72.203999999999994</v>
      </c>
      <c r="F183">
        <f ca="1">IFERROR(__xludf.DUMMYFUNCTION("""COMPUTED_VALUE"""),868)</f>
        <v>868</v>
      </c>
      <c r="G183">
        <f ca="1">IFERROR(__xludf.DUMMYFUNCTION("""COMPUTED_VALUE"""),-1.558)</f>
        <v>-1.5580000000000001</v>
      </c>
      <c r="H183">
        <f ca="1">IFERROR(__xludf.DUMMYFUNCTION("""COMPUTED_VALUE"""),12)</f>
        <v>12</v>
      </c>
    </row>
    <row r="184" spans="1:8" ht="12.75">
      <c r="A184">
        <f ca="1">IFERROR(__xludf.DUMMYFUNCTION("""COMPUTED_VALUE"""),183)</f>
        <v>183</v>
      </c>
      <c r="B184">
        <f ca="1">IFERROR(__xludf.DUMMYFUNCTION("""COMPUTED_VALUE"""),175)</f>
        <v>175</v>
      </c>
      <c r="C184" t="str">
        <f ca="1">IFERROR(__xludf.DUMMYFUNCTION("""COMPUTED_VALUE"""),"Aaron Baddeley")</f>
        <v>Aaron Baddeley</v>
      </c>
      <c r="D184">
        <f ca="1">IFERROR(__xludf.DUMMYFUNCTION("""COMPUTED_VALUE"""),8)</f>
        <v>8</v>
      </c>
      <c r="E184">
        <f ca="1">IFERROR(__xludf.DUMMYFUNCTION("""COMPUTED_VALUE"""),72.232)</f>
        <v>72.231999999999999</v>
      </c>
      <c r="F184">
        <f ca="1">IFERROR(__xludf.DUMMYFUNCTION("""COMPUTED_VALUE"""),573)</f>
        <v>573</v>
      </c>
      <c r="G184">
        <f ca="1">IFERROR(__xludf.DUMMYFUNCTION("""COMPUTED_VALUE"""),4.853)</f>
        <v>4.8529999999999998</v>
      </c>
      <c r="H184">
        <f ca="1">IFERROR(__xludf.DUMMYFUNCTION("""COMPUTED_VALUE"""),8)</f>
        <v>8</v>
      </c>
    </row>
    <row r="185" spans="1:8" ht="12.75">
      <c r="A185">
        <f ca="1">IFERROR(__xludf.DUMMYFUNCTION("""COMPUTED_VALUE"""),184)</f>
        <v>184</v>
      </c>
      <c r="B185">
        <f ca="1">IFERROR(__xludf.DUMMYFUNCTION("""COMPUTED_VALUE"""),179)</f>
        <v>179</v>
      </c>
      <c r="C185" t="str">
        <f ca="1">IFERROR(__xludf.DUMMYFUNCTION("""COMPUTED_VALUE"""),"Kyle Stanley")</f>
        <v>Kyle Stanley</v>
      </c>
      <c r="D185">
        <f ca="1">IFERROR(__xludf.DUMMYFUNCTION("""COMPUTED_VALUE"""),16)</f>
        <v>16</v>
      </c>
      <c r="E185">
        <f ca="1">IFERROR(__xludf.DUMMYFUNCTION("""COMPUTED_VALUE"""),72.305)</f>
        <v>72.305000000000007</v>
      </c>
      <c r="F185" s="1">
        <f ca="1">IFERROR(__xludf.DUMMYFUNCTION("""COMPUTED_VALUE"""),1138)</f>
        <v>1138</v>
      </c>
      <c r="G185">
        <f ca="1">IFERROR(__xludf.DUMMYFUNCTION("""COMPUTED_VALUE"""),18.875)</f>
        <v>18.875</v>
      </c>
      <c r="H185">
        <f ca="1">IFERROR(__xludf.DUMMYFUNCTION("""COMPUTED_VALUE"""),16)</f>
        <v>16</v>
      </c>
    </row>
    <row r="186" spans="1:8" ht="12.75">
      <c r="A186">
        <f ca="1">IFERROR(__xludf.DUMMYFUNCTION("""COMPUTED_VALUE"""),185)</f>
        <v>185</v>
      </c>
      <c r="B186">
        <f ca="1">IFERROR(__xludf.DUMMYFUNCTION("""COMPUTED_VALUE"""),180)</f>
        <v>180</v>
      </c>
      <c r="C186" t="str">
        <f ca="1">IFERROR(__xludf.DUMMYFUNCTION("""COMPUTED_VALUE"""),"Peter Uihlein")</f>
        <v>Peter Uihlein</v>
      </c>
      <c r="D186">
        <f ca="1">IFERROR(__xludf.DUMMYFUNCTION("""COMPUTED_VALUE"""),8)</f>
        <v>8</v>
      </c>
      <c r="E186">
        <f ca="1">IFERROR(__xludf.DUMMYFUNCTION("""COMPUTED_VALUE"""),72.32)</f>
        <v>72.319999999999993</v>
      </c>
      <c r="F186">
        <f ca="1">IFERROR(__xludf.DUMMYFUNCTION("""COMPUTED_VALUE"""),573)</f>
        <v>573</v>
      </c>
      <c r="G186">
        <f ca="1">IFERROR(__xludf.DUMMYFUNCTION("""COMPUTED_VALUE"""),5.556)</f>
        <v>5.556</v>
      </c>
      <c r="H186">
        <f ca="1">IFERROR(__xludf.DUMMYFUNCTION("""COMPUTED_VALUE"""),8)</f>
        <v>8</v>
      </c>
    </row>
    <row r="187" spans="1:8" ht="12.75">
      <c r="A187">
        <f ca="1">IFERROR(__xludf.DUMMYFUNCTION("""COMPUTED_VALUE"""),186)</f>
        <v>186</v>
      </c>
      <c r="B187">
        <f ca="1">IFERROR(__xludf.DUMMYFUNCTION("""COMPUTED_VALUE"""),223)</f>
        <v>223</v>
      </c>
      <c r="C187" t="str">
        <f ca="1">IFERROR(__xludf.DUMMYFUNCTION("""COMPUTED_VALUE"""),"Scott Brown")</f>
        <v>Scott Brown</v>
      </c>
      <c r="D187">
        <f ca="1">IFERROR(__xludf.DUMMYFUNCTION("""COMPUTED_VALUE"""),14)</f>
        <v>14</v>
      </c>
      <c r="E187">
        <f ca="1">IFERROR(__xludf.DUMMYFUNCTION("""COMPUTED_VALUE"""),72.324)</f>
        <v>72.323999999999998</v>
      </c>
      <c r="F187" s="1">
        <f ca="1">IFERROR(__xludf.DUMMYFUNCTION("""COMPUTED_VALUE"""),1001)</f>
        <v>1001</v>
      </c>
      <c r="G187">
        <f ca="1">IFERROR(__xludf.DUMMYFUNCTION("""COMPUTED_VALUE"""),11.535)</f>
        <v>11.535</v>
      </c>
      <c r="H187">
        <f ca="1">IFERROR(__xludf.DUMMYFUNCTION("""COMPUTED_VALUE"""),14)</f>
        <v>14</v>
      </c>
    </row>
    <row r="188" spans="1:8" ht="12.75">
      <c r="A188">
        <f ca="1">IFERROR(__xludf.DUMMYFUNCTION("""COMPUTED_VALUE"""),187)</f>
        <v>187</v>
      </c>
      <c r="B188">
        <f ca="1">IFERROR(__xludf.DUMMYFUNCTION("""COMPUTED_VALUE"""),181)</f>
        <v>181</v>
      </c>
      <c r="C188" t="str">
        <f ca="1">IFERROR(__xludf.DUMMYFUNCTION("""COMPUTED_VALUE"""),"Arjun Atwal")</f>
        <v>Arjun Atwal</v>
      </c>
      <c r="D188">
        <f ca="1">IFERROR(__xludf.DUMMYFUNCTION("""COMPUTED_VALUE"""),6)</f>
        <v>6</v>
      </c>
      <c r="E188">
        <f ca="1">IFERROR(__xludf.DUMMYFUNCTION("""COMPUTED_VALUE"""),72.33)</f>
        <v>72.33</v>
      </c>
      <c r="F188">
        <f ca="1">IFERROR(__xludf.DUMMYFUNCTION("""COMPUTED_VALUE"""),432)</f>
        <v>432</v>
      </c>
      <c r="G188">
        <f ca="1">IFERROR(__xludf.DUMMYFUNCTION("""COMPUTED_VALUE"""),1.982)</f>
        <v>1.982</v>
      </c>
      <c r="H188">
        <f ca="1">IFERROR(__xludf.DUMMYFUNCTION("""COMPUTED_VALUE"""),6)</f>
        <v>6</v>
      </c>
    </row>
    <row r="189" spans="1:8" ht="12.75">
      <c r="A189">
        <f ca="1">IFERROR(__xludf.DUMMYFUNCTION("""COMPUTED_VALUE"""),188)</f>
        <v>188</v>
      </c>
      <c r="B189">
        <f ca="1">IFERROR(__xludf.DUMMYFUNCTION("""COMPUTED_VALUE"""),153)</f>
        <v>153</v>
      </c>
      <c r="C189" t="str">
        <f ca="1">IFERROR(__xludf.DUMMYFUNCTION("""COMPUTED_VALUE"""),"Keith Mitchell")</f>
        <v>Keith Mitchell</v>
      </c>
      <c r="D189">
        <f ca="1">IFERROR(__xludf.DUMMYFUNCTION("""COMPUTED_VALUE"""),14)</f>
        <v>14</v>
      </c>
      <c r="E189">
        <f ca="1">IFERROR(__xludf.DUMMYFUNCTION("""COMPUTED_VALUE"""),72.343)</f>
        <v>72.343000000000004</v>
      </c>
      <c r="F189" s="1">
        <f ca="1">IFERROR(__xludf.DUMMYFUNCTION("""COMPUTED_VALUE"""),1005)</f>
        <v>1005</v>
      </c>
      <c r="G189">
        <f ca="1">IFERROR(__xludf.DUMMYFUNCTION("""COMPUTED_VALUE"""),7.795)</f>
        <v>7.7949999999999999</v>
      </c>
      <c r="H189">
        <f ca="1">IFERROR(__xludf.DUMMYFUNCTION("""COMPUTED_VALUE"""),14)</f>
        <v>14</v>
      </c>
    </row>
    <row r="190" spans="1:8" ht="12.75">
      <c r="A190">
        <f ca="1">IFERROR(__xludf.DUMMYFUNCTION("""COMPUTED_VALUE"""),189)</f>
        <v>189</v>
      </c>
      <c r="B190">
        <f ca="1">IFERROR(__xludf.DUMMYFUNCTION("""COMPUTED_VALUE"""),183)</f>
        <v>183</v>
      </c>
      <c r="C190" t="str">
        <f ca="1">IFERROR(__xludf.DUMMYFUNCTION("""COMPUTED_VALUE"""),"Rhein Gibson")</f>
        <v>Rhein Gibson</v>
      </c>
      <c r="D190">
        <f ca="1">IFERROR(__xludf.DUMMYFUNCTION("""COMPUTED_VALUE"""),10)</f>
        <v>10</v>
      </c>
      <c r="E190">
        <f ca="1">IFERROR(__xludf.DUMMYFUNCTION("""COMPUTED_VALUE"""),72.344)</f>
        <v>72.343999999999994</v>
      </c>
      <c r="F190">
        <f ca="1">IFERROR(__xludf.DUMMYFUNCTION("""COMPUTED_VALUE"""),714)</f>
        <v>714</v>
      </c>
      <c r="G190">
        <f ca="1">IFERROR(__xludf.DUMMYFUNCTION("""COMPUTED_VALUE"""),9.438)</f>
        <v>9.4380000000000006</v>
      </c>
      <c r="H190">
        <f ca="1">IFERROR(__xludf.DUMMYFUNCTION("""COMPUTED_VALUE"""),10)</f>
        <v>10</v>
      </c>
    </row>
    <row r="191" spans="1:8" ht="12.75">
      <c r="A191">
        <f ca="1">IFERROR(__xludf.DUMMYFUNCTION("""COMPUTED_VALUE"""),190)</f>
        <v>190</v>
      </c>
      <c r="B191">
        <f ca="1">IFERROR(__xludf.DUMMYFUNCTION("""COMPUTED_VALUE"""),177)</f>
        <v>177</v>
      </c>
      <c r="C191" t="str">
        <f ca="1">IFERROR(__xludf.DUMMYFUNCTION("""COMPUTED_VALUE"""),"Ted Potter, Jr.")</f>
        <v>Ted Potter, Jr.</v>
      </c>
      <c r="D191">
        <f ca="1">IFERROR(__xludf.DUMMYFUNCTION("""COMPUTED_VALUE"""),8)</f>
        <v>8</v>
      </c>
      <c r="E191">
        <f ca="1">IFERROR(__xludf.DUMMYFUNCTION("""COMPUTED_VALUE"""),72.37)</f>
        <v>72.37</v>
      </c>
      <c r="F191">
        <f ca="1">IFERROR(__xludf.DUMMYFUNCTION("""COMPUTED_VALUE"""),572)</f>
        <v>572</v>
      </c>
      <c r="G191">
        <f ca="1">IFERROR(__xludf.DUMMYFUNCTION("""COMPUTED_VALUE"""),6.958)</f>
        <v>6.9580000000000002</v>
      </c>
      <c r="H191">
        <f ca="1">IFERROR(__xludf.DUMMYFUNCTION("""COMPUTED_VALUE"""),8)</f>
        <v>8</v>
      </c>
    </row>
    <row r="192" spans="1:8" ht="12.75">
      <c r="A192">
        <f ca="1">IFERROR(__xludf.DUMMYFUNCTION("""COMPUTED_VALUE"""),191)</f>
        <v>191</v>
      </c>
      <c r="B192">
        <f ca="1">IFERROR(__xludf.DUMMYFUNCTION("""COMPUTED_VALUE"""),187)</f>
        <v>187</v>
      </c>
      <c r="C192" t="str">
        <f ca="1">IFERROR(__xludf.DUMMYFUNCTION("""COMPUTED_VALUE"""),"J.J. Henry")</f>
        <v>J.J. Henry</v>
      </c>
      <c r="D192">
        <f ca="1">IFERROR(__xludf.DUMMYFUNCTION("""COMPUTED_VALUE"""),4)</f>
        <v>4</v>
      </c>
      <c r="E192">
        <f ca="1">IFERROR(__xludf.DUMMYFUNCTION("""COMPUTED_VALUE"""),72.398)</f>
        <v>72.397999999999996</v>
      </c>
      <c r="F192">
        <f ca="1">IFERROR(__xludf.DUMMYFUNCTION("""COMPUTED_VALUE"""),286)</f>
        <v>286</v>
      </c>
      <c r="G192">
        <f ca="1">IFERROR(__xludf.DUMMYFUNCTION("""COMPUTED_VALUE"""),3.59)</f>
        <v>3.59</v>
      </c>
      <c r="H192">
        <f ca="1">IFERROR(__xludf.DUMMYFUNCTION("""COMPUTED_VALUE"""),4)</f>
        <v>4</v>
      </c>
    </row>
    <row r="193" spans="1:8" ht="12.75">
      <c r="A193">
        <f ca="1">IFERROR(__xludf.DUMMYFUNCTION("""COMPUTED_VALUE"""),192)</f>
        <v>192</v>
      </c>
      <c r="B193">
        <f ca="1">IFERROR(__xludf.DUMMYFUNCTION("""COMPUTED_VALUE"""),188)</f>
        <v>188</v>
      </c>
      <c r="C193" t="str">
        <f ca="1">IFERROR(__xludf.DUMMYFUNCTION("""COMPUTED_VALUE"""),"Josh Teater")</f>
        <v>Josh Teater</v>
      </c>
      <c r="D193">
        <f ca="1">IFERROR(__xludf.DUMMYFUNCTION("""COMPUTED_VALUE"""),6)</f>
        <v>6</v>
      </c>
      <c r="E193">
        <f ca="1">IFERROR(__xludf.DUMMYFUNCTION("""COMPUTED_VALUE"""),72.399)</f>
        <v>72.399000000000001</v>
      </c>
      <c r="F193">
        <f ca="1">IFERROR(__xludf.DUMMYFUNCTION("""COMPUTED_VALUE"""),431)</f>
        <v>431</v>
      </c>
      <c r="G193">
        <f ca="1">IFERROR(__xludf.DUMMYFUNCTION("""COMPUTED_VALUE"""),3.395)</f>
        <v>3.395</v>
      </c>
      <c r="H193">
        <f ca="1">IFERROR(__xludf.DUMMYFUNCTION("""COMPUTED_VALUE"""),6)</f>
        <v>6</v>
      </c>
    </row>
    <row r="194" spans="1:8" ht="12.75">
      <c r="A194">
        <f ca="1">IFERROR(__xludf.DUMMYFUNCTION("""COMPUTED_VALUE"""),193)</f>
        <v>193</v>
      </c>
      <c r="B194">
        <f ca="1">IFERROR(__xludf.DUMMYFUNCTION("""COMPUTED_VALUE"""),193)</f>
        <v>193</v>
      </c>
      <c r="C194" t="str">
        <f ca="1">IFERROR(__xludf.DUMMYFUNCTION("""COMPUTED_VALUE"""),"Kyoung-Hoon Lee")</f>
        <v>Kyoung-Hoon Lee</v>
      </c>
      <c r="D194">
        <f ca="1">IFERROR(__xludf.DUMMYFUNCTION("""COMPUTED_VALUE"""),20)</f>
        <v>20</v>
      </c>
      <c r="E194">
        <f ca="1">IFERROR(__xludf.DUMMYFUNCTION("""COMPUTED_VALUE"""),72.479)</f>
        <v>72.478999999999999</v>
      </c>
      <c r="F194" s="1">
        <f ca="1">IFERROR(__xludf.DUMMYFUNCTION("""COMPUTED_VALUE"""),1435)</f>
        <v>1435</v>
      </c>
      <c r="G194">
        <f ca="1">IFERROR(__xludf.DUMMYFUNCTION("""COMPUTED_VALUE"""),14.57)</f>
        <v>14.57</v>
      </c>
      <c r="H194">
        <f ca="1">IFERROR(__xludf.DUMMYFUNCTION("""COMPUTED_VALUE"""),20)</f>
        <v>20</v>
      </c>
    </row>
    <row r="195" spans="1:8" ht="12.75">
      <c r="A195">
        <f ca="1">IFERROR(__xludf.DUMMYFUNCTION("""COMPUTED_VALUE"""),194)</f>
        <v>194</v>
      </c>
      <c r="B195">
        <f ca="1">IFERROR(__xludf.DUMMYFUNCTION("""COMPUTED_VALUE"""),190)</f>
        <v>190</v>
      </c>
      <c r="C195" t="str">
        <f ca="1">IFERROR(__xludf.DUMMYFUNCTION("""COMPUTED_VALUE"""),"Tommy Fleetwood")</f>
        <v>Tommy Fleetwood</v>
      </c>
      <c r="D195">
        <f ca="1">IFERROR(__xludf.DUMMYFUNCTION("""COMPUTED_VALUE"""),10)</f>
        <v>10</v>
      </c>
      <c r="E195">
        <f ca="1">IFERROR(__xludf.DUMMYFUNCTION("""COMPUTED_VALUE"""),72.485)</f>
        <v>72.484999999999999</v>
      </c>
      <c r="F195">
        <f ca="1">IFERROR(__xludf.DUMMYFUNCTION("""COMPUTED_VALUE"""),719)</f>
        <v>719</v>
      </c>
      <c r="G195">
        <f ca="1">IFERROR(__xludf.DUMMYFUNCTION("""COMPUTED_VALUE"""),5.846)</f>
        <v>5.8460000000000001</v>
      </c>
      <c r="H195">
        <f ca="1">IFERROR(__xludf.DUMMYFUNCTION("""COMPUTED_VALUE"""),10)</f>
        <v>10</v>
      </c>
    </row>
    <row r="196" spans="1:8" ht="12.75">
      <c r="A196">
        <f ca="1">IFERROR(__xludf.DUMMYFUNCTION("""COMPUTED_VALUE"""),195)</f>
        <v>195</v>
      </c>
      <c r="B196">
        <f ca="1">IFERROR(__xludf.DUMMYFUNCTION("""COMPUTED_VALUE"""),191)</f>
        <v>191</v>
      </c>
      <c r="C196" t="str">
        <f ca="1">IFERROR(__xludf.DUMMYFUNCTION("""COMPUTED_VALUE"""),"Sangmoon Bae")</f>
        <v>Sangmoon Bae</v>
      </c>
      <c r="D196">
        <f ca="1">IFERROR(__xludf.DUMMYFUNCTION("""COMPUTED_VALUE"""),8)</f>
        <v>8</v>
      </c>
      <c r="E196">
        <f ca="1">IFERROR(__xludf.DUMMYFUNCTION("""COMPUTED_VALUE"""),72.536)</f>
        <v>72.536000000000001</v>
      </c>
      <c r="F196">
        <f ca="1">IFERROR(__xludf.DUMMYFUNCTION("""COMPUTED_VALUE"""),575)</f>
        <v>575</v>
      </c>
      <c r="G196">
        <f ca="1">IFERROR(__xludf.DUMMYFUNCTION("""COMPUTED_VALUE"""),5.288)</f>
        <v>5.2880000000000003</v>
      </c>
      <c r="H196">
        <f ca="1">IFERROR(__xludf.DUMMYFUNCTION("""COMPUTED_VALUE"""),8)</f>
        <v>8</v>
      </c>
    </row>
    <row r="197" spans="1:8" ht="12.75">
      <c r="A197">
        <f ca="1">IFERROR(__xludf.DUMMYFUNCTION("""COMPUTED_VALUE"""),196)</f>
        <v>196</v>
      </c>
      <c r="B197">
        <f ca="1">IFERROR(__xludf.DUMMYFUNCTION("""COMPUTED_VALUE"""),192)</f>
        <v>192</v>
      </c>
      <c r="C197" t="str">
        <f ca="1">IFERROR(__xludf.DUMMYFUNCTION("""COMPUTED_VALUE"""),"Richy Werenski")</f>
        <v>Richy Werenski</v>
      </c>
      <c r="D197">
        <f ca="1">IFERROR(__xludf.DUMMYFUNCTION("""COMPUTED_VALUE"""),16)</f>
        <v>16</v>
      </c>
      <c r="E197">
        <f ca="1">IFERROR(__xludf.DUMMYFUNCTION("""COMPUTED_VALUE"""),72.549)</f>
        <v>72.549000000000007</v>
      </c>
      <c r="F197" s="1">
        <f ca="1">IFERROR(__xludf.DUMMYFUNCTION("""COMPUTED_VALUE"""),1145)</f>
        <v>1145</v>
      </c>
      <c r="G197">
        <f ca="1">IFERROR(__xludf.DUMMYFUNCTION("""COMPUTED_VALUE"""),15.789)</f>
        <v>15.789</v>
      </c>
      <c r="H197">
        <f ca="1">IFERROR(__xludf.DUMMYFUNCTION("""COMPUTED_VALUE"""),16)</f>
        <v>16</v>
      </c>
    </row>
    <row r="198" spans="1:8" ht="12.75">
      <c r="A198">
        <f ca="1">IFERROR(__xludf.DUMMYFUNCTION("""COMPUTED_VALUE"""),197)</f>
        <v>197</v>
      </c>
      <c r="B198">
        <f ca="1">IFERROR(__xludf.DUMMYFUNCTION("""COMPUTED_VALUE"""),194)</f>
        <v>194</v>
      </c>
      <c r="C198" t="str">
        <f ca="1">IFERROR(__xludf.DUMMYFUNCTION("""COMPUTED_VALUE"""),"Luke Donald")</f>
        <v>Luke Donald</v>
      </c>
      <c r="D198">
        <f ca="1">IFERROR(__xludf.DUMMYFUNCTION("""COMPUTED_VALUE"""),14)</f>
        <v>14</v>
      </c>
      <c r="E198">
        <f ca="1">IFERROR(__xludf.DUMMYFUNCTION("""COMPUTED_VALUE"""),72.552)</f>
        <v>72.552000000000007</v>
      </c>
      <c r="F198" s="1">
        <f ca="1">IFERROR(__xludf.DUMMYFUNCTION("""COMPUTED_VALUE"""),1004)</f>
        <v>1004</v>
      </c>
      <c r="G198">
        <f ca="1">IFERROR(__xludf.DUMMYFUNCTION("""COMPUTED_VALUE"""),11.724)</f>
        <v>11.724</v>
      </c>
      <c r="H198">
        <f ca="1">IFERROR(__xludf.DUMMYFUNCTION("""COMPUTED_VALUE"""),14)</f>
        <v>14</v>
      </c>
    </row>
    <row r="199" spans="1:8" ht="12.75">
      <c r="A199">
        <f ca="1">IFERROR(__xludf.DUMMYFUNCTION("""COMPUTED_VALUE"""),198)</f>
        <v>198</v>
      </c>
      <c r="B199">
        <f ca="1">IFERROR(__xludf.DUMMYFUNCTION("""COMPUTED_VALUE"""),186)</f>
        <v>186</v>
      </c>
      <c r="C199" t="str">
        <f ca="1">IFERROR(__xludf.DUMMYFUNCTION("""COMPUTED_VALUE"""),"Danny Lee")</f>
        <v>Danny Lee</v>
      </c>
      <c r="D199">
        <f ca="1">IFERROR(__xludf.DUMMYFUNCTION("""COMPUTED_VALUE"""),15)</f>
        <v>15</v>
      </c>
      <c r="E199">
        <f ca="1">IFERROR(__xludf.DUMMYFUNCTION("""COMPUTED_VALUE"""),72.561)</f>
        <v>72.561000000000007</v>
      </c>
      <c r="F199" s="1">
        <f ca="1">IFERROR(__xludf.DUMMYFUNCTION("""COMPUTED_VALUE"""),1084)</f>
        <v>1084</v>
      </c>
      <c r="G199">
        <f ca="1">IFERROR(__xludf.DUMMYFUNCTION("""COMPUTED_VALUE"""),4.411)</f>
        <v>4.4109999999999996</v>
      </c>
      <c r="H199">
        <f ca="1">IFERROR(__xludf.DUMMYFUNCTION("""COMPUTED_VALUE"""),15)</f>
        <v>15</v>
      </c>
    </row>
    <row r="200" spans="1:8" ht="12.75">
      <c r="A200">
        <f ca="1">IFERROR(__xludf.DUMMYFUNCTION("""COMPUTED_VALUE"""),199)</f>
        <v>199</v>
      </c>
      <c r="B200">
        <f ca="1">IFERROR(__xludf.DUMMYFUNCTION("""COMPUTED_VALUE"""),204)</f>
        <v>204</v>
      </c>
      <c r="C200" t="str">
        <f ca="1">IFERROR(__xludf.DUMMYFUNCTION("""COMPUTED_VALUE"""),"Michael Kim")</f>
        <v>Michael Kim</v>
      </c>
      <c r="D200">
        <f ca="1">IFERROR(__xludf.DUMMYFUNCTION("""COMPUTED_VALUE"""),12)</f>
        <v>12</v>
      </c>
      <c r="E200">
        <f ca="1">IFERROR(__xludf.DUMMYFUNCTION("""COMPUTED_VALUE"""),72.587)</f>
        <v>72.587000000000003</v>
      </c>
      <c r="F200">
        <f ca="1">IFERROR(__xludf.DUMMYFUNCTION("""COMPUTED_VALUE"""),864)</f>
        <v>864</v>
      </c>
      <c r="G200">
        <f ca="1">IFERROR(__xludf.DUMMYFUNCTION("""COMPUTED_VALUE"""),7.047)</f>
        <v>7.0469999999999997</v>
      </c>
      <c r="H200">
        <f ca="1">IFERROR(__xludf.DUMMYFUNCTION("""COMPUTED_VALUE"""),12)</f>
        <v>12</v>
      </c>
    </row>
    <row r="201" spans="1:8" ht="12.75">
      <c r="A201">
        <f ca="1">IFERROR(__xludf.DUMMYFUNCTION("""COMPUTED_VALUE"""),200)</f>
        <v>200</v>
      </c>
      <c r="B201">
        <f ca="1">IFERROR(__xludf.DUMMYFUNCTION("""COMPUTED_VALUE"""),184)</f>
        <v>184</v>
      </c>
      <c r="C201" t="str">
        <f ca="1">IFERROR(__xludf.DUMMYFUNCTION("""COMPUTED_VALUE"""),"Bronson Burgoon")</f>
        <v>Bronson Burgoon</v>
      </c>
      <c r="D201">
        <f ca="1">IFERROR(__xludf.DUMMYFUNCTION("""COMPUTED_VALUE"""),10)</f>
        <v>10</v>
      </c>
      <c r="E201">
        <f ca="1">IFERROR(__xludf.DUMMYFUNCTION("""COMPUTED_VALUE"""),72.626)</f>
        <v>72.626000000000005</v>
      </c>
      <c r="F201">
        <f ca="1">IFERROR(__xludf.DUMMYFUNCTION("""COMPUTED_VALUE"""),720)</f>
        <v>720</v>
      </c>
      <c r="G201">
        <f ca="1">IFERROR(__xludf.DUMMYFUNCTION("""COMPUTED_VALUE"""),6.257)</f>
        <v>6.2569999999999997</v>
      </c>
      <c r="H201">
        <f ca="1">IFERROR(__xludf.DUMMYFUNCTION("""COMPUTED_VALUE"""),10)</f>
        <v>10</v>
      </c>
    </row>
    <row r="202" spans="1:8" ht="12.75">
      <c r="A202">
        <f ca="1">IFERROR(__xludf.DUMMYFUNCTION("""COMPUTED_VALUE"""),201)</f>
        <v>201</v>
      </c>
      <c r="B202">
        <f ca="1">IFERROR(__xludf.DUMMYFUNCTION("""COMPUTED_VALUE"""),195)</f>
        <v>195</v>
      </c>
      <c r="C202" t="str">
        <f ca="1">IFERROR(__xludf.DUMMYFUNCTION("""COMPUTED_VALUE"""),"Brandon Hagy")</f>
        <v>Brandon Hagy</v>
      </c>
      <c r="D202">
        <f ca="1">IFERROR(__xludf.DUMMYFUNCTION("""COMPUTED_VALUE"""),10)</f>
        <v>10</v>
      </c>
      <c r="E202">
        <f ca="1">IFERROR(__xludf.DUMMYFUNCTION("""COMPUTED_VALUE"""),72.7)</f>
        <v>72.7</v>
      </c>
      <c r="F202">
        <f ca="1">IFERROR(__xludf.DUMMYFUNCTION("""COMPUTED_VALUE"""),718)</f>
        <v>718</v>
      </c>
      <c r="G202">
        <f ca="1">IFERROR(__xludf.DUMMYFUNCTION("""COMPUTED_VALUE"""),9.003)</f>
        <v>9.0030000000000001</v>
      </c>
      <c r="H202">
        <f ca="1">IFERROR(__xludf.DUMMYFUNCTION("""COMPUTED_VALUE"""),10)</f>
        <v>10</v>
      </c>
    </row>
    <row r="203" spans="1:8" ht="12.75">
      <c r="A203">
        <f ca="1">IFERROR(__xludf.DUMMYFUNCTION("""COMPUTED_VALUE"""),202)</f>
        <v>202</v>
      </c>
      <c r="B203">
        <f ca="1">IFERROR(__xludf.DUMMYFUNCTION("""COMPUTED_VALUE"""),196)</f>
        <v>196</v>
      </c>
      <c r="C203" t="str">
        <f ca="1">IFERROR(__xludf.DUMMYFUNCTION("""COMPUTED_VALUE"""),"Brendan Steele")</f>
        <v>Brendan Steele</v>
      </c>
      <c r="D203">
        <f ca="1">IFERROR(__xludf.DUMMYFUNCTION("""COMPUTED_VALUE"""),14)</f>
        <v>14</v>
      </c>
      <c r="E203">
        <f ca="1">IFERROR(__xludf.DUMMYFUNCTION("""COMPUTED_VALUE"""),72.71)</f>
        <v>72.709999999999994</v>
      </c>
      <c r="F203">
        <f ca="1">IFERROR(__xludf.DUMMYFUNCTION("""COMPUTED_VALUE"""),991)</f>
        <v>991</v>
      </c>
      <c r="G203">
        <f ca="1">IFERROR(__xludf.DUMMYFUNCTION("""COMPUTED_VALUE"""),26.935)</f>
        <v>26.934999999999999</v>
      </c>
      <c r="H203">
        <f ca="1">IFERROR(__xludf.DUMMYFUNCTION("""COMPUTED_VALUE"""),14)</f>
        <v>14</v>
      </c>
    </row>
    <row r="204" spans="1:8" ht="12.75">
      <c r="A204">
        <f ca="1">IFERROR(__xludf.DUMMYFUNCTION("""COMPUTED_VALUE"""),203)</f>
        <v>203</v>
      </c>
      <c r="B204">
        <f ca="1">IFERROR(__xludf.DUMMYFUNCTION("""COMPUTED_VALUE"""),197)</f>
        <v>197</v>
      </c>
      <c r="C204" t="str">
        <f ca="1">IFERROR(__xludf.DUMMYFUNCTION("""COMPUTED_VALUE"""),"J.B. Holmes")</f>
        <v>J.B. Holmes</v>
      </c>
      <c r="D204">
        <f ca="1">IFERROR(__xludf.DUMMYFUNCTION("""COMPUTED_VALUE"""),10)</f>
        <v>10</v>
      </c>
      <c r="E204">
        <f ca="1">IFERROR(__xludf.DUMMYFUNCTION("""COMPUTED_VALUE"""),72.74)</f>
        <v>72.739999999999995</v>
      </c>
      <c r="F204">
        <f ca="1">IFERROR(__xludf.DUMMYFUNCTION("""COMPUTED_VALUE"""),710)</f>
        <v>710</v>
      </c>
      <c r="G204">
        <f ca="1">IFERROR(__xludf.DUMMYFUNCTION("""COMPUTED_VALUE"""),17.399)</f>
        <v>17.399000000000001</v>
      </c>
      <c r="H204">
        <f ca="1">IFERROR(__xludf.DUMMYFUNCTION("""COMPUTED_VALUE"""),10)</f>
        <v>10</v>
      </c>
    </row>
    <row r="205" spans="1:8" ht="12.75">
      <c r="A205">
        <f ca="1">IFERROR(__xludf.DUMMYFUNCTION("""COMPUTED_VALUE"""),204)</f>
        <v>204</v>
      </c>
      <c r="B205">
        <f ca="1">IFERROR(__xludf.DUMMYFUNCTION("""COMPUTED_VALUE"""),198)</f>
        <v>198</v>
      </c>
      <c r="C205" t="str">
        <f ca="1">IFERROR(__xludf.DUMMYFUNCTION("""COMPUTED_VALUE"""),"Chris Stroud")</f>
        <v>Chris Stroud</v>
      </c>
      <c r="D205">
        <f ca="1">IFERROR(__xludf.DUMMYFUNCTION("""COMPUTED_VALUE"""),6)</f>
        <v>6</v>
      </c>
      <c r="E205">
        <f ca="1">IFERROR(__xludf.DUMMYFUNCTION("""COMPUTED_VALUE"""),72.744)</f>
        <v>72.744</v>
      </c>
      <c r="F205">
        <f ca="1">IFERROR(__xludf.DUMMYFUNCTION("""COMPUTED_VALUE"""),430)</f>
        <v>430</v>
      </c>
      <c r="G205">
        <f ca="1">IFERROR(__xludf.DUMMYFUNCTION("""COMPUTED_VALUE"""),6.461)</f>
        <v>6.4610000000000003</v>
      </c>
      <c r="H205">
        <f ca="1">IFERROR(__xludf.DUMMYFUNCTION("""COMPUTED_VALUE"""),6)</f>
        <v>6</v>
      </c>
    </row>
    <row r="206" spans="1:8" ht="12.75">
      <c r="A206">
        <f ca="1">IFERROR(__xludf.DUMMYFUNCTION("""COMPUTED_VALUE"""),205)</f>
        <v>205</v>
      </c>
      <c r="B206">
        <f ca="1">IFERROR(__xludf.DUMMYFUNCTION("""COMPUTED_VALUE"""),199)</f>
        <v>199</v>
      </c>
      <c r="C206" t="str">
        <f ca="1">IFERROR(__xludf.DUMMYFUNCTION("""COMPUTED_VALUE"""),"George McNeill")</f>
        <v>George McNeill</v>
      </c>
      <c r="D206">
        <f ca="1">IFERROR(__xludf.DUMMYFUNCTION("""COMPUTED_VALUE"""),8)</f>
        <v>8</v>
      </c>
      <c r="E206">
        <f ca="1">IFERROR(__xludf.DUMMYFUNCTION("""COMPUTED_VALUE"""),72.786)</f>
        <v>72.786000000000001</v>
      </c>
      <c r="F206">
        <f ca="1">IFERROR(__xludf.DUMMYFUNCTION("""COMPUTED_VALUE"""),577)</f>
        <v>577</v>
      </c>
      <c r="G206">
        <f ca="1">IFERROR(__xludf.DUMMYFUNCTION("""COMPUTED_VALUE"""),5.288)</f>
        <v>5.2880000000000003</v>
      </c>
      <c r="H206">
        <f ca="1">IFERROR(__xludf.DUMMYFUNCTION("""COMPUTED_VALUE"""),8)</f>
        <v>8</v>
      </c>
    </row>
    <row r="207" spans="1:8" ht="12.75">
      <c r="A207">
        <f ca="1">IFERROR(__xludf.DUMMYFUNCTION("""COMPUTED_VALUE"""),206)</f>
        <v>206</v>
      </c>
      <c r="B207">
        <f ca="1">IFERROR(__xludf.DUMMYFUNCTION("""COMPUTED_VALUE"""),201)</f>
        <v>201</v>
      </c>
      <c r="C207" t="str">
        <f ca="1">IFERROR(__xludf.DUMMYFUNCTION("""COMPUTED_VALUE"""),"William McGirt")</f>
        <v>William McGirt</v>
      </c>
      <c r="D207">
        <f ca="1">IFERROR(__xludf.DUMMYFUNCTION("""COMPUTED_VALUE"""),6)</f>
        <v>6</v>
      </c>
      <c r="E207">
        <f ca="1">IFERROR(__xludf.DUMMYFUNCTION("""COMPUTED_VALUE"""),72.819)</f>
        <v>72.819000000000003</v>
      </c>
      <c r="F207">
        <f ca="1">IFERROR(__xludf.DUMMYFUNCTION("""COMPUTED_VALUE"""),428)</f>
        <v>428</v>
      </c>
      <c r="G207">
        <f ca="1">IFERROR(__xludf.DUMMYFUNCTION("""COMPUTED_VALUE"""),8.914)</f>
        <v>8.9139999999999997</v>
      </c>
      <c r="H207">
        <f ca="1">IFERROR(__xludf.DUMMYFUNCTION("""COMPUTED_VALUE"""),6)</f>
        <v>6</v>
      </c>
    </row>
    <row r="208" spans="1:8" ht="12.75">
      <c r="A208">
        <f ca="1">IFERROR(__xludf.DUMMYFUNCTION("""COMPUTED_VALUE"""),207)</f>
        <v>207</v>
      </c>
      <c r="B208">
        <f ca="1">IFERROR(__xludf.DUMMYFUNCTION("""COMPUTED_VALUE"""),202)</f>
        <v>202</v>
      </c>
      <c r="C208" t="str">
        <f ca="1">IFERROR(__xludf.DUMMYFUNCTION("""COMPUTED_VALUE"""),"John Senden")</f>
        <v>John Senden</v>
      </c>
      <c r="D208">
        <f ca="1">IFERROR(__xludf.DUMMYFUNCTION("""COMPUTED_VALUE"""),8)</f>
        <v>8</v>
      </c>
      <c r="E208">
        <f ca="1">IFERROR(__xludf.DUMMYFUNCTION("""COMPUTED_VALUE"""),72.82)</f>
        <v>72.819999999999993</v>
      </c>
      <c r="F208">
        <f ca="1">IFERROR(__xludf.DUMMYFUNCTION("""COMPUTED_VALUE"""),577)</f>
        <v>577</v>
      </c>
      <c r="G208">
        <f ca="1">IFERROR(__xludf.DUMMYFUNCTION("""COMPUTED_VALUE"""),5.556)</f>
        <v>5.556</v>
      </c>
      <c r="H208">
        <f ca="1">IFERROR(__xludf.DUMMYFUNCTION("""COMPUTED_VALUE"""),8)</f>
        <v>8</v>
      </c>
    </row>
    <row r="209" spans="1:8" ht="12.75">
      <c r="A209">
        <f ca="1">IFERROR(__xludf.DUMMYFUNCTION("""COMPUTED_VALUE"""),208)</f>
        <v>208</v>
      </c>
      <c r="B209">
        <f ca="1">IFERROR(__xludf.DUMMYFUNCTION("""COMPUTED_VALUE"""),172)</f>
        <v>172</v>
      </c>
      <c r="C209" t="str">
        <f ca="1">IFERROR(__xludf.DUMMYFUNCTION("""COMPUTED_VALUE"""),"Jimmy Walker")</f>
        <v>Jimmy Walker</v>
      </c>
      <c r="D209">
        <f ca="1">IFERROR(__xludf.DUMMYFUNCTION("""COMPUTED_VALUE"""),10)</f>
        <v>10</v>
      </c>
      <c r="E209">
        <f ca="1">IFERROR(__xludf.DUMMYFUNCTION("""COMPUTED_VALUE"""),72.85)</f>
        <v>72.849999999999994</v>
      </c>
      <c r="F209">
        <f ca="1">IFERROR(__xludf.DUMMYFUNCTION("""COMPUTED_VALUE"""),730)</f>
        <v>730</v>
      </c>
      <c r="G209">
        <f ca="1">IFERROR(__xludf.DUMMYFUNCTION("""COMPUTED_VALUE"""),-1.496)</f>
        <v>-1.496</v>
      </c>
      <c r="H209">
        <f ca="1">IFERROR(__xludf.DUMMYFUNCTION("""COMPUTED_VALUE"""),10)</f>
        <v>10</v>
      </c>
    </row>
    <row r="210" spans="1:8" ht="12.75">
      <c r="A210">
        <f ca="1">IFERROR(__xludf.DUMMYFUNCTION("""COMPUTED_VALUE"""),209)</f>
        <v>209</v>
      </c>
      <c r="B210">
        <f ca="1">IFERROR(__xludf.DUMMYFUNCTION("""COMPUTED_VALUE"""),203)</f>
        <v>203</v>
      </c>
      <c r="C210" t="str">
        <f ca="1">IFERROR(__xludf.DUMMYFUNCTION("""COMPUTED_VALUE"""),"Jim Herman")</f>
        <v>Jim Herman</v>
      </c>
      <c r="D210">
        <f ca="1">IFERROR(__xludf.DUMMYFUNCTION("""COMPUTED_VALUE"""),12)</f>
        <v>12</v>
      </c>
      <c r="E210">
        <f ca="1">IFERROR(__xludf.DUMMYFUNCTION("""COMPUTED_VALUE"""),72.859)</f>
        <v>72.858999999999995</v>
      </c>
      <c r="F210">
        <f ca="1">IFERROR(__xludf.DUMMYFUNCTION("""COMPUTED_VALUE"""),867)</f>
        <v>867</v>
      </c>
      <c r="G210">
        <f ca="1">IFERROR(__xludf.DUMMYFUNCTION("""COMPUTED_VALUE"""),7.304)</f>
        <v>7.3040000000000003</v>
      </c>
      <c r="H210">
        <f ca="1">IFERROR(__xludf.DUMMYFUNCTION("""COMPUTED_VALUE"""),12)</f>
        <v>12</v>
      </c>
    </row>
    <row r="211" spans="1:8" ht="12.75">
      <c r="A211">
        <f ca="1">IFERROR(__xludf.DUMMYFUNCTION("""COMPUTED_VALUE"""),210)</f>
        <v>210</v>
      </c>
      <c r="B211">
        <f ca="1">IFERROR(__xludf.DUMMYFUNCTION("""COMPUTED_VALUE"""),205)</f>
        <v>205</v>
      </c>
      <c r="C211" t="str">
        <f ca="1">IFERROR(__xludf.DUMMYFUNCTION("""COMPUTED_VALUE"""),"Wes Roach")</f>
        <v>Wes Roach</v>
      </c>
      <c r="D211">
        <f ca="1">IFERROR(__xludf.DUMMYFUNCTION("""COMPUTED_VALUE"""),6)</f>
        <v>6</v>
      </c>
      <c r="E211">
        <f ca="1">IFERROR(__xludf.DUMMYFUNCTION("""COMPUTED_VALUE"""),72.899)</f>
        <v>72.899000000000001</v>
      </c>
      <c r="F211">
        <f ca="1">IFERROR(__xludf.DUMMYFUNCTION("""COMPUTED_VALUE"""),434)</f>
        <v>434</v>
      </c>
      <c r="G211">
        <f ca="1">IFERROR(__xludf.DUMMYFUNCTION("""COMPUTED_VALUE"""),3.395)</f>
        <v>3.395</v>
      </c>
      <c r="H211">
        <f ca="1">IFERROR(__xludf.DUMMYFUNCTION("""COMPUTED_VALUE"""),6)</f>
        <v>6</v>
      </c>
    </row>
    <row r="212" spans="1:8" ht="12.75">
      <c r="A212">
        <f ca="1">IFERROR(__xludf.DUMMYFUNCTION("""COMPUTED_VALUE"""),211)</f>
        <v>211</v>
      </c>
      <c r="B212">
        <f ca="1">IFERROR(__xludf.DUMMYFUNCTION("""COMPUTED_VALUE"""),206)</f>
        <v>206</v>
      </c>
      <c r="C212" t="str">
        <f ca="1">IFERROR(__xludf.DUMMYFUNCTION("""COMPUTED_VALUE"""),"Zac Blair")</f>
        <v>Zac Blair</v>
      </c>
      <c r="D212">
        <f ca="1">IFERROR(__xludf.DUMMYFUNCTION("""COMPUTED_VALUE"""),10)</f>
        <v>10</v>
      </c>
      <c r="E212">
        <f ca="1">IFERROR(__xludf.DUMMYFUNCTION("""COMPUTED_VALUE"""),72.917)</f>
        <v>72.917000000000002</v>
      </c>
      <c r="F212">
        <f ca="1">IFERROR(__xludf.DUMMYFUNCTION("""COMPUTED_VALUE"""),715)</f>
        <v>715</v>
      </c>
      <c r="G212">
        <f ca="1">IFERROR(__xludf.DUMMYFUNCTION("""COMPUTED_VALUE"""),14.172)</f>
        <v>14.172000000000001</v>
      </c>
      <c r="H212">
        <f ca="1">IFERROR(__xludf.DUMMYFUNCTION("""COMPUTED_VALUE"""),10)</f>
        <v>10</v>
      </c>
    </row>
    <row r="213" spans="1:8" ht="12.75">
      <c r="A213">
        <f ca="1">IFERROR(__xludf.DUMMYFUNCTION("""COMPUTED_VALUE"""),212)</f>
        <v>212</v>
      </c>
      <c r="B213">
        <f ca="1">IFERROR(__xludf.DUMMYFUNCTION("""COMPUTED_VALUE"""),200)</f>
        <v>200</v>
      </c>
      <c r="C213" t="str">
        <f ca="1">IFERROR(__xludf.DUMMYFUNCTION("""COMPUTED_VALUE"""),"D.A. Points")</f>
        <v>D.A. Points</v>
      </c>
      <c r="D213">
        <f ca="1">IFERROR(__xludf.DUMMYFUNCTION("""COMPUTED_VALUE"""),12)</f>
        <v>12</v>
      </c>
      <c r="E213">
        <f ca="1">IFERROR(__xludf.DUMMYFUNCTION("""COMPUTED_VALUE"""),72.959)</f>
        <v>72.959000000000003</v>
      </c>
      <c r="F213">
        <f ca="1">IFERROR(__xludf.DUMMYFUNCTION("""COMPUTED_VALUE"""),868)</f>
        <v>868</v>
      </c>
      <c r="G213">
        <f ca="1">IFERROR(__xludf.DUMMYFUNCTION("""COMPUTED_VALUE"""),7.511)</f>
        <v>7.5110000000000001</v>
      </c>
      <c r="H213">
        <f ca="1">IFERROR(__xludf.DUMMYFUNCTION("""COMPUTED_VALUE"""),12)</f>
        <v>12</v>
      </c>
    </row>
    <row r="214" spans="1:8" ht="12.75">
      <c r="A214">
        <f ca="1">IFERROR(__xludf.DUMMYFUNCTION("""COMPUTED_VALUE"""),213)</f>
        <v>213</v>
      </c>
      <c r="B214">
        <f ca="1">IFERROR(__xludf.DUMMYFUNCTION("""COMPUTED_VALUE"""),207)</f>
        <v>207</v>
      </c>
      <c r="C214" t="str">
        <f ca="1">IFERROR(__xludf.DUMMYFUNCTION("""COMPUTED_VALUE"""),"Tommy Gainey")</f>
        <v>Tommy Gainey</v>
      </c>
      <c r="D214">
        <f ca="1">IFERROR(__xludf.DUMMYFUNCTION("""COMPUTED_VALUE"""),6)</f>
        <v>6</v>
      </c>
      <c r="E214">
        <f ca="1">IFERROR(__xludf.DUMMYFUNCTION("""COMPUTED_VALUE"""),72.997)</f>
        <v>72.997</v>
      </c>
      <c r="F214">
        <f ca="1">IFERROR(__xludf.DUMMYFUNCTION("""COMPUTED_VALUE"""),436)</f>
        <v>436</v>
      </c>
      <c r="G214">
        <f ca="1">IFERROR(__xludf.DUMMYFUNCTION("""COMPUTED_VALUE"""),1.982)</f>
        <v>1.982</v>
      </c>
      <c r="H214">
        <f ca="1">IFERROR(__xludf.DUMMYFUNCTION("""COMPUTED_VALUE"""),6)</f>
        <v>6</v>
      </c>
    </row>
    <row r="215" spans="1:8" ht="12.75">
      <c r="A215">
        <f ca="1">IFERROR(__xludf.DUMMYFUNCTION("""COMPUTED_VALUE"""),214)</f>
        <v>214</v>
      </c>
      <c r="B215">
        <f ca="1">IFERROR(__xludf.DUMMYFUNCTION("""COMPUTED_VALUE"""),209)</f>
        <v>209</v>
      </c>
      <c r="C215" t="str">
        <f ca="1">IFERROR(__xludf.DUMMYFUNCTION("""COMPUTED_VALUE"""),"Bo Van Pelt")</f>
        <v>Bo Van Pelt</v>
      </c>
      <c r="D215">
        <f ca="1">IFERROR(__xludf.DUMMYFUNCTION("""COMPUTED_VALUE"""),10)</f>
        <v>10</v>
      </c>
      <c r="E215">
        <f ca="1">IFERROR(__xludf.DUMMYFUNCTION("""COMPUTED_VALUE"""),73.074)</f>
        <v>73.073999999999998</v>
      </c>
      <c r="F215">
        <f ca="1">IFERROR(__xludf.DUMMYFUNCTION("""COMPUTED_VALUE"""),727)</f>
        <v>727</v>
      </c>
      <c r="G215">
        <f ca="1">IFERROR(__xludf.DUMMYFUNCTION("""COMPUTED_VALUE"""),3.741)</f>
        <v>3.7410000000000001</v>
      </c>
      <c r="H215">
        <f ca="1">IFERROR(__xludf.DUMMYFUNCTION("""COMPUTED_VALUE"""),10)</f>
        <v>10</v>
      </c>
    </row>
    <row r="216" spans="1:8" ht="12.75">
      <c r="A216">
        <f ca="1">IFERROR(__xludf.DUMMYFUNCTION("""COMPUTED_VALUE"""),215)</f>
        <v>215</v>
      </c>
      <c r="B216">
        <f ca="1">IFERROR(__xludf.DUMMYFUNCTION("""COMPUTED_VALUE"""),212)</f>
        <v>212</v>
      </c>
      <c r="C216" t="str">
        <f ca="1">IFERROR(__xludf.DUMMYFUNCTION("""COMPUTED_VALUE"""),"Phil Mickelson")</f>
        <v>Phil Mickelson</v>
      </c>
      <c r="D216">
        <f ca="1">IFERROR(__xludf.DUMMYFUNCTION("""COMPUTED_VALUE"""),12)</f>
        <v>12</v>
      </c>
      <c r="E216">
        <f ca="1">IFERROR(__xludf.DUMMYFUNCTION("""COMPUTED_VALUE"""),73.165)</f>
        <v>73.165000000000006</v>
      </c>
      <c r="F216">
        <f ca="1">IFERROR(__xludf.DUMMYFUNCTION("""COMPUTED_VALUE"""),871)</f>
        <v>871</v>
      </c>
      <c r="G216">
        <f ca="1">IFERROR(__xludf.DUMMYFUNCTION("""COMPUTED_VALUE"""),6.983)</f>
        <v>6.9829999999999997</v>
      </c>
      <c r="H216">
        <f ca="1">IFERROR(__xludf.DUMMYFUNCTION("""COMPUTED_VALUE"""),12)</f>
        <v>12</v>
      </c>
    </row>
    <row r="217" spans="1:8" ht="12.75">
      <c r="A217">
        <f ca="1">IFERROR(__xludf.DUMMYFUNCTION("""COMPUTED_VALUE"""),216)</f>
        <v>216</v>
      </c>
      <c r="B217">
        <f ca="1">IFERROR(__xludf.DUMMYFUNCTION("""COMPUTED_VALUE"""),210)</f>
        <v>210</v>
      </c>
      <c r="C217" t="str">
        <f ca="1">IFERROR(__xludf.DUMMYFUNCTION("""COMPUTED_VALUE"""),"Marc Leishman")</f>
        <v>Marc Leishman</v>
      </c>
      <c r="D217">
        <f ca="1">IFERROR(__xludf.DUMMYFUNCTION("""COMPUTED_VALUE"""),10)</f>
        <v>10</v>
      </c>
      <c r="E217">
        <f ca="1">IFERROR(__xludf.DUMMYFUNCTION("""COMPUTED_VALUE"""),73.185)</f>
        <v>73.185000000000002</v>
      </c>
      <c r="F217">
        <f ca="1">IFERROR(__xludf.DUMMYFUNCTION("""COMPUTED_VALUE"""),726)</f>
        <v>726</v>
      </c>
      <c r="G217">
        <f ca="1">IFERROR(__xludf.DUMMYFUNCTION("""COMPUTED_VALUE"""),5.846)</f>
        <v>5.8460000000000001</v>
      </c>
      <c r="H217">
        <f ca="1">IFERROR(__xludf.DUMMYFUNCTION("""COMPUTED_VALUE"""),10)</f>
        <v>10</v>
      </c>
    </row>
    <row r="218" spans="1:8" ht="12.75">
      <c r="A218">
        <f ca="1">IFERROR(__xludf.DUMMYFUNCTION("""COMPUTED_VALUE"""),217)</f>
        <v>217</v>
      </c>
      <c r="B218">
        <f ca="1">IFERROR(__xludf.DUMMYFUNCTION("""COMPUTED_VALUE"""),213)</f>
        <v>213</v>
      </c>
      <c r="C218" t="str">
        <f ca="1">IFERROR(__xludf.DUMMYFUNCTION("""COMPUTED_VALUE"""),"Gary Woodland")</f>
        <v>Gary Woodland</v>
      </c>
      <c r="D218">
        <f ca="1">IFERROR(__xludf.DUMMYFUNCTION("""COMPUTED_VALUE"""),6)</f>
        <v>6</v>
      </c>
      <c r="E218">
        <f ca="1">IFERROR(__xludf.DUMMYFUNCTION("""COMPUTED_VALUE"""),73.313)</f>
        <v>73.313000000000002</v>
      </c>
      <c r="F218">
        <f ca="1">IFERROR(__xludf.DUMMYFUNCTION("""COMPUTED_VALUE"""),445)</f>
        <v>445</v>
      </c>
      <c r="G218">
        <f ca="1">IFERROR(__xludf.DUMMYFUNCTION("""COMPUTED_VALUE"""),-5.12)</f>
        <v>-5.12</v>
      </c>
      <c r="H218">
        <f ca="1">IFERROR(__xludf.DUMMYFUNCTION("""COMPUTED_VALUE"""),6)</f>
        <v>6</v>
      </c>
    </row>
    <row r="219" spans="1:8" ht="12.75">
      <c r="A219">
        <f ca="1">IFERROR(__xludf.DUMMYFUNCTION("""COMPUTED_VALUE"""),218)</f>
        <v>218</v>
      </c>
      <c r="B219">
        <f ca="1">IFERROR(__xludf.DUMMYFUNCTION("""COMPUTED_VALUE"""),214)</f>
        <v>214</v>
      </c>
      <c r="C219" t="str">
        <f ca="1">IFERROR(__xludf.DUMMYFUNCTION("""COMPUTED_VALUE"""),"Nick Taylor")</f>
        <v>Nick Taylor</v>
      </c>
      <c r="D219">
        <f ca="1">IFERROR(__xludf.DUMMYFUNCTION("""COMPUTED_VALUE"""),12)</f>
        <v>12</v>
      </c>
      <c r="E219">
        <f ca="1">IFERROR(__xludf.DUMMYFUNCTION("""COMPUTED_VALUE"""),73.328)</f>
        <v>73.328000000000003</v>
      </c>
      <c r="F219">
        <f ca="1">IFERROR(__xludf.DUMMYFUNCTION("""COMPUTED_VALUE"""),859)</f>
        <v>859</v>
      </c>
      <c r="G219">
        <f ca="1">IFERROR(__xludf.DUMMYFUNCTION("""COMPUTED_VALUE"""),20.937)</f>
        <v>20.937000000000001</v>
      </c>
      <c r="H219">
        <f ca="1">IFERROR(__xludf.DUMMYFUNCTION("""COMPUTED_VALUE"""),12)</f>
        <v>12</v>
      </c>
    </row>
    <row r="220" spans="1:8" ht="12.75">
      <c r="A220">
        <f ca="1">IFERROR(__xludf.DUMMYFUNCTION("""COMPUTED_VALUE"""),219)</f>
        <v>219</v>
      </c>
      <c r="B220">
        <f ca="1">IFERROR(__xludf.DUMMYFUNCTION("""COMPUTED_VALUE"""),217)</f>
        <v>217</v>
      </c>
      <c r="C220" t="str">
        <f ca="1">IFERROR(__xludf.DUMMYFUNCTION("""COMPUTED_VALUE"""),"Hunter Mahan")</f>
        <v>Hunter Mahan</v>
      </c>
      <c r="D220">
        <f ca="1">IFERROR(__xludf.DUMMYFUNCTION("""COMPUTED_VALUE"""),14)</f>
        <v>14</v>
      </c>
      <c r="E220">
        <f ca="1">IFERROR(__xludf.DUMMYFUNCTION("""COMPUTED_VALUE"""),73.337)</f>
        <v>73.337000000000003</v>
      </c>
      <c r="F220" s="1">
        <f ca="1">IFERROR(__xludf.DUMMYFUNCTION("""COMPUTED_VALUE"""),1015)</f>
        <v>1015</v>
      </c>
      <c r="G220">
        <f ca="1">IFERROR(__xludf.DUMMYFUNCTION("""COMPUTED_VALUE"""),11.724)</f>
        <v>11.724</v>
      </c>
      <c r="H220">
        <f ca="1">IFERROR(__xludf.DUMMYFUNCTION("""COMPUTED_VALUE"""),14)</f>
        <v>14</v>
      </c>
    </row>
    <row r="221" spans="1:8" ht="12.75">
      <c r="A221">
        <f ca="1">IFERROR(__xludf.DUMMYFUNCTION("""COMPUTED_VALUE"""),220)</f>
        <v>220</v>
      </c>
      <c r="B221">
        <f ca="1">IFERROR(__xludf.DUMMYFUNCTION("""COMPUTED_VALUE"""),215)</f>
        <v>215</v>
      </c>
      <c r="C221" t="str">
        <f ca="1">IFERROR(__xludf.DUMMYFUNCTION("""COMPUTED_VALUE"""),"Chris Baker")</f>
        <v>Chris Baker</v>
      </c>
      <c r="D221">
        <f ca="1">IFERROR(__xludf.DUMMYFUNCTION("""COMPUTED_VALUE"""),8)</f>
        <v>8</v>
      </c>
      <c r="E221">
        <f ca="1">IFERROR(__xludf.DUMMYFUNCTION("""COMPUTED_VALUE"""),73.357)</f>
        <v>73.356999999999999</v>
      </c>
      <c r="F221">
        <f ca="1">IFERROR(__xludf.DUMMYFUNCTION("""COMPUTED_VALUE"""),582)</f>
        <v>582</v>
      </c>
      <c r="G221">
        <f ca="1">IFERROR(__xludf.DUMMYFUNCTION("""COMPUTED_VALUE"""),4.853)</f>
        <v>4.8529999999999998</v>
      </c>
      <c r="H221">
        <f ca="1">IFERROR(__xludf.DUMMYFUNCTION("""COMPUTED_VALUE"""),8)</f>
        <v>8</v>
      </c>
    </row>
    <row r="222" spans="1:8" ht="12.75">
      <c r="A222">
        <f ca="1">IFERROR(__xludf.DUMMYFUNCTION("""COMPUTED_VALUE"""),221)</f>
        <v>221</v>
      </c>
      <c r="B222">
        <f ca="1">IFERROR(__xludf.DUMMYFUNCTION("""COMPUTED_VALUE"""),216)</f>
        <v>216</v>
      </c>
      <c r="C222" t="str">
        <f ca="1">IFERROR(__xludf.DUMMYFUNCTION("""COMPUTED_VALUE"""),"Tiger Woods")</f>
        <v>Tiger Woods</v>
      </c>
      <c r="D222">
        <f ca="1">IFERROR(__xludf.DUMMYFUNCTION("""COMPUTED_VALUE"""),6)</f>
        <v>6</v>
      </c>
      <c r="E222">
        <f ca="1">IFERROR(__xludf.DUMMYFUNCTION("""COMPUTED_VALUE"""),73.359)</f>
        <v>73.358999999999995</v>
      </c>
      <c r="F222">
        <f ca="1">IFERROR(__xludf.DUMMYFUNCTION("""COMPUTED_VALUE"""),437)</f>
        <v>437</v>
      </c>
      <c r="G222">
        <f ca="1">IFERROR(__xludf.DUMMYFUNCTION("""COMPUTED_VALUE"""),3.151)</f>
        <v>3.1509999999999998</v>
      </c>
      <c r="H222">
        <f ca="1">IFERROR(__xludf.DUMMYFUNCTION("""COMPUTED_VALUE"""),6)</f>
        <v>6</v>
      </c>
    </row>
    <row r="223" spans="1:8" ht="12.75">
      <c r="A223">
        <f ca="1">IFERROR(__xludf.DUMMYFUNCTION("""COMPUTED_VALUE"""),222)</f>
        <v>222</v>
      </c>
      <c r="B223">
        <f ca="1">IFERROR(__xludf.DUMMYFUNCTION("""COMPUTED_VALUE"""),218)</f>
        <v>218</v>
      </c>
      <c r="C223" t="str">
        <f ca="1">IFERROR(__xludf.DUMMYFUNCTION("""COMPUTED_VALUE"""),"Zack Sucher")</f>
        <v>Zack Sucher</v>
      </c>
      <c r="D223">
        <f ca="1">IFERROR(__xludf.DUMMYFUNCTION("""COMPUTED_VALUE"""),6)</f>
        <v>6</v>
      </c>
      <c r="E223">
        <f ca="1">IFERROR(__xludf.DUMMYFUNCTION("""COMPUTED_VALUE"""),73.399)</f>
        <v>73.399000000000001</v>
      </c>
      <c r="F223">
        <f ca="1">IFERROR(__xludf.DUMMYFUNCTION("""COMPUTED_VALUE"""),437)</f>
        <v>437</v>
      </c>
      <c r="G223">
        <f ca="1">IFERROR(__xludf.DUMMYFUNCTION("""COMPUTED_VALUE"""),3.395)</f>
        <v>3.395</v>
      </c>
      <c r="H223">
        <f ca="1">IFERROR(__xludf.DUMMYFUNCTION("""COMPUTED_VALUE"""),6)</f>
        <v>6</v>
      </c>
    </row>
    <row r="224" spans="1:8" ht="12.75">
      <c r="A224">
        <f ca="1">IFERROR(__xludf.DUMMYFUNCTION("""COMPUTED_VALUE"""),223)</f>
        <v>223</v>
      </c>
      <c r="B224">
        <f ca="1">IFERROR(__xludf.DUMMYFUNCTION("""COMPUTED_VALUE"""),220)</f>
        <v>220</v>
      </c>
      <c r="C224" t="str">
        <f ca="1">IFERROR(__xludf.DUMMYFUNCTION("""COMPUTED_VALUE"""),"Dominic Bozzelli")</f>
        <v>Dominic Bozzelli</v>
      </c>
      <c r="D224">
        <f ca="1">IFERROR(__xludf.DUMMYFUNCTION("""COMPUTED_VALUE"""),8)</f>
        <v>8</v>
      </c>
      <c r="E224">
        <f ca="1">IFERROR(__xludf.DUMMYFUNCTION("""COMPUTED_VALUE"""),73.411)</f>
        <v>73.411000000000001</v>
      </c>
      <c r="F224">
        <f ca="1">IFERROR(__xludf.DUMMYFUNCTION("""COMPUTED_VALUE"""),582)</f>
        <v>582</v>
      </c>
      <c r="G224">
        <f ca="1">IFERROR(__xludf.DUMMYFUNCTION("""COMPUTED_VALUE"""),5.288)</f>
        <v>5.2880000000000003</v>
      </c>
      <c r="H224">
        <f ca="1">IFERROR(__xludf.DUMMYFUNCTION("""COMPUTED_VALUE"""),8)</f>
        <v>8</v>
      </c>
    </row>
    <row r="225" spans="1:8" ht="12.75">
      <c r="A225">
        <f ca="1">IFERROR(__xludf.DUMMYFUNCTION("""COMPUTED_VALUE"""),224)</f>
        <v>224</v>
      </c>
      <c r="B225">
        <f ca="1">IFERROR(__xludf.DUMMYFUNCTION("""COMPUTED_VALUE"""),221)</f>
        <v>221</v>
      </c>
      <c r="C225" t="str">
        <f ca="1">IFERROR(__xludf.DUMMYFUNCTION("""COMPUTED_VALUE"""),"K.J. Choi")</f>
        <v>K.J. Choi</v>
      </c>
      <c r="D225">
        <f ca="1">IFERROR(__xludf.DUMMYFUNCTION("""COMPUTED_VALUE"""),6)</f>
        <v>6</v>
      </c>
      <c r="E225">
        <f ca="1">IFERROR(__xludf.DUMMYFUNCTION("""COMPUTED_VALUE"""),73.43)</f>
        <v>73.430000000000007</v>
      </c>
      <c r="F225">
        <f ca="1">IFERROR(__xludf.DUMMYFUNCTION("""COMPUTED_VALUE"""),430)</f>
        <v>430</v>
      </c>
      <c r="G225">
        <f ca="1">IFERROR(__xludf.DUMMYFUNCTION("""COMPUTED_VALUE"""),10.582)</f>
        <v>10.582000000000001</v>
      </c>
      <c r="H225">
        <f ca="1">IFERROR(__xludf.DUMMYFUNCTION("""COMPUTED_VALUE"""),6)</f>
        <v>6</v>
      </c>
    </row>
    <row r="226" spans="1:8" ht="12.75">
      <c r="A226">
        <f ca="1">IFERROR(__xludf.DUMMYFUNCTION("""COMPUTED_VALUE"""),225)</f>
        <v>225</v>
      </c>
      <c r="B226">
        <f ca="1">IFERROR(__xludf.DUMMYFUNCTION("""COMPUTED_VALUE"""),208)</f>
        <v>208</v>
      </c>
      <c r="C226" t="str">
        <f ca="1">IFERROR(__xludf.DUMMYFUNCTION("""COMPUTED_VALUE"""),"Grayson Murray")</f>
        <v>Grayson Murray</v>
      </c>
      <c r="D226">
        <f ca="1">IFERROR(__xludf.DUMMYFUNCTION("""COMPUTED_VALUE"""),10)</f>
        <v>10</v>
      </c>
      <c r="E226">
        <f ca="1">IFERROR(__xludf.DUMMYFUNCTION("""COMPUTED_VALUE"""),73.75)</f>
        <v>73.75</v>
      </c>
      <c r="F226">
        <f ca="1">IFERROR(__xludf.DUMMYFUNCTION("""COMPUTED_VALUE"""),732)</f>
        <v>732</v>
      </c>
      <c r="G226">
        <f ca="1">IFERROR(__xludf.DUMMYFUNCTION("""COMPUTED_VALUE"""),5.504)</f>
        <v>5.5039999999999996</v>
      </c>
      <c r="H226">
        <f ca="1">IFERROR(__xludf.DUMMYFUNCTION("""COMPUTED_VALUE"""),10)</f>
        <v>10</v>
      </c>
    </row>
    <row r="227" spans="1:8" ht="12.75">
      <c r="A227">
        <f ca="1">IFERROR(__xludf.DUMMYFUNCTION("""COMPUTED_VALUE"""),226)</f>
        <v>226</v>
      </c>
      <c r="B227">
        <f ca="1">IFERROR(__xludf.DUMMYFUNCTION("""COMPUTED_VALUE"""),226)</f>
        <v>226</v>
      </c>
      <c r="C227" t="str">
        <f ca="1">IFERROR(__xludf.DUMMYFUNCTION("""COMPUTED_VALUE"""),"Sung Kang")</f>
        <v>Sung Kang</v>
      </c>
      <c r="D227">
        <f ca="1">IFERROR(__xludf.DUMMYFUNCTION("""COMPUTED_VALUE"""),14)</f>
        <v>14</v>
      </c>
      <c r="E227">
        <f ca="1">IFERROR(__xludf.DUMMYFUNCTION("""COMPUTED_VALUE"""),73.982)</f>
        <v>73.981999999999999</v>
      </c>
      <c r="F227" s="1">
        <f ca="1">IFERROR(__xludf.DUMMYFUNCTION("""COMPUTED_VALUE"""),1033)</f>
        <v>1033</v>
      </c>
      <c r="G227">
        <f ca="1">IFERROR(__xludf.DUMMYFUNCTION("""COMPUTED_VALUE"""),2.745)</f>
        <v>2.7450000000000001</v>
      </c>
      <c r="H227">
        <f ca="1">IFERROR(__xludf.DUMMYFUNCTION("""COMPUTED_VALUE"""),14)</f>
        <v>14</v>
      </c>
    </row>
    <row r="228" spans="1:8" ht="12.75">
      <c r="A228">
        <f ca="1">IFERROR(__xludf.DUMMYFUNCTION("""COMPUTED_VALUE"""),227)</f>
        <v>227</v>
      </c>
      <c r="B228">
        <f ca="1">IFERROR(__xludf.DUMMYFUNCTION("""COMPUTED_VALUE"""),225)</f>
        <v>225</v>
      </c>
      <c r="C228" t="str">
        <f ca="1">IFERROR(__xludf.DUMMYFUNCTION("""COMPUTED_VALUE"""),"Martin Trainer")</f>
        <v>Martin Trainer</v>
      </c>
      <c r="D228">
        <f ca="1">IFERROR(__xludf.DUMMYFUNCTION("""COMPUTED_VALUE"""),10)</f>
        <v>10</v>
      </c>
      <c r="E228">
        <f ca="1">IFERROR(__xludf.DUMMYFUNCTION("""COMPUTED_VALUE"""),74.066)</f>
        <v>74.066000000000003</v>
      </c>
      <c r="F228">
        <f ca="1">IFERROR(__xludf.DUMMYFUNCTION("""COMPUTED_VALUE"""),732)</f>
        <v>732</v>
      </c>
      <c r="G228">
        <f ca="1">IFERROR(__xludf.DUMMYFUNCTION("""COMPUTED_VALUE"""),8.655)</f>
        <v>8.6549999999999994</v>
      </c>
      <c r="H228">
        <f ca="1">IFERROR(__xludf.DUMMYFUNCTION("""COMPUTED_VALUE"""),10)</f>
        <v>10</v>
      </c>
    </row>
    <row r="229" spans="1:8" ht="12.75">
      <c r="A229">
        <f ca="1">IFERROR(__xludf.DUMMYFUNCTION("""COMPUTED_VALUE"""),228)</f>
        <v>228</v>
      </c>
      <c r="B229">
        <f ca="1">IFERROR(__xludf.DUMMYFUNCTION("""COMPUTED_VALUE"""),224)</f>
        <v>224</v>
      </c>
      <c r="C229" t="str">
        <f ca="1">IFERROR(__xludf.DUMMYFUNCTION("""COMPUTED_VALUE"""),"Rafael Campos")</f>
        <v>Rafael Campos</v>
      </c>
      <c r="D229">
        <f ca="1">IFERROR(__xludf.DUMMYFUNCTION("""COMPUTED_VALUE"""),6)</f>
        <v>6</v>
      </c>
      <c r="E229">
        <f ca="1">IFERROR(__xludf.DUMMYFUNCTION("""COMPUTED_VALUE"""),74.233)</f>
        <v>74.233000000000004</v>
      </c>
      <c r="F229">
        <f ca="1">IFERROR(__xludf.DUMMYFUNCTION("""COMPUTED_VALUE"""),442)</f>
        <v>442</v>
      </c>
      <c r="G229">
        <f ca="1">IFERROR(__xludf.DUMMYFUNCTION("""COMPUTED_VALUE"""),3.395)</f>
        <v>3.395</v>
      </c>
      <c r="H229">
        <f ca="1">IFERROR(__xludf.DUMMYFUNCTION("""COMPUTED_VALUE"""),6)</f>
        <v>6</v>
      </c>
    </row>
    <row r="230" spans="1:8" ht="12.75">
      <c r="A230">
        <f ca="1">IFERROR(__xludf.DUMMYFUNCTION("""COMPUTED_VALUE"""),229)</f>
        <v>229</v>
      </c>
      <c r="B230">
        <f ca="1">IFERROR(__xludf.DUMMYFUNCTION("""COMPUTED_VALUE"""),228)</f>
        <v>228</v>
      </c>
      <c r="C230" t="str">
        <f ca="1">IFERROR(__xludf.DUMMYFUNCTION("""COMPUTED_VALUE"""),"Graham DeLaet")</f>
        <v>Graham DeLaet</v>
      </c>
      <c r="D230">
        <f ca="1">IFERROR(__xludf.DUMMYFUNCTION("""COMPUTED_VALUE"""),9)</f>
        <v>9</v>
      </c>
      <c r="E230">
        <f ca="1">IFERROR(__xludf.DUMMYFUNCTION("""COMPUTED_VALUE"""),74.323)</f>
        <v>74.322999999999993</v>
      </c>
      <c r="F230">
        <f ca="1">IFERROR(__xludf.DUMMYFUNCTION("""COMPUTED_VALUE"""),662)</f>
        <v>662</v>
      </c>
      <c r="G230">
        <f ca="1">IFERROR(__xludf.DUMMYFUNCTION("""COMPUTED_VALUE"""),6.91)</f>
        <v>6.91</v>
      </c>
      <c r="H230">
        <f ca="1">IFERROR(__xludf.DUMMYFUNCTION("""COMPUTED_VALUE"""),9)</f>
        <v>9</v>
      </c>
    </row>
    <row r="231" spans="1:8" ht="12.75">
      <c r="A231">
        <f ca="1">IFERROR(__xludf.DUMMYFUNCTION("""COMPUTED_VALUE"""),230)</f>
        <v>230</v>
      </c>
      <c r="B231">
        <f ca="1">IFERROR(__xludf.DUMMYFUNCTION("""COMPUTED_VALUE"""),227)</f>
        <v>227</v>
      </c>
      <c r="C231" t="str">
        <f ca="1">IFERROR(__xludf.DUMMYFUNCTION("""COMPUTED_VALUE"""),"Alex Cejka")</f>
        <v>Alex Cejka</v>
      </c>
      <c r="D231">
        <f ca="1">IFERROR(__xludf.DUMMYFUNCTION("""COMPUTED_VALUE"""),6)</f>
        <v>6</v>
      </c>
      <c r="E231">
        <f ca="1">IFERROR(__xludf.DUMMYFUNCTION("""COMPUTED_VALUE"""),74.399)</f>
        <v>74.399000000000001</v>
      </c>
      <c r="F231">
        <f ca="1">IFERROR(__xludf.DUMMYFUNCTION("""COMPUTED_VALUE"""),443)</f>
        <v>443</v>
      </c>
      <c r="G231">
        <f ca="1">IFERROR(__xludf.DUMMYFUNCTION("""COMPUTED_VALUE"""),3.395)</f>
        <v>3.395</v>
      </c>
      <c r="H231">
        <f ca="1">IFERROR(__xludf.DUMMYFUNCTION("""COMPUTED_VALUE"""),6)</f>
        <v>6</v>
      </c>
    </row>
    <row r="232" spans="1:8" ht="12.75">
      <c r="A232">
        <f ca="1">IFERROR(__xludf.DUMMYFUNCTION("""COMPUTED_VALUE"""),231)</f>
        <v>231</v>
      </c>
      <c r="B232">
        <f ca="1">IFERROR(__xludf.DUMMYFUNCTION("""COMPUTED_VALUE"""),229)</f>
        <v>229</v>
      </c>
      <c r="C232" t="str">
        <f ca="1">IFERROR(__xludf.DUMMYFUNCTION("""COMPUTED_VALUE"""),"Michael Gellerman")</f>
        <v>Michael Gellerman</v>
      </c>
      <c r="D232">
        <f ca="1">IFERROR(__xludf.DUMMYFUNCTION("""COMPUTED_VALUE"""),5)</f>
        <v>5</v>
      </c>
      <c r="E232">
        <f ca="1">IFERROR(__xludf.DUMMYFUNCTION("""COMPUTED_VALUE"""),74.407)</f>
        <v>74.406999999999996</v>
      </c>
      <c r="F232">
        <f ca="1">IFERROR(__xludf.DUMMYFUNCTION("""COMPUTED_VALUE"""),366)</f>
        <v>366</v>
      </c>
      <c r="G232">
        <f ca="1">IFERROR(__xludf.DUMMYFUNCTION("""COMPUTED_VALUE"""),6.033)</f>
        <v>6.0330000000000004</v>
      </c>
      <c r="H232">
        <f ca="1">IFERROR(__xludf.DUMMYFUNCTION("""COMPUTED_VALUE"""),5)</f>
        <v>5</v>
      </c>
    </row>
    <row r="233" spans="1:8" ht="12.75">
      <c r="A233">
        <f ca="1">IFERROR(__xludf.DUMMYFUNCTION("""COMPUTED_VALUE"""),232)</f>
        <v>232</v>
      </c>
      <c r="B233">
        <f ca="1">IFERROR(__xludf.DUMMYFUNCTION("""COMPUTED_VALUE"""),230)</f>
        <v>230</v>
      </c>
      <c r="C233" t="str">
        <f ca="1">IFERROR(__xludf.DUMMYFUNCTION("""COMPUTED_VALUE"""),"Matt Every")</f>
        <v>Matt Every</v>
      </c>
      <c r="D233">
        <f ca="1">IFERROR(__xludf.DUMMYFUNCTION("""COMPUTED_VALUE"""),8)</f>
        <v>8</v>
      </c>
      <c r="E233">
        <f ca="1">IFERROR(__xludf.DUMMYFUNCTION("""COMPUTED_VALUE"""),74.607)</f>
        <v>74.606999999999999</v>
      </c>
      <c r="F233">
        <f ca="1">IFERROR(__xludf.DUMMYFUNCTION("""COMPUTED_VALUE"""),592)</f>
        <v>592</v>
      </c>
      <c r="G233">
        <f ca="1">IFERROR(__xludf.DUMMYFUNCTION("""COMPUTED_VALUE"""),4.853)</f>
        <v>4.8529999999999998</v>
      </c>
      <c r="H233">
        <f ca="1">IFERROR(__xludf.DUMMYFUNCTION("""COMPUTED_VALUE"""),8)</f>
        <v>8</v>
      </c>
    </row>
    <row r="234" spans="1:8" ht="12.75">
      <c r="A234">
        <f ca="1">IFERROR(__xludf.DUMMYFUNCTION("""COMPUTED_VALUE"""),233)</f>
        <v>233</v>
      </c>
      <c r="B234">
        <f ca="1">IFERROR(__xludf.DUMMYFUNCTION("""COMPUTED_VALUE"""),233)</f>
        <v>233</v>
      </c>
      <c r="C234" t="str">
        <f ca="1">IFERROR(__xludf.DUMMYFUNCTION("""COMPUTED_VALUE"""),"Kevin Stadler")</f>
        <v>Kevin Stadler</v>
      </c>
      <c r="D234">
        <f ca="1">IFERROR(__xludf.DUMMYFUNCTION("""COMPUTED_VALUE"""),8)</f>
        <v>8</v>
      </c>
      <c r="E234">
        <f ca="1">IFERROR(__xludf.DUMMYFUNCTION("""COMPUTED_VALUE"""),74.881)</f>
        <v>74.881</v>
      </c>
      <c r="F234">
        <f ca="1">IFERROR(__xludf.DUMMYFUNCTION("""COMPUTED_VALUE"""),597)</f>
        <v>597</v>
      </c>
      <c r="G234">
        <f ca="1">IFERROR(__xludf.DUMMYFUNCTION("""COMPUTED_VALUE"""),2.044)</f>
        <v>2.044</v>
      </c>
      <c r="H234">
        <f ca="1">IFERROR(__xludf.DUMMYFUNCTION("""COMPUTED_VALUE"""),8)</f>
        <v>8</v>
      </c>
    </row>
    <row r="235" spans="1:8" ht="12.75">
      <c r="A235">
        <f ca="1">IFERROR(__xludf.DUMMYFUNCTION("""COMPUTED_VALUE"""),234)</f>
        <v>234</v>
      </c>
      <c r="B235">
        <f ca="1">IFERROR(__xludf.DUMMYFUNCTION("""COMPUTED_VALUE"""),231)</f>
        <v>231</v>
      </c>
      <c r="C235" t="str">
        <f ca="1">IFERROR(__xludf.DUMMYFUNCTION("""COMPUTED_VALUE"""),"Shawn Stefani")</f>
        <v>Shawn Stefani</v>
      </c>
      <c r="D235">
        <f ca="1">IFERROR(__xludf.DUMMYFUNCTION("""COMPUTED_VALUE"""),5)</f>
        <v>5</v>
      </c>
      <c r="E235">
        <f ca="1">IFERROR(__xludf.DUMMYFUNCTION("""COMPUTED_VALUE"""),75.726)</f>
        <v>75.725999999999999</v>
      </c>
      <c r="F235">
        <f ca="1">IFERROR(__xludf.DUMMYFUNCTION("""COMPUTED_VALUE"""),376)</f>
        <v>376</v>
      </c>
      <c r="G235">
        <f ca="1">IFERROR(__xludf.DUMMYFUNCTION("""COMPUTED_VALUE"""),2.628)</f>
        <v>2.6280000000000001</v>
      </c>
      <c r="H235">
        <f ca="1">IFERROR(__xludf.DUMMYFUNCTION("""COMPUTED_VALUE"""),5)</f>
        <v>5</v>
      </c>
    </row>
    <row r="236" spans="1:8" ht="12.75">
      <c r="A236">
        <f ca="1">IFERROR(__xludf.DUMMYFUNCTION("""COMPUTED_VALUE"""),235)</f>
        <v>235</v>
      </c>
      <c r="B236">
        <f ca="1">IFERROR(__xludf.DUMMYFUNCTION("""COMPUTED_VALUE"""),232)</f>
        <v>232</v>
      </c>
      <c r="C236" t="str">
        <f ca="1">IFERROR(__xludf.DUMMYFUNCTION("""COMPUTED_VALUE"""),"Parker McLachlin")</f>
        <v>Parker McLachlin</v>
      </c>
      <c r="D236">
        <f ca="1">IFERROR(__xludf.DUMMYFUNCTION("""COMPUTED_VALUE"""),4)</f>
        <v>4</v>
      </c>
      <c r="E236">
        <f ca="1">IFERROR(__xludf.DUMMYFUNCTION("""COMPUTED_VALUE"""),76.001)</f>
        <v>76.001000000000005</v>
      </c>
      <c r="F236">
        <f ca="1">IFERROR(__xludf.DUMMYFUNCTION("""COMPUTED_VALUE"""),299)</f>
        <v>299</v>
      </c>
      <c r="G236">
        <f ca="1">IFERROR(__xludf.DUMMYFUNCTION("""COMPUTED_VALUE"""),5.003)</f>
        <v>5.0030000000000001</v>
      </c>
      <c r="H236">
        <f ca="1">IFERROR(__xludf.DUMMYFUNCTION("""COMPUTED_VALUE"""),4)</f>
        <v>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IFERROR(__xludf.DUMMYFUNCTION("importhtml(""http://www.pgatour.com/stats/stat.108.html"",""table"",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STROKES")</f>
        <v>TOTAL STROKES</v>
      </c>
      <c r="G1" t="str">
        <f ca="1">IFERROR(__xludf.DUMMYFUNCTION("""COMPUTED_VALUE"""),"TOTAL ROUNDS")</f>
        <v>TOTAL ROUNDS</v>
      </c>
    </row>
    <row r="2" spans="1:7" ht="15.75" customHeight="1">
      <c r="A2">
        <f ca="1">IFERROR(__xludf.DUMMYFUNCTION("""COMPUTED_VALUE"""),1)</f>
        <v>1</v>
      </c>
      <c r="B2" t="str">
        <f ca="1">IFERROR(__xludf.DUMMYFUNCTION("""COMPUTED_VALUE"""),"T2")</f>
        <v>T2</v>
      </c>
      <c r="C2" t="str">
        <f ca="1">IFERROR(__xludf.DUMMYFUNCTION("""COMPUTED_VALUE"""),"Bryson DeChambeau")</f>
        <v>Bryson DeChambeau</v>
      </c>
      <c r="D2">
        <f ca="1">IFERROR(__xludf.DUMMYFUNCTION("""COMPUTED_VALUE"""),8)</f>
        <v>8</v>
      </c>
      <c r="E2">
        <f ca="1">IFERROR(__xludf.DUMMYFUNCTION("""COMPUTED_VALUE"""),67.5)</f>
        <v>67.5</v>
      </c>
      <c r="F2">
        <f ca="1">IFERROR(__xludf.DUMMYFUNCTION("""COMPUTED_VALUE"""),540)</f>
        <v>540</v>
      </c>
      <c r="G2">
        <f ca="1">IFERROR(__xludf.DUMMYFUNCTION("""COMPUTED_VALUE"""),8)</f>
        <v>8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IFERROR(__xludf.DUMMYFUNCTION("""COMPUTED_VALUE"""),"T2")</f>
        <v>T2</v>
      </c>
      <c r="C3" t="str">
        <f ca="1">IFERROR(__xludf.DUMMYFUNCTION("""COMPUTED_VALUE"""),"Russell Henley")</f>
        <v>Russell Henley</v>
      </c>
      <c r="D3">
        <f ca="1">IFERROR(__xludf.DUMMYFUNCTION("""COMPUTED_VALUE"""),16)</f>
        <v>16</v>
      </c>
      <c r="E3">
        <f ca="1">IFERROR(__xludf.DUMMYFUNCTION("""COMPUTED_VALUE"""),68)</f>
        <v>68</v>
      </c>
      <c r="F3" s="1">
        <f ca="1">IFERROR(__xludf.DUMMYFUNCTION("""COMPUTED_VALUE"""),1088)</f>
        <v>1088</v>
      </c>
      <c r="G3">
        <f ca="1">IFERROR(__xludf.DUMMYFUNCTION("""COMPUTED_VALUE"""),16)</f>
        <v>16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IFERROR(__xludf.DUMMYFUNCTION("""COMPUTED_VALUE"""),6)</f>
        <v>6</v>
      </c>
      <c r="C4" t="str">
        <f ca="1">IFERROR(__xludf.DUMMYFUNCTION("""COMPUTED_VALUE"""),"Bud Cauley")</f>
        <v>Bud Cauley</v>
      </c>
      <c r="D4">
        <f ca="1">IFERROR(__xludf.DUMMYFUNCTION("""COMPUTED_VALUE"""),4)</f>
        <v>4</v>
      </c>
      <c r="E4">
        <f ca="1">IFERROR(__xludf.DUMMYFUNCTION("""COMPUTED_VALUE"""),68.25)</f>
        <v>68.25</v>
      </c>
      <c r="F4">
        <f ca="1">IFERROR(__xludf.DUMMYFUNCTION("""COMPUTED_VALUE"""),273)</f>
        <v>273</v>
      </c>
      <c r="G4">
        <f ca="1">IFERROR(__xludf.DUMMYFUNCTION("""COMPUTED_VALUE"""),4)</f>
        <v>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IFERROR(__xludf.DUMMYFUNCTION("""COMPUTED_VALUE"""),"James Hahn")</f>
        <v>James Hahn</v>
      </c>
      <c r="D5">
        <f ca="1">IFERROR(__xludf.DUMMYFUNCTION("""COMPUTED_VALUE"""),16)</f>
        <v>16</v>
      </c>
      <c r="E5">
        <f ca="1">IFERROR(__xludf.DUMMYFUNCTION("""COMPUTED_VALUE"""),68.44)</f>
        <v>68.44</v>
      </c>
      <c r="F5" s="1">
        <f ca="1">IFERROR(__xludf.DUMMYFUNCTION("""COMPUTED_VALUE"""),1095)</f>
        <v>1095</v>
      </c>
      <c r="G5">
        <f ca="1">IFERROR(__xludf.DUMMYFUNCTION("""COMPUTED_VALUE"""),16)</f>
        <v>16</v>
      </c>
    </row>
    <row r="6" spans="1:7" ht="15.75" customHeight="1">
      <c r="A6">
        <f ca="1">IFERROR(__xludf.DUMMYFUNCTION("""COMPUTED_VALUE"""),5)</f>
        <v>5</v>
      </c>
      <c r="B6">
        <f ca="1">IFERROR(__xludf.DUMMYFUNCTION("""COMPUTED_VALUE"""),10)</f>
        <v>10</v>
      </c>
      <c r="C6" t="str">
        <f ca="1">IFERROR(__xludf.DUMMYFUNCTION("""COMPUTED_VALUE"""),"Peter Malnati")</f>
        <v>Peter Malnati</v>
      </c>
      <c r="D6">
        <f ca="1">IFERROR(__xludf.DUMMYFUNCTION("""COMPUTED_VALUE"""),18)</f>
        <v>18</v>
      </c>
      <c r="E6">
        <f ca="1">IFERROR(__xludf.DUMMYFUNCTION("""COMPUTED_VALUE"""),68.61)</f>
        <v>68.61</v>
      </c>
      <c r="F6" s="1">
        <f ca="1">IFERROR(__xludf.DUMMYFUNCTION("""COMPUTED_VALUE"""),1235)</f>
        <v>1235</v>
      </c>
      <c r="G6">
        <f ca="1">IFERROR(__xludf.DUMMYFUNCTION("""COMPUTED_VALUE"""),18)</f>
        <v>18</v>
      </c>
    </row>
    <row r="7" spans="1:7" ht="15.75" customHeight="1">
      <c r="A7">
        <f ca="1">IFERROR(__xludf.DUMMYFUNCTION("""COMPUTED_VALUE"""),6)</f>
        <v>6</v>
      </c>
      <c r="B7">
        <f ca="1">IFERROR(__xludf.DUMMYFUNCTION("""COMPUTED_VALUE"""),7)</f>
        <v>7</v>
      </c>
      <c r="C7" t="str">
        <f ca="1">IFERROR(__xludf.DUMMYFUNCTION("""COMPUTED_VALUE"""),"Austin Cook")</f>
        <v>Austin Cook</v>
      </c>
      <c r="D7">
        <f ca="1">IFERROR(__xludf.DUMMYFUNCTION("""COMPUTED_VALUE"""),14)</f>
        <v>14</v>
      </c>
      <c r="E7">
        <f ca="1">IFERROR(__xludf.DUMMYFUNCTION("""COMPUTED_VALUE"""),68.64)</f>
        <v>68.64</v>
      </c>
      <c r="F7">
        <f ca="1">IFERROR(__xludf.DUMMYFUNCTION("""COMPUTED_VALUE"""),961)</f>
        <v>961</v>
      </c>
      <c r="G7">
        <f ca="1">IFERROR(__xludf.DUMMYFUNCTION("""COMPUTED_VALUE"""),14)</f>
        <v>14</v>
      </c>
    </row>
    <row r="8" spans="1:7" ht="15.75" customHeight="1">
      <c r="A8">
        <f ca="1">IFERROR(__xludf.DUMMYFUNCTION("""COMPUTED_VALUE"""),7)</f>
        <v>7</v>
      </c>
      <c r="B8">
        <f ca="1">IFERROR(__xludf.DUMMYFUNCTION("""COMPUTED_VALUE"""),1)</f>
        <v>1</v>
      </c>
      <c r="C8" t="str">
        <f ca="1">IFERROR(__xludf.DUMMYFUNCTION("""COMPUTED_VALUE"""),"John Huh")</f>
        <v>John Huh</v>
      </c>
      <c r="D8">
        <f ca="1">IFERROR(__xludf.DUMMYFUNCTION("""COMPUTED_VALUE"""),8)</f>
        <v>8</v>
      </c>
      <c r="E8">
        <f ca="1">IFERROR(__xludf.DUMMYFUNCTION("""COMPUTED_VALUE"""),68.75)</f>
        <v>68.75</v>
      </c>
      <c r="F8">
        <f ca="1">IFERROR(__xludf.DUMMYFUNCTION("""COMPUTED_VALUE"""),550)</f>
        <v>550</v>
      </c>
      <c r="G8">
        <f ca="1">IFERROR(__xludf.DUMMYFUNCTION("""COMPUTED_VALUE"""),8)</f>
        <v>8</v>
      </c>
    </row>
    <row r="9" spans="1:7" ht="15.75" customHeight="1">
      <c r="A9">
        <f ca="1">IFERROR(__xludf.DUMMYFUNCTION("""COMPUTED_VALUE"""),8)</f>
        <v>8</v>
      </c>
      <c r="B9">
        <f ca="1">IFERROR(__xludf.DUMMYFUNCTION("""COMPUTED_VALUE"""),12)</f>
        <v>12</v>
      </c>
      <c r="C9" t="str">
        <f ca="1">IFERROR(__xludf.DUMMYFUNCTION("""COMPUTED_VALUE"""),"Justin Suh")</f>
        <v>Justin Suh</v>
      </c>
      <c r="D9">
        <f ca="1">IFERROR(__xludf.DUMMYFUNCTION("""COMPUTED_VALUE"""),10)</f>
        <v>10</v>
      </c>
      <c r="E9">
        <f ca="1">IFERROR(__xludf.DUMMYFUNCTION("""COMPUTED_VALUE"""),68.8)</f>
        <v>68.8</v>
      </c>
      <c r="F9">
        <f ca="1">IFERROR(__xludf.DUMMYFUNCTION("""COMPUTED_VALUE"""),688)</f>
        <v>688</v>
      </c>
      <c r="G9">
        <f ca="1">IFERROR(__xludf.DUMMYFUNCTION("""COMPUTED_VALUE"""),10)</f>
        <v>10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IFERROR(__xludf.DUMMYFUNCTION("""COMPUTED_VALUE"""),"")</f>
        <v/>
      </c>
      <c r="C10" t="str">
        <f ca="1">IFERROR(__xludf.DUMMYFUNCTION("""COMPUTED_VALUE"""),"Francesco Molinari")</f>
        <v>Francesco Molinari</v>
      </c>
      <c r="D10">
        <f ca="1">IFERROR(__xludf.DUMMYFUNCTION("""COMPUTED_VALUE"""),6)</f>
        <v>6</v>
      </c>
      <c r="E10">
        <f ca="1">IFERROR(__xludf.DUMMYFUNCTION("""COMPUTED_VALUE"""),68.83)</f>
        <v>68.83</v>
      </c>
      <c r="F10">
        <f ca="1">IFERROR(__xludf.DUMMYFUNCTION("""COMPUTED_VALUE"""),413)</f>
        <v>413</v>
      </c>
      <c r="G10">
        <f ca="1">IFERROR(__xludf.DUMMYFUNCTION("""COMPUTED_VALUE"""),6)</f>
        <v>6</v>
      </c>
    </row>
    <row r="11" spans="1:7" ht="15.75" customHeight="1">
      <c r="A11" t="str">
        <f ca="1">IFERROR(__xludf.DUMMYFUNCTION("""COMPUTED_VALUE"""),"T9")</f>
        <v>T9</v>
      </c>
      <c r="B11">
        <f ca="1">IFERROR(__xludf.DUMMYFUNCTION("""COMPUTED_VALUE"""),13)</f>
        <v>13</v>
      </c>
      <c r="C11" t="str">
        <f ca="1">IFERROR(__xludf.DUMMYFUNCTION("""COMPUTED_VALUE"""),"Webb Simpson")</f>
        <v>Webb Simpson</v>
      </c>
      <c r="D11">
        <f ca="1">IFERROR(__xludf.DUMMYFUNCTION("""COMPUTED_VALUE"""),12)</f>
        <v>12</v>
      </c>
      <c r="E11">
        <f ca="1">IFERROR(__xludf.DUMMYFUNCTION("""COMPUTED_VALUE"""),68.83)</f>
        <v>68.83</v>
      </c>
      <c r="F11">
        <f ca="1">IFERROR(__xludf.DUMMYFUNCTION("""COMPUTED_VALUE"""),826)</f>
        <v>826</v>
      </c>
      <c r="G11">
        <f ca="1">IFERROR(__xludf.DUMMYFUNCTION("""COMPUTED_VALUE"""),12)</f>
        <v>12</v>
      </c>
    </row>
    <row r="12" spans="1:7" ht="15.75" customHeight="1">
      <c r="A12">
        <f ca="1">IFERROR(__xludf.DUMMYFUNCTION("""COMPUTED_VALUE"""),11)</f>
        <v>11</v>
      </c>
      <c r="B12" t="str">
        <f ca="1">IFERROR(__xludf.DUMMYFUNCTION("""COMPUTED_VALUE"""),"T18")</f>
        <v>T18</v>
      </c>
      <c r="C12" t="str">
        <f ca="1">IFERROR(__xludf.DUMMYFUNCTION("""COMPUTED_VALUE"""),"Sam Burns")</f>
        <v>Sam Burns</v>
      </c>
      <c r="D12">
        <f ca="1">IFERROR(__xludf.DUMMYFUNCTION("""COMPUTED_VALUE"""),18)</f>
        <v>18</v>
      </c>
      <c r="E12">
        <f ca="1">IFERROR(__xludf.DUMMYFUNCTION("""COMPUTED_VALUE"""),68.89)</f>
        <v>68.89</v>
      </c>
      <c r="F12" s="1">
        <f ca="1">IFERROR(__xludf.DUMMYFUNCTION("""COMPUTED_VALUE"""),1240)</f>
        <v>1240</v>
      </c>
      <c r="G12">
        <f ca="1">IFERROR(__xludf.DUMMYFUNCTION("""COMPUTED_VALUE"""),18)</f>
        <v>18</v>
      </c>
    </row>
    <row r="13" spans="1:7" ht="15.75" customHeight="1">
      <c r="A13">
        <f ca="1">IFERROR(__xludf.DUMMYFUNCTION("""COMPUTED_VALUE"""),12)</f>
        <v>12</v>
      </c>
      <c r="B13">
        <f ca="1">IFERROR(__xludf.DUMMYFUNCTION("""COMPUTED_VALUE"""),14)</f>
        <v>14</v>
      </c>
      <c r="C13" t="str">
        <f ca="1">IFERROR(__xludf.DUMMYFUNCTION("""COMPUTED_VALUE"""),"Xander Schauffele")</f>
        <v>Xander Schauffele</v>
      </c>
      <c r="D13">
        <f ca="1">IFERROR(__xludf.DUMMYFUNCTION("""COMPUTED_VALUE"""),12)</f>
        <v>12</v>
      </c>
      <c r="E13">
        <f ca="1">IFERROR(__xludf.DUMMYFUNCTION("""COMPUTED_VALUE"""),68.92)</f>
        <v>68.92</v>
      </c>
      <c r="F13">
        <f ca="1">IFERROR(__xludf.DUMMYFUNCTION("""COMPUTED_VALUE"""),827)</f>
        <v>827</v>
      </c>
      <c r="G13">
        <f ca="1">IFERROR(__xludf.DUMMYFUNCTION("""COMPUTED_VALUE"""),12)</f>
        <v>12</v>
      </c>
    </row>
    <row r="14" spans="1:7" ht="15.75" customHeight="1">
      <c r="A14">
        <f ca="1">IFERROR(__xludf.DUMMYFUNCTION("""COMPUTED_VALUE"""),13)</f>
        <v>13</v>
      </c>
      <c r="B14">
        <f ca="1">IFERROR(__xludf.DUMMYFUNCTION("""COMPUTED_VALUE"""),15)</f>
        <v>15</v>
      </c>
      <c r="C14" t="str">
        <f ca="1">IFERROR(__xludf.DUMMYFUNCTION("""COMPUTED_VALUE"""),"Jason Kokrak")</f>
        <v>Jason Kokrak</v>
      </c>
      <c r="D14">
        <f ca="1">IFERROR(__xludf.DUMMYFUNCTION("""COMPUTED_VALUE"""),14)</f>
        <v>14</v>
      </c>
      <c r="E14">
        <f ca="1">IFERROR(__xludf.DUMMYFUNCTION("""COMPUTED_VALUE"""),68.93)</f>
        <v>68.930000000000007</v>
      </c>
      <c r="F14">
        <f ca="1">IFERROR(__xludf.DUMMYFUNCTION("""COMPUTED_VALUE"""),965)</f>
        <v>965</v>
      </c>
      <c r="G14">
        <f ca="1">IFERROR(__xludf.DUMMYFUNCTION("""COMPUTED_VALUE"""),14)</f>
        <v>14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IFERROR(__xludf.DUMMYFUNCTION("""COMPUTED_VALUE"""),9)</f>
        <v>9</v>
      </c>
      <c r="C15" t="str">
        <f ca="1">IFERROR(__xludf.DUMMYFUNCTION("""COMPUTED_VALUE"""),"Stewart Cink")</f>
        <v>Stewart Cink</v>
      </c>
      <c r="D15">
        <f ca="1">IFERROR(__xludf.DUMMYFUNCTION("""COMPUTED_VALUE"""),18)</f>
        <v>18</v>
      </c>
      <c r="E15">
        <f ca="1">IFERROR(__xludf.DUMMYFUNCTION("""COMPUTED_VALUE"""),68.94)</f>
        <v>68.94</v>
      </c>
      <c r="F15" s="1">
        <f ca="1">IFERROR(__xludf.DUMMYFUNCTION("""COMPUTED_VALUE"""),1241)</f>
        <v>1241</v>
      </c>
      <c r="G15">
        <f ca="1">IFERROR(__xludf.DUMMYFUNCTION("""COMPUTED_VALUE"""),18)</f>
        <v>18</v>
      </c>
    </row>
    <row r="16" spans="1:7" ht="15.75" customHeight="1">
      <c r="A16">
        <f ca="1">IFERROR(__xludf.DUMMYFUNCTION("""COMPUTED_VALUE"""),15)</f>
        <v>15</v>
      </c>
      <c r="B16">
        <f ca="1">IFERROR(__xludf.DUMMYFUNCTION("""COMPUTED_VALUE"""),24)</f>
        <v>24</v>
      </c>
      <c r="C16" t="str">
        <f ca="1">IFERROR(__xludf.DUMMYFUNCTION("""COMPUTED_VALUE"""),"Sepp Straka")</f>
        <v>Sepp Straka</v>
      </c>
      <c r="D16">
        <f ca="1">IFERROR(__xludf.DUMMYFUNCTION("""COMPUTED_VALUE"""),22)</f>
        <v>22</v>
      </c>
      <c r="E16">
        <f ca="1">IFERROR(__xludf.DUMMYFUNCTION("""COMPUTED_VALUE"""),68.95)</f>
        <v>68.95</v>
      </c>
      <c r="F16" s="1">
        <f ca="1">IFERROR(__xludf.DUMMYFUNCTION("""COMPUTED_VALUE"""),1517)</f>
        <v>1517</v>
      </c>
      <c r="G16">
        <f ca="1">IFERROR(__xludf.DUMMYFUNCTION("""COMPUTED_VALUE"""),22)</f>
        <v>22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IFERROR(__xludf.DUMMYFUNCTION("""COMPUTED_VALUE"""),"")</f>
        <v/>
      </c>
      <c r="C17" t="str">
        <f ca="1">IFERROR(__xludf.DUMMYFUNCTION("""COMPUTED_VALUE"""),"Dawie van der Walt")</f>
        <v>Dawie van der Walt</v>
      </c>
      <c r="D17">
        <f ca="1">IFERROR(__xludf.DUMMYFUNCTION("""COMPUTED_VALUE"""),4)</f>
        <v>4</v>
      </c>
      <c r="E17">
        <f ca="1">IFERROR(__xludf.DUMMYFUNCTION("""COMPUTED_VALUE"""),69)</f>
        <v>69</v>
      </c>
      <c r="F17">
        <f ca="1">IFERROR(__xludf.DUMMYFUNCTION("""COMPUTED_VALUE"""),276)</f>
        <v>276</v>
      </c>
      <c r="G17">
        <f ca="1">IFERROR(__xludf.DUMMYFUNCTION("""COMPUTED_VALUE"""),4)</f>
        <v>4</v>
      </c>
    </row>
    <row r="18" spans="1:7" ht="15.75" customHeight="1">
      <c r="A18" t="str">
        <f ca="1">IFERROR(__xludf.DUMMYFUNCTION("""COMPUTED_VALUE"""),"T16")</f>
        <v>T16</v>
      </c>
      <c r="B18">
        <f ca="1">IFERROR(__xludf.DUMMYFUNCTION("""COMPUTED_VALUE"""),21)</f>
        <v>21</v>
      </c>
      <c r="C18" t="str">
        <f ca="1">IFERROR(__xludf.DUMMYFUNCTION("""COMPUTED_VALUE"""),"Harold Varner III")</f>
        <v>Harold Varner III</v>
      </c>
      <c r="D18">
        <f ca="1">IFERROR(__xludf.DUMMYFUNCTION("""COMPUTED_VALUE"""),14)</f>
        <v>14</v>
      </c>
      <c r="E18">
        <f ca="1">IFERROR(__xludf.DUMMYFUNCTION("""COMPUTED_VALUE"""),69)</f>
        <v>69</v>
      </c>
      <c r="F18">
        <f ca="1">IFERROR(__xludf.DUMMYFUNCTION("""COMPUTED_VALUE"""),966)</f>
        <v>966</v>
      </c>
      <c r="G18">
        <f ca="1">IFERROR(__xludf.DUMMYFUNCTION("""COMPUTED_VALUE"""),14)</f>
        <v>14</v>
      </c>
    </row>
    <row r="19" spans="1:7" ht="15.75" customHeight="1">
      <c r="A19" t="str">
        <f ca="1">IFERROR(__xludf.DUMMYFUNCTION("""COMPUTED_VALUE"""),"T16")</f>
        <v>T16</v>
      </c>
      <c r="B19">
        <f ca="1">IFERROR(__xludf.DUMMYFUNCTION("""COMPUTED_VALUE"""),16)</f>
        <v>16</v>
      </c>
      <c r="C19" t="str">
        <f ca="1">IFERROR(__xludf.DUMMYFUNCTION("""COMPUTED_VALUE"""),"Akshay Bhatia")</f>
        <v>Akshay Bhatia</v>
      </c>
      <c r="D19">
        <f ca="1">IFERROR(__xludf.DUMMYFUNCTION("""COMPUTED_VALUE"""),6)</f>
        <v>6</v>
      </c>
      <c r="E19">
        <f ca="1">IFERROR(__xludf.DUMMYFUNCTION("""COMPUTED_VALUE"""),69)</f>
        <v>69</v>
      </c>
      <c r="F19">
        <f ca="1">IFERROR(__xludf.DUMMYFUNCTION("""COMPUTED_VALUE"""),414)</f>
        <v>414</v>
      </c>
      <c r="G19">
        <f ca="1">IFERROR(__xludf.DUMMYFUNCTION("""COMPUTED_VALUE"""),6)</f>
        <v>6</v>
      </c>
    </row>
    <row r="20" spans="1:7" ht="15.75" customHeight="1">
      <c r="A20" t="str">
        <f ca="1">IFERROR(__xludf.DUMMYFUNCTION("""COMPUTED_VALUE"""),"T19")</f>
        <v>T19</v>
      </c>
      <c r="B20">
        <f ca="1">IFERROR(__xludf.DUMMYFUNCTION("""COMPUTED_VALUE"""),17)</f>
        <v>17</v>
      </c>
      <c r="C20" t="str">
        <f ca="1">IFERROR(__xludf.DUMMYFUNCTION("""COMPUTED_VALUE"""),"Joaquin Niemann")</f>
        <v>Joaquin Niemann</v>
      </c>
      <c r="D20">
        <f ca="1">IFERROR(__xludf.DUMMYFUNCTION("""COMPUTED_VALUE"""),16)</f>
        <v>16</v>
      </c>
      <c r="E20">
        <f ca="1">IFERROR(__xludf.DUMMYFUNCTION("""COMPUTED_VALUE"""),69.06)</f>
        <v>69.06</v>
      </c>
      <c r="F20" s="1">
        <f ca="1">IFERROR(__xludf.DUMMYFUNCTION("""COMPUTED_VALUE"""),1105)</f>
        <v>1105</v>
      </c>
      <c r="G20">
        <f ca="1">IFERROR(__xludf.DUMMYFUNCTION("""COMPUTED_VALUE"""),16)</f>
        <v>16</v>
      </c>
    </row>
    <row r="21" spans="1:7" ht="15.75" customHeight="1">
      <c r="A21" t="str">
        <f ca="1">IFERROR(__xludf.DUMMYFUNCTION("""COMPUTED_VALUE"""),"T19")</f>
        <v>T19</v>
      </c>
      <c r="B21">
        <f ca="1">IFERROR(__xludf.DUMMYFUNCTION("""COMPUTED_VALUE"""),8)</f>
        <v>8</v>
      </c>
      <c r="C21" t="str">
        <f ca="1">IFERROR(__xludf.DUMMYFUNCTION("""COMPUTED_VALUE"""),"Doc Redman")</f>
        <v>Doc Redman</v>
      </c>
      <c r="D21">
        <f ca="1">IFERROR(__xludf.DUMMYFUNCTION("""COMPUTED_VALUE"""),18)</f>
        <v>18</v>
      </c>
      <c r="E21">
        <f ca="1">IFERROR(__xludf.DUMMYFUNCTION("""COMPUTED_VALUE"""),69.06)</f>
        <v>69.06</v>
      </c>
      <c r="F21" s="1">
        <f ca="1">IFERROR(__xludf.DUMMYFUNCTION("""COMPUTED_VALUE"""),1243)</f>
        <v>1243</v>
      </c>
      <c r="G21">
        <f ca="1">IFERROR(__xludf.DUMMYFUNCTION("""COMPUTED_VALUE"""),18)</f>
        <v>18</v>
      </c>
    </row>
    <row r="22" spans="1:7" ht="15.75" customHeight="1">
      <c r="A22">
        <f ca="1">IFERROR(__xludf.DUMMYFUNCTION("""COMPUTED_VALUE"""),21)</f>
        <v>21</v>
      </c>
      <c r="B22" t="str">
        <f ca="1">IFERROR(__xludf.DUMMYFUNCTION("""COMPUTED_VALUE"""),"T18")</f>
        <v>T18</v>
      </c>
      <c r="C22" t="str">
        <f ca="1">IFERROR(__xludf.DUMMYFUNCTION("""COMPUTED_VALUE"""),"Harry Higgs")</f>
        <v>Harry Higgs</v>
      </c>
      <c r="D22">
        <f ca="1">IFERROR(__xludf.DUMMYFUNCTION("""COMPUTED_VALUE"""),14)</f>
        <v>14</v>
      </c>
      <c r="E22">
        <f ca="1">IFERROR(__xludf.DUMMYFUNCTION("""COMPUTED_VALUE"""),69.07)</f>
        <v>69.069999999999993</v>
      </c>
      <c r="F22">
        <f ca="1">IFERROR(__xludf.DUMMYFUNCTION("""COMPUTED_VALUE"""),967)</f>
        <v>967</v>
      </c>
      <c r="G22">
        <f ca="1">IFERROR(__xludf.DUMMYFUNCTION("""COMPUTED_VALUE"""),14)</f>
        <v>14</v>
      </c>
    </row>
    <row r="23" spans="1:7" ht="15.75" customHeight="1">
      <c r="A23">
        <f ca="1">IFERROR(__xludf.DUMMYFUNCTION("""COMPUTED_VALUE"""),22)</f>
        <v>22</v>
      </c>
      <c r="B23" t="str">
        <f ca="1">IFERROR(__xludf.DUMMYFUNCTION("""COMPUTED_VALUE"""),"T42")</f>
        <v>T42</v>
      </c>
      <c r="C23" t="str">
        <f ca="1">IFERROR(__xludf.DUMMYFUNCTION("""COMPUTED_VALUE"""),"Talor Gooch")</f>
        <v>Talor Gooch</v>
      </c>
      <c r="D23">
        <f ca="1">IFERROR(__xludf.DUMMYFUNCTION("""COMPUTED_VALUE"""),20)</f>
        <v>20</v>
      </c>
      <c r="E23">
        <f ca="1">IFERROR(__xludf.DUMMYFUNCTION("""COMPUTED_VALUE"""),69.1)</f>
        <v>69.099999999999994</v>
      </c>
      <c r="F23" s="1">
        <f ca="1">IFERROR(__xludf.DUMMYFUNCTION("""COMPUTED_VALUE"""),1382)</f>
        <v>1382</v>
      </c>
      <c r="G23">
        <f ca="1">IFERROR(__xludf.DUMMYFUNCTION("""COMPUTED_VALUE"""),20)</f>
        <v>20</v>
      </c>
    </row>
    <row r="24" spans="1:7" ht="15.75" customHeight="1">
      <c r="A24">
        <f ca="1">IFERROR(__xludf.DUMMYFUNCTION("""COMPUTED_VALUE"""),23)</f>
        <v>23</v>
      </c>
      <c r="B24" t="str">
        <f ca="1">IFERROR(__xludf.DUMMYFUNCTION("""COMPUTED_VALUE"""),"T22")</f>
        <v>T22</v>
      </c>
      <c r="C24" t="str">
        <f ca="1">IFERROR(__xludf.DUMMYFUNCTION("""COMPUTED_VALUE"""),"Michael Gligic")</f>
        <v>Michael Gligic</v>
      </c>
      <c r="D24">
        <f ca="1">IFERROR(__xludf.DUMMYFUNCTION("""COMPUTED_VALUE"""),18)</f>
        <v>18</v>
      </c>
      <c r="E24">
        <f ca="1">IFERROR(__xludf.DUMMYFUNCTION("""COMPUTED_VALUE"""),69.11)</f>
        <v>69.11</v>
      </c>
      <c r="F24" s="1">
        <f ca="1">IFERROR(__xludf.DUMMYFUNCTION("""COMPUTED_VALUE"""),1244)</f>
        <v>1244</v>
      </c>
      <c r="G24">
        <f ca="1">IFERROR(__xludf.DUMMYFUNCTION("""COMPUTED_VALUE"""),18)</f>
        <v>18</v>
      </c>
    </row>
    <row r="25" spans="1:7" ht="15.75" customHeight="1">
      <c r="A25">
        <f ca="1">IFERROR(__xludf.DUMMYFUNCTION("""COMPUTED_VALUE"""),24)</f>
        <v>24</v>
      </c>
      <c r="B25">
        <f ca="1">IFERROR(__xludf.DUMMYFUNCTION("""COMPUTED_VALUE"""),25)</f>
        <v>25</v>
      </c>
      <c r="C25" t="str">
        <f ca="1">IFERROR(__xludf.DUMMYFUNCTION("""COMPUTED_VALUE"""),"Anirban Lahiri")</f>
        <v>Anirban Lahiri</v>
      </c>
      <c r="D25">
        <f ca="1">IFERROR(__xludf.DUMMYFUNCTION("""COMPUTED_VALUE"""),16)</f>
        <v>16</v>
      </c>
      <c r="E25">
        <f ca="1">IFERROR(__xludf.DUMMYFUNCTION("""COMPUTED_VALUE"""),69.19)</f>
        <v>69.19</v>
      </c>
      <c r="F25" s="1">
        <f ca="1">IFERROR(__xludf.DUMMYFUNCTION("""COMPUTED_VALUE"""),1107)</f>
        <v>1107</v>
      </c>
      <c r="G25">
        <f ca="1">IFERROR(__xludf.DUMMYFUNCTION("""COMPUTED_VALUE"""),16)</f>
        <v>16</v>
      </c>
    </row>
    <row r="26" spans="1:7" ht="15.75" customHeight="1">
      <c r="A26">
        <f ca="1">IFERROR(__xludf.DUMMYFUNCTION("""COMPUTED_VALUE"""),25)</f>
        <v>25</v>
      </c>
      <c r="B26" t="str">
        <f ca="1">IFERROR(__xludf.DUMMYFUNCTION("""COMPUTED_VALUE"""),"T27")</f>
        <v>T27</v>
      </c>
      <c r="C26" t="str">
        <f ca="1">IFERROR(__xludf.DUMMYFUNCTION("""COMPUTED_VALUE"""),"Ryan Palmer")</f>
        <v>Ryan Palmer</v>
      </c>
      <c r="D26">
        <f ca="1">IFERROR(__xludf.DUMMYFUNCTION("""COMPUTED_VALUE"""),14)</f>
        <v>14</v>
      </c>
      <c r="E26">
        <f ca="1">IFERROR(__xludf.DUMMYFUNCTION("""COMPUTED_VALUE"""),69.21)</f>
        <v>69.209999999999994</v>
      </c>
      <c r="F26">
        <f ca="1">IFERROR(__xludf.DUMMYFUNCTION("""COMPUTED_VALUE"""),969)</f>
        <v>969</v>
      </c>
      <c r="G26">
        <f ca="1">IFERROR(__xludf.DUMMYFUNCTION("""COMPUTED_VALUE"""),14)</f>
        <v>14</v>
      </c>
    </row>
    <row r="27" spans="1:7" ht="15.75" customHeight="1">
      <c r="A27">
        <f ca="1">IFERROR(__xludf.DUMMYFUNCTION("""COMPUTED_VALUE"""),26)</f>
        <v>26</v>
      </c>
      <c r="B27">
        <f ca="1">IFERROR(__xludf.DUMMYFUNCTION("""COMPUTED_VALUE"""),29)</f>
        <v>29</v>
      </c>
      <c r="C27" t="str">
        <f ca="1">IFERROR(__xludf.DUMMYFUNCTION("""COMPUTED_VALUE"""),"Will Zalatoris")</f>
        <v>Will Zalatoris</v>
      </c>
      <c r="D27">
        <f ca="1">IFERROR(__xludf.DUMMYFUNCTION("""COMPUTED_VALUE"""),18)</f>
        <v>18</v>
      </c>
      <c r="E27">
        <f ca="1">IFERROR(__xludf.DUMMYFUNCTION("""COMPUTED_VALUE"""),69.22)</f>
        <v>69.22</v>
      </c>
      <c r="F27" s="1">
        <f ca="1">IFERROR(__xludf.DUMMYFUNCTION("""COMPUTED_VALUE"""),1246)</f>
        <v>1246</v>
      </c>
      <c r="G27">
        <f ca="1">IFERROR(__xludf.DUMMYFUNCTION("""COMPUTED_VALUE"""),18)</f>
        <v>18</v>
      </c>
    </row>
    <row r="28" spans="1:7" ht="15.75" customHeight="1">
      <c r="A28" t="str">
        <f ca="1">IFERROR(__xludf.DUMMYFUNCTION("""COMPUTED_VALUE"""),"T27")</f>
        <v>T27</v>
      </c>
      <c r="B28" t="str">
        <f ca="1">IFERROR(__xludf.DUMMYFUNCTION("""COMPUTED_VALUE"""),"T30")</f>
        <v>T30</v>
      </c>
      <c r="C28" t="str">
        <f ca="1">IFERROR(__xludf.DUMMYFUNCTION("""COMPUTED_VALUE"""),"Brad Kennedy")</f>
        <v>Brad Kennedy</v>
      </c>
      <c r="D28">
        <f ca="1">IFERROR(__xludf.DUMMYFUNCTION("""COMPUTED_VALUE"""),4)</f>
        <v>4</v>
      </c>
      <c r="E28">
        <f ca="1">IFERROR(__xludf.DUMMYFUNCTION("""COMPUTED_VALUE"""),69.25)</f>
        <v>69.25</v>
      </c>
      <c r="F28">
        <f ca="1">IFERROR(__xludf.DUMMYFUNCTION("""COMPUTED_VALUE"""),277)</f>
        <v>277</v>
      </c>
      <c r="G28">
        <f ca="1">IFERROR(__xludf.DUMMYFUNCTION("""COMPUTED_VALUE"""),4)</f>
        <v>4</v>
      </c>
    </row>
    <row r="29" spans="1:7" ht="15.75" customHeight="1">
      <c r="A29" t="str">
        <f ca="1">IFERROR(__xludf.DUMMYFUNCTION("""COMPUTED_VALUE"""),"T27")</f>
        <v>T27</v>
      </c>
      <c r="B29" t="str">
        <f ca="1">IFERROR(__xludf.DUMMYFUNCTION("""COMPUTED_VALUE"""),"T171")</f>
        <v>T171</v>
      </c>
      <c r="C29" t="str">
        <f ca="1">IFERROR(__xludf.DUMMYFUNCTION("""COMPUTED_VALUE"""),"Dustin Johnson")</f>
        <v>Dustin Johnson</v>
      </c>
      <c r="D29">
        <f ca="1">IFERROR(__xludf.DUMMYFUNCTION("""COMPUTED_VALUE"""),8)</f>
        <v>8</v>
      </c>
      <c r="E29">
        <f ca="1">IFERROR(__xludf.DUMMYFUNCTION("""COMPUTED_VALUE"""),69.25)</f>
        <v>69.25</v>
      </c>
      <c r="F29">
        <f ca="1">IFERROR(__xludf.DUMMYFUNCTION("""COMPUTED_VALUE"""),554)</f>
        <v>554</v>
      </c>
      <c r="G29">
        <f ca="1">IFERROR(__xludf.DUMMYFUNCTION("""COMPUTED_VALUE"""),8)</f>
        <v>8</v>
      </c>
    </row>
    <row r="30" spans="1:7" ht="15.75" customHeight="1">
      <c r="A30">
        <f ca="1">IFERROR(__xludf.DUMMYFUNCTION("""COMPUTED_VALUE"""),29)</f>
        <v>29</v>
      </c>
      <c r="B30" t="str">
        <f ca="1">IFERROR(__xludf.DUMMYFUNCTION("""COMPUTED_VALUE"""),"T22")</f>
        <v>T22</v>
      </c>
      <c r="C30" t="str">
        <f ca="1">IFERROR(__xludf.DUMMYFUNCTION("""COMPUTED_VALUE"""),"Denny McCarthy")</f>
        <v>Denny McCarthy</v>
      </c>
      <c r="D30">
        <f ca="1">IFERROR(__xludf.DUMMYFUNCTION("""COMPUTED_VALUE"""),22)</f>
        <v>22</v>
      </c>
      <c r="E30">
        <f ca="1">IFERROR(__xludf.DUMMYFUNCTION("""COMPUTED_VALUE"""),69.27)</f>
        <v>69.27</v>
      </c>
      <c r="F30" s="1">
        <f ca="1">IFERROR(__xludf.DUMMYFUNCTION("""COMPUTED_VALUE"""),1524)</f>
        <v>1524</v>
      </c>
      <c r="G30">
        <f ca="1">IFERROR(__xludf.DUMMYFUNCTION("""COMPUTED_VALUE"""),22)</f>
        <v>22</v>
      </c>
    </row>
    <row r="31" spans="1:7" ht="12.75">
      <c r="A31">
        <f ca="1">IFERROR(__xludf.DUMMYFUNCTION("""COMPUTED_VALUE"""),30)</f>
        <v>30</v>
      </c>
      <c r="B31" t="str">
        <f ca="1">IFERROR(__xludf.DUMMYFUNCTION("""COMPUTED_VALUE"""),"T33")</f>
        <v>T33</v>
      </c>
      <c r="C31" t="str">
        <f ca="1">IFERROR(__xludf.DUMMYFUNCTION("""COMPUTED_VALUE"""),"Doug Ghim")</f>
        <v>Doug Ghim</v>
      </c>
      <c r="D31">
        <f ca="1">IFERROR(__xludf.DUMMYFUNCTION("""COMPUTED_VALUE"""),14)</f>
        <v>14</v>
      </c>
      <c r="E31">
        <f ca="1">IFERROR(__xludf.DUMMYFUNCTION("""COMPUTED_VALUE"""),69.29)</f>
        <v>69.290000000000006</v>
      </c>
      <c r="F31">
        <f ca="1">IFERROR(__xludf.DUMMYFUNCTION("""COMPUTED_VALUE"""),970)</f>
        <v>970</v>
      </c>
      <c r="G31">
        <f ca="1">IFERROR(__xludf.DUMMYFUNCTION("""COMPUTED_VALUE"""),14)</f>
        <v>14</v>
      </c>
    </row>
    <row r="32" spans="1:7" ht="12.75">
      <c r="A32">
        <f ca="1">IFERROR(__xludf.DUMMYFUNCTION("""COMPUTED_VALUE"""),31)</f>
        <v>31</v>
      </c>
      <c r="B32" t="str">
        <f ca="1">IFERROR(__xludf.DUMMYFUNCTION("""COMPUTED_VALUE"""),"T45")</f>
        <v>T45</v>
      </c>
      <c r="C32" t="str">
        <f ca="1">IFERROR(__xludf.DUMMYFUNCTION("""COMPUTED_VALUE"""),"Russell Knox")</f>
        <v>Russell Knox</v>
      </c>
      <c r="D32">
        <f ca="1">IFERROR(__xludf.DUMMYFUNCTION("""COMPUTED_VALUE"""),16)</f>
        <v>16</v>
      </c>
      <c r="E32">
        <f ca="1">IFERROR(__xludf.DUMMYFUNCTION("""COMPUTED_VALUE"""),69.31)</f>
        <v>69.31</v>
      </c>
      <c r="F32" s="1">
        <f ca="1">IFERROR(__xludf.DUMMYFUNCTION("""COMPUTED_VALUE"""),1109)</f>
        <v>1109</v>
      </c>
      <c r="G32">
        <f ca="1">IFERROR(__xludf.DUMMYFUNCTION("""COMPUTED_VALUE"""),16)</f>
        <v>16</v>
      </c>
    </row>
    <row r="33" spans="1:7" ht="12.75">
      <c r="A33" t="str">
        <f ca="1">IFERROR(__xludf.DUMMYFUNCTION("""COMPUTED_VALUE"""),"T32")</f>
        <v>T32</v>
      </c>
      <c r="B33" t="str">
        <f ca="1">IFERROR(__xludf.DUMMYFUNCTION("""COMPUTED_VALUE"""),"T36")</f>
        <v>T36</v>
      </c>
      <c r="C33" t="str">
        <f ca="1">IFERROR(__xludf.DUMMYFUNCTION("""COMPUTED_VALUE"""),"Justin Thomas")</f>
        <v>Justin Thomas</v>
      </c>
      <c r="D33">
        <f ca="1">IFERROR(__xludf.DUMMYFUNCTION("""COMPUTED_VALUE"""),12)</f>
        <v>12</v>
      </c>
      <c r="E33">
        <f ca="1">IFERROR(__xludf.DUMMYFUNCTION("""COMPUTED_VALUE"""),69.33)</f>
        <v>69.33</v>
      </c>
      <c r="F33">
        <f ca="1">IFERROR(__xludf.DUMMYFUNCTION("""COMPUTED_VALUE"""),832)</f>
        <v>832</v>
      </c>
      <c r="G33">
        <f ca="1">IFERROR(__xludf.DUMMYFUNCTION("""COMPUTED_VALUE"""),12)</f>
        <v>12</v>
      </c>
    </row>
    <row r="34" spans="1:7" ht="12.75">
      <c r="A34" t="str">
        <f ca="1">IFERROR(__xludf.DUMMYFUNCTION("""COMPUTED_VALUE"""),"T32")</f>
        <v>T32</v>
      </c>
      <c r="B34">
        <f ca="1">IFERROR(__xludf.DUMMYFUNCTION("""COMPUTED_VALUE"""),5)</f>
        <v>5</v>
      </c>
      <c r="C34" t="str">
        <f ca="1">IFERROR(__xludf.DUMMYFUNCTION("""COMPUTED_VALUE"""),"Ollie Schniederjans")</f>
        <v>Ollie Schniederjans</v>
      </c>
      <c r="D34">
        <f ca="1">IFERROR(__xludf.DUMMYFUNCTION("""COMPUTED_VALUE"""),6)</f>
        <v>6</v>
      </c>
      <c r="E34">
        <f ca="1">IFERROR(__xludf.DUMMYFUNCTION("""COMPUTED_VALUE"""),69.33)</f>
        <v>69.33</v>
      </c>
      <c r="F34">
        <f ca="1">IFERROR(__xludf.DUMMYFUNCTION("""COMPUTED_VALUE"""),416)</f>
        <v>416</v>
      </c>
      <c r="G34">
        <f ca="1">IFERROR(__xludf.DUMMYFUNCTION("""COMPUTED_VALUE"""),6)</f>
        <v>6</v>
      </c>
    </row>
    <row r="35" spans="1:7" ht="12.75">
      <c r="A35" t="str">
        <f ca="1">IFERROR(__xludf.DUMMYFUNCTION("""COMPUTED_VALUE"""),"T32")</f>
        <v>T32</v>
      </c>
      <c r="B35" t="str">
        <f ca="1">IFERROR(__xludf.DUMMYFUNCTION("""COMPUTED_VALUE"""),"T36")</f>
        <v>T36</v>
      </c>
      <c r="C35" t="str">
        <f ca="1">IFERROR(__xludf.DUMMYFUNCTION("""COMPUTED_VALUE"""),"Sahith Theegala")</f>
        <v>Sahith Theegala</v>
      </c>
      <c r="D35">
        <f ca="1">IFERROR(__xludf.DUMMYFUNCTION("""COMPUTED_VALUE"""),6)</f>
        <v>6</v>
      </c>
      <c r="E35">
        <f ca="1">IFERROR(__xludf.DUMMYFUNCTION("""COMPUTED_VALUE"""),69.33)</f>
        <v>69.33</v>
      </c>
      <c r="F35">
        <f ca="1">IFERROR(__xludf.DUMMYFUNCTION("""COMPUTED_VALUE"""),416)</f>
        <v>416</v>
      </c>
      <c r="G35">
        <f ca="1">IFERROR(__xludf.DUMMYFUNCTION("""COMPUTED_VALUE"""),6)</f>
        <v>6</v>
      </c>
    </row>
    <row r="36" spans="1:7" ht="12.75">
      <c r="A36">
        <f ca="1">IFERROR(__xludf.DUMMYFUNCTION("""COMPUTED_VALUE"""),35)</f>
        <v>35</v>
      </c>
      <c r="B36" t="str">
        <f ca="1">IFERROR(__xludf.DUMMYFUNCTION("""COMPUTED_VALUE"""),"T65")</f>
        <v>T65</v>
      </c>
      <c r="C36" t="str">
        <f ca="1">IFERROR(__xludf.DUMMYFUNCTION("""COMPUTED_VALUE"""),"Tyrrell Hatton")</f>
        <v>Tyrrell Hatton</v>
      </c>
      <c r="D36">
        <f ca="1">IFERROR(__xludf.DUMMYFUNCTION("""COMPUTED_VALUE"""),14)</f>
        <v>14</v>
      </c>
      <c r="E36">
        <f ca="1">IFERROR(__xludf.DUMMYFUNCTION("""COMPUTED_VALUE"""),69.36)</f>
        <v>69.36</v>
      </c>
      <c r="F36">
        <f ca="1">IFERROR(__xludf.DUMMYFUNCTION("""COMPUTED_VALUE"""),971)</f>
        <v>971</v>
      </c>
      <c r="G36">
        <f ca="1">IFERROR(__xludf.DUMMYFUNCTION("""COMPUTED_VALUE"""),14)</f>
        <v>14</v>
      </c>
    </row>
    <row r="37" spans="1:7" ht="12.75">
      <c r="A37" t="str">
        <f ca="1">IFERROR(__xludf.DUMMYFUNCTION("""COMPUTED_VALUE"""),"T36")</f>
        <v>T36</v>
      </c>
      <c r="B37">
        <f ca="1">IFERROR(__xludf.DUMMYFUNCTION("""COMPUTED_VALUE"""),40)</f>
        <v>40</v>
      </c>
      <c r="C37" t="str">
        <f ca="1">IFERROR(__xludf.DUMMYFUNCTION("""COMPUTED_VALUE"""),"Patrick Cantlay")</f>
        <v>Patrick Cantlay</v>
      </c>
      <c r="D37">
        <f ca="1">IFERROR(__xludf.DUMMYFUNCTION("""COMPUTED_VALUE"""),16)</f>
        <v>16</v>
      </c>
      <c r="E37">
        <f ca="1">IFERROR(__xludf.DUMMYFUNCTION("""COMPUTED_VALUE"""),69.38)</f>
        <v>69.38</v>
      </c>
      <c r="F37" s="1">
        <f ca="1">IFERROR(__xludf.DUMMYFUNCTION("""COMPUTED_VALUE"""),1110)</f>
        <v>1110</v>
      </c>
      <c r="G37">
        <f ca="1">IFERROR(__xludf.DUMMYFUNCTION("""COMPUTED_VALUE"""),16)</f>
        <v>16</v>
      </c>
    </row>
    <row r="38" spans="1:7" ht="12.75">
      <c r="A38" t="str">
        <f ca="1">IFERROR(__xludf.DUMMYFUNCTION("""COMPUTED_VALUE"""),"T36")</f>
        <v>T36</v>
      </c>
      <c r="B38" t="str">
        <f ca="1">IFERROR(__xludf.DUMMYFUNCTION("""COMPUTED_VALUE"""),"T139")</f>
        <v>T139</v>
      </c>
      <c r="C38" t="str">
        <f ca="1">IFERROR(__xludf.DUMMYFUNCTION("""COMPUTED_VALUE"""),"Brooks Koepka")</f>
        <v>Brooks Koepka</v>
      </c>
      <c r="D38">
        <f ca="1">IFERROR(__xludf.DUMMYFUNCTION("""COMPUTED_VALUE"""),8)</f>
        <v>8</v>
      </c>
      <c r="E38">
        <f ca="1">IFERROR(__xludf.DUMMYFUNCTION("""COMPUTED_VALUE"""),69.38)</f>
        <v>69.38</v>
      </c>
      <c r="F38">
        <f ca="1">IFERROR(__xludf.DUMMYFUNCTION("""COMPUTED_VALUE"""),555)</f>
        <v>555</v>
      </c>
      <c r="G38">
        <f ca="1">IFERROR(__xludf.DUMMYFUNCTION("""COMPUTED_VALUE"""),8)</f>
        <v>8</v>
      </c>
    </row>
    <row r="39" spans="1:7" ht="12.75">
      <c r="A39" t="str">
        <f ca="1">IFERROR(__xludf.DUMMYFUNCTION("""COMPUTED_VALUE"""),"T36")</f>
        <v>T36</v>
      </c>
      <c r="B39" t="str">
        <f ca="1">IFERROR(__xludf.DUMMYFUNCTION("""COMPUTED_VALUE"""),"T45")</f>
        <v>T45</v>
      </c>
      <c r="C39" t="str">
        <f ca="1">IFERROR(__xludf.DUMMYFUNCTION("""COMPUTED_VALUE"""),"Maverick McNealy")</f>
        <v>Maverick McNealy</v>
      </c>
      <c r="D39">
        <f ca="1">IFERROR(__xludf.DUMMYFUNCTION("""COMPUTED_VALUE"""),16)</f>
        <v>16</v>
      </c>
      <c r="E39">
        <f ca="1">IFERROR(__xludf.DUMMYFUNCTION("""COMPUTED_VALUE"""),69.38)</f>
        <v>69.38</v>
      </c>
      <c r="F39" s="1">
        <f ca="1">IFERROR(__xludf.DUMMYFUNCTION("""COMPUTED_VALUE"""),1110)</f>
        <v>1110</v>
      </c>
      <c r="G39">
        <f ca="1">IFERROR(__xludf.DUMMYFUNCTION("""COMPUTED_VALUE"""),16)</f>
        <v>16</v>
      </c>
    </row>
    <row r="40" spans="1:7" ht="12.75">
      <c r="A40">
        <f ca="1">IFERROR(__xludf.DUMMYFUNCTION("""COMPUTED_VALUE"""),39)</f>
        <v>39</v>
      </c>
      <c r="B40" t="str">
        <f ca="1">IFERROR(__xludf.DUMMYFUNCTION("""COMPUTED_VALUE"""),"T86")</f>
        <v>T86</v>
      </c>
      <c r="C40" t="str">
        <f ca="1">IFERROR(__xludf.DUMMYFUNCTION("""COMPUTED_VALUE"""),"Carlos Ortiz")</f>
        <v>Carlos Ortiz</v>
      </c>
      <c r="D40">
        <f ca="1">IFERROR(__xludf.DUMMYFUNCTION("""COMPUTED_VALUE"""),20)</f>
        <v>20</v>
      </c>
      <c r="E40">
        <f ca="1">IFERROR(__xludf.DUMMYFUNCTION("""COMPUTED_VALUE"""),69.4)</f>
        <v>69.400000000000006</v>
      </c>
      <c r="F40" s="1">
        <f ca="1">IFERROR(__xludf.DUMMYFUNCTION("""COMPUTED_VALUE"""),1388)</f>
        <v>1388</v>
      </c>
      <c r="G40">
        <f ca="1">IFERROR(__xludf.DUMMYFUNCTION("""COMPUTED_VALUE"""),20)</f>
        <v>20</v>
      </c>
    </row>
    <row r="41" spans="1:7" ht="12.75">
      <c r="A41">
        <f ca="1">IFERROR(__xludf.DUMMYFUNCTION("""COMPUTED_VALUE"""),40)</f>
        <v>40</v>
      </c>
      <c r="B41" t="str">
        <f ca="1">IFERROR(__xludf.DUMMYFUNCTION("""COMPUTED_VALUE"""),"T42")</f>
        <v>T42</v>
      </c>
      <c r="C41" t="str">
        <f ca="1">IFERROR(__xludf.DUMMYFUNCTION("""COMPUTED_VALUE"""),"Cameron Smith")</f>
        <v>Cameron Smith</v>
      </c>
      <c r="D41">
        <f ca="1">IFERROR(__xludf.DUMMYFUNCTION("""COMPUTED_VALUE"""),16)</f>
        <v>16</v>
      </c>
      <c r="E41">
        <f ca="1">IFERROR(__xludf.DUMMYFUNCTION("""COMPUTED_VALUE"""),69.44)</f>
        <v>69.44</v>
      </c>
      <c r="F41" s="1">
        <f ca="1">IFERROR(__xludf.DUMMYFUNCTION("""COMPUTED_VALUE"""),1111)</f>
        <v>1111</v>
      </c>
      <c r="G41">
        <f ca="1">IFERROR(__xludf.DUMMYFUNCTION("""COMPUTED_VALUE"""),16)</f>
        <v>16</v>
      </c>
    </row>
    <row r="42" spans="1:7" ht="12.75">
      <c r="A42" t="str">
        <f ca="1">IFERROR(__xludf.DUMMYFUNCTION("""COMPUTED_VALUE"""),"T41")</f>
        <v>T41</v>
      </c>
      <c r="B42">
        <f ca="1">IFERROR(__xludf.DUMMYFUNCTION("""COMPUTED_VALUE"""),41)</f>
        <v>41</v>
      </c>
      <c r="C42" t="str">
        <f ca="1">IFERROR(__xludf.DUMMYFUNCTION("""COMPUTED_VALUE"""),"Scott Piercy")</f>
        <v>Scott Piercy</v>
      </c>
      <c r="D42">
        <f ca="1">IFERROR(__xludf.DUMMYFUNCTION("""COMPUTED_VALUE"""),18)</f>
        <v>18</v>
      </c>
      <c r="E42">
        <f ca="1">IFERROR(__xludf.DUMMYFUNCTION("""COMPUTED_VALUE"""),69.5)</f>
        <v>69.5</v>
      </c>
      <c r="F42" s="1">
        <f ca="1">IFERROR(__xludf.DUMMYFUNCTION("""COMPUTED_VALUE"""),1251)</f>
        <v>1251</v>
      </c>
      <c r="G42">
        <f ca="1">IFERROR(__xludf.DUMMYFUNCTION("""COMPUTED_VALUE"""),18)</f>
        <v>18</v>
      </c>
    </row>
    <row r="43" spans="1:7" ht="12.75">
      <c r="A43" t="str">
        <f ca="1">IFERROR(__xludf.DUMMYFUNCTION("""COMPUTED_VALUE"""),"T41")</f>
        <v>T41</v>
      </c>
      <c r="B43">
        <f ca="1">IFERROR(__xludf.DUMMYFUNCTION("""COMPUTED_VALUE"""),54)</f>
        <v>54</v>
      </c>
      <c r="C43" t="str">
        <f ca="1">IFERROR(__xludf.DUMMYFUNCTION("""COMPUTED_VALUE"""),"Tony Finau")</f>
        <v>Tony Finau</v>
      </c>
      <c r="D43">
        <f ca="1">IFERROR(__xludf.DUMMYFUNCTION("""COMPUTED_VALUE"""),12)</f>
        <v>12</v>
      </c>
      <c r="E43">
        <f ca="1">IFERROR(__xludf.DUMMYFUNCTION("""COMPUTED_VALUE"""),69.5)</f>
        <v>69.5</v>
      </c>
      <c r="F43">
        <f ca="1">IFERROR(__xludf.DUMMYFUNCTION("""COMPUTED_VALUE"""),834)</f>
        <v>834</v>
      </c>
      <c r="G43">
        <f ca="1">IFERROR(__xludf.DUMMYFUNCTION("""COMPUTED_VALUE"""),12)</f>
        <v>12</v>
      </c>
    </row>
    <row r="44" spans="1:7" ht="12.75">
      <c r="A44" t="str">
        <f ca="1">IFERROR(__xludf.DUMMYFUNCTION("""COMPUTED_VALUE"""),"T41")</f>
        <v>T41</v>
      </c>
      <c r="B44" t="str">
        <f ca="1">IFERROR(__xludf.DUMMYFUNCTION("""COMPUTED_VALUE"""),"T92")</f>
        <v>T92</v>
      </c>
      <c r="C44" t="str">
        <f ca="1">IFERROR(__xludf.DUMMYFUNCTION("""COMPUTED_VALUE"""),"Hideki Matsuyama")</f>
        <v>Hideki Matsuyama</v>
      </c>
      <c r="D44">
        <f ca="1">IFERROR(__xludf.DUMMYFUNCTION("""COMPUTED_VALUE"""),18)</f>
        <v>18</v>
      </c>
      <c r="E44">
        <f ca="1">IFERROR(__xludf.DUMMYFUNCTION("""COMPUTED_VALUE"""),69.5)</f>
        <v>69.5</v>
      </c>
      <c r="F44" s="1">
        <f ca="1">IFERROR(__xludf.DUMMYFUNCTION("""COMPUTED_VALUE"""),1251)</f>
        <v>1251</v>
      </c>
      <c r="G44">
        <f ca="1">IFERROR(__xludf.DUMMYFUNCTION("""COMPUTED_VALUE"""),18)</f>
        <v>18</v>
      </c>
    </row>
    <row r="45" spans="1:7" ht="12.75">
      <c r="A45" t="str">
        <f ca="1">IFERROR(__xludf.DUMMYFUNCTION("""COMPUTED_VALUE"""),"T41")</f>
        <v>T41</v>
      </c>
      <c r="B45" t="str">
        <f ca="1">IFERROR(__xludf.DUMMYFUNCTION("""COMPUTED_VALUE"""),"T45")</f>
        <v>T45</v>
      </c>
      <c r="C45" t="str">
        <f ca="1">IFERROR(__xludf.DUMMYFUNCTION("""COMPUTED_VALUE"""),"Harris English")</f>
        <v>Harris English</v>
      </c>
      <c r="D45">
        <f ca="1">IFERROR(__xludf.DUMMYFUNCTION("""COMPUTED_VALUE"""),14)</f>
        <v>14</v>
      </c>
      <c r="E45">
        <f ca="1">IFERROR(__xludf.DUMMYFUNCTION("""COMPUTED_VALUE"""),69.5)</f>
        <v>69.5</v>
      </c>
      <c r="F45">
        <f ca="1">IFERROR(__xludf.DUMMYFUNCTION("""COMPUTED_VALUE"""),973)</f>
        <v>973</v>
      </c>
      <c r="G45">
        <f ca="1">IFERROR(__xludf.DUMMYFUNCTION("""COMPUTED_VALUE"""),14)</f>
        <v>14</v>
      </c>
    </row>
    <row r="46" spans="1:7" ht="12.75">
      <c r="A46" t="str">
        <f ca="1">IFERROR(__xludf.DUMMYFUNCTION("""COMPUTED_VALUE"""),"T41")</f>
        <v>T41</v>
      </c>
      <c r="B46" t="str">
        <f ca="1">IFERROR(__xludf.DUMMYFUNCTION("""COMPUTED_VALUE"""),"T45")</f>
        <v>T45</v>
      </c>
      <c r="C46" t="str">
        <f ca="1">IFERROR(__xludf.DUMMYFUNCTION("""COMPUTED_VALUE"""),"Alex Smalley")</f>
        <v>Alex Smalley</v>
      </c>
      <c r="D46">
        <f ca="1">IFERROR(__xludf.DUMMYFUNCTION("""COMPUTED_VALUE"""),4)</f>
        <v>4</v>
      </c>
      <c r="E46">
        <f ca="1">IFERROR(__xludf.DUMMYFUNCTION("""COMPUTED_VALUE"""),69.5)</f>
        <v>69.5</v>
      </c>
      <c r="F46">
        <f ca="1">IFERROR(__xludf.DUMMYFUNCTION("""COMPUTED_VALUE"""),278)</f>
        <v>278</v>
      </c>
      <c r="G46">
        <f ca="1">IFERROR(__xludf.DUMMYFUNCTION("""COMPUTED_VALUE"""),4)</f>
        <v>4</v>
      </c>
    </row>
    <row r="47" spans="1:7" ht="12.75">
      <c r="A47" t="str">
        <f ca="1">IFERROR(__xludf.DUMMYFUNCTION("""COMPUTED_VALUE"""),"T41")</f>
        <v>T41</v>
      </c>
      <c r="B47" t="str">
        <f ca="1">IFERROR(__xludf.DUMMYFUNCTION("""COMPUTED_VALUE"""),"T69")</f>
        <v>T69</v>
      </c>
      <c r="C47" t="str">
        <f ca="1">IFERROR(__xludf.DUMMYFUNCTION("""COMPUTED_VALUE"""),"Aaron Wise")</f>
        <v>Aaron Wise</v>
      </c>
      <c r="D47">
        <f ca="1">IFERROR(__xludf.DUMMYFUNCTION("""COMPUTED_VALUE"""),16)</f>
        <v>16</v>
      </c>
      <c r="E47">
        <f ca="1">IFERROR(__xludf.DUMMYFUNCTION("""COMPUTED_VALUE"""),69.5)</f>
        <v>69.5</v>
      </c>
      <c r="F47" s="1">
        <f ca="1">IFERROR(__xludf.DUMMYFUNCTION("""COMPUTED_VALUE"""),1112)</f>
        <v>1112</v>
      </c>
      <c r="G47">
        <f ca="1">IFERROR(__xludf.DUMMYFUNCTION("""COMPUTED_VALUE"""),16)</f>
        <v>16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IFERROR(__xludf.DUMMYFUNCTION("""COMPUTED_VALUE"""),"T30")</f>
        <v>T30</v>
      </c>
      <c r="C48" t="str">
        <f ca="1">IFERROR(__xludf.DUMMYFUNCTION("""COMPUTED_VALUE"""),"Emiliano Grillo")</f>
        <v>Emiliano Grillo</v>
      </c>
      <c r="D48">
        <f ca="1">IFERROR(__xludf.DUMMYFUNCTION("""COMPUTED_VALUE"""),22)</f>
        <v>22</v>
      </c>
      <c r="E48">
        <f ca="1">IFERROR(__xludf.DUMMYFUNCTION("""COMPUTED_VALUE"""),69.55)</f>
        <v>69.55</v>
      </c>
      <c r="F48" s="1">
        <f ca="1">IFERROR(__xludf.DUMMYFUNCTION("""COMPUTED_VALUE"""),1530)</f>
        <v>1530</v>
      </c>
      <c r="G48">
        <f ca="1">IFERROR(__xludf.DUMMYFUNCTION("""COMPUTED_VALUE"""),22)</f>
        <v>22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IFERROR(__xludf.DUMMYFUNCTION("""COMPUTED_VALUE"""),"T30")</f>
        <v>T30</v>
      </c>
      <c r="C49" t="str">
        <f ca="1">IFERROR(__xludf.DUMMYFUNCTION("""COMPUTED_VALUE"""),"Tom Hoge")</f>
        <v>Tom Hoge</v>
      </c>
      <c r="D49">
        <f ca="1">IFERROR(__xludf.DUMMYFUNCTION("""COMPUTED_VALUE"""),22)</f>
        <v>22</v>
      </c>
      <c r="E49">
        <f ca="1">IFERROR(__xludf.DUMMYFUNCTION("""COMPUTED_VALUE"""),69.55)</f>
        <v>69.55</v>
      </c>
      <c r="F49" s="1">
        <f ca="1">IFERROR(__xludf.DUMMYFUNCTION("""COMPUTED_VALUE"""),1530)</f>
        <v>1530</v>
      </c>
      <c r="G49">
        <f ca="1">IFERROR(__xludf.DUMMYFUNCTION("""COMPUTED_VALUE"""),22)</f>
        <v>22</v>
      </c>
    </row>
    <row r="50" spans="1:7" ht="12.75">
      <c r="A50">
        <f ca="1">IFERROR(__xludf.DUMMYFUNCTION("""COMPUTED_VALUE"""),49)</f>
        <v>49</v>
      </c>
      <c r="B50">
        <f ca="1">IFERROR(__xludf.DUMMYFUNCTION("""COMPUTED_VALUE"""),53)</f>
        <v>53</v>
      </c>
      <c r="C50" t="str">
        <f ca="1">IFERROR(__xludf.DUMMYFUNCTION("""COMPUTED_VALUE"""),"Cameron Tringale")</f>
        <v>Cameron Tringale</v>
      </c>
      <c r="D50">
        <f ca="1">IFERROR(__xludf.DUMMYFUNCTION("""COMPUTED_VALUE"""),16)</f>
        <v>16</v>
      </c>
      <c r="E50">
        <f ca="1">IFERROR(__xludf.DUMMYFUNCTION("""COMPUTED_VALUE"""),69.56)</f>
        <v>69.56</v>
      </c>
      <c r="F50" s="1">
        <f ca="1">IFERROR(__xludf.DUMMYFUNCTION("""COMPUTED_VALUE"""),1113)</f>
        <v>1113</v>
      </c>
      <c r="G50">
        <f ca="1">IFERROR(__xludf.DUMMYFUNCTION("""COMPUTED_VALUE"""),16)</f>
        <v>16</v>
      </c>
    </row>
    <row r="51" spans="1:7" ht="12.75">
      <c r="A51" t="str">
        <f ca="1">IFERROR(__xludf.DUMMYFUNCTION("""COMPUTED_VALUE"""),"T50")</f>
        <v>T50</v>
      </c>
      <c r="B51" t="str">
        <f ca="1">IFERROR(__xludf.DUMMYFUNCTION("""COMPUTED_VALUE"""),"T45")</f>
        <v>T45</v>
      </c>
      <c r="C51" t="str">
        <f ca="1">IFERROR(__xludf.DUMMYFUNCTION("""COMPUTED_VALUE"""),"Padraig Harrington")</f>
        <v>Padraig Harrington</v>
      </c>
      <c r="D51">
        <f ca="1">IFERROR(__xludf.DUMMYFUNCTION("""COMPUTED_VALUE"""),8)</f>
        <v>8</v>
      </c>
      <c r="E51">
        <f ca="1">IFERROR(__xludf.DUMMYFUNCTION("""COMPUTED_VALUE"""),69.63)</f>
        <v>69.63</v>
      </c>
      <c r="F51">
        <f ca="1">IFERROR(__xludf.DUMMYFUNCTION("""COMPUTED_VALUE"""),557)</f>
        <v>557</v>
      </c>
      <c r="G51">
        <f ca="1">IFERROR(__xludf.DUMMYFUNCTION("""COMPUTED_VALUE"""),8)</f>
        <v>8</v>
      </c>
    </row>
    <row r="52" spans="1:7" ht="12.75">
      <c r="A52" t="str">
        <f ca="1">IFERROR(__xludf.DUMMYFUNCTION("""COMPUTED_VALUE"""),"T50")</f>
        <v>T50</v>
      </c>
      <c r="B52" t="str">
        <f ca="1">IFERROR(__xludf.DUMMYFUNCTION("""COMPUTED_VALUE"""),"T33")</f>
        <v>T33</v>
      </c>
      <c r="C52" t="str">
        <f ca="1">IFERROR(__xludf.DUMMYFUNCTION("""COMPUTED_VALUE"""),"Wyndham Clark")</f>
        <v>Wyndham Clark</v>
      </c>
      <c r="D52">
        <f ca="1">IFERROR(__xludf.DUMMYFUNCTION("""COMPUTED_VALUE"""),16)</f>
        <v>16</v>
      </c>
      <c r="E52">
        <f ca="1">IFERROR(__xludf.DUMMYFUNCTION("""COMPUTED_VALUE"""),69.63)</f>
        <v>69.63</v>
      </c>
      <c r="F52" s="1">
        <f ca="1">IFERROR(__xludf.DUMMYFUNCTION("""COMPUTED_VALUE"""),1114)</f>
        <v>1114</v>
      </c>
      <c r="G52">
        <f ca="1">IFERROR(__xludf.DUMMYFUNCTION("""COMPUTED_VALUE"""),16)</f>
        <v>16</v>
      </c>
    </row>
    <row r="53" spans="1:7" ht="12.75">
      <c r="A53">
        <f ca="1">IFERROR(__xludf.DUMMYFUNCTION("""COMPUTED_VALUE"""),52)</f>
        <v>52</v>
      </c>
      <c r="B53">
        <f ca="1">IFERROR(__xludf.DUMMYFUNCTION("""COMPUTED_VALUE"""),26)</f>
        <v>26</v>
      </c>
      <c r="C53" t="str">
        <f ca="1">IFERROR(__xludf.DUMMYFUNCTION("""COMPUTED_VALUE"""),"Charl Schwartzel")</f>
        <v>Charl Schwartzel</v>
      </c>
      <c r="D53">
        <f ca="1">IFERROR(__xludf.DUMMYFUNCTION("""COMPUTED_VALUE"""),12)</f>
        <v>12</v>
      </c>
      <c r="E53">
        <f ca="1">IFERROR(__xludf.DUMMYFUNCTION("""COMPUTED_VALUE"""),69.67)</f>
        <v>69.67</v>
      </c>
      <c r="F53">
        <f ca="1">IFERROR(__xludf.DUMMYFUNCTION("""COMPUTED_VALUE"""),836)</f>
        <v>836</v>
      </c>
      <c r="G53">
        <f ca="1">IFERROR(__xludf.DUMMYFUNCTION("""COMPUTED_VALUE"""),12)</f>
        <v>12</v>
      </c>
    </row>
    <row r="54" spans="1:7" ht="12.75">
      <c r="A54" t="str">
        <f ca="1">IFERROR(__xludf.DUMMYFUNCTION("""COMPUTED_VALUE"""),"T53")</f>
        <v>T53</v>
      </c>
      <c r="B54">
        <f ca="1">IFERROR(__xludf.DUMMYFUNCTION("""COMPUTED_VALUE"""),56)</f>
        <v>56</v>
      </c>
      <c r="C54" t="str">
        <f ca="1">IFERROR(__xludf.DUMMYFUNCTION("""COMPUTED_VALUE"""),"Cameron Percy")</f>
        <v>Cameron Percy</v>
      </c>
      <c r="D54">
        <f ca="1">IFERROR(__xludf.DUMMYFUNCTION("""COMPUTED_VALUE"""),16)</f>
        <v>16</v>
      </c>
      <c r="E54">
        <f ca="1">IFERROR(__xludf.DUMMYFUNCTION("""COMPUTED_VALUE"""),69.69)</f>
        <v>69.69</v>
      </c>
      <c r="F54" s="1">
        <f ca="1">IFERROR(__xludf.DUMMYFUNCTION("""COMPUTED_VALUE"""),1115)</f>
        <v>1115</v>
      </c>
      <c r="G54">
        <f ca="1">IFERROR(__xludf.DUMMYFUNCTION("""COMPUTED_VALUE"""),16)</f>
        <v>16</v>
      </c>
    </row>
    <row r="55" spans="1:7" ht="12.75">
      <c r="A55" t="str">
        <f ca="1">IFERROR(__xludf.DUMMYFUNCTION("""COMPUTED_VALUE"""),"T53")</f>
        <v>T53</v>
      </c>
      <c r="B55" t="str">
        <f ca="1">IFERROR(__xludf.DUMMYFUNCTION("""COMPUTED_VALUE"""),"T36")</f>
        <v>T36</v>
      </c>
      <c r="C55" t="str">
        <f ca="1">IFERROR(__xludf.DUMMYFUNCTION("""COMPUTED_VALUE"""),"Zach Johnson")</f>
        <v>Zach Johnson</v>
      </c>
      <c r="D55">
        <f ca="1">IFERROR(__xludf.DUMMYFUNCTION("""COMPUTED_VALUE"""),16)</f>
        <v>16</v>
      </c>
      <c r="E55">
        <f ca="1">IFERROR(__xludf.DUMMYFUNCTION("""COMPUTED_VALUE"""),69.69)</f>
        <v>69.69</v>
      </c>
      <c r="F55" s="1">
        <f ca="1">IFERROR(__xludf.DUMMYFUNCTION("""COMPUTED_VALUE"""),1115)</f>
        <v>1115</v>
      </c>
      <c r="G55">
        <f ca="1">IFERROR(__xludf.DUMMYFUNCTION("""COMPUTED_VALUE"""),16)</f>
        <v>16</v>
      </c>
    </row>
    <row r="56" spans="1:7" ht="12.75">
      <c r="A56" t="str">
        <f ca="1">IFERROR(__xludf.DUMMYFUNCTION("""COMPUTED_VALUE"""),"T53")</f>
        <v>T53</v>
      </c>
      <c r="B56" t="str">
        <f ca="1">IFERROR(__xludf.DUMMYFUNCTION("""COMPUTED_VALUE"""),"T27")</f>
        <v>T27</v>
      </c>
      <c r="C56" t="str">
        <f ca="1">IFERROR(__xludf.DUMMYFUNCTION("""COMPUTED_VALUE"""),"Martin Laird")</f>
        <v>Martin Laird</v>
      </c>
      <c r="D56">
        <f ca="1">IFERROR(__xludf.DUMMYFUNCTION("""COMPUTED_VALUE"""),16)</f>
        <v>16</v>
      </c>
      <c r="E56">
        <f ca="1">IFERROR(__xludf.DUMMYFUNCTION("""COMPUTED_VALUE"""),69.69)</f>
        <v>69.69</v>
      </c>
      <c r="F56" s="1">
        <f ca="1">IFERROR(__xludf.DUMMYFUNCTION("""COMPUTED_VALUE"""),1115)</f>
        <v>1115</v>
      </c>
      <c r="G56">
        <f ca="1">IFERROR(__xludf.DUMMYFUNCTION("""COMPUTED_VALUE"""),16)</f>
        <v>16</v>
      </c>
    </row>
    <row r="57" spans="1:7" ht="12.75">
      <c r="A57" t="str">
        <f ca="1">IFERROR(__xludf.DUMMYFUNCTION("""COMPUTED_VALUE"""),"T53")</f>
        <v>T53</v>
      </c>
      <c r="B57" t="str">
        <f ca="1">IFERROR(__xludf.DUMMYFUNCTION("""COMPUTED_VALUE"""),"T18")</f>
        <v>T18</v>
      </c>
      <c r="C57" t="str">
        <f ca="1">IFERROR(__xludf.DUMMYFUNCTION("""COMPUTED_VALUE"""),"Matthew NeSmith")</f>
        <v>Matthew NeSmith</v>
      </c>
      <c r="D57">
        <f ca="1">IFERROR(__xludf.DUMMYFUNCTION("""COMPUTED_VALUE"""),16)</f>
        <v>16</v>
      </c>
      <c r="E57">
        <f ca="1">IFERROR(__xludf.DUMMYFUNCTION("""COMPUTED_VALUE"""),69.69)</f>
        <v>69.69</v>
      </c>
      <c r="F57" s="1">
        <f ca="1">IFERROR(__xludf.DUMMYFUNCTION("""COMPUTED_VALUE"""),1115)</f>
        <v>1115</v>
      </c>
      <c r="G57">
        <f ca="1">IFERROR(__xludf.DUMMYFUNCTION("""COMPUTED_VALUE"""),16)</f>
        <v>16</v>
      </c>
    </row>
    <row r="58" spans="1:7" ht="12.75">
      <c r="A58" t="str">
        <f ca="1">IFERROR(__xludf.DUMMYFUNCTION("""COMPUTED_VALUE"""),"T57")</f>
        <v>T57</v>
      </c>
      <c r="B58" t="str">
        <f ca="1">IFERROR(__xludf.DUMMYFUNCTION("""COMPUTED_VALUE"""),"T42")</f>
        <v>T42</v>
      </c>
      <c r="C58" t="str">
        <f ca="1">IFERROR(__xludf.DUMMYFUNCTION("""COMPUTED_VALUE"""),"Kevin Streelman")</f>
        <v>Kevin Streelman</v>
      </c>
      <c r="D58">
        <f ca="1">IFERROR(__xludf.DUMMYFUNCTION("""COMPUTED_VALUE"""),18)</f>
        <v>18</v>
      </c>
      <c r="E58">
        <f ca="1">IFERROR(__xludf.DUMMYFUNCTION("""COMPUTED_VALUE"""),69.72)</f>
        <v>69.72</v>
      </c>
      <c r="F58" s="1">
        <f ca="1">IFERROR(__xludf.DUMMYFUNCTION("""COMPUTED_VALUE"""),1255)</f>
        <v>1255</v>
      </c>
      <c r="G58">
        <f ca="1">IFERROR(__xludf.DUMMYFUNCTION("""COMPUTED_VALUE"""),18)</f>
        <v>18</v>
      </c>
    </row>
    <row r="59" spans="1:7" ht="12.75">
      <c r="A59" t="str">
        <f ca="1">IFERROR(__xludf.DUMMYFUNCTION("""COMPUTED_VALUE"""),"T57")</f>
        <v>T57</v>
      </c>
      <c r="B59">
        <f ca="1">IFERROR(__xludf.DUMMYFUNCTION("""COMPUTED_VALUE"""),88)</f>
        <v>88</v>
      </c>
      <c r="C59" t="str">
        <f ca="1">IFERROR(__xludf.DUMMYFUNCTION("""COMPUTED_VALUE"""),"Patton Kizzire")</f>
        <v>Patton Kizzire</v>
      </c>
      <c r="D59">
        <f ca="1">IFERROR(__xludf.DUMMYFUNCTION("""COMPUTED_VALUE"""),18)</f>
        <v>18</v>
      </c>
      <c r="E59">
        <f ca="1">IFERROR(__xludf.DUMMYFUNCTION("""COMPUTED_VALUE"""),69.72)</f>
        <v>69.72</v>
      </c>
      <c r="F59" s="1">
        <f ca="1">IFERROR(__xludf.DUMMYFUNCTION("""COMPUTED_VALUE"""),1255)</f>
        <v>1255</v>
      </c>
      <c r="G59">
        <f ca="1">IFERROR(__xludf.DUMMYFUNCTION("""COMPUTED_VALUE"""),18)</f>
        <v>18</v>
      </c>
    </row>
    <row r="60" spans="1:7" ht="12.75">
      <c r="A60" t="str">
        <f ca="1">IFERROR(__xludf.DUMMYFUNCTION("""COMPUTED_VALUE"""),"T59")</f>
        <v>T59</v>
      </c>
      <c r="B60" t="str">
        <f ca="1">IFERROR(__xludf.DUMMYFUNCTION("""COMPUTED_VALUE"""),"T58")</f>
        <v>T58</v>
      </c>
      <c r="C60" t="str">
        <f ca="1">IFERROR(__xludf.DUMMYFUNCTION("""COMPUTED_VALUE"""),"Jim Furyk")</f>
        <v>Jim Furyk</v>
      </c>
      <c r="D60">
        <f ca="1">IFERROR(__xludf.DUMMYFUNCTION("""COMPUTED_VALUE"""),4)</f>
        <v>4</v>
      </c>
      <c r="E60">
        <f ca="1">IFERROR(__xludf.DUMMYFUNCTION("""COMPUTED_VALUE"""),69.75)</f>
        <v>69.75</v>
      </c>
      <c r="F60">
        <f ca="1">IFERROR(__xludf.DUMMYFUNCTION("""COMPUTED_VALUE"""),279)</f>
        <v>279</v>
      </c>
      <c r="G60">
        <f ca="1">IFERROR(__xludf.DUMMYFUNCTION("""COMPUTED_VALUE"""),4)</f>
        <v>4</v>
      </c>
    </row>
    <row r="61" spans="1:7" ht="12.75">
      <c r="A61" t="str">
        <f ca="1">IFERROR(__xludf.DUMMYFUNCTION("""COMPUTED_VALUE"""),"T59")</f>
        <v>T59</v>
      </c>
      <c r="B61" t="str">
        <f ca="1">IFERROR(__xludf.DUMMYFUNCTION("""COMPUTED_VALUE"""),"T58")</f>
        <v>T58</v>
      </c>
      <c r="C61" t="str">
        <f ca="1">IFERROR(__xludf.DUMMYFUNCTION("""COMPUTED_VALUE"""),"Brian Gay")</f>
        <v>Brian Gay</v>
      </c>
      <c r="D61">
        <f ca="1">IFERROR(__xludf.DUMMYFUNCTION("""COMPUTED_VALUE"""),8)</f>
        <v>8</v>
      </c>
      <c r="E61">
        <f ca="1">IFERROR(__xludf.DUMMYFUNCTION("""COMPUTED_VALUE"""),69.75)</f>
        <v>69.75</v>
      </c>
      <c r="F61">
        <f ca="1">IFERROR(__xludf.DUMMYFUNCTION("""COMPUTED_VALUE"""),558)</f>
        <v>558</v>
      </c>
      <c r="G61">
        <f ca="1">IFERROR(__xludf.DUMMYFUNCTION("""COMPUTED_VALUE"""),8)</f>
        <v>8</v>
      </c>
    </row>
    <row r="62" spans="1:7" ht="12.75">
      <c r="A62" t="str">
        <f ca="1">IFERROR(__xludf.DUMMYFUNCTION("""COMPUTED_VALUE"""),"T59")</f>
        <v>T59</v>
      </c>
      <c r="B62" t="str">
        <f ca="1">IFERROR(__xludf.DUMMYFUNCTION("""COMPUTED_VALUE"""),"T58")</f>
        <v>T58</v>
      </c>
      <c r="C62" t="str">
        <f ca="1">IFERROR(__xludf.DUMMYFUNCTION("""COMPUTED_VALUE"""),"Bubba Watson")</f>
        <v>Bubba Watson</v>
      </c>
      <c r="D62">
        <f ca="1">IFERROR(__xludf.DUMMYFUNCTION("""COMPUTED_VALUE"""),12)</f>
        <v>12</v>
      </c>
      <c r="E62">
        <f ca="1">IFERROR(__xludf.DUMMYFUNCTION("""COMPUTED_VALUE"""),69.75)</f>
        <v>69.75</v>
      </c>
      <c r="F62">
        <f ca="1">IFERROR(__xludf.DUMMYFUNCTION("""COMPUTED_VALUE"""),837)</f>
        <v>837</v>
      </c>
      <c r="G62">
        <f ca="1">IFERROR(__xludf.DUMMYFUNCTION("""COMPUTED_VALUE"""),12)</f>
        <v>12</v>
      </c>
    </row>
    <row r="63" spans="1:7" ht="12.75">
      <c r="A63" t="str">
        <f ca="1">IFERROR(__xludf.DUMMYFUNCTION("""COMPUTED_VALUE"""),"T59")</f>
        <v>T59</v>
      </c>
      <c r="B63" t="str">
        <f ca="1">IFERROR(__xludf.DUMMYFUNCTION("""COMPUTED_VALUE"""),"T58")</f>
        <v>T58</v>
      </c>
      <c r="C63" t="str">
        <f ca="1">IFERROR(__xludf.DUMMYFUNCTION("""COMPUTED_VALUE"""),"Louis Oosthuizen")</f>
        <v>Louis Oosthuizen</v>
      </c>
      <c r="D63">
        <f ca="1">IFERROR(__xludf.DUMMYFUNCTION("""COMPUTED_VALUE"""),12)</f>
        <v>12</v>
      </c>
      <c r="E63">
        <f ca="1">IFERROR(__xludf.DUMMYFUNCTION("""COMPUTED_VALUE"""),69.75)</f>
        <v>69.75</v>
      </c>
      <c r="F63">
        <f ca="1">IFERROR(__xludf.DUMMYFUNCTION("""COMPUTED_VALUE"""),837)</f>
        <v>837</v>
      </c>
      <c r="G63">
        <f ca="1">IFERROR(__xludf.DUMMYFUNCTION("""COMPUTED_VALUE"""),12)</f>
        <v>12</v>
      </c>
    </row>
    <row r="64" spans="1:7" ht="12.75">
      <c r="A64" t="str">
        <f ca="1">IFERROR(__xludf.DUMMYFUNCTION("""COMPUTED_VALUE"""),"T59")</f>
        <v>T59</v>
      </c>
      <c r="B64" t="str">
        <f ca="1">IFERROR(__xludf.DUMMYFUNCTION("""COMPUTED_VALUE"""),"T58")</f>
        <v>T58</v>
      </c>
      <c r="C64" t="str">
        <f ca="1">IFERROR(__xludf.DUMMYFUNCTION("""COMPUTED_VALUE"""),"Jon Rahm")</f>
        <v>Jon Rahm</v>
      </c>
      <c r="D64">
        <f ca="1">IFERROR(__xludf.DUMMYFUNCTION("""COMPUTED_VALUE"""),12)</f>
        <v>12</v>
      </c>
      <c r="E64">
        <f ca="1">IFERROR(__xludf.DUMMYFUNCTION("""COMPUTED_VALUE"""),69.75)</f>
        <v>69.75</v>
      </c>
      <c r="F64">
        <f ca="1">IFERROR(__xludf.DUMMYFUNCTION("""COMPUTED_VALUE"""),837)</f>
        <v>837</v>
      </c>
      <c r="G64">
        <f ca="1">IFERROR(__xludf.DUMMYFUNCTION("""COMPUTED_VALUE"""),12)</f>
        <v>12</v>
      </c>
    </row>
    <row r="65" spans="1:7" ht="12.75">
      <c r="A65" t="str">
        <f ca="1">IFERROR(__xludf.DUMMYFUNCTION("""COMPUTED_VALUE"""),"T64")</f>
        <v>T64</v>
      </c>
      <c r="B65">
        <f ca="1">IFERROR(__xludf.DUMMYFUNCTION("""COMPUTED_VALUE"""),35)</f>
        <v>35</v>
      </c>
      <c r="C65" t="str">
        <f ca="1">IFERROR(__xludf.DUMMYFUNCTION("""COMPUTED_VALUE"""),"Kristoffer Ventura")</f>
        <v>Kristoffer Ventura</v>
      </c>
      <c r="D65">
        <f ca="1">IFERROR(__xludf.DUMMYFUNCTION("""COMPUTED_VALUE"""),20)</f>
        <v>20</v>
      </c>
      <c r="E65">
        <f ca="1">IFERROR(__xludf.DUMMYFUNCTION("""COMPUTED_VALUE"""),69.8)</f>
        <v>69.8</v>
      </c>
      <c r="F65" s="1">
        <f ca="1">IFERROR(__xludf.DUMMYFUNCTION("""COMPUTED_VALUE"""),1396)</f>
        <v>1396</v>
      </c>
      <c r="G65">
        <f ca="1">IFERROR(__xludf.DUMMYFUNCTION("""COMPUTED_VALUE"""),20)</f>
        <v>20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IFERROR(__xludf.DUMMYFUNCTION("""COMPUTED_VALUE"""),"T65")</f>
        <v>T65</v>
      </c>
      <c r="C66" t="str">
        <f ca="1">IFERROR(__xludf.DUMMYFUNCTION("""COMPUTED_VALUE"""),"J.J. Spaun")</f>
        <v>J.J. Spaun</v>
      </c>
      <c r="D66">
        <f ca="1">IFERROR(__xludf.DUMMYFUNCTION("""COMPUTED_VALUE"""),10)</f>
        <v>10</v>
      </c>
      <c r="E66">
        <f ca="1">IFERROR(__xludf.DUMMYFUNCTION("""COMPUTED_VALUE"""),69.8)</f>
        <v>69.8</v>
      </c>
      <c r="F66">
        <f ca="1">IFERROR(__xludf.DUMMYFUNCTION("""COMPUTED_VALUE"""),698)</f>
        <v>698</v>
      </c>
      <c r="G66">
        <f ca="1">IFERROR(__xludf.DUMMYFUNCTION("""COMPUTED_VALUE"""),10)</f>
        <v>10</v>
      </c>
    </row>
    <row r="67" spans="1:7" ht="12.75">
      <c r="A67">
        <f ca="1">IFERROR(__xludf.DUMMYFUNCTION("""COMPUTED_VALUE"""),66)</f>
        <v>66</v>
      </c>
      <c r="B67" t="str">
        <f ca="1">IFERROR(__xludf.DUMMYFUNCTION("""COMPUTED_VALUE"""),"T69")</f>
        <v>T69</v>
      </c>
      <c r="C67" t="str">
        <f ca="1">IFERROR(__xludf.DUMMYFUNCTION("""COMPUTED_VALUE"""),"Joel Dahmen")</f>
        <v>Joel Dahmen</v>
      </c>
      <c r="D67">
        <f ca="1">IFERROR(__xludf.DUMMYFUNCTION("""COMPUTED_VALUE"""),18)</f>
        <v>18</v>
      </c>
      <c r="E67">
        <f ca="1">IFERROR(__xludf.DUMMYFUNCTION("""COMPUTED_VALUE"""),69.83)</f>
        <v>69.83</v>
      </c>
      <c r="F67" s="1">
        <f ca="1">IFERROR(__xludf.DUMMYFUNCTION("""COMPUTED_VALUE"""),1257)</f>
        <v>1257</v>
      </c>
      <c r="G67">
        <f ca="1">IFERROR(__xludf.DUMMYFUNCTION("""COMPUTED_VALUE"""),18)</f>
        <v>18</v>
      </c>
    </row>
    <row r="68" spans="1:7" ht="12.75">
      <c r="A68">
        <f ca="1">IFERROR(__xludf.DUMMYFUNCTION("""COMPUTED_VALUE"""),67)</f>
        <v>67</v>
      </c>
      <c r="B68" t="str">
        <f ca="1">IFERROR(__xludf.DUMMYFUNCTION("""COMPUTED_VALUE"""),"T45")</f>
        <v>T45</v>
      </c>
      <c r="C68" t="str">
        <f ca="1">IFERROR(__xludf.DUMMYFUNCTION("""COMPUTED_VALUE"""),"Xinjun Zhang")</f>
        <v>Xinjun Zhang</v>
      </c>
      <c r="D68">
        <f ca="1">IFERROR(__xludf.DUMMYFUNCTION("""COMPUTED_VALUE"""),14)</f>
        <v>14</v>
      </c>
      <c r="E68">
        <f ca="1">IFERROR(__xludf.DUMMYFUNCTION("""COMPUTED_VALUE"""),69.86)</f>
        <v>69.86</v>
      </c>
      <c r="F68">
        <f ca="1">IFERROR(__xludf.DUMMYFUNCTION("""COMPUTED_VALUE"""),978)</f>
        <v>978</v>
      </c>
      <c r="G68">
        <f ca="1">IFERROR(__xludf.DUMMYFUNCTION("""COMPUTED_VALUE"""),14)</f>
        <v>14</v>
      </c>
    </row>
    <row r="69" spans="1:7" ht="12.75">
      <c r="A69" t="str">
        <f ca="1">IFERROR(__xludf.DUMMYFUNCTION("""COMPUTED_VALUE"""),"T68")</f>
        <v>T68</v>
      </c>
      <c r="B69" t="str">
        <f ca="1">IFERROR(__xludf.DUMMYFUNCTION("""COMPUTED_VALUE"""),"T80")</f>
        <v>T80</v>
      </c>
      <c r="C69" t="str">
        <f ca="1">IFERROR(__xludf.DUMMYFUNCTION("""COMPUTED_VALUE"""),"Brian Harman")</f>
        <v>Brian Harman</v>
      </c>
      <c r="D69">
        <f ca="1">IFERROR(__xludf.DUMMYFUNCTION("""COMPUTED_VALUE"""),24)</f>
        <v>24</v>
      </c>
      <c r="E69">
        <f ca="1">IFERROR(__xludf.DUMMYFUNCTION("""COMPUTED_VALUE"""),69.88)</f>
        <v>69.88</v>
      </c>
      <c r="F69" s="1">
        <f ca="1">IFERROR(__xludf.DUMMYFUNCTION("""COMPUTED_VALUE"""),1677)</f>
        <v>1677</v>
      </c>
      <c r="G69">
        <f ca="1">IFERROR(__xludf.DUMMYFUNCTION("""COMPUTED_VALUE"""),24)</f>
        <v>24</v>
      </c>
    </row>
    <row r="70" spans="1:7" ht="12.75">
      <c r="A70" t="str">
        <f ca="1">IFERROR(__xludf.DUMMYFUNCTION("""COMPUTED_VALUE"""),"T68")</f>
        <v>T68</v>
      </c>
      <c r="B70" t="str">
        <f ca="1">IFERROR(__xludf.DUMMYFUNCTION("""COMPUTED_VALUE"""),"T69")</f>
        <v>T69</v>
      </c>
      <c r="C70" t="str">
        <f ca="1">IFERROR(__xludf.DUMMYFUNCTION("""COMPUTED_VALUE"""),"Nate Lashley")</f>
        <v>Nate Lashley</v>
      </c>
      <c r="D70">
        <f ca="1">IFERROR(__xludf.DUMMYFUNCTION("""COMPUTED_VALUE"""),16)</f>
        <v>16</v>
      </c>
      <c r="E70">
        <f ca="1">IFERROR(__xludf.DUMMYFUNCTION("""COMPUTED_VALUE"""),69.88)</f>
        <v>69.88</v>
      </c>
      <c r="F70" s="1">
        <f ca="1">IFERROR(__xludf.DUMMYFUNCTION("""COMPUTED_VALUE"""),1118)</f>
        <v>1118</v>
      </c>
      <c r="G70">
        <f ca="1">IFERROR(__xludf.DUMMYFUNCTION("""COMPUTED_VALUE"""),16)</f>
        <v>16</v>
      </c>
    </row>
    <row r="71" spans="1:7" ht="12.75">
      <c r="A71" t="str">
        <f ca="1">IFERROR(__xludf.DUMMYFUNCTION("""COMPUTED_VALUE"""),"T68")</f>
        <v>T68</v>
      </c>
      <c r="B71">
        <f ca="1">IFERROR(__xludf.DUMMYFUNCTION("""COMPUTED_VALUE"""),73)</f>
        <v>73</v>
      </c>
      <c r="C71" t="str">
        <f ca="1">IFERROR(__xludf.DUMMYFUNCTION("""COMPUTED_VALUE"""),"Patrick Reed")</f>
        <v>Patrick Reed</v>
      </c>
      <c r="D71">
        <f ca="1">IFERROR(__xludf.DUMMYFUNCTION("""COMPUTED_VALUE"""),8)</f>
        <v>8</v>
      </c>
      <c r="E71">
        <f ca="1">IFERROR(__xludf.DUMMYFUNCTION("""COMPUTED_VALUE"""),69.88)</f>
        <v>69.88</v>
      </c>
      <c r="F71">
        <f ca="1">IFERROR(__xludf.DUMMYFUNCTION("""COMPUTED_VALUE"""),559)</f>
        <v>559</v>
      </c>
      <c r="G71">
        <f ca="1">IFERROR(__xludf.DUMMYFUNCTION("""COMPUTED_VALUE"""),8)</f>
        <v>8</v>
      </c>
    </row>
    <row r="72" spans="1:7" ht="12.75">
      <c r="A72" t="str">
        <f ca="1">IFERROR(__xludf.DUMMYFUNCTION("""COMPUTED_VALUE"""),"T71")</f>
        <v>T71</v>
      </c>
      <c r="B72" t="str">
        <f ca="1">IFERROR(__xludf.DUMMYFUNCTION("""COMPUTED_VALUE"""),"T45")</f>
        <v>T45</v>
      </c>
      <c r="C72" t="str">
        <f ca="1">IFERROR(__xludf.DUMMYFUNCTION("""COMPUTED_VALUE"""),"Scott Stallings")</f>
        <v>Scott Stallings</v>
      </c>
      <c r="D72">
        <f ca="1">IFERROR(__xludf.DUMMYFUNCTION("""COMPUTED_VALUE"""),14)</f>
        <v>14</v>
      </c>
      <c r="E72">
        <f ca="1">IFERROR(__xludf.DUMMYFUNCTION("""COMPUTED_VALUE"""),69.93)</f>
        <v>69.930000000000007</v>
      </c>
      <c r="F72">
        <f ca="1">IFERROR(__xludf.DUMMYFUNCTION("""COMPUTED_VALUE"""),979)</f>
        <v>979</v>
      </c>
      <c r="G72">
        <f ca="1">IFERROR(__xludf.DUMMYFUNCTION("""COMPUTED_VALUE"""),14)</f>
        <v>14</v>
      </c>
    </row>
    <row r="73" spans="1:7" ht="12.75">
      <c r="A73" t="str">
        <f ca="1">IFERROR(__xludf.DUMMYFUNCTION("""COMPUTED_VALUE"""),"T71")</f>
        <v>T71</v>
      </c>
      <c r="B73" t="str">
        <f ca="1">IFERROR(__xludf.DUMMYFUNCTION("""COMPUTED_VALUE"""),"T75")</f>
        <v>T75</v>
      </c>
      <c r="C73" t="str">
        <f ca="1">IFERROR(__xludf.DUMMYFUNCTION("""COMPUTED_VALUE"""),"Tyler McCumber")</f>
        <v>Tyler McCumber</v>
      </c>
      <c r="D73">
        <f ca="1">IFERROR(__xludf.DUMMYFUNCTION("""COMPUTED_VALUE"""),14)</f>
        <v>14</v>
      </c>
      <c r="E73">
        <f ca="1">IFERROR(__xludf.DUMMYFUNCTION("""COMPUTED_VALUE"""),69.93)</f>
        <v>69.930000000000007</v>
      </c>
      <c r="F73">
        <f ca="1">IFERROR(__xludf.DUMMYFUNCTION("""COMPUTED_VALUE"""),979)</f>
        <v>979</v>
      </c>
      <c r="G73">
        <f ca="1">IFERROR(__xludf.DUMMYFUNCTION("""COMPUTED_VALUE"""),14)</f>
        <v>14</v>
      </c>
    </row>
    <row r="74" spans="1:7" ht="12.75">
      <c r="A74" t="str">
        <f ca="1">IFERROR(__xludf.DUMMYFUNCTION("""COMPUTED_VALUE"""),"T71")</f>
        <v>T71</v>
      </c>
      <c r="B74" t="str">
        <f ca="1">IFERROR(__xludf.DUMMYFUNCTION("""COMPUTED_VALUE"""),"T75")</f>
        <v>T75</v>
      </c>
      <c r="C74" t="str">
        <f ca="1">IFERROR(__xludf.DUMMYFUNCTION("""COMPUTED_VALUE"""),"Hank Lebioda")</f>
        <v>Hank Lebioda</v>
      </c>
      <c r="D74">
        <f ca="1">IFERROR(__xludf.DUMMYFUNCTION("""COMPUTED_VALUE"""),14)</f>
        <v>14</v>
      </c>
      <c r="E74">
        <f ca="1">IFERROR(__xludf.DUMMYFUNCTION("""COMPUTED_VALUE"""),69.93)</f>
        <v>69.930000000000007</v>
      </c>
      <c r="F74">
        <f ca="1">IFERROR(__xludf.DUMMYFUNCTION("""COMPUTED_VALUE"""),979)</f>
        <v>979</v>
      </c>
      <c r="G74">
        <f ca="1">IFERROR(__xludf.DUMMYFUNCTION("""COMPUTED_VALUE"""),14)</f>
        <v>14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IFERROR(__xludf.DUMMYFUNCTION("""COMPUTED_VALUE"""),"T77")</f>
        <v>T77</v>
      </c>
      <c r="C75" t="str">
        <f ca="1">IFERROR(__xludf.DUMMYFUNCTION("""COMPUTED_VALUE"""),"Rob Oppenheim")</f>
        <v>Rob Oppenheim</v>
      </c>
      <c r="D75">
        <f ca="1">IFERROR(__xludf.DUMMYFUNCTION("""COMPUTED_VALUE"""),16)</f>
        <v>16</v>
      </c>
      <c r="E75">
        <f ca="1">IFERROR(__xludf.DUMMYFUNCTION("""COMPUTED_VALUE"""),69.94)</f>
        <v>69.94</v>
      </c>
      <c r="F75" s="1">
        <f ca="1">IFERROR(__xludf.DUMMYFUNCTION("""COMPUTED_VALUE"""),1119)</f>
        <v>1119</v>
      </c>
      <c r="G75">
        <f ca="1">IFERROR(__xludf.DUMMYFUNCTION("""COMPUTED_VALUE"""),16)</f>
        <v>16</v>
      </c>
    </row>
    <row r="76" spans="1:7" ht="12.75">
      <c r="A76" t="str">
        <f ca="1">IFERROR(__xludf.DUMMYFUNCTION("""COMPUTED_VALUE"""),"T74")</f>
        <v>T74</v>
      </c>
      <c r="B76">
        <f ca="1">IFERROR(__xludf.DUMMYFUNCTION("""COMPUTED_VALUE"""),11)</f>
        <v>11</v>
      </c>
      <c r="C76" t="str">
        <f ca="1">IFERROR(__xludf.DUMMYFUNCTION("""COMPUTED_VALUE"""),"Cameron Davis")</f>
        <v>Cameron Davis</v>
      </c>
      <c r="D76">
        <f ca="1">IFERROR(__xludf.DUMMYFUNCTION("""COMPUTED_VALUE"""),16)</f>
        <v>16</v>
      </c>
      <c r="E76">
        <f ca="1">IFERROR(__xludf.DUMMYFUNCTION("""COMPUTED_VALUE"""),69.94)</f>
        <v>69.94</v>
      </c>
      <c r="F76" s="1">
        <f ca="1">IFERROR(__xludf.DUMMYFUNCTION("""COMPUTED_VALUE"""),1119)</f>
        <v>1119</v>
      </c>
      <c r="G76">
        <f ca="1">IFERROR(__xludf.DUMMYFUNCTION("""COMPUTED_VALUE"""),16)</f>
        <v>16</v>
      </c>
    </row>
    <row r="77" spans="1:7" ht="12.75">
      <c r="A77" t="str">
        <f ca="1">IFERROR(__xludf.DUMMYFUNCTION("""COMPUTED_VALUE"""),"T74")</f>
        <v>T74</v>
      </c>
      <c r="B77" t="str">
        <f ca="1">IFERROR(__xludf.DUMMYFUNCTION("""COMPUTED_VALUE"""),"T80")</f>
        <v>T80</v>
      </c>
      <c r="C77" t="str">
        <f ca="1">IFERROR(__xludf.DUMMYFUNCTION("""COMPUTED_VALUE"""),"Scottie Scheffler")</f>
        <v>Scottie Scheffler</v>
      </c>
      <c r="D77">
        <f ca="1">IFERROR(__xludf.DUMMYFUNCTION("""COMPUTED_VALUE"""),18)</f>
        <v>18</v>
      </c>
      <c r="E77">
        <f ca="1">IFERROR(__xludf.DUMMYFUNCTION("""COMPUTED_VALUE"""),69.94)</f>
        <v>69.94</v>
      </c>
      <c r="F77" s="1">
        <f ca="1">IFERROR(__xludf.DUMMYFUNCTION("""COMPUTED_VALUE"""),1259)</f>
        <v>1259</v>
      </c>
      <c r="G77">
        <f ca="1">IFERROR(__xludf.DUMMYFUNCTION("""COMPUTED_VALUE"""),18)</f>
        <v>18</v>
      </c>
    </row>
    <row r="78" spans="1:7" ht="12.75">
      <c r="A78" t="str">
        <f ca="1">IFERROR(__xludf.DUMMYFUNCTION("""COMPUTED_VALUE"""),"T74")</f>
        <v>T74</v>
      </c>
      <c r="B78" t="str">
        <f ca="1">IFERROR(__xludf.DUMMYFUNCTION("""COMPUTED_VALUE"""),"T98")</f>
        <v>T98</v>
      </c>
      <c r="C78" t="str">
        <f ca="1">IFERROR(__xludf.DUMMYFUNCTION("""COMPUTED_VALUE"""),"J.T. Poston")</f>
        <v>J.T. Poston</v>
      </c>
      <c r="D78">
        <f ca="1">IFERROR(__xludf.DUMMYFUNCTION("""COMPUTED_VALUE"""),18)</f>
        <v>18</v>
      </c>
      <c r="E78">
        <f ca="1">IFERROR(__xludf.DUMMYFUNCTION("""COMPUTED_VALUE"""),69.94)</f>
        <v>69.94</v>
      </c>
      <c r="F78" s="1">
        <f ca="1">IFERROR(__xludf.DUMMYFUNCTION("""COMPUTED_VALUE"""),1259)</f>
        <v>1259</v>
      </c>
      <c r="G78">
        <f ca="1">IFERROR(__xludf.DUMMYFUNCTION("""COMPUTED_VALUE"""),18)</f>
        <v>18</v>
      </c>
    </row>
    <row r="79" spans="1:7" ht="12.75">
      <c r="A79" t="str">
        <f ca="1">IFERROR(__xludf.DUMMYFUNCTION("""COMPUTED_VALUE"""),"T74")</f>
        <v>T74</v>
      </c>
      <c r="B79" t="str">
        <f ca="1">IFERROR(__xludf.DUMMYFUNCTION("""COMPUTED_VALUE"""),"T77")</f>
        <v>T77</v>
      </c>
      <c r="C79" t="str">
        <f ca="1">IFERROR(__xludf.DUMMYFUNCTION("""COMPUTED_VALUE"""),"Matthew Wolff")</f>
        <v>Matthew Wolff</v>
      </c>
      <c r="D79">
        <f ca="1">IFERROR(__xludf.DUMMYFUNCTION("""COMPUTED_VALUE"""),16)</f>
        <v>16</v>
      </c>
      <c r="E79">
        <f ca="1">IFERROR(__xludf.DUMMYFUNCTION("""COMPUTED_VALUE"""),69.94)</f>
        <v>69.94</v>
      </c>
      <c r="F79" s="1">
        <f ca="1">IFERROR(__xludf.DUMMYFUNCTION("""COMPUTED_VALUE"""),1119)</f>
        <v>1119</v>
      </c>
      <c r="G79">
        <f ca="1">IFERROR(__xludf.DUMMYFUNCTION("""COMPUTED_VALUE"""),16)</f>
        <v>16</v>
      </c>
    </row>
    <row r="80" spans="1:7" ht="12.75">
      <c r="A80" t="str">
        <f ca="1">IFERROR(__xludf.DUMMYFUNCTION("""COMPUTED_VALUE"""),"T79")</f>
        <v>T79</v>
      </c>
      <c r="B80" t="str">
        <f ca="1">IFERROR(__xludf.DUMMYFUNCTION("""COMPUTED_VALUE"""),"T80")</f>
        <v>T80</v>
      </c>
      <c r="C80" t="str">
        <f ca="1">IFERROR(__xludf.DUMMYFUNCTION("""COMPUTED_VALUE"""),"Ryan Brehm")</f>
        <v>Ryan Brehm</v>
      </c>
      <c r="D80">
        <f ca="1">IFERROR(__xludf.DUMMYFUNCTION("""COMPUTED_VALUE"""),10)</f>
        <v>10</v>
      </c>
      <c r="E80">
        <f ca="1">IFERROR(__xludf.DUMMYFUNCTION("""COMPUTED_VALUE"""),70)</f>
        <v>70</v>
      </c>
      <c r="F80">
        <f ca="1">IFERROR(__xludf.DUMMYFUNCTION("""COMPUTED_VALUE"""),700)</f>
        <v>700</v>
      </c>
      <c r="G80">
        <f ca="1">IFERROR(__xludf.DUMMYFUNCTION("""COMPUTED_VALUE"""),10)</f>
        <v>10</v>
      </c>
    </row>
    <row r="81" spans="1:7" ht="12.75">
      <c r="A81" t="str">
        <f ca="1">IFERROR(__xludf.DUMMYFUNCTION("""COMPUTED_VALUE"""),"T79")</f>
        <v>T79</v>
      </c>
      <c r="B81" t="str">
        <f ca="1">IFERROR(__xludf.DUMMYFUNCTION("""COMPUTED_VALUE"""),"T58")</f>
        <v>T58</v>
      </c>
      <c r="C81" t="str">
        <f ca="1">IFERROR(__xludf.DUMMYFUNCTION("""COMPUTED_VALUE"""),"C.T. Pan")</f>
        <v>C.T. Pan</v>
      </c>
      <c r="D81">
        <f ca="1">IFERROR(__xludf.DUMMYFUNCTION("""COMPUTED_VALUE"""),20)</f>
        <v>20</v>
      </c>
      <c r="E81">
        <f ca="1">IFERROR(__xludf.DUMMYFUNCTION("""COMPUTED_VALUE"""),70)</f>
        <v>70</v>
      </c>
      <c r="F81" s="1">
        <f ca="1">IFERROR(__xludf.DUMMYFUNCTION("""COMPUTED_VALUE"""),1400)</f>
        <v>1400</v>
      </c>
      <c r="G81">
        <f ca="1">IFERROR(__xludf.DUMMYFUNCTION("""COMPUTED_VALUE"""),20)</f>
        <v>20</v>
      </c>
    </row>
    <row r="82" spans="1:7" ht="12.75">
      <c r="A82" t="str">
        <f ca="1">IFERROR(__xludf.DUMMYFUNCTION("""COMPUTED_VALUE"""),"T79")</f>
        <v>T79</v>
      </c>
      <c r="B82" t="str">
        <f ca="1">IFERROR(__xludf.DUMMYFUNCTION("""COMPUTED_VALUE"""),"T80")</f>
        <v>T80</v>
      </c>
      <c r="C82" t="str">
        <f ca="1">IFERROR(__xludf.DUMMYFUNCTION("""COMPUTED_VALUE"""),"Gunn Charoenkul")</f>
        <v>Gunn Charoenkul</v>
      </c>
      <c r="D82">
        <f ca="1">IFERROR(__xludf.DUMMYFUNCTION("""COMPUTED_VALUE"""),4)</f>
        <v>4</v>
      </c>
      <c r="E82">
        <f ca="1">IFERROR(__xludf.DUMMYFUNCTION("""COMPUTED_VALUE"""),70)</f>
        <v>70</v>
      </c>
      <c r="F82">
        <f ca="1">IFERROR(__xludf.DUMMYFUNCTION("""COMPUTED_VALUE"""),280)</f>
        <v>280</v>
      </c>
      <c r="G82">
        <f ca="1">IFERROR(__xludf.DUMMYFUNCTION("""COMPUTED_VALUE"""),4)</f>
        <v>4</v>
      </c>
    </row>
    <row r="83" spans="1:7" ht="12.75">
      <c r="A83" t="str">
        <f ca="1">IFERROR(__xludf.DUMMYFUNCTION("""COMPUTED_VALUE"""),"T79")</f>
        <v>T79</v>
      </c>
      <c r="B83" t="str">
        <f ca="1">IFERROR(__xludf.DUMMYFUNCTION("""COMPUTED_VALUE"""),"")</f>
        <v/>
      </c>
      <c r="C83" t="str">
        <f ca="1">IFERROR(__xludf.DUMMYFUNCTION("""COMPUTED_VALUE"""),"Erik Barnes")</f>
        <v>Erik Barnes</v>
      </c>
      <c r="D83">
        <f ca="1">IFERROR(__xludf.DUMMYFUNCTION("""COMPUTED_VALUE"""),4)</f>
        <v>4</v>
      </c>
      <c r="E83">
        <f ca="1">IFERROR(__xludf.DUMMYFUNCTION("""COMPUTED_VALUE"""),70)</f>
        <v>70</v>
      </c>
      <c r="F83">
        <f ca="1">IFERROR(__xludf.DUMMYFUNCTION("""COMPUTED_VALUE"""),280)</f>
        <v>280</v>
      </c>
      <c r="G83">
        <f ca="1">IFERROR(__xludf.DUMMYFUNCTION("""COMPUTED_VALUE"""),4)</f>
        <v>4</v>
      </c>
    </row>
    <row r="84" spans="1:7" ht="12.75">
      <c r="A84" t="str">
        <f ca="1">IFERROR(__xludf.DUMMYFUNCTION("""COMPUTED_VALUE"""),"T79")</f>
        <v>T79</v>
      </c>
      <c r="B84">
        <f ca="1">IFERROR(__xludf.DUMMYFUNCTION("""COMPUTED_VALUE"""),64)</f>
        <v>64</v>
      </c>
      <c r="C84" t="str">
        <f ca="1">IFERROR(__xludf.DUMMYFUNCTION("""COMPUTED_VALUE"""),"Si Woo Kim")</f>
        <v>Si Woo Kim</v>
      </c>
      <c r="D84">
        <f ca="1">IFERROR(__xludf.DUMMYFUNCTION("""COMPUTED_VALUE"""),20)</f>
        <v>20</v>
      </c>
      <c r="E84">
        <f ca="1">IFERROR(__xludf.DUMMYFUNCTION("""COMPUTED_VALUE"""),70)</f>
        <v>70</v>
      </c>
      <c r="F84" s="1">
        <f ca="1">IFERROR(__xludf.DUMMYFUNCTION("""COMPUTED_VALUE"""),1400)</f>
        <v>1400</v>
      </c>
      <c r="G84">
        <f ca="1">IFERROR(__xludf.DUMMYFUNCTION("""COMPUTED_VALUE"""),20)</f>
        <v>20</v>
      </c>
    </row>
    <row r="85" spans="1:7" ht="12.75">
      <c r="A85" t="str">
        <f ca="1">IFERROR(__xludf.DUMMYFUNCTION("""COMPUTED_VALUE"""),"T79")</f>
        <v>T79</v>
      </c>
      <c r="B85" t="str">
        <f ca="1">IFERROR(__xludf.DUMMYFUNCTION("""COMPUTED_VALUE"""),"T123")</f>
        <v>T123</v>
      </c>
      <c r="C85" t="str">
        <f ca="1">IFERROR(__xludf.DUMMYFUNCTION("""COMPUTED_VALUE"""),"Viktor Hovland")</f>
        <v>Viktor Hovland</v>
      </c>
      <c r="D85">
        <f ca="1">IFERROR(__xludf.DUMMYFUNCTION("""COMPUTED_VALUE"""),16)</f>
        <v>16</v>
      </c>
      <c r="E85">
        <f ca="1">IFERROR(__xludf.DUMMYFUNCTION("""COMPUTED_VALUE"""),70)</f>
        <v>70</v>
      </c>
      <c r="F85" s="1">
        <f ca="1">IFERROR(__xludf.DUMMYFUNCTION("""COMPUTED_VALUE"""),1120)</f>
        <v>1120</v>
      </c>
      <c r="G85">
        <f ca="1">IFERROR(__xludf.DUMMYFUNCTION("""COMPUTED_VALUE"""),16)</f>
        <v>16</v>
      </c>
    </row>
    <row r="86" spans="1:7" ht="12.75">
      <c r="A86">
        <f ca="1">IFERROR(__xludf.DUMMYFUNCTION("""COMPUTED_VALUE"""),85)</f>
        <v>85</v>
      </c>
      <c r="B86">
        <f ca="1">IFERROR(__xludf.DUMMYFUNCTION("""COMPUTED_VALUE"""),74)</f>
        <v>74</v>
      </c>
      <c r="C86" t="str">
        <f ca="1">IFERROR(__xludf.DUMMYFUNCTION("""COMPUTED_VALUE"""),"Sungjae Im")</f>
        <v>Sungjae Im</v>
      </c>
      <c r="D86">
        <f ca="1">IFERROR(__xludf.DUMMYFUNCTION("""COMPUTED_VALUE"""),24)</f>
        <v>24</v>
      </c>
      <c r="E86">
        <f ca="1">IFERROR(__xludf.DUMMYFUNCTION("""COMPUTED_VALUE"""),70.04)</f>
        <v>70.040000000000006</v>
      </c>
      <c r="F86" s="1">
        <f ca="1">IFERROR(__xludf.DUMMYFUNCTION("""COMPUTED_VALUE"""),1681)</f>
        <v>1681</v>
      </c>
      <c r="G86">
        <f ca="1">IFERROR(__xludf.DUMMYFUNCTION("""COMPUTED_VALUE"""),24)</f>
        <v>24</v>
      </c>
    </row>
    <row r="87" spans="1:7" ht="12.75">
      <c r="A87">
        <f ca="1">IFERROR(__xludf.DUMMYFUNCTION("""COMPUTED_VALUE"""),86)</f>
        <v>86</v>
      </c>
      <c r="B87">
        <f ca="1">IFERROR(__xludf.DUMMYFUNCTION("""COMPUTED_VALUE"""),85)</f>
        <v>85</v>
      </c>
      <c r="C87" t="str">
        <f ca="1">IFERROR(__xludf.DUMMYFUNCTION("""COMPUTED_VALUE"""),"Sebastián Muñoz")</f>
        <v>Sebastián Muñoz</v>
      </c>
      <c r="D87">
        <f ca="1">IFERROR(__xludf.DUMMYFUNCTION("""COMPUTED_VALUE"""),20)</f>
        <v>20</v>
      </c>
      <c r="E87">
        <f ca="1">IFERROR(__xludf.DUMMYFUNCTION("""COMPUTED_VALUE"""),70.05)</f>
        <v>70.05</v>
      </c>
      <c r="F87" s="1">
        <f ca="1">IFERROR(__xludf.DUMMYFUNCTION("""COMPUTED_VALUE"""),1401)</f>
        <v>1401</v>
      </c>
      <c r="G87">
        <f ca="1">IFERROR(__xludf.DUMMYFUNCTION("""COMPUTED_VALUE"""),20)</f>
        <v>20</v>
      </c>
    </row>
    <row r="88" spans="1:7" ht="12.75">
      <c r="A88" t="str">
        <f ca="1">IFERROR(__xludf.DUMMYFUNCTION("""COMPUTED_VALUE"""),"T87")</f>
        <v>T87</v>
      </c>
      <c r="B88">
        <f ca="1">IFERROR(__xludf.DUMMYFUNCTION("""COMPUTED_VALUE"""),39)</f>
        <v>39</v>
      </c>
      <c r="C88" t="str">
        <f ca="1">IFERROR(__xludf.DUMMYFUNCTION("""COMPUTED_VALUE"""),"David Hearn")</f>
        <v>David Hearn</v>
      </c>
      <c r="D88">
        <f ca="1">IFERROR(__xludf.DUMMYFUNCTION("""COMPUTED_VALUE"""),16)</f>
        <v>16</v>
      </c>
      <c r="E88">
        <f ca="1">IFERROR(__xludf.DUMMYFUNCTION("""COMPUTED_VALUE"""),70.06)</f>
        <v>70.06</v>
      </c>
      <c r="F88" s="1">
        <f ca="1">IFERROR(__xludf.DUMMYFUNCTION("""COMPUTED_VALUE"""),1121)</f>
        <v>1121</v>
      </c>
      <c r="G88">
        <f ca="1">IFERROR(__xludf.DUMMYFUNCTION("""COMPUTED_VALUE"""),16)</f>
        <v>16</v>
      </c>
    </row>
    <row r="89" spans="1:7" ht="12.75">
      <c r="A89" t="str">
        <f ca="1">IFERROR(__xludf.DUMMYFUNCTION("""COMPUTED_VALUE"""),"T87")</f>
        <v>T87</v>
      </c>
      <c r="B89">
        <f ca="1">IFERROR(__xludf.DUMMYFUNCTION("""COMPUTED_VALUE"""),72)</f>
        <v>72</v>
      </c>
      <c r="C89" t="str">
        <f ca="1">IFERROR(__xludf.DUMMYFUNCTION("""COMPUTED_VALUE"""),"Brian Stuard")</f>
        <v>Brian Stuard</v>
      </c>
      <c r="D89">
        <f ca="1">IFERROR(__xludf.DUMMYFUNCTION("""COMPUTED_VALUE"""),18)</f>
        <v>18</v>
      </c>
      <c r="E89">
        <f ca="1">IFERROR(__xludf.DUMMYFUNCTION("""COMPUTED_VALUE"""),70.06)</f>
        <v>70.06</v>
      </c>
      <c r="F89" s="1">
        <f ca="1">IFERROR(__xludf.DUMMYFUNCTION("""COMPUTED_VALUE"""),1261)</f>
        <v>1261</v>
      </c>
      <c r="G89">
        <f ca="1">IFERROR(__xludf.DUMMYFUNCTION("""COMPUTED_VALUE"""),18)</f>
        <v>18</v>
      </c>
    </row>
    <row r="90" spans="1:7" ht="12.75">
      <c r="A90">
        <f ca="1">IFERROR(__xludf.DUMMYFUNCTION("""COMPUTED_VALUE"""),89)</f>
        <v>89</v>
      </c>
      <c r="B90">
        <f ca="1">IFERROR(__xludf.DUMMYFUNCTION("""COMPUTED_VALUE"""),89)</f>
        <v>89</v>
      </c>
      <c r="C90" t="str">
        <f ca="1">IFERROR(__xludf.DUMMYFUNCTION("""COMPUTED_VALUE"""),"Rory McIlroy")</f>
        <v>Rory McIlroy</v>
      </c>
      <c r="D90">
        <f ca="1">IFERROR(__xludf.DUMMYFUNCTION("""COMPUTED_VALUE"""),12)</f>
        <v>12</v>
      </c>
      <c r="E90">
        <f ca="1">IFERROR(__xludf.DUMMYFUNCTION("""COMPUTED_VALUE"""),70.08)</f>
        <v>70.08</v>
      </c>
      <c r="F90">
        <f ca="1">IFERROR(__xludf.DUMMYFUNCTION("""COMPUTED_VALUE"""),841)</f>
        <v>841</v>
      </c>
      <c r="G90">
        <f ca="1">IFERROR(__xludf.DUMMYFUNCTION("""COMPUTED_VALUE"""),12)</f>
        <v>12</v>
      </c>
    </row>
    <row r="91" spans="1:7" ht="12.75">
      <c r="A91">
        <f ca="1">IFERROR(__xludf.DUMMYFUNCTION("""COMPUTED_VALUE"""),90)</f>
        <v>90</v>
      </c>
      <c r="B91">
        <f ca="1">IFERROR(__xludf.DUMMYFUNCTION("""COMPUTED_VALUE"""),90)</f>
        <v>90</v>
      </c>
      <c r="C91" t="str">
        <f ca="1">IFERROR(__xludf.DUMMYFUNCTION("""COMPUTED_VALUE"""),"Matthew Fitzpatrick")</f>
        <v>Matthew Fitzpatrick</v>
      </c>
      <c r="D91">
        <f ca="1">IFERROR(__xludf.DUMMYFUNCTION("""COMPUTED_VALUE"""),10)</f>
        <v>10</v>
      </c>
      <c r="E91">
        <f ca="1">IFERROR(__xludf.DUMMYFUNCTION("""COMPUTED_VALUE"""),70.1)</f>
        <v>70.099999999999994</v>
      </c>
      <c r="F91">
        <f ca="1">IFERROR(__xludf.DUMMYFUNCTION("""COMPUTED_VALUE"""),701)</f>
        <v>701</v>
      </c>
      <c r="G91">
        <f ca="1">IFERROR(__xludf.DUMMYFUNCTION("""COMPUTED_VALUE"""),10)</f>
        <v>10</v>
      </c>
    </row>
    <row r="92" spans="1:7" ht="12.75">
      <c r="A92">
        <f ca="1">IFERROR(__xludf.DUMMYFUNCTION("""COMPUTED_VALUE"""),91)</f>
        <v>91</v>
      </c>
      <c r="B92">
        <f ca="1">IFERROR(__xludf.DUMMYFUNCTION("""COMPUTED_VALUE"""),68)</f>
        <v>68</v>
      </c>
      <c r="C92" t="str">
        <f ca="1">IFERROR(__xludf.DUMMYFUNCTION("""COMPUTED_VALUE"""),"Andrew Putnam")</f>
        <v>Andrew Putnam</v>
      </c>
      <c r="D92">
        <f ca="1">IFERROR(__xludf.DUMMYFUNCTION("""COMPUTED_VALUE"""),19)</f>
        <v>19</v>
      </c>
      <c r="E92">
        <f ca="1">IFERROR(__xludf.DUMMYFUNCTION("""COMPUTED_VALUE"""),70.11)</f>
        <v>70.11</v>
      </c>
      <c r="F92" s="1">
        <f ca="1">IFERROR(__xludf.DUMMYFUNCTION("""COMPUTED_VALUE"""),1332)</f>
        <v>1332</v>
      </c>
      <c r="G92">
        <f ca="1">IFERROR(__xludf.DUMMYFUNCTION("""COMPUTED_VALUE"""),19)</f>
        <v>19</v>
      </c>
    </row>
    <row r="93" spans="1:7" ht="12.75">
      <c r="A93">
        <f ca="1">IFERROR(__xludf.DUMMYFUNCTION("""COMPUTED_VALUE"""),92)</f>
        <v>92</v>
      </c>
      <c r="B93">
        <f ca="1">IFERROR(__xludf.DUMMYFUNCTION("""COMPUTED_VALUE"""),91)</f>
        <v>91</v>
      </c>
      <c r="C93" t="str">
        <f ca="1">IFERROR(__xludf.DUMMYFUNCTION("""COMPUTED_VALUE"""),"D.J. Trahan")</f>
        <v>D.J. Trahan</v>
      </c>
      <c r="D93">
        <f ca="1">IFERROR(__xludf.DUMMYFUNCTION("""COMPUTED_VALUE"""),16)</f>
        <v>16</v>
      </c>
      <c r="E93">
        <f ca="1">IFERROR(__xludf.DUMMYFUNCTION("""COMPUTED_VALUE"""),70.13)</f>
        <v>70.13</v>
      </c>
      <c r="F93" s="1">
        <f ca="1">IFERROR(__xludf.DUMMYFUNCTION("""COMPUTED_VALUE"""),1122)</f>
        <v>1122</v>
      </c>
      <c r="G93">
        <f ca="1">IFERROR(__xludf.DUMMYFUNCTION("""COMPUTED_VALUE"""),16)</f>
        <v>16</v>
      </c>
    </row>
    <row r="94" spans="1:7" ht="12.75">
      <c r="A94">
        <f ca="1">IFERROR(__xludf.DUMMYFUNCTION("""COMPUTED_VALUE"""),93)</f>
        <v>93</v>
      </c>
      <c r="B94">
        <f ca="1">IFERROR(__xludf.DUMMYFUNCTION("""COMPUTED_VALUE"""),67)</f>
        <v>67</v>
      </c>
      <c r="C94" t="str">
        <f ca="1">IFERROR(__xludf.DUMMYFUNCTION("""COMPUTED_VALUE"""),"Matt Jones")</f>
        <v>Matt Jones</v>
      </c>
      <c r="D94">
        <f ca="1">IFERROR(__xludf.DUMMYFUNCTION("""COMPUTED_VALUE"""),20)</f>
        <v>20</v>
      </c>
      <c r="E94">
        <f ca="1">IFERROR(__xludf.DUMMYFUNCTION("""COMPUTED_VALUE"""),70.15)</f>
        <v>70.150000000000006</v>
      </c>
      <c r="F94" s="1">
        <f ca="1">IFERROR(__xludf.DUMMYFUNCTION("""COMPUTED_VALUE"""),1403)</f>
        <v>1403</v>
      </c>
      <c r="G94">
        <f ca="1">IFERROR(__xludf.DUMMYFUNCTION("""COMPUTED_VALUE"""),20)</f>
        <v>20</v>
      </c>
    </row>
    <row r="95" spans="1:7" ht="12.75">
      <c r="A95" t="str">
        <f ca="1">IFERROR(__xludf.DUMMYFUNCTION("""COMPUTED_VALUE"""),"T94")</f>
        <v>T94</v>
      </c>
      <c r="B95" t="str">
        <f ca="1">IFERROR(__xludf.DUMMYFUNCTION("""COMPUTED_VALUE"""),"T94")</f>
        <v>T94</v>
      </c>
      <c r="C95" t="str">
        <f ca="1">IFERROR(__xludf.DUMMYFUNCTION("""COMPUTED_VALUE"""),"Roger Sloan")</f>
        <v>Roger Sloan</v>
      </c>
      <c r="D95">
        <f ca="1">IFERROR(__xludf.DUMMYFUNCTION("""COMPUTED_VALUE"""),12)</f>
        <v>12</v>
      </c>
      <c r="E95">
        <f ca="1">IFERROR(__xludf.DUMMYFUNCTION("""COMPUTED_VALUE"""),70.17)</f>
        <v>70.17</v>
      </c>
      <c r="F95">
        <f ca="1">IFERROR(__xludf.DUMMYFUNCTION("""COMPUTED_VALUE"""),842)</f>
        <v>842</v>
      </c>
      <c r="G95">
        <f ca="1">IFERROR(__xludf.DUMMYFUNCTION("""COMPUTED_VALUE"""),12)</f>
        <v>12</v>
      </c>
    </row>
    <row r="96" spans="1:7" ht="12.75">
      <c r="A96" t="str">
        <f ca="1">IFERROR(__xludf.DUMMYFUNCTION("""COMPUTED_VALUE"""),"T94")</f>
        <v>T94</v>
      </c>
      <c r="B96" t="str">
        <f ca="1">IFERROR(__xludf.DUMMYFUNCTION("""COMPUTED_VALUE"""),"T94")</f>
        <v>T94</v>
      </c>
      <c r="C96" t="str">
        <f ca="1">IFERROR(__xludf.DUMMYFUNCTION("""COMPUTED_VALUE"""),"Collin Morikawa")</f>
        <v>Collin Morikawa</v>
      </c>
      <c r="D96">
        <f ca="1">IFERROR(__xludf.DUMMYFUNCTION("""COMPUTED_VALUE"""),12)</f>
        <v>12</v>
      </c>
      <c r="E96">
        <f ca="1">IFERROR(__xludf.DUMMYFUNCTION("""COMPUTED_VALUE"""),70.17)</f>
        <v>70.17</v>
      </c>
      <c r="F96">
        <f ca="1">IFERROR(__xludf.DUMMYFUNCTION("""COMPUTED_VALUE"""),842)</f>
        <v>842</v>
      </c>
      <c r="G96">
        <f ca="1">IFERROR(__xludf.DUMMYFUNCTION("""COMPUTED_VALUE"""),12)</f>
        <v>12</v>
      </c>
    </row>
    <row r="97" spans="1:7" ht="12.75">
      <c r="A97" t="str">
        <f ca="1">IFERROR(__xludf.DUMMYFUNCTION("""COMPUTED_VALUE"""),"T96")</f>
        <v>T96</v>
      </c>
      <c r="B97" t="str">
        <f ca="1">IFERROR(__xludf.DUMMYFUNCTION("""COMPUTED_VALUE"""),"T86")</f>
        <v>T86</v>
      </c>
      <c r="C97" t="str">
        <f ca="1">IFERROR(__xludf.DUMMYFUNCTION("""COMPUTED_VALUE"""),"Brice Garnett")</f>
        <v>Brice Garnett</v>
      </c>
      <c r="D97">
        <f ca="1">IFERROR(__xludf.DUMMYFUNCTION("""COMPUTED_VALUE"""),22)</f>
        <v>22</v>
      </c>
      <c r="E97">
        <f ca="1">IFERROR(__xludf.DUMMYFUNCTION("""COMPUTED_VALUE"""),70.18)</f>
        <v>70.180000000000007</v>
      </c>
      <c r="F97" s="1">
        <f ca="1">IFERROR(__xludf.DUMMYFUNCTION("""COMPUTED_VALUE"""),1544)</f>
        <v>1544</v>
      </c>
      <c r="G97">
        <f ca="1">IFERROR(__xludf.DUMMYFUNCTION("""COMPUTED_VALUE"""),22)</f>
        <v>22</v>
      </c>
    </row>
    <row r="98" spans="1:7" ht="12.75">
      <c r="A98" t="str">
        <f ca="1">IFERROR(__xludf.DUMMYFUNCTION("""COMPUTED_VALUE"""),"T96")</f>
        <v>T96</v>
      </c>
      <c r="B98">
        <f ca="1">IFERROR(__xludf.DUMMYFUNCTION("""COMPUTED_VALUE"""),57)</f>
        <v>57</v>
      </c>
      <c r="C98" t="str">
        <f ca="1">IFERROR(__xludf.DUMMYFUNCTION("""COMPUTED_VALUE"""),"Adam Schenk")</f>
        <v>Adam Schenk</v>
      </c>
      <c r="D98">
        <f ca="1">IFERROR(__xludf.DUMMYFUNCTION("""COMPUTED_VALUE"""),22)</f>
        <v>22</v>
      </c>
      <c r="E98">
        <f ca="1">IFERROR(__xludf.DUMMYFUNCTION("""COMPUTED_VALUE"""),70.18)</f>
        <v>70.180000000000007</v>
      </c>
      <c r="F98" s="1">
        <f ca="1">IFERROR(__xludf.DUMMYFUNCTION("""COMPUTED_VALUE"""),1544)</f>
        <v>1544</v>
      </c>
      <c r="G98">
        <f ca="1">IFERROR(__xludf.DUMMYFUNCTION("""COMPUTED_VALUE"""),22)</f>
        <v>22</v>
      </c>
    </row>
    <row r="99" spans="1:7" ht="12.75">
      <c r="A99">
        <f ca="1">IFERROR(__xludf.DUMMYFUNCTION("""COMPUTED_VALUE"""),98)</f>
        <v>98</v>
      </c>
      <c r="B99">
        <f ca="1">IFERROR(__xludf.DUMMYFUNCTION("""COMPUTED_VALUE"""),55)</f>
        <v>55</v>
      </c>
      <c r="C99" t="str">
        <f ca="1">IFERROR(__xludf.DUMMYFUNCTION("""COMPUTED_VALUE"""),"Pat Perez")</f>
        <v>Pat Perez</v>
      </c>
      <c r="D99">
        <f ca="1">IFERROR(__xludf.DUMMYFUNCTION("""COMPUTED_VALUE"""),16)</f>
        <v>16</v>
      </c>
      <c r="E99">
        <f ca="1">IFERROR(__xludf.DUMMYFUNCTION("""COMPUTED_VALUE"""),70.19)</f>
        <v>70.19</v>
      </c>
      <c r="F99" s="1">
        <f ca="1">IFERROR(__xludf.DUMMYFUNCTION("""COMPUTED_VALUE"""),1123)</f>
        <v>1123</v>
      </c>
      <c r="G99">
        <f ca="1">IFERROR(__xludf.DUMMYFUNCTION("""COMPUTED_VALUE"""),16)</f>
        <v>16</v>
      </c>
    </row>
    <row r="100" spans="1:7" ht="12.75">
      <c r="A100">
        <f ca="1">IFERROR(__xludf.DUMMYFUNCTION("""COMPUTED_VALUE"""),99)</f>
        <v>99</v>
      </c>
      <c r="B100">
        <f ca="1">IFERROR(__xludf.DUMMYFUNCTION("""COMPUTED_VALUE"""),97)</f>
        <v>97</v>
      </c>
      <c r="C100" t="str">
        <f ca="1">IFERROR(__xludf.DUMMYFUNCTION("""COMPUTED_VALUE"""),"Ben Taylor")</f>
        <v>Ben Taylor</v>
      </c>
      <c r="D100">
        <f ca="1">IFERROR(__xludf.DUMMYFUNCTION("""COMPUTED_VALUE"""),10)</f>
        <v>10</v>
      </c>
      <c r="E100">
        <f ca="1">IFERROR(__xludf.DUMMYFUNCTION("""COMPUTED_VALUE"""),70.2)</f>
        <v>70.2</v>
      </c>
      <c r="F100">
        <f ca="1">IFERROR(__xludf.DUMMYFUNCTION("""COMPUTED_VALUE"""),702)</f>
        <v>702</v>
      </c>
      <c r="G100">
        <f ca="1">IFERROR(__xludf.DUMMYFUNCTION("""COMPUTED_VALUE"""),10)</f>
        <v>10</v>
      </c>
    </row>
    <row r="101" spans="1:7" ht="12.75">
      <c r="A101">
        <f ca="1">IFERROR(__xludf.DUMMYFUNCTION("""COMPUTED_VALUE"""),100)</f>
        <v>100</v>
      </c>
      <c r="B101" t="str">
        <f ca="1">IFERROR(__xludf.DUMMYFUNCTION("""COMPUTED_VALUE"""),"T98")</f>
        <v>T98</v>
      </c>
      <c r="C101" t="str">
        <f ca="1">IFERROR(__xludf.DUMMYFUNCTION("""COMPUTED_VALUE"""),"Chez Reavie")</f>
        <v>Chez Reavie</v>
      </c>
      <c r="D101">
        <f ca="1">IFERROR(__xludf.DUMMYFUNCTION("""COMPUTED_VALUE"""),14)</f>
        <v>14</v>
      </c>
      <c r="E101">
        <f ca="1">IFERROR(__xludf.DUMMYFUNCTION("""COMPUTED_VALUE"""),70.21)</f>
        <v>70.209999999999994</v>
      </c>
      <c r="F101">
        <f ca="1">IFERROR(__xludf.DUMMYFUNCTION("""COMPUTED_VALUE"""),983)</f>
        <v>983</v>
      </c>
      <c r="G101">
        <f ca="1">IFERROR(__xludf.DUMMYFUNCTION("""COMPUTED_VALUE"""),14)</f>
        <v>14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IFERROR(__xludf.DUMMYFUNCTION("""COMPUTED_VALUE"""),"T77")</f>
        <v>T77</v>
      </c>
      <c r="C102" t="str">
        <f ca="1">IFERROR(__xludf.DUMMYFUNCTION("""COMPUTED_VALUE"""),"Sergio Garcia")</f>
        <v>Sergio Garcia</v>
      </c>
      <c r="D102">
        <f ca="1">IFERROR(__xludf.DUMMYFUNCTION("""COMPUTED_VALUE"""),18)</f>
        <v>18</v>
      </c>
      <c r="E102">
        <f ca="1">IFERROR(__xludf.DUMMYFUNCTION("""COMPUTED_VALUE"""),70.22)</f>
        <v>70.22</v>
      </c>
      <c r="F102" s="1">
        <f ca="1">IFERROR(__xludf.DUMMYFUNCTION("""COMPUTED_VALUE"""),1264)</f>
        <v>1264</v>
      </c>
      <c r="G102">
        <f ca="1">IFERROR(__xludf.DUMMYFUNCTION("""COMPUTED_VALUE"""),18)</f>
        <v>18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IFERROR(__xludf.DUMMYFUNCTION("""COMPUTED_VALUE"""),"T144")</f>
        <v>T144</v>
      </c>
      <c r="C103" t="str">
        <f ca="1">IFERROR(__xludf.DUMMYFUNCTION("""COMPUTED_VALUE"""),"Mackenzie Hughes")</f>
        <v>Mackenzie Hughes</v>
      </c>
      <c r="D103">
        <f ca="1">IFERROR(__xludf.DUMMYFUNCTION("""COMPUTED_VALUE"""),18)</f>
        <v>18</v>
      </c>
      <c r="E103">
        <f ca="1">IFERROR(__xludf.DUMMYFUNCTION("""COMPUTED_VALUE"""),70.22)</f>
        <v>70.22</v>
      </c>
      <c r="F103" s="1">
        <f ca="1">IFERROR(__xludf.DUMMYFUNCTION("""COMPUTED_VALUE"""),1264)</f>
        <v>1264</v>
      </c>
      <c r="G103">
        <f ca="1">IFERROR(__xludf.DUMMYFUNCTION("""COMPUTED_VALUE"""),18)</f>
        <v>18</v>
      </c>
    </row>
    <row r="104" spans="1:7" ht="12.75">
      <c r="A104" t="str">
        <f ca="1">IFERROR(__xludf.DUMMYFUNCTION("""COMPUTED_VALUE"""),"T103")</f>
        <v>T103</v>
      </c>
      <c r="B104" t="str">
        <f ca="1">IFERROR(__xludf.DUMMYFUNCTION("""COMPUTED_VALUE"""),"T102")</f>
        <v>T102</v>
      </c>
      <c r="C104" t="str">
        <f ca="1">IFERROR(__xludf.DUMMYFUNCTION("""COMPUTED_VALUE"""),"Brandt Snedeker")</f>
        <v>Brandt Snedeker</v>
      </c>
      <c r="D104">
        <f ca="1">IFERROR(__xludf.DUMMYFUNCTION("""COMPUTED_VALUE"""),16)</f>
        <v>16</v>
      </c>
      <c r="E104">
        <f ca="1">IFERROR(__xludf.DUMMYFUNCTION("""COMPUTED_VALUE"""),70.25)</f>
        <v>70.25</v>
      </c>
      <c r="F104" s="1">
        <f ca="1">IFERROR(__xludf.DUMMYFUNCTION("""COMPUTED_VALUE"""),1124)</f>
        <v>1124</v>
      </c>
      <c r="G104">
        <f ca="1">IFERROR(__xludf.DUMMYFUNCTION("""COMPUTED_VALUE"""),16)</f>
        <v>16</v>
      </c>
    </row>
    <row r="105" spans="1:7" ht="12.75">
      <c r="A105" t="str">
        <f ca="1">IFERROR(__xludf.DUMMYFUNCTION("""COMPUTED_VALUE"""),"T103")</f>
        <v>T103</v>
      </c>
      <c r="B105" t="str">
        <f ca="1">IFERROR(__xludf.DUMMYFUNCTION("""COMPUTED_VALUE"""),"T102")</f>
        <v>T102</v>
      </c>
      <c r="C105" t="str">
        <f ca="1">IFERROR(__xludf.DUMMYFUNCTION("""COMPUTED_VALUE"""),"Abraham Ancer")</f>
        <v>Abraham Ancer</v>
      </c>
      <c r="D105">
        <f ca="1">IFERROR(__xludf.DUMMYFUNCTION("""COMPUTED_VALUE"""),16)</f>
        <v>16</v>
      </c>
      <c r="E105">
        <f ca="1">IFERROR(__xludf.DUMMYFUNCTION("""COMPUTED_VALUE"""),70.25)</f>
        <v>70.25</v>
      </c>
      <c r="F105" s="1">
        <f ca="1">IFERROR(__xludf.DUMMYFUNCTION("""COMPUTED_VALUE"""),1124)</f>
        <v>1124</v>
      </c>
      <c r="G105">
        <f ca="1">IFERROR(__xludf.DUMMYFUNCTION("""COMPUTED_VALUE"""),16)</f>
        <v>16</v>
      </c>
    </row>
    <row r="106" spans="1:7" ht="12.75">
      <c r="A106" t="str">
        <f ca="1">IFERROR(__xludf.DUMMYFUNCTION("""COMPUTED_VALUE"""),"T103")</f>
        <v>T103</v>
      </c>
      <c r="B106" t="str">
        <f ca="1">IFERROR(__xludf.DUMMYFUNCTION("""COMPUTED_VALUE"""),"T102")</f>
        <v>T102</v>
      </c>
      <c r="C106" t="str">
        <f ca="1">IFERROR(__xludf.DUMMYFUNCTION("""COMPUTED_VALUE"""),"Stephen Stallings Jr.")</f>
        <v>Stephen Stallings Jr.</v>
      </c>
      <c r="D106">
        <f ca="1">IFERROR(__xludf.DUMMYFUNCTION("""COMPUTED_VALUE"""),4)</f>
        <v>4</v>
      </c>
      <c r="E106">
        <f ca="1">IFERROR(__xludf.DUMMYFUNCTION("""COMPUTED_VALUE"""),70.25)</f>
        <v>70.25</v>
      </c>
      <c r="F106">
        <f ca="1">IFERROR(__xludf.DUMMYFUNCTION("""COMPUTED_VALUE"""),281)</f>
        <v>281</v>
      </c>
      <c r="G106">
        <f ca="1">IFERROR(__xludf.DUMMYFUNCTION("""COMPUTED_VALUE"""),4)</f>
        <v>4</v>
      </c>
    </row>
    <row r="107" spans="1:7" ht="12.75">
      <c r="A107" t="str">
        <f ca="1">IFERROR(__xludf.DUMMYFUNCTION("""COMPUTED_VALUE"""),"T103")</f>
        <v>T103</v>
      </c>
      <c r="B107" t="str">
        <f ca="1">IFERROR(__xludf.DUMMYFUNCTION("""COMPUTED_VALUE"""),"T102")</f>
        <v>T102</v>
      </c>
      <c r="C107" t="str">
        <f ca="1">IFERROR(__xludf.DUMMYFUNCTION("""COMPUTED_VALUE"""),"George Markham")</f>
        <v>George Markham</v>
      </c>
      <c r="D107">
        <f ca="1">IFERROR(__xludf.DUMMYFUNCTION("""COMPUTED_VALUE"""),4)</f>
        <v>4</v>
      </c>
      <c r="E107">
        <f ca="1">IFERROR(__xludf.DUMMYFUNCTION("""COMPUTED_VALUE"""),70.25)</f>
        <v>70.25</v>
      </c>
      <c r="F107">
        <f ca="1">IFERROR(__xludf.DUMMYFUNCTION("""COMPUTED_VALUE"""),281)</f>
        <v>281</v>
      </c>
      <c r="G107">
        <f ca="1">IFERROR(__xludf.DUMMYFUNCTION("""COMPUTED_VALUE"""),4)</f>
        <v>4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IFERROR(__xludf.DUMMYFUNCTION("""COMPUTED_VALUE"""),"T150")</f>
        <v>T150</v>
      </c>
      <c r="C108" t="str">
        <f ca="1">IFERROR(__xludf.DUMMYFUNCTION("""COMPUTED_VALUE"""),"Jason Day")</f>
        <v>Jason Day</v>
      </c>
      <c r="D108">
        <f ca="1">IFERROR(__xludf.DUMMYFUNCTION("""COMPUTED_VALUE"""),17)</f>
        <v>17</v>
      </c>
      <c r="E108">
        <f ca="1">IFERROR(__xludf.DUMMYFUNCTION("""COMPUTED_VALUE"""),70.29)</f>
        <v>70.290000000000006</v>
      </c>
      <c r="F108" s="1">
        <f ca="1">IFERROR(__xludf.DUMMYFUNCTION("""COMPUTED_VALUE"""),1195)</f>
        <v>1195</v>
      </c>
      <c r="G108">
        <f ca="1">IFERROR(__xludf.DUMMYFUNCTION("""COMPUTED_VALUE"""),17)</f>
        <v>17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IFERROR(__xludf.DUMMYFUNCTION("""COMPUTED_VALUE"""),"T110")</f>
        <v>T110</v>
      </c>
      <c r="C109" t="str">
        <f ca="1">IFERROR(__xludf.DUMMYFUNCTION("""COMPUTED_VALUE"""),"Mark Anderson")</f>
        <v>Mark Anderson</v>
      </c>
      <c r="D109">
        <f ca="1">IFERROR(__xludf.DUMMYFUNCTION("""COMPUTED_VALUE"""),14)</f>
        <v>14</v>
      </c>
      <c r="E109">
        <f ca="1">IFERROR(__xludf.DUMMYFUNCTION("""COMPUTED_VALUE"""),70.29)</f>
        <v>70.290000000000006</v>
      </c>
      <c r="F109">
        <f ca="1">IFERROR(__xludf.DUMMYFUNCTION("""COMPUTED_VALUE"""),984)</f>
        <v>984</v>
      </c>
      <c r="G109">
        <f ca="1">IFERROR(__xludf.DUMMYFUNCTION("""COMPUTED_VALUE"""),14)</f>
        <v>14</v>
      </c>
    </row>
    <row r="110" spans="1:7" ht="12.75">
      <c r="A110" t="str">
        <f ca="1">IFERROR(__xludf.DUMMYFUNCTION("""COMPUTED_VALUE"""),"T109")</f>
        <v>T109</v>
      </c>
      <c r="B110" t="str">
        <f ca="1">IFERROR(__xludf.DUMMYFUNCTION("""COMPUTED_VALUE"""),"T114")</f>
        <v>T114</v>
      </c>
      <c r="C110" t="str">
        <f ca="1">IFERROR(__xludf.DUMMYFUNCTION("""COMPUTED_VALUE"""),"MJ Daffue")</f>
        <v>MJ Daffue</v>
      </c>
      <c r="D110">
        <f ca="1">IFERROR(__xludf.DUMMYFUNCTION("""COMPUTED_VALUE"""),10)</f>
        <v>10</v>
      </c>
      <c r="E110">
        <f ca="1">IFERROR(__xludf.DUMMYFUNCTION("""COMPUTED_VALUE"""),70.3)</f>
        <v>70.3</v>
      </c>
      <c r="F110">
        <f ca="1">IFERROR(__xludf.DUMMYFUNCTION("""COMPUTED_VALUE"""),703)</f>
        <v>703</v>
      </c>
      <c r="G110">
        <f ca="1">IFERROR(__xludf.DUMMYFUNCTION("""COMPUTED_VALUE"""),10)</f>
        <v>10</v>
      </c>
    </row>
    <row r="111" spans="1:7" ht="12.75">
      <c r="A111" t="str">
        <f ca="1">IFERROR(__xludf.DUMMYFUNCTION("""COMPUTED_VALUE"""),"T109")</f>
        <v>T109</v>
      </c>
      <c r="B111" t="str">
        <f ca="1">IFERROR(__xludf.DUMMYFUNCTION("""COMPUTED_VALUE"""),"T120")</f>
        <v>T120</v>
      </c>
      <c r="C111" t="str">
        <f ca="1">IFERROR(__xludf.DUMMYFUNCTION("""COMPUTED_VALUE"""),"Will Gordon")</f>
        <v>Will Gordon</v>
      </c>
      <c r="D111">
        <f ca="1">IFERROR(__xludf.DUMMYFUNCTION("""COMPUTED_VALUE"""),20)</f>
        <v>20</v>
      </c>
      <c r="E111">
        <f ca="1">IFERROR(__xludf.DUMMYFUNCTION("""COMPUTED_VALUE"""),70.3)</f>
        <v>70.3</v>
      </c>
      <c r="F111" s="1">
        <f ca="1">IFERROR(__xludf.DUMMYFUNCTION("""COMPUTED_VALUE"""),1406)</f>
        <v>1406</v>
      </c>
      <c r="G111">
        <f ca="1">IFERROR(__xludf.DUMMYFUNCTION("""COMPUTED_VALUE"""),20)</f>
        <v>20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IFERROR(__xludf.DUMMYFUNCTION("""COMPUTED_VALUE"""),"T116")</f>
        <v>T116</v>
      </c>
      <c r="C112" t="str">
        <f ca="1">IFERROR(__xludf.DUMMYFUNCTION("""COMPUTED_VALUE"""),"Joseph Bramlett")</f>
        <v>Joseph Bramlett</v>
      </c>
      <c r="D112">
        <f ca="1">IFERROR(__xludf.DUMMYFUNCTION("""COMPUTED_VALUE"""),18)</f>
        <v>18</v>
      </c>
      <c r="E112">
        <f ca="1">IFERROR(__xludf.DUMMYFUNCTION("""COMPUTED_VALUE"""),70.33)</f>
        <v>70.33</v>
      </c>
      <c r="F112" s="1">
        <f ca="1">IFERROR(__xludf.DUMMYFUNCTION("""COMPUTED_VALUE"""),1266)</f>
        <v>1266</v>
      </c>
      <c r="G112">
        <f ca="1">IFERROR(__xludf.DUMMYFUNCTION("""COMPUTED_VALUE"""),18)</f>
        <v>18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IFERROR(__xludf.DUMMYFUNCTION("""COMPUTED_VALUE"""),"T92")</f>
        <v>T92</v>
      </c>
      <c r="C113" t="str">
        <f ca="1">IFERROR(__xludf.DUMMYFUNCTION("""COMPUTED_VALUE"""),"Lanto Griffin")</f>
        <v>Lanto Griffin</v>
      </c>
      <c r="D113">
        <f ca="1">IFERROR(__xludf.DUMMYFUNCTION("""COMPUTED_VALUE"""),18)</f>
        <v>18</v>
      </c>
      <c r="E113">
        <f ca="1">IFERROR(__xludf.DUMMYFUNCTION("""COMPUTED_VALUE"""),70.33)</f>
        <v>70.33</v>
      </c>
      <c r="F113" s="1">
        <f ca="1">IFERROR(__xludf.DUMMYFUNCTION("""COMPUTED_VALUE"""),1266)</f>
        <v>1266</v>
      </c>
      <c r="G113">
        <f ca="1">IFERROR(__xludf.DUMMYFUNCTION("""COMPUTED_VALUE"""),18)</f>
        <v>18</v>
      </c>
    </row>
    <row r="114" spans="1:7" ht="12.75">
      <c r="A114">
        <f ca="1">IFERROR(__xludf.DUMMYFUNCTION("""COMPUTED_VALUE"""),113)</f>
        <v>113</v>
      </c>
      <c r="B114">
        <f ca="1">IFERROR(__xludf.DUMMYFUNCTION("""COMPUTED_VALUE"""),133)</f>
        <v>133</v>
      </c>
      <c r="C114" t="str">
        <f ca="1">IFERROR(__xludf.DUMMYFUNCTION("""COMPUTED_VALUE"""),"Corey Conners")</f>
        <v>Corey Conners</v>
      </c>
      <c r="D114">
        <f ca="1">IFERROR(__xludf.DUMMYFUNCTION("""COMPUTED_VALUE"""),20)</f>
        <v>20</v>
      </c>
      <c r="E114">
        <f ca="1">IFERROR(__xludf.DUMMYFUNCTION("""COMPUTED_VALUE"""),70.35)</f>
        <v>70.349999999999994</v>
      </c>
      <c r="F114" s="1">
        <f ca="1">IFERROR(__xludf.DUMMYFUNCTION("""COMPUTED_VALUE"""),1407)</f>
        <v>1407</v>
      </c>
      <c r="G114">
        <f ca="1">IFERROR(__xludf.DUMMYFUNCTION("""COMPUTED_VALUE"""),20)</f>
        <v>20</v>
      </c>
    </row>
    <row r="115" spans="1:7" ht="12.75">
      <c r="A115" t="str">
        <f ca="1">IFERROR(__xludf.DUMMYFUNCTION("""COMPUTED_VALUE"""),"T114")</f>
        <v>T114</v>
      </c>
      <c r="B115" t="str">
        <f ca="1">IFERROR(__xludf.DUMMYFUNCTION("""COMPUTED_VALUE"""),"T118")</f>
        <v>T118</v>
      </c>
      <c r="C115" t="str">
        <f ca="1">IFERROR(__xludf.DUMMYFUNCTION("""COMPUTED_VALUE"""),"Kevin Na")</f>
        <v>Kevin Na</v>
      </c>
      <c r="D115">
        <f ca="1">IFERROR(__xludf.DUMMYFUNCTION("""COMPUTED_VALUE"""),14)</f>
        <v>14</v>
      </c>
      <c r="E115">
        <f ca="1">IFERROR(__xludf.DUMMYFUNCTION("""COMPUTED_VALUE"""),70.36)</f>
        <v>70.36</v>
      </c>
      <c r="F115">
        <f ca="1">IFERROR(__xludf.DUMMYFUNCTION("""COMPUTED_VALUE"""),985)</f>
        <v>985</v>
      </c>
      <c r="G115">
        <f ca="1">IFERROR(__xludf.DUMMYFUNCTION("""COMPUTED_VALUE"""),14)</f>
        <v>14</v>
      </c>
    </row>
    <row r="116" spans="1:7" ht="12.75">
      <c r="A116" t="str">
        <f ca="1">IFERROR(__xludf.DUMMYFUNCTION("""COMPUTED_VALUE"""),"T114")</f>
        <v>T114</v>
      </c>
      <c r="B116">
        <f ca="1">IFERROR(__xludf.DUMMYFUNCTION("""COMPUTED_VALUE"""),52)</f>
        <v>52</v>
      </c>
      <c r="C116" t="str">
        <f ca="1">IFERROR(__xludf.DUMMYFUNCTION("""COMPUTED_VALUE"""),"Beau Hossler")</f>
        <v>Beau Hossler</v>
      </c>
      <c r="D116">
        <f ca="1">IFERROR(__xludf.DUMMYFUNCTION("""COMPUTED_VALUE"""),22)</f>
        <v>22</v>
      </c>
      <c r="E116">
        <f ca="1">IFERROR(__xludf.DUMMYFUNCTION("""COMPUTED_VALUE"""),70.36)</f>
        <v>70.36</v>
      </c>
      <c r="F116" s="1">
        <f ca="1">IFERROR(__xludf.DUMMYFUNCTION("""COMPUTED_VALUE"""),1548)</f>
        <v>1548</v>
      </c>
      <c r="G116">
        <f ca="1">IFERROR(__xludf.DUMMYFUNCTION("""COMPUTED_VALUE"""),22)</f>
        <v>22</v>
      </c>
    </row>
    <row r="117" spans="1:7" ht="12.75">
      <c r="A117" t="str">
        <f ca="1">IFERROR(__xludf.DUMMYFUNCTION("""COMPUTED_VALUE"""),"T116")</f>
        <v>T116</v>
      </c>
      <c r="B117" t="str">
        <f ca="1">IFERROR(__xludf.DUMMYFUNCTION("""COMPUTED_VALUE"""),"T120")</f>
        <v>T120</v>
      </c>
      <c r="C117" t="str">
        <f ca="1">IFERROR(__xludf.DUMMYFUNCTION("""COMPUTED_VALUE"""),"Sebastian Cappelen")</f>
        <v>Sebastian Cappelen</v>
      </c>
      <c r="D117">
        <f ca="1">IFERROR(__xludf.DUMMYFUNCTION("""COMPUTED_VALUE"""),8)</f>
        <v>8</v>
      </c>
      <c r="E117">
        <f ca="1">IFERROR(__xludf.DUMMYFUNCTION("""COMPUTED_VALUE"""),70.38)</f>
        <v>70.38</v>
      </c>
      <c r="F117">
        <f ca="1">IFERROR(__xludf.DUMMYFUNCTION("""COMPUTED_VALUE"""),563)</f>
        <v>563</v>
      </c>
      <c r="G117">
        <f ca="1">IFERROR(__xludf.DUMMYFUNCTION("""COMPUTED_VALUE"""),8)</f>
        <v>8</v>
      </c>
    </row>
    <row r="118" spans="1:7" ht="12.75">
      <c r="A118" t="str">
        <f ca="1">IFERROR(__xludf.DUMMYFUNCTION("""COMPUTED_VALUE"""),"T116")</f>
        <v>T116</v>
      </c>
      <c r="B118" t="str">
        <f ca="1">IFERROR(__xludf.DUMMYFUNCTION("""COMPUTED_VALUE"""),"T120")</f>
        <v>T120</v>
      </c>
      <c r="C118" t="str">
        <f ca="1">IFERROR(__xludf.DUMMYFUNCTION("""COMPUTED_VALUE"""),"Wesley Bryan")</f>
        <v>Wesley Bryan</v>
      </c>
      <c r="D118">
        <f ca="1">IFERROR(__xludf.DUMMYFUNCTION("""COMPUTED_VALUE"""),8)</f>
        <v>8</v>
      </c>
      <c r="E118">
        <f ca="1">IFERROR(__xludf.DUMMYFUNCTION("""COMPUTED_VALUE"""),70.38)</f>
        <v>70.38</v>
      </c>
      <c r="F118">
        <f ca="1">IFERROR(__xludf.DUMMYFUNCTION("""COMPUTED_VALUE"""),563)</f>
        <v>563</v>
      </c>
      <c r="G118">
        <f ca="1">IFERROR(__xludf.DUMMYFUNCTION("""COMPUTED_VALUE"""),8)</f>
        <v>8</v>
      </c>
    </row>
    <row r="119" spans="1:7" ht="12.75">
      <c r="A119" t="str">
        <f ca="1">IFERROR(__xludf.DUMMYFUNCTION("""COMPUTED_VALUE"""),"T118")</f>
        <v>T118</v>
      </c>
      <c r="B119" t="str">
        <f ca="1">IFERROR(__xludf.DUMMYFUNCTION("""COMPUTED_VALUE"""),"T123")</f>
        <v>T123</v>
      </c>
      <c r="C119" t="str">
        <f ca="1">IFERROR(__xludf.DUMMYFUNCTION("""COMPUTED_VALUE"""),"Ricky Barnes")</f>
        <v>Ricky Barnes</v>
      </c>
      <c r="D119">
        <f ca="1">IFERROR(__xludf.DUMMYFUNCTION("""COMPUTED_VALUE"""),12)</f>
        <v>12</v>
      </c>
      <c r="E119">
        <f ca="1">IFERROR(__xludf.DUMMYFUNCTION("""COMPUTED_VALUE"""),70.42)</f>
        <v>70.42</v>
      </c>
      <c r="F119">
        <f ca="1">IFERROR(__xludf.DUMMYFUNCTION("""COMPUTED_VALUE"""),845)</f>
        <v>845</v>
      </c>
      <c r="G119">
        <f ca="1">IFERROR(__xludf.DUMMYFUNCTION("""COMPUTED_VALUE"""),12)</f>
        <v>12</v>
      </c>
    </row>
    <row r="120" spans="1:7" ht="12.75">
      <c r="A120" t="str">
        <f ca="1">IFERROR(__xludf.DUMMYFUNCTION("""COMPUTED_VALUE"""),"T118")</f>
        <v>T118</v>
      </c>
      <c r="B120" t="str">
        <f ca="1">IFERROR(__xludf.DUMMYFUNCTION("""COMPUTED_VALUE"""),"T123")</f>
        <v>T123</v>
      </c>
      <c r="C120" t="str">
        <f ca="1">IFERROR(__xludf.DUMMYFUNCTION("""COMPUTED_VALUE"""),"Cameron Champ")</f>
        <v>Cameron Champ</v>
      </c>
      <c r="D120">
        <f ca="1">IFERROR(__xludf.DUMMYFUNCTION("""COMPUTED_VALUE"""),12)</f>
        <v>12</v>
      </c>
      <c r="E120">
        <f ca="1">IFERROR(__xludf.DUMMYFUNCTION("""COMPUTED_VALUE"""),70.42)</f>
        <v>70.42</v>
      </c>
      <c r="F120">
        <f ca="1">IFERROR(__xludf.DUMMYFUNCTION("""COMPUTED_VALUE"""),845)</f>
        <v>845</v>
      </c>
      <c r="G120">
        <f ca="1">IFERROR(__xludf.DUMMYFUNCTION("""COMPUTED_VALUE"""),12)</f>
        <v>12</v>
      </c>
    </row>
    <row r="121" spans="1:7" ht="12.75">
      <c r="A121">
        <f ca="1">IFERROR(__xludf.DUMMYFUNCTION("""COMPUTED_VALUE"""),120)</f>
        <v>120</v>
      </c>
      <c r="B121" t="str">
        <f ca="1">IFERROR(__xludf.DUMMYFUNCTION("""COMPUTED_VALUE"""),"T98")</f>
        <v>T98</v>
      </c>
      <c r="C121" t="str">
        <f ca="1">IFERROR(__xludf.DUMMYFUNCTION("""COMPUTED_VALUE"""),"Dylan Frittelli")</f>
        <v>Dylan Frittelli</v>
      </c>
      <c r="D121">
        <f ca="1">IFERROR(__xludf.DUMMYFUNCTION("""COMPUTED_VALUE"""),16)</f>
        <v>16</v>
      </c>
      <c r="E121">
        <f ca="1">IFERROR(__xludf.DUMMYFUNCTION("""COMPUTED_VALUE"""),70.44)</f>
        <v>70.44</v>
      </c>
      <c r="F121" s="1">
        <f ca="1">IFERROR(__xludf.DUMMYFUNCTION("""COMPUTED_VALUE"""),1127)</f>
        <v>1127</v>
      </c>
      <c r="G121">
        <f ca="1">IFERROR(__xludf.DUMMYFUNCTION("""COMPUTED_VALUE"""),16)</f>
        <v>16</v>
      </c>
    </row>
    <row r="122" spans="1:7" ht="12.75">
      <c r="A122">
        <f ca="1">IFERROR(__xludf.DUMMYFUNCTION("""COMPUTED_VALUE"""),121)</f>
        <v>121</v>
      </c>
      <c r="B122">
        <f ca="1">IFERROR(__xludf.DUMMYFUNCTION("""COMPUTED_VALUE"""),136)</f>
        <v>136</v>
      </c>
      <c r="C122" t="str">
        <f ca="1">IFERROR(__xludf.DUMMYFUNCTION("""COMPUTED_VALUE"""),"Charley Hoffman")</f>
        <v>Charley Hoffman</v>
      </c>
      <c r="D122">
        <f ca="1">IFERROR(__xludf.DUMMYFUNCTION("""COMPUTED_VALUE"""),20)</f>
        <v>20</v>
      </c>
      <c r="E122">
        <f ca="1">IFERROR(__xludf.DUMMYFUNCTION("""COMPUTED_VALUE"""),70.45)</f>
        <v>70.45</v>
      </c>
      <c r="F122" s="1">
        <f ca="1">IFERROR(__xludf.DUMMYFUNCTION("""COMPUTED_VALUE"""),1409)</f>
        <v>1409</v>
      </c>
      <c r="G122">
        <f ca="1">IFERROR(__xludf.DUMMYFUNCTION("""COMPUTED_VALUE"""),20)</f>
        <v>20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IFERROR(__xludf.DUMMYFUNCTION("""COMPUTED_VALUE"""),"T126")</f>
        <v>T126</v>
      </c>
      <c r="C123" t="str">
        <f ca="1">IFERROR(__xludf.DUMMYFUNCTION("""COMPUTED_VALUE"""),"Shaun Norris")</f>
        <v>Shaun Norris</v>
      </c>
      <c r="D123">
        <f ca="1">IFERROR(__xludf.DUMMYFUNCTION("""COMPUTED_VALUE"""),6)</f>
        <v>6</v>
      </c>
      <c r="E123">
        <f ca="1">IFERROR(__xludf.DUMMYFUNCTION("""COMPUTED_VALUE"""),70.5)</f>
        <v>70.5</v>
      </c>
      <c r="F123">
        <f ca="1">IFERROR(__xludf.DUMMYFUNCTION("""COMPUTED_VALUE"""),423)</f>
        <v>423</v>
      </c>
      <c r="G123">
        <f ca="1">IFERROR(__xludf.DUMMYFUNCTION("""COMPUTED_VALUE"""),6)</f>
        <v>6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IFERROR(__xludf.DUMMYFUNCTION("""COMPUTED_VALUE"""),"T102")</f>
        <v>T102</v>
      </c>
      <c r="C124" t="str">
        <f ca="1">IFERROR(__xludf.DUMMYFUNCTION("""COMPUTED_VALUE"""),"Luke List")</f>
        <v>Luke List</v>
      </c>
      <c r="D124">
        <f ca="1">IFERROR(__xludf.DUMMYFUNCTION("""COMPUTED_VALUE"""),18)</f>
        <v>18</v>
      </c>
      <c r="E124">
        <f ca="1">IFERROR(__xludf.DUMMYFUNCTION("""COMPUTED_VALUE"""),70.5)</f>
        <v>70.5</v>
      </c>
      <c r="F124" s="1">
        <f ca="1">IFERROR(__xludf.DUMMYFUNCTION("""COMPUTED_VALUE"""),1269)</f>
        <v>1269</v>
      </c>
      <c r="G124">
        <f ca="1">IFERROR(__xludf.DUMMYFUNCTION("""COMPUTED_VALUE"""),18)</f>
        <v>18</v>
      </c>
    </row>
    <row r="125" spans="1:7" ht="12.75">
      <c r="A125" t="str">
        <f ca="1">IFERROR(__xludf.DUMMYFUNCTION("""COMPUTED_VALUE"""),"T122")</f>
        <v>T122</v>
      </c>
      <c r="B125" t="str">
        <f ca="1">IFERROR(__xludf.DUMMYFUNCTION("""COMPUTED_VALUE"""),"T110")</f>
        <v>T110</v>
      </c>
      <c r="C125" t="str">
        <f ca="1">IFERROR(__xludf.DUMMYFUNCTION("""COMPUTED_VALUE"""),"Henrik Norlander")</f>
        <v>Henrik Norlander</v>
      </c>
      <c r="D125">
        <f ca="1">IFERROR(__xludf.DUMMYFUNCTION("""COMPUTED_VALUE"""),16)</f>
        <v>16</v>
      </c>
      <c r="E125">
        <f ca="1">IFERROR(__xludf.DUMMYFUNCTION("""COMPUTED_VALUE"""),70.5)</f>
        <v>70.5</v>
      </c>
      <c r="F125" s="1">
        <f ca="1">IFERROR(__xludf.DUMMYFUNCTION("""COMPUTED_VALUE"""),1128)</f>
        <v>1128</v>
      </c>
      <c r="G125">
        <f ca="1">IFERROR(__xludf.DUMMYFUNCTION("""COMPUTED_VALUE"""),16)</f>
        <v>16</v>
      </c>
    </row>
    <row r="126" spans="1:7" ht="12.75">
      <c r="A126" t="str">
        <f ca="1">IFERROR(__xludf.DUMMYFUNCTION("""COMPUTED_VALUE"""),"T122")</f>
        <v>T122</v>
      </c>
      <c r="B126" t="str">
        <f ca="1">IFERROR(__xludf.DUMMYFUNCTION("""COMPUTED_VALUE"""),"T102")</f>
        <v>T102</v>
      </c>
      <c r="C126" t="str">
        <f ca="1">IFERROR(__xludf.DUMMYFUNCTION("""COMPUTED_VALUE"""),"Kevin Chappell")</f>
        <v>Kevin Chappell</v>
      </c>
      <c r="D126">
        <f ca="1">IFERROR(__xludf.DUMMYFUNCTION("""COMPUTED_VALUE"""),16)</f>
        <v>16</v>
      </c>
      <c r="E126">
        <f ca="1">IFERROR(__xludf.DUMMYFUNCTION("""COMPUTED_VALUE"""),70.5)</f>
        <v>70.5</v>
      </c>
      <c r="F126" s="1">
        <f ca="1">IFERROR(__xludf.DUMMYFUNCTION("""COMPUTED_VALUE"""),1128)</f>
        <v>1128</v>
      </c>
      <c r="G126">
        <f ca="1">IFERROR(__xludf.DUMMYFUNCTION("""COMPUTED_VALUE"""),16)</f>
        <v>16</v>
      </c>
    </row>
    <row r="127" spans="1:7" ht="12.75">
      <c r="A127" t="str">
        <f ca="1">IFERROR(__xludf.DUMMYFUNCTION("""COMPUTED_VALUE"""),"T122")</f>
        <v>T122</v>
      </c>
      <c r="B127" t="str">
        <f ca="1">IFERROR(__xludf.DUMMYFUNCTION("""COMPUTED_VALUE"""),"T98")</f>
        <v>T98</v>
      </c>
      <c r="C127" t="str">
        <f ca="1">IFERROR(__xludf.DUMMYFUNCTION("""COMPUTED_VALUE"""),"Keegan Bradley")</f>
        <v>Keegan Bradley</v>
      </c>
      <c r="D127">
        <f ca="1">IFERROR(__xludf.DUMMYFUNCTION("""COMPUTED_VALUE"""),16)</f>
        <v>16</v>
      </c>
      <c r="E127">
        <f ca="1">IFERROR(__xludf.DUMMYFUNCTION("""COMPUTED_VALUE"""),70.5)</f>
        <v>70.5</v>
      </c>
      <c r="F127" s="1">
        <f ca="1">IFERROR(__xludf.DUMMYFUNCTION("""COMPUTED_VALUE"""),1128)</f>
        <v>1128</v>
      </c>
      <c r="G127">
        <f ca="1">IFERROR(__xludf.DUMMYFUNCTION("""COMPUTED_VALUE"""),16)</f>
        <v>16</v>
      </c>
    </row>
    <row r="128" spans="1:7" ht="12.75">
      <c r="A128" t="str">
        <f ca="1">IFERROR(__xludf.DUMMYFUNCTION("""COMPUTED_VALUE"""),"T122")</f>
        <v>T122</v>
      </c>
      <c r="B128" t="str">
        <f ca="1">IFERROR(__xludf.DUMMYFUNCTION("""COMPUTED_VALUE"""),"T80")</f>
        <v>T80</v>
      </c>
      <c r="C128" t="str">
        <f ca="1">IFERROR(__xludf.DUMMYFUNCTION("""COMPUTED_VALUE"""),"Andrew Landry")</f>
        <v>Andrew Landry</v>
      </c>
      <c r="D128">
        <f ca="1">IFERROR(__xludf.DUMMYFUNCTION("""COMPUTED_VALUE"""),14)</f>
        <v>14</v>
      </c>
      <c r="E128">
        <f ca="1">IFERROR(__xludf.DUMMYFUNCTION("""COMPUTED_VALUE"""),70.5)</f>
        <v>70.5</v>
      </c>
      <c r="F128">
        <f ca="1">IFERROR(__xludf.DUMMYFUNCTION("""COMPUTED_VALUE"""),987)</f>
        <v>987</v>
      </c>
      <c r="G128">
        <f ca="1">IFERROR(__xludf.DUMMYFUNCTION("""COMPUTED_VALUE"""),14)</f>
        <v>14</v>
      </c>
    </row>
    <row r="129" spans="1:7" ht="12.75">
      <c r="A129" t="str">
        <f ca="1">IFERROR(__xludf.DUMMYFUNCTION("""COMPUTED_VALUE"""),"T122")</f>
        <v>T122</v>
      </c>
      <c r="B129" t="str">
        <f ca="1">IFERROR(__xludf.DUMMYFUNCTION("""COMPUTED_VALUE"""),"T126")</f>
        <v>T126</v>
      </c>
      <c r="C129" t="str">
        <f ca="1">IFERROR(__xludf.DUMMYFUNCTION("""COMPUTED_VALUE"""),"Chase Seiffert")</f>
        <v>Chase Seiffert</v>
      </c>
      <c r="D129">
        <f ca="1">IFERROR(__xludf.DUMMYFUNCTION("""COMPUTED_VALUE"""),14)</f>
        <v>14</v>
      </c>
      <c r="E129">
        <f ca="1">IFERROR(__xludf.DUMMYFUNCTION("""COMPUTED_VALUE"""),70.5)</f>
        <v>70.5</v>
      </c>
      <c r="F129">
        <f ca="1">IFERROR(__xludf.DUMMYFUNCTION("""COMPUTED_VALUE"""),987)</f>
        <v>987</v>
      </c>
      <c r="G129">
        <f ca="1">IFERROR(__xludf.DUMMYFUNCTION("""COMPUTED_VALUE"""),14)</f>
        <v>14</v>
      </c>
    </row>
    <row r="130" spans="1:7" ht="12.75">
      <c r="A130" t="str">
        <f ca="1">IFERROR(__xludf.DUMMYFUNCTION("""COMPUTED_VALUE"""),"T122")</f>
        <v>T122</v>
      </c>
      <c r="B130" t="str">
        <f ca="1">IFERROR(__xludf.DUMMYFUNCTION("""COMPUTED_VALUE"""),"T102")</f>
        <v>T102</v>
      </c>
      <c r="C130" t="str">
        <f ca="1">IFERROR(__xludf.DUMMYFUNCTION("""COMPUTED_VALUE"""),"Isaiah Salinda")</f>
        <v>Isaiah Salinda</v>
      </c>
      <c r="D130">
        <f ca="1">IFERROR(__xludf.DUMMYFUNCTION("""COMPUTED_VALUE"""),8)</f>
        <v>8</v>
      </c>
      <c r="E130">
        <f ca="1">IFERROR(__xludf.DUMMYFUNCTION("""COMPUTED_VALUE"""),70.5)</f>
        <v>70.5</v>
      </c>
      <c r="F130">
        <f ca="1">IFERROR(__xludf.DUMMYFUNCTION("""COMPUTED_VALUE"""),564)</f>
        <v>564</v>
      </c>
      <c r="G130">
        <f ca="1">IFERROR(__xludf.DUMMYFUNCTION("""COMPUTED_VALUE"""),8)</f>
        <v>8</v>
      </c>
    </row>
    <row r="131" spans="1:7" ht="12.75">
      <c r="A131">
        <f ca="1">IFERROR(__xludf.DUMMYFUNCTION("""COMPUTED_VALUE"""),130)</f>
        <v>130</v>
      </c>
      <c r="B131" t="str">
        <f ca="1">IFERROR(__xludf.DUMMYFUNCTION("""COMPUTED_VALUE"""),"T116")</f>
        <v>T116</v>
      </c>
      <c r="C131" t="str">
        <f ca="1">IFERROR(__xludf.DUMMYFUNCTION("""COMPUTED_VALUE"""),"Robby Shelton")</f>
        <v>Robby Shelton</v>
      </c>
      <c r="D131">
        <f ca="1">IFERROR(__xludf.DUMMYFUNCTION("""COMPUTED_VALUE"""),14)</f>
        <v>14</v>
      </c>
      <c r="E131">
        <f ca="1">IFERROR(__xludf.DUMMYFUNCTION("""COMPUTED_VALUE"""),70.57)</f>
        <v>70.569999999999993</v>
      </c>
      <c r="F131">
        <f ca="1">IFERROR(__xludf.DUMMYFUNCTION("""COMPUTED_VALUE"""),988)</f>
        <v>988</v>
      </c>
      <c r="G131">
        <f ca="1">IFERROR(__xludf.DUMMYFUNCTION("""COMPUTED_VALUE"""),14)</f>
        <v>14</v>
      </c>
    </row>
    <row r="132" spans="1:7" ht="12.75">
      <c r="A132">
        <f ca="1">IFERROR(__xludf.DUMMYFUNCTION("""COMPUTED_VALUE"""),131)</f>
        <v>131</v>
      </c>
      <c r="B132" t="str">
        <f ca="1">IFERROR(__xludf.DUMMYFUNCTION("""COMPUTED_VALUE"""),"T131")</f>
        <v>T131</v>
      </c>
      <c r="C132" t="str">
        <f ca="1">IFERROR(__xludf.DUMMYFUNCTION("""COMPUTED_VALUE"""),"Charles Howell III")</f>
        <v>Charles Howell III</v>
      </c>
      <c r="D132">
        <f ca="1">IFERROR(__xludf.DUMMYFUNCTION("""COMPUTED_VALUE"""),10)</f>
        <v>10</v>
      </c>
      <c r="E132">
        <f ca="1">IFERROR(__xludf.DUMMYFUNCTION("""COMPUTED_VALUE"""),70.6)</f>
        <v>70.599999999999994</v>
      </c>
      <c r="F132">
        <f ca="1">IFERROR(__xludf.DUMMYFUNCTION("""COMPUTED_VALUE"""),706)</f>
        <v>706</v>
      </c>
      <c r="G132">
        <f ca="1">IFERROR(__xludf.DUMMYFUNCTION("""COMPUTED_VALUE"""),10)</f>
        <v>10</v>
      </c>
    </row>
    <row r="133" spans="1:7" ht="12.75">
      <c r="A133">
        <f ca="1">IFERROR(__xludf.DUMMYFUNCTION("""COMPUTED_VALUE"""),132)</f>
        <v>132</v>
      </c>
      <c r="B133">
        <f ca="1">IFERROR(__xludf.DUMMYFUNCTION("""COMPUTED_VALUE"""),134)</f>
        <v>134</v>
      </c>
      <c r="C133" t="str">
        <f ca="1">IFERROR(__xludf.DUMMYFUNCTION("""COMPUTED_VALUE"""),"Matt Kuchar")</f>
        <v>Matt Kuchar</v>
      </c>
      <c r="D133">
        <f ca="1">IFERROR(__xludf.DUMMYFUNCTION("""COMPUTED_VALUE"""),14)</f>
        <v>14</v>
      </c>
      <c r="E133">
        <f ca="1">IFERROR(__xludf.DUMMYFUNCTION("""COMPUTED_VALUE"""),70.64)</f>
        <v>70.64</v>
      </c>
      <c r="F133">
        <f ca="1">IFERROR(__xludf.DUMMYFUNCTION("""COMPUTED_VALUE"""),989)</f>
        <v>989</v>
      </c>
      <c r="G133">
        <f ca="1">IFERROR(__xludf.DUMMYFUNCTION("""COMPUTED_VALUE"""),14)</f>
        <v>14</v>
      </c>
    </row>
    <row r="134" spans="1:7" ht="12.75">
      <c r="A134">
        <f ca="1">IFERROR(__xludf.DUMMYFUNCTION("""COMPUTED_VALUE"""),133)</f>
        <v>133</v>
      </c>
      <c r="B134">
        <f ca="1">IFERROR(__xludf.DUMMYFUNCTION("""COMPUTED_VALUE"""),135)</f>
        <v>135</v>
      </c>
      <c r="C134" t="str">
        <f ca="1">IFERROR(__xludf.DUMMYFUNCTION("""COMPUTED_VALUE"""),"Takumi Kanaya")</f>
        <v>Takumi Kanaya</v>
      </c>
      <c r="D134">
        <f ca="1">IFERROR(__xludf.DUMMYFUNCTION("""COMPUTED_VALUE"""),6)</f>
        <v>6</v>
      </c>
      <c r="E134">
        <f ca="1">IFERROR(__xludf.DUMMYFUNCTION("""COMPUTED_VALUE"""),70.67)</f>
        <v>70.67</v>
      </c>
      <c r="F134">
        <f ca="1">IFERROR(__xludf.DUMMYFUNCTION("""COMPUTED_VALUE"""),424)</f>
        <v>424</v>
      </c>
      <c r="G134">
        <f ca="1">IFERROR(__xludf.DUMMYFUNCTION("""COMPUTED_VALUE"""),6)</f>
        <v>6</v>
      </c>
    </row>
    <row r="135" spans="1:7" ht="12.75">
      <c r="A135" t="str">
        <f ca="1">IFERROR(__xludf.DUMMYFUNCTION("""COMPUTED_VALUE"""),"T134")</f>
        <v>T134</v>
      </c>
      <c r="B135" t="str">
        <f ca="1">IFERROR(__xludf.DUMMYFUNCTION("""COMPUTED_VALUE"""),"T110")</f>
        <v>T110</v>
      </c>
      <c r="C135" t="str">
        <f ca="1">IFERROR(__xludf.DUMMYFUNCTION("""COMPUTED_VALUE"""),"Ryan Armour")</f>
        <v>Ryan Armour</v>
      </c>
      <c r="D135">
        <f ca="1">IFERROR(__xludf.DUMMYFUNCTION("""COMPUTED_VALUE"""),16)</f>
        <v>16</v>
      </c>
      <c r="E135">
        <f ca="1">IFERROR(__xludf.DUMMYFUNCTION("""COMPUTED_VALUE"""),70.69)</f>
        <v>70.69</v>
      </c>
      <c r="F135" s="1">
        <f ca="1">IFERROR(__xludf.DUMMYFUNCTION("""COMPUTED_VALUE"""),1131)</f>
        <v>1131</v>
      </c>
      <c r="G135">
        <f ca="1">IFERROR(__xludf.DUMMYFUNCTION("""COMPUTED_VALUE"""),16)</f>
        <v>16</v>
      </c>
    </row>
    <row r="136" spans="1:7" ht="12.75">
      <c r="A136" t="str">
        <f ca="1">IFERROR(__xludf.DUMMYFUNCTION("""COMPUTED_VALUE"""),"T134")</f>
        <v>T134</v>
      </c>
      <c r="B136" t="str">
        <f ca="1">IFERROR(__xludf.DUMMYFUNCTION("""COMPUTED_VALUE"""),"T118")</f>
        <v>T118</v>
      </c>
      <c r="C136" t="str">
        <f ca="1">IFERROR(__xludf.DUMMYFUNCTION("""COMPUTED_VALUE"""),"Kevin Tway")</f>
        <v>Kevin Tway</v>
      </c>
      <c r="D136">
        <f ca="1">IFERROR(__xludf.DUMMYFUNCTION("""COMPUTED_VALUE"""),16)</f>
        <v>16</v>
      </c>
      <c r="E136">
        <f ca="1">IFERROR(__xludf.DUMMYFUNCTION("""COMPUTED_VALUE"""),70.69)</f>
        <v>70.69</v>
      </c>
      <c r="F136" s="1">
        <f ca="1">IFERROR(__xludf.DUMMYFUNCTION("""COMPUTED_VALUE"""),1131)</f>
        <v>1131</v>
      </c>
      <c r="G136">
        <f ca="1">IFERROR(__xludf.DUMMYFUNCTION("""COMPUTED_VALUE"""),16)</f>
        <v>16</v>
      </c>
    </row>
    <row r="137" spans="1:7" ht="12.75">
      <c r="A137" t="str">
        <f ca="1">IFERROR(__xludf.DUMMYFUNCTION("""COMPUTED_VALUE"""),"T134")</f>
        <v>T134</v>
      </c>
      <c r="B137">
        <f ca="1">IFERROR(__xludf.DUMMYFUNCTION("""COMPUTED_VALUE"""),130)</f>
        <v>130</v>
      </c>
      <c r="C137" t="str">
        <f ca="1">IFERROR(__xludf.DUMMYFUNCTION("""COMPUTED_VALUE"""),"Kramer Hickok")</f>
        <v>Kramer Hickok</v>
      </c>
      <c r="D137">
        <f ca="1">IFERROR(__xludf.DUMMYFUNCTION("""COMPUTED_VALUE"""),16)</f>
        <v>16</v>
      </c>
      <c r="E137">
        <f ca="1">IFERROR(__xludf.DUMMYFUNCTION("""COMPUTED_VALUE"""),70.69)</f>
        <v>70.69</v>
      </c>
      <c r="F137" s="1">
        <f ca="1">IFERROR(__xludf.DUMMYFUNCTION("""COMPUTED_VALUE"""),1131)</f>
        <v>1131</v>
      </c>
      <c r="G137">
        <f ca="1">IFERROR(__xludf.DUMMYFUNCTION("""COMPUTED_VALUE"""),16)</f>
        <v>16</v>
      </c>
    </row>
    <row r="138" spans="1:7" ht="12.75">
      <c r="A138" t="str">
        <f ca="1">IFERROR(__xludf.DUMMYFUNCTION("""COMPUTED_VALUE"""),"T137")</f>
        <v>T137</v>
      </c>
      <c r="B138">
        <f ca="1">IFERROR(__xludf.DUMMYFUNCTION("""COMPUTED_VALUE"""),137)</f>
        <v>137</v>
      </c>
      <c r="C138" t="str">
        <f ca="1">IFERROR(__xludf.DUMMYFUNCTION("""COMPUTED_VALUE"""),"Nick Watney")</f>
        <v>Nick Watney</v>
      </c>
      <c r="D138">
        <f ca="1">IFERROR(__xludf.DUMMYFUNCTION("""COMPUTED_VALUE"""),10)</f>
        <v>10</v>
      </c>
      <c r="E138">
        <f ca="1">IFERROR(__xludf.DUMMYFUNCTION("""COMPUTED_VALUE"""),70.7)</f>
        <v>70.7</v>
      </c>
      <c r="F138">
        <f ca="1">IFERROR(__xludf.DUMMYFUNCTION("""COMPUTED_VALUE"""),707)</f>
        <v>707</v>
      </c>
      <c r="G138">
        <f ca="1">IFERROR(__xludf.DUMMYFUNCTION("""COMPUTED_VALUE"""),10)</f>
        <v>10</v>
      </c>
    </row>
    <row r="139" spans="1:7" ht="12.75">
      <c r="A139" t="str">
        <f ca="1">IFERROR(__xludf.DUMMYFUNCTION("""COMPUTED_VALUE"""),"T137")</f>
        <v>T137</v>
      </c>
      <c r="B139" t="str">
        <f ca="1">IFERROR(__xludf.DUMMYFUNCTION("""COMPUTED_VALUE"""),"T214")</f>
        <v>T214</v>
      </c>
      <c r="C139" t="str">
        <f ca="1">IFERROR(__xludf.DUMMYFUNCTION("""COMPUTED_VALUE"""),"Erik van Rooyen")</f>
        <v>Erik van Rooyen</v>
      </c>
      <c r="D139">
        <f ca="1">IFERROR(__xludf.DUMMYFUNCTION("""COMPUTED_VALUE"""),10)</f>
        <v>10</v>
      </c>
      <c r="E139">
        <f ca="1">IFERROR(__xludf.DUMMYFUNCTION("""COMPUTED_VALUE"""),70.7)</f>
        <v>70.7</v>
      </c>
      <c r="F139">
        <f ca="1">IFERROR(__xludf.DUMMYFUNCTION("""COMPUTED_VALUE"""),707)</f>
        <v>707</v>
      </c>
      <c r="G139">
        <f ca="1">IFERROR(__xludf.DUMMYFUNCTION("""COMPUTED_VALUE"""),10)</f>
        <v>10</v>
      </c>
    </row>
    <row r="140" spans="1:7" ht="12.75">
      <c r="A140">
        <f ca="1">IFERROR(__xludf.DUMMYFUNCTION("""COMPUTED_VALUE"""),139)</f>
        <v>139</v>
      </c>
      <c r="B140">
        <f ca="1">IFERROR(__xludf.DUMMYFUNCTION("""COMPUTED_VALUE"""),138)</f>
        <v>138</v>
      </c>
      <c r="C140" t="str">
        <f ca="1">IFERROR(__xludf.DUMMYFUNCTION("""COMPUTED_VALUE"""),"Vincent Whaley")</f>
        <v>Vincent Whaley</v>
      </c>
      <c r="D140">
        <f ca="1">IFERROR(__xludf.DUMMYFUNCTION("""COMPUTED_VALUE"""),14)</f>
        <v>14</v>
      </c>
      <c r="E140">
        <f ca="1">IFERROR(__xludf.DUMMYFUNCTION("""COMPUTED_VALUE"""),70.71)</f>
        <v>70.709999999999994</v>
      </c>
      <c r="F140">
        <f ca="1">IFERROR(__xludf.DUMMYFUNCTION("""COMPUTED_VALUE"""),990)</f>
        <v>990</v>
      </c>
      <c r="G140">
        <f ca="1">IFERROR(__xludf.DUMMYFUNCTION("""COMPUTED_VALUE"""),14)</f>
        <v>14</v>
      </c>
    </row>
    <row r="141" spans="1:7" ht="12.75">
      <c r="A141">
        <f ca="1">IFERROR(__xludf.DUMMYFUNCTION("""COMPUTED_VALUE"""),140)</f>
        <v>140</v>
      </c>
      <c r="B141" t="str">
        <f ca="1">IFERROR(__xludf.DUMMYFUNCTION("""COMPUTED_VALUE"""),"T110")</f>
        <v>T110</v>
      </c>
      <c r="C141" t="str">
        <f ca="1">IFERROR(__xludf.DUMMYFUNCTION("""COMPUTED_VALUE"""),"Scott Harrington")</f>
        <v>Scott Harrington</v>
      </c>
      <c r="D141">
        <f ca="1">IFERROR(__xludf.DUMMYFUNCTION("""COMPUTED_VALUE"""),18)</f>
        <v>18</v>
      </c>
      <c r="E141">
        <f ca="1">IFERROR(__xludf.DUMMYFUNCTION("""COMPUTED_VALUE"""),70.72)</f>
        <v>70.72</v>
      </c>
      <c r="F141" s="1">
        <f ca="1">IFERROR(__xludf.DUMMYFUNCTION("""COMPUTED_VALUE"""),1273)</f>
        <v>1273</v>
      </c>
      <c r="G141">
        <f ca="1">IFERROR(__xludf.DUMMYFUNCTION("""COMPUTED_VALUE"""),18)</f>
        <v>18</v>
      </c>
    </row>
    <row r="142" spans="1:7" ht="12.75">
      <c r="A142" t="str">
        <f ca="1">IFERROR(__xludf.DUMMYFUNCTION("""COMPUTED_VALUE"""),"T141")</f>
        <v>T141</v>
      </c>
      <c r="B142" t="str">
        <f ca="1">IFERROR(__xludf.DUMMYFUNCTION("""COMPUTED_VALUE"""),"T163")</f>
        <v>T163</v>
      </c>
      <c r="C142" t="str">
        <f ca="1">IFERROR(__xludf.DUMMYFUNCTION("""COMPUTED_VALUE"""),"Satoshi Kodaira")</f>
        <v>Satoshi Kodaira</v>
      </c>
      <c r="D142">
        <f ca="1">IFERROR(__xludf.DUMMYFUNCTION("""COMPUTED_VALUE"""),12)</f>
        <v>12</v>
      </c>
      <c r="E142">
        <f ca="1">IFERROR(__xludf.DUMMYFUNCTION("""COMPUTED_VALUE"""),70.75)</f>
        <v>70.75</v>
      </c>
      <c r="F142">
        <f ca="1">IFERROR(__xludf.DUMMYFUNCTION("""COMPUTED_VALUE"""),849)</f>
        <v>849</v>
      </c>
      <c r="G142">
        <f ca="1">IFERROR(__xludf.DUMMYFUNCTION("""COMPUTED_VALUE"""),12)</f>
        <v>12</v>
      </c>
    </row>
    <row r="143" spans="1:7" ht="12.75">
      <c r="A143" t="str">
        <f ca="1">IFERROR(__xludf.DUMMYFUNCTION("""COMPUTED_VALUE"""),"T141")</f>
        <v>T141</v>
      </c>
      <c r="B143" t="str">
        <f ca="1">IFERROR(__xludf.DUMMYFUNCTION("""COMPUTED_VALUE"""),"T139")</f>
        <v>T139</v>
      </c>
      <c r="C143" t="str">
        <f ca="1">IFERROR(__xludf.DUMMYFUNCTION("""COMPUTED_VALUE"""),"Daniel Berger")</f>
        <v>Daniel Berger</v>
      </c>
      <c r="D143">
        <f ca="1">IFERROR(__xludf.DUMMYFUNCTION("""COMPUTED_VALUE"""),12)</f>
        <v>12</v>
      </c>
      <c r="E143">
        <f ca="1">IFERROR(__xludf.DUMMYFUNCTION("""COMPUTED_VALUE"""),70.75)</f>
        <v>70.75</v>
      </c>
      <c r="F143">
        <f ca="1">IFERROR(__xludf.DUMMYFUNCTION("""COMPUTED_VALUE"""),849)</f>
        <v>849</v>
      </c>
      <c r="G143">
        <f ca="1">IFERROR(__xludf.DUMMYFUNCTION("""COMPUTED_VALUE"""),12)</f>
        <v>12</v>
      </c>
    </row>
    <row r="144" spans="1:7" ht="12.75">
      <c r="A144" t="str">
        <f ca="1">IFERROR(__xludf.DUMMYFUNCTION("""COMPUTED_VALUE"""),"T141")</f>
        <v>T141</v>
      </c>
      <c r="B144" t="str">
        <f ca="1">IFERROR(__xludf.DUMMYFUNCTION("""COMPUTED_VALUE"""),"T139")</f>
        <v>T139</v>
      </c>
      <c r="C144" t="str">
        <f ca="1">IFERROR(__xludf.DUMMYFUNCTION("""COMPUTED_VALUE"""),"Michael Miller")</f>
        <v>Michael Miller</v>
      </c>
      <c r="D144">
        <f ca="1">IFERROR(__xludf.DUMMYFUNCTION("""COMPUTED_VALUE"""),4)</f>
        <v>4</v>
      </c>
      <c r="E144">
        <f ca="1">IFERROR(__xludf.DUMMYFUNCTION("""COMPUTED_VALUE"""),70.75)</f>
        <v>70.75</v>
      </c>
      <c r="F144">
        <f ca="1">IFERROR(__xludf.DUMMYFUNCTION("""COMPUTED_VALUE"""),283)</f>
        <v>283</v>
      </c>
      <c r="G144">
        <f ca="1">IFERROR(__xludf.DUMMYFUNCTION("""COMPUTED_VALUE"""),4)</f>
        <v>4</v>
      </c>
    </row>
    <row r="145" spans="1:7" ht="12.75">
      <c r="A145">
        <f ca="1">IFERROR(__xludf.DUMMYFUNCTION("""COMPUTED_VALUE"""),144)</f>
        <v>144</v>
      </c>
      <c r="B145" t="str">
        <f ca="1">IFERROR(__xludf.DUMMYFUNCTION("""COMPUTED_VALUE"""),"T144")</f>
        <v>T144</v>
      </c>
      <c r="C145" t="str">
        <f ca="1">IFERROR(__xludf.DUMMYFUNCTION("""COMPUTED_VALUE"""),"Brendan Steele")</f>
        <v>Brendan Steele</v>
      </c>
      <c r="D145">
        <f ca="1">IFERROR(__xludf.DUMMYFUNCTION("""COMPUTED_VALUE"""),14)</f>
        <v>14</v>
      </c>
      <c r="E145">
        <f ca="1">IFERROR(__xludf.DUMMYFUNCTION("""COMPUTED_VALUE"""),70.79)</f>
        <v>70.790000000000006</v>
      </c>
      <c r="F145">
        <f ca="1">IFERROR(__xludf.DUMMYFUNCTION("""COMPUTED_VALUE"""),991)</f>
        <v>991</v>
      </c>
      <c r="G145">
        <f ca="1">IFERROR(__xludf.DUMMYFUNCTION("""COMPUTED_VALUE"""),14)</f>
        <v>14</v>
      </c>
    </row>
    <row r="146" spans="1:7" ht="12.75">
      <c r="A146">
        <f ca="1">IFERROR(__xludf.DUMMYFUNCTION("""COMPUTED_VALUE"""),145)</f>
        <v>145</v>
      </c>
      <c r="B146">
        <f ca="1">IFERROR(__xludf.DUMMYFUNCTION("""COMPUTED_VALUE"""),147)</f>
        <v>147</v>
      </c>
      <c r="C146" t="str">
        <f ca="1">IFERROR(__xludf.DUMMYFUNCTION("""COMPUTED_VALUE"""),"Kiradech Aphibarnrat")</f>
        <v>Kiradech Aphibarnrat</v>
      </c>
      <c r="D146">
        <f ca="1">IFERROR(__xludf.DUMMYFUNCTION("""COMPUTED_VALUE"""),12)</f>
        <v>12</v>
      </c>
      <c r="E146">
        <f ca="1">IFERROR(__xludf.DUMMYFUNCTION("""COMPUTED_VALUE"""),70.83)</f>
        <v>70.83</v>
      </c>
      <c r="F146">
        <f ca="1">IFERROR(__xludf.DUMMYFUNCTION("""COMPUTED_VALUE"""),850)</f>
        <v>850</v>
      </c>
      <c r="G146">
        <f ca="1">IFERROR(__xludf.DUMMYFUNCTION("""COMPUTED_VALUE"""),12)</f>
        <v>12</v>
      </c>
    </row>
    <row r="147" spans="1:7" ht="12.75">
      <c r="A147" t="str">
        <f ca="1">IFERROR(__xludf.DUMMYFUNCTION("""COMPUTED_VALUE"""),"T146")</f>
        <v>T146</v>
      </c>
      <c r="B147" t="str">
        <f ca="1">IFERROR(__xludf.DUMMYFUNCTION("""COMPUTED_VALUE"""),"T114")</f>
        <v>T114</v>
      </c>
      <c r="C147" t="str">
        <f ca="1">IFERROR(__xludf.DUMMYFUNCTION("""COMPUTED_VALUE"""),"Sean O'Hair")</f>
        <v>Sean O'Hair</v>
      </c>
      <c r="D147">
        <f ca="1">IFERROR(__xludf.DUMMYFUNCTION("""COMPUTED_VALUE"""),14)</f>
        <v>14</v>
      </c>
      <c r="E147">
        <f ca="1">IFERROR(__xludf.DUMMYFUNCTION("""COMPUTED_VALUE"""),70.86)</f>
        <v>70.86</v>
      </c>
      <c r="F147">
        <f ca="1">IFERROR(__xludf.DUMMYFUNCTION("""COMPUTED_VALUE"""),992)</f>
        <v>992</v>
      </c>
      <c r="G147">
        <f ca="1">IFERROR(__xludf.DUMMYFUNCTION("""COMPUTED_VALUE"""),14)</f>
        <v>14</v>
      </c>
    </row>
    <row r="148" spans="1:7" ht="12.75">
      <c r="A148" t="str">
        <f ca="1">IFERROR(__xludf.DUMMYFUNCTION("""COMPUTED_VALUE"""),"T146")</f>
        <v>T146</v>
      </c>
      <c r="B148" t="str">
        <f ca="1">IFERROR(__xludf.DUMMYFUNCTION("""COMPUTED_VALUE"""),"T102")</f>
        <v>T102</v>
      </c>
      <c r="C148" t="str">
        <f ca="1">IFERROR(__xludf.DUMMYFUNCTION("""COMPUTED_VALUE"""),"Jason Dufner")</f>
        <v>Jason Dufner</v>
      </c>
      <c r="D148">
        <f ca="1">IFERROR(__xludf.DUMMYFUNCTION("""COMPUTED_VALUE"""),14)</f>
        <v>14</v>
      </c>
      <c r="E148">
        <f ca="1">IFERROR(__xludf.DUMMYFUNCTION("""COMPUTED_VALUE"""),70.86)</f>
        <v>70.86</v>
      </c>
      <c r="F148">
        <f ca="1">IFERROR(__xludf.DUMMYFUNCTION("""COMPUTED_VALUE"""),992)</f>
        <v>992</v>
      </c>
      <c r="G148">
        <f ca="1">IFERROR(__xludf.DUMMYFUNCTION("""COMPUTED_VALUE"""),14)</f>
        <v>14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IFERROR(__xludf.DUMMYFUNCTION("""COMPUTED_VALUE"""),"T148")</f>
        <v>T148</v>
      </c>
      <c r="C149" t="str">
        <f ca="1">IFERROR(__xludf.DUMMYFUNCTION("""COMPUTED_VALUE"""),"Ryan Blaum")</f>
        <v>Ryan Blaum</v>
      </c>
      <c r="D149">
        <f ca="1">IFERROR(__xludf.DUMMYFUNCTION("""COMPUTED_VALUE"""),8)</f>
        <v>8</v>
      </c>
      <c r="E149">
        <f ca="1">IFERROR(__xludf.DUMMYFUNCTION("""COMPUTED_VALUE"""),70.88)</f>
        <v>70.88</v>
      </c>
      <c r="F149">
        <f ca="1">IFERROR(__xludf.DUMMYFUNCTION("""COMPUTED_VALUE"""),567)</f>
        <v>567</v>
      </c>
      <c r="G149">
        <f ca="1">IFERROR(__xludf.DUMMYFUNCTION("""COMPUTED_VALUE"""),8)</f>
        <v>8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IFERROR(__xludf.DUMMYFUNCTION("""COMPUTED_VALUE"""),"T171")</f>
        <v>T171</v>
      </c>
      <c r="C150" t="str">
        <f ca="1">IFERROR(__xludf.DUMMYFUNCTION("""COMPUTED_VALUE"""),"Fabián Gómez")</f>
        <v>Fabián Gómez</v>
      </c>
      <c r="D150">
        <f ca="1">IFERROR(__xludf.DUMMYFUNCTION("""COMPUTED_VALUE"""),16)</f>
        <v>16</v>
      </c>
      <c r="E150">
        <f ca="1">IFERROR(__xludf.DUMMYFUNCTION("""COMPUTED_VALUE"""),70.88)</f>
        <v>70.88</v>
      </c>
      <c r="F150" s="1">
        <f ca="1">IFERROR(__xludf.DUMMYFUNCTION("""COMPUTED_VALUE"""),1134)</f>
        <v>1134</v>
      </c>
      <c r="G150">
        <f ca="1">IFERROR(__xludf.DUMMYFUNCTION("""COMPUTED_VALUE"""),16)</f>
        <v>16</v>
      </c>
    </row>
    <row r="151" spans="1:7" ht="12.75">
      <c r="A151" t="str">
        <f ca="1">IFERROR(__xludf.DUMMYFUNCTION("""COMPUTED_VALUE"""),"T148")</f>
        <v>T148</v>
      </c>
      <c r="B151" t="str">
        <f ca="1">IFERROR(__xludf.DUMMYFUNCTION("""COMPUTED_VALUE"""),"T148")</f>
        <v>T148</v>
      </c>
      <c r="C151" t="str">
        <f ca="1">IFERROR(__xludf.DUMMYFUNCTION("""COMPUTED_VALUE"""),"Chesson Hadley")</f>
        <v>Chesson Hadley</v>
      </c>
      <c r="D151">
        <f ca="1">IFERROR(__xludf.DUMMYFUNCTION("""COMPUTED_VALUE"""),16)</f>
        <v>16</v>
      </c>
      <c r="E151">
        <f ca="1">IFERROR(__xludf.DUMMYFUNCTION("""COMPUTED_VALUE"""),70.88)</f>
        <v>70.88</v>
      </c>
      <c r="F151" s="1">
        <f ca="1">IFERROR(__xludf.DUMMYFUNCTION("""COMPUTED_VALUE"""),1134)</f>
        <v>1134</v>
      </c>
      <c r="G151">
        <f ca="1">IFERROR(__xludf.DUMMYFUNCTION("""COMPUTED_VALUE"""),16)</f>
        <v>16</v>
      </c>
    </row>
    <row r="152" spans="1:7" ht="12.75">
      <c r="A152">
        <f ca="1">IFERROR(__xludf.DUMMYFUNCTION("""COMPUTED_VALUE"""),151)</f>
        <v>151</v>
      </c>
      <c r="B152" t="str">
        <f ca="1">IFERROR(__xludf.DUMMYFUNCTION("""COMPUTED_VALUE"""),"T139")</f>
        <v>T139</v>
      </c>
      <c r="C152" t="str">
        <f ca="1">IFERROR(__xludf.DUMMYFUNCTION("""COMPUTED_VALUE"""),"Hudson Swafford")</f>
        <v>Hudson Swafford</v>
      </c>
      <c r="D152">
        <f ca="1">IFERROR(__xludf.DUMMYFUNCTION("""COMPUTED_VALUE"""),18)</f>
        <v>18</v>
      </c>
      <c r="E152">
        <f ca="1">IFERROR(__xludf.DUMMYFUNCTION("""COMPUTED_VALUE"""),70.89)</f>
        <v>70.89</v>
      </c>
      <c r="F152" s="1">
        <f ca="1">IFERROR(__xludf.DUMMYFUNCTION("""COMPUTED_VALUE"""),1276)</f>
        <v>1276</v>
      </c>
      <c r="G152">
        <f ca="1">IFERROR(__xludf.DUMMYFUNCTION("""COMPUTED_VALUE"""),18)</f>
        <v>18</v>
      </c>
    </row>
    <row r="153" spans="1:7" ht="12.75">
      <c r="A153">
        <f ca="1">IFERROR(__xludf.DUMMYFUNCTION("""COMPUTED_VALUE"""),152)</f>
        <v>152</v>
      </c>
      <c r="B153">
        <f ca="1">IFERROR(__xludf.DUMMYFUNCTION("""COMPUTED_VALUE"""),153)</f>
        <v>153</v>
      </c>
      <c r="C153" t="str">
        <f ca="1">IFERROR(__xludf.DUMMYFUNCTION("""COMPUTED_VALUE"""),"Mark Hubbard")</f>
        <v>Mark Hubbard</v>
      </c>
      <c r="D153">
        <f ca="1">IFERROR(__xludf.DUMMYFUNCTION("""COMPUTED_VALUE"""),20)</f>
        <v>20</v>
      </c>
      <c r="E153">
        <f ca="1">IFERROR(__xludf.DUMMYFUNCTION("""COMPUTED_VALUE"""),70.9)</f>
        <v>70.900000000000006</v>
      </c>
      <c r="F153" s="1">
        <f ca="1">IFERROR(__xludf.DUMMYFUNCTION("""COMPUTED_VALUE"""),1418)</f>
        <v>1418</v>
      </c>
      <c r="G153">
        <f ca="1">IFERROR(__xludf.DUMMYFUNCTION("""COMPUTED_VALUE"""),20)</f>
        <v>20</v>
      </c>
    </row>
    <row r="154" spans="1:7" ht="12.75">
      <c r="A154" t="str">
        <f ca="1">IFERROR(__xludf.DUMMYFUNCTION("""COMPUTED_VALUE"""),"T153")</f>
        <v>T153</v>
      </c>
      <c r="B154" t="str">
        <f ca="1">IFERROR(__xludf.DUMMYFUNCTION("""COMPUTED_VALUE"""),"T94")</f>
        <v>T94</v>
      </c>
      <c r="C154" t="str">
        <f ca="1">IFERROR(__xludf.DUMMYFUNCTION("""COMPUTED_VALUE"""),"Camilo Villegas")</f>
        <v>Camilo Villegas</v>
      </c>
      <c r="D154">
        <f ca="1">IFERROR(__xludf.DUMMYFUNCTION("""COMPUTED_VALUE"""),14)</f>
        <v>14</v>
      </c>
      <c r="E154">
        <f ca="1">IFERROR(__xludf.DUMMYFUNCTION("""COMPUTED_VALUE"""),70.93)</f>
        <v>70.930000000000007</v>
      </c>
      <c r="F154">
        <f ca="1">IFERROR(__xludf.DUMMYFUNCTION("""COMPUTED_VALUE"""),993)</f>
        <v>993</v>
      </c>
      <c r="G154">
        <f ca="1">IFERROR(__xludf.DUMMYFUNCTION("""COMPUTED_VALUE"""),14)</f>
        <v>14</v>
      </c>
    </row>
    <row r="155" spans="1:7" ht="12.75">
      <c r="A155" t="str">
        <f ca="1">IFERROR(__xludf.DUMMYFUNCTION("""COMPUTED_VALUE"""),"T153")</f>
        <v>T153</v>
      </c>
      <c r="B155" t="str">
        <f ca="1">IFERROR(__xludf.DUMMYFUNCTION("""COMPUTED_VALUE"""),"T220")</f>
        <v>T220</v>
      </c>
      <c r="C155" t="str">
        <f ca="1">IFERROR(__xludf.DUMMYFUNCTION("""COMPUTED_VALUE"""),"Shane Lowry")</f>
        <v>Shane Lowry</v>
      </c>
      <c r="D155">
        <f ca="1">IFERROR(__xludf.DUMMYFUNCTION("""COMPUTED_VALUE"""),14)</f>
        <v>14</v>
      </c>
      <c r="E155">
        <f ca="1">IFERROR(__xludf.DUMMYFUNCTION("""COMPUTED_VALUE"""),70.93)</f>
        <v>70.930000000000007</v>
      </c>
      <c r="F155">
        <f ca="1">IFERROR(__xludf.DUMMYFUNCTION("""COMPUTED_VALUE"""),993)</f>
        <v>993</v>
      </c>
      <c r="G155">
        <f ca="1">IFERROR(__xludf.DUMMYFUNCTION("""COMPUTED_VALUE"""),14)</f>
        <v>14</v>
      </c>
    </row>
    <row r="156" spans="1:7" ht="12.75">
      <c r="A156" t="str">
        <f ca="1">IFERROR(__xludf.DUMMYFUNCTION("""COMPUTED_VALUE"""),"T153")</f>
        <v>T153</v>
      </c>
      <c r="B156">
        <f ca="1">IFERROR(__xludf.DUMMYFUNCTION("""COMPUTED_VALUE"""),152)</f>
        <v>152</v>
      </c>
      <c r="C156" t="str">
        <f ca="1">IFERROR(__xludf.DUMMYFUNCTION("""COMPUTED_VALUE"""),"Byeong Hun An")</f>
        <v>Byeong Hun An</v>
      </c>
      <c r="D156">
        <f ca="1">IFERROR(__xludf.DUMMYFUNCTION("""COMPUTED_VALUE"""),14)</f>
        <v>14</v>
      </c>
      <c r="E156">
        <f ca="1">IFERROR(__xludf.DUMMYFUNCTION("""COMPUTED_VALUE"""),70.93)</f>
        <v>70.930000000000007</v>
      </c>
      <c r="F156">
        <f ca="1">IFERROR(__xludf.DUMMYFUNCTION("""COMPUTED_VALUE"""),993)</f>
        <v>993</v>
      </c>
      <c r="G156">
        <f ca="1">IFERROR(__xludf.DUMMYFUNCTION("""COMPUTED_VALUE"""),14)</f>
        <v>14</v>
      </c>
    </row>
    <row r="157" spans="1:7" ht="12.75">
      <c r="A157">
        <f ca="1">IFERROR(__xludf.DUMMYFUNCTION("""COMPUTED_VALUE"""),156)</f>
        <v>156</v>
      </c>
      <c r="B157">
        <f ca="1">IFERROR(__xludf.DUMMYFUNCTION("""COMPUTED_VALUE"""),129)</f>
        <v>129</v>
      </c>
      <c r="C157" t="str">
        <f ca="1">IFERROR(__xludf.DUMMYFUNCTION("""COMPUTED_VALUE"""),"Patrick Rodgers")</f>
        <v>Patrick Rodgers</v>
      </c>
      <c r="D157">
        <f ca="1">IFERROR(__xludf.DUMMYFUNCTION("""COMPUTED_VALUE"""),18)</f>
        <v>18</v>
      </c>
      <c r="E157">
        <f ca="1">IFERROR(__xludf.DUMMYFUNCTION("""COMPUTED_VALUE"""),70.94)</f>
        <v>70.94</v>
      </c>
      <c r="F157" s="1">
        <f ca="1">IFERROR(__xludf.DUMMYFUNCTION("""COMPUTED_VALUE"""),1277)</f>
        <v>1277</v>
      </c>
      <c r="G157">
        <f ca="1">IFERROR(__xludf.DUMMYFUNCTION("""COMPUTED_VALUE"""),18)</f>
        <v>18</v>
      </c>
    </row>
    <row r="158" spans="1:7" ht="12.75">
      <c r="A158" t="str">
        <f ca="1">IFERROR(__xludf.DUMMYFUNCTION("""COMPUTED_VALUE"""),"T157")</f>
        <v>T157</v>
      </c>
      <c r="B158" t="str">
        <f ca="1">IFERROR(__xludf.DUMMYFUNCTION("""COMPUTED_VALUE"""),"T171")</f>
        <v>T171</v>
      </c>
      <c r="C158" t="str">
        <f ca="1">IFERROR(__xludf.DUMMYFUNCTION("""COMPUTED_VALUE"""),"Jhonattan Vegas")</f>
        <v>Jhonattan Vegas</v>
      </c>
      <c r="D158">
        <f ca="1">IFERROR(__xludf.DUMMYFUNCTION("""COMPUTED_VALUE"""),16)</f>
        <v>16</v>
      </c>
      <c r="E158">
        <f ca="1">IFERROR(__xludf.DUMMYFUNCTION("""COMPUTED_VALUE"""),71)</f>
        <v>71</v>
      </c>
      <c r="F158" s="1">
        <f ca="1">IFERROR(__xludf.DUMMYFUNCTION("""COMPUTED_VALUE"""),1136)</f>
        <v>1136</v>
      </c>
      <c r="G158">
        <f ca="1">IFERROR(__xludf.DUMMYFUNCTION("""COMPUTED_VALUE"""),16)</f>
        <v>16</v>
      </c>
    </row>
    <row r="159" spans="1:7" ht="12.75">
      <c r="A159" t="str">
        <f ca="1">IFERROR(__xludf.DUMMYFUNCTION("""COMPUTED_VALUE"""),"T157")</f>
        <v>T157</v>
      </c>
      <c r="B159" t="str">
        <f ca="1">IFERROR(__xludf.DUMMYFUNCTION("""COMPUTED_VALUE"""),"T154")</f>
        <v>T154</v>
      </c>
      <c r="C159" t="str">
        <f ca="1">IFERROR(__xludf.DUMMYFUNCTION("""COMPUTED_VALUE"""),"J.B. Holmes")</f>
        <v>J.B. Holmes</v>
      </c>
      <c r="D159">
        <f ca="1">IFERROR(__xludf.DUMMYFUNCTION("""COMPUTED_VALUE"""),10)</f>
        <v>10</v>
      </c>
      <c r="E159">
        <f ca="1">IFERROR(__xludf.DUMMYFUNCTION("""COMPUTED_VALUE"""),71)</f>
        <v>71</v>
      </c>
      <c r="F159">
        <f ca="1">IFERROR(__xludf.DUMMYFUNCTION("""COMPUTED_VALUE"""),710)</f>
        <v>710</v>
      </c>
      <c r="G159">
        <f ca="1">IFERROR(__xludf.DUMMYFUNCTION("""COMPUTED_VALUE"""),10)</f>
        <v>10</v>
      </c>
    </row>
    <row r="160" spans="1:7" ht="12.75">
      <c r="A160" t="str">
        <f ca="1">IFERROR(__xludf.DUMMYFUNCTION("""COMPUTED_VALUE"""),"T157")</f>
        <v>T157</v>
      </c>
      <c r="B160" t="str">
        <f ca="1">IFERROR(__xludf.DUMMYFUNCTION("""COMPUTED_VALUE"""),"T154")</f>
        <v>T154</v>
      </c>
      <c r="C160" t="str">
        <f ca="1">IFERROR(__xludf.DUMMYFUNCTION("""COMPUTED_VALUE"""),"Kevin Kisner")</f>
        <v>Kevin Kisner</v>
      </c>
      <c r="D160">
        <f ca="1">IFERROR(__xludf.DUMMYFUNCTION("""COMPUTED_VALUE"""),10)</f>
        <v>10</v>
      </c>
      <c r="E160">
        <f ca="1">IFERROR(__xludf.DUMMYFUNCTION("""COMPUTED_VALUE"""),71)</f>
        <v>71</v>
      </c>
      <c r="F160">
        <f ca="1">IFERROR(__xludf.DUMMYFUNCTION("""COMPUTED_VALUE"""),710)</f>
        <v>710</v>
      </c>
      <c r="G160">
        <f ca="1">IFERROR(__xludf.DUMMYFUNCTION("""COMPUTED_VALUE"""),10)</f>
        <v>10</v>
      </c>
    </row>
    <row r="161" spans="1:7" ht="12.75">
      <c r="A161" t="str">
        <f ca="1">IFERROR(__xludf.DUMMYFUNCTION("""COMPUTED_VALUE"""),"T157")</f>
        <v>T157</v>
      </c>
      <c r="B161" t="str">
        <f ca="1">IFERROR(__xludf.DUMMYFUNCTION("""COMPUTED_VALUE"""),"T185")</f>
        <v>T185</v>
      </c>
      <c r="C161" t="str">
        <f ca="1">IFERROR(__xludf.DUMMYFUNCTION("""COMPUTED_VALUE"""),"Chris Kirk")</f>
        <v>Chris Kirk</v>
      </c>
      <c r="D161">
        <f ca="1">IFERROR(__xludf.DUMMYFUNCTION("""COMPUTED_VALUE"""),10)</f>
        <v>10</v>
      </c>
      <c r="E161">
        <f ca="1">IFERROR(__xludf.DUMMYFUNCTION("""COMPUTED_VALUE"""),71)</f>
        <v>71</v>
      </c>
      <c r="F161">
        <f ca="1">IFERROR(__xludf.DUMMYFUNCTION("""COMPUTED_VALUE"""),710)</f>
        <v>710</v>
      </c>
      <c r="G161">
        <f ca="1">IFERROR(__xludf.DUMMYFUNCTION("""COMPUTED_VALUE"""),10)</f>
        <v>10</v>
      </c>
    </row>
    <row r="162" spans="1:7" ht="12.75">
      <c r="A162" t="str">
        <f ca="1">IFERROR(__xludf.DUMMYFUNCTION("""COMPUTED_VALUE"""),"T157")</f>
        <v>T157</v>
      </c>
      <c r="B162">
        <f ca="1">IFERROR(__xludf.DUMMYFUNCTION("""COMPUTED_VALUE"""),176)</f>
        <v>176</v>
      </c>
      <c r="C162" t="str">
        <f ca="1">IFERROR(__xludf.DUMMYFUNCTION("""COMPUTED_VALUE"""),"Troy Merritt")</f>
        <v>Troy Merritt</v>
      </c>
      <c r="D162">
        <f ca="1">IFERROR(__xludf.DUMMYFUNCTION("""COMPUTED_VALUE"""),20)</f>
        <v>20</v>
      </c>
      <c r="E162">
        <f ca="1">IFERROR(__xludf.DUMMYFUNCTION("""COMPUTED_VALUE"""),71)</f>
        <v>71</v>
      </c>
      <c r="F162" s="1">
        <f ca="1">IFERROR(__xludf.DUMMYFUNCTION("""COMPUTED_VALUE"""),1420)</f>
        <v>1420</v>
      </c>
      <c r="G162">
        <f ca="1">IFERROR(__xludf.DUMMYFUNCTION("""COMPUTED_VALUE"""),20)</f>
        <v>20</v>
      </c>
    </row>
    <row r="163" spans="1:7" ht="12.75">
      <c r="A163" t="str">
        <f ca="1">IFERROR(__xludf.DUMMYFUNCTION("""COMPUTED_VALUE"""),"T157")</f>
        <v>T157</v>
      </c>
      <c r="B163" t="str">
        <f ca="1">IFERROR(__xludf.DUMMYFUNCTION("""COMPUTED_VALUE"""),"T154")</f>
        <v>T154</v>
      </c>
      <c r="C163" t="str">
        <f ca="1">IFERROR(__xludf.DUMMYFUNCTION("""COMPUTED_VALUE"""),"Adam Hadwin")</f>
        <v>Adam Hadwin</v>
      </c>
      <c r="D163">
        <f ca="1">IFERROR(__xludf.DUMMYFUNCTION("""COMPUTED_VALUE"""),16)</f>
        <v>16</v>
      </c>
      <c r="E163">
        <f ca="1">IFERROR(__xludf.DUMMYFUNCTION("""COMPUTED_VALUE"""),71)</f>
        <v>71</v>
      </c>
      <c r="F163" s="1">
        <f ca="1">IFERROR(__xludf.DUMMYFUNCTION("""COMPUTED_VALUE"""),1136)</f>
        <v>1136</v>
      </c>
      <c r="G163">
        <f ca="1">IFERROR(__xludf.DUMMYFUNCTION("""COMPUTED_VALUE"""),16)</f>
        <v>16</v>
      </c>
    </row>
    <row r="164" spans="1:7" ht="12.75">
      <c r="A164" t="str">
        <f ca="1">IFERROR(__xludf.DUMMYFUNCTION("""COMPUTED_VALUE"""),"T157")</f>
        <v>T157</v>
      </c>
      <c r="B164" t="str">
        <f ca="1">IFERROR(__xludf.DUMMYFUNCTION("""COMPUTED_VALUE"""),"T154")</f>
        <v>T154</v>
      </c>
      <c r="C164" t="str">
        <f ca="1">IFERROR(__xludf.DUMMYFUNCTION("""COMPUTED_VALUE"""),"Robert Streb")</f>
        <v>Robert Streb</v>
      </c>
      <c r="D164">
        <f ca="1">IFERROR(__xludf.DUMMYFUNCTION("""COMPUTED_VALUE"""),12)</f>
        <v>12</v>
      </c>
      <c r="E164">
        <f ca="1">IFERROR(__xludf.DUMMYFUNCTION("""COMPUTED_VALUE"""),71)</f>
        <v>71</v>
      </c>
      <c r="F164">
        <f ca="1">IFERROR(__xludf.DUMMYFUNCTION("""COMPUTED_VALUE"""),852)</f>
        <v>852</v>
      </c>
      <c r="G164">
        <f ca="1">IFERROR(__xludf.DUMMYFUNCTION("""COMPUTED_VALUE"""),12)</f>
        <v>12</v>
      </c>
    </row>
    <row r="165" spans="1:7" ht="12.75">
      <c r="A165" t="str">
        <f ca="1">IFERROR(__xludf.DUMMYFUNCTION("""COMPUTED_VALUE"""),"T157")</f>
        <v>T157</v>
      </c>
      <c r="B165" t="str">
        <f ca="1">IFERROR(__xludf.DUMMYFUNCTION("""COMPUTED_VALUE"""),"T154")</f>
        <v>T154</v>
      </c>
      <c r="C165" t="str">
        <f ca="1">IFERROR(__xludf.DUMMYFUNCTION("""COMPUTED_VALUE"""),"Mikumu Horikawa")</f>
        <v>Mikumu Horikawa</v>
      </c>
      <c r="D165">
        <f ca="1">IFERROR(__xludf.DUMMYFUNCTION("""COMPUTED_VALUE"""),4)</f>
        <v>4</v>
      </c>
      <c r="E165">
        <f ca="1">IFERROR(__xludf.DUMMYFUNCTION("""COMPUTED_VALUE"""),71)</f>
        <v>71</v>
      </c>
      <c r="F165">
        <f ca="1">IFERROR(__xludf.DUMMYFUNCTION("""COMPUTED_VALUE"""),284)</f>
        <v>284</v>
      </c>
      <c r="G165">
        <f ca="1">IFERROR(__xludf.DUMMYFUNCTION("""COMPUTED_VALUE"""),4)</f>
        <v>4</v>
      </c>
    </row>
    <row r="166" spans="1:7" ht="12.75">
      <c r="A166" t="str">
        <f ca="1">IFERROR(__xludf.DUMMYFUNCTION("""COMPUTED_VALUE"""),"T165")</f>
        <v>T165</v>
      </c>
      <c r="B166">
        <f ca="1">IFERROR(__xludf.DUMMYFUNCTION("""COMPUTED_VALUE"""),159)</f>
        <v>159</v>
      </c>
      <c r="C166" t="str">
        <f ca="1">IFERROR(__xludf.DUMMYFUNCTION("""COMPUTED_VALUE"""),"Jonathan Byrd")</f>
        <v>Jonathan Byrd</v>
      </c>
      <c r="D166">
        <f ca="1">IFERROR(__xludf.DUMMYFUNCTION("""COMPUTED_VALUE"""),14)</f>
        <v>14</v>
      </c>
      <c r="E166">
        <f ca="1">IFERROR(__xludf.DUMMYFUNCTION("""COMPUTED_VALUE"""),71.07)</f>
        <v>71.069999999999993</v>
      </c>
      <c r="F166">
        <f ca="1">IFERROR(__xludf.DUMMYFUNCTION("""COMPUTED_VALUE"""),995)</f>
        <v>995</v>
      </c>
      <c r="G166">
        <f ca="1">IFERROR(__xludf.DUMMYFUNCTION("""COMPUTED_VALUE"""),14)</f>
        <v>14</v>
      </c>
    </row>
    <row r="167" spans="1:7" ht="12.75">
      <c r="A167" t="str">
        <f ca="1">IFERROR(__xludf.DUMMYFUNCTION("""COMPUTED_VALUE"""),"T165")</f>
        <v>T165</v>
      </c>
      <c r="B167" t="str">
        <f ca="1">IFERROR(__xludf.DUMMYFUNCTION("""COMPUTED_VALUE"""),"T139")</f>
        <v>T139</v>
      </c>
      <c r="C167" t="str">
        <f ca="1">IFERROR(__xludf.DUMMYFUNCTION("""COMPUTED_VALUE"""),"Bo Hoag")</f>
        <v>Bo Hoag</v>
      </c>
      <c r="D167">
        <f ca="1">IFERROR(__xludf.DUMMYFUNCTION("""COMPUTED_VALUE"""),14)</f>
        <v>14</v>
      </c>
      <c r="E167">
        <f ca="1">IFERROR(__xludf.DUMMYFUNCTION("""COMPUTED_VALUE"""),71.07)</f>
        <v>71.069999999999993</v>
      </c>
      <c r="F167">
        <f ca="1">IFERROR(__xludf.DUMMYFUNCTION("""COMPUTED_VALUE"""),995)</f>
        <v>995</v>
      </c>
      <c r="G167">
        <f ca="1">IFERROR(__xludf.DUMMYFUNCTION("""COMPUTED_VALUE"""),14)</f>
        <v>14</v>
      </c>
    </row>
    <row r="168" spans="1:7" ht="12.75">
      <c r="A168">
        <f ca="1">IFERROR(__xludf.DUMMYFUNCTION("""COMPUTED_VALUE"""),167)</f>
        <v>167</v>
      </c>
      <c r="B168" t="str">
        <f ca="1">IFERROR(__xludf.DUMMYFUNCTION("""COMPUTED_VALUE"""),"T160")</f>
        <v>T160</v>
      </c>
      <c r="C168" t="str">
        <f ca="1">IFERROR(__xludf.DUMMYFUNCTION("""COMPUTED_VALUE"""),"Tim Wilkinson")</f>
        <v>Tim Wilkinson</v>
      </c>
      <c r="D168">
        <f ca="1">IFERROR(__xludf.DUMMYFUNCTION("""COMPUTED_VALUE"""),12)</f>
        <v>12</v>
      </c>
      <c r="E168">
        <f ca="1">IFERROR(__xludf.DUMMYFUNCTION("""COMPUTED_VALUE"""),71.08)</f>
        <v>71.08</v>
      </c>
      <c r="F168">
        <f ca="1">IFERROR(__xludf.DUMMYFUNCTION("""COMPUTED_VALUE"""),853)</f>
        <v>853</v>
      </c>
      <c r="G168">
        <f ca="1">IFERROR(__xludf.DUMMYFUNCTION("""COMPUTED_VALUE"""),12)</f>
        <v>12</v>
      </c>
    </row>
    <row r="169" spans="1:7" ht="12.75">
      <c r="A169" t="str">
        <f ca="1">IFERROR(__xludf.DUMMYFUNCTION("""COMPUTED_VALUE"""),"T168")</f>
        <v>T168</v>
      </c>
      <c r="B169" t="str">
        <f ca="1">IFERROR(__xludf.DUMMYFUNCTION("""COMPUTED_VALUE"""),"T163")</f>
        <v>T163</v>
      </c>
      <c r="C169" t="str">
        <f ca="1">IFERROR(__xludf.DUMMYFUNCTION("""COMPUTED_VALUE"""),"Seamus Power")</f>
        <v>Seamus Power</v>
      </c>
      <c r="D169">
        <f ca="1">IFERROR(__xludf.DUMMYFUNCTION("""COMPUTED_VALUE"""),8)</f>
        <v>8</v>
      </c>
      <c r="E169">
        <f ca="1">IFERROR(__xludf.DUMMYFUNCTION("""COMPUTED_VALUE"""),71.13)</f>
        <v>71.13</v>
      </c>
      <c r="F169">
        <f ca="1">IFERROR(__xludf.DUMMYFUNCTION("""COMPUTED_VALUE"""),569)</f>
        <v>569</v>
      </c>
      <c r="G169">
        <f ca="1">IFERROR(__xludf.DUMMYFUNCTION("""COMPUTED_VALUE"""),8)</f>
        <v>8</v>
      </c>
    </row>
    <row r="170" spans="1:7" ht="12.75">
      <c r="A170" t="str">
        <f ca="1">IFERROR(__xludf.DUMMYFUNCTION("""COMPUTED_VALUE"""),"T168")</f>
        <v>T168</v>
      </c>
      <c r="B170" t="str">
        <f ca="1">IFERROR(__xludf.DUMMYFUNCTION("""COMPUTED_VALUE"""),"T163")</f>
        <v>T163</v>
      </c>
      <c r="C170" t="str">
        <f ca="1">IFERROR(__xludf.DUMMYFUNCTION("""COMPUTED_VALUE"""),"Kyle Stanley")</f>
        <v>Kyle Stanley</v>
      </c>
      <c r="D170">
        <f ca="1">IFERROR(__xludf.DUMMYFUNCTION("""COMPUTED_VALUE"""),16)</f>
        <v>16</v>
      </c>
      <c r="E170">
        <f ca="1">IFERROR(__xludf.DUMMYFUNCTION("""COMPUTED_VALUE"""),71.13)</f>
        <v>71.13</v>
      </c>
      <c r="F170" s="1">
        <f ca="1">IFERROR(__xludf.DUMMYFUNCTION("""COMPUTED_VALUE"""),1138)</f>
        <v>1138</v>
      </c>
      <c r="G170">
        <f ca="1">IFERROR(__xludf.DUMMYFUNCTION("""COMPUTED_VALUE"""),16)</f>
        <v>16</v>
      </c>
    </row>
    <row r="171" spans="1:7" ht="12.75">
      <c r="A171" t="str">
        <f ca="1">IFERROR(__xludf.DUMMYFUNCTION("""COMPUTED_VALUE"""),"T170")</f>
        <v>T170</v>
      </c>
      <c r="B171" t="str">
        <f ca="1">IFERROR(__xludf.DUMMYFUNCTION("""COMPUTED_VALUE"""),"T167")</f>
        <v>T167</v>
      </c>
      <c r="C171" t="str">
        <f ca="1">IFERROR(__xludf.DUMMYFUNCTION("""COMPUTED_VALUE"""),"Paul Casey")</f>
        <v>Paul Casey</v>
      </c>
      <c r="D171">
        <f ca="1">IFERROR(__xludf.DUMMYFUNCTION("""COMPUTED_VALUE"""),14)</f>
        <v>14</v>
      </c>
      <c r="E171">
        <f ca="1">IFERROR(__xludf.DUMMYFUNCTION("""COMPUTED_VALUE"""),71.14)</f>
        <v>71.14</v>
      </c>
      <c r="F171">
        <f ca="1">IFERROR(__xludf.DUMMYFUNCTION("""COMPUTED_VALUE"""),996)</f>
        <v>996</v>
      </c>
      <c r="G171">
        <f ca="1">IFERROR(__xludf.DUMMYFUNCTION("""COMPUTED_VALUE"""),14)</f>
        <v>14</v>
      </c>
    </row>
    <row r="172" spans="1:7" ht="12.75">
      <c r="A172" t="str">
        <f ca="1">IFERROR(__xludf.DUMMYFUNCTION("""COMPUTED_VALUE"""),"T170")</f>
        <v>T170</v>
      </c>
      <c r="B172">
        <f ca="1">IFERROR(__xludf.DUMMYFUNCTION("""COMPUTED_VALUE"""),205)</f>
        <v>205</v>
      </c>
      <c r="C172" t="str">
        <f ca="1">IFERROR(__xludf.DUMMYFUNCTION("""COMPUTED_VALUE"""),"Adam Long")</f>
        <v>Adam Long</v>
      </c>
      <c r="D172">
        <f ca="1">IFERROR(__xludf.DUMMYFUNCTION("""COMPUTED_VALUE"""),22)</f>
        <v>22</v>
      </c>
      <c r="E172">
        <f ca="1">IFERROR(__xludf.DUMMYFUNCTION("""COMPUTED_VALUE"""),71.14)</f>
        <v>71.14</v>
      </c>
      <c r="F172" s="1">
        <f ca="1">IFERROR(__xludf.DUMMYFUNCTION("""COMPUTED_VALUE"""),1565)</f>
        <v>1565</v>
      </c>
      <c r="G172">
        <f ca="1">IFERROR(__xludf.DUMMYFUNCTION("""COMPUTED_VALUE"""),22)</f>
        <v>22</v>
      </c>
    </row>
    <row r="173" spans="1:7" ht="12.75">
      <c r="A173" t="str">
        <f ca="1">IFERROR(__xludf.DUMMYFUNCTION("""COMPUTED_VALUE"""),"T172")</f>
        <v>T172</v>
      </c>
      <c r="B173" t="str">
        <f ca="1">IFERROR(__xludf.DUMMYFUNCTION("""COMPUTED_VALUE"""),"T169")</f>
        <v>T169</v>
      </c>
      <c r="C173" t="str">
        <f ca="1">IFERROR(__xludf.DUMMYFUNCTION("""COMPUTED_VALUE"""),"Justin Rose")</f>
        <v>Justin Rose</v>
      </c>
      <c r="D173">
        <f ca="1">IFERROR(__xludf.DUMMYFUNCTION("""COMPUTED_VALUE"""),10)</f>
        <v>10</v>
      </c>
      <c r="E173">
        <f ca="1">IFERROR(__xludf.DUMMYFUNCTION("""COMPUTED_VALUE"""),71.2)</f>
        <v>71.2</v>
      </c>
      <c r="F173">
        <f ca="1">IFERROR(__xludf.DUMMYFUNCTION("""COMPUTED_VALUE"""),712)</f>
        <v>712</v>
      </c>
      <c r="G173">
        <f ca="1">IFERROR(__xludf.DUMMYFUNCTION("""COMPUTED_VALUE"""),10)</f>
        <v>10</v>
      </c>
    </row>
    <row r="174" spans="1:7" ht="12.75">
      <c r="A174" t="str">
        <f ca="1">IFERROR(__xludf.DUMMYFUNCTION("""COMPUTED_VALUE"""),"T172")</f>
        <v>T172</v>
      </c>
      <c r="B174" t="str">
        <f ca="1">IFERROR(__xludf.DUMMYFUNCTION("""COMPUTED_VALUE"""),"T169")</f>
        <v>T169</v>
      </c>
      <c r="C174" t="str">
        <f ca="1">IFERROR(__xludf.DUMMYFUNCTION("""COMPUTED_VALUE"""),"Bill Haas")</f>
        <v>Bill Haas</v>
      </c>
      <c r="D174">
        <f ca="1">IFERROR(__xludf.DUMMYFUNCTION("""COMPUTED_VALUE"""),10)</f>
        <v>10</v>
      </c>
      <c r="E174">
        <f ca="1">IFERROR(__xludf.DUMMYFUNCTION("""COMPUTED_VALUE"""),71.2)</f>
        <v>71.2</v>
      </c>
      <c r="F174">
        <f ca="1">IFERROR(__xludf.DUMMYFUNCTION("""COMPUTED_VALUE"""),712)</f>
        <v>712</v>
      </c>
      <c r="G174">
        <f ca="1">IFERROR(__xludf.DUMMYFUNCTION("""COMPUTED_VALUE"""),10)</f>
        <v>10</v>
      </c>
    </row>
    <row r="175" spans="1:7" ht="12.75">
      <c r="A175">
        <f ca="1">IFERROR(__xludf.DUMMYFUNCTION("""COMPUTED_VALUE"""),174)</f>
        <v>174</v>
      </c>
      <c r="B175">
        <f ca="1">IFERROR(__xludf.DUMMYFUNCTION("""COMPUTED_VALUE"""),146)</f>
        <v>146</v>
      </c>
      <c r="C175" t="str">
        <f ca="1">IFERROR(__xludf.DUMMYFUNCTION("""COMPUTED_VALUE"""),"Tyler Duncan")</f>
        <v>Tyler Duncan</v>
      </c>
      <c r="D175">
        <f ca="1">IFERROR(__xludf.DUMMYFUNCTION("""COMPUTED_VALUE"""),18)</f>
        <v>18</v>
      </c>
      <c r="E175">
        <f ca="1">IFERROR(__xludf.DUMMYFUNCTION("""COMPUTED_VALUE"""),71.22)</f>
        <v>71.22</v>
      </c>
      <c r="F175" s="1">
        <f ca="1">IFERROR(__xludf.DUMMYFUNCTION("""COMPUTED_VALUE"""),1282)</f>
        <v>1282</v>
      </c>
      <c r="G175">
        <f ca="1">IFERROR(__xludf.DUMMYFUNCTION("""COMPUTED_VALUE"""),18)</f>
        <v>18</v>
      </c>
    </row>
    <row r="176" spans="1:7" ht="12.75">
      <c r="A176" t="str">
        <f ca="1">IFERROR(__xludf.DUMMYFUNCTION("""COMPUTED_VALUE"""),"T175")</f>
        <v>T175</v>
      </c>
      <c r="B176" t="str">
        <f ca="1">IFERROR(__xludf.DUMMYFUNCTION("""COMPUTED_VALUE"""),"T171")</f>
        <v>T171</v>
      </c>
      <c r="C176" t="str">
        <f ca="1">IFERROR(__xludf.DUMMYFUNCTION("""COMPUTED_VALUE"""),"Johnson Wagner")</f>
        <v>Johnson Wagner</v>
      </c>
      <c r="D176">
        <f ca="1">IFERROR(__xludf.DUMMYFUNCTION("""COMPUTED_VALUE"""),8)</f>
        <v>8</v>
      </c>
      <c r="E176">
        <f ca="1">IFERROR(__xludf.DUMMYFUNCTION("""COMPUTED_VALUE"""),71.25)</f>
        <v>71.25</v>
      </c>
      <c r="F176">
        <f ca="1">IFERROR(__xludf.DUMMYFUNCTION("""COMPUTED_VALUE"""),570)</f>
        <v>570</v>
      </c>
      <c r="G176">
        <f ca="1">IFERROR(__xludf.DUMMYFUNCTION("""COMPUTED_VALUE"""),8)</f>
        <v>8</v>
      </c>
    </row>
    <row r="177" spans="1:7" ht="12.75">
      <c r="A177" t="str">
        <f ca="1">IFERROR(__xludf.DUMMYFUNCTION("""COMPUTED_VALUE"""),"T175")</f>
        <v>T175</v>
      </c>
      <c r="B177" t="str">
        <f ca="1">IFERROR(__xludf.DUMMYFUNCTION("""COMPUTED_VALUE"""),"T171")</f>
        <v>T171</v>
      </c>
      <c r="C177" t="str">
        <f ca="1">IFERROR(__xludf.DUMMYFUNCTION("""COMPUTED_VALUE"""),"Nelson Ledesma")</f>
        <v>Nelson Ledesma</v>
      </c>
      <c r="D177">
        <f ca="1">IFERROR(__xludf.DUMMYFUNCTION("""COMPUTED_VALUE"""),8)</f>
        <v>8</v>
      </c>
      <c r="E177">
        <f ca="1">IFERROR(__xludf.DUMMYFUNCTION("""COMPUTED_VALUE"""),71.25)</f>
        <v>71.25</v>
      </c>
      <c r="F177">
        <f ca="1">IFERROR(__xludf.DUMMYFUNCTION("""COMPUTED_VALUE"""),570)</f>
        <v>570</v>
      </c>
      <c r="G177">
        <f ca="1">IFERROR(__xludf.DUMMYFUNCTION("""COMPUTED_VALUE"""),8)</f>
        <v>8</v>
      </c>
    </row>
    <row r="178" spans="1:7" ht="12.75">
      <c r="A178" t="str">
        <f ca="1">IFERROR(__xludf.DUMMYFUNCTION("""COMPUTED_VALUE"""),"T175")</f>
        <v>T175</v>
      </c>
      <c r="B178" t="str">
        <f ca="1">IFERROR(__xludf.DUMMYFUNCTION("""COMPUTED_VALUE"""),"T131")</f>
        <v>T131</v>
      </c>
      <c r="C178" t="str">
        <f ca="1">IFERROR(__xludf.DUMMYFUNCTION("""COMPUTED_VALUE"""),"Sam Ryder")</f>
        <v>Sam Ryder</v>
      </c>
      <c r="D178">
        <f ca="1">IFERROR(__xludf.DUMMYFUNCTION("""COMPUTED_VALUE"""),12)</f>
        <v>12</v>
      </c>
      <c r="E178">
        <f ca="1">IFERROR(__xludf.DUMMYFUNCTION("""COMPUTED_VALUE"""),71.25)</f>
        <v>71.25</v>
      </c>
      <c r="F178">
        <f ca="1">IFERROR(__xludf.DUMMYFUNCTION("""COMPUTED_VALUE"""),855)</f>
        <v>855</v>
      </c>
      <c r="G178">
        <f ca="1">IFERROR(__xludf.DUMMYFUNCTION("""COMPUTED_VALUE"""),12)</f>
        <v>12</v>
      </c>
    </row>
    <row r="179" spans="1:7" ht="12.75">
      <c r="A179">
        <f ca="1">IFERROR(__xludf.DUMMYFUNCTION("""COMPUTED_VALUE"""),178)</f>
        <v>178</v>
      </c>
      <c r="B179" t="str">
        <f ca="1">IFERROR(__xludf.DUMMYFUNCTION("""COMPUTED_VALUE"""),"T167")</f>
        <v>T167</v>
      </c>
      <c r="C179" t="str">
        <f ca="1">IFERROR(__xludf.DUMMYFUNCTION("""COMPUTED_VALUE"""),"Jamie Lovemark")</f>
        <v>Jamie Lovemark</v>
      </c>
      <c r="D179">
        <f ca="1">IFERROR(__xludf.DUMMYFUNCTION("""COMPUTED_VALUE"""),18)</f>
        <v>18</v>
      </c>
      <c r="E179">
        <f ca="1">IFERROR(__xludf.DUMMYFUNCTION("""COMPUTED_VALUE"""),71.28)</f>
        <v>71.28</v>
      </c>
      <c r="F179" s="1">
        <f ca="1">IFERROR(__xludf.DUMMYFUNCTION("""COMPUTED_VALUE"""),1283)</f>
        <v>1283</v>
      </c>
      <c r="G179">
        <f ca="1">IFERROR(__xludf.DUMMYFUNCTION("""COMPUTED_VALUE"""),18)</f>
        <v>18</v>
      </c>
    </row>
    <row r="180" spans="1:7" ht="12.75">
      <c r="A180" t="str">
        <f ca="1">IFERROR(__xludf.DUMMYFUNCTION("""COMPUTED_VALUE"""),"T179")</f>
        <v>T179</v>
      </c>
      <c r="B180">
        <f ca="1">IFERROR(__xludf.DUMMYFUNCTION("""COMPUTED_VALUE"""),162)</f>
        <v>162</v>
      </c>
      <c r="C180" t="str">
        <f ca="1">IFERROR(__xludf.DUMMYFUNCTION("""COMPUTED_VALUE"""),"Vaughn Taylor")</f>
        <v>Vaughn Taylor</v>
      </c>
      <c r="D180">
        <f ca="1">IFERROR(__xludf.DUMMYFUNCTION("""COMPUTED_VALUE"""),12)</f>
        <v>12</v>
      </c>
      <c r="E180">
        <f ca="1">IFERROR(__xludf.DUMMYFUNCTION("""COMPUTED_VALUE"""),71.33)</f>
        <v>71.33</v>
      </c>
      <c r="F180">
        <f ca="1">IFERROR(__xludf.DUMMYFUNCTION("""COMPUTED_VALUE"""),856)</f>
        <v>856</v>
      </c>
      <c r="G180">
        <f ca="1">IFERROR(__xludf.DUMMYFUNCTION("""COMPUTED_VALUE"""),12)</f>
        <v>12</v>
      </c>
    </row>
    <row r="181" spans="1:7" ht="12.75">
      <c r="A181" t="str">
        <f ca="1">IFERROR(__xludf.DUMMYFUNCTION("""COMPUTED_VALUE"""),"T179")</f>
        <v>T179</v>
      </c>
      <c r="B181" t="str">
        <f ca="1">IFERROR(__xludf.DUMMYFUNCTION("""COMPUTED_VALUE"""),"T177")</f>
        <v>T177</v>
      </c>
      <c r="C181" t="str">
        <f ca="1">IFERROR(__xludf.DUMMYFUNCTION("""COMPUTED_VALUE"""),"William McGirt")</f>
        <v>William McGirt</v>
      </c>
      <c r="D181">
        <f ca="1">IFERROR(__xludf.DUMMYFUNCTION("""COMPUTED_VALUE"""),6)</f>
        <v>6</v>
      </c>
      <c r="E181">
        <f ca="1">IFERROR(__xludf.DUMMYFUNCTION("""COMPUTED_VALUE"""),71.33)</f>
        <v>71.33</v>
      </c>
      <c r="F181">
        <f ca="1">IFERROR(__xludf.DUMMYFUNCTION("""COMPUTED_VALUE"""),428)</f>
        <v>428</v>
      </c>
      <c r="G181">
        <f ca="1">IFERROR(__xludf.DUMMYFUNCTION("""COMPUTED_VALUE"""),6)</f>
        <v>6</v>
      </c>
    </row>
    <row r="182" spans="1:7" ht="12.75">
      <c r="A182" t="str">
        <f ca="1">IFERROR(__xludf.DUMMYFUNCTION("""COMPUTED_VALUE"""),"T179")</f>
        <v>T179</v>
      </c>
      <c r="B182" t="str">
        <f ca="1">IFERROR(__xludf.DUMMYFUNCTION("""COMPUTED_VALUE"""),"T177")</f>
        <v>T177</v>
      </c>
      <c r="C182" t="str">
        <f ca="1">IFERROR(__xludf.DUMMYFUNCTION("""COMPUTED_VALUE"""),"Ben Martin")</f>
        <v>Ben Martin</v>
      </c>
      <c r="D182">
        <f ca="1">IFERROR(__xludf.DUMMYFUNCTION("""COMPUTED_VALUE"""),6)</f>
        <v>6</v>
      </c>
      <c r="E182">
        <f ca="1">IFERROR(__xludf.DUMMYFUNCTION("""COMPUTED_VALUE"""),71.33)</f>
        <v>71.33</v>
      </c>
      <c r="F182">
        <f ca="1">IFERROR(__xludf.DUMMYFUNCTION("""COMPUTED_VALUE"""),428)</f>
        <v>428</v>
      </c>
      <c r="G182">
        <f ca="1">IFERROR(__xludf.DUMMYFUNCTION("""COMPUTED_VALUE"""),6)</f>
        <v>6</v>
      </c>
    </row>
    <row r="183" spans="1:7" ht="12.75">
      <c r="A183">
        <f ca="1">IFERROR(__xludf.DUMMYFUNCTION("""COMPUTED_VALUE"""),182)</f>
        <v>182</v>
      </c>
      <c r="B183">
        <f ca="1">IFERROR(__xludf.DUMMYFUNCTION("""COMPUTED_VALUE"""),179)</f>
        <v>179</v>
      </c>
      <c r="C183" t="str">
        <f ca="1">IFERROR(__xludf.DUMMYFUNCTION("""COMPUTED_VALUE"""),"Rafa Cabrera Bello")</f>
        <v>Rafa Cabrera Bello</v>
      </c>
      <c r="D183">
        <f ca="1">IFERROR(__xludf.DUMMYFUNCTION("""COMPUTED_VALUE"""),14)</f>
        <v>14</v>
      </c>
      <c r="E183">
        <f ca="1">IFERROR(__xludf.DUMMYFUNCTION("""COMPUTED_VALUE"""),71.36)</f>
        <v>71.36</v>
      </c>
      <c r="F183">
        <f ca="1">IFERROR(__xludf.DUMMYFUNCTION("""COMPUTED_VALUE"""),999)</f>
        <v>999</v>
      </c>
      <c r="G183">
        <f ca="1">IFERROR(__xludf.DUMMYFUNCTION("""COMPUTED_VALUE"""),14)</f>
        <v>14</v>
      </c>
    </row>
    <row r="184" spans="1:7" ht="12.75">
      <c r="A184">
        <f ca="1">IFERROR(__xludf.DUMMYFUNCTION("""COMPUTED_VALUE"""),183)</f>
        <v>183</v>
      </c>
      <c r="B184" t="str">
        <f ca="1">IFERROR(__xludf.DUMMYFUNCTION("""COMPUTED_VALUE"""),"T160")</f>
        <v>T160</v>
      </c>
      <c r="C184" t="str">
        <f ca="1">IFERROR(__xludf.DUMMYFUNCTION("""COMPUTED_VALUE"""),"Rory Sabbatini")</f>
        <v>Rory Sabbatini</v>
      </c>
      <c r="D184">
        <f ca="1">IFERROR(__xludf.DUMMYFUNCTION("""COMPUTED_VALUE"""),13)</f>
        <v>13</v>
      </c>
      <c r="E184">
        <f ca="1">IFERROR(__xludf.DUMMYFUNCTION("""COMPUTED_VALUE"""),71.38)</f>
        <v>71.38</v>
      </c>
      <c r="F184">
        <f ca="1">IFERROR(__xludf.DUMMYFUNCTION("""COMPUTED_VALUE"""),928)</f>
        <v>928</v>
      </c>
      <c r="G184">
        <f ca="1">IFERROR(__xludf.DUMMYFUNCTION("""COMPUTED_VALUE"""),13)</f>
        <v>13</v>
      </c>
    </row>
    <row r="185" spans="1:7" ht="12.75">
      <c r="A185">
        <f ca="1">IFERROR(__xludf.DUMMYFUNCTION("""COMPUTED_VALUE"""),184)</f>
        <v>184</v>
      </c>
      <c r="B185">
        <f ca="1">IFERROR(__xludf.DUMMYFUNCTION("""COMPUTED_VALUE"""),180)</f>
        <v>180</v>
      </c>
      <c r="C185" t="str">
        <f ca="1">IFERROR(__xludf.DUMMYFUNCTION("""COMPUTED_VALUE"""),"Rhein Gibson")</f>
        <v>Rhein Gibson</v>
      </c>
      <c r="D185">
        <f ca="1">IFERROR(__xludf.DUMMYFUNCTION("""COMPUTED_VALUE"""),10)</f>
        <v>10</v>
      </c>
      <c r="E185">
        <f ca="1">IFERROR(__xludf.DUMMYFUNCTION("""COMPUTED_VALUE"""),71.4)</f>
        <v>71.400000000000006</v>
      </c>
      <c r="F185">
        <f ca="1">IFERROR(__xludf.DUMMYFUNCTION("""COMPUTED_VALUE"""),714)</f>
        <v>714</v>
      </c>
      <c r="G185">
        <f ca="1">IFERROR(__xludf.DUMMYFUNCTION("""COMPUTED_VALUE"""),10)</f>
        <v>10</v>
      </c>
    </row>
    <row r="186" spans="1:7" ht="12.75">
      <c r="A186">
        <f ca="1">IFERROR(__xludf.DUMMYFUNCTION("""COMPUTED_VALUE"""),185)</f>
        <v>185</v>
      </c>
      <c r="B186" t="str">
        <f ca="1">IFERROR(__xludf.DUMMYFUNCTION("""COMPUTED_VALUE"""),"T181")</f>
        <v>T181</v>
      </c>
      <c r="C186" t="str">
        <f ca="1">IFERROR(__xludf.DUMMYFUNCTION("""COMPUTED_VALUE"""),"Joohyung Kim")</f>
        <v>Joohyung Kim</v>
      </c>
      <c r="D186">
        <f ca="1">IFERROR(__xludf.DUMMYFUNCTION("""COMPUTED_VALUE"""),12)</f>
        <v>12</v>
      </c>
      <c r="E186">
        <f ca="1">IFERROR(__xludf.DUMMYFUNCTION("""COMPUTED_VALUE"""),71.42)</f>
        <v>71.42</v>
      </c>
      <c r="F186">
        <f ca="1">IFERROR(__xludf.DUMMYFUNCTION("""COMPUTED_VALUE"""),857)</f>
        <v>857</v>
      </c>
      <c r="G186">
        <f ca="1">IFERROR(__xludf.DUMMYFUNCTION("""COMPUTED_VALUE"""),12)</f>
        <v>12</v>
      </c>
    </row>
    <row r="187" spans="1:7" ht="12.75">
      <c r="A187" t="str">
        <f ca="1">IFERROR(__xludf.DUMMYFUNCTION("""COMPUTED_VALUE"""),"T186")</f>
        <v>T186</v>
      </c>
      <c r="B187" t="str">
        <f ca="1">IFERROR(__xludf.DUMMYFUNCTION("""COMPUTED_VALUE"""),"T185")</f>
        <v>T185</v>
      </c>
      <c r="C187" t="str">
        <f ca="1">IFERROR(__xludf.DUMMYFUNCTION("""COMPUTED_VALUE"""),"J.J. Henry")</f>
        <v>J.J. Henry</v>
      </c>
      <c r="D187">
        <f ca="1">IFERROR(__xludf.DUMMYFUNCTION("""COMPUTED_VALUE"""),4)</f>
        <v>4</v>
      </c>
      <c r="E187">
        <f ca="1">IFERROR(__xludf.DUMMYFUNCTION("""COMPUTED_VALUE"""),71.5)</f>
        <v>71.5</v>
      </c>
      <c r="F187">
        <f ca="1">IFERROR(__xludf.DUMMYFUNCTION("""COMPUTED_VALUE"""),286)</f>
        <v>286</v>
      </c>
      <c r="G187">
        <f ca="1">IFERROR(__xludf.DUMMYFUNCTION("""COMPUTED_VALUE"""),4)</f>
        <v>4</v>
      </c>
    </row>
    <row r="188" spans="1:7" ht="12.75">
      <c r="A188" t="str">
        <f ca="1">IFERROR(__xludf.DUMMYFUNCTION("""COMPUTED_VALUE"""),"T186")</f>
        <v>T186</v>
      </c>
      <c r="B188" t="str">
        <f ca="1">IFERROR(__xludf.DUMMYFUNCTION("""COMPUTED_VALUE"""),"T126")</f>
        <v>T126</v>
      </c>
      <c r="C188" t="str">
        <f ca="1">IFERROR(__xludf.DUMMYFUNCTION("""COMPUTED_VALUE"""),"Ted Potter, Jr.")</f>
        <v>Ted Potter, Jr.</v>
      </c>
      <c r="D188">
        <f ca="1">IFERROR(__xludf.DUMMYFUNCTION("""COMPUTED_VALUE"""),8)</f>
        <v>8</v>
      </c>
      <c r="E188">
        <f ca="1">IFERROR(__xludf.DUMMYFUNCTION("""COMPUTED_VALUE"""),71.5)</f>
        <v>71.5</v>
      </c>
      <c r="F188">
        <f ca="1">IFERROR(__xludf.DUMMYFUNCTION("""COMPUTED_VALUE"""),572)</f>
        <v>572</v>
      </c>
      <c r="G188">
        <f ca="1">IFERROR(__xludf.DUMMYFUNCTION("""COMPUTED_VALUE"""),8)</f>
        <v>8</v>
      </c>
    </row>
    <row r="189" spans="1:7" ht="12.75">
      <c r="A189" t="str">
        <f ca="1">IFERROR(__xludf.DUMMYFUNCTION("""COMPUTED_VALUE"""),"T186")</f>
        <v>T186</v>
      </c>
      <c r="B189">
        <f ca="1">IFERROR(__xludf.DUMMYFUNCTION("""COMPUTED_VALUE"""),241)</f>
        <v>241</v>
      </c>
      <c r="C189" t="str">
        <f ca="1">IFERROR(__xludf.DUMMYFUNCTION("""COMPUTED_VALUE"""),"Scott Brown")</f>
        <v>Scott Brown</v>
      </c>
      <c r="D189">
        <f ca="1">IFERROR(__xludf.DUMMYFUNCTION("""COMPUTED_VALUE"""),14)</f>
        <v>14</v>
      </c>
      <c r="E189">
        <f ca="1">IFERROR(__xludf.DUMMYFUNCTION("""COMPUTED_VALUE"""),71.5)</f>
        <v>71.5</v>
      </c>
      <c r="F189" s="1">
        <f ca="1">IFERROR(__xludf.DUMMYFUNCTION("""COMPUTED_VALUE"""),1001)</f>
        <v>1001</v>
      </c>
      <c r="G189">
        <f ca="1">IFERROR(__xludf.DUMMYFUNCTION("""COMPUTED_VALUE"""),14)</f>
        <v>14</v>
      </c>
    </row>
    <row r="190" spans="1:7" ht="12.75">
      <c r="A190" t="str">
        <f ca="1">IFERROR(__xludf.DUMMYFUNCTION("""COMPUTED_VALUE"""),"T186")</f>
        <v>T186</v>
      </c>
      <c r="B190" t="str">
        <f ca="1">IFERROR(__xludf.DUMMYFUNCTION("""COMPUTED_VALUE"""),"T185")</f>
        <v>T185</v>
      </c>
      <c r="C190" t="str">
        <f ca="1">IFERROR(__xludf.DUMMYFUNCTION("""COMPUTED_VALUE"""),"Chan Kim")</f>
        <v>Chan Kim</v>
      </c>
      <c r="D190">
        <f ca="1">IFERROR(__xludf.DUMMYFUNCTION("""COMPUTED_VALUE"""),6)</f>
        <v>6</v>
      </c>
      <c r="E190">
        <f ca="1">IFERROR(__xludf.DUMMYFUNCTION("""COMPUTED_VALUE"""),71.5)</f>
        <v>71.5</v>
      </c>
      <c r="F190">
        <f ca="1">IFERROR(__xludf.DUMMYFUNCTION("""COMPUTED_VALUE"""),429)</f>
        <v>429</v>
      </c>
      <c r="G190">
        <f ca="1">IFERROR(__xludf.DUMMYFUNCTION("""COMPUTED_VALUE"""),6)</f>
        <v>6</v>
      </c>
    </row>
    <row r="191" spans="1:7" ht="12.75">
      <c r="A191" t="str">
        <f ca="1">IFERROR(__xludf.DUMMYFUNCTION("""COMPUTED_VALUE"""),"T186")</f>
        <v>T186</v>
      </c>
      <c r="B191" t="str">
        <f ca="1">IFERROR(__xludf.DUMMYFUNCTION("""COMPUTED_VALUE"""),"T185")</f>
        <v>T185</v>
      </c>
      <c r="C191" t="str">
        <f ca="1">IFERROR(__xludf.DUMMYFUNCTION("""COMPUTED_VALUE"""),"Willy Pumarol")</f>
        <v>Willy Pumarol</v>
      </c>
      <c r="D191">
        <f ca="1">IFERROR(__xludf.DUMMYFUNCTION("""COMPUTED_VALUE"""),4)</f>
        <v>4</v>
      </c>
      <c r="E191">
        <f ca="1">IFERROR(__xludf.DUMMYFUNCTION("""COMPUTED_VALUE"""),71.5)</f>
        <v>71.5</v>
      </c>
      <c r="F191">
        <f ca="1">IFERROR(__xludf.DUMMYFUNCTION("""COMPUTED_VALUE"""),286)</f>
        <v>286</v>
      </c>
      <c r="G191">
        <f ca="1">IFERROR(__xludf.DUMMYFUNCTION("""COMPUTED_VALUE"""),4)</f>
        <v>4</v>
      </c>
    </row>
    <row r="192" spans="1:7" ht="12.75">
      <c r="A192" t="str">
        <f ca="1">IFERROR(__xludf.DUMMYFUNCTION("""COMPUTED_VALUE"""),"T186")</f>
        <v>T186</v>
      </c>
      <c r="B192" t="str">
        <f ca="1">IFERROR(__xludf.DUMMYFUNCTION("""COMPUTED_VALUE"""),"T185")</f>
        <v>T185</v>
      </c>
      <c r="C192" t="str">
        <f ca="1">IFERROR(__xludf.DUMMYFUNCTION("""COMPUTED_VALUE"""),"Andy Zhang")</f>
        <v>Andy Zhang</v>
      </c>
      <c r="D192">
        <f ca="1">IFERROR(__xludf.DUMMYFUNCTION("""COMPUTED_VALUE"""),4)</f>
        <v>4</v>
      </c>
      <c r="E192">
        <f ca="1">IFERROR(__xludf.DUMMYFUNCTION("""COMPUTED_VALUE"""),71.5)</f>
        <v>71.5</v>
      </c>
      <c r="F192">
        <f ca="1">IFERROR(__xludf.DUMMYFUNCTION("""COMPUTED_VALUE"""),286)</f>
        <v>286</v>
      </c>
      <c r="G192">
        <f ca="1">IFERROR(__xludf.DUMMYFUNCTION("""COMPUTED_VALUE"""),4)</f>
        <v>4</v>
      </c>
    </row>
    <row r="193" spans="1:7" ht="12.75">
      <c r="A193" t="str">
        <f ca="1">IFERROR(__xludf.DUMMYFUNCTION("""COMPUTED_VALUE"""),"T186")</f>
        <v>T186</v>
      </c>
      <c r="B193" t="str">
        <f ca="1">IFERROR(__xludf.DUMMYFUNCTION("""COMPUTED_VALUE"""),"T185")</f>
        <v>T185</v>
      </c>
      <c r="C193" t="str">
        <f ca="1">IFERROR(__xludf.DUMMYFUNCTION("""COMPUTED_VALUE"""),"Zac Blair")</f>
        <v>Zac Blair</v>
      </c>
      <c r="D193">
        <f ca="1">IFERROR(__xludf.DUMMYFUNCTION("""COMPUTED_VALUE"""),10)</f>
        <v>10</v>
      </c>
      <c r="E193">
        <f ca="1">IFERROR(__xludf.DUMMYFUNCTION("""COMPUTED_VALUE"""),71.5)</f>
        <v>71.5</v>
      </c>
      <c r="F193">
        <f ca="1">IFERROR(__xludf.DUMMYFUNCTION("""COMPUTED_VALUE"""),715)</f>
        <v>715</v>
      </c>
      <c r="G193">
        <f ca="1">IFERROR(__xludf.DUMMYFUNCTION("""COMPUTED_VALUE"""),10)</f>
        <v>10</v>
      </c>
    </row>
    <row r="194" spans="1:7" ht="12.75">
      <c r="A194">
        <f ca="1">IFERROR(__xludf.DUMMYFUNCTION("""COMPUTED_VALUE"""),193)</f>
        <v>193</v>
      </c>
      <c r="B194">
        <f ca="1">IFERROR(__xludf.DUMMYFUNCTION("""COMPUTED_VALUE"""),192)</f>
        <v>192</v>
      </c>
      <c r="C194" t="str">
        <f ca="1">IFERROR(__xludf.DUMMYFUNCTION("""COMPUTED_VALUE"""),"Richy Werenski")</f>
        <v>Richy Werenski</v>
      </c>
      <c r="D194">
        <f ca="1">IFERROR(__xludf.DUMMYFUNCTION("""COMPUTED_VALUE"""),16)</f>
        <v>16</v>
      </c>
      <c r="E194">
        <f ca="1">IFERROR(__xludf.DUMMYFUNCTION("""COMPUTED_VALUE"""),71.56)</f>
        <v>71.56</v>
      </c>
      <c r="F194" s="1">
        <f ca="1">IFERROR(__xludf.DUMMYFUNCTION("""COMPUTED_VALUE"""),1145)</f>
        <v>1145</v>
      </c>
      <c r="G194">
        <f ca="1">IFERROR(__xludf.DUMMYFUNCTION("""COMPUTED_VALUE"""),16)</f>
        <v>16</v>
      </c>
    </row>
    <row r="195" spans="1:7" ht="12.75">
      <c r="A195" t="str">
        <f ca="1">IFERROR(__xludf.DUMMYFUNCTION("""COMPUTED_VALUE"""),"T194")</f>
        <v>T194</v>
      </c>
      <c r="B195">
        <f ca="1">IFERROR(__xludf.DUMMYFUNCTION("""COMPUTED_VALUE"""),193)</f>
        <v>193</v>
      </c>
      <c r="C195" t="str">
        <f ca="1">IFERROR(__xludf.DUMMYFUNCTION("""COMPUTED_VALUE"""),"Rickie Fowler")</f>
        <v>Rickie Fowler</v>
      </c>
      <c r="D195">
        <f ca="1">IFERROR(__xludf.DUMMYFUNCTION("""COMPUTED_VALUE"""),14)</f>
        <v>14</v>
      </c>
      <c r="E195">
        <f ca="1">IFERROR(__xludf.DUMMYFUNCTION("""COMPUTED_VALUE"""),71.57)</f>
        <v>71.569999999999993</v>
      </c>
      <c r="F195" s="1">
        <f ca="1">IFERROR(__xludf.DUMMYFUNCTION("""COMPUTED_VALUE"""),1002)</f>
        <v>1002</v>
      </c>
      <c r="G195">
        <f ca="1">IFERROR(__xludf.DUMMYFUNCTION("""COMPUTED_VALUE"""),14)</f>
        <v>14</v>
      </c>
    </row>
    <row r="196" spans="1:7" ht="12.75">
      <c r="A196" t="str">
        <f ca="1">IFERROR(__xludf.DUMMYFUNCTION("""COMPUTED_VALUE"""),"T194")</f>
        <v>T194</v>
      </c>
      <c r="B196" t="str">
        <f ca="1">IFERROR(__xludf.DUMMYFUNCTION("""COMPUTED_VALUE"""),"T185")</f>
        <v>T185</v>
      </c>
      <c r="C196" t="str">
        <f ca="1">IFERROR(__xludf.DUMMYFUNCTION("""COMPUTED_VALUE"""),"Jordan Spieth")</f>
        <v>Jordan Spieth</v>
      </c>
      <c r="D196">
        <f ca="1">IFERROR(__xludf.DUMMYFUNCTION("""COMPUTED_VALUE"""),14)</f>
        <v>14</v>
      </c>
      <c r="E196">
        <f ca="1">IFERROR(__xludf.DUMMYFUNCTION("""COMPUTED_VALUE"""),71.57)</f>
        <v>71.569999999999993</v>
      </c>
      <c r="F196" s="1">
        <f ca="1">IFERROR(__xludf.DUMMYFUNCTION("""COMPUTED_VALUE"""),1002)</f>
        <v>1002</v>
      </c>
      <c r="G196">
        <f ca="1">IFERROR(__xludf.DUMMYFUNCTION("""COMPUTED_VALUE"""),14)</f>
        <v>14</v>
      </c>
    </row>
    <row r="197" spans="1:7" ht="12.75">
      <c r="A197">
        <f ca="1">IFERROR(__xludf.DUMMYFUNCTION("""COMPUTED_VALUE"""),196)</f>
        <v>196</v>
      </c>
      <c r="B197" t="str">
        <f ca="1">IFERROR(__xludf.DUMMYFUNCTION("""COMPUTED_VALUE"""),"T194")</f>
        <v>T194</v>
      </c>
      <c r="C197" t="str">
        <f ca="1">IFERROR(__xludf.DUMMYFUNCTION("""COMPUTED_VALUE"""),"Nick Taylor")</f>
        <v>Nick Taylor</v>
      </c>
      <c r="D197">
        <f ca="1">IFERROR(__xludf.DUMMYFUNCTION("""COMPUTED_VALUE"""),12)</f>
        <v>12</v>
      </c>
      <c r="E197">
        <f ca="1">IFERROR(__xludf.DUMMYFUNCTION("""COMPUTED_VALUE"""),71.58)</f>
        <v>71.58</v>
      </c>
      <c r="F197">
        <f ca="1">IFERROR(__xludf.DUMMYFUNCTION("""COMPUTED_VALUE"""),859)</f>
        <v>859</v>
      </c>
      <c r="G197">
        <f ca="1">IFERROR(__xludf.DUMMYFUNCTION("""COMPUTED_VALUE"""),12)</f>
        <v>12</v>
      </c>
    </row>
    <row r="198" spans="1:7" ht="12.75">
      <c r="A198" t="str">
        <f ca="1">IFERROR(__xludf.DUMMYFUNCTION("""COMPUTED_VALUE"""),"T197")</f>
        <v>T197</v>
      </c>
      <c r="B198" t="str">
        <f ca="1">IFERROR(__xludf.DUMMYFUNCTION("""COMPUTED_VALUE"""),"T198")</f>
        <v>T198</v>
      </c>
      <c r="C198" t="str">
        <f ca="1">IFERROR(__xludf.DUMMYFUNCTION("""COMPUTED_VALUE"""),"Aaron Baddeley")</f>
        <v>Aaron Baddeley</v>
      </c>
      <c r="D198">
        <f ca="1">IFERROR(__xludf.DUMMYFUNCTION("""COMPUTED_VALUE"""),8)</f>
        <v>8</v>
      </c>
      <c r="E198">
        <f ca="1">IFERROR(__xludf.DUMMYFUNCTION("""COMPUTED_VALUE"""),71.63)</f>
        <v>71.63</v>
      </c>
      <c r="F198">
        <f ca="1">IFERROR(__xludf.DUMMYFUNCTION("""COMPUTED_VALUE"""),573)</f>
        <v>573</v>
      </c>
      <c r="G198">
        <f ca="1">IFERROR(__xludf.DUMMYFUNCTION("""COMPUTED_VALUE"""),8)</f>
        <v>8</v>
      </c>
    </row>
    <row r="199" spans="1:7" ht="12.75">
      <c r="A199" t="str">
        <f ca="1">IFERROR(__xludf.DUMMYFUNCTION("""COMPUTED_VALUE"""),"T197")</f>
        <v>T197</v>
      </c>
      <c r="B199" t="str">
        <f ca="1">IFERROR(__xludf.DUMMYFUNCTION("""COMPUTED_VALUE"""),"T262")</f>
        <v>T262</v>
      </c>
      <c r="C199" t="str">
        <f ca="1">IFERROR(__xludf.DUMMYFUNCTION("""COMPUTED_VALUE"""),"Adam Scott")</f>
        <v>Adam Scott</v>
      </c>
      <c r="D199">
        <f ca="1">IFERROR(__xludf.DUMMYFUNCTION("""COMPUTED_VALUE"""),8)</f>
        <v>8</v>
      </c>
      <c r="E199">
        <f ca="1">IFERROR(__xludf.DUMMYFUNCTION("""COMPUTED_VALUE"""),71.63)</f>
        <v>71.63</v>
      </c>
      <c r="F199">
        <f ca="1">IFERROR(__xludf.DUMMYFUNCTION("""COMPUTED_VALUE"""),573)</f>
        <v>573</v>
      </c>
      <c r="G199">
        <f ca="1">IFERROR(__xludf.DUMMYFUNCTION("""COMPUTED_VALUE"""),8)</f>
        <v>8</v>
      </c>
    </row>
    <row r="200" spans="1:7" ht="12.75">
      <c r="A200" t="str">
        <f ca="1">IFERROR(__xludf.DUMMYFUNCTION("""COMPUTED_VALUE"""),"T197")</f>
        <v>T197</v>
      </c>
      <c r="B200" t="str">
        <f ca="1">IFERROR(__xludf.DUMMYFUNCTION("""COMPUTED_VALUE"""),"T198")</f>
        <v>T198</v>
      </c>
      <c r="C200" t="str">
        <f ca="1">IFERROR(__xludf.DUMMYFUNCTION("""COMPUTED_VALUE"""),"Peter Uihlein")</f>
        <v>Peter Uihlein</v>
      </c>
      <c r="D200">
        <f ca="1">IFERROR(__xludf.DUMMYFUNCTION("""COMPUTED_VALUE"""),8)</f>
        <v>8</v>
      </c>
      <c r="E200">
        <f ca="1">IFERROR(__xludf.DUMMYFUNCTION("""COMPUTED_VALUE"""),71.63)</f>
        <v>71.63</v>
      </c>
      <c r="F200">
        <f ca="1">IFERROR(__xludf.DUMMYFUNCTION("""COMPUTED_VALUE"""),573)</f>
        <v>573</v>
      </c>
      <c r="G200">
        <f ca="1">IFERROR(__xludf.DUMMYFUNCTION("""COMPUTED_VALUE"""),8)</f>
        <v>8</v>
      </c>
    </row>
    <row r="201" spans="1:7" ht="12.75">
      <c r="A201">
        <f ca="1">IFERROR(__xludf.DUMMYFUNCTION("""COMPUTED_VALUE"""),200)</f>
        <v>200</v>
      </c>
      <c r="B201">
        <f ca="1">IFERROR(__xludf.DUMMYFUNCTION("""COMPUTED_VALUE"""),200)</f>
        <v>200</v>
      </c>
      <c r="C201" t="str">
        <f ca="1">IFERROR(__xludf.DUMMYFUNCTION("""COMPUTED_VALUE"""),"Brendon Todd")</f>
        <v>Brendon Todd</v>
      </c>
      <c r="D201">
        <f ca="1">IFERROR(__xludf.DUMMYFUNCTION("""COMPUTED_VALUE"""),14)</f>
        <v>14</v>
      </c>
      <c r="E201">
        <f ca="1">IFERROR(__xludf.DUMMYFUNCTION("""COMPUTED_VALUE"""),71.64)</f>
        <v>71.64</v>
      </c>
      <c r="F201" s="1">
        <f ca="1">IFERROR(__xludf.DUMMYFUNCTION("""COMPUTED_VALUE"""),1003)</f>
        <v>1003</v>
      </c>
      <c r="G201">
        <f ca="1">IFERROR(__xludf.DUMMYFUNCTION("""COMPUTED_VALUE"""),14)</f>
        <v>14</v>
      </c>
    </row>
    <row r="202" spans="1:7" ht="12.75">
      <c r="A202" t="str">
        <f ca="1">IFERROR(__xludf.DUMMYFUNCTION("""COMPUTED_VALUE"""),"T201")</f>
        <v>T201</v>
      </c>
      <c r="B202" t="str">
        <f ca="1">IFERROR(__xludf.DUMMYFUNCTION("""COMPUTED_VALUE"""),"T201")</f>
        <v>T201</v>
      </c>
      <c r="C202" t="str">
        <f ca="1">IFERROR(__xludf.DUMMYFUNCTION("""COMPUTED_VALUE"""),"K.J. Choi")</f>
        <v>K.J. Choi</v>
      </c>
      <c r="D202">
        <f ca="1">IFERROR(__xludf.DUMMYFUNCTION("""COMPUTED_VALUE"""),6)</f>
        <v>6</v>
      </c>
      <c r="E202">
        <f ca="1">IFERROR(__xludf.DUMMYFUNCTION("""COMPUTED_VALUE"""),71.67)</f>
        <v>71.67</v>
      </c>
      <c r="F202">
        <f ca="1">IFERROR(__xludf.DUMMYFUNCTION("""COMPUTED_VALUE"""),430)</f>
        <v>430</v>
      </c>
      <c r="G202">
        <f ca="1">IFERROR(__xludf.DUMMYFUNCTION("""COMPUTED_VALUE"""),6)</f>
        <v>6</v>
      </c>
    </row>
    <row r="203" spans="1:7" ht="12.75">
      <c r="A203" t="str">
        <f ca="1">IFERROR(__xludf.DUMMYFUNCTION("""COMPUTED_VALUE"""),"T201")</f>
        <v>T201</v>
      </c>
      <c r="B203">
        <f ca="1">IFERROR(__xludf.DUMMYFUNCTION("""COMPUTED_VALUE"""),196)</f>
        <v>196</v>
      </c>
      <c r="C203" t="str">
        <f ca="1">IFERROR(__xludf.DUMMYFUNCTION("""COMPUTED_VALUE"""),"Lucas Glover")</f>
        <v>Lucas Glover</v>
      </c>
      <c r="D203">
        <f ca="1">IFERROR(__xludf.DUMMYFUNCTION("""COMPUTED_VALUE"""),12)</f>
        <v>12</v>
      </c>
      <c r="E203">
        <f ca="1">IFERROR(__xludf.DUMMYFUNCTION("""COMPUTED_VALUE"""),71.67)</f>
        <v>71.67</v>
      </c>
      <c r="F203">
        <f ca="1">IFERROR(__xludf.DUMMYFUNCTION("""COMPUTED_VALUE"""),860)</f>
        <v>860</v>
      </c>
      <c r="G203">
        <f ca="1">IFERROR(__xludf.DUMMYFUNCTION("""COMPUTED_VALUE"""),12)</f>
        <v>12</v>
      </c>
    </row>
    <row r="204" spans="1:7" ht="12.75">
      <c r="A204" t="str">
        <f ca="1">IFERROR(__xludf.DUMMYFUNCTION("""COMPUTED_VALUE"""),"T201")</f>
        <v>T201</v>
      </c>
      <c r="B204" t="str">
        <f ca="1">IFERROR(__xludf.DUMMYFUNCTION("""COMPUTED_VALUE"""),"T201")</f>
        <v>T201</v>
      </c>
      <c r="C204" t="str">
        <f ca="1">IFERROR(__xludf.DUMMYFUNCTION("""COMPUTED_VALUE"""),"Chris Stroud")</f>
        <v>Chris Stroud</v>
      </c>
      <c r="D204">
        <f ca="1">IFERROR(__xludf.DUMMYFUNCTION("""COMPUTED_VALUE"""),6)</f>
        <v>6</v>
      </c>
      <c r="E204">
        <f ca="1">IFERROR(__xludf.DUMMYFUNCTION("""COMPUTED_VALUE"""),71.67)</f>
        <v>71.67</v>
      </c>
      <c r="F204">
        <f ca="1">IFERROR(__xludf.DUMMYFUNCTION("""COMPUTED_VALUE"""),430)</f>
        <v>430</v>
      </c>
      <c r="G204">
        <f ca="1">IFERROR(__xludf.DUMMYFUNCTION("""COMPUTED_VALUE"""),6)</f>
        <v>6</v>
      </c>
    </row>
    <row r="205" spans="1:7" ht="12.75">
      <c r="A205" t="str">
        <f ca="1">IFERROR(__xludf.DUMMYFUNCTION("""COMPUTED_VALUE"""),"T201")</f>
        <v>T201</v>
      </c>
      <c r="B205" t="str">
        <f ca="1">IFERROR(__xludf.DUMMYFUNCTION("""COMPUTED_VALUE"""),"T231")</f>
        <v>T231</v>
      </c>
      <c r="C205" t="str">
        <f ca="1">IFERROR(__xludf.DUMMYFUNCTION("""COMPUTED_VALUE"""),"Max Homa")</f>
        <v>Max Homa</v>
      </c>
      <c r="D205">
        <f ca="1">IFERROR(__xludf.DUMMYFUNCTION("""COMPUTED_VALUE"""),12)</f>
        <v>12</v>
      </c>
      <c r="E205">
        <f ca="1">IFERROR(__xludf.DUMMYFUNCTION("""COMPUTED_VALUE"""),71.67)</f>
        <v>71.67</v>
      </c>
      <c r="F205">
        <f ca="1">IFERROR(__xludf.DUMMYFUNCTION("""COMPUTED_VALUE"""),860)</f>
        <v>860</v>
      </c>
      <c r="G205">
        <f ca="1">IFERROR(__xludf.DUMMYFUNCTION("""COMPUTED_VALUE"""),12)</f>
        <v>12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IFERROR(__xludf.DUMMYFUNCTION("""COMPUTED_VALUE"""),"T181")</f>
        <v>T181</v>
      </c>
      <c r="C206" t="str">
        <f ca="1">IFERROR(__xludf.DUMMYFUNCTION("""COMPUTED_VALUE"""),"Luke Donald")</f>
        <v>Luke Donald</v>
      </c>
      <c r="D206">
        <f ca="1">IFERROR(__xludf.DUMMYFUNCTION("""COMPUTED_VALUE"""),14)</f>
        <v>14</v>
      </c>
      <c r="E206">
        <f ca="1">IFERROR(__xludf.DUMMYFUNCTION("""COMPUTED_VALUE"""),71.71)</f>
        <v>71.709999999999994</v>
      </c>
      <c r="F206" s="1">
        <f ca="1">IFERROR(__xludf.DUMMYFUNCTION("""COMPUTED_VALUE"""),1004)</f>
        <v>1004</v>
      </c>
      <c r="G206">
        <f ca="1">IFERROR(__xludf.DUMMYFUNCTION("""COMPUTED_VALUE"""),14)</f>
        <v>14</v>
      </c>
    </row>
    <row r="207" spans="1:7" ht="12.75">
      <c r="A207" t="str">
        <f ca="1">IFERROR(__xludf.DUMMYFUNCTION("""COMPUTED_VALUE"""),"T205")</f>
        <v>T205</v>
      </c>
      <c r="B207" t="str">
        <f ca="1">IFERROR(__xludf.DUMMYFUNCTION("""COMPUTED_VALUE"""),"T194")</f>
        <v>T194</v>
      </c>
      <c r="C207" t="str">
        <f ca="1">IFERROR(__xludf.DUMMYFUNCTION("""COMPUTED_VALUE"""),"Kelly Kraft")</f>
        <v>Kelly Kraft</v>
      </c>
      <c r="D207">
        <f ca="1">IFERROR(__xludf.DUMMYFUNCTION("""COMPUTED_VALUE"""),14)</f>
        <v>14</v>
      </c>
      <c r="E207">
        <f ca="1">IFERROR(__xludf.DUMMYFUNCTION("""COMPUTED_VALUE"""),71.71)</f>
        <v>71.709999999999994</v>
      </c>
      <c r="F207" s="1">
        <f ca="1">IFERROR(__xludf.DUMMYFUNCTION("""COMPUTED_VALUE"""),1004)</f>
        <v>1004</v>
      </c>
      <c r="G207">
        <f ca="1">IFERROR(__xludf.DUMMYFUNCTION("""COMPUTED_VALUE"""),14)</f>
        <v>14</v>
      </c>
    </row>
    <row r="208" spans="1:7" ht="12.75">
      <c r="A208" t="str">
        <f ca="1">IFERROR(__xludf.DUMMYFUNCTION("""COMPUTED_VALUE"""),"T207")</f>
        <v>T207</v>
      </c>
      <c r="B208" t="str">
        <f ca="1">IFERROR(__xludf.DUMMYFUNCTION("""COMPUTED_VALUE"""),"T206")</f>
        <v>T206</v>
      </c>
      <c r="C208" t="str">
        <f ca="1">IFERROR(__xludf.DUMMYFUNCTION("""COMPUTED_VALUE"""),"Fred Funk")</f>
        <v>Fred Funk</v>
      </c>
      <c r="D208">
        <f ca="1">IFERROR(__xludf.DUMMYFUNCTION("""COMPUTED_VALUE"""),4)</f>
        <v>4</v>
      </c>
      <c r="E208">
        <f ca="1">IFERROR(__xludf.DUMMYFUNCTION("""COMPUTED_VALUE"""),71.75)</f>
        <v>71.75</v>
      </c>
      <c r="F208">
        <f ca="1">IFERROR(__xludf.DUMMYFUNCTION("""COMPUTED_VALUE"""),287)</f>
        <v>287</v>
      </c>
      <c r="G208">
        <f ca="1">IFERROR(__xludf.DUMMYFUNCTION("""COMPUTED_VALUE"""),4)</f>
        <v>4</v>
      </c>
    </row>
    <row r="209" spans="1:7" ht="12.75">
      <c r="A209" t="str">
        <f ca="1">IFERROR(__xludf.DUMMYFUNCTION("""COMPUTED_VALUE"""),"T207")</f>
        <v>T207</v>
      </c>
      <c r="B209" t="str">
        <f ca="1">IFERROR(__xludf.DUMMYFUNCTION("""COMPUTED_VALUE"""),"T206")</f>
        <v>T206</v>
      </c>
      <c r="C209" t="str">
        <f ca="1">IFERROR(__xludf.DUMMYFUNCTION("""COMPUTED_VALUE"""),"Steve Lewton")</f>
        <v>Steve Lewton</v>
      </c>
      <c r="D209">
        <f ca="1">IFERROR(__xludf.DUMMYFUNCTION("""COMPUTED_VALUE"""),4)</f>
        <v>4</v>
      </c>
      <c r="E209">
        <f ca="1">IFERROR(__xludf.DUMMYFUNCTION("""COMPUTED_VALUE"""),71.75)</f>
        <v>71.75</v>
      </c>
      <c r="F209">
        <f ca="1">IFERROR(__xludf.DUMMYFUNCTION("""COMPUTED_VALUE"""),287)</f>
        <v>287</v>
      </c>
      <c r="G209">
        <f ca="1">IFERROR(__xludf.DUMMYFUNCTION("""COMPUTED_VALUE"""),4)</f>
        <v>4</v>
      </c>
    </row>
    <row r="210" spans="1:7" ht="12.75">
      <c r="A210" t="str">
        <f ca="1">IFERROR(__xludf.DUMMYFUNCTION("""COMPUTED_VALUE"""),"T207")</f>
        <v>T207</v>
      </c>
      <c r="B210">
        <f ca="1">IFERROR(__xludf.DUMMYFUNCTION("""COMPUTED_VALUE"""),197)</f>
        <v>197</v>
      </c>
      <c r="C210" t="str">
        <f ca="1">IFERROR(__xludf.DUMMYFUNCTION("""COMPUTED_VALUE"""),"Kyoung-Hoon Lee")</f>
        <v>Kyoung-Hoon Lee</v>
      </c>
      <c r="D210">
        <f ca="1">IFERROR(__xludf.DUMMYFUNCTION("""COMPUTED_VALUE"""),20)</f>
        <v>20</v>
      </c>
      <c r="E210">
        <f ca="1">IFERROR(__xludf.DUMMYFUNCTION("""COMPUTED_VALUE"""),71.75)</f>
        <v>71.75</v>
      </c>
      <c r="F210" s="1">
        <f ca="1">IFERROR(__xludf.DUMMYFUNCTION("""COMPUTED_VALUE"""),1435)</f>
        <v>1435</v>
      </c>
      <c r="G210">
        <f ca="1">IFERROR(__xludf.DUMMYFUNCTION("""COMPUTED_VALUE"""),20)</f>
        <v>20</v>
      </c>
    </row>
    <row r="211" spans="1:7" ht="12.75">
      <c r="A211" t="str">
        <f ca="1">IFERROR(__xludf.DUMMYFUNCTION("""COMPUTED_VALUE"""),"T207")</f>
        <v>T207</v>
      </c>
      <c r="B211" t="str">
        <f ca="1">IFERROR(__xludf.DUMMYFUNCTION("""COMPUTED_VALUE"""),"T206")</f>
        <v>T206</v>
      </c>
      <c r="C211" t="str">
        <f ca="1">IFERROR(__xludf.DUMMYFUNCTION("""COMPUTED_VALUE"""),"Rikuya Hoshino")</f>
        <v>Rikuya Hoshino</v>
      </c>
      <c r="D211">
        <f ca="1">IFERROR(__xludf.DUMMYFUNCTION("""COMPUTED_VALUE"""),4)</f>
        <v>4</v>
      </c>
      <c r="E211">
        <f ca="1">IFERROR(__xludf.DUMMYFUNCTION("""COMPUTED_VALUE"""),71.75)</f>
        <v>71.75</v>
      </c>
      <c r="F211">
        <f ca="1">IFERROR(__xludf.DUMMYFUNCTION("""COMPUTED_VALUE"""),287)</f>
        <v>287</v>
      </c>
      <c r="G211">
        <f ca="1">IFERROR(__xludf.DUMMYFUNCTION("""COMPUTED_VALUE"""),4)</f>
        <v>4</v>
      </c>
    </row>
    <row r="212" spans="1:7" ht="12.75">
      <c r="A212" t="str">
        <f ca="1">IFERROR(__xludf.DUMMYFUNCTION("""COMPUTED_VALUE"""),"T207")</f>
        <v>T207</v>
      </c>
      <c r="B212" t="str">
        <f ca="1">IFERROR(__xludf.DUMMYFUNCTION("""COMPUTED_VALUE"""),"T206")</f>
        <v>T206</v>
      </c>
      <c r="C212" t="str">
        <f ca="1">IFERROR(__xludf.DUMMYFUNCTION("""COMPUTED_VALUE"""),"Hanbyeol Kim")</f>
        <v>Hanbyeol Kim</v>
      </c>
      <c r="D212">
        <f ca="1">IFERROR(__xludf.DUMMYFUNCTION("""COMPUTED_VALUE"""),4)</f>
        <v>4</v>
      </c>
      <c r="E212">
        <f ca="1">IFERROR(__xludf.DUMMYFUNCTION("""COMPUTED_VALUE"""),71.75)</f>
        <v>71.75</v>
      </c>
      <c r="F212">
        <f ca="1">IFERROR(__xludf.DUMMYFUNCTION("""COMPUTED_VALUE"""),287)</f>
        <v>287</v>
      </c>
      <c r="G212">
        <f ca="1">IFERROR(__xludf.DUMMYFUNCTION("""COMPUTED_VALUE"""),4)</f>
        <v>4</v>
      </c>
    </row>
    <row r="213" spans="1:7" ht="12.75">
      <c r="A213">
        <f ca="1">IFERROR(__xludf.DUMMYFUNCTION("""COMPUTED_VALUE"""),212)</f>
        <v>212</v>
      </c>
      <c r="B213" t="str">
        <f ca="1">IFERROR(__xludf.DUMMYFUNCTION("""COMPUTED_VALUE"""),"T150")</f>
        <v>T150</v>
      </c>
      <c r="C213" t="str">
        <f ca="1">IFERROR(__xludf.DUMMYFUNCTION("""COMPUTED_VALUE"""),"Keith Mitchell")</f>
        <v>Keith Mitchell</v>
      </c>
      <c r="D213">
        <f ca="1">IFERROR(__xludf.DUMMYFUNCTION("""COMPUTED_VALUE"""),14)</f>
        <v>14</v>
      </c>
      <c r="E213">
        <f ca="1">IFERROR(__xludf.DUMMYFUNCTION("""COMPUTED_VALUE"""),71.79)</f>
        <v>71.790000000000006</v>
      </c>
      <c r="F213" s="1">
        <f ca="1">IFERROR(__xludf.DUMMYFUNCTION("""COMPUTED_VALUE"""),1005)</f>
        <v>1005</v>
      </c>
      <c r="G213">
        <f ca="1">IFERROR(__xludf.DUMMYFUNCTION("""COMPUTED_VALUE"""),14)</f>
        <v>14</v>
      </c>
    </row>
    <row r="214" spans="1:7" ht="12.75">
      <c r="A214">
        <f ca="1">IFERROR(__xludf.DUMMYFUNCTION("""COMPUTED_VALUE"""),213)</f>
        <v>213</v>
      </c>
      <c r="B214" t="str">
        <f ca="1">IFERROR(__xludf.DUMMYFUNCTION("""COMPUTED_VALUE"""),"T212")</f>
        <v>T212</v>
      </c>
      <c r="C214" t="str">
        <f ca="1">IFERROR(__xludf.DUMMYFUNCTION("""COMPUTED_VALUE"""),"Brandon Hagy")</f>
        <v>Brandon Hagy</v>
      </c>
      <c r="D214">
        <f ca="1">IFERROR(__xludf.DUMMYFUNCTION("""COMPUTED_VALUE"""),10)</f>
        <v>10</v>
      </c>
      <c r="E214">
        <f ca="1">IFERROR(__xludf.DUMMYFUNCTION("""COMPUTED_VALUE"""),71.8)</f>
        <v>71.8</v>
      </c>
      <c r="F214">
        <f ca="1">IFERROR(__xludf.DUMMYFUNCTION("""COMPUTED_VALUE"""),718)</f>
        <v>718</v>
      </c>
      <c r="G214">
        <f ca="1">IFERROR(__xludf.DUMMYFUNCTION("""COMPUTED_VALUE"""),10)</f>
        <v>10</v>
      </c>
    </row>
    <row r="215" spans="1:7" ht="12.75">
      <c r="A215">
        <f ca="1">IFERROR(__xludf.DUMMYFUNCTION("""COMPUTED_VALUE"""),214)</f>
        <v>214</v>
      </c>
      <c r="B215">
        <f ca="1">IFERROR(__xludf.DUMMYFUNCTION("""COMPUTED_VALUE"""),184)</f>
        <v>184</v>
      </c>
      <c r="C215" t="str">
        <f ca="1">IFERROR(__xludf.DUMMYFUNCTION("""COMPUTED_VALUE"""),"Henrik Stenson")</f>
        <v>Henrik Stenson</v>
      </c>
      <c r="D215">
        <f ca="1">IFERROR(__xludf.DUMMYFUNCTION("""COMPUTED_VALUE"""),11)</f>
        <v>11</v>
      </c>
      <c r="E215">
        <f ca="1">IFERROR(__xludf.DUMMYFUNCTION("""COMPUTED_VALUE"""),71.82)</f>
        <v>71.819999999999993</v>
      </c>
      <c r="F215">
        <f ca="1">IFERROR(__xludf.DUMMYFUNCTION("""COMPUTED_VALUE"""),790)</f>
        <v>790</v>
      </c>
      <c r="G215">
        <f ca="1">IFERROR(__xludf.DUMMYFUNCTION("""COMPUTED_VALUE"""),11)</f>
        <v>11</v>
      </c>
    </row>
    <row r="216" spans="1:7" ht="12.75">
      <c r="A216" t="str">
        <f ca="1">IFERROR(__xludf.DUMMYFUNCTION("""COMPUTED_VALUE"""),"T215")</f>
        <v>T215</v>
      </c>
      <c r="B216" t="str">
        <f ca="1">IFERROR(__xludf.DUMMYFUNCTION("""COMPUTED_VALUE"""),"")</f>
        <v/>
      </c>
      <c r="C216" t="str">
        <f ca="1">IFERROR(__xludf.DUMMYFUNCTION("""COMPUTED_VALUE"""),"Greg Chalmers")</f>
        <v>Greg Chalmers</v>
      </c>
      <c r="D216">
        <f ca="1">IFERROR(__xludf.DUMMYFUNCTION("""COMPUTED_VALUE"""),6)</f>
        <v>6</v>
      </c>
      <c r="E216">
        <f ca="1">IFERROR(__xludf.DUMMYFUNCTION("""COMPUTED_VALUE"""),71.83)</f>
        <v>71.83</v>
      </c>
      <c r="F216">
        <f ca="1">IFERROR(__xludf.DUMMYFUNCTION("""COMPUTED_VALUE"""),431)</f>
        <v>431</v>
      </c>
      <c r="G216">
        <f ca="1">IFERROR(__xludf.DUMMYFUNCTION("""COMPUTED_VALUE"""),6)</f>
        <v>6</v>
      </c>
    </row>
    <row r="217" spans="1:7" ht="12.75">
      <c r="A217" t="str">
        <f ca="1">IFERROR(__xludf.DUMMYFUNCTION("""COMPUTED_VALUE"""),"T215")</f>
        <v>T215</v>
      </c>
      <c r="B217" t="str">
        <f ca="1">IFERROR(__xludf.DUMMYFUNCTION("""COMPUTED_VALUE"""),"T214")</f>
        <v>T214</v>
      </c>
      <c r="C217" t="str">
        <f ca="1">IFERROR(__xludf.DUMMYFUNCTION("""COMPUTED_VALUE"""),"Josh Teater")</f>
        <v>Josh Teater</v>
      </c>
      <c r="D217">
        <f ca="1">IFERROR(__xludf.DUMMYFUNCTION("""COMPUTED_VALUE"""),6)</f>
        <v>6</v>
      </c>
      <c r="E217">
        <f ca="1">IFERROR(__xludf.DUMMYFUNCTION("""COMPUTED_VALUE"""),71.83)</f>
        <v>71.83</v>
      </c>
      <c r="F217">
        <f ca="1">IFERROR(__xludf.DUMMYFUNCTION("""COMPUTED_VALUE"""),431)</f>
        <v>431</v>
      </c>
      <c r="G217">
        <f ca="1">IFERROR(__xludf.DUMMYFUNCTION("""COMPUTED_VALUE"""),6)</f>
        <v>6</v>
      </c>
    </row>
    <row r="218" spans="1:7" ht="12.75">
      <c r="A218" t="str">
        <f ca="1">IFERROR(__xludf.DUMMYFUNCTION("""COMPUTED_VALUE"""),"T215")</f>
        <v>T215</v>
      </c>
      <c r="B218" t="str">
        <f ca="1">IFERROR(__xludf.DUMMYFUNCTION("""COMPUTED_VALUE"""),"T214")</f>
        <v>T214</v>
      </c>
      <c r="C218" t="str">
        <f ca="1">IFERROR(__xludf.DUMMYFUNCTION("""COMPUTED_VALUE"""),"Billy Horschel")</f>
        <v>Billy Horschel</v>
      </c>
      <c r="D218">
        <f ca="1">IFERROR(__xludf.DUMMYFUNCTION("""COMPUTED_VALUE"""),12)</f>
        <v>12</v>
      </c>
      <c r="E218">
        <f ca="1">IFERROR(__xludf.DUMMYFUNCTION("""COMPUTED_VALUE"""),71.83)</f>
        <v>71.83</v>
      </c>
      <c r="F218">
        <f ca="1">IFERROR(__xludf.DUMMYFUNCTION("""COMPUTED_VALUE"""),862)</f>
        <v>862</v>
      </c>
      <c r="G218">
        <f ca="1">IFERROR(__xludf.DUMMYFUNCTION("""COMPUTED_VALUE"""),12)</f>
        <v>12</v>
      </c>
    </row>
    <row r="219" spans="1:7" ht="12.75">
      <c r="A219">
        <f ca="1">IFERROR(__xludf.DUMMYFUNCTION("""COMPUTED_VALUE"""),218)</f>
        <v>218</v>
      </c>
      <c r="B219" t="str">
        <f ca="1">IFERROR(__xludf.DUMMYFUNCTION("""COMPUTED_VALUE"""),"T217")</f>
        <v>T217</v>
      </c>
      <c r="C219" t="str">
        <f ca="1">IFERROR(__xludf.DUMMYFUNCTION("""COMPUTED_VALUE"""),"Sangmoon Bae")</f>
        <v>Sangmoon Bae</v>
      </c>
      <c r="D219">
        <f ca="1">IFERROR(__xludf.DUMMYFUNCTION("""COMPUTED_VALUE"""),8)</f>
        <v>8</v>
      </c>
      <c r="E219">
        <f ca="1">IFERROR(__xludf.DUMMYFUNCTION("""COMPUTED_VALUE"""),71.88)</f>
        <v>71.88</v>
      </c>
      <c r="F219">
        <f ca="1">IFERROR(__xludf.DUMMYFUNCTION("""COMPUTED_VALUE"""),575)</f>
        <v>575</v>
      </c>
      <c r="G219">
        <f ca="1">IFERROR(__xludf.DUMMYFUNCTION("""COMPUTED_VALUE"""),8)</f>
        <v>8</v>
      </c>
    </row>
    <row r="220" spans="1:7" ht="12.75">
      <c r="A220">
        <f ca="1">IFERROR(__xludf.DUMMYFUNCTION("""COMPUTED_VALUE"""),219)</f>
        <v>219</v>
      </c>
      <c r="B220" t="str">
        <f ca="1">IFERROR(__xludf.DUMMYFUNCTION("""COMPUTED_VALUE"""),"T220")</f>
        <v>T220</v>
      </c>
      <c r="C220" t="str">
        <f ca="1">IFERROR(__xludf.DUMMYFUNCTION("""COMPUTED_VALUE"""),"Tommy Fleetwood")</f>
        <v>Tommy Fleetwood</v>
      </c>
      <c r="D220">
        <f ca="1">IFERROR(__xludf.DUMMYFUNCTION("""COMPUTED_VALUE"""),10)</f>
        <v>10</v>
      </c>
      <c r="E220">
        <f ca="1">IFERROR(__xludf.DUMMYFUNCTION("""COMPUTED_VALUE"""),71.9)</f>
        <v>71.900000000000006</v>
      </c>
      <c r="F220">
        <f ca="1">IFERROR(__xludf.DUMMYFUNCTION("""COMPUTED_VALUE"""),719)</f>
        <v>719</v>
      </c>
      <c r="G220">
        <f ca="1">IFERROR(__xludf.DUMMYFUNCTION("""COMPUTED_VALUE"""),10)</f>
        <v>10</v>
      </c>
    </row>
    <row r="221" spans="1:7" ht="12.75">
      <c r="A221">
        <f ca="1">IFERROR(__xludf.DUMMYFUNCTION("""COMPUTED_VALUE"""),220)</f>
        <v>220</v>
      </c>
      <c r="B221">
        <f ca="1">IFERROR(__xludf.DUMMYFUNCTION("""COMPUTED_VALUE"""),183)</f>
        <v>183</v>
      </c>
      <c r="C221" t="str">
        <f ca="1">IFERROR(__xludf.DUMMYFUNCTION("""COMPUTED_VALUE"""),"Branden Grace")</f>
        <v>Branden Grace</v>
      </c>
      <c r="D221">
        <f ca="1">IFERROR(__xludf.DUMMYFUNCTION("""COMPUTED_VALUE"""),16)</f>
        <v>16</v>
      </c>
      <c r="E221">
        <f ca="1">IFERROR(__xludf.DUMMYFUNCTION("""COMPUTED_VALUE"""),71.94)</f>
        <v>71.94</v>
      </c>
      <c r="F221" s="1">
        <f ca="1">IFERROR(__xludf.DUMMYFUNCTION("""COMPUTED_VALUE"""),1151)</f>
        <v>1151</v>
      </c>
      <c r="G221">
        <f ca="1">IFERROR(__xludf.DUMMYFUNCTION("""COMPUTED_VALUE"""),16)</f>
        <v>16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IFERROR(__xludf.DUMMYFUNCTION("""COMPUTED_VALUE"""),"T222")</f>
        <v>T222</v>
      </c>
      <c r="C222" t="str">
        <f ca="1">IFERROR(__xludf.DUMMYFUNCTION("""COMPUTED_VALUE"""),"Arjun Atwal")</f>
        <v>Arjun Atwal</v>
      </c>
      <c r="D222">
        <f ca="1">IFERROR(__xludf.DUMMYFUNCTION("""COMPUTED_VALUE"""),6)</f>
        <v>6</v>
      </c>
      <c r="E222">
        <f ca="1">IFERROR(__xludf.DUMMYFUNCTION("""COMPUTED_VALUE"""),72)</f>
        <v>72</v>
      </c>
      <c r="F222">
        <f ca="1">IFERROR(__xludf.DUMMYFUNCTION("""COMPUTED_VALUE"""),432)</f>
        <v>432</v>
      </c>
      <c r="G222">
        <f ca="1">IFERROR(__xludf.DUMMYFUNCTION("""COMPUTED_VALUE"""),6)</f>
        <v>6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IFERROR(__xludf.DUMMYFUNCTION("""COMPUTED_VALUE"""),"T222")</f>
        <v>T222</v>
      </c>
      <c r="C223" t="str">
        <f ca="1">IFERROR(__xludf.DUMMYFUNCTION("""COMPUTED_VALUE"""),"Ian Poulter")</f>
        <v>Ian Poulter</v>
      </c>
      <c r="D223">
        <f ca="1">IFERROR(__xludf.DUMMYFUNCTION("""COMPUTED_VALUE"""),6)</f>
        <v>6</v>
      </c>
      <c r="E223">
        <f ca="1">IFERROR(__xludf.DUMMYFUNCTION("""COMPUTED_VALUE"""),72)</f>
        <v>72</v>
      </c>
      <c r="F223">
        <f ca="1">IFERROR(__xludf.DUMMYFUNCTION("""COMPUTED_VALUE"""),432)</f>
        <v>432</v>
      </c>
      <c r="G223">
        <f ca="1">IFERROR(__xludf.DUMMYFUNCTION("""COMPUTED_VALUE"""),6)</f>
        <v>6</v>
      </c>
    </row>
    <row r="224" spans="1:7" ht="12.75">
      <c r="A224" t="str">
        <f ca="1">IFERROR(__xludf.DUMMYFUNCTION("""COMPUTED_VALUE"""),"T221")</f>
        <v>T221</v>
      </c>
      <c r="B224" t="str">
        <f ca="1">IFERROR(__xludf.DUMMYFUNCTION("""COMPUTED_VALUE"""),"T163")</f>
        <v>T163</v>
      </c>
      <c r="C224" t="str">
        <f ca="1">IFERROR(__xludf.DUMMYFUNCTION("""COMPUTED_VALUE"""),"Bronson Burgoon")</f>
        <v>Bronson Burgoon</v>
      </c>
      <c r="D224">
        <f ca="1">IFERROR(__xludf.DUMMYFUNCTION("""COMPUTED_VALUE"""),10)</f>
        <v>10</v>
      </c>
      <c r="E224">
        <f ca="1">IFERROR(__xludf.DUMMYFUNCTION("""COMPUTED_VALUE"""),72)</f>
        <v>72</v>
      </c>
      <c r="F224">
        <f ca="1">IFERROR(__xludf.DUMMYFUNCTION("""COMPUTED_VALUE"""),720)</f>
        <v>720</v>
      </c>
      <c r="G224">
        <f ca="1">IFERROR(__xludf.DUMMYFUNCTION("""COMPUTED_VALUE"""),10)</f>
        <v>10</v>
      </c>
    </row>
    <row r="225" spans="1:7" ht="12.75">
      <c r="A225" t="str">
        <f ca="1">IFERROR(__xludf.DUMMYFUNCTION("""COMPUTED_VALUE"""),"T221")</f>
        <v>T221</v>
      </c>
      <c r="B225" t="str">
        <f ca="1">IFERROR(__xludf.DUMMYFUNCTION("""COMPUTED_VALUE"""),"T222")</f>
        <v>T222</v>
      </c>
      <c r="C225" t="str">
        <f ca="1">IFERROR(__xludf.DUMMYFUNCTION("""COMPUTED_VALUE"""),"Roberto Díaz")</f>
        <v>Roberto Díaz</v>
      </c>
      <c r="D225">
        <f ca="1">IFERROR(__xludf.DUMMYFUNCTION("""COMPUTED_VALUE"""),4)</f>
        <v>4</v>
      </c>
      <c r="E225">
        <f ca="1">IFERROR(__xludf.DUMMYFUNCTION("""COMPUTED_VALUE"""),72)</f>
        <v>72</v>
      </c>
      <c r="F225">
        <f ca="1">IFERROR(__xludf.DUMMYFUNCTION("""COMPUTED_VALUE"""),288)</f>
        <v>288</v>
      </c>
      <c r="G225">
        <f ca="1">IFERROR(__xludf.DUMMYFUNCTION("""COMPUTED_VALUE"""),4)</f>
        <v>4</v>
      </c>
    </row>
    <row r="226" spans="1:7" ht="12.75">
      <c r="A226" t="str">
        <f ca="1">IFERROR(__xludf.DUMMYFUNCTION("""COMPUTED_VALUE"""),"T221")</f>
        <v>T221</v>
      </c>
      <c r="B226" t="str">
        <f ca="1">IFERROR(__xludf.DUMMYFUNCTION("""COMPUTED_VALUE"""),"T212")</f>
        <v>T212</v>
      </c>
      <c r="C226" t="str">
        <f ca="1">IFERROR(__xludf.DUMMYFUNCTION("""COMPUTED_VALUE"""),"Michael Kim")</f>
        <v>Michael Kim</v>
      </c>
      <c r="D226">
        <f ca="1">IFERROR(__xludf.DUMMYFUNCTION("""COMPUTED_VALUE"""),12)</f>
        <v>12</v>
      </c>
      <c r="E226">
        <f ca="1">IFERROR(__xludf.DUMMYFUNCTION("""COMPUTED_VALUE"""),72)</f>
        <v>72</v>
      </c>
      <c r="F226">
        <f ca="1">IFERROR(__xludf.DUMMYFUNCTION("""COMPUTED_VALUE"""),864)</f>
        <v>864</v>
      </c>
      <c r="G226">
        <f ca="1">IFERROR(__xludf.DUMMYFUNCTION("""COMPUTED_VALUE"""),12)</f>
        <v>12</v>
      </c>
    </row>
    <row r="227" spans="1:7" ht="12.75">
      <c r="A227" t="str">
        <f ca="1">IFERROR(__xludf.DUMMYFUNCTION("""COMPUTED_VALUE"""),"T221")</f>
        <v>T221</v>
      </c>
      <c r="B227" t="str">
        <f ca="1">IFERROR(__xludf.DUMMYFUNCTION("""COMPUTED_VALUE"""),"T222")</f>
        <v>T222</v>
      </c>
      <c r="C227" t="str">
        <f ca="1">IFERROR(__xludf.DUMMYFUNCTION("""COMPUTED_VALUE"""),"Jazz Janewattananond")</f>
        <v>Jazz Janewattananond</v>
      </c>
      <c r="D227">
        <f ca="1">IFERROR(__xludf.DUMMYFUNCTION("""COMPUTED_VALUE"""),6)</f>
        <v>6</v>
      </c>
      <c r="E227">
        <f ca="1">IFERROR(__xludf.DUMMYFUNCTION("""COMPUTED_VALUE"""),72)</f>
        <v>72</v>
      </c>
      <c r="F227">
        <f ca="1">IFERROR(__xludf.DUMMYFUNCTION("""COMPUTED_VALUE"""),432)</f>
        <v>432</v>
      </c>
      <c r="G227">
        <f ca="1">IFERROR(__xludf.DUMMYFUNCTION("""COMPUTED_VALUE"""),6)</f>
        <v>6</v>
      </c>
    </row>
    <row r="228" spans="1:7" ht="12.75">
      <c r="A228" t="str">
        <f ca="1">IFERROR(__xludf.DUMMYFUNCTION("""COMPUTED_VALUE"""),"T227")</f>
        <v>T227</v>
      </c>
      <c r="B228" t="str">
        <f ca="1">IFERROR(__xludf.DUMMYFUNCTION("""COMPUTED_VALUE"""),"T227")</f>
        <v>T227</v>
      </c>
      <c r="C228" t="str">
        <f ca="1">IFERROR(__xludf.DUMMYFUNCTION("""COMPUTED_VALUE"""),"John Senden")</f>
        <v>John Senden</v>
      </c>
      <c r="D228">
        <f ca="1">IFERROR(__xludf.DUMMYFUNCTION("""COMPUTED_VALUE"""),8)</f>
        <v>8</v>
      </c>
      <c r="E228">
        <f ca="1">IFERROR(__xludf.DUMMYFUNCTION("""COMPUTED_VALUE"""),72.13)</f>
        <v>72.13</v>
      </c>
      <c r="F228">
        <f ca="1">IFERROR(__xludf.DUMMYFUNCTION("""COMPUTED_VALUE"""),577)</f>
        <v>577</v>
      </c>
      <c r="G228">
        <f ca="1">IFERROR(__xludf.DUMMYFUNCTION("""COMPUTED_VALUE"""),8)</f>
        <v>8</v>
      </c>
    </row>
    <row r="229" spans="1:7" ht="12.75">
      <c r="A229" t="str">
        <f ca="1">IFERROR(__xludf.DUMMYFUNCTION("""COMPUTED_VALUE"""),"T227")</f>
        <v>T227</v>
      </c>
      <c r="B229" t="str">
        <f ca="1">IFERROR(__xludf.DUMMYFUNCTION("""COMPUTED_VALUE"""),"T227")</f>
        <v>T227</v>
      </c>
      <c r="C229" t="str">
        <f ca="1">IFERROR(__xludf.DUMMYFUNCTION("""COMPUTED_VALUE"""),"George McNeill")</f>
        <v>George McNeill</v>
      </c>
      <c r="D229">
        <f ca="1">IFERROR(__xludf.DUMMYFUNCTION("""COMPUTED_VALUE"""),8)</f>
        <v>8</v>
      </c>
      <c r="E229">
        <f ca="1">IFERROR(__xludf.DUMMYFUNCTION("""COMPUTED_VALUE"""),72.13)</f>
        <v>72.13</v>
      </c>
      <c r="F229">
        <f ca="1">IFERROR(__xludf.DUMMYFUNCTION("""COMPUTED_VALUE"""),577)</f>
        <v>577</v>
      </c>
      <c r="G229">
        <f ca="1">IFERROR(__xludf.DUMMYFUNCTION("""COMPUTED_VALUE"""),8)</f>
        <v>8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IFERROR(__xludf.DUMMYFUNCTION("""COMPUTED_VALUE"""),"T206")</f>
        <v>T206</v>
      </c>
      <c r="C230" t="str">
        <f ca="1">IFERROR(__xludf.DUMMYFUNCTION("""COMPUTED_VALUE"""),"Lee Westwood")</f>
        <v>Lee Westwood</v>
      </c>
      <c r="D230">
        <f ca="1">IFERROR(__xludf.DUMMYFUNCTION("""COMPUTED_VALUE"""),6)</f>
        <v>6</v>
      </c>
      <c r="E230">
        <f ca="1">IFERROR(__xludf.DUMMYFUNCTION("""COMPUTED_VALUE"""),72.17)</f>
        <v>72.17</v>
      </c>
      <c r="F230">
        <f ca="1">IFERROR(__xludf.DUMMYFUNCTION("""COMPUTED_VALUE"""),433)</f>
        <v>433</v>
      </c>
      <c r="G230">
        <f ca="1">IFERROR(__xludf.DUMMYFUNCTION("""COMPUTED_VALUE"""),6)</f>
        <v>6</v>
      </c>
    </row>
    <row r="231" spans="1:7" ht="12.75">
      <c r="A231" t="str">
        <f ca="1">IFERROR(__xludf.DUMMYFUNCTION("""COMPUTED_VALUE"""),"T229")</f>
        <v>T229</v>
      </c>
      <c r="B231" t="str">
        <f ca="1">IFERROR(__xludf.DUMMYFUNCTION("""COMPUTED_VALUE"""),"")</f>
        <v/>
      </c>
      <c r="C231" t="str">
        <f ca="1">IFERROR(__xludf.DUMMYFUNCTION("""COMPUTED_VALUE"""),"Justin Harding")</f>
        <v>Justin Harding</v>
      </c>
      <c r="D231">
        <f ca="1">IFERROR(__xludf.DUMMYFUNCTION("""COMPUTED_VALUE"""),6)</f>
        <v>6</v>
      </c>
      <c r="E231">
        <f ca="1">IFERROR(__xludf.DUMMYFUNCTION("""COMPUTED_VALUE"""),72.17)</f>
        <v>72.17</v>
      </c>
      <c r="F231">
        <f ca="1">IFERROR(__xludf.DUMMYFUNCTION("""COMPUTED_VALUE"""),433)</f>
        <v>433</v>
      </c>
      <c r="G231">
        <f ca="1">IFERROR(__xludf.DUMMYFUNCTION("""COMPUTED_VALUE"""),6)</f>
        <v>6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IFERROR(__xludf.DUMMYFUNCTION("""COMPUTED_VALUE"""),"T231")</f>
        <v>T231</v>
      </c>
      <c r="C232" t="str">
        <f ca="1">IFERROR(__xludf.DUMMYFUNCTION("""COMPUTED_VALUE"""),"Jay McLuen")</f>
        <v>Jay McLuen</v>
      </c>
      <c r="D232">
        <f ca="1">IFERROR(__xludf.DUMMYFUNCTION("""COMPUTED_VALUE"""),4)</f>
        <v>4</v>
      </c>
      <c r="E232">
        <f ca="1">IFERROR(__xludf.DUMMYFUNCTION("""COMPUTED_VALUE"""),72.25)</f>
        <v>72.25</v>
      </c>
      <c r="F232">
        <f ca="1">IFERROR(__xludf.DUMMYFUNCTION("""COMPUTED_VALUE"""),289)</f>
        <v>289</v>
      </c>
      <c r="G232">
        <f ca="1">IFERROR(__xludf.DUMMYFUNCTION("""COMPUTED_VALUE"""),4)</f>
        <v>4</v>
      </c>
    </row>
    <row r="233" spans="1:7" ht="12.75">
      <c r="A233" t="str">
        <f ca="1">IFERROR(__xludf.DUMMYFUNCTION("""COMPUTED_VALUE"""),"T231")</f>
        <v>T231</v>
      </c>
      <c r="B233" t="str">
        <f ca="1">IFERROR(__xludf.DUMMYFUNCTION("""COMPUTED_VALUE"""),"T231")</f>
        <v>T231</v>
      </c>
      <c r="C233" t="str">
        <f ca="1">IFERROR(__xludf.DUMMYFUNCTION("""COMPUTED_VALUE"""),"Jim Herman")</f>
        <v>Jim Herman</v>
      </c>
      <c r="D233">
        <f ca="1">IFERROR(__xludf.DUMMYFUNCTION("""COMPUTED_VALUE"""),12)</f>
        <v>12</v>
      </c>
      <c r="E233">
        <f ca="1">IFERROR(__xludf.DUMMYFUNCTION("""COMPUTED_VALUE"""),72.25)</f>
        <v>72.25</v>
      </c>
      <c r="F233">
        <f ca="1">IFERROR(__xludf.DUMMYFUNCTION("""COMPUTED_VALUE"""),867)</f>
        <v>867</v>
      </c>
      <c r="G233">
        <f ca="1">IFERROR(__xludf.DUMMYFUNCTION("""COMPUTED_VALUE"""),12)</f>
        <v>12</v>
      </c>
    </row>
    <row r="234" spans="1:7" ht="12.75">
      <c r="A234" t="str">
        <f ca="1">IFERROR(__xludf.DUMMYFUNCTION("""COMPUTED_VALUE"""),"T231")</f>
        <v>T231</v>
      </c>
      <c r="B234" t="str">
        <f ca="1">IFERROR(__xludf.DUMMYFUNCTION("""COMPUTED_VALUE"""),"T231")</f>
        <v>T231</v>
      </c>
      <c r="C234" t="str">
        <f ca="1">IFERROR(__xludf.DUMMYFUNCTION("""COMPUTED_VALUE"""),"Thomas Detry")</f>
        <v>Thomas Detry</v>
      </c>
      <c r="D234">
        <f ca="1">IFERROR(__xludf.DUMMYFUNCTION("""COMPUTED_VALUE"""),8)</f>
        <v>8</v>
      </c>
      <c r="E234">
        <f ca="1">IFERROR(__xludf.DUMMYFUNCTION("""COMPUTED_VALUE"""),72.25)</f>
        <v>72.25</v>
      </c>
      <c r="F234">
        <f ca="1">IFERROR(__xludf.DUMMYFUNCTION("""COMPUTED_VALUE"""),578)</f>
        <v>578</v>
      </c>
      <c r="G234">
        <f ca="1">IFERROR(__xludf.DUMMYFUNCTION("""COMPUTED_VALUE"""),8)</f>
        <v>8</v>
      </c>
    </row>
    <row r="235" spans="1:7" ht="12.75">
      <c r="A235" t="str">
        <f ca="1">IFERROR(__xludf.DUMMYFUNCTION("""COMPUTED_VALUE"""),"T231")</f>
        <v>T231</v>
      </c>
      <c r="B235" t="str">
        <f ca="1">IFERROR(__xludf.DUMMYFUNCTION("""COMPUTED_VALUE"""),"T231")</f>
        <v>T231</v>
      </c>
      <c r="C235" t="str">
        <f ca="1">IFERROR(__xludf.DUMMYFUNCTION("""COMPUTED_VALUE"""),"Naoki Sekito")</f>
        <v>Naoki Sekito</v>
      </c>
      <c r="D235">
        <f ca="1">IFERROR(__xludf.DUMMYFUNCTION("""COMPUTED_VALUE"""),4)</f>
        <v>4</v>
      </c>
      <c r="E235">
        <f ca="1">IFERROR(__xludf.DUMMYFUNCTION("""COMPUTED_VALUE"""),72.25)</f>
        <v>72.25</v>
      </c>
      <c r="F235">
        <f ca="1">IFERROR(__xludf.DUMMYFUNCTION("""COMPUTED_VALUE"""),289)</f>
        <v>289</v>
      </c>
      <c r="G235">
        <f ca="1">IFERROR(__xludf.DUMMYFUNCTION("""COMPUTED_VALUE"""),4)</f>
        <v>4</v>
      </c>
    </row>
    <row r="236" spans="1:7" ht="12.75">
      <c r="A236" t="str">
        <f ca="1">IFERROR(__xludf.DUMMYFUNCTION("""COMPUTED_VALUE"""),"T231")</f>
        <v>T231</v>
      </c>
      <c r="B236" t="str">
        <f ca="1">IFERROR(__xludf.DUMMYFUNCTION("""COMPUTED_VALUE"""),"T231")</f>
        <v>T231</v>
      </c>
      <c r="C236" t="str">
        <f ca="1">IFERROR(__xludf.DUMMYFUNCTION("""COMPUTED_VALUE"""),"Seonghyeon Kim")</f>
        <v>Seonghyeon Kim</v>
      </c>
      <c r="D236">
        <f ca="1">IFERROR(__xludf.DUMMYFUNCTION("""COMPUTED_VALUE"""),4)</f>
        <v>4</v>
      </c>
      <c r="E236">
        <f ca="1">IFERROR(__xludf.DUMMYFUNCTION("""COMPUTED_VALUE"""),72.25)</f>
        <v>72.25</v>
      </c>
      <c r="F236">
        <f ca="1">IFERROR(__xludf.DUMMYFUNCTION("""COMPUTED_VALUE"""),289)</f>
        <v>289</v>
      </c>
      <c r="G236">
        <f ca="1">IFERROR(__xludf.DUMMYFUNCTION("""COMPUTED_VALUE"""),4)</f>
        <v>4</v>
      </c>
    </row>
    <row r="237" spans="1:7" ht="12.75">
      <c r="A237">
        <f ca="1">IFERROR(__xludf.DUMMYFUNCTION("""COMPUTED_VALUE"""),236)</f>
        <v>236</v>
      </c>
      <c r="B237">
        <f ca="1">IFERROR(__xludf.DUMMYFUNCTION("""COMPUTED_VALUE"""),211)</f>
        <v>211</v>
      </c>
      <c r="C237" t="str">
        <f ca="1">IFERROR(__xludf.DUMMYFUNCTION("""COMPUTED_VALUE"""),"Danny Lee")</f>
        <v>Danny Lee</v>
      </c>
      <c r="D237">
        <f ca="1">IFERROR(__xludf.DUMMYFUNCTION("""COMPUTED_VALUE"""),15)</f>
        <v>15</v>
      </c>
      <c r="E237">
        <f ca="1">IFERROR(__xludf.DUMMYFUNCTION("""COMPUTED_VALUE"""),72.27)</f>
        <v>72.27</v>
      </c>
      <c r="F237" s="1">
        <f ca="1">IFERROR(__xludf.DUMMYFUNCTION("""COMPUTED_VALUE"""),1084)</f>
        <v>1084</v>
      </c>
      <c r="G237">
        <f ca="1">IFERROR(__xludf.DUMMYFUNCTION("""COMPUTED_VALUE"""),15)</f>
        <v>15</v>
      </c>
    </row>
    <row r="238" spans="1:7" ht="12.75">
      <c r="A238" t="str">
        <f ca="1">IFERROR(__xludf.DUMMYFUNCTION("""COMPUTED_VALUE"""),"T237")</f>
        <v>T237</v>
      </c>
      <c r="B238" t="str">
        <f ca="1">IFERROR(__xludf.DUMMYFUNCTION("""COMPUTED_VALUE"""),"T238")</f>
        <v>T238</v>
      </c>
      <c r="C238" t="str">
        <f ca="1">IFERROR(__xludf.DUMMYFUNCTION("""COMPUTED_VALUE"""),"Robert Garrigus")</f>
        <v>Robert Garrigus</v>
      </c>
      <c r="D238">
        <f ca="1">IFERROR(__xludf.DUMMYFUNCTION("""COMPUTED_VALUE"""),3)</f>
        <v>3</v>
      </c>
      <c r="E238">
        <f ca="1">IFERROR(__xludf.DUMMYFUNCTION("""COMPUTED_VALUE"""),72.33)</f>
        <v>72.33</v>
      </c>
      <c r="F238">
        <f ca="1">IFERROR(__xludf.DUMMYFUNCTION("""COMPUTED_VALUE"""),217)</f>
        <v>217</v>
      </c>
      <c r="G238">
        <f ca="1">IFERROR(__xludf.DUMMYFUNCTION("""COMPUTED_VALUE"""),3)</f>
        <v>3</v>
      </c>
    </row>
    <row r="239" spans="1:7" ht="12.75">
      <c r="A239" t="str">
        <f ca="1">IFERROR(__xludf.DUMMYFUNCTION("""COMPUTED_VALUE"""),"T237")</f>
        <v>T237</v>
      </c>
      <c r="B239" t="str">
        <f ca="1">IFERROR(__xludf.DUMMYFUNCTION("""COMPUTED_VALUE"""),"T203")</f>
        <v>T203</v>
      </c>
      <c r="C239" t="str">
        <f ca="1">IFERROR(__xludf.DUMMYFUNCTION("""COMPUTED_VALUE"""),"D.A. Points")</f>
        <v>D.A. Points</v>
      </c>
      <c r="D239">
        <f ca="1">IFERROR(__xludf.DUMMYFUNCTION("""COMPUTED_VALUE"""),12)</f>
        <v>12</v>
      </c>
      <c r="E239">
        <f ca="1">IFERROR(__xludf.DUMMYFUNCTION("""COMPUTED_VALUE"""),72.33)</f>
        <v>72.33</v>
      </c>
      <c r="F239">
        <f ca="1">IFERROR(__xludf.DUMMYFUNCTION("""COMPUTED_VALUE"""),868)</f>
        <v>868</v>
      </c>
      <c r="G239">
        <f ca="1">IFERROR(__xludf.DUMMYFUNCTION("""COMPUTED_VALUE"""),12)</f>
        <v>12</v>
      </c>
    </row>
    <row r="240" spans="1:7" ht="12.75">
      <c r="A240" t="str">
        <f ca="1">IFERROR(__xludf.DUMMYFUNCTION("""COMPUTED_VALUE"""),"T237")</f>
        <v>T237</v>
      </c>
      <c r="B240" t="str">
        <f ca="1">IFERROR(__xludf.DUMMYFUNCTION("""COMPUTED_VALUE"""),"T203")</f>
        <v>T203</v>
      </c>
      <c r="C240" t="str">
        <f ca="1">IFERROR(__xludf.DUMMYFUNCTION("""COMPUTED_VALUE"""),"Tom Lewis")</f>
        <v>Tom Lewis</v>
      </c>
      <c r="D240">
        <f ca="1">IFERROR(__xludf.DUMMYFUNCTION("""COMPUTED_VALUE"""),12)</f>
        <v>12</v>
      </c>
      <c r="E240">
        <f ca="1">IFERROR(__xludf.DUMMYFUNCTION("""COMPUTED_VALUE"""),72.33)</f>
        <v>72.33</v>
      </c>
      <c r="F240">
        <f ca="1">IFERROR(__xludf.DUMMYFUNCTION("""COMPUTED_VALUE"""),868)</f>
        <v>868</v>
      </c>
      <c r="G240">
        <f ca="1">IFERROR(__xludf.DUMMYFUNCTION("""COMPUTED_VALUE"""),12)</f>
        <v>12</v>
      </c>
    </row>
    <row r="241" spans="1:7" ht="12.75">
      <c r="A241" t="str">
        <f ca="1">IFERROR(__xludf.DUMMYFUNCTION("""COMPUTED_VALUE"""),"T237")</f>
        <v>T237</v>
      </c>
      <c r="B241" t="str">
        <f ca="1">IFERROR(__xludf.DUMMYFUNCTION("""COMPUTED_VALUE"""),"T238")</f>
        <v>T238</v>
      </c>
      <c r="C241" t="str">
        <f ca="1">IFERROR(__xludf.DUMMYFUNCTION("""COMPUTED_VALUE"""),"Wes Roach")</f>
        <v>Wes Roach</v>
      </c>
      <c r="D241">
        <f ca="1">IFERROR(__xludf.DUMMYFUNCTION("""COMPUTED_VALUE"""),6)</f>
        <v>6</v>
      </c>
      <c r="E241">
        <f ca="1">IFERROR(__xludf.DUMMYFUNCTION("""COMPUTED_VALUE"""),72.33)</f>
        <v>72.33</v>
      </c>
      <c r="F241">
        <f ca="1">IFERROR(__xludf.DUMMYFUNCTION("""COMPUTED_VALUE"""),434)</f>
        <v>434</v>
      </c>
      <c r="G241">
        <f ca="1">IFERROR(__xludf.DUMMYFUNCTION("""COMPUTED_VALUE"""),6)</f>
        <v>6</v>
      </c>
    </row>
    <row r="242" spans="1:7" ht="12.75">
      <c r="A242" t="str">
        <f ca="1">IFERROR(__xludf.DUMMYFUNCTION("""COMPUTED_VALUE"""),"T237")</f>
        <v>T237</v>
      </c>
      <c r="B242" t="str">
        <f ca="1">IFERROR(__xludf.DUMMYFUNCTION("""COMPUTED_VALUE"""),"T238")</f>
        <v>T238</v>
      </c>
      <c r="C242" t="str">
        <f ca="1">IFERROR(__xludf.DUMMYFUNCTION("""COMPUTED_VALUE"""),"Rasmus Hojgaard")</f>
        <v>Rasmus Hojgaard</v>
      </c>
      <c r="D242">
        <f ca="1">IFERROR(__xludf.DUMMYFUNCTION("""COMPUTED_VALUE"""),6)</f>
        <v>6</v>
      </c>
      <c r="E242">
        <f ca="1">IFERROR(__xludf.DUMMYFUNCTION("""COMPUTED_VALUE"""),72.33)</f>
        <v>72.33</v>
      </c>
      <c r="F242">
        <f ca="1">IFERROR(__xludf.DUMMYFUNCTION("""COMPUTED_VALUE"""),434)</f>
        <v>434</v>
      </c>
      <c r="G242">
        <f ca="1">IFERROR(__xludf.DUMMYFUNCTION("""COMPUTED_VALUE"""),6)</f>
        <v>6</v>
      </c>
    </row>
    <row r="243" spans="1:7" ht="12.75">
      <c r="A243">
        <f ca="1">IFERROR(__xludf.DUMMYFUNCTION("""COMPUTED_VALUE"""),242)</f>
        <v>242</v>
      </c>
      <c r="B243">
        <f ca="1">IFERROR(__xludf.DUMMYFUNCTION("""COMPUTED_VALUE"""),229)</f>
        <v>229</v>
      </c>
      <c r="C243" t="str">
        <f ca="1">IFERROR(__xludf.DUMMYFUNCTION("""COMPUTED_VALUE"""),"Alex Noren")</f>
        <v>Alex Noren</v>
      </c>
      <c r="D243">
        <f ca="1">IFERROR(__xludf.DUMMYFUNCTION("""COMPUTED_VALUE"""),14)</f>
        <v>14</v>
      </c>
      <c r="E243">
        <f ca="1">IFERROR(__xludf.DUMMYFUNCTION("""COMPUTED_VALUE"""),72.43)</f>
        <v>72.430000000000007</v>
      </c>
      <c r="F243" s="1">
        <f ca="1">IFERROR(__xludf.DUMMYFUNCTION("""COMPUTED_VALUE"""),1014)</f>
        <v>1014</v>
      </c>
      <c r="G243">
        <f ca="1">IFERROR(__xludf.DUMMYFUNCTION("""COMPUTED_VALUE"""),14)</f>
        <v>14</v>
      </c>
    </row>
    <row r="244" spans="1:7" ht="12.75">
      <c r="A244">
        <f ca="1">IFERROR(__xludf.DUMMYFUNCTION("""COMPUTED_VALUE"""),243)</f>
        <v>243</v>
      </c>
      <c r="B244" t="str">
        <f ca="1">IFERROR(__xludf.DUMMYFUNCTION("""COMPUTED_VALUE"""),"T265")</f>
        <v>T265</v>
      </c>
      <c r="C244" t="str">
        <f ca="1">IFERROR(__xludf.DUMMYFUNCTION("""COMPUTED_VALUE"""),"Michael Thompson")</f>
        <v>Michael Thompson</v>
      </c>
      <c r="D244">
        <f ca="1">IFERROR(__xludf.DUMMYFUNCTION("""COMPUTED_VALUE"""),16)</f>
        <v>16</v>
      </c>
      <c r="E244">
        <f ca="1">IFERROR(__xludf.DUMMYFUNCTION("""COMPUTED_VALUE"""),72.44)</f>
        <v>72.44</v>
      </c>
      <c r="F244" s="1">
        <f ca="1">IFERROR(__xludf.DUMMYFUNCTION("""COMPUTED_VALUE"""),1159)</f>
        <v>1159</v>
      </c>
      <c r="G244">
        <f ca="1">IFERROR(__xludf.DUMMYFUNCTION("""COMPUTED_VALUE"""),16)</f>
        <v>16</v>
      </c>
    </row>
    <row r="245" spans="1:7" ht="12.75">
      <c r="A245" t="str">
        <f ca="1">IFERROR(__xludf.DUMMYFUNCTION("""COMPUTED_VALUE"""),"T244")</f>
        <v>T244</v>
      </c>
      <c r="B245">
        <f ca="1">IFERROR(__xludf.DUMMYFUNCTION("""COMPUTED_VALUE"""),226)</f>
        <v>226</v>
      </c>
      <c r="C245" t="str">
        <f ca="1">IFERROR(__xludf.DUMMYFUNCTION("""COMPUTED_VALUE"""),"Hunter Mahan")</f>
        <v>Hunter Mahan</v>
      </c>
      <c r="D245">
        <f ca="1">IFERROR(__xludf.DUMMYFUNCTION("""COMPUTED_VALUE"""),14)</f>
        <v>14</v>
      </c>
      <c r="E245">
        <f ca="1">IFERROR(__xludf.DUMMYFUNCTION("""COMPUTED_VALUE"""),72.5)</f>
        <v>72.5</v>
      </c>
      <c r="F245" s="1">
        <f ca="1">IFERROR(__xludf.DUMMYFUNCTION("""COMPUTED_VALUE"""),1015)</f>
        <v>1015</v>
      </c>
      <c r="G245">
        <f ca="1">IFERROR(__xludf.DUMMYFUNCTION("""COMPUTED_VALUE"""),14)</f>
        <v>14</v>
      </c>
    </row>
    <row r="246" spans="1:7" ht="12.75">
      <c r="A246" t="str">
        <f ca="1">IFERROR(__xludf.DUMMYFUNCTION("""COMPUTED_VALUE"""),"T244")</f>
        <v>T244</v>
      </c>
      <c r="B246" t="str">
        <f ca="1">IFERROR(__xludf.DUMMYFUNCTION("""COMPUTED_VALUE"""),"T277")</f>
        <v>T277</v>
      </c>
      <c r="C246" t="str">
        <f ca="1">IFERROR(__xludf.DUMMYFUNCTION("""COMPUTED_VALUE"""),"Graeme McDowell")</f>
        <v>Graeme McDowell</v>
      </c>
      <c r="D246">
        <f ca="1">IFERROR(__xludf.DUMMYFUNCTION("""COMPUTED_VALUE"""),8)</f>
        <v>8</v>
      </c>
      <c r="E246">
        <f ca="1">IFERROR(__xludf.DUMMYFUNCTION("""COMPUTED_VALUE"""),72.5)</f>
        <v>72.5</v>
      </c>
      <c r="F246">
        <f ca="1">IFERROR(__xludf.DUMMYFUNCTION("""COMPUTED_VALUE"""),580)</f>
        <v>580</v>
      </c>
      <c r="G246">
        <f ca="1">IFERROR(__xludf.DUMMYFUNCTION("""COMPUTED_VALUE"""),8)</f>
        <v>8</v>
      </c>
    </row>
    <row r="247" spans="1:7" ht="12.75">
      <c r="A247" t="str">
        <f ca="1">IFERROR(__xludf.DUMMYFUNCTION("""COMPUTED_VALUE"""),"T244")</f>
        <v>T244</v>
      </c>
      <c r="B247" t="str">
        <f ca="1">IFERROR(__xludf.DUMMYFUNCTION("""COMPUTED_VALUE"""),"T242")</f>
        <v>T242</v>
      </c>
      <c r="C247" t="str">
        <f ca="1">IFERROR(__xludf.DUMMYFUNCTION("""COMPUTED_VALUE"""),"Thomas Pieters")</f>
        <v>Thomas Pieters</v>
      </c>
      <c r="D247">
        <f ca="1">IFERROR(__xludf.DUMMYFUNCTION("""COMPUTED_VALUE"""),4)</f>
        <v>4</v>
      </c>
      <c r="E247">
        <f ca="1">IFERROR(__xludf.DUMMYFUNCTION("""COMPUTED_VALUE"""),72.5)</f>
        <v>72.5</v>
      </c>
      <c r="F247">
        <f ca="1">IFERROR(__xludf.DUMMYFUNCTION("""COMPUTED_VALUE"""),290)</f>
        <v>290</v>
      </c>
      <c r="G247">
        <f ca="1">IFERROR(__xludf.DUMMYFUNCTION("""COMPUTED_VALUE"""),4)</f>
        <v>4</v>
      </c>
    </row>
    <row r="248" spans="1:7" ht="12.75">
      <c r="A248" t="str">
        <f ca="1">IFERROR(__xludf.DUMMYFUNCTION("""COMPUTED_VALUE"""),"T244")</f>
        <v>T244</v>
      </c>
      <c r="B248" t="str">
        <f ca="1">IFERROR(__xludf.DUMMYFUNCTION("""COMPUTED_VALUE"""),"T242")</f>
        <v>T242</v>
      </c>
      <c r="C248" t="str">
        <f ca="1">IFERROR(__xludf.DUMMYFUNCTION("""COMPUTED_VALUE"""),"Taylor Pendrith")</f>
        <v>Taylor Pendrith</v>
      </c>
      <c r="D248">
        <f ca="1">IFERROR(__xludf.DUMMYFUNCTION("""COMPUTED_VALUE"""),4)</f>
        <v>4</v>
      </c>
      <c r="E248">
        <f ca="1">IFERROR(__xludf.DUMMYFUNCTION("""COMPUTED_VALUE"""),72.5)</f>
        <v>72.5</v>
      </c>
      <c r="F248">
        <f ca="1">IFERROR(__xludf.DUMMYFUNCTION("""COMPUTED_VALUE"""),290)</f>
        <v>290</v>
      </c>
      <c r="G248">
        <f ca="1">IFERROR(__xludf.DUMMYFUNCTION("""COMPUTED_VALUE"""),4)</f>
        <v>4</v>
      </c>
    </row>
    <row r="249" spans="1:7" ht="12.75">
      <c r="A249" t="str">
        <f ca="1">IFERROR(__xludf.DUMMYFUNCTION("""COMPUTED_VALUE"""),"T244")</f>
        <v>T244</v>
      </c>
      <c r="B249" t="str">
        <f ca="1">IFERROR(__xludf.DUMMYFUNCTION("""COMPUTED_VALUE"""),"T242")</f>
        <v>T242</v>
      </c>
      <c r="C249" t="str">
        <f ca="1">IFERROR(__xludf.DUMMYFUNCTION("""COMPUTED_VALUE"""),"Jaekyeong Lee")</f>
        <v>Jaekyeong Lee</v>
      </c>
      <c r="D249">
        <f ca="1">IFERROR(__xludf.DUMMYFUNCTION("""COMPUTED_VALUE"""),4)</f>
        <v>4</v>
      </c>
      <c r="E249">
        <f ca="1">IFERROR(__xludf.DUMMYFUNCTION("""COMPUTED_VALUE"""),72.5)</f>
        <v>72.5</v>
      </c>
      <c r="F249">
        <f ca="1">IFERROR(__xludf.DUMMYFUNCTION("""COMPUTED_VALUE"""),290)</f>
        <v>290</v>
      </c>
      <c r="G249">
        <f ca="1">IFERROR(__xludf.DUMMYFUNCTION("""COMPUTED_VALUE"""),4)</f>
        <v>4</v>
      </c>
    </row>
    <row r="250" spans="1:7" ht="12.75">
      <c r="A250">
        <f ca="1">IFERROR(__xludf.DUMMYFUNCTION("""COMPUTED_VALUE"""),249)</f>
        <v>249</v>
      </c>
      <c r="B250">
        <f ca="1">IFERROR(__xludf.DUMMYFUNCTION("""COMPUTED_VALUE"""),230)</f>
        <v>230</v>
      </c>
      <c r="C250" t="str">
        <f ca="1">IFERROR(__xludf.DUMMYFUNCTION("""COMPUTED_VALUE"""),"Phil Mickelson")</f>
        <v>Phil Mickelson</v>
      </c>
      <c r="D250">
        <f ca="1">IFERROR(__xludf.DUMMYFUNCTION("""COMPUTED_VALUE"""),12)</f>
        <v>12</v>
      </c>
      <c r="E250">
        <f ca="1">IFERROR(__xludf.DUMMYFUNCTION("""COMPUTED_VALUE"""),72.58)</f>
        <v>72.58</v>
      </c>
      <c r="F250">
        <f ca="1">IFERROR(__xludf.DUMMYFUNCTION("""COMPUTED_VALUE"""),871)</f>
        <v>871</v>
      </c>
      <c r="G250">
        <f ca="1">IFERROR(__xludf.DUMMYFUNCTION("""COMPUTED_VALUE"""),12)</f>
        <v>12</v>
      </c>
    </row>
    <row r="251" spans="1:7" ht="12.75">
      <c r="A251">
        <f ca="1">IFERROR(__xludf.DUMMYFUNCTION("""COMPUTED_VALUE"""),250)</f>
        <v>250</v>
      </c>
      <c r="B251">
        <f ca="1">IFERROR(__xludf.DUMMYFUNCTION("""COMPUTED_VALUE"""),246)</f>
        <v>246</v>
      </c>
      <c r="C251" t="str">
        <f ca="1">IFERROR(__xludf.DUMMYFUNCTION("""COMPUTED_VALUE"""),"Marc Leishman")</f>
        <v>Marc Leishman</v>
      </c>
      <c r="D251">
        <f ca="1">IFERROR(__xludf.DUMMYFUNCTION("""COMPUTED_VALUE"""),10)</f>
        <v>10</v>
      </c>
      <c r="E251">
        <f ca="1">IFERROR(__xludf.DUMMYFUNCTION("""COMPUTED_VALUE"""),72.6)</f>
        <v>72.599999999999994</v>
      </c>
      <c r="F251">
        <f ca="1">IFERROR(__xludf.DUMMYFUNCTION("""COMPUTED_VALUE"""),726)</f>
        <v>726</v>
      </c>
      <c r="G251">
        <f ca="1">IFERROR(__xludf.DUMMYFUNCTION("""COMPUTED_VALUE"""),10)</f>
        <v>10</v>
      </c>
    </row>
    <row r="252" spans="1:7" ht="12.75">
      <c r="A252">
        <f ca="1">IFERROR(__xludf.DUMMYFUNCTION("""COMPUTED_VALUE"""),251)</f>
        <v>251</v>
      </c>
      <c r="B252">
        <f ca="1">IFERROR(__xludf.DUMMYFUNCTION("""COMPUTED_VALUE"""),247)</f>
        <v>247</v>
      </c>
      <c r="C252" t="str">
        <f ca="1">IFERROR(__xludf.DUMMYFUNCTION("""COMPUTED_VALUE"""),"Ryo Ishikawa")</f>
        <v>Ryo Ishikawa</v>
      </c>
      <c r="D252">
        <f ca="1">IFERROR(__xludf.DUMMYFUNCTION("""COMPUTED_VALUE"""),8)</f>
        <v>8</v>
      </c>
      <c r="E252">
        <f ca="1">IFERROR(__xludf.DUMMYFUNCTION("""COMPUTED_VALUE"""),72.63)</f>
        <v>72.63</v>
      </c>
      <c r="F252">
        <f ca="1">IFERROR(__xludf.DUMMYFUNCTION("""COMPUTED_VALUE"""),581)</f>
        <v>581</v>
      </c>
      <c r="G252">
        <f ca="1">IFERROR(__xludf.DUMMYFUNCTION("""COMPUTED_VALUE"""),8)</f>
        <v>8</v>
      </c>
    </row>
    <row r="253" spans="1:7" ht="12.75">
      <c r="A253">
        <f ca="1">IFERROR(__xludf.DUMMYFUNCTION("""COMPUTED_VALUE"""),252)</f>
        <v>252</v>
      </c>
      <c r="B253">
        <f ca="1">IFERROR(__xludf.DUMMYFUNCTION("""COMPUTED_VALUE"""),248)</f>
        <v>248</v>
      </c>
      <c r="C253" t="str">
        <f ca="1">IFERROR(__xludf.DUMMYFUNCTION("""COMPUTED_VALUE"""),"Tommy Gainey")</f>
        <v>Tommy Gainey</v>
      </c>
      <c r="D253">
        <f ca="1">IFERROR(__xludf.DUMMYFUNCTION("""COMPUTED_VALUE"""),6)</f>
        <v>6</v>
      </c>
      <c r="E253">
        <f ca="1">IFERROR(__xludf.DUMMYFUNCTION("""COMPUTED_VALUE"""),72.67)</f>
        <v>72.67</v>
      </c>
      <c r="F253">
        <f ca="1">IFERROR(__xludf.DUMMYFUNCTION("""COMPUTED_VALUE"""),436)</f>
        <v>436</v>
      </c>
      <c r="G253">
        <f ca="1">IFERROR(__xludf.DUMMYFUNCTION("""COMPUTED_VALUE"""),6)</f>
        <v>6</v>
      </c>
    </row>
    <row r="254" spans="1:7" ht="12.75">
      <c r="A254">
        <f ca="1">IFERROR(__xludf.DUMMYFUNCTION("""COMPUTED_VALUE"""),253)</f>
        <v>253</v>
      </c>
      <c r="B254" t="str">
        <f ca="1">IFERROR(__xludf.DUMMYFUNCTION("""COMPUTED_VALUE"""),"T231")</f>
        <v>T231</v>
      </c>
      <c r="C254" t="str">
        <f ca="1">IFERROR(__xludf.DUMMYFUNCTION("""COMPUTED_VALUE"""),"Bo Van Pelt")</f>
        <v>Bo Van Pelt</v>
      </c>
      <c r="D254">
        <f ca="1">IFERROR(__xludf.DUMMYFUNCTION("""COMPUTED_VALUE"""),10)</f>
        <v>10</v>
      </c>
      <c r="E254">
        <f ca="1">IFERROR(__xludf.DUMMYFUNCTION("""COMPUTED_VALUE"""),72.7)</f>
        <v>72.7</v>
      </c>
      <c r="F254">
        <f ca="1">IFERROR(__xludf.DUMMYFUNCTION("""COMPUTED_VALUE"""),727)</f>
        <v>727</v>
      </c>
      <c r="G254">
        <f ca="1">IFERROR(__xludf.DUMMYFUNCTION("""COMPUTED_VALUE"""),10)</f>
        <v>10</v>
      </c>
    </row>
    <row r="255" spans="1:7" ht="12.75">
      <c r="A255" t="str">
        <f ca="1">IFERROR(__xludf.DUMMYFUNCTION("""COMPUTED_VALUE"""),"T254")</f>
        <v>T254</v>
      </c>
      <c r="B255" t="str">
        <f ca="1">IFERROR(__xludf.DUMMYFUNCTION("""COMPUTED_VALUE"""),"T249")</f>
        <v>T249</v>
      </c>
      <c r="C255" t="str">
        <f ca="1">IFERROR(__xludf.DUMMYFUNCTION("""COMPUTED_VALUE"""),"Chris Baker")</f>
        <v>Chris Baker</v>
      </c>
      <c r="D255">
        <f ca="1">IFERROR(__xludf.DUMMYFUNCTION("""COMPUTED_VALUE"""),8)</f>
        <v>8</v>
      </c>
      <c r="E255">
        <f ca="1">IFERROR(__xludf.DUMMYFUNCTION("""COMPUTED_VALUE"""),72.75)</f>
        <v>72.75</v>
      </c>
      <c r="F255">
        <f ca="1">IFERROR(__xludf.DUMMYFUNCTION("""COMPUTED_VALUE"""),582)</f>
        <v>582</v>
      </c>
      <c r="G255">
        <f ca="1">IFERROR(__xludf.DUMMYFUNCTION("""COMPUTED_VALUE"""),8)</f>
        <v>8</v>
      </c>
    </row>
    <row r="256" spans="1:7" ht="12.75">
      <c r="A256" t="str">
        <f ca="1">IFERROR(__xludf.DUMMYFUNCTION("""COMPUTED_VALUE"""),"T254")</f>
        <v>T254</v>
      </c>
      <c r="B256" t="str">
        <f ca="1">IFERROR(__xludf.DUMMYFUNCTION("""COMPUTED_VALUE"""),"T249")</f>
        <v>T249</v>
      </c>
      <c r="C256" t="str">
        <f ca="1">IFERROR(__xludf.DUMMYFUNCTION("""COMPUTED_VALUE"""),"Dominic Bozzelli")</f>
        <v>Dominic Bozzelli</v>
      </c>
      <c r="D256">
        <f ca="1">IFERROR(__xludf.DUMMYFUNCTION("""COMPUTED_VALUE"""),8)</f>
        <v>8</v>
      </c>
      <c r="E256">
        <f ca="1">IFERROR(__xludf.DUMMYFUNCTION("""COMPUTED_VALUE"""),72.75)</f>
        <v>72.75</v>
      </c>
      <c r="F256">
        <f ca="1">IFERROR(__xludf.DUMMYFUNCTION("""COMPUTED_VALUE"""),582)</f>
        <v>582</v>
      </c>
      <c r="G256">
        <f ca="1">IFERROR(__xludf.DUMMYFUNCTION("""COMPUTED_VALUE"""),8)</f>
        <v>8</v>
      </c>
    </row>
    <row r="257" spans="1:7" ht="12.75">
      <c r="A257" t="str">
        <f ca="1">IFERROR(__xludf.DUMMYFUNCTION("""COMPUTED_VALUE"""),"T256")</f>
        <v>T256</v>
      </c>
      <c r="B257" t="str">
        <f ca="1">IFERROR(__xludf.DUMMYFUNCTION("""COMPUTED_VALUE"""),"T252")</f>
        <v>T252</v>
      </c>
      <c r="C257" t="str">
        <f ca="1">IFERROR(__xludf.DUMMYFUNCTION("""COMPUTED_VALUE"""),"Tiger Woods")</f>
        <v>Tiger Woods</v>
      </c>
      <c r="D257">
        <f ca="1">IFERROR(__xludf.DUMMYFUNCTION("""COMPUTED_VALUE"""),6)</f>
        <v>6</v>
      </c>
      <c r="E257">
        <f ca="1">IFERROR(__xludf.DUMMYFUNCTION("""COMPUTED_VALUE"""),72.83)</f>
        <v>72.83</v>
      </c>
      <c r="F257">
        <f ca="1">IFERROR(__xludf.DUMMYFUNCTION("""COMPUTED_VALUE"""),437)</f>
        <v>437</v>
      </c>
      <c r="G257">
        <f ca="1">IFERROR(__xludf.DUMMYFUNCTION("""COMPUTED_VALUE"""),6)</f>
        <v>6</v>
      </c>
    </row>
    <row r="258" spans="1:7" ht="12.75">
      <c r="A258" t="str">
        <f ca="1">IFERROR(__xludf.DUMMYFUNCTION("""COMPUTED_VALUE"""),"T256")</f>
        <v>T256</v>
      </c>
      <c r="B258" t="str">
        <f ca="1">IFERROR(__xludf.DUMMYFUNCTION("""COMPUTED_VALUE"""),"T252")</f>
        <v>T252</v>
      </c>
      <c r="C258" t="str">
        <f ca="1">IFERROR(__xludf.DUMMYFUNCTION("""COMPUTED_VALUE"""),"Zack Sucher")</f>
        <v>Zack Sucher</v>
      </c>
      <c r="D258">
        <f ca="1">IFERROR(__xludf.DUMMYFUNCTION("""COMPUTED_VALUE"""),6)</f>
        <v>6</v>
      </c>
      <c r="E258">
        <f ca="1">IFERROR(__xludf.DUMMYFUNCTION("""COMPUTED_VALUE"""),72.83)</f>
        <v>72.83</v>
      </c>
      <c r="F258">
        <f ca="1">IFERROR(__xludf.DUMMYFUNCTION("""COMPUTED_VALUE"""),437)</f>
        <v>437</v>
      </c>
      <c r="G258">
        <f ca="1">IFERROR(__xludf.DUMMYFUNCTION("""COMPUTED_VALUE"""),6)</f>
        <v>6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IFERROR(__xludf.DUMMYFUNCTION("""COMPUTED_VALUE"""),"T217")</f>
        <v>T217</v>
      </c>
      <c r="C259" t="str">
        <f ca="1">IFERROR(__xludf.DUMMYFUNCTION("""COMPUTED_VALUE"""),"Jimmy Walker")</f>
        <v>Jimmy Walker</v>
      </c>
      <c r="D259">
        <f ca="1">IFERROR(__xludf.DUMMYFUNCTION("""COMPUTED_VALUE"""),10)</f>
        <v>10</v>
      </c>
      <c r="E259">
        <f ca="1">IFERROR(__xludf.DUMMYFUNCTION("""COMPUTED_VALUE"""),73)</f>
        <v>73</v>
      </c>
      <c r="F259">
        <f ca="1">IFERROR(__xludf.DUMMYFUNCTION("""COMPUTED_VALUE"""),730)</f>
        <v>730</v>
      </c>
      <c r="G259">
        <f ca="1">IFERROR(__xludf.DUMMYFUNCTION("""COMPUTED_VALUE"""),10)</f>
        <v>10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IFERROR(__xludf.DUMMYFUNCTION("""COMPUTED_VALUE"""),"T254")</f>
        <v>T254</v>
      </c>
      <c r="C260" t="str">
        <f ca="1">IFERROR(__xludf.DUMMYFUNCTION("""COMPUTED_VALUE"""),"Renato Paratore")</f>
        <v>Renato Paratore</v>
      </c>
      <c r="D260">
        <f ca="1">IFERROR(__xludf.DUMMYFUNCTION("""COMPUTED_VALUE"""),4)</f>
        <v>4</v>
      </c>
      <c r="E260">
        <f ca="1">IFERROR(__xludf.DUMMYFUNCTION("""COMPUTED_VALUE"""),73)</f>
        <v>73</v>
      </c>
      <c r="F260">
        <f ca="1">IFERROR(__xludf.DUMMYFUNCTION("""COMPUTED_VALUE"""),292)</f>
        <v>292</v>
      </c>
      <c r="G260">
        <f ca="1">IFERROR(__xludf.DUMMYFUNCTION("""COMPUTED_VALUE"""),4)</f>
        <v>4</v>
      </c>
    </row>
    <row r="261" spans="1:7" ht="12.75">
      <c r="A261" t="str">
        <f ca="1">IFERROR(__xludf.DUMMYFUNCTION("""COMPUTED_VALUE"""),"T258")</f>
        <v>T258</v>
      </c>
      <c r="B261" t="str">
        <f ca="1">IFERROR(__xludf.DUMMYFUNCTION("""COMPUTED_VALUE"""),"T254")</f>
        <v>T254</v>
      </c>
      <c r="C261" t="str">
        <f ca="1">IFERROR(__xludf.DUMMYFUNCTION("""COMPUTED_VALUE"""),"Lucas Herbert")</f>
        <v>Lucas Herbert</v>
      </c>
      <c r="D261">
        <f ca="1">IFERROR(__xludf.DUMMYFUNCTION("""COMPUTED_VALUE"""),4)</f>
        <v>4</v>
      </c>
      <c r="E261">
        <f ca="1">IFERROR(__xludf.DUMMYFUNCTION("""COMPUTED_VALUE"""),73)</f>
        <v>73</v>
      </c>
      <c r="F261">
        <f ca="1">IFERROR(__xludf.DUMMYFUNCTION("""COMPUTED_VALUE"""),292)</f>
        <v>292</v>
      </c>
      <c r="G261">
        <f ca="1">IFERROR(__xludf.DUMMYFUNCTION("""COMPUTED_VALUE"""),4)</f>
        <v>4</v>
      </c>
    </row>
    <row r="262" spans="1:7" ht="12.75">
      <c r="A262" t="str">
        <f ca="1">IFERROR(__xludf.DUMMYFUNCTION("""COMPUTED_VALUE"""),"T258")</f>
        <v>T258</v>
      </c>
      <c r="B262" t="str">
        <f ca="1">IFERROR(__xludf.DUMMYFUNCTION("""COMPUTED_VALUE"""),"T254")</f>
        <v>T254</v>
      </c>
      <c r="C262" t="str">
        <f ca="1">IFERROR(__xludf.DUMMYFUNCTION("""COMPUTED_VALUE"""),"Kurt Kitayama")</f>
        <v>Kurt Kitayama</v>
      </c>
      <c r="D262">
        <f ca="1">IFERROR(__xludf.DUMMYFUNCTION("""COMPUTED_VALUE"""),4)</f>
        <v>4</v>
      </c>
      <c r="E262">
        <f ca="1">IFERROR(__xludf.DUMMYFUNCTION("""COMPUTED_VALUE"""),73)</f>
        <v>73</v>
      </c>
      <c r="F262">
        <f ca="1">IFERROR(__xludf.DUMMYFUNCTION("""COMPUTED_VALUE"""),292)</f>
        <v>292</v>
      </c>
      <c r="G262">
        <f ca="1">IFERROR(__xludf.DUMMYFUNCTION("""COMPUTED_VALUE"""),4)</f>
        <v>4</v>
      </c>
    </row>
    <row r="263" spans="1:7" ht="12.75">
      <c r="A263">
        <f ca="1">IFERROR(__xludf.DUMMYFUNCTION("""COMPUTED_VALUE"""),262)</f>
        <v>262</v>
      </c>
      <c r="B263" t="str">
        <f ca="1">IFERROR(__xludf.DUMMYFUNCTION("""COMPUTED_VALUE"""),"T242")</f>
        <v>T242</v>
      </c>
      <c r="C263" t="str">
        <f ca="1">IFERROR(__xludf.DUMMYFUNCTION("""COMPUTED_VALUE"""),"Danny Willett")</f>
        <v>Danny Willett</v>
      </c>
      <c r="D263">
        <f ca="1">IFERROR(__xludf.DUMMYFUNCTION("""COMPUTED_VALUE"""),7)</f>
        <v>7</v>
      </c>
      <c r="E263">
        <f ca="1">IFERROR(__xludf.DUMMYFUNCTION("""COMPUTED_VALUE"""),73.14)</f>
        <v>73.14</v>
      </c>
      <c r="F263">
        <f ca="1">IFERROR(__xludf.DUMMYFUNCTION("""COMPUTED_VALUE"""),512)</f>
        <v>512</v>
      </c>
      <c r="G263">
        <f ca="1">IFERROR(__xludf.DUMMYFUNCTION("""COMPUTED_VALUE"""),7)</f>
        <v>7</v>
      </c>
    </row>
    <row r="264" spans="1:7" ht="12.75">
      <c r="A264" t="str">
        <f ca="1">IFERROR(__xludf.DUMMYFUNCTION("""COMPUTED_VALUE"""),"T263")</f>
        <v>T263</v>
      </c>
      <c r="B264" t="str">
        <f ca="1">IFERROR(__xludf.DUMMYFUNCTION("""COMPUTED_VALUE"""),"T217")</f>
        <v>T217</v>
      </c>
      <c r="C264" t="str">
        <f ca="1">IFERROR(__xludf.DUMMYFUNCTION("""COMPUTED_VALUE"""),"Grayson Murray")</f>
        <v>Grayson Murray</v>
      </c>
      <c r="D264">
        <f ca="1">IFERROR(__xludf.DUMMYFUNCTION("""COMPUTED_VALUE"""),10)</f>
        <v>10</v>
      </c>
      <c r="E264">
        <f ca="1">IFERROR(__xludf.DUMMYFUNCTION("""COMPUTED_VALUE"""),73.2)</f>
        <v>73.2</v>
      </c>
      <c r="F264">
        <f ca="1">IFERROR(__xludf.DUMMYFUNCTION("""COMPUTED_VALUE"""),732)</f>
        <v>732</v>
      </c>
      <c r="G264">
        <f ca="1">IFERROR(__xludf.DUMMYFUNCTION("""COMPUTED_VALUE"""),10)</f>
        <v>10</v>
      </c>
    </row>
    <row r="265" spans="1:7" ht="12.75">
      <c r="A265" t="str">
        <f ca="1">IFERROR(__xludf.DUMMYFUNCTION("""COMPUTED_VALUE"""),"T263")</f>
        <v>T263</v>
      </c>
      <c r="B265" t="str">
        <f ca="1">IFERROR(__xludf.DUMMYFUNCTION("""COMPUTED_VALUE"""),"T249")</f>
        <v>T249</v>
      </c>
      <c r="C265" t="str">
        <f ca="1">IFERROR(__xludf.DUMMYFUNCTION("""COMPUTED_VALUE"""),"Martin Trainer")</f>
        <v>Martin Trainer</v>
      </c>
      <c r="D265">
        <f ca="1">IFERROR(__xludf.DUMMYFUNCTION("""COMPUTED_VALUE"""),10)</f>
        <v>10</v>
      </c>
      <c r="E265">
        <f ca="1">IFERROR(__xludf.DUMMYFUNCTION("""COMPUTED_VALUE"""),73.2)</f>
        <v>73.2</v>
      </c>
      <c r="F265">
        <f ca="1">IFERROR(__xludf.DUMMYFUNCTION("""COMPUTED_VALUE"""),732)</f>
        <v>732</v>
      </c>
      <c r="G265">
        <f ca="1">IFERROR(__xludf.DUMMYFUNCTION("""COMPUTED_VALUE"""),10)</f>
        <v>10</v>
      </c>
    </row>
    <row r="266" spans="1:7" ht="12.75">
      <c r="A266" t="str">
        <f ca="1">IFERROR(__xludf.DUMMYFUNCTION("""COMPUTED_VALUE"""),"T263")</f>
        <v>T263</v>
      </c>
      <c r="B266">
        <f ca="1">IFERROR(__xludf.DUMMYFUNCTION("""COMPUTED_VALUE"""),257)</f>
        <v>257</v>
      </c>
      <c r="C266" t="str">
        <f ca="1">IFERROR(__xludf.DUMMYFUNCTION("""COMPUTED_VALUE"""),"Michael Gellerman")</f>
        <v>Michael Gellerman</v>
      </c>
      <c r="D266">
        <f ca="1">IFERROR(__xludf.DUMMYFUNCTION("""COMPUTED_VALUE"""),5)</f>
        <v>5</v>
      </c>
      <c r="E266">
        <f ca="1">IFERROR(__xludf.DUMMYFUNCTION("""COMPUTED_VALUE"""),73.2)</f>
        <v>73.2</v>
      </c>
      <c r="F266">
        <f ca="1">IFERROR(__xludf.DUMMYFUNCTION("""COMPUTED_VALUE"""),366)</f>
        <v>366</v>
      </c>
      <c r="G266">
        <f ca="1">IFERROR(__xludf.DUMMYFUNCTION("""COMPUTED_VALUE"""),5)</f>
        <v>5</v>
      </c>
    </row>
    <row r="267" spans="1:7" ht="12.75">
      <c r="A267" t="str">
        <f ca="1">IFERROR(__xludf.DUMMYFUNCTION("""COMPUTED_VALUE"""),"T266")</f>
        <v>T266</v>
      </c>
      <c r="B267" t="str">
        <f ca="1">IFERROR(__xludf.DUMMYFUNCTION("""COMPUTED_VALUE"""),"T258")</f>
        <v>T258</v>
      </c>
      <c r="C267" t="str">
        <f ca="1">IFERROR(__xludf.DUMMYFUNCTION("""COMPUTED_VALUE"""),"Stephan Jaeger")</f>
        <v>Stephan Jaeger</v>
      </c>
      <c r="D267">
        <f ca="1">IFERROR(__xludf.DUMMYFUNCTION("""COMPUTED_VALUE"""),4)</f>
        <v>4</v>
      </c>
      <c r="E267">
        <f ca="1">IFERROR(__xludf.DUMMYFUNCTION("""COMPUTED_VALUE"""),73.25)</f>
        <v>73.25</v>
      </c>
      <c r="F267">
        <f ca="1">IFERROR(__xludf.DUMMYFUNCTION("""COMPUTED_VALUE"""),293)</f>
        <v>293</v>
      </c>
      <c r="G267">
        <f ca="1">IFERROR(__xludf.DUMMYFUNCTION("""COMPUTED_VALUE"""),4)</f>
        <v>4</v>
      </c>
    </row>
    <row r="268" spans="1:7" ht="12.75">
      <c r="A268" t="str">
        <f ca="1">IFERROR(__xludf.DUMMYFUNCTION("""COMPUTED_VALUE"""),"T266")</f>
        <v>T266</v>
      </c>
      <c r="B268" t="str">
        <f ca="1">IFERROR(__xludf.DUMMYFUNCTION("""COMPUTED_VALUE"""),"T258")</f>
        <v>T258</v>
      </c>
      <c r="C268" t="str">
        <f ca="1">IFERROR(__xludf.DUMMYFUNCTION("""COMPUTED_VALUE"""),"Romain Langasque")</f>
        <v>Romain Langasque</v>
      </c>
      <c r="D268">
        <f ca="1">IFERROR(__xludf.DUMMYFUNCTION("""COMPUTED_VALUE"""),4)</f>
        <v>4</v>
      </c>
      <c r="E268">
        <f ca="1">IFERROR(__xludf.DUMMYFUNCTION("""COMPUTED_VALUE"""),73.25)</f>
        <v>73.25</v>
      </c>
      <c r="F268">
        <f ca="1">IFERROR(__xludf.DUMMYFUNCTION("""COMPUTED_VALUE"""),293)</f>
        <v>293</v>
      </c>
      <c r="G268">
        <f ca="1">IFERROR(__xludf.DUMMYFUNCTION("""COMPUTED_VALUE"""),4)</f>
        <v>4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IFERROR(__xludf.DUMMYFUNCTION("""COMPUTED_VALUE"""),261)</f>
        <v>261</v>
      </c>
      <c r="C269" t="str">
        <f ca="1">IFERROR(__xludf.DUMMYFUNCTION("""COMPUTED_VALUE"""),"Matthias Schwab")</f>
        <v>Matthias Schwab</v>
      </c>
      <c r="D269">
        <f ca="1">IFERROR(__xludf.DUMMYFUNCTION("""COMPUTED_VALUE"""),8)</f>
        <v>8</v>
      </c>
      <c r="E269">
        <f ca="1">IFERROR(__xludf.DUMMYFUNCTION("""COMPUTED_VALUE"""),73.38)</f>
        <v>73.38</v>
      </c>
      <c r="F269">
        <f ca="1">IFERROR(__xludf.DUMMYFUNCTION("""COMPUTED_VALUE"""),587)</f>
        <v>587</v>
      </c>
      <c r="G269">
        <f ca="1">IFERROR(__xludf.DUMMYFUNCTION("""COMPUTED_VALUE"""),8)</f>
        <v>8</v>
      </c>
    </row>
    <row r="270" spans="1:7" ht="12.75">
      <c r="A270">
        <f ca="1">IFERROR(__xludf.DUMMYFUNCTION("""COMPUTED_VALUE"""),269)</f>
        <v>269</v>
      </c>
      <c r="B270" t="str">
        <f ca="1">IFERROR(__xludf.DUMMYFUNCTION("""COMPUTED_VALUE"""),"T262")</f>
        <v>T262</v>
      </c>
      <c r="C270" t="str">
        <f ca="1">IFERROR(__xludf.DUMMYFUNCTION("""COMPUTED_VALUE"""),"Matthew Borchert")</f>
        <v>Matthew Borchert</v>
      </c>
      <c r="D270">
        <f ca="1">IFERROR(__xludf.DUMMYFUNCTION("""COMPUTED_VALUE"""),4)</f>
        <v>4</v>
      </c>
      <c r="E270">
        <f ca="1">IFERROR(__xludf.DUMMYFUNCTION("""COMPUTED_VALUE"""),73.5)</f>
        <v>73.5</v>
      </c>
      <c r="F270">
        <f ca="1">IFERROR(__xludf.DUMMYFUNCTION("""COMPUTED_VALUE"""),294)</f>
        <v>294</v>
      </c>
      <c r="G270">
        <f ca="1">IFERROR(__xludf.DUMMYFUNCTION("""COMPUTED_VALUE"""),4)</f>
        <v>4</v>
      </c>
    </row>
    <row r="271" spans="1:7" ht="12.75">
      <c r="A271">
        <f ca="1">IFERROR(__xludf.DUMMYFUNCTION("""COMPUTED_VALUE"""),270)</f>
        <v>270</v>
      </c>
      <c r="B271" t="str">
        <f ca="1">IFERROR(__xludf.DUMMYFUNCTION("""COMPUTED_VALUE"""),"T258")</f>
        <v>T258</v>
      </c>
      <c r="C271" t="str">
        <f ca="1">IFERROR(__xludf.DUMMYFUNCTION("""COMPUTED_VALUE"""),"Graham DeLaet")</f>
        <v>Graham DeLaet</v>
      </c>
      <c r="D271">
        <f ca="1">IFERROR(__xludf.DUMMYFUNCTION("""COMPUTED_VALUE"""),9)</f>
        <v>9</v>
      </c>
      <c r="E271">
        <f ca="1">IFERROR(__xludf.DUMMYFUNCTION("""COMPUTED_VALUE"""),73.56)</f>
        <v>73.56</v>
      </c>
      <c r="F271">
        <f ca="1">IFERROR(__xludf.DUMMYFUNCTION("""COMPUTED_VALUE"""),662)</f>
        <v>662</v>
      </c>
      <c r="G271">
        <f ca="1">IFERROR(__xludf.DUMMYFUNCTION("""COMPUTED_VALUE"""),9)</f>
        <v>9</v>
      </c>
    </row>
    <row r="272" spans="1:7" ht="12.75">
      <c r="A272">
        <f ca="1">IFERROR(__xludf.DUMMYFUNCTION("""COMPUTED_VALUE"""),271)</f>
        <v>271</v>
      </c>
      <c r="B272">
        <f ca="1">IFERROR(__xludf.DUMMYFUNCTION("""COMPUTED_VALUE"""),264)</f>
        <v>264</v>
      </c>
      <c r="C272" t="str">
        <f ca="1">IFERROR(__xludf.DUMMYFUNCTION("""COMPUTED_VALUE"""),"Shugo Imahira")</f>
        <v>Shugo Imahira</v>
      </c>
      <c r="D272">
        <f ca="1">IFERROR(__xludf.DUMMYFUNCTION("""COMPUTED_VALUE"""),8)</f>
        <v>8</v>
      </c>
      <c r="E272">
        <f ca="1">IFERROR(__xludf.DUMMYFUNCTION("""COMPUTED_VALUE"""),73.63)</f>
        <v>73.63</v>
      </c>
      <c r="F272">
        <f ca="1">IFERROR(__xludf.DUMMYFUNCTION("""COMPUTED_VALUE"""),589)</f>
        <v>589</v>
      </c>
      <c r="G272">
        <f ca="1">IFERROR(__xludf.DUMMYFUNCTION("""COMPUTED_VALUE"""),8)</f>
        <v>8</v>
      </c>
    </row>
    <row r="273" spans="1:7" ht="12.75">
      <c r="A273">
        <f ca="1">IFERROR(__xludf.DUMMYFUNCTION("""COMPUTED_VALUE"""),272)</f>
        <v>272</v>
      </c>
      <c r="B273" t="str">
        <f ca="1">IFERROR(__xludf.DUMMYFUNCTION("""COMPUTED_VALUE"""),"T265")</f>
        <v>T265</v>
      </c>
      <c r="C273" t="str">
        <f ca="1">IFERROR(__xludf.DUMMYFUNCTION("""COMPUTED_VALUE"""),"Rafael Campos")</f>
        <v>Rafael Campos</v>
      </c>
      <c r="D273">
        <f ca="1">IFERROR(__xludf.DUMMYFUNCTION("""COMPUTED_VALUE"""),6)</f>
        <v>6</v>
      </c>
      <c r="E273">
        <f ca="1">IFERROR(__xludf.DUMMYFUNCTION("""COMPUTED_VALUE"""),73.67)</f>
        <v>73.67</v>
      </c>
      <c r="F273">
        <f ca="1">IFERROR(__xludf.DUMMYFUNCTION("""COMPUTED_VALUE"""),442)</f>
        <v>442</v>
      </c>
      <c r="G273">
        <f ca="1">IFERROR(__xludf.DUMMYFUNCTION("""COMPUTED_VALUE"""),6)</f>
        <v>6</v>
      </c>
    </row>
    <row r="274" spans="1:7" ht="12.75">
      <c r="A274" t="str">
        <f ca="1">IFERROR(__xludf.DUMMYFUNCTION("""COMPUTED_VALUE"""),"T273")</f>
        <v>T273</v>
      </c>
      <c r="B274" t="str">
        <f ca="1">IFERROR(__xludf.DUMMYFUNCTION("""COMPUTED_VALUE"""),"T267")</f>
        <v>T267</v>
      </c>
      <c r="C274" t="str">
        <f ca="1">IFERROR(__xludf.DUMMYFUNCTION("""COMPUTED_VALUE"""),"Bernd Wiesberger")</f>
        <v>Bernd Wiesberger</v>
      </c>
      <c r="D274">
        <f ca="1">IFERROR(__xludf.DUMMYFUNCTION("""COMPUTED_VALUE"""),4)</f>
        <v>4</v>
      </c>
      <c r="E274">
        <f ca="1">IFERROR(__xludf.DUMMYFUNCTION("""COMPUTED_VALUE"""),73.75)</f>
        <v>73.75</v>
      </c>
      <c r="F274">
        <f ca="1">IFERROR(__xludf.DUMMYFUNCTION("""COMPUTED_VALUE"""),295)</f>
        <v>295</v>
      </c>
      <c r="G274">
        <f ca="1">IFERROR(__xludf.DUMMYFUNCTION("""COMPUTED_VALUE"""),4)</f>
        <v>4</v>
      </c>
    </row>
    <row r="275" spans="1:7" ht="12.75">
      <c r="A275" t="str">
        <f ca="1">IFERROR(__xludf.DUMMYFUNCTION("""COMPUTED_VALUE"""),"T273")</f>
        <v>T273</v>
      </c>
      <c r="B275" t="str">
        <f ca="1">IFERROR(__xludf.DUMMYFUNCTION("""COMPUTED_VALUE"""),"T267")</f>
        <v>T267</v>
      </c>
      <c r="C275" t="str">
        <f ca="1">IFERROR(__xludf.DUMMYFUNCTION("""COMPUTED_VALUE"""),"Matt Wallace")</f>
        <v>Matt Wallace</v>
      </c>
      <c r="D275">
        <f ca="1">IFERROR(__xludf.DUMMYFUNCTION("""COMPUTED_VALUE"""),4)</f>
        <v>4</v>
      </c>
      <c r="E275">
        <f ca="1">IFERROR(__xludf.DUMMYFUNCTION("""COMPUTED_VALUE"""),73.75)</f>
        <v>73.75</v>
      </c>
      <c r="F275">
        <f ca="1">IFERROR(__xludf.DUMMYFUNCTION("""COMPUTED_VALUE"""),295)</f>
        <v>295</v>
      </c>
      <c r="G275">
        <f ca="1">IFERROR(__xludf.DUMMYFUNCTION("""COMPUTED_VALUE"""),4)</f>
        <v>4</v>
      </c>
    </row>
    <row r="276" spans="1:7" ht="12.75">
      <c r="A276" t="str">
        <f ca="1">IFERROR(__xludf.DUMMYFUNCTION("""COMPUTED_VALUE"""),"T273")</f>
        <v>T273</v>
      </c>
      <c r="B276" t="str">
        <f ca="1">IFERROR(__xludf.DUMMYFUNCTION("""COMPUTED_VALUE"""),"T267")</f>
        <v>T267</v>
      </c>
      <c r="C276" t="str">
        <f ca="1">IFERROR(__xludf.DUMMYFUNCTION("""COMPUTED_VALUE"""),"Luke Schniederjans")</f>
        <v>Luke Schniederjans</v>
      </c>
      <c r="D276">
        <f ca="1">IFERROR(__xludf.DUMMYFUNCTION("""COMPUTED_VALUE"""),4)</f>
        <v>4</v>
      </c>
      <c r="E276">
        <f ca="1">IFERROR(__xludf.DUMMYFUNCTION("""COMPUTED_VALUE"""),73.75)</f>
        <v>73.75</v>
      </c>
      <c r="F276">
        <f ca="1">IFERROR(__xludf.DUMMYFUNCTION("""COMPUTED_VALUE"""),295)</f>
        <v>295</v>
      </c>
      <c r="G276">
        <f ca="1">IFERROR(__xludf.DUMMYFUNCTION("""COMPUTED_VALUE"""),4)</f>
        <v>4</v>
      </c>
    </row>
    <row r="277" spans="1:7" ht="12.75">
      <c r="A277">
        <f ca="1">IFERROR(__xludf.DUMMYFUNCTION("""COMPUTED_VALUE"""),276)</f>
        <v>276</v>
      </c>
      <c r="B277" t="str">
        <f ca="1">IFERROR(__xludf.DUMMYFUNCTION("""COMPUTED_VALUE"""),"T270")</f>
        <v>T270</v>
      </c>
      <c r="C277" t="str">
        <f ca="1">IFERROR(__xludf.DUMMYFUNCTION("""COMPUTED_VALUE"""),"Sung Kang")</f>
        <v>Sung Kang</v>
      </c>
      <c r="D277">
        <f ca="1">IFERROR(__xludf.DUMMYFUNCTION("""COMPUTED_VALUE"""),14)</f>
        <v>14</v>
      </c>
      <c r="E277">
        <f ca="1">IFERROR(__xludf.DUMMYFUNCTION("""COMPUTED_VALUE"""),73.79)</f>
        <v>73.790000000000006</v>
      </c>
      <c r="F277" s="1">
        <f ca="1">IFERROR(__xludf.DUMMYFUNCTION("""COMPUTED_VALUE"""),1033)</f>
        <v>1033</v>
      </c>
      <c r="G277">
        <f ca="1">IFERROR(__xludf.DUMMYFUNCTION("""COMPUTED_VALUE"""),14)</f>
        <v>14</v>
      </c>
    </row>
    <row r="278" spans="1:7" ht="12.75">
      <c r="A278">
        <f ca="1">IFERROR(__xludf.DUMMYFUNCTION("""COMPUTED_VALUE"""),277)</f>
        <v>277</v>
      </c>
      <c r="B278" t="str">
        <f ca="1">IFERROR(__xludf.DUMMYFUNCTION("""COMPUTED_VALUE"""),"T270")</f>
        <v>T270</v>
      </c>
      <c r="C278" t="str">
        <f ca="1">IFERROR(__xludf.DUMMYFUNCTION("""COMPUTED_VALUE"""),"Alex Cejka")</f>
        <v>Alex Cejka</v>
      </c>
      <c r="D278">
        <f ca="1">IFERROR(__xludf.DUMMYFUNCTION("""COMPUTED_VALUE"""),6)</f>
        <v>6</v>
      </c>
      <c r="E278">
        <f ca="1">IFERROR(__xludf.DUMMYFUNCTION("""COMPUTED_VALUE"""),73.83)</f>
        <v>73.83</v>
      </c>
      <c r="F278">
        <f ca="1">IFERROR(__xludf.DUMMYFUNCTION("""COMPUTED_VALUE"""),443)</f>
        <v>443</v>
      </c>
      <c r="G278">
        <f ca="1">IFERROR(__xludf.DUMMYFUNCTION("""COMPUTED_VALUE"""),6)</f>
        <v>6</v>
      </c>
    </row>
    <row r="279" spans="1:7" ht="12.75">
      <c r="A279" t="str">
        <f ca="1">IFERROR(__xludf.DUMMYFUNCTION("""COMPUTED_VALUE"""),"T278")</f>
        <v>T278</v>
      </c>
      <c r="B279" t="str">
        <f ca="1">IFERROR(__xludf.DUMMYFUNCTION("""COMPUTED_VALUE"""),"T272")</f>
        <v>T272</v>
      </c>
      <c r="C279" t="str">
        <f ca="1">IFERROR(__xludf.DUMMYFUNCTION("""COMPUTED_VALUE"""),"Matt Every")</f>
        <v>Matt Every</v>
      </c>
      <c r="D279">
        <f ca="1">IFERROR(__xludf.DUMMYFUNCTION("""COMPUTED_VALUE"""),8)</f>
        <v>8</v>
      </c>
      <c r="E279">
        <f ca="1">IFERROR(__xludf.DUMMYFUNCTION("""COMPUTED_VALUE"""),74)</f>
        <v>74</v>
      </c>
      <c r="F279">
        <f ca="1">IFERROR(__xludf.DUMMYFUNCTION("""COMPUTED_VALUE"""),592)</f>
        <v>592</v>
      </c>
      <c r="G279">
        <f ca="1">IFERROR(__xludf.DUMMYFUNCTION("""COMPUTED_VALUE"""),8)</f>
        <v>8</v>
      </c>
    </row>
    <row r="280" spans="1:7" ht="12.75">
      <c r="A280" t="str">
        <f ca="1">IFERROR(__xludf.DUMMYFUNCTION("""COMPUTED_VALUE"""),"T278")</f>
        <v>T278</v>
      </c>
      <c r="B280" t="str">
        <f ca="1">IFERROR(__xludf.DUMMYFUNCTION("""COMPUTED_VALUE"""),"T272")</f>
        <v>T272</v>
      </c>
      <c r="C280" t="str">
        <f ca="1">IFERROR(__xludf.DUMMYFUNCTION("""COMPUTED_VALUE"""),"Jeongwoo Ham")</f>
        <v>Jeongwoo Ham</v>
      </c>
      <c r="D280">
        <f ca="1">IFERROR(__xludf.DUMMYFUNCTION("""COMPUTED_VALUE"""),4)</f>
        <v>4</v>
      </c>
      <c r="E280">
        <f ca="1">IFERROR(__xludf.DUMMYFUNCTION("""COMPUTED_VALUE"""),74)</f>
        <v>74</v>
      </c>
      <c r="F280">
        <f ca="1">IFERROR(__xludf.DUMMYFUNCTION("""COMPUTED_VALUE"""),296)</f>
        <v>296</v>
      </c>
      <c r="G280">
        <f ca="1">IFERROR(__xludf.DUMMYFUNCTION("""COMPUTED_VALUE"""),4)</f>
        <v>4</v>
      </c>
    </row>
    <row r="281" spans="1:7" ht="12.75">
      <c r="A281">
        <f ca="1">IFERROR(__xludf.DUMMYFUNCTION("""COMPUTED_VALUE"""),280)</f>
        <v>280</v>
      </c>
      <c r="B281">
        <f ca="1">IFERROR(__xludf.DUMMYFUNCTION("""COMPUTED_VALUE"""),274)</f>
        <v>274</v>
      </c>
      <c r="C281" t="str">
        <f ca="1">IFERROR(__xludf.DUMMYFUNCTION("""COMPUTED_VALUE"""),"Gary Woodland")</f>
        <v>Gary Woodland</v>
      </c>
      <c r="D281">
        <f ca="1">IFERROR(__xludf.DUMMYFUNCTION("""COMPUTED_VALUE"""),6)</f>
        <v>6</v>
      </c>
      <c r="E281">
        <f ca="1">IFERROR(__xludf.DUMMYFUNCTION("""COMPUTED_VALUE"""),74.17)</f>
        <v>74.17</v>
      </c>
      <c r="F281">
        <f ca="1">IFERROR(__xludf.DUMMYFUNCTION("""COMPUTED_VALUE"""),445)</f>
        <v>445</v>
      </c>
      <c r="G281">
        <f ca="1">IFERROR(__xludf.DUMMYFUNCTION("""COMPUTED_VALUE"""),6)</f>
        <v>6</v>
      </c>
    </row>
    <row r="282" spans="1:7" ht="12.75">
      <c r="A282" t="str">
        <f ca="1">IFERROR(__xludf.DUMMYFUNCTION("""COMPUTED_VALUE"""),"T281")</f>
        <v>T281</v>
      </c>
      <c r="B282" t="str">
        <f ca="1">IFERROR(__xludf.DUMMYFUNCTION("""COMPUTED_VALUE"""),"T275")</f>
        <v>T275</v>
      </c>
      <c r="C282" t="str">
        <f ca="1">IFERROR(__xludf.DUMMYFUNCTION("""COMPUTED_VALUE"""),"Eric Dugas")</f>
        <v>Eric Dugas</v>
      </c>
      <c r="D282">
        <f ca="1">IFERROR(__xludf.DUMMYFUNCTION("""COMPUTED_VALUE"""),4)</f>
        <v>4</v>
      </c>
      <c r="E282">
        <f ca="1">IFERROR(__xludf.DUMMYFUNCTION("""COMPUTED_VALUE"""),74.5)</f>
        <v>74.5</v>
      </c>
      <c r="F282">
        <f ca="1">IFERROR(__xludf.DUMMYFUNCTION("""COMPUTED_VALUE"""),298)</f>
        <v>298</v>
      </c>
      <c r="G282">
        <f ca="1">IFERROR(__xludf.DUMMYFUNCTION("""COMPUTED_VALUE"""),4)</f>
        <v>4</v>
      </c>
    </row>
    <row r="283" spans="1:7" ht="12.75">
      <c r="A283" t="str">
        <f ca="1">IFERROR(__xludf.DUMMYFUNCTION("""COMPUTED_VALUE"""),"T281")</f>
        <v>T281</v>
      </c>
      <c r="B283" t="str">
        <f ca="1">IFERROR(__xludf.DUMMYFUNCTION("""COMPUTED_VALUE"""),"T275")</f>
        <v>T275</v>
      </c>
      <c r="C283" t="str">
        <f ca="1">IFERROR(__xludf.DUMMYFUNCTION("""COMPUTED_VALUE"""),"John Pak")</f>
        <v>John Pak</v>
      </c>
      <c r="D283">
        <f ca="1">IFERROR(__xludf.DUMMYFUNCTION("""COMPUTED_VALUE"""),4)</f>
        <v>4</v>
      </c>
      <c r="E283">
        <f ca="1">IFERROR(__xludf.DUMMYFUNCTION("""COMPUTED_VALUE"""),74.5)</f>
        <v>74.5</v>
      </c>
      <c r="F283">
        <f ca="1">IFERROR(__xludf.DUMMYFUNCTION("""COMPUTED_VALUE"""),298)</f>
        <v>298</v>
      </c>
      <c r="G283">
        <f ca="1">IFERROR(__xludf.DUMMYFUNCTION("""COMPUTED_VALUE"""),4)</f>
        <v>4</v>
      </c>
    </row>
    <row r="284" spans="1:7" ht="12.75">
      <c r="A284">
        <f ca="1">IFERROR(__xludf.DUMMYFUNCTION("""COMPUTED_VALUE"""),283)</f>
        <v>283</v>
      </c>
      <c r="B284">
        <f ca="1">IFERROR(__xludf.DUMMYFUNCTION("""COMPUTED_VALUE"""),283)</f>
        <v>283</v>
      </c>
      <c r="C284" t="str">
        <f ca="1">IFERROR(__xludf.DUMMYFUNCTION("""COMPUTED_VALUE"""),"Kevin Stadler")</f>
        <v>Kevin Stadler</v>
      </c>
      <c r="D284">
        <f ca="1">IFERROR(__xludf.DUMMYFUNCTION("""COMPUTED_VALUE"""),8)</f>
        <v>8</v>
      </c>
      <c r="E284">
        <f ca="1">IFERROR(__xludf.DUMMYFUNCTION("""COMPUTED_VALUE"""),74.63)</f>
        <v>74.63</v>
      </c>
      <c r="F284">
        <f ca="1">IFERROR(__xludf.DUMMYFUNCTION("""COMPUTED_VALUE"""),597)</f>
        <v>597</v>
      </c>
      <c r="G284">
        <f ca="1">IFERROR(__xludf.DUMMYFUNCTION("""COMPUTED_VALUE"""),8)</f>
        <v>8</v>
      </c>
    </row>
    <row r="285" spans="1:7" ht="12.75">
      <c r="A285" t="str">
        <f ca="1">IFERROR(__xludf.DUMMYFUNCTION("""COMPUTED_VALUE"""),"T284")</f>
        <v>T284</v>
      </c>
      <c r="B285" t="str">
        <f ca="1">IFERROR(__xludf.DUMMYFUNCTION("""COMPUTED_VALUE"""),"T277")</f>
        <v>T277</v>
      </c>
      <c r="C285" t="str">
        <f ca="1">IFERROR(__xludf.DUMMYFUNCTION("""COMPUTED_VALUE"""),"Parker McLachlin")</f>
        <v>Parker McLachlin</v>
      </c>
      <c r="D285">
        <f ca="1">IFERROR(__xludf.DUMMYFUNCTION("""COMPUTED_VALUE"""),4)</f>
        <v>4</v>
      </c>
      <c r="E285">
        <f ca="1">IFERROR(__xludf.DUMMYFUNCTION("""COMPUTED_VALUE"""),74.75)</f>
        <v>74.75</v>
      </c>
      <c r="F285">
        <f ca="1">IFERROR(__xludf.DUMMYFUNCTION("""COMPUTED_VALUE"""),299)</f>
        <v>299</v>
      </c>
      <c r="G285">
        <f ca="1">IFERROR(__xludf.DUMMYFUNCTION("""COMPUTED_VALUE"""),4)</f>
        <v>4</v>
      </c>
    </row>
    <row r="286" spans="1:7" ht="12.75">
      <c r="A286" t="str">
        <f ca="1">IFERROR(__xludf.DUMMYFUNCTION("""COMPUTED_VALUE"""),"T284")</f>
        <v>T284</v>
      </c>
      <c r="B286" t="str">
        <f ca="1">IFERROR(__xludf.DUMMYFUNCTION("""COMPUTED_VALUE"""),"T277")</f>
        <v>T277</v>
      </c>
      <c r="C286" t="str">
        <f ca="1">IFERROR(__xludf.DUMMYFUNCTION("""COMPUTED_VALUE"""),"Davis Riley")</f>
        <v>Davis Riley</v>
      </c>
      <c r="D286">
        <f ca="1">IFERROR(__xludf.DUMMYFUNCTION("""COMPUTED_VALUE"""),4)</f>
        <v>4</v>
      </c>
      <c r="E286">
        <f ca="1">IFERROR(__xludf.DUMMYFUNCTION("""COMPUTED_VALUE"""),74.75)</f>
        <v>74.75</v>
      </c>
      <c r="F286">
        <f ca="1">IFERROR(__xludf.DUMMYFUNCTION("""COMPUTED_VALUE"""),299)</f>
        <v>299</v>
      </c>
      <c r="G286">
        <f ca="1">IFERROR(__xludf.DUMMYFUNCTION("""COMPUTED_VALUE"""),4)</f>
        <v>4</v>
      </c>
    </row>
    <row r="287" spans="1:7" ht="12.75">
      <c r="A287">
        <f ca="1">IFERROR(__xludf.DUMMYFUNCTION("""COMPUTED_VALUE"""),286)</f>
        <v>286</v>
      </c>
      <c r="B287">
        <f ca="1">IFERROR(__xludf.DUMMYFUNCTION("""COMPUTED_VALUE"""),280)</f>
        <v>280</v>
      </c>
      <c r="C287" t="str">
        <f ca="1">IFERROR(__xludf.DUMMYFUNCTION("""COMPUTED_VALUE"""),"Christiaan Bezuidenhout")</f>
        <v>Christiaan Bezuidenhout</v>
      </c>
      <c r="D287">
        <f ca="1">IFERROR(__xludf.DUMMYFUNCTION("""COMPUTED_VALUE"""),4)</f>
        <v>4</v>
      </c>
      <c r="E287">
        <f ca="1">IFERROR(__xludf.DUMMYFUNCTION("""COMPUTED_VALUE"""),75)</f>
        <v>75</v>
      </c>
      <c r="F287">
        <f ca="1">IFERROR(__xludf.DUMMYFUNCTION("""COMPUTED_VALUE"""),300)</f>
        <v>300</v>
      </c>
      <c r="G287">
        <f ca="1">IFERROR(__xludf.DUMMYFUNCTION("""COMPUTED_VALUE"""),4)</f>
        <v>4</v>
      </c>
    </row>
    <row r="288" spans="1:7" ht="12.75">
      <c r="A288">
        <f ca="1">IFERROR(__xludf.DUMMYFUNCTION("""COMPUTED_VALUE"""),287)</f>
        <v>287</v>
      </c>
      <c r="B288">
        <f ca="1">IFERROR(__xludf.DUMMYFUNCTION("""COMPUTED_VALUE"""),281)</f>
        <v>281</v>
      </c>
      <c r="C288" t="str">
        <f ca="1">IFERROR(__xludf.DUMMYFUNCTION("""COMPUTED_VALUE"""),"Shawn Stefani")</f>
        <v>Shawn Stefani</v>
      </c>
      <c r="D288">
        <f ca="1">IFERROR(__xludf.DUMMYFUNCTION("""COMPUTED_VALUE"""),5)</f>
        <v>5</v>
      </c>
      <c r="E288">
        <f ca="1">IFERROR(__xludf.DUMMYFUNCTION("""COMPUTED_VALUE"""),75.2)</f>
        <v>75.2</v>
      </c>
      <c r="F288">
        <f ca="1">IFERROR(__xludf.DUMMYFUNCTION("""COMPUTED_VALUE"""),376)</f>
        <v>376</v>
      </c>
      <c r="G288">
        <f ca="1">IFERROR(__xludf.DUMMYFUNCTION("""COMPUTED_VALUE"""),5)</f>
        <v>5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IFERROR(__xludf.DUMMYFUNCTION("""COMPUTED_VALUE"""),282)</f>
        <v>282</v>
      </c>
      <c r="C289" t="str">
        <f ca="1">IFERROR(__xludf.DUMMYFUNCTION("""COMPUTED_VALUE"""),"Robert MacIntyre")</f>
        <v>Robert MacIntyre</v>
      </c>
      <c r="D289">
        <f ca="1">IFERROR(__xludf.DUMMYFUNCTION("""COMPUTED_VALUE"""),4)</f>
        <v>4</v>
      </c>
      <c r="E289">
        <f ca="1">IFERROR(__xludf.DUMMYFUNCTION("""COMPUTED_VALUE"""),75.25)</f>
        <v>75.25</v>
      </c>
      <c r="F289">
        <f ca="1">IFERROR(__xludf.DUMMYFUNCTION("""COMPUTED_VALUE"""),301)</f>
        <v>301</v>
      </c>
      <c r="G289">
        <f ca="1">IFERROR(__xludf.DUMMYFUNCTION("""COMPUTED_VALUE"""),4)</f>
        <v>4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IFERROR(__xludf.DUMMYFUNCTION("""COMPUTED_VALUE"""),"Tae Hee Lee")</f>
        <v>Tae Hee Lee</v>
      </c>
      <c r="D290">
        <f ca="1">IFERROR(__xludf.DUMMYFUNCTION("""COMPUTED_VALUE"""),4)</f>
        <v>4</v>
      </c>
      <c r="E290">
        <f ca="1">IFERROR(__xludf.DUMMYFUNCTION("""COMPUTED_VALUE"""),76.5)</f>
        <v>76.5</v>
      </c>
      <c r="F290">
        <f ca="1">IFERROR(__xludf.DUMMYFUNCTION("""COMPUTED_VALUE"""),306)</f>
        <v>306</v>
      </c>
      <c r="G290">
        <f ca="1">IFERROR(__xludf.DUMMYFUNCTION("""COMPUTED_VALUE"""),4)</f>
        <v>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IFERROR(__xludf.DUMMYFUNCTION("importhtml(""http://www.pgatour.com/stats/stat.142.html"",""table"",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STROKES")</f>
        <v>TOTAL STROKES</v>
      </c>
      <c r="G1" t="str">
        <f ca="1">IFERROR(__xludf.DUMMYFUNCTION("""COMPUTED_VALUE"""),"TOTAL HOLES")</f>
        <v>TOTAL HOLES</v>
      </c>
    </row>
    <row r="2" spans="1:7" ht="15.75" customHeight="1">
      <c r="A2">
        <f ca="1">IFERROR(__xludf.DUMMYFUNCTION("""COMPUTED_VALUE"""),1)</f>
        <v>1</v>
      </c>
      <c r="B2">
        <f ca="1">IFERROR(__xludf.DUMMYFUNCTION("""COMPUTED_VALUE"""),2)</f>
        <v>2</v>
      </c>
      <c r="C2" t="str">
        <f ca="1">IFERROR(__xludf.DUMMYFUNCTION("""COMPUTED_VALUE"""),"Stewart Cink")</f>
        <v>Stewart Cink</v>
      </c>
      <c r="D2">
        <f ca="1">IFERROR(__xludf.DUMMYFUNCTION("""COMPUTED_VALUE"""),18)</f>
        <v>18</v>
      </c>
      <c r="E2">
        <f ca="1">IFERROR(__xludf.DUMMYFUNCTION("""COMPUTED_VALUE"""),2.82)</f>
        <v>2.82</v>
      </c>
      <c r="F2">
        <f ca="1">IFERROR(__xludf.DUMMYFUNCTION("""COMPUTED_VALUE"""),209)</f>
        <v>209</v>
      </c>
      <c r="G2">
        <f ca="1">IFERROR(__xludf.DUMMYFUNCTION("""COMPUTED_VALUE"""),74)</f>
        <v>74</v>
      </c>
    </row>
    <row r="3" spans="1:7" ht="15.75" customHeight="1">
      <c r="A3">
        <f ca="1">IFERROR(__xludf.DUMMYFUNCTION("""COMPUTED_VALUE"""),2)</f>
        <v>2</v>
      </c>
      <c r="B3" t="str">
        <f ca="1">IFERROR(__xludf.DUMMYFUNCTION("""COMPUTED_VALUE"""),"")</f>
        <v/>
      </c>
      <c r="C3" t="str">
        <f ca="1">IFERROR(__xludf.DUMMYFUNCTION("""COMPUTED_VALUE"""),"Erik Barnes")</f>
        <v>Erik Barnes</v>
      </c>
      <c r="D3">
        <f ca="1">IFERROR(__xludf.DUMMYFUNCTION("""COMPUTED_VALUE"""),4)</f>
        <v>4</v>
      </c>
      <c r="E3">
        <f ca="1">IFERROR(__xludf.DUMMYFUNCTION("""COMPUTED_VALUE"""),2.85)</f>
        <v>2.85</v>
      </c>
      <c r="F3">
        <f ca="1">IFERROR(__xludf.DUMMYFUNCTION("""COMPUTED_VALUE"""),57)</f>
        <v>57</v>
      </c>
      <c r="G3">
        <f ca="1">IFERROR(__xludf.DUMMYFUNCTION("""COMPUTED_VALUE"""),20)</f>
        <v>20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IFERROR(__xludf.DUMMYFUNCTION("""COMPUTED_VALUE"""),1)</f>
        <v>1</v>
      </c>
      <c r="C4" t="str">
        <f ca="1">IFERROR(__xludf.DUMMYFUNCTION("""COMPUTED_VALUE"""),"John Huh")</f>
        <v>John Huh</v>
      </c>
      <c r="D4">
        <f ca="1">IFERROR(__xludf.DUMMYFUNCTION("""COMPUTED_VALUE"""),8)</f>
        <v>8</v>
      </c>
      <c r="E4">
        <f ca="1">IFERROR(__xludf.DUMMYFUNCTION("""COMPUTED_VALUE"""),2.86)</f>
        <v>2.86</v>
      </c>
      <c r="F4">
        <f ca="1">IFERROR(__xludf.DUMMYFUNCTION("""COMPUTED_VALUE"""),103)</f>
        <v>103</v>
      </c>
      <c r="G4">
        <f ca="1">IFERROR(__xludf.DUMMYFUNCTION("""COMPUTED_VALUE"""),36)</f>
        <v>36</v>
      </c>
    </row>
    <row r="5" spans="1:7" ht="15.75" customHeight="1">
      <c r="A5" t="str">
        <f ca="1">IFERROR(__xludf.DUMMYFUNCTION("""COMPUTED_VALUE"""),"T4")</f>
        <v>T4</v>
      </c>
      <c r="B5" t="str">
        <f ca="1">IFERROR(__xludf.DUMMYFUNCTION("""COMPUTED_VALUE"""),"T3")</f>
        <v>T3</v>
      </c>
      <c r="C5" t="str">
        <f ca="1">IFERROR(__xludf.DUMMYFUNCTION("""COMPUTED_VALUE"""),"Jeongwoo Ham")</f>
        <v>Jeongwoo Ham</v>
      </c>
      <c r="D5">
        <f ca="1">IFERROR(__xludf.DUMMYFUNCTION("""COMPUTED_VALUE"""),4)</f>
        <v>4</v>
      </c>
      <c r="E5">
        <f ca="1">IFERROR(__xludf.DUMMYFUNCTION("""COMPUTED_VALUE"""),2.88)</f>
        <v>2.88</v>
      </c>
      <c r="F5">
        <f ca="1">IFERROR(__xludf.DUMMYFUNCTION("""COMPUTED_VALUE"""),46)</f>
        <v>46</v>
      </c>
      <c r="G5">
        <f ca="1">IFERROR(__xludf.DUMMYFUNCTION("""COMPUTED_VALUE"""),16)</f>
        <v>16</v>
      </c>
    </row>
    <row r="6" spans="1:7" ht="15.75" customHeight="1">
      <c r="A6" t="str">
        <f ca="1">IFERROR(__xludf.DUMMYFUNCTION("""COMPUTED_VALUE"""),"T4")</f>
        <v>T4</v>
      </c>
      <c r="B6" t="str">
        <f ca="1">IFERROR(__xludf.DUMMYFUNCTION("""COMPUTED_VALUE"""),"T3")</f>
        <v>T3</v>
      </c>
      <c r="C6" t="str">
        <f ca="1">IFERROR(__xludf.DUMMYFUNCTION("""COMPUTED_VALUE"""),"Hanbyeol Kim")</f>
        <v>Hanbyeol Kim</v>
      </c>
      <c r="D6">
        <f ca="1">IFERROR(__xludf.DUMMYFUNCTION("""COMPUTED_VALUE"""),4)</f>
        <v>4</v>
      </c>
      <c r="E6">
        <f ca="1">IFERROR(__xludf.DUMMYFUNCTION("""COMPUTED_VALUE"""),2.88)</f>
        <v>2.88</v>
      </c>
      <c r="F6">
        <f ca="1">IFERROR(__xludf.DUMMYFUNCTION("""COMPUTED_VALUE"""),46)</f>
        <v>46</v>
      </c>
      <c r="G6">
        <f ca="1">IFERROR(__xludf.DUMMYFUNCTION("""COMPUTED_VALUE"""),16)</f>
        <v>16</v>
      </c>
    </row>
    <row r="7" spans="1:7" ht="15.75" customHeight="1">
      <c r="A7" t="str">
        <f ca="1">IFERROR(__xludf.DUMMYFUNCTION("""COMPUTED_VALUE"""),"T4")</f>
        <v>T4</v>
      </c>
      <c r="B7" t="str">
        <f ca="1">IFERROR(__xludf.DUMMYFUNCTION("""COMPUTED_VALUE"""),"T3")</f>
        <v>T3</v>
      </c>
      <c r="C7" t="str">
        <f ca="1">IFERROR(__xludf.DUMMYFUNCTION("""COMPUTED_VALUE"""),"Bryson DeChambeau")</f>
        <v>Bryson DeChambeau</v>
      </c>
      <c r="D7">
        <f ca="1">IFERROR(__xludf.DUMMYFUNCTION("""COMPUTED_VALUE"""),8)</f>
        <v>8</v>
      </c>
      <c r="E7">
        <f ca="1">IFERROR(__xludf.DUMMYFUNCTION("""COMPUTED_VALUE"""),2.88)</f>
        <v>2.88</v>
      </c>
      <c r="F7">
        <f ca="1">IFERROR(__xludf.DUMMYFUNCTION("""COMPUTED_VALUE"""),92)</f>
        <v>92</v>
      </c>
      <c r="G7">
        <f ca="1">IFERROR(__xludf.DUMMYFUNCTION("""COMPUTED_VALUE"""),32)</f>
        <v>32</v>
      </c>
    </row>
    <row r="8" spans="1:7" ht="15.75" customHeight="1">
      <c r="A8" t="str">
        <f ca="1">IFERROR(__xludf.DUMMYFUNCTION("""COMPUTED_VALUE"""),"T4")</f>
        <v>T4</v>
      </c>
      <c r="B8" t="str">
        <f ca="1">IFERROR(__xludf.DUMMYFUNCTION("""COMPUTED_VALUE"""),"T3")</f>
        <v>T3</v>
      </c>
      <c r="C8" t="str">
        <f ca="1">IFERROR(__xludf.DUMMYFUNCTION("""COMPUTED_VALUE"""),"Steve Lewton")</f>
        <v>Steve Lewton</v>
      </c>
      <c r="D8">
        <f ca="1">IFERROR(__xludf.DUMMYFUNCTION("""COMPUTED_VALUE"""),4)</f>
        <v>4</v>
      </c>
      <c r="E8">
        <f ca="1">IFERROR(__xludf.DUMMYFUNCTION("""COMPUTED_VALUE"""),2.88)</f>
        <v>2.88</v>
      </c>
      <c r="F8">
        <f ca="1">IFERROR(__xludf.DUMMYFUNCTION("""COMPUTED_VALUE"""),46)</f>
        <v>46</v>
      </c>
      <c r="G8">
        <f ca="1">IFERROR(__xludf.DUMMYFUNCTION("""COMPUTED_VALUE"""),16)</f>
        <v>16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IFERROR(__xludf.DUMMYFUNCTION("""COMPUTED_VALUE"""),"T12")</f>
        <v>T12</v>
      </c>
      <c r="C9" t="str">
        <f ca="1">IFERROR(__xludf.DUMMYFUNCTION("""COMPUTED_VALUE"""),"Padraig Harrington")</f>
        <v>Padraig Harrington</v>
      </c>
      <c r="D9">
        <f ca="1">IFERROR(__xludf.DUMMYFUNCTION("""COMPUTED_VALUE"""),8)</f>
        <v>8</v>
      </c>
      <c r="E9">
        <f ca="1">IFERROR(__xludf.DUMMYFUNCTION("""COMPUTED_VALUE"""),2.89)</f>
        <v>2.89</v>
      </c>
      <c r="F9">
        <f ca="1">IFERROR(__xludf.DUMMYFUNCTION("""COMPUTED_VALUE"""),104)</f>
        <v>104</v>
      </c>
      <c r="G9">
        <f ca="1">IFERROR(__xludf.DUMMYFUNCTION("""COMPUTED_VALUE"""),36)</f>
        <v>36</v>
      </c>
    </row>
    <row r="10" spans="1:7" ht="15.75" customHeight="1">
      <c r="A10">
        <f ca="1">IFERROR(__xludf.DUMMYFUNCTION("""COMPUTED_VALUE"""),9)</f>
        <v>9</v>
      </c>
      <c r="B10" t="str">
        <f ca="1">IFERROR(__xludf.DUMMYFUNCTION("""COMPUTED_VALUE"""),"T8")</f>
        <v>T8</v>
      </c>
      <c r="C10" t="str">
        <f ca="1">IFERROR(__xludf.DUMMYFUNCTION("""COMPUTED_VALUE"""),"Xinjun Zhang")</f>
        <v>Xinjun Zhang</v>
      </c>
      <c r="D10">
        <f ca="1">IFERROR(__xludf.DUMMYFUNCTION("""COMPUTED_VALUE"""),14)</f>
        <v>14</v>
      </c>
      <c r="E10">
        <f ca="1">IFERROR(__xludf.DUMMYFUNCTION("""COMPUTED_VALUE"""),2.91)</f>
        <v>2.91</v>
      </c>
      <c r="F10">
        <f ca="1">IFERROR(__xludf.DUMMYFUNCTION("""COMPUTED_VALUE"""),169)</f>
        <v>169</v>
      </c>
      <c r="G10">
        <f ca="1">IFERROR(__xludf.DUMMYFUNCTION("""COMPUTED_VALUE"""),58)</f>
        <v>58</v>
      </c>
    </row>
    <row r="11" spans="1:7" ht="15.75" customHeight="1">
      <c r="A11">
        <f ca="1">IFERROR(__xludf.DUMMYFUNCTION("""COMPUTED_VALUE"""),10)</f>
        <v>10</v>
      </c>
      <c r="B11" t="str">
        <f ca="1">IFERROR(__xludf.DUMMYFUNCTION("""COMPUTED_VALUE"""),"T8")</f>
        <v>T8</v>
      </c>
      <c r="C11" t="str">
        <f ca="1">IFERROR(__xludf.DUMMYFUNCTION("""COMPUTED_VALUE"""),"Webb Simpson")</f>
        <v>Webb Simpson</v>
      </c>
      <c r="D11">
        <f ca="1">IFERROR(__xludf.DUMMYFUNCTION("""COMPUTED_VALUE"""),12)</f>
        <v>12</v>
      </c>
      <c r="E11">
        <f ca="1">IFERROR(__xludf.DUMMYFUNCTION("""COMPUTED_VALUE"""),2.92)</f>
        <v>2.92</v>
      </c>
      <c r="F11">
        <f ca="1">IFERROR(__xludf.DUMMYFUNCTION("""COMPUTED_VALUE"""),152)</f>
        <v>152</v>
      </c>
      <c r="G11">
        <f ca="1">IFERROR(__xludf.DUMMYFUNCTION("""COMPUTED_VALUE"""),52)</f>
        <v>52</v>
      </c>
    </row>
    <row r="12" spans="1:7" ht="15.75" customHeight="1">
      <c r="A12" t="str">
        <f ca="1">IFERROR(__xludf.DUMMYFUNCTION("""COMPUTED_VALUE"""),"T11")</f>
        <v>T11</v>
      </c>
      <c r="B12" t="str">
        <f ca="1">IFERROR(__xludf.DUMMYFUNCTION("""COMPUTED_VALUE"""),"T8")</f>
        <v>T8</v>
      </c>
      <c r="C12" t="str">
        <f ca="1">IFERROR(__xludf.DUMMYFUNCTION("""COMPUTED_VALUE"""),"Ted Potter, Jr.")</f>
        <v>Ted Potter, Jr.</v>
      </c>
      <c r="D12">
        <f ca="1">IFERROR(__xludf.DUMMYFUNCTION("""COMPUTED_VALUE"""),8)</f>
        <v>8</v>
      </c>
      <c r="E12">
        <f ca="1">IFERROR(__xludf.DUMMYFUNCTION("""COMPUTED_VALUE"""),2.94)</f>
        <v>2.94</v>
      </c>
      <c r="F12">
        <f ca="1">IFERROR(__xludf.DUMMYFUNCTION("""COMPUTED_VALUE"""),100)</f>
        <v>100</v>
      </c>
      <c r="G12">
        <f ca="1">IFERROR(__xludf.DUMMYFUNCTION("""COMPUTED_VALUE"""),34)</f>
        <v>34</v>
      </c>
    </row>
    <row r="13" spans="1:7" ht="15.75" customHeight="1">
      <c r="A13" t="str">
        <f ca="1">IFERROR(__xludf.DUMMYFUNCTION("""COMPUTED_VALUE"""),"T11")</f>
        <v>T11</v>
      </c>
      <c r="B13" t="str">
        <f ca="1">IFERROR(__xludf.DUMMYFUNCTION("""COMPUTED_VALUE"""),"T12")</f>
        <v>T12</v>
      </c>
      <c r="C13" t="str">
        <f ca="1">IFERROR(__xludf.DUMMYFUNCTION("""COMPUTED_VALUE"""),"Jim Furyk")</f>
        <v>Jim Furyk</v>
      </c>
      <c r="D13">
        <f ca="1">IFERROR(__xludf.DUMMYFUNCTION("""COMPUTED_VALUE"""),4)</f>
        <v>4</v>
      </c>
      <c r="E13">
        <f ca="1">IFERROR(__xludf.DUMMYFUNCTION("""COMPUTED_VALUE"""),2.94)</f>
        <v>2.94</v>
      </c>
      <c r="F13">
        <f ca="1">IFERROR(__xludf.DUMMYFUNCTION("""COMPUTED_VALUE"""),47)</f>
        <v>47</v>
      </c>
      <c r="G13">
        <f ca="1">IFERROR(__xludf.DUMMYFUNCTION("""COMPUTED_VALUE"""),16)</f>
        <v>16</v>
      </c>
    </row>
    <row r="14" spans="1:7" ht="15.75" customHeight="1">
      <c r="A14" t="str">
        <f ca="1">IFERROR(__xludf.DUMMYFUNCTION("""COMPUTED_VALUE"""),"T11")</f>
        <v>T11</v>
      </c>
      <c r="B14" t="str">
        <f ca="1">IFERROR(__xludf.DUMMYFUNCTION("""COMPUTED_VALUE"""),"T12")</f>
        <v>T12</v>
      </c>
      <c r="C14" t="str">
        <f ca="1">IFERROR(__xludf.DUMMYFUNCTION("""COMPUTED_VALUE"""),"Aaron Wise")</f>
        <v>Aaron Wise</v>
      </c>
      <c r="D14">
        <f ca="1">IFERROR(__xludf.DUMMYFUNCTION("""COMPUTED_VALUE"""),16)</f>
        <v>16</v>
      </c>
      <c r="E14">
        <f ca="1">IFERROR(__xludf.DUMMYFUNCTION("""COMPUTED_VALUE"""),2.94)</f>
        <v>2.94</v>
      </c>
      <c r="F14">
        <f ca="1">IFERROR(__xludf.DUMMYFUNCTION("""COMPUTED_VALUE"""),200)</f>
        <v>200</v>
      </c>
      <c r="G14">
        <f ca="1">IFERROR(__xludf.DUMMYFUNCTION("""COMPUTED_VALUE"""),68)</f>
        <v>68</v>
      </c>
    </row>
    <row r="15" spans="1:7" ht="15.75" customHeight="1">
      <c r="A15" t="str">
        <f ca="1">IFERROR(__xludf.DUMMYFUNCTION("""COMPUTED_VALUE"""),"T11")</f>
        <v>T11</v>
      </c>
      <c r="B15" t="str">
        <f ca="1">IFERROR(__xludf.DUMMYFUNCTION("""COMPUTED_VALUE"""),"T8")</f>
        <v>T8</v>
      </c>
      <c r="C15" t="str">
        <f ca="1">IFERROR(__xludf.DUMMYFUNCTION("""COMPUTED_VALUE"""),"Russell Henley")</f>
        <v>Russell Henley</v>
      </c>
      <c r="D15">
        <f ca="1">IFERROR(__xludf.DUMMYFUNCTION("""COMPUTED_VALUE"""),16)</f>
        <v>16</v>
      </c>
      <c r="E15">
        <f ca="1">IFERROR(__xludf.DUMMYFUNCTION("""COMPUTED_VALUE"""),2.94)</f>
        <v>2.94</v>
      </c>
      <c r="F15">
        <f ca="1">IFERROR(__xludf.DUMMYFUNCTION("""COMPUTED_VALUE"""),212)</f>
        <v>212</v>
      </c>
      <c r="G15">
        <f ca="1">IFERROR(__xludf.DUMMYFUNCTION("""COMPUTED_VALUE"""),72)</f>
        <v>72</v>
      </c>
    </row>
    <row r="16" spans="1:7" ht="15.75" customHeight="1">
      <c r="A16" t="str">
        <f ca="1">IFERROR(__xludf.DUMMYFUNCTION("""COMPUTED_VALUE"""),"T15")</f>
        <v>T15</v>
      </c>
      <c r="B16" t="str">
        <f ca="1">IFERROR(__xludf.DUMMYFUNCTION("""COMPUTED_VALUE"""),"T12")</f>
        <v>T12</v>
      </c>
      <c r="C16" t="str">
        <f ca="1">IFERROR(__xludf.DUMMYFUNCTION("""COMPUTED_VALUE"""),"Cameron Tringale")</f>
        <v>Cameron Tringale</v>
      </c>
      <c r="D16">
        <f ca="1">IFERROR(__xludf.DUMMYFUNCTION("""COMPUTED_VALUE"""),16)</f>
        <v>16</v>
      </c>
      <c r="E16">
        <f ca="1">IFERROR(__xludf.DUMMYFUNCTION("""COMPUTED_VALUE"""),2.96)</f>
        <v>2.96</v>
      </c>
      <c r="F16">
        <f ca="1">IFERROR(__xludf.DUMMYFUNCTION("""COMPUTED_VALUE"""),201)</f>
        <v>201</v>
      </c>
      <c r="G16">
        <f ca="1">IFERROR(__xludf.DUMMYFUNCTION("""COMPUTED_VALUE"""),68)</f>
        <v>68</v>
      </c>
    </row>
    <row r="17" spans="1:7" ht="15.75" customHeight="1">
      <c r="A17" t="str">
        <f ca="1">IFERROR(__xludf.DUMMYFUNCTION("""COMPUTED_VALUE"""),"T15")</f>
        <v>T15</v>
      </c>
      <c r="B17" t="str">
        <f ca="1">IFERROR(__xludf.DUMMYFUNCTION("""COMPUTED_VALUE"""),"T17")</f>
        <v>T17</v>
      </c>
      <c r="C17" t="str">
        <f ca="1">IFERROR(__xludf.DUMMYFUNCTION("""COMPUTED_VALUE"""),"Doug Ghim")</f>
        <v>Doug Ghim</v>
      </c>
      <c r="D17">
        <f ca="1">IFERROR(__xludf.DUMMYFUNCTION("""COMPUTED_VALUE"""),14)</f>
        <v>14</v>
      </c>
      <c r="E17">
        <f ca="1">IFERROR(__xludf.DUMMYFUNCTION("""COMPUTED_VALUE"""),2.96)</f>
        <v>2.96</v>
      </c>
      <c r="F17">
        <f ca="1">IFERROR(__xludf.DUMMYFUNCTION("""COMPUTED_VALUE"""),166)</f>
        <v>166</v>
      </c>
      <c r="G17">
        <f ca="1">IFERROR(__xludf.DUMMYFUNCTION("""COMPUTED_VALUE"""),56)</f>
        <v>56</v>
      </c>
    </row>
    <row r="18" spans="1:7" ht="15.75" customHeight="1">
      <c r="A18" t="str">
        <f ca="1">IFERROR(__xludf.DUMMYFUNCTION("""COMPUTED_VALUE"""),"T15")</f>
        <v>T15</v>
      </c>
      <c r="B18" t="str">
        <f ca="1">IFERROR(__xludf.DUMMYFUNCTION("""COMPUTED_VALUE"""),"T17")</f>
        <v>T17</v>
      </c>
      <c r="C18" t="str">
        <f ca="1">IFERROR(__xludf.DUMMYFUNCTION("""COMPUTED_VALUE"""),"Will Zalatoris")</f>
        <v>Will Zalatoris</v>
      </c>
      <c r="D18">
        <f ca="1">IFERROR(__xludf.DUMMYFUNCTION("""COMPUTED_VALUE"""),18)</f>
        <v>18</v>
      </c>
      <c r="E18">
        <f ca="1">IFERROR(__xludf.DUMMYFUNCTION("""COMPUTED_VALUE"""),2.96)</f>
        <v>2.96</v>
      </c>
      <c r="F18">
        <f ca="1">IFERROR(__xludf.DUMMYFUNCTION("""COMPUTED_VALUE"""),213)</f>
        <v>213</v>
      </c>
      <c r="G18">
        <f ca="1">IFERROR(__xludf.DUMMYFUNCTION("""COMPUTED_VALUE"""),72)</f>
        <v>72</v>
      </c>
    </row>
    <row r="19" spans="1:7" ht="15.75" customHeight="1">
      <c r="A19" t="str">
        <f ca="1">IFERROR(__xludf.DUMMYFUNCTION("""COMPUTED_VALUE"""),"T15")</f>
        <v>T15</v>
      </c>
      <c r="B19" t="str">
        <f ca="1">IFERROR(__xludf.DUMMYFUNCTION("""COMPUTED_VALUE"""),"T17")</f>
        <v>T17</v>
      </c>
      <c r="C19" t="str">
        <f ca="1">IFERROR(__xludf.DUMMYFUNCTION("""COMPUTED_VALUE"""),"Xander Schauffele")</f>
        <v>Xander Schauffele</v>
      </c>
      <c r="D19">
        <f ca="1">IFERROR(__xludf.DUMMYFUNCTION("""COMPUTED_VALUE"""),12)</f>
        <v>12</v>
      </c>
      <c r="E19">
        <f ca="1">IFERROR(__xludf.DUMMYFUNCTION("""COMPUTED_VALUE"""),2.96)</f>
        <v>2.96</v>
      </c>
      <c r="F19">
        <f ca="1">IFERROR(__xludf.DUMMYFUNCTION("""COMPUTED_VALUE"""),154)</f>
        <v>154</v>
      </c>
      <c r="G19">
        <f ca="1">IFERROR(__xludf.DUMMYFUNCTION("""COMPUTED_VALUE"""),52)</f>
        <v>52</v>
      </c>
    </row>
    <row r="20" spans="1:7" ht="15.75" customHeight="1">
      <c r="A20" t="str">
        <f ca="1">IFERROR(__xludf.DUMMYFUNCTION("""COMPUTED_VALUE"""),"T15")</f>
        <v>T15</v>
      </c>
      <c r="B20" t="str">
        <f ca="1">IFERROR(__xludf.DUMMYFUNCTION("""COMPUTED_VALUE"""),"T17")</f>
        <v>T17</v>
      </c>
      <c r="C20" t="str">
        <f ca="1">IFERROR(__xludf.DUMMYFUNCTION("""COMPUTED_VALUE"""),"Tyler McCumber")</f>
        <v>Tyler McCumber</v>
      </c>
      <c r="D20">
        <f ca="1">IFERROR(__xludf.DUMMYFUNCTION("""COMPUTED_VALUE"""),14)</f>
        <v>14</v>
      </c>
      <c r="E20">
        <f ca="1">IFERROR(__xludf.DUMMYFUNCTION("""COMPUTED_VALUE"""),2.96)</f>
        <v>2.96</v>
      </c>
      <c r="F20">
        <f ca="1">IFERROR(__xludf.DUMMYFUNCTION("""COMPUTED_VALUE"""),166)</f>
        <v>166</v>
      </c>
      <c r="G20">
        <f ca="1">IFERROR(__xludf.DUMMYFUNCTION("""COMPUTED_VALUE"""),56)</f>
        <v>56</v>
      </c>
    </row>
    <row r="21" spans="1:7" ht="15.75" customHeight="1">
      <c r="A21" t="str">
        <f ca="1">IFERROR(__xludf.DUMMYFUNCTION("""COMPUTED_VALUE"""),"T15")</f>
        <v>T15</v>
      </c>
      <c r="B21" t="str">
        <f ca="1">IFERROR(__xludf.DUMMYFUNCTION("""COMPUTED_VALUE"""),"")</f>
        <v/>
      </c>
      <c r="C21" t="str">
        <f ca="1">IFERROR(__xludf.DUMMYFUNCTION("""COMPUTED_VALUE"""),"Francesco Molinari")</f>
        <v>Francesco Molinari</v>
      </c>
      <c r="D21">
        <f ca="1">IFERROR(__xludf.DUMMYFUNCTION("""COMPUTED_VALUE"""),6)</f>
        <v>6</v>
      </c>
      <c r="E21">
        <f ca="1">IFERROR(__xludf.DUMMYFUNCTION("""COMPUTED_VALUE"""),2.96)</f>
        <v>2.96</v>
      </c>
      <c r="F21">
        <f ca="1">IFERROR(__xludf.DUMMYFUNCTION("""COMPUTED_VALUE"""),83)</f>
        <v>83</v>
      </c>
      <c r="G21">
        <f ca="1">IFERROR(__xludf.DUMMYFUNCTION("""COMPUTED_VALUE"""),28)</f>
        <v>28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IFERROR(__xludf.DUMMYFUNCTION("""COMPUTED_VALUE"""),"T59")</f>
        <v>T59</v>
      </c>
      <c r="C22" t="str">
        <f ca="1">IFERROR(__xludf.DUMMYFUNCTION("""COMPUTED_VALUE"""),"Shane Lowry")</f>
        <v>Shane Lowry</v>
      </c>
      <c r="D22">
        <f ca="1">IFERROR(__xludf.DUMMYFUNCTION("""COMPUTED_VALUE"""),14)</f>
        <v>14</v>
      </c>
      <c r="E22">
        <f ca="1">IFERROR(__xludf.DUMMYFUNCTION("""COMPUTED_VALUE"""),2.97)</f>
        <v>2.97</v>
      </c>
      <c r="F22">
        <f ca="1">IFERROR(__xludf.DUMMYFUNCTION("""COMPUTED_VALUE"""),178)</f>
        <v>178</v>
      </c>
      <c r="G22">
        <f ca="1">IFERROR(__xludf.DUMMYFUNCTION("""COMPUTED_VALUE"""),60)</f>
        <v>60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IFERROR(__xludf.DUMMYFUNCTION("""COMPUTED_VALUE"""),"T28")</f>
        <v>T28</v>
      </c>
      <c r="C23" t="str">
        <f ca="1">IFERROR(__xludf.DUMMYFUNCTION("""COMPUTED_VALUE"""),"Mark Hubbard")</f>
        <v>Mark Hubbard</v>
      </c>
      <c r="D23">
        <f ca="1">IFERROR(__xludf.DUMMYFUNCTION("""COMPUTED_VALUE"""),20)</f>
        <v>20</v>
      </c>
      <c r="E23">
        <f ca="1">IFERROR(__xludf.DUMMYFUNCTION("""COMPUTED_VALUE"""),2.97)</f>
        <v>2.97</v>
      </c>
      <c r="F23">
        <f ca="1">IFERROR(__xludf.DUMMYFUNCTION("""COMPUTED_VALUE"""),261)</f>
        <v>261</v>
      </c>
      <c r="G23">
        <f ca="1">IFERROR(__xludf.DUMMYFUNCTION("""COMPUTED_VALUE"""),88)</f>
        <v>88</v>
      </c>
    </row>
    <row r="24" spans="1:7" ht="15.75" customHeight="1">
      <c r="A24" t="str">
        <f ca="1">IFERROR(__xludf.DUMMYFUNCTION("""COMPUTED_VALUE"""),"T23")</f>
        <v>T23</v>
      </c>
      <c r="B24">
        <f ca="1">IFERROR(__xludf.DUMMYFUNCTION("""COMPUTED_VALUE"""),16)</f>
        <v>16</v>
      </c>
      <c r="C24" t="str">
        <f ca="1">IFERROR(__xludf.DUMMYFUNCTION("""COMPUTED_VALUE"""),"Tom Hoge")</f>
        <v>Tom Hoge</v>
      </c>
      <c r="D24">
        <f ca="1">IFERROR(__xludf.DUMMYFUNCTION("""COMPUTED_VALUE"""),22)</f>
        <v>22</v>
      </c>
      <c r="E24">
        <f ca="1">IFERROR(__xludf.DUMMYFUNCTION("""COMPUTED_VALUE"""),2.98)</f>
        <v>2.98</v>
      </c>
      <c r="F24">
        <f ca="1">IFERROR(__xludf.DUMMYFUNCTION("""COMPUTED_VALUE"""),280)</f>
        <v>280</v>
      </c>
      <c r="G24">
        <f ca="1">IFERROR(__xludf.DUMMYFUNCTION("""COMPUTED_VALUE"""),94)</f>
        <v>94</v>
      </c>
    </row>
    <row r="25" spans="1:7" ht="15.75" customHeight="1">
      <c r="A25" t="str">
        <f ca="1">IFERROR(__xludf.DUMMYFUNCTION("""COMPUTED_VALUE"""),"T23")</f>
        <v>T23</v>
      </c>
      <c r="B25">
        <f ca="1">IFERROR(__xludf.DUMMYFUNCTION("""COMPUTED_VALUE"""),7)</f>
        <v>7</v>
      </c>
      <c r="C25" t="str">
        <f ca="1">IFERROR(__xludf.DUMMYFUNCTION("""COMPUTED_VALUE"""),"Tyrrell Hatton")</f>
        <v>Tyrrell Hatton</v>
      </c>
      <c r="D25">
        <f ca="1">IFERROR(__xludf.DUMMYFUNCTION("""COMPUTED_VALUE"""),14)</f>
        <v>14</v>
      </c>
      <c r="E25">
        <f ca="1">IFERROR(__xludf.DUMMYFUNCTION("""COMPUTED_VALUE"""),2.98)</f>
        <v>2.98</v>
      </c>
      <c r="F25">
        <f ca="1">IFERROR(__xludf.DUMMYFUNCTION("""COMPUTED_VALUE"""),191)</f>
        <v>191</v>
      </c>
      <c r="G25">
        <f ca="1">IFERROR(__xludf.DUMMYFUNCTION("""COMPUTED_VALUE"""),64)</f>
        <v>64</v>
      </c>
    </row>
    <row r="26" spans="1:7" ht="15.75" customHeight="1">
      <c r="A26" t="str">
        <f ca="1">IFERROR(__xludf.DUMMYFUNCTION("""COMPUTED_VALUE"""),"T23")</f>
        <v>T23</v>
      </c>
      <c r="B26" t="str">
        <f ca="1">IFERROR(__xludf.DUMMYFUNCTION("""COMPUTED_VALUE"""),"T23")</f>
        <v>T23</v>
      </c>
      <c r="C26" t="str">
        <f ca="1">IFERROR(__xludf.DUMMYFUNCTION("""COMPUTED_VALUE"""),"Justin Thomas")</f>
        <v>Justin Thomas</v>
      </c>
      <c r="D26">
        <f ca="1">IFERROR(__xludf.DUMMYFUNCTION("""COMPUTED_VALUE"""),12)</f>
        <v>12</v>
      </c>
      <c r="E26">
        <f ca="1">IFERROR(__xludf.DUMMYFUNCTION("""COMPUTED_VALUE"""),2.98)</f>
        <v>2.98</v>
      </c>
      <c r="F26">
        <f ca="1">IFERROR(__xludf.DUMMYFUNCTION("""COMPUTED_VALUE"""),155)</f>
        <v>155</v>
      </c>
      <c r="G26">
        <f ca="1">IFERROR(__xludf.DUMMYFUNCTION("""COMPUTED_VALUE"""),52)</f>
        <v>52</v>
      </c>
    </row>
    <row r="27" spans="1:7" ht="15.75" customHeight="1">
      <c r="A27" t="str">
        <f ca="1">IFERROR(__xludf.DUMMYFUNCTION("""COMPUTED_VALUE"""),"T23")</f>
        <v>T23</v>
      </c>
      <c r="B27" t="str">
        <f ca="1">IFERROR(__xludf.DUMMYFUNCTION("""COMPUTED_VALUE"""),"T28")</f>
        <v>T28</v>
      </c>
      <c r="C27" t="str">
        <f ca="1">IFERROR(__xludf.DUMMYFUNCTION("""COMPUTED_VALUE"""),"Corey Conners")</f>
        <v>Corey Conners</v>
      </c>
      <c r="D27">
        <f ca="1">IFERROR(__xludf.DUMMYFUNCTION("""COMPUTED_VALUE"""),20)</f>
        <v>20</v>
      </c>
      <c r="E27">
        <f ca="1">IFERROR(__xludf.DUMMYFUNCTION("""COMPUTED_VALUE"""),2.98)</f>
        <v>2.98</v>
      </c>
      <c r="F27">
        <f ca="1">IFERROR(__xludf.DUMMYFUNCTION("""COMPUTED_VALUE"""),262)</f>
        <v>262</v>
      </c>
      <c r="G27">
        <f ca="1">IFERROR(__xludf.DUMMYFUNCTION("""COMPUTED_VALUE"""),88)</f>
        <v>88</v>
      </c>
    </row>
    <row r="28" spans="1:7" ht="15.75" customHeight="1">
      <c r="A28" t="str">
        <f ca="1">IFERROR(__xludf.DUMMYFUNCTION("""COMPUTED_VALUE"""),"T23")</f>
        <v>T23</v>
      </c>
      <c r="B28" t="str">
        <f ca="1">IFERROR(__xludf.DUMMYFUNCTION("""COMPUTED_VALUE"""),"T23")</f>
        <v>T23</v>
      </c>
      <c r="C28" t="str">
        <f ca="1">IFERROR(__xludf.DUMMYFUNCTION("""COMPUTED_VALUE"""),"Chez Reavie")</f>
        <v>Chez Reavie</v>
      </c>
      <c r="D28">
        <f ca="1">IFERROR(__xludf.DUMMYFUNCTION("""COMPUTED_VALUE"""),14)</f>
        <v>14</v>
      </c>
      <c r="E28">
        <f ca="1">IFERROR(__xludf.DUMMYFUNCTION("""COMPUTED_VALUE"""),2.98)</f>
        <v>2.98</v>
      </c>
      <c r="F28">
        <f ca="1">IFERROR(__xludf.DUMMYFUNCTION("""COMPUTED_VALUE"""),167)</f>
        <v>167</v>
      </c>
      <c r="G28">
        <f ca="1">IFERROR(__xludf.DUMMYFUNCTION("""COMPUTED_VALUE"""),56)</f>
        <v>56</v>
      </c>
    </row>
    <row r="29" spans="1:7" ht="15.75" customHeight="1">
      <c r="A29" t="str">
        <f ca="1">IFERROR(__xludf.DUMMYFUNCTION("""COMPUTED_VALUE"""),"T23")</f>
        <v>T23</v>
      </c>
      <c r="B29" t="str">
        <f ca="1">IFERROR(__xludf.DUMMYFUNCTION("""COMPUTED_VALUE"""),"T23")</f>
        <v>T23</v>
      </c>
      <c r="C29" t="str">
        <f ca="1">IFERROR(__xludf.DUMMYFUNCTION("""COMPUTED_VALUE"""),"Cameron Percy")</f>
        <v>Cameron Percy</v>
      </c>
      <c r="D29">
        <f ca="1">IFERROR(__xludf.DUMMYFUNCTION("""COMPUTED_VALUE"""),16)</f>
        <v>16</v>
      </c>
      <c r="E29">
        <f ca="1">IFERROR(__xludf.DUMMYFUNCTION("""COMPUTED_VALUE"""),2.98)</f>
        <v>2.98</v>
      </c>
      <c r="F29">
        <f ca="1">IFERROR(__xludf.DUMMYFUNCTION("""COMPUTED_VALUE"""),191)</f>
        <v>191</v>
      </c>
      <c r="G29">
        <f ca="1">IFERROR(__xludf.DUMMYFUNCTION("""COMPUTED_VALUE"""),64)</f>
        <v>64</v>
      </c>
    </row>
    <row r="30" spans="1:7" ht="15.75" customHeight="1">
      <c r="A30" t="str">
        <f ca="1">IFERROR(__xludf.DUMMYFUNCTION("""COMPUTED_VALUE"""),"T29")</f>
        <v>T29</v>
      </c>
      <c r="B30" t="str">
        <f ca="1">IFERROR(__xludf.DUMMYFUNCTION("""COMPUTED_VALUE"""),"T53")</f>
        <v>T53</v>
      </c>
      <c r="C30" t="str">
        <f ca="1">IFERROR(__xludf.DUMMYFUNCTION("""COMPUTED_VALUE"""),"Charley Hoffman")</f>
        <v>Charley Hoffman</v>
      </c>
      <c r="D30">
        <f ca="1">IFERROR(__xludf.DUMMYFUNCTION("""COMPUTED_VALUE"""),20)</f>
        <v>20</v>
      </c>
      <c r="E30">
        <f ca="1">IFERROR(__xludf.DUMMYFUNCTION("""COMPUTED_VALUE"""),2.99)</f>
        <v>2.99</v>
      </c>
      <c r="F30">
        <f ca="1">IFERROR(__xludf.DUMMYFUNCTION("""COMPUTED_VALUE"""),251)</f>
        <v>251</v>
      </c>
      <c r="G30">
        <f ca="1">IFERROR(__xludf.DUMMYFUNCTION("""COMPUTED_VALUE"""),84)</f>
        <v>84</v>
      </c>
    </row>
    <row r="31" spans="1:7" ht="12.75">
      <c r="A31" t="str">
        <f ca="1">IFERROR(__xludf.DUMMYFUNCTION("""COMPUTED_VALUE"""),"T29")</f>
        <v>T29</v>
      </c>
      <c r="B31" t="str">
        <f ca="1">IFERROR(__xludf.DUMMYFUNCTION("""COMPUTED_VALUE"""),"T94")</f>
        <v>T94</v>
      </c>
      <c r="C31" t="str">
        <f ca="1">IFERROR(__xludf.DUMMYFUNCTION("""COMPUTED_VALUE"""),"Maverick McNealy")</f>
        <v>Maverick McNealy</v>
      </c>
      <c r="D31">
        <f ca="1">IFERROR(__xludf.DUMMYFUNCTION("""COMPUTED_VALUE"""),16)</f>
        <v>16</v>
      </c>
      <c r="E31">
        <f ca="1">IFERROR(__xludf.DUMMYFUNCTION("""COMPUTED_VALUE"""),2.99)</f>
        <v>2.99</v>
      </c>
      <c r="F31">
        <f ca="1">IFERROR(__xludf.DUMMYFUNCTION("""COMPUTED_VALUE"""),203)</f>
        <v>203</v>
      </c>
      <c r="G31">
        <f ca="1">IFERROR(__xludf.DUMMYFUNCTION("""COMPUTED_VALUE"""),68)</f>
        <v>68</v>
      </c>
    </row>
    <row r="32" spans="1:7" ht="12.75">
      <c r="A32" t="str">
        <f ca="1">IFERROR(__xludf.DUMMYFUNCTION("""COMPUTED_VALUE"""),"T29")</f>
        <v>T29</v>
      </c>
      <c r="B32" t="str">
        <f ca="1">IFERROR(__xludf.DUMMYFUNCTION("""COMPUTED_VALUE"""),"T59")</f>
        <v>T59</v>
      </c>
      <c r="C32" t="str">
        <f ca="1">IFERROR(__xludf.DUMMYFUNCTION("""COMPUTED_VALUE"""),"Talor Gooch")</f>
        <v>Talor Gooch</v>
      </c>
      <c r="D32">
        <f ca="1">IFERROR(__xludf.DUMMYFUNCTION("""COMPUTED_VALUE"""),20)</f>
        <v>20</v>
      </c>
      <c r="E32">
        <f ca="1">IFERROR(__xludf.DUMMYFUNCTION("""COMPUTED_VALUE"""),2.99)</f>
        <v>2.99</v>
      </c>
      <c r="F32">
        <f ca="1">IFERROR(__xludf.DUMMYFUNCTION("""COMPUTED_VALUE"""),263)</f>
        <v>263</v>
      </c>
      <c r="G32">
        <f ca="1">IFERROR(__xludf.DUMMYFUNCTION("""COMPUTED_VALUE"""),88)</f>
        <v>88</v>
      </c>
    </row>
    <row r="33" spans="1:7" ht="12.75">
      <c r="A33" t="str">
        <f ca="1">IFERROR(__xludf.DUMMYFUNCTION("""COMPUTED_VALUE"""),"T29")</f>
        <v>T29</v>
      </c>
      <c r="B33" t="str">
        <f ca="1">IFERROR(__xludf.DUMMYFUNCTION("""COMPUTED_VALUE"""),"T67")</f>
        <v>T67</v>
      </c>
      <c r="C33" t="str">
        <f ca="1">IFERROR(__xludf.DUMMYFUNCTION("""COMPUTED_VALUE"""),"Doc Redman")</f>
        <v>Doc Redman</v>
      </c>
      <c r="D33">
        <f ca="1">IFERROR(__xludf.DUMMYFUNCTION("""COMPUTED_VALUE"""),18)</f>
        <v>18</v>
      </c>
      <c r="E33">
        <f ca="1">IFERROR(__xludf.DUMMYFUNCTION("""COMPUTED_VALUE"""),2.99)</f>
        <v>2.99</v>
      </c>
      <c r="F33">
        <f ca="1">IFERROR(__xludf.DUMMYFUNCTION("""COMPUTED_VALUE"""),227)</f>
        <v>227</v>
      </c>
      <c r="G33">
        <f ca="1">IFERROR(__xludf.DUMMYFUNCTION("""COMPUTED_VALUE"""),76)</f>
        <v>76</v>
      </c>
    </row>
    <row r="34" spans="1:7" ht="12.75">
      <c r="A34" t="str">
        <f ca="1">IFERROR(__xludf.DUMMYFUNCTION("""COMPUTED_VALUE"""),"T29")</f>
        <v>T29</v>
      </c>
      <c r="B34" t="str">
        <f ca="1">IFERROR(__xludf.DUMMYFUNCTION("""COMPUTED_VALUE"""),"T94")</f>
        <v>T94</v>
      </c>
      <c r="C34" t="str">
        <f ca="1">IFERROR(__xludf.DUMMYFUNCTION("""COMPUTED_VALUE"""),"Sepp Straka")</f>
        <v>Sepp Straka</v>
      </c>
      <c r="D34">
        <f ca="1">IFERROR(__xludf.DUMMYFUNCTION("""COMPUTED_VALUE"""),22)</f>
        <v>22</v>
      </c>
      <c r="E34">
        <f ca="1">IFERROR(__xludf.DUMMYFUNCTION("""COMPUTED_VALUE"""),2.99)</f>
        <v>2.99</v>
      </c>
      <c r="F34">
        <f ca="1">IFERROR(__xludf.DUMMYFUNCTION("""COMPUTED_VALUE"""),275)</f>
        <v>275</v>
      </c>
      <c r="G34">
        <f ca="1">IFERROR(__xludf.DUMMYFUNCTION("""COMPUTED_VALUE"""),92)</f>
        <v>92</v>
      </c>
    </row>
    <row r="35" spans="1:7" ht="12.75">
      <c r="A35" t="str">
        <f ca="1">IFERROR(__xludf.DUMMYFUNCTION("""COMPUTED_VALUE"""),"T29")</f>
        <v>T29</v>
      </c>
      <c r="B35" t="str">
        <f ca="1">IFERROR(__xludf.DUMMYFUNCTION("""COMPUTED_VALUE"""),"T86")</f>
        <v>T86</v>
      </c>
      <c r="C35" t="str">
        <f ca="1">IFERROR(__xludf.DUMMYFUNCTION("""COMPUTED_VALUE"""),"Mackenzie Hughes")</f>
        <v>Mackenzie Hughes</v>
      </c>
      <c r="D35">
        <f ca="1">IFERROR(__xludf.DUMMYFUNCTION("""COMPUTED_VALUE"""),18)</f>
        <v>18</v>
      </c>
      <c r="E35">
        <f ca="1">IFERROR(__xludf.DUMMYFUNCTION("""COMPUTED_VALUE"""),2.99)</f>
        <v>2.99</v>
      </c>
      <c r="F35">
        <f ca="1">IFERROR(__xludf.DUMMYFUNCTION("""COMPUTED_VALUE"""),239)</f>
        <v>239</v>
      </c>
      <c r="G35">
        <f ca="1">IFERROR(__xludf.DUMMYFUNCTION("""COMPUTED_VALUE"""),80)</f>
        <v>80</v>
      </c>
    </row>
    <row r="36" spans="1:7" ht="12.75">
      <c r="A36" t="str">
        <f ca="1">IFERROR(__xludf.DUMMYFUNCTION("""COMPUTED_VALUE"""),"T35")</f>
        <v>T35</v>
      </c>
      <c r="B36" t="str">
        <f ca="1">IFERROR(__xludf.DUMMYFUNCTION("""COMPUTED_VALUE"""),"T28")</f>
        <v>T28</v>
      </c>
      <c r="C36" t="str">
        <f ca="1">IFERROR(__xludf.DUMMYFUNCTION("""COMPUTED_VALUE"""),"Robert Streb")</f>
        <v>Robert Streb</v>
      </c>
      <c r="D36">
        <f ca="1">IFERROR(__xludf.DUMMYFUNCTION("""COMPUTED_VALUE"""),12)</f>
        <v>12</v>
      </c>
      <c r="E36">
        <f ca="1">IFERROR(__xludf.DUMMYFUNCTION("""COMPUTED_VALUE"""),3)</f>
        <v>3</v>
      </c>
      <c r="F36">
        <f ca="1">IFERROR(__xludf.DUMMYFUNCTION("""COMPUTED_VALUE"""),144)</f>
        <v>144</v>
      </c>
      <c r="G36">
        <f ca="1">IFERROR(__xludf.DUMMYFUNCTION("""COMPUTED_VALUE"""),48)</f>
        <v>48</v>
      </c>
    </row>
    <row r="37" spans="1:7" ht="12.75">
      <c r="A37" t="str">
        <f ca="1">IFERROR(__xludf.DUMMYFUNCTION("""COMPUTED_VALUE"""),"T35")</f>
        <v>T35</v>
      </c>
      <c r="B37" t="str">
        <f ca="1">IFERROR(__xludf.DUMMYFUNCTION("""COMPUTED_VALUE"""),"T28")</f>
        <v>T28</v>
      </c>
      <c r="C37" t="str">
        <f ca="1">IFERROR(__xludf.DUMMYFUNCTION("""COMPUTED_VALUE"""),"Renato Paratore")</f>
        <v>Renato Paratore</v>
      </c>
      <c r="D37">
        <f ca="1">IFERROR(__xludf.DUMMYFUNCTION("""COMPUTED_VALUE"""),4)</f>
        <v>4</v>
      </c>
      <c r="E37">
        <f ca="1">IFERROR(__xludf.DUMMYFUNCTION("""COMPUTED_VALUE"""),3)</f>
        <v>3</v>
      </c>
      <c r="F37">
        <f ca="1">IFERROR(__xludf.DUMMYFUNCTION("""COMPUTED_VALUE"""),48)</f>
        <v>48</v>
      </c>
      <c r="G37">
        <f ca="1">IFERROR(__xludf.DUMMYFUNCTION("""COMPUTED_VALUE"""),16)</f>
        <v>16</v>
      </c>
    </row>
    <row r="38" spans="1:7" ht="12.75">
      <c r="A38" t="str">
        <f ca="1">IFERROR(__xludf.DUMMYFUNCTION("""COMPUTED_VALUE"""),"T35")</f>
        <v>T35</v>
      </c>
      <c r="B38" t="str">
        <f ca="1">IFERROR(__xludf.DUMMYFUNCTION("""COMPUTED_VALUE"""),"T28")</f>
        <v>T28</v>
      </c>
      <c r="C38" t="str">
        <f ca="1">IFERROR(__xludf.DUMMYFUNCTION("""COMPUTED_VALUE"""),"Mark Anderson")</f>
        <v>Mark Anderson</v>
      </c>
      <c r="D38">
        <f ca="1">IFERROR(__xludf.DUMMYFUNCTION("""COMPUTED_VALUE"""),14)</f>
        <v>14</v>
      </c>
      <c r="E38">
        <f ca="1">IFERROR(__xludf.DUMMYFUNCTION("""COMPUTED_VALUE"""),3)</f>
        <v>3</v>
      </c>
      <c r="F38">
        <f ca="1">IFERROR(__xludf.DUMMYFUNCTION("""COMPUTED_VALUE"""),168)</f>
        <v>168</v>
      </c>
      <c r="G38">
        <f ca="1">IFERROR(__xludf.DUMMYFUNCTION("""COMPUTED_VALUE"""),56)</f>
        <v>56</v>
      </c>
    </row>
    <row r="39" spans="1:7" ht="12.75">
      <c r="A39" t="str">
        <f ca="1">IFERROR(__xludf.DUMMYFUNCTION("""COMPUTED_VALUE"""),"T35")</f>
        <v>T35</v>
      </c>
      <c r="B39" t="str">
        <f ca="1">IFERROR(__xludf.DUMMYFUNCTION("""COMPUTED_VALUE"""),"T53")</f>
        <v>T53</v>
      </c>
      <c r="C39" t="str">
        <f ca="1">IFERROR(__xludf.DUMMYFUNCTION("""COMPUTED_VALUE"""),"Russell Knox")</f>
        <v>Russell Knox</v>
      </c>
      <c r="D39">
        <f ca="1">IFERROR(__xludf.DUMMYFUNCTION("""COMPUTED_VALUE"""),16)</f>
        <v>16</v>
      </c>
      <c r="E39">
        <f ca="1">IFERROR(__xludf.DUMMYFUNCTION("""COMPUTED_VALUE"""),3)</f>
        <v>3</v>
      </c>
      <c r="F39">
        <f ca="1">IFERROR(__xludf.DUMMYFUNCTION("""COMPUTED_VALUE"""),204)</f>
        <v>204</v>
      </c>
      <c r="G39">
        <f ca="1">IFERROR(__xludf.DUMMYFUNCTION("""COMPUTED_VALUE"""),68)</f>
        <v>68</v>
      </c>
    </row>
    <row r="40" spans="1:7" ht="12.75">
      <c r="A40" t="str">
        <f ca="1">IFERROR(__xludf.DUMMYFUNCTION("""COMPUTED_VALUE"""),"T35")</f>
        <v>T35</v>
      </c>
      <c r="B40" t="str">
        <f ca="1">IFERROR(__xludf.DUMMYFUNCTION("""COMPUTED_VALUE"""),"T28")</f>
        <v>T28</v>
      </c>
      <c r="C40" t="str">
        <f ca="1">IFERROR(__xludf.DUMMYFUNCTION("""COMPUTED_VALUE"""),"Seonghyeon Kim")</f>
        <v>Seonghyeon Kim</v>
      </c>
      <c r="D40">
        <f ca="1">IFERROR(__xludf.DUMMYFUNCTION("""COMPUTED_VALUE"""),4)</f>
        <v>4</v>
      </c>
      <c r="E40">
        <f ca="1">IFERROR(__xludf.DUMMYFUNCTION("""COMPUTED_VALUE"""),3)</f>
        <v>3</v>
      </c>
      <c r="F40">
        <f ca="1">IFERROR(__xludf.DUMMYFUNCTION("""COMPUTED_VALUE"""),48)</f>
        <v>48</v>
      </c>
      <c r="G40">
        <f ca="1">IFERROR(__xludf.DUMMYFUNCTION("""COMPUTED_VALUE"""),16)</f>
        <v>16</v>
      </c>
    </row>
    <row r="41" spans="1:7" ht="12.75">
      <c r="A41" t="str">
        <f ca="1">IFERROR(__xludf.DUMMYFUNCTION("""COMPUTED_VALUE"""),"T35")</f>
        <v>T35</v>
      </c>
      <c r="B41" t="str">
        <f ca="1">IFERROR(__xludf.DUMMYFUNCTION("""COMPUTED_VALUE"""),"T28")</f>
        <v>T28</v>
      </c>
      <c r="C41" t="str">
        <f ca="1">IFERROR(__xludf.DUMMYFUNCTION("""COMPUTED_VALUE"""),"Collin Morikawa")</f>
        <v>Collin Morikawa</v>
      </c>
      <c r="D41">
        <f ca="1">IFERROR(__xludf.DUMMYFUNCTION("""COMPUTED_VALUE"""),12)</f>
        <v>12</v>
      </c>
      <c r="E41">
        <f ca="1">IFERROR(__xludf.DUMMYFUNCTION("""COMPUTED_VALUE"""),3)</f>
        <v>3</v>
      </c>
      <c r="F41">
        <f ca="1">IFERROR(__xludf.DUMMYFUNCTION("""COMPUTED_VALUE"""),156)</f>
        <v>156</v>
      </c>
      <c r="G41">
        <f ca="1">IFERROR(__xludf.DUMMYFUNCTION("""COMPUTED_VALUE"""),52)</f>
        <v>52</v>
      </c>
    </row>
    <row r="42" spans="1:7" ht="12.75">
      <c r="A42" t="str">
        <f ca="1">IFERROR(__xludf.DUMMYFUNCTION("""COMPUTED_VALUE"""),"T35")</f>
        <v>T35</v>
      </c>
      <c r="B42" t="str">
        <f ca="1">IFERROR(__xludf.DUMMYFUNCTION("""COMPUTED_VALUE"""),"T28")</f>
        <v>T28</v>
      </c>
      <c r="C42" t="str">
        <f ca="1">IFERROR(__xludf.DUMMYFUNCTION("""COMPUTED_VALUE"""),"Ben Taylor")</f>
        <v>Ben Taylor</v>
      </c>
      <c r="D42">
        <f ca="1">IFERROR(__xludf.DUMMYFUNCTION("""COMPUTED_VALUE"""),10)</f>
        <v>10</v>
      </c>
      <c r="E42">
        <f ca="1">IFERROR(__xludf.DUMMYFUNCTION("""COMPUTED_VALUE"""),3)</f>
        <v>3</v>
      </c>
      <c r="F42">
        <f ca="1">IFERROR(__xludf.DUMMYFUNCTION("""COMPUTED_VALUE"""),120)</f>
        <v>120</v>
      </c>
      <c r="G42">
        <f ca="1">IFERROR(__xludf.DUMMYFUNCTION("""COMPUTED_VALUE"""),40)</f>
        <v>40</v>
      </c>
    </row>
    <row r="43" spans="1:7" ht="12.75">
      <c r="A43" t="str">
        <f ca="1">IFERROR(__xludf.DUMMYFUNCTION("""COMPUTED_VALUE"""),"T35")</f>
        <v>T35</v>
      </c>
      <c r="B43" t="str">
        <f ca="1">IFERROR(__xludf.DUMMYFUNCTION("""COMPUTED_VALUE"""),"T28")</f>
        <v>T28</v>
      </c>
      <c r="C43" t="str">
        <f ca="1">IFERROR(__xludf.DUMMYFUNCTION("""COMPUTED_VALUE"""),"Takumi Kanaya")</f>
        <v>Takumi Kanaya</v>
      </c>
      <c r="D43">
        <f ca="1">IFERROR(__xludf.DUMMYFUNCTION("""COMPUTED_VALUE"""),6)</f>
        <v>6</v>
      </c>
      <c r="E43">
        <f ca="1">IFERROR(__xludf.DUMMYFUNCTION("""COMPUTED_VALUE"""),3)</f>
        <v>3</v>
      </c>
      <c r="F43">
        <f ca="1">IFERROR(__xludf.DUMMYFUNCTION("""COMPUTED_VALUE"""),84)</f>
        <v>84</v>
      </c>
      <c r="G43">
        <f ca="1">IFERROR(__xludf.DUMMYFUNCTION("""COMPUTED_VALUE"""),28)</f>
        <v>28</v>
      </c>
    </row>
    <row r="44" spans="1:7" ht="12.75">
      <c r="A44" t="str">
        <f ca="1">IFERROR(__xludf.DUMMYFUNCTION("""COMPUTED_VALUE"""),"T35")</f>
        <v>T35</v>
      </c>
      <c r="B44" t="str">
        <f ca="1">IFERROR(__xludf.DUMMYFUNCTION("""COMPUTED_VALUE"""),"T28")</f>
        <v>T28</v>
      </c>
      <c r="C44" t="str">
        <f ca="1">IFERROR(__xludf.DUMMYFUNCTION("""COMPUTED_VALUE"""),"Alex Smalley")</f>
        <v>Alex Smalley</v>
      </c>
      <c r="D44">
        <f ca="1">IFERROR(__xludf.DUMMYFUNCTION("""COMPUTED_VALUE"""),4)</f>
        <v>4</v>
      </c>
      <c r="E44">
        <f ca="1">IFERROR(__xludf.DUMMYFUNCTION("""COMPUTED_VALUE"""),3)</f>
        <v>3</v>
      </c>
      <c r="F44">
        <f ca="1">IFERROR(__xludf.DUMMYFUNCTION("""COMPUTED_VALUE"""),48)</f>
        <v>48</v>
      </c>
      <c r="G44">
        <f ca="1">IFERROR(__xludf.DUMMYFUNCTION("""COMPUTED_VALUE"""),16)</f>
        <v>16</v>
      </c>
    </row>
    <row r="45" spans="1:7" ht="12.75">
      <c r="A45" t="str">
        <f ca="1">IFERROR(__xludf.DUMMYFUNCTION("""COMPUTED_VALUE"""),"T35")</f>
        <v>T35</v>
      </c>
      <c r="B45" t="str">
        <f ca="1">IFERROR(__xludf.DUMMYFUNCTION("""COMPUTED_VALUE"""),"T28")</f>
        <v>T28</v>
      </c>
      <c r="C45" t="str">
        <f ca="1">IFERROR(__xludf.DUMMYFUNCTION("""COMPUTED_VALUE"""),"Robby Shelton")</f>
        <v>Robby Shelton</v>
      </c>
      <c r="D45">
        <f ca="1">IFERROR(__xludf.DUMMYFUNCTION("""COMPUTED_VALUE"""),14)</f>
        <v>14</v>
      </c>
      <c r="E45">
        <f ca="1">IFERROR(__xludf.DUMMYFUNCTION("""COMPUTED_VALUE"""),3)</f>
        <v>3</v>
      </c>
      <c r="F45">
        <f ca="1">IFERROR(__xludf.DUMMYFUNCTION("""COMPUTED_VALUE"""),174)</f>
        <v>174</v>
      </c>
      <c r="G45">
        <f ca="1">IFERROR(__xludf.DUMMYFUNCTION("""COMPUTED_VALUE"""),58)</f>
        <v>58</v>
      </c>
    </row>
    <row r="46" spans="1:7" ht="12.75">
      <c r="A46" t="str">
        <f ca="1">IFERROR(__xludf.DUMMYFUNCTION("""COMPUTED_VALUE"""),"T35")</f>
        <v>T35</v>
      </c>
      <c r="B46" t="str">
        <f ca="1">IFERROR(__xludf.DUMMYFUNCTION("""COMPUTED_VALUE"""),"T94")</f>
        <v>T94</v>
      </c>
      <c r="C46" t="str">
        <f ca="1">IFERROR(__xludf.DUMMYFUNCTION("""COMPUTED_VALUE"""),"Ollie Schniederjans")</f>
        <v>Ollie Schniederjans</v>
      </c>
      <c r="D46">
        <f ca="1">IFERROR(__xludf.DUMMYFUNCTION("""COMPUTED_VALUE"""),6)</f>
        <v>6</v>
      </c>
      <c r="E46">
        <f ca="1">IFERROR(__xludf.DUMMYFUNCTION("""COMPUTED_VALUE"""),3)</f>
        <v>3</v>
      </c>
      <c r="F46">
        <f ca="1">IFERROR(__xludf.DUMMYFUNCTION("""COMPUTED_VALUE"""),78)</f>
        <v>78</v>
      </c>
      <c r="G46">
        <f ca="1">IFERROR(__xludf.DUMMYFUNCTION("""COMPUTED_VALUE"""),26)</f>
        <v>26</v>
      </c>
    </row>
    <row r="47" spans="1:7" ht="12.75">
      <c r="A47" t="str">
        <f ca="1">IFERROR(__xludf.DUMMYFUNCTION("""COMPUTED_VALUE"""),"T35")</f>
        <v>T35</v>
      </c>
      <c r="B47" t="str">
        <f ca="1">IFERROR(__xludf.DUMMYFUNCTION("""COMPUTED_VALUE"""),"T28")</f>
        <v>T28</v>
      </c>
      <c r="C47" t="str">
        <f ca="1">IFERROR(__xludf.DUMMYFUNCTION("""COMPUTED_VALUE"""),"Jazz Janewattananond")</f>
        <v>Jazz Janewattananond</v>
      </c>
      <c r="D47">
        <f ca="1">IFERROR(__xludf.DUMMYFUNCTION("""COMPUTED_VALUE"""),6)</f>
        <v>6</v>
      </c>
      <c r="E47">
        <f ca="1">IFERROR(__xludf.DUMMYFUNCTION("""COMPUTED_VALUE"""),3)</f>
        <v>3</v>
      </c>
      <c r="F47">
        <f ca="1">IFERROR(__xludf.DUMMYFUNCTION("""COMPUTED_VALUE"""),84)</f>
        <v>84</v>
      </c>
      <c r="G47">
        <f ca="1">IFERROR(__xludf.DUMMYFUNCTION("""COMPUTED_VALUE"""),28)</f>
        <v>28</v>
      </c>
    </row>
    <row r="48" spans="1:7" ht="12.75">
      <c r="A48" t="str">
        <f ca="1">IFERROR(__xludf.DUMMYFUNCTION("""COMPUTED_VALUE"""),"T35")</f>
        <v>T35</v>
      </c>
      <c r="B48" t="str">
        <f ca="1">IFERROR(__xludf.DUMMYFUNCTION("""COMPUTED_VALUE"""),"T28")</f>
        <v>T28</v>
      </c>
      <c r="C48" t="str">
        <f ca="1">IFERROR(__xludf.DUMMYFUNCTION("""COMPUTED_VALUE"""),"Joaquin Niemann")</f>
        <v>Joaquin Niemann</v>
      </c>
      <c r="D48">
        <f ca="1">IFERROR(__xludf.DUMMYFUNCTION("""COMPUTED_VALUE"""),16)</f>
        <v>16</v>
      </c>
      <c r="E48">
        <f ca="1">IFERROR(__xludf.DUMMYFUNCTION("""COMPUTED_VALUE"""),3)</f>
        <v>3</v>
      </c>
      <c r="F48">
        <f ca="1">IFERROR(__xludf.DUMMYFUNCTION("""COMPUTED_VALUE"""),204)</f>
        <v>204</v>
      </c>
      <c r="G48">
        <f ca="1">IFERROR(__xludf.DUMMYFUNCTION("""COMPUTED_VALUE"""),68)</f>
        <v>68</v>
      </c>
    </row>
    <row r="49" spans="1:7" ht="12.75">
      <c r="A49" t="str">
        <f ca="1">IFERROR(__xludf.DUMMYFUNCTION("""COMPUTED_VALUE"""),"T35")</f>
        <v>T35</v>
      </c>
      <c r="B49" t="str">
        <f ca="1">IFERROR(__xludf.DUMMYFUNCTION("""COMPUTED_VALUE"""),"T28")</f>
        <v>T28</v>
      </c>
      <c r="C49" t="str">
        <f ca="1">IFERROR(__xludf.DUMMYFUNCTION("""COMPUTED_VALUE"""),"Brad Kennedy")</f>
        <v>Brad Kennedy</v>
      </c>
      <c r="D49">
        <f ca="1">IFERROR(__xludf.DUMMYFUNCTION("""COMPUTED_VALUE"""),4)</f>
        <v>4</v>
      </c>
      <c r="E49">
        <f ca="1">IFERROR(__xludf.DUMMYFUNCTION("""COMPUTED_VALUE"""),3)</f>
        <v>3</v>
      </c>
      <c r="F49">
        <f ca="1">IFERROR(__xludf.DUMMYFUNCTION("""COMPUTED_VALUE"""),60)</f>
        <v>60</v>
      </c>
      <c r="G49">
        <f ca="1">IFERROR(__xludf.DUMMYFUNCTION("""COMPUTED_VALUE"""),20)</f>
        <v>20</v>
      </c>
    </row>
    <row r="50" spans="1:7" ht="12.75">
      <c r="A50" t="str">
        <f ca="1">IFERROR(__xludf.DUMMYFUNCTION("""COMPUTED_VALUE"""),"T35")</f>
        <v>T35</v>
      </c>
      <c r="B50" t="str">
        <f ca="1">IFERROR(__xludf.DUMMYFUNCTION("""COMPUTED_VALUE"""),"T17")</f>
        <v>T17</v>
      </c>
      <c r="C50" t="str">
        <f ca="1">IFERROR(__xludf.DUMMYFUNCTION("""COMPUTED_VALUE"""),"Pat Perez")</f>
        <v>Pat Perez</v>
      </c>
      <c r="D50">
        <f ca="1">IFERROR(__xludf.DUMMYFUNCTION("""COMPUTED_VALUE"""),16)</f>
        <v>16</v>
      </c>
      <c r="E50">
        <f ca="1">IFERROR(__xludf.DUMMYFUNCTION("""COMPUTED_VALUE"""),3)</f>
        <v>3</v>
      </c>
      <c r="F50">
        <f ca="1">IFERROR(__xludf.DUMMYFUNCTION("""COMPUTED_VALUE"""),198)</f>
        <v>198</v>
      </c>
      <c r="G50">
        <f ca="1">IFERROR(__xludf.DUMMYFUNCTION("""COMPUTED_VALUE"""),66)</f>
        <v>66</v>
      </c>
    </row>
    <row r="51" spans="1:7" ht="12.75">
      <c r="A51" t="str">
        <f ca="1">IFERROR(__xludf.DUMMYFUNCTION("""COMPUTED_VALUE"""),"T35")</f>
        <v>T35</v>
      </c>
      <c r="B51" t="str">
        <f ca="1">IFERROR(__xludf.DUMMYFUNCTION("""COMPUTED_VALUE"""),"T262")</f>
        <v>T262</v>
      </c>
      <c r="C51" t="str">
        <f ca="1">IFERROR(__xludf.DUMMYFUNCTION("""COMPUTED_VALUE"""),"Graeme McDowell")</f>
        <v>Graeme McDowell</v>
      </c>
      <c r="D51">
        <f ca="1">IFERROR(__xludf.DUMMYFUNCTION("""COMPUTED_VALUE"""),8)</f>
        <v>8</v>
      </c>
      <c r="E51">
        <f ca="1">IFERROR(__xludf.DUMMYFUNCTION("""COMPUTED_VALUE"""),3)</f>
        <v>3</v>
      </c>
      <c r="F51">
        <f ca="1">IFERROR(__xludf.DUMMYFUNCTION("""COMPUTED_VALUE"""),108)</f>
        <v>108</v>
      </c>
      <c r="G51">
        <f ca="1">IFERROR(__xludf.DUMMYFUNCTION("""COMPUTED_VALUE"""),36)</f>
        <v>36</v>
      </c>
    </row>
    <row r="52" spans="1:7" ht="12.75">
      <c r="A52" t="str">
        <f ca="1">IFERROR(__xludf.DUMMYFUNCTION("""COMPUTED_VALUE"""),"T35")</f>
        <v>T35</v>
      </c>
      <c r="B52" t="str">
        <f ca="1">IFERROR(__xludf.DUMMYFUNCTION("""COMPUTED_VALUE"""),"T28")</f>
        <v>T28</v>
      </c>
      <c r="C52" t="str">
        <f ca="1">IFERROR(__xludf.DUMMYFUNCTION("""COMPUTED_VALUE"""),"Martin Laird")</f>
        <v>Martin Laird</v>
      </c>
      <c r="D52">
        <f ca="1">IFERROR(__xludf.DUMMYFUNCTION("""COMPUTED_VALUE"""),16)</f>
        <v>16</v>
      </c>
      <c r="E52">
        <f ca="1">IFERROR(__xludf.DUMMYFUNCTION("""COMPUTED_VALUE"""),3)</f>
        <v>3</v>
      </c>
      <c r="F52">
        <f ca="1">IFERROR(__xludf.DUMMYFUNCTION("""COMPUTED_VALUE"""),198)</f>
        <v>198</v>
      </c>
      <c r="G52">
        <f ca="1">IFERROR(__xludf.DUMMYFUNCTION("""COMPUTED_VALUE"""),66)</f>
        <v>66</v>
      </c>
    </row>
    <row r="53" spans="1:7" ht="12.75">
      <c r="A53" t="str">
        <f ca="1">IFERROR(__xludf.DUMMYFUNCTION("""COMPUTED_VALUE"""),"T35")</f>
        <v>T35</v>
      </c>
      <c r="B53" t="str">
        <f ca="1">IFERROR(__xludf.DUMMYFUNCTION("""COMPUTED_VALUE"""),"T111")</f>
        <v>T111</v>
      </c>
      <c r="C53" t="str">
        <f ca="1">IFERROR(__xludf.DUMMYFUNCTION("""COMPUTED_VALUE"""),"Scott Brown")</f>
        <v>Scott Brown</v>
      </c>
      <c r="D53">
        <f ca="1">IFERROR(__xludf.DUMMYFUNCTION("""COMPUTED_VALUE"""),14)</f>
        <v>14</v>
      </c>
      <c r="E53">
        <f ca="1">IFERROR(__xludf.DUMMYFUNCTION("""COMPUTED_VALUE"""),3)</f>
        <v>3</v>
      </c>
      <c r="F53">
        <f ca="1">IFERROR(__xludf.DUMMYFUNCTION("""COMPUTED_VALUE"""),180)</f>
        <v>180</v>
      </c>
      <c r="G53">
        <f ca="1">IFERROR(__xludf.DUMMYFUNCTION("""COMPUTED_VALUE"""),60)</f>
        <v>60</v>
      </c>
    </row>
    <row r="54" spans="1:7" ht="12.75">
      <c r="A54" t="str">
        <f ca="1">IFERROR(__xludf.DUMMYFUNCTION("""COMPUTED_VALUE"""),"T35")</f>
        <v>T35</v>
      </c>
      <c r="B54" t="str">
        <f ca="1">IFERROR(__xludf.DUMMYFUNCTION("""COMPUTED_VALUE"""),"T59")</f>
        <v>T59</v>
      </c>
      <c r="C54" t="str">
        <f ca="1">IFERROR(__xludf.DUMMYFUNCTION("""COMPUTED_VALUE"""),"Emiliano Grillo")</f>
        <v>Emiliano Grillo</v>
      </c>
      <c r="D54">
        <f ca="1">IFERROR(__xludf.DUMMYFUNCTION("""COMPUTED_VALUE"""),22)</f>
        <v>22</v>
      </c>
      <c r="E54">
        <f ca="1">IFERROR(__xludf.DUMMYFUNCTION("""COMPUTED_VALUE"""),3)</f>
        <v>3</v>
      </c>
      <c r="F54">
        <f ca="1">IFERROR(__xludf.DUMMYFUNCTION("""COMPUTED_VALUE"""),270)</f>
        <v>270</v>
      </c>
      <c r="G54">
        <f ca="1">IFERROR(__xludf.DUMMYFUNCTION("""COMPUTED_VALUE"""),90)</f>
        <v>90</v>
      </c>
    </row>
    <row r="55" spans="1:7" ht="12.75">
      <c r="A55" t="str">
        <f ca="1">IFERROR(__xludf.DUMMYFUNCTION("""COMPUTED_VALUE"""),"T35")</f>
        <v>T35</v>
      </c>
      <c r="B55" t="str">
        <f ca="1">IFERROR(__xludf.DUMMYFUNCTION("""COMPUTED_VALUE"""),"T28")</f>
        <v>T28</v>
      </c>
      <c r="C55" t="str">
        <f ca="1">IFERROR(__xludf.DUMMYFUNCTION("""COMPUTED_VALUE"""),"Ryo Ishikawa")</f>
        <v>Ryo Ishikawa</v>
      </c>
      <c r="D55">
        <f ca="1">IFERROR(__xludf.DUMMYFUNCTION("""COMPUTED_VALUE"""),8)</f>
        <v>8</v>
      </c>
      <c r="E55">
        <f ca="1">IFERROR(__xludf.DUMMYFUNCTION("""COMPUTED_VALUE"""),3)</f>
        <v>3</v>
      </c>
      <c r="F55">
        <f ca="1">IFERROR(__xludf.DUMMYFUNCTION("""COMPUTED_VALUE"""),108)</f>
        <v>108</v>
      </c>
      <c r="G55">
        <f ca="1">IFERROR(__xludf.DUMMYFUNCTION("""COMPUTED_VALUE"""),36)</f>
        <v>36</v>
      </c>
    </row>
    <row r="56" spans="1:7" ht="12.75">
      <c r="A56" t="str">
        <f ca="1">IFERROR(__xludf.DUMMYFUNCTION("""COMPUTED_VALUE"""),"T35")</f>
        <v>T35</v>
      </c>
      <c r="B56" t="str">
        <f ca="1">IFERROR(__xludf.DUMMYFUNCTION("""COMPUTED_VALUE"""),"T262")</f>
        <v>T262</v>
      </c>
      <c r="C56" t="str">
        <f ca="1">IFERROR(__xludf.DUMMYFUNCTION("""COMPUTED_VALUE"""),"Dustin Johnson")</f>
        <v>Dustin Johnson</v>
      </c>
      <c r="D56">
        <f ca="1">IFERROR(__xludf.DUMMYFUNCTION("""COMPUTED_VALUE"""),8)</f>
        <v>8</v>
      </c>
      <c r="E56">
        <f ca="1">IFERROR(__xludf.DUMMYFUNCTION("""COMPUTED_VALUE"""),3)</f>
        <v>3</v>
      </c>
      <c r="F56">
        <f ca="1">IFERROR(__xludf.DUMMYFUNCTION("""COMPUTED_VALUE"""),108)</f>
        <v>108</v>
      </c>
      <c r="G56">
        <f ca="1">IFERROR(__xludf.DUMMYFUNCTION("""COMPUTED_VALUE"""),36)</f>
        <v>36</v>
      </c>
    </row>
    <row r="57" spans="1:7" ht="12.75">
      <c r="A57" t="str">
        <f ca="1">IFERROR(__xludf.DUMMYFUNCTION("""COMPUTED_VALUE"""),"T35")</f>
        <v>T35</v>
      </c>
      <c r="B57" t="str">
        <f ca="1">IFERROR(__xludf.DUMMYFUNCTION("""COMPUTED_VALUE"""),"T28")</f>
        <v>T28</v>
      </c>
      <c r="C57" t="str">
        <f ca="1">IFERROR(__xludf.DUMMYFUNCTION("""COMPUTED_VALUE"""),"Gary Woodland")</f>
        <v>Gary Woodland</v>
      </c>
      <c r="D57">
        <f ca="1">IFERROR(__xludf.DUMMYFUNCTION("""COMPUTED_VALUE"""),6)</f>
        <v>6</v>
      </c>
      <c r="E57">
        <f ca="1">IFERROR(__xludf.DUMMYFUNCTION("""COMPUTED_VALUE"""),3)</f>
        <v>3</v>
      </c>
      <c r="F57">
        <f ca="1">IFERROR(__xludf.DUMMYFUNCTION("""COMPUTED_VALUE"""),72)</f>
        <v>72</v>
      </c>
      <c r="G57">
        <f ca="1">IFERROR(__xludf.DUMMYFUNCTION("""COMPUTED_VALUE"""),24)</f>
        <v>24</v>
      </c>
    </row>
    <row r="58" spans="1:7" ht="12.75">
      <c r="A58" t="str">
        <f ca="1">IFERROR(__xludf.DUMMYFUNCTION("""COMPUTED_VALUE"""),"T57")</f>
        <v>T57</v>
      </c>
      <c r="B58" t="str">
        <f ca="1">IFERROR(__xludf.DUMMYFUNCTION("""COMPUTED_VALUE"""),"T28")</f>
        <v>T28</v>
      </c>
      <c r="C58" t="str">
        <f ca="1">IFERROR(__xludf.DUMMYFUNCTION("""COMPUTED_VALUE"""),"James Hahn")</f>
        <v>James Hahn</v>
      </c>
      <c r="D58">
        <f ca="1">IFERROR(__xludf.DUMMYFUNCTION("""COMPUTED_VALUE"""),16)</f>
        <v>16</v>
      </c>
      <c r="E58">
        <f ca="1">IFERROR(__xludf.DUMMYFUNCTION("""COMPUTED_VALUE"""),3.01)</f>
        <v>3.01</v>
      </c>
      <c r="F58">
        <f ca="1">IFERROR(__xludf.DUMMYFUNCTION("""COMPUTED_VALUE"""),205)</f>
        <v>205</v>
      </c>
      <c r="G58">
        <f ca="1">IFERROR(__xludf.DUMMYFUNCTION("""COMPUTED_VALUE"""),68)</f>
        <v>68</v>
      </c>
    </row>
    <row r="59" spans="1:7" ht="12.75">
      <c r="A59" t="str">
        <f ca="1">IFERROR(__xludf.DUMMYFUNCTION("""COMPUTED_VALUE"""),"T57")</f>
        <v>T57</v>
      </c>
      <c r="B59" t="str">
        <f ca="1">IFERROR(__xludf.DUMMYFUNCTION("""COMPUTED_VALUE"""),"T23")</f>
        <v>T23</v>
      </c>
      <c r="C59" t="str">
        <f ca="1">IFERROR(__xludf.DUMMYFUNCTION("""COMPUTED_VALUE"""),"C.T. Pan")</f>
        <v>C.T. Pan</v>
      </c>
      <c r="D59">
        <f ca="1">IFERROR(__xludf.DUMMYFUNCTION("""COMPUTED_VALUE"""),20)</f>
        <v>20</v>
      </c>
      <c r="E59">
        <f ca="1">IFERROR(__xludf.DUMMYFUNCTION("""COMPUTED_VALUE"""),3.01)</f>
        <v>3.01</v>
      </c>
      <c r="F59">
        <f ca="1">IFERROR(__xludf.DUMMYFUNCTION("""COMPUTED_VALUE"""),253)</f>
        <v>253</v>
      </c>
      <c r="G59">
        <f ca="1">IFERROR(__xludf.DUMMYFUNCTION("""COMPUTED_VALUE"""),84)</f>
        <v>84</v>
      </c>
    </row>
    <row r="60" spans="1:7" ht="12.75">
      <c r="A60" t="str">
        <f ca="1">IFERROR(__xludf.DUMMYFUNCTION("""COMPUTED_VALUE"""),"T57")</f>
        <v>T57</v>
      </c>
      <c r="B60" t="str">
        <f ca="1">IFERROR(__xludf.DUMMYFUNCTION("""COMPUTED_VALUE"""),"T111")</f>
        <v>T111</v>
      </c>
      <c r="C60" t="str">
        <f ca="1">IFERROR(__xludf.DUMMYFUNCTION("""COMPUTED_VALUE"""),"Fabián Gómez")</f>
        <v>Fabián Gómez</v>
      </c>
      <c r="D60">
        <f ca="1">IFERROR(__xludf.DUMMYFUNCTION("""COMPUTED_VALUE"""),16)</f>
        <v>16</v>
      </c>
      <c r="E60">
        <f ca="1">IFERROR(__xludf.DUMMYFUNCTION("""COMPUTED_VALUE"""),3.01)</f>
        <v>3.01</v>
      </c>
      <c r="F60">
        <f ca="1">IFERROR(__xludf.DUMMYFUNCTION("""COMPUTED_VALUE"""),205)</f>
        <v>205</v>
      </c>
      <c r="G60">
        <f ca="1">IFERROR(__xludf.DUMMYFUNCTION("""COMPUTED_VALUE"""),68)</f>
        <v>68</v>
      </c>
    </row>
    <row r="61" spans="1:7" ht="12.75">
      <c r="A61" t="str">
        <f ca="1">IFERROR(__xludf.DUMMYFUNCTION("""COMPUTED_VALUE"""),"T57")</f>
        <v>T57</v>
      </c>
      <c r="B61" t="str">
        <f ca="1">IFERROR(__xludf.DUMMYFUNCTION("""COMPUTED_VALUE"""),"T49")</f>
        <v>T49</v>
      </c>
      <c r="C61" t="str">
        <f ca="1">IFERROR(__xludf.DUMMYFUNCTION("""COMPUTED_VALUE"""),"Sungjae Im")</f>
        <v>Sungjae Im</v>
      </c>
      <c r="D61">
        <f ca="1">IFERROR(__xludf.DUMMYFUNCTION("""COMPUTED_VALUE"""),24)</f>
        <v>24</v>
      </c>
      <c r="E61">
        <f ca="1">IFERROR(__xludf.DUMMYFUNCTION("""COMPUTED_VALUE"""),3.01)</f>
        <v>3.01</v>
      </c>
      <c r="F61">
        <f ca="1">IFERROR(__xludf.DUMMYFUNCTION("""COMPUTED_VALUE"""),313)</f>
        <v>313</v>
      </c>
      <c r="G61">
        <f ca="1">IFERROR(__xludf.DUMMYFUNCTION("""COMPUTED_VALUE"""),104)</f>
        <v>104</v>
      </c>
    </row>
    <row r="62" spans="1:7" ht="12.75">
      <c r="A62" t="str">
        <f ca="1">IFERROR(__xludf.DUMMYFUNCTION("""COMPUTED_VALUE"""),"T57")</f>
        <v>T57</v>
      </c>
      <c r="B62" t="str">
        <f ca="1">IFERROR(__xludf.DUMMYFUNCTION("""COMPUTED_VALUE"""),"T86")</f>
        <v>T86</v>
      </c>
      <c r="C62" t="str">
        <f ca="1">IFERROR(__xludf.DUMMYFUNCTION("""COMPUTED_VALUE"""),"J.T. Poston")</f>
        <v>J.T. Poston</v>
      </c>
      <c r="D62">
        <f ca="1">IFERROR(__xludf.DUMMYFUNCTION("""COMPUTED_VALUE"""),18)</f>
        <v>18</v>
      </c>
      <c r="E62">
        <f ca="1">IFERROR(__xludf.DUMMYFUNCTION("""COMPUTED_VALUE"""),3.01)</f>
        <v>3.01</v>
      </c>
      <c r="F62">
        <f ca="1">IFERROR(__xludf.DUMMYFUNCTION("""COMPUTED_VALUE"""),229)</f>
        <v>229</v>
      </c>
      <c r="G62">
        <f ca="1">IFERROR(__xludf.DUMMYFUNCTION("""COMPUTED_VALUE"""),76)</f>
        <v>76</v>
      </c>
    </row>
    <row r="63" spans="1:7" ht="12.75">
      <c r="A63" t="str">
        <f ca="1">IFERROR(__xludf.DUMMYFUNCTION("""COMPUTED_VALUE"""),"T57")</f>
        <v>T57</v>
      </c>
      <c r="B63" t="str">
        <f ca="1">IFERROR(__xludf.DUMMYFUNCTION("""COMPUTED_VALUE"""),"T49")</f>
        <v>T49</v>
      </c>
      <c r="C63" t="str">
        <f ca="1">IFERROR(__xludf.DUMMYFUNCTION("""COMPUTED_VALUE"""),"Joel Dahmen")</f>
        <v>Joel Dahmen</v>
      </c>
      <c r="D63">
        <f ca="1">IFERROR(__xludf.DUMMYFUNCTION("""COMPUTED_VALUE"""),18)</f>
        <v>18</v>
      </c>
      <c r="E63">
        <f ca="1">IFERROR(__xludf.DUMMYFUNCTION("""COMPUTED_VALUE"""),3.01)</f>
        <v>3.01</v>
      </c>
      <c r="F63">
        <f ca="1">IFERROR(__xludf.DUMMYFUNCTION("""COMPUTED_VALUE"""),229)</f>
        <v>229</v>
      </c>
      <c r="G63">
        <f ca="1">IFERROR(__xludf.DUMMYFUNCTION("""COMPUTED_VALUE"""),76)</f>
        <v>76</v>
      </c>
    </row>
    <row r="64" spans="1:7" ht="12.75">
      <c r="A64" t="str">
        <f ca="1">IFERROR(__xludf.DUMMYFUNCTION("""COMPUTED_VALUE"""),"T57")</f>
        <v>T57</v>
      </c>
      <c r="B64" t="str">
        <f ca="1">IFERROR(__xludf.DUMMYFUNCTION("""COMPUTED_VALUE"""),"T49")</f>
        <v>T49</v>
      </c>
      <c r="C64" t="str">
        <f ca="1">IFERROR(__xludf.DUMMYFUNCTION("""COMPUTED_VALUE"""),"Patrick Cantlay")</f>
        <v>Patrick Cantlay</v>
      </c>
      <c r="D64">
        <f ca="1">IFERROR(__xludf.DUMMYFUNCTION("""COMPUTED_VALUE"""),16)</f>
        <v>16</v>
      </c>
      <c r="E64">
        <f ca="1">IFERROR(__xludf.DUMMYFUNCTION("""COMPUTED_VALUE"""),3.01)</f>
        <v>3.01</v>
      </c>
      <c r="F64">
        <f ca="1">IFERROR(__xludf.DUMMYFUNCTION("""COMPUTED_VALUE"""),205)</f>
        <v>205</v>
      </c>
      <c r="G64">
        <f ca="1">IFERROR(__xludf.DUMMYFUNCTION("""COMPUTED_VALUE"""),68)</f>
        <v>68</v>
      </c>
    </row>
    <row r="65" spans="1:7" ht="12.75">
      <c r="A65" t="str">
        <f ca="1">IFERROR(__xludf.DUMMYFUNCTION("""COMPUTED_VALUE"""),"T64")</f>
        <v>T64</v>
      </c>
      <c r="B65" t="str">
        <f ca="1">IFERROR(__xludf.DUMMYFUNCTION("""COMPUTED_VALUE"""),"T67")</f>
        <v>T67</v>
      </c>
      <c r="C65" t="str">
        <f ca="1">IFERROR(__xludf.DUMMYFUNCTION("""COMPUTED_VALUE"""),"Si Woo Kim")</f>
        <v>Si Woo Kim</v>
      </c>
      <c r="D65">
        <f ca="1">IFERROR(__xludf.DUMMYFUNCTION("""COMPUTED_VALUE"""),20)</f>
        <v>20</v>
      </c>
      <c r="E65">
        <f ca="1">IFERROR(__xludf.DUMMYFUNCTION("""COMPUTED_VALUE"""),3.02)</f>
        <v>3.02</v>
      </c>
      <c r="F65">
        <f ca="1">IFERROR(__xludf.DUMMYFUNCTION("""COMPUTED_VALUE"""),248)</f>
        <v>248</v>
      </c>
      <c r="G65">
        <f ca="1">IFERROR(__xludf.DUMMYFUNCTION("""COMPUTED_VALUE"""),82)</f>
        <v>82</v>
      </c>
    </row>
    <row r="66" spans="1:7" ht="12.75">
      <c r="A66" t="str">
        <f ca="1">IFERROR(__xludf.DUMMYFUNCTION("""COMPUTED_VALUE"""),"T64")</f>
        <v>T64</v>
      </c>
      <c r="B66" t="str">
        <f ca="1">IFERROR(__xludf.DUMMYFUNCTION("""COMPUTED_VALUE"""),"T53")</f>
        <v>T53</v>
      </c>
      <c r="C66" t="str">
        <f ca="1">IFERROR(__xludf.DUMMYFUNCTION("""COMPUTED_VALUE"""),"Byeong Hun An")</f>
        <v>Byeong Hun An</v>
      </c>
      <c r="D66">
        <f ca="1">IFERROR(__xludf.DUMMYFUNCTION("""COMPUTED_VALUE"""),14)</f>
        <v>14</v>
      </c>
      <c r="E66">
        <f ca="1">IFERROR(__xludf.DUMMYFUNCTION("""COMPUTED_VALUE"""),3.02)</f>
        <v>3.02</v>
      </c>
      <c r="F66">
        <f ca="1">IFERROR(__xludf.DUMMYFUNCTION("""COMPUTED_VALUE"""),181)</f>
        <v>181</v>
      </c>
      <c r="G66">
        <f ca="1">IFERROR(__xludf.DUMMYFUNCTION("""COMPUTED_VALUE"""),60)</f>
        <v>60</v>
      </c>
    </row>
    <row r="67" spans="1:7" ht="12.75">
      <c r="A67" t="str">
        <f ca="1">IFERROR(__xludf.DUMMYFUNCTION("""COMPUTED_VALUE"""),"T64")</f>
        <v>T64</v>
      </c>
      <c r="B67" t="str">
        <f ca="1">IFERROR(__xludf.DUMMYFUNCTION("""COMPUTED_VALUE"""),"T53")</f>
        <v>T53</v>
      </c>
      <c r="C67" t="str">
        <f ca="1">IFERROR(__xludf.DUMMYFUNCTION("""COMPUTED_VALUE"""),"Roger Sloan")</f>
        <v>Roger Sloan</v>
      </c>
      <c r="D67">
        <f ca="1">IFERROR(__xludf.DUMMYFUNCTION("""COMPUTED_VALUE"""),12)</f>
        <v>12</v>
      </c>
      <c r="E67">
        <f ca="1">IFERROR(__xludf.DUMMYFUNCTION("""COMPUTED_VALUE"""),3.02)</f>
        <v>3.02</v>
      </c>
      <c r="F67">
        <f ca="1">IFERROR(__xludf.DUMMYFUNCTION("""COMPUTED_VALUE"""),145)</f>
        <v>145</v>
      </c>
      <c r="G67">
        <f ca="1">IFERROR(__xludf.DUMMYFUNCTION("""COMPUTED_VALUE"""),48)</f>
        <v>48</v>
      </c>
    </row>
    <row r="68" spans="1:7" ht="12.75">
      <c r="A68" t="str">
        <f ca="1">IFERROR(__xludf.DUMMYFUNCTION("""COMPUTED_VALUE"""),"T64")</f>
        <v>T64</v>
      </c>
      <c r="B68" t="str">
        <f ca="1">IFERROR(__xludf.DUMMYFUNCTION("""COMPUTED_VALUE"""),"T86")</f>
        <v>T86</v>
      </c>
      <c r="C68" t="str">
        <f ca="1">IFERROR(__xludf.DUMMYFUNCTION("""COMPUTED_VALUE"""),"Austin Cook")</f>
        <v>Austin Cook</v>
      </c>
      <c r="D68">
        <f ca="1">IFERROR(__xludf.DUMMYFUNCTION("""COMPUTED_VALUE"""),14)</f>
        <v>14</v>
      </c>
      <c r="E68">
        <f ca="1">IFERROR(__xludf.DUMMYFUNCTION("""COMPUTED_VALUE"""),3.02)</f>
        <v>3.02</v>
      </c>
      <c r="F68">
        <f ca="1">IFERROR(__xludf.DUMMYFUNCTION("""COMPUTED_VALUE"""),181)</f>
        <v>181</v>
      </c>
      <c r="G68">
        <f ca="1">IFERROR(__xludf.DUMMYFUNCTION("""COMPUTED_VALUE"""),60)</f>
        <v>60</v>
      </c>
    </row>
    <row r="69" spans="1:7" ht="12.75">
      <c r="A69" t="str">
        <f ca="1">IFERROR(__xludf.DUMMYFUNCTION("""COMPUTED_VALUE"""),"T64")</f>
        <v>T64</v>
      </c>
      <c r="B69" t="str">
        <f ca="1">IFERROR(__xludf.DUMMYFUNCTION("""COMPUTED_VALUE"""),"T94")</f>
        <v>T94</v>
      </c>
      <c r="C69" t="str">
        <f ca="1">IFERROR(__xludf.DUMMYFUNCTION("""COMPUTED_VALUE"""),"Tony Finau")</f>
        <v>Tony Finau</v>
      </c>
      <c r="D69">
        <f ca="1">IFERROR(__xludf.DUMMYFUNCTION("""COMPUTED_VALUE"""),12)</f>
        <v>12</v>
      </c>
      <c r="E69">
        <f ca="1">IFERROR(__xludf.DUMMYFUNCTION("""COMPUTED_VALUE"""),3.02)</f>
        <v>3.02</v>
      </c>
      <c r="F69">
        <f ca="1">IFERROR(__xludf.DUMMYFUNCTION("""COMPUTED_VALUE"""),169)</f>
        <v>169</v>
      </c>
      <c r="G69">
        <f ca="1">IFERROR(__xludf.DUMMYFUNCTION("""COMPUTED_VALUE"""),56)</f>
        <v>56</v>
      </c>
    </row>
    <row r="70" spans="1:7" ht="12.75">
      <c r="A70" t="str">
        <f ca="1">IFERROR(__xludf.DUMMYFUNCTION("""COMPUTED_VALUE"""),"T64")</f>
        <v>T64</v>
      </c>
      <c r="B70" t="str">
        <f ca="1">IFERROR(__xludf.DUMMYFUNCTION("""COMPUTED_VALUE"""),"T67")</f>
        <v>T67</v>
      </c>
      <c r="C70" t="str">
        <f ca="1">IFERROR(__xludf.DUMMYFUNCTION("""COMPUTED_VALUE"""),"Brian Harman")</f>
        <v>Brian Harman</v>
      </c>
      <c r="D70">
        <f ca="1">IFERROR(__xludf.DUMMYFUNCTION("""COMPUTED_VALUE"""),24)</f>
        <v>24</v>
      </c>
      <c r="E70">
        <f ca="1">IFERROR(__xludf.DUMMYFUNCTION("""COMPUTED_VALUE"""),3.02)</f>
        <v>3.02</v>
      </c>
      <c r="F70">
        <f ca="1">IFERROR(__xludf.DUMMYFUNCTION("""COMPUTED_VALUE"""),314)</f>
        <v>314</v>
      </c>
      <c r="G70">
        <f ca="1">IFERROR(__xludf.DUMMYFUNCTION("""COMPUTED_VALUE"""),104)</f>
        <v>104</v>
      </c>
    </row>
    <row r="71" spans="1:7" ht="12.75">
      <c r="A71" t="str">
        <f ca="1">IFERROR(__xludf.DUMMYFUNCTION("""COMPUTED_VALUE"""),"T64")</f>
        <v>T64</v>
      </c>
      <c r="B71" t="str">
        <f ca="1">IFERROR(__xludf.DUMMYFUNCTION("""COMPUTED_VALUE"""),"T53")</f>
        <v>T53</v>
      </c>
      <c r="C71" t="str">
        <f ca="1">IFERROR(__xludf.DUMMYFUNCTION("""COMPUTED_VALUE"""),"Bubba Watson")</f>
        <v>Bubba Watson</v>
      </c>
      <c r="D71">
        <f ca="1">IFERROR(__xludf.DUMMYFUNCTION("""COMPUTED_VALUE"""),12)</f>
        <v>12</v>
      </c>
      <c r="E71">
        <f ca="1">IFERROR(__xludf.DUMMYFUNCTION("""COMPUTED_VALUE"""),3.02)</f>
        <v>3.02</v>
      </c>
      <c r="F71">
        <f ca="1">IFERROR(__xludf.DUMMYFUNCTION("""COMPUTED_VALUE"""),157)</f>
        <v>157</v>
      </c>
      <c r="G71">
        <f ca="1">IFERROR(__xludf.DUMMYFUNCTION("""COMPUTED_VALUE"""),52)</f>
        <v>52</v>
      </c>
    </row>
    <row r="72" spans="1:7" ht="12.75">
      <c r="A72" t="str">
        <f ca="1">IFERROR(__xludf.DUMMYFUNCTION("""COMPUTED_VALUE"""),"T64")</f>
        <v>T64</v>
      </c>
      <c r="B72" t="str">
        <f ca="1">IFERROR(__xludf.DUMMYFUNCTION("""COMPUTED_VALUE"""),"T86")</f>
        <v>T86</v>
      </c>
      <c r="C72" t="str">
        <f ca="1">IFERROR(__xludf.DUMMYFUNCTION("""COMPUTED_VALUE"""),"Sean O'Hair")</f>
        <v>Sean O'Hair</v>
      </c>
      <c r="D72">
        <f ca="1">IFERROR(__xludf.DUMMYFUNCTION("""COMPUTED_VALUE"""),14)</f>
        <v>14</v>
      </c>
      <c r="E72">
        <f ca="1">IFERROR(__xludf.DUMMYFUNCTION("""COMPUTED_VALUE"""),3.02)</f>
        <v>3.02</v>
      </c>
      <c r="F72">
        <f ca="1">IFERROR(__xludf.DUMMYFUNCTION("""COMPUTED_VALUE"""),181)</f>
        <v>181</v>
      </c>
      <c r="G72">
        <f ca="1">IFERROR(__xludf.DUMMYFUNCTION("""COMPUTED_VALUE"""),60)</f>
        <v>60</v>
      </c>
    </row>
    <row r="73" spans="1:7" ht="12.75">
      <c r="A73" t="str">
        <f ca="1">IFERROR(__xludf.DUMMYFUNCTION("""COMPUTED_VALUE"""),"T72")</f>
        <v>T72</v>
      </c>
      <c r="B73" t="str">
        <f ca="1">IFERROR(__xludf.DUMMYFUNCTION("""COMPUTED_VALUE"""),"T59")</f>
        <v>T59</v>
      </c>
      <c r="C73" t="str">
        <f ca="1">IFERROR(__xludf.DUMMYFUNCTION("""COMPUTED_VALUE"""),"Aaron Baddeley")</f>
        <v>Aaron Baddeley</v>
      </c>
      <c r="D73">
        <f ca="1">IFERROR(__xludf.DUMMYFUNCTION("""COMPUTED_VALUE"""),8)</f>
        <v>8</v>
      </c>
      <c r="E73">
        <f ca="1">IFERROR(__xludf.DUMMYFUNCTION("""COMPUTED_VALUE"""),3.03)</f>
        <v>3.03</v>
      </c>
      <c r="F73">
        <f ca="1">IFERROR(__xludf.DUMMYFUNCTION("""COMPUTED_VALUE"""),97)</f>
        <v>97</v>
      </c>
      <c r="G73">
        <f ca="1">IFERROR(__xludf.DUMMYFUNCTION("""COMPUTED_VALUE"""),32)</f>
        <v>32</v>
      </c>
    </row>
    <row r="74" spans="1:7" ht="12.75">
      <c r="A74" t="str">
        <f ca="1">IFERROR(__xludf.DUMMYFUNCTION("""COMPUTED_VALUE"""),"T72")</f>
        <v>T72</v>
      </c>
      <c r="B74" t="str">
        <f ca="1">IFERROR(__xludf.DUMMYFUNCTION("""COMPUTED_VALUE"""),"T244")</f>
        <v>T244</v>
      </c>
      <c r="C74" t="str">
        <f ca="1">IFERROR(__xludf.DUMMYFUNCTION("""COMPUTED_VALUE"""),"Adam Scott")</f>
        <v>Adam Scott</v>
      </c>
      <c r="D74">
        <f ca="1">IFERROR(__xludf.DUMMYFUNCTION("""COMPUTED_VALUE"""),8)</f>
        <v>8</v>
      </c>
      <c r="E74">
        <f ca="1">IFERROR(__xludf.DUMMYFUNCTION("""COMPUTED_VALUE"""),3.03)</f>
        <v>3.03</v>
      </c>
      <c r="F74">
        <f ca="1">IFERROR(__xludf.DUMMYFUNCTION("""COMPUTED_VALUE"""),109)</f>
        <v>109</v>
      </c>
      <c r="G74">
        <f ca="1">IFERROR(__xludf.DUMMYFUNCTION("""COMPUTED_VALUE"""),36)</f>
        <v>36</v>
      </c>
    </row>
    <row r="75" spans="1:7" ht="12.75">
      <c r="A75" t="str">
        <f ca="1">IFERROR(__xludf.DUMMYFUNCTION("""COMPUTED_VALUE"""),"T72")</f>
        <v>T72</v>
      </c>
      <c r="B75" t="str">
        <f ca="1">IFERROR(__xludf.DUMMYFUNCTION("""COMPUTED_VALUE"""),"T23")</f>
        <v>T23</v>
      </c>
      <c r="C75" t="str">
        <f ca="1">IFERROR(__xludf.DUMMYFUNCTION("""COMPUTED_VALUE"""),"David Hearn")</f>
        <v>David Hearn</v>
      </c>
      <c r="D75">
        <f ca="1">IFERROR(__xludf.DUMMYFUNCTION("""COMPUTED_VALUE"""),16)</f>
        <v>16</v>
      </c>
      <c r="E75">
        <f ca="1">IFERROR(__xludf.DUMMYFUNCTION("""COMPUTED_VALUE"""),3.03)</f>
        <v>3.03</v>
      </c>
      <c r="F75">
        <f ca="1">IFERROR(__xludf.DUMMYFUNCTION("""COMPUTED_VALUE"""),200)</f>
        <v>200</v>
      </c>
      <c r="G75">
        <f ca="1">IFERROR(__xludf.DUMMYFUNCTION("""COMPUTED_VALUE"""),66)</f>
        <v>66</v>
      </c>
    </row>
    <row r="76" spans="1:7" ht="12.75">
      <c r="A76" t="str">
        <f ca="1">IFERROR(__xludf.DUMMYFUNCTION("""COMPUTED_VALUE"""),"T72")</f>
        <v>T72</v>
      </c>
      <c r="B76" t="str">
        <f ca="1">IFERROR(__xludf.DUMMYFUNCTION("""COMPUTED_VALUE"""),"T49")</f>
        <v>T49</v>
      </c>
      <c r="C76" t="str">
        <f ca="1">IFERROR(__xludf.DUMMYFUNCTION("""COMPUTED_VALUE"""),"Kevin Streelman")</f>
        <v>Kevin Streelman</v>
      </c>
      <c r="D76">
        <f ca="1">IFERROR(__xludf.DUMMYFUNCTION("""COMPUTED_VALUE"""),18)</f>
        <v>18</v>
      </c>
      <c r="E76">
        <f ca="1">IFERROR(__xludf.DUMMYFUNCTION("""COMPUTED_VALUE"""),3.03)</f>
        <v>3.03</v>
      </c>
      <c r="F76">
        <f ca="1">IFERROR(__xludf.DUMMYFUNCTION("""COMPUTED_VALUE"""),236)</f>
        <v>236</v>
      </c>
      <c r="G76">
        <f ca="1">IFERROR(__xludf.DUMMYFUNCTION("""COMPUTED_VALUE"""),78)</f>
        <v>78</v>
      </c>
    </row>
    <row r="77" spans="1:7" ht="12.75">
      <c r="A77" t="str">
        <f ca="1">IFERROR(__xludf.DUMMYFUNCTION("""COMPUTED_VALUE"""),"T72")</f>
        <v>T72</v>
      </c>
      <c r="B77" t="str">
        <f ca="1">IFERROR(__xludf.DUMMYFUNCTION("""COMPUTED_VALUE"""),"T94")</f>
        <v>T94</v>
      </c>
      <c r="C77" t="str">
        <f ca="1">IFERROR(__xludf.DUMMYFUNCTION("""COMPUTED_VALUE"""),"Kevin Chappell")</f>
        <v>Kevin Chappell</v>
      </c>
      <c r="D77">
        <f ca="1">IFERROR(__xludf.DUMMYFUNCTION("""COMPUTED_VALUE"""),16)</f>
        <v>16</v>
      </c>
      <c r="E77">
        <f ca="1">IFERROR(__xludf.DUMMYFUNCTION("""COMPUTED_VALUE"""),3.03)</f>
        <v>3.03</v>
      </c>
      <c r="F77">
        <f ca="1">IFERROR(__xludf.DUMMYFUNCTION("""COMPUTED_VALUE"""),206)</f>
        <v>206</v>
      </c>
      <c r="G77">
        <f ca="1">IFERROR(__xludf.DUMMYFUNCTION("""COMPUTED_VALUE"""),68)</f>
        <v>68</v>
      </c>
    </row>
    <row r="78" spans="1:7" ht="12.75">
      <c r="A78" t="str">
        <f ca="1">IFERROR(__xludf.DUMMYFUNCTION("""COMPUTED_VALUE"""),"T72")</f>
        <v>T72</v>
      </c>
      <c r="B78" t="str">
        <f ca="1">IFERROR(__xludf.DUMMYFUNCTION("""COMPUTED_VALUE"""),"T59")</f>
        <v>T59</v>
      </c>
      <c r="C78" t="str">
        <f ca="1">IFERROR(__xludf.DUMMYFUNCTION("""COMPUTED_VALUE"""),"Jason Kokrak")</f>
        <v>Jason Kokrak</v>
      </c>
      <c r="D78">
        <f ca="1">IFERROR(__xludf.DUMMYFUNCTION("""COMPUTED_VALUE"""),14)</f>
        <v>14</v>
      </c>
      <c r="E78">
        <f ca="1">IFERROR(__xludf.DUMMYFUNCTION("""COMPUTED_VALUE"""),3.03)</f>
        <v>3.03</v>
      </c>
      <c r="F78">
        <f ca="1">IFERROR(__xludf.DUMMYFUNCTION("""COMPUTED_VALUE"""),182)</f>
        <v>182</v>
      </c>
      <c r="G78">
        <f ca="1">IFERROR(__xludf.DUMMYFUNCTION("""COMPUTED_VALUE"""),60)</f>
        <v>60</v>
      </c>
    </row>
    <row r="79" spans="1:7" ht="12.75">
      <c r="A79" t="str">
        <f ca="1">IFERROR(__xludf.DUMMYFUNCTION("""COMPUTED_VALUE"""),"T72")</f>
        <v>T72</v>
      </c>
      <c r="B79" t="str">
        <f ca="1">IFERROR(__xludf.DUMMYFUNCTION("""COMPUTED_VALUE"""),"T67")</f>
        <v>T67</v>
      </c>
      <c r="C79" t="str">
        <f ca="1">IFERROR(__xludf.DUMMYFUNCTION("""COMPUTED_VALUE"""),"Scott Stallings")</f>
        <v>Scott Stallings</v>
      </c>
      <c r="D79">
        <f ca="1">IFERROR(__xludf.DUMMYFUNCTION("""COMPUTED_VALUE"""),14)</f>
        <v>14</v>
      </c>
      <c r="E79">
        <f ca="1">IFERROR(__xludf.DUMMYFUNCTION("""COMPUTED_VALUE"""),3.03)</f>
        <v>3.03</v>
      </c>
      <c r="F79">
        <f ca="1">IFERROR(__xludf.DUMMYFUNCTION("""COMPUTED_VALUE"""),176)</f>
        <v>176</v>
      </c>
      <c r="G79">
        <f ca="1">IFERROR(__xludf.DUMMYFUNCTION("""COMPUTED_VALUE"""),58)</f>
        <v>58</v>
      </c>
    </row>
    <row r="80" spans="1:7" ht="12.75">
      <c r="A80" t="str">
        <f ca="1">IFERROR(__xludf.DUMMYFUNCTION("""COMPUTED_VALUE"""),"T72")</f>
        <v>T72</v>
      </c>
      <c r="B80" t="str">
        <f ca="1">IFERROR(__xludf.DUMMYFUNCTION("""COMPUTED_VALUE"""),"T59")</f>
        <v>T59</v>
      </c>
      <c r="C80" t="str">
        <f ca="1">IFERROR(__xludf.DUMMYFUNCTION("""COMPUTED_VALUE"""),"Dylan Frittelli")</f>
        <v>Dylan Frittelli</v>
      </c>
      <c r="D80">
        <f ca="1">IFERROR(__xludf.DUMMYFUNCTION("""COMPUTED_VALUE"""),16)</f>
        <v>16</v>
      </c>
      <c r="E80">
        <f ca="1">IFERROR(__xludf.DUMMYFUNCTION("""COMPUTED_VALUE"""),3.03)</f>
        <v>3.03</v>
      </c>
      <c r="F80">
        <f ca="1">IFERROR(__xludf.DUMMYFUNCTION("""COMPUTED_VALUE"""),212)</f>
        <v>212</v>
      </c>
      <c r="G80">
        <f ca="1">IFERROR(__xludf.DUMMYFUNCTION("""COMPUTED_VALUE"""),70)</f>
        <v>70</v>
      </c>
    </row>
    <row r="81" spans="1:7" ht="12.75">
      <c r="A81" t="str">
        <f ca="1">IFERROR(__xludf.DUMMYFUNCTION("""COMPUTED_VALUE"""),"T72")</f>
        <v>T72</v>
      </c>
      <c r="B81" t="str">
        <f ca="1">IFERROR(__xludf.DUMMYFUNCTION("""COMPUTED_VALUE"""),"T28")</f>
        <v>T28</v>
      </c>
      <c r="C81" t="str">
        <f ca="1">IFERROR(__xludf.DUMMYFUNCTION("""COMPUTED_VALUE"""),"Andrew Landry")</f>
        <v>Andrew Landry</v>
      </c>
      <c r="D81">
        <f ca="1">IFERROR(__xludf.DUMMYFUNCTION("""COMPUTED_VALUE"""),14)</f>
        <v>14</v>
      </c>
      <c r="E81">
        <f ca="1">IFERROR(__xludf.DUMMYFUNCTION("""COMPUTED_VALUE"""),3.03)</f>
        <v>3.03</v>
      </c>
      <c r="F81">
        <f ca="1">IFERROR(__xludf.DUMMYFUNCTION("""COMPUTED_VALUE"""),188)</f>
        <v>188</v>
      </c>
      <c r="G81">
        <f ca="1">IFERROR(__xludf.DUMMYFUNCTION("""COMPUTED_VALUE"""),62)</f>
        <v>62</v>
      </c>
    </row>
    <row r="82" spans="1:7" ht="12.75">
      <c r="A82" t="str">
        <f ca="1">IFERROR(__xludf.DUMMYFUNCTION("""COMPUTED_VALUE"""),"T72")</f>
        <v>T72</v>
      </c>
      <c r="B82" t="str">
        <f ca="1">IFERROR(__xludf.DUMMYFUNCTION("""COMPUTED_VALUE"""),"T59")</f>
        <v>T59</v>
      </c>
      <c r="C82" t="str">
        <f ca="1">IFERROR(__xludf.DUMMYFUNCTION("""COMPUTED_VALUE"""),"Harry Higgs")</f>
        <v>Harry Higgs</v>
      </c>
      <c r="D82">
        <f ca="1">IFERROR(__xludf.DUMMYFUNCTION("""COMPUTED_VALUE"""),14)</f>
        <v>14</v>
      </c>
      <c r="E82">
        <f ca="1">IFERROR(__xludf.DUMMYFUNCTION("""COMPUTED_VALUE"""),3.03)</f>
        <v>3.03</v>
      </c>
      <c r="F82">
        <f ca="1">IFERROR(__xludf.DUMMYFUNCTION("""COMPUTED_VALUE"""),182)</f>
        <v>182</v>
      </c>
      <c r="G82">
        <f ca="1">IFERROR(__xludf.DUMMYFUNCTION("""COMPUTED_VALUE"""),60)</f>
        <v>60</v>
      </c>
    </row>
    <row r="83" spans="1:7" ht="12.75">
      <c r="A83" t="str">
        <f ca="1">IFERROR(__xludf.DUMMYFUNCTION("""COMPUTED_VALUE"""),"T72")</f>
        <v>T72</v>
      </c>
      <c r="B83" t="str">
        <f ca="1">IFERROR(__xludf.DUMMYFUNCTION("""COMPUTED_VALUE"""),"T140")</f>
        <v>T140</v>
      </c>
      <c r="C83" t="str">
        <f ca="1">IFERROR(__xludf.DUMMYFUNCTION("""COMPUTED_VALUE"""),"Carlos Ortiz")</f>
        <v>Carlos Ortiz</v>
      </c>
      <c r="D83">
        <f ca="1">IFERROR(__xludf.DUMMYFUNCTION("""COMPUTED_VALUE"""),20)</f>
        <v>20</v>
      </c>
      <c r="E83">
        <f ca="1">IFERROR(__xludf.DUMMYFUNCTION("""COMPUTED_VALUE"""),3.03)</f>
        <v>3.03</v>
      </c>
      <c r="F83">
        <f ca="1">IFERROR(__xludf.DUMMYFUNCTION("""COMPUTED_VALUE"""),267)</f>
        <v>267</v>
      </c>
      <c r="G83">
        <f ca="1">IFERROR(__xludf.DUMMYFUNCTION("""COMPUTED_VALUE"""),88)</f>
        <v>88</v>
      </c>
    </row>
    <row r="84" spans="1:7" ht="12.75">
      <c r="A84" t="str">
        <f ca="1">IFERROR(__xludf.DUMMYFUNCTION("""COMPUTED_VALUE"""),"T83")</f>
        <v>T83</v>
      </c>
      <c r="B84" t="str">
        <f ca="1">IFERROR(__xludf.DUMMYFUNCTION("""COMPUTED_VALUE"""),"T67")</f>
        <v>T67</v>
      </c>
      <c r="C84" t="str">
        <f ca="1">IFERROR(__xludf.DUMMYFUNCTION("""COMPUTED_VALUE"""),"Peter Malnati")</f>
        <v>Peter Malnati</v>
      </c>
      <c r="D84">
        <f ca="1">IFERROR(__xludf.DUMMYFUNCTION("""COMPUTED_VALUE"""),18)</f>
        <v>18</v>
      </c>
      <c r="E84">
        <f ca="1">IFERROR(__xludf.DUMMYFUNCTION("""COMPUTED_VALUE"""),3.04)</f>
        <v>3.04</v>
      </c>
      <c r="F84">
        <f ca="1">IFERROR(__xludf.DUMMYFUNCTION("""COMPUTED_VALUE"""),219)</f>
        <v>219</v>
      </c>
      <c r="G84">
        <f ca="1">IFERROR(__xludf.DUMMYFUNCTION("""COMPUTED_VALUE"""),72)</f>
        <v>72</v>
      </c>
    </row>
    <row r="85" spans="1:7" ht="12.75">
      <c r="A85" t="str">
        <f ca="1">IFERROR(__xludf.DUMMYFUNCTION("""COMPUTED_VALUE"""),"T83")</f>
        <v>T83</v>
      </c>
      <c r="B85" t="str">
        <f ca="1">IFERROR(__xludf.DUMMYFUNCTION("""COMPUTED_VALUE"""),"T67")</f>
        <v>T67</v>
      </c>
      <c r="C85" t="str">
        <f ca="1">IFERROR(__xludf.DUMMYFUNCTION("""COMPUTED_VALUE"""),"Jon Rahm")</f>
        <v>Jon Rahm</v>
      </c>
      <c r="D85">
        <f ca="1">IFERROR(__xludf.DUMMYFUNCTION("""COMPUTED_VALUE"""),12)</f>
        <v>12</v>
      </c>
      <c r="E85">
        <f ca="1">IFERROR(__xludf.DUMMYFUNCTION("""COMPUTED_VALUE"""),3.04)</f>
        <v>3.04</v>
      </c>
      <c r="F85">
        <f ca="1">IFERROR(__xludf.DUMMYFUNCTION("""COMPUTED_VALUE"""),158)</f>
        <v>158</v>
      </c>
      <c r="G85">
        <f ca="1">IFERROR(__xludf.DUMMYFUNCTION("""COMPUTED_VALUE"""),52)</f>
        <v>52</v>
      </c>
    </row>
    <row r="86" spans="1:7" ht="12.75">
      <c r="A86" t="str">
        <f ca="1">IFERROR(__xludf.DUMMYFUNCTION("""COMPUTED_VALUE"""),"T83")</f>
        <v>T83</v>
      </c>
      <c r="B86" t="str">
        <f ca="1">IFERROR(__xludf.DUMMYFUNCTION("""COMPUTED_VALUE"""),"T67")</f>
        <v>T67</v>
      </c>
      <c r="C86" t="str">
        <f ca="1">IFERROR(__xludf.DUMMYFUNCTION("""COMPUTED_VALUE"""),"Hank Lebioda")</f>
        <v>Hank Lebioda</v>
      </c>
      <c r="D86">
        <f ca="1">IFERROR(__xludf.DUMMYFUNCTION("""COMPUTED_VALUE"""),14)</f>
        <v>14</v>
      </c>
      <c r="E86">
        <f ca="1">IFERROR(__xludf.DUMMYFUNCTION("""COMPUTED_VALUE"""),3.04)</f>
        <v>3.04</v>
      </c>
      <c r="F86">
        <f ca="1">IFERROR(__xludf.DUMMYFUNCTION("""COMPUTED_VALUE"""),170)</f>
        <v>170</v>
      </c>
      <c r="G86">
        <f ca="1">IFERROR(__xludf.DUMMYFUNCTION("""COMPUTED_VALUE"""),56)</f>
        <v>56</v>
      </c>
    </row>
    <row r="87" spans="1:7" ht="12.75">
      <c r="A87" t="str">
        <f ca="1">IFERROR(__xludf.DUMMYFUNCTION("""COMPUTED_VALUE"""),"T83")</f>
        <v>T83</v>
      </c>
      <c r="B87" t="str">
        <f ca="1">IFERROR(__xludf.DUMMYFUNCTION("""COMPUTED_VALUE"""),"T67")</f>
        <v>T67</v>
      </c>
      <c r="C87" t="str">
        <f ca="1">IFERROR(__xludf.DUMMYFUNCTION("""COMPUTED_VALUE"""),"Sahith Theegala")</f>
        <v>Sahith Theegala</v>
      </c>
      <c r="D87">
        <f ca="1">IFERROR(__xludf.DUMMYFUNCTION("""COMPUTED_VALUE"""),6)</f>
        <v>6</v>
      </c>
      <c r="E87">
        <f ca="1">IFERROR(__xludf.DUMMYFUNCTION("""COMPUTED_VALUE"""),3.04)</f>
        <v>3.04</v>
      </c>
      <c r="F87">
        <f ca="1">IFERROR(__xludf.DUMMYFUNCTION("""COMPUTED_VALUE"""),73)</f>
        <v>73</v>
      </c>
      <c r="G87">
        <f ca="1">IFERROR(__xludf.DUMMYFUNCTION("""COMPUTED_VALUE"""),24)</f>
        <v>24</v>
      </c>
    </row>
    <row r="88" spans="1:7" ht="12.75">
      <c r="A88" t="str">
        <f ca="1">IFERROR(__xludf.DUMMYFUNCTION("""COMPUTED_VALUE"""),"T83")</f>
        <v>T83</v>
      </c>
      <c r="B88" t="str">
        <f ca="1">IFERROR(__xludf.DUMMYFUNCTION("""COMPUTED_VALUE"""),"T67")</f>
        <v>T67</v>
      </c>
      <c r="C88" t="str">
        <f ca="1">IFERROR(__xludf.DUMMYFUNCTION("""COMPUTED_VALUE"""),"William McGirt")</f>
        <v>William McGirt</v>
      </c>
      <c r="D88">
        <f ca="1">IFERROR(__xludf.DUMMYFUNCTION("""COMPUTED_VALUE"""),6)</f>
        <v>6</v>
      </c>
      <c r="E88">
        <f ca="1">IFERROR(__xludf.DUMMYFUNCTION("""COMPUTED_VALUE"""),3.04)</f>
        <v>3.04</v>
      </c>
      <c r="F88">
        <f ca="1">IFERROR(__xludf.DUMMYFUNCTION("""COMPUTED_VALUE"""),73)</f>
        <v>73</v>
      </c>
      <c r="G88">
        <f ca="1">IFERROR(__xludf.DUMMYFUNCTION("""COMPUTED_VALUE"""),24)</f>
        <v>24</v>
      </c>
    </row>
    <row r="89" spans="1:7" ht="12.75">
      <c r="A89" t="str">
        <f ca="1">IFERROR(__xludf.DUMMYFUNCTION("""COMPUTED_VALUE"""),"T83")</f>
        <v>T83</v>
      </c>
      <c r="B89" t="str">
        <f ca="1">IFERROR(__xludf.DUMMYFUNCTION("""COMPUTED_VALUE"""),"T130")</f>
        <v>T130</v>
      </c>
      <c r="C89" t="str">
        <f ca="1">IFERROR(__xludf.DUMMYFUNCTION("""COMPUTED_VALUE"""),"Troy Merritt")</f>
        <v>Troy Merritt</v>
      </c>
      <c r="D89">
        <f ca="1">IFERROR(__xludf.DUMMYFUNCTION("""COMPUTED_VALUE"""),20)</f>
        <v>20</v>
      </c>
      <c r="E89">
        <f ca="1">IFERROR(__xludf.DUMMYFUNCTION("""COMPUTED_VALUE"""),3.04)</f>
        <v>3.04</v>
      </c>
      <c r="F89">
        <f ca="1">IFERROR(__xludf.DUMMYFUNCTION("""COMPUTED_VALUE"""),255)</f>
        <v>255</v>
      </c>
      <c r="G89">
        <f ca="1">IFERROR(__xludf.DUMMYFUNCTION("""COMPUTED_VALUE"""),84)</f>
        <v>84</v>
      </c>
    </row>
    <row r="90" spans="1:7" ht="12.75">
      <c r="A90" t="str">
        <f ca="1">IFERROR(__xludf.DUMMYFUNCTION("""COMPUTED_VALUE"""),"T83")</f>
        <v>T83</v>
      </c>
      <c r="B90" t="str">
        <f ca="1">IFERROR(__xludf.DUMMYFUNCTION("""COMPUTED_VALUE"""),"T155")</f>
        <v>T155</v>
      </c>
      <c r="C90" t="str">
        <f ca="1">IFERROR(__xludf.DUMMYFUNCTION("""COMPUTED_VALUE"""),"Michael Thompson")</f>
        <v>Michael Thompson</v>
      </c>
      <c r="D90">
        <f ca="1">IFERROR(__xludf.DUMMYFUNCTION("""COMPUTED_VALUE"""),16)</f>
        <v>16</v>
      </c>
      <c r="E90">
        <f ca="1">IFERROR(__xludf.DUMMYFUNCTION("""COMPUTED_VALUE"""),3.04)</f>
        <v>3.04</v>
      </c>
      <c r="F90">
        <f ca="1">IFERROR(__xludf.DUMMYFUNCTION("""COMPUTED_VALUE"""),219)</f>
        <v>219</v>
      </c>
      <c r="G90">
        <f ca="1">IFERROR(__xludf.DUMMYFUNCTION("""COMPUTED_VALUE"""),72)</f>
        <v>72</v>
      </c>
    </row>
    <row r="91" spans="1:7" ht="12.75">
      <c r="A91" t="str">
        <f ca="1">IFERROR(__xludf.DUMMYFUNCTION("""COMPUTED_VALUE"""),"T83")</f>
        <v>T83</v>
      </c>
      <c r="B91" t="str">
        <f ca="1">IFERROR(__xludf.DUMMYFUNCTION("""COMPUTED_VALUE"""),"T67")</f>
        <v>T67</v>
      </c>
      <c r="C91" t="str">
        <f ca="1">IFERROR(__xludf.DUMMYFUNCTION("""COMPUTED_VALUE"""),"Rory McIlroy")</f>
        <v>Rory McIlroy</v>
      </c>
      <c r="D91">
        <f ca="1">IFERROR(__xludf.DUMMYFUNCTION("""COMPUTED_VALUE"""),12)</f>
        <v>12</v>
      </c>
      <c r="E91">
        <f ca="1">IFERROR(__xludf.DUMMYFUNCTION("""COMPUTED_VALUE"""),3.04)</f>
        <v>3.04</v>
      </c>
      <c r="F91">
        <f ca="1">IFERROR(__xludf.DUMMYFUNCTION("""COMPUTED_VALUE"""),158)</f>
        <v>158</v>
      </c>
      <c r="G91">
        <f ca="1">IFERROR(__xludf.DUMMYFUNCTION("""COMPUTED_VALUE"""),52)</f>
        <v>52</v>
      </c>
    </row>
    <row r="92" spans="1:7" ht="12.75">
      <c r="A92" t="str">
        <f ca="1">IFERROR(__xludf.DUMMYFUNCTION("""COMPUTED_VALUE"""),"T83")</f>
        <v>T83</v>
      </c>
      <c r="B92" t="str">
        <f ca="1">IFERROR(__xludf.DUMMYFUNCTION("""COMPUTED_VALUE"""),"T28")</f>
        <v>T28</v>
      </c>
      <c r="C92" t="str">
        <f ca="1">IFERROR(__xludf.DUMMYFUNCTION("""COMPUTED_VALUE"""),"Luke List")</f>
        <v>Luke List</v>
      </c>
      <c r="D92">
        <f ca="1">IFERROR(__xludf.DUMMYFUNCTION("""COMPUTED_VALUE"""),18)</f>
        <v>18</v>
      </c>
      <c r="E92">
        <f ca="1">IFERROR(__xludf.DUMMYFUNCTION("""COMPUTED_VALUE"""),3.04)</f>
        <v>3.04</v>
      </c>
      <c r="F92">
        <f ca="1">IFERROR(__xludf.DUMMYFUNCTION("""COMPUTED_VALUE"""),225)</f>
        <v>225</v>
      </c>
      <c r="G92">
        <f ca="1">IFERROR(__xludf.DUMMYFUNCTION("""COMPUTED_VALUE"""),74)</f>
        <v>74</v>
      </c>
    </row>
    <row r="93" spans="1:7" ht="12.75">
      <c r="A93" t="str">
        <f ca="1">IFERROR(__xludf.DUMMYFUNCTION("""COMPUTED_VALUE"""),"T83")</f>
        <v>T83</v>
      </c>
      <c r="B93" t="str">
        <f ca="1">IFERROR(__xludf.DUMMYFUNCTION("""COMPUTED_VALUE"""),"T67")</f>
        <v>T67</v>
      </c>
      <c r="C93" t="str">
        <f ca="1">IFERROR(__xludf.DUMMYFUNCTION("""COMPUTED_VALUE"""),"Scott Piercy")</f>
        <v>Scott Piercy</v>
      </c>
      <c r="D93">
        <f ca="1">IFERROR(__xludf.DUMMYFUNCTION("""COMPUTED_VALUE"""),18)</f>
        <v>18</v>
      </c>
      <c r="E93">
        <f ca="1">IFERROR(__xludf.DUMMYFUNCTION("""COMPUTED_VALUE"""),3.04)</f>
        <v>3.04</v>
      </c>
      <c r="F93">
        <f ca="1">IFERROR(__xludf.DUMMYFUNCTION("""COMPUTED_VALUE"""),231)</f>
        <v>231</v>
      </c>
      <c r="G93">
        <f ca="1">IFERROR(__xludf.DUMMYFUNCTION("""COMPUTED_VALUE"""),76)</f>
        <v>76</v>
      </c>
    </row>
    <row r="94" spans="1:7" ht="12.75">
      <c r="A94" t="str">
        <f ca="1">IFERROR(__xludf.DUMMYFUNCTION("""COMPUTED_VALUE"""),"T83")</f>
        <v>T83</v>
      </c>
      <c r="B94" t="str">
        <f ca="1">IFERROR(__xludf.DUMMYFUNCTION("""COMPUTED_VALUE"""),"T111")</f>
        <v>T111</v>
      </c>
      <c r="C94" t="str">
        <f ca="1">IFERROR(__xludf.DUMMYFUNCTION("""COMPUTED_VALUE"""),"Zach Johnson")</f>
        <v>Zach Johnson</v>
      </c>
      <c r="D94">
        <f ca="1">IFERROR(__xludf.DUMMYFUNCTION("""COMPUTED_VALUE"""),16)</f>
        <v>16</v>
      </c>
      <c r="E94">
        <f ca="1">IFERROR(__xludf.DUMMYFUNCTION("""COMPUTED_VALUE"""),3.04)</f>
        <v>3.04</v>
      </c>
      <c r="F94">
        <f ca="1">IFERROR(__xludf.DUMMYFUNCTION("""COMPUTED_VALUE"""),207)</f>
        <v>207</v>
      </c>
      <c r="G94">
        <f ca="1">IFERROR(__xludf.DUMMYFUNCTION("""COMPUTED_VALUE"""),68)</f>
        <v>68</v>
      </c>
    </row>
    <row r="95" spans="1:7" ht="12.75">
      <c r="A95" t="str">
        <f ca="1">IFERROR(__xludf.DUMMYFUNCTION("""COMPUTED_VALUE"""),"T83")</f>
        <v>T83</v>
      </c>
      <c r="B95" t="str">
        <f ca="1">IFERROR(__xludf.DUMMYFUNCTION("""COMPUTED_VALUE"""),"T67")</f>
        <v>T67</v>
      </c>
      <c r="C95" t="str">
        <f ca="1">IFERROR(__xludf.DUMMYFUNCTION("""COMPUTED_VALUE"""),"Ian Poulter")</f>
        <v>Ian Poulter</v>
      </c>
      <c r="D95">
        <f ca="1">IFERROR(__xludf.DUMMYFUNCTION("""COMPUTED_VALUE"""),6)</f>
        <v>6</v>
      </c>
      <c r="E95">
        <f ca="1">IFERROR(__xludf.DUMMYFUNCTION("""COMPUTED_VALUE"""),3.04)</f>
        <v>3.04</v>
      </c>
      <c r="F95">
        <f ca="1">IFERROR(__xludf.DUMMYFUNCTION("""COMPUTED_VALUE"""),73)</f>
        <v>73</v>
      </c>
      <c r="G95">
        <f ca="1">IFERROR(__xludf.DUMMYFUNCTION("""COMPUTED_VALUE"""),24)</f>
        <v>24</v>
      </c>
    </row>
    <row r="96" spans="1:7" ht="12.75">
      <c r="A96" t="str">
        <f ca="1">IFERROR(__xludf.DUMMYFUNCTION("""COMPUTED_VALUE"""),"T95")</f>
        <v>T95</v>
      </c>
      <c r="B96" t="str">
        <f ca="1">IFERROR(__xludf.DUMMYFUNCTION("""COMPUTED_VALUE"""),"T86")</f>
        <v>T86</v>
      </c>
      <c r="C96" t="str">
        <f ca="1">IFERROR(__xludf.DUMMYFUNCTION("""COMPUTED_VALUE"""),"Justin Rose")</f>
        <v>Justin Rose</v>
      </c>
      <c r="D96">
        <f ca="1">IFERROR(__xludf.DUMMYFUNCTION("""COMPUTED_VALUE"""),10)</f>
        <v>10</v>
      </c>
      <c r="E96">
        <f ca="1">IFERROR(__xludf.DUMMYFUNCTION("""COMPUTED_VALUE"""),3.05)</f>
        <v>3.05</v>
      </c>
      <c r="F96">
        <f ca="1">IFERROR(__xludf.DUMMYFUNCTION("""COMPUTED_VALUE"""),134)</f>
        <v>134</v>
      </c>
      <c r="G96">
        <f ca="1">IFERROR(__xludf.DUMMYFUNCTION("""COMPUTED_VALUE"""),44)</f>
        <v>44</v>
      </c>
    </row>
    <row r="97" spans="1:7" ht="12.75">
      <c r="A97" t="str">
        <f ca="1">IFERROR(__xludf.DUMMYFUNCTION("""COMPUTED_VALUE"""),"T95")</f>
        <v>T95</v>
      </c>
      <c r="B97" t="str">
        <f ca="1">IFERROR(__xludf.DUMMYFUNCTION("""COMPUTED_VALUE"""),"")</f>
        <v/>
      </c>
      <c r="C97" t="str">
        <f ca="1">IFERROR(__xludf.DUMMYFUNCTION("""COMPUTED_VALUE"""),"Dawie van der Walt")</f>
        <v>Dawie van der Walt</v>
      </c>
      <c r="D97">
        <f ca="1">IFERROR(__xludf.DUMMYFUNCTION("""COMPUTED_VALUE"""),4)</f>
        <v>4</v>
      </c>
      <c r="E97">
        <f ca="1">IFERROR(__xludf.DUMMYFUNCTION("""COMPUTED_VALUE"""),3.05)</f>
        <v>3.05</v>
      </c>
      <c r="F97">
        <f ca="1">IFERROR(__xludf.DUMMYFUNCTION("""COMPUTED_VALUE"""),61)</f>
        <v>61</v>
      </c>
      <c r="G97">
        <f ca="1">IFERROR(__xludf.DUMMYFUNCTION("""COMPUTED_VALUE"""),20)</f>
        <v>20</v>
      </c>
    </row>
    <row r="98" spans="1:7" ht="12.75">
      <c r="A98" t="str">
        <f ca="1">IFERROR(__xludf.DUMMYFUNCTION("""COMPUTED_VALUE"""),"T95")</f>
        <v>T95</v>
      </c>
      <c r="B98" t="str">
        <f ca="1">IFERROR(__xludf.DUMMYFUNCTION("""COMPUTED_VALUE"""),"T86")</f>
        <v>T86</v>
      </c>
      <c r="C98" t="str">
        <f ca="1">IFERROR(__xludf.DUMMYFUNCTION("""COMPUTED_VALUE"""),"Anirban Lahiri")</f>
        <v>Anirban Lahiri</v>
      </c>
      <c r="D98">
        <f ca="1">IFERROR(__xludf.DUMMYFUNCTION("""COMPUTED_VALUE"""),16)</f>
        <v>16</v>
      </c>
      <c r="E98">
        <f ca="1">IFERROR(__xludf.DUMMYFUNCTION("""COMPUTED_VALUE"""),3.05)</f>
        <v>3.05</v>
      </c>
      <c r="F98">
        <f ca="1">IFERROR(__xludf.DUMMYFUNCTION("""COMPUTED_VALUE"""),195)</f>
        <v>195</v>
      </c>
      <c r="G98">
        <f ca="1">IFERROR(__xludf.DUMMYFUNCTION("""COMPUTED_VALUE"""),64)</f>
        <v>64</v>
      </c>
    </row>
    <row r="99" spans="1:7" ht="12.75">
      <c r="A99" t="str">
        <f ca="1">IFERROR(__xludf.DUMMYFUNCTION("""COMPUTED_VALUE"""),"T95")</f>
        <v>T95</v>
      </c>
      <c r="B99" t="str">
        <f ca="1">IFERROR(__xludf.DUMMYFUNCTION("""COMPUTED_VALUE"""),"T184")</f>
        <v>T184</v>
      </c>
      <c r="C99" t="str">
        <f ca="1">IFERROR(__xludf.DUMMYFUNCTION("""COMPUTED_VALUE"""),"Harold Varner III")</f>
        <v>Harold Varner III</v>
      </c>
      <c r="D99">
        <f ca="1">IFERROR(__xludf.DUMMYFUNCTION("""COMPUTED_VALUE"""),14)</f>
        <v>14</v>
      </c>
      <c r="E99">
        <f ca="1">IFERROR(__xludf.DUMMYFUNCTION("""COMPUTED_VALUE"""),3.05)</f>
        <v>3.05</v>
      </c>
      <c r="F99">
        <f ca="1">IFERROR(__xludf.DUMMYFUNCTION("""COMPUTED_VALUE"""),183)</f>
        <v>183</v>
      </c>
      <c r="G99">
        <f ca="1">IFERROR(__xludf.DUMMYFUNCTION("""COMPUTED_VALUE"""),60)</f>
        <v>60</v>
      </c>
    </row>
    <row r="100" spans="1:7" ht="12.75">
      <c r="A100" t="str">
        <f ca="1">IFERROR(__xludf.DUMMYFUNCTION("""COMPUTED_VALUE"""),"T95")</f>
        <v>T95</v>
      </c>
      <c r="B100" t="str">
        <f ca="1">IFERROR(__xludf.DUMMYFUNCTION("""COMPUTED_VALUE"""),"T53")</f>
        <v>T53</v>
      </c>
      <c r="C100" t="str">
        <f ca="1">IFERROR(__xludf.DUMMYFUNCTION("""COMPUTED_VALUE"""),"Hideki Matsuyama")</f>
        <v>Hideki Matsuyama</v>
      </c>
      <c r="D100">
        <f ca="1">IFERROR(__xludf.DUMMYFUNCTION("""COMPUTED_VALUE"""),18)</f>
        <v>18</v>
      </c>
      <c r="E100">
        <f ca="1">IFERROR(__xludf.DUMMYFUNCTION("""COMPUTED_VALUE"""),3.05)</f>
        <v>3.05</v>
      </c>
      <c r="F100">
        <f ca="1">IFERROR(__xludf.DUMMYFUNCTION("""COMPUTED_VALUE"""),244)</f>
        <v>244</v>
      </c>
      <c r="G100">
        <f ca="1">IFERROR(__xludf.DUMMYFUNCTION("""COMPUTED_VALUE"""),80)</f>
        <v>80</v>
      </c>
    </row>
    <row r="101" spans="1:7" ht="12.75">
      <c r="A101" t="str">
        <f ca="1">IFERROR(__xludf.DUMMYFUNCTION("""COMPUTED_VALUE"""),"T95")</f>
        <v>T95</v>
      </c>
      <c r="B101" t="str">
        <f ca="1">IFERROR(__xludf.DUMMYFUNCTION("""COMPUTED_VALUE"""),"T86")</f>
        <v>T86</v>
      </c>
      <c r="C101" t="str">
        <f ca="1">IFERROR(__xludf.DUMMYFUNCTION("""COMPUTED_VALUE"""),"Gunn Charoenkul")</f>
        <v>Gunn Charoenkul</v>
      </c>
      <c r="D101">
        <f ca="1">IFERROR(__xludf.DUMMYFUNCTION("""COMPUTED_VALUE"""),4)</f>
        <v>4</v>
      </c>
      <c r="E101">
        <f ca="1">IFERROR(__xludf.DUMMYFUNCTION("""COMPUTED_VALUE"""),3.05)</f>
        <v>3.05</v>
      </c>
      <c r="F101">
        <f ca="1">IFERROR(__xludf.DUMMYFUNCTION("""COMPUTED_VALUE"""),61)</f>
        <v>61</v>
      </c>
      <c r="G101">
        <f ca="1">IFERROR(__xludf.DUMMYFUNCTION("""COMPUTED_VALUE"""),20)</f>
        <v>20</v>
      </c>
    </row>
    <row r="102" spans="1:7" ht="12.75">
      <c r="A102" t="str">
        <f ca="1">IFERROR(__xludf.DUMMYFUNCTION("""COMPUTED_VALUE"""),"T101")</f>
        <v>T101</v>
      </c>
      <c r="B102" t="str">
        <f ca="1">IFERROR(__xludf.DUMMYFUNCTION("""COMPUTED_VALUE"""),"T94")</f>
        <v>T94</v>
      </c>
      <c r="C102" t="str">
        <f ca="1">IFERROR(__xludf.DUMMYFUNCTION("""COMPUTED_VALUE"""),"Bud Cauley")</f>
        <v>Bud Cauley</v>
      </c>
      <c r="D102">
        <f ca="1">IFERROR(__xludf.DUMMYFUNCTION("""COMPUTED_VALUE"""),4)</f>
        <v>4</v>
      </c>
      <c r="E102">
        <f ca="1">IFERROR(__xludf.DUMMYFUNCTION("""COMPUTED_VALUE"""),3.06)</f>
        <v>3.06</v>
      </c>
      <c r="F102">
        <f ca="1">IFERROR(__xludf.DUMMYFUNCTION("""COMPUTED_VALUE"""),49)</f>
        <v>49</v>
      </c>
      <c r="G102">
        <f ca="1">IFERROR(__xludf.DUMMYFUNCTION("""COMPUTED_VALUE"""),16)</f>
        <v>16</v>
      </c>
    </row>
    <row r="103" spans="1:7" ht="12.75">
      <c r="A103" t="str">
        <f ca="1">IFERROR(__xludf.DUMMYFUNCTION("""COMPUTED_VALUE"""),"T101")</f>
        <v>T101</v>
      </c>
      <c r="B103" t="str">
        <f ca="1">IFERROR(__xludf.DUMMYFUNCTION("""COMPUTED_VALUE"""),"T67")</f>
        <v>T67</v>
      </c>
      <c r="C103" t="str">
        <f ca="1">IFERROR(__xludf.DUMMYFUNCTION("""COMPUTED_VALUE"""),"Andrew Putnam")</f>
        <v>Andrew Putnam</v>
      </c>
      <c r="D103">
        <f ca="1">IFERROR(__xludf.DUMMYFUNCTION("""COMPUTED_VALUE"""),19)</f>
        <v>19</v>
      </c>
      <c r="E103">
        <f ca="1">IFERROR(__xludf.DUMMYFUNCTION("""COMPUTED_VALUE"""),3.06)</f>
        <v>3.06</v>
      </c>
      <c r="F103">
        <f ca="1">IFERROR(__xludf.DUMMYFUNCTION("""COMPUTED_VALUE"""),239)</f>
        <v>239</v>
      </c>
      <c r="G103">
        <f ca="1">IFERROR(__xludf.DUMMYFUNCTION("""COMPUTED_VALUE"""),78)</f>
        <v>78</v>
      </c>
    </row>
    <row r="104" spans="1:7" ht="12.75">
      <c r="A104" t="str">
        <f ca="1">IFERROR(__xludf.DUMMYFUNCTION("""COMPUTED_VALUE"""),"T101")</f>
        <v>T101</v>
      </c>
      <c r="B104" t="str">
        <f ca="1">IFERROR(__xludf.DUMMYFUNCTION("""COMPUTED_VALUE"""),"T28")</f>
        <v>T28</v>
      </c>
      <c r="C104" t="str">
        <f ca="1">IFERROR(__xludf.DUMMYFUNCTION("""COMPUTED_VALUE"""),"Brooks Koepka")</f>
        <v>Brooks Koepka</v>
      </c>
      <c r="D104">
        <f ca="1">IFERROR(__xludf.DUMMYFUNCTION("""COMPUTED_VALUE"""),8)</f>
        <v>8</v>
      </c>
      <c r="E104">
        <f ca="1">IFERROR(__xludf.DUMMYFUNCTION("""COMPUTED_VALUE"""),3.06)</f>
        <v>3.06</v>
      </c>
      <c r="F104">
        <f ca="1">IFERROR(__xludf.DUMMYFUNCTION("""COMPUTED_VALUE"""),110)</f>
        <v>110</v>
      </c>
      <c r="G104">
        <f ca="1">IFERROR(__xludf.DUMMYFUNCTION("""COMPUTED_VALUE"""),36)</f>
        <v>36</v>
      </c>
    </row>
    <row r="105" spans="1:7" ht="12.75">
      <c r="A105" t="str">
        <f ca="1">IFERROR(__xludf.DUMMYFUNCTION("""COMPUTED_VALUE"""),"T101")</f>
        <v>T101</v>
      </c>
      <c r="B105" t="str">
        <f ca="1">IFERROR(__xludf.DUMMYFUNCTION("""COMPUTED_VALUE"""),"T17")</f>
        <v>T17</v>
      </c>
      <c r="C105" t="str">
        <f ca="1">IFERROR(__xludf.DUMMYFUNCTION("""COMPUTED_VALUE"""),"Wyndham Clark")</f>
        <v>Wyndham Clark</v>
      </c>
      <c r="D105">
        <f ca="1">IFERROR(__xludf.DUMMYFUNCTION("""COMPUTED_VALUE"""),16)</f>
        <v>16</v>
      </c>
      <c r="E105">
        <f ca="1">IFERROR(__xludf.DUMMYFUNCTION("""COMPUTED_VALUE"""),3.06)</f>
        <v>3.06</v>
      </c>
      <c r="F105">
        <f ca="1">IFERROR(__xludf.DUMMYFUNCTION("""COMPUTED_VALUE"""),202)</f>
        <v>202</v>
      </c>
      <c r="G105">
        <f ca="1">IFERROR(__xludf.DUMMYFUNCTION("""COMPUTED_VALUE"""),66)</f>
        <v>66</v>
      </c>
    </row>
    <row r="106" spans="1:7" ht="12.75">
      <c r="A106" t="str">
        <f ca="1">IFERROR(__xludf.DUMMYFUNCTION("""COMPUTED_VALUE"""),"T101")</f>
        <v>T101</v>
      </c>
      <c r="B106" t="str">
        <f ca="1">IFERROR(__xludf.DUMMYFUNCTION("""COMPUTED_VALUE"""),"T111")</f>
        <v>T111</v>
      </c>
      <c r="C106" t="str">
        <f ca="1">IFERROR(__xludf.DUMMYFUNCTION("""COMPUTED_VALUE"""),"Will Gordon")</f>
        <v>Will Gordon</v>
      </c>
      <c r="D106">
        <f ca="1">IFERROR(__xludf.DUMMYFUNCTION("""COMPUTED_VALUE"""),20)</f>
        <v>20</v>
      </c>
      <c r="E106">
        <f ca="1">IFERROR(__xludf.DUMMYFUNCTION("""COMPUTED_VALUE"""),3.06)</f>
        <v>3.06</v>
      </c>
      <c r="F106">
        <f ca="1">IFERROR(__xludf.DUMMYFUNCTION("""COMPUTED_VALUE"""),257)</f>
        <v>257</v>
      </c>
      <c r="G106">
        <f ca="1">IFERROR(__xludf.DUMMYFUNCTION("""COMPUTED_VALUE"""),84)</f>
        <v>84</v>
      </c>
    </row>
    <row r="107" spans="1:7" ht="12.75">
      <c r="A107" t="str">
        <f ca="1">IFERROR(__xludf.DUMMYFUNCTION("""COMPUTED_VALUE"""),"T101")</f>
        <v>T101</v>
      </c>
      <c r="B107" t="str">
        <f ca="1">IFERROR(__xludf.DUMMYFUNCTION("""COMPUTED_VALUE"""),"T94")</f>
        <v>T94</v>
      </c>
      <c r="C107" t="str">
        <f ca="1">IFERROR(__xludf.DUMMYFUNCTION("""COMPUTED_VALUE"""),"Sebastián Muñoz")</f>
        <v>Sebastián Muñoz</v>
      </c>
      <c r="D107">
        <f ca="1">IFERROR(__xludf.DUMMYFUNCTION("""COMPUTED_VALUE"""),20)</f>
        <v>20</v>
      </c>
      <c r="E107">
        <f ca="1">IFERROR(__xludf.DUMMYFUNCTION("""COMPUTED_VALUE"""),3.06)</f>
        <v>3.06</v>
      </c>
      <c r="F107">
        <f ca="1">IFERROR(__xludf.DUMMYFUNCTION("""COMPUTED_VALUE"""),257)</f>
        <v>257</v>
      </c>
      <c r="G107">
        <f ca="1">IFERROR(__xludf.DUMMYFUNCTION("""COMPUTED_VALUE"""),84)</f>
        <v>84</v>
      </c>
    </row>
    <row r="108" spans="1:7" ht="12.75">
      <c r="A108" t="str">
        <f ca="1">IFERROR(__xludf.DUMMYFUNCTION("""COMPUTED_VALUE"""),"T101")</f>
        <v>T101</v>
      </c>
      <c r="B108" t="str">
        <f ca="1">IFERROR(__xludf.DUMMYFUNCTION("""COMPUTED_VALUE"""),"T67")</f>
        <v>T67</v>
      </c>
      <c r="C108" t="str">
        <f ca="1">IFERROR(__xludf.DUMMYFUNCTION("""COMPUTED_VALUE"""),"Ryan Armour")</f>
        <v>Ryan Armour</v>
      </c>
      <c r="D108">
        <f ca="1">IFERROR(__xludf.DUMMYFUNCTION("""COMPUTED_VALUE"""),16)</f>
        <v>16</v>
      </c>
      <c r="E108">
        <f ca="1">IFERROR(__xludf.DUMMYFUNCTION("""COMPUTED_VALUE"""),3.06)</f>
        <v>3.06</v>
      </c>
      <c r="F108">
        <f ca="1">IFERROR(__xludf.DUMMYFUNCTION("""COMPUTED_VALUE"""),202)</f>
        <v>202</v>
      </c>
      <c r="G108">
        <f ca="1">IFERROR(__xludf.DUMMYFUNCTION("""COMPUTED_VALUE"""),66)</f>
        <v>66</v>
      </c>
    </row>
    <row r="109" spans="1:7" ht="12.75">
      <c r="A109" t="str">
        <f ca="1">IFERROR(__xludf.DUMMYFUNCTION("""COMPUTED_VALUE"""),"T101")</f>
        <v>T101</v>
      </c>
      <c r="B109" t="str">
        <f ca="1">IFERROR(__xludf.DUMMYFUNCTION("""COMPUTED_VALUE"""),"T94")</f>
        <v>T94</v>
      </c>
      <c r="C109" t="str">
        <f ca="1">IFERROR(__xludf.DUMMYFUNCTION("""COMPUTED_VALUE"""),"Fred Funk")</f>
        <v>Fred Funk</v>
      </c>
      <c r="D109">
        <f ca="1">IFERROR(__xludf.DUMMYFUNCTION("""COMPUTED_VALUE"""),4)</f>
        <v>4</v>
      </c>
      <c r="E109">
        <f ca="1">IFERROR(__xludf.DUMMYFUNCTION("""COMPUTED_VALUE"""),3.06)</f>
        <v>3.06</v>
      </c>
      <c r="F109">
        <f ca="1">IFERROR(__xludf.DUMMYFUNCTION("""COMPUTED_VALUE"""),49)</f>
        <v>49</v>
      </c>
      <c r="G109">
        <f ca="1">IFERROR(__xludf.DUMMYFUNCTION("""COMPUTED_VALUE"""),16)</f>
        <v>16</v>
      </c>
    </row>
    <row r="110" spans="1:7" ht="12.75">
      <c r="A110" t="str">
        <f ca="1">IFERROR(__xludf.DUMMYFUNCTION("""COMPUTED_VALUE"""),"T101")</f>
        <v>T101</v>
      </c>
      <c r="B110" t="str">
        <f ca="1">IFERROR(__xludf.DUMMYFUNCTION("""COMPUTED_VALUE"""),"T94")</f>
        <v>T94</v>
      </c>
      <c r="C110" t="str">
        <f ca="1">IFERROR(__xludf.DUMMYFUNCTION("""COMPUTED_VALUE"""),"Johnson Wagner")</f>
        <v>Johnson Wagner</v>
      </c>
      <c r="D110">
        <f ca="1">IFERROR(__xludf.DUMMYFUNCTION("""COMPUTED_VALUE"""),8)</f>
        <v>8</v>
      </c>
      <c r="E110">
        <f ca="1">IFERROR(__xludf.DUMMYFUNCTION("""COMPUTED_VALUE"""),3.06)</f>
        <v>3.06</v>
      </c>
      <c r="F110">
        <f ca="1">IFERROR(__xludf.DUMMYFUNCTION("""COMPUTED_VALUE"""),98)</f>
        <v>98</v>
      </c>
      <c r="G110">
        <f ca="1">IFERROR(__xludf.DUMMYFUNCTION("""COMPUTED_VALUE"""),32)</f>
        <v>32</v>
      </c>
    </row>
    <row r="111" spans="1:7" ht="12.75">
      <c r="A111" t="str">
        <f ca="1">IFERROR(__xludf.DUMMYFUNCTION("""COMPUTED_VALUE"""),"T101")</f>
        <v>T101</v>
      </c>
      <c r="B111" t="str">
        <f ca="1">IFERROR(__xludf.DUMMYFUNCTION("""COMPUTED_VALUE"""),"T94")</f>
        <v>T94</v>
      </c>
      <c r="C111" t="str">
        <f ca="1">IFERROR(__xludf.DUMMYFUNCTION("""COMPUTED_VALUE"""),"Joohyung Kim")</f>
        <v>Joohyung Kim</v>
      </c>
      <c r="D111">
        <f ca="1">IFERROR(__xludf.DUMMYFUNCTION("""COMPUTED_VALUE"""),12)</f>
        <v>12</v>
      </c>
      <c r="E111">
        <f ca="1">IFERROR(__xludf.DUMMYFUNCTION("""COMPUTED_VALUE"""),3.06)</f>
        <v>3.06</v>
      </c>
      <c r="F111">
        <f ca="1">IFERROR(__xludf.DUMMYFUNCTION("""COMPUTED_VALUE"""),147)</f>
        <v>147</v>
      </c>
      <c r="G111">
        <f ca="1">IFERROR(__xludf.DUMMYFUNCTION("""COMPUTED_VALUE"""),48)</f>
        <v>48</v>
      </c>
    </row>
    <row r="112" spans="1:7" ht="12.75">
      <c r="A112" t="str">
        <f ca="1">IFERROR(__xludf.DUMMYFUNCTION("""COMPUTED_VALUE"""),"T111")</f>
        <v>T111</v>
      </c>
      <c r="B112" t="str">
        <f ca="1">IFERROR(__xludf.DUMMYFUNCTION("""COMPUTED_VALUE"""),"T86")</f>
        <v>T86</v>
      </c>
      <c r="C112" t="str">
        <f ca="1">IFERROR(__xludf.DUMMYFUNCTION("""COMPUTED_VALUE"""),"Matt Jones")</f>
        <v>Matt Jones</v>
      </c>
      <c r="D112">
        <f ca="1">IFERROR(__xludf.DUMMYFUNCTION("""COMPUTED_VALUE"""),20)</f>
        <v>20</v>
      </c>
      <c r="E112">
        <f ca="1">IFERROR(__xludf.DUMMYFUNCTION("""COMPUTED_VALUE"""),3.07)</f>
        <v>3.07</v>
      </c>
      <c r="F112">
        <f ca="1">IFERROR(__xludf.DUMMYFUNCTION("""COMPUTED_VALUE"""),258)</f>
        <v>258</v>
      </c>
      <c r="G112">
        <f ca="1">IFERROR(__xludf.DUMMYFUNCTION("""COMPUTED_VALUE"""),84)</f>
        <v>84</v>
      </c>
    </row>
    <row r="113" spans="1:7" ht="12.75">
      <c r="A113" t="str">
        <f ca="1">IFERROR(__xludf.DUMMYFUNCTION("""COMPUTED_VALUE"""),"T111")</f>
        <v>T111</v>
      </c>
      <c r="B113" t="str">
        <f ca="1">IFERROR(__xludf.DUMMYFUNCTION("""COMPUTED_VALUE"""),"T106")</f>
        <v>T106</v>
      </c>
      <c r="C113" t="str">
        <f ca="1">IFERROR(__xludf.DUMMYFUNCTION("""COMPUTED_VALUE"""),"Shaun Norris")</f>
        <v>Shaun Norris</v>
      </c>
      <c r="D113">
        <f ca="1">IFERROR(__xludf.DUMMYFUNCTION("""COMPUTED_VALUE"""),6)</f>
        <v>6</v>
      </c>
      <c r="E113">
        <f ca="1">IFERROR(__xludf.DUMMYFUNCTION("""COMPUTED_VALUE"""),3.07)</f>
        <v>3.07</v>
      </c>
      <c r="F113">
        <f ca="1">IFERROR(__xludf.DUMMYFUNCTION("""COMPUTED_VALUE"""),86)</f>
        <v>86</v>
      </c>
      <c r="G113">
        <f ca="1">IFERROR(__xludf.DUMMYFUNCTION("""COMPUTED_VALUE"""),28)</f>
        <v>28</v>
      </c>
    </row>
    <row r="114" spans="1:7" ht="12.75">
      <c r="A114" t="str">
        <f ca="1">IFERROR(__xludf.DUMMYFUNCTION("""COMPUTED_VALUE"""),"T111")</f>
        <v>T111</v>
      </c>
      <c r="B114" t="str">
        <f ca="1">IFERROR(__xludf.DUMMYFUNCTION("""COMPUTED_VALUE"""),"T67")</f>
        <v>T67</v>
      </c>
      <c r="C114" t="str">
        <f ca="1">IFERROR(__xludf.DUMMYFUNCTION("""COMPUTED_VALUE"""),"Jason Dufner")</f>
        <v>Jason Dufner</v>
      </c>
      <c r="D114">
        <f ca="1">IFERROR(__xludf.DUMMYFUNCTION("""COMPUTED_VALUE"""),14)</f>
        <v>14</v>
      </c>
      <c r="E114">
        <f ca="1">IFERROR(__xludf.DUMMYFUNCTION("""COMPUTED_VALUE"""),3.07)</f>
        <v>3.07</v>
      </c>
      <c r="F114">
        <f ca="1">IFERROR(__xludf.DUMMYFUNCTION("""COMPUTED_VALUE"""),178)</f>
        <v>178</v>
      </c>
      <c r="G114">
        <f ca="1">IFERROR(__xludf.DUMMYFUNCTION("""COMPUTED_VALUE"""),58)</f>
        <v>58</v>
      </c>
    </row>
    <row r="115" spans="1:7" ht="12.75">
      <c r="A115" t="str">
        <f ca="1">IFERROR(__xludf.DUMMYFUNCTION("""COMPUTED_VALUE"""),"T111")</f>
        <v>T111</v>
      </c>
      <c r="B115" t="str">
        <f ca="1">IFERROR(__xludf.DUMMYFUNCTION("""COMPUTED_VALUE"""),"T161")</f>
        <v>T161</v>
      </c>
      <c r="C115" t="str">
        <f ca="1">IFERROR(__xludf.DUMMYFUNCTION("""COMPUTED_VALUE"""),"Luke Donald")</f>
        <v>Luke Donald</v>
      </c>
      <c r="D115">
        <f ca="1">IFERROR(__xludf.DUMMYFUNCTION("""COMPUTED_VALUE"""),14)</f>
        <v>14</v>
      </c>
      <c r="E115">
        <f ca="1">IFERROR(__xludf.DUMMYFUNCTION("""COMPUTED_VALUE"""),3.07)</f>
        <v>3.07</v>
      </c>
      <c r="F115">
        <f ca="1">IFERROR(__xludf.DUMMYFUNCTION("""COMPUTED_VALUE"""),178)</f>
        <v>178</v>
      </c>
      <c r="G115">
        <f ca="1">IFERROR(__xludf.DUMMYFUNCTION("""COMPUTED_VALUE"""),58)</f>
        <v>58</v>
      </c>
    </row>
    <row r="116" spans="1:7" ht="12.75">
      <c r="A116" t="str">
        <f ca="1">IFERROR(__xludf.DUMMYFUNCTION("""COMPUTED_VALUE"""),"T111")</f>
        <v>T111</v>
      </c>
      <c r="B116" t="str">
        <f ca="1">IFERROR(__xludf.DUMMYFUNCTION("""COMPUTED_VALUE"""),"T225")</f>
        <v>T225</v>
      </c>
      <c r="C116" t="str">
        <f ca="1">IFERROR(__xludf.DUMMYFUNCTION("""COMPUTED_VALUE"""),"Erik van Rooyen")</f>
        <v>Erik van Rooyen</v>
      </c>
      <c r="D116">
        <f ca="1">IFERROR(__xludf.DUMMYFUNCTION("""COMPUTED_VALUE"""),10)</f>
        <v>10</v>
      </c>
      <c r="E116">
        <f ca="1">IFERROR(__xludf.DUMMYFUNCTION("""COMPUTED_VALUE"""),3.07)</f>
        <v>3.07</v>
      </c>
      <c r="F116">
        <f ca="1">IFERROR(__xludf.DUMMYFUNCTION("""COMPUTED_VALUE"""),135)</f>
        <v>135</v>
      </c>
      <c r="G116">
        <f ca="1">IFERROR(__xludf.DUMMYFUNCTION("""COMPUTED_VALUE"""),44)</f>
        <v>44</v>
      </c>
    </row>
    <row r="117" spans="1:7" ht="12.75">
      <c r="A117" t="str">
        <f ca="1">IFERROR(__xludf.DUMMYFUNCTION("""COMPUTED_VALUE"""),"T111")</f>
        <v>T111</v>
      </c>
      <c r="B117" t="str">
        <f ca="1">IFERROR(__xludf.DUMMYFUNCTION("""COMPUTED_VALUE"""),"T106")</f>
        <v>T106</v>
      </c>
      <c r="C117" t="str">
        <f ca="1">IFERROR(__xludf.DUMMYFUNCTION("""COMPUTED_VALUE"""),"Matthew Fitzpatrick")</f>
        <v>Matthew Fitzpatrick</v>
      </c>
      <c r="D117">
        <f ca="1">IFERROR(__xludf.DUMMYFUNCTION("""COMPUTED_VALUE"""),10)</f>
        <v>10</v>
      </c>
      <c r="E117">
        <f ca="1">IFERROR(__xludf.DUMMYFUNCTION("""COMPUTED_VALUE"""),3.07)</f>
        <v>3.07</v>
      </c>
      <c r="F117">
        <f ca="1">IFERROR(__xludf.DUMMYFUNCTION("""COMPUTED_VALUE"""),135)</f>
        <v>135</v>
      </c>
      <c r="G117">
        <f ca="1">IFERROR(__xludf.DUMMYFUNCTION("""COMPUTED_VALUE"""),44)</f>
        <v>44</v>
      </c>
    </row>
    <row r="118" spans="1:7" ht="12.75">
      <c r="A118" t="str">
        <f ca="1">IFERROR(__xludf.DUMMYFUNCTION("""COMPUTED_VALUE"""),"T111")</f>
        <v>T111</v>
      </c>
      <c r="B118" t="str">
        <f ca="1">IFERROR(__xludf.DUMMYFUNCTION("""COMPUTED_VALUE"""),"T94")</f>
        <v>T94</v>
      </c>
      <c r="C118" t="str">
        <f ca="1">IFERROR(__xludf.DUMMYFUNCTION("""COMPUTED_VALUE"""),"Kelly Kraft")</f>
        <v>Kelly Kraft</v>
      </c>
      <c r="D118">
        <f ca="1">IFERROR(__xludf.DUMMYFUNCTION("""COMPUTED_VALUE"""),14)</f>
        <v>14</v>
      </c>
      <c r="E118">
        <f ca="1">IFERROR(__xludf.DUMMYFUNCTION("""COMPUTED_VALUE"""),3.07)</f>
        <v>3.07</v>
      </c>
      <c r="F118">
        <f ca="1">IFERROR(__xludf.DUMMYFUNCTION("""COMPUTED_VALUE"""),178)</f>
        <v>178</v>
      </c>
      <c r="G118">
        <f ca="1">IFERROR(__xludf.DUMMYFUNCTION("""COMPUTED_VALUE"""),58)</f>
        <v>58</v>
      </c>
    </row>
    <row r="119" spans="1:7" ht="12.75">
      <c r="A119" t="str">
        <f ca="1">IFERROR(__xludf.DUMMYFUNCTION("""COMPUTED_VALUE"""),"T111")</f>
        <v>T111</v>
      </c>
      <c r="B119" t="str">
        <f ca="1">IFERROR(__xludf.DUMMYFUNCTION("""COMPUTED_VALUE"""),"T106")</f>
        <v>T106</v>
      </c>
      <c r="C119" t="str">
        <f ca="1">IFERROR(__xludf.DUMMYFUNCTION("""COMPUTED_VALUE"""),"Chan Kim")</f>
        <v>Chan Kim</v>
      </c>
      <c r="D119">
        <f ca="1">IFERROR(__xludf.DUMMYFUNCTION("""COMPUTED_VALUE"""),6)</f>
        <v>6</v>
      </c>
      <c r="E119">
        <f ca="1">IFERROR(__xludf.DUMMYFUNCTION("""COMPUTED_VALUE"""),3.07)</f>
        <v>3.07</v>
      </c>
      <c r="F119">
        <f ca="1">IFERROR(__xludf.DUMMYFUNCTION("""COMPUTED_VALUE"""),86)</f>
        <v>86</v>
      </c>
      <c r="G119">
        <f ca="1">IFERROR(__xludf.DUMMYFUNCTION("""COMPUTED_VALUE"""),28)</f>
        <v>28</v>
      </c>
    </row>
    <row r="120" spans="1:7" ht="12.75">
      <c r="A120" t="str">
        <f ca="1">IFERROR(__xludf.DUMMYFUNCTION("""COMPUTED_VALUE"""),"T111")</f>
        <v>T111</v>
      </c>
      <c r="B120" t="str">
        <f ca="1">IFERROR(__xludf.DUMMYFUNCTION("""COMPUTED_VALUE"""),"T179")</f>
        <v>T179</v>
      </c>
      <c r="C120" t="str">
        <f ca="1">IFERROR(__xludf.DUMMYFUNCTION("""COMPUTED_VALUE"""),"Patton Kizzire")</f>
        <v>Patton Kizzire</v>
      </c>
      <c r="D120">
        <f ca="1">IFERROR(__xludf.DUMMYFUNCTION("""COMPUTED_VALUE"""),18)</f>
        <v>18</v>
      </c>
      <c r="E120">
        <f ca="1">IFERROR(__xludf.DUMMYFUNCTION("""COMPUTED_VALUE"""),3.07)</f>
        <v>3.07</v>
      </c>
      <c r="F120">
        <f ca="1">IFERROR(__xludf.DUMMYFUNCTION("""COMPUTED_VALUE"""),233)</f>
        <v>233</v>
      </c>
      <c r="G120">
        <f ca="1">IFERROR(__xludf.DUMMYFUNCTION("""COMPUTED_VALUE"""),76)</f>
        <v>76</v>
      </c>
    </row>
    <row r="121" spans="1:7" ht="12.75">
      <c r="A121" t="str">
        <f ca="1">IFERROR(__xludf.DUMMYFUNCTION("""COMPUTED_VALUE"""),"T111")</f>
        <v>T111</v>
      </c>
      <c r="B121" t="str">
        <f ca="1">IFERROR(__xludf.DUMMYFUNCTION("""COMPUTED_VALUE"""),"T67")</f>
        <v>T67</v>
      </c>
      <c r="C121" t="str">
        <f ca="1">IFERROR(__xludf.DUMMYFUNCTION("""COMPUTED_VALUE"""),"Kyoung-Hoon Lee")</f>
        <v>Kyoung-Hoon Lee</v>
      </c>
      <c r="D121">
        <f ca="1">IFERROR(__xludf.DUMMYFUNCTION("""COMPUTED_VALUE"""),20)</f>
        <v>20</v>
      </c>
      <c r="E121">
        <f ca="1">IFERROR(__xludf.DUMMYFUNCTION("""COMPUTED_VALUE"""),3.07)</f>
        <v>3.07</v>
      </c>
      <c r="F121">
        <f ca="1">IFERROR(__xludf.DUMMYFUNCTION("""COMPUTED_VALUE"""),252)</f>
        <v>252</v>
      </c>
      <c r="G121">
        <f ca="1">IFERROR(__xludf.DUMMYFUNCTION("""COMPUTED_VALUE"""),82)</f>
        <v>82</v>
      </c>
    </row>
    <row r="122" spans="1:7" ht="12.75">
      <c r="A122" t="str">
        <f ca="1">IFERROR(__xludf.DUMMYFUNCTION("""COMPUTED_VALUE"""),"T121")</f>
        <v>T121</v>
      </c>
      <c r="B122" t="str">
        <f ca="1">IFERROR(__xludf.DUMMYFUNCTION("""COMPUTED_VALUE"""),"T111")</f>
        <v>T111</v>
      </c>
      <c r="C122" t="str">
        <f ca="1">IFERROR(__xludf.DUMMYFUNCTION("""COMPUTED_VALUE"""),"Ben Martin")</f>
        <v>Ben Martin</v>
      </c>
      <c r="D122">
        <f ca="1">IFERROR(__xludf.DUMMYFUNCTION("""COMPUTED_VALUE"""),6)</f>
        <v>6</v>
      </c>
      <c r="E122">
        <f ca="1">IFERROR(__xludf.DUMMYFUNCTION("""COMPUTED_VALUE"""),3.08)</f>
        <v>3.08</v>
      </c>
      <c r="F122">
        <f ca="1">IFERROR(__xludf.DUMMYFUNCTION("""COMPUTED_VALUE"""),74)</f>
        <v>74</v>
      </c>
      <c r="G122">
        <f ca="1">IFERROR(__xludf.DUMMYFUNCTION("""COMPUTED_VALUE"""),24)</f>
        <v>24</v>
      </c>
    </row>
    <row r="123" spans="1:7" ht="12.75">
      <c r="A123" t="str">
        <f ca="1">IFERROR(__xludf.DUMMYFUNCTION("""COMPUTED_VALUE"""),"T121")</f>
        <v>T121</v>
      </c>
      <c r="B123" t="str">
        <f ca="1">IFERROR(__xludf.DUMMYFUNCTION("""COMPUTED_VALUE"""),"T111")</f>
        <v>T111</v>
      </c>
      <c r="C123" t="str">
        <f ca="1">IFERROR(__xludf.DUMMYFUNCTION("""COMPUTED_VALUE"""),"J.J. Spaun")</f>
        <v>J.J. Spaun</v>
      </c>
      <c r="D123">
        <f ca="1">IFERROR(__xludf.DUMMYFUNCTION("""COMPUTED_VALUE"""),10)</f>
        <v>10</v>
      </c>
      <c r="E123">
        <f ca="1">IFERROR(__xludf.DUMMYFUNCTION("""COMPUTED_VALUE"""),3.08)</f>
        <v>3.08</v>
      </c>
      <c r="F123">
        <f ca="1">IFERROR(__xludf.DUMMYFUNCTION("""COMPUTED_VALUE"""),123)</f>
        <v>123</v>
      </c>
      <c r="G123">
        <f ca="1">IFERROR(__xludf.DUMMYFUNCTION("""COMPUTED_VALUE"""),40)</f>
        <v>40</v>
      </c>
    </row>
    <row r="124" spans="1:7" ht="12.75">
      <c r="A124" t="str">
        <f ca="1">IFERROR(__xludf.DUMMYFUNCTION("""COMPUTED_VALUE"""),"T121")</f>
        <v>T121</v>
      </c>
      <c r="B124" t="str">
        <f ca="1">IFERROR(__xludf.DUMMYFUNCTION("""COMPUTED_VALUE"""),"T111")</f>
        <v>T111</v>
      </c>
      <c r="C124" t="str">
        <f ca="1">IFERROR(__xludf.DUMMYFUNCTION("""COMPUTED_VALUE"""),"Scottie Scheffler")</f>
        <v>Scottie Scheffler</v>
      </c>
      <c r="D124">
        <f ca="1">IFERROR(__xludf.DUMMYFUNCTION("""COMPUTED_VALUE"""),18)</f>
        <v>18</v>
      </c>
      <c r="E124">
        <f ca="1">IFERROR(__xludf.DUMMYFUNCTION("""COMPUTED_VALUE"""),3.08)</f>
        <v>3.08</v>
      </c>
      <c r="F124">
        <f ca="1">IFERROR(__xludf.DUMMYFUNCTION("""COMPUTED_VALUE"""),246)</f>
        <v>246</v>
      </c>
      <c r="G124">
        <f ca="1">IFERROR(__xludf.DUMMYFUNCTION("""COMPUTED_VALUE"""),80)</f>
        <v>80</v>
      </c>
    </row>
    <row r="125" spans="1:7" ht="12.75">
      <c r="A125" t="str">
        <f ca="1">IFERROR(__xludf.DUMMYFUNCTION("""COMPUTED_VALUE"""),"T121")</f>
        <v>T121</v>
      </c>
      <c r="B125" t="str">
        <f ca="1">IFERROR(__xludf.DUMMYFUNCTION("""COMPUTED_VALUE"""),"T67")</f>
        <v>T67</v>
      </c>
      <c r="C125" t="str">
        <f ca="1">IFERROR(__xludf.DUMMYFUNCTION("""COMPUTED_VALUE"""),"Sam Burns")</f>
        <v>Sam Burns</v>
      </c>
      <c r="D125">
        <f ca="1">IFERROR(__xludf.DUMMYFUNCTION("""COMPUTED_VALUE"""),18)</f>
        <v>18</v>
      </c>
      <c r="E125">
        <f ca="1">IFERROR(__xludf.DUMMYFUNCTION("""COMPUTED_VALUE"""),3.08)</f>
        <v>3.08</v>
      </c>
      <c r="F125">
        <f ca="1">IFERROR(__xludf.DUMMYFUNCTION("""COMPUTED_VALUE"""),234)</f>
        <v>234</v>
      </c>
      <c r="G125">
        <f ca="1">IFERROR(__xludf.DUMMYFUNCTION("""COMPUTED_VALUE"""),76)</f>
        <v>76</v>
      </c>
    </row>
    <row r="126" spans="1:7" ht="12.75">
      <c r="A126" t="str">
        <f ca="1">IFERROR(__xludf.DUMMYFUNCTION("""COMPUTED_VALUE"""),"T121")</f>
        <v>T121</v>
      </c>
      <c r="B126" t="str">
        <f ca="1">IFERROR(__xludf.DUMMYFUNCTION("""COMPUTED_VALUE"""),"T111")</f>
        <v>T111</v>
      </c>
      <c r="C126" t="str">
        <f ca="1">IFERROR(__xludf.DUMMYFUNCTION("""COMPUTED_VALUE"""),"Denny McCarthy")</f>
        <v>Denny McCarthy</v>
      </c>
      <c r="D126">
        <f ca="1">IFERROR(__xludf.DUMMYFUNCTION("""COMPUTED_VALUE"""),22)</f>
        <v>22</v>
      </c>
      <c r="E126">
        <f ca="1">IFERROR(__xludf.DUMMYFUNCTION("""COMPUTED_VALUE"""),3.08)</f>
        <v>3.08</v>
      </c>
      <c r="F126">
        <f ca="1">IFERROR(__xludf.DUMMYFUNCTION("""COMPUTED_VALUE"""),283)</f>
        <v>283</v>
      </c>
      <c r="G126">
        <f ca="1">IFERROR(__xludf.DUMMYFUNCTION("""COMPUTED_VALUE"""),92)</f>
        <v>92</v>
      </c>
    </row>
    <row r="127" spans="1:7" ht="12.75">
      <c r="A127" t="str">
        <f ca="1">IFERROR(__xludf.DUMMYFUNCTION("""COMPUTED_VALUE"""),"T121")</f>
        <v>T121</v>
      </c>
      <c r="B127" t="str">
        <f ca="1">IFERROR(__xludf.DUMMYFUNCTION("""COMPUTED_VALUE"""),"T111")</f>
        <v>T111</v>
      </c>
      <c r="C127" t="str">
        <f ca="1">IFERROR(__xludf.DUMMYFUNCTION("""COMPUTED_VALUE"""),"Matt Kuchar")</f>
        <v>Matt Kuchar</v>
      </c>
      <c r="D127">
        <f ca="1">IFERROR(__xludf.DUMMYFUNCTION("""COMPUTED_VALUE"""),14)</f>
        <v>14</v>
      </c>
      <c r="E127">
        <f ca="1">IFERROR(__xludf.DUMMYFUNCTION("""COMPUTED_VALUE"""),3.08)</f>
        <v>3.08</v>
      </c>
      <c r="F127">
        <f ca="1">IFERROR(__xludf.DUMMYFUNCTION("""COMPUTED_VALUE"""),185)</f>
        <v>185</v>
      </c>
      <c r="G127">
        <f ca="1">IFERROR(__xludf.DUMMYFUNCTION("""COMPUTED_VALUE"""),60)</f>
        <v>60</v>
      </c>
    </row>
    <row r="128" spans="1:7" ht="12.75">
      <c r="A128" t="str">
        <f ca="1">IFERROR(__xludf.DUMMYFUNCTION("""COMPUTED_VALUE"""),"T121")</f>
        <v>T121</v>
      </c>
      <c r="B128" t="str">
        <f ca="1">IFERROR(__xludf.DUMMYFUNCTION("""COMPUTED_VALUE"""),"T111")</f>
        <v>T111</v>
      </c>
      <c r="C128" t="str">
        <f ca="1">IFERROR(__xludf.DUMMYFUNCTION("""COMPUTED_VALUE"""),"Nick Watney")</f>
        <v>Nick Watney</v>
      </c>
      <c r="D128">
        <f ca="1">IFERROR(__xludf.DUMMYFUNCTION("""COMPUTED_VALUE"""),10)</f>
        <v>10</v>
      </c>
      <c r="E128">
        <f ca="1">IFERROR(__xludf.DUMMYFUNCTION("""COMPUTED_VALUE"""),3.08)</f>
        <v>3.08</v>
      </c>
      <c r="F128">
        <f ca="1">IFERROR(__xludf.DUMMYFUNCTION("""COMPUTED_VALUE"""),123)</f>
        <v>123</v>
      </c>
      <c r="G128">
        <f ca="1">IFERROR(__xludf.DUMMYFUNCTION("""COMPUTED_VALUE"""),40)</f>
        <v>40</v>
      </c>
    </row>
    <row r="129" spans="1:7" ht="12.75">
      <c r="A129" t="str">
        <f ca="1">IFERROR(__xludf.DUMMYFUNCTION("""COMPUTED_VALUE"""),"T121")</f>
        <v>T121</v>
      </c>
      <c r="B129" t="str">
        <f ca="1">IFERROR(__xludf.DUMMYFUNCTION("""COMPUTED_VALUE"""),"T111")</f>
        <v>T111</v>
      </c>
      <c r="C129" t="str">
        <f ca="1">IFERROR(__xludf.DUMMYFUNCTION("""COMPUTED_VALUE"""),"Paul Casey")</f>
        <v>Paul Casey</v>
      </c>
      <c r="D129">
        <f ca="1">IFERROR(__xludf.DUMMYFUNCTION("""COMPUTED_VALUE"""),14)</f>
        <v>14</v>
      </c>
      <c r="E129">
        <f ca="1">IFERROR(__xludf.DUMMYFUNCTION("""COMPUTED_VALUE"""),3.08)</f>
        <v>3.08</v>
      </c>
      <c r="F129">
        <f ca="1">IFERROR(__xludf.DUMMYFUNCTION("""COMPUTED_VALUE"""),185)</f>
        <v>185</v>
      </c>
      <c r="G129">
        <f ca="1">IFERROR(__xludf.DUMMYFUNCTION("""COMPUTED_VALUE"""),60)</f>
        <v>60</v>
      </c>
    </row>
    <row r="130" spans="1:7" ht="12.75">
      <c r="A130" t="str">
        <f ca="1">IFERROR(__xludf.DUMMYFUNCTION("""COMPUTED_VALUE"""),"T121")</f>
        <v>T121</v>
      </c>
      <c r="B130" t="str">
        <f ca="1">IFERROR(__xludf.DUMMYFUNCTION("""COMPUTED_VALUE"""),"T111")</f>
        <v>T111</v>
      </c>
      <c r="C130" t="str">
        <f ca="1">IFERROR(__xludf.DUMMYFUNCTION("""COMPUTED_VALUE"""),"Michael Gligic")</f>
        <v>Michael Gligic</v>
      </c>
      <c r="D130">
        <f ca="1">IFERROR(__xludf.DUMMYFUNCTION("""COMPUTED_VALUE"""),18)</f>
        <v>18</v>
      </c>
      <c r="E130">
        <f ca="1">IFERROR(__xludf.DUMMYFUNCTION("""COMPUTED_VALUE"""),3.08)</f>
        <v>3.08</v>
      </c>
      <c r="F130">
        <f ca="1">IFERROR(__xludf.DUMMYFUNCTION("""COMPUTED_VALUE"""),222)</f>
        <v>222</v>
      </c>
      <c r="G130">
        <f ca="1">IFERROR(__xludf.DUMMYFUNCTION("""COMPUTED_VALUE"""),72)</f>
        <v>72</v>
      </c>
    </row>
    <row r="131" spans="1:7" ht="12.75">
      <c r="A131" t="str">
        <f ca="1">IFERROR(__xludf.DUMMYFUNCTION("""COMPUTED_VALUE"""),"T121")</f>
        <v>T121</v>
      </c>
      <c r="B131" t="str">
        <f ca="1">IFERROR(__xludf.DUMMYFUNCTION("""COMPUTED_VALUE"""),"T111")</f>
        <v>T111</v>
      </c>
      <c r="C131" t="str">
        <f ca="1">IFERROR(__xludf.DUMMYFUNCTION("""COMPUTED_VALUE"""),"Brendan Steele")</f>
        <v>Brendan Steele</v>
      </c>
      <c r="D131">
        <f ca="1">IFERROR(__xludf.DUMMYFUNCTION("""COMPUTED_VALUE"""),14)</f>
        <v>14</v>
      </c>
      <c r="E131">
        <f ca="1">IFERROR(__xludf.DUMMYFUNCTION("""COMPUTED_VALUE"""),3.08)</f>
        <v>3.08</v>
      </c>
      <c r="F131">
        <f ca="1">IFERROR(__xludf.DUMMYFUNCTION("""COMPUTED_VALUE"""),185)</f>
        <v>185</v>
      </c>
      <c r="G131">
        <f ca="1">IFERROR(__xludf.DUMMYFUNCTION("""COMPUTED_VALUE"""),60)</f>
        <v>60</v>
      </c>
    </row>
    <row r="132" spans="1:7" ht="12.75">
      <c r="A132" t="str">
        <f ca="1">IFERROR(__xludf.DUMMYFUNCTION("""COMPUTED_VALUE"""),"T121")</f>
        <v>T121</v>
      </c>
      <c r="B132" t="str">
        <f ca="1">IFERROR(__xludf.DUMMYFUNCTION("""COMPUTED_VALUE"""),"T67")</f>
        <v>T67</v>
      </c>
      <c r="C132" t="str">
        <f ca="1">IFERROR(__xludf.DUMMYFUNCTION("""COMPUTED_VALUE"""),"Brice Garnett")</f>
        <v>Brice Garnett</v>
      </c>
      <c r="D132">
        <f ca="1">IFERROR(__xludf.DUMMYFUNCTION("""COMPUTED_VALUE"""),22)</f>
        <v>22</v>
      </c>
      <c r="E132">
        <f ca="1">IFERROR(__xludf.DUMMYFUNCTION("""COMPUTED_VALUE"""),3.08)</f>
        <v>3.08</v>
      </c>
      <c r="F132">
        <f ca="1">IFERROR(__xludf.DUMMYFUNCTION("""COMPUTED_VALUE"""),283)</f>
        <v>283</v>
      </c>
      <c r="G132">
        <f ca="1">IFERROR(__xludf.DUMMYFUNCTION("""COMPUTED_VALUE"""),92)</f>
        <v>92</v>
      </c>
    </row>
    <row r="133" spans="1:7" ht="12.75">
      <c r="A133" t="str">
        <f ca="1">IFERROR(__xludf.DUMMYFUNCTION("""COMPUTED_VALUE"""),"T121")</f>
        <v>T121</v>
      </c>
      <c r="B133" t="str">
        <f ca="1">IFERROR(__xludf.DUMMYFUNCTION("""COMPUTED_VALUE"""),"T111")</f>
        <v>T111</v>
      </c>
      <c r="C133" t="str">
        <f ca="1">IFERROR(__xludf.DUMMYFUNCTION("""COMPUTED_VALUE"""),"Akshay Bhatia")</f>
        <v>Akshay Bhatia</v>
      </c>
      <c r="D133">
        <f ca="1">IFERROR(__xludf.DUMMYFUNCTION("""COMPUTED_VALUE"""),6)</f>
        <v>6</v>
      </c>
      <c r="E133">
        <f ca="1">IFERROR(__xludf.DUMMYFUNCTION("""COMPUTED_VALUE"""),3.08)</f>
        <v>3.08</v>
      </c>
      <c r="F133">
        <f ca="1">IFERROR(__xludf.DUMMYFUNCTION("""COMPUTED_VALUE"""),74)</f>
        <v>74</v>
      </c>
      <c r="G133">
        <f ca="1">IFERROR(__xludf.DUMMYFUNCTION("""COMPUTED_VALUE"""),24)</f>
        <v>24</v>
      </c>
    </row>
    <row r="134" spans="1:7" ht="12.75">
      <c r="A134" t="str">
        <f ca="1">IFERROR(__xludf.DUMMYFUNCTION("""COMPUTED_VALUE"""),"T133")</f>
        <v>T133</v>
      </c>
      <c r="B134" t="str">
        <f ca="1">IFERROR(__xludf.DUMMYFUNCTION("""COMPUTED_VALUE"""),"T130")</f>
        <v>T130</v>
      </c>
      <c r="C134" t="str">
        <f ca="1">IFERROR(__xludf.DUMMYFUNCTION("""COMPUTED_VALUE"""),"Kevin Kisner")</f>
        <v>Kevin Kisner</v>
      </c>
      <c r="D134">
        <f ca="1">IFERROR(__xludf.DUMMYFUNCTION("""COMPUTED_VALUE"""),10)</f>
        <v>10</v>
      </c>
      <c r="E134">
        <f ca="1">IFERROR(__xludf.DUMMYFUNCTION("""COMPUTED_VALUE"""),3.09)</f>
        <v>3.09</v>
      </c>
      <c r="F134">
        <f ca="1">IFERROR(__xludf.DUMMYFUNCTION("""COMPUTED_VALUE"""),136)</f>
        <v>136</v>
      </c>
      <c r="G134">
        <f ca="1">IFERROR(__xludf.DUMMYFUNCTION("""COMPUTED_VALUE"""),44)</f>
        <v>44</v>
      </c>
    </row>
    <row r="135" spans="1:7" ht="12.75">
      <c r="A135" t="str">
        <f ca="1">IFERROR(__xludf.DUMMYFUNCTION("""COMPUTED_VALUE"""),"T133")</f>
        <v>T133</v>
      </c>
      <c r="B135" t="str">
        <f ca="1">IFERROR(__xludf.DUMMYFUNCTION("""COMPUTED_VALUE"""),"T106")</f>
        <v>T106</v>
      </c>
      <c r="C135" t="str">
        <f ca="1">IFERROR(__xludf.DUMMYFUNCTION("""COMPUTED_VALUE"""),"Brian Stuard")</f>
        <v>Brian Stuard</v>
      </c>
      <c r="D135">
        <f ca="1">IFERROR(__xludf.DUMMYFUNCTION("""COMPUTED_VALUE"""),18)</f>
        <v>18</v>
      </c>
      <c r="E135">
        <f ca="1">IFERROR(__xludf.DUMMYFUNCTION("""COMPUTED_VALUE"""),3.09)</f>
        <v>3.09</v>
      </c>
      <c r="F135">
        <f ca="1">IFERROR(__xludf.DUMMYFUNCTION("""COMPUTED_VALUE"""),235)</f>
        <v>235</v>
      </c>
      <c r="G135">
        <f ca="1">IFERROR(__xludf.DUMMYFUNCTION("""COMPUTED_VALUE"""),76)</f>
        <v>76</v>
      </c>
    </row>
    <row r="136" spans="1:7" ht="12.75">
      <c r="A136" t="str">
        <f ca="1">IFERROR(__xludf.DUMMYFUNCTION("""COMPUTED_VALUE"""),"T133")</f>
        <v>T133</v>
      </c>
      <c r="B136" t="str">
        <f ca="1">IFERROR(__xludf.DUMMYFUNCTION("""COMPUTED_VALUE"""),"T130")</f>
        <v>T130</v>
      </c>
      <c r="C136" t="str">
        <f ca="1">IFERROR(__xludf.DUMMYFUNCTION("""COMPUTED_VALUE"""),"D.J. Trahan")</f>
        <v>D.J. Trahan</v>
      </c>
      <c r="D136">
        <f ca="1">IFERROR(__xludf.DUMMYFUNCTION("""COMPUTED_VALUE"""),16)</f>
        <v>16</v>
      </c>
      <c r="E136">
        <f ca="1">IFERROR(__xludf.DUMMYFUNCTION("""COMPUTED_VALUE"""),3.09)</f>
        <v>3.09</v>
      </c>
      <c r="F136">
        <f ca="1">IFERROR(__xludf.DUMMYFUNCTION("""COMPUTED_VALUE"""),198)</f>
        <v>198</v>
      </c>
      <c r="G136">
        <f ca="1">IFERROR(__xludf.DUMMYFUNCTION("""COMPUTED_VALUE"""),64)</f>
        <v>64</v>
      </c>
    </row>
    <row r="137" spans="1:7" ht="12.75">
      <c r="A137" t="str">
        <f ca="1">IFERROR(__xludf.DUMMYFUNCTION("""COMPUTED_VALUE"""),"T133")</f>
        <v>T133</v>
      </c>
      <c r="B137" t="str">
        <f ca="1">IFERROR(__xludf.DUMMYFUNCTION("""COMPUTED_VALUE"""),"T130")</f>
        <v>T130</v>
      </c>
      <c r="C137" t="str">
        <f ca="1">IFERROR(__xludf.DUMMYFUNCTION("""COMPUTED_VALUE"""),"Abraham Ancer")</f>
        <v>Abraham Ancer</v>
      </c>
      <c r="D137">
        <f ca="1">IFERROR(__xludf.DUMMYFUNCTION("""COMPUTED_VALUE"""),16)</f>
        <v>16</v>
      </c>
      <c r="E137">
        <f ca="1">IFERROR(__xludf.DUMMYFUNCTION("""COMPUTED_VALUE"""),3.09)</f>
        <v>3.09</v>
      </c>
      <c r="F137">
        <f ca="1">IFERROR(__xludf.DUMMYFUNCTION("""COMPUTED_VALUE"""),210)</f>
        <v>210</v>
      </c>
      <c r="G137">
        <f ca="1">IFERROR(__xludf.DUMMYFUNCTION("""COMPUTED_VALUE"""),68)</f>
        <v>68</v>
      </c>
    </row>
    <row r="138" spans="1:7" ht="12.75">
      <c r="A138" t="str">
        <f ca="1">IFERROR(__xludf.DUMMYFUNCTION("""COMPUTED_VALUE"""),"T133")</f>
        <v>T133</v>
      </c>
      <c r="B138" t="str">
        <f ca="1">IFERROR(__xludf.DUMMYFUNCTION("""COMPUTED_VALUE"""),"T59")</f>
        <v>T59</v>
      </c>
      <c r="C138" t="str">
        <f ca="1">IFERROR(__xludf.DUMMYFUNCTION("""COMPUTED_VALUE"""),"Tyler Duncan")</f>
        <v>Tyler Duncan</v>
      </c>
      <c r="D138">
        <f ca="1">IFERROR(__xludf.DUMMYFUNCTION("""COMPUTED_VALUE"""),18)</f>
        <v>18</v>
      </c>
      <c r="E138">
        <f ca="1">IFERROR(__xludf.DUMMYFUNCTION("""COMPUTED_VALUE"""),3.09)</f>
        <v>3.09</v>
      </c>
      <c r="F138">
        <f ca="1">IFERROR(__xludf.DUMMYFUNCTION("""COMPUTED_VALUE"""),241)</f>
        <v>241</v>
      </c>
      <c r="G138">
        <f ca="1">IFERROR(__xludf.DUMMYFUNCTION("""COMPUTED_VALUE"""),78)</f>
        <v>78</v>
      </c>
    </row>
    <row r="139" spans="1:7" ht="12.75">
      <c r="A139" t="str">
        <f ca="1">IFERROR(__xludf.DUMMYFUNCTION("""COMPUTED_VALUE"""),"T133")</f>
        <v>T133</v>
      </c>
      <c r="B139" t="str">
        <f ca="1">IFERROR(__xludf.DUMMYFUNCTION("""COMPUTED_VALUE"""),"T130")</f>
        <v>T130</v>
      </c>
      <c r="C139" t="str">
        <f ca="1">IFERROR(__xludf.DUMMYFUNCTION("""COMPUTED_VALUE"""),"Chase Seiffert")</f>
        <v>Chase Seiffert</v>
      </c>
      <c r="D139">
        <f ca="1">IFERROR(__xludf.DUMMYFUNCTION("""COMPUTED_VALUE"""),14)</f>
        <v>14</v>
      </c>
      <c r="E139">
        <f ca="1">IFERROR(__xludf.DUMMYFUNCTION("""COMPUTED_VALUE"""),3.09)</f>
        <v>3.09</v>
      </c>
      <c r="F139">
        <f ca="1">IFERROR(__xludf.DUMMYFUNCTION("""COMPUTED_VALUE"""),173)</f>
        <v>173</v>
      </c>
      <c r="G139">
        <f ca="1">IFERROR(__xludf.DUMMYFUNCTION("""COMPUTED_VALUE"""),56)</f>
        <v>56</v>
      </c>
    </row>
    <row r="140" spans="1:7" ht="12.75">
      <c r="A140" t="str">
        <f ca="1">IFERROR(__xludf.DUMMYFUNCTION("""COMPUTED_VALUE"""),"T139")</f>
        <v>T139</v>
      </c>
      <c r="B140" t="str">
        <f ca="1">IFERROR(__xludf.DUMMYFUNCTION("""COMPUTED_VALUE"""),"T194")</f>
        <v>T194</v>
      </c>
      <c r="C140" t="str">
        <f ca="1">IFERROR(__xludf.DUMMYFUNCTION("""COMPUTED_VALUE"""),"Max Homa")</f>
        <v>Max Homa</v>
      </c>
      <c r="D140">
        <f ca="1">IFERROR(__xludf.DUMMYFUNCTION("""COMPUTED_VALUE"""),12)</f>
        <v>12</v>
      </c>
      <c r="E140">
        <f ca="1">IFERROR(__xludf.DUMMYFUNCTION("""COMPUTED_VALUE"""),3.1)</f>
        <v>3.1</v>
      </c>
      <c r="F140">
        <f ca="1">IFERROR(__xludf.DUMMYFUNCTION("""COMPUTED_VALUE"""),161)</f>
        <v>161</v>
      </c>
      <c r="G140">
        <f ca="1">IFERROR(__xludf.DUMMYFUNCTION("""COMPUTED_VALUE"""),52)</f>
        <v>52</v>
      </c>
    </row>
    <row r="141" spans="1:7" ht="12.75">
      <c r="A141" t="str">
        <f ca="1">IFERROR(__xludf.DUMMYFUNCTION("""COMPUTED_VALUE"""),"T139")</f>
        <v>T139</v>
      </c>
      <c r="B141" t="str">
        <f ca="1">IFERROR(__xludf.DUMMYFUNCTION("""COMPUTED_VALUE"""),"T140")</f>
        <v>T140</v>
      </c>
      <c r="C141" t="str">
        <f ca="1">IFERROR(__xludf.DUMMYFUNCTION("""COMPUTED_VALUE"""),"Rikuya Hoshino")</f>
        <v>Rikuya Hoshino</v>
      </c>
      <c r="D141">
        <f ca="1">IFERROR(__xludf.DUMMYFUNCTION("""COMPUTED_VALUE"""),4)</f>
        <v>4</v>
      </c>
      <c r="E141">
        <f ca="1">IFERROR(__xludf.DUMMYFUNCTION("""COMPUTED_VALUE"""),3.1)</f>
        <v>3.1</v>
      </c>
      <c r="F141">
        <f ca="1">IFERROR(__xludf.DUMMYFUNCTION("""COMPUTED_VALUE"""),62)</f>
        <v>62</v>
      </c>
      <c r="G141">
        <f ca="1">IFERROR(__xludf.DUMMYFUNCTION("""COMPUTED_VALUE"""),20)</f>
        <v>20</v>
      </c>
    </row>
    <row r="142" spans="1:7" ht="12.75">
      <c r="A142" t="str">
        <f ca="1">IFERROR(__xludf.DUMMYFUNCTION("""COMPUTED_VALUE"""),"T139")</f>
        <v>T139</v>
      </c>
      <c r="B142" t="str">
        <f ca="1">IFERROR(__xludf.DUMMYFUNCTION("""COMPUTED_VALUE"""),"T140")</f>
        <v>T140</v>
      </c>
      <c r="C142" t="str">
        <f ca="1">IFERROR(__xludf.DUMMYFUNCTION("""COMPUTED_VALUE"""),"Justin Suh")</f>
        <v>Justin Suh</v>
      </c>
      <c r="D142">
        <f ca="1">IFERROR(__xludf.DUMMYFUNCTION("""COMPUTED_VALUE"""),10)</f>
        <v>10</v>
      </c>
      <c r="E142">
        <f ca="1">IFERROR(__xludf.DUMMYFUNCTION("""COMPUTED_VALUE"""),3.1)</f>
        <v>3.1</v>
      </c>
      <c r="F142">
        <f ca="1">IFERROR(__xludf.DUMMYFUNCTION("""COMPUTED_VALUE"""),124)</f>
        <v>124</v>
      </c>
      <c r="G142">
        <f ca="1">IFERROR(__xludf.DUMMYFUNCTION("""COMPUTED_VALUE"""),40)</f>
        <v>40</v>
      </c>
    </row>
    <row r="143" spans="1:7" ht="12.75">
      <c r="A143" t="str">
        <f ca="1">IFERROR(__xludf.DUMMYFUNCTION("""COMPUTED_VALUE"""),"T139")</f>
        <v>T139</v>
      </c>
      <c r="B143" t="str">
        <f ca="1">IFERROR(__xludf.DUMMYFUNCTION("""COMPUTED_VALUE"""),"T140")</f>
        <v>T140</v>
      </c>
      <c r="C143" t="str">
        <f ca="1">IFERROR(__xludf.DUMMYFUNCTION("""COMPUTED_VALUE"""),"Cameron Champ")</f>
        <v>Cameron Champ</v>
      </c>
      <c r="D143">
        <f ca="1">IFERROR(__xludf.DUMMYFUNCTION("""COMPUTED_VALUE"""),12)</f>
        <v>12</v>
      </c>
      <c r="E143">
        <f ca="1">IFERROR(__xludf.DUMMYFUNCTION("""COMPUTED_VALUE"""),3.1)</f>
        <v>3.1</v>
      </c>
      <c r="F143">
        <f ca="1">IFERROR(__xludf.DUMMYFUNCTION("""COMPUTED_VALUE"""),161)</f>
        <v>161</v>
      </c>
      <c r="G143">
        <f ca="1">IFERROR(__xludf.DUMMYFUNCTION("""COMPUTED_VALUE"""),52)</f>
        <v>52</v>
      </c>
    </row>
    <row r="144" spans="1:7" ht="12.75">
      <c r="A144" t="str">
        <f ca="1">IFERROR(__xludf.DUMMYFUNCTION("""COMPUTED_VALUE"""),"T139")</f>
        <v>T139</v>
      </c>
      <c r="B144" t="str">
        <f ca="1">IFERROR(__xludf.DUMMYFUNCTION("""COMPUTED_VALUE"""),"T140")</f>
        <v>T140</v>
      </c>
      <c r="C144" t="str">
        <f ca="1">IFERROR(__xludf.DUMMYFUNCTION("""COMPUTED_VALUE"""),"Joseph Bramlett")</f>
        <v>Joseph Bramlett</v>
      </c>
      <c r="D144">
        <f ca="1">IFERROR(__xludf.DUMMYFUNCTION("""COMPUTED_VALUE"""),18)</f>
        <v>18</v>
      </c>
      <c r="E144">
        <f ca="1">IFERROR(__xludf.DUMMYFUNCTION("""COMPUTED_VALUE"""),3.1)</f>
        <v>3.1</v>
      </c>
      <c r="F144">
        <f ca="1">IFERROR(__xludf.DUMMYFUNCTION("""COMPUTED_VALUE"""),223)</f>
        <v>223</v>
      </c>
      <c r="G144">
        <f ca="1">IFERROR(__xludf.DUMMYFUNCTION("""COMPUTED_VALUE"""),72)</f>
        <v>72</v>
      </c>
    </row>
    <row r="145" spans="1:7" ht="12.75">
      <c r="A145" t="str">
        <f ca="1">IFERROR(__xludf.DUMMYFUNCTION("""COMPUTED_VALUE"""),"T139")</f>
        <v>T139</v>
      </c>
      <c r="B145" t="str">
        <f ca="1">IFERROR(__xludf.DUMMYFUNCTION("""COMPUTED_VALUE"""),"T140")</f>
        <v>T140</v>
      </c>
      <c r="C145" t="str">
        <f ca="1">IFERROR(__xludf.DUMMYFUNCTION("""COMPUTED_VALUE"""),"Harris English")</f>
        <v>Harris English</v>
      </c>
      <c r="D145">
        <f ca="1">IFERROR(__xludf.DUMMYFUNCTION("""COMPUTED_VALUE"""),14)</f>
        <v>14</v>
      </c>
      <c r="E145">
        <f ca="1">IFERROR(__xludf.DUMMYFUNCTION("""COMPUTED_VALUE"""),3.1)</f>
        <v>3.1</v>
      </c>
      <c r="F145">
        <f ca="1">IFERROR(__xludf.DUMMYFUNCTION("""COMPUTED_VALUE"""),186)</f>
        <v>186</v>
      </c>
      <c r="G145">
        <f ca="1">IFERROR(__xludf.DUMMYFUNCTION("""COMPUTED_VALUE"""),60)</f>
        <v>60</v>
      </c>
    </row>
    <row r="146" spans="1:7" ht="12.75">
      <c r="A146" t="str">
        <f ca="1">IFERROR(__xludf.DUMMYFUNCTION("""COMPUTED_VALUE"""),"T139")</f>
        <v>T139</v>
      </c>
      <c r="B146" t="str">
        <f ca="1">IFERROR(__xludf.DUMMYFUNCTION("""COMPUTED_VALUE"""),"T140")</f>
        <v>T140</v>
      </c>
      <c r="C146" t="str">
        <f ca="1">IFERROR(__xludf.DUMMYFUNCTION("""COMPUTED_VALUE"""),"Bill Haas")</f>
        <v>Bill Haas</v>
      </c>
      <c r="D146">
        <f ca="1">IFERROR(__xludf.DUMMYFUNCTION("""COMPUTED_VALUE"""),10)</f>
        <v>10</v>
      </c>
      <c r="E146">
        <f ca="1">IFERROR(__xludf.DUMMYFUNCTION("""COMPUTED_VALUE"""),3.1)</f>
        <v>3.1</v>
      </c>
      <c r="F146">
        <f ca="1">IFERROR(__xludf.DUMMYFUNCTION("""COMPUTED_VALUE"""),124)</f>
        <v>124</v>
      </c>
      <c r="G146">
        <f ca="1">IFERROR(__xludf.DUMMYFUNCTION("""COMPUTED_VALUE"""),40)</f>
        <v>40</v>
      </c>
    </row>
    <row r="147" spans="1:7" ht="12.75">
      <c r="A147" t="str">
        <f ca="1">IFERROR(__xludf.DUMMYFUNCTION("""COMPUTED_VALUE"""),"T139")</f>
        <v>T139</v>
      </c>
      <c r="B147" t="str">
        <f ca="1">IFERROR(__xludf.DUMMYFUNCTION("""COMPUTED_VALUE"""),"T140")</f>
        <v>T140</v>
      </c>
      <c r="C147" t="str">
        <f ca="1">IFERROR(__xludf.DUMMYFUNCTION("""COMPUTED_VALUE"""),"Nick Taylor")</f>
        <v>Nick Taylor</v>
      </c>
      <c r="D147">
        <f ca="1">IFERROR(__xludf.DUMMYFUNCTION("""COMPUTED_VALUE"""),12)</f>
        <v>12</v>
      </c>
      <c r="E147">
        <f ca="1">IFERROR(__xludf.DUMMYFUNCTION("""COMPUTED_VALUE"""),3.1)</f>
        <v>3.1</v>
      </c>
      <c r="F147">
        <f ca="1">IFERROR(__xludf.DUMMYFUNCTION("""COMPUTED_VALUE"""),161)</f>
        <v>161</v>
      </c>
      <c r="G147">
        <f ca="1">IFERROR(__xludf.DUMMYFUNCTION("""COMPUTED_VALUE"""),52)</f>
        <v>52</v>
      </c>
    </row>
    <row r="148" spans="1:7" ht="12.75">
      <c r="A148" t="str">
        <f ca="1">IFERROR(__xludf.DUMMYFUNCTION("""COMPUTED_VALUE"""),"T139")</f>
        <v>T139</v>
      </c>
      <c r="B148" t="str">
        <f ca="1">IFERROR(__xludf.DUMMYFUNCTION("""COMPUTED_VALUE"""),"T140")</f>
        <v>T140</v>
      </c>
      <c r="C148" t="str">
        <f ca="1">IFERROR(__xludf.DUMMYFUNCTION("""COMPUTED_VALUE"""),"Jim Herman")</f>
        <v>Jim Herman</v>
      </c>
      <c r="D148">
        <f ca="1">IFERROR(__xludf.DUMMYFUNCTION("""COMPUTED_VALUE"""),12)</f>
        <v>12</v>
      </c>
      <c r="E148">
        <f ca="1">IFERROR(__xludf.DUMMYFUNCTION("""COMPUTED_VALUE"""),3.1)</f>
        <v>3.1</v>
      </c>
      <c r="F148">
        <f ca="1">IFERROR(__xludf.DUMMYFUNCTION("""COMPUTED_VALUE"""),161)</f>
        <v>161</v>
      </c>
      <c r="G148">
        <f ca="1">IFERROR(__xludf.DUMMYFUNCTION("""COMPUTED_VALUE"""),52)</f>
        <v>52</v>
      </c>
    </row>
    <row r="149" spans="1:7" ht="12.75">
      <c r="A149" t="str">
        <f ca="1">IFERROR(__xludf.DUMMYFUNCTION("""COMPUTED_VALUE"""),"T139")</f>
        <v>T139</v>
      </c>
      <c r="B149" t="str">
        <f ca="1">IFERROR(__xludf.DUMMYFUNCTION("""COMPUTED_VALUE"""),"T94")</f>
        <v>T94</v>
      </c>
      <c r="C149" t="str">
        <f ca="1">IFERROR(__xludf.DUMMYFUNCTION("""COMPUTED_VALUE"""),"Nate Lashley")</f>
        <v>Nate Lashley</v>
      </c>
      <c r="D149">
        <f ca="1">IFERROR(__xludf.DUMMYFUNCTION("""COMPUTED_VALUE"""),16)</f>
        <v>16</v>
      </c>
      <c r="E149">
        <f ca="1">IFERROR(__xludf.DUMMYFUNCTION("""COMPUTED_VALUE"""),3.1)</f>
        <v>3.1</v>
      </c>
      <c r="F149">
        <f ca="1">IFERROR(__xludf.DUMMYFUNCTION("""COMPUTED_VALUE"""),211)</f>
        <v>211</v>
      </c>
      <c r="G149">
        <f ca="1">IFERROR(__xludf.DUMMYFUNCTION("""COMPUTED_VALUE"""),68)</f>
        <v>68</v>
      </c>
    </row>
    <row r="150" spans="1:7" ht="12.75">
      <c r="A150" t="str">
        <f ca="1">IFERROR(__xludf.DUMMYFUNCTION("""COMPUTED_VALUE"""),"T139")</f>
        <v>T139</v>
      </c>
      <c r="B150" t="str">
        <f ca="1">IFERROR(__xludf.DUMMYFUNCTION("""COMPUTED_VALUE"""),"T161")</f>
        <v>T161</v>
      </c>
      <c r="C150" t="str">
        <f ca="1">IFERROR(__xludf.DUMMYFUNCTION("""COMPUTED_VALUE"""),"Brandt Snedeker")</f>
        <v>Brandt Snedeker</v>
      </c>
      <c r="D150">
        <f ca="1">IFERROR(__xludf.DUMMYFUNCTION("""COMPUTED_VALUE"""),16)</f>
        <v>16</v>
      </c>
      <c r="E150">
        <f ca="1">IFERROR(__xludf.DUMMYFUNCTION("""COMPUTED_VALUE"""),3.1)</f>
        <v>3.1</v>
      </c>
      <c r="F150">
        <f ca="1">IFERROR(__xludf.DUMMYFUNCTION("""COMPUTED_VALUE"""),211)</f>
        <v>211</v>
      </c>
      <c r="G150">
        <f ca="1">IFERROR(__xludf.DUMMYFUNCTION("""COMPUTED_VALUE"""),68)</f>
        <v>68</v>
      </c>
    </row>
    <row r="151" spans="1:7" ht="12.75">
      <c r="A151" t="str">
        <f ca="1">IFERROR(__xludf.DUMMYFUNCTION("""COMPUTED_VALUE"""),"T150")</f>
        <v>T150</v>
      </c>
      <c r="B151" t="str">
        <f ca="1">IFERROR(__xludf.DUMMYFUNCTION("""COMPUTED_VALUE"""),"T130")</f>
        <v>T130</v>
      </c>
      <c r="C151" t="str">
        <f ca="1">IFERROR(__xludf.DUMMYFUNCTION("""COMPUTED_VALUE"""),"Graham DeLaet")</f>
        <v>Graham DeLaet</v>
      </c>
      <c r="D151">
        <f ca="1">IFERROR(__xludf.DUMMYFUNCTION("""COMPUTED_VALUE"""),9)</f>
        <v>9</v>
      </c>
      <c r="E151">
        <f ca="1">IFERROR(__xludf.DUMMYFUNCTION("""COMPUTED_VALUE"""),3.11)</f>
        <v>3.11</v>
      </c>
      <c r="F151">
        <f ca="1">IFERROR(__xludf.DUMMYFUNCTION("""COMPUTED_VALUE"""),115)</f>
        <v>115</v>
      </c>
      <c r="G151">
        <f ca="1">IFERROR(__xludf.DUMMYFUNCTION("""COMPUTED_VALUE"""),37)</f>
        <v>37</v>
      </c>
    </row>
    <row r="152" spans="1:7" ht="12.75">
      <c r="A152" t="str">
        <f ca="1">IFERROR(__xludf.DUMMYFUNCTION("""COMPUTED_VALUE"""),"T150")</f>
        <v>T150</v>
      </c>
      <c r="B152" t="str">
        <f ca="1">IFERROR(__xludf.DUMMYFUNCTION("""COMPUTED_VALUE"""),"T179")</f>
        <v>T179</v>
      </c>
      <c r="C152" t="str">
        <f ca="1">IFERROR(__xludf.DUMMYFUNCTION("""COMPUTED_VALUE"""),"Jason Day")</f>
        <v>Jason Day</v>
      </c>
      <c r="D152">
        <f ca="1">IFERROR(__xludf.DUMMYFUNCTION("""COMPUTED_VALUE"""),17)</f>
        <v>17</v>
      </c>
      <c r="E152">
        <f ca="1">IFERROR(__xludf.DUMMYFUNCTION("""COMPUTED_VALUE"""),3.11)</f>
        <v>3.11</v>
      </c>
      <c r="F152">
        <f ca="1">IFERROR(__xludf.DUMMYFUNCTION("""COMPUTED_VALUE"""),236)</f>
        <v>236</v>
      </c>
      <c r="G152">
        <f ca="1">IFERROR(__xludf.DUMMYFUNCTION("""COMPUTED_VALUE"""),76)</f>
        <v>76</v>
      </c>
    </row>
    <row r="153" spans="1:7" ht="12.75">
      <c r="A153" t="str">
        <f ca="1">IFERROR(__xludf.DUMMYFUNCTION("""COMPUTED_VALUE"""),"T150")</f>
        <v>T150</v>
      </c>
      <c r="B153" t="str">
        <f ca="1">IFERROR(__xludf.DUMMYFUNCTION("""COMPUTED_VALUE"""),"T106")</f>
        <v>T106</v>
      </c>
      <c r="C153" t="str">
        <f ca="1">IFERROR(__xludf.DUMMYFUNCTION("""COMPUTED_VALUE"""),"Danny Lee")</f>
        <v>Danny Lee</v>
      </c>
      <c r="D153">
        <f ca="1">IFERROR(__xludf.DUMMYFUNCTION("""COMPUTED_VALUE"""),15)</f>
        <v>15</v>
      </c>
      <c r="E153">
        <f ca="1">IFERROR(__xludf.DUMMYFUNCTION("""COMPUTED_VALUE"""),3.11)</f>
        <v>3.11</v>
      </c>
      <c r="F153">
        <f ca="1">IFERROR(__xludf.DUMMYFUNCTION("""COMPUTED_VALUE"""),205)</f>
        <v>205</v>
      </c>
      <c r="G153">
        <f ca="1">IFERROR(__xludf.DUMMYFUNCTION("""COMPUTED_VALUE"""),66)</f>
        <v>66</v>
      </c>
    </row>
    <row r="154" spans="1:7" ht="12.75">
      <c r="A154" t="str">
        <f ca="1">IFERROR(__xludf.DUMMYFUNCTION("""COMPUTED_VALUE"""),"T150")</f>
        <v>T150</v>
      </c>
      <c r="B154" t="str">
        <f ca="1">IFERROR(__xludf.DUMMYFUNCTION("""COMPUTED_VALUE"""),"T153")</f>
        <v>T153</v>
      </c>
      <c r="C154" t="str">
        <f ca="1">IFERROR(__xludf.DUMMYFUNCTION("""COMPUTED_VALUE"""),"Tiger Woods")</f>
        <v>Tiger Woods</v>
      </c>
      <c r="D154">
        <f ca="1">IFERROR(__xludf.DUMMYFUNCTION("""COMPUTED_VALUE"""),6)</f>
        <v>6</v>
      </c>
      <c r="E154">
        <f ca="1">IFERROR(__xludf.DUMMYFUNCTION("""COMPUTED_VALUE"""),3.11)</f>
        <v>3.11</v>
      </c>
      <c r="F154">
        <f ca="1">IFERROR(__xludf.DUMMYFUNCTION("""COMPUTED_VALUE"""),87)</f>
        <v>87</v>
      </c>
      <c r="G154">
        <f ca="1">IFERROR(__xludf.DUMMYFUNCTION("""COMPUTED_VALUE"""),28)</f>
        <v>28</v>
      </c>
    </row>
    <row r="155" spans="1:7" ht="12.75">
      <c r="A155" t="str">
        <f ca="1">IFERROR(__xludf.DUMMYFUNCTION("""COMPUTED_VALUE"""),"T150")</f>
        <v>T150</v>
      </c>
      <c r="B155" t="str">
        <f ca="1">IFERROR(__xludf.DUMMYFUNCTION("""COMPUTED_VALUE"""),"T130")</f>
        <v>T130</v>
      </c>
      <c r="C155" t="str">
        <f ca="1">IFERROR(__xludf.DUMMYFUNCTION("""COMPUTED_VALUE"""),"Patrick Rodgers")</f>
        <v>Patrick Rodgers</v>
      </c>
      <c r="D155">
        <f ca="1">IFERROR(__xludf.DUMMYFUNCTION("""COMPUTED_VALUE"""),18)</f>
        <v>18</v>
      </c>
      <c r="E155">
        <f ca="1">IFERROR(__xludf.DUMMYFUNCTION("""COMPUTED_VALUE"""),3.11)</f>
        <v>3.11</v>
      </c>
      <c r="F155">
        <f ca="1">IFERROR(__xludf.DUMMYFUNCTION("""COMPUTED_VALUE"""),230)</f>
        <v>230</v>
      </c>
      <c r="G155">
        <f ca="1">IFERROR(__xludf.DUMMYFUNCTION("""COMPUTED_VALUE"""),74)</f>
        <v>74</v>
      </c>
    </row>
    <row r="156" spans="1:7" ht="12.75">
      <c r="A156" t="str">
        <f ca="1">IFERROR(__xludf.DUMMYFUNCTION("""COMPUTED_VALUE"""),"T150")</f>
        <v>T150</v>
      </c>
      <c r="B156" t="str">
        <f ca="1">IFERROR(__xludf.DUMMYFUNCTION("""COMPUTED_VALUE"""),"T204")</f>
        <v>T204</v>
      </c>
      <c r="C156" t="str">
        <f ca="1">IFERROR(__xludf.DUMMYFUNCTION("""COMPUTED_VALUE"""),"Isaiah Salinda")</f>
        <v>Isaiah Salinda</v>
      </c>
      <c r="D156">
        <f ca="1">IFERROR(__xludf.DUMMYFUNCTION("""COMPUTED_VALUE"""),8)</f>
        <v>8</v>
      </c>
      <c r="E156">
        <f ca="1">IFERROR(__xludf.DUMMYFUNCTION("""COMPUTED_VALUE"""),3.11)</f>
        <v>3.11</v>
      </c>
      <c r="F156">
        <f ca="1">IFERROR(__xludf.DUMMYFUNCTION("""COMPUTED_VALUE"""),112)</f>
        <v>112</v>
      </c>
      <c r="G156">
        <f ca="1">IFERROR(__xludf.DUMMYFUNCTION("""COMPUTED_VALUE"""),36)</f>
        <v>36</v>
      </c>
    </row>
    <row r="157" spans="1:7" ht="12.75">
      <c r="A157" t="str">
        <f ca="1">IFERROR(__xludf.DUMMYFUNCTION("""COMPUTED_VALUE"""),"T156")</f>
        <v>T156</v>
      </c>
      <c r="B157" t="str">
        <f ca="1">IFERROR(__xludf.DUMMYFUNCTION("""COMPUTED_VALUE"""),"T155")</f>
        <v>T155</v>
      </c>
      <c r="C157" t="str">
        <f ca="1">IFERROR(__xludf.DUMMYFUNCTION("""COMPUTED_VALUE"""),"Daniel Berger")</f>
        <v>Daniel Berger</v>
      </c>
      <c r="D157">
        <f ca="1">IFERROR(__xludf.DUMMYFUNCTION("""COMPUTED_VALUE"""),12)</f>
        <v>12</v>
      </c>
      <c r="E157">
        <f ca="1">IFERROR(__xludf.DUMMYFUNCTION("""COMPUTED_VALUE"""),3.12)</f>
        <v>3.12</v>
      </c>
      <c r="F157">
        <f ca="1">IFERROR(__xludf.DUMMYFUNCTION("""COMPUTED_VALUE"""),162)</f>
        <v>162</v>
      </c>
      <c r="G157">
        <f ca="1">IFERROR(__xludf.DUMMYFUNCTION("""COMPUTED_VALUE"""),52)</f>
        <v>52</v>
      </c>
    </row>
    <row r="158" spans="1:7" ht="12.75">
      <c r="A158" t="str">
        <f ca="1">IFERROR(__xludf.DUMMYFUNCTION("""COMPUTED_VALUE"""),"T156")</f>
        <v>T156</v>
      </c>
      <c r="B158" t="str">
        <f ca="1">IFERROR(__xludf.DUMMYFUNCTION("""COMPUTED_VALUE"""),"T140")</f>
        <v>T140</v>
      </c>
      <c r="C158" t="str">
        <f ca="1">IFERROR(__xludf.DUMMYFUNCTION("""COMPUTED_VALUE"""),"Sam Ryder")</f>
        <v>Sam Ryder</v>
      </c>
      <c r="D158">
        <f ca="1">IFERROR(__xludf.DUMMYFUNCTION("""COMPUTED_VALUE"""),12)</f>
        <v>12</v>
      </c>
      <c r="E158">
        <f ca="1">IFERROR(__xludf.DUMMYFUNCTION("""COMPUTED_VALUE"""),3.12)</f>
        <v>3.12</v>
      </c>
      <c r="F158">
        <f ca="1">IFERROR(__xludf.DUMMYFUNCTION("""COMPUTED_VALUE"""),156)</f>
        <v>156</v>
      </c>
      <c r="G158">
        <f ca="1">IFERROR(__xludf.DUMMYFUNCTION("""COMPUTED_VALUE"""),50)</f>
        <v>50</v>
      </c>
    </row>
    <row r="159" spans="1:7" ht="12.75">
      <c r="A159" t="str">
        <f ca="1">IFERROR(__xludf.DUMMYFUNCTION("""COMPUTED_VALUE"""),"T156")</f>
        <v>T156</v>
      </c>
      <c r="B159" t="str">
        <f ca="1">IFERROR(__xludf.DUMMYFUNCTION("""COMPUTED_VALUE"""),"T111")</f>
        <v>T111</v>
      </c>
      <c r="C159" t="str">
        <f ca="1">IFERROR(__xludf.DUMMYFUNCTION("""COMPUTED_VALUE"""),"Keith Mitchell")</f>
        <v>Keith Mitchell</v>
      </c>
      <c r="D159">
        <f ca="1">IFERROR(__xludf.DUMMYFUNCTION("""COMPUTED_VALUE"""),14)</f>
        <v>14</v>
      </c>
      <c r="E159">
        <f ca="1">IFERROR(__xludf.DUMMYFUNCTION("""COMPUTED_VALUE"""),3.12)</f>
        <v>3.12</v>
      </c>
      <c r="F159">
        <f ca="1">IFERROR(__xludf.DUMMYFUNCTION("""COMPUTED_VALUE"""),181)</f>
        <v>181</v>
      </c>
      <c r="G159">
        <f ca="1">IFERROR(__xludf.DUMMYFUNCTION("""COMPUTED_VALUE"""),58)</f>
        <v>58</v>
      </c>
    </row>
    <row r="160" spans="1:7" ht="12.75">
      <c r="A160" t="str">
        <f ca="1">IFERROR(__xludf.DUMMYFUNCTION("""COMPUTED_VALUE"""),"T156")</f>
        <v>T156</v>
      </c>
      <c r="B160" t="str">
        <f ca="1">IFERROR(__xludf.DUMMYFUNCTION("""COMPUTED_VALUE"""),"T67")</f>
        <v>T67</v>
      </c>
      <c r="C160" t="str">
        <f ca="1">IFERROR(__xludf.DUMMYFUNCTION("""COMPUTED_VALUE"""),"Matthew NeSmith")</f>
        <v>Matthew NeSmith</v>
      </c>
      <c r="D160">
        <f ca="1">IFERROR(__xludf.DUMMYFUNCTION("""COMPUTED_VALUE"""),16)</f>
        <v>16</v>
      </c>
      <c r="E160">
        <f ca="1">IFERROR(__xludf.DUMMYFUNCTION("""COMPUTED_VALUE"""),3.12)</f>
        <v>3.12</v>
      </c>
      <c r="F160">
        <f ca="1">IFERROR(__xludf.DUMMYFUNCTION("""COMPUTED_VALUE"""),206)</f>
        <v>206</v>
      </c>
      <c r="G160">
        <f ca="1">IFERROR(__xludf.DUMMYFUNCTION("""COMPUTED_VALUE"""),66)</f>
        <v>66</v>
      </c>
    </row>
    <row r="161" spans="1:7" ht="12.75">
      <c r="A161" t="str">
        <f ca="1">IFERROR(__xludf.DUMMYFUNCTION("""COMPUTED_VALUE"""),"T156")</f>
        <v>T156</v>
      </c>
      <c r="B161" t="str">
        <f ca="1">IFERROR(__xludf.DUMMYFUNCTION("""COMPUTED_VALUE"""),"T155")</f>
        <v>T155</v>
      </c>
      <c r="C161" t="str">
        <f ca="1">IFERROR(__xludf.DUMMYFUNCTION("""COMPUTED_VALUE"""),"Cameron Smith")</f>
        <v>Cameron Smith</v>
      </c>
      <c r="D161">
        <f ca="1">IFERROR(__xludf.DUMMYFUNCTION("""COMPUTED_VALUE"""),16)</f>
        <v>16</v>
      </c>
      <c r="E161">
        <f ca="1">IFERROR(__xludf.DUMMYFUNCTION("""COMPUTED_VALUE"""),3.12)</f>
        <v>3.12</v>
      </c>
      <c r="F161">
        <f ca="1">IFERROR(__xludf.DUMMYFUNCTION("""COMPUTED_VALUE"""),212)</f>
        <v>212</v>
      </c>
      <c r="G161">
        <f ca="1">IFERROR(__xludf.DUMMYFUNCTION("""COMPUTED_VALUE"""),68)</f>
        <v>68</v>
      </c>
    </row>
    <row r="162" spans="1:7" ht="12.75">
      <c r="A162" t="str">
        <f ca="1">IFERROR(__xludf.DUMMYFUNCTION("""COMPUTED_VALUE"""),"T156")</f>
        <v>T156</v>
      </c>
      <c r="B162" t="str">
        <f ca="1">IFERROR(__xludf.DUMMYFUNCTION("""COMPUTED_VALUE"""),"T140")</f>
        <v>T140</v>
      </c>
      <c r="C162" t="str">
        <f ca="1">IFERROR(__xludf.DUMMYFUNCTION("""COMPUTED_VALUE"""),"Tom Lewis")</f>
        <v>Tom Lewis</v>
      </c>
      <c r="D162">
        <f ca="1">IFERROR(__xludf.DUMMYFUNCTION("""COMPUTED_VALUE"""),12)</f>
        <v>12</v>
      </c>
      <c r="E162">
        <f ca="1">IFERROR(__xludf.DUMMYFUNCTION("""COMPUTED_VALUE"""),3.12)</f>
        <v>3.12</v>
      </c>
      <c r="F162">
        <f ca="1">IFERROR(__xludf.DUMMYFUNCTION("""COMPUTED_VALUE"""),156)</f>
        <v>156</v>
      </c>
      <c r="G162">
        <f ca="1">IFERROR(__xludf.DUMMYFUNCTION("""COMPUTED_VALUE"""),50)</f>
        <v>50</v>
      </c>
    </row>
    <row r="163" spans="1:7" ht="12.75">
      <c r="A163" t="str">
        <f ca="1">IFERROR(__xludf.DUMMYFUNCTION("""COMPUTED_VALUE"""),"T156")</f>
        <v>T156</v>
      </c>
      <c r="B163" t="str">
        <f ca="1">IFERROR(__xludf.DUMMYFUNCTION("""COMPUTED_VALUE"""),"T155")</f>
        <v>T155</v>
      </c>
      <c r="C163" t="str">
        <f ca="1">IFERROR(__xludf.DUMMYFUNCTION("""COMPUTED_VALUE"""),"Ryan Palmer")</f>
        <v>Ryan Palmer</v>
      </c>
      <c r="D163">
        <f ca="1">IFERROR(__xludf.DUMMYFUNCTION("""COMPUTED_VALUE"""),14)</f>
        <v>14</v>
      </c>
      <c r="E163">
        <f ca="1">IFERROR(__xludf.DUMMYFUNCTION("""COMPUTED_VALUE"""),3.12)</f>
        <v>3.12</v>
      </c>
      <c r="F163">
        <f ca="1">IFERROR(__xludf.DUMMYFUNCTION("""COMPUTED_VALUE"""),187)</f>
        <v>187</v>
      </c>
      <c r="G163">
        <f ca="1">IFERROR(__xludf.DUMMYFUNCTION("""COMPUTED_VALUE"""),60)</f>
        <v>60</v>
      </c>
    </row>
    <row r="164" spans="1:7" ht="12.75">
      <c r="A164" t="str">
        <f ca="1">IFERROR(__xludf.DUMMYFUNCTION("""COMPUTED_VALUE"""),"T156")</f>
        <v>T156</v>
      </c>
      <c r="B164" t="str">
        <f ca="1">IFERROR(__xludf.DUMMYFUNCTION("""COMPUTED_VALUE"""),"T161")</f>
        <v>T161</v>
      </c>
      <c r="C164" t="str">
        <f ca="1">IFERROR(__xludf.DUMMYFUNCTION("""COMPUTED_VALUE"""),"Charl Schwartzel")</f>
        <v>Charl Schwartzel</v>
      </c>
      <c r="D164">
        <f ca="1">IFERROR(__xludf.DUMMYFUNCTION("""COMPUTED_VALUE"""),12)</f>
        <v>12</v>
      </c>
      <c r="E164">
        <f ca="1">IFERROR(__xludf.DUMMYFUNCTION("""COMPUTED_VALUE"""),3.12)</f>
        <v>3.12</v>
      </c>
      <c r="F164">
        <f ca="1">IFERROR(__xludf.DUMMYFUNCTION("""COMPUTED_VALUE"""),156)</f>
        <v>156</v>
      </c>
      <c r="G164">
        <f ca="1">IFERROR(__xludf.DUMMYFUNCTION("""COMPUTED_VALUE"""),50)</f>
        <v>50</v>
      </c>
    </row>
    <row r="165" spans="1:7" ht="12.75">
      <c r="A165" t="str">
        <f ca="1">IFERROR(__xludf.DUMMYFUNCTION("""COMPUTED_VALUE"""),"T156")</f>
        <v>T156</v>
      </c>
      <c r="B165" t="str">
        <f ca="1">IFERROR(__xludf.DUMMYFUNCTION("""COMPUTED_VALUE"""),"T155")</f>
        <v>T155</v>
      </c>
      <c r="C165" t="str">
        <f ca="1">IFERROR(__xludf.DUMMYFUNCTION("""COMPUTED_VALUE"""),"Billy Horschel")</f>
        <v>Billy Horschel</v>
      </c>
      <c r="D165">
        <f ca="1">IFERROR(__xludf.DUMMYFUNCTION("""COMPUTED_VALUE"""),12)</f>
        <v>12</v>
      </c>
      <c r="E165">
        <f ca="1">IFERROR(__xludf.DUMMYFUNCTION("""COMPUTED_VALUE"""),3.12)</f>
        <v>3.12</v>
      </c>
      <c r="F165">
        <f ca="1">IFERROR(__xludf.DUMMYFUNCTION("""COMPUTED_VALUE"""),162)</f>
        <v>162</v>
      </c>
      <c r="G165">
        <f ca="1">IFERROR(__xludf.DUMMYFUNCTION("""COMPUTED_VALUE"""),52)</f>
        <v>52</v>
      </c>
    </row>
    <row r="166" spans="1:7" ht="12.75">
      <c r="A166" t="str">
        <f ca="1">IFERROR(__xludf.DUMMYFUNCTION("""COMPUTED_VALUE"""),"T156")</f>
        <v>T156</v>
      </c>
      <c r="B166" t="str">
        <f ca="1">IFERROR(__xludf.DUMMYFUNCTION("""COMPUTED_VALUE"""),"T140")</f>
        <v>T140</v>
      </c>
      <c r="C166" t="str">
        <f ca="1">IFERROR(__xludf.DUMMYFUNCTION("""COMPUTED_VALUE"""),"Sung Kang")</f>
        <v>Sung Kang</v>
      </c>
      <c r="D166">
        <f ca="1">IFERROR(__xludf.DUMMYFUNCTION("""COMPUTED_VALUE"""),14)</f>
        <v>14</v>
      </c>
      <c r="E166">
        <f ca="1">IFERROR(__xludf.DUMMYFUNCTION("""COMPUTED_VALUE"""),3.12)</f>
        <v>3.12</v>
      </c>
      <c r="F166">
        <f ca="1">IFERROR(__xludf.DUMMYFUNCTION("""COMPUTED_VALUE"""),181)</f>
        <v>181</v>
      </c>
      <c r="G166">
        <f ca="1">IFERROR(__xludf.DUMMYFUNCTION("""COMPUTED_VALUE"""),58)</f>
        <v>58</v>
      </c>
    </row>
    <row r="167" spans="1:7" ht="12.75">
      <c r="A167" t="str">
        <f ca="1">IFERROR(__xludf.DUMMYFUNCTION("""COMPUTED_VALUE"""),"T156")</f>
        <v>T156</v>
      </c>
      <c r="B167" t="str">
        <f ca="1">IFERROR(__xludf.DUMMYFUNCTION("""COMPUTED_VALUE"""),"T184")</f>
        <v>T184</v>
      </c>
      <c r="C167" t="str">
        <f ca="1">IFERROR(__xludf.DUMMYFUNCTION("""COMPUTED_VALUE"""),"Camilo Villegas")</f>
        <v>Camilo Villegas</v>
      </c>
      <c r="D167">
        <f ca="1">IFERROR(__xludf.DUMMYFUNCTION("""COMPUTED_VALUE"""),14)</f>
        <v>14</v>
      </c>
      <c r="E167">
        <f ca="1">IFERROR(__xludf.DUMMYFUNCTION("""COMPUTED_VALUE"""),3.12)</f>
        <v>3.12</v>
      </c>
      <c r="F167">
        <f ca="1">IFERROR(__xludf.DUMMYFUNCTION("""COMPUTED_VALUE"""),181)</f>
        <v>181</v>
      </c>
      <c r="G167">
        <f ca="1">IFERROR(__xludf.DUMMYFUNCTION("""COMPUTED_VALUE"""),58)</f>
        <v>58</v>
      </c>
    </row>
    <row r="168" spans="1:7" ht="12.75">
      <c r="A168" t="str">
        <f ca="1">IFERROR(__xludf.DUMMYFUNCTION("""COMPUTED_VALUE"""),"T156")</f>
        <v>T156</v>
      </c>
      <c r="B168" t="str">
        <f ca="1">IFERROR(__xludf.DUMMYFUNCTION("""COMPUTED_VALUE"""),"T155")</f>
        <v>T155</v>
      </c>
      <c r="C168" t="str">
        <f ca="1">IFERROR(__xludf.DUMMYFUNCTION("""COMPUTED_VALUE"""),"Brendon Todd")</f>
        <v>Brendon Todd</v>
      </c>
      <c r="D168">
        <f ca="1">IFERROR(__xludf.DUMMYFUNCTION("""COMPUTED_VALUE"""),14)</f>
        <v>14</v>
      </c>
      <c r="E168">
        <f ca="1">IFERROR(__xludf.DUMMYFUNCTION("""COMPUTED_VALUE"""),3.12)</f>
        <v>3.12</v>
      </c>
      <c r="F168">
        <f ca="1">IFERROR(__xludf.DUMMYFUNCTION("""COMPUTED_VALUE"""),187)</f>
        <v>187</v>
      </c>
      <c r="G168">
        <f ca="1">IFERROR(__xludf.DUMMYFUNCTION("""COMPUTED_VALUE"""),60)</f>
        <v>60</v>
      </c>
    </row>
    <row r="169" spans="1:7" ht="12.75">
      <c r="A169" t="str">
        <f ca="1">IFERROR(__xludf.DUMMYFUNCTION("""COMPUTED_VALUE"""),"T168")</f>
        <v>T168</v>
      </c>
      <c r="B169" t="str">
        <f ca="1">IFERROR(__xludf.DUMMYFUNCTION("""COMPUTED_VALUE"""),"T161")</f>
        <v>T161</v>
      </c>
      <c r="C169" t="str">
        <f ca="1">IFERROR(__xludf.DUMMYFUNCTION("""COMPUTED_VALUE"""),"Rhein Gibson")</f>
        <v>Rhein Gibson</v>
      </c>
      <c r="D169">
        <f ca="1">IFERROR(__xludf.DUMMYFUNCTION("""COMPUTED_VALUE"""),10)</f>
        <v>10</v>
      </c>
      <c r="E169">
        <f ca="1">IFERROR(__xludf.DUMMYFUNCTION("""COMPUTED_VALUE"""),3.13)</f>
        <v>3.13</v>
      </c>
      <c r="F169">
        <f ca="1">IFERROR(__xludf.DUMMYFUNCTION("""COMPUTED_VALUE"""),125)</f>
        <v>125</v>
      </c>
      <c r="G169">
        <f ca="1">IFERROR(__xludf.DUMMYFUNCTION("""COMPUTED_VALUE"""),40)</f>
        <v>40</v>
      </c>
    </row>
    <row r="170" spans="1:7" ht="12.75">
      <c r="A170" t="str">
        <f ca="1">IFERROR(__xludf.DUMMYFUNCTION("""COMPUTED_VALUE"""),"T168")</f>
        <v>T168</v>
      </c>
      <c r="B170" t="str">
        <f ca="1">IFERROR(__xludf.DUMMYFUNCTION("""COMPUTED_VALUE"""),"T161")</f>
        <v>T161</v>
      </c>
      <c r="C170" t="str">
        <f ca="1">IFERROR(__xludf.DUMMYFUNCTION("""COMPUTED_VALUE"""),"Ryan Brehm")</f>
        <v>Ryan Brehm</v>
      </c>
      <c r="D170">
        <f ca="1">IFERROR(__xludf.DUMMYFUNCTION("""COMPUTED_VALUE"""),10)</f>
        <v>10</v>
      </c>
      <c r="E170">
        <f ca="1">IFERROR(__xludf.DUMMYFUNCTION("""COMPUTED_VALUE"""),3.13)</f>
        <v>3.13</v>
      </c>
      <c r="F170">
        <f ca="1">IFERROR(__xludf.DUMMYFUNCTION("""COMPUTED_VALUE"""),125)</f>
        <v>125</v>
      </c>
      <c r="G170">
        <f ca="1">IFERROR(__xludf.DUMMYFUNCTION("""COMPUTED_VALUE"""),40)</f>
        <v>40</v>
      </c>
    </row>
    <row r="171" spans="1:7" ht="12.75">
      <c r="A171" t="str">
        <f ca="1">IFERROR(__xludf.DUMMYFUNCTION("""COMPUTED_VALUE"""),"T168")</f>
        <v>T168</v>
      </c>
      <c r="B171" t="str">
        <f ca="1">IFERROR(__xludf.DUMMYFUNCTION("""COMPUTED_VALUE"""),"T161")</f>
        <v>T161</v>
      </c>
      <c r="C171" t="str">
        <f ca="1">IFERROR(__xludf.DUMMYFUNCTION("""COMPUTED_VALUE"""),"Louis Oosthuizen")</f>
        <v>Louis Oosthuizen</v>
      </c>
      <c r="D171">
        <f ca="1">IFERROR(__xludf.DUMMYFUNCTION("""COMPUTED_VALUE"""),12)</f>
        <v>12</v>
      </c>
      <c r="E171">
        <f ca="1">IFERROR(__xludf.DUMMYFUNCTION("""COMPUTED_VALUE"""),3.13)</f>
        <v>3.13</v>
      </c>
      <c r="F171">
        <f ca="1">IFERROR(__xludf.DUMMYFUNCTION("""COMPUTED_VALUE"""),150)</f>
        <v>150</v>
      </c>
      <c r="G171">
        <f ca="1">IFERROR(__xludf.DUMMYFUNCTION("""COMPUTED_VALUE"""),48)</f>
        <v>48</v>
      </c>
    </row>
    <row r="172" spans="1:7" ht="12.75">
      <c r="A172" t="str">
        <f ca="1">IFERROR(__xludf.DUMMYFUNCTION("""COMPUTED_VALUE"""),"T168")</f>
        <v>T168</v>
      </c>
      <c r="B172" t="str">
        <f ca="1">IFERROR(__xludf.DUMMYFUNCTION("""COMPUTED_VALUE"""),"T161")</f>
        <v>T161</v>
      </c>
      <c r="C172" t="str">
        <f ca="1">IFERROR(__xludf.DUMMYFUNCTION("""COMPUTED_VALUE"""),"Tim Wilkinson")</f>
        <v>Tim Wilkinson</v>
      </c>
      <c r="D172">
        <f ca="1">IFERROR(__xludf.DUMMYFUNCTION("""COMPUTED_VALUE"""),12)</f>
        <v>12</v>
      </c>
      <c r="E172">
        <f ca="1">IFERROR(__xludf.DUMMYFUNCTION("""COMPUTED_VALUE"""),3.13)</f>
        <v>3.13</v>
      </c>
      <c r="F172">
        <f ca="1">IFERROR(__xludf.DUMMYFUNCTION("""COMPUTED_VALUE"""),150)</f>
        <v>150</v>
      </c>
      <c r="G172">
        <f ca="1">IFERROR(__xludf.DUMMYFUNCTION("""COMPUTED_VALUE"""),48)</f>
        <v>48</v>
      </c>
    </row>
    <row r="173" spans="1:7" ht="12.75">
      <c r="A173" t="str">
        <f ca="1">IFERROR(__xludf.DUMMYFUNCTION("""COMPUTED_VALUE"""),"T168")</f>
        <v>T168</v>
      </c>
      <c r="B173" t="str">
        <f ca="1">IFERROR(__xludf.DUMMYFUNCTION("""COMPUTED_VALUE"""),"T111")</f>
        <v>T111</v>
      </c>
      <c r="C173" t="str">
        <f ca="1">IFERROR(__xludf.DUMMYFUNCTION("""COMPUTED_VALUE"""),"Henrik Stenson")</f>
        <v>Henrik Stenson</v>
      </c>
      <c r="D173">
        <f ca="1">IFERROR(__xludf.DUMMYFUNCTION("""COMPUTED_VALUE"""),11)</f>
        <v>11</v>
      </c>
      <c r="E173">
        <f ca="1">IFERROR(__xludf.DUMMYFUNCTION("""COMPUTED_VALUE"""),3.13)</f>
        <v>3.13</v>
      </c>
      <c r="F173">
        <f ca="1">IFERROR(__xludf.DUMMYFUNCTION("""COMPUTED_VALUE"""),144)</f>
        <v>144</v>
      </c>
      <c r="G173">
        <f ca="1">IFERROR(__xludf.DUMMYFUNCTION("""COMPUTED_VALUE"""),46)</f>
        <v>46</v>
      </c>
    </row>
    <row r="174" spans="1:7" ht="12.75">
      <c r="A174" t="str">
        <f ca="1">IFERROR(__xludf.DUMMYFUNCTION("""COMPUTED_VALUE"""),"T168")</f>
        <v>T168</v>
      </c>
      <c r="B174" t="str">
        <f ca="1">IFERROR(__xludf.DUMMYFUNCTION("""COMPUTED_VALUE"""),"T161")</f>
        <v>T161</v>
      </c>
      <c r="C174" t="str">
        <f ca="1">IFERROR(__xludf.DUMMYFUNCTION("""COMPUTED_VALUE"""),"Parker McLachlin")</f>
        <v>Parker McLachlin</v>
      </c>
      <c r="D174">
        <f ca="1">IFERROR(__xludf.DUMMYFUNCTION("""COMPUTED_VALUE"""),4)</f>
        <v>4</v>
      </c>
      <c r="E174">
        <f ca="1">IFERROR(__xludf.DUMMYFUNCTION("""COMPUTED_VALUE"""),3.13)</f>
        <v>3.13</v>
      </c>
      <c r="F174">
        <f ca="1">IFERROR(__xludf.DUMMYFUNCTION("""COMPUTED_VALUE"""),50)</f>
        <v>50</v>
      </c>
      <c r="G174">
        <f ca="1">IFERROR(__xludf.DUMMYFUNCTION("""COMPUTED_VALUE"""),16)</f>
        <v>16</v>
      </c>
    </row>
    <row r="175" spans="1:7" ht="12.75">
      <c r="A175" t="str">
        <f ca="1">IFERROR(__xludf.DUMMYFUNCTION("""COMPUTED_VALUE"""),"T168")</f>
        <v>T168</v>
      </c>
      <c r="B175" t="str">
        <f ca="1">IFERROR(__xludf.DUMMYFUNCTION("""COMPUTED_VALUE"""),"T161")</f>
        <v>T161</v>
      </c>
      <c r="C175" t="str">
        <f ca="1">IFERROR(__xludf.DUMMYFUNCTION("""COMPUTED_VALUE"""),"Lanto Griffin")</f>
        <v>Lanto Griffin</v>
      </c>
      <c r="D175">
        <f ca="1">IFERROR(__xludf.DUMMYFUNCTION("""COMPUTED_VALUE"""),18)</f>
        <v>18</v>
      </c>
      <c r="E175">
        <f ca="1">IFERROR(__xludf.DUMMYFUNCTION("""COMPUTED_VALUE"""),3.13)</f>
        <v>3.13</v>
      </c>
      <c r="F175">
        <f ca="1">IFERROR(__xludf.DUMMYFUNCTION("""COMPUTED_VALUE"""),250)</f>
        <v>250</v>
      </c>
      <c r="G175">
        <f ca="1">IFERROR(__xludf.DUMMYFUNCTION("""COMPUTED_VALUE"""),80)</f>
        <v>80</v>
      </c>
    </row>
    <row r="176" spans="1:7" ht="12.75">
      <c r="A176" t="str">
        <f ca="1">IFERROR(__xludf.DUMMYFUNCTION("""COMPUTED_VALUE"""),"T168")</f>
        <v>T168</v>
      </c>
      <c r="B176" t="str">
        <f ca="1">IFERROR(__xludf.DUMMYFUNCTION("""COMPUTED_VALUE"""),"T161")</f>
        <v>T161</v>
      </c>
      <c r="C176" t="str">
        <f ca="1">IFERROR(__xludf.DUMMYFUNCTION("""COMPUTED_VALUE"""),"Andy Zhang")</f>
        <v>Andy Zhang</v>
      </c>
      <c r="D176">
        <f ca="1">IFERROR(__xludf.DUMMYFUNCTION("""COMPUTED_VALUE"""),4)</f>
        <v>4</v>
      </c>
      <c r="E176">
        <f ca="1">IFERROR(__xludf.DUMMYFUNCTION("""COMPUTED_VALUE"""),3.13)</f>
        <v>3.13</v>
      </c>
      <c r="F176">
        <f ca="1">IFERROR(__xludf.DUMMYFUNCTION("""COMPUTED_VALUE"""),50)</f>
        <v>50</v>
      </c>
      <c r="G176">
        <f ca="1">IFERROR(__xludf.DUMMYFUNCTION("""COMPUTED_VALUE"""),16)</f>
        <v>16</v>
      </c>
    </row>
    <row r="177" spans="1:7" ht="12.75">
      <c r="A177" t="str">
        <f ca="1">IFERROR(__xludf.DUMMYFUNCTION("""COMPUTED_VALUE"""),"T168")</f>
        <v>T168</v>
      </c>
      <c r="B177" t="str">
        <f ca="1">IFERROR(__xludf.DUMMYFUNCTION("""COMPUTED_VALUE"""),"T161")</f>
        <v>T161</v>
      </c>
      <c r="C177" t="str">
        <f ca="1">IFERROR(__xludf.DUMMYFUNCTION("""COMPUTED_VALUE"""),"Romain Langasque")</f>
        <v>Romain Langasque</v>
      </c>
      <c r="D177">
        <f ca="1">IFERROR(__xludf.DUMMYFUNCTION("""COMPUTED_VALUE"""),4)</f>
        <v>4</v>
      </c>
      <c r="E177">
        <f ca="1">IFERROR(__xludf.DUMMYFUNCTION("""COMPUTED_VALUE"""),3.13)</f>
        <v>3.13</v>
      </c>
      <c r="F177">
        <f ca="1">IFERROR(__xludf.DUMMYFUNCTION("""COMPUTED_VALUE"""),50)</f>
        <v>50</v>
      </c>
      <c r="G177">
        <f ca="1">IFERROR(__xludf.DUMMYFUNCTION("""COMPUTED_VALUE"""),16)</f>
        <v>16</v>
      </c>
    </row>
    <row r="178" spans="1:7" ht="12.75">
      <c r="A178" t="str">
        <f ca="1">IFERROR(__xludf.DUMMYFUNCTION("""COMPUTED_VALUE"""),"T168")</f>
        <v>T168</v>
      </c>
      <c r="B178" t="str">
        <f ca="1">IFERROR(__xludf.DUMMYFUNCTION("""COMPUTED_VALUE"""),"T161")</f>
        <v>T161</v>
      </c>
      <c r="C178" t="str">
        <f ca="1">IFERROR(__xludf.DUMMYFUNCTION("""COMPUTED_VALUE"""),"Lucas Herbert")</f>
        <v>Lucas Herbert</v>
      </c>
      <c r="D178">
        <f ca="1">IFERROR(__xludf.DUMMYFUNCTION("""COMPUTED_VALUE"""),4)</f>
        <v>4</v>
      </c>
      <c r="E178">
        <f ca="1">IFERROR(__xludf.DUMMYFUNCTION("""COMPUTED_VALUE"""),3.13)</f>
        <v>3.13</v>
      </c>
      <c r="F178">
        <f ca="1">IFERROR(__xludf.DUMMYFUNCTION("""COMPUTED_VALUE"""),50)</f>
        <v>50</v>
      </c>
      <c r="G178">
        <f ca="1">IFERROR(__xludf.DUMMYFUNCTION("""COMPUTED_VALUE"""),16)</f>
        <v>16</v>
      </c>
    </row>
    <row r="179" spans="1:7" ht="12.75">
      <c r="A179" t="str">
        <f ca="1">IFERROR(__xludf.DUMMYFUNCTION("""COMPUTED_VALUE"""),"T168")</f>
        <v>T168</v>
      </c>
      <c r="B179" t="str">
        <f ca="1">IFERROR(__xludf.DUMMYFUNCTION("""COMPUTED_VALUE"""),"T111")</f>
        <v>T111</v>
      </c>
      <c r="C179" t="str">
        <f ca="1">IFERROR(__xludf.DUMMYFUNCTION("""COMPUTED_VALUE"""),"Jordan Spieth")</f>
        <v>Jordan Spieth</v>
      </c>
      <c r="D179">
        <f ca="1">IFERROR(__xludf.DUMMYFUNCTION("""COMPUTED_VALUE"""),14)</f>
        <v>14</v>
      </c>
      <c r="E179">
        <f ca="1">IFERROR(__xludf.DUMMYFUNCTION("""COMPUTED_VALUE"""),3.13)</f>
        <v>3.13</v>
      </c>
      <c r="F179">
        <f ca="1">IFERROR(__xludf.DUMMYFUNCTION("""COMPUTED_VALUE"""),194)</f>
        <v>194</v>
      </c>
      <c r="G179">
        <f ca="1">IFERROR(__xludf.DUMMYFUNCTION("""COMPUTED_VALUE"""),62)</f>
        <v>62</v>
      </c>
    </row>
    <row r="180" spans="1:7" ht="12.75">
      <c r="A180" t="str">
        <f ca="1">IFERROR(__xludf.DUMMYFUNCTION("""COMPUTED_VALUE"""),"T168")</f>
        <v>T168</v>
      </c>
      <c r="B180" t="str">
        <f ca="1">IFERROR(__xludf.DUMMYFUNCTION("""COMPUTED_VALUE"""),"T161")</f>
        <v>T161</v>
      </c>
      <c r="C180" t="str">
        <f ca="1">IFERROR(__xludf.DUMMYFUNCTION("""COMPUTED_VALUE"""),"Richy Werenski")</f>
        <v>Richy Werenski</v>
      </c>
      <c r="D180">
        <f ca="1">IFERROR(__xludf.DUMMYFUNCTION("""COMPUTED_VALUE"""),16)</f>
        <v>16</v>
      </c>
      <c r="E180">
        <f ca="1">IFERROR(__xludf.DUMMYFUNCTION("""COMPUTED_VALUE"""),3.13)</f>
        <v>3.13</v>
      </c>
      <c r="F180">
        <f ca="1">IFERROR(__xludf.DUMMYFUNCTION("""COMPUTED_VALUE"""),213)</f>
        <v>213</v>
      </c>
      <c r="G180">
        <f ca="1">IFERROR(__xludf.DUMMYFUNCTION("""COMPUTED_VALUE"""),68)</f>
        <v>68</v>
      </c>
    </row>
    <row r="181" spans="1:7" ht="12.75">
      <c r="A181" t="str">
        <f ca="1">IFERROR(__xludf.DUMMYFUNCTION("""COMPUTED_VALUE"""),"T168")</f>
        <v>T168</v>
      </c>
      <c r="B181" t="str">
        <f ca="1">IFERROR(__xludf.DUMMYFUNCTION("""COMPUTED_VALUE"""),"T161")</f>
        <v>T161</v>
      </c>
      <c r="C181" t="str">
        <f ca="1">IFERROR(__xludf.DUMMYFUNCTION("""COMPUTED_VALUE"""),"Michael Miller")</f>
        <v>Michael Miller</v>
      </c>
      <c r="D181">
        <f ca="1">IFERROR(__xludf.DUMMYFUNCTION("""COMPUTED_VALUE"""),4)</f>
        <v>4</v>
      </c>
      <c r="E181">
        <f ca="1">IFERROR(__xludf.DUMMYFUNCTION("""COMPUTED_VALUE"""),3.13)</f>
        <v>3.13</v>
      </c>
      <c r="F181">
        <f ca="1">IFERROR(__xludf.DUMMYFUNCTION("""COMPUTED_VALUE"""),50)</f>
        <v>50</v>
      </c>
      <c r="G181">
        <f ca="1">IFERROR(__xludf.DUMMYFUNCTION("""COMPUTED_VALUE"""),16)</f>
        <v>16</v>
      </c>
    </row>
    <row r="182" spans="1:7" ht="12.75">
      <c r="A182" t="str">
        <f ca="1">IFERROR(__xludf.DUMMYFUNCTION("""COMPUTED_VALUE"""),"T168")</f>
        <v>T168</v>
      </c>
      <c r="B182" t="str">
        <f ca="1">IFERROR(__xludf.DUMMYFUNCTION("""COMPUTED_VALUE"""),"T140")</f>
        <v>T140</v>
      </c>
      <c r="C182" t="str">
        <f ca="1">IFERROR(__xludf.DUMMYFUNCTION("""COMPUTED_VALUE"""),"Cameron Davis")</f>
        <v>Cameron Davis</v>
      </c>
      <c r="D182">
        <f ca="1">IFERROR(__xludf.DUMMYFUNCTION("""COMPUTED_VALUE"""),16)</f>
        <v>16</v>
      </c>
      <c r="E182">
        <f ca="1">IFERROR(__xludf.DUMMYFUNCTION("""COMPUTED_VALUE"""),3.13)</f>
        <v>3.13</v>
      </c>
      <c r="F182">
        <f ca="1">IFERROR(__xludf.DUMMYFUNCTION("""COMPUTED_VALUE"""),213)</f>
        <v>213</v>
      </c>
      <c r="G182">
        <f ca="1">IFERROR(__xludf.DUMMYFUNCTION("""COMPUTED_VALUE"""),68)</f>
        <v>68</v>
      </c>
    </row>
    <row r="183" spans="1:7" ht="12.75">
      <c r="A183" t="str">
        <f ca="1">IFERROR(__xludf.DUMMYFUNCTION("""COMPUTED_VALUE"""),"T168")</f>
        <v>T168</v>
      </c>
      <c r="B183" t="str">
        <f ca="1">IFERROR(__xludf.DUMMYFUNCTION("""COMPUTED_VALUE"""),"T161")</f>
        <v>T161</v>
      </c>
      <c r="C183" t="str">
        <f ca="1">IFERROR(__xludf.DUMMYFUNCTION("""COMPUTED_VALUE"""),"Stephen Stallings Jr.")</f>
        <v>Stephen Stallings Jr.</v>
      </c>
      <c r="D183">
        <f ca="1">IFERROR(__xludf.DUMMYFUNCTION("""COMPUTED_VALUE"""),4)</f>
        <v>4</v>
      </c>
      <c r="E183">
        <f ca="1">IFERROR(__xludf.DUMMYFUNCTION("""COMPUTED_VALUE"""),3.13)</f>
        <v>3.13</v>
      </c>
      <c r="F183">
        <f ca="1">IFERROR(__xludf.DUMMYFUNCTION("""COMPUTED_VALUE"""),50)</f>
        <v>50</v>
      </c>
      <c r="G183">
        <f ca="1">IFERROR(__xludf.DUMMYFUNCTION("""COMPUTED_VALUE"""),16)</f>
        <v>16</v>
      </c>
    </row>
    <row r="184" spans="1:7" ht="12.75">
      <c r="A184" t="str">
        <f ca="1">IFERROR(__xludf.DUMMYFUNCTION("""COMPUTED_VALUE"""),"T168")</f>
        <v>T168</v>
      </c>
      <c r="B184" t="str">
        <f ca="1">IFERROR(__xludf.DUMMYFUNCTION("""COMPUTED_VALUE"""),"T161")</f>
        <v>T161</v>
      </c>
      <c r="C184" t="str">
        <f ca="1">IFERROR(__xludf.DUMMYFUNCTION("""COMPUTED_VALUE"""),"Matthew Wolff")</f>
        <v>Matthew Wolff</v>
      </c>
      <c r="D184">
        <f ca="1">IFERROR(__xludf.DUMMYFUNCTION("""COMPUTED_VALUE"""),16)</f>
        <v>16</v>
      </c>
      <c r="E184">
        <f ca="1">IFERROR(__xludf.DUMMYFUNCTION("""COMPUTED_VALUE"""),3.13)</f>
        <v>3.13</v>
      </c>
      <c r="F184">
        <f ca="1">IFERROR(__xludf.DUMMYFUNCTION("""COMPUTED_VALUE"""),213)</f>
        <v>213</v>
      </c>
      <c r="G184">
        <f ca="1">IFERROR(__xludf.DUMMYFUNCTION("""COMPUTED_VALUE"""),68)</f>
        <v>68</v>
      </c>
    </row>
    <row r="185" spans="1:7" ht="12.75">
      <c r="A185" t="str">
        <f ca="1">IFERROR(__xludf.DUMMYFUNCTION("""COMPUTED_VALUE"""),"T184")</f>
        <v>T184</v>
      </c>
      <c r="B185" t="str">
        <f ca="1">IFERROR(__xludf.DUMMYFUNCTION("""COMPUTED_VALUE"""),"T179")</f>
        <v>T179</v>
      </c>
      <c r="C185" t="str">
        <f ca="1">IFERROR(__xludf.DUMMYFUNCTION("""COMPUTED_VALUE"""),"Vincent Whaley")</f>
        <v>Vincent Whaley</v>
      </c>
      <c r="D185">
        <f ca="1">IFERROR(__xludf.DUMMYFUNCTION("""COMPUTED_VALUE"""),14)</f>
        <v>14</v>
      </c>
      <c r="E185">
        <f ca="1">IFERROR(__xludf.DUMMYFUNCTION("""COMPUTED_VALUE"""),3.14)</f>
        <v>3.14</v>
      </c>
      <c r="F185">
        <f ca="1">IFERROR(__xludf.DUMMYFUNCTION("""COMPUTED_VALUE"""),176)</f>
        <v>176</v>
      </c>
      <c r="G185">
        <f ca="1">IFERROR(__xludf.DUMMYFUNCTION("""COMPUTED_VALUE"""),56)</f>
        <v>56</v>
      </c>
    </row>
    <row r="186" spans="1:7" ht="12.75">
      <c r="A186" t="str">
        <f ca="1">IFERROR(__xludf.DUMMYFUNCTION("""COMPUTED_VALUE"""),"T184")</f>
        <v>T184</v>
      </c>
      <c r="B186" t="str">
        <f ca="1">IFERROR(__xludf.DUMMYFUNCTION("""COMPUTED_VALUE"""),"T153")</f>
        <v>T153</v>
      </c>
      <c r="C186" t="str">
        <f ca="1">IFERROR(__xludf.DUMMYFUNCTION("""COMPUTED_VALUE"""),"Adam Schenk")</f>
        <v>Adam Schenk</v>
      </c>
      <c r="D186">
        <f ca="1">IFERROR(__xludf.DUMMYFUNCTION("""COMPUTED_VALUE"""),22)</f>
        <v>22</v>
      </c>
      <c r="E186">
        <f ca="1">IFERROR(__xludf.DUMMYFUNCTION("""COMPUTED_VALUE"""),3.14)</f>
        <v>3.14</v>
      </c>
      <c r="F186">
        <f ca="1">IFERROR(__xludf.DUMMYFUNCTION("""COMPUTED_VALUE"""),283)</f>
        <v>283</v>
      </c>
      <c r="G186">
        <f ca="1">IFERROR(__xludf.DUMMYFUNCTION("""COMPUTED_VALUE"""),90)</f>
        <v>90</v>
      </c>
    </row>
    <row r="187" spans="1:7" ht="12.75">
      <c r="A187" t="str">
        <f ca="1">IFERROR(__xludf.DUMMYFUNCTION("""COMPUTED_VALUE"""),"T184")</f>
        <v>T184</v>
      </c>
      <c r="B187" t="str">
        <f ca="1">IFERROR(__xludf.DUMMYFUNCTION("""COMPUTED_VALUE"""),"T184")</f>
        <v>T184</v>
      </c>
      <c r="C187" t="str">
        <f ca="1">IFERROR(__xludf.DUMMYFUNCTION("""COMPUTED_VALUE"""),"Bo Hoag")</f>
        <v>Bo Hoag</v>
      </c>
      <c r="D187">
        <f ca="1">IFERROR(__xludf.DUMMYFUNCTION("""COMPUTED_VALUE"""),14)</f>
        <v>14</v>
      </c>
      <c r="E187">
        <f ca="1">IFERROR(__xludf.DUMMYFUNCTION("""COMPUTED_VALUE"""),3.14)</f>
        <v>3.14</v>
      </c>
      <c r="F187">
        <f ca="1">IFERROR(__xludf.DUMMYFUNCTION("""COMPUTED_VALUE"""),182)</f>
        <v>182</v>
      </c>
      <c r="G187">
        <f ca="1">IFERROR(__xludf.DUMMYFUNCTION("""COMPUTED_VALUE"""),58)</f>
        <v>58</v>
      </c>
    </row>
    <row r="188" spans="1:7" ht="12.75">
      <c r="A188" t="str">
        <f ca="1">IFERROR(__xludf.DUMMYFUNCTION("""COMPUTED_VALUE"""),"T184")</f>
        <v>T184</v>
      </c>
      <c r="B188" t="str">
        <f ca="1">IFERROR(__xludf.DUMMYFUNCTION("""COMPUTED_VALUE"""),"T204")</f>
        <v>T204</v>
      </c>
      <c r="C188" t="str">
        <f ca="1">IFERROR(__xludf.DUMMYFUNCTION("""COMPUTED_VALUE"""),"Satoshi Kodaira")</f>
        <v>Satoshi Kodaira</v>
      </c>
      <c r="D188">
        <f ca="1">IFERROR(__xludf.DUMMYFUNCTION("""COMPUTED_VALUE"""),12)</f>
        <v>12</v>
      </c>
      <c r="E188">
        <f ca="1">IFERROR(__xludf.DUMMYFUNCTION("""COMPUTED_VALUE"""),3.14)</f>
        <v>3.14</v>
      </c>
      <c r="F188">
        <f ca="1">IFERROR(__xludf.DUMMYFUNCTION("""COMPUTED_VALUE"""),176)</f>
        <v>176</v>
      </c>
      <c r="G188">
        <f ca="1">IFERROR(__xludf.DUMMYFUNCTION("""COMPUTED_VALUE"""),56)</f>
        <v>56</v>
      </c>
    </row>
    <row r="189" spans="1:7" ht="12.75">
      <c r="A189" t="str">
        <f ca="1">IFERROR(__xludf.DUMMYFUNCTION("""COMPUTED_VALUE"""),"T184")</f>
        <v>T184</v>
      </c>
      <c r="B189" t="str">
        <f ca="1">IFERROR(__xludf.DUMMYFUNCTION("""COMPUTED_VALUE"""),"T130")</f>
        <v>T130</v>
      </c>
      <c r="C189" t="str">
        <f ca="1">IFERROR(__xludf.DUMMYFUNCTION("""COMPUTED_VALUE"""),"Keegan Bradley")</f>
        <v>Keegan Bradley</v>
      </c>
      <c r="D189">
        <f ca="1">IFERROR(__xludf.DUMMYFUNCTION("""COMPUTED_VALUE"""),16)</f>
        <v>16</v>
      </c>
      <c r="E189">
        <f ca="1">IFERROR(__xludf.DUMMYFUNCTION("""COMPUTED_VALUE"""),3.14)</f>
        <v>3.14</v>
      </c>
      <c r="F189">
        <f ca="1">IFERROR(__xludf.DUMMYFUNCTION("""COMPUTED_VALUE"""),207)</f>
        <v>207</v>
      </c>
      <c r="G189">
        <f ca="1">IFERROR(__xludf.DUMMYFUNCTION("""COMPUTED_VALUE"""),66)</f>
        <v>66</v>
      </c>
    </row>
    <row r="190" spans="1:7" ht="12.75">
      <c r="A190" t="str">
        <f ca="1">IFERROR(__xludf.DUMMYFUNCTION("""COMPUTED_VALUE"""),"T184")</f>
        <v>T184</v>
      </c>
      <c r="B190" t="str">
        <f ca="1">IFERROR(__xludf.DUMMYFUNCTION("""COMPUTED_VALUE"""),"T130")</f>
        <v>T130</v>
      </c>
      <c r="C190" t="str">
        <f ca="1">IFERROR(__xludf.DUMMYFUNCTION("""COMPUTED_VALUE"""),"Sergio Garcia")</f>
        <v>Sergio Garcia</v>
      </c>
      <c r="D190">
        <f ca="1">IFERROR(__xludf.DUMMYFUNCTION("""COMPUTED_VALUE"""),18)</f>
        <v>18</v>
      </c>
      <c r="E190">
        <f ca="1">IFERROR(__xludf.DUMMYFUNCTION("""COMPUTED_VALUE"""),3.14)</f>
        <v>3.14</v>
      </c>
      <c r="F190">
        <f ca="1">IFERROR(__xludf.DUMMYFUNCTION("""COMPUTED_VALUE"""),232)</f>
        <v>232</v>
      </c>
      <c r="G190">
        <f ca="1">IFERROR(__xludf.DUMMYFUNCTION("""COMPUTED_VALUE"""),74)</f>
        <v>74</v>
      </c>
    </row>
    <row r="191" spans="1:7" ht="12.75">
      <c r="A191" t="str">
        <f ca="1">IFERROR(__xludf.DUMMYFUNCTION("""COMPUTED_VALUE"""),"T184")</f>
        <v>T184</v>
      </c>
      <c r="B191" t="str">
        <f ca="1">IFERROR(__xludf.DUMMYFUNCTION("""COMPUTED_VALUE"""),"T179")</f>
        <v>T179</v>
      </c>
      <c r="C191" t="str">
        <f ca="1">IFERROR(__xludf.DUMMYFUNCTION("""COMPUTED_VALUE"""),"Rafa Cabrera Bello")</f>
        <v>Rafa Cabrera Bello</v>
      </c>
      <c r="D191">
        <f ca="1">IFERROR(__xludf.DUMMYFUNCTION("""COMPUTED_VALUE"""),14)</f>
        <v>14</v>
      </c>
      <c r="E191">
        <f ca="1">IFERROR(__xludf.DUMMYFUNCTION("""COMPUTED_VALUE"""),3.14)</f>
        <v>3.14</v>
      </c>
      <c r="F191">
        <f ca="1">IFERROR(__xludf.DUMMYFUNCTION("""COMPUTED_VALUE"""),176)</f>
        <v>176</v>
      </c>
      <c r="G191">
        <f ca="1">IFERROR(__xludf.DUMMYFUNCTION("""COMPUTED_VALUE"""),56)</f>
        <v>56</v>
      </c>
    </row>
    <row r="192" spans="1:7" ht="12.75">
      <c r="A192" t="str">
        <f ca="1">IFERROR(__xludf.DUMMYFUNCTION("""COMPUTED_VALUE"""),"T184")</f>
        <v>T184</v>
      </c>
      <c r="B192" t="str">
        <f ca="1">IFERROR(__xludf.DUMMYFUNCTION("""COMPUTED_VALUE"""),"T111")</f>
        <v>T111</v>
      </c>
      <c r="C192" t="str">
        <f ca="1">IFERROR(__xludf.DUMMYFUNCTION("""COMPUTED_VALUE"""),"Danny Willett")</f>
        <v>Danny Willett</v>
      </c>
      <c r="D192">
        <f ca="1">IFERROR(__xludf.DUMMYFUNCTION("""COMPUTED_VALUE"""),7)</f>
        <v>7</v>
      </c>
      <c r="E192">
        <f ca="1">IFERROR(__xludf.DUMMYFUNCTION("""COMPUTED_VALUE"""),3.14)</f>
        <v>3.14</v>
      </c>
      <c r="F192">
        <f ca="1">IFERROR(__xludf.DUMMYFUNCTION("""COMPUTED_VALUE"""),91)</f>
        <v>91</v>
      </c>
      <c r="G192">
        <f ca="1">IFERROR(__xludf.DUMMYFUNCTION("""COMPUTED_VALUE"""),29)</f>
        <v>29</v>
      </c>
    </row>
    <row r="193" spans="1:7" ht="12.75">
      <c r="A193" t="str">
        <f ca="1">IFERROR(__xludf.DUMMYFUNCTION("""COMPUTED_VALUE"""),"T184")</f>
        <v>T184</v>
      </c>
      <c r="B193" t="str">
        <f ca="1">IFERROR(__xludf.DUMMYFUNCTION("""COMPUTED_VALUE"""),"T225")</f>
        <v>T225</v>
      </c>
      <c r="C193" t="str">
        <f ca="1">IFERROR(__xludf.DUMMYFUNCTION("""COMPUTED_VALUE"""),"Chris Kirk")</f>
        <v>Chris Kirk</v>
      </c>
      <c r="D193">
        <f ca="1">IFERROR(__xludf.DUMMYFUNCTION("""COMPUTED_VALUE"""),10)</f>
        <v>10</v>
      </c>
      <c r="E193">
        <f ca="1">IFERROR(__xludf.DUMMYFUNCTION("""COMPUTED_VALUE"""),3.14)</f>
        <v>3.14</v>
      </c>
      <c r="F193">
        <f ca="1">IFERROR(__xludf.DUMMYFUNCTION("""COMPUTED_VALUE"""),138)</f>
        <v>138</v>
      </c>
      <c r="G193">
        <f ca="1">IFERROR(__xludf.DUMMYFUNCTION("""COMPUTED_VALUE"""),44)</f>
        <v>44</v>
      </c>
    </row>
    <row r="194" spans="1:7" ht="12.75">
      <c r="A194" t="str">
        <f ca="1">IFERROR(__xludf.DUMMYFUNCTION("""COMPUTED_VALUE"""),"T184")</f>
        <v>T184</v>
      </c>
      <c r="B194" t="str">
        <f ca="1">IFERROR(__xludf.DUMMYFUNCTION("""COMPUTED_VALUE"""),"T161")</f>
        <v>T161</v>
      </c>
      <c r="C194" t="str">
        <f ca="1">IFERROR(__xludf.DUMMYFUNCTION("""COMPUTED_VALUE"""),"Branden Grace")</f>
        <v>Branden Grace</v>
      </c>
      <c r="D194">
        <f ca="1">IFERROR(__xludf.DUMMYFUNCTION("""COMPUTED_VALUE"""),16)</f>
        <v>16</v>
      </c>
      <c r="E194">
        <f ca="1">IFERROR(__xludf.DUMMYFUNCTION("""COMPUTED_VALUE"""),3.14)</f>
        <v>3.14</v>
      </c>
      <c r="F194">
        <f ca="1">IFERROR(__xludf.DUMMYFUNCTION("""COMPUTED_VALUE"""),207)</f>
        <v>207</v>
      </c>
      <c r="G194">
        <f ca="1">IFERROR(__xludf.DUMMYFUNCTION("""COMPUTED_VALUE"""),66)</f>
        <v>66</v>
      </c>
    </row>
    <row r="195" spans="1:7" ht="12.75">
      <c r="A195" t="str">
        <f ca="1">IFERROR(__xludf.DUMMYFUNCTION("""COMPUTED_VALUE"""),"T194")</f>
        <v>T194</v>
      </c>
      <c r="B195" t="str">
        <f ca="1">IFERROR(__xludf.DUMMYFUNCTION("""COMPUTED_VALUE"""),"T184")</f>
        <v>T184</v>
      </c>
      <c r="C195" t="str">
        <f ca="1">IFERROR(__xludf.DUMMYFUNCTION("""COMPUTED_VALUE"""),"Rickie Fowler")</f>
        <v>Rickie Fowler</v>
      </c>
      <c r="D195">
        <f ca="1">IFERROR(__xludf.DUMMYFUNCTION("""COMPUTED_VALUE"""),14)</f>
        <v>14</v>
      </c>
      <c r="E195">
        <f ca="1">IFERROR(__xludf.DUMMYFUNCTION("""COMPUTED_VALUE"""),3.15)</f>
        <v>3.15</v>
      </c>
      <c r="F195">
        <f ca="1">IFERROR(__xludf.DUMMYFUNCTION("""COMPUTED_VALUE"""),189)</f>
        <v>189</v>
      </c>
      <c r="G195">
        <f ca="1">IFERROR(__xludf.DUMMYFUNCTION("""COMPUTED_VALUE"""),60)</f>
        <v>60</v>
      </c>
    </row>
    <row r="196" spans="1:7" ht="12.75">
      <c r="A196" t="str">
        <f ca="1">IFERROR(__xludf.DUMMYFUNCTION("""COMPUTED_VALUE"""),"T194")</f>
        <v>T194</v>
      </c>
      <c r="B196" t="str">
        <f ca="1">IFERROR(__xludf.DUMMYFUNCTION("""COMPUTED_VALUE"""),"T184")</f>
        <v>T184</v>
      </c>
      <c r="C196" t="str">
        <f ca="1">IFERROR(__xludf.DUMMYFUNCTION("""COMPUTED_VALUE"""),"Alex Noren")</f>
        <v>Alex Noren</v>
      </c>
      <c r="D196">
        <f ca="1">IFERROR(__xludf.DUMMYFUNCTION("""COMPUTED_VALUE"""),14)</f>
        <v>14</v>
      </c>
      <c r="E196">
        <f ca="1">IFERROR(__xludf.DUMMYFUNCTION("""COMPUTED_VALUE"""),3.15)</f>
        <v>3.15</v>
      </c>
      <c r="F196">
        <f ca="1">IFERROR(__xludf.DUMMYFUNCTION("""COMPUTED_VALUE"""),195)</f>
        <v>195</v>
      </c>
      <c r="G196">
        <f ca="1">IFERROR(__xludf.DUMMYFUNCTION("""COMPUTED_VALUE"""),62)</f>
        <v>62</v>
      </c>
    </row>
    <row r="197" spans="1:7" ht="12.75">
      <c r="A197" t="str">
        <f ca="1">IFERROR(__xludf.DUMMYFUNCTION("""COMPUTED_VALUE"""),"T194")</f>
        <v>T194</v>
      </c>
      <c r="B197" t="str">
        <f ca="1">IFERROR(__xludf.DUMMYFUNCTION("""COMPUTED_VALUE"""),"T184")</f>
        <v>T184</v>
      </c>
      <c r="C197" t="str">
        <f ca="1">IFERROR(__xludf.DUMMYFUNCTION("""COMPUTED_VALUE"""),"J.B. Holmes")</f>
        <v>J.B. Holmes</v>
      </c>
      <c r="D197">
        <f ca="1">IFERROR(__xludf.DUMMYFUNCTION("""COMPUTED_VALUE"""),10)</f>
        <v>10</v>
      </c>
      <c r="E197">
        <f ca="1">IFERROR(__xludf.DUMMYFUNCTION("""COMPUTED_VALUE"""),3.15)</f>
        <v>3.15</v>
      </c>
      <c r="F197">
        <f ca="1">IFERROR(__xludf.DUMMYFUNCTION("""COMPUTED_VALUE"""),126)</f>
        <v>126</v>
      </c>
      <c r="G197">
        <f ca="1">IFERROR(__xludf.DUMMYFUNCTION("""COMPUTED_VALUE"""),40)</f>
        <v>40</v>
      </c>
    </row>
    <row r="198" spans="1:7" ht="12.75">
      <c r="A198" t="str">
        <f ca="1">IFERROR(__xludf.DUMMYFUNCTION("""COMPUTED_VALUE"""),"T194")</f>
        <v>T194</v>
      </c>
      <c r="B198" t="str">
        <f ca="1">IFERROR(__xludf.DUMMYFUNCTION("""COMPUTED_VALUE"""),"T184")</f>
        <v>T184</v>
      </c>
      <c r="C198" t="str">
        <f ca="1">IFERROR(__xludf.DUMMYFUNCTION("""COMPUTED_VALUE"""),"Ricky Barnes")</f>
        <v>Ricky Barnes</v>
      </c>
      <c r="D198">
        <f ca="1">IFERROR(__xludf.DUMMYFUNCTION("""COMPUTED_VALUE"""),12)</f>
        <v>12</v>
      </c>
      <c r="E198">
        <f ca="1">IFERROR(__xludf.DUMMYFUNCTION("""COMPUTED_VALUE"""),3.15)</f>
        <v>3.15</v>
      </c>
      <c r="F198">
        <f ca="1">IFERROR(__xludf.DUMMYFUNCTION("""COMPUTED_VALUE"""),151)</f>
        <v>151</v>
      </c>
      <c r="G198">
        <f ca="1">IFERROR(__xludf.DUMMYFUNCTION("""COMPUTED_VALUE"""),48)</f>
        <v>48</v>
      </c>
    </row>
    <row r="199" spans="1:7" ht="12.75">
      <c r="A199" t="str">
        <f ca="1">IFERROR(__xludf.DUMMYFUNCTION("""COMPUTED_VALUE"""),"T194")</f>
        <v>T194</v>
      </c>
      <c r="B199" t="str">
        <f ca="1">IFERROR(__xludf.DUMMYFUNCTION("""COMPUTED_VALUE"""),"T184")</f>
        <v>T184</v>
      </c>
      <c r="C199" t="str">
        <f ca="1">IFERROR(__xludf.DUMMYFUNCTION("""COMPUTED_VALUE"""),"Mikumu Horikawa")</f>
        <v>Mikumu Horikawa</v>
      </c>
      <c r="D199">
        <f ca="1">IFERROR(__xludf.DUMMYFUNCTION("""COMPUTED_VALUE"""),4)</f>
        <v>4</v>
      </c>
      <c r="E199">
        <f ca="1">IFERROR(__xludf.DUMMYFUNCTION("""COMPUTED_VALUE"""),3.15)</f>
        <v>3.15</v>
      </c>
      <c r="F199">
        <f ca="1">IFERROR(__xludf.DUMMYFUNCTION("""COMPUTED_VALUE"""),63)</f>
        <v>63</v>
      </c>
      <c r="G199">
        <f ca="1">IFERROR(__xludf.DUMMYFUNCTION("""COMPUTED_VALUE"""),20)</f>
        <v>20</v>
      </c>
    </row>
    <row r="200" spans="1:7" ht="12.75">
      <c r="A200" t="str">
        <f ca="1">IFERROR(__xludf.DUMMYFUNCTION("""COMPUTED_VALUE"""),"T194")</f>
        <v>T194</v>
      </c>
      <c r="B200" t="str">
        <f ca="1">IFERROR(__xludf.DUMMYFUNCTION("""COMPUTED_VALUE"""),"T111")</f>
        <v>T111</v>
      </c>
      <c r="C200" t="str">
        <f ca="1">IFERROR(__xludf.DUMMYFUNCTION("""COMPUTED_VALUE"""),"Kramer Hickok")</f>
        <v>Kramer Hickok</v>
      </c>
      <c r="D200">
        <f ca="1">IFERROR(__xludf.DUMMYFUNCTION("""COMPUTED_VALUE"""),16)</f>
        <v>16</v>
      </c>
      <c r="E200">
        <f ca="1">IFERROR(__xludf.DUMMYFUNCTION("""COMPUTED_VALUE"""),3.15)</f>
        <v>3.15</v>
      </c>
      <c r="F200">
        <f ca="1">IFERROR(__xludf.DUMMYFUNCTION("""COMPUTED_VALUE"""),214)</f>
        <v>214</v>
      </c>
      <c r="G200">
        <f ca="1">IFERROR(__xludf.DUMMYFUNCTION("""COMPUTED_VALUE"""),68)</f>
        <v>68</v>
      </c>
    </row>
    <row r="201" spans="1:7" ht="12.75">
      <c r="A201" t="str">
        <f ca="1">IFERROR(__xludf.DUMMYFUNCTION("""COMPUTED_VALUE"""),"T200")</f>
        <v>T200</v>
      </c>
      <c r="B201" t="str">
        <f ca="1">IFERROR(__xludf.DUMMYFUNCTION("""COMPUTED_VALUE"""),"T194")</f>
        <v>T194</v>
      </c>
      <c r="C201" t="str">
        <f ca="1">IFERROR(__xludf.DUMMYFUNCTION("""COMPUTED_VALUE"""),"Wesley Bryan")</f>
        <v>Wesley Bryan</v>
      </c>
      <c r="D201">
        <f ca="1">IFERROR(__xludf.DUMMYFUNCTION("""COMPUTED_VALUE"""),8)</f>
        <v>8</v>
      </c>
      <c r="E201">
        <f ca="1">IFERROR(__xludf.DUMMYFUNCTION("""COMPUTED_VALUE"""),3.16)</f>
        <v>3.16</v>
      </c>
      <c r="F201">
        <f ca="1">IFERROR(__xludf.DUMMYFUNCTION("""COMPUTED_VALUE"""),101)</f>
        <v>101</v>
      </c>
      <c r="G201">
        <f ca="1">IFERROR(__xludf.DUMMYFUNCTION("""COMPUTED_VALUE"""),32)</f>
        <v>32</v>
      </c>
    </row>
    <row r="202" spans="1:7" ht="12.75">
      <c r="A202" t="str">
        <f ca="1">IFERROR(__xludf.DUMMYFUNCTION("""COMPUTED_VALUE"""),"T200")</f>
        <v>T200</v>
      </c>
      <c r="B202" t="str">
        <f ca="1">IFERROR(__xludf.DUMMYFUNCTION("""COMPUTED_VALUE"""),"T161")</f>
        <v>T161</v>
      </c>
      <c r="C202" t="str">
        <f ca="1">IFERROR(__xludf.DUMMYFUNCTION("""COMPUTED_VALUE"""),"Hudson Swafford")</f>
        <v>Hudson Swafford</v>
      </c>
      <c r="D202">
        <f ca="1">IFERROR(__xludf.DUMMYFUNCTION("""COMPUTED_VALUE"""),18)</f>
        <v>18</v>
      </c>
      <c r="E202">
        <f ca="1">IFERROR(__xludf.DUMMYFUNCTION("""COMPUTED_VALUE"""),3.16)</f>
        <v>3.16</v>
      </c>
      <c r="F202">
        <f ca="1">IFERROR(__xludf.DUMMYFUNCTION("""COMPUTED_VALUE"""),234)</f>
        <v>234</v>
      </c>
      <c r="G202">
        <f ca="1">IFERROR(__xludf.DUMMYFUNCTION("""COMPUTED_VALUE"""),74)</f>
        <v>74</v>
      </c>
    </row>
    <row r="203" spans="1:7" ht="12.75">
      <c r="A203" t="str">
        <f ca="1">IFERROR(__xludf.DUMMYFUNCTION("""COMPUTED_VALUE"""),"T200")</f>
        <v>T200</v>
      </c>
      <c r="B203" t="str">
        <f ca="1">IFERROR(__xludf.DUMMYFUNCTION("""COMPUTED_VALUE"""),"T184")</f>
        <v>T184</v>
      </c>
      <c r="C203" t="str">
        <f ca="1">IFERROR(__xludf.DUMMYFUNCTION("""COMPUTED_VALUE"""),"D.A. Points")</f>
        <v>D.A. Points</v>
      </c>
      <c r="D203">
        <f ca="1">IFERROR(__xludf.DUMMYFUNCTION("""COMPUTED_VALUE"""),12)</f>
        <v>12</v>
      </c>
      <c r="E203">
        <f ca="1">IFERROR(__xludf.DUMMYFUNCTION("""COMPUTED_VALUE"""),3.16)</f>
        <v>3.16</v>
      </c>
      <c r="F203">
        <f ca="1">IFERROR(__xludf.DUMMYFUNCTION("""COMPUTED_VALUE"""),158)</f>
        <v>158</v>
      </c>
      <c r="G203">
        <f ca="1">IFERROR(__xludf.DUMMYFUNCTION("""COMPUTED_VALUE"""),50)</f>
        <v>50</v>
      </c>
    </row>
    <row r="204" spans="1:7" ht="12.75">
      <c r="A204" t="str">
        <f ca="1">IFERROR(__xludf.DUMMYFUNCTION("""COMPUTED_VALUE"""),"T200")</f>
        <v>T200</v>
      </c>
      <c r="B204" t="str">
        <f ca="1">IFERROR(__xludf.DUMMYFUNCTION("""COMPUTED_VALUE"""),"T194")</f>
        <v>T194</v>
      </c>
      <c r="C204" t="str">
        <f ca="1">IFERROR(__xludf.DUMMYFUNCTION("""COMPUTED_VALUE"""),"Tommy Fleetwood")</f>
        <v>Tommy Fleetwood</v>
      </c>
      <c r="D204">
        <f ca="1">IFERROR(__xludf.DUMMYFUNCTION("""COMPUTED_VALUE"""),10)</f>
        <v>10</v>
      </c>
      <c r="E204">
        <f ca="1">IFERROR(__xludf.DUMMYFUNCTION("""COMPUTED_VALUE"""),3.16)</f>
        <v>3.16</v>
      </c>
      <c r="F204">
        <f ca="1">IFERROR(__xludf.DUMMYFUNCTION("""COMPUTED_VALUE"""),139)</f>
        <v>139</v>
      </c>
      <c r="G204">
        <f ca="1">IFERROR(__xludf.DUMMYFUNCTION("""COMPUTED_VALUE"""),44)</f>
        <v>44</v>
      </c>
    </row>
    <row r="205" spans="1:7" ht="12.75">
      <c r="A205" t="str">
        <f ca="1">IFERROR(__xludf.DUMMYFUNCTION("""COMPUTED_VALUE"""),"T200")</f>
        <v>T200</v>
      </c>
      <c r="B205" t="str">
        <f ca="1">IFERROR(__xludf.DUMMYFUNCTION("""COMPUTED_VALUE"""),"T179")</f>
        <v>T179</v>
      </c>
      <c r="C205" t="str">
        <f ca="1">IFERROR(__xludf.DUMMYFUNCTION("""COMPUTED_VALUE"""),"Scott Harrington")</f>
        <v>Scott Harrington</v>
      </c>
      <c r="D205">
        <f ca="1">IFERROR(__xludf.DUMMYFUNCTION("""COMPUTED_VALUE"""),18)</f>
        <v>18</v>
      </c>
      <c r="E205">
        <f ca="1">IFERROR(__xludf.DUMMYFUNCTION("""COMPUTED_VALUE"""),3.16)</f>
        <v>3.16</v>
      </c>
      <c r="F205">
        <f ca="1">IFERROR(__xludf.DUMMYFUNCTION("""COMPUTED_VALUE"""),240)</f>
        <v>240</v>
      </c>
      <c r="G205">
        <f ca="1">IFERROR(__xludf.DUMMYFUNCTION("""COMPUTED_VALUE"""),76)</f>
        <v>76</v>
      </c>
    </row>
    <row r="206" spans="1:7" ht="12.75">
      <c r="A206" t="str">
        <f ca="1">IFERROR(__xludf.DUMMYFUNCTION("""COMPUTED_VALUE"""),"T205")</f>
        <v>T205</v>
      </c>
      <c r="B206" t="str">
        <f ca="1">IFERROR(__xludf.DUMMYFUNCTION("""COMPUTED_VALUE"""),"T199")</f>
        <v>T199</v>
      </c>
      <c r="C206" t="str">
        <f ca="1">IFERROR(__xludf.DUMMYFUNCTION("""COMPUTED_VALUE"""),"Kyle Stanley")</f>
        <v>Kyle Stanley</v>
      </c>
      <c r="D206">
        <f ca="1">IFERROR(__xludf.DUMMYFUNCTION("""COMPUTED_VALUE"""),16)</f>
        <v>16</v>
      </c>
      <c r="E206">
        <f ca="1">IFERROR(__xludf.DUMMYFUNCTION("""COMPUTED_VALUE"""),3.17)</f>
        <v>3.17</v>
      </c>
      <c r="F206">
        <f ca="1">IFERROR(__xludf.DUMMYFUNCTION("""COMPUTED_VALUE"""),203)</f>
        <v>203</v>
      </c>
      <c r="G206">
        <f ca="1">IFERROR(__xludf.DUMMYFUNCTION("""COMPUTED_VALUE"""),64)</f>
        <v>64</v>
      </c>
    </row>
    <row r="207" spans="1:7" ht="12.75">
      <c r="A207" t="str">
        <f ca="1">IFERROR(__xludf.DUMMYFUNCTION("""COMPUTED_VALUE"""),"T205")</f>
        <v>T205</v>
      </c>
      <c r="B207" t="str">
        <f ca="1">IFERROR(__xludf.DUMMYFUNCTION("""COMPUTED_VALUE"""),"T194")</f>
        <v>T194</v>
      </c>
      <c r="C207" t="str">
        <f ca="1">IFERROR(__xludf.DUMMYFUNCTION("""COMPUTED_VALUE"""),"Kevin Tway")</f>
        <v>Kevin Tway</v>
      </c>
      <c r="D207">
        <f ca="1">IFERROR(__xludf.DUMMYFUNCTION("""COMPUTED_VALUE"""),16)</f>
        <v>16</v>
      </c>
      <c r="E207">
        <f ca="1">IFERROR(__xludf.DUMMYFUNCTION("""COMPUTED_VALUE"""),3.17)</f>
        <v>3.17</v>
      </c>
      <c r="F207">
        <f ca="1">IFERROR(__xludf.DUMMYFUNCTION("""COMPUTED_VALUE"""),209)</f>
        <v>209</v>
      </c>
      <c r="G207">
        <f ca="1">IFERROR(__xludf.DUMMYFUNCTION("""COMPUTED_VALUE"""),66)</f>
        <v>66</v>
      </c>
    </row>
    <row r="208" spans="1:7" ht="12.75">
      <c r="A208" t="str">
        <f ca="1">IFERROR(__xludf.DUMMYFUNCTION("""COMPUTED_VALUE"""),"T205")</f>
        <v>T205</v>
      </c>
      <c r="B208" t="str">
        <f ca="1">IFERROR(__xludf.DUMMYFUNCTION("""COMPUTED_VALUE"""),"T204")</f>
        <v>T204</v>
      </c>
      <c r="C208" t="str">
        <f ca="1">IFERROR(__xludf.DUMMYFUNCTION("""COMPUTED_VALUE"""),"Hunter Mahan")</f>
        <v>Hunter Mahan</v>
      </c>
      <c r="D208">
        <f ca="1">IFERROR(__xludf.DUMMYFUNCTION("""COMPUTED_VALUE"""),14)</f>
        <v>14</v>
      </c>
      <c r="E208">
        <f ca="1">IFERROR(__xludf.DUMMYFUNCTION("""COMPUTED_VALUE"""),3.17)</f>
        <v>3.17</v>
      </c>
      <c r="F208">
        <f ca="1">IFERROR(__xludf.DUMMYFUNCTION("""COMPUTED_VALUE"""),184)</f>
        <v>184</v>
      </c>
      <c r="G208">
        <f ca="1">IFERROR(__xludf.DUMMYFUNCTION("""COMPUTED_VALUE"""),58)</f>
        <v>58</v>
      </c>
    </row>
    <row r="209" spans="1:7" ht="12.75">
      <c r="A209" t="str">
        <f ca="1">IFERROR(__xludf.DUMMYFUNCTION("""COMPUTED_VALUE"""),"T205")</f>
        <v>T205</v>
      </c>
      <c r="B209" t="str">
        <f ca="1">IFERROR(__xludf.DUMMYFUNCTION("""COMPUTED_VALUE"""),"T199")</f>
        <v>T199</v>
      </c>
      <c r="C209" t="str">
        <f ca="1">IFERROR(__xludf.DUMMYFUNCTION("""COMPUTED_VALUE"""),"Kevin Na")</f>
        <v>Kevin Na</v>
      </c>
      <c r="D209">
        <f ca="1">IFERROR(__xludf.DUMMYFUNCTION("""COMPUTED_VALUE"""),14)</f>
        <v>14</v>
      </c>
      <c r="E209">
        <f ca="1">IFERROR(__xludf.DUMMYFUNCTION("""COMPUTED_VALUE"""),3.17)</f>
        <v>3.17</v>
      </c>
      <c r="F209">
        <f ca="1">IFERROR(__xludf.DUMMYFUNCTION("""COMPUTED_VALUE"""),190)</f>
        <v>190</v>
      </c>
      <c r="G209">
        <f ca="1">IFERROR(__xludf.DUMMYFUNCTION("""COMPUTED_VALUE"""),60)</f>
        <v>60</v>
      </c>
    </row>
    <row r="210" spans="1:7" ht="12.75">
      <c r="A210" t="str">
        <f ca="1">IFERROR(__xludf.DUMMYFUNCTION("""COMPUTED_VALUE"""),"T205")</f>
        <v>T205</v>
      </c>
      <c r="B210" t="str">
        <f ca="1">IFERROR(__xludf.DUMMYFUNCTION("""COMPUTED_VALUE"""),"T199")</f>
        <v>T199</v>
      </c>
      <c r="C210" t="str">
        <f ca="1">IFERROR(__xludf.DUMMYFUNCTION("""COMPUTED_VALUE"""),"K.J. Choi")</f>
        <v>K.J. Choi</v>
      </c>
      <c r="D210">
        <f ca="1">IFERROR(__xludf.DUMMYFUNCTION("""COMPUTED_VALUE"""),6)</f>
        <v>6</v>
      </c>
      <c r="E210">
        <f ca="1">IFERROR(__xludf.DUMMYFUNCTION("""COMPUTED_VALUE"""),3.17)</f>
        <v>3.17</v>
      </c>
      <c r="F210">
        <f ca="1">IFERROR(__xludf.DUMMYFUNCTION("""COMPUTED_VALUE"""),76)</f>
        <v>76</v>
      </c>
      <c r="G210">
        <f ca="1">IFERROR(__xludf.DUMMYFUNCTION("""COMPUTED_VALUE"""),24)</f>
        <v>24</v>
      </c>
    </row>
    <row r="211" spans="1:7" ht="12.75">
      <c r="A211" t="str">
        <f ca="1">IFERROR(__xludf.DUMMYFUNCTION("""COMPUTED_VALUE"""),"T205")</f>
        <v>T205</v>
      </c>
      <c r="B211" t="str">
        <f ca="1">IFERROR(__xludf.DUMMYFUNCTION("""COMPUTED_VALUE"""),"T225")</f>
        <v>T225</v>
      </c>
      <c r="C211" t="str">
        <f ca="1">IFERROR(__xludf.DUMMYFUNCTION("""COMPUTED_VALUE"""),"Adam Long")</f>
        <v>Adam Long</v>
      </c>
      <c r="D211">
        <f ca="1">IFERROR(__xludf.DUMMYFUNCTION("""COMPUTED_VALUE"""),22)</f>
        <v>22</v>
      </c>
      <c r="E211">
        <f ca="1">IFERROR(__xludf.DUMMYFUNCTION("""COMPUTED_VALUE"""),3.17)</f>
        <v>3.17</v>
      </c>
      <c r="F211">
        <f ca="1">IFERROR(__xludf.DUMMYFUNCTION("""COMPUTED_VALUE"""),304)</f>
        <v>304</v>
      </c>
      <c r="G211">
        <f ca="1">IFERROR(__xludf.DUMMYFUNCTION("""COMPUTED_VALUE"""),96)</f>
        <v>96</v>
      </c>
    </row>
    <row r="212" spans="1:7" ht="12.75">
      <c r="A212" t="str">
        <f ca="1">IFERROR(__xludf.DUMMYFUNCTION("""COMPUTED_VALUE"""),"T205")</f>
        <v>T205</v>
      </c>
      <c r="B212" t="str">
        <f ca="1">IFERROR(__xludf.DUMMYFUNCTION("""COMPUTED_VALUE"""),"T204")</f>
        <v>T204</v>
      </c>
      <c r="C212" t="str">
        <f ca="1">IFERROR(__xludf.DUMMYFUNCTION("""COMPUTED_VALUE"""),"Viktor Hovland")</f>
        <v>Viktor Hovland</v>
      </c>
      <c r="D212">
        <f ca="1">IFERROR(__xludf.DUMMYFUNCTION("""COMPUTED_VALUE"""),16)</f>
        <v>16</v>
      </c>
      <c r="E212">
        <f ca="1">IFERROR(__xludf.DUMMYFUNCTION("""COMPUTED_VALUE"""),3.17)</f>
        <v>3.17</v>
      </c>
      <c r="F212">
        <f ca="1">IFERROR(__xludf.DUMMYFUNCTION("""COMPUTED_VALUE"""),228)</f>
        <v>228</v>
      </c>
      <c r="G212">
        <f ca="1">IFERROR(__xludf.DUMMYFUNCTION("""COMPUTED_VALUE"""),72)</f>
        <v>72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IFERROR(__xludf.DUMMYFUNCTION("""COMPUTED_VALUE"""),"T202")</f>
        <v>T202</v>
      </c>
      <c r="C213" t="str">
        <f ca="1">IFERROR(__xludf.DUMMYFUNCTION("""COMPUTED_VALUE"""),"Adam Hadwin")</f>
        <v>Adam Hadwin</v>
      </c>
      <c r="D213">
        <f ca="1">IFERROR(__xludf.DUMMYFUNCTION("""COMPUTED_VALUE"""),16)</f>
        <v>16</v>
      </c>
      <c r="E213">
        <f ca="1">IFERROR(__xludf.DUMMYFUNCTION("""COMPUTED_VALUE"""),3.18)</f>
        <v>3.18</v>
      </c>
      <c r="F213">
        <f ca="1">IFERROR(__xludf.DUMMYFUNCTION("""COMPUTED_VALUE"""),216)</f>
        <v>216</v>
      </c>
      <c r="G213">
        <f ca="1">IFERROR(__xludf.DUMMYFUNCTION("""COMPUTED_VALUE"""),68)</f>
        <v>68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IFERROR(__xludf.DUMMYFUNCTION("""COMPUTED_VALUE"""),"")</f>
        <v/>
      </c>
      <c r="C214" t="str">
        <f ca="1">IFERROR(__xludf.DUMMYFUNCTION("""COMPUTED_VALUE"""),"Greg Chalmers")</f>
        <v>Greg Chalmers</v>
      </c>
      <c r="D214">
        <f ca="1">IFERROR(__xludf.DUMMYFUNCTION("""COMPUTED_VALUE"""),6)</f>
        <v>6</v>
      </c>
      <c r="E214">
        <f ca="1">IFERROR(__xludf.DUMMYFUNCTION("""COMPUTED_VALUE"""),3.18)</f>
        <v>3.18</v>
      </c>
      <c r="F214">
        <f ca="1">IFERROR(__xludf.DUMMYFUNCTION("""COMPUTED_VALUE"""),89)</f>
        <v>89</v>
      </c>
      <c r="G214">
        <f ca="1">IFERROR(__xludf.DUMMYFUNCTION("""COMPUTED_VALUE"""),28)</f>
        <v>28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IFERROR(__xludf.DUMMYFUNCTION("""COMPUTED_VALUE"""),"T239")</f>
        <v>T239</v>
      </c>
      <c r="C215" t="str">
        <f ca="1">IFERROR(__xludf.DUMMYFUNCTION("""COMPUTED_VALUE"""),"Vaughn Taylor")</f>
        <v>Vaughn Taylor</v>
      </c>
      <c r="D215">
        <f ca="1">IFERROR(__xludf.DUMMYFUNCTION("""COMPUTED_VALUE"""),12)</f>
        <v>12</v>
      </c>
      <c r="E215">
        <f ca="1">IFERROR(__xludf.DUMMYFUNCTION("""COMPUTED_VALUE"""),3.18)</f>
        <v>3.18</v>
      </c>
      <c r="F215">
        <f ca="1">IFERROR(__xludf.DUMMYFUNCTION("""COMPUTED_VALUE"""),159)</f>
        <v>159</v>
      </c>
      <c r="G215">
        <f ca="1">IFERROR(__xludf.DUMMYFUNCTION("""COMPUTED_VALUE"""),50)</f>
        <v>50</v>
      </c>
    </row>
    <row r="216" spans="1:7" ht="12.75">
      <c r="A216" t="str">
        <f ca="1">IFERROR(__xludf.DUMMYFUNCTION("""COMPUTED_VALUE"""),"T212")</f>
        <v>T212</v>
      </c>
      <c r="B216" t="str">
        <f ca="1">IFERROR(__xludf.DUMMYFUNCTION("""COMPUTED_VALUE"""),"T239")</f>
        <v>T239</v>
      </c>
      <c r="C216" t="str">
        <f ca="1">IFERROR(__xludf.DUMMYFUNCTION("""COMPUTED_VALUE"""),"Jhonattan Vegas")</f>
        <v>Jhonattan Vegas</v>
      </c>
      <c r="D216">
        <f ca="1">IFERROR(__xludf.DUMMYFUNCTION("""COMPUTED_VALUE"""),16)</f>
        <v>16</v>
      </c>
      <c r="E216">
        <f ca="1">IFERROR(__xludf.DUMMYFUNCTION("""COMPUTED_VALUE"""),3.18)</f>
        <v>3.18</v>
      </c>
      <c r="F216">
        <f ca="1">IFERROR(__xludf.DUMMYFUNCTION("""COMPUTED_VALUE"""),216)</f>
        <v>216</v>
      </c>
      <c r="G216">
        <f ca="1">IFERROR(__xludf.DUMMYFUNCTION("""COMPUTED_VALUE"""),68)</f>
        <v>68</v>
      </c>
    </row>
    <row r="217" spans="1:7" ht="12.75">
      <c r="A217" t="str">
        <f ca="1">IFERROR(__xludf.DUMMYFUNCTION("""COMPUTED_VALUE"""),"T212")</f>
        <v>T212</v>
      </c>
      <c r="B217" t="str">
        <f ca="1">IFERROR(__xludf.DUMMYFUNCTION("""COMPUTED_VALUE"""),"T239")</f>
        <v>T239</v>
      </c>
      <c r="C217" t="str">
        <f ca="1">IFERROR(__xludf.DUMMYFUNCTION("""COMPUTED_VALUE"""),"Jamie Lovemark")</f>
        <v>Jamie Lovemark</v>
      </c>
      <c r="D217">
        <f ca="1">IFERROR(__xludf.DUMMYFUNCTION("""COMPUTED_VALUE"""),18)</f>
        <v>18</v>
      </c>
      <c r="E217">
        <f ca="1">IFERROR(__xludf.DUMMYFUNCTION("""COMPUTED_VALUE"""),3.18)</f>
        <v>3.18</v>
      </c>
      <c r="F217">
        <f ca="1">IFERROR(__xludf.DUMMYFUNCTION("""COMPUTED_VALUE"""),242)</f>
        <v>242</v>
      </c>
      <c r="G217">
        <f ca="1">IFERROR(__xludf.DUMMYFUNCTION("""COMPUTED_VALUE"""),76)</f>
        <v>76</v>
      </c>
    </row>
    <row r="218" spans="1:7" ht="12.75">
      <c r="A218" t="str">
        <f ca="1">IFERROR(__xludf.DUMMYFUNCTION("""COMPUTED_VALUE"""),"T217")</f>
        <v>T217</v>
      </c>
      <c r="B218" t="str">
        <f ca="1">IFERROR(__xludf.DUMMYFUNCTION("""COMPUTED_VALUE"""),"T204")</f>
        <v>T204</v>
      </c>
      <c r="C218" t="str">
        <f ca="1">IFERROR(__xludf.DUMMYFUNCTION("""COMPUTED_VALUE"""),"Peter Uihlein")</f>
        <v>Peter Uihlein</v>
      </c>
      <c r="D218">
        <f ca="1">IFERROR(__xludf.DUMMYFUNCTION("""COMPUTED_VALUE"""),8)</f>
        <v>8</v>
      </c>
      <c r="E218">
        <f ca="1">IFERROR(__xludf.DUMMYFUNCTION("""COMPUTED_VALUE"""),3.19)</f>
        <v>3.19</v>
      </c>
      <c r="F218">
        <f ca="1">IFERROR(__xludf.DUMMYFUNCTION("""COMPUTED_VALUE"""),102)</f>
        <v>102</v>
      </c>
      <c r="G218">
        <f ca="1">IFERROR(__xludf.DUMMYFUNCTION("""COMPUTED_VALUE"""),32)</f>
        <v>32</v>
      </c>
    </row>
    <row r="219" spans="1:7" ht="12.75">
      <c r="A219" t="str">
        <f ca="1">IFERROR(__xludf.DUMMYFUNCTION("""COMPUTED_VALUE"""),"T217")</f>
        <v>T217</v>
      </c>
      <c r="B219" t="str">
        <f ca="1">IFERROR(__xludf.DUMMYFUNCTION("""COMPUTED_VALUE"""),"T204")</f>
        <v>T204</v>
      </c>
      <c r="C219" t="str">
        <f ca="1">IFERROR(__xludf.DUMMYFUNCTION("""COMPUTED_VALUE"""),"Ryan Blaum")</f>
        <v>Ryan Blaum</v>
      </c>
      <c r="D219">
        <f ca="1">IFERROR(__xludf.DUMMYFUNCTION("""COMPUTED_VALUE"""),8)</f>
        <v>8</v>
      </c>
      <c r="E219">
        <f ca="1">IFERROR(__xludf.DUMMYFUNCTION("""COMPUTED_VALUE"""),3.19)</f>
        <v>3.19</v>
      </c>
      <c r="F219">
        <f ca="1">IFERROR(__xludf.DUMMYFUNCTION("""COMPUTED_VALUE"""),102)</f>
        <v>102</v>
      </c>
      <c r="G219">
        <f ca="1">IFERROR(__xludf.DUMMYFUNCTION("""COMPUTED_VALUE"""),32)</f>
        <v>32</v>
      </c>
    </row>
    <row r="220" spans="1:7" ht="12.75">
      <c r="A220" t="str">
        <f ca="1">IFERROR(__xludf.DUMMYFUNCTION("""COMPUTED_VALUE"""),"T217")</f>
        <v>T217</v>
      </c>
      <c r="B220" t="str">
        <f ca="1">IFERROR(__xludf.DUMMYFUNCTION("""COMPUTED_VALUE"""),"T204")</f>
        <v>T204</v>
      </c>
      <c r="C220" t="str">
        <f ca="1">IFERROR(__xludf.DUMMYFUNCTION("""COMPUTED_VALUE"""),"Jay McLuen")</f>
        <v>Jay McLuen</v>
      </c>
      <c r="D220">
        <f ca="1">IFERROR(__xludf.DUMMYFUNCTION("""COMPUTED_VALUE"""),4)</f>
        <v>4</v>
      </c>
      <c r="E220">
        <f ca="1">IFERROR(__xludf.DUMMYFUNCTION("""COMPUTED_VALUE"""),3.19)</f>
        <v>3.19</v>
      </c>
      <c r="F220">
        <f ca="1">IFERROR(__xludf.DUMMYFUNCTION("""COMPUTED_VALUE"""),51)</f>
        <v>51</v>
      </c>
      <c r="G220">
        <f ca="1">IFERROR(__xludf.DUMMYFUNCTION("""COMPUTED_VALUE"""),16)</f>
        <v>16</v>
      </c>
    </row>
    <row r="221" spans="1:7" ht="12.75">
      <c r="A221" t="str">
        <f ca="1">IFERROR(__xludf.DUMMYFUNCTION("""COMPUTED_VALUE"""),"T217")</f>
        <v>T217</v>
      </c>
      <c r="B221" t="str">
        <f ca="1">IFERROR(__xludf.DUMMYFUNCTION("""COMPUTED_VALUE"""),"T204")</f>
        <v>T204</v>
      </c>
      <c r="C221" t="str">
        <f ca="1">IFERROR(__xludf.DUMMYFUNCTION("""COMPUTED_VALUE"""),"Lee Westwood")</f>
        <v>Lee Westwood</v>
      </c>
      <c r="D221">
        <f ca="1">IFERROR(__xludf.DUMMYFUNCTION("""COMPUTED_VALUE"""),6)</f>
        <v>6</v>
      </c>
      <c r="E221">
        <f ca="1">IFERROR(__xludf.DUMMYFUNCTION("""COMPUTED_VALUE"""),3.19)</f>
        <v>3.19</v>
      </c>
      <c r="F221">
        <f ca="1">IFERROR(__xludf.DUMMYFUNCTION("""COMPUTED_VALUE"""),83)</f>
        <v>83</v>
      </c>
      <c r="G221">
        <f ca="1">IFERROR(__xludf.DUMMYFUNCTION("""COMPUTED_VALUE"""),26)</f>
        <v>26</v>
      </c>
    </row>
    <row r="222" spans="1:7" ht="12.75">
      <c r="A222" t="str">
        <f ca="1">IFERROR(__xludf.DUMMYFUNCTION("""COMPUTED_VALUE"""),"T217")</f>
        <v>T217</v>
      </c>
      <c r="B222" t="str">
        <f ca="1">IFERROR(__xludf.DUMMYFUNCTION("""COMPUTED_VALUE"""),"T204")</f>
        <v>T204</v>
      </c>
      <c r="C222" t="str">
        <f ca="1">IFERROR(__xludf.DUMMYFUNCTION("""COMPUTED_VALUE"""),"John Senden")</f>
        <v>John Senden</v>
      </c>
      <c r="D222">
        <f ca="1">IFERROR(__xludf.DUMMYFUNCTION("""COMPUTED_VALUE"""),8)</f>
        <v>8</v>
      </c>
      <c r="E222">
        <f ca="1">IFERROR(__xludf.DUMMYFUNCTION("""COMPUTED_VALUE"""),3.19)</f>
        <v>3.19</v>
      </c>
      <c r="F222">
        <f ca="1">IFERROR(__xludf.DUMMYFUNCTION("""COMPUTED_VALUE"""),102)</f>
        <v>102</v>
      </c>
      <c r="G222">
        <f ca="1">IFERROR(__xludf.DUMMYFUNCTION("""COMPUTED_VALUE"""),32)</f>
        <v>32</v>
      </c>
    </row>
    <row r="223" spans="1:7" ht="12.75">
      <c r="A223" t="str">
        <f ca="1">IFERROR(__xludf.DUMMYFUNCTION("""COMPUTED_VALUE"""),"T217")</f>
        <v>T217</v>
      </c>
      <c r="B223" t="str">
        <f ca="1">IFERROR(__xludf.DUMMYFUNCTION("""COMPUTED_VALUE"""),"T194")</f>
        <v>T194</v>
      </c>
      <c r="C223" t="str">
        <f ca="1">IFERROR(__xludf.DUMMYFUNCTION("""COMPUTED_VALUE"""),"Bo Van Pelt")</f>
        <v>Bo Van Pelt</v>
      </c>
      <c r="D223">
        <f ca="1">IFERROR(__xludf.DUMMYFUNCTION("""COMPUTED_VALUE"""),10)</f>
        <v>10</v>
      </c>
      <c r="E223">
        <f ca="1">IFERROR(__xludf.DUMMYFUNCTION("""COMPUTED_VALUE"""),3.19)</f>
        <v>3.19</v>
      </c>
      <c r="F223">
        <f ca="1">IFERROR(__xludf.DUMMYFUNCTION("""COMPUTED_VALUE"""),134)</f>
        <v>134</v>
      </c>
      <c r="G223">
        <f ca="1">IFERROR(__xludf.DUMMYFUNCTION("""COMPUTED_VALUE"""),42)</f>
        <v>42</v>
      </c>
    </row>
    <row r="224" spans="1:7" ht="12.75">
      <c r="A224" t="str">
        <f ca="1">IFERROR(__xludf.DUMMYFUNCTION("""COMPUTED_VALUE"""),"T217")</f>
        <v>T217</v>
      </c>
      <c r="B224" t="str">
        <f ca="1">IFERROR(__xludf.DUMMYFUNCTION("""COMPUTED_VALUE"""),"T204")</f>
        <v>T204</v>
      </c>
      <c r="C224" t="str">
        <f ca="1">IFERROR(__xludf.DUMMYFUNCTION("""COMPUTED_VALUE"""),"Thomas Pieters")</f>
        <v>Thomas Pieters</v>
      </c>
      <c r="D224">
        <f ca="1">IFERROR(__xludf.DUMMYFUNCTION("""COMPUTED_VALUE"""),4)</f>
        <v>4</v>
      </c>
      <c r="E224">
        <f ca="1">IFERROR(__xludf.DUMMYFUNCTION("""COMPUTED_VALUE"""),3.19)</f>
        <v>3.19</v>
      </c>
      <c r="F224">
        <f ca="1">IFERROR(__xludf.DUMMYFUNCTION("""COMPUTED_VALUE"""),51)</f>
        <v>51</v>
      </c>
      <c r="G224">
        <f ca="1">IFERROR(__xludf.DUMMYFUNCTION("""COMPUTED_VALUE"""),16)</f>
        <v>16</v>
      </c>
    </row>
    <row r="225" spans="1:7" ht="12.75">
      <c r="A225" t="str">
        <f ca="1">IFERROR(__xludf.DUMMYFUNCTION("""COMPUTED_VALUE"""),"T217")</f>
        <v>T217</v>
      </c>
      <c r="B225" t="str">
        <f ca="1">IFERROR(__xludf.DUMMYFUNCTION("""COMPUTED_VALUE"""),"T204")</f>
        <v>T204</v>
      </c>
      <c r="C225" t="str">
        <f ca="1">IFERROR(__xludf.DUMMYFUNCTION("""COMPUTED_VALUE"""),"Sebastian Cappelen")</f>
        <v>Sebastian Cappelen</v>
      </c>
      <c r="D225">
        <f ca="1">IFERROR(__xludf.DUMMYFUNCTION("""COMPUTED_VALUE"""),8)</f>
        <v>8</v>
      </c>
      <c r="E225">
        <f ca="1">IFERROR(__xludf.DUMMYFUNCTION("""COMPUTED_VALUE"""),3.19)</f>
        <v>3.19</v>
      </c>
      <c r="F225">
        <f ca="1">IFERROR(__xludf.DUMMYFUNCTION("""COMPUTED_VALUE"""),102)</f>
        <v>102</v>
      </c>
      <c r="G225">
        <f ca="1">IFERROR(__xludf.DUMMYFUNCTION("""COMPUTED_VALUE"""),32)</f>
        <v>32</v>
      </c>
    </row>
    <row r="226" spans="1:7" ht="12.75">
      <c r="A226" t="str">
        <f ca="1">IFERROR(__xludf.DUMMYFUNCTION("""COMPUTED_VALUE"""),"T217")</f>
        <v>T217</v>
      </c>
      <c r="B226" t="str">
        <f ca="1">IFERROR(__xludf.DUMMYFUNCTION("""COMPUTED_VALUE"""),"T204")</f>
        <v>T204</v>
      </c>
      <c r="C226" t="str">
        <f ca="1">IFERROR(__xludf.DUMMYFUNCTION("""COMPUTED_VALUE"""),"Stephan Jaeger")</f>
        <v>Stephan Jaeger</v>
      </c>
      <c r="D226">
        <f ca="1">IFERROR(__xludf.DUMMYFUNCTION("""COMPUTED_VALUE"""),4)</f>
        <v>4</v>
      </c>
      <c r="E226">
        <f ca="1">IFERROR(__xludf.DUMMYFUNCTION("""COMPUTED_VALUE"""),3.19)</f>
        <v>3.19</v>
      </c>
      <c r="F226">
        <f ca="1">IFERROR(__xludf.DUMMYFUNCTION("""COMPUTED_VALUE"""),51)</f>
        <v>51</v>
      </c>
      <c r="G226">
        <f ca="1">IFERROR(__xludf.DUMMYFUNCTION("""COMPUTED_VALUE"""),16)</f>
        <v>16</v>
      </c>
    </row>
    <row r="227" spans="1:7" ht="12.75">
      <c r="A227" t="str">
        <f ca="1">IFERROR(__xludf.DUMMYFUNCTION("""COMPUTED_VALUE"""),"T217")</f>
        <v>T217</v>
      </c>
      <c r="B227" t="str">
        <f ca="1">IFERROR(__xludf.DUMMYFUNCTION("""COMPUTED_VALUE"""),"T204")</f>
        <v>T204</v>
      </c>
      <c r="C227" t="str">
        <f ca="1">IFERROR(__xludf.DUMMYFUNCTION("""COMPUTED_VALUE"""),"Willy Pumarol")</f>
        <v>Willy Pumarol</v>
      </c>
      <c r="D227">
        <f ca="1">IFERROR(__xludf.DUMMYFUNCTION("""COMPUTED_VALUE"""),4)</f>
        <v>4</v>
      </c>
      <c r="E227">
        <f ca="1">IFERROR(__xludf.DUMMYFUNCTION("""COMPUTED_VALUE"""),3.19)</f>
        <v>3.19</v>
      </c>
      <c r="F227">
        <f ca="1">IFERROR(__xludf.DUMMYFUNCTION("""COMPUTED_VALUE"""),51)</f>
        <v>51</v>
      </c>
      <c r="G227">
        <f ca="1">IFERROR(__xludf.DUMMYFUNCTION("""COMPUTED_VALUE"""),16)</f>
        <v>16</v>
      </c>
    </row>
    <row r="228" spans="1:7" ht="12.75">
      <c r="A228" t="str">
        <f ca="1">IFERROR(__xludf.DUMMYFUNCTION("""COMPUTED_VALUE"""),"T217")</f>
        <v>T217</v>
      </c>
      <c r="B228" t="str">
        <f ca="1">IFERROR(__xludf.DUMMYFUNCTION("""COMPUTED_VALUE"""),"T221")</f>
        <v>T221</v>
      </c>
      <c r="C228" t="str">
        <f ca="1">IFERROR(__xludf.DUMMYFUNCTION("""COMPUTED_VALUE"""),"Kristoffer Ventura")</f>
        <v>Kristoffer Ventura</v>
      </c>
      <c r="D228">
        <f ca="1">IFERROR(__xludf.DUMMYFUNCTION("""COMPUTED_VALUE"""),20)</f>
        <v>20</v>
      </c>
      <c r="E228">
        <f ca="1">IFERROR(__xludf.DUMMYFUNCTION("""COMPUTED_VALUE"""),3.19)</f>
        <v>3.19</v>
      </c>
      <c r="F228">
        <f ca="1">IFERROR(__xludf.DUMMYFUNCTION("""COMPUTED_VALUE"""),268)</f>
        <v>268</v>
      </c>
      <c r="G228">
        <f ca="1">IFERROR(__xludf.DUMMYFUNCTION("""COMPUTED_VALUE"""),84)</f>
        <v>84</v>
      </c>
    </row>
    <row r="229" spans="1:7" ht="12.75">
      <c r="A229" t="str">
        <f ca="1">IFERROR(__xludf.DUMMYFUNCTION("""COMPUTED_VALUE"""),"T217")</f>
        <v>T217</v>
      </c>
      <c r="B229" t="str">
        <f ca="1">IFERROR(__xludf.DUMMYFUNCTION("""COMPUTED_VALUE"""),"T204")</f>
        <v>T204</v>
      </c>
      <c r="C229" t="str">
        <f ca="1">IFERROR(__xludf.DUMMYFUNCTION("""COMPUTED_VALUE"""),"Kurt Kitayama")</f>
        <v>Kurt Kitayama</v>
      </c>
      <c r="D229">
        <f ca="1">IFERROR(__xludf.DUMMYFUNCTION("""COMPUTED_VALUE"""),4)</f>
        <v>4</v>
      </c>
      <c r="E229">
        <f ca="1">IFERROR(__xludf.DUMMYFUNCTION("""COMPUTED_VALUE"""),3.19)</f>
        <v>3.19</v>
      </c>
      <c r="F229">
        <f ca="1">IFERROR(__xludf.DUMMYFUNCTION("""COMPUTED_VALUE"""),51)</f>
        <v>51</v>
      </c>
      <c r="G229">
        <f ca="1">IFERROR(__xludf.DUMMYFUNCTION("""COMPUTED_VALUE"""),16)</f>
        <v>16</v>
      </c>
    </row>
    <row r="230" spans="1:7" ht="12.75">
      <c r="A230" t="str">
        <f ca="1">IFERROR(__xludf.DUMMYFUNCTION("""COMPUTED_VALUE"""),"T217")</f>
        <v>T217</v>
      </c>
      <c r="B230" t="str">
        <f ca="1">IFERROR(__xludf.DUMMYFUNCTION("""COMPUTED_VALUE"""),"T204")</f>
        <v>T204</v>
      </c>
      <c r="C230" t="str">
        <f ca="1">IFERROR(__xludf.DUMMYFUNCTION("""COMPUTED_VALUE"""),"Jaekyeong Lee")</f>
        <v>Jaekyeong Lee</v>
      </c>
      <c r="D230">
        <f ca="1">IFERROR(__xludf.DUMMYFUNCTION("""COMPUTED_VALUE"""),4)</f>
        <v>4</v>
      </c>
      <c r="E230">
        <f ca="1">IFERROR(__xludf.DUMMYFUNCTION("""COMPUTED_VALUE"""),3.19)</f>
        <v>3.19</v>
      </c>
      <c r="F230">
        <f ca="1">IFERROR(__xludf.DUMMYFUNCTION("""COMPUTED_VALUE"""),51)</f>
        <v>51</v>
      </c>
      <c r="G230">
        <f ca="1">IFERROR(__xludf.DUMMYFUNCTION("""COMPUTED_VALUE"""),16)</f>
        <v>16</v>
      </c>
    </row>
    <row r="231" spans="1:7" ht="12.75">
      <c r="A231" t="str">
        <f ca="1">IFERROR(__xludf.DUMMYFUNCTION("""COMPUTED_VALUE"""),"T217")</f>
        <v>T217</v>
      </c>
      <c r="B231" t="str">
        <f ca="1">IFERROR(__xludf.DUMMYFUNCTION("""COMPUTED_VALUE"""),"T204")</f>
        <v>T204</v>
      </c>
      <c r="C231" t="str">
        <f ca="1">IFERROR(__xludf.DUMMYFUNCTION("""COMPUTED_VALUE"""),"Taylor Pendrith")</f>
        <v>Taylor Pendrith</v>
      </c>
      <c r="D231">
        <f ca="1">IFERROR(__xludf.DUMMYFUNCTION("""COMPUTED_VALUE"""),4)</f>
        <v>4</v>
      </c>
      <c r="E231">
        <f ca="1">IFERROR(__xludf.DUMMYFUNCTION("""COMPUTED_VALUE"""),3.19)</f>
        <v>3.19</v>
      </c>
      <c r="F231">
        <f ca="1">IFERROR(__xludf.DUMMYFUNCTION("""COMPUTED_VALUE"""),51)</f>
        <v>51</v>
      </c>
      <c r="G231">
        <f ca="1">IFERROR(__xludf.DUMMYFUNCTION("""COMPUTED_VALUE"""),16)</f>
        <v>16</v>
      </c>
    </row>
    <row r="232" spans="1:7" ht="12.75">
      <c r="A232" t="str">
        <f ca="1">IFERROR(__xludf.DUMMYFUNCTION("""COMPUTED_VALUE"""),"T217")</f>
        <v>T217</v>
      </c>
      <c r="B232" t="str">
        <f ca="1">IFERROR(__xludf.DUMMYFUNCTION("""COMPUTED_VALUE"""),"T204")</f>
        <v>T204</v>
      </c>
      <c r="C232" t="str">
        <f ca="1">IFERROR(__xludf.DUMMYFUNCTION("""COMPUTED_VALUE"""),"Christiaan Bezuidenhout")</f>
        <v>Christiaan Bezuidenhout</v>
      </c>
      <c r="D232">
        <f ca="1">IFERROR(__xludf.DUMMYFUNCTION("""COMPUTED_VALUE"""),4)</f>
        <v>4</v>
      </c>
      <c r="E232">
        <f ca="1">IFERROR(__xludf.DUMMYFUNCTION("""COMPUTED_VALUE"""),3.19)</f>
        <v>3.19</v>
      </c>
      <c r="F232">
        <f ca="1">IFERROR(__xludf.DUMMYFUNCTION("""COMPUTED_VALUE"""),51)</f>
        <v>51</v>
      </c>
      <c r="G232">
        <f ca="1">IFERROR(__xludf.DUMMYFUNCTION("""COMPUTED_VALUE"""),16)</f>
        <v>16</v>
      </c>
    </row>
    <row r="233" spans="1:7" ht="12.75">
      <c r="A233" t="str">
        <f ca="1">IFERROR(__xludf.DUMMYFUNCTION("""COMPUTED_VALUE"""),"T232")</f>
        <v>T232</v>
      </c>
      <c r="B233" t="str">
        <f ca="1">IFERROR(__xludf.DUMMYFUNCTION("""COMPUTED_VALUE"""),"T221")</f>
        <v>T221</v>
      </c>
      <c r="C233" t="str">
        <f ca="1">IFERROR(__xludf.DUMMYFUNCTION("""COMPUTED_VALUE"""),"Zac Blair")</f>
        <v>Zac Blair</v>
      </c>
      <c r="D233">
        <f ca="1">IFERROR(__xludf.DUMMYFUNCTION("""COMPUTED_VALUE"""),10)</f>
        <v>10</v>
      </c>
      <c r="E233">
        <f ca="1">IFERROR(__xludf.DUMMYFUNCTION("""COMPUTED_VALUE"""),3.2)</f>
        <v>3.2</v>
      </c>
      <c r="F233">
        <f ca="1">IFERROR(__xludf.DUMMYFUNCTION("""COMPUTED_VALUE"""),128)</f>
        <v>128</v>
      </c>
      <c r="G233">
        <f ca="1">IFERROR(__xludf.DUMMYFUNCTION("""COMPUTED_VALUE"""),40)</f>
        <v>40</v>
      </c>
    </row>
    <row r="234" spans="1:7" ht="12.75">
      <c r="A234" t="str">
        <f ca="1">IFERROR(__xludf.DUMMYFUNCTION("""COMPUTED_VALUE"""),"T232")</f>
        <v>T232</v>
      </c>
      <c r="B234" t="str">
        <f ca="1">IFERROR(__xludf.DUMMYFUNCTION("""COMPUTED_VALUE"""),"T184")</f>
        <v>T184</v>
      </c>
      <c r="C234" t="str">
        <f ca="1">IFERROR(__xludf.DUMMYFUNCTION("""COMPUTED_VALUE"""),"Michael Kim")</f>
        <v>Michael Kim</v>
      </c>
      <c r="D234">
        <f ca="1">IFERROR(__xludf.DUMMYFUNCTION("""COMPUTED_VALUE"""),12)</f>
        <v>12</v>
      </c>
      <c r="E234">
        <f ca="1">IFERROR(__xludf.DUMMYFUNCTION("""COMPUTED_VALUE"""),3.2)</f>
        <v>3.2</v>
      </c>
      <c r="F234">
        <f ca="1">IFERROR(__xludf.DUMMYFUNCTION("""COMPUTED_VALUE"""),160)</f>
        <v>160</v>
      </c>
      <c r="G234">
        <f ca="1">IFERROR(__xludf.DUMMYFUNCTION("""COMPUTED_VALUE"""),50)</f>
        <v>50</v>
      </c>
    </row>
    <row r="235" spans="1:7" ht="12.75">
      <c r="A235" t="str">
        <f ca="1">IFERROR(__xludf.DUMMYFUNCTION("""COMPUTED_VALUE"""),"T232")</f>
        <v>T232</v>
      </c>
      <c r="B235" t="str">
        <f ca="1">IFERROR(__xludf.DUMMYFUNCTION("""COMPUTED_VALUE"""),"T221")</f>
        <v>T221</v>
      </c>
      <c r="C235" t="str">
        <f ca="1">IFERROR(__xludf.DUMMYFUNCTION("""COMPUTED_VALUE"""),"Jonathan Byrd")</f>
        <v>Jonathan Byrd</v>
      </c>
      <c r="D235">
        <f ca="1">IFERROR(__xludf.DUMMYFUNCTION("""COMPUTED_VALUE"""),14)</f>
        <v>14</v>
      </c>
      <c r="E235">
        <f ca="1">IFERROR(__xludf.DUMMYFUNCTION("""COMPUTED_VALUE"""),3.2)</f>
        <v>3.2</v>
      </c>
      <c r="F235">
        <f ca="1">IFERROR(__xludf.DUMMYFUNCTION("""COMPUTED_VALUE"""),179)</f>
        <v>179</v>
      </c>
      <c r="G235">
        <f ca="1">IFERROR(__xludf.DUMMYFUNCTION("""COMPUTED_VALUE"""),56)</f>
        <v>56</v>
      </c>
    </row>
    <row r="236" spans="1:7" ht="12.75">
      <c r="A236" t="str">
        <f ca="1">IFERROR(__xludf.DUMMYFUNCTION("""COMPUTED_VALUE"""),"T232")</f>
        <v>T232</v>
      </c>
      <c r="B236" t="str">
        <f ca="1">IFERROR(__xludf.DUMMYFUNCTION("""COMPUTED_VALUE"""),"T221")</f>
        <v>T221</v>
      </c>
      <c r="C236" t="str">
        <f ca="1">IFERROR(__xludf.DUMMYFUNCTION("""COMPUTED_VALUE"""),"Rob Oppenheim")</f>
        <v>Rob Oppenheim</v>
      </c>
      <c r="D236">
        <f ca="1">IFERROR(__xludf.DUMMYFUNCTION("""COMPUTED_VALUE"""),16)</f>
        <v>16</v>
      </c>
      <c r="E236">
        <f ca="1">IFERROR(__xludf.DUMMYFUNCTION("""COMPUTED_VALUE"""),3.2)</f>
        <v>3.2</v>
      </c>
      <c r="F236">
        <f ca="1">IFERROR(__xludf.DUMMYFUNCTION("""COMPUTED_VALUE"""),205)</f>
        <v>205</v>
      </c>
      <c r="G236">
        <f ca="1">IFERROR(__xludf.DUMMYFUNCTION("""COMPUTED_VALUE"""),64)</f>
        <v>64</v>
      </c>
    </row>
    <row r="237" spans="1:7" ht="12.75">
      <c r="A237" t="str">
        <f ca="1">IFERROR(__xludf.DUMMYFUNCTION("""COMPUTED_VALUE"""),"T232")</f>
        <v>T232</v>
      </c>
      <c r="B237" t="str">
        <f ca="1">IFERROR(__xludf.DUMMYFUNCTION("""COMPUTED_VALUE"""),"T202")</f>
        <v>T202</v>
      </c>
      <c r="C237" t="str">
        <f ca="1">IFERROR(__xludf.DUMMYFUNCTION("""COMPUTED_VALUE"""),"Henrik Norlander")</f>
        <v>Henrik Norlander</v>
      </c>
      <c r="D237">
        <f ca="1">IFERROR(__xludf.DUMMYFUNCTION("""COMPUTED_VALUE"""),16)</f>
        <v>16</v>
      </c>
      <c r="E237">
        <f ca="1">IFERROR(__xludf.DUMMYFUNCTION("""COMPUTED_VALUE"""),3.2)</f>
        <v>3.2</v>
      </c>
      <c r="F237">
        <f ca="1">IFERROR(__xludf.DUMMYFUNCTION("""COMPUTED_VALUE"""),211)</f>
        <v>211</v>
      </c>
      <c r="G237">
        <f ca="1">IFERROR(__xludf.DUMMYFUNCTION("""COMPUTED_VALUE"""),66)</f>
        <v>66</v>
      </c>
    </row>
    <row r="238" spans="1:7" ht="12.75">
      <c r="A238" t="str">
        <f ca="1">IFERROR(__xludf.DUMMYFUNCTION("""COMPUTED_VALUE"""),"T237")</f>
        <v>T237</v>
      </c>
      <c r="B238" t="str">
        <f ca="1">IFERROR(__xludf.DUMMYFUNCTION("""COMPUTED_VALUE"""),"T225")</f>
        <v>T225</v>
      </c>
      <c r="C238" t="str">
        <f ca="1">IFERROR(__xludf.DUMMYFUNCTION("""COMPUTED_VALUE"""),"Kiradech Aphibarnrat")</f>
        <v>Kiradech Aphibarnrat</v>
      </c>
      <c r="D238">
        <f ca="1">IFERROR(__xludf.DUMMYFUNCTION("""COMPUTED_VALUE"""),12)</f>
        <v>12</v>
      </c>
      <c r="E238">
        <f ca="1">IFERROR(__xludf.DUMMYFUNCTION("""COMPUTED_VALUE"""),3.21)</f>
        <v>3.21</v>
      </c>
      <c r="F238">
        <f ca="1">IFERROR(__xludf.DUMMYFUNCTION("""COMPUTED_VALUE"""),154)</f>
        <v>154</v>
      </c>
      <c r="G238">
        <f ca="1">IFERROR(__xludf.DUMMYFUNCTION("""COMPUTED_VALUE"""),48)</f>
        <v>48</v>
      </c>
    </row>
    <row r="239" spans="1:7" ht="12.75">
      <c r="A239" t="str">
        <f ca="1">IFERROR(__xludf.DUMMYFUNCTION("""COMPUTED_VALUE"""),"T237")</f>
        <v>T237</v>
      </c>
      <c r="B239" t="str">
        <f ca="1">IFERROR(__xludf.DUMMYFUNCTION("""COMPUTED_VALUE"""),"T225")</f>
        <v>T225</v>
      </c>
      <c r="C239" t="str">
        <f ca="1">IFERROR(__xludf.DUMMYFUNCTION("""COMPUTED_VALUE"""),"Rafael Campos")</f>
        <v>Rafael Campos</v>
      </c>
      <c r="D239">
        <f ca="1">IFERROR(__xludf.DUMMYFUNCTION("""COMPUTED_VALUE"""),6)</f>
        <v>6</v>
      </c>
      <c r="E239">
        <f ca="1">IFERROR(__xludf.DUMMYFUNCTION("""COMPUTED_VALUE"""),3.21)</f>
        <v>3.21</v>
      </c>
      <c r="F239">
        <f ca="1">IFERROR(__xludf.DUMMYFUNCTION("""COMPUTED_VALUE"""),77)</f>
        <v>77</v>
      </c>
      <c r="G239">
        <f ca="1">IFERROR(__xludf.DUMMYFUNCTION("""COMPUTED_VALUE"""),24)</f>
        <v>24</v>
      </c>
    </row>
    <row r="240" spans="1:7" ht="12.75">
      <c r="A240" t="str">
        <f ca="1">IFERROR(__xludf.DUMMYFUNCTION("""COMPUTED_VALUE"""),"T237")</f>
        <v>T237</v>
      </c>
      <c r="B240" t="str">
        <f ca="1">IFERROR(__xludf.DUMMYFUNCTION("""COMPUTED_VALUE"""),"")</f>
        <v/>
      </c>
      <c r="C240" t="str">
        <f ca="1">IFERROR(__xludf.DUMMYFUNCTION("""COMPUTED_VALUE"""),"Justin Harding")</f>
        <v>Justin Harding</v>
      </c>
      <c r="D240">
        <f ca="1">IFERROR(__xludf.DUMMYFUNCTION("""COMPUTED_VALUE"""),6)</f>
        <v>6</v>
      </c>
      <c r="E240">
        <f ca="1">IFERROR(__xludf.DUMMYFUNCTION("""COMPUTED_VALUE"""),3.21)</f>
        <v>3.21</v>
      </c>
      <c r="F240">
        <f ca="1">IFERROR(__xludf.DUMMYFUNCTION("""COMPUTED_VALUE"""),90)</f>
        <v>90</v>
      </c>
      <c r="G240">
        <f ca="1">IFERROR(__xludf.DUMMYFUNCTION("""COMPUTED_VALUE"""),28)</f>
        <v>28</v>
      </c>
    </row>
    <row r="241" spans="1:7" ht="12.75">
      <c r="A241" t="str">
        <f ca="1">IFERROR(__xludf.DUMMYFUNCTION("""COMPUTED_VALUE"""),"T237")</f>
        <v>T237</v>
      </c>
      <c r="B241" t="str">
        <f ca="1">IFERROR(__xludf.DUMMYFUNCTION("""COMPUTED_VALUE"""),"T225")</f>
        <v>T225</v>
      </c>
      <c r="C241" t="str">
        <f ca="1">IFERROR(__xludf.DUMMYFUNCTION("""COMPUTED_VALUE"""),"Arjun Atwal")</f>
        <v>Arjun Atwal</v>
      </c>
      <c r="D241">
        <f ca="1">IFERROR(__xludf.DUMMYFUNCTION("""COMPUTED_VALUE"""),6)</f>
        <v>6</v>
      </c>
      <c r="E241">
        <f ca="1">IFERROR(__xludf.DUMMYFUNCTION("""COMPUTED_VALUE"""),3.21)</f>
        <v>3.21</v>
      </c>
      <c r="F241">
        <f ca="1">IFERROR(__xludf.DUMMYFUNCTION("""COMPUTED_VALUE"""),77)</f>
        <v>77</v>
      </c>
      <c r="G241">
        <f ca="1">IFERROR(__xludf.DUMMYFUNCTION("""COMPUTED_VALUE"""),24)</f>
        <v>24</v>
      </c>
    </row>
    <row r="242" spans="1:7" ht="12.75">
      <c r="A242" t="str">
        <f ca="1">IFERROR(__xludf.DUMMYFUNCTION("""COMPUTED_VALUE"""),"T237")</f>
        <v>T237</v>
      </c>
      <c r="B242" t="str">
        <f ca="1">IFERROR(__xludf.DUMMYFUNCTION("""COMPUTED_VALUE"""),"T244")</f>
        <v>T244</v>
      </c>
      <c r="C242" t="str">
        <f ca="1">IFERROR(__xludf.DUMMYFUNCTION("""COMPUTED_VALUE"""),"Martin Trainer")</f>
        <v>Martin Trainer</v>
      </c>
      <c r="D242">
        <f ca="1">IFERROR(__xludf.DUMMYFUNCTION("""COMPUTED_VALUE"""),10)</f>
        <v>10</v>
      </c>
      <c r="E242">
        <f ca="1">IFERROR(__xludf.DUMMYFUNCTION("""COMPUTED_VALUE"""),3.21)</f>
        <v>3.21</v>
      </c>
      <c r="F242">
        <f ca="1">IFERROR(__xludf.DUMMYFUNCTION("""COMPUTED_VALUE"""),135)</f>
        <v>135</v>
      </c>
      <c r="G242">
        <f ca="1">IFERROR(__xludf.DUMMYFUNCTION("""COMPUTED_VALUE"""),42)</f>
        <v>42</v>
      </c>
    </row>
    <row r="243" spans="1:7" ht="12.75">
      <c r="A243" t="str">
        <f ca="1">IFERROR(__xludf.DUMMYFUNCTION("""COMPUTED_VALUE"""),"T237")</f>
        <v>T237</v>
      </c>
      <c r="B243" t="str">
        <f ca="1">IFERROR(__xludf.DUMMYFUNCTION("""COMPUTED_VALUE"""),"T225")</f>
        <v>T225</v>
      </c>
      <c r="C243" t="str">
        <f ca="1">IFERROR(__xludf.DUMMYFUNCTION("""COMPUTED_VALUE"""),"Zack Sucher")</f>
        <v>Zack Sucher</v>
      </c>
      <c r="D243">
        <f ca="1">IFERROR(__xludf.DUMMYFUNCTION("""COMPUTED_VALUE"""),6)</f>
        <v>6</v>
      </c>
      <c r="E243">
        <f ca="1">IFERROR(__xludf.DUMMYFUNCTION("""COMPUTED_VALUE"""),3.21)</f>
        <v>3.21</v>
      </c>
      <c r="F243">
        <f ca="1">IFERROR(__xludf.DUMMYFUNCTION("""COMPUTED_VALUE"""),77)</f>
        <v>77</v>
      </c>
      <c r="G243">
        <f ca="1">IFERROR(__xludf.DUMMYFUNCTION("""COMPUTED_VALUE"""),24)</f>
        <v>24</v>
      </c>
    </row>
    <row r="244" spans="1:7" ht="12.75">
      <c r="A244" t="str">
        <f ca="1">IFERROR(__xludf.DUMMYFUNCTION("""COMPUTED_VALUE"""),"T243")</f>
        <v>T243</v>
      </c>
      <c r="B244" t="str">
        <f ca="1">IFERROR(__xludf.DUMMYFUNCTION("""COMPUTED_VALUE"""),"T232")</f>
        <v>T232</v>
      </c>
      <c r="C244" t="str">
        <f ca="1">IFERROR(__xludf.DUMMYFUNCTION("""COMPUTED_VALUE"""),"Chris Baker")</f>
        <v>Chris Baker</v>
      </c>
      <c r="D244">
        <f ca="1">IFERROR(__xludf.DUMMYFUNCTION("""COMPUTED_VALUE"""),8)</f>
        <v>8</v>
      </c>
      <c r="E244">
        <f ca="1">IFERROR(__xludf.DUMMYFUNCTION("""COMPUTED_VALUE"""),3.22)</f>
        <v>3.22</v>
      </c>
      <c r="F244">
        <f ca="1">IFERROR(__xludf.DUMMYFUNCTION("""COMPUTED_VALUE"""),103)</f>
        <v>103</v>
      </c>
      <c r="G244">
        <f ca="1">IFERROR(__xludf.DUMMYFUNCTION("""COMPUTED_VALUE"""),32)</f>
        <v>32</v>
      </c>
    </row>
    <row r="245" spans="1:7" ht="12.75">
      <c r="A245" t="str">
        <f ca="1">IFERROR(__xludf.DUMMYFUNCTION("""COMPUTED_VALUE"""),"T243")</f>
        <v>T243</v>
      </c>
      <c r="B245" t="str">
        <f ca="1">IFERROR(__xludf.DUMMYFUNCTION("""COMPUTED_VALUE"""),"T232")</f>
        <v>T232</v>
      </c>
      <c r="C245" t="str">
        <f ca="1">IFERROR(__xludf.DUMMYFUNCTION("""COMPUTED_VALUE"""),"Shugo Imahira")</f>
        <v>Shugo Imahira</v>
      </c>
      <c r="D245">
        <f ca="1">IFERROR(__xludf.DUMMYFUNCTION("""COMPUTED_VALUE"""),8)</f>
        <v>8</v>
      </c>
      <c r="E245">
        <f ca="1">IFERROR(__xludf.DUMMYFUNCTION("""COMPUTED_VALUE"""),3.22)</f>
        <v>3.22</v>
      </c>
      <c r="F245">
        <f ca="1">IFERROR(__xludf.DUMMYFUNCTION("""COMPUTED_VALUE"""),116)</f>
        <v>116</v>
      </c>
      <c r="G245">
        <f ca="1">IFERROR(__xludf.DUMMYFUNCTION("""COMPUTED_VALUE"""),36)</f>
        <v>36</v>
      </c>
    </row>
    <row r="246" spans="1:7" ht="12.75">
      <c r="A246" t="str">
        <f ca="1">IFERROR(__xludf.DUMMYFUNCTION("""COMPUTED_VALUE"""),"T243")</f>
        <v>T243</v>
      </c>
      <c r="B246" t="str">
        <f ca="1">IFERROR(__xludf.DUMMYFUNCTION("""COMPUTED_VALUE"""),"T232")</f>
        <v>T232</v>
      </c>
      <c r="C246" t="str">
        <f ca="1">IFERROR(__xludf.DUMMYFUNCTION("""COMPUTED_VALUE"""),"Patrick Reed")</f>
        <v>Patrick Reed</v>
      </c>
      <c r="D246">
        <f ca="1">IFERROR(__xludf.DUMMYFUNCTION("""COMPUTED_VALUE"""),8)</f>
        <v>8</v>
      </c>
      <c r="E246">
        <f ca="1">IFERROR(__xludf.DUMMYFUNCTION("""COMPUTED_VALUE"""),3.22)</f>
        <v>3.22</v>
      </c>
      <c r="F246">
        <f ca="1">IFERROR(__xludf.DUMMYFUNCTION("""COMPUTED_VALUE"""),116)</f>
        <v>116</v>
      </c>
      <c r="G246">
        <f ca="1">IFERROR(__xludf.DUMMYFUNCTION("""COMPUTED_VALUE"""),36)</f>
        <v>36</v>
      </c>
    </row>
    <row r="247" spans="1:7" ht="12.75">
      <c r="A247" t="str">
        <f ca="1">IFERROR(__xludf.DUMMYFUNCTION("""COMPUTED_VALUE"""),"T243")</f>
        <v>T243</v>
      </c>
      <c r="B247" t="str">
        <f ca="1">IFERROR(__xludf.DUMMYFUNCTION("""COMPUTED_VALUE"""),"T232")</f>
        <v>T232</v>
      </c>
      <c r="C247" t="str">
        <f ca="1">IFERROR(__xludf.DUMMYFUNCTION("""COMPUTED_VALUE"""),"Thomas Detry")</f>
        <v>Thomas Detry</v>
      </c>
      <c r="D247">
        <f ca="1">IFERROR(__xludf.DUMMYFUNCTION("""COMPUTED_VALUE"""),8)</f>
        <v>8</v>
      </c>
      <c r="E247">
        <f ca="1">IFERROR(__xludf.DUMMYFUNCTION("""COMPUTED_VALUE"""),3.22)</f>
        <v>3.22</v>
      </c>
      <c r="F247">
        <f ca="1">IFERROR(__xludf.DUMMYFUNCTION("""COMPUTED_VALUE"""),103)</f>
        <v>103</v>
      </c>
      <c r="G247">
        <f ca="1">IFERROR(__xludf.DUMMYFUNCTION("""COMPUTED_VALUE"""),32)</f>
        <v>32</v>
      </c>
    </row>
    <row r="248" spans="1:7" ht="12.75">
      <c r="A248" t="str">
        <f ca="1">IFERROR(__xludf.DUMMYFUNCTION("""COMPUTED_VALUE"""),"T243")</f>
        <v>T243</v>
      </c>
      <c r="B248" t="str">
        <f ca="1">IFERROR(__xludf.DUMMYFUNCTION("""COMPUTED_VALUE"""),"T232")</f>
        <v>T232</v>
      </c>
      <c r="C248" t="str">
        <f ca="1">IFERROR(__xludf.DUMMYFUNCTION("""COMPUTED_VALUE"""),"George McNeill")</f>
        <v>George McNeill</v>
      </c>
      <c r="D248">
        <f ca="1">IFERROR(__xludf.DUMMYFUNCTION("""COMPUTED_VALUE"""),8)</f>
        <v>8</v>
      </c>
      <c r="E248">
        <f ca="1">IFERROR(__xludf.DUMMYFUNCTION("""COMPUTED_VALUE"""),3.22)</f>
        <v>3.22</v>
      </c>
      <c r="F248">
        <f ca="1">IFERROR(__xludf.DUMMYFUNCTION("""COMPUTED_VALUE"""),103)</f>
        <v>103</v>
      </c>
      <c r="G248">
        <f ca="1">IFERROR(__xludf.DUMMYFUNCTION("""COMPUTED_VALUE"""),32)</f>
        <v>32</v>
      </c>
    </row>
    <row r="249" spans="1:7" ht="12.75">
      <c r="A249" t="str">
        <f ca="1">IFERROR(__xludf.DUMMYFUNCTION("""COMPUTED_VALUE"""),"T243")</f>
        <v>T243</v>
      </c>
      <c r="B249" t="str">
        <f ca="1">IFERROR(__xludf.DUMMYFUNCTION("""COMPUTED_VALUE"""),"T130")</f>
        <v>T130</v>
      </c>
      <c r="C249" t="str">
        <f ca="1">IFERROR(__xludf.DUMMYFUNCTION("""COMPUTED_VALUE"""),"Phil Mickelson")</f>
        <v>Phil Mickelson</v>
      </c>
      <c r="D249">
        <f ca="1">IFERROR(__xludf.DUMMYFUNCTION("""COMPUTED_VALUE"""),12)</f>
        <v>12</v>
      </c>
      <c r="E249">
        <f ca="1">IFERROR(__xludf.DUMMYFUNCTION("""COMPUTED_VALUE"""),3.22)</f>
        <v>3.22</v>
      </c>
      <c r="F249">
        <f ca="1">IFERROR(__xludf.DUMMYFUNCTION("""COMPUTED_VALUE"""),174)</f>
        <v>174</v>
      </c>
      <c r="G249">
        <f ca="1">IFERROR(__xludf.DUMMYFUNCTION("""COMPUTED_VALUE"""),54)</f>
        <v>54</v>
      </c>
    </row>
    <row r="250" spans="1:7" ht="12.75">
      <c r="A250" t="str">
        <f ca="1">IFERROR(__xludf.DUMMYFUNCTION("""COMPUTED_VALUE"""),"T243")</f>
        <v>T243</v>
      </c>
      <c r="B250" t="str">
        <f ca="1">IFERROR(__xludf.DUMMYFUNCTION("""COMPUTED_VALUE"""),"T232")</f>
        <v>T232</v>
      </c>
      <c r="C250" t="str">
        <f ca="1">IFERROR(__xludf.DUMMYFUNCTION("""COMPUTED_VALUE"""),"Matt Every")</f>
        <v>Matt Every</v>
      </c>
      <c r="D250">
        <f ca="1">IFERROR(__xludf.DUMMYFUNCTION("""COMPUTED_VALUE"""),8)</f>
        <v>8</v>
      </c>
      <c r="E250">
        <f ca="1">IFERROR(__xludf.DUMMYFUNCTION("""COMPUTED_VALUE"""),3.22)</f>
        <v>3.22</v>
      </c>
      <c r="F250">
        <f ca="1">IFERROR(__xludf.DUMMYFUNCTION("""COMPUTED_VALUE"""),103)</f>
        <v>103</v>
      </c>
      <c r="G250">
        <f ca="1">IFERROR(__xludf.DUMMYFUNCTION("""COMPUTED_VALUE"""),32)</f>
        <v>32</v>
      </c>
    </row>
    <row r="251" spans="1:7" ht="12.75">
      <c r="A251" t="str">
        <f ca="1">IFERROR(__xludf.DUMMYFUNCTION("""COMPUTED_VALUE"""),"T243")</f>
        <v>T243</v>
      </c>
      <c r="B251" t="str">
        <f ca="1">IFERROR(__xludf.DUMMYFUNCTION("""COMPUTED_VALUE"""),"T232")</f>
        <v>T232</v>
      </c>
      <c r="C251" t="str">
        <f ca="1">IFERROR(__xludf.DUMMYFUNCTION("""COMPUTED_VALUE"""),"Seamus Power")</f>
        <v>Seamus Power</v>
      </c>
      <c r="D251">
        <f ca="1">IFERROR(__xludf.DUMMYFUNCTION("""COMPUTED_VALUE"""),8)</f>
        <v>8</v>
      </c>
      <c r="E251">
        <f ca="1">IFERROR(__xludf.DUMMYFUNCTION("""COMPUTED_VALUE"""),3.22)</f>
        <v>3.22</v>
      </c>
      <c r="F251">
        <f ca="1">IFERROR(__xludf.DUMMYFUNCTION("""COMPUTED_VALUE"""),103)</f>
        <v>103</v>
      </c>
      <c r="G251">
        <f ca="1">IFERROR(__xludf.DUMMYFUNCTION("""COMPUTED_VALUE"""),32)</f>
        <v>32</v>
      </c>
    </row>
    <row r="252" spans="1:7" ht="12.75">
      <c r="A252">
        <f ca="1">IFERROR(__xludf.DUMMYFUNCTION("""COMPUTED_VALUE"""),251)</f>
        <v>251</v>
      </c>
      <c r="B252" t="str">
        <f ca="1">IFERROR(__xludf.DUMMYFUNCTION("""COMPUTED_VALUE"""),"T239")</f>
        <v>T239</v>
      </c>
      <c r="C252" t="str">
        <f ca="1">IFERROR(__xludf.DUMMYFUNCTION("""COMPUTED_VALUE"""),"MJ Daffue")</f>
        <v>MJ Daffue</v>
      </c>
      <c r="D252">
        <f ca="1">IFERROR(__xludf.DUMMYFUNCTION("""COMPUTED_VALUE"""),10)</f>
        <v>10</v>
      </c>
      <c r="E252">
        <f ca="1">IFERROR(__xludf.DUMMYFUNCTION("""COMPUTED_VALUE"""),3.23)</f>
        <v>3.23</v>
      </c>
      <c r="F252">
        <f ca="1">IFERROR(__xludf.DUMMYFUNCTION("""COMPUTED_VALUE"""),129)</f>
        <v>129</v>
      </c>
      <c r="G252">
        <f ca="1">IFERROR(__xludf.DUMMYFUNCTION("""COMPUTED_VALUE"""),40)</f>
        <v>40</v>
      </c>
    </row>
    <row r="253" spans="1:7" ht="12.75">
      <c r="A253" t="str">
        <f ca="1">IFERROR(__xludf.DUMMYFUNCTION("""COMPUTED_VALUE"""),"T252")</f>
        <v>T252</v>
      </c>
      <c r="B253" t="str">
        <f ca="1">IFERROR(__xludf.DUMMYFUNCTION("""COMPUTED_VALUE"""),"T244")</f>
        <v>T244</v>
      </c>
      <c r="C253" t="str">
        <f ca="1">IFERROR(__xludf.DUMMYFUNCTION("""COMPUTED_VALUE"""),"Lucas Glover")</f>
        <v>Lucas Glover</v>
      </c>
      <c r="D253">
        <f ca="1">IFERROR(__xludf.DUMMYFUNCTION("""COMPUTED_VALUE"""),12)</f>
        <v>12</v>
      </c>
      <c r="E253">
        <f ca="1">IFERROR(__xludf.DUMMYFUNCTION("""COMPUTED_VALUE"""),3.24)</f>
        <v>3.24</v>
      </c>
      <c r="F253">
        <f ca="1">IFERROR(__xludf.DUMMYFUNCTION("""COMPUTED_VALUE"""),162)</f>
        <v>162</v>
      </c>
      <c r="G253">
        <f ca="1">IFERROR(__xludf.DUMMYFUNCTION("""COMPUTED_VALUE"""),50)</f>
        <v>50</v>
      </c>
    </row>
    <row r="254" spans="1:7" ht="12.75">
      <c r="A254" t="str">
        <f ca="1">IFERROR(__xludf.DUMMYFUNCTION("""COMPUTED_VALUE"""),"T252")</f>
        <v>T252</v>
      </c>
      <c r="B254" t="str">
        <f ca="1">IFERROR(__xludf.DUMMYFUNCTION("""COMPUTED_VALUE"""),"T257")</f>
        <v>T257</v>
      </c>
      <c r="C254" t="str">
        <f ca="1">IFERROR(__xludf.DUMMYFUNCTION("""COMPUTED_VALUE"""),"Jimmy Walker")</f>
        <v>Jimmy Walker</v>
      </c>
      <c r="D254">
        <f ca="1">IFERROR(__xludf.DUMMYFUNCTION("""COMPUTED_VALUE"""),10)</f>
        <v>10</v>
      </c>
      <c r="E254">
        <f ca="1">IFERROR(__xludf.DUMMYFUNCTION("""COMPUTED_VALUE"""),3.24)</f>
        <v>3.24</v>
      </c>
      <c r="F254">
        <f ca="1">IFERROR(__xludf.DUMMYFUNCTION("""COMPUTED_VALUE"""),136)</f>
        <v>136</v>
      </c>
      <c r="G254">
        <f ca="1">IFERROR(__xludf.DUMMYFUNCTION("""COMPUTED_VALUE"""),42)</f>
        <v>42</v>
      </c>
    </row>
    <row r="255" spans="1:7" ht="12.75">
      <c r="A255" t="str">
        <f ca="1">IFERROR(__xludf.DUMMYFUNCTION("""COMPUTED_VALUE"""),"T254")</f>
        <v>T254</v>
      </c>
      <c r="B255" t="str">
        <f ca="1">IFERROR(__xludf.DUMMYFUNCTION("""COMPUTED_VALUE"""),"T244")</f>
        <v>T244</v>
      </c>
      <c r="C255" t="str">
        <f ca="1">IFERROR(__xludf.DUMMYFUNCTION("""COMPUTED_VALUE"""),"Marc Leishman")</f>
        <v>Marc Leishman</v>
      </c>
      <c r="D255">
        <f ca="1">IFERROR(__xludf.DUMMYFUNCTION("""COMPUTED_VALUE"""),10)</f>
        <v>10</v>
      </c>
      <c r="E255">
        <f ca="1">IFERROR(__xludf.DUMMYFUNCTION("""COMPUTED_VALUE"""),3.25)</f>
        <v>3.25</v>
      </c>
      <c r="F255">
        <f ca="1">IFERROR(__xludf.DUMMYFUNCTION("""COMPUTED_VALUE"""),143)</f>
        <v>143</v>
      </c>
      <c r="G255">
        <f ca="1">IFERROR(__xludf.DUMMYFUNCTION("""COMPUTED_VALUE"""),44)</f>
        <v>44</v>
      </c>
    </row>
    <row r="256" spans="1:7" ht="12.75">
      <c r="A256" t="str">
        <f ca="1">IFERROR(__xludf.DUMMYFUNCTION("""COMPUTED_VALUE"""),"T254")</f>
        <v>T254</v>
      </c>
      <c r="B256" t="str">
        <f ca="1">IFERROR(__xludf.DUMMYFUNCTION("""COMPUTED_VALUE"""),"T244")</f>
        <v>T244</v>
      </c>
      <c r="C256" t="str">
        <f ca="1">IFERROR(__xludf.DUMMYFUNCTION("""COMPUTED_VALUE"""),"Alex Cejka")</f>
        <v>Alex Cejka</v>
      </c>
      <c r="D256">
        <f ca="1">IFERROR(__xludf.DUMMYFUNCTION("""COMPUTED_VALUE"""),6)</f>
        <v>6</v>
      </c>
      <c r="E256">
        <f ca="1">IFERROR(__xludf.DUMMYFUNCTION("""COMPUTED_VALUE"""),3.25)</f>
        <v>3.25</v>
      </c>
      <c r="F256">
        <f ca="1">IFERROR(__xludf.DUMMYFUNCTION("""COMPUTED_VALUE"""),78)</f>
        <v>78</v>
      </c>
      <c r="G256">
        <f ca="1">IFERROR(__xludf.DUMMYFUNCTION("""COMPUTED_VALUE"""),24)</f>
        <v>24</v>
      </c>
    </row>
    <row r="257" spans="1:7" ht="12.75">
      <c r="A257" t="str">
        <f ca="1">IFERROR(__xludf.DUMMYFUNCTION("""COMPUTED_VALUE"""),"T254")</f>
        <v>T254</v>
      </c>
      <c r="B257" t="str">
        <f ca="1">IFERROR(__xludf.DUMMYFUNCTION("""COMPUTED_VALUE"""),"T244")</f>
        <v>T244</v>
      </c>
      <c r="C257" t="str">
        <f ca="1">IFERROR(__xludf.DUMMYFUNCTION("""COMPUTED_VALUE"""),"Brian Gay")</f>
        <v>Brian Gay</v>
      </c>
      <c r="D257">
        <f ca="1">IFERROR(__xludf.DUMMYFUNCTION("""COMPUTED_VALUE"""),8)</f>
        <v>8</v>
      </c>
      <c r="E257">
        <f ca="1">IFERROR(__xludf.DUMMYFUNCTION("""COMPUTED_VALUE"""),3.25)</f>
        <v>3.25</v>
      </c>
      <c r="F257">
        <f ca="1">IFERROR(__xludf.DUMMYFUNCTION("""COMPUTED_VALUE"""),104)</f>
        <v>104</v>
      </c>
      <c r="G257">
        <f ca="1">IFERROR(__xludf.DUMMYFUNCTION("""COMPUTED_VALUE"""),32)</f>
        <v>32</v>
      </c>
    </row>
    <row r="258" spans="1:7" ht="12.75">
      <c r="A258" t="str">
        <f ca="1">IFERROR(__xludf.DUMMYFUNCTION("""COMPUTED_VALUE"""),"T254")</f>
        <v>T254</v>
      </c>
      <c r="B258" t="str">
        <f ca="1">IFERROR(__xludf.DUMMYFUNCTION("""COMPUTED_VALUE"""),"T244")</f>
        <v>T244</v>
      </c>
      <c r="C258" t="str">
        <f ca="1">IFERROR(__xludf.DUMMYFUNCTION("""COMPUTED_VALUE"""),"J.J. Henry")</f>
        <v>J.J. Henry</v>
      </c>
      <c r="D258">
        <f ca="1">IFERROR(__xludf.DUMMYFUNCTION("""COMPUTED_VALUE"""),4)</f>
        <v>4</v>
      </c>
      <c r="E258">
        <f ca="1">IFERROR(__xludf.DUMMYFUNCTION("""COMPUTED_VALUE"""),3.25)</f>
        <v>3.25</v>
      </c>
      <c r="F258">
        <f ca="1">IFERROR(__xludf.DUMMYFUNCTION("""COMPUTED_VALUE"""),52)</f>
        <v>52</v>
      </c>
      <c r="G258">
        <f ca="1">IFERROR(__xludf.DUMMYFUNCTION("""COMPUTED_VALUE"""),16)</f>
        <v>16</v>
      </c>
    </row>
    <row r="259" spans="1:7" ht="12.75">
      <c r="A259" t="str">
        <f ca="1">IFERROR(__xludf.DUMMYFUNCTION("""COMPUTED_VALUE"""),"T254")</f>
        <v>T254</v>
      </c>
      <c r="B259" t="str">
        <f ca="1">IFERROR(__xludf.DUMMYFUNCTION("""COMPUTED_VALUE"""),"T244")</f>
        <v>T244</v>
      </c>
      <c r="C259" t="str">
        <f ca="1">IFERROR(__xludf.DUMMYFUNCTION("""COMPUTED_VALUE"""),"Chris Stroud")</f>
        <v>Chris Stroud</v>
      </c>
      <c r="D259">
        <f ca="1">IFERROR(__xludf.DUMMYFUNCTION("""COMPUTED_VALUE"""),6)</f>
        <v>6</v>
      </c>
      <c r="E259">
        <f ca="1">IFERROR(__xludf.DUMMYFUNCTION("""COMPUTED_VALUE"""),3.25)</f>
        <v>3.25</v>
      </c>
      <c r="F259">
        <f ca="1">IFERROR(__xludf.DUMMYFUNCTION("""COMPUTED_VALUE"""),78)</f>
        <v>78</v>
      </c>
      <c r="G259">
        <f ca="1">IFERROR(__xludf.DUMMYFUNCTION("""COMPUTED_VALUE"""),24)</f>
        <v>24</v>
      </c>
    </row>
    <row r="260" spans="1:7" ht="12.75">
      <c r="A260" t="str">
        <f ca="1">IFERROR(__xludf.DUMMYFUNCTION("""COMPUTED_VALUE"""),"T254")</f>
        <v>T254</v>
      </c>
      <c r="B260" t="str">
        <f ca="1">IFERROR(__xludf.DUMMYFUNCTION("""COMPUTED_VALUE"""),"T244")</f>
        <v>T244</v>
      </c>
      <c r="C260" t="str">
        <f ca="1">IFERROR(__xludf.DUMMYFUNCTION("""COMPUTED_VALUE"""),"Roberto Díaz")</f>
        <v>Roberto Díaz</v>
      </c>
      <c r="D260">
        <f ca="1">IFERROR(__xludf.DUMMYFUNCTION("""COMPUTED_VALUE"""),4)</f>
        <v>4</v>
      </c>
      <c r="E260">
        <f ca="1">IFERROR(__xludf.DUMMYFUNCTION("""COMPUTED_VALUE"""),3.25)</f>
        <v>3.25</v>
      </c>
      <c r="F260">
        <f ca="1">IFERROR(__xludf.DUMMYFUNCTION("""COMPUTED_VALUE"""),52)</f>
        <v>52</v>
      </c>
      <c r="G260">
        <f ca="1">IFERROR(__xludf.DUMMYFUNCTION("""COMPUTED_VALUE"""),16)</f>
        <v>16</v>
      </c>
    </row>
    <row r="261" spans="1:7" ht="12.75">
      <c r="A261" t="str">
        <f ca="1">IFERROR(__xludf.DUMMYFUNCTION("""COMPUTED_VALUE"""),"T254")</f>
        <v>T254</v>
      </c>
      <c r="B261" t="str">
        <f ca="1">IFERROR(__xludf.DUMMYFUNCTION("""COMPUTED_VALUE"""),"T244")</f>
        <v>T244</v>
      </c>
      <c r="C261" t="str">
        <f ca="1">IFERROR(__xludf.DUMMYFUNCTION("""COMPUTED_VALUE"""),"Chesson Hadley")</f>
        <v>Chesson Hadley</v>
      </c>
      <c r="D261">
        <f ca="1">IFERROR(__xludf.DUMMYFUNCTION("""COMPUTED_VALUE"""),16)</f>
        <v>16</v>
      </c>
      <c r="E261">
        <f ca="1">IFERROR(__xludf.DUMMYFUNCTION("""COMPUTED_VALUE"""),3.25)</f>
        <v>3.25</v>
      </c>
      <c r="F261">
        <f ca="1">IFERROR(__xludf.DUMMYFUNCTION("""COMPUTED_VALUE"""),208)</f>
        <v>208</v>
      </c>
      <c r="G261">
        <f ca="1">IFERROR(__xludf.DUMMYFUNCTION("""COMPUTED_VALUE"""),64)</f>
        <v>64</v>
      </c>
    </row>
    <row r="262" spans="1:7" ht="12.75">
      <c r="A262" t="str">
        <f ca="1">IFERROR(__xludf.DUMMYFUNCTION("""COMPUTED_VALUE"""),"T254")</f>
        <v>T254</v>
      </c>
      <c r="B262" t="str">
        <f ca="1">IFERROR(__xludf.DUMMYFUNCTION("""COMPUTED_VALUE"""),"T244")</f>
        <v>T244</v>
      </c>
      <c r="C262" t="str">
        <f ca="1">IFERROR(__xludf.DUMMYFUNCTION("""COMPUTED_VALUE"""),"Michael Gellerman")</f>
        <v>Michael Gellerman</v>
      </c>
      <c r="D262">
        <f ca="1">IFERROR(__xludf.DUMMYFUNCTION("""COMPUTED_VALUE"""),5)</f>
        <v>5</v>
      </c>
      <c r="E262">
        <f ca="1">IFERROR(__xludf.DUMMYFUNCTION("""COMPUTED_VALUE"""),3.25)</f>
        <v>3.25</v>
      </c>
      <c r="F262">
        <f ca="1">IFERROR(__xludf.DUMMYFUNCTION("""COMPUTED_VALUE"""),65)</f>
        <v>65</v>
      </c>
      <c r="G262">
        <f ca="1">IFERROR(__xludf.DUMMYFUNCTION("""COMPUTED_VALUE"""),20)</f>
        <v>20</v>
      </c>
    </row>
    <row r="263" spans="1:7" ht="12.75">
      <c r="A263" t="str">
        <f ca="1">IFERROR(__xludf.DUMMYFUNCTION("""COMPUTED_VALUE"""),"T262")</f>
        <v>T262</v>
      </c>
      <c r="B263" t="str">
        <f ca="1">IFERROR(__xludf.DUMMYFUNCTION("""COMPUTED_VALUE"""),"T257")</f>
        <v>T257</v>
      </c>
      <c r="C263" t="str">
        <f ca="1">IFERROR(__xludf.DUMMYFUNCTION("""COMPUTED_VALUE"""),"Dominic Bozzelli")</f>
        <v>Dominic Bozzelli</v>
      </c>
      <c r="D263">
        <f ca="1">IFERROR(__xludf.DUMMYFUNCTION("""COMPUTED_VALUE"""),8)</f>
        <v>8</v>
      </c>
      <c r="E263">
        <f ca="1">IFERROR(__xludf.DUMMYFUNCTION("""COMPUTED_VALUE"""),3.28)</f>
        <v>3.28</v>
      </c>
      <c r="F263">
        <f ca="1">IFERROR(__xludf.DUMMYFUNCTION("""COMPUTED_VALUE"""),105)</f>
        <v>105</v>
      </c>
      <c r="G263">
        <f ca="1">IFERROR(__xludf.DUMMYFUNCTION("""COMPUTED_VALUE"""),32)</f>
        <v>32</v>
      </c>
    </row>
    <row r="264" spans="1:7" ht="12.75">
      <c r="A264" t="str">
        <f ca="1">IFERROR(__xludf.DUMMYFUNCTION("""COMPUTED_VALUE"""),"T262")</f>
        <v>T262</v>
      </c>
      <c r="B264">
        <f ca="1">IFERROR(__xludf.DUMMYFUNCTION("""COMPUTED_VALUE"""),259)</f>
        <v>259</v>
      </c>
      <c r="C264" t="str">
        <f ca="1">IFERROR(__xludf.DUMMYFUNCTION("""COMPUTED_VALUE"""),"Rory Sabbatini")</f>
        <v>Rory Sabbatini</v>
      </c>
      <c r="D264">
        <f ca="1">IFERROR(__xludf.DUMMYFUNCTION("""COMPUTED_VALUE"""),13)</f>
        <v>13</v>
      </c>
      <c r="E264">
        <f ca="1">IFERROR(__xludf.DUMMYFUNCTION("""COMPUTED_VALUE"""),3.28)</f>
        <v>3.28</v>
      </c>
      <c r="F264">
        <f ca="1">IFERROR(__xludf.DUMMYFUNCTION("""COMPUTED_VALUE"""),174)</f>
        <v>174</v>
      </c>
      <c r="G264">
        <f ca="1">IFERROR(__xludf.DUMMYFUNCTION("""COMPUTED_VALUE"""),53)</f>
        <v>53</v>
      </c>
    </row>
    <row r="265" spans="1:7" ht="12.75">
      <c r="A265">
        <f ca="1">IFERROR(__xludf.DUMMYFUNCTION("""COMPUTED_VALUE"""),264)</f>
        <v>264</v>
      </c>
      <c r="B265" t="str">
        <f ca="1">IFERROR(__xludf.DUMMYFUNCTION("""COMPUTED_VALUE"""),"T239")</f>
        <v>T239</v>
      </c>
      <c r="C265" t="str">
        <f ca="1">IFERROR(__xludf.DUMMYFUNCTION("""COMPUTED_VALUE"""),"Beau Hossler")</f>
        <v>Beau Hossler</v>
      </c>
      <c r="D265">
        <f ca="1">IFERROR(__xludf.DUMMYFUNCTION("""COMPUTED_VALUE"""),22)</f>
        <v>22</v>
      </c>
      <c r="E265">
        <f ca="1">IFERROR(__xludf.DUMMYFUNCTION("""COMPUTED_VALUE"""),3.29)</f>
        <v>3.29</v>
      </c>
      <c r="F265">
        <f ca="1">IFERROR(__xludf.DUMMYFUNCTION("""COMPUTED_VALUE"""),296)</f>
        <v>296</v>
      </c>
      <c r="G265">
        <f ca="1">IFERROR(__xludf.DUMMYFUNCTION("""COMPUTED_VALUE"""),90)</f>
        <v>90</v>
      </c>
    </row>
    <row r="266" spans="1:7" ht="12.75">
      <c r="A266" t="str">
        <f ca="1">IFERROR(__xludf.DUMMYFUNCTION("""COMPUTED_VALUE"""),"T265")</f>
        <v>T265</v>
      </c>
      <c r="B266" t="str">
        <f ca="1">IFERROR(__xludf.DUMMYFUNCTION("""COMPUTED_VALUE"""),"T260")</f>
        <v>T260</v>
      </c>
      <c r="C266" t="str">
        <f ca="1">IFERROR(__xludf.DUMMYFUNCTION("""COMPUTED_VALUE"""),"Brandon Hagy")</f>
        <v>Brandon Hagy</v>
      </c>
      <c r="D266">
        <f ca="1">IFERROR(__xludf.DUMMYFUNCTION("""COMPUTED_VALUE"""),10)</f>
        <v>10</v>
      </c>
      <c r="E266">
        <f ca="1">IFERROR(__xludf.DUMMYFUNCTION("""COMPUTED_VALUE"""),3.3)</f>
        <v>3.3</v>
      </c>
      <c r="F266">
        <f ca="1">IFERROR(__xludf.DUMMYFUNCTION("""COMPUTED_VALUE"""),132)</f>
        <v>132</v>
      </c>
      <c r="G266">
        <f ca="1">IFERROR(__xludf.DUMMYFUNCTION("""COMPUTED_VALUE"""),40)</f>
        <v>40</v>
      </c>
    </row>
    <row r="267" spans="1:7" ht="12.75">
      <c r="A267" t="str">
        <f ca="1">IFERROR(__xludf.DUMMYFUNCTION("""COMPUTED_VALUE"""),"T265")</f>
        <v>T265</v>
      </c>
      <c r="B267" t="str">
        <f ca="1">IFERROR(__xludf.DUMMYFUNCTION("""COMPUTED_VALUE"""),"T260")</f>
        <v>T260</v>
      </c>
      <c r="C267" t="str">
        <f ca="1">IFERROR(__xludf.DUMMYFUNCTION("""COMPUTED_VALUE"""),"Charles Howell III")</f>
        <v>Charles Howell III</v>
      </c>
      <c r="D267">
        <f ca="1">IFERROR(__xludf.DUMMYFUNCTION("""COMPUTED_VALUE"""),10)</f>
        <v>10</v>
      </c>
      <c r="E267">
        <f ca="1">IFERROR(__xludf.DUMMYFUNCTION("""COMPUTED_VALUE"""),3.3)</f>
        <v>3.3</v>
      </c>
      <c r="F267">
        <f ca="1">IFERROR(__xludf.DUMMYFUNCTION("""COMPUTED_VALUE"""),132)</f>
        <v>132</v>
      </c>
      <c r="G267">
        <f ca="1">IFERROR(__xludf.DUMMYFUNCTION("""COMPUTED_VALUE"""),40)</f>
        <v>40</v>
      </c>
    </row>
    <row r="268" spans="1:7" ht="12.75">
      <c r="A268" t="str">
        <f ca="1">IFERROR(__xludf.DUMMYFUNCTION("""COMPUTED_VALUE"""),"T267")</f>
        <v>T267</v>
      </c>
      <c r="B268" t="str">
        <f ca="1">IFERROR(__xludf.DUMMYFUNCTION("""COMPUTED_VALUE"""),"T262")</f>
        <v>T262</v>
      </c>
      <c r="C268" t="str">
        <f ca="1">IFERROR(__xludf.DUMMYFUNCTION("""COMPUTED_VALUE"""),"Sangmoon Bae")</f>
        <v>Sangmoon Bae</v>
      </c>
      <c r="D268">
        <f ca="1">IFERROR(__xludf.DUMMYFUNCTION("""COMPUTED_VALUE"""),8)</f>
        <v>8</v>
      </c>
      <c r="E268">
        <f ca="1">IFERROR(__xludf.DUMMYFUNCTION("""COMPUTED_VALUE"""),3.31)</f>
        <v>3.31</v>
      </c>
      <c r="F268">
        <f ca="1">IFERROR(__xludf.DUMMYFUNCTION("""COMPUTED_VALUE"""),106)</f>
        <v>106</v>
      </c>
      <c r="G268">
        <f ca="1">IFERROR(__xludf.DUMMYFUNCTION("""COMPUTED_VALUE"""),32)</f>
        <v>32</v>
      </c>
    </row>
    <row r="269" spans="1:7" ht="12.75">
      <c r="A269" t="str">
        <f ca="1">IFERROR(__xludf.DUMMYFUNCTION("""COMPUTED_VALUE"""),"T267")</f>
        <v>T267</v>
      </c>
      <c r="B269" t="str">
        <f ca="1">IFERROR(__xludf.DUMMYFUNCTION("""COMPUTED_VALUE"""),"T244")</f>
        <v>T244</v>
      </c>
      <c r="C269" t="str">
        <f ca="1">IFERROR(__xludf.DUMMYFUNCTION("""COMPUTED_VALUE"""),"Bronson Burgoon")</f>
        <v>Bronson Burgoon</v>
      </c>
      <c r="D269">
        <f ca="1">IFERROR(__xludf.DUMMYFUNCTION("""COMPUTED_VALUE"""),10)</f>
        <v>10</v>
      </c>
      <c r="E269">
        <f ca="1">IFERROR(__xludf.DUMMYFUNCTION("""COMPUTED_VALUE"""),3.31)</f>
        <v>3.31</v>
      </c>
      <c r="F269">
        <f ca="1">IFERROR(__xludf.DUMMYFUNCTION("""COMPUTED_VALUE"""),139)</f>
        <v>139</v>
      </c>
      <c r="G269">
        <f ca="1">IFERROR(__xludf.DUMMYFUNCTION("""COMPUTED_VALUE"""),42)</f>
        <v>42</v>
      </c>
    </row>
    <row r="270" spans="1:7" ht="12.75">
      <c r="A270" t="str">
        <f ca="1">IFERROR(__xludf.DUMMYFUNCTION("""COMPUTED_VALUE"""),"T267")</f>
        <v>T267</v>
      </c>
      <c r="B270" t="str">
        <f ca="1">IFERROR(__xludf.DUMMYFUNCTION("""COMPUTED_VALUE"""),"T262")</f>
        <v>T262</v>
      </c>
      <c r="C270" t="str">
        <f ca="1">IFERROR(__xludf.DUMMYFUNCTION("""COMPUTED_VALUE"""),"Matthias Schwab")</f>
        <v>Matthias Schwab</v>
      </c>
      <c r="D270">
        <f ca="1">IFERROR(__xludf.DUMMYFUNCTION("""COMPUTED_VALUE"""),8)</f>
        <v>8</v>
      </c>
      <c r="E270">
        <f ca="1">IFERROR(__xludf.DUMMYFUNCTION("""COMPUTED_VALUE"""),3.31)</f>
        <v>3.31</v>
      </c>
      <c r="F270">
        <f ca="1">IFERROR(__xludf.DUMMYFUNCTION("""COMPUTED_VALUE"""),106)</f>
        <v>106</v>
      </c>
      <c r="G270">
        <f ca="1">IFERROR(__xludf.DUMMYFUNCTION("""COMPUTED_VALUE"""),32)</f>
        <v>32</v>
      </c>
    </row>
    <row r="271" spans="1:7" ht="12.75">
      <c r="A271" t="str">
        <f ca="1">IFERROR(__xludf.DUMMYFUNCTION("""COMPUTED_VALUE"""),"T270")</f>
        <v>T270</v>
      </c>
      <c r="B271" t="str">
        <f ca="1">IFERROR(__xludf.DUMMYFUNCTION("""COMPUTED_VALUE"""),"T266")</f>
        <v>T266</v>
      </c>
      <c r="C271" t="str">
        <f ca="1">IFERROR(__xludf.DUMMYFUNCTION("""COMPUTED_VALUE"""),"Rasmus Hojgaard")</f>
        <v>Rasmus Hojgaard</v>
      </c>
      <c r="D271">
        <f ca="1">IFERROR(__xludf.DUMMYFUNCTION("""COMPUTED_VALUE"""),6)</f>
        <v>6</v>
      </c>
      <c r="E271">
        <f ca="1">IFERROR(__xludf.DUMMYFUNCTION("""COMPUTED_VALUE"""),3.33)</f>
        <v>3.33</v>
      </c>
      <c r="F271">
        <f ca="1">IFERROR(__xludf.DUMMYFUNCTION("""COMPUTED_VALUE"""),80)</f>
        <v>80</v>
      </c>
      <c r="G271">
        <f ca="1">IFERROR(__xludf.DUMMYFUNCTION("""COMPUTED_VALUE"""),24)</f>
        <v>24</v>
      </c>
    </row>
    <row r="272" spans="1:7" ht="12.75">
      <c r="A272" t="str">
        <f ca="1">IFERROR(__xludf.DUMMYFUNCTION("""COMPUTED_VALUE"""),"T270")</f>
        <v>T270</v>
      </c>
      <c r="B272" t="str">
        <f ca="1">IFERROR(__xludf.DUMMYFUNCTION("""COMPUTED_VALUE"""),"T266")</f>
        <v>T266</v>
      </c>
      <c r="C272" t="str">
        <f ca="1">IFERROR(__xludf.DUMMYFUNCTION("""COMPUTED_VALUE"""),"Robert Garrigus")</f>
        <v>Robert Garrigus</v>
      </c>
      <c r="D272">
        <f ca="1">IFERROR(__xludf.DUMMYFUNCTION("""COMPUTED_VALUE"""),3)</f>
        <v>3</v>
      </c>
      <c r="E272">
        <f ca="1">IFERROR(__xludf.DUMMYFUNCTION("""COMPUTED_VALUE"""),3.33)</f>
        <v>3.33</v>
      </c>
      <c r="F272">
        <f ca="1">IFERROR(__xludf.DUMMYFUNCTION("""COMPUTED_VALUE"""),40)</f>
        <v>40</v>
      </c>
      <c r="G272">
        <f ca="1">IFERROR(__xludf.DUMMYFUNCTION("""COMPUTED_VALUE"""),12)</f>
        <v>12</v>
      </c>
    </row>
    <row r="273" spans="1:7" ht="12.75">
      <c r="A273">
        <f ca="1">IFERROR(__xludf.DUMMYFUNCTION("""COMPUTED_VALUE"""),272)</f>
        <v>272</v>
      </c>
      <c r="B273">
        <f ca="1">IFERROR(__xludf.DUMMYFUNCTION("""COMPUTED_VALUE"""),268)</f>
        <v>268</v>
      </c>
      <c r="C273" t="str">
        <f ca="1">IFERROR(__xludf.DUMMYFUNCTION("""COMPUTED_VALUE"""),"Nelson Ledesma")</f>
        <v>Nelson Ledesma</v>
      </c>
      <c r="D273">
        <f ca="1">IFERROR(__xludf.DUMMYFUNCTION("""COMPUTED_VALUE"""),8)</f>
        <v>8</v>
      </c>
      <c r="E273">
        <f ca="1">IFERROR(__xludf.DUMMYFUNCTION("""COMPUTED_VALUE"""),3.34)</f>
        <v>3.34</v>
      </c>
      <c r="F273">
        <f ca="1">IFERROR(__xludf.DUMMYFUNCTION("""COMPUTED_VALUE"""),107)</f>
        <v>107</v>
      </c>
      <c r="G273">
        <f ca="1">IFERROR(__xludf.DUMMYFUNCTION("""COMPUTED_VALUE"""),32)</f>
        <v>32</v>
      </c>
    </row>
    <row r="274" spans="1:7" ht="12.75">
      <c r="A274" t="str">
        <f ca="1">IFERROR(__xludf.DUMMYFUNCTION("""COMPUTED_VALUE"""),"T273")</f>
        <v>T273</v>
      </c>
      <c r="B274">
        <f ca="1">IFERROR(__xludf.DUMMYFUNCTION("""COMPUTED_VALUE"""),269)</f>
        <v>269</v>
      </c>
      <c r="C274" t="str">
        <f ca="1">IFERROR(__xludf.DUMMYFUNCTION("""COMPUTED_VALUE"""),"Naoki Sekito")</f>
        <v>Naoki Sekito</v>
      </c>
      <c r="D274">
        <f ca="1">IFERROR(__xludf.DUMMYFUNCTION("""COMPUTED_VALUE"""),4)</f>
        <v>4</v>
      </c>
      <c r="E274">
        <f ca="1">IFERROR(__xludf.DUMMYFUNCTION("""COMPUTED_VALUE"""),3.35)</f>
        <v>3.35</v>
      </c>
      <c r="F274">
        <f ca="1">IFERROR(__xludf.DUMMYFUNCTION("""COMPUTED_VALUE"""),67)</f>
        <v>67</v>
      </c>
      <c r="G274">
        <f ca="1">IFERROR(__xludf.DUMMYFUNCTION("""COMPUTED_VALUE"""),20)</f>
        <v>20</v>
      </c>
    </row>
    <row r="275" spans="1:7" ht="12.75">
      <c r="A275" t="str">
        <f ca="1">IFERROR(__xludf.DUMMYFUNCTION("""COMPUTED_VALUE"""),"T273")</f>
        <v>T273</v>
      </c>
      <c r="B275">
        <f ca="1">IFERROR(__xludf.DUMMYFUNCTION("""COMPUTED_VALUE"""),282)</f>
        <v>282</v>
      </c>
      <c r="C275" t="str">
        <f ca="1">IFERROR(__xludf.DUMMYFUNCTION("""COMPUTED_VALUE"""),"Kevin Stadler")</f>
        <v>Kevin Stadler</v>
      </c>
      <c r="D275">
        <f ca="1">IFERROR(__xludf.DUMMYFUNCTION("""COMPUTED_VALUE"""),8)</f>
        <v>8</v>
      </c>
      <c r="E275">
        <f ca="1">IFERROR(__xludf.DUMMYFUNCTION("""COMPUTED_VALUE"""),3.35)</f>
        <v>3.35</v>
      </c>
      <c r="F275">
        <f ca="1">IFERROR(__xludf.DUMMYFUNCTION("""COMPUTED_VALUE"""),114)</f>
        <v>114</v>
      </c>
      <c r="G275">
        <f ca="1">IFERROR(__xludf.DUMMYFUNCTION("""COMPUTED_VALUE"""),34)</f>
        <v>34</v>
      </c>
    </row>
    <row r="276" spans="1:7" ht="12.75">
      <c r="A276">
        <f ca="1">IFERROR(__xludf.DUMMYFUNCTION("""COMPUTED_VALUE"""),275)</f>
        <v>275</v>
      </c>
      <c r="B276" t="str">
        <f ca="1">IFERROR(__xludf.DUMMYFUNCTION("""COMPUTED_VALUE"""),"T244")</f>
        <v>T244</v>
      </c>
      <c r="C276" t="str">
        <f ca="1">IFERROR(__xludf.DUMMYFUNCTION("""COMPUTED_VALUE"""),"Grayson Murray")</f>
        <v>Grayson Murray</v>
      </c>
      <c r="D276">
        <f ca="1">IFERROR(__xludf.DUMMYFUNCTION("""COMPUTED_VALUE"""),10)</f>
        <v>10</v>
      </c>
      <c r="E276">
        <f ca="1">IFERROR(__xludf.DUMMYFUNCTION("""COMPUTED_VALUE"""),3.36)</f>
        <v>3.36</v>
      </c>
      <c r="F276">
        <f ca="1">IFERROR(__xludf.DUMMYFUNCTION("""COMPUTED_VALUE"""),141)</f>
        <v>141</v>
      </c>
      <c r="G276">
        <f ca="1">IFERROR(__xludf.DUMMYFUNCTION("""COMPUTED_VALUE"""),42)</f>
        <v>42</v>
      </c>
    </row>
    <row r="277" spans="1:7" ht="12.75">
      <c r="A277" t="str">
        <f ca="1">IFERROR(__xludf.DUMMYFUNCTION("""COMPUTED_VALUE"""),"T276")</f>
        <v>T276</v>
      </c>
      <c r="B277" t="str">
        <f ca="1">IFERROR(__xludf.DUMMYFUNCTION("""COMPUTED_VALUE"""),"T270")</f>
        <v>T270</v>
      </c>
      <c r="C277" t="str">
        <f ca="1">IFERROR(__xludf.DUMMYFUNCTION("""COMPUTED_VALUE"""),"Wes Roach")</f>
        <v>Wes Roach</v>
      </c>
      <c r="D277">
        <f ca="1">IFERROR(__xludf.DUMMYFUNCTION("""COMPUTED_VALUE"""),6)</f>
        <v>6</v>
      </c>
      <c r="E277">
        <f ca="1">IFERROR(__xludf.DUMMYFUNCTION("""COMPUTED_VALUE"""),3.38)</f>
        <v>3.38</v>
      </c>
      <c r="F277">
        <f ca="1">IFERROR(__xludf.DUMMYFUNCTION("""COMPUTED_VALUE"""),81)</f>
        <v>81</v>
      </c>
      <c r="G277">
        <f ca="1">IFERROR(__xludf.DUMMYFUNCTION("""COMPUTED_VALUE"""),24)</f>
        <v>24</v>
      </c>
    </row>
    <row r="278" spans="1:7" ht="12.75">
      <c r="A278" t="str">
        <f ca="1">IFERROR(__xludf.DUMMYFUNCTION("""COMPUTED_VALUE"""),"T276")</f>
        <v>T276</v>
      </c>
      <c r="B278" t="str">
        <f ca="1">IFERROR(__xludf.DUMMYFUNCTION("""COMPUTED_VALUE"""),"T270")</f>
        <v>T270</v>
      </c>
      <c r="C278" t="str">
        <f ca="1">IFERROR(__xludf.DUMMYFUNCTION("""COMPUTED_VALUE"""),"Davis Riley")</f>
        <v>Davis Riley</v>
      </c>
      <c r="D278">
        <f ca="1">IFERROR(__xludf.DUMMYFUNCTION("""COMPUTED_VALUE"""),4)</f>
        <v>4</v>
      </c>
      <c r="E278">
        <f ca="1">IFERROR(__xludf.DUMMYFUNCTION("""COMPUTED_VALUE"""),3.38)</f>
        <v>3.38</v>
      </c>
      <c r="F278">
        <f ca="1">IFERROR(__xludf.DUMMYFUNCTION("""COMPUTED_VALUE"""),54)</f>
        <v>54</v>
      </c>
      <c r="G278">
        <f ca="1">IFERROR(__xludf.DUMMYFUNCTION("""COMPUTED_VALUE"""),16)</f>
        <v>16</v>
      </c>
    </row>
    <row r="279" spans="1:7" ht="12.75">
      <c r="A279" t="str">
        <f ca="1">IFERROR(__xludf.DUMMYFUNCTION("""COMPUTED_VALUE"""),"T276")</f>
        <v>T276</v>
      </c>
      <c r="B279" t="str">
        <f ca="1">IFERROR(__xludf.DUMMYFUNCTION("""COMPUTED_VALUE"""),"T270")</f>
        <v>T270</v>
      </c>
      <c r="C279" t="str">
        <f ca="1">IFERROR(__xludf.DUMMYFUNCTION("""COMPUTED_VALUE"""),"George Markham")</f>
        <v>George Markham</v>
      </c>
      <c r="D279">
        <f ca="1">IFERROR(__xludf.DUMMYFUNCTION("""COMPUTED_VALUE"""),4)</f>
        <v>4</v>
      </c>
      <c r="E279">
        <f ca="1">IFERROR(__xludf.DUMMYFUNCTION("""COMPUTED_VALUE"""),3.38)</f>
        <v>3.38</v>
      </c>
      <c r="F279">
        <f ca="1">IFERROR(__xludf.DUMMYFUNCTION("""COMPUTED_VALUE"""),54)</f>
        <v>54</v>
      </c>
      <c r="G279">
        <f ca="1">IFERROR(__xludf.DUMMYFUNCTION("""COMPUTED_VALUE"""),16)</f>
        <v>16</v>
      </c>
    </row>
    <row r="280" spans="1:7" ht="12.75">
      <c r="A280" t="str">
        <f ca="1">IFERROR(__xludf.DUMMYFUNCTION("""COMPUTED_VALUE"""),"T276")</f>
        <v>T276</v>
      </c>
      <c r="B280" t="str">
        <f ca="1">IFERROR(__xludf.DUMMYFUNCTION("""COMPUTED_VALUE"""),"T270")</f>
        <v>T270</v>
      </c>
      <c r="C280" t="str">
        <f ca="1">IFERROR(__xludf.DUMMYFUNCTION("""COMPUTED_VALUE"""),"Luke Schniederjans")</f>
        <v>Luke Schniederjans</v>
      </c>
      <c r="D280">
        <f ca="1">IFERROR(__xludf.DUMMYFUNCTION("""COMPUTED_VALUE"""),4)</f>
        <v>4</v>
      </c>
      <c r="E280">
        <f ca="1">IFERROR(__xludf.DUMMYFUNCTION("""COMPUTED_VALUE"""),3.38)</f>
        <v>3.38</v>
      </c>
      <c r="F280">
        <f ca="1">IFERROR(__xludf.DUMMYFUNCTION("""COMPUTED_VALUE"""),54)</f>
        <v>54</v>
      </c>
      <c r="G280">
        <f ca="1">IFERROR(__xludf.DUMMYFUNCTION("""COMPUTED_VALUE"""),16)</f>
        <v>16</v>
      </c>
    </row>
    <row r="281" spans="1:7" ht="12.75">
      <c r="A281" t="str">
        <f ca="1">IFERROR(__xludf.DUMMYFUNCTION("""COMPUTED_VALUE"""),"T276")</f>
        <v>T276</v>
      </c>
      <c r="B281" t="str">
        <f ca="1">IFERROR(__xludf.DUMMYFUNCTION("""COMPUTED_VALUE"""),"T270")</f>
        <v>T270</v>
      </c>
      <c r="C281" t="str">
        <f ca="1">IFERROR(__xludf.DUMMYFUNCTION("""COMPUTED_VALUE"""),"Josh Teater")</f>
        <v>Josh Teater</v>
      </c>
      <c r="D281">
        <f ca="1">IFERROR(__xludf.DUMMYFUNCTION("""COMPUTED_VALUE"""),6)</f>
        <v>6</v>
      </c>
      <c r="E281">
        <f ca="1">IFERROR(__xludf.DUMMYFUNCTION("""COMPUTED_VALUE"""),3.38)</f>
        <v>3.38</v>
      </c>
      <c r="F281">
        <f ca="1">IFERROR(__xludf.DUMMYFUNCTION("""COMPUTED_VALUE"""),81)</f>
        <v>81</v>
      </c>
      <c r="G281">
        <f ca="1">IFERROR(__xludf.DUMMYFUNCTION("""COMPUTED_VALUE"""),24)</f>
        <v>24</v>
      </c>
    </row>
    <row r="282" spans="1:7" ht="12.75">
      <c r="A282" t="str">
        <f ca="1">IFERROR(__xludf.DUMMYFUNCTION("""COMPUTED_VALUE"""),"T276")</f>
        <v>T276</v>
      </c>
      <c r="B282" t="str">
        <f ca="1">IFERROR(__xludf.DUMMYFUNCTION("""COMPUTED_VALUE"""),"T270")</f>
        <v>T270</v>
      </c>
      <c r="C282" t="str">
        <f ca="1">IFERROR(__xludf.DUMMYFUNCTION("""COMPUTED_VALUE"""),"Eric Dugas")</f>
        <v>Eric Dugas</v>
      </c>
      <c r="D282">
        <f ca="1">IFERROR(__xludf.DUMMYFUNCTION("""COMPUTED_VALUE"""),4)</f>
        <v>4</v>
      </c>
      <c r="E282">
        <f ca="1">IFERROR(__xludf.DUMMYFUNCTION("""COMPUTED_VALUE"""),3.38)</f>
        <v>3.38</v>
      </c>
      <c r="F282">
        <f ca="1">IFERROR(__xludf.DUMMYFUNCTION("""COMPUTED_VALUE"""),54)</f>
        <v>54</v>
      </c>
      <c r="G282">
        <f ca="1">IFERROR(__xludf.DUMMYFUNCTION("""COMPUTED_VALUE"""),16)</f>
        <v>16</v>
      </c>
    </row>
    <row r="283" spans="1:7" ht="12.75">
      <c r="A283">
        <f ca="1">IFERROR(__xludf.DUMMYFUNCTION("""COMPUTED_VALUE"""),282)</f>
        <v>282</v>
      </c>
      <c r="B283">
        <f ca="1">IFERROR(__xludf.DUMMYFUNCTION("""COMPUTED_VALUE"""),276)</f>
        <v>276</v>
      </c>
      <c r="C283" t="str">
        <f ca="1">IFERROR(__xludf.DUMMYFUNCTION("""COMPUTED_VALUE"""),"Shawn Stefani")</f>
        <v>Shawn Stefani</v>
      </c>
      <c r="D283">
        <f ca="1">IFERROR(__xludf.DUMMYFUNCTION("""COMPUTED_VALUE"""),5)</f>
        <v>5</v>
      </c>
      <c r="E283">
        <f ca="1">IFERROR(__xludf.DUMMYFUNCTION("""COMPUTED_VALUE"""),3.4)</f>
        <v>3.4</v>
      </c>
      <c r="F283">
        <f ca="1">IFERROR(__xludf.DUMMYFUNCTION("""COMPUTED_VALUE"""),68)</f>
        <v>68</v>
      </c>
      <c r="G283">
        <f ca="1">IFERROR(__xludf.DUMMYFUNCTION("""COMPUTED_VALUE"""),20)</f>
        <v>20</v>
      </c>
    </row>
    <row r="284" spans="1:7" ht="12.75">
      <c r="A284" t="str">
        <f ca="1">IFERROR(__xludf.DUMMYFUNCTION("""COMPUTED_VALUE"""),"T283")</f>
        <v>T283</v>
      </c>
      <c r="B284" t="str">
        <f ca="1">IFERROR(__xludf.DUMMYFUNCTION("""COMPUTED_VALUE"""),"T277")</f>
        <v>T277</v>
      </c>
      <c r="C284" t="str">
        <f ca="1">IFERROR(__xludf.DUMMYFUNCTION("""COMPUTED_VALUE"""),"Matthew Borchert")</f>
        <v>Matthew Borchert</v>
      </c>
      <c r="D284">
        <f ca="1">IFERROR(__xludf.DUMMYFUNCTION("""COMPUTED_VALUE"""),4)</f>
        <v>4</v>
      </c>
      <c r="E284">
        <f ca="1">IFERROR(__xludf.DUMMYFUNCTION("""COMPUTED_VALUE"""),3.44)</f>
        <v>3.44</v>
      </c>
      <c r="F284">
        <f ca="1">IFERROR(__xludf.DUMMYFUNCTION("""COMPUTED_VALUE"""),55)</f>
        <v>55</v>
      </c>
      <c r="G284">
        <f ca="1">IFERROR(__xludf.DUMMYFUNCTION("""COMPUTED_VALUE"""),16)</f>
        <v>16</v>
      </c>
    </row>
    <row r="285" spans="1:7" ht="12.75">
      <c r="A285" t="str">
        <f ca="1">IFERROR(__xludf.DUMMYFUNCTION("""COMPUTED_VALUE"""),"T283")</f>
        <v>T283</v>
      </c>
      <c r="B285" t="str">
        <f ca="1">IFERROR(__xludf.DUMMYFUNCTION("""COMPUTED_VALUE"""),"T277")</f>
        <v>T277</v>
      </c>
      <c r="C285" t="str">
        <f ca="1">IFERROR(__xludf.DUMMYFUNCTION("""COMPUTED_VALUE"""),"Bernd Wiesberger")</f>
        <v>Bernd Wiesberger</v>
      </c>
      <c r="D285">
        <f ca="1">IFERROR(__xludf.DUMMYFUNCTION("""COMPUTED_VALUE"""),4)</f>
        <v>4</v>
      </c>
      <c r="E285">
        <f ca="1">IFERROR(__xludf.DUMMYFUNCTION("""COMPUTED_VALUE"""),3.44)</f>
        <v>3.44</v>
      </c>
      <c r="F285">
        <f ca="1">IFERROR(__xludf.DUMMYFUNCTION("""COMPUTED_VALUE"""),55)</f>
        <v>55</v>
      </c>
      <c r="G285">
        <f ca="1">IFERROR(__xludf.DUMMYFUNCTION("""COMPUTED_VALUE"""),16)</f>
        <v>16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IFERROR(__xludf.DUMMYFUNCTION("""COMPUTED_VALUE"""),279)</f>
        <v>279</v>
      </c>
      <c r="C286" t="str">
        <f ca="1">IFERROR(__xludf.DUMMYFUNCTION("""COMPUTED_VALUE"""),"Tommy Gainey")</f>
        <v>Tommy Gainey</v>
      </c>
      <c r="D286">
        <f ca="1">IFERROR(__xludf.DUMMYFUNCTION("""COMPUTED_VALUE"""),6)</f>
        <v>6</v>
      </c>
      <c r="E286">
        <f ca="1">IFERROR(__xludf.DUMMYFUNCTION("""COMPUTED_VALUE"""),3.46)</f>
        <v>3.46</v>
      </c>
      <c r="F286">
        <f ca="1">IFERROR(__xludf.DUMMYFUNCTION("""COMPUTED_VALUE"""),83)</f>
        <v>83</v>
      </c>
      <c r="G286">
        <f ca="1">IFERROR(__xludf.DUMMYFUNCTION("""COMPUTED_VALUE"""),24)</f>
        <v>24</v>
      </c>
    </row>
    <row r="287" spans="1:7" ht="12.75">
      <c r="A287" t="str">
        <f ca="1">IFERROR(__xludf.DUMMYFUNCTION("""COMPUTED_VALUE"""),"T286")</f>
        <v>T286</v>
      </c>
      <c r="B287" t="str">
        <f ca="1">IFERROR(__xludf.DUMMYFUNCTION("""COMPUTED_VALUE"""),"T280")</f>
        <v>T280</v>
      </c>
      <c r="C287" t="str">
        <f ca="1">IFERROR(__xludf.DUMMYFUNCTION("""COMPUTED_VALUE"""),"Robert MacIntyre")</f>
        <v>Robert MacIntyre</v>
      </c>
      <c r="D287">
        <f ca="1">IFERROR(__xludf.DUMMYFUNCTION("""COMPUTED_VALUE"""),4)</f>
        <v>4</v>
      </c>
      <c r="E287">
        <f ca="1">IFERROR(__xludf.DUMMYFUNCTION("""COMPUTED_VALUE"""),3.5)</f>
        <v>3.5</v>
      </c>
      <c r="F287">
        <f ca="1">IFERROR(__xludf.DUMMYFUNCTION("""COMPUTED_VALUE"""),56)</f>
        <v>56</v>
      </c>
      <c r="G287">
        <f ca="1">IFERROR(__xludf.DUMMYFUNCTION("""COMPUTED_VALUE"""),16)</f>
        <v>16</v>
      </c>
    </row>
    <row r="288" spans="1:7" ht="12.75">
      <c r="A288" t="str">
        <f ca="1">IFERROR(__xludf.DUMMYFUNCTION("""COMPUTED_VALUE"""),"T286")</f>
        <v>T286</v>
      </c>
      <c r="B288" t="str">
        <f ca="1">IFERROR(__xludf.DUMMYFUNCTION("""COMPUTED_VALUE"""),"T280")</f>
        <v>T280</v>
      </c>
      <c r="C288" t="str">
        <f ca="1">IFERROR(__xludf.DUMMYFUNCTION("""COMPUTED_VALUE"""),"Tae Hee Lee")</f>
        <v>Tae Hee Lee</v>
      </c>
      <c r="D288">
        <f ca="1">IFERROR(__xludf.DUMMYFUNCTION("""COMPUTED_VALUE"""),4)</f>
        <v>4</v>
      </c>
      <c r="E288">
        <f ca="1">IFERROR(__xludf.DUMMYFUNCTION("""COMPUTED_VALUE"""),3.5)</f>
        <v>3.5</v>
      </c>
      <c r="F288">
        <f ca="1">IFERROR(__xludf.DUMMYFUNCTION("""COMPUTED_VALUE"""),56)</f>
        <v>56</v>
      </c>
      <c r="G288">
        <f ca="1">IFERROR(__xludf.DUMMYFUNCTION("""COMPUTED_VALUE"""),16)</f>
        <v>16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IFERROR(__xludf.DUMMYFUNCTION("""COMPUTED_VALUE"""),"John Pak")</f>
        <v>John Pak</v>
      </c>
      <c r="D289">
        <f ca="1">IFERROR(__xludf.DUMMYFUNCTION("""COMPUTED_VALUE"""),4)</f>
        <v>4</v>
      </c>
      <c r="E289">
        <f ca="1">IFERROR(__xludf.DUMMYFUNCTION("""COMPUTED_VALUE"""),3.56)</f>
        <v>3.56</v>
      </c>
      <c r="F289">
        <f ca="1">IFERROR(__xludf.DUMMYFUNCTION("""COMPUTED_VALUE"""),57)</f>
        <v>57</v>
      </c>
      <c r="G289">
        <f ca="1">IFERROR(__xludf.DUMMYFUNCTION("""COMPUTED_VALUE"""),16)</f>
        <v>16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IFERROR(__xludf.DUMMYFUNCTION("""COMPUTED_VALUE"""),"Matt Wallace")</f>
        <v>Matt Wallace</v>
      </c>
      <c r="D290">
        <f ca="1">IFERROR(__xludf.DUMMYFUNCTION("""COMPUTED_VALUE"""),4)</f>
        <v>4</v>
      </c>
      <c r="E290">
        <f ca="1">IFERROR(__xludf.DUMMYFUNCTION("""COMPUTED_VALUE"""),3.63)</f>
        <v>3.63</v>
      </c>
      <c r="F290">
        <f ca="1">IFERROR(__xludf.DUMMYFUNCTION("""COMPUTED_VALUE"""),58)</f>
        <v>58</v>
      </c>
      <c r="G290">
        <f ca="1">IFERROR(__xludf.DUMMYFUNCTION("""COMPUTED_VALUE"""),16)</f>
        <v>16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IFERROR(__xludf.DUMMYFUNCTION("importhtml(""http://www.pgatour.com/stats/stat.143.html"",""table"",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STROKES")</f>
        <v>TOTAL STROKES</v>
      </c>
      <c r="G1" t="str">
        <f ca="1">IFERROR(__xludf.DUMMYFUNCTION("""COMPUTED_VALUE"""),"TOTAL HOLES")</f>
        <v>TOTAL HOLES</v>
      </c>
    </row>
    <row r="2" spans="1:7" ht="15.75" customHeight="1">
      <c r="A2" t="str">
        <f ca="1">IFERROR(__xludf.DUMMYFUNCTION("""COMPUTED_VALUE"""),"T1")</f>
        <v>T1</v>
      </c>
      <c r="B2">
        <f ca="1">IFERROR(__xludf.DUMMYFUNCTION("""COMPUTED_VALUE"""),4)</f>
        <v>4</v>
      </c>
      <c r="C2" t="str">
        <f ca="1">IFERROR(__xludf.DUMMYFUNCTION("""COMPUTED_VALUE"""),"Brian Gay")</f>
        <v>Brian Gay</v>
      </c>
      <c r="D2">
        <f ca="1">IFERROR(__xludf.DUMMYFUNCTION("""COMPUTED_VALUE"""),8)</f>
        <v>8</v>
      </c>
      <c r="E2">
        <f ca="1">IFERROR(__xludf.DUMMYFUNCTION("""COMPUTED_VALUE"""),3.83)</f>
        <v>3.83</v>
      </c>
      <c r="F2">
        <f ca="1">IFERROR(__xludf.DUMMYFUNCTION("""COMPUTED_VALUE"""),329)</f>
        <v>329</v>
      </c>
      <c r="G2">
        <f ca="1">IFERROR(__xludf.DUMMYFUNCTION("""COMPUTED_VALUE"""),86)</f>
        <v>86</v>
      </c>
    </row>
    <row r="3" spans="1:7" ht="15.75" customHeight="1">
      <c r="A3" t="str">
        <f ca="1">IFERROR(__xludf.DUMMYFUNCTION("""COMPUTED_VALUE"""),"T1")</f>
        <v>T1</v>
      </c>
      <c r="B3">
        <f ca="1">IFERROR(__xludf.DUMMYFUNCTION("""COMPUTED_VALUE"""),2)</f>
        <v>2</v>
      </c>
      <c r="C3" t="str">
        <f ca="1">IFERROR(__xludf.DUMMYFUNCTION("""COMPUTED_VALUE"""),"Russell Henley")</f>
        <v>Russell Henley</v>
      </c>
      <c r="D3">
        <f ca="1">IFERROR(__xludf.DUMMYFUNCTION("""COMPUTED_VALUE"""),16)</f>
        <v>16</v>
      </c>
      <c r="E3">
        <f ca="1">IFERROR(__xludf.DUMMYFUNCTION("""COMPUTED_VALUE"""),3.83)</f>
        <v>3.83</v>
      </c>
      <c r="F3">
        <f ca="1">IFERROR(__xludf.DUMMYFUNCTION("""COMPUTED_VALUE"""),598)</f>
        <v>598</v>
      </c>
      <c r="G3">
        <f ca="1">IFERROR(__xludf.DUMMYFUNCTION("""COMPUTED_VALUE"""),156)</f>
        <v>156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IFERROR(__xludf.DUMMYFUNCTION("""COMPUTED_VALUE"""),1)</f>
        <v>1</v>
      </c>
      <c r="C4" t="str">
        <f ca="1">IFERROR(__xludf.DUMMYFUNCTION("""COMPUTED_VALUE"""),"Austin Cook")</f>
        <v>Austin Cook</v>
      </c>
      <c r="D4">
        <f ca="1">IFERROR(__xludf.DUMMYFUNCTION("""COMPUTED_VALUE"""),14)</f>
        <v>14</v>
      </c>
      <c r="E4">
        <f ca="1">IFERROR(__xludf.DUMMYFUNCTION("""COMPUTED_VALUE"""),3.84)</f>
        <v>3.84</v>
      </c>
      <c r="F4">
        <f ca="1">IFERROR(__xludf.DUMMYFUNCTION("""COMPUTED_VALUE"""),553)</f>
        <v>553</v>
      </c>
      <c r="G4">
        <f ca="1">IFERROR(__xludf.DUMMYFUNCTION("""COMPUTED_VALUE"""),144)</f>
        <v>144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IFERROR(__xludf.DUMMYFUNCTION("""COMPUTED_VALUE"""),3)</f>
        <v>3</v>
      </c>
      <c r="C5" t="str">
        <f ca="1">IFERROR(__xludf.DUMMYFUNCTION("""COMPUTED_VALUE"""),"James Hahn")</f>
        <v>James Hahn</v>
      </c>
      <c r="D5">
        <f ca="1">IFERROR(__xludf.DUMMYFUNCTION("""COMPUTED_VALUE"""),16)</f>
        <v>16</v>
      </c>
      <c r="E5">
        <f ca="1">IFERROR(__xludf.DUMMYFUNCTION("""COMPUTED_VALUE"""),3.85)</f>
        <v>3.85</v>
      </c>
      <c r="F5">
        <f ca="1">IFERROR(__xludf.DUMMYFUNCTION("""COMPUTED_VALUE"""),632)</f>
        <v>632</v>
      </c>
      <c r="G5">
        <f ca="1">IFERROR(__xludf.DUMMYFUNCTION("""COMPUTED_VALUE"""),164)</f>
        <v>164</v>
      </c>
    </row>
    <row r="6" spans="1:7" ht="15.75" customHeight="1">
      <c r="A6">
        <f ca="1">IFERROR(__xludf.DUMMYFUNCTION("""COMPUTED_VALUE"""),5)</f>
        <v>5</v>
      </c>
      <c r="B6" t="str">
        <f ca="1">IFERROR(__xludf.DUMMYFUNCTION("""COMPUTED_VALUE"""),"T6")</f>
        <v>T6</v>
      </c>
      <c r="C6" t="str">
        <f ca="1">IFERROR(__xludf.DUMMYFUNCTION("""COMPUTED_VALUE"""),"Peter Malnati")</f>
        <v>Peter Malnati</v>
      </c>
      <c r="D6">
        <f ca="1">IFERROR(__xludf.DUMMYFUNCTION("""COMPUTED_VALUE"""),18)</f>
        <v>18</v>
      </c>
      <c r="E6">
        <f ca="1">IFERROR(__xludf.DUMMYFUNCTION("""COMPUTED_VALUE"""),3.86)</f>
        <v>3.86</v>
      </c>
      <c r="F6">
        <f ca="1">IFERROR(__xludf.DUMMYFUNCTION("""COMPUTED_VALUE"""),725)</f>
        <v>725</v>
      </c>
      <c r="G6">
        <f ca="1">IFERROR(__xludf.DUMMYFUNCTION("""COMPUTED_VALUE"""),188)</f>
        <v>188</v>
      </c>
    </row>
    <row r="7" spans="1:7" ht="15.75" customHeight="1">
      <c r="A7" t="str">
        <f ca="1">IFERROR(__xludf.DUMMYFUNCTION("""COMPUTED_VALUE"""),"T6")</f>
        <v>T6</v>
      </c>
      <c r="B7" t="str">
        <f ca="1">IFERROR(__xludf.DUMMYFUNCTION("""COMPUTED_VALUE"""),"T9")</f>
        <v>T9</v>
      </c>
      <c r="C7" t="str">
        <f ca="1">IFERROR(__xludf.DUMMYFUNCTION("""COMPUTED_VALUE"""),"Anirban Lahiri")</f>
        <v>Anirban Lahiri</v>
      </c>
      <c r="D7">
        <f ca="1">IFERROR(__xludf.DUMMYFUNCTION("""COMPUTED_VALUE"""),16)</f>
        <v>16</v>
      </c>
      <c r="E7">
        <f ca="1">IFERROR(__xludf.DUMMYFUNCTION("""COMPUTED_VALUE"""),3.87)</f>
        <v>3.87</v>
      </c>
      <c r="F7">
        <f ca="1">IFERROR(__xludf.DUMMYFUNCTION("""COMPUTED_VALUE"""),635)</f>
        <v>635</v>
      </c>
      <c r="G7">
        <f ca="1">IFERROR(__xludf.DUMMYFUNCTION("""COMPUTED_VALUE"""),164)</f>
        <v>164</v>
      </c>
    </row>
    <row r="8" spans="1:7" ht="15.75" customHeight="1">
      <c r="A8" t="str">
        <f ca="1">IFERROR(__xludf.DUMMYFUNCTION("""COMPUTED_VALUE"""),"T6")</f>
        <v>T6</v>
      </c>
      <c r="B8" t="str">
        <f ca="1">IFERROR(__xludf.DUMMYFUNCTION("""COMPUTED_VALUE"""),"T9")</f>
        <v>T9</v>
      </c>
      <c r="C8" t="str">
        <f ca="1">IFERROR(__xludf.DUMMYFUNCTION("""COMPUTED_VALUE"""),"Akshay Bhatia")</f>
        <v>Akshay Bhatia</v>
      </c>
      <c r="D8">
        <f ca="1">IFERROR(__xludf.DUMMYFUNCTION("""COMPUTED_VALUE"""),6)</f>
        <v>6</v>
      </c>
      <c r="E8">
        <f ca="1">IFERROR(__xludf.DUMMYFUNCTION("""COMPUTED_VALUE"""),3.87)</f>
        <v>3.87</v>
      </c>
      <c r="F8">
        <f ca="1">IFERROR(__xludf.DUMMYFUNCTION("""COMPUTED_VALUE"""),232)</f>
        <v>232</v>
      </c>
      <c r="G8">
        <f ca="1">IFERROR(__xludf.DUMMYFUNCTION("""COMPUTED_VALUE"""),60)</f>
        <v>60</v>
      </c>
    </row>
    <row r="9" spans="1:7" ht="15.75" customHeight="1">
      <c r="A9">
        <f ca="1">IFERROR(__xludf.DUMMYFUNCTION("""COMPUTED_VALUE"""),8)</f>
        <v>8</v>
      </c>
      <c r="B9" t="str">
        <f ca="1">IFERROR(__xludf.DUMMYFUNCTION("""COMPUTED_VALUE"""),"T11")</f>
        <v>T11</v>
      </c>
      <c r="C9" t="str">
        <f ca="1">IFERROR(__xludf.DUMMYFUNCTION("""COMPUTED_VALUE"""),"Sahith Theegala")</f>
        <v>Sahith Theegala</v>
      </c>
      <c r="D9">
        <f ca="1">IFERROR(__xludf.DUMMYFUNCTION("""COMPUTED_VALUE"""),6)</f>
        <v>6</v>
      </c>
      <c r="E9">
        <f ca="1">IFERROR(__xludf.DUMMYFUNCTION("""COMPUTED_VALUE"""),3.88)</f>
        <v>3.88</v>
      </c>
      <c r="F9">
        <f ca="1">IFERROR(__xludf.DUMMYFUNCTION("""COMPUTED_VALUE"""),233)</f>
        <v>233</v>
      </c>
      <c r="G9">
        <f ca="1">IFERROR(__xludf.DUMMYFUNCTION("""COMPUTED_VALUE"""),60)</f>
        <v>60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IFERROR(__xludf.DUMMYFUNCTION("""COMPUTED_VALUE"""),"T11")</f>
        <v>T11</v>
      </c>
      <c r="C10" t="str">
        <f ca="1">IFERROR(__xludf.DUMMYFUNCTION("""COMPUTED_VALUE"""),"Satoshi Kodaira")</f>
        <v>Satoshi Kodaira</v>
      </c>
      <c r="D10">
        <f ca="1">IFERROR(__xludf.DUMMYFUNCTION("""COMPUTED_VALUE"""),12)</f>
        <v>12</v>
      </c>
      <c r="E10">
        <f ca="1">IFERROR(__xludf.DUMMYFUNCTION("""COMPUTED_VALUE"""),3.89)</f>
        <v>3.89</v>
      </c>
      <c r="F10">
        <f ca="1">IFERROR(__xludf.DUMMYFUNCTION("""COMPUTED_VALUE"""),444)</f>
        <v>444</v>
      </c>
      <c r="G10">
        <f ca="1">IFERROR(__xludf.DUMMYFUNCTION("""COMPUTED_VALUE"""),114)</f>
        <v>114</v>
      </c>
    </row>
    <row r="11" spans="1:7" ht="15.75" customHeight="1">
      <c r="A11" t="str">
        <f ca="1">IFERROR(__xludf.DUMMYFUNCTION("""COMPUTED_VALUE"""),"T9")</f>
        <v>T9</v>
      </c>
      <c r="B11">
        <f ca="1">IFERROR(__xludf.DUMMYFUNCTION("""COMPUTED_VALUE"""),17)</f>
        <v>17</v>
      </c>
      <c r="C11" t="str">
        <f ca="1">IFERROR(__xludf.DUMMYFUNCTION("""COMPUTED_VALUE"""),"Harry Higgs")</f>
        <v>Harry Higgs</v>
      </c>
      <c r="D11">
        <f ca="1">IFERROR(__xludf.DUMMYFUNCTION("""COMPUTED_VALUE"""),14)</f>
        <v>14</v>
      </c>
      <c r="E11">
        <f ca="1">IFERROR(__xludf.DUMMYFUNCTION("""COMPUTED_VALUE"""),3.89)</f>
        <v>3.89</v>
      </c>
      <c r="F11">
        <f ca="1">IFERROR(__xludf.DUMMYFUNCTION("""COMPUTED_VALUE"""),521)</f>
        <v>521</v>
      </c>
      <c r="G11">
        <f ca="1">IFERROR(__xludf.DUMMYFUNCTION("""COMPUTED_VALUE"""),134)</f>
        <v>134</v>
      </c>
    </row>
    <row r="12" spans="1:7" ht="15.75" customHeight="1">
      <c r="A12" t="str">
        <f ca="1">IFERROR(__xludf.DUMMYFUNCTION("""COMPUTED_VALUE"""),"T11")</f>
        <v>T11</v>
      </c>
      <c r="B12" t="str">
        <f ca="1">IFERROR(__xludf.DUMMYFUNCTION("""COMPUTED_VALUE"""),"T18")</f>
        <v>T18</v>
      </c>
      <c r="C12" t="str">
        <f ca="1">IFERROR(__xludf.DUMMYFUNCTION("""COMPUTED_VALUE"""),"Jim Furyk")</f>
        <v>Jim Furyk</v>
      </c>
      <c r="D12">
        <f ca="1">IFERROR(__xludf.DUMMYFUNCTION("""COMPUTED_VALUE"""),4)</f>
        <v>4</v>
      </c>
      <c r="E12">
        <f ca="1">IFERROR(__xludf.DUMMYFUNCTION("""COMPUTED_VALUE"""),3.9)</f>
        <v>3.9</v>
      </c>
      <c r="F12">
        <f ca="1">IFERROR(__xludf.DUMMYFUNCTION("""COMPUTED_VALUE"""),156)</f>
        <v>156</v>
      </c>
      <c r="G12">
        <f ca="1">IFERROR(__xludf.DUMMYFUNCTION("""COMPUTED_VALUE"""),40)</f>
        <v>40</v>
      </c>
    </row>
    <row r="13" spans="1:7" ht="15.75" customHeight="1">
      <c r="A13" t="str">
        <f ca="1">IFERROR(__xludf.DUMMYFUNCTION("""COMPUTED_VALUE"""),"T11")</f>
        <v>T11</v>
      </c>
      <c r="B13" t="str">
        <f ca="1">IFERROR(__xludf.DUMMYFUNCTION("""COMPUTED_VALUE"""),"T18")</f>
        <v>T18</v>
      </c>
      <c r="C13" t="str">
        <f ca="1">IFERROR(__xludf.DUMMYFUNCTION("""COMPUTED_VALUE"""),"Michael Gligic")</f>
        <v>Michael Gligic</v>
      </c>
      <c r="D13">
        <f ca="1">IFERROR(__xludf.DUMMYFUNCTION("""COMPUTED_VALUE"""),18)</f>
        <v>18</v>
      </c>
      <c r="E13">
        <f ca="1">IFERROR(__xludf.DUMMYFUNCTION("""COMPUTED_VALUE"""),3.9)</f>
        <v>3.9</v>
      </c>
      <c r="F13">
        <f ca="1">IFERROR(__xludf.DUMMYFUNCTION("""COMPUTED_VALUE"""),734)</f>
        <v>734</v>
      </c>
      <c r="G13">
        <f ca="1">IFERROR(__xludf.DUMMYFUNCTION("""COMPUTED_VALUE"""),188)</f>
        <v>188</v>
      </c>
    </row>
    <row r="14" spans="1:7" ht="15.75" customHeight="1">
      <c r="A14" t="str">
        <f ca="1">IFERROR(__xludf.DUMMYFUNCTION("""COMPUTED_VALUE"""),"T11")</f>
        <v>T11</v>
      </c>
      <c r="B14" t="str">
        <f ca="1">IFERROR(__xludf.DUMMYFUNCTION("""COMPUTED_VALUE"""),"T18")</f>
        <v>T18</v>
      </c>
      <c r="C14" t="str">
        <f ca="1">IFERROR(__xludf.DUMMYFUNCTION("""COMPUTED_VALUE"""),"Bud Cauley")</f>
        <v>Bud Cauley</v>
      </c>
      <c r="D14">
        <f ca="1">IFERROR(__xludf.DUMMYFUNCTION("""COMPUTED_VALUE"""),4)</f>
        <v>4</v>
      </c>
      <c r="E14">
        <f ca="1">IFERROR(__xludf.DUMMYFUNCTION("""COMPUTED_VALUE"""),3.9)</f>
        <v>3.9</v>
      </c>
      <c r="F14">
        <f ca="1">IFERROR(__xludf.DUMMYFUNCTION("""COMPUTED_VALUE"""),156)</f>
        <v>156</v>
      </c>
      <c r="G14">
        <f ca="1">IFERROR(__xludf.DUMMYFUNCTION("""COMPUTED_VALUE"""),40)</f>
        <v>40</v>
      </c>
    </row>
    <row r="15" spans="1:7" ht="15.75" customHeight="1">
      <c r="A15" t="str">
        <f ca="1">IFERROR(__xludf.DUMMYFUNCTION("""COMPUTED_VALUE"""),"T11")</f>
        <v>T11</v>
      </c>
      <c r="B15" t="str">
        <f ca="1">IFERROR(__xludf.DUMMYFUNCTION("""COMPUTED_VALUE"""),"T18")</f>
        <v>T18</v>
      </c>
      <c r="C15" t="str">
        <f ca="1">IFERROR(__xludf.DUMMYFUNCTION("""COMPUTED_VALUE"""),"Bryson DeChambeau")</f>
        <v>Bryson DeChambeau</v>
      </c>
      <c r="D15">
        <f ca="1">IFERROR(__xludf.DUMMYFUNCTION("""COMPUTED_VALUE"""),8)</f>
        <v>8</v>
      </c>
      <c r="E15">
        <f ca="1">IFERROR(__xludf.DUMMYFUNCTION("""COMPUTED_VALUE"""),3.9)</f>
        <v>3.9</v>
      </c>
      <c r="F15">
        <f ca="1">IFERROR(__xludf.DUMMYFUNCTION("""COMPUTED_VALUE"""),359)</f>
        <v>359</v>
      </c>
      <c r="G15">
        <f ca="1">IFERROR(__xludf.DUMMYFUNCTION("""COMPUTED_VALUE"""),92)</f>
        <v>92</v>
      </c>
    </row>
    <row r="16" spans="1:7" ht="15.75" customHeight="1">
      <c r="A16" t="str">
        <f ca="1">IFERROR(__xludf.DUMMYFUNCTION("""COMPUTED_VALUE"""),"T15")</f>
        <v>T15</v>
      </c>
      <c r="B16" t="str">
        <f ca="1">IFERROR(__xludf.DUMMYFUNCTION("""COMPUTED_VALUE"""),"T27")</f>
        <v>T27</v>
      </c>
      <c r="C16" t="str">
        <f ca="1">IFERROR(__xludf.DUMMYFUNCTION("""COMPUTED_VALUE"""),"Ryan Palmer")</f>
        <v>Ryan Palmer</v>
      </c>
      <c r="D16">
        <f ca="1">IFERROR(__xludf.DUMMYFUNCTION("""COMPUTED_VALUE"""),14)</f>
        <v>14</v>
      </c>
      <c r="E16">
        <f ca="1">IFERROR(__xludf.DUMMYFUNCTION("""COMPUTED_VALUE"""),3.91)</f>
        <v>3.91</v>
      </c>
      <c r="F16">
        <f ca="1">IFERROR(__xludf.DUMMYFUNCTION("""COMPUTED_VALUE"""),548)</f>
        <v>548</v>
      </c>
      <c r="G16">
        <f ca="1">IFERROR(__xludf.DUMMYFUNCTION("""COMPUTED_VALUE"""),140)</f>
        <v>140</v>
      </c>
    </row>
    <row r="17" spans="1:7" ht="15.75" customHeight="1">
      <c r="A17" t="str">
        <f ca="1">IFERROR(__xludf.DUMMYFUNCTION("""COMPUTED_VALUE"""),"T15")</f>
        <v>T15</v>
      </c>
      <c r="B17" t="str">
        <f ca="1">IFERROR(__xludf.DUMMYFUNCTION("""COMPUTED_VALUE"""),"T27")</f>
        <v>T27</v>
      </c>
      <c r="C17" t="str">
        <f ca="1">IFERROR(__xludf.DUMMYFUNCTION("""COMPUTED_VALUE"""),"Brad Kennedy")</f>
        <v>Brad Kennedy</v>
      </c>
      <c r="D17">
        <f ca="1">IFERROR(__xludf.DUMMYFUNCTION("""COMPUTED_VALUE"""),4)</f>
        <v>4</v>
      </c>
      <c r="E17">
        <f ca="1">IFERROR(__xludf.DUMMYFUNCTION("""COMPUTED_VALUE"""),3.91)</f>
        <v>3.91</v>
      </c>
      <c r="F17">
        <f ca="1">IFERROR(__xludf.DUMMYFUNCTION("""COMPUTED_VALUE"""),125)</f>
        <v>125</v>
      </c>
      <c r="G17">
        <f ca="1">IFERROR(__xludf.DUMMYFUNCTION("""COMPUTED_VALUE"""),32)</f>
        <v>32</v>
      </c>
    </row>
    <row r="18" spans="1:7" ht="15.75" customHeight="1">
      <c r="A18" t="str">
        <f ca="1">IFERROR(__xludf.DUMMYFUNCTION("""COMPUTED_VALUE"""),"T15")</f>
        <v>T15</v>
      </c>
      <c r="B18" t="str">
        <f ca="1">IFERROR(__xludf.DUMMYFUNCTION("""COMPUTED_VALUE"""),"T27")</f>
        <v>T27</v>
      </c>
      <c r="C18" t="str">
        <f ca="1">IFERROR(__xludf.DUMMYFUNCTION("""COMPUTED_VALUE"""),"Ryan Blaum")</f>
        <v>Ryan Blaum</v>
      </c>
      <c r="D18">
        <f ca="1">IFERROR(__xludf.DUMMYFUNCTION("""COMPUTED_VALUE"""),8)</f>
        <v>8</v>
      </c>
      <c r="E18">
        <f ca="1">IFERROR(__xludf.DUMMYFUNCTION("""COMPUTED_VALUE"""),3.91)</f>
        <v>3.91</v>
      </c>
      <c r="F18">
        <f ca="1">IFERROR(__xludf.DUMMYFUNCTION("""COMPUTED_VALUE"""),321)</f>
        <v>321</v>
      </c>
      <c r="G18">
        <f ca="1">IFERROR(__xludf.DUMMYFUNCTION("""COMPUTED_VALUE"""),82)</f>
        <v>82</v>
      </c>
    </row>
    <row r="19" spans="1:7" ht="15.75" customHeight="1">
      <c r="A19" t="str">
        <f ca="1">IFERROR(__xludf.DUMMYFUNCTION("""COMPUTED_VALUE"""),"T15")</f>
        <v>T15</v>
      </c>
      <c r="B19" t="str">
        <f ca="1">IFERROR(__xludf.DUMMYFUNCTION("""COMPUTED_VALUE"""),"T27")</f>
        <v>T27</v>
      </c>
      <c r="C19" t="str">
        <f ca="1">IFERROR(__xludf.DUMMYFUNCTION("""COMPUTED_VALUE"""),"Sebastian Cappelen")</f>
        <v>Sebastian Cappelen</v>
      </c>
      <c r="D19">
        <f ca="1">IFERROR(__xludf.DUMMYFUNCTION("""COMPUTED_VALUE"""),8)</f>
        <v>8</v>
      </c>
      <c r="E19">
        <f ca="1">IFERROR(__xludf.DUMMYFUNCTION("""COMPUTED_VALUE"""),3.91)</f>
        <v>3.91</v>
      </c>
      <c r="F19">
        <f ca="1">IFERROR(__xludf.DUMMYFUNCTION("""COMPUTED_VALUE"""),313)</f>
        <v>313</v>
      </c>
      <c r="G19">
        <f ca="1">IFERROR(__xludf.DUMMYFUNCTION("""COMPUTED_VALUE"""),80)</f>
        <v>80</v>
      </c>
    </row>
    <row r="20" spans="1:7" ht="15.75" customHeight="1">
      <c r="A20" t="str">
        <f ca="1">IFERROR(__xludf.DUMMYFUNCTION("""COMPUTED_VALUE"""),"T15")</f>
        <v>T15</v>
      </c>
      <c r="B20" t="str">
        <f ca="1">IFERROR(__xludf.DUMMYFUNCTION("""COMPUTED_VALUE"""),"T11")</f>
        <v>T11</v>
      </c>
      <c r="C20" t="str">
        <f ca="1">IFERROR(__xludf.DUMMYFUNCTION("""COMPUTED_VALUE"""),"Beau Hossler")</f>
        <v>Beau Hossler</v>
      </c>
      <c r="D20">
        <f ca="1">IFERROR(__xludf.DUMMYFUNCTION("""COMPUTED_VALUE"""),22)</f>
        <v>22</v>
      </c>
      <c r="E20">
        <f ca="1">IFERROR(__xludf.DUMMYFUNCTION("""COMPUTED_VALUE"""),3.91)</f>
        <v>3.91</v>
      </c>
      <c r="F20">
        <f ca="1">IFERROR(__xludf.DUMMYFUNCTION("""COMPUTED_VALUE"""),892)</f>
        <v>892</v>
      </c>
      <c r="G20">
        <f ca="1">IFERROR(__xludf.DUMMYFUNCTION("""COMPUTED_VALUE"""),228)</f>
        <v>228</v>
      </c>
    </row>
    <row r="21" spans="1:7" ht="15.75" customHeight="1">
      <c r="A21" t="str">
        <f ca="1">IFERROR(__xludf.DUMMYFUNCTION("""COMPUTED_VALUE"""),"T15")</f>
        <v>T15</v>
      </c>
      <c r="B21" t="str">
        <f ca="1">IFERROR(__xludf.DUMMYFUNCTION("""COMPUTED_VALUE"""),"T69")</f>
        <v>T69</v>
      </c>
      <c r="C21" t="str">
        <f ca="1">IFERROR(__xludf.DUMMYFUNCTION("""COMPUTED_VALUE"""),"Brooks Koepka")</f>
        <v>Brooks Koepka</v>
      </c>
      <c r="D21">
        <f ca="1">IFERROR(__xludf.DUMMYFUNCTION("""COMPUTED_VALUE"""),8)</f>
        <v>8</v>
      </c>
      <c r="E21">
        <f ca="1">IFERROR(__xludf.DUMMYFUNCTION("""COMPUTED_VALUE"""),3.91)</f>
        <v>3.91</v>
      </c>
      <c r="F21">
        <f ca="1">IFERROR(__xludf.DUMMYFUNCTION("""COMPUTED_VALUE"""),313)</f>
        <v>313</v>
      </c>
      <c r="G21">
        <f ca="1">IFERROR(__xludf.DUMMYFUNCTION("""COMPUTED_VALUE"""),80)</f>
        <v>80</v>
      </c>
    </row>
    <row r="22" spans="1:7" ht="15.75" customHeight="1">
      <c r="A22" t="str">
        <f ca="1">IFERROR(__xludf.DUMMYFUNCTION("""COMPUTED_VALUE"""),"T15")</f>
        <v>T15</v>
      </c>
      <c r="B22" t="str">
        <f ca="1">IFERROR(__xludf.DUMMYFUNCTION("""COMPUTED_VALUE"""),"T11")</f>
        <v>T11</v>
      </c>
      <c r="C22" t="str">
        <f ca="1">IFERROR(__xludf.DUMMYFUNCTION("""COMPUTED_VALUE"""),"Matthew NeSmith")</f>
        <v>Matthew NeSmith</v>
      </c>
      <c r="D22">
        <f ca="1">IFERROR(__xludf.DUMMYFUNCTION("""COMPUTED_VALUE"""),16)</f>
        <v>16</v>
      </c>
      <c r="E22">
        <f ca="1">IFERROR(__xludf.DUMMYFUNCTION("""COMPUTED_VALUE"""),3.91)</f>
        <v>3.91</v>
      </c>
      <c r="F22">
        <f ca="1">IFERROR(__xludf.DUMMYFUNCTION("""COMPUTED_VALUE"""),641)</f>
        <v>641</v>
      </c>
      <c r="G22">
        <f ca="1">IFERROR(__xludf.DUMMYFUNCTION("""COMPUTED_VALUE"""),164)</f>
        <v>164</v>
      </c>
    </row>
    <row r="23" spans="1:7" ht="15.75" customHeight="1">
      <c r="A23" t="str">
        <f ca="1">IFERROR(__xludf.DUMMYFUNCTION("""COMPUTED_VALUE"""),"T15")</f>
        <v>T15</v>
      </c>
      <c r="B23" t="str">
        <f ca="1">IFERROR(__xludf.DUMMYFUNCTION("""COMPUTED_VALUE"""),"T27")</f>
        <v>T27</v>
      </c>
      <c r="C23" t="str">
        <f ca="1">IFERROR(__xludf.DUMMYFUNCTION("""COMPUTED_VALUE"""),"J.J. Spaun")</f>
        <v>J.J. Spaun</v>
      </c>
      <c r="D23">
        <f ca="1">IFERROR(__xludf.DUMMYFUNCTION("""COMPUTED_VALUE"""),10)</f>
        <v>10</v>
      </c>
      <c r="E23">
        <f ca="1">IFERROR(__xludf.DUMMYFUNCTION("""COMPUTED_VALUE"""),3.91)</f>
        <v>3.91</v>
      </c>
      <c r="F23">
        <f ca="1">IFERROR(__xludf.DUMMYFUNCTION("""COMPUTED_VALUE"""),391)</f>
        <v>391</v>
      </c>
      <c r="G23">
        <f ca="1">IFERROR(__xludf.DUMMYFUNCTION("""COMPUTED_VALUE"""),100)</f>
        <v>100</v>
      </c>
    </row>
    <row r="24" spans="1:7" ht="15.75" customHeight="1">
      <c r="A24" t="str">
        <f ca="1">IFERROR(__xludf.DUMMYFUNCTION("""COMPUTED_VALUE"""),"T15")</f>
        <v>T15</v>
      </c>
      <c r="B24" t="str">
        <f ca="1">IFERROR(__xludf.DUMMYFUNCTION("""COMPUTED_VALUE"""),"T27")</f>
        <v>T27</v>
      </c>
      <c r="C24" t="str">
        <f ca="1">IFERROR(__xludf.DUMMYFUNCTION("""COMPUTED_VALUE"""),"Joaquin Niemann")</f>
        <v>Joaquin Niemann</v>
      </c>
      <c r="D24">
        <f ca="1">IFERROR(__xludf.DUMMYFUNCTION("""COMPUTED_VALUE"""),16)</f>
        <v>16</v>
      </c>
      <c r="E24">
        <f ca="1">IFERROR(__xludf.DUMMYFUNCTION("""COMPUTED_VALUE"""),3.91)</f>
        <v>3.91</v>
      </c>
      <c r="F24">
        <f ca="1">IFERROR(__xludf.DUMMYFUNCTION("""COMPUTED_VALUE"""),642)</f>
        <v>642</v>
      </c>
      <c r="G24">
        <f ca="1">IFERROR(__xludf.DUMMYFUNCTION("""COMPUTED_VALUE"""),164)</f>
        <v>164</v>
      </c>
    </row>
    <row r="25" spans="1:7" ht="15.75" customHeight="1">
      <c r="A25" t="str">
        <f ca="1">IFERROR(__xludf.DUMMYFUNCTION("""COMPUTED_VALUE"""),"T15")</f>
        <v>T15</v>
      </c>
      <c r="B25" t="str">
        <f ca="1">IFERROR(__xludf.DUMMYFUNCTION("""COMPUTED_VALUE"""),"T27")</f>
        <v>T27</v>
      </c>
      <c r="C25" t="str">
        <f ca="1">IFERROR(__xludf.DUMMYFUNCTION("""COMPUTED_VALUE"""),"Sam Burns")</f>
        <v>Sam Burns</v>
      </c>
      <c r="D25">
        <f ca="1">IFERROR(__xludf.DUMMYFUNCTION("""COMPUTED_VALUE"""),18)</f>
        <v>18</v>
      </c>
      <c r="E25">
        <f ca="1">IFERROR(__xludf.DUMMYFUNCTION("""COMPUTED_VALUE"""),3.91)</f>
        <v>3.91</v>
      </c>
      <c r="F25">
        <f ca="1">IFERROR(__xludf.DUMMYFUNCTION("""COMPUTED_VALUE"""),720)</f>
        <v>720</v>
      </c>
      <c r="G25">
        <f ca="1">IFERROR(__xludf.DUMMYFUNCTION("""COMPUTED_VALUE"""),184)</f>
        <v>184</v>
      </c>
    </row>
    <row r="26" spans="1:7" ht="15.75" customHeight="1">
      <c r="A26" t="str">
        <f ca="1">IFERROR(__xludf.DUMMYFUNCTION("""COMPUTED_VALUE"""),"T15")</f>
        <v>T15</v>
      </c>
      <c r="B26" t="str">
        <f ca="1">IFERROR(__xludf.DUMMYFUNCTION("""COMPUTED_VALUE"""),"T27")</f>
        <v>T27</v>
      </c>
      <c r="C26" t="str">
        <f ca="1">IFERROR(__xludf.DUMMYFUNCTION("""COMPUTED_VALUE"""),"Wesley Bryan")</f>
        <v>Wesley Bryan</v>
      </c>
      <c r="D26">
        <f ca="1">IFERROR(__xludf.DUMMYFUNCTION("""COMPUTED_VALUE"""),8)</f>
        <v>8</v>
      </c>
      <c r="E26">
        <f ca="1">IFERROR(__xludf.DUMMYFUNCTION("""COMPUTED_VALUE"""),3.91)</f>
        <v>3.91</v>
      </c>
      <c r="F26">
        <f ca="1">IFERROR(__xludf.DUMMYFUNCTION("""COMPUTED_VALUE"""),321)</f>
        <v>321</v>
      </c>
      <c r="G26">
        <f ca="1">IFERROR(__xludf.DUMMYFUNCTION("""COMPUTED_VALUE"""),82)</f>
        <v>82</v>
      </c>
    </row>
    <row r="27" spans="1:7" ht="15.75" customHeight="1">
      <c r="A27" t="str">
        <f ca="1">IFERROR(__xludf.DUMMYFUNCTION("""COMPUTED_VALUE"""),"T26")</f>
        <v>T26</v>
      </c>
      <c r="B27" t="str">
        <f ca="1">IFERROR(__xludf.DUMMYFUNCTION("""COMPUTED_VALUE"""),"T40")</f>
        <v>T40</v>
      </c>
      <c r="C27" t="str">
        <f ca="1">IFERROR(__xludf.DUMMYFUNCTION("""COMPUTED_VALUE"""),"Rob Oppenheim")</f>
        <v>Rob Oppenheim</v>
      </c>
      <c r="D27">
        <f ca="1">IFERROR(__xludf.DUMMYFUNCTION("""COMPUTED_VALUE"""),16)</f>
        <v>16</v>
      </c>
      <c r="E27">
        <f ca="1">IFERROR(__xludf.DUMMYFUNCTION("""COMPUTED_VALUE"""),3.92)</f>
        <v>3.92</v>
      </c>
      <c r="F27">
        <f ca="1">IFERROR(__xludf.DUMMYFUNCTION("""COMPUTED_VALUE"""),651)</f>
        <v>651</v>
      </c>
      <c r="G27">
        <f ca="1">IFERROR(__xludf.DUMMYFUNCTION("""COMPUTED_VALUE"""),166)</f>
        <v>166</v>
      </c>
    </row>
    <row r="28" spans="1:7" ht="15.75" customHeight="1">
      <c r="A28" t="str">
        <f ca="1">IFERROR(__xludf.DUMMYFUNCTION("""COMPUTED_VALUE"""),"T26")</f>
        <v>T26</v>
      </c>
      <c r="B28" t="str">
        <f ca="1">IFERROR(__xludf.DUMMYFUNCTION("""COMPUTED_VALUE"""),"T40")</f>
        <v>T40</v>
      </c>
      <c r="C28" t="str">
        <f ca="1">IFERROR(__xludf.DUMMYFUNCTION("""COMPUTED_VALUE"""),"Jason Kokrak")</f>
        <v>Jason Kokrak</v>
      </c>
      <c r="D28">
        <f ca="1">IFERROR(__xludf.DUMMYFUNCTION("""COMPUTED_VALUE"""),14)</f>
        <v>14</v>
      </c>
      <c r="E28">
        <f ca="1">IFERROR(__xludf.DUMMYFUNCTION("""COMPUTED_VALUE"""),3.92)</f>
        <v>3.92</v>
      </c>
      <c r="F28">
        <f ca="1">IFERROR(__xludf.DUMMYFUNCTION("""COMPUTED_VALUE"""),557)</f>
        <v>557</v>
      </c>
      <c r="G28">
        <f ca="1">IFERROR(__xludf.DUMMYFUNCTION("""COMPUTED_VALUE"""),142)</f>
        <v>142</v>
      </c>
    </row>
    <row r="29" spans="1:7" ht="15.75" customHeight="1">
      <c r="A29" t="str">
        <f ca="1">IFERROR(__xludf.DUMMYFUNCTION("""COMPUTED_VALUE"""),"T26")</f>
        <v>T26</v>
      </c>
      <c r="B29" t="str">
        <f ca="1">IFERROR(__xludf.DUMMYFUNCTION("""COMPUTED_VALUE"""),"T18")</f>
        <v>T18</v>
      </c>
      <c r="C29" t="str">
        <f ca="1">IFERROR(__xludf.DUMMYFUNCTION("""COMPUTED_VALUE"""),"Russell Knox")</f>
        <v>Russell Knox</v>
      </c>
      <c r="D29">
        <f ca="1">IFERROR(__xludf.DUMMYFUNCTION("""COMPUTED_VALUE"""),16)</f>
        <v>16</v>
      </c>
      <c r="E29">
        <f ca="1">IFERROR(__xludf.DUMMYFUNCTION("""COMPUTED_VALUE"""),3.92)</f>
        <v>3.92</v>
      </c>
      <c r="F29">
        <f ca="1">IFERROR(__xludf.DUMMYFUNCTION("""COMPUTED_VALUE"""),650)</f>
        <v>650</v>
      </c>
      <c r="G29">
        <f ca="1">IFERROR(__xludf.DUMMYFUNCTION("""COMPUTED_VALUE"""),166)</f>
        <v>166</v>
      </c>
    </row>
    <row r="30" spans="1:7" ht="15.75" customHeight="1">
      <c r="A30" t="str">
        <f ca="1">IFERROR(__xludf.DUMMYFUNCTION("""COMPUTED_VALUE"""),"T26")</f>
        <v>T26</v>
      </c>
      <c r="B30" t="str">
        <f ca="1">IFERROR(__xludf.DUMMYFUNCTION("""COMPUTED_VALUE"""),"T40")</f>
        <v>T40</v>
      </c>
      <c r="C30" t="str">
        <f ca="1">IFERROR(__xludf.DUMMYFUNCTION("""COMPUTED_VALUE"""),"Justin Thomas")</f>
        <v>Justin Thomas</v>
      </c>
      <c r="D30">
        <f ca="1">IFERROR(__xludf.DUMMYFUNCTION("""COMPUTED_VALUE"""),12)</f>
        <v>12</v>
      </c>
      <c r="E30">
        <f ca="1">IFERROR(__xludf.DUMMYFUNCTION("""COMPUTED_VALUE"""),3.92)</f>
        <v>3.92</v>
      </c>
      <c r="F30">
        <f ca="1">IFERROR(__xludf.DUMMYFUNCTION("""COMPUTED_VALUE"""),470)</f>
        <v>470</v>
      </c>
      <c r="G30">
        <f ca="1">IFERROR(__xludf.DUMMYFUNCTION("""COMPUTED_VALUE"""),120)</f>
        <v>120</v>
      </c>
    </row>
    <row r="31" spans="1:7" ht="12.75">
      <c r="A31" t="str">
        <f ca="1">IFERROR(__xludf.DUMMYFUNCTION("""COMPUTED_VALUE"""),"T26")</f>
        <v>T26</v>
      </c>
      <c r="B31" t="str">
        <f ca="1">IFERROR(__xludf.DUMMYFUNCTION("""COMPUTED_VALUE"""),"T18")</f>
        <v>T18</v>
      </c>
      <c r="C31" t="str">
        <f ca="1">IFERROR(__xludf.DUMMYFUNCTION("""COMPUTED_VALUE"""),"Denny McCarthy")</f>
        <v>Denny McCarthy</v>
      </c>
      <c r="D31">
        <f ca="1">IFERROR(__xludf.DUMMYFUNCTION("""COMPUTED_VALUE"""),22)</f>
        <v>22</v>
      </c>
      <c r="E31">
        <f ca="1">IFERROR(__xludf.DUMMYFUNCTION("""COMPUTED_VALUE"""),3.92)</f>
        <v>3.92</v>
      </c>
      <c r="F31">
        <f ca="1">IFERROR(__xludf.DUMMYFUNCTION("""COMPUTED_VALUE"""),894)</f>
        <v>894</v>
      </c>
      <c r="G31">
        <f ca="1">IFERROR(__xludf.DUMMYFUNCTION("""COMPUTED_VALUE"""),228)</f>
        <v>228</v>
      </c>
    </row>
    <row r="32" spans="1:7" ht="12.75">
      <c r="A32" t="str">
        <f ca="1">IFERROR(__xludf.DUMMYFUNCTION("""COMPUTED_VALUE"""),"T26")</f>
        <v>T26</v>
      </c>
      <c r="B32" t="str">
        <f ca="1">IFERROR(__xludf.DUMMYFUNCTION("""COMPUTED_VALUE"""),"T18")</f>
        <v>T18</v>
      </c>
      <c r="C32" t="str">
        <f ca="1">IFERROR(__xludf.DUMMYFUNCTION("""COMPUTED_VALUE"""),"Sepp Straka")</f>
        <v>Sepp Straka</v>
      </c>
      <c r="D32">
        <f ca="1">IFERROR(__xludf.DUMMYFUNCTION("""COMPUTED_VALUE"""),22)</f>
        <v>22</v>
      </c>
      <c r="E32">
        <f ca="1">IFERROR(__xludf.DUMMYFUNCTION("""COMPUTED_VALUE"""),3.92)</f>
        <v>3.92</v>
      </c>
      <c r="F32">
        <f ca="1">IFERROR(__xludf.DUMMYFUNCTION("""COMPUTED_VALUE"""),894)</f>
        <v>894</v>
      </c>
      <c r="G32">
        <f ca="1">IFERROR(__xludf.DUMMYFUNCTION("""COMPUTED_VALUE"""),228)</f>
        <v>228</v>
      </c>
    </row>
    <row r="33" spans="1:7" ht="12.75">
      <c r="A33" t="str">
        <f ca="1">IFERROR(__xludf.DUMMYFUNCTION("""COMPUTED_VALUE"""),"T26")</f>
        <v>T26</v>
      </c>
      <c r="B33" t="str">
        <f ca="1">IFERROR(__xludf.DUMMYFUNCTION("""COMPUTED_VALUE"""),"T40")</f>
        <v>T40</v>
      </c>
      <c r="C33" t="str">
        <f ca="1">IFERROR(__xludf.DUMMYFUNCTION("""COMPUTED_VALUE"""),"Justin Suh")</f>
        <v>Justin Suh</v>
      </c>
      <c r="D33">
        <f ca="1">IFERROR(__xludf.DUMMYFUNCTION("""COMPUTED_VALUE"""),10)</f>
        <v>10</v>
      </c>
      <c r="E33">
        <f ca="1">IFERROR(__xludf.DUMMYFUNCTION("""COMPUTED_VALUE"""),3.92)</f>
        <v>3.92</v>
      </c>
      <c r="F33">
        <f ca="1">IFERROR(__xludf.DUMMYFUNCTION("""COMPUTED_VALUE"""),415)</f>
        <v>415</v>
      </c>
      <c r="G33">
        <f ca="1">IFERROR(__xludf.DUMMYFUNCTION("""COMPUTED_VALUE"""),106)</f>
        <v>106</v>
      </c>
    </row>
    <row r="34" spans="1:7" ht="12.75">
      <c r="A34" t="str">
        <f ca="1">IFERROR(__xludf.DUMMYFUNCTION("""COMPUTED_VALUE"""),"T33")</f>
        <v>T33</v>
      </c>
      <c r="B34" t="str">
        <f ca="1">IFERROR(__xludf.DUMMYFUNCTION("""COMPUTED_VALUE"""),"T6")</f>
        <v>T6</v>
      </c>
      <c r="C34" t="str">
        <f ca="1">IFERROR(__xludf.DUMMYFUNCTION("""COMPUTED_VALUE"""),"Charl Schwartzel")</f>
        <v>Charl Schwartzel</v>
      </c>
      <c r="D34">
        <f ca="1">IFERROR(__xludf.DUMMYFUNCTION("""COMPUTED_VALUE"""),12)</f>
        <v>12</v>
      </c>
      <c r="E34">
        <f ca="1">IFERROR(__xludf.DUMMYFUNCTION("""COMPUTED_VALUE"""),3.93)</f>
        <v>3.93</v>
      </c>
      <c r="F34">
        <f ca="1">IFERROR(__xludf.DUMMYFUNCTION("""COMPUTED_VALUE"""),479)</f>
        <v>479</v>
      </c>
      <c r="G34">
        <f ca="1">IFERROR(__xludf.DUMMYFUNCTION("""COMPUTED_VALUE"""),122)</f>
        <v>122</v>
      </c>
    </row>
    <row r="35" spans="1:7" ht="12.75">
      <c r="A35" t="str">
        <f ca="1">IFERROR(__xludf.DUMMYFUNCTION("""COMPUTED_VALUE"""),"T33")</f>
        <v>T33</v>
      </c>
      <c r="B35" t="str">
        <f ca="1">IFERROR(__xludf.DUMMYFUNCTION("""COMPUTED_VALUE"""),"T51")</f>
        <v>T51</v>
      </c>
      <c r="C35" t="str">
        <f ca="1">IFERROR(__xludf.DUMMYFUNCTION("""COMPUTED_VALUE"""),"Chez Reavie")</f>
        <v>Chez Reavie</v>
      </c>
      <c r="D35">
        <f ca="1">IFERROR(__xludf.DUMMYFUNCTION("""COMPUTED_VALUE"""),14)</f>
        <v>14</v>
      </c>
      <c r="E35">
        <f ca="1">IFERROR(__xludf.DUMMYFUNCTION("""COMPUTED_VALUE"""),3.93)</f>
        <v>3.93</v>
      </c>
      <c r="F35">
        <f ca="1">IFERROR(__xludf.DUMMYFUNCTION("""COMPUTED_VALUE"""),582)</f>
        <v>582</v>
      </c>
      <c r="G35">
        <f ca="1">IFERROR(__xludf.DUMMYFUNCTION("""COMPUTED_VALUE"""),148)</f>
        <v>148</v>
      </c>
    </row>
    <row r="36" spans="1:7" ht="12.75">
      <c r="A36" t="str">
        <f ca="1">IFERROR(__xludf.DUMMYFUNCTION("""COMPUTED_VALUE"""),"T33")</f>
        <v>T33</v>
      </c>
      <c r="B36" t="str">
        <f ca="1">IFERROR(__xludf.DUMMYFUNCTION("""COMPUTED_VALUE"""),"T11")</f>
        <v>T11</v>
      </c>
      <c r="C36" t="str">
        <f ca="1">IFERROR(__xludf.DUMMYFUNCTION("""COMPUTED_VALUE"""),"David Hearn")</f>
        <v>David Hearn</v>
      </c>
      <c r="D36">
        <f ca="1">IFERROR(__xludf.DUMMYFUNCTION("""COMPUTED_VALUE"""),16)</f>
        <v>16</v>
      </c>
      <c r="E36">
        <f ca="1">IFERROR(__xludf.DUMMYFUNCTION("""COMPUTED_VALUE"""),3.93)</f>
        <v>3.93</v>
      </c>
      <c r="F36">
        <f ca="1">IFERROR(__xludf.DUMMYFUNCTION("""COMPUTED_VALUE"""),644)</f>
        <v>644</v>
      </c>
      <c r="G36">
        <f ca="1">IFERROR(__xludf.DUMMYFUNCTION("""COMPUTED_VALUE"""),164)</f>
        <v>164</v>
      </c>
    </row>
    <row r="37" spans="1:7" ht="12.75">
      <c r="A37" t="str">
        <f ca="1">IFERROR(__xludf.DUMMYFUNCTION("""COMPUTED_VALUE"""),"T33")</f>
        <v>T33</v>
      </c>
      <c r="B37" t="str">
        <f ca="1">IFERROR(__xludf.DUMMYFUNCTION("""COMPUTED_VALUE"""),"T51")</f>
        <v>T51</v>
      </c>
      <c r="C37" t="str">
        <f ca="1">IFERROR(__xludf.DUMMYFUNCTION("""COMPUTED_VALUE"""),"Nick Watney")</f>
        <v>Nick Watney</v>
      </c>
      <c r="D37">
        <f ca="1">IFERROR(__xludf.DUMMYFUNCTION("""COMPUTED_VALUE"""),10)</f>
        <v>10</v>
      </c>
      <c r="E37">
        <f ca="1">IFERROR(__xludf.DUMMYFUNCTION("""COMPUTED_VALUE"""),3.93)</f>
        <v>3.93</v>
      </c>
      <c r="F37">
        <f ca="1">IFERROR(__xludf.DUMMYFUNCTION("""COMPUTED_VALUE"""),409)</f>
        <v>409</v>
      </c>
      <c r="G37">
        <f ca="1">IFERROR(__xludf.DUMMYFUNCTION("""COMPUTED_VALUE"""),104)</f>
        <v>104</v>
      </c>
    </row>
    <row r="38" spans="1:7" ht="12.75">
      <c r="A38" t="str">
        <f ca="1">IFERROR(__xludf.DUMMYFUNCTION("""COMPUTED_VALUE"""),"T33")</f>
        <v>T33</v>
      </c>
      <c r="B38" t="str">
        <f ca="1">IFERROR(__xludf.DUMMYFUNCTION("""COMPUTED_VALUE"""),"T51")</f>
        <v>T51</v>
      </c>
      <c r="C38" t="str">
        <f ca="1">IFERROR(__xludf.DUMMYFUNCTION("""COMPUTED_VALUE"""),"Chris Stroud")</f>
        <v>Chris Stroud</v>
      </c>
      <c r="D38">
        <f ca="1">IFERROR(__xludf.DUMMYFUNCTION("""COMPUTED_VALUE"""),6)</f>
        <v>6</v>
      </c>
      <c r="E38">
        <f ca="1">IFERROR(__xludf.DUMMYFUNCTION("""COMPUTED_VALUE"""),3.93)</f>
        <v>3.93</v>
      </c>
      <c r="F38">
        <f ca="1">IFERROR(__xludf.DUMMYFUNCTION("""COMPUTED_VALUE"""),236)</f>
        <v>236</v>
      </c>
      <c r="G38">
        <f ca="1">IFERROR(__xludf.DUMMYFUNCTION("""COMPUTED_VALUE"""),60)</f>
        <v>60</v>
      </c>
    </row>
    <row r="39" spans="1:7" ht="12.75">
      <c r="A39" t="str">
        <f ca="1">IFERROR(__xludf.DUMMYFUNCTION("""COMPUTED_VALUE"""),"T33")</f>
        <v>T33</v>
      </c>
      <c r="B39" t="str">
        <f ca="1">IFERROR(__xludf.DUMMYFUNCTION("""COMPUTED_VALUE"""),"T40")</f>
        <v>T40</v>
      </c>
      <c r="C39" t="str">
        <f ca="1">IFERROR(__xludf.DUMMYFUNCTION("""COMPUTED_VALUE"""),"Henrik Norlander")</f>
        <v>Henrik Norlander</v>
      </c>
      <c r="D39">
        <f ca="1">IFERROR(__xludf.DUMMYFUNCTION("""COMPUTED_VALUE"""),16)</f>
        <v>16</v>
      </c>
      <c r="E39">
        <f ca="1">IFERROR(__xludf.DUMMYFUNCTION("""COMPUTED_VALUE"""),3.93)</f>
        <v>3.93</v>
      </c>
      <c r="F39">
        <f ca="1">IFERROR(__xludf.DUMMYFUNCTION("""COMPUTED_VALUE"""),652)</f>
        <v>652</v>
      </c>
      <c r="G39">
        <f ca="1">IFERROR(__xludf.DUMMYFUNCTION("""COMPUTED_VALUE"""),166)</f>
        <v>166</v>
      </c>
    </row>
    <row r="40" spans="1:7" ht="12.75">
      <c r="A40" t="str">
        <f ca="1">IFERROR(__xludf.DUMMYFUNCTION("""COMPUTED_VALUE"""),"T33")</f>
        <v>T33</v>
      </c>
      <c r="B40" t="str">
        <f ca="1">IFERROR(__xludf.DUMMYFUNCTION("""COMPUTED_VALUE"""),"T51")</f>
        <v>T51</v>
      </c>
      <c r="C40" t="str">
        <f ca="1">IFERROR(__xludf.DUMMYFUNCTION("""COMPUTED_VALUE"""),"William McGirt")</f>
        <v>William McGirt</v>
      </c>
      <c r="D40">
        <f ca="1">IFERROR(__xludf.DUMMYFUNCTION("""COMPUTED_VALUE"""),6)</f>
        <v>6</v>
      </c>
      <c r="E40">
        <f ca="1">IFERROR(__xludf.DUMMYFUNCTION("""COMPUTED_VALUE"""),3.93)</f>
        <v>3.93</v>
      </c>
      <c r="F40">
        <f ca="1">IFERROR(__xludf.DUMMYFUNCTION("""COMPUTED_VALUE"""),236)</f>
        <v>236</v>
      </c>
      <c r="G40">
        <f ca="1">IFERROR(__xludf.DUMMYFUNCTION("""COMPUTED_VALUE"""),60)</f>
        <v>60</v>
      </c>
    </row>
    <row r="41" spans="1:7" ht="12.75">
      <c r="A41" t="str">
        <f ca="1">IFERROR(__xludf.DUMMYFUNCTION("""COMPUTED_VALUE"""),"T33")</f>
        <v>T33</v>
      </c>
      <c r="B41" t="str">
        <f ca="1">IFERROR(__xludf.DUMMYFUNCTION("""COMPUTED_VALUE"""),"T78")</f>
        <v>T78</v>
      </c>
      <c r="C41" t="str">
        <f ca="1">IFERROR(__xludf.DUMMYFUNCTION("""COMPUTED_VALUE"""),"Tyrrell Hatton")</f>
        <v>Tyrrell Hatton</v>
      </c>
      <c r="D41">
        <f ca="1">IFERROR(__xludf.DUMMYFUNCTION("""COMPUTED_VALUE"""),14)</f>
        <v>14</v>
      </c>
      <c r="E41">
        <f ca="1">IFERROR(__xludf.DUMMYFUNCTION("""COMPUTED_VALUE"""),3.93)</f>
        <v>3.93</v>
      </c>
      <c r="F41">
        <f ca="1">IFERROR(__xludf.DUMMYFUNCTION("""COMPUTED_VALUE"""),535)</f>
        <v>535</v>
      </c>
      <c r="G41">
        <f ca="1">IFERROR(__xludf.DUMMYFUNCTION("""COMPUTED_VALUE"""),136)</f>
        <v>136</v>
      </c>
    </row>
    <row r="42" spans="1:7" ht="12.75">
      <c r="A42" t="str">
        <f ca="1">IFERROR(__xludf.DUMMYFUNCTION("""COMPUTED_VALUE"""),"T33")</f>
        <v>T33</v>
      </c>
      <c r="B42" t="str">
        <f ca="1">IFERROR(__xludf.DUMMYFUNCTION("""COMPUTED_VALUE"""),"T18")</f>
        <v>T18</v>
      </c>
      <c r="C42" t="str">
        <f ca="1">IFERROR(__xludf.DUMMYFUNCTION("""COMPUTED_VALUE"""),"Kristoffer Ventura")</f>
        <v>Kristoffer Ventura</v>
      </c>
      <c r="D42">
        <f ca="1">IFERROR(__xludf.DUMMYFUNCTION("""COMPUTED_VALUE"""),20)</f>
        <v>20</v>
      </c>
      <c r="E42">
        <f ca="1">IFERROR(__xludf.DUMMYFUNCTION("""COMPUTED_VALUE"""),3.93)</f>
        <v>3.93</v>
      </c>
      <c r="F42">
        <f ca="1">IFERROR(__xludf.DUMMYFUNCTION("""COMPUTED_VALUE"""),801)</f>
        <v>801</v>
      </c>
      <c r="G42">
        <f ca="1">IFERROR(__xludf.DUMMYFUNCTION("""COMPUTED_VALUE"""),204)</f>
        <v>204</v>
      </c>
    </row>
    <row r="43" spans="1:7" ht="12.75">
      <c r="A43" t="str">
        <f ca="1">IFERROR(__xludf.DUMMYFUNCTION("""COMPUTED_VALUE"""),"T33")</f>
        <v>T33</v>
      </c>
      <c r="B43" t="str">
        <f ca="1">IFERROR(__xludf.DUMMYFUNCTION("""COMPUTED_VALUE"""),"T51")</f>
        <v>T51</v>
      </c>
      <c r="C43" t="str">
        <f ca="1">IFERROR(__xludf.DUMMYFUNCTION("""COMPUTED_VALUE"""),"Alex Smalley")</f>
        <v>Alex Smalley</v>
      </c>
      <c r="D43">
        <f ca="1">IFERROR(__xludf.DUMMYFUNCTION("""COMPUTED_VALUE"""),4)</f>
        <v>4</v>
      </c>
      <c r="E43">
        <f ca="1">IFERROR(__xludf.DUMMYFUNCTION("""COMPUTED_VALUE"""),3.93)</f>
        <v>3.93</v>
      </c>
      <c r="F43">
        <f ca="1">IFERROR(__xludf.DUMMYFUNCTION("""COMPUTED_VALUE"""),157)</f>
        <v>157</v>
      </c>
      <c r="G43">
        <f ca="1">IFERROR(__xludf.DUMMYFUNCTION("""COMPUTED_VALUE"""),40)</f>
        <v>40</v>
      </c>
    </row>
    <row r="44" spans="1:7" ht="12.75">
      <c r="A44" t="str">
        <f ca="1">IFERROR(__xludf.DUMMYFUNCTION("""COMPUTED_VALUE"""),"T33")</f>
        <v>T33</v>
      </c>
      <c r="B44" t="str">
        <f ca="1">IFERROR(__xludf.DUMMYFUNCTION("""COMPUTED_VALUE"""),"T40")</f>
        <v>T40</v>
      </c>
      <c r="C44" t="str">
        <f ca="1">IFERROR(__xludf.DUMMYFUNCTION("""COMPUTED_VALUE"""),"Talor Gooch")</f>
        <v>Talor Gooch</v>
      </c>
      <c r="D44">
        <f ca="1">IFERROR(__xludf.DUMMYFUNCTION("""COMPUTED_VALUE"""),20)</f>
        <v>20</v>
      </c>
      <c r="E44">
        <f ca="1">IFERROR(__xludf.DUMMYFUNCTION("""COMPUTED_VALUE"""),3.93)</f>
        <v>3.93</v>
      </c>
      <c r="F44">
        <f ca="1">IFERROR(__xludf.DUMMYFUNCTION("""COMPUTED_VALUE"""),763)</f>
        <v>763</v>
      </c>
      <c r="G44">
        <f ca="1">IFERROR(__xludf.DUMMYFUNCTION("""COMPUTED_VALUE"""),194)</f>
        <v>194</v>
      </c>
    </row>
    <row r="45" spans="1:7" ht="12.75">
      <c r="A45" t="str">
        <f ca="1">IFERROR(__xludf.DUMMYFUNCTION("""COMPUTED_VALUE"""),"T33")</f>
        <v>T33</v>
      </c>
      <c r="B45" t="str">
        <f ca="1">IFERROR(__xludf.DUMMYFUNCTION("""COMPUTED_VALUE"""),"T18")</f>
        <v>T18</v>
      </c>
      <c r="C45" t="str">
        <f ca="1">IFERROR(__xludf.DUMMYFUNCTION("""COMPUTED_VALUE"""),"Maverick McNealy")</f>
        <v>Maverick McNealy</v>
      </c>
      <c r="D45">
        <f ca="1">IFERROR(__xludf.DUMMYFUNCTION("""COMPUTED_VALUE"""),16)</f>
        <v>16</v>
      </c>
      <c r="E45">
        <f ca="1">IFERROR(__xludf.DUMMYFUNCTION("""COMPUTED_VALUE"""),3.93)</f>
        <v>3.93</v>
      </c>
      <c r="F45">
        <f ca="1">IFERROR(__xludf.DUMMYFUNCTION("""COMPUTED_VALUE"""),653)</f>
        <v>653</v>
      </c>
      <c r="G45">
        <f ca="1">IFERROR(__xludf.DUMMYFUNCTION("""COMPUTED_VALUE"""),166)</f>
        <v>166</v>
      </c>
    </row>
    <row r="46" spans="1:7" ht="12.75">
      <c r="A46" t="str">
        <f ca="1">IFERROR(__xludf.DUMMYFUNCTION("""COMPUTED_VALUE"""),"T33")</f>
        <v>T33</v>
      </c>
      <c r="B46" t="str">
        <f ca="1">IFERROR(__xludf.DUMMYFUNCTION("""COMPUTED_VALUE"""),"T51")</f>
        <v>T51</v>
      </c>
      <c r="C46" t="str">
        <f ca="1">IFERROR(__xludf.DUMMYFUNCTION("""COMPUTED_VALUE"""),"Doug Ghim")</f>
        <v>Doug Ghim</v>
      </c>
      <c r="D46">
        <f ca="1">IFERROR(__xludf.DUMMYFUNCTION("""COMPUTED_VALUE"""),14)</f>
        <v>14</v>
      </c>
      <c r="E46">
        <f ca="1">IFERROR(__xludf.DUMMYFUNCTION("""COMPUTED_VALUE"""),3.93)</f>
        <v>3.93</v>
      </c>
      <c r="F46">
        <f ca="1">IFERROR(__xludf.DUMMYFUNCTION("""COMPUTED_VALUE"""),566)</f>
        <v>566</v>
      </c>
      <c r="G46">
        <f ca="1">IFERROR(__xludf.DUMMYFUNCTION("""COMPUTED_VALUE"""),144)</f>
        <v>144</v>
      </c>
    </row>
    <row r="47" spans="1:7" ht="12.75">
      <c r="A47" t="str">
        <f ca="1">IFERROR(__xludf.DUMMYFUNCTION("""COMPUTED_VALUE"""),"T33")</f>
        <v>T33</v>
      </c>
      <c r="B47">
        <f ca="1">IFERROR(__xludf.DUMMYFUNCTION("""COMPUTED_VALUE"""),5)</f>
        <v>5</v>
      </c>
      <c r="C47" t="str">
        <f ca="1">IFERROR(__xludf.DUMMYFUNCTION("""COMPUTED_VALUE"""),"Doc Redman")</f>
        <v>Doc Redman</v>
      </c>
      <c r="D47">
        <f ca="1">IFERROR(__xludf.DUMMYFUNCTION("""COMPUTED_VALUE"""),18)</f>
        <v>18</v>
      </c>
      <c r="E47">
        <f ca="1">IFERROR(__xludf.DUMMYFUNCTION("""COMPUTED_VALUE"""),3.93)</f>
        <v>3.93</v>
      </c>
      <c r="F47">
        <f ca="1">IFERROR(__xludf.DUMMYFUNCTION("""COMPUTED_VALUE"""),731)</f>
        <v>731</v>
      </c>
      <c r="G47">
        <f ca="1">IFERROR(__xludf.DUMMYFUNCTION("""COMPUTED_VALUE"""),186)</f>
        <v>186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IFERROR(__xludf.DUMMYFUNCTION("""COMPUTED_VALUE"""),"T62")</f>
        <v>T62</v>
      </c>
      <c r="C48" t="str">
        <f ca="1">IFERROR(__xludf.DUMMYFUNCTION("""COMPUTED_VALUE"""),"Ricky Barnes")</f>
        <v>Ricky Barnes</v>
      </c>
      <c r="D48">
        <f ca="1">IFERROR(__xludf.DUMMYFUNCTION("""COMPUTED_VALUE"""),12)</f>
        <v>12</v>
      </c>
      <c r="E48">
        <f ca="1">IFERROR(__xludf.DUMMYFUNCTION("""COMPUTED_VALUE"""),3.94)</f>
        <v>3.94</v>
      </c>
      <c r="F48">
        <f ca="1">IFERROR(__xludf.DUMMYFUNCTION("""COMPUTED_VALUE"""),488)</f>
        <v>488</v>
      </c>
      <c r="G48">
        <f ca="1">IFERROR(__xludf.DUMMYFUNCTION("""COMPUTED_VALUE"""),124)</f>
        <v>124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IFERROR(__xludf.DUMMYFUNCTION("""COMPUTED_VALUE"""),"T62")</f>
        <v>T62</v>
      </c>
      <c r="C49" t="str">
        <f ca="1">IFERROR(__xludf.DUMMYFUNCTION("""COMPUTED_VALUE"""),"Webb Simpson")</f>
        <v>Webb Simpson</v>
      </c>
      <c r="D49">
        <f ca="1">IFERROR(__xludf.DUMMYFUNCTION("""COMPUTED_VALUE"""),12)</f>
        <v>12</v>
      </c>
      <c r="E49">
        <f ca="1">IFERROR(__xludf.DUMMYFUNCTION("""COMPUTED_VALUE"""),3.94)</f>
        <v>3.94</v>
      </c>
      <c r="F49">
        <f ca="1">IFERROR(__xludf.DUMMYFUNCTION("""COMPUTED_VALUE"""),489)</f>
        <v>489</v>
      </c>
      <c r="G49">
        <f ca="1">IFERROR(__xludf.DUMMYFUNCTION("""COMPUTED_VALUE"""),124)</f>
        <v>124</v>
      </c>
    </row>
    <row r="50" spans="1:7" ht="12.75">
      <c r="A50" t="str">
        <f ca="1">IFERROR(__xludf.DUMMYFUNCTION("""COMPUTED_VALUE"""),"T47")</f>
        <v>T47</v>
      </c>
      <c r="B50" t="str">
        <f ca="1">IFERROR(__xludf.DUMMYFUNCTION("""COMPUTED_VALUE"""),"T62")</f>
        <v>T62</v>
      </c>
      <c r="C50" t="str">
        <f ca="1">IFERROR(__xludf.DUMMYFUNCTION("""COMPUTED_VALUE"""),"Peter Uihlein")</f>
        <v>Peter Uihlein</v>
      </c>
      <c r="D50">
        <f ca="1">IFERROR(__xludf.DUMMYFUNCTION("""COMPUTED_VALUE"""),8)</f>
        <v>8</v>
      </c>
      <c r="E50">
        <f ca="1">IFERROR(__xludf.DUMMYFUNCTION("""COMPUTED_VALUE"""),3.94)</f>
        <v>3.94</v>
      </c>
      <c r="F50">
        <f ca="1">IFERROR(__xludf.DUMMYFUNCTION("""COMPUTED_VALUE"""),331)</f>
        <v>331</v>
      </c>
      <c r="G50">
        <f ca="1">IFERROR(__xludf.DUMMYFUNCTION("""COMPUTED_VALUE"""),84)</f>
        <v>84</v>
      </c>
    </row>
    <row r="51" spans="1:7" ht="12.75">
      <c r="A51" t="str">
        <f ca="1">IFERROR(__xludf.DUMMYFUNCTION("""COMPUTED_VALUE"""),"T47")</f>
        <v>T47</v>
      </c>
      <c r="B51" t="str">
        <f ca="1">IFERROR(__xludf.DUMMYFUNCTION("""COMPUTED_VALUE"""),"T62")</f>
        <v>T62</v>
      </c>
      <c r="C51" t="str">
        <f ca="1">IFERROR(__xludf.DUMMYFUNCTION("""COMPUTED_VALUE"""),"Gunn Charoenkul")</f>
        <v>Gunn Charoenkul</v>
      </c>
      <c r="D51">
        <f ca="1">IFERROR(__xludf.DUMMYFUNCTION("""COMPUTED_VALUE"""),4)</f>
        <v>4</v>
      </c>
      <c r="E51">
        <f ca="1">IFERROR(__xludf.DUMMYFUNCTION("""COMPUTED_VALUE"""),3.94)</f>
        <v>3.94</v>
      </c>
      <c r="F51">
        <f ca="1">IFERROR(__xludf.DUMMYFUNCTION("""COMPUTED_VALUE"""),126)</f>
        <v>126</v>
      </c>
      <c r="G51">
        <f ca="1">IFERROR(__xludf.DUMMYFUNCTION("""COMPUTED_VALUE"""),32)</f>
        <v>32</v>
      </c>
    </row>
    <row r="52" spans="1:7" ht="12.75">
      <c r="A52" t="str">
        <f ca="1">IFERROR(__xludf.DUMMYFUNCTION("""COMPUTED_VALUE"""),"T47")</f>
        <v>T47</v>
      </c>
      <c r="B52" t="str">
        <f ca="1">IFERROR(__xludf.DUMMYFUNCTION("""COMPUTED_VALUE"""),"T27")</f>
        <v>T27</v>
      </c>
      <c r="C52" t="str">
        <f ca="1">IFERROR(__xludf.DUMMYFUNCTION("""COMPUTED_VALUE"""),"Harold Varner III")</f>
        <v>Harold Varner III</v>
      </c>
      <c r="D52">
        <f ca="1">IFERROR(__xludf.DUMMYFUNCTION("""COMPUTED_VALUE"""),14)</f>
        <v>14</v>
      </c>
      <c r="E52">
        <f ca="1">IFERROR(__xludf.DUMMYFUNCTION("""COMPUTED_VALUE"""),3.94)</f>
        <v>3.94</v>
      </c>
      <c r="F52">
        <f ca="1">IFERROR(__xludf.DUMMYFUNCTION("""COMPUTED_VALUE"""),575)</f>
        <v>575</v>
      </c>
      <c r="G52">
        <f ca="1">IFERROR(__xludf.DUMMYFUNCTION("""COMPUTED_VALUE"""),146)</f>
        <v>146</v>
      </c>
    </row>
    <row r="53" spans="1:7" ht="12.75">
      <c r="A53" t="str">
        <f ca="1">IFERROR(__xludf.DUMMYFUNCTION("""COMPUTED_VALUE"""),"T52")</f>
        <v>T52</v>
      </c>
      <c r="B53" t="str">
        <f ca="1">IFERROR(__xludf.DUMMYFUNCTION("""COMPUTED_VALUE"""),"T69")</f>
        <v>T69</v>
      </c>
      <c r="C53" t="str">
        <f ca="1">IFERROR(__xludf.DUMMYFUNCTION("""COMPUTED_VALUE"""),"Cameron Percy")</f>
        <v>Cameron Percy</v>
      </c>
      <c r="D53">
        <f ca="1">IFERROR(__xludf.DUMMYFUNCTION("""COMPUTED_VALUE"""),16)</f>
        <v>16</v>
      </c>
      <c r="E53">
        <f ca="1">IFERROR(__xludf.DUMMYFUNCTION("""COMPUTED_VALUE"""),3.95)</f>
        <v>3.95</v>
      </c>
      <c r="F53">
        <f ca="1">IFERROR(__xludf.DUMMYFUNCTION("""COMPUTED_VALUE"""),648)</f>
        <v>648</v>
      </c>
      <c r="G53">
        <f ca="1">IFERROR(__xludf.DUMMYFUNCTION("""COMPUTED_VALUE"""),164)</f>
        <v>164</v>
      </c>
    </row>
    <row r="54" spans="1:7" ht="12.75">
      <c r="A54" t="str">
        <f ca="1">IFERROR(__xludf.DUMMYFUNCTION("""COMPUTED_VALUE"""),"T52")</f>
        <v>T52</v>
      </c>
      <c r="B54" t="str">
        <f ca="1">IFERROR(__xludf.DUMMYFUNCTION("""COMPUTED_VALUE"""),"T69")</f>
        <v>T69</v>
      </c>
      <c r="C54" t="str">
        <f ca="1">IFERROR(__xludf.DUMMYFUNCTION("""COMPUTED_VALUE"""),"Scott Piercy")</f>
        <v>Scott Piercy</v>
      </c>
      <c r="D54">
        <f ca="1">IFERROR(__xludf.DUMMYFUNCTION("""COMPUTED_VALUE"""),18)</f>
        <v>18</v>
      </c>
      <c r="E54">
        <f ca="1">IFERROR(__xludf.DUMMYFUNCTION("""COMPUTED_VALUE"""),3.95)</f>
        <v>3.95</v>
      </c>
      <c r="F54">
        <f ca="1">IFERROR(__xludf.DUMMYFUNCTION("""COMPUTED_VALUE"""),743)</f>
        <v>743</v>
      </c>
      <c r="G54">
        <f ca="1">IFERROR(__xludf.DUMMYFUNCTION("""COMPUTED_VALUE"""),188)</f>
        <v>188</v>
      </c>
    </row>
    <row r="55" spans="1:7" ht="12.75">
      <c r="A55" t="str">
        <f ca="1">IFERROR(__xludf.DUMMYFUNCTION("""COMPUTED_VALUE"""),"T52")</f>
        <v>T52</v>
      </c>
      <c r="B55" t="str">
        <f ca="1">IFERROR(__xludf.DUMMYFUNCTION("""COMPUTED_VALUE"""),"T51")</f>
        <v>T51</v>
      </c>
      <c r="C55" t="str">
        <f ca="1">IFERROR(__xludf.DUMMYFUNCTION("""COMPUTED_VALUE"""),"Kevin Streelman")</f>
        <v>Kevin Streelman</v>
      </c>
      <c r="D55">
        <f ca="1">IFERROR(__xludf.DUMMYFUNCTION("""COMPUTED_VALUE"""),18)</f>
        <v>18</v>
      </c>
      <c r="E55">
        <f ca="1">IFERROR(__xludf.DUMMYFUNCTION("""COMPUTED_VALUE"""),3.95)</f>
        <v>3.95</v>
      </c>
      <c r="F55">
        <f ca="1">IFERROR(__xludf.DUMMYFUNCTION("""COMPUTED_VALUE"""),703)</f>
        <v>703</v>
      </c>
      <c r="G55">
        <f ca="1">IFERROR(__xludf.DUMMYFUNCTION("""COMPUTED_VALUE"""),178)</f>
        <v>178</v>
      </c>
    </row>
    <row r="56" spans="1:7" ht="12.75">
      <c r="A56" t="str">
        <f ca="1">IFERROR(__xludf.DUMMYFUNCTION("""COMPUTED_VALUE"""),"T52")</f>
        <v>T52</v>
      </c>
      <c r="B56" t="str">
        <f ca="1">IFERROR(__xludf.DUMMYFUNCTION("""COMPUTED_VALUE"""),"T69")</f>
        <v>T69</v>
      </c>
      <c r="C56" t="str">
        <f ca="1">IFERROR(__xludf.DUMMYFUNCTION("""COMPUTED_VALUE"""),"Nate Lashley")</f>
        <v>Nate Lashley</v>
      </c>
      <c r="D56">
        <f ca="1">IFERROR(__xludf.DUMMYFUNCTION("""COMPUTED_VALUE"""),16)</f>
        <v>16</v>
      </c>
      <c r="E56">
        <f ca="1">IFERROR(__xludf.DUMMYFUNCTION("""COMPUTED_VALUE"""),3.95)</f>
        <v>3.95</v>
      </c>
      <c r="F56">
        <f ca="1">IFERROR(__xludf.DUMMYFUNCTION("""COMPUTED_VALUE"""),647)</f>
        <v>647</v>
      </c>
      <c r="G56">
        <f ca="1">IFERROR(__xludf.DUMMYFUNCTION("""COMPUTED_VALUE"""),164)</f>
        <v>164</v>
      </c>
    </row>
    <row r="57" spans="1:7" ht="12.75">
      <c r="A57" t="str">
        <f ca="1">IFERROR(__xludf.DUMMYFUNCTION("""COMPUTED_VALUE"""),"T52")</f>
        <v>T52</v>
      </c>
      <c r="B57" t="str">
        <f ca="1">IFERROR(__xludf.DUMMYFUNCTION("""COMPUTED_VALUE"""),"T27")</f>
        <v>T27</v>
      </c>
      <c r="C57" t="str">
        <f ca="1">IFERROR(__xludf.DUMMYFUNCTION("""COMPUTED_VALUE"""),"Bronson Burgoon")</f>
        <v>Bronson Burgoon</v>
      </c>
      <c r="D57">
        <f ca="1">IFERROR(__xludf.DUMMYFUNCTION("""COMPUTED_VALUE"""),10)</f>
        <v>10</v>
      </c>
      <c r="E57">
        <f ca="1">IFERROR(__xludf.DUMMYFUNCTION("""COMPUTED_VALUE"""),3.95)</f>
        <v>3.95</v>
      </c>
      <c r="F57">
        <f ca="1">IFERROR(__xludf.DUMMYFUNCTION("""COMPUTED_VALUE"""),419)</f>
        <v>419</v>
      </c>
      <c r="G57">
        <f ca="1">IFERROR(__xludf.DUMMYFUNCTION("""COMPUTED_VALUE"""),106)</f>
        <v>106</v>
      </c>
    </row>
    <row r="58" spans="1:7" ht="12.75">
      <c r="A58" t="str">
        <f ca="1">IFERROR(__xludf.DUMMYFUNCTION("""COMPUTED_VALUE"""),"T52")</f>
        <v>T52</v>
      </c>
      <c r="B58" t="str">
        <f ca="1">IFERROR(__xludf.DUMMYFUNCTION("""COMPUTED_VALUE"""),"T69")</f>
        <v>T69</v>
      </c>
      <c r="C58" t="str">
        <f ca="1">IFERROR(__xludf.DUMMYFUNCTION("""COMPUTED_VALUE"""),"Kyle Stanley")</f>
        <v>Kyle Stanley</v>
      </c>
      <c r="D58">
        <f ca="1">IFERROR(__xludf.DUMMYFUNCTION("""COMPUTED_VALUE"""),16)</f>
        <v>16</v>
      </c>
      <c r="E58">
        <f ca="1">IFERROR(__xludf.DUMMYFUNCTION("""COMPUTED_VALUE"""),3.95)</f>
        <v>3.95</v>
      </c>
      <c r="F58">
        <f ca="1">IFERROR(__xludf.DUMMYFUNCTION("""COMPUTED_VALUE"""),656)</f>
        <v>656</v>
      </c>
      <c r="G58">
        <f ca="1">IFERROR(__xludf.DUMMYFUNCTION("""COMPUTED_VALUE"""),166)</f>
        <v>166</v>
      </c>
    </row>
    <row r="59" spans="1:7" ht="12.75">
      <c r="A59" t="str">
        <f ca="1">IFERROR(__xludf.DUMMYFUNCTION("""COMPUTED_VALUE"""),"T52")</f>
        <v>T52</v>
      </c>
      <c r="B59" t="str">
        <f ca="1">IFERROR(__xludf.DUMMYFUNCTION("""COMPUTED_VALUE"""),"T51")</f>
        <v>T51</v>
      </c>
      <c r="C59" t="str">
        <f ca="1">IFERROR(__xludf.DUMMYFUNCTION("""COMPUTED_VALUE"""),"Emiliano Grillo")</f>
        <v>Emiliano Grillo</v>
      </c>
      <c r="D59">
        <f ca="1">IFERROR(__xludf.DUMMYFUNCTION("""COMPUTED_VALUE"""),22)</f>
        <v>22</v>
      </c>
      <c r="E59">
        <f ca="1">IFERROR(__xludf.DUMMYFUNCTION("""COMPUTED_VALUE"""),3.95)</f>
        <v>3.95</v>
      </c>
      <c r="F59">
        <f ca="1">IFERROR(__xludf.DUMMYFUNCTION("""COMPUTED_VALUE"""),901)</f>
        <v>901</v>
      </c>
      <c r="G59">
        <f ca="1">IFERROR(__xludf.DUMMYFUNCTION("""COMPUTED_VALUE"""),228)</f>
        <v>228</v>
      </c>
    </row>
    <row r="60" spans="1:7" ht="12.75">
      <c r="A60" t="str">
        <f ca="1">IFERROR(__xludf.DUMMYFUNCTION("""COMPUTED_VALUE"""),"T52")</f>
        <v>T52</v>
      </c>
      <c r="B60" t="str">
        <f ca="1">IFERROR(__xludf.DUMMYFUNCTION("""COMPUTED_VALUE"""),"T40")</f>
        <v>T40</v>
      </c>
      <c r="C60" t="str">
        <f ca="1">IFERROR(__xludf.DUMMYFUNCTION("""COMPUTED_VALUE"""),"Kevin Tway")</f>
        <v>Kevin Tway</v>
      </c>
      <c r="D60">
        <f ca="1">IFERROR(__xludf.DUMMYFUNCTION("""COMPUTED_VALUE"""),16)</f>
        <v>16</v>
      </c>
      <c r="E60">
        <f ca="1">IFERROR(__xludf.DUMMYFUNCTION("""COMPUTED_VALUE"""),3.95)</f>
        <v>3.95</v>
      </c>
      <c r="F60">
        <f ca="1">IFERROR(__xludf.DUMMYFUNCTION("""COMPUTED_VALUE"""),656)</f>
        <v>656</v>
      </c>
      <c r="G60">
        <f ca="1">IFERROR(__xludf.DUMMYFUNCTION("""COMPUTED_VALUE"""),166)</f>
        <v>166</v>
      </c>
    </row>
    <row r="61" spans="1:7" ht="12.75">
      <c r="A61" t="str">
        <f ca="1">IFERROR(__xludf.DUMMYFUNCTION("""COMPUTED_VALUE"""),"T52")</f>
        <v>T52</v>
      </c>
      <c r="B61" t="str">
        <f ca="1">IFERROR(__xludf.DUMMYFUNCTION("""COMPUTED_VALUE"""),"T106")</f>
        <v>T106</v>
      </c>
      <c r="C61" t="str">
        <f ca="1">IFERROR(__xludf.DUMMYFUNCTION("""COMPUTED_VALUE"""),"Hideki Matsuyama")</f>
        <v>Hideki Matsuyama</v>
      </c>
      <c r="D61">
        <f ca="1">IFERROR(__xludf.DUMMYFUNCTION("""COMPUTED_VALUE"""),18)</f>
        <v>18</v>
      </c>
      <c r="E61">
        <f ca="1">IFERROR(__xludf.DUMMYFUNCTION("""COMPUTED_VALUE"""),3.95)</f>
        <v>3.95</v>
      </c>
      <c r="F61">
        <f ca="1">IFERROR(__xludf.DUMMYFUNCTION("""COMPUTED_VALUE"""),719)</f>
        <v>719</v>
      </c>
      <c r="G61">
        <f ca="1">IFERROR(__xludf.DUMMYFUNCTION("""COMPUTED_VALUE"""),182)</f>
        <v>182</v>
      </c>
    </row>
    <row r="62" spans="1:7" ht="12.75">
      <c r="A62" t="str">
        <f ca="1">IFERROR(__xludf.DUMMYFUNCTION("""COMPUTED_VALUE"""),"T52")</f>
        <v>T52</v>
      </c>
      <c r="B62" t="str">
        <f ca="1">IFERROR(__xludf.DUMMYFUNCTION("""COMPUTED_VALUE"""),"T69")</f>
        <v>T69</v>
      </c>
      <c r="C62" t="str">
        <f ca="1">IFERROR(__xludf.DUMMYFUNCTION("""COMPUTED_VALUE"""),"George Markham")</f>
        <v>George Markham</v>
      </c>
      <c r="D62">
        <f ca="1">IFERROR(__xludf.DUMMYFUNCTION("""COMPUTED_VALUE"""),4)</f>
        <v>4</v>
      </c>
      <c r="E62">
        <f ca="1">IFERROR(__xludf.DUMMYFUNCTION("""COMPUTED_VALUE"""),3.95)</f>
        <v>3.95</v>
      </c>
      <c r="F62">
        <f ca="1">IFERROR(__xludf.DUMMYFUNCTION("""COMPUTED_VALUE"""),174)</f>
        <v>174</v>
      </c>
      <c r="G62">
        <f ca="1">IFERROR(__xludf.DUMMYFUNCTION("""COMPUTED_VALUE"""),44)</f>
        <v>44</v>
      </c>
    </row>
    <row r="63" spans="1:7" ht="12.75">
      <c r="A63" t="str">
        <f ca="1">IFERROR(__xludf.DUMMYFUNCTION("""COMPUTED_VALUE"""),"T62")</f>
        <v>T62</v>
      </c>
      <c r="B63" t="str">
        <f ca="1">IFERROR(__xludf.DUMMYFUNCTION("""COMPUTED_VALUE"""),"T78")</f>
        <v>T78</v>
      </c>
      <c r="C63" t="str">
        <f ca="1">IFERROR(__xludf.DUMMYFUNCTION("""COMPUTED_VALUE"""),"Kiradech Aphibarnrat")</f>
        <v>Kiradech Aphibarnrat</v>
      </c>
      <c r="D63">
        <f ca="1">IFERROR(__xludf.DUMMYFUNCTION("""COMPUTED_VALUE"""),12)</f>
        <v>12</v>
      </c>
      <c r="E63">
        <f ca="1">IFERROR(__xludf.DUMMYFUNCTION("""COMPUTED_VALUE"""),3.96)</f>
        <v>3.96</v>
      </c>
      <c r="F63">
        <f ca="1">IFERROR(__xludf.DUMMYFUNCTION("""COMPUTED_VALUE"""),491)</f>
        <v>491</v>
      </c>
      <c r="G63">
        <f ca="1">IFERROR(__xludf.DUMMYFUNCTION("""COMPUTED_VALUE"""),124)</f>
        <v>124</v>
      </c>
    </row>
    <row r="64" spans="1:7" ht="12.75">
      <c r="A64" t="str">
        <f ca="1">IFERROR(__xludf.DUMMYFUNCTION("""COMPUTED_VALUE"""),"T62")</f>
        <v>T62</v>
      </c>
      <c r="B64" t="str">
        <f ca="1">IFERROR(__xludf.DUMMYFUNCTION("""COMPUTED_VALUE"""),"T40")</f>
        <v>T40</v>
      </c>
      <c r="C64" t="str">
        <f ca="1">IFERROR(__xludf.DUMMYFUNCTION("""COMPUTED_VALUE"""),"Kevin Chappell")</f>
        <v>Kevin Chappell</v>
      </c>
      <c r="D64">
        <f ca="1">IFERROR(__xludf.DUMMYFUNCTION("""COMPUTED_VALUE"""),16)</f>
        <v>16</v>
      </c>
      <c r="E64">
        <f ca="1">IFERROR(__xludf.DUMMYFUNCTION("""COMPUTED_VALUE"""),3.96)</f>
        <v>3.96</v>
      </c>
      <c r="F64">
        <f ca="1">IFERROR(__xludf.DUMMYFUNCTION("""COMPUTED_VALUE"""),641)</f>
        <v>641</v>
      </c>
      <c r="G64">
        <f ca="1">IFERROR(__xludf.DUMMYFUNCTION("""COMPUTED_VALUE"""),162)</f>
        <v>162</v>
      </c>
    </row>
    <row r="65" spans="1:7" ht="12.75">
      <c r="A65" t="str">
        <f ca="1">IFERROR(__xludf.DUMMYFUNCTION("""COMPUTED_VALUE"""),"T62")</f>
        <v>T62</v>
      </c>
      <c r="B65" t="str">
        <f ca="1">IFERROR(__xludf.DUMMYFUNCTION("""COMPUTED_VALUE"""),"T62")</f>
        <v>T62</v>
      </c>
      <c r="C65" t="str">
        <f ca="1">IFERROR(__xludf.DUMMYFUNCTION("""COMPUTED_VALUE"""),"Patton Kizzire")</f>
        <v>Patton Kizzire</v>
      </c>
      <c r="D65">
        <f ca="1">IFERROR(__xludf.DUMMYFUNCTION("""COMPUTED_VALUE"""),18)</f>
        <v>18</v>
      </c>
      <c r="E65">
        <f ca="1">IFERROR(__xludf.DUMMYFUNCTION("""COMPUTED_VALUE"""),3.96)</f>
        <v>3.96</v>
      </c>
      <c r="F65">
        <f ca="1">IFERROR(__xludf.DUMMYFUNCTION("""COMPUTED_VALUE"""),729)</f>
        <v>729</v>
      </c>
      <c r="G65">
        <f ca="1">IFERROR(__xludf.DUMMYFUNCTION("""COMPUTED_VALUE"""),184)</f>
        <v>184</v>
      </c>
    </row>
    <row r="66" spans="1:7" ht="12.75">
      <c r="A66" t="str">
        <f ca="1">IFERROR(__xludf.DUMMYFUNCTION("""COMPUTED_VALUE"""),"T62")</f>
        <v>T62</v>
      </c>
      <c r="B66" t="str">
        <f ca="1">IFERROR(__xludf.DUMMYFUNCTION("""COMPUTED_VALUE"""),"T78")</f>
        <v>T78</v>
      </c>
      <c r="C66" t="str">
        <f ca="1">IFERROR(__xludf.DUMMYFUNCTION("""COMPUTED_VALUE"""),"Roger Sloan")</f>
        <v>Roger Sloan</v>
      </c>
      <c r="D66">
        <f ca="1">IFERROR(__xludf.DUMMYFUNCTION("""COMPUTED_VALUE"""),12)</f>
        <v>12</v>
      </c>
      <c r="E66">
        <f ca="1">IFERROR(__xludf.DUMMYFUNCTION("""COMPUTED_VALUE"""),3.96)</f>
        <v>3.96</v>
      </c>
      <c r="F66">
        <f ca="1">IFERROR(__xludf.DUMMYFUNCTION("""COMPUTED_VALUE"""),491)</f>
        <v>491</v>
      </c>
      <c r="G66">
        <f ca="1">IFERROR(__xludf.DUMMYFUNCTION("""COMPUTED_VALUE"""),124)</f>
        <v>124</v>
      </c>
    </row>
    <row r="67" spans="1:7" ht="12.75">
      <c r="A67" t="str">
        <f ca="1">IFERROR(__xludf.DUMMYFUNCTION("""COMPUTED_VALUE"""),"T62")</f>
        <v>T62</v>
      </c>
      <c r="B67" t="str">
        <f ca="1">IFERROR(__xludf.DUMMYFUNCTION("""COMPUTED_VALUE"""),"T78")</f>
        <v>T78</v>
      </c>
      <c r="C67" t="str">
        <f ca="1">IFERROR(__xludf.DUMMYFUNCTION("""COMPUTED_VALUE"""),"Nelson Ledesma")</f>
        <v>Nelson Ledesma</v>
      </c>
      <c r="D67">
        <f ca="1">IFERROR(__xludf.DUMMYFUNCTION("""COMPUTED_VALUE"""),8)</f>
        <v>8</v>
      </c>
      <c r="E67">
        <f ca="1">IFERROR(__xludf.DUMMYFUNCTION("""COMPUTED_VALUE"""),3.96)</f>
        <v>3.96</v>
      </c>
      <c r="F67">
        <f ca="1">IFERROR(__xludf.DUMMYFUNCTION("""COMPUTED_VALUE"""),325)</f>
        <v>325</v>
      </c>
      <c r="G67">
        <f ca="1">IFERROR(__xludf.DUMMYFUNCTION("""COMPUTED_VALUE"""),82)</f>
        <v>82</v>
      </c>
    </row>
    <row r="68" spans="1:7" ht="12.75">
      <c r="A68" t="str">
        <f ca="1">IFERROR(__xludf.DUMMYFUNCTION("""COMPUTED_VALUE"""),"T62")</f>
        <v>T62</v>
      </c>
      <c r="B68" t="str">
        <f ca="1">IFERROR(__xludf.DUMMYFUNCTION("""COMPUTED_VALUE"""),"T78")</f>
        <v>T78</v>
      </c>
      <c r="C68" t="str">
        <f ca="1">IFERROR(__xludf.DUMMYFUNCTION("""COMPUTED_VALUE"""),"Patrick Cantlay")</f>
        <v>Patrick Cantlay</v>
      </c>
      <c r="D68">
        <f ca="1">IFERROR(__xludf.DUMMYFUNCTION("""COMPUTED_VALUE"""),16)</f>
        <v>16</v>
      </c>
      <c r="E68">
        <f ca="1">IFERROR(__xludf.DUMMYFUNCTION("""COMPUTED_VALUE"""),3.96)</f>
        <v>3.96</v>
      </c>
      <c r="F68">
        <f ca="1">IFERROR(__xludf.DUMMYFUNCTION("""COMPUTED_VALUE"""),649)</f>
        <v>649</v>
      </c>
      <c r="G68">
        <f ca="1">IFERROR(__xludf.DUMMYFUNCTION("""COMPUTED_VALUE"""),164)</f>
        <v>164</v>
      </c>
    </row>
    <row r="69" spans="1:7" ht="12.75">
      <c r="A69" t="str">
        <f ca="1">IFERROR(__xludf.DUMMYFUNCTION("""COMPUTED_VALUE"""),"T62")</f>
        <v>T62</v>
      </c>
      <c r="B69" t="str">
        <f ca="1">IFERROR(__xludf.DUMMYFUNCTION("""COMPUTED_VALUE"""),"T40")</f>
        <v>T40</v>
      </c>
      <c r="C69" t="str">
        <f ca="1">IFERROR(__xludf.DUMMYFUNCTION("""COMPUTED_VALUE"""),"Tom Hoge")</f>
        <v>Tom Hoge</v>
      </c>
      <c r="D69">
        <f ca="1">IFERROR(__xludf.DUMMYFUNCTION("""COMPUTED_VALUE"""),22)</f>
        <v>22</v>
      </c>
      <c r="E69">
        <f ca="1">IFERROR(__xludf.DUMMYFUNCTION("""COMPUTED_VALUE"""),3.96)</f>
        <v>3.96</v>
      </c>
      <c r="F69">
        <f ca="1">IFERROR(__xludf.DUMMYFUNCTION("""COMPUTED_VALUE"""),855)</f>
        <v>855</v>
      </c>
      <c r="G69">
        <f ca="1">IFERROR(__xludf.DUMMYFUNCTION("""COMPUTED_VALUE"""),216)</f>
        <v>216</v>
      </c>
    </row>
    <row r="70" spans="1:7" ht="12.75">
      <c r="A70" t="str">
        <f ca="1">IFERROR(__xludf.DUMMYFUNCTION("""COMPUTED_VALUE"""),"T62")</f>
        <v>T62</v>
      </c>
      <c r="B70" t="str">
        <f ca="1">IFERROR(__xludf.DUMMYFUNCTION("""COMPUTED_VALUE"""),"T78")</f>
        <v>T78</v>
      </c>
      <c r="C70" t="str">
        <f ca="1">IFERROR(__xludf.DUMMYFUNCTION("""COMPUTED_VALUE"""),"Chase Seiffert")</f>
        <v>Chase Seiffert</v>
      </c>
      <c r="D70">
        <f ca="1">IFERROR(__xludf.DUMMYFUNCTION("""COMPUTED_VALUE"""),14)</f>
        <v>14</v>
      </c>
      <c r="E70">
        <f ca="1">IFERROR(__xludf.DUMMYFUNCTION("""COMPUTED_VALUE"""),3.96)</f>
        <v>3.96</v>
      </c>
      <c r="F70">
        <f ca="1">IFERROR(__xludf.DUMMYFUNCTION("""COMPUTED_VALUE"""),570)</f>
        <v>570</v>
      </c>
      <c r="G70">
        <f ca="1">IFERROR(__xludf.DUMMYFUNCTION("""COMPUTED_VALUE"""),144)</f>
        <v>144</v>
      </c>
    </row>
    <row r="71" spans="1:7" ht="12.75">
      <c r="A71" t="str">
        <f ca="1">IFERROR(__xludf.DUMMYFUNCTION("""COMPUTED_VALUE"""),"T62")</f>
        <v>T62</v>
      </c>
      <c r="B71" t="str">
        <f ca="1">IFERROR(__xludf.DUMMYFUNCTION("""COMPUTED_VALUE"""),"T78")</f>
        <v>T78</v>
      </c>
      <c r="C71" t="str">
        <f ca="1">IFERROR(__xludf.DUMMYFUNCTION("""COMPUTED_VALUE"""),"Matthew Fitzpatrick")</f>
        <v>Matthew Fitzpatrick</v>
      </c>
      <c r="D71">
        <f ca="1">IFERROR(__xludf.DUMMYFUNCTION("""COMPUTED_VALUE"""),10)</f>
        <v>10</v>
      </c>
      <c r="E71">
        <f ca="1">IFERROR(__xludf.DUMMYFUNCTION("""COMPUTED_VALUE"""),3.96)</f>
        <v>3.96</v>
      </c>
      <c r="F71">
        <f ca="1">IFERROR(__xludf.DUMMYFUNCTION("""COMPUTED_VALUE"""),380)</f>
        <v>380</v>
      </c>
      <c r="G71">
        <f ca="1">IFERROR(__xludf.DUMMYFUNCTION("""COMPUTED_VALUE"""),96)</f>
        <v>96</v>
      </c>
    </row>
    <row r="72" spans="1:7" ht="12.75">
      <c r="A72" t="str">
        <f ca="1">IFERROR(__xludf.DUMMYFUNCTION("""COMPUTED_VALUE"""),"T62")</f>
        <v>T62</v>
      </c>
      <c r="B72" t="str">
        <f ca="1">IFERROR(__xludf.DUMMYFUNCTION("""COMPUTED_VALUE"""),"T6")</f>
        <v>T6</v>
      </c>
      <c r="C72" t="str">
        <f ca="1">IFERROR(__xludf.DUMMYFUNCTION("""COMPUTED_VALUE"""),"Cameron Davis")</f>
        <v>Cameron Davis</v>
      </c>
      <c r="D72">
        <f ca="1">IFERROR(__xludf.DUMMYFUNCTION("""COMPUTED_VALUE"""),16)</f>
        <v>16</v>
      </c>
      <c r="E72">
        <f ca="1">IFERROR(__xludf.DUMMYFUNCTION("""COMPUTED_VALUE"""),3.96)</f>
        <v>3.96</v>
      </c>
      <c r="F72">
        <f ca="1">IFERROR(__xludf.DUMMYFUNCTION("""COMPUTED_VALUE"""),650)</f>
        <v>650</v>
      </c>
      <c r="G72">
        <f ca="1">IFERROR(__xludf.DUMMYFUNCTION("""COMPUTED_VALUE"""),164)</f>
        <v>164</v>
      </c>
    </row>
    <row r="73" spans="1:7" ht="12.75">
      <c r="A73" t="str">
        <f ca="1">IFERROR(__xludf.DUMMYFUNCTION("""COMPUTED_VALUE"""),"T62")</f>
        <v>T62</v>
      </c>
      <c r="B73" t="str">
        <f ca="1">IFERROR(__xludf.DUMMYFUNCTION("""COMPUTED_VALUE"""),"T51")</f>
        <v>T51</v>
      </c>
      <c r="C73" t="str">
        <f ca="1">IFERROR(__xludf.DUMMYFUNCTION("""COMPUTED_VALUE"""),"Adam Schenk")</f>
        <v>Adam Schenk</v>
      </c>
      <c r="D73">
        <f ca="1">IFERROR(__xludf.DUMMYFUNCTION("""COMPUTED_VALUE"""),22)</f>
        <v>22</v>
      </c>
      <c r="E73">
        <f ca="1">IFERROR(__xludf.DUMMYFUNCTION("""COMPUTED_VALUE"""),3.96)</f>
        <v>3.96</v>
      </c>
      <c r="F73">
        <f ca="1">IFERROR(__xludf.DUMMYFUNCTION("""COMPUTED_VALUE"""),902)</f>
        <v>902</v>
      </c>
      <c r="G73">
        <f ca="1">IFERROR(__xludf.DUMMYFUNCTION("""COMPUTED_VALUE"""),228)</f>
        <v>228</v>
      </c>
    </row>
    <row r="74" spans="1:7" ht="12.75">
      <c r="A74" t="str">
        <f ca="1">IFERROR(__xludf.DUMMYFUNCTION("""COMPUTED_VALUE"""),"T62")</f>
        <v>T62</v>
      </c>
      <c r="B74" t="str">
        <f ca="1">IFERROR(__xludf.DUMMYFUNCTION("""COMPUTED_VALUE"""),"T78")</f>
        <v>T78</v>
      </c>
      <c r="C74" t="str">
        <f ca="1">IFERROR(__xludf.DUMMYFUNCTION("""COMPUTED_VALUE"""),"Xander Schauffele")</f>
        <v>Xander Schauffele</v>
      </c>
      <c r="D74">
        <f ca="1">IFERROR(__xludf.DUMMYFUNCTION("""COMPUTED_VALUE"""),12)</f>
        <v>12</v>
      </c>
      <c r="E74">
        <f ca="1">IFERROR(__xludf.DUMMYFUNCTION("""COMPUTED_VALUE"""),3.96)</f>
        <v>3.96</v>
      </c>
      <c r="F74">
        <f ca="1">IFERROR(__xludf.DUMMYFUNCTION("""COMPUTED_VALUE"""),475)</f>
        <v>475</v>
      </c>
      <c r="G74">
        <f ca="1">IFERROR(__xludf.DUMMYFUNCTION("""COMPUTED_VALUE"""),120)</f>
        <v>120</v>
      </c>
    </row>
    <row r="75" spans="1:7" ht="12.75">
      <c r="A75" t="str">
        <f ca="1">IFERROR(__xludf.DUMMYFUNCTION("""COMPUTED_VALUE"""),"T74")</f>
        <v>T74</v>
      </c>
      <c r="B75" t="str">
        <f ca="1">IFERROR(__xludf.DUMMYFUNCTION("""COMPUTED_VALUE"""),"T40")</f>
        <v>T40</v>
      </c>
      <c r="C75" t="str">
        <f ca="1">IFERROR(__xludf.DUMMYFUNCTION("""COMPUTED_VALUE"""),"Stewart Cink")</f>
        <v>Stewart Cink</v>
      </c>
      <c r="D75">
        <f ca="1">IFERROR(__xludf.DUMMYFUNCTION("""COMPUTED_VALUE"""),18)</f>
        <v>18</v>
      </c>
      <c r="E75">
        <f ca="1">IFERROR(__xludf.DUMMYFUNCTION("""COMPUTED_VALUE"""),3.97)</f>
        <v>3.97</v>
      </c>
      <c r="F75">
        <f ca="1">IFERROR(__xludf.DUMMYFUNCTION("""COMPUTED_VALUE"""),746)</f>
        <v>746</v>
      </c>
      <c r="G75">
        <f ca="1">IFERROR(__xludf.DUMMYFUNCTION("""COMPUTED_VALUE"""),188)</f>
        <v>188</v>
      </c>
    </row>
    <row r="76" spans="1:7" ht="12.75">
      <c r="A76" t="str">
        <f ca="1">IFERROR(__xludf.DUMMYFUNCTION("""COMPUTED_VALUE"""),"T74")</f>
        <v>T74</v>
      </c>
      <c r="B76" t="str">
        <f ca="1">IFERROR(__xludf.DUMMYFUNCTION("""COMPUTED_VALUE"""),"T93")</f>
        <v>T93</v>
      </c>
      <c r="C76" t="str">
        <f ca="1">IFERROR(__xludf.DUMMYFUNCTION("""COMPUTED_VALUE"""),"Charles Howell III")</f>
        <v>Charles Howell III</v>
      </c>
      <c r="D76">
        <f ca="1">IFERROR(__xludf.DUMMYFUNCTION("""COMPUTED_VALUE"""),10)</f>
        <v>10</v>
      </c>
      <c r="E76">
        <f ca="1">IFERROR(__xludf.DUMMYFUNCTION("""COMPUTED_VALUE"""),3.97)</f>
        <v>3.97</v>
      </c>
      <c r="F76">
        <f ca="1">IFERROR(__xludf.DUMMYFUNCTION("""COMPUTED_VALUE"""),445)</f>
        <v>445</v>
      </c>
      <c r="G76">
        <f ca="1">IFERROR(__xludf.DUMMYFUNCTION("""COMPUTED_VALUE"""),112)</f>
        <v>112</v>
      </c>
    </row>
    <row r="77" spans="1:7" ht="12.75">
      <c r="A77" t="str">
        <f ca="1">IFERROR(__xludf.DUMMYFUNCTION("""COMPUTED_VALUE"""),"T74")</f>
        <v>T74</v>
      </c>
      <c r="B77" t="str">
        <f ca="1">IFERROR(__xludf.DUMMYFUNCTION("""COMPUTED_VALUE"""),"T93")</f>
        <v>T93</v>
      </c>
      <c r="C77" t="str">
        <f ca="1">IFERROR(__xludf.DUMMYFUNCTION("""COMPUTED_VALUE"""),"Matt Kuchar")</f>
        <v>Matt Kuchar</v>
      </c>
      <c r="D77">
        <f ca="1">IFERROR(__xludf.DUMMYFUNCTION("""COMPUTED_VALUE"""),14)</f>
        <v>14</v>
      </c>
      <c r="E77">
        <f ca="1">IFERROR(__xludf.DUMMYFUNCTION("""COMPUTED_VALUE"""),3.97)</f>
        <v>3.97</v>
      </c>
      <c r="F77">
        <f ca="1">IFERROR(__xludf.DUMMYFUNCTION("""COMPUTED_VALUE"""),556)</f>
        <v>556</v>
      </c>
      <c r="G77">
        <f ca="1">IFERROR(__xludf.DUMMYFUNCTION("""COMPUTED_VALUE"""),140)</f>
        <v>140</v>
      </c>
    </row>
    <row r="78" spans="1:7" ht="12.75">
      <c r="A78" t="str">
        <f ca="1">IFERROR(__xludf.DUMMYFUNCTION("""COMPUTED_VALUE"""),"T74")</f>
        <v>T74</v>
      </c>
      <c r="B78" t="str">
        <f ca="1">IFERROR(__xludf.DUMMYFUNCTION("""COMPUTED_VALUE"""),"T93")</f>
        <v>T93</v>
      </c>
      <c r="C78" t="str">
        <f ca="1">IFERROR(__xludf.DUMMYFUNCTION("""COMPUTED_VALUE"""),"D.J. Trahan")</f>
        <v>D.J. Trahan</v>
      </c>
      <c r="D78">
        <f ca="1">IFERROR(__xludf.DUMMYFUNCTION("""COMPUTED_VALUE"""),16)</f>
        <v>16</v>
      </c>
      <c r="E78">
        <f ca="1">IFERROR(__xludf.DUMMYFUNCTION("""COMPUTED_VALUE"""),3.97)</f>
        <v>3.97</v>
      </c>
      <c r="F78">
        <f ca="1">IFERROR(__xludf.DUMMYFUNCTION("""COMPUTED_VALUE"""),651)</f>
        <v>651</v>
      </c>
      <c r="G78">
        <f ca="1">IFERROR(__xludf.DUMMYFUNCTION("""COMPUTED_VALUE"""),164)</f>
        <v>164</v>
      </c>
    </row>
    <row r="79" spans="1:7" ht="12.75">
      <c r="A79" t="str">
        <f ca="1">IFERROR(__xludf.DUMMYFUNCTION("""COMPUTED_VALUE"""),"T74")</f>
        <v>T74</v>
      </c>
      <c r="B79" t="str">
        <f ca="1">IFERROR(__xludf.DUMMYFUNCTION("""COMPUTED_VALUE"""),"T27")</f>
        <v>T27</v>
      </c>
      <c r="C79" t="str">
        <f ca="1">IFERROR(__xludf.DUMMYFUNCTION("""COMPUTED_VALUE"""),"Zach Johnson")</f>
        <v>Zach Johnson</v>
      </c>
      <c r="D79">
        <f ca="1">IFERROR(__xludf.DUMMYFUNCTION("""COMPUTED_VALUE"""),16)</f>
        <v>16</v>
      </c>
      <c r="E79">
        <f ca="1">IFERROR(__xludf.DUMMYFUNCTION("""COMPUTED_VALUE"""),3.97)</f>
        <v>3.97</v>
      </c>
      <c r="F79">
        <f ca="1">IFERROR(__xludf.DUMMYFUNCTION("""COMPUTED_VALUE"""),683)</f>
        <v>683</v>
      </c>
      <c r="G79">
        <f ca="1">IFERROR(__xludf.DUMMYFUNCTION("""COMPUTED_VALUE"""),172)</f>
        <v>172</v>
      </c>
    </row>
    <row r="80" spans="1:7" ht="12.75">
      <c r="A80" t="str">
        <f ca="1">IFERROR(__xludf.DUMMYFUNCTION("""COMPUTED_VALUE"""),"T74")</f>
        <v>T74</v>
      </c>
      <c r="B80" t="str">
        <f ca="1">IFERROR(__xludf.DUMMYFUNCTION("""COMPUTED_VALUE"""),"T93")</f>
        <v>T93</v>
      </c>
      <c r="C80" t="str">
        <f ca="1">IFERROR(__xludf.DUMMYFUNCTION("""COMPUTED_VALUE"""),"Jonathan Byrd")</f>
        <v>Jonathan Byrd</v>
      </c>
      <c r="D80">
        <f ca="1">IFERROR(__xludf.DUMMYFUNCTION("""COMPUTED_VALUE"""),14)</f>
        <v>14</v>
      </c>
      <c r="E80">
        <f ca="1">IFERROR(__xludf.DUMMYFUNCTION("""COMPUTED_VALUE"""),3.97)</f>
        <v>3.97</v>
      </c>
      <c r="F80">
        <f ca="1">IFERROR(__xludf.DUMMYFUNCTION("""COMPUTED_VALUE"""),571)</f>
        <v>571</v>
      </c>
      <c r="G80">
        <f ca="1">IFERROR(__xludf.DUMMYFUNCTION("""COMPUTED_VALUE"""),144)</f>
        <v>144</v>
      </c>
    </row>
    <row r="81" spans="1:7" ht="12.75">
      <c r="A81" t="str">
        <f ca="1">IFERROR(__xludf.DUMMYFUNCTION("""COMPUTED_VALUE"""),"T74")</f>
        <v>T74</v>
      </c>
      <c r="B81" t="str">
        <f ca="1">IFERROR(__xludf.DUMMYFUNCTION("""COMPUTED_VALUE"""),"")</f>
        <v/>
      </c>
      <c r="C81" t="str">
        <f ca="1">IFERROR(__xludf.DUMMYFUNCTION("""COMPUTED_VALUE"""),"Francesco Molinari")</f>
        <v>Francesco Molinari</v>
      </c>
      <c r="D81">
        <f ca="1">IFERROR(__xludf.DUMMYFUNCTION("""COMPUTED_VALUE"""),6)</f>
        <v>6</v>
      </c>
      <c r="E81">
        <f ca="1">IFERROR(__xludf.DUMMYFUNCTION("""COMPUTED_VALUE"""),3.97)</f>
        <v>3.97</v>
      </c>
      <c r="F81">
        <f ca="1">IFERROR(__xludf.DUMMYFUNCTION("""COMPUTED_VALUE"""),246)</f>
        <v>246</v>
      </c>
      <c r="G81">
        <f ca="1">IFERROR(__xludf.DUMMYFUNCTION("""COMPUTED_VALUE"""),62)</f>
        <v>62</v>
      </c>
    </row>
    <row r="82" spans="1:7" ht="12.75">
      <c r="A82" t="str">
        <f ca="1">IFERROR(__xludf.DUMMYFUNCTION("""COMPUTED_VALUE"""),"T74")</f>
        <v>T74</v>
      </c>
      <c r="B82" t="str">
        <f ca="1">IFERROR(__xludf.DUMMYFUNCTION("""COMPUTED_VALUE"""),"T93")</f>
        <v>T93</v>
      </c>
      <c r="C82" t="str">
        <f ca="1">IFERROR(__xludf.DUMMYFUNCTION("""COMPUTED_VALUE"""),"Louis Oosthuizen")</f>
        <v>Louis Oosthuizen</v>
      </c>
      <c r="D82">
        <f ca="1">IFERROR(__xludf.DUMMYFUNCTION("""COMPUTED_VALUE"""),12)</f>
        <v>12</v>
      </c>
      <c r="E82">
        <f ca="1">IFERROR(__xludf.DUMMYFUNCTION("""COMPUTED_VALUE"""),3.97)</f>
        <v>3.97</v>
      </c>
      <c r="F82">
        <f ca="1">IFERROR(__xludf.DUMMYFUNCTION("""COMPUTED_VALUE"""),524)</f>
        <v>524</v>
      </c>
      <c r="G82">
        <f ca="1">IFERROR(__xludf.DUMMYFUNCTION("""COMPUTED_VALUE"""),132)</f>
        <v>132</v>
      </c>
    </row>
    <row r="83" spans="1:7" ht="12.75">
      <c r="A83" t="str">
        <f ca="1">IFERROR(__xludf.DUMMYFUNCTION("""COMPUTED_VALUE"""),"T74")</f>
        <v>T74</v>
      </c>
      <c r="B83" t="str">
        <f ca="1">IFERROR(__xludf.DUMMYFUNCTION("""COMPUTED_VALUE"""),"T51")</f>
        <v>T51</v>
      </c>
      <c r="C83" t="str">
        <f ca="1">IFERROR(__xludf.DUMMYFUNCTION("""COMPUTED_VALUE"""),"Martin Laird")</f>
        <v>Martin Laird</v>
      </c>
      <c r="D83">
        <f ca="1">IFERROR(__xludf.DUMMYFUNCTION("""COMPUTED_VALUE"""),16)</f>
        <v>16</v>
      </c>
      <c r="E83">
        <f ca="1">IFERROR(__xludf.DUMMYFUNCTION("""COMPUTED_VALUE"""),3.97)</f>
        <v>3.97</v>
      </c>
      <c r="F83">
        <f ca="1">IFERROR(__xludf.DUMMYFUNCTION("""COMPUTED_VALUE"""),651)</f>
        <v>651</v>
      </c>
      <c r="G83">
        <f ca="1">IFERROR(__xludf.DUMMYFUNCTION("""COMPUTED_VALUE"""),164)</f>
        <v>164</v>
      </c>
    </row>
    <row r="84" spans="1:7" ht="12.75">
      <c r="A84" t="str">
        <f ca="1">IFERROR(__xludf.DUMMYFUNCTION("""COMPUTED_VALUE"""),"T74")</f>
        <v>T74</v>
      </c>
      <c r="B84" t="str">
        <f ca="1">IFERROR(__xludf.DUMMYFUNCTION("""COMPUTED_VALUE"""),"T93")</f>
        <v>T93</v>
      </c>
      <c r="C84" t="str">
        <f ca="1">IFERROR(__xludf.DUMMYFUNCTION("""COMPUTED_VALUE"""),"Ryan Brehm")</f>
        <v>Ryan Brehm</v>
      </c>
      <c r="D84">
        <f ca="1">IFERROR(__xludf.DUMMYFUNCTION("""COMPUTED_VALUE"""),10)</f>
        <v>10</v>
      </c>
      <c r="E84">
        <f ca="1">IFERROR(__xludf.DUMMYFUNCTION("""COMPUTED_VALUE"""),3.97)</f>
        <v>3.97</v>
      </c>
      <c r="F84">
        <f ca="1">IFERROR(__xludf.DUMMYFUNCTION("""COMPUTED_VALUE"""),413)</f>
        <v>413</v>
      </c>
      <c r="G84">
        <f ca="1">IFERROR(__xludf.DUMMYFUNCTION("""COMPUTED_VALUE"""),104)</f>
        <v>104</v>
      </c>
    </row>
    <row r="85" spans="1:7" ht="12.75">
      <c r="A85" t="str">
        <f ca="1">IFERROR(__xludf.DUMMYFUNCTION("""COMPUTED_VALUE"""),"T74")</f>
        <v>T74</v>
      </c>
      <c r="B85" t="str">
        <f ca="1">IFERROR(__xludf.DUMMYFUNCTION("""COMPUTED_VALUE"""),"T93")</f>
        <v>T93</v>
      </c>
      <c r="C85" t="str">
        <f ca="1">IFERROR(__xludf.DUMMYFUNCTION("""COMPUTED_VALUE"""),"Brendan Steele")</f>
        <v>Brendan Steele</v>
      </c>
      <c r="D85">
        <f ca="1">IFERROR(__xludf.DUMMYFUNCTION("""COMPUTED_VALUE"""),14)</f>
        <v>14</v>
      </c>
      <c r="E85">
        <f ca="1">IFERROR(__xludf.DUMMYFUNCTION("""COMPUTED_VALUE"""),3.97)</f>
        <v>3.97</v>
      </c>
      <c r="F85">
        <f ca="1">IFERROR(__xludf.DUMMYFUNCTION("""COMPUTED_VALUE"""),532)</f>
        <v>532</v>
      </c>
      <c r="G85">
        <f ca="1">IFERROR(__xludf.DUMMYFUNCTION("""COMPUTED_VALUE"""),134)</f>
        <v>134</v>
      </c>
    </row>
    <row r="86" spans="1:7" ht="12.75">
      <c r="A86" t="str">
        <f ca="1">IFERROR(__xludf.DUMMYFUNCTION("""COMPUTED_VALUE"""),"T74")</f>
        <v>T74</v>
      </c>
      <c r="B86" t="str">
        <f ca="1">IFERROR(__xludf.DUMMYFUNCTION("""COMPUTED_VALUE"""),"T62")</f>
        <v>T62</v>
      </c>
      <c r="C86" t="str">
        <f ca="1">IFERROR(__xludf.DUMMYFUNCTION("""COMPUTED_VALUE"""),"Scott Stallings")</f>
        <v>Scott Stallings</v>
      </c>
      <c r="D86">
        <f ca="1">IFERROR(__xludf.DUMMYFUNCTION("""COMPUTED_VALUE"""),14)</f>
        <v>14</v>
      </c>
      <c r="E86">
        <f ca="1">IFERROR(__xludf.DUMMYFUNCTION("""COMPUTED_VALUE"""),3.97)</f>
        <v>3.97</v>
      </c>
      <c r="F86">
        <f ca="1">IFERROR(__xludf.DUMMYFUNCTION("""COMPUTED_VALUE"""),580)</f>
        <v>580</v>
      </c>
      <c r="G86">
        <f ca="1">IFERROR(__xludf.DUMMYFUNCTION("""COMPUTED_VALUE"""),146)</f>
        <v>146</v>
      </c>
    </row>
    <row r="87" spans="1:7" ht="12.75">
      <c r="A87" t="str">
        <f ca="1">IFERROR(__xludf.DUMMYFUNCTION("""COMPUTED_VALUE"""),"T74")</f>
        <v>T74</v>
      </c>
      <c r="B87" t="str">
        <f ca="1">IFERROR(__xludf.DUMMYFUNCTION("""COMPUTED_VALUE"""),"T51")</f>
        <v>T51</v>
      </c>
      <c r="C87" t="str">
        <f ca="1">IFERROR(__xludf.DUMMYFUNCTION("""COMPUTED_VALUE"""),"Brian Stuard")</f>
        <v>Brian Stuard</v>
      </c>
      <c r="D87">
        <f ca="1">IFERROR(__xludf.DUMMYFUNCTION("""COMPUTED_VALUE"""),18)</f>
        <v>18</v>
      </c>
      <c r="E87">
        <f ca="1">IFERROR(__xludf.DUMMYFUNCTION("""COMPUTED_VALUE"""),3.97)</f>
        <v>3.97</v>
      </c>
      <c r="F87">
        <f ca="1">IFERROR(__xludf.DUMMYFUNCTION("""COMPUTED_VALUE"""),730)</f>
        <v>730</v>
      </c>
      <c r="G87">
        <f ca="1">IFERROR(__xludf.DUMMYFUNCTION("""COMPUTED_VALUE"""),184)</f>
        <v>184</v>
      </c>
    </row>
    <row r="88" spans="1:7" ht="12.75">
      <c r="A88" t="str">
        <f ca="1">IFERROR(__xludf.DUMMYFUNCTION("""COMPUTED_VALUE"""),"T74")</f>
        <v>T74</v>
      </c>
      <c r="B88" t="str">
        <f ca="1">IFERROR(__xludf.DUMMYFUNCTION("""COMPUTED_VALUE"""),"T93")</f>
        <v>T93</v>
      </c>
      <c r="C88" t="str">
        <f ca="1">IFERROR(__xludf.DUMMYFUNCTION("""COMPUTED_VALUE"""),"Carlos Ortiz")</f>
        <v>Carlos Ortiz</v>
      </c>
      <c r="D88">
        <f ca="1">IFERROR(__xludf.DUMMYFUNCTION("""COMPUTED_VALUE"""),20)</f>
        <v>20</v>
      </c>
      <c r="E88">
        <f ca="1">IFERROR(__xludf.DUMMYFUNCTION("""COMPUTED_VALUE"""),3.97)</f>
        <v>3.97</v>
      </c>
      <c r="F88">
        <f ca="1">IFERROR(__xludf.DUMMYFUNCTION("""COMPUTED_VALUE"""),770)</f>
        <v>770</v>
      </c>
      <c r="G88">
        <f ca="1">IFERROR(__xludf.DUMMYFUNCTION("""COMPUTED_VALUE"""),194)</f>
        <v>194</v>
      </c>
    </row>
    <row r="89" spans="1:7" ht="12.75">
      <c r="A89" t="str">
        <f ca="1">IFERROR(__xludf.DUMMYFUNCTION("""COMPUTED_VALUE"""),"T74")</f>
        <v>T74</v>
      </c>
      <c r="B89" t="str">
        <f ca="1">IFERROR(__xludf.DUMMYFUNCTION("""COMPUTED_VALUE"""),"T93")</f>
        <v>T93</v>
      </c>
      <c r="C89" t="str">
        <f ca="1">IFERROR(__xludf.DUMMYFUNCTION("""COMPUTED_VALUE"""),"Joel Dahmen")</f>
        <v>Joel Dahmen</v>
      </c>
      <c r="D89">
        <f ca="1">IFERROR(__xludf.DUMMYFUNCTION("""COMPUTED_VALUE"""),18)</f>
        <v>18</v>
      </c>
      <c r="E89">
        <f ca="1">IFERROR(__xludf.DUMMYFUNCTION("""COMPUTED_VALUE"""),3.97)</f>
        <v>3.97</v>
      </c>
      <c r="F89">
        <f ca="1">IFERROR(__xludf.DUMMYFUNCTION("""COMPUTED_VALUE"""),714)</f>
        <v>714</v>
      </c>
      <c r="G89">
        <f ca="1">IFERROR(__xludf.DUMMYFUNCTION("""COMPUTED_VALUE"""),180)</f>
        <v>180</v>
      </c>
    </row>
    <row r="90" spans="1:7" ht="12.75">
      <c r="A90" t="str">
        <f ca="1">IFERROR(__xludf.DUMMYFUNCTION("""COMPUTED_VALUE"""),"T74")</f>
        <v>T74</v>
      </c>
      <c r="B90" t="str">
        <f ca="1">IFERROR(__xludf.DUMMYFUNCTION("""COMPUTED_VALUE"""),"T62")</f>
        <v>T62</v>
      </c>
      <c r="C90" t="str">
        <f ca="1">IFERROR(__xludf.DUMMYFUNCTION("""COMPUTED_VALUE"""),"Andrew Putnam")</f>
        <v>Andrew Putnam</v>
      </c>
      <c r="D90">
        <f ca="1">IFERROR(__xludf.DUMMYFUNCTION("""COMPUTED_VALUE"""),19)</f>
        <v>19</v>
      </c>
      <c r="E90">
        <f ca="1">IFERROR(__xludf.DUMMYFUNCTION("""COMPUTED_VALUE"""),3.97)</f>
        <v>3.97</v>
      </c>
      <c r="F90">
        <f ca="1">IFERROR(__xludf.DUMMYFUNCTION("""COMPUTED_VALUE"""),794)</f>
        <v>794</v>
      </c>
      <c r="G90">
        <f ca="1">IFERROR(__xludf.DUMMYFUNCTION("""COMPUTED_VALUE"""),200)</f>
        <v>200</v>
      </c>
    </row>
    <row r="91" spans="1:7" ht="12.75">
      <c r="A91" t="str">
        <f ca="1">IFERROR(__xludf.DUMMYFUNCTION("""COMPUTED_VALUE"""),"T90")</f>
        <v>T90</v>
      </c>
      <c r="B91" t="str">
        <f ca="1">IFERROR(__xludf.DUMMYFUNCTION("""COMPUTED_VALUE"""),"T69")</f>
        <v>T69</v>
      </c>
      <c r="C91" t="str">
        <f ca="1">IFERROR(__xludf.DUMMYFUNCTION("""COMPUTED_VALUE"""),"Vaughn Taylor")</f>
        <v>Vaughn Taylor</v>
      </c>
      <c r="D91">
        <f ca="1">IFERROR(__xludf.DUMMYFUNCTION("""COMPUTED_VALUE"""),12)</f>
        <v>12</v>
      </c>
      <c r="E91">
        <f ca="1">IFERROR(__xludf.DUMMYFUNCTION("""COMPUTED_VALUE"""),3.98)</f>
        <v>3.98</v>
      </c>
      <c r="F91">
        <f ca="1">IFERROR(__xludf.DUMMYFUNCTION("""COMPUTED_VALUE"""),502)</f>
        <v>502</v>
      </c>
      <c r="G91">
        <f ca="1">IFERROR(__xludf.DUMMYFUNCTION("""COMPUTED_VALUE"""),126)</f>
        <v>126</v>
      </c>
    </row>
    <row r="92" spans="1:7" ht="12.75">
      <c r="A92" t="str">
        <f ca="1">IFERROR(__xludf.DUMMYFUNCTION("""COMPUTED_VALUE"""),"T90")</f>
        <v>T90</v>
      </c>
      <c r="B92" t="str">
        <f ca="1">IFERROR(__xludf.DUMMYFUNCTION("""COMPUTED_VALUE"""),"T106")</f>
        <v>T106</v>
      </c>
      <c r="C92" t="str">
        <f ca="1">IFERROR(__xludf.DUMMYFUNCTION("""COMPUTED_VALUE"""),"J.J. Henry")</f>
        <v>J.J. Henry</v>
      </c>
      <c r="D92">
        <f ca="1">IFERROR(__xludf.DUMMYFUNCTION("""COMPUTED_VALUE"""),4)</f>
        <v>4</v>
      </c>
      <c r="E92">
        <f ca="1">IFERROR(__xludf.DUMMYFUNCTION("""COMPUTED_VALUE"""),3.98)</f>
        <v>3.98</v>
      </c>
      <c r="F92">
        <f ca="1">IFERROR(__xludf.DUMMYFUNCTION("""COMPUTED_VALUE"""),159)</f>
        <v>159</v>
      </c>
      <c r="G92">
        <f ca="1">IFERROR(__xludf.DUMMYFUNCTION("""COMPUTED_VALUE"""),40)</f>
        <v>40</v>
      </c>
    </row>
    <row r="93" spans="1:7" ht="12.75">
      <c r="A93" t="str">
        <f ca="1">IFERROR(__xludf.DUMMYFUNCTION("""COMPUTED_VALUE"""),"T90")</f>
        <v>T90</v>
      </c>
      <c r="B93" t="str">
        <f ca="1">IFERROR(__xludf.DUMMYFUNCTION("""COMPUTED_VALUE"""),"T106")</f>
        <v>T106</v>
      </c>
      <c r="C93" t="str">
        <f ca="1">IFERROR(__xludf.DUMMYFUNCTION("""COMPUTED_VALUE"""),"Jhonattan Vegas")</f>
        <v>Jhonattan Vegas</v>
      </c>
      <c r="D93">
        <f ca="1">IFERROR(__xludf.DUMMYFUNCTION("""COMPUTED_VALUE"""),16)</f>
        <v>16</v>
      </c>
      <c r="E93">
        <f ca="1">IFERROR(__xludf.DUMMYFUNCTION("""COMPUTED_VALUE"""),3.98)</f>
        <v>3.98</v>
      </c>
      <c r="F93">
        <f ca="1">IFERROR(__xludf.DUMMYFUNCTION("""COMPUTED_VALUE"""),653)</f>
        <v>653</v>
      </c>
      <c r="G93">
        <f ca="1">IFERROR(__xludf.DUMMYFUNCTION("""COMPUTED_VALUE"""),164)</f>
        <v>164</v>
      </c>
    </row>
    <row r="94" spans="1:7" ht="12.75">
      <c r="A94" t="str">
        <f ca="1">IFERROR(__xludf.DUMMYFUNCTION("""COMPUTED_VALUE"""),"T90")</f>
        <v>T90</v>
      </c>
      <c r="B94" t="str">
        <f ca="1">IFERROR(__xludf.DUMMYFUNCTION("""COMPUTED_VALUE"""),"T106")</f>
        <v>T106</v>
      </c>
      <c r="C94" t="str">
        <f ca="1">IFERROR(__xludf.DUMMYFUNCTION("""COMPUTED_VALUE"""),"Josh Teater")</f>
        <v>Josh Teater</v>
      </c>
      <c r="D94">
        <f ca="1">IFERROR(__xludf.DUMMYFUNCTION("""COMPUTED_VALUE"""),6)</f>
        <v>6</v>
      </c>
      <c r="E94">
        <f ca="1">IFERROR(__xludf.DUMMYFUNCTION("""COMPUTED_VALUE"""),3.98)</f>
        <v>3.98</v>
      </c>
      <c r="F94">
        <f ca="1">IFERROR(__xludf.DUMMYFUNCTION("""COMPUTED_VALUE"""),247)</f>
        <v>247</v>
      </c>
      <c r="G94">
        <f ca="1">IFERROR(__xludf.DUMMYFUNCTION("""COMPUTED_VALUE"""),62)</f>
        <v>62</v>
      </c>
    </row>
    <row r="95" spans="1:7" ht="12.75">
      <c r="A95" t="str">
        <f ca="1">IFERROR(__xludf.DUMMYFUNCTION("""COMPUTED_VALUE"""),"T90")</f>
        <v>T90</v>
      </c>
      <c r="B95" t="str">
        <f ca="1">IFERROR(__xludf.DUMMYFUNCTION("""COMPUTED_VALUE"""),"T69")</f>
        <v>T69</v>
      </c>
      <c r="C95" t="str">
        <f ca="1">IFERROR(__xludf.DUMMYFUNCTION("""COMPUTED_VALUE"""),"C.T. Pan")</f>
        <v>C.T. Pan</v>
      </c>
      <c r="D95">
        <f ca="1">IFERROR(__xludf.DUMMYFUNCTION("""COMPUTED_VALUE"""),20)</f>
        <v>20</v>
      </c>
      <c r="E95">
        <f ca="1">IFERROR(__xludf.DUMMYFUNCTION("""COMPUTED_VALUE"""),3.98)</f>
        <v>3.98</v>
      </c>
      <c r="F95">
        <f ca="1">IFERROR(__xludf.DUMMYFUNCTION("""COMPUTED_VALUE"""),811)</f>
        <v>811</v>
      </c>
      <c r="G95">
        <f ca="1">IFERROR(__xludf.DUMMYFUNCTION("""COMPUTED_VALUE"""),204)</f>
        <v>204</v>
      </c>
    </row>
    <row r="96" spans="1:7" ht="12.75">
      <c r="A96" t="str">
        <f ca="1">IFERROR(__xludf.DUMMYFUNCTION("""COMPUTED_VALUE"""),"T90")</f>
        <v>T90</v>
      </c>
      <c r="B96" t="str">
        <f ca="1">IFERROR(__xludf.DUMMYFUNCTION("""COMPUTED_VALUE"""),"T174")</f>
        <v>T174</v>
      </c>
      <c r="C96" t="str">
        <f ca="1">IFERROR(__xludf.DUMMYFUNCTION("""COMPUTED_VALUE"""),"Dustin Johnson")</f>
        <v>Dustin Johnson</v>
      </c>
      <c r="D96">
        <f ca="1">IFERROR(__xludf.DUMMYFUNCTION("""COMPUTED_VALUE"""),8)</f>
        <v>8</v>
      </c>
      <c r="E96">
        <f ca="1">IFERROR(__xludf.DUMMYFUNCTION("""COMPUTED_VALUE"""),3.98)</f>
        <v>3.98</v>
      </c>
      <c r="F96">
        <f ca="1">IFERROR(__xludf.DUMMYFUNCTION("""COMPUTED_VALUE"""),350)</f>
        <v>350</v>
      </c>
      <c r="G96">
        <f ca="1">IFERROR(__xludf.DUMMYFUNCTION("""COMPUTED_VALUE"""),88)</f>
        <v>88</v>
      </c>
    </row>
    <row r="97" spans="1:7" ht="12.75">
      <c r="A97" t="str">
        <f ca="1">IFERROR(__xludf.DUMMYFUNCTION("""COMPUTED_VALUE"""),"T90")</f>
        <v>T90</v>
      </c>
      <c r="B97" t="str">
        <f ca="1">IFERROR(__xludf.DUMMYFUNCTION("""COMPUTED_VALUE"""),"T40")</f>
        <v>T40</v>
      </c>
      <c r="C97" t="str">
        <f ca="1">IFERROR(__xludf.DUMMYFUNCTION("""COMPUTED_VALUE"""),"Chris Kirk")</f>
        <v>Chris Kirk</v>
      </c>
      <c r="D97">
        <f ca="1">IFERROR(__xludf.DUMMYFUNCTION("""COMPUTED_VALUE"""),10)</f>
        <v>10</v>
      </c>
      <c r="E97">
        <f ca="1">IFERROR(__xludf.DUMMYFUNCTION("""COMPUTED_VALUE"""),3.98)</f>
        <v>3.98</v>
      </c>
      <c r="F97">
        <f ca="1">IFERROR(__xludf.DUMMYFUNCTION("""COMPUTED_VALUE"""),398)</f>
        <v>398</v>
      </c>
      <c r="G97">
        <f ca="1">IFERROR(__xludf.DUMMYFUNCTION("""COMPUTED_VALUE"""),100)</f>
        <v>100</v>
      </c>
    </row>
    <row r="98" spans="1:7" ht="12.75">
      <c r="A98" t="str">
        <f ca="1">IFERROR(__xludf.DUMMYFUNCTION("""COMPUTED_VALUE"""),"T90")</f>
        <v>T90</v>
      </c>
      <c r="B98" t="str">
        <f ca="1">IFERROR(__xludf.DUMMYFUNCTION("""COMPUTED_VALUE"""),"T106")</f>
        <v>T106</v>
      </c>
      <c r="C98" t="str">
        <f ca="1">IFERROR(__xludf.DUMMYFUNCTION("""COMPUTED_VALUE"""),"Harris English")</f>
        <v>Harris English</v>
      </c>
      <c r="D98">
        <f ca="1">IFERROR(__xludf.DUMMYFUNCTION("""COMPUTED_VALUE"""),14)</f>
        <v>14</v>
      </c>
      <c r="E98">
        <f ca="1">IFERROR(__xludf.DUMMYFUNCTION("""COMPUTED_VALUE"""),3.98)</f>
        <v>3.98</v>
      </c>
      <c r="F98">
        <f ca="1">IFERROR(__xludf.DUMMYFUNCTION("""COMPUTED_VALUE"""),565)</f>
        <v>565</v>
      </c>
      <c r="G98">
        <f ca="1">IFERROR(__xludf.DUMMYFUNCTION("""COMPUTED_VALUE"""),142)</f>
        <v>142</v>
      </c>
    </row>
    <row r="99" spans="1:7" ht="12.75">
      <c r="A99" t="str">
        <f ca="1">IFERROR(__xludf.DUMMYFUNCTION("""COMPUTED_VALUE"""),"T90")</f>
        <v>T90</v>
      </c>
      <c r="B99" t="str">
        <f ca="1">IFERROR(__xludf.DUMMYFUNCTION("""COMPUTED_VALUE"""),"T106")</f>
        <v>T106</v>
      </c>
      <c r="C99" t="str">
        <f ca="1">IFERROR(__xludf.DUMMYFUNCTION("""COMPUTED_VALUE"""),"Chesson Hadley")</f>
        <v>Chesson Hadley</v>
      </c>
      <c r="D99">
        <f ca="1">IFERROR(__xludf.DUMMYFUNCTION("""COMPUTED_VALUE"""),16)</f>
        <v>16</v>
      </c>
      <c r="E99">
        <f ca="1">IFERROR(__xludf.DUMMYFUNCTION("""COMPUTED_VALUE"""),3.98)</f>
        <v>3.98</v>
      </c>
      <c r="F99">
        <f ca="1">IFERROR(__xludf.DUMMYFUNCTION("""COMPUTED_VALUE"""),693)</f>
        <v>693</v>
      </c>
      <c r="G99">
        <f ca="1">IFERROR(__xludf.DUMMYFUNCTION("""COMPUTED_VALUE"""),174)</f>
        <v>174</v>
      </c>
    </row>
    <row r="100" spans="1:7" ht="12.75">
      <c r="A100" t="str">
        <f ca="1">IFERROR(__xludf.DUMMYFUNCTION("""COMPUTED_VALUE"""),"T90")</f>
        <v>T90</v>
      </c>
      <c r="B100" t="str">
        <f ca="1">IFERROR(__xludf.DUMMYFUNCTION("""COMPUTED_VALUE"""),"T78")</f>
        <v>T78</v>
      </c>
      <c r="C100" t="str">
        <f ca="1">IFERROR(__xludf.DUMMYFUNCTION("""COMPUTED_VALUE"""),"Si Woo Kim")</f>
        <v>Si Woo Kim</v>
      </c>
      <c r="D100">
        <f ca="1">IFERROR(__xludf.DUMMYFUNCTION("""COMPUTED_VALUE"""),20)</f>
        <v>20</v>
      </c>
      <c r="E100">
        <f ca="1">IFERROR(__xludf.DUMMYFUNCTION("""COMPUTED_VALUE"""),3.98)</f>
        <v>3.98</v>
      </c>
      <c r="F100">
        <f ca="1">IFERROR(__xludf.DUMMYFUNCTION("""COMPUTED_VALUE"""),828)</f>
        <v>828</v>
      </c>
      <c r="G100">
        <f ca="1">IFERROR(__xludf.DUMMYFUNCTION("""COMPUTED_VALUE"""),208)</f>
        <v>208</v>
      </c>
    </row>
    <row r="101" spans="1:7" ht="12.75">
      <c r="A101" t="str">
        <f ca="1">IFERROR(__xludf.DUMMYFUNCTION("""COMPUTED_VALUE"""),"T90")</f>
        <v>T90</v>
      </c>
      <c r="B101" t="str">
        <f ca="1">IFERROR(__xludf.DUMMYFUNCTION("""COMPUTED_VALUE"""),"T106")</f>
        <v>T106</v>
      </c>
      <c r="C101" t="str">
        <f ca="1">IFERROR(__xludf.DUMMYFUNCTION("""COMPUTED_VALUE"""),"MJ Daffue")</f>
        <v>MJ Daffue</v>
      </c>
      <c r="D101">
        <f ca="1">IFERROR(__xludf.DUMMYFUNCTION("""COMPUTED_VALUE"""),10)</f>
        <v>10</v>
      </c>
      <c r="E101">
        <f ca="1">IFERROR(__xludf.DUMMYFUNCTION("""COMPUTED_VALUE"""),3.98)</f>
        <v>3.98</v>
      </c>
      <c r="F101">
        <f ca="1">IFERROR(__xludf.DUMMYFUNCTION("""COMPUTED_VALUE"""),406)</f>
        <v>406</v>
      </c>
      <c r="G101">
        <f ca="1">IFERROR(__xludf.DUMMYFUNCTION("""COMPUTED_VALUE"""),102)</f>
        <v>102</v>
      </c>
    </row>
    <row r="102" spans="1:7" ht="12.75">
      <c r="A102" t="str">
        <f ca="1">IFERROR(__xludf.DUMMYFUNCTION("""COMPUTED_VALUE"""),"T90")</f>
        <v>T90</v>
      </c>
      <c r="B102" t="str">
        <f ca="1">IFERROR(__xludf.DUMMYFUNCTION("""COMPUTED_VALUE"""),"T78")</f>
        <v>T78</v>
      </c>
      <c r="C102" t="str">
        <f ca="1">IFERROR(__xludf.DUMMYFUNCTION("""COMPUTED_VALUE"""),"Scottie Scheffler")</f>
        <v>Scottie Scheffler</v>
      </c>
      <c r="D102">
        <f ca="1">IFERROR(__xludf.DUMMYFUNCTION("""COMPUTED_VALUE"""),18)</f>
        <v>18</v>
      </c>
      <c r="E102">
        <f ca="1">IFERROR(__xludf.DUMMYFUNCTION("""COMPUTED_VALUE"""),3.98)</f>
        <v>3.98</v>
      </c>
      <c r="F102">
        <f ca="1">IFERROR(__xludf.DUMMYFUNCTION("""COMPUTED_VALUE"""),693)</f>
        <v>693</v>
      </c>
      <c r="G102">
        <f ca="1">IFERROR(__xludf.DUMMYFUNCTION("""COMPUTED_VALUE"""),174)</f>
        <v>174</v>
      </c>
    </row>
    <row r="103" spans="1:7" ht="12.75">
      <c r="A103" t="str">
        <f ca="1">IFERROR(__xludf.DUMMYFUNCTION("""COMPUTED_VALUE"""),"T90")</f>
        <v>T90</v>
      </c>
      <c r="B103" t="str">
        <f ca="1">IFERROR(__xludf.DUMMYFUNCTION("""COMPUTED_VALUE"""),"T174")</f>
        <v>T174</v>
      </c>
      <c r="C103" t="str">
        <f ca="1">IFERROR(__xludf.DUMMYFUNCTION("""COMPUTED_VALUE"""),"Viktor Hovland")</f>
        <v>Viktor Hovland</v>
      </c>
      <c r="D103">
        <f ca="1">IFERROR(__xludf.DUMMYFUNCTION("""COMPUTED_VALUE"""),16)</f>
        <v>16</v>
      </c>
      <c r="E103">
        <f ca="1">IFERROR(__xludf.DUMMYFUNCTION("""COMPUTED_VALUE"""),3.98)</f>
        <v>3.98</v>
      </c>
      <c r="F103">
        <f ca="1">IFERROR(__xludf.DUMMYFUNCTION("""COMPUTED_VALUE"""),636)</f>
        <v>636</v>
      </c>
      <c r="G103">
        <f ca="1">IFERROR(__xludf.DUMMYFUNCTION("""COMPUTED_VALUE"""),160)</f>
        <v>160</v>
      </c>
    </row>
    <row r="104" spans="1:7" ht="12.75">
      <c r="A104" t="str">
        <f ca="1">IFERROR(__xludf.DUMMYFUNCTION("""COMPUTED_VALUE"""),"T90")</f>
        <v>T90</v>
      </c>
      <c r="B104" t="str">
        <f ca="1">IFERROR(__xludf.DUMMYFUNCTION("""COMPUTED_VALUE"""),"T106")</f>
        <v>T106</v>
      </c>
      <c r="C104" t="str">
        <f ca="1">IFERROR(__xludf.DUMMYFUNCTION("""COMPUTED_VALUE"""),"Will Zalatoris")</f>
        <v>Will Zalatoris</v>
      </c>
      <c r="D104">
        <f ca="1">IFERROR(__xludf.DUMMYFUNCTION("""COMPUTED_VALUE"""),18)</f>
        <v>18</v>
      </c>
      <c r="E104">
        <f ca="1">IFERROR(__xludf.DUMMYFUNCTION("""COMPUTED_VALUE"""),3.98)</f>
        <v>3.98</v>
      </c>
      <c r="F104">
        <f ca="1">IFERROR(__xludf.DUMMYFUNCTION("""COMPUTED_VALUE"""),780)</f>
        <v>780</v>
      </c>
      <c r="G104">
        <f ca="1">IFERROR(__xludf.DUMMYFUNCTION("""COMPUTED_VALUE"""),196)</f>
        <v>196</v>
      </c>
    </row>
    <row r="105" spans="1:7" ht="12.75">
      <c r="A105" t="str">
        <f ca="1">IFERROR(__xludf.DUMMYFUNCTION("""COMPUTED_VALUE"""),"T90")</f>
        <v>T90</v>
      </c>
      <c r="B105" t="str">
        <f ca="1">IFERROR(__xludf.DUMMYFUNCTION("""COMPUTED_VALUE"""),"T106")</f>
        <v>T106</v>
      </c>
      <c r="C105" t="str">
        <f ca="1">IFERROR(__xludf.DUMMYFUNCTION("""COMPUTED_VALUE"""),"Ben Taylor")</f>
        <v>Ben Taylor</v>
      </c>
      <c r="D105">
        <f ca="1">IFERROR(__xludf.DUMMYFUNCTION("""COMPUTED_VALUE"""),10)</f>
        <v>10</v>
      </c>
      <c r="E105">
        <f ca="1">IFERROR(__xludf.DUMMYFUNCTION("""COMPUTED_VALUE"""),3.98)</f>
        <v>3.98</v>
      </c>
      <c r="F105">
        <f ca="1">IFERROR(__xludf.DUMMYFUNCTION("""COMPUTED_VALUE"""),414)</f>
        <v>414</v>
      </c>
      <c r="G105">
        <f ca="1">IFERROR(__xludf.DUMMYFUNCTION("""COMPUTED_VALUE"""),104)</f>
        <v>104</v>
      </c>
    </row>
    <row r="106" spans="1:7" ht="12.75">
      <c r="A106" t="str">
        <f ca="1">IFERROR(__xludf.DUMMYFUNCTION("""COMPUTED_VALUE"""),"T90")</f>
        <v>T90</v>
      </c>
      <c r="B106" t="str">
        <f ca="1">IFERROR(__xludf.DUMMYFUNCTION("""COMPUTED_VALUE"""),"T106")</f>
        <v>T106</v>
      </c>
      <c r="C106" t="str">
        <f ca="1">IFERROR(__xludf.DUMMYFUNCTION("""COMPUTED_VALUE"""),"Vincent Whaley")</f>
        <v>Vincent Whaley</v>
      </c>
      <c r="D106">
        <f ca="1">IFERROR(__xludf.DUMMYFUNCTION("""COMPUTED_VALUE"""),14)</f>
        <v>14</v>
      </c>
      <c r="E106">
        <f ca="1">IFERROR(__xludf.DUMMYFUNCTION("""COMPUTED_VALUE"""),3.98)</f>
        <v>3.98</v>
      </c>
      <c r="F106">
        <f ca="1">IFERROR(__xludf.DUMMYFUNCTION("""COMPUTED_VALUE"""),565)</f>
        <v>565</v>
      </c>
      <c r="G106">
        <f ca="1">IFERROR(__xludf.DUMMYFUNCTION("""COMPUTED_VALUE"""),142)</f>
        <v>142</v>
      </c>
    </row>
    <row r="107" spans="1:7" ht="12.75">
      <c r="A107" t="str">
        <f ca="1">IFERROR(__xludf.DUMMYFUNCTION("""COMPUTED_VALUE"""),"T90")</f>
        <v>T90</v>
      </c>
      <c r="B107" t="str">
        <f ca="1">IFERROR(__xludf.DUMMYFUNCTION("""COMPUTED_VALUE"""),"T106")</f>
        <v>T106</v>
      </c>
      <c r="C107" t="str">
        <f ca="1">IFERROR(__xludf.DUMMYFUNCTION("""COMPUTED_VALUE"""),"Matthew Wolff")</f>
        <v>Matthew Wolff</v>
      </c>
      <c r="D107">
        <f ca="1">IFERROR(__xludf.DUMMYFUNCTION("""COMPUTED_VALUE"""),16)</f>
        <v>16</v>
      </c>
      <c r="E107">
        <f ca="1">IFERROR(__xludf.DUMMYFUNCTION("""COMPUTED_VALUE"""),3.98)</f>
        <v>3.98</v>
      </c>
      <c r="F107">
        <f ca="1">IFERROR(__xludf.DUMMYFUNCTION("""COMPUTED_VALUE"""),653)</f>
        <v>653</v>
      </c>
      <c r="G107">
        <f ca="1">IFERROR(__xludf.DUMMYFUNCTION("""COMPUTED_VALUE"""),164)</f>
        <v>164</v>
      </c>
    </row>
    <row r="108" spans="1:7" ht="12.75">
      <c r="A108" t="str">
        <f ca="1">IFERROR(__xludf.DUMMYFUNCTION("""COMPUTED_VALUE"""),"T107")</f>
        <v>T107</v>
      </c>
      <c r="B108" t="str">
        <f ca="1">IFERROR(__xludf.DUMMYFUNCTION("""COMPUTED_VALUE"""),"T123")</f>
        <v>T123</v>
      </c>
      <c r="C108" t="str">
        <f ca="1">IFERROR(__xludf.DUMMYFUNCTION("""COMPUTED_VALUE"""),"George McNeill")</f>
        <v>George McNeill</v>
      </c>
      <c r="D108">
        <f ca="1">IFERROR(__xludf.DUMMYFUNCTION("""COMPUTED_VALUE"""),8)</f>
        <v>8</v>
      </c>
      <c r="E108">
        <f ca="1">IFERROR(__xludf.DUMMYFUNCTION("""COMPUTED_VALUE"""),3.99)</f>
        <v>3.99</v>
      </c>
      <c r="F108">
        <f ca="1">IFERROR(__xludf.DUMMYFUNCTION("""COMPUTED_VALUE"""),327)</f>
        <v>327</v>
      </c>
      <c r="G108">
        <f ca="1">IFERROR(__xludf.DUMMYFUNCTION("""COMPUTED_VALUE"""),82)</f>
        <v>82</v>
      </c>
    </row>
    <row r="109" spans="1:7" ht="12.75">
      <c r="A109" t="str">
        <f ca="1">IFERROR(__xludf.DUMMYFUNCTION("""COMPUTED_VALUE"""),"T107")</f>
        <v>T107</v>
      </c>
      <c r="B109" t="str">
        <f ca="1">IFERROR(__xludf.DUMMYFUNCTION("""COMPUTED_VALUE"""),"T123")</f>
        <v>T123</v>
      </c>
      <c r="C109" t="str">
        <f ca="1">IFERROR(__xludf.DUMMYFUNCTION("""COMPUTED_VALUE"""),"Johnson Wagner")</f>
        <v>Johnson Wagner</v>
      </c>
      <c r="D109">
        <f ca="1">IFERROR(__xludf.DUMMYFUNCTION("""COMPUTED_VALUE"""),8)</f>
        <v>8</v>
      </c>
      <c r="E109">
        <f ca="1">IFERROR(__xludf.DUMMYFUNCTION("""COMPUTED_VALUE"""),3.99)</f>
        <v>3.99</v>
      </c>
      <c r="F109">
        <f ca="1">IFERROR(__xludf.DUMMYFUNCTION("""COMPUTED_VALUE"""),335)</f>
        <v>335</v>
      </c>
      <c r="G109">
        <f ca="1">IFERROR(__xludf.DUMMYFUNCTION("""COMPUTED_VALUE"""),84)</f>
        <v>84</v>
      </c>
    </row>
    <row r="110" spans="1:7" ht="12.75">
      <c r="A110" t="str">
        <f ca="1">IFERROR(__xludf.DUMMYFUNCTION("""COMPUTED_VALUE"""),"T107")</f>
        <v>T107</v>
      </c>
      <c r="B110" t="str">
        <f ca="1">IFERROR(__xludf.DUMMYFUNCTION("""COMPUTED_VALUE"""),"T123")</f>
        <v>T123</v>
      </c>
      <c r="C110" t="str">
        <f ca="1">IFERROR(__xludf.DUMMYFUNCTION("""COMPUTED_VALUE"""),"Seamus Power")</f>
        <v>Seamus Power</v>
      </c>
      <c r="D110">
        <f ca="1">IFERROR(__xludf.DUMMYFUNCTION("""COMPUTED_VALUE"""),8)</f>
        <v>8</v>
      </c>
      <c r="E110">
        <f ca="1">IFERROR(__xludf.DUMMYFUNCTION("""COMPUTED_VALUE"""),3.99)</f>
        <v>3.99</v>
      </c>
      <c r="F110">
        <f ca="1">IFERROR(__xludf.DUMMYFUNCTION("""COMPUTED_VALUE"""),335)</f>
        <v>335</v>
      </c>
      <c r="G110">
        <f ca="1">IFERROR(__xludf.DUMMYFUNCTION("""COMPUTED_VALUE"""),84)</f>
        <v>84</v>
      </c>
    </row>
    <row r="111" spans="1:7" ht="12.75">
      <c r="A111" t="str">
        <f ca="1">IFERROR(__xludf.DUMMYFUNCTION("""COMPUTED_VALUE"""),"T107")</f>
        <v>T107</v>
      </c>
      <c r="B111" t="str">
        <f ca="1">IFERROR(__xludf.DUMMYFUNCTION("""COMPUTED_VALUE"""),"T93")</f>
        <v>T93</v>
      </c>
      <c r="C111" t="str">
        <f ca="1">IFERROR(__xludf.DUMMYFUNCTION("""COMPUTED_VALUE"""),"Jamie Lovemark")</f>
        <v>Jamie Lovemark</v>
      </c>
      <c r="D111">
        <f ca="1">IFERROR(__xludf.DUMMYFUNCTION("""COMPUTED_VALUE"""),18)</f>
        <v>18</v>
      </c>
      <c r="E111">
        <f ca="1">IFERROR(__xludf.DUMMYFUNCTION("""COMPUTED_VALUE"""),3.99)</f>
        <v>3.99</v>
      </c>
      <c r="F111">
        <f ca="1">IFERROR(__xludf.DUMMYFUNCTION("""COMPUTED_VALUE"""),735)</f>
        <v>735</v>
      </c>
      <c r="G111">
        <f ca="1">IFERROR(__xludf.DUMMYFUNCTION("""COMPUTED_VALUE"""),184)</f>
        <v>184</v>
      </c>
    </row>
    <row r="112" spans="1:7" ht="12.75">
      <c r="A112" t="str">
        <f ca="1">IFERROR(__xludf.DUMMYFUNCTION("""COMPUTED_VALUE"""),"T107")</f>
        <v>T107</v>
      </c>
      <c r="B112" t="str">
        <f ca="1">IFERROR(__xludf.DUMMYFUNCTION("""COMPUTED_VALUE"""),"T78")</f>
        <v>T78</v>
      </c>
      <c r="C112" t="str">
        <f ca="1">IFERROR(__xludf.DUMMYFUNCTION("""COMPUTED_VALUE"""),"Cameron Tringale")</f>
        <v>Cameron Tringale</v>
      </c>
      <c r="D112">
        <f ca="1">IFERROR(__xludf.DUMMYFUNCTION("""COMPUTED_VALUE"""),16)</f>
        <v>16</v>
      </c>
      <c r="E112">
        <f ca="1">IFERROR(__xludf.DUMMYFUNCTION("""COMPUTED_VALUE"""),3.99)</f>
        <v>3.99</v>
      </c>
      <c r="F112">
        <f ca="1">IFERROR(__xludf.DUMMYFUNCTION("""COMPUTED_VALUE"""),662)</f>
        <v>662</v>
      </c>
      <c r="G112">
        <f ca="1">IFERROR(__xludf.DUMMYFUNCTION("""COMPUTED_VALUE"""),166)</f>
        <v>166</v>
      </c>
    </row>
    <row r="113" spans="1:7" ht="12.75">
      <c r="A113" t="str">
        <f ca="1">IFERROR(__xludf.DUMMYFUNCTION("""COMPUTED_VALUE"""),"T107")</f>
        <v>T107</v>
      </c>
      <c r="B113" t="str">
        <f ca="1">IFERROR(__xludf.DUMMYFUNCTION("""COMPUTED_VALUE"""),"T78")</f>
        <v>T78</v>
      </c>
      <c r="C113" t="str">
        <f ca="1">IFERROR(__xludf.DUMMYFUNCTION("""COMPUTED_VALUE"""),"Bo Hoag")</f>
        <v>Bo Hoag</v>
      </c>
      <c r="D113">
        <f ca="1">IFERROR(__xludf.DUMMYFUNCTION("""COMPUTED_VALUE"""),14)</f>
        <v>14</v>
      </c>
      <c r="E113">
        <f ca="1">IFERROR(__xludf.DUMMYFUNCTION("""COMPUTED_VALUE"""),3.99)</f>
        <v>3.99</v>
      </c>
      <c r="F113">
        <f ca="1">IFERROR(__xludf.DUMMYFUNCTION("""COMPUTED_VALUE"""),575)</f>
        <v>575</v>
      </c>
      <c r="G113">
        <f ca="1">IFERROR(__xludf.DUMMYFUNCTION("""COMPUTED_VALUE"""),144)</f>
        <v>144</v>
      </c>
    </row>
    <row r="114" spans="1:7" ht="12.75">
      <c r="A114" t="str">
        <f ca="1">IFERROR(__xludf.DUMMYFUNCTION("""COMPUTED_VALUE"""),"T107")</f>
        <v>T107</v>
      </c>
      <c r="B114" t="str">
        <f ca="1">IFERROR(__xludf.DUMMYFUNCTION("""COMPUTED_VALUE"""),"T27")</f>
        <v>T27</v>
      </c>
      <c r="C114" t="str">
        <f ca="1">IFERROR(__xludf.DUMMYFUNCTION("""COMPUTED_VALUE"""),"John Huh")</f>
        <v>John Huh</v>
      </c>
      <c r="D114">
        <f ca="1">IFERROR(__xludf.DUMMYFUNCTION("""COMPUTED_VALUE"""),8)</f>
        <v>8</v>
      </c>
      <c r="E114">
        <f ca="1">IFERROR(__xludf.DUMMYFUNCTION("""COMPUTED_VALUE"""),3.99)</f>
        <v>3.99</v>
      </c>
      <c r="F114">
        <f ca="1">IFERROR(__xludf.DUMMYFUNCTION("""COMPUTED_VALUE"""),335)</f>
        <v>335</v>
      </c>
      <c r="G114">
        <f ca="1">IFERROR(__xludf.DUMMYFUNCTION("""COMPUTED_VALUE"""),84)</f>
        <v>84</v>
      </c>
    </row>
    <row r="115" spans="1:7" ht="12.75">
      <c r="A115" t="str">
        <f ca="1">IFERROR(__xludf.DUMMYFUNCTION("""COMPUTED_VALUE"""),"T107")</f>
        <v>T107</v>
      </c>
      <c r="B115" t="str">
        <f ca="1">IFERROR(__xludf.DUMMYFUNCTION("""COMPUTED_VALUE"""),"T123")</f>
        <v>T123</v>
      </c>
      <c r="C115" t="str">
        <f ca="1">IFERROR(__xludf.DUMMYFUNCTION("""COMPUTED_VALUE"""),"Hudson Swafford")</f>
        <v>Hudson Swafford</v>
      </c>
      <c r="D115">
        <f ca="1">IFERROR(__xludf.DUMMYFUNCTION("""COMPUTED_VALUE"""),18)</f>
        <v>18</v>
      </c>
      <c r="E115">
        <f ca="1">IFERROR(__xludf.DUMMYFUNCTION("""COMPUTED_VALUE"""),3.99)</f>
        <v>3.99</v>
      </c>
      <c r="F115">
        <f ca="1">IFERROR(__xludf.DUMMYFUNCTION("""COMPUTED_VALUE"""),742)</f>
        <v>742</v>
      </c>
      <c r="G115">
        <f ca="1">IFERROR(__xludf.DUMMYFUNCTION("""COMPUTED_VALUE"""),186)</f>
        <v>186</v>
      </c>
    </row>
    <row r="116" spans="1:7" ht="12.75">
      <c r="A116" t="str">
        <f ca="1">IFERROR(__xludf.DUMMYFUNCTION("""COMPUTED_VALUE"""),"T107")</f>
        <v>T107</v>
      </c>
      <c r="B116" t="str">
        <f ca="1">IFERROR(__xludf.DUMMYFUNCTION("""COMPUTED_VALUE"""),"T123")</f>
        <v>T123</v>
      </c>
      <c r="C116" t="str">
        <f ca="1">IFERROR(__xludf.DUMMYFUNCTION("""COMPUTED_VALUE"""),"Zac Blair")</f>
        <v>Zac Blair</v>
      </c>
      <c r="D116">
        <f ca="1">IFERROR(__xludf.DUMMYFUNCTION("""COMPUTED_VALUE"""),10)</f>
        <v>10</v>
      </c>
      <c r="E116">
        <f ca="1">IFERROR(__xludf.DUMMYFUNCTION("""COMPUTED_VALUE"""),3.99)</f>
        <v>3.99</v>
      </c>
      <c r="F116">
        <f ca="1">IFERROR(__xludf.DUMMYFUNCTION("""COMPUTED_VALUE"""),407)</f>
        <v>407</v>
      </c>
      <c r="G116">
        <f ca="1">IFERROR(__xludf.DUMMYFUNCTION("""COMPUTED_VALUE"""),102)</f>
        <v>102</v>
      </c>
    </row>
    <row r="117" spans="1:7" ht="12.75">
      <c r="A117" t="str">
        <f ca="1">IFERROR(__xludf.DUMMYFUNCTION("""COMPUTED_VALUE"""),"T107")</f>
        <v>T107</v>
      </c>
      <c r="B117" t="str">
        <f ca="1">IFERROR(__xludf.DUMMYFUNCTION("""COMPUTED_VALUE"""),"T123")</f>
        <v>T123</v>
      </c>
      <c r="C117" t="str">
        <f ca="1">IFERROR(__xludf.DUMMYFUNCTION("""COMPUTED_VALUE"""),"Abraham Ancer")</f>
        <v>Abraham Ancer</v>
      </c>
      <c r="D117">
        <f ca="1">IFERROR(__xludf.DUMMYFUNCTION("""COMPUTED_VALUE"""),16)</f>
        <v>16</v>
      </c>
      <c r="E117">
        <f ca="1">IFERROR(__xludf.DUMMYFUNCTION("""COMPUTED_VALUE"""),3.99)</f>
        <v>3.99</v>
      </c>
      <c r="F117">
        <f ca="1">IFERROR(__xludf.DUMMYFUNCTION("""COMPUTED_VALUE"""),655)</f>
        <v>655</v>
      </c>
      <c r="G117">
        <f ca="1">IFERROR(__xludf.DUMMYFUNCTION("""COMPUTED_VALUE"""),164)</f>
        <v>164</v>
      </c>
    </row>
    <row r="118" spans="1:7" ht="12.75">
      <c r="A118" t="str">
        <f ca="1">IFERROR(__xludf.DUMMYFUNCTION("""COMPUTED_VALUE"""),"T107")</f>
        <v>T107</v>
      </c>
      <c r="B118" t="str">
        <f ca="1">IFERROR(__xludf.DUMMYFUNCTION("""COMPUTED_VALUE"""),"T123")</f>
        <v>T123</v>
      </c>
      <c r="C118" t="str">
        <f ca="1">IFERROR(__xludf.DUMMYFUNCTION("""COMPUTED_VALUE"""),"Sebastián Muñoz")</f>
        <v>Sebastián Muñoz</v>
      </c>
      <c r="D118">
        <f ca="1">IFERROR(__xludf.DUMMYFUNCTION("""COMPUTED_VALUE"""),20)</f>
        <v>20</v>
      </c>
      <c r="E118">
        <f ca="1">IFERROR(__xludf.DUMMYFUNCTION("""COMPUTED_VALUE"""),3.99)</f>
        <v>3.99</v>
      </c>
      <c r="F118">
        <f ca="1">IFERROR(__xludf.DUMMYFUNCTION("""COMPUTED_VALUE"""),814)</f>
        <v>814</v>
      </c>
      <c r="G118">
        <f ca="1">IFERROR(__xludf.DUMMYFUNCTION("""COMPUTED_VALUE"""),204)</f>
        <v>204</v>
      </c>
    </row>
    <row r="119" spans="1:7" ht="12.75">
      <c r="A119" t="str">
        <f ca="1">IFERROR(__xludf.DUMMYFUNCTION("""COMPUTED_VALUE"""),"T107")</f>
        <v>T107</v>
      </c>
      <c r="B119" t="str">
        <f ca="1">IFERROR(__xludf.DUMMYFUNCTION("""COMPUTED_VALUE"""),"T134")</f>
        <v>T134</v>
      </c>
      <c r="C119" t="str">
        <f ca="1">IFERROR(__xludf.DUMMYFUNCTION("""COMPUTED_VALUE"""),"Kramer Hickok")</f>
        <v>Kramer Hickok</v>
      </c>
      <c r="D119">
        <f ca="1">IFERROR(__xludf.DUMMYFUNCTION("""COMPUTED_VALUE"""),16)</f>
        <v>16</v>
      </c>
      <c r="E119">
        <f ca="1">IFERROR(__xludf.DUMMYFUNCTION("""COMPUTED_VALUE"""),3.99)</f>
        <v>3.99</v>
      </c>
      <c r="F119">
        <f ca="1">IFERROR(__xludf.DUMMYFUNCTION("""COMPUTED_VALUE"""),655)</f>
        <v>655</v>
      </c>
      <c r="G119">
        <f ca="1">IFERROR(__xludf.DUMMYFUNCTION("""COMPUTED_VALUE"""),164)</f>
        <v>164</v>
      </c>
    </row>
    <row r="120" spans="1:7" ht="12.75">
      <c r="A120" t="str">
        <f ca="1">IFERROR(__xludf.DUMMYFUNCTION("""COMPUTED_VALUE"""),"T107")</f>
        <v>T107</v>
      </c>
      <c r="B120" t="str">
        <f ca="1">IFERROR(__xludf.DUMMYFUNCTION("""COMPUTED_VALUE"""),"T123")</f>
        <v>T123</v>
      </c>
      <c r="C120" t="str">
        <f ca="1">IFERROR(__xludf.DUMMYFUNCTION("""COMPUTED_VALUE"""),"Hank Lebioda")</f>
        <v>Hank Lebioda</v>
      </c>
      <c r="D120">
        <f ca="1">IFERROR(__xludf.DUMMYFUNCTION("""COMPUTED_VALUE"""),14)</f>
        <v>14</v>
      </c>
      <c r="E120">
        <f ca="1">IFERROR(__xludf.DUMMYFUNCTION("""COMPUTED_VALUE"""),3.99)</f>
        <v>3.99</v>
      </c>
      <c r="F120">
        <f ca="1">IFERROR(__xludf.DUMMYFUNCTION("""COMPUTED_VALUE"""),574)</f>
        <v>574</v>
      </c>
      <c r="G120">
        <f ca="1">IFERROR(__xludf.DUMMYFUNCTION("""COMPUTED_VALUE"""),144)</f>
        <v>144</v>
      </c>
    </row>
    <row r="121" spans="1:7" ht="12.75">
      <c r="A121" t="str">
        <f ca="1">IFERROR(__xludf.DUMMYFUNCTION("""COMPUTED_VALUE"""),"T107")</f>
        <v>T107</v>
      </c>
      <c r="B121" t="str">
        <f ca="1">IFERROR(__xludf.DUMMYFUNCTION("""COMPUTED_VALUE"""),"T93")</f>
        <v>T93</v>
      </c>
      <c r="C121" t="str">
        <f ca="1">IFERROR(__xludf.DUMMYFUNCTION("""COMPUTED_VALUE"""),"Wyndham Clark")</f>
        <v>Wyndham Clark</v>
      </c>
      <c r="D121">
        <f ca="1">IFERROR(__xludf.DUMMYFUNCTION("""COMPUTED_VALUE"""),16)</f>
        <v>16</v>
      </c>
      <c r="E121">
        <f ca="1">IFERROR(__xludf.DUMMYFUNCTION("""COMPUTED_VALUE"""),3.99)</f>
        <v>3.99</v>
      </c>
      <c r="F121">
        <f ca="1">IFERROR(__xludf.DUMMYFUNCTION("""COMPUTED_VALUE"""),670)</f>
        <v>670</v>
      </c>
      <c r="G121">
        <f ca="1">IFERROR(__xludf.DUMMYFUNCTION("""COMPUTED_VALUE"""),168)</f>
        <v>168</v>
      </c>
    </row>
    <row r="122" spans="1:7" ht="12.75">
      <c r="A122" t="str">
        <f ca="1">IFERROR(__xludf.DUMMYFUNCTION("""COMPUTED_VALUE"""),"T107")</f>
        <v>T107</v>
      </c>
      <c r="B122" t="str">
        <f ca="1">IFERROR(__xludf.DUMMYFUNCTION("""COMPUTED_VALUE"""),"T11")</f>
        <v>T11</v>
      </c>
      <c r="C122" t="str">
        <f ca="1">IFERROR(__xludf.DUMMYFUNCTION("""COMPUTED_VALUE"""),"Isaiah Salinda")</f>
        <v>Isaiah Salinda</v>
      </c>
      <c r="D122">
        <f ca="1">IFERROR(__xludf.DUMMYFUNCTION("""COMPUTED_VALUE"""),8)</f>
        <v>8</v>
      </c>
      <c r="E122">
        <f ca="1">IFERROR(__xludf.DUMMYFUNCTION("""COMPUTED_VALUE"""),3.99)</f>
        <v>3.99</v>
      </c>
      <c r="F122">
        <f ca="1">IFERROR(__xludf.DUMMYFUNCTION("""COMPUTED_VALUE"""),319)</f>
        <v>319</v>
      </c>
      <c r="G122">
        <f ca="1">IFERROR(__xludf.DUMMYFUNCTION("""COMPUTED_VALUE"""),80)</f>
        <v>80</v>
      </c>
    </row>
    <row r="123" spans="1:7" ht="12.75">
      <c r="A123" t="str">
        <f ca="1">IFERROR(__xludf.DUMMYFUNCTION("""COMPUTED_VALUE"""),"T122")</f>
        <v>T122</v>
      </c>
      <c r="B123" t="str">
        <f ca="1">IFERROR(__xludf.DUMMYFUNCTION("""COMPUTED_VALUE"""),"T78")</f>
        <v>T78</v>
      </c>
      <c r="C123" t="str">
        <f ca="1">IFERROR(__xludf.DUMMYFUNCTION("""COMPUTED_VALUE"""),"Jason Dufner")</f>
        <v>Jason Dufner</v>
      </c>
      <c r="D123">
        <f ca="1">IFERROR(__xludf.DUMMYFUNCTION("""COMPUTED_VALUE"""),14)</f>
        <v>14</v>
      </c>
      <c r="E123">
        <f ca="1">IFERROR(__xludf.DUMMYFUNCTION("""COMPUTED_VALUE"""),4)</f>
        <v>4</v>
      </c>
      <c r="F123">
        <f ca="1">IFERROR(__xludf.DUMMYFUNCTION("""COMPUTED_VALUE"""),584)</f>
        <v>584</v>
      </c>
      <c r="G123">
        <f ca="1">IFERROR(__xludf.DUMMYFUNCTION("""COMPUTED_VALUE"""),146)</f>
        <v>146</v>
      </c>
    </row>
    <row r="124" spans="1:7" ht="12.75">
      <c r="A124" t="str">
        <f ca="1">IFERROR(__xludf.DUMMYFUNCTION("""COMPUTED_VALUE"""),"T122")</f>
        <v>T122</v>
      </c>
      <c r="B124" t="str">
        <f ca="1">IFERROR(__xludf.DUMMYFUNCTION("""COMPUTED_VALUE"""),"T69")</f>
        <v>T69</v>
      </c>
      <c r="C124" t="str">
        <f ca="1">IFERROR(__xludf.DUMMYFUNCTION("""COMPUTED_VALUE"""),"Matt Jones")</f>
        <v>Matt Jones</v>
      </c>
      <c r="D124">
        <f ca="1">IFERROR(__xludf.DUMMYFUNCTION("""COMPUTED_VALUE"""),20)</f>
        <v>20</v>
      </c>
      <c r="E124">
        <f ca="1">IFERROR(__xludf.DUMMYFUNCTION("""COMPUTED_VALUE"""),4)</f>
        <v>4</v>
      </c>
      <c r="F124">
        <f ca="1">IFERROR(__xludf.DUMMYFUNCTION("""COMPUTED_VALUE"""),849)</f>
        <v>849</v>
      </c>
      <c r="G124">
        <f ca="1">IFERROR(__xludf.DUMMYFUNCTION("""COMPUTED_VALUE"""),212)</f>
        <v>212</v>
      </c>
    </row>
    <row r="125" spans="1:7" ht="12.75">
      <c r="A125" t="str">
        <f ca="1">IFERROR(__xludf.DUMMYFUNCTION("""COMPUTED_VALUE"""),"T122")</f>
        <v>T122</v>
      </c>
      <c r="B125" t="str">
        <f ca="1">IFERROR(__xludf.DUMMYFUNCTION("""COMPUTED_VALUE"""),"T134")</f>
        <v>T134</v>
      </c>
      <c r="C125" t="str">
        <f ca="1">IFERROR(__xludf.DUMMYFUNCTION("""COMPUTED_VALUE"""),"J.B. Holmes")</f>
        <v>J.B. Holmes</v>
      </c>
      <c r="D125">
        <f ca="1">IFERROR(__xludf.DUMMYFUNCTION("""COMPUTED_VALUE"""),10)</f>
        <v>10</v>
      </c>
      <c r="E125">
        <f ca="1">IFERROR(__xludf.DUMMYFUNCTION("""COMPUTED_VALUE"""),4)</f>
        <v>4</v>
      </c>
      <c r="F125">
        <f ca="1">IFERROR(__xludf.DUMMYFUNCTION("""COMPUTED_VALUE"""),408)</f>
        <v>408</v>
      </c>
      <c r="G125">
        <f ca="1">IFERROR(__xludf.DUMMYFUNCTION("""COMPUTED_VALUE"""),102)</f>
        <v>102</v>
      </c>
    </row>
    <row r="126" spans="1:7" ht="12.75">
      <c r="A126" t="str">
        <f ca="1">IFERROR(__xludf.DUMMYFUNCTION("""COMPUTED_VALUE"""),"T122")</f>
        <v>T122</v>
      </c>
      <c r="B126" t="str">
        <f ca="1">IFERROR(__xludf.DUMMYFUNCTION("""COMPUTED_VALUE"""),"T134")</f>
        <v>T134</v>
      </c>
      <c r="C126" t="str">
        <f ca="1">IFERROR(__xludf.DUMMYFUNCTION("""COMPUTED_VALUE"""),"Brian Harman")</f>
        <v>Brian Harman</v>
      </c>
      <c r="D126">
        <f ca="1">IFERROR(__xludf.DUMMYFUNCTION("""COMPUTED_VALUE"""),24)</f>
        <v>24</v>
      </c>
      <c r="E126">
        <f ca="1">IFERROR(__xludf.DUMMYFUNCTION("""COMPUTED_VALUE"""),4)</f>
        <v>4</v>
      </c>
      <c r="F126">
        <f ca="1">IFERROR(__xludf.DUMMYFUNCTION("""COMPUTED_VALUE"""),977)</f>
        <v>977</v>
      </c>
      <c r="G126">
        <f ca="1">IFERROR(__xludf.DUMMYFUNCTION("""COMPUTED_VALUE"""),244)</f>
        <v>244</v>
      </c>
    </row>
    <row r="127" spans="1:7" ht="12.75">
      <c r="A127" t="str">
        <f ca="1">IFERROR(__xludf.DUMMYFUNCTION("""COMPUTED_VALUE"""),"T122")</f>
        <v>T122</v>
      </c>
      <c r="B127" t="str">
        <f ca="1">IFERROR(__xludf.DUMMYFUNCTION("""COMPUTED_VALUE"""),"")</f>
        <v/>
      </c>
      <c r="C127" t="str">
        <f ca="1">IFERROR(__xludf.DUMMYFUNCTION("""COMPUTED_VALUE"""),"Dawie van der Walt")</f>
        <v>Dawie van der Walt</v>
      </c>
      <c r="D127">
        <f ca="1">IFERROR(__xludf.DUMMYFUNCTION("""COMPUTED_VALUE"""),4)</f>
        <v>4</v>
      </c>
      <c r="E127">
        <f ca="1">IFERROR(__xludf.DUMMYFUNCTION("""COMPUTED_VALUE"""),4)</f>
        <v>4</v>
      </c>
      <c r="F127">
        <f ca="1">IFERROR(__xludf.DUMMYFUNCTION("""COMPUTED_VALUE"""),160)</f>
        <v>160</v>
      </c>
      <c r="G127">
        <f ca="1">IFERROR(__xludf.DUMMYFUNCTION("""COMPUTED_VALUE"""),40)</f>
        <v>40</v>
      </c>
    </row>
    <row r="128" spans="1:7" ht="12.75">
      <c r="A128" t="str">
        <f ca="1">IFERROR(__xludf.DUMMYFUNCTION("""COMPUTED_VALUE"""),"T122")</f>
        <v>T122</v>
      </c>
      <c r="B128" t="str">
        <f ca="1">IFERROR(__xludf.DUMMYFUNCTION("""COMPUTED_VALUE"""),"T134")</f>
        <v>T134</v>
      </c>
      <c r="C128" t="str">
        <f ca="1">IFERROR(__xludf.DUMMYFUNCTION("""COMPUTED_VALUE"""),"Sangmoon Bae")</f>
        <v>Sangmoon Bae</v>
      </c>
      <c r="D128">
        <f ca="1">IFERROR(__xludf.DUMMYFUNCTION("""COMPUTED_VALUE"""),8)</f>
        <v>8</v>
      </c>
      <c r="E128">
        <f ca="1">IFERROR(__xludf.DUMMYFUNCTION("""COMPUTED_VALUE"""),4)</f>
        <v>4</v>
      </c>
      <c r="F128">
        <f ca="1">IFERROR(__xludf.DUMMYFUNCTION("""COMPUTED_VALUE"""),328)</f>
        <v>328</v>
      </c>
      <c r="G128">
        <f ca="1">IFERROR(__xludf.DUMMYFUNCTION("""COMPUTED_VALUE"""),82)</f>
        <v>82</v>
      </c>
    </row>
    <row r="129" spans="1:7" ht="12.75">
      <c r="A129" t="str">
        <f ca="1">IFERROR(__xludf.DUMMYFUNCTION("""COMPUTED_VALUE"""),"T122")</f>
        <v>T122</v>
      </c>
      <c r="B129" t="str">
        <f ca="1">IFERROR(__xludf.DUMMYFUNCTION("""COMPUTED_VALUE"""),"T78")</f>
        <v>T78</v>
      </c>
      <c r="C129" t="str">
        <f ca="1">IFERROR(__xludf.DUMMYFUNCTION("""COMPUTED_VALUE"""),"Brice Garnett")</f>
        <v>Brice Garnett</v>
      </c>
      <c r="D129">
        <f ca="1">IFERROR(__xludf.DUMMYFUNCTION("""COMPUTED_VALUE"""),22)</f>
        <v>22</v>
      </c>
      <c r="E129">
        <f ca="1">IFERROR(__xludf.DUMMYFUNCTION("""COMPUTED_VALUE"""),4)</f>
        <v>4</v>
      </c>
      <c r="F129">
        <f ca="1">IFERROR(__xludf.DUMMYFUNCTION("""COMPUTED_VALUE"""),911)</f>
        <v>911</v>
      </c>
      <c r="G129">
        <f ca="1">IFERROR(__xludf.DUMMYFUNCTION("""COMPUTED_VALUE"""),228)</f>
        <v>228</v>
      </c>
    </row>
    <row r="130" spans="1:7" ht="12.75">
      <c r="A130" t="str">
        <f ca="1">IFERROR(__xludf.DUMMYFUNCTION("""COMPUTED_VALUE"""),"T122")</f>
        <v>T122</v>
      </c>
      <c r="B130" t="str">
        <f ca="1">IFERROR(__xludf.DUMMYFUNCTION("""COMPUTED_VALUE"""),"T106")</f>
        <v>T106</v>
      </c>
      <c r="C130" t="str">
        <f ca="1">IFERROR(__xludf.DUMMYFUNCTION("""COMPUTED_VALUE"""),"Dylan Frittelli")</f>
        <v>Dylan Frittelli</v>
      </c>
      <c r="D130">
        <f ca="1">IFERROR(__xludf.DUMMYFUNCTION("""COMPUTED_VALUE"""),16)</f>
        <v>16</v>
      </c>
      <c r="E130">
        <f ca="1">IFERROR(__xludf.DUMMYFUNCTION("""COMPUTED_VALUE"""),4)</f>
        <v>4</v>
      </c>
      <c r="F130">
        <f ca="1">IFERROR(__xludf.DUMMYFUNCTION("""COMPUTED_VALUE"""),624)</f>
        <v>624</v>
      </c>
      <c r="G130">
        <f ca="1">IFERROR(__xludf.DUMMYFUNCTION("""COMPUTED_VALUE"""),156)</f>
        <v>156</v>
      </c>
    </row>
    <row r="131" spans="1:7" ht="12.75">
      <c r="A131" t="str">
        <f ca="1">IFERROR(__xludf.DUMMYFUNCTION("""COMPUTED_VALUE"""),"T122")</f>
        <v>T122</v>
      </c>
      <c r="B131" t="str">
        <f ca="1">IFERROR(__xludf.DUMMYFUNCTION("""COMPUTED_VALUE"""),"T134")</f>
        <v>T134</v>
      </c>
      <c r="C131" t="str">
        <f ca="1">IFERROR(__xludf.DUMMYFUNCTION("""COMPUTED_VALUE"""),"Joseph Bramlett")</f>
        <v>Joseph Bramlett</v>
      </c>
      <c r="D131">
        <f ca="1">IFERROR(__xludf.DUMMYFUNCTION("""COMPUTED_VALUE"""),18)</f>
        <v>18</v>
      </c>
      <c r="E131">
        <f ca="1">IFERROR(__xludf.DUMMYFUNCTION("""COMPUTED_VALUE"""),4)</f>
        <v>4</v>
      </c>
      <c r="F131">
        <f ca="1">IFERROR(__xludf.DUMMYFUNCTION("""COMPUTED_VALUE"""),752)</f>
        <v>752</v>
      </c>
      <c r="G131">
        <f ca="1">IFERROR(__xludf.DUMMYFUNCTION("""COMPUTED_VALUE"""),188)</f>
        <v>188</v>
      </c>
    </row>
    <row r="132" spans="1:7" ht="12.75">
      <c r="A132" t="str">
        <f ca="1">IFERROR(__xludf.DUMMYFUNCTION("""COMPUTED_VALUE"""),"T122")</f>
        <v>T122</v>
      </c>
      <c r="B132" t="str">
        <f ca="1">IFERROR(__xludf.DUMMYFUNCTION("""COMPUTED_VALUE"""),"T147")</f>
        <v>T147</v>
      </c>
      <c r="C132" t="str">
        <f ca="1">IFERROR(__xludf.DUMMYFUNCTION("""COMPUTED_VALUE"""),"Adam Long")</f>
        <v>Adam Long</v>
      </c>
      <c r="D132">
        <f ca="1">IFERROR(__xludf.DUMMYFUNCTION("""COMPUTED_VALUE"""),22)</f>
        <v>22</v>
      </c>
      <c r="E132">
        <f ca="1">IFERROR(__xludf.DUMMYFUNCTION("""COMPUTED_VALUE"""),4)</f>
        <v>4</v>
      </c>
      <c r="F132">
        <f ca="1">IFERROR(__xludf.DUMMYFUNCTION("""COMPUTED_VALUE"""),879)</f>
        <v>879</v>
      </c>
      <c r="G132">
        <f ca="1">IFERROR(__xludf.DUMMYFUNCTION("""COMPUTED_VALUE"""),220)</f>
        <v>220</v>
      </c>
    </row>
    <row r="133" spans="1:7" ht="12.75">
      <c r="A133" t="str">
        <f ca="1">IFERROR(__xludf.DUMMYFUNCTION("""COMPUTED_VALUE"""),"T122")</f>
        <v>T122</v>
      </c>
      <c r="B133" t="str">
        <f ca="1">IFERROR(__xludf.DUMMYFUNCTION("""COMPUTED_VALUE"""),"T134")</f>
        <v>T134</v>
      </c>
      <c r="C133" t="str">
        <f ca="1">IFERROR(__xludf.DUMMYFUNCTION("""COMPUTED_VALUE"""),"Cameron Smith")</f>
        <v>Cameron Smith</v>
      </c>
      <c r="D133">
        <f ca="1">IFERROR(__xludf.DUMMYFUNCTION("""COMPUTED_VALUE"""),16)</f>
        <v>16</v>
      </c>
      <c r="E133">
        <f ca="1">IFERROR(__xludf.DUMMYFUNCTION("""COMPUTED_VALUE"""),4)</f>
        <v>4</v>
      </c>
      <c r="F133">
        <f ca="1">IFERROR(__xludf.DUMMYFUNCTION("""COMPUTED_VALUE"""),656)</f>
        <v>656</v>
      </c>
      <c r="G133">
        <f ca="1">IFERROR(__xludf.DUMMYFUNCTION("""COMPUTED_VALUE"""),164)</f>
        <v>164</v>
      </c>
    </row>
    <row r="134" spans="1:7" ht="12.75">
      <c r="A134" t="str">
        <f ca="1">IFERROR(__xludf.DUMMYFUNCTION("""COMPUTED_VALUE"""),"T122")</f>
        <v>T122</v>
      </c>
      <c r="B134" t="str">
        <f ca="1">IFERROR(__xludf.DUMMYFUNCTION("""COMPUTED_VALUE"""),"T134")</f>
        <v>T134</v>
      </c>
      <c r="C134" t="str">
        <f ca="1">IFERROR(__xludf.DUMMYFUNCTION("""COMPUTED_VALUE"""),"Brandon Hagy")</f>
        <v>Brandon Hagy</v>
      </c>
      <c r="D134">
        <f ca="1">IFERROR(__xludf.DUMMYFUNCTION("""COMPUTED_VALUE"""),10)</f>
        <v>10</v>
      </c>
      <c r="E134">
        <f ca="1">IFERROR(__xludf.DUMMYFUNCTION("""COMPUTED_VALUE"""),4)</f>
        <v>4</v>
      </c>
      <c r="F134">
        <f ca="1">IFERROR(__xludf.DUMMYFUNCTION("""COMPUTED_VALUE"""),408)</f>
        <v>408</v>
      </c>
      <c r="G134">
        <f ca="1">IFERROR(__xludf.DUMMYFUNCTION("""COMPUTED_VALUE"""),102)</f>
        <v>102</v>
      </c>
    </row>
    <row r="135" spans="1:7" ht="12.75">
      <c r="A135" t="str">
        <f ca="1">IFERROR(__xludf.DUMMYFUNCTION("""COMPUTED_VALUE"""),"T122")</f>
        <v>T122</v>
      </c>
      <c r="B135" t="str">
        <f ca="1">IFERROR(__xludf.DUMMYFUNCTION("""COMPUTED_VALUE"""),"T134")</f>
        <v>T134</v>
      </c>
      <c r="C135" t="str">
        <f ca="1">IFERROR(__xludf.DUMMYFUNCTION("""COMPUTED_VALUE"""),"Stephen Stallings Jr.")</f>
        <v>Stephen Stallings Jr.</v>
      </c>
      <c r="D135">
        <f ca="1">IFERROR(__xludf.DUMMYFUNCTION("""COMPUTED_VALUE"""),4)</f>
        <v>4</v>
      </c>
      <c r="E135">
        <f ca="1">IFERROR(__xludf.DUMMYFUNCTION("""COMPUTED_VALUE"""),4)</f>
        <v>4</v>
      </c>
      <c r="F135">
        <f ca="1">IFERROR(__xludf.DUMMYFUNCTION("""COMPUTED_VALUE"""),160)</f>
        <v>160</v>
      </c>
      <c r="G135">
        <f ca="1">IFERROR(__xludf.DUMMYFUNCTION("""COMPUTED_VALUE"""),40)</f>
        <v>40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IFERROR(__xludf.DUMMYFUNCTION("""COMPUTED_VALUE"""),"T123")</f>
        <v>T123</v>
      </c>
      <c r="C136" t="str">
        <f ca="1">IFERROR(__xludf.DUMMYFUNCTION("""COMPUTED_VALUE"""),"Ryan Armour")</f>
        <v>Ryan Armour</v>
      </c>
      <c r="D136">
        <f ca="1">IFERROR(__xludf.DUMMYFUNCTION("""COMPUTED_VALUE"""),16)</f>
        <v>16</v>
      </c>
      <c r="E136">
        <f ca="1">IFERROR(__xludf.DUMMYFUNCTION("""COMPUTED_VALUE"""),4.01)</f>
        <v>4.01</v>
      </c>
      <c r="F136">
        <f ca="1">IFERROR(__xludf.DUMMYFUNCTION("""COMPUTED_VALUE"""),666)</f>
        <v>666</v>
      </c>
      <c r="G136">
        <f ca="1">IFERROR(__xludf.DUMMYFUNCTION("""COMPUTED_VALUE"""),166)</f>
        <v>166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IFERROR(__xludf.DUMMYFUNCTION("""COMPUTED_VALUE"""),"T106")</f>
        <v>T106</v>
      </c>
      <c r="C137" t="str">
        <f ca="1">IFERROR(__xludf.DUMMYFUNCTION("""COMPUTED_VALUE"""),"Sergio Garcia")</f>
        <v>Sergio Garcia</v>
      </c>
      <c r="D137">
        <f ca="1">IFERROR(__xludf.DUMMYFUNCTION("""COMPUTED_VALUE"""),18)</f>
        <v>18</v>
      </c>
      <c r="E137">
        <f ca="1">IFERROR(__xludf.DUMMYFUNCTION("""COMPUTED_VALUE"""),4.01)</f>
        <v>4.01</v>
      </c>
      <c r="F137">
        <f ca="1">IFERROR(__xludf.DUMMYFUNCTION("""COMPUTED_VALUE"""),753)</f>
        <v>753</v>
      </c>
      <c r="G137">
        <f ca="1">IFERROR(__xludf.DUMMYFUNCTION("""COMPUTED_VALUE"""),188)</f>
        <v>188</v>
      </c>
    </row>
    <row r="138" spans="1:7" ht="12.75">
      <c r="A138" t="str">
        <f ca="1">IFERROR(__xludf.DUMMYFUNCTION("""COMPUTED_VALUE"""),"T135")</f>
        <v>T135</v>
      </c>
      <c r="B138" t="str">
        <f ca="1">IFERROR(__xludf.DUMMYFUNCTION("""COMPUTED_VALUE"""),"T106")</f>
        <v>T106</v>
      </c>
      <c r="C138" t="str">
        <f ca="1">IFERROR(__xludf.DUMMYFUNCTION("""COMPUTED_VALUE"""),"Pat Perez")</f>
        <v>Pat Perez</v>
      </c>
      <c r="D138">
        <f ca="1">IFERROR(__xludf.DUMMYFUNCTION("""COMPUTED_VALUE"""),16)</f>
        <v>16</v>
      </c>
      <c r="E138">
        <f ca="1">IFERROR(__xludf.DUMMYFUNCTION("""COMPUTED_VALUE"""),4.01)</f>
        <v>4.01</v>
      </c>
      <c r="F138">
        <f ca="1">IFERROR(__xludf.DUMMYFUNCTION("""COMPUTED_VALUE"""),657)</f>
        <v>657</v>
      </c>
      <c r="G138">
        <f ca="1">IFERROR(__xludf.DUMMYFUNCTION("""COMPUTED_VALUE"""),164)</f>
        <v>164</v>
      </c>
    </row>
    <row r="139" spans="1:7" ht="12.75">
      <c r="A139" t="str">
        <f ca="1">IFERROR(__xludf.DUMMYFUNCTION("""COMPUTED_VALUE"""),"T135")</f>
        <v>T135</v>
      </c>
      <c r="B139" t="str">
        <f ca="1">IFERROR(__xludf.DUMMYFUNCTION("""COMPUTED_VALUE"""),"T147")</f>
        <v>T147</v>
      </c>
      <c r="C139" t="str">
        <f ca="1">IFERROR(__xludf.DUMMYFUNCTION("""COMPUTED_VALUE"""),"Tim Wilkinson")</f>
        <v>Tim Wilkinson</v>
      </c>
      <c r="D139">
        <f ca="1">IFERROR(__xludf.DUMMYFUNCTION("""COMPUTED_VALUE"""),12)</f>
        <v>12</v>
      </c>
      <c r="E139">
        <f ca="1">IFERROR(__xludf.DUMMYFUNCTION("""COMPUTED_VALUE"""),4.01)</f>
        <v>4.01</v>
      </c>
      <c r="F139">
        <f ca="1">IFERROR(__xludf.DUMMYFUNCTION("""COMPUTED_VALUE"""),489)</f>
        <v>489</v>
      </c>
      <c r="G139">
        <f ca="1">IFERROR(__xludf.DUMMYFUNCTION("""COMPUTED_VALUE"""),122)</f>
        <v>122</v>
      </c>
    </row>
    <row r="140" spans="1:7" ht="12.75">
      <c r="A140" t="str">
        <f ca="1">IFERROR(__xludf.DUMMYFUNCTION("""COMPUTED_VALUE"""),"T135")</f>
        <v>T135</v>
      </c>
      <c r="B140" t="str">
        <f ca="1">IFERROR(__xludf.DUMMYFUNCTION("""COMPUTED_VALUE"""),"T134")</f>
        <v>T134</v>
      </c>
      <c r="C140" t="str">
        <f ca="1">IFERROR(__xludf.DUMMYFUNCTION("""COMPUTED_VALUE"""),"Fabián Gómez")</f>
        <v>Fabián Gómez</v>
      </c>
      <c r="D140">
        <f ca="1">IFERROR(__xludf.DUMMYFUNCTION("""COMPUTED_VALUE"""),16)</f>
        <v>16</v>
      </c>
      <c r="E140">
        <f ca="1">IFERROR(__xludf.DUMMYFUNCTION("""COMPUTED_VALUE"""),4.01)</f>
        <v>4.01</v>
      </c>
      <c r="F140">
        <f ca="1">IFERROR(__xludf.DUMMYFUNCTION("""COMPUTED_VALUE"""),657)</f>
        <v>657</v>
      </c>
      <c r="G140">
        <f ca="1">IFERROR(__xludf.DUMMYFUNCTION("""COMPUTED_VALUE"""),164)</f>
        <v>164</v>
      </c>
    </row>
    <row r="141" spans="1:7" ht="12.75">
      <c r="A141" t="str">
        <f ca="1">IFERROR(__xludf.DUMMYFUNCTION("""COMPUTED_VALUE"""),"T135")</f>
        <v>T135</v>
      </c>
      <c r="B141" t="str">
        <f ca="1">IFERROR(__xludf.DUMMYFUNCTION("""COMPUTED_VALUE"""),"T147")</f>
        <v>T147</v>
      </c>
      <c r="C141" t="str">
        <f ca="1">IFERROR(__xludf.DUMMYFUNCTION("""COMPUTED_VALUE"""),"Kevin Kisner")</f>
        <v>Kevin Kisner</v>
      </c>
      <c r="D141">
        <f ca="1">IFERROR(__xludf.DUMMYFUNCTION("""COMPUTED_VALUE"""),10)</f>
        <v>10</v>
      </c>
      <c r="E141">
        <f ca="1">IFERROR(__xludf.DUMMYFUNCTION("""COMPUTED_VALUE"""),4.01)</f>
        <v>4.01</v>
      </c>
      <c r="F141">
        <f ca="1">IFERROR(__xludf.DUMMYFUNCTION("""COMPUTED_VALUE"""),385)</f>
        <v>385</v>
      </c>
      <c r="G141">
        <f ca="1">IFERROR(__xludf.DUMMYFUNCTION("""COMPUTED_VALUE"""),96)</f>
        <v>96</v>
      </c>
    </row>
    <row r="142" spans="1:7" ht="12.75">
      <c r="A142" t="str">
        <f ca="1">IFERROR(__xludf.DUMMYFUNCTION("""COMPUTED_VALUE"""),"T135")</f>
        <v>T135</v>
      </c>
      <c r="B142" t="str">
        <f ca="1">IFERROR(__xludf.DUMMYFUNCTION("""COMPUTED_VALUE"""),"T147")</f>
        <v>T147</v>
      </c>
      <c r="C142" t="str">
        <f ca="1">IFERROR(__xludf.DUMMYFUNCTION("""COMPUTED_VALUE"""),"Adam Hadwin")</f>
        <v>Adam Hadwin</v>
      </c>
      <c r="D142">
        <f ca="1">IFERROR(__xludf.DUMMYFUNCTION("""COMPUTED_VALUE"""),16)</f>
        <v>16</v>
      </c>
      <c r="E142">
        <f ca="1">IFERROR(__xludf.DUMMYFUNCTION("""COMPUTED_VALUE"""),4.01)</f>
        <v>4.01</v>
      </c>
      <c r="F142">
        <f ca="1">IFERROR(__xludf.DUMMYFUNCTION("""COMPUTED_VALUE"""),657)</f>
        <v>657</v>
      </c>
      <c r="G142">
        <f ca="1">IFERROR(__xludf.DUMMYFUNCTION("""COMPUTED_VALUE"""),164)</f>
        <v>164</v>
      </c>
    </row>
    <row r="143" spans="1:7" ht="12.75">
      <c r="A143" t="str">
        <f ca="1">IFERROR(__xludf.DUMMYFUNCTION("""COMPUTED_VALUE"""),"T135")</f>
        <v>T135</v>
      </c>
      <c r="B143" t="str">
        <f ca="1">IFERROR(__xludf.DUMMYFUNCTION("""COMPUTED_VALUE"""),"T78")</f>
        <v>T78</v>
      </c>
      <c r="C143" t="str">
        <f ca="1">IFERROR(__xludf.DUMMYFUNCTION("""COMPUTED_VALUE"""),"Lanto Griffin")</f>
        <v>Lanto Griffin</v>
      </c>
      <c r="D143">
        <f ca="1">IFERROR(__xludf.DUMMYFUNCTION("""COMPUTED_VALUE"""),18)</f>
        <v>18</v>
      </c>
      <c r="E143">
        <f ca="1">IFERROR(__xludf.DUMMYFUNCTION("""COMPUTED_VALUE"""),4.01)</f>
        <v>4.01</v>
      </c>
      <c r="F143">
        <f ca="1">IFERROR(__xludf.DUMMYFUNCTION("""COMPUTED_VALUE"""),730)</f>
        <v>730</v>
      </c>
      <c r="G143">
        <f ca="1">IFERROR(__xludf.DUMMYFUNCTION("""COMPUTED_VALUE"""),182)</f>
        <v>182</v>
      </c>
    </row>
    <row r="144" spans="1:7" ht="12.75">
      <c r="A144" t="str">
        <f ca="1">IFERROR(__xludf.DUMMYFUNCTION("""COMPUTED_VALUE"""),"T135")</f>
        <v>T135</v>
      </c>
      <c r="B144" t="str">
        <f ca="1">IFERROR(__xludf.DUMMYFUNCTION("""COMPUTED_VALUE"""),"T106")</f>
        <v>T106</v>
      </c>
      <c r="C144" t="str">
        <f ca="1">IFERROR(__xludf.DUMMYFUNCTION("""COMPUTED_VALUE"""),"Sungjae Im")</f>
        <v>Sungjae Im</v>
      </c>
      <c r="D144">
        <f ca="1">IFERROR(__xludf.DUMMYFUNCTION("""COMPUTED_VALUE"""),24)</f>
        <v>24</v>
      </c>
      <c r="E144">
        <f ca="1">IFERROR(__xludf.DUMMYFUNCTION("""COMPUTED_VALUE"""),4.01)</f>
        <v>4.01</v>
      </c>
      <c r="F144">
        <f ca="1">IFERROR(__xludf.DUMMYFUNCTION("""COMPUTED_VALUE"""),979)</f>
        <v>979</v>
      </c>
      <c r="G144">
        <f ca="1">IFERROR(__xludf.DUMMYFUNCTION("""COMPUTED_VALUE"""),244)</f>
        <v>244</v>
      </c>
    </row>
    <row r="145" spans="1:7" ht="12.75">
      <c r="A145" t="str">
        <f ca="1">IFERROR(__xludf.DUMMYFUNCTION("""COMPUTED_VALUE"""),"T135")</f>
        <v>T135</v>
      </c>
      <c r="B145" t="str">
        <f ca="1">IFERROR(__xludf.DUMMYFUNCTION("""COMPUTED_VALUE"""),"T147")</f>
        <v>T147</v>
      </c>
      <c r="C145" t="str">
        <f ca="1">IFERROR(__xludf.DUMMYFUNCTION("""COMPUTED_VALUE"""),"Jon Rahm")</f>
        <v>Jon Rahm</v>
      </c>
      <c r="D145">
        <f ca="1">IFERROR(__xludf.DUMMYFUNCTION("""COMPUTED_VALUE"""),12)</f>
        <v>12</v>
      </c>
      <c r="E145">
        <f ca="1">IFERROR(__xludf.DUMMYFUNCTION("""COMPUTED_VALUE"""),4.01)</f>
        <v>4.01</v>
      </c>
      <c r="F145">
        <f ca="1">IFERROR(__xludf.DUMMYFUNCTION("""COMPUTED_VALUE"""),481)</f>
        <v>481</v>
      </c>
      <c r="G145">
        <f ca="1">IFERROR(__xludf.DUMMYFUNCTION("""COMPUTED_VALUE"""),120)</f>
        <v>120</v>
      </c>
    </row>
    <row r="146" spans="1:7" ht="12.75">
      <c r="A146" t="str">
        <f ca="1">IFERROR(__xludf.DUMMYFUNCTION("""COMPUTED_VALUE"""),"T135")</f>
        <v>T135</v>
      </c>
      <c r="B146" t="str">
        <f ca="1">IFERROR(__xludf.DUMMYFUNCTION("""COMPUTED_VALUE"""),"T134")</f>
        <v>T134</v>
      </c>
      <c r="C146" t="str">
        <f ca="1">IFERROR(__xludf.DUMMYFUNCTION("""COMPUTED_VALUE"""),"Aaron Wise")</f>
        <v>Aaron Wise</v>
      </c>
      <c r="D146">
        <f ca="1">IFERROR(__xludf.DUMMYFUNCTION("""COMPUTED_VALUE"""),16)</f>
        <v>16</v>
      </c>
      <c r="E146">
        <f ca="1">IFERROR(__xludf.DUMMYFUNCTION("""COMPUTED_VALUE"""),4.01)</f>
        <v>4.01</v>
      </c>
      <c r="F146">
        <f ca="1">IFERROR(__xludf.DUMMYFUNCTION("""COMPUTED_VALUE"""),665)</f>
        <v>665</v>
      </c>
      <c r="G146">
        <f ca="1">IFERROR(__xludf.DUMMYFUNCTION("""COMPUTED_VALUE"""),166)</f>
        <v>166</v>
      </c>
    </row>
    <row r="147" spans="1:7" ht="12.75">
      <c r="A147" t="str">
        <f ca="1">IFERROR(__xludf.DUMMYFUNCTION("""COMPUTED_VALUE"""),"T135")</f>
        <v>T135</v>
      </c>
      <c r="B147" t="str">
        <f ca="1">IFERROR(__xludf.DUMMYFUNCTION("""COMPUTED_VALUE"""),"T147")</f>
        <v>T147</v>
      </c>
      <c r="C147" t="str">
        <f ca="1">IFERROR(__xludf.DUMMYFUNCTION("""COMPUTED_VALUE"""),"Joohyung Kim")</f>
        <v>Joohyung Kim</v>
      </c>
      <c r="D147">
        <f ca="1">IFERROR(__xludf.DUMMYFUNCTION("""COMPUTED_VALUE"""),12)</f>
        <v>12</v>
      </c>
      <c r="E147">
        <f ca="1">IFERROR(__xludf.DUMMYFUNCTION("""COMPUTED_VALUE"""),4.01)</f>
        <v>4.01</v>
      </c>
      <c r="F147">
        <f ca="1">IFERROR(__xludf.DUMMYFUNCTION("""COMPUTED_VALUE"""),481)</f>
        <v>481</v>
      </c>
      <c r="G147">
        <f ca="1">IFERROR(__xludf.DUMMYFUNCTION("""COMPUTED_VALUE"""),120)</f>
        <v>120</v>
      </c>
    </row>
    <row r="148" spans="1:7" ht="12.75">
      <c r="A148" t="str">
        <f ca="1">IFERROR(__xludf.DUMMYFUNCTION("""COMPUTED_VALUE"""),"T135")</f>
        <v>T135</v>
      </c>
      <c r="B148" t="str">
        <f ca="1">IFERROR(__xludf.DUMMYFUNCTION("""COMPUTED_VALUE"""),"T123")</f>
        <v>T123</v>
      </c>
      <c r="C148" t="str">
        <f ca="1">IFERROR(__xludf.DUMMYFUNCTION("""COMPUTED_VALUE"""),"Will Gordon")</f>
        <v>Will Gordon</v>
      </c>
      <c r="D148">
        <f ca="1">IFERROR(__xludf.DUMMYFUNCTION("""COMPUTED_VALUE"""),20)</f>
        <v>20</v>
      </c>
      <c r="E148">
        <f ca="1">IFERROR(__xludf.DUMMYFUNCTION("""COMPUTED_VALUE"""),4.01)</f>
        <v>4.01</v>
      </c>
      <c r="F148">
        <f ca="1">IFERROR(__xludf.DUMMYFUNCTION("""COMPUTED_VALUE"""),827)</f>
        <v>827</v>
      </c>
      <c r="G148">
        <f ca="1">IFERROR(__xludf.DUMMYFUNCTION("""COMPUTED_VALUE"""),206)</f>
        <v>206</v>
      </c>
    </row>
    <row r="149" spans="1:7" ht="12.75">
      <c r="A149" t="str">
        <f ca="1">IFERROR(__xludf.DUMMYFUNCTION("""COMPUTED_VALUE"""),"T148")</f>
        <v>T148</v>
      </c>
      <c r="B149" t="str">
        <f ca="1">IFERROR(__xludf.DUMMYFUNCTION("""COMPUTED_VALUE"""),"T156")</f>
        <v>T156</v>
      </c>
      <c r="C149" t="str">
        <f ca="1">IFERROR(__xludf.DUMMYFUNCTION("""COMPUTED_VALUE"""),"Arjun Atwal")</f>
        <v>Arjun Atwal</v>
      </c>
      <c r="D149">
        <f ca="1">IFERROR(__xludf.DUMMYFUNCTION("""COMPUTED_VALUE"""),6)</f>
        <v>6</v>
      </c>
      <c r="E149">
        <f ca="1">IFERROR(__xludf.DUMMYFUNCTION("""COMPUTED_VALUE"""),4.02)</f>
        <v>4.0199999999999996</v>
      </c>
      <c r="F149">
        <f ca="1">IFERROR(__xludf.DUMMYFUNCTION("""COMPUTED_VALUE"""),249)</f>
        <v>249</v>
      </c>
      <c r="G149">
        <f ca="1">IFERROR(__xludf.DUMMYFUNCTION("""COMPUTED_VALUE"""),62)</f>
        <v>62</v>
      </c>
    </row>
    <row r="150" spans="1:7" ht="12.75">
      <c r="A150" t="str">
        <f ca="1">IFERROR(__xludf.DUMMYFUNCTION("""COMPUTED_VALUE"""),"T148")</f>
        <v>T148</v>
      </c>
      <c r="B150" t="str">
        <f ca="1">IFERROR(__xludf.DUMMYFUNCTION("""COMPUTED_VALUE"""),"T93")</f>
        <v>T93</v>
      </c>
      <c r="C150" t="str">
        <f ca="1">IFERROR(__xludf.DUMMYFUNCTION("""COMPUTED_VALUE"""),"Brandt Snedeker")</f>
        <v>Brandt Snedeker</v>
      </c>
      <c r="D150">
        <f ca="1">IFERROR(__xludf.DUMMYFUNCTION("""COMPUTED_VALUE"""),16)</f>
        <v>16</v>
      </c>
      <c r="E150">
        <f ca="1">IFERROR(__xludf.DUMMYFUNCTION("""COMPUTED_VALUE"""),4.02)</f>
        <v>4.0199999999999996</v>
      </c>
      <c r="F150">
        <f ca="1">IFERROR(__xludf.DUMMYFUNCTION("""COMPUTED_VALUE"""),675)</f>
        <v>675</v>
      </c>
      <c r="G150">
        <f ca="1">IFERROR(__xludf.DUMMYFUNCTION("""COMPUTED_VALUE"""),168)</f>
        <v>168</v>
      </c>
    </row>
    <row r="151" spans="1:7" ht="12.75">
      <c r="A151" t="str">
        <f ca="1">IFERROR(__xludf.DUMMYFUNCTION("""COMPUTED_VALUE"""),"T148")</f>
        <v>T148</v>
      </c>
      <c r="B151" t="str">
        <f ca="1">IFERROR(__xludf.DUMMYFUNCTION("""COMPUTED_VALUE"""),"T180")</f>
        <v>T180</v>
      </c>
      <c r="C151" t="str">
        <f ca="1">IFERROR(__xludf.DUMMYFUNCTION("""COMPUTED_VALUE"""),"Jason Day")</f>
        <v>Jason Day</v>
      </c>
      <c r="D151">
        <f ca="1">IFERROR(__xludf.DUMMYFUNCTION("""COMPUTED_VALUE"""),17)</f>
        <v>17</v>
      </c>
      <c r="E151">
        <f ca="1">IFERROR(__xludf.DUMMYFUNCTION("""COMPUTED_VALUE"""),4.02)</f>
        <v>4.0199999999999996</v>
      </c>
      <c r="F151">
        <f ca="1">IFERROR(__xludf.DUMMYFUNCTION("""COMPUTED_VALUE"""),692)</f>
        <v>692</v>
      </c>
      <c r="G151">
        <f ca="1">IFERROR(__xludf.DUMMYFUNCTION("""COMPUTED_VALUE"""),172)</f>
        <v>172</v>
      </c>
    </row>
    <row r="152" spans="1:7" ht="12.75">
      <c r="A152" t="str">
        <f ca="1">IFERROR(__xludf.DUMMYFUNCTION("""COMPUTED_VALUE"""),"T148")</f>
        <v>T148</v>
      </c>
      <c r="B152" t="str">
        <f ca="1">IFERROR(__xludf.DUMMYFUNCTION("""COMPUTED_VALUE"""),"T156")</f>
        <v>T156</v>
      </c>
      <c r="C152" t="str">
        <f ca="1">IFERROR(__xludf.DUMMYFUNCTION("""COMPUTED_VALUE"""),"Rickie Fowler")</f>
        <v>Rickie Fowler</v>
      </c>
      <c r="D152">
        <f ca="1">IFERROR(__xludf.DUMMYFUNCTION("""COMPUTED_VALUE"""),14)</f>
        <v>14</v>
      </c>
      <c r="E152">
        <f ca="1">IFERROR(__xludf.DUMMYFUNCTION("""COMPUTED_VALUE"""),4.02)</f>
        <v>4.0199999999999996</v>
      </c>
      <c r="F152">
        <f ca="1">IFERROR(__xludf.DUMMYFUNCTION("""COMPUTED_VALUE"""),571)</f>
        <v>571</v>
      </c>
      <c r="G152">
        <f ca="1">IFERROR(__xludf.DUMMYFUNCTION("""COMPUTED_VALUE"""),142)</f>
        <v>142</v>
      </c>
    </row>
    <row r="153" spans="1:7" ht="12.75">
      <c r="A153" t="str">
        <f ca="1">IFERROR(__xludf.DUMMYFUNCTION("""COMPUTED_VALUE"""),"T148")</f>
        <v>T148</v>
      </c>
      <c r="B153" t="str">
        <f ca="1">IFERROR(__xludf.DUMMYFUNCTION("""COMPUTED_VALUE"""),"T106")</f>
        <v>T106</v>
      </c>
      <c r="C153" t="str">
        <f ca="1">IFERROR(__xludf.DUMMYFUNCTION("""COMPUTED_VALUE"""),"Xinjun Zhang")</f>
        <v>Xinjun Zhang</v>
      </c>
      <c r="D153">
        <f ca="1">IFERROR(__xludf.DUMMYFUNCTION("""COMPUTED_VALUE"""),14)</f>
        <v>14</v>
      </c>
      <c r="E153">
        <f ca="1">IFERROR(__xludf.DUMMYFUNCTION("""COMPUTED_VALUE"""),4.02)</f>
        <v>4.0199999999999996</v>
      </c>
      <c r="F153">
        <f ca="1">IFERROR(__xludf.DUMMYFUNCTION("""COMPUTED_VALUE"""),571)</f>
        <v>571</v>
      </c>
      <c r="G153">
        <f ca="1">IFERROR(__xludf.DUMMYFUNCTION("""COMPUTED_VALUE"""),142)</f>
        <v>142</v>
      </c>
    </row>
    <row r="154" spans="1:7" ht="12.75">
      <c r="A154" t="str">
        <f ca="1">IFERROR(__xludf.DUMMYFUNCTION("""COMPUTED_VALUE"""),"T148")</f>
        <v>T148</v>
      </c>
      <c r="B154" t="str">
        <f ca="1">IFERROR(__xludf.DUMMYFUNCTION("""COMPUTED_VALUE"""),"T156")</f>
        <v>T156</v>
      </c>
      <c r="C154" t="str">
        <f ca="1">IFERROR(__xludf.DUMMYFUNCTION("""COMPUTED_VALUE"""),"Mark Anderson")</f>
        <v>Mark Anderson</v>
      </c>
      <c r="D154">
        <f ca="1">IFERROR(__xludf.DUMMYFUNCTION("""COMPUTED_VALUE"""),14)</f>
        <v>14</v>
      </c>
      <c r="E154">
        <f ca="1">IFERROR(__xludf.DUMMYFUNCTION("""COMPUTED_VALUE"""),4.02)</f>
        <v>4.0199999999999996</v>
      </c>
      <c r="F154">
        <f ca="1">IFERROR(__xludf.DUMMYFUNCTION("""COMPUTED_VALUE"""),579)</f>
        <v>579</v>
      </c>
      <c r="G154">
        <f ca="1">IFERROR(__xludf.DUMMYFUNCTION("""COMPUTED_VALUE"""),144)</f>
        <v>144</v>
      </c>
    </row>
    <row r="155" spans="1:7" ht="12.75">
      <c r="A155" t="str">
        <f ca="1">IFERROR(__xludf.DUMMYFUNCTION("""COMPUTED_VALUE"""),"T148")</f>
        <v>T148</v>
      </c>
      <c r="B155" t="str">
        <f ca="1">IFERROR(__xludf.DUMMYFUNCTION("""COMPUTED_VALUE"""),"T134")</f>
        <v>T134</v>
      </c>
      <c r="C155" t="str">
        <f ca="1">IFERROR(__xludf.DUMMYFUNCTION("""COMPUTED_VALUE"""),"Keegan Bradley")</f>
        <v>Keegan Bradley</v>
      </c>
      <c r="D155">
        <f ca="1">IFERROR(__xludf.DUMMYFUNCTION("""COMPUTED_VALUE"""),16)</f>
        <v>16</v>
      </c>
      <c r="E155">
        <f ca="1">IFERROR(__xludf.DUMMYFUNCTION("""COMPUTED_VALUE"""),4.02)</f>
        <v>4.0199999999999996</v>
      </c>
      <c r="F155">
        <f ca="1">IFERROR(__xludf.DUMMYFUNCTION("""COMPUTED_VALUE"""),668)</f>
        <v>668</v>
      </c>
      <c r="G155">
        <f ca="1">IFERROR(__xludf.DUMMYFUNCTION("""COMPUTED_VALUE"""),166)</f>
        <v>166</v>
      </c>
    </row>
    <row r="156" spans="1:7" ht="12.75">
      <c r="A156" t="str">
        <f ca="1">IFERROR(__xludf.DUMMYFUNCTION("""COMPUTED_VALUE"""),"T148")</f>
        <v>T148</v>
      </c>
      <c r="B156" t="str">
        <f ca="1">IFERROR(__xludf.DUMMYFUNCTION("""COMPUTED_VALUE"""),"T93")</f>
        <v>T93</v>
      </c>
      <c r="C156" t="str">
        <f ca="1">IFERROR(__xludf.DUMMYFUNCTION("""COMPUTED_VALUE"""),"Sam Ryder")</f>
        <v>Sam Ryder</v>
      </c>
      <c r="D156">
        <f ca="1">IFERROR(__xludf.DUMMYFUNCTION("""COMPUTED_VALUE"""),12)</f>
        <v>12</v>
      </c>
      <c r="E156">
        <f ca="1">IFERROR(__xludf.DUMMYFUNCTION("""COMPUTED_VALUE"""),4.02)</f>
        <v>4.0199999999999996</v>
      </c>
      <c r="F156">
        <f ca="1">IFERROR(__xludf.DUMMYFUNCTION("""COMPUTED_VALUE"""),491)</f>
        <v>491</v>
      </c>
      <c r="G156">
        <f ca="1">IFERROR(__xludf.DUMMYFUNCTION("""COMPUTED_VALUE"""),122)</f>
        <v>122</v>
      </c>
    </row>
    <row r="157" spans="1:7" ht="12.75">
      <c r="A157" t="str">
        <f ca="1">IFERROR(__xludf.DUMMYFUNCTION("""COMPUTED_VALUE"""),"T148")</f>
        <v>T148</v>
      </c>
      <c r="B157" t="str">
        <f ca="1">IFERROR(__xludf.DUMMYFUNCTION("""COMPUTED_VALUE"""),"T156")</f>
        <v>T156</v>
      </c>
      <c r="C157" t="str">
        <f ca="1">IFERROR(__xludf.DUMMYFUNCTION("""COMPUTED_VALUE"""),"Michael Miller")</f>
        <v>Michael Miller</v>
      </c>
      <c r="D157">
        <f ca="1">IFERROR(__xludf.DUMMYFUNCTION("""COMPUTED_VALUE"""),4)</f>
        <v>4</v>
      </c>
      <c r="E157">
        <f ca="1">IFERROR(__xludf.DUMMYFUNCTION("""COMPUTED_VALUE"""),4.02)</f>
        <v>4.0199999999999996</v>
      </c>
      <c r="F157">
        <f ca="1">IFERROR(__xludf.DUMMYFUNCTION("""COMPUTED_VALUE"""),177)</f>
        <v>177</v>
      </c>
      <c r="G157">
        <f ca="1">IFERROR(__xludf.DUMMYFUNCTION("""COMPUTED_VALUE"""),44)</f>
        <v>44</v>
      </c>
    </row>
    <row r="158" spans="1:7" ht="12.75">
      <c r="A158" t="str">
        <f ca="1">IFERROR(__xludf.DUMMYFUNCTION("""COMPUTED_VALUE"""),"T148")</f>
        <v>T148</v>
      </c>
      <c r="B158" t="str">
        <f ca="1">IFERROR(__xludf.DUMMYFUNCTION("""COMPUTED_VALUE"""),"T27")</f>
        <v>T27</v>
      </c>
      <c r="C158" t="str">
        <f ca="1">IFERROR(__xludf.DUMMYFUNCTION("""COMPUTED_VALUE"""),"Ollie Schniederjans")</f>
        <v>Ollie Schniederjans</v>
      </c>
      <c r="D158">
        <f ca="1">IFERROR(__xludf.DUMMYFUNCTION("""COMPUTED_VALUE"""),6)</f>
        <v>6</v>
      </c>
      <c r="E158">
        <f ca="1">IFERROR(__xludf.DUMMYFUNCTION("""COMPUTED_VALUE"""),4.02)</f>
        <v>4.0199999999999996</v>
      </c>
      <c r="F158">
        <f ca="1">IFERROR(__xludf.DUMMYFUNCTION("""COMPUTED_VALUE"""),257)</f>
        <v>257</v>
      </c>
      <c r="G158">
        <f ca="1">IFERROR(__xludf.DUMMYFUNCTION("""COMPUTED_VALUE"""),64)</f>
        <v>64</v>
      </c>
    </row>
    <row r="159" spans="1:7" ht="12.75">
      <c r="A159" t="str">
        <f ca="1">IFERROR(__xludf.DUMMYFUNCTION("""COMPUTED_VALUE"""),"T158")</f>
        <v>T158</v>
      </c>
      <c r="B159" t="str">
        <f ca="1">IFERROR(__xludf.DUMMYFUNCTION("""COMPUTED_VALUE"""),"T147")</f>
        <v>T147</v>
      </c>
      <c r="C159" t="str">
        <f ca="1">IFERROR(__xludf.DUMMYFUNCTION("""COMPUTED_VALUE"""),"Rory Sabbatini")</f>
        <v>Rory Sabbatini</v>
      </c>
      <c r="D159">
        <f ca="1">IFERROR(__xludf.DUMMYFUNCTION("""COMPUTED_VALUE"""),13)</f>
        <v>13</v>
      </c>
      <c r="E159">
        <f ca="1">IFERROR(__xludf.DUMMYFUNCTION("""COMPUTED_VALUE"""),4.03)</f>
        <v>4.03</v>
      </c>
      <c r="F159">
        <f ca="1">IFERROR(__xludf.DUMMYFUNCTION("""COMPUTED_VALUE"""),572)</f>
        <v>572</v>
      </c>
      <c r="G159">
        <f ca="1">IFERROR(__xludf.DUMMYFUNCTION("""COMPUTED_VALUE"""),142)</f>
        <v>142</v>
      </c>
    </row>
    <row r="160" spans="1:7" ht="12.75">
      <c r="A160" t="str">
        <f ca="1">IFERROR(__xludf.DUMMYFUNCTION("""COMPUTED_VALUE"""),"T158")</f>
        <v>T158</v>
      </c>
      <c r="B160" t="str">
        <f ca="1">IFERROR(__xludf.DUMMYFUNCTION("""COMPUTED_VALUE"""),"T165")</f>
        <v>T165</v>
      </c>
      <c r="C160" t="str">
        <f ca="1">IFERROR(__xludf.DUMMYFUNCTION("""COMPUTED_VALUE"""),"Bubba Watson")</f>
        <v>Bubba Watson</v>
      </c>
      <c r="D160">
        <f ca="1">IFERROR(__xludf.DUMMYFUNCTION("""COMPUTED_VALUE"""),12)</f>
        <v>12</v>
      </c>
      <c r="E160">
        <f ca="1">IFERROR(__xludf.DUMMYFUNCTION("""COMPUTED_VALUE"""),4.03)</f>
        <v>4.03</v>
      </c>
      <c r="F160">
        <f ca="1">IFERROR(__xludf.DUMMYFUNCTION("""COMPUTED_VALUE"""),484)</f>
        <v>484</v>
      </c>
      <c r="G160">
        <f ca="1">IFERROR(__xludf.DUMMYFUNCTION("""COMPUTED_VALUE"""),120)</f>
        <v>120</v>
      </c>
    </row>
    <row r="161" spans="1:7" ht="12.75">
      <c r="A161" t="str">
        <f ca="1">IFERROR(__xludf.DUMMYFUNCTION("""COMPUTED_VALUE"""),"T158")</f>
        <v>T158</v>
      </c>
      <c r="B161" t="str">
        <f ca="1">IFERROR(__xludf.DUMMYFUNCTION("""COMPUTED_VALUE"""),"T165")</f>
        <v>T165</v>
      </c>
      <c r="C161" t="str">
        <f ca="1">IFERROR(__xludf.DUMMYFUNCTION("""COMPUTED_VALUE"""),"Jay McLuen")</f>
        <v>Jay McLuen</v>
      </c>
      <c r="D161">
        <f ca="1">IFERROR(__xludf.DUMMYFUNCTION("""COMPUTED_VALUE"""),4)</f>
        <v>4</v>
      </c>
      <c r="E161">
        <f ca="1">IFERROR(__xludf.DUMMYFUNCTION("""COMPUTED_VALUE"""),4.03)</f>
        <v>4.03</v>
      </c>
      <c r="F161">
        <f ca="1">IFERROR(__xludf.DUMMYFUNCTION("""COMPUTED_VALUE"""),161)</f>
        <v>161</v>
      </c>
      <c r="G161">
        <f ca="1">IFERROR(__xludf.DUMMYFUNCTION("""COMPUTED_VALUE"""),40)</f>
        <v>40</v>
      </c>
    </row>
    <row r="162" spans="1:7" ht="12.75">
      <c r="A162" t="str">
        <f ca="1">IFERROR(__xludf.DUMMYFUNCTION("""COMPUTED_VALUE"""),"T158")</f>
        <v>T158</v>
      </c>
      <c r="B162" t="str">
        <f ca="1">IFERROR(__xludf.DUMMYFUNCTION("""COMPUTED_VALUE"""),"T123")</f>
        <v>T123</v>
      </c>
      <c r="C162" t="str">
        <f ca="1">IFERROR(__xludf.DUMMYFUNCTION("""COMPUTED_VALUE"""),"Scott Harrington")</f>
        <v>Scott Harrington</v>
      </c>
      <c r="D162">
        <f ca="1">IFERROR(__xludf.DUMMYFUNCTION("""COMPUTED_VALUE"""),18)</f>
        <v>18</v>
      </c>
      <c r="E162">
        <f ca="1">IFERROR(__xludf.DUMMYFUNCTION("""COMPUTED_VALUE"""),4.03)</f>
        <v>4.03</v>
      </c>
      <c r="F162">
        <f ca="1">IFERROR(__xludf.DUMMYFUNCTION("""COMPUTED_VALUE"""),742)</f>
        <v>742</v>
      </c>
      <c r="G162">
        <f ca="1">IFERROR(__xludf.DUMMYFUNCTION("""COMPUTED_VALUE"""),184)</f>
        <v>184</v>
      </c>
    </row>
    <row r="163" spans="1:7" ht="12.75">
      <c r="A163" t="str">
        <f ca="1">IFERROR(__xludf.DUMMYFUNCTION("""COMPUTED_VALUE"""),"T158")</f>
        <v>T158</v>
      </c>
      <c r="B163" t="str">
        <f ca="1">IFERROR(__xludf.DUMMYFUNCTION("""COMPUTED_VALUE"""),"T165")</f>
        <v>T165</v>
      </c>
      <c r="C163" t="str">
        <f ca="1">IFERROR(__xludf.DUMMYFUNCTION("""COMPUTED_VALUE"""),"Tommy Gainey")</f>
        <v>Tommy Gainey</v>
      </c>
      <c r="D163">
        <f ca="1">IFERROR(__xludf.DUMMYFUNCTION("""COMPUTED_VALUE"""),6)</f>
        <v>6</v>
      </c>
      <c r="E163">
        <f ca="1">IFERROR(__xludf.DUMMYFUNCTION("""COMPUTED_VALUE"""),4.03)</f>
        <v>4.03</v>
      </c>
      <c r="F163">
        <f ca="1">IFERROR(__xludf.DUMMYFUNCTION("""COMPUTED_VALUE"""),250)</f>
        <v>250</v>
      </c>
      <c r="G163">
        <f ca="1">IFERROR(__xludf.DUMMYFUNCTION("""COMPUTED_VALUE"""),62)</f>
        <v>62</v>
      </c>
    </row>
    <row r="164" spans="1:7" ht="12.75">
      <c r="A164" t="str">
        <f ca="1">IFERROR(__xludf.DUMMYFUNCTION("""COMPUTED_VALUE"""),"T158")</f>
        <v>T158</v>
      </c>
      <c r="B164" t="str">
        <f ca="1">IFERROR(__xludf.DUMMYFUNCTION("""COMPUTED_VALUE"""),"T165")</f>
        <v>T165</v>
      </c>
      <c r="C164" t="str">
        <f ca="1">IFERROR(__xludf.DUMMYFUNCTION("""COMPUTED_VALUE"""),"Mikumu Horikawa")</f>
        <v>Mikumu Horikawa</v>
      </c>
      <c r="D164">
        <f ca="1">IFERROR(__xludf.DUMMYFUNCTION("""COMPUTED_VALUE"""),4)</f>
        <v>4</v>
      </c>
      <c r="E164">
        <f ca="1">IFERROR(__xludf.DUMMYFUNCTION("""COMPUTED_VALUE"""),4.03)</f>
        <v>4.03</v>
      </c>
      <c r="F164">
        <f ca="1">IFERROR(__xludf.DUMMYFUNCTION("""COMPUTED_VALUE"""),129)</f>
        <v>129</v>
      </c>
      <c r="G164">
        <f ca="1">IFERROR(__xludf.DUMMYFUNCTION("""COMPUTED_VALUE"""),32)</f>
        <v>32</v>
      </c>
    </row>
    <row r="165" spans="1:7" ht="12.75">
      <c r="A165" t="str">
        <f ca="1">IFERROR(__xludf.DUMMYFUNCTION("""COMPUTED_VALUE"""),"T158")</f>
        <v>T158</v>
      </c>
      <c r="B165" t="str">
        <f ca="1">IFERROR(__xludf.DUMMYFUNCTION("""COMPUTED_VALUE"""),"T165")</f>
        <v>T165</v>
      </c>
      <c r="C165" t="str">
        <f ca="1">IFERROR(__xludf.DUMMYFUNCTION("""COMPUTED_VALUE"""),"Willy Pumarol")</f>
        <v>Willy Pumarol</v>
      </c>
      <c r="D165">
        <f ca="1">IFERROR(__xludf.DUMMYFUNCTION("""COMPUTED_VALUE"""),4)</f>
        <v>4</v>
      </c>
      <c r="E165">
        <f ca="1">IFERROR(__xludf.DUMMYFUNCTION("""COMPUTED_VALUE"""),4.03)</f>
        <v>4.03</v>
      </c>
      <c r="F165">
        <f ca="1">IFERROR(__xludf.DUMMYFUNCTION("""COMPUTED_VALUE"""),161)</f>
        <v>161</v>
      </c>
      <c r="G165">
        <f ca="1">IFERROR(__xludf.DUMMYFUNCTION("""COMPUTED_VALUE"""),40)</f>
        <v>40</v>
      </c>
    </row>
    <row r="166" spans="1:7" ht="12.75">
      <c r="A166" t="str">
        <f ca="1">IFERROR(__xludf.DUMMYFUNCTION("""COMPUTED_VALUE"""),"T158")</f>
        <v>T158</v>
      </c>
      <c r="B166" t="str">
        <f ca="1">IFERROR(__xludf.DUMMYFUNCTION("""COMPUTED_VALUE"""),"T156")</f>
        <v>T156</v>
      </c>
      <c r="C166" t="str">
        <f ca="1">IFERROR(__xludf.DUMMYFUNCTION("""COMPUTED_VALUE"""),"Corey Conners")</f>
        <v>Corey Conners</v>
      </c>
      <c r="D166">
        <f ca="1">IFERROR(__xludf.DUMMYFUNCTION("""COMPUTED_VALUE"""),20)</f>
        <v>20</v>
      </c>
      <c r="E166">
        <f ca="1">IFERROR(__xludf.DUMMYFUNCTION("""COMPUTED_VALUE"""),4.03)</f>
        <v>4.03</v>
      </c>
      <c r="F166">
        <f ca="1">IFERROR(__xludf.DUMMYFUNCTION("""COMPUTED_VALUE"""),789)</f>
        <v>789</v>
      </c>
      <c r="G166">
        <f ca="1">IFERROR(__xludf.DUMMYFUNCTION("""COMPUTED_VALUE"""),196)</f>
        <v>196</v>
      </c>
    </row>
    <row r="167" spans="1:7" ht="12.75">
      <c r="A167" t="str">
        <f ca="1">IFERROR(__xludf.DUMMYFUNCTION("""COMPUTED_VALUE"""),"T158")</f>
        <v>T158</v>
      </c>
      <c r="B167" t="str">
        <f ca="1">IFERROR(__xludf.DUMMYFUNCTION("""COMPUTED_VALUE"""),"T165")</f>
        <v>T165</v>
      </c>
      <c r="C167" t="str">
        <f ca="1">IFERROR(__xludf.DUMMYFUNCTION("""COMPUTED_VALUE"""),"Tyler McCumber")</f>
        <v>Tyler McCumber</v>
      </c>
      <c r="D167">
        <f ca="1">IFERROR(__xludf.DUMMYFUNCTION("""COMPUTED_VALUE"""),14)</f>
        <v>14</v>
      </c>
      <c r="E167">
        <f ca="1">IFERROR(__xludf.DUMMYFUNCTION("""COMPUTED_VALUE"""),4.03)</f>
        <v>4.03</v>
      </c>
      <c r="F167">
        <f ca="1">IFERROR(__xludf.DUMMYFUNCTION("""COMPUTED_VALUE"""),580)</f>
        <v>580</v>
      </c>
      <c r="G167">
        <f ca="1">IFERROR(__xludf.DUMMYFUNCTION("""COMPUTED_VALUE"""),144)</f>
        <v>144</v>
      </c>
    </row>
    <row r="168" spans="1:7" ht="12.75">
      <c r="A168" t="str">
        <f ca="1">IFERROR(__xludf.DUMMYFUNCTION("""COMPUTED_VALUE"""),"T158")</f>
        <v>T158</v>
      </c>
      <c r="B168" t="str">
        <f ca="1">IFERROR(__xludf.DUMMYFUNCTION("""COMPUTED_VALUE"""),"T165")</f>
        <v>T165</v>
      </c>
      <c r="C168" t="str">
        <f ca="1">IFERROR(__xludf.DUMMYFUNCTION("""COMPUTED_VALUE"""),"Seonghyeon Kim")</f>
        <v>Seonghyeon Kim</v>
      </c>
      <c r="D168">
        <f ca="1">IFERROR(__xludf.DUMMYFUNCTION("""COMPUTED_VALUE"""),4)</f>
        <v>4</v>
      </c>
      <c r="E168">
        <f ca="1">IFERROR(__xludf.DUMMYFUNCTION("""COMPUTED_VALUE"""),4.03)</f>
        <v>4.03</v>
      </c>
      <c r="F168">
        <f ca="1">IFERROR(__xludf.DUMMYFUNCTION("""COMPUTED_VALUE"""),161)</f>
        <v>161</v>
      </c>
      <c r="G168">
        <f ca="1">IFERROR(__xludf.DUMMYFUNCTION("""COMPUTED_VALUE"""),40)</f>
        <v>40</v>
      </c>
    </row>
    <row r="169" spans="1:7" ht="12.75">
      <c r="A169" t="str">
        <f ca="1">IFERROR(__xludf.DUMMYFUNCTION("""COMPUTED_VALUE"""),"T168")</f>
        <v>T168</v>
      </c>
      <c r="B169" t="str">
        <f ca="1">IFERROR(__xludf.DUMMYFUNCTION("""COMPUTED_VALUE"""),"T165")</f>
        <v>T165</v>
      </c>
      <c r="C169" t="str">
        <f ca="1">IFERROR(__xludf.DUMMYFUNCTION("""COMPUTED_VALUE"""),"Charley Hoffman")</f>
        <v>Charley Hoffman</v>
      </c>
      <c r="D169">
        <f ca="1">IFERROR(__xludf.DUMMYFUNCTION("""COMPUTED_VALUE"""),20)</f>
        <v>20</v>
      </c>
      <c r="E169">
        <f ca="1">IFERROR(__xludf.DUMMYFUNCTION("""COMPUTED_VALUE"""),4.04)</f>
        <v>4.04</v>
      </c>
      <c r="F169">
        <f ca="1">IFERROR(__xludf.DUMMYFUNCTION("""COMPUTED_VALUE"""),824)</f>
        <v>824</v>
      </c>
      <c r="G169">
        <f ca="1">IFERROR(__xludf.DUMMYFUNCTION("""COMPUTED_VALUE"""),204)</f>
        <v>204</v>
      </c>
    </row>
    <row r="170" spans="1:7" ht="12.75">
      <c r="A170" t="str">
        <f ca="1">IFERROR(__xludf.DUMMYFUNCTION("""COMPUTED_VALUE"""),"T168")</f>
        <v>T168</v>
      </c>
      <c r="B170" t="str">
        <f ca="1">IFERROR(__xludf.DUMMYFUNCTION("""COMPUTED_VALUE"""),"T174")</f>
        <v>T174</v>
      </c>
      <c r="C170" t="str">
        <f ca="1">IFERROR(__xludf.DUMMYFUNCTION("""COMPUTED_VALUE"""),"Kevin Na")</f>
        <v>Kevin Na</v>
      </c>
      <c r="D170">
        <f ca="1">IFERROR(__xludf.DUMMYFUNCTION("""COMPUTED_VALUE"""),14)</f>
        <v>14</v>
      </c>
      <c r="E170">
        <f ca="1">IFERROR(__xludf.DUMMYFUNCTION("""COMPUTED_VALUE"""),4.04)</f>
        <v>4.04</v>
      </c>
      <c r="F170">
        <f ca="1">IFERROR(__xludf.DUMMYFUNCTION("""COMPUTED_VALUE"""),565)</f>
        <v>565</v>
      </c>
      <c r="G170">
        <f ca="1">IFERROR(__xludf.DUMMYFUNCTION("""COMPUTED_VALUE"""),140)</f>
        <v>140</v>
      </c>
    </row>
    <row r="171" spans="1:7" ht="12.75">
      <c r="A171" t="str">
        <f ca="1">IFERROR(__xludf.DUMMYFUNCTION("""COMPUTED_VALUE"""),"T168")</f>
        <v>T168</v>
      </c>
      <c r="B171" t="str">
        <f ca="1">IFERROR(__xludf.DUMMYFUNCTION("""COMPUTED_VALUE"""),"T156")</f>
        <v>T156</v>
      </c>
      <c r="C171" t="str">
        <f ca="1">IFERROR(__xludf.DUMMYFUNCTION("""COMPUTED_VALUE"""),"Lucas Glover")</f>
        <v>Lucas Glover</v>
      </c>
      <c r="D171">
        <f ca="1">IFERROR(__xludf.DUMMYFUNCTION("""COMPUTED_VALUE"""),12)</f>
        <v>12</v>
      </c>
      <c r="E171">
        <f ca="1">IFERROR(__xludf.DUMMYFUNCTION("""COMPUTED_VALUE"""),4.04)</f>
        <v>4.04</v>
      </c>
      <c r="F171">
        <f ca="1">IFERROR(__xludf.DUMMYFUNCTION("""COMPUTED_VALUE"""),517)</f>
        <v>517</v>
      </c>
      <c r="G171">
        <f ca="1">IFERROR(__xludf.DUMMYFUNCTION("""COMPUTED_VALUE"""),128)</f>
        <v>128</v>
      </c>
    </row>
    <row r="172" spans="1:7" ht="12.75">
      <c r="A172" t="str">
        <f ca="1">IFERROR(__xludf.DUMMYFUNCTION("""COMPUTED_VALUE"""),"T168")</f>
        <v>T168</v>
      </c>
      <c r="B172" t="str">
        <f ca="1">IFERROR(__xludf.DUMMYFUNCTION("""COMPUTED_VALUE"""),"T174")</f>
        <v>T174</v>
      </c>
      <c r="C172" t="str">
        <f ca="1">IFERROR(__xludf.DUMMYFUNCTION("""COMPUTED_VALUE"""),"Luke List")</f>
        <v>Luke List</v>
      </c>
      <c r="D172">
        <f ca="1">IFERROR(__xludf.DUMMYFUNCTION("""COMPUTED_VALUE"""),18)</f>
        <v>18</v>
      </c>
      <c r="E172">
        <f ca="1">IFERROR(__xludf.DUMMYFUNCTION("""COMPUTED_VALUE"""),4.04)</f>
        <v>4.04</v>
      </c>
      <c r="F172">
        <f ca="1">IFERROR(__xludf.DUMMYFUNCTION("""COMPUTED_VALUE"""),752)</f>
        <v>752</v>
      </c>
      <c r="G172">
        <f ca="1">IFERROR(__xludf.DUMMYFUNCTION("""COMPUTED_VALUE"""),186)</f>
        <v>186</v>
      </c>
    </row>
    <row r="173" spans="1:7" ht="12.75">
      <c r="A173" t="str">
        <f ca="1">IFERROR(__xludf.DUMMYFUNCTION("""COMPUTED_VALUE"""),"T168")</f>
        <v>T168</v>
      </c>
      <c r="B173" t="str">
        <f ca="1">IFERROR(__xludf.DUMMYFUNCTION("""COMPUTED_VALUE"""),"T174")</f>
        <v>T174</v>
      </c>
      <c r="C173" t="str">
        <f ca="1">IFERROR(__xludf.DUMMYFUNCTION("""COMPUTED_VALUE"""),"Tommy Fleetwood")</f>
        <v>Tommy Fleetwood</v>
      </c>
      <c r="D173">
        <f ca="1">IFERROR(__xludf.DUMMYFUNCTION("""COMPUTED_VALUE"""),10)</f>
        <v>10</v>
      </c>
      <c r="E173">
        <f ca="1">IFERROR(__xludf.DUMMYFUNCTION("""COMPUTED_VALUE"""),4.04)</f>
        <v>4.04</v>
      </c>
      <c r="F173">
        <f ca="1">IFERROR(__xludf.DUMMYFUNCTION("""COMPUTED_VALUE"""),388)</f>
        <v>388</v>
      </c>
      <c r="G173">
        <f ca="1">IFERROR(__xludf.DUMMYFUNCTION("""COMPUTED_VALUE"""),96)</f>
        <v>96</v>
      </c>
    </row>
    <row r="174" spans="1:7" ht="12.75">
      <c r="A174" t="str">
        <f ca="1">IFERROR(__xludf.DUMMYFUNCTION("""COMPUTED_VALUE"""),"T168")</f>
        <v>T168</v>
      </c>
      <c r="B174" t="str">
        <f ca="1">IFERROR(__xludf.DUMMYFUNCTION("""COMPUTED_VALUE"""),"T147")</f>
        <v>T147</v>
      </c>
      <c r="C174" t="str">
        <f ca="1">IFERROR(__xludf.DUMMYFUNCTION("""COMPUTED_VALUE"""),"Andrew Landry")</f>
        <v>Andrew Landry</v>
      </c>
      <c r="D174">
        <f ca="1">IFERROR(__xludf.DUMMYFUNCTION("""COMPUTED_VALUE"""),14)</f>
        <v>14</v>
      </c>
      <c r="E174">
        <f ca="1">IFERROR(__xludf.DUMMYFUNCTION("""COMPUTED_VALUE"""),4.04)</f>
        <v>4.04</v>
      </c>
      <c r="F174">
        <f ca="1">IFERROR(__xludf.DUMMYFUNCTION("""COMPUTED_VALUE"""),549)</f>
        <v>549</v>
      </c>
      <c r="G174">
        <f ca="1">IFERROR(__xludf.DUMMYFUNCTION("""COMPUTED_VALUE"""),136)</f>
        <v>136</v>
      </c>
    </row>
    <row r="175" spans="1:7" ht="12.75">
      <c r="A175" t="str">
        <f ca="1">IFERROR(__xludf.DUMMYFUNCTION("""COMPUTED_VALUE"""),"T168")</f>
        <v>T168</v>
      </c>
      <c r="B175" t="str">
        <f ca="1">IFERROR(__xludf.DUMMYFUNCTION("""COMPUTED_VALUE"""),"T165")</f>
        <v>T165</v>
      </c>
      <c r="C175" t="str">
        <f ca="1">IFERROR(__xludf.DUMMYFUNCTION("""COMPUTED_VALUE"""),"Jordan Spieth")</f>
        <v>Jordan Spieth</v>
      </c>
      <c r="D175">
        <f ca="1">IFERROR(__xludf.DUMMYFUNCTION("""COMPUTED_VALUE"""),14)</f>
        <v>14</v>
      </c>
      <c r="E175">
        <f ca="1">IFERROR(__xludf.DUMMYFUNCTION("""COMPUTED_VALUE"""),4.04)</f>
        <v>4.04</v>
      </c>
      <c r="F175">
        <f ca="1">IFERROR(__xludf.DUMMYFUNCTION("""COMPUTED_VALUE"""),549)</f>
        <v>549</v>
      </c>
      <c r="G175">
        <f ca="1">IFERROR(__xludf.DUMMYFUNCTION("""COMPUTED_VALUE"""),136)</f>
        <v>136</v>
      </c>
    </row>
    <row r="176" spans="1:7" ht="12.75">
      <c r="A176" t="str">
        <f ca="1">IFERROR(__xludf.DUMMYFUNCTION("""COMPUTED_VALUE"""),"T168")</f>
        <v>T168</v>
      </c>
      <c r="B176" t="str">
        <f ca="1">IFERROR(__xludf.DUMMYFUNCTION("""COMPUTED_VALUE"""),"T147")</f>
        <v>T147</v>
      </c>
      <c r="C176" t="str">
        <f ca="1">IFERROR(__xludf.DUMMYFUNCTION("""COMPUTED_VALUE"""),"Patrick Rodgers")</f>
        <v>Patrick Rodgers</v>
      </c>
      <c r="D176">
        <f ca="1">IFERROR(__xludf.DUMMYFUNCTION("""COMPUTED_VALUE"""),18)</f>
        <v>18</v>
      </c>
      <c r="E176">
        <f ca="1">IFERROR(__xludf.DUMMYFUNCTION("""COMPUTED_VALUE"""),4.04)</f>
        <v>4.04</v>
      </c>
      <c r="F176">
        <f ca="1">IFERROR(__xludf.DUMMYFUNCTION("""COMPUTED_VALUE"""),751)</f>
        <v>751</v>
      </c>
      <c r="G176">
        <f ca="1">IFERROR(__xludf.DUMMYFUNCTION("""COMPUTED_VALUE"""),186)</f>
        <v>186</v>
      </c>
    </row>
    <row r="177" spans="1:7" ht="12.75">
      <c r="A177" t="str">
        <f ca="1">IFERROR(__xludf.DUMMYFUNCTION("""COMPUTED_VALUE"""),"T168")</f>
        <v>T168</v>
      </c>
      <c r="B177" t="str">
        <f ca="1">IFERROR(__xludf.DUMMYFUNCTION("""COMPUTED_VALUE"""),"T174")</f>
        <v>T174</v>
      </c>
      <c r="C177" t="str">
        <f ca="1">IFERROR(__xludf.DUMMYFUNCTION("""COMPUTED_VALUE"""),"Daniel Berger")</f>
        <v>Daniel Berger</v>
      </c>
      <c r="D177">
        <f ca="1">IFERROR(__xludf.DUMMYFUNCTION("""COMPUTED_VALUE"""),12)</f>
        <v>12</v>
      </c>
      <c r="E177">
        <f ca="1">IFERROR(__xludf.DUMMYFUNCTION("""COMPUTED_VALUE"""),4.04)</f>
        <v>4.04</v>
      </c>
      <c r="F177">
        <f ca="1">IFERROR(__xludf.DUMMYFUNCTION("""COMPUTED_VALUE"""),485)</f>
        <v>485</v>
      </c>
      <c r="G177">
        <f ca="1">IFERROR(__xludf.DUMMYFUNCTION("""COMPUTED_VALUE"""),120)</f>
        <v>120</v>
      </c>
    </row>
    <row r="178" spans="1:7" ht="12.75">
      <c r="A178" t="str">
        <f ca="1">IFERROR(__xludf.DUMMYFUNCTION("""COMPUTED_VALUE"""),"T168")</f>
        <v>T168</v>
      </c>
      <c r="B178" t="str">
        <f ca="1">IFERROR(__xludf.DUMMYFUNCTION("""COMPUTED_VALUE"""),"T180")</f>
        <v>T180</v>
      </c>
      <c r="C178" t="str">
        <f ca="1">IFERROR(__xludf.DUMMYFUNCTION("""COMPUTED_VALUE"""),"J.T. Poston")</f>
        <v>J.T. Poston</v>
      </c>
      <c r="D178">
        <f ca="1">IFERROR(__xludf.DUMMYFUNCTION("""COMPUTED_VALUE"""),18)</f>
        <v>18</v>
      </c>
      <c r="E178">
        <f ca="1">IFERROR(__xludf.DUMMYFUNCTION("""COMPUTED_VALUE"""),4.04)</f>
        <v>4.04</v>
      </c>
      <c r="F178">
        <f ca="1">IFERROR(__xludf.DUMMYFUNCTION("""COMPUTED_VALUE"""),760)</f>
        <v>760</v>
      </c>
      <c r="G178">
        <f ca="1">IFERROR(__xludf.DUMMYFUNCTION("""COMPUTED_VALUE"""),188)</f>
        <v>188</v>
      </c>
    </row>
    <row r="179" spans="1:7" ht="12.75">
      <c r="A179" t="str">
        <f ca="1">IFERROR(__xludf.DUMMYFUNCTION("""COMPUTED_VALUE"""),"T178")</f>
        <v>T178</v>
      </c>
      <c r="B179" t="str">
        <f ca="1">IFERROR(__xludf.DUMMYFUNCTION("""COMPUTED_VALUE"""),"T180")</f>
        <v>T180</v>
      </c>
      <c r="C179" t="str">
        <f ca="1">IFERROR(__xludf.DUMMYFUNCTION("""COMPUTED_VALUE"""),"Bill Haas")</f>
        <v>Bill Haas</v>
      </c>
      <c r="D179">
        <f ca="1">IFERROR(__xludf.DUMMYFUNCTION("""COMPUTED_VALUE"""),10)</f>
        <v>10</v>
      </c>
      <c r="E179">
        <f ca="1">IFERROR(__xludf.DUMMYFUNCTION("""COMPUTED_VALUE"""),4.05)</f>
        <v>4.05</v>
      </c>
      <c r="F179">
        <f ca="1">IFERROR(__xludf.DUMMYFUNCTION("""COMPUTED_VALUE"""),413)</f>
        <v>413</v>
      </c>
      <c r="G179">
        <f ca="1">IFERROR(__xludf.DUMMYFUNCTION("""COMPUTED_VALUE"""),102)</f>
        <v>102</v>
      </c>
    </row>
    <row r="180" spans="1:7" ht="12.75">
      <c r="A180" t="str">
        <f ca="1">IFERROR(__xludf.DUMMYFUNCTION("""COMPUTED_VALUE"""),"T178")</f>
        <v>T178</v>
      </c>
      <c r="B180" t="str">
        <f ca="1">IFERROR(__xludf.DUMMYFUNCTION("""COMPUTED_VALUE"""),"T180")</f>
        <v>T180</v>
      </c>
      <c r="C180" t="str">
        <f ca="1">IFERROR(__xludf.DUMMYFUNCTION("""COMPUTED_VALUE"""),"Nick Taylor")</f>
        <v>Nick Taylor</v>
      </c>
      <c r="D180">
        <f ca="1">IFERROR(__xludf.DUMMYFUNCTION("""COMPUTED_VALUE"""),12)</f>
        <v>12</v>
      </c>
      <c r="E180">
        <f ca="1">IFERROR(__xludf.DUMMYFUNCTION("""COMPUTED_VALUE"""),4.05)</f>
        <v>4.05</v>
      </c>
      <c r="F180">
        <f ca="1">IFERROR(__xludf.DUMMYFUNCTION("""COMPUTED_VALUE"""),462)</f>
        <v>462</v>
      </c>
      <c r="G180">
        <f ca="1">IFERROR(__xludf.DUMMYFUNCTION("""COMPUTED_VALUE"""),114)</f>
        <v>114</v>
      </c>
    </row>
    <row r="181" spans="1:7" ht="12.75">
      <c r="A181" t="str">
        <f ca="1">IFERROR(__xludf.DUMMYFUNCTION("""COMPUTED_VALUE"""),"T178")</f>
        <v>T178</v>
      </c>
      <c r="B181" t="str">
        <f ca="1">IFERROR(__xludf.DUMMYFUNCTION("""COMPUTED_VALUE"""),"T180")</f>
        <v>T180</v>
      </c>
      <c r="C181" t="str">
        <f ca="1">IFERROR(__xludf.DUMMYFUNCTION("""COMPUTED_VALUE"""),"Shaun Norris")</f>
        <v>Shaun Norris</v>
      </c>
      <c r="D181">
        <f ca="1">IFERROR(__xludf.DUMMYFUNCTION("""COMPUTED_VALUE"""),6)</f>
        <v>6</v>
      </c>
      <c r="E181">
        <f ca="1">IFERROR(__xludf.DUMMYFUNCTION("""COMPUTED_VALUE"""),4.05)</f>
        <v>4.05</v>
      </c>
      <c r="F181">
        <f ca="1">IFERROR(__xludf.DUMMYFUNCTION("""COMPUTED_VALUE"""),227)</f>
        <v>227</v>
      </c>
      <c r="G181">
        <f ca="1">IFERROR(__xludf.DUMMYFUNCTION("""COMPUTED_VALUE"""),56)</f>
        <v>56</v>
      </c>
    </row>
    <row r="182" spans="1:7" ht="12.75">
      <c r="A182" t="str">
        <f ca="1">IFERROR(__xludf.DUMMYFUNCTION("""COMPUTED_VALUE"""),"T178")</f>
        <v>T178</v>
      </c>
      <c r="B182" t="str">
        <f ca="1">IFERROR(__xludf.DUMMYFUNCTION("""COMPUTED_VALUE"""),"T106")</f>
        <v>T106</v>
      </c>
      <c r="C182" t="str">
        <f ca="1">IFERROR(__xludf.DUMMYFUNCTION("""COMPUTED_VALUE"""),"Camilo Villegas")</f>
        <v>Camilo Villegas</v>
      </c>
      <c r="D182">
        <f ca="1">IFERROR(__xludf.DUMMYFUNCTION("""COMPUTED_VALUE"""),14)</f>
        <v>14</v>
      </c>
      <c r="E182">
        <f ca="1">IFERROR(__xludf.DUMMYFUNCTION("""COMPUTED_VALUE"""),4.05)</f>
        <v>4.05</v>
      </c>
      <c r="F182">
        <f ca="1">IFERROR(__xludf.DUMMYFUNCTION("""COMPUTED_VALUE"""),591)</f>
        <v>591</v>
      </c>
      <c r="G182">
        <f ca="1">IFERROR(__xludf.DUMMYFUNCTION("""COMPUTED_VALUE"""),146)</f>
        <v>146</v>
      </c>
    </row>
    <row r="183" spans="1:7" ht="12.75">
      <c r="A183" t="str">
        <f ca="1">IFERROR(__xludf.DUMMYFUNCTION("""COMPUTED_VALUE"""),"T178")</f>
        <v>T178</v>
      </c>
      <c r="B183" t="str">
        <f ca="1">IFERROR(__xludf.DUMMYFUNCTION("""COMPUTED_VALUE"""),"T180")</f>
        <v>T180</v>
      </c>
      <c r="C183" t="str">
        <f ca="1">IFERROR(__xludf.DUMMYFUNCTION("""COMPUTED_VALUE"""),"Rory McIlroy")</f>
        <v>Rory McIlroy</v>
      </c>
      <c r="D183">
        <f ca="1">IFERROR(__xludf.DUMMYFUNCTION("""COMPUTED_VALUE"""),12)</f>
        <v>12</v>
      </c>
      <c r="E183">
        <f ca="1">IFERROR(__xludf.DUMMYFUNCTION("""COMPUTED_VALUE"""),4.05)</f>
        <v>4.05</v>
      </c>
      <c r="F183">
        <f ca="1">IFERROR(__xludf.DUMMYFUNCTION("""COMPUTED_VALUE"""),486)</f>
        <v>486</v>
      </c>
      <c r="G183">
        <f ca="1">IFERROR(__xludf.DUMMYFUNCTION("""COMPUTED_VALUE"""),120)</f>
        <v>120</v>
      </c>
    </row>
    <row r="184" spans="1:7" ht="12.75">
      <c r="A184" t="str">
        <f ca="1">IFERROR(__xludf.DUMMYFUNCTION("""COMPUTED_VALUE"""),"T178")</f>
        <v>T178</v>
      </c>
      <c r="B184" t="str">
        <f ca="1">IFERROR(__xludf.DUMMYFUNCTION("""COMPUTED_VALUE"""),"T191")</f>
        <v>T191</v>
      </c>
      <c r="C184" t="str">
        <f ca="1">IFERROR(__xludf.DUMMYFUNCTION("""COMPUTED_VALUE"""),"Tony Finau")</f>
        <v>Tony Finau</v>
      </c>
      <c r="D184">
        <f ca="1">IFERROR(__xludf.DUMMYFUNCTION("""COMPUTED_VALUE"""),12)</f>
        <v>12</v>
      </c>
      <c r="E184">
        <f ca="1">IFERROR(__xludf.DUMMYFUNCTION("""COMPUTED_VALUE"""),4.05)</f>
        <v>4.05</v>
      </c>
      <c r="F184">
        <f ca="1">IFERROR(__xludf.DUMMYFUNCTION("""COMPUTED_VALUE"""),486)</f>
        <v>486</v>
      </c>
      <c r="G184">
        <f ca="1">IFERROR(__xludf.DUMMYFUNCTION("""COMPUTED_VALUE"""),120)</f>
        <v>120</v>
      </c>
    </row>
    <row r="185" spans="1:7" ht="12.75">
      <c r="A185" t="str">
        <f ca="1">IFERROR(__xludf.DUMMYFUNCTION("""COMPUTED_VALUE"""),"T178")</f>
        <v>T178</v>
      </c>
      <c r="B185" t="str">
        <f ca="1">IFERROR(__xludf.DUMMYFUNCTION("""COMPUTED_VALUE"""),"T180")</f>
        <v>T180</v>
      </c>
      <c r="C185" t="str">
        <f ca="1">IFERROR(__xludf.DUMMYFUNCTION("""COMPUTED_VALUE"""),"Patrick Reed")</f>
        <v>Patrick Reed</v>
      </c>
      <c r="D185">
        <f ca="1">IFERROR(__xludf.DUMMYFUNCTION("""COMPUTED_VALUE"""),8)</f>
        <v>8</v>
      </c>
      <c r="E185">
        <f ca="1">IFERROR(__xludf.DUMMYFUNCTION("""COMPUTED_VALUE"""),4.05)</f>
        <v>4.05</v>
      </c>
      <c r="F185">
        <f ca="1">IFERROR(__xludf.DUMMYFUNCTION("""COMPUTED_VALUE"""),324)</f>
        <v>324</v>
      </c>
      <c r="G185">
        <f ca="1">IFERROR(__xludf.DUMMYFUNCTION("""COMPUTED_VALUE"""),80)</f>
        <v>80</v>
      </c>
    </row>
    <row r="186" spans="1:7" ht="12.75">
      <c r="A186" t="str">
        <f ca="1">IFERROR(__xludf.DUMMYFUNCTION("""COMPUTED_VALUE"""),"T178")</f>
        <v>T178</v>
      </c>
      <c r="B186" t="str">
        <f ca="1">IFERROR(__xludf.DUMMYFUNCTION("""COMPUTED_VALUE"""),"T180")</f>
        <v>T180</v>
      </c>
      <c r="C186" t="str">
        <f ca="1">IFERROR(__xludf.DUMMYFUNCTION("""COMPUTED_VALUE"""),"Andy Zhang")</f>
        <v>Andy Zhang</v>
      </c>
      <c r="D186">
        <f ca="1">IFERROR(__xludf.DUMMYFUNCTION("""COMPUTED_VALUE"""),4)</f>
        <v>4</v>
      </c>
      <c r="E186">
        <f ca="1">IFERROR(__xludf.DUMMYFUNCTION("""COMPUTED_VALUE"""),4.05)</f>
        <v>4.05</v>
      </c>
      <c r="F186">
        <f ca="1">IFERROR(__xludf.DUMMYFUNCTION("""COMPUTED_VALUE"""),162)</f>
        <v>162</v>
      </c>
      <c r="G186">
        <f ca="1">IFERROR(__xludf.DUMMYFUNCTION("""COMPUTED_VALUE"""),40)</f>
        <v>40</v>
      </c>
    </row>
    <row r="187" spans="1:7" ht="12.75">
      <c r="A187" t="str">
        <f ca="1">IFERROR(__xludf.DUMMYFUNCTION("""COMPUTED_VALUE"""),"T178")</f>
        <v>T178</v>
      </c>
      <c r="B187" t="str">
        <f ca="1">IFERROR(__xludf.DUMMYFUNCTION("""COMPUTED_VALUE"""),"T200")</f>
        <v>T200</v>
      </c>
      <c r="C187" t="str">
        <f ca="1">IFERROR(__xludf.DUMMYFUNCTION("""COMPUTED_VALUE"""),"Erik van Rooyen")</f>
        <v>Erik van Rooyen</v>
      </c>
      <c r="D187">
        <f ca="1">IFERROR(__xludf.DUMMYFUNCTION("""COMPUTED_VALUE"""),10)</f>
        <v>10</v>
      </c>
      <c r="E187">
        <f ca="1">IFERROR(__xludf.DUMMYFUNCTION("""COMPUTED_VALUE"""),4.05)</f>
        <v>4.05</v>
      </c>
      <c r="F187">
        <f ca="1">IFERROR(__xludf.DUMMYFUNCTION("""COMPUTED_VALUE"""),437)</f>
        <v>437</v>
      </c>
      <c r="G187">
        <f ca="1">IFERROR(__xludf.DUMMYFUNCTION("""COMPUTED_VALUE"""),108)</f>
        <v>108</v>
      </c>
    </row>
    <row r="188" spans="1:7" ht="12.75">
      <c r="A188" t="str">
        <f ca="1">IFERROR(__xludf.DUMMYFUNCTION("""COMPUTED_VALUE"""),"T178")</f>
        <v>T178</v>
      </c>
      <c r="B188" t="str">
        <f ca="1">IFERROR(__xludf.DUMMYFUNCTION("""COMPUTED_VALUE"""),"T180")</f>
        <v>T180</v>
      </c>
      <c r="C188" t="str">
        <f ca="1">IFERROR(__xludf.DUMMYFUNCTION("""COMPUTED_VALUE"""),"Hanbyeol Kim")</f>
        <v>Hanbyeol Kim</v>
      </c>
      <c r="D188">
        <f ca="1">IFERROR(__xludf.DUMMYFUNCTION("""COMPUTED_VALUE"""),4)</f>
        <v>4</v>
      </c>
      <c r="E188">
        <f ca="1">IFERROR(__xludf.DUMMYFUNCTION("""COMPUTED_VALUE"""),4.05)</f>
        <v>4.05</v>
      </c>
      <c r="F188">
        <f ca="1">IFERROR(__xludf.DUMMYFUNCTION("""COMPUTED_VALUE"""),162)</f>
        <v>162</v>
      </c>
      <c r="G188">
        <f ca="1">IFERROR(__xludf.DUMMYFUNCTION("""COMPUTED_VALUE"""),40)</f>
        <v>40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IFERROR(__xludf.DUMMYFUNCTION("""COMPUTED_VALUE"""),"T191")</f>
        <v>T191</v>
      </c>
      <c r="C189" t="str">
        <f ca="1">IFERROR(__xludf.DUMMYFUNCTION("""COMPUTED_VALUE"""),"Aaron Baddeley")</f>
        <v>Aaron Baddeley</v>
      </c>
      <c r="D189">
        <f ca="1">IFERROR(__xludf.DUMMYFUNCTION("""COMPUTED_VALUE"""),8)</f>
        <v>8</v>
      </c>
      <c r="E189">
        <f ca="1">IFERROR(__xludf.DUMMYFUNCTION("""COMPUTED_VALUE"""),4.06)</f>
        <v>4.0599999999999996</v>
      </c>
      <c r="F189">
        <f ca="1">IFERROR(__xludf.DUMMYFUNCTION("""COMPUTED_VALUE"""),333)</f>
        <v>333</v>
      </c>
      <c r="G189">
        <f ca="1">IFERROR(__xludf.DUMMYFUNCTION("""COMPUTED_VALUE"""),82)</f>
        <v>82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IFERROR(__xludf.DUMMYFUNCTION("""COMPUTED_VALUE"""),"T191")</f>
        <v>T191</v>
      </c>
      <c r="C190" t="str">
        <f ca="1">IFERROR(__xludf.DUMMYFUNCTION("""COMPUTED_VALUE"""),"K.J. Choi")</f>
        <v>K.J. Choi</v>
      </c>
      <c r="D190">
        <f ca="1">IFERROR(__xludf.DUMMYFUNCTION("""COMPUTED_VALUE"""),6)</f>
        <v>6</v>
      </c>
      <c r="E190">
        <f ca="1">IFERROR(__xludf.DUMMYFUNCTION("""COMPUTED_VALUE"""),4.06)</f>
        <v>4.0599999999999996</v>
      </c>
      <c r="F190">
        <f ca="1">IFERROR(__xludf.DUMMYFUNCTION("""COMPUTED_VALUE"""),252)</f>
        <v>252</v>
      </c>
      <c r="G190">
        <f ca="1">IFERROR(__xludf.DUMMYFUNCTION("""COMPUTED_VALUE"""),62)</f>
        <v>62</v>
      </c>
    </row>
    <row r="191" spans="1:7" ht="12.75">
      <c r="A191" t="str">
        <f ca="1">IFERROR(__xludf.DUMMYFUNCTION("""COMPUTED_VALUE"""),"T188")</f>
        <v>T188</v>
      </c>
      <c r="B191" t="str">
        <f ca="1">IFERROR(__xludf.DUMMYFUNCTION("""COMPUTED_VALUE"""),"T191")</f>
        <v>T191</v>
      </c>
      <c r="C191" t="str">
        <f ca="1">IFERROR(__xludf.DUMMYFUNCTION("""COMPUTED_VALUE"""),"Robert Garrigus")</f>
        <v>Robert Garrigus</v>
      </c>
      <c r="D191">
        <f ca="1">IFERROR(__xludf.DUMMYFUNCTION("""COMPUTED_VALUE"""),3)</f>
        <v>3</v>
      </c>
      <c r="E191">
        <f ca="1">IFERROR(__xludf.DUMMYFUNCTION("""COMPUTED_VALUE"""),4.06)</f>
        <v>4.0599999999999996</v>
      </c>
      <c r="F191">
        <f ca="1">IFERROR(__xludf.DUMMYFUNCTION("""COMPUTED_VALUE"""),130)</f>
        <v>130</v>
      </c>
      <c r="G191">
        <f ca="1">IFERROR(__xludf.DUMMYFUNCTION("""COMPUTED_VALUE"""),32)</f>
        <v>32</v>
      </c>
    </row>
    <row r="192" spans="1:7" ht="12.75">
      <c r="A192" t="str">
        <f ca="1">IFERROR(__xludf.DUMMYFUNCTION("""COMPUTED_VALUE"""),"T188")</f>
        <v>T188</v>
      </c>
      <c r="B192" t="str">
        <f ca="1">IFERROR(__xludf.DUMMYFUNCTION("""COMPUTED_VALUE"""),"T180")</f>
        <v>T180</v>
      </c>
      <c r="C192" t="str">
        <f ca="1">IFERROR(__xludf.DUMMYFUNCTION("""COMPUTED_VALUE"""),"Kyoung-Hoon Lee")</f>
        <v>Kyoung-Hoon Lee</v>
      </c>
      <c r="D192">
        <f ca="1">IFERROR(__xludf.DUMMYFUNCTION("""COMPUTED_VALUE"""),20)</f>
        <v>20</v>
      </c>
      <c r="E192">
        <f ca="1">IFERROR(__xludf.DUMMYFUNCTION("""COMPUTED_VALUE"""),4.06)</f>
        <v>4.0599999999999996</v>
      </c>
      <c r="F192">
        <f ca="1">IFERROR(__xludf.DUMMYFUNCTION("""COMPUTED_VALUE"""),836)</f>
        <v>836</v>
      </c>
      <c r="G192">
        <f ca="1">IFERROR(__xludf.DUMMYFUNCTION("""COMPUTED_VALUE"""),206)</f>
        <v>206</v>
      </c>
    </row>
    <row r="193" spans="1:7" ht="12.75">
      <c r="A193" t="str">
        <f ca="1">IFERROR(__xludf.DUMMYFUNCTION("""COMPUTED_VALUE"""),"T188")</f>
        <v>T188</v>
      </c>
      <c r="B193" t="str">
        <f ca="1">IFERROR(__xludf.DUMMYFUNCTION("""COMPUTED_VALUE"""),"T191")</f>
        <v>T191</v>
      </c>
      <c r="C193" t="str">
        <f ca="1">IFERROR(__xludf.DUMMYFUNCTION("""COMPUTED_VALUE"""),"Byeong Hun An")</f>
        <v>Byeong Hun An</v>
      </c>
      <c r="D193">
        <f ca="1">IFERROR(__xludf.DUMMYFUNCTION("""COMPUTED_VALUE"""),14)</f>
        <v>14</v>
      </c>
      <c r="E193">
        <f ca="1">IFERROR(__xludf.DUMMYFUNCTION("""COMPUTED_VALUE"""),4.06)</f>
        <v>4.0599999999999996</v>
      </c>
      <c r="F193">
        <f ca="1">IFERROR(__xludf.DUMMYFUNCTION("""COMPUTED_VALUE"""),560)</f>
        <v>560</v>
      </c>
      <c r="G193">
        <f ca="1">IFERROR(__xludf.DUMMYFUNCTION("""COMPUTED_VALUE"""),138)</f>
        <v>138</v>
      </c>
    </row>
    <row r="194" spans="1:7" ht="12.75">
      <c r="A194" t="str">
        <f ca="1">IFERROR(__xludf.DUMMYFUNCTION("""COMPUTED_VALUE"""),"T188")</f>
        <v>T188</v>
      </c>
      <c r="B194" t="str">
        <f ca="1">IFERROR(__xludf.DUMMYFUNCTION("""COMPUTED_VALUE"""),"T156")</f>
        <v>T156</v>
      </c>
      <c r="C194" t="str">
        <f ca="1">IFERROR(__xludf.DUMMYFUNCTION("""COMPUTED_VALUE"""),"Robby Shelton")</f>
        <v>Robby Shelton</v>
      </c>
      <c r="D194">
        <f ca="1">IFERROR(__xludf.DUMMYFUNCTION("""COMPUTED_VALUE"""),14)</f>
        <v>14</v>
      </c>
      <c r="E194">
        <f ca="1">IFERROR(__xludf.DUMMYFUNCTION("""COMPUTED_VALUE"""),4.06)</f>
        <v>4.0599999999999996</v>
      </c>
      <c r="F194">
        <f ca="1">IFERROR(__xludf.DUMMYFUNCTION("""COMPUTED_VALUE"""),584)</f>
        <v>584</v>
      </c>
      <c r="G194">
        <f ca="1">IFERROR(__xludf.DUMMYFUNCTION("""COMPUTED_VALUE"""),144)</f>
        <v>144</v>
      </c>
    </row>
    <row r="195" spans="1:7" ht="12.75">
      <c r="A195" t="str">
        <f ca="1">IFERROR(__xludf.DUMMYFUNCTION("""COMPUTED_VALUE"""),"T188")</f>
        <v>T188</v>
      </c>
      <c r="B195" t="str">
        <f ca="1">IFERROR(__xludf.DUMMYFUNCTION("""COMPUTED_VALUE"""),"T191")</f>
        <v>T191</v>
      </c>
      <c r="C195" t="str">
        <f ca="1">IFERROR(__xludf.DUMMYFUNCTION("""COMPUTED_VALUE"""),"Naoki Sekito")</f>
        <v>Naoki Sekito</v>
      </c>
      <c r="D195">
        <f ca="1">IFERROR(__xludf.DUMMYFUNCTION("""COMPUTED_VALUE"""),4)</f>
        <v>4</v>
      </c>
      <c r="E195">
        <f ca="1">IFERROR(__xludf.DUMMYFUNCTION("""COMPUTED_VALUE"""),4.06)</f>
        <v>4.0599999999999996</v>
      </c>
      <c r="F195">
        <f ca="1">IFERROR(__xludf.DUMMYFUNCTION("""COMPUTED_VALUE"""),130)</f>
        <v>130</v>
      </c>
      <c r="G195">
        <f ca="1">IFERROR(__xludf.DUMMYFUNCTION("""COMPUTED_VALUE"""),32)</f>
        <v>32</v>
      </c>
    </row>
    <row r="196" spans="1:7" ht="12.75">
      <c r="A196" t="str">
        <f ca="1">IFERROR(__xludf.DUMMYFUNCTION("""COMPUTED_VALUE"""),"T188")</f>
        <v>T188</v>
      </c>
      <c r="B196" t="str">
        <f ca="1">IFERROR(__xludf.DUMMYFUNCTION("""COMPUTED_VALUE"""),"T191")</f>
        <v>T191</v>
      </c>
      <c r="C196" t="str">
        <f ca="1">IFERROR(__xludf.DUMMYFUNCTION("""COMPUTED_VALUE"""),"Collin Morikawa")</f>
        <v>Collin Morikawa</v>
      </c>
      <c r="D196">
        <f ca="1">IFERROR(__xludf.DUMMYFUNCTION("""COMPUTED_VALUE"""),12)</f>
        <v>12</v>
      </c>
      <c r="E196">
        <f ca="1">IFERROR(__xludf.DUMMYFUNCTION("""COMPUTED_VALUE"""),4.06)</f>
        <v>4.0599999999999996</v>
      </c>
      <c r="F196">
        <f ca="1">IFERROR(__xludf.DUMMYFUNCTION("""COMPUTED_VALUE"""),479)</f>
        <v>479</v>
      </c>
      <c r="G196">
        <f ca="1">IFERROR(__xludf.DUMMYFUNCTION("""COMPUTED_VALUE"""),118)</f>
        <v>118</v>
      </c>
    </row>
    <row r="197" spans="1:7" ht="12.75">
      <c r="A197" t="str">
        <f ca="1">IFERROR(__xludf.DUMMYFUNCTION("""COMPUTED_VALUE"""),"T196")</f>
        <v>T196</v>
      </c>
      <c r="B197" t="str">
        <f ca="1">IFERROR(__xludf.DUMMYFUNCTION("""COMPUTED_VALUE"""),"T208")</f>
        <v>T208</v>
      </c>
      <c r="C197" t="str">
        <f ca="1">IFERROR(__xludf.DUMMYFUNCTION("""COMPUTED_VALUE"""),"Phil Mickelson")</f>
        <v>Phil Mickelson</v>
      </c>
      <c r="D197">
        <f ca="1">IFERROR(__xludf.DUMMYFUNCTION("""COMPUTED_VALUE"""),12)</f>
        <v>12</v>
      </c>
      <c r="E197">
        <f ca="1">IFERROR(__xludf.DUMMYFUNCTION("""COMPUTED_VALUE"""),4.07)</f>
        <v>4.07</v>
      </c>
      <c r="F197">
        <f ca="1">IFERROR(__xludf.DUMMYFUNCTION("""COMPUTED_VALUE"""),472)</f>
        <v>472</v>
      </c>
      <c r="G197">
        <f ca="1">IFERROR(__xludf.DUMMYFUNCTION("""COMPUTED_VALUE"""),116)</f>
        <v>116</v>
      </c>
    </row>
    <row r="198" spans="1:7" ht="12.75">
      <c r="A198" t="str">
        <f ca="1">IFERROR(__xludf.DUMMYFUNCTION("""COMPUTED_VALUE"""),"T196")</f>
        <v>T196</v>
      </c>
      <c r="B198" t="str">
        <f ca="1">IFERROR(__xludf.DUMMYFUNCTION("""COMPUTED_VALUE"""),"T200")</f>
        <v>T200</v>
      </c>
      <c r="C198" t="str">
        <f ca="1">IFERROR(__xludf.DUMMYFUNCTION("""COMPUTED_VALUE"""),"John Senden")</f>
        <v>John Senden</v>
      </c>
      <c r="D198">
        <f ca="1">IFERROR(__xludf.DUMMYFUNCTION("""COMPUTED_VALUE"""),8)</f>
        <v>8</v>
      </c>
      <c r="E198">
        <f ca="1">IFERROR(__xludf.DUMMYFUNCTION("""COMPUTED_VALUE"""),4.07)</f>
        <v>4.07</v>
      </c>
      <c r="F198">
        <f ca="1">IFERROR(__xludf.DUMMYFUNCTION("""COMPUTED_VALUE"""),342)</f>
        <v>342</v>
      </c>
      <c r="G198">
        <f ca="1">IFERROR(__xludf.DUMMYFUNCTION("""COMPUTED_VALUE"""),84)</f>
        <v>84</v>
      </c>
    </row>
    <row r="199" spans="1:7" ht="12.75">
      <c r="A199" t="str">
        <f ca="1">IFERROR(__xludf.DUMMYFUNCTION("""COMPUTED_VALUE"""),"T196")</f>
        <v>T196</v>
      </c>
      <c r="B199" t="str">
        <f ca="1">IFERROR(__xludf.DUMMYFUNCTION("""COMPUTED_VALUE"""),"T134")</f>
        <v>T134</v>
      </c>
      <c r="C199" t="str">
        <f ca="1">IFERROR(__xludf.DUMMYFUNCTION("""COMPUTED_VALUE"""),"Padraig Harrington")</f>
        <v>Padraig Harrington</v>
      </c>
      <c r="D199">
        <f ca="1">IFERROR(__xludf.DUMMYFUNCTION("""COMPUTED_VALUE"""),8)</f>
        <v>8</v>
      </c>
      <c r="E199">
        <f ca="1">IFERROR(__xludf.DUMMYFUNCTION("""COMPUTED_VALUE"""),4.07)</f>
        <v>4.07</v>
      </c>
      <c r="F199">
        <f ca="1">IFERROR(__xludf.DUMMYFUNCTION("""COMPUTED_VALUE"""),342)</f>
        <v>342</v>
      </c>
      <c r="G199">
        <f ca="1">IFERROR(__xludf.DUMMYFUNCTION("""COMPUTED_VALUE"""),84)</f>
        <v>84</v>
      </c>
    </row>
    <row r="200" spans="1:7" ht="12.75">
      <c r="A200" t="str">
        <f ca="1">IFERROR(__xludf.DUMMYFUNCTION("""COMPUTED_VALUE"""),"T196")</f>
        <v>T196</v>
      </c>
      <c r="B200" t="str">
        <f ca="1">IFERROR(__xludf.DUMMYFUNCTION("""COMPUTED_VALUE"""),"T156")</f>
        <v>T156</v>
      </c>
      <c r="C200" t="str">
        <f ca="1">IFERROR(__xludf.DUMMYFUNCTION("""COMPUTED_VALUE"""),"Hunter Mahan")</f>
        <v>Hunter Mahan</v>
      </c>
      <c r="D200">
        <f ca="1">IFERROR(__xludf.DUMMYFUNCTION("""COMPUTED_VALUE"""),14)</f>
        <v>14</v>
      </c>
      <c r="E200">
        <f ca="1">IFERROR(__xludf.DUMMYFUNCTION("""COMPUTED_VALUE"""),4.07)</f>
        <v>4.07</v>
      </c>
      <c r="F200">
        <f ca="1">IFERROR(__xludf.DUMMYFUNCTION("""COMPUTED_VALUE"""),602)</f>
        <v>602</v>
      </c>
      <c r="G200">
        <f ca="1">IFERROR(__xludf.DUMMYFUNCTION("""COMPUTED_VALUE"""),148)</f>
        <v>148</v>
      </c>
    </row>
    <row r="201" spans="1:7" ht="12.75">
      <c r="A201" t="str">
        <f ca="1">IFERROR(__xludf.DUMMYFUNCTION("""COMPUTED_VALUE"""),"T196")</f>
        <v>T196</v>
      </c>
      <c r="B201" t="str">
        <f ca="1">IFERROR(__xludf.DUMMYFUNCTION("""COMPUTED_VALUE"""),"T191")</f>
        <v>T191</v>
      </c>
      <c r="C201" t="str">
        <f ca="1">IFERROR(__xludf.DUMMYFUNCTION("""COMPUTED_VALUE"""),"Branden Grace")</f>
        <v>Branden Grace</v>
      </c>
      <c r="D201">
        <f ca="1">IFERROR(__xludf.DUMMYFUNCTION("""COMPUTED_VALUE"""),16)</f>
        <v>16</v>
      </c>
      <c r="E201">
        <f ca="1">IFERROR(__xludf.DUMMYFUNCTION("""COMPUTED_VALUE"""),4.07)</f>
        <v>4.07</v>
      </c>
      <c r="F201">
        <f ca="1">IFERROR(__xludf.DUMMYFUNCTION("""COMPUTED_VALUE"""),684)</f>
        <v>684</v>
      </c>
      <c r="G201">
        <f ca="1">IFERROR(__xludf.DUMMYFUNCTION("""COMPUTED_VALUE"""),168)</f>
        <v>168</v>
      </c>
    </row>
    <row r="202" spans="1:7" ht="12.75">
      <c r="A202" t="str">
        <f ca="1">IFERROR(__xludf.DUMMYFUNCTION("""COMPUTED_VALUE"""),"T196")</f>
        <v>T196</v>
      </c>
      <c r="B202" t="str">
        <f ca="1">IFERROR(__xludf.DUMMYFUNCTION("""COMPUTED_VALUE"""),"T200")</f>
        <v>T200</v>
      </c>
      <c r="C202" t="str">
        <f ca="1">IFERROR(__xludf.DUMMYFUNCTION("""COMPUTED_VALUE"""),"Rhein Gibson")</f>
        <v>Rhein Gibson</v>
      </c>
      <c r="D202">
        <f ca="1">IFERROR(__xludf.DUMMYFUNCTION("""COMPUTED_VALUE"""),10)</f>
        <v>10</v>
      </c>
      <c r="E202">
        <f ca="1">IFERROR(__xludf.DUMMYFUNCTION("""COMPUTED_VALUE"""),4.07)</f>
        <v>4.07</v>
      </c>
      <c r="F202">
        <f ca="1">IFERROR(__xludf.DUMMYFUNCTION("""COMPUTED_VALUE"""),415)</f>
        <v>415</v>
      </c>
      <c r="G202">
        <f ca="1">IFERROR(__xludf.DUMMYFUNCTION("""COMPUTED_VALUE"""),102)</f>
        <v>102</v>
      </c>
    </row>
    <row r="203" spans="1:7" ht="12.75">
      <c r="A203" t="str">
        <f ca="1">IFERROR(__xludf.DUMMYFUNCTION("""COMPUTED_VALUE"""),"T196")</f>
        <v>T196</v>
      </c>
      <c r="B203" t="str">
        <f ca="1">IFERROR(__xludf.DUMMYFUNCTION("""COMPUTED_VALUE"""),"T208")</f>
        <v>T208</v>
      </c>
      <c r="C203" t="str">
        <f ca="1">IFERROR(__xludf.DUMMYFUNCTION("""COMPUTED_VALUE"""),"Mackenzie Hughes")</f>
        <v>Mackenzie Hughes</v>
      </c>
      <c r="D203">
        <f ca="1">IFERROR(__xludf.DUMMYFUNCTION("""COMPUTED_VALUE"""),18)</f>
        <v>18</v>
      </c>
      <c r="E203">
        <f ca="1">IFERROR(__xludf.DUMMYFUNCTION("""COMPUTED_VALUE"""),4.07)</f>
        <v>4.07</v>
      </c>
      <c r="F203">
        <f ca="1">IFERROR(__xludf.DUMMYFUNCTION("""COMPUTED_VALUE"""),717)</f>
        <v>717</v>
      </c>
      <c r="G203">
        <f ca="1">IFERROR(__xludf.DUMMYFUNCTION("""COMPUTED_VALUE"""),176)</f>
        <v>176</v>
      </c>
    </row>
    <row r="204" spans="1:7" ht="12.75">
      <c r="A204" t="str">
        <f ca="1">IFERROR(__xludf.DUMMYFUNCTION("""COMPUTED_VALUE"""),"T196")</f>
        <v>T196</v>
      </c>
      <c r="B204" t="str">
        <f ca="1">IFERROR(__xludf.DUMMYFUNCTION("""COMPUTED_VALUE"""),"T180")</f>
        <v>T180</v>
      </c>
      <c r="C204" t="str">
        <f ca="1">IFERROR(__xludf.DUMMYFUNCTION("""COMPUTED_VALUE"""),"Tyler Duncan")</f>
        <v>Tyler Duncan</v>
      </c>
      <c r="D204">
        <f ca="1">IFERROR(__xludf.DUMMYFUNCTION("""COMPUTED_VALUE"""),18)</f>
        <v>18</v>
      </c>
      <c r="E204">
        <f ca="1">IFERROR(__xludf.DUMMYFUNCTION("""COMPUTED_VALUE"""),4.07)</f>
        <v>4.07</v>
      </c>
      <c r="F204">
        <f ca="1">IFERROR(__xludf.DUMMYFUNCTION("""COMPUTED_VALUE"""),741)</f>
        <v>741</v>
      </c>
      <c r="G204">
        <f ca="1">IFERROR(__xludf.DUMMYFUNCTION("""COMPUTED_VALUE"""),182)</f>
        <v>182</v>
      </c>
    </row>
    <row r="205" spans="1:7" ht="12.75">
      <c r="A205" t="str">
        <f ca="1">IFERROR(__xludf.DUMMYFUNCTION("""COMPUTED_VALUE"""),"T204")</f>
        <v>T204</v>
      </c>
      <c r="B205" t="str">
        <f ca="1">IFERROR(__xludf.DUMMYFUNCTION("""COMPUTED_VALUE"""),"")</f>
        <v/>
      </c>
      <c r="C205" t="str">
        <f ca="1">IFERROR(__xludf.DUMMYFUNCTION("""COMPUTED_VALUE"""),"Greg Chalmers")</f>
        <v>Greg Chalmers</v>
      </c>
      <c r="D205">
        <f ca="1">IFERROR(__xludf.DUMMYFUNCTION("""COMPUTED_VALUE"""),6)</f>
        <v>6</v>
      </c>
      <c r="E205">
        <f ca="1">IFERROR(__xludf.DUMMYFUNCTION("""COMPUTED_VALUE"""),4.08)</f>
        <v>4.08</v>
      </c>
      <c r="F205">
        <f ca="1">IFERROR(__xludf.DUMMYFUNCTION("""COMPUTED_VALUE"""),245)</f>
        <v>245</v>
      </c>
      <c r="G205">
        <f ca="1">IFERROR(__xludf.DUMMYFUNCTION("""COMPUTED_VALUE"""),60)</f>
        <v>60</v>
      </c>
    </row>
    <row r="206" spans="1:7" ht="12.75">
      <c r="A206" t="str">
        <f ca="1">IFERROR(__xludf.DUMMYFUNCTION("""COMPUTED_VALUE"""),"T204")</f>
        <v>T204</v>
      </c>
      <c r="B206" t="str">
        <f ca="1">IFERROR(__xludf.DUMMYFUNCTION("""COMPUTED_VALUE"""),"T200")</f>
        <v>T200</v>
      </c>
      <c r="C206" t="str">
        <f ca="1">IFERROR(__xludf.DUMMYFUNCTION("""COMPUTED_VALUE"""),"Bo Van Pelt")</f>
        <v>Bo Van Pelt</v>
      </c>
      <c r="D206">
        <f ca="1">IFERROR(__xludf.DUMMYFUNCTION("""COMPUTED_VALUE"""),10)</f>
        <v>10</v>
      </c>
      <c r="E206">
        <f ca="1">IFERROR(__xludf.DUMMYFUNCTION("""COMPUTED_VALUE"""),4.08)</f>
        <v>4.08</v>
      </c>
      <c r="F206">
        <f ca="1">IFERROR(__xludf.DUMMYFUNCTION("""COMPUTED_VALUE"""),424)</f>
        <v>424</v>
      </c>
      <c r="G206">
        <f ca="1">IFERROR(__xludf.DUMMYFUNCTION("""COMPUTED_VALUE"""),104)</f>
        <v>104</v>
      </c>
    </row>
    <row r="207" spans="1:7" ht="12.75">
      <c r="A207" t="str">
        <f ca="1">IFERROR(__xludf.DUMMYFUNCTION("""COMPUTED_VALUE"""),"T204")</f>
        <v>T204</v>
      </c>
      <c r="B207" t="str">
        <f ca="1">IFERROR(__xludf.DUMMYFUNCTION("""COMPUTED_VALUE"""),"T208")</f>
        <v>T208</v>
      </c>
      <c r="C207" t="str">
        <f ca="1">IFERROR(__xludf.DUMMYFUNCTION("""COMPUTED_VALUE"""),"Paul Casey")</f>
        <v>Paul Casey</v>
      </c>
      <c r="D207">
        <f ca="1">IFERROR(__xludf.DUMMYFUNCTION("""COMPUTED_VALUE"""),14)</f>
        <v>14</v>
      </c>
      <c r="E207">
        <f ca="1">IFERROR(__xludf.DUMMYFUNCTION("""COMPUTED_VALUE"""),4.08)</f>
        <v>4.08</v>
      </c>
      <c r="F207">
        <f ca="1">IFERROR(__xludf.DUMMYFUNCTION("""COMPUTED_VALUE"""),580)</f>
        <v>580</v>
      </c>
      <c r="G207">
        <f ca="1">IFERROR(__xludf.DUMMYFUNCTION("""COMPUTED_VALUE"""),142)</f>
        <v>142</v>
      </c>
    </row>
    <row r="208" spans="1:7" ht="12.75">
      <c r="A208" t="str">
        <f ca="1">IFERROR(__xludf.DUMMYFUNCTION("""COMPUTED_VALUE"""),"T204")</f>
        <v>T204</v>
      </c>
      <c r="B208" t="str">
        <f ca="1">IFERROR(__xludf.DUMMYFUNCTION("""COMPUTED_VALUE"""),"T208")</f>
        <v>T208</v>
      </c>
      <c r="C208" t="str">
        <f ca="1">IFERROR(__xludf.DUMMYFUNCTION("""COMPUTED_VALUE"""),"Rafa Cabrera Bello")</f>
        <v>Rafa Cabrera Bello</v>
      </c>
      <c r="D208">
        <f ca="1">IFERROR(__xludf.DUMMYFUNCTION("""COMPUTED_VALUE"""),14)</f>
        <v>14</v>
      </c>
      <c r="E208">
        <f ca="1">IFERROR(__xludf.DUMMYFUNCTION("""COMPUTED_VALUE"""),4.08)</f>
        <v>4.08</v>
      </c>
      <c r="F208">
        <f ca="1">IFERROR(__xludf.DUMMYFUNCTION("""COMPUTED_VALUE"""),620)</f>
        <v>620</v>
      </c>
      <c r="G208">
        <f ca="1">IFERROR(__xludf.DUMMYFUNCTION("""COMPUTED_VALUE"""),152)</f>
        <v>152</v>
      </c>
    </row>
    <row r="209" spans="1:7" ht="12.75">
      <c r="A209" t="str">
        <f ca="1">IFERROR(__xludf.DUMMYFUNCTION("""COMPUTED_VALUE"""),"T204")</f>
        <v>T204</v>
      </c>
      <c r="B209" t="str">
        <f ca="1">IFERROR(__xludf.DUMMYFUNCTION("""COMPUTED_VALUE"""),"T208")</f>
        <v>T208</v>
      </c>
      <c r="C209" t="str">
        <f ca="1">IFERROR(__xludf.DUMMYFUNCTION("""COMPUTED_VALUE"""),"Steve Lewton")</f>
        <v>Steve Lewton</v>
      </c>
      <c r="D209">
        <f ca="1">IFERROR(__xludf.DUMMYFUNCTION("""COMPUTED_VALUE"""),4)</f>
        <v>4</v>
      </c>
      <c r="E209">
        <f ca="1">IFERROR(__xludf.DUMMYFUNCTION("""COMPUTED_VALUE"""),4.08)</f>
        <v>4.08</v>
      </c>
      <c r="F209">
        <f ca="1">IFERROR(__xludf.DUMMYFUNCTION("""COMPUTED_VALUE"""),163)</f>
        <v>163</v>
      </c>
      <c r="G209">
        <f ca="1">IFERROR(__xludf.DUMMYFUNCTION("""COMPUTED_VALUE"""),40)</f>
        <v>40</v>
      </c>
    </row>
    <row r="210" spans="1:7" ht="12.75">
      <c r="A210" t="str">
        <f ca="1">IFERROR(__xludf.DUMMYFUNCTION("""COMPUTED_VALUE"""),"T204")</f>
        <v>T204</v>
      </c>
      <c r="B210" t="str">
        <f ca="1">IFERROR(__xludf.DUMMYFUNCTION("""COMPUTED_VALUE"""),"T208")</f>
        <v>T208</v>
      </c>
      <c r="C210" t="str">
        <f ca="1">IFERROR(__xludf.DUMMYFUNCTION("""COMPUTED_VALUE"""),"Ben Martin")</f>
        <v>Ben Martin</v>
      </c>
      <c r="D210">
        <f ca="1">IFERROR(__xludf.DUMMYFUNCTION("""COMPUTED_VALUE"""),6)</f>
        <v>6</v>
      </c>
      <c r="E210">
        <f ca="1">IFERROR(__xludf.DUMMYFUNCTION("""COMPUTED_VALUE"""),4.08)</f>
        <v>4.08</v>
      </c>
      <c r="F210">
        <f ca="1">IFERROR(__xludf.DUMMYFUNCTION("""COMPUTED_VALUE"""),253)</f>
        <v>253</v>
      </c>
      <c r="G210">
        <f ca="1">IFERROR(__xludf.DUMMYFUNCTION("""COMPUTED_VALUE"""),62)</f>
        <v>62</v>
      </c>
    </row>
    <row r="211" spans="1:7" ht="12.75">
      <c r="A211" t="str">
        <f ca="1">IFERROR(__xludf.DUMMYFUNCTION("""COMPUTED_VALUE"""),"T204")</f>
        <v>T204</v>
      </c>
      <c r="B211" t="str">
        <f ca="1">IFERROR(__xludf.DUMMYFUNCTION("""COMPUTED_VALUE"""),"T208")</f>
        <v>T208</v>
      </c>
      <c r="C211" t="str">
        <f ca="1">IFERROR(__xludf.DUMMYFUNCTION("""COMPUTED_VALUE"""),"Richy Werenski")</f>
        <v>Richy Werenski</v>
      </c>
      <c r="D211">
        <f ca="1">IFERROR(__xludf.DUMMYFUNCTION("""COMPUTED_VALUE"""),16)</f>
        <v>16</v>
      </c>
      <c r="E211">
        <f ca="1">IFERROR(__xludf.DUMMYFUNCTION("""COMPUTED_VALUE"""),4.08)</f>
        <v>4.08</v>
      </c>
      <c r="F211">
        <f ca="1">IFERROR(__xludf.DUMMYFUNCTION("""COMPUTED_VALUE"""),644)</f>
        <v>644</v>
      </c>
      <c r="G211">
        <f ca="1">IFERROR(__xludf.DUMMYFUNCTION("""COMPUTED_VALUE"""),158)</f>
        <v>158</v>
      </c>
    </row>
    <row r="212" spans="1:7" ht="12.75">
      <c r="A212" t="str">
        <f ca="1">IFERROR(__xludf.DUMMYFUNCTION("""COMPUTED_VALUE"""),"T204")</f>
        <v>T204</v>
      </c>
      <c r="B212" t="str">
        <f ca="1">IFERROR(__xludf.DUMMYFUNCTION("""COMPUTED_VALUE"""),"T208")</f>
        <v>T208</v>
      </c>
      <c r="C212" t="str">
        <f ca="1">IFERROR(__xludf.DUMMYFUNCTION("""COMPUTED_VALUE"""),"Cameron Champ")</f>
        <v>Cameron Champ</v>
      </c>
      <c r="D212">
        <f ca="1">IFERROR(__xludf.DUMMYFUNCTION("""COMPUTED_VALUE"""),12)</f>
        <v>12</v>
      </c>
      <c r="E212">
        <f ca="1">IFERROR(__xludf.DUMMYFUNCTION("""COMPUTED_VALUE"""),4.08)</f>
        <v>4.08</v>
      </c>
      <c r="F212">
        <f ca="1">IFERROR(__xludf.DUMMYFUNCTION("""COMPUTED_VALUE"""),481)</f>
        <v>481</v>
      </c>
      <c r="G212">
        <f ca="1">IFERROR(__xludf.DUMMYFUNCTION("""COMPUTED_VALUE"""),118)</f>
        <v>118</v>
      </c>
    </row>
    <row r="213" spans="1:7" ht="12.75">
      <c r="A213" t="str">
        <f ca="1">IFERROR(__xludf.DUMMYFUNCTION("""COMPUTED_VALUE"""),"T212")</f>
        <v>T212</v>
      </c>
      <c r="B213" t="str">
        <f ca="1">IFERROR(__xludf.DUMMYFUNCTION("""COMPUTED_VALUE"""),"T218")</f>
        <v>T218</v>
      </c>
      <c r="C213" t="str">
        <f ca="1">IFERROR(__xludf.DUMMYFUNCTION("""COMPUTED_VALUE"""),"Henrik Stenson")</f>
        <v>Henrik Stenson</v>
      </c>
      <c r="D213">
        <f ca="1">IFERROR(__xludf.DUMMYFUNCTION("""COMPUTED_VALUE"""),11)</f>
        <v>11</v>
      </c>
      <c r="E213">
        <f ca="1">IFERROR(__xludf.DUMMYFUNCTION("""COMPUTED_VALUE"""),4.09)</f>
        <v>4.09</v>
      </c>
      <c r="F213">
        <f ca="1">IFERROR(__xludf.DUMMYFUNCTION("""COMPUTED_VALUE"""),470)</f>
        <v>470</v>
      </c>
      <c r="G213">
        <f ca="1">IFERROR(__xludf.DUMMYFUNCTION("""COMPUTED_VALUE"""),115)</f>
        <v>115</v>
      </c>
    </row>
    <row r="214" spans="1:7" ht="12.75">
      <c r="A214" t="str">
        <f ca="1">IFERROR(__xludf.DUMMYFUNCTION("""COMPUTED_VALUE"""),"T212")</f>
        <v>T212</v>
      </c>
      <c r="B214" t="str">
        <f ca="1">IFERROR(__xludf.DUMMYFUNCTION("""COMPUTED_VALUE"""),"T218")</f>
        <v>T218</v>
      </c>
      <c r="C214" t="str">
        <f ca="1">IFERROR(__xludf.DUMMYFUNCTION("""COMPUTED_VALUE"""),"Jim Herman")</f>
        <v>Jim Herman</v>
      </c>
      <c r="D214">
        <f ca="1">IFERROR(__xludf.DUMMYFUNCTION("""COMPUTED_VALUE"""),12)</f>
        <v>12</v>
      </c>
      <c r="E214">
        <f ca="1">IFERROR(__xludf.DUMMYFUNCTION("""COMPUTED_VALUE"""),4.09)</f>
        <v>4.09</v>
      </c>
      <c r="F214">
        <f ca="1">IFERROR(__xludf.DUMMYFUNCTION("""COMPUTED_VALUE"""),474)</f>
        <v>474</v>
      </c>
      <c r="G214">
        <f ca="1">IFERROR(__xludf.DUMMYFUNCTION("""COMPUTED_VALUE"""),116)</f>
        <v>116</v>
      </c>
    </row>
    <row r="215" spans="1:7" ht="12.75">
      <c r="A215" t="str">
        <f ca="1">IFERROR(__xludf.DUMMYFUNCTION("""COMPUTED_VALUE"""),"T212")</f>
        <v>T212</v>
      </c>
      <c r="B215" t="str">
        <f ca="1">IFERROR(__xludf.DUMMYFUNCTION("""COMPUTED_VALUE"""),"T218")</f>
        <v>T218</v>
      </c>
      <c r="C215" t="str">
        <f ca="1">IFERROR(__xludf.DUMMYFUNCTION("""COMPUTED_VALUE"""),"Matthew Borchert")</f>
        <v>Matthew Borchert</v>
      </c>
      <c r="D215">
        <f ca="1">IFERROR(__xludf.DUMMYFUNCTION("""COMPUTED_VALUE"""),4)</f>
        <v>4</v>
      </c>
      <c r="E215">
        <f ca="1">IFERROR(__xludf.DUMMYFUNCTION("""COMPUTED_VALUE"""),4.09)</f>
        <v>4.09</v>
      </c>
      <c r="F215">
        <f ca="1">IFERROR(__xludf.DUMMYFUNCTION("""COMPUTED_VALUE"""),180)</f>
        <v>180</v>
      </c>
      <c r="G215">
        <f ca="1">IFERROR(__xludf.DUMMYFUNCTION("""COMPUTED_VALUE"""),44)</f>
        <v>44</v>
      </c>
    </row>
    <row r="216" spans="1:7" ht="12.75">
      <c r="A216" t="str">
        <f ca="1">IFERROR(__xludf.DUMMYFUNCTION("""COMPUTED_VALUE"""),"T212")</f>
        <v>T212</v>
      </c>
      <c r="B216" t="str">
        <f ca="1">IFERROR(__xludf.DUMMYFUNCTION("""COMPUTED_VALUE"""),"T218")</f>
        <v>T218</v>
      </c>
      <c r="C216" t="str">
        <f ca="1">IFERROR(__xludf.DUMMYFUNCTION("""COMPUTED_VALUE"""),"Troy Merritt")</f>
        <v>Troy Merritt</v>
      </c>
      <c r="D216">
        <f ca="1">IFERROR(__xludf.DUMMYFUNCTION("""COMPUTED_VALUE"""),20)</f>
        <v>20</v>
      </c>
      <c r="E216">
        <f ca="1">IFERROR(__xludf.DUMMYFUNCTION("""COMPUTED_VALUE"""),4.09)</f>
        <v>4.09</v>
      </c>
      <c r="F216">
        <f ca="1">IFERROR(__xludf.DUMMYFUNCTION("""COMPUTED_VALUE"""),883)</f>
        <v>883</v>
      </c>
      <c r="G216">
        <f ca="1">IFERROR(__xludf.DUMMYFUNCTION("""COMPUTED_VALUE"""),216)</f>
        <v>216</v>
      </c>
    </row>
    <row r="217" spans="1:7" ht="12.75">
      <c r="A217" t="str">
        <f ca="1">IFERROR(__xludf.DUMMYFUNCTION("""COMPUTED_VALUE"""),"T212")</f>
        <v>T212</v>
      </c>
      <c r="B217" t="str">
        <f ca="1">IFERROR(__xludf.DUMMYFUNCTION("""COMPUTED_VALUE"""),"T218")</f>
        <v>T218</v>
      </c>
      <c r="C217" t="str">
        <f ca="1">IFERROR(__xludf.DUMMYFUNCTION("""COMPUTED_VALUE"""),"Chris Baker")</f>
        <v>Chris Baker</v>
      </c>
      <c r="D217">
        <f ca="1">IFERROR(__xludf.DUMMYFUNCTION("""COMPUTED_VALUE"""),8)</f>
        <v>8</v>
      </c>
      <c r="E217">
        <f ca="1">IFERROR(__xludf.DUMMYFUNCTION("""COMPUTED_VALUE"""),4.09)</f>
        <v>4.09</v>
      </c>
      <c r="F217">
        <f ca="1">IFERROR(__xludf.DUMMYFUNCTION("""COMPUTED_VALUE"""),335)</f>
        <v>335</v>
      </c>
      <c r="G217">
        <f ca="1">IFERROR(__xludf.DUMMYFUNCTION("""COMPUTED_VALUE"""),82)</f>
        <v>82</v>
      </c>
    </row>
    <row r="218" spans="1:7" ht="12.75">
      <c r="A218" t="str">
        <f ca="1">IFERROR(__xludf.DUMMYFUNCTION("""COMPUTED_VALUE"""),"T212")</f>
        <v>T212</v>
      </c>
      <c r="B218" t="str">
        <f ca="1">IFERROR(__xludf.DUMMYFUNCTION("""COMPUTED_VALUE"""),"T218")</f>
        <v>T218</v>
      </c>
      <c r="C218" t="str">
        <f ca="1">IFERROR(__xludf.DUMMYFUNCTION("""COMPUTED_VALUE"""),"Robert Streb")</f>
        <v>Robert Streb</v>
      </c>
      <c r="D218">
        <f ca="1">IFERROR(__xludf.DUMMYFUNCTION("""COMPUTED_VALUE"""),12)</f>
        <v>12</v>
      </c>
      <c r="E218">
        <f ca="1">IFERROR(__xludf.DUMMYFUNCTION("""COMPUTED_VALUE"""),4.09)</f>
        <v>4.09</v>
      </c>
      <c r="F218">
        <f ca="1">IFERROR(__xludf.DUMMYFUNCTION("""COMPUTED_VALUE"""),507)</f>
        <v>507</v>
      </c>
      <c r="G218">
        <f ca="1">IFERROR(__xludf.DUMMYFUNCTION("""COMPUTED_VALUE"""),124)</f>
        <v>124</v>
      </c>
    </row>
    <row r="219" spans="1:7" ht="12.75">
      <c r="A219" t="str">
        <f ca="1">IFERROR(__xludf.DUMMYFUNCTION("""COMPUTED_VALUE"""),"T212")</f>
        <v>T212</v>
      </c>
      <c r="B219" t="str">
        <f ca="1">IFERROR(__xludf.DUMMYFUNCTION("""COMPUTED_VALUE"""),"T200")</f>
        <v>T200</v>
      </c>
      <c r="C219" t="str">
        <f ca="1">IFERROR(__xludf.DUMMYFUNCTION("""COMPUTED_VALUE"""),"Kelly Kraft")</f>
        <v>Kelly Kraft</v>
      </c>
      <c r="D219">
        <f ca="1">IFERROR(__xludf.DUMMYFUNCTION("""COMPUTED_VALUE"""),14)</f>
        <v>14</v>
      </c>
      <c r="E219">
        <f ca="1">IFERROR(__xludf.DUMMYFUNCTION("""COMPUTED_VALUE"""),4.09)</f>
        <v>4.09</v>
      </c>
      <c r="F219">
        <f ca="1">IFERROR(__xludf.DUMMYFUNCTION("""COMPUTED_VALUE"""),581)</f>
        <v>581</v>
      </c>
      <c r="G219">
        <f ca="1">IFERROR(__xludf.DUMMYFUNCTION("""COMPUTED_VALUE"""),142)</f>
        <v>142</v>
      </c>
    </row>
    <row r="220" spans="1:7" ht="12.75">
      <c r="A220" t="str">
        <f ca="1">IFERROR(__xludf.DUMMYFUNCTION("""COMPUTED_VALUE"""),"T212")</f>
        <v>T212</v>
      </c>
      <c r="B220" t="str">
        <f ca="1">IFERROR(__xludf.DUMMYFUNCTION("""COMPUTED_VALUE"""),"T208")</f>
        <v>T208</v>
      </c>
      <c r="C220" t="str">
        <f ca="1">IFERROR(__xludf.DUMMYFUNCTION("""COMPUTED_VALUE"""),"Mark Hubbard")</f>
        <v>Mark Hubbard</v>
      </c>
      <c r="D220">
        <f ca="1">IFERROR(__xludf.DUMMYFUNCTION("""COMPUTED_VALUE"""),20)</f>
        <v>20</v>
      </c>
      <c r="E220">
        <f ca="1">IFERROR(__xludf.DUMMYFUNCTION("""COMPUTED_VALUE"""),4.09)</f>
        <v>4.09</v>
      </c>
      <c r="F220">
        <f ca="1">IFERROR(__xludf.DUMMYFUNCTION("""COMPUTED_VALUE"""),809)</f>
        <v>809</v>
      </c>
      <c r="G220">
        <f ca="1">IFERROR(__xludf.DUMMYFUNCTION("""COMPUTED_VALUE"""),198)</f>
        <v>198</v>
      </c>
    </row>
    <row r="221" spans="1:7" ht="12.75">
      <c r="A221" t="str">
        <f ca="1">IFERROR(__xludf.DUMMYFUNCTION("""COMPUTED_VALUE"""),"T212")</f>
        <v>T212</v>
      </c>
      <c r="B221" t="str">
        <f ca="1">IFERROR(__xludf.DUMMYFUNCTION("""COMPUTED_VALUE"""),"T218")</f>
        <v>T218</v>
      </c>
      <c r="C221" t="str">
        <f ca="1">IFERROR(__xludf.DUMMYFUNCTION("""COMPUTED_VALUE"""),"Takumi Kanaya")</f>
        <v>Takumi Kanaya</v>
      </c>
      <c r="D221">
        <f ca="1">IFERROR(__xludf.DUMMYFUNCTION("""COMPUTED_VALUE"""),6)</f>
        <v>6</v>
      </c>
      <c r="E221">
        <f ca="1">IFERROR(__xludf.DUMMYFUNCTION("""COMPUTED_VALUE"""),4.09)</f>
        <v>4.09</v>
      </c>
      <c r="F221">
        <f ca="1">IFERROR(__xludf.DUMMYFUNCTION("""COMPUTED_VALUE"""),229)</f>
        <v>229</v>
      </c>
      <c r="G221">
        <f ca="1">IFERROR(__xludf.DUMMYFUNCTION("""COMPUTED_VALUE"""),56)</f>
        <v>56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IFERROR(__xludf.DUMMYFUNCTION("""COMPUTED_VALUE"""),"T226")</f>
        <v>T226</v>
      </c>
      <c r="C222" t="str">
        <f ca="1">IFERROR(__xludf.DUMMYFUNCTION("""COMPUTED_VALUE"""),"Alex Cejka")</f>
        <v>Alex Cejka</v>
      </c>
      <c r="D222">
        <f ca="1">IFERROR(__xludf.DUMMYFUNCTION("""COMPUTED_VALUE"""),6)</f>
        <v>6</v>
      </c>
      <c r="E222">
        <f ca="1">IFERROR(__xludf.DUMMYFUNCTION("""COMPUTED_VALUE"""),4.1)</f>
        <v>4.0999999999999996</v>
      </c>
      <c r="F222">
        <f ca="1">IFERROR(__xludf.DUMMYFUNCTION("""COMPUTED_VALUE"""),254)</f>
        <v>254</v>
      </c>
      <c r="G222">
        <f ca="1">IFERROR(__xludf.DUMMYFUNCTION("""COMPUTED_VALUE"""),62)</f>
        <v>62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IFERROR(__xludf.DUMMYFUNCTION("""COMPUTED_VALUE"""),"T134")</f>
        <v>T134</v>
      </c>
      <c r="C223" t="str">
        <f ca="1">IFERROR(__xludf.DUMMYFUNCTION("""COMPUTED_VALUE"""),"Jimmy Walker")</f>
        <v>Jimmy Walker</v>
      </c>
      <c r="D223">
        <f ca="1">IFERROR(__xludf.DUMMYFUNCTION("""COMPUTED_VALUE"""),10)</f>
        <v>10</v>
      </c>
      <c r="E223">
        <f ca="1">IFERROR(__xludf.DUMMYFUNCTION("""COMPUTED_VALUE"""),4.1)</f>
        <v>4.0999999999999996</v>
      </c>
      <c r="F223">
        <f ca="1">IFERROR(__xludf.DUMMYFUNCTION("""COMPUTED_VALUE"""),435)</f>
        <v>435</v>
      </c>
      <c r="G223">
        <f ca="1">IFERROR(__xludf.DUMMYFUNCTION("""COMPUTED_VALUE"""),106)</f>
        <v>106</v>
      </c>
    </row>
    <row r="224" spans="1:7" ht="12.75">
      <c r="A224" t="str">
        <f ca="1">IFERROR(__xludf.DUMMYFUNCTION("""COMPUTED_VALUE"""),"T221")</f>
        <v>T221</v>
      </c>
      <c r="B224" t="str">
        <f ca="1">IFERROR(__xludf.DUMMYFUNCTION("""COMPUTED_VALUE"""),"T226")</f>
        <v>T226</v>
      </c>
      <c r="C224" t="str">
        <f ca="1">IFERROR(__xludf.DUMMYFUNCTION("""COMPUTED_VALUE"""),"Marc Leishman")</f>
        <v>Marc Leishman</v>
      </c>
      <c r="D224">
        <f ca="1">IFERROR(__xludf.DUMMYFUNCTION("""COMPUTED_VALUE"""),10)</f>
        <v>10</v>
      </c>
      <c r="E224">
        <f ca="1">IFERROR(__xludf.DUMMYFUNCTION("""COMPUTED_VALUE"""),4.1)</f>
        <v>4.0999999999999996</v>
      </c>
      <c r="F224">
        <f ca="1">IFERROR(__xludf.DUMMYFUNCTION("""COMPUTED_VALUE"""),394)</f>
        <v>394</v>
      </c>
      <c r="G224">
        <f ca="1">IFERROR(__xludf.DUMMYFUNCTION("""COMPUTED_VALUE"""),96)</f>
        <v>96</v>
      </c>
    </row>
    <row r="225" spans="1:7" ht="12.75">
      <c r="A225" t="str">
        <f ca="1">IFERROR(__xludf.DUMMYFUNCTION("""COMPUTED_VALUE"""),"T221")</f>
        <v>T221</v>
      </c>
      <c r="B225" t="str">
        <f ca="1">IFERROR(__xludf.DUMMYFUNCTION("""COMPUTED_VALUE"""),"T233")</f>
        <v>T233</v>
      </c>
      <c r="C225" t="str">
        <f ca="1">IFERROR(__xludf.DUMMYFUNCTION("""COMPUTED_VALUE"""),"Scott Brown")</f>
        <v>Scott Brown</v>
      </c>
      <c r="D225">
        <f ca="1">IFERROR(__xludf.DUMMYFUNCTION("""COMPUTED_VALUE"""),14)</f>
        <v>14</v>
      </c>
      <c r="E225">
        <f ca="1">IFERROR(__xludf.DUMMYFUNCTION("""COMPUTED_VALUE"""),4.1)</f>
        <v>4.0999999999999996</v>
      </c>
      <c r="F225">
        <f ca="1">IFERROR(__xludf.DUMMYFUNCTION("""COMPUTED_VALUE"""),582)</f>
        <v>582</v>
      </c>
      <c r="G225">
        <f ca="1">IFERROR(__xludf.DUMMYFUNCTION("""COMPUTED_VALUE"""),142)</f>
        <v>142</v>
      </c>
    </row>
    <row r="226" spans="1:7" ht="12.75">
      <c r="A226" t="str">
        <f ca="1">IFERROR(__xludf.DUMMYFUNCTION("""COMPUTED_VALUE"""),"T221")</f>
        <v>T221</v>
      </c>
      <c r="B226" t="str">
        <f ca="1">IFERROR(__xludf.DUMMYFUNCTION("""COMPUTED_VALUE"""),"T226")</f>
        <v>T226</v>
      </c>
      <c r="C226" t="str">
        <f ca="1">IFERROR(__xludf.DUMMYFUNCTION("""COMPUTED_VALUE"""),"Wes Roach")</f>
        <v>Wes Roach</v>
      </c>
      <c r="D226">
        <f ca="1">IFERROR(__xludf.DUMMYFUNCTION("""COMPUTED_VALUE"""),6)</f>
        <v>6</v>
      </c>
      <c r="E226">
        <f ca="1">IFERROR(__xludf.DUMMYFUNCTION("""COMPUTED_VALUE"""),4.1)</f>
        <v>4.0999999999999996</v>
      </c>
      <c r="F226">
        <f ca="1">IFERROR(__xludf.DUMMYFUNCTION("""COMPUTED_VALUE"""),254)</f>
        <v>254</v>
      </c>
      <c r="G226">
        <f ca="1">IFERROR(__xludf.DUMMYFUNCTION("""COMPUTED_VALUE"""),62)</f>
        <v>62</v>
      </c>
    </row>
    <row r="227" spans="1:7" ht="12.75">
      <c r="A227" t="str">
        <f ca="1">IFERROR(__xludf.DUMMYFUNCTION("""COMPUTED_VALUE"""),"T221")</f>
        <v>T221</v>
      </c>
      <c r="B227" t="str">
        <f ca="1">IFERROR(__xludf.DUMMYFUNCTION("""COMPUTED_VALUE"""),"T226")</f>
        <v>T226</v>
      </c>
      <c r="C227" t="str">
        <f ca="1">IFERROR(__xludf.DUMMYFUNCTION("""COMPUTED_VALUE"""),"Michael Kim")</f>
        <v>Michael Kim</v>
      </c>
      <c r="D227">
        <f ca="1">IFERROR(__xludf.DUMMYFUNCTION("""COMPUTED_VALUE"""),12)</f>
        <v>12</v>
      </c>
      <c r="E227">
        <f ca="1">IFERROR(__xludf.DUMMYFUNCTION("""COMPUTED_VALUE"""),4.1)</f>
        <v>4.0999999999999996</v>
      </c>
      <c r="F227">
        <f ca="1">IFERROR(__xludf.DUMMYFUNCTION("""COMPUTED_VALUE"""),508)</f>
        <v>508</v>
      </c>
      <c r="G227">
        <f ca="1">IFERROR(__xludf.DUMMYFUNCTION("""COMPUTED_VALUE"""),124)</f>
        <v>124</v>
      </c>
    </row>
    <row r="228" spans="1:7" ht="12.75">
      <c r="A228" t="str">
        <f ca="1">IFERROR(__xludf.DUMMYFUNCTION("""COMPUTED_VALUE"""),"T221")</f>
        <v>T221</v>
      </c>
      <c r="B228" t="str">
        <f ca="1">IFERROR(__xludf.DUMMYFUNCTION("""COMPUTED_VALUE"""),"T226")</f>
        <v>T226</v>
      </c>
      <c r="C228" t="str">
        <f ca="1">IFERROR(__xludf.DUMMYFUNCTION("""COMPUTED_VALUE"""),"Luke Schniederjans")</f>
        <v>Luke Schniederjans</v>
      </c>
      <c r="D228">
        <f ca="1">IFERROR(__xludf.DUMMYFUNCTION("""COMPUTED_VALUE"""),4)</f>
        <v>4</v>
      </c>
      <c r="E228">
        <f ca="1">IFERROR(__xludf.DUMMYFUNCTION("""COMPUTED_VALUE"""),4.1)</f>
        <v>4.0999999999999996</v>
      </c>
      <c r="F228">
        <f ca="1">IFERROR(__xludf.DUMMYFUNCTION("""COMPUTED_VALUE"""),172)</f>
        <v>172</v>
      </c>
      <c r="G228">
        <f ca="1">IFERROR(__xludf.DUMMYFUNCTION("""COMPUTED_VALUE"""),42)</f>
        <v>42</v>
      </c>
    </row>
    <row r="229" spans="1:7" ht="12.75">
      <c r="A229">
        <f ca="1">IFERROR(__xludf.DUMMYFUNCTION("""COMPUTED_VALUE"""),228)</f>
        <v>228</v>
      </c>
      <c r="B229" t="str">
        <f ca="1">IFERROR(__xludf.DUMMYFUNCTION("""COMPUTED_VALUE"""),"T200")</f>
        <v>T200</v>
      </c>
      <c r="C229" t="str">
        <f ca="1">IFERROR(__xludf.DUMMYFUNCTION("""COMPUTED_VALUE"""),"Keith Mitchell")</f>
        <v>Keith Mitchell</v>
      </c>
      <c r="D229">
        <f ca="1">IFERROR(__xludf.DUMMYFUNCTION("""COMPUTED_VALUE"""),14)</f>
        <v>14</v>
      </c>
      <c r="E229">
        <f ca="1">IFERROR(__xludf.DUMMYFUNCTION("""COMPUTED_VALUE"""),4.11)</f>
        <v>4.1100000000000003</v>
      </c>
      <c r="F229">
        <f ca="1">IFERROR(__xludf.DUMMYFUNCTION("""COMPUTED_VALUE"""),600)</f>
        <v>600</v>
      </c>
      <c r="G229">
        <f ca="1">IFERROR(__xludf.DUMMYFUNCTION("""COMPUTED_VALUE"""),146)</f>
        <v>146</v>
      </c>
    </row>
    <row r="230" spans="1:7" ht="12.75">
      <c r="A230" t="str">
        <f ca="1">IFERROR(__xludf.DUMMYFUNCTION("""COMPUTED_VALUE"""),"T229")</f>
        <v>T229</v>
      </c>
      <c r="B230" t="str">
        <f ca="1">IFERROR(__xludf.DUMMYFUNCTION("""COMPUTED_VALUE"""),"T191")</f>
        <v>T191</v>
      </c>
      <c r="C230" t="str">
        <f ca="1">IFERROR(__xludf.DUMMYFUNCTION("""COMPUTED_VALUE"""),"D.A. Points")</f>
        <v>D.A. Points</v>
      </c>
      <c r="D230">
        <f ca="1">IFERROR(__xludf.DUMMYFUNCTION("""COMPUTED_VALUE"""),12)</f>
        <v>12</v>
      </c>
      <c r="E230">
        <f ca="1">IFERROR(__xludf.DUMMYFUNCTION("""COMPUTED_VALUE"""),4.12)</f>
        <v>4.12</v>
      </c>
      <c r="F230">
        <f ca="1">IFERROR(__xludf.DUMMYFUNCTION("""COMPUTED_VALUE"""),519)</f>
        <v>519</v>
      </c>
      <c r="G230">
        <f ca="1">IFERROR(__xludf.DUMMYFUNCTION("""COMPUTED_VALUE"""),126)</f>
        <v>126</v>
      </c>
    </row>
    <row r="231" spans="1:7" ht="12.75">
      <c r="A231" t="str">
        <f ca="1">IFERROR(__xludf.DUMMYFUNCTION("""COMPUTED_VALUE"""),"T229")</f>
        <v>T229</v>
      </c>
      <c r="B231" t="str">
        <f ca="1">IFERROR(__xludf.DUMMYFUNCTION("""COMPUTED_VALUE"""),"T231")</f>
        <v>T231</v>
      </c>
      <c r="C231" t="str">
        <f ca="1">IFERROR(__xludf.DUMMYFUNCTION("""COMPUTED_VALUE"""),"Dominic Bozzelli")</f>
        <v>Dominic Bozzelli</v>
      </c>
      <c r="D231">
        <f ca="1">IFERROR(__xludf.DUMMYFUNCTION("""COMPUTED_VALUE"""),8)</f>
        <v>8</v>
      </c>
      <c r="E231">
        <f ca="1">IFERROR(__xludf.DUMMYFUNCTION("""COMPUTED_VALUE"""),4.12)</f>
        <v>4.12</v>
      </c>
      <c r="F231">
        <f ca="1">IFERROR(__xludf.DUMMYFUNCTION("""COMPUTED_VALUE"""),338)</f>
        <v>338</v>
      </c>
      <c r="G231">
        <f ca="1">IFERROR(__xludf.DUMMYFUNCTION("""COMPUTED_VALUE"""),82)</f>
        <v>82</v>
      </c>
    </row>
    <row r="232" spans="1:7" ht="12.75">
      <c r="A232" t="str">
        <f ca="1">IFERROR(__xludf.DUMMYFUNCTION("""COMPUTED_VALUE"""),"T229")</f>
        <v>T229</v>
      </c>
      <c r="B232" t="str">
        <f ca="1">IFERROR(__xludf.DUMMYFUNCTION("""COMPUTED_VALUE"""),"T231")</f>
        <v>T231</v>
      </c>
      <c r="C232" t="str">
        <f ca="1">IFERROR(__xludf.DUMMYFUNCTION("""COMPUTED_VALUE"""),"Michael Gellerman")</f>
        <v>Michael Gellerman</v>
      </c>
      <c r="D232">
        <f ca="1">IFERROR(__xludf.DUMMYFUNCTION("""COMPUTED_VALUE"""),5)</f>
        <v>5</v>
      </c>
      <c r="E232">
        <f ca="1">IFERROR(__xludf.DUMMYFUNCTION("""COMPUTED_VALUE"""),4.12)</f>
        <v>4.12</v>
      </c>
      <c r="F232">
        <f ca="1">IFERROR(__xludf.DUMMYFUNCTION("""COMPUTED_VALUE"""),210)</f>
        <v>210</v>
      </c>
      <c r="G232">
        <f ca="1">IFERROR(__xludf.DUMMYFUNCTION("""COMPUTED_VALUE"""),51)</f>
        <v>51</v>
      </c>
    </row>
    <row r="233" spans="1:7" ht="12.75">
      <c r="A233" t="str">
        <f ca="1">IFERROR(__xludf.DUMMYFUNCTION("""COMPUTED_VALUE"""),"T232")</f>
        <v>T232</v>
      </c>
      <c r="B233" t="str">
        <f ca="1">IFERROR(__xludf.DUMMYFUNCTION("""COMPUTED_VALUE"""),"T233")</f>
        <v>T233</v>
      </c>
      <c r="C233" t="str">
        <f ca="1">IFERROR(__xludf.DUMMYFUNCTION("""COMPUTED_VALUE"""),"Justin Rose")</f>
        <v>Justin Rose</v>
      </c>
      <c r="D233">
        <f ca="1">IFERROR(__xludf.DUMMYFUNCTION("""COMPUTED_VALUE"""),10)</f>
        <v>10</v>
      </c>
      <c r="E233">
        <f ca="1">IFERROR(__xludf.DUMMYFUNCTION("""COMPUTED_VALUE"""),4.13)</f>
        <v>4.13</v>
      </c>
      <c r="F233">
        <f ca="1">IFERROR(__xludf.DUMMYFUNCTION("""COMPUTED_VALUE"""),396)</f>
        <v>396</v>
      </c>
      <c r="G233">
        <f ca="1">IFERROR(__xludf.DUMMYFUNCTION("""COMPUTED_VALUE"""),96)</f>
        <v>96</v>
      </c>
    </row>
    <row r="234" spans="1:7" ht="12.75">
      <c r="A234" t="str">
        <f ca="1">IFERROR(__xludf.DUMMYFUNCTION("""COMPUTED_VALUE"""),"T232")</f>
        <v>T232</v>
      </c>
      <c r="B234" t="str">
        <f ca="1">IFERROR(__xludf.DUMMYFUNCTION("""COMPUTED_VALUE"""),"T200")</f>
        <v>T200</v>
      </c>
      <c r="C234" t="str">
        <f ca="1">IFERROR(__xludf.DUMMYFUNCTION("""COMPUTED_VALUE"""),"Luke Donald")</f>
        <v>Luke Donald</v>
      </c>
      <c r="D234">
        <f ca="1">IFERROR(__xludf.DUMMYFUNCTION("""COMPUTED_VALUE"""),14)</f>
        <v>14</v>
      </c>
      <c r="E234">
        <f ca="1">IFERROR(__xludf.DUMMYFUNCTION("""COMPUTED_VALUE"""),4.13)</f>
        <v>4.13</v>
      </c>
      <c r="F234">
        <f ca="1">IFERROR(__xludf.DUMMYFUNCTION("""COMPUTED_VALUE"""),611)</f>
        <v>611</v>
      </c>
      <c r="G234">
        <f ca="1">IFERROR(__xludf.DUMMYFUNCTION("""COMPUTED_VALUE"""),148)</f>
        <v>148</v>
      </c>
    </row>
    <row r="235" spans="1:7" ht="12.75">
      <c r="A235" t="str">
        <f ca="1">IFERROR(__xludf.DUMMYFUNCTION("""COMPUTED_VALUE"""),"T232")</f>
        <v>T232</v>
      </c>
      <c r="B235" t="str">
        <f ca="1">IFERROR(__xludf.DUMMYFUNCTION("""COMPUTED_VALUE"""),"T156")</f>
        <v>T156</v>
      </c>
      <c r="C235" t="str">
        <f ca="1">IFERROR(__xludf.DUMMYFUNCTION("""COMPUTED_VALUE"""),"Ted Potter, Jr.")</f>
        <v>Ted Potter, Jr.</v>
      </c>
      <c r="D235">
        <f ca="1">IFERROR(__xludf.DUMMYFUNCTION("""COMPUTED_VALUE"""),8)</f>
        <v>8</v>
      </c>
      <c r="E235">
        <f ca="1">IFERROR(__xludf.DUMMYFUNCTION("""COMPUTED_VALUE"""),4.13)</f>
        <v>4.13</v>
      </c>
      <c r="F235">
        <f ca="1">IFERROR(__xludf.DUMMYFUNCTION("""COMPUTED_VALUE"""),339)</f>
        <v>339</v>
      </c>
      <c r="G235">
        <f ca="1">IFERROR(__xludf.DUMMYFUNCTION("""COMPUTED_VALUE"""),82)</f>
        <v>82</v>
      </c>
    </row>
    <row r="236" spans="1:7" ht="12.75">
      <c r="A236" t="str">
        <f ca="1">IFERROR(__xludf.DUMMYFUNCTION("""COMPUTED_VALUE"""),"T232")</f>
        <v>T232</v>
      </c>
      <c r="B236" t="str">
        <f ca="1">IFERROR(__xludf.DUMMYFUNCTION("""COMPUTED_VALUE"""),"T233")</f>
        <v>T233</v>
      </c>
      <c r="C236" t="str">
        <f ca="1">IFERROR(__xludf.DUMMYFUNCTION("""COMPUTED_VALUE"""),"Billy Horschel")</f>
        <v>Billy Horschel</v>
      </c>
      <c r="D236">
        <f ca="1">IFERROR(__xludf.DUMMYFUNCTION("""COMPUTED_VALUE"""),12)</f>
        <v>12</v>
      </c>
      <c r="E236">
        <f ca="1">IFERROR(__xludf.DUMMYFUNCTION("""COMPUTED_VALUE"""),4.13)</f>
        <v>4.13</v>
      </c>
      <c r="F236">
        <f ca="1">IFERROR(__xludf.DUMMYFUNCTION("""COMPUTED_VALUE"""),495)</f>
        <v>495</v>
      </c>
      <c r="G236">
        <f ca="1">IFERROR(__xludf.DUMMYFUNCTION("""COMPUTED_VALUE"""),120)</f>
        <v>120</v>
      </c>
    </row>
    <row r="237" spans="1:7" ht="12.75">
      <c r="A237" t="str">
        <f ca="1">IFERROR(__xludf.DUMMYFUNCTION("""COMPUTED_VALUE"""),"T232")</f>
        <v>T232</v>
      </c>
      <c r="B237" t="str">
        <f ca="1">IFERROR(__xludf.DUMMYFUNCTION("""COMPUTED_VALUE"""),"T233")</f>
        <v>T233</v>
      </c>
      <c r="C237" t="str">
        <f ca="1">IFERROR(__xludf.DUMMYFUNCTION("""COMPUTED_VALUE"""),"Roberto Díaz")</f>
        <v>Roberto Díaz</v>
      </c>
      <c r="D237">
        <f ca="1">IFERROR(__xludf.DUMMYFUNCTION("""COMPUTED_VALUE"""),4)</f>
        <v>4</v>
      </c>
      <c r="E237">
        <f ca="1">IFERROR(__xludf.DUMMYFUNCTION("""COMPUTED_VALUE"""),4.13)</f>
        <v>4.13</v>
      </c>
      <c r="F237">
        <f ca="1">IFERROR(__xludf.DUMMYFUNCTION("""COMPUTED_VALUE"""),165)</f>
        <v>165</v>
      </c>
      <c r="G237">
        <f ca="1">IFERROR(__xludf.DUMMYFUNCTION("""COMPUTED_VALUE"""),40)</f>
        <v>40</v>
      </c>
    </row>
    <row r="238" spans="1:7" ht="12.75">
      <c r="A238" t="str">
        <f ca="1">IFERROR(__xludf.DUMMYFUNCTION("""COMPUTED_VALUE"""),"T232")</f>
        <v>T232</v>
      </c>
      <c r="B238" t="str">
        <f ca="1">IFERROR(__xludf.DUMMYFUNCTION("""COMPUTED_VALUE"""),"T218")</f>
        <v>T218</v>
      </c>
      <c r="C238" t="str">
        <f ca="1">IFERROR(__xludf.DUMMYFUNCTION("""COMPUTED_VALUE"""),"Martin Trainer")</f>
        <v>Martin Trainer</v>
      </c>
      <c r="D238">
        <f ca="1">IFERROR(__xludf.DUMMYFUNCTION("""COMPUTED_VALUE"""),10)</f>
        <v>10</v>
      </c>
      <c r="E238">
        <f ca="1">IFERROR(__xludf.DUMMYFUNCTION("""COMPUTED_VALUE"""),4.13)</f>
        <v>4.13</v>
      </c>
      <c r="F238">
        <f ca="1">IFERROR(__xludf.DUMMYFUNCTION("""COMPUTED_VALUE"""),421)</f>
        <v>421</v>
      </c>
      <c r="G238">
        <f ca="1">IFERROR(__xludf.DUMMYFUNCTION("""COMPUTED_VALUE"""),102)</f>
        <v>102</v>
      </c>
    </row>
    <row r="239" spans="1:7" ht="12.75">
      <c r="A239" t="str">
        <f ca="1">IFERROR(__xludf.DUMMYFUNCTION("""COMPUTED_VALUE"""),"T232")</f>
        <v>T232</v>
      </c>
      <c r="B239" t="str">
        <f ca="1">IFERROR(__xludf.DUMMYFUNCTION("""COMPUTED_VALUE"""),"T233")</f>
        <v>T233</v>
      </c>
      <c r="C239" t="str">
        <f ca="1">IFERROR(__xludf.DUMMYFUNCTION("""COMPUTED_VALUE"""),"Jaekyeong Lee")</f>
        <v>Jaekyeong Lee</v>
      </c>
      <c r="D239">
        <f ca="1">IFERROR(__xludf.DUMMYFUNCTION("""COMPUTED_VALUE"""),4)</f>
        <v>4</v>
      </c>
      <c r="E239">
        <f ca="1">IFERROR(__xludf.DUMMYFUNCTION("""COMPUTED_VALUE"""),4.13)</f>
        <v>4.13</v>
      </c>
      <c r="F239">
        <f ca="1">IFERROR(__xludf.DUMMYFUNCTION("""COMPUTED_VALUE"""),165)</f>
        <v>165</v>
      </c>
      <c r="G239">
        <f ca="1">IFERROR(__xludf.DUMMYFUNCTION("""COMPUTED_VALUE"""),40)</f>
        <v>40</v>
      </c>
    </row>
    <row r="240" spans="1:7" ht="12.75">
      <c r="A240" t="str">
        <f ca="1">IFERROR(__xludf.DUMMYFUNCTION("""COMPUTED_VALUE"""),"T232")</f>
        <v>T232</v>
      </c>
      <c r="B240" t="str">
        <f ca="1">IFERROR(__xludf.DUMMYFUNCTION("""COMPUTED_VALUE"""),"T233")</f>
        <v>T233</v>
      </c>
      <c r="C240" t="str">
        <f ca="1">IFERROR(__xludf.DUMMYFUNCTION("""COMPUTED_VALUE"""),"Tae Hee Lee")</f>
        <v>Tae Hee Lee</v>
      </c>
      <c r="D240">
        <f ca="1">IFERROR(__xludf.DUMMYFUNCTION("""COMPUTED_VALUE"""),4)</f>
        <v>4</v>
      </c>
      <c r="E240">
        <f ca="1">IFERROR(__xludf.DUMMYFUNCTION("""COMPUTED_VALUE"""),4.13)</f>
        <v>4.13</v>
      </c>
      <c r="F240">
        <f ca="1">IFERROR(__xludf.DUMMYFUNCTION("""COMPUTED_VALUE"""),165)</f>
        <v>165</v>
      </c>
      <c r="G240">
        <f ca="1">IFERROR(__xludf.DUMMYFUNCTION("""COMPUTED_VALUE"""),40)</f>
        <v>40</v>
      </c>
    </row>
    <row r="241" spans="1:7" ht="12.75">
      <c r="A241" t="str">
        <f ca="1">IFERROR(__xludf.DUMMYFUNCTION("""COMPUTED_VALUE"""),"T240")</f>
        <v>T240</v>
      </c>
      <c r="B241" t="str">
        <f ca="1">IFERROR(__xludf.DUMMYFUNCTION("""COMPUTED_VALUE"""),"T241")</f>
        <v>T241</v>
      </c>
      <c r="C241" t="str">
        <f ca="1">IFERROR(__xludf.DUMMYFUNCTION("""COMPUTED_VALUE"""),"Fred Funk")</f>
        <v>Fred Funk</v>
      </c>
      <c r="D241">
        <f ca="1">IFERROR(__xludf.DUMMYFUNCTION("""COMPUTED_VALUE"""),4)</f>
        <v>4</v>
      </c>
      <c r="E241">
        <f ca="1">IFERROR(__xludf.DUMMYFUNCTION("""COMPUTED_VALUE"""),4.14)</f>
        <v>4.1399999999999997</v>
      </c>
      <c r="F241">
        <f ca="1">IFERROR(__xludf.DUMMYFUNCTION("""COMPUTED_VALUE"""),182)</f>
        <v>182</v>
      </c>
      <c r="G241">
        <f ca="1">IFERROR(__xludf.DUMMYFUNCTION("""COMPUTED_VALUE"""),44)</f>
        <v>44</v>
      </c>
    </row>
    <row r="242" spans="1:7" ht="12.75">
      <c r="A242" t="str">
        <f ca="1">IFERROR(__xludf.DUMMYFUNCTION("""COMPUTED_VALUE"""),"T240")</f>
        <v>T240</v>
      </c>
      <c r="B242" t="str">
        <f ca="1">IFERROR(__xludf.DUMMYFUNCTION("""COMPUTED_VALUE"""),"T200")</f>
        <v>T200</v>
      </c>
      <c r="C242" t="str">
        <f ca="1">IFERROR(__xludf.DUMMYFUNCTION("""COMPUTED_VALUE"""),"Sean O'Hair")</f>
        <v>Sean O'Hair</v>
      </c>
      <c r="D242">
        <f ca="1">IFERROR(__xludf.DUMMYFUNCTION("""COMPUTED_VALUE"""),14)</f>
        <v>14</v>
      </c>
      <c r="E242">
        <f ca="1">IFERROR(__xludf.DUMMYFUNCTION("""COMPUTED_VALUE"""),4.14)</f>
        <v>4.1399999999999997</v>
      </c>
      <c r="F242">
        <f ca="1">IFERROR(__xludf.DUMMYFUNCTION("""COMPUTED_VALUE"""),588)</f>
        <v>588</v>
      </c>
      <c r="G242">
        <f ca="1">IFERROR(__xludf.DUMMYFUNCTION("""COMPUTED_VALUE"""),142)</f>
        <v>142</v>
      </c>
    </row>
    <row r="243" spans="1:7" ht="12.75">
      <c r="A243" t="str">
        <f ca="1">IFERROR(__xludf.DUMMYFUNCTION("""COMPUTED_VALUE"""),"T240")</f>
        <v>T240</v>
      </c>
      <c r="B243" t="str">
        <f ca="1">IFERROR(__xludf.DUMMYFUNCTION("""COMPUTED_VALUE"""),"T263")</f>
        <v>T263</v>
      </c>
      <c r="C243" t="str">
        <f ca="1">IFERROR(__xludf.DUMMYFUNCTION("""COMPUTED_VALUE"""),"Shane Lowry")</f>
        <v>Shane Lowry</v>
      </c>
      <c r="D243">
        <f ca="1">IFERROR(__xludf.DUMMYFUNCTION("""COMPUTED_VALUE"""),14)</f>
        <v>14</v>
      </c>
      <c r="E243">
        <f ca="1">IFERROR(__xludf.DUMMYFUNCTION("""COMPUTED_VALUE"""),4.14)</f>
        <v>4.1399999999999997</v>
      </c>
      <c r="F243">
        <f ca="1">IFERROR(__xludf.DUMMYFUNCTION("""COMPUTED_VALUE"""),613)</f>
        <v>613</v>
      </c>
      <c r="G243">
        <f ca="1">IFERROR(__xludf.DUMMYFUNCTION("""COMPUTED_VALUE"""),148)</f>
        <v>148</v>
      </c>
    </row>
    <row r="244" spans="1:7" ht="12.75">
      <c r="A244" t="str">
        <f ca="1">IFERROR(__xludf.DUMMYFUNCTION("""COMPUTED_VALUE"""),"T240")</f>
        <v>T240</v>
      </c>
      <c r="B244" t="str">
        <f ca="1">IFERROR(__xludf.DUMMYFUNCTION("""COMPUTED_VALUE"""),"T241")</f>
        <v>T241</v>
      </c>
      <c r="C244" t="str">
        <f ca="1">IFERROR(__xludf.DUMMYFUNCTION("""COMPUTED_VALUE"""),"Chan Kim")</f>
        <v>Chan Kim</v>
      </c>
      <c r="D244">
        <f ca="1">IFERROR(__xludf.DUMMYFUNCTION("""COMPUTED_VALUE"""),6)</f>
        <v>6</v>
      </c>
      <c r="E244">
        <f ca="1">IFERROR(__xludf.DUMMYFUNCTION("""COMPUTED_VALUE"""),4.14)</f>
        <v>4.1399999999999997</v>
      </c>
      <c r="F244">
        <f ca="1">IFERROR(__xludf.DUMMYFUNCTION("""COMPUTED_VALUE"""),232)</f>
        <v>232</v>
      </c>
      <c r="G244">
        <f ca="1">IFERROR(__xludf.DUMMYFUNCTION("""COMPUTED_VALUE"""),56)</f>
        <v>56</v>
      </c>
    </row>
    <row r="245" spans="1:7" ht="12.75">
      <c r="A245" t="str">
        <f ca="1">IFERROR(__xludf.DUMMYFUNCTION("""COMPUTED_VALUE"""),"T244")</f>
        <v>T244</v>
      </c>
      <c r="B245" t="str">
        <f ca="1">IFERROR(__xludf.DUMMYFUNCTION("""COMPUTED_VALUE"""),"T233")</f>
        <v>T233</v>
      </c>
      <c r="C245" t="str">
        <f ca="1">IFERROR(__xludf.DUMMYFUNCTION("""COMPUTED_VALUE"""),"Alex Noren")</f>
        <v>Alex Noren</v>
      </c>
      <c r="D245">
        <f ca="1">IFERROR(__xludf.DUMMYFUNCTION("""COMPUTED_VALUE"""),14)</f>
        <v>14</v>
      </c>
      <c r="E245">
        <f ca="1">IFERROR(__xludf.DUMMYFUNCTION("""COMPUTED_VALUE"""),4.15)</f>
        <v>4.1500000000000004</v>
      </c>
      <c r="F245">
        <f ca="1">IFERROR(__xludf.DUMMYFUNCTION("""COMPUTED_VALUE"""),581)</f>
        <v>581</v>
      </c>
      <c r="G245">
        <f ca="1">IFERROR(__xludf.DUMMYFUNCTION("""COMPUTED_VALUE"""),140)</f>
        <v>140</v>
      </c>
    </row>
    <row r="246" spans="1:7" ht="12.75">
      <c r="A246" t="str">
        <f ca="1">IFERROR(__xludf.DUMMYFUNCTION("""COMPUTED_VALUE"""),"T244")</f>
        <v>T244</v>
      </c>
      <c r="B246" t="str">
        <f ca="1">IFERROR(__xludf.DUMMYFUNCTION("""COMPUTED_VALUE"""),"T233")</f>
        <v>T233</v>
      </c>
      <c r="C246" t="str">
        <f ca="1">IFERROR(__xludf.DUMMYFUNCTION("""COMPUTED_VALUE"""),"Danny Lee")</f>
        <v>Danny Lee</v>
      </c>
      <c r="D246">
        <f ca="1">IFERROR(__xludf.DUMMYFUNCTION("""COMPUTED_VALUE"""),15)</f>
        <v>15</v>
      </c>
      <c r="E246">
        <f ca="1">IFERROR(__xludf.DUMMYFUNCTION("""COMPUTED_VALUE"""),4.15)</f>
        <v>4.1500000000000004</v>
      </c>
      <c r="F246">
        <f ca="1">IFERROR(__xludf.DUMMYFUNCTION("""COMPUTED_VALUE"""),622)</f>
        <v>622</v>
      </c>
      <c r="G246">
        <f ca="1">IFERROR(__xludf.DUMMYFUNCTION("""COMPUTED_VALUE"""),150)</f>
        <v>150</v>
      </c>
    </row>
    <row r="247" spans="1:7" ht="12.75">
      <c r="A247" t="str">
        <f ca="1">IFERROR(__xludf.DUMMYFUNCTION("""COMPUTED_VALUE"""),"T244")</f>
        <v>T244</v>
      </c>
      <c r="B247" t="str">
        <f ca="1">IFERROR(__xludf.DUMMYFUNCTION("""COMPUTED_VALUE"""),"T244")</f>
        <v>T244</v>
      </c>
      <c r="C247" t="str">
        <f ca="1">IFERROR(__xludf.DUMMYFUNCTION("""COMPUTED_VALUE"""),"Ryo Ishikawa")</f>
        <v>Ryo Ishikawa</v>
      </c>
      <c r="D247">
        <f ca="1">IFERROR(__xludf.DUMMYFUNCTION("""COMPUTED_VALUE"""),8)</f>
        <v>8</v>
      </c>
      <c r="E247">
        <f ca="1">IFERROR(__xludf.DUMMYFUNCTION("""COMPUTED_VALUE"""),4.15)</f>
        <v>4.1500000000000004</v>
      </c>
      <c r="F247">
        <f ca="1">IFERROR(__xludf.DUMMYFUNCTION("""COMPUTED_VALUE"""),332)</f>
        <v>332</v>
      </c>
      <c r="G247">
        <f ca="1">IFERROR(__xludf.DUMMYFUNCTION("""COMPUTED_VALUE"""),80)</f>
        <v>80</v>
      </c>
    </row>
    <row r="248" spans="1:7" ht="12.75">
      <c r="A248" t="str">
        <f ca="1">IFERROR(__xludf.DUMMYFUNCTION("""COMPUTED_VALUE"""),"T244")</f>
        <v>T244</v>
      </c>
      <c r="B248" t="str">
        <f ca="1">IFERROR(__xludf.DUMMYFUNCTION("""COMPUTED_VALUE"""),"T244")</f>
        <v>T244</v>
      </c>
      <c r="C248" t="str">
        <f ca="1">IFERROR(__xludf.DUMMYFUNCTION("""COMPUTED_VALUE"""),"Thomas Pieters")</f>
        <v>Thomas Pieters</v>
      </c>
      <c r="D248">
        <f ca="1">IFERROR(__xludf.DUMMYFUNCTION("""COMPUTED_VALUE"""),4)</f>
        <v>4</v>
      </c>
      <c r="E248">
        <f ca="1">IFERROR(__xludf.DUMMYFUNCTION("""COMPUTED_VALUE"""),4.15)</f>
        <v>4.1500000000000004</v>
      </c>
      <c r="F248">
        <f ca="1">IFERROR(__xludf.DUMMYFUNCTION("""COMPUTED_VALUE"""),199)</f>
        <v>199</v>
      </c>
      <c r="G248">
        <f ca="1">IFERROR(__xludf.DUMMYFUNCTION("""COMPUTED_VALUE"""),48)</f>
        <v>48</v>
      </c>
    </row>
    <row r="249" spans="1:7" ht="12.75">
      <c r="A249" t="str">
        <f ca="1">IFERROR(__xludf.DUMMYFUNCTION("""COMPUTED_VALUE"""),"T244")</f>
        <v>T244</v>
      </c>
      <c r="B249" t="str">
        <f ca="1">IFERROR(__xludf.DUMMYFUNCTION("""COMPUTED_VALUE"""),"T208")</f>
        <v>T208</v>
      </c>
      <c r="C249" t="str">
        <f ca="1">IFERROR(__xludf.DUMMYFUNCTION("""COMPUTED_VALUE"""),"Grayson Murray")</f>
        <v>Grayson Murray</v>
      </c>
      <c r="D249">
        <f ca="1">IFERROR(__xludf.DUMMYFUNCTION("""COMPUTED_VALUE"""),10)</f>
        <v>10</v>
      </c>
      <c r="E249">
        <f ca="1">IFERROR(__xludf.DUMMYFUNCTION("""COMPUTED_VALUE"""),4.15)</f>
        <v>4.1500000000000004</v>
      </c>
      <c r="F249">
        <f ca="1">IFERROR(__xludf.DUMMYFUNCTION("""COMPUTED_VALUE"""),415)</f>
        <v>415</v>
      </c>
      <c r="G249">
        <f ca="1">IFERROR(__xludf.DUMMYFUNCTION("""COMPUTED_VALUE"""),100)</f>
        <v>100</v>
      </c>
    </row>
    <row r="250" spans="1:7" ht="12.75">
      <c r="A250" t="str">
        <f ca="1">IFERROR(__xludf.DUMMYFUNCTION("""COMPUTED_VALUE"""),"T244")</f>
        <v>T244</v>
      </c>
      <c r="B250" t="str">
        <f ca="1">IFERROR(__xludf.DUMMYFUNCTION("""COMPUTED_VALUE"""),"T244")</f>
        <v>T244</v>
      </c>
      <c r="C250" t="str">
        <f ca="1">IFERROR(__xludf.DUMMYFUNCTION("""COMPUTED_VALUE"""),"Matthias Schwab")</f>
        <v>Matthias Schwab</v>
      </c>
      <c r="D250">
        <f ca="1">IFERROR(__xludf.DUMMYFUNCTION("""COMPUTED_VALUE"""),8)</f>
        <v>8</v>
      </c>
      <c r="E250">
        <f ca="1">IFERROR(__xludf.DUMMYFUNCTION("""COMPUTED_VALUE"""),4.15)</f>
        <v>4.1500000000000004</v>
      </c>
      <c r="F250">
        <f ca="1">IFERROR(__xludf.DUMMYFUNCTION("""COMPUTED_VALUE"""),349)</f>
        <v>349</v>
      </c>
      <c r="G250">
        <f ca="1">IFERROR(__xludf.DUMMYFUNCTION("""COMPUTED_VALUE"""),84)</f>
        <v>84</v>
      </c>
    </row>
    <row r="251" spans="1:7" ht="12.75">
      <c r="A251" t="str">
        <f ca="1">IFERROR(__xludf.DUMMYFUNCTION("""COMPUTED_VALUE"""),"T244")</f>
        <v>T244</v>
      </c>
      <c r="B251" t="str">
        <f ca="1">IFERROR(__xludf.DUMMYFUNCTION("""COMPUTED_VALUE"""),"T244")</f>
        <v>T244</v>
      </c>
      <c r="C251" t="str">
        <f ca="1">IFERROR(__xludf.DUMMYFUNCTION("""COMPUTED_VALUE"""),"Matt Wallace")</f>
        <v>Matt Wallace</v>
      </c>
      <c r="D251">
        <f ca="1">IFERROR(__xludf.DUMMYFUNCTION("""COMPUTED_VALUE"""),4)</f>
        <v>4</v>
      </c>
      <c r="E251">
        <f ca="1">IFERROR(__xludf.DUMMYFUNCTION("""COMPUTED_VALUE"""),4.15)</f>
        <v>4.1500000000000004</v>
      </c>
      <c r="F251">
        <f ca="1">IFERROR(__xludf.DUMMYFUNCTION("""COMPUTED_VALUE"""),199)</f>
        <v>199</v>
      </c>
      <c r="G251">
        <f ca="1">IFERROR(__xludf.DUMMYFUNCTION("""COMPUTED_VALUE"""),48)</f>
        <v>48</v>
      </c>
    </row>
    <row r="252" spans="1:7" ht="12.75">
      <c r="A252" t="str">
        <f ca="1">IFERROR(__xludf.DUMMYFUNCTION("""COMPUTED_VALUE"""),"T244")</f>
        <v>T244</v>
      </c>
      <c r="B252" t="str">
        <f ca="1">IFERROR(__xludf.DUMMYFUNCTION("""COMPUTED_VALUE"""),"T244")</f>
        <v>T244</v>
      </c>
      <c r="C252" t="str">
        <f ca="1">IFERROR(__xludf.DUMMYFUNCTION("""COMPUTED_VALUE"""),"Rasmus Hojgaard")</f>
        <v>Rasmus Hojgaard</v>
      </c>
      <c r="D252">
        <f ca="1">IFERROR(__xludf.DUMMYFUNCTION("""COMPUTED_VALUE"""),6)</f>
        <v>6</v>
      </c>
      <c r="E252">
        <f ca="1">IFERROR(__xludf.DUMMYFUNCTION("""COMPUTED_VALUE"""),4.15)</f>
        <v>4.1500000000000004</v>
      </c>
      <c r="F252">
        <f ca="1">IFERROR(__xludf.DUMMYFUNCTION("""COMPUTED_VALUE"""),282)</f>
        <v>282</v>
      </c>
      <c r="G252">
        <f ca="1">IFERROR(__xludf.DUMMYFUNCTION("""COMPUTED_VALUE"""),68)</f>
        <v>68</v>
      </c>
    </row>
    <row r="253" spans="1:7" ht="12.75">
      <c r="A253" t="str">
        <f ca="1">IFERROR(__xludf.DUMMYFUNCTION("""COMPUTED_VALUE"""),"T252")</f>
        <v>T252</v>
      </c>
      <c r="B253" t="str">
        <f ca="1">IFERROR(__xludf.DUMMYFUNCTION("""COMPUTED_VALUE"""),"T250")</f>
        <v>T250</v>
      </c>
      <c r="C253" t="str">
        <f ca="1">IFERROR(__xludf.DUMMYFUNCTION("""COMPUTED_VALUE"""),"Ian Poulter")</f>
        <v>Ian Poulter</v>
      </c>
      <c r="D253">
        <f ca="1">IFERROR(__xludf.DUMMYFUNCTION("""COMPUTED_VALUE"""),6)</f>
        <v>6</v>
      </c>
      <c r="E253">
        <f ca="1">IFERROR(__xludf.DUMMYFUNCTION("""COMPUTED_VALUE"""),4.16)</f>
        <v>4.16</v>
      </c>
      <c r="F253">
        <f ca="1">IFERROR(__xludf.DUMMYFUNCTION("""COMPUTED_VALUE"""),266)</f>
        <v>266</v>
      </c>
      <c r="G253">
        <f ca="1">IFERROR(__xludf.DUMMYFUNCTION("""COMPUTED_VALUE"""),64)</f>
        <v>64</v>
      </c>
    </row>
    <row r="254" spans="1:7" ht="12.75">
      <c r="A254" t="str">
        <f ca="1">IFERROR(__xludf.DUMMYFUNCTION("""COMPUTED_VALUE"""),"T252")</f>
        <v>T252</v>
      </c>
      <c r="B254" t="str">
        <f ca="1">IFERROR(__xludf.DUMMYFUNCTION("""COMPUTED_VALUE"""),"T250")</f>
        <v>T250</v>
      </c>
      <c r="C254" t="str">
        <f ca="1">IFERROR(__xludf.DUMMYFUNCTION("""COMPUTED_VALUE"""),"Zack Sucher")</f>
        <v>Zack Sucher</v>
      </c>
      <c r="D254">
        <f ca="1">IFERROR(__xludf.DUMMYFUNCTION("""COMPUTED_VALUE"""),6)</f>
        <v>6</v>
      </c>
      <c r="E254">
        <f ca="1">IFERROR(__xludf.DUMMYFUNCTION("""COMPUTED_VALUE"""),4.16)</f>
        <v>4.16</v>
      </c>
      <c r="F254">
        <f ca="1">IFERROR(__xludf.DUMMYFUNCTION("""COMPUTED_VALUE"""),258)</f>
        <v>258</v>
      </c>
      <c r="G254">
        <f ca="1">IFERROR(__xludf.DUMMYFUNCTION("""COMPUTED_VALUE"""),62)</f>
        <v>62</v>
      </c>
    </row>
    <row r="255" spans="1:7" ht="12.75">
      <c r="A255" t="str">
        <f ca="1">IFERROR(__xludf.DUMMYFUNCTION("""COMPUTED_VALUE"""),"T252")</f>
        <v>T252</v>
      </c>
      <c r="B255" t="str">
        <f ca="1">IFERROR(__xludf.DUMMYFUNCTION("""COMPUTED_VALUE"""),"T250")</f>
        <v>T250</v>
      </c>
      <c r="C255" t="str">
        <f ca="1">IFERROR(__xludf.DUMMYFUNCTION("""COMPUTED_VALUE"""),"Thomas Detry")</f>
        <v>Thomas Detry</v>
      </c>
      <c r="D255">
        <f ca="1">IFERROR(__xludf.DUMMYFUNCTION("""COMPUTED_VALUE"""),8)</f>
        <v>8</v>
      </c>
      <c r="E255">
        <f ca="1">IFERROR(__xludf.DUMMYFUNCTION("""COMPUTED_VALUE"""),4.16)</f>
        <v>4.16</v>
      </c>
      <c r="F255">
        <f ca="1">IFERROR(__xludf.DUMMYFUNCTION("""COMPUTED_VALUE"""),366)</f>
        <v>366</v>
      </c>
      <c r="G255">
        <f ca="1">IFERROR(__xludf.DUMMYFUNCTION("""COMPUTED_VALUE"""),88)</f>
        <v>88</v>
      </c>
    </row>
    <row r="256" spans="1:7" ht="12.75">
      <c r="A256" t="str">
        <f ca="1">IFERROR(__xludf.DUMMYFUNCTION("""COMPUTED_VALUE"""),"T252")</f>
        <v>T252</v>
      </c>
      <c r="B256" t="str">
        <f ca="1">IFERROR(__xludf.DUMMYFUNCTION("""COMPUTED_VALUE"""),"T250")</f>
        <v>T250</v>
      </c>
      <c r="C256" t="str">
        <f ca="1">IFERROR(__xludf.DUMMYFUNCTION("""COMPUTED_VALUE"""),"Rikuya Hoshino")</f>
        <v>Rikuya Hoshino</v>
      </c>
      <c r="D256">
        <f ca="1">IFERROR(__xludf.DUMMYFUNCTION("""COMPUTED_VALUE"""),4)</f>
        <v>4</v>
      </c>
      <c r="E256">
        <f ca="1">IFERROR(__xludf.DUMMYFUNCTION("""COMPUTED_VALUE"""),4.16)</f>
        <v>4.16</v>
      </c>
      <c r="F256">
        <f ca="1">IFERROR(__xludf.DUMMYFUNCTION("""COMPUTED_VALUE"""),133)</f>
        <v>133</v>
      </c>
      <c r="G256">
        <f ca="1">IFERROR(__xludf.DUMMYFUNCTION("""COMPUTED_VALUE"""),32)</f>
        <v>32</v>
      </c>
    </row>
    <row r="257" spans="1:7" ht="12.75">
      <c r="A257" t="str">
        <f ca="1">IFERROR(__xludf.DUMMYFUNCTION("""COMPUTED_VALUE"""),"T252")</f>
        <v>T252</v>
      </c>
      <c r="B257" t="str">
        <f ca="1">IFERROR(__xludf.DUMMYFUNCTION("""COMPUTED_VALUE"""),"T250")</f>
        <v>T250</v>
      </c>
      <c r="C257" t="str">
        <f ca="1">IFERROR(__xludf.DUMMYFUNCTION("""COMPUTED_VALUE"""),"Kurt Kitayama")</f>
        <v>Kurt Kitayama</v>
      </c>
      <c r="D257">
        <f ca="1">IFERROR(__xludf.DUMMYFUNCTION("""COMPUTED_VALUE"""),4)</f>
        <v>4</v>
      </c>
      <c r="E257">
        <f ca="1">IFERROR(__xludf.DUMMYFUNCTION("""COMPUTED_VALUE"""),4.16)</f>
        <v>4.16</v>
      </c>
      <c r="F257">
        <f ca="1">IFERROR(__xludf.DUMMYFUNCTION("""COMPUTED_VALUE"""),183)</f>
        <v>183</v>
      </c>
      <c r="G257">
        <f ca="1">IFERROR(__xludf.DUMMYFUNCTION("""COMPUTED_VALUE"""),44)</f>
        <v>44</v>
      </c>
    </row>
    <row r="258" spans="1:7" ht="12.75">
      <c r="A258" t="str">
        <f ca="1">IFERROR(__xludf.DUMMYFUNCTION("""COMPUTED_VALUE"""),"T257")</f>
        <v>T257</v>
      </c>
      <c r="B258" t="str">
        <f ca="1">IFERROR(__xludf.DUMMYFUNCTION("""COMPUTED_VALUE"""),"T273")</f>
        <v>T273</v>
      </c>
      <c r="C258" t="str">
        <f ca="1">IFERROR(__xludf.DUMMYFUNCTION("""COMPUTED_VALUE"""),"Adam Scott")</f>
        <v>Adam Scott</v>
      </c>
      <c r="D258">
        <f ca="1">IFERROR(__xludf.DUMMYFUNCTION("""COMPUTED_VALUE"""),8)</f>
        <v>8</v>
      </c>
      <c r="E258">
        <f ca="1">IFERROR(__xludf.DUMMYFUNCTION("""COMPUTED_VALUE"""),4.17)</f>
        <v>4.17</v>
      </c>
      <c r="F258">
        <f ca="1">IFERROR(__xludf.DUMMYFUNCTION("""COMPUTED_VALUE"""),367)</f>
        <v>367</v>
      </c>
      <c r="G258">
        <f ca="1">IFERROR(__xludf.DUMMYFUNCTION("""COMPUTED_VALUE"""),88)</f>
        <v>88</v>
      </c>
    </row>
    <row r="259" spans="1:7" ht="12.75">
      <c r="A259" t="str">
        <f ca="1">IFERROR(__xludf.DUMMYFUNCTION("""COMPUTED_VALUE"""),"T257")</f>
        <v>T257</v>
      </c>
      <c r="B259" t="str">
        <f ca="1">IFERROR(__xludf.DUMMYFUNCTION("""COMPUTED_VALUE"""),"T256")</f>
        <v>T256</v>
      </c>
      <c r="C259" t="str">
        <f ca="1">IFERROR(__xludf.DUMMYFUNCTION("""COMPUTED_VALUE"""),"Brendon Todd")</f>
        <v>Brendon Todd</v>
      </c>
      <c r="D259">
        <f ca="1">IFERROR(__xludf.DUMMYFUNCTION("""COMPUTED_VALUE"""),14)</f>
        <v>14</v>
      </c>
      <c r="E259">
        <f ca="1">IFERROR(__xludf.DUMMYFUNCTION("""COMPUTED_VALUE"""),4.17)</f>
        <v>4.17</v>
      </c>
      <c r="F259">
        <f ca="1">IFERROR(__xludf.DUMMYFUNCTION("""COMPUTED_VALUE"""),592)</f>
        <v>592</v>
      </c>
      <c r="G259">
        <f ca="1">IFERROR(__xludf.DUMMYFUNCTION("""COMPUTED_VALUE"""),142)</f>
        <v>142</v>
      </c>
    </row>
    <row r="260" spans="1:7" ht="12.75">
      <c r="A260" t="str">
        <f ca="1">IFERROR(__xludf.DUMMYFUNCTION("""COMPUTED_VALUE"""),"T259")</f>
        <v>T259</v>
      </c>
      <c r="B260" t="str">
        <f ca="1">IFERROR(__xludf.DUMMYFUNCTION("""COMPUTED_VALUE"""),"T241")</f>
        <v>T241</v>
      </c>
      <c r="C260" t="str">
        <f ca="1">IFERROR(__xludf.DUMMYFUNCTION("""COMPUTED_VALUE"""),"Graham DeLaet")</f>
        <v>Graham DeLaet</v>
      </c>
      <c r="D260">
        <f ca="1">IFERROR(__xludf.DUMMYFUNCTION("""COMPUTED_VALUE"""),9)</f>
        <v>9</v>
      </c>
      <c r="E260">
        <f ca="1">IFERROR(__xludf.DUMMYFUNCTION("""COMPUTED_VALUE"""),4.18)</f>
        <v>4.18</v>
      </c>
      <c r="F260">
        <f ca="1">IFERROR(__xludf.DUMMYFUNCTION("""COMPUTED_VALUE"""),393)</f>
        <v>393</v>
      </c>
      <c r="G260">
        <f ca="1">IFERROR(__xludf.DUMMYFUNCTION("""COMPUTED_VALUE"""),94)</f>
        <v>94</v>
      </c>
    </row>
    <row r="261" spans="1:7" ht="12.75">
      <c r="A261" t="str">
        <f ca="1">IFERROR(__xludf.DUMMYFUNCTION("""COMPUTED_VALUE"""),"T259")</f>
        <v>T259</v>
      </c>
      <c r="B261" t="str">
        <f ca="1">IFERROR(__xludf.DUMMYFUNCTION("""COMPUTED_VALUE"""),"T259")</f>
        <v>T259</v>
      </c>
      <c r="C261" t="str">
        <f ca="1">IFERROR(__xludf.DUMMYFUNCTION("""COMPUTED_VALUE"""),"Eric Dugas")</f>
        <v>Eric Dugas</v>
      </c>
      <c r="D261">
        <f ca="1">IFERROR(__xludf.DUMMYFUNCTION("""COMPUTED_VALUE"""),4)</f>
        <v>4</v>
      </c>
      <c r="E261">
        <f ca="1">IFERROR(__xludf.DUMMYFUNCTION("""COMPUTED_VALUE"""),4.18)</f>
        <v>4.18</v>
      </c>
      <c r="F261">
        <f ca="1">IFERROR(__xludf.DUMMYFUNCTION("""COMPUTED_VALUE"""),184)</f>
        <v>184</v>
      </c>
      <c r="G261">
        <f ca="1">IFERROR(__xludf.DUMMYFUNCTION("""COMPUTED_VALUE"""),44)</f>
        <v>44</v>
      </c>
    </row>
    <row r="262" spans="1:7" ht="12.75">
      <c r="A262" t="str">
        <f ca="1">IFERROR(__xludf.DUMMYFUNCTION("""COMPUTED_VALUE"""),"T259")</f>
        <v>T259</v>
      </c>
      <c r="B262" t="str">
        <f ca="1">IFERROR(__xludf.DUMMYFUNCTION("""COMPUTED_VALUE"""),"T261")</f>
        <v>T261</v>
      </c>
      <c r="C262" t="str">
        <f ca="1">IFERROR(__xludf.DUMMYFUNCTION("""COMPUTED_VALUE"""),"Max Homa")</f>
        <v>Max Homa</v>
      </c>
      <c r="D262">
        <f ca="1">IFERROR(__xludf.DUMMYFUNCTION("""COMPUTED_VALUE"""),12)</f>
        <v>12</v>
      </c>
      <c r="E262">
        <f ca="1">IFERROR(__xludf.DUMMYFUNCTION("""COMPUTED_VALUE"""),4.18)</f>
        <v>4.18</v>
      </c>
      <c r="F262">
        <f ca="1">IFERROR(__xludf.DUMMYFUNCTION("""COMPUTED_VALUE"""),544)</f>
        <v>544</v>
      </c>
      <c r="G262">
        <f ca="1">IFERROR(__xludf.DUMMYFUNCTION("""COMPUTED_VALUE"""),130)</f>
        <v>130</v>
      </c>
    </row>
    <row r="263" spans="1:7" ht="12.75">
      <c r="A263" t="str">
        <f ca="1">IFERROR(__xludf.DUMMYFUNCTION("""COMPUTED_VALUE"""),"T259")</f>
        <v>T259</v>
      </c>
      <c r="B263" t="str">
        <f ca="1">IFERROR(__xludf.DUMMYFUNCTION("""COMPUTED_VALUE"""),"T259")</f>
        <v>T259</v>
      </c>
      <c r="C263" t="str">
        <f ca="1">IFERROR(__xludf.DUMMYFUNCTION("""COMPUTED_VALUE"""),"Jazz Janewattananond")</f>
        <v>Jazz Janewattananond</v>
      </c>
      <c r="D263">
        <f ca="1">IFERROR(__xludf.DUMMYFUNCTION("""COMPUTED_VALUE"""),6)</f>
        <v>6</v>
      </c>
      <c r="E263">
        <f ca="1">IFERROR(__xludf.DUMMYFUNCTION("""COMPUTED_VALUE"""),4.18)</f>
        <v>4.18</v>
      </c>
      <c r="F263">
        <f ca="1">IFERROR(__xludf.DUMMYFUNCTION("""COMPUTED_VALUE"""),234)</f>
        <v>234</v>
      </c>
      <c r="G263">
        <f ca="1">IFERROR(__xludf.DUMMYFUNCTION("""COMPUTED_VALUE"""),56)</f>
        <v>56</v>
      </c>
    </row>
    <row r="264" spans="1:7" ht="12.75">
      <c r="A264" t="str">
        <f ca="1">IFERROR(__xludf.DUMMYFUNCTION("""COMPUTED_VALUE"""),"T263")</f>
        <v>T263</v>
      </c>
      <c r="B264" t="str">
        <f ca="1">IFERROR(__xludf.DUMMYFUNCTION("""COMPUTED_VALUE"""),"T256")</f>
        <v>T256</v>
      </c>
      <c r="C264" t="str">
        <f ca="1">IFERROR(__xludf.DUMMYFUNCTION("""COMPUTED_VALUE"""),"Lee Westwood")</f>
        <v>Lee Westwood</v>
      </c>
      <c r="D264">
        <f ca="1">IFERROR(__xludf.DUMMYFUNCTION("""COMPUTED_VALUE"""),6)</f>
        <v>6</v>
      </c>
      <c r="E264">
        <f ca="1">IFERROR(__xludf.DUMMYFUNCTION("""COMPUTED_VALUE"""),4.19)</f>
        <v>4.1900000000000004</v>
      </c>
      <c r="F264">
        <f ca="1">IFERROR(__xludf.DUMMYFUNCTION("""COMPUTED_VALUE"""),285)</f>
        <v>285</v>
      </c>
      <c r="G264">
        <f ca="1">IFERROR(__xludf.DUMMYFUNCTION("""COMPUTED_VALUE"""),68)</f>
        <v>68</v>
      </c>
    </row>
    <row r="265" spans="1:7" ht="12.75">
      <c r="A265" t="str">
        <f ca="1">IFERROR(__xludf.DUMMYFUNCTION("""COMPUTED_VALUE"""),"T263")</f>
        <v>T263</v>
      </c>
      <c r="B265" t="str">
        <f ca="1">IFERROR(__xludf.DUMMYFUNCTION("""COMPUTED_VALUE"""),"T250")</f>
        <v>T250</v>
      </c>
      <c r="C265" t="str">
        <f ca="1">IFERROR(__xludf.DUMMYFUNCTION("""COMPUTED_VALUE"""),"Danny Willett")</f>
        <v>Danny Willett</v>
      </c>
      <c r="D265">
        <f ca="1">IFERROR(__xludf.DUMMYFUNCTION("""COMPUTED_VALUE"""),7)</f>
        <v>7</v>
      </c>
      <c r="E265">
        <f ca="1">IFERROR(__xludf.DUMMYFUNCTION("""COMPUTED_VALUE"""),4.19)</f>
        <v>4.1900000000000004</v>
      </c>
      <c r="F265">
        <f ca="1">IFERROR(__xludf.DUMMYFUNCTION("""COMPUTED_VALUE"""),327)</f>
        <v>327</v>
      </c>
      <c r="G265">
        <f ca="1">IFERROR(__xludf.DUMMYFUNCTION("""COMPUTED_VALUE"""),78)</f>
        <v>78</v>
      </c>
    </row>
    <row r="266" spans="1:7" ht="12.75">
      <c r="A266" t="str">
        <f ca="1">IFERROR(__xludf.DUMMYFUNCTION("""COMPUTED_VALUE"""),"T263")</f>
        <v>T263</v>
      </c>
      <c r="B266" t="str">
        <f ca="1">IFERROR(__xludf.DUMMYFUNCTION("""COMPUTED_VALUE"""),"T261")</f>
        <v>T261</v>
      </c>
      <c r="C266" t="str">
        <f ca="1">IFERROR(__xludf.DUMMYFUNCTION("""COMPUTED_VALUE"""),"Taylor Pendrith")</f>
        <v>Taylor Pendrith</v>
      </c>
      <c r="D266">
        <f ca="1">IFERROR(__xludf.DUMMYFUNCTION("""COMPUTED_VALUE"""),4)</f>
        <v>4</v>
      </c>
      <c r="E266">
        <f ca="1">IFERROR(__xludf.DUMMYFUNCTION("""COMPUTED_VALUE"""),4.19)</f>
        <v>4.1900000000000004</v>
      </c>
      <c r="F266">
        <f ca="1">IFERROR(__xludf.DUMMYFUNCTION("""COMPUTED_VALUE"""),201)</f>
        <v>201</v>
      </c>
      <c r="G266">
        <f ca="1">IFERROR(__xludf.DUMMYFUNCTION("""COMPUTED_VALUE"""),48)</f>
        <v>48</v>
      </c>
    </row>
    <row r="267" spans="1:7" ht="12.75">
      <c r="A267" t="str">
        <f ca="1">IFERROR(__xludf.DUMMYFUNCTION("""COMPUTED_VALUE"""),"T266")</f>
        <v>T266</v>
      </c>
      <c r="B267" t="str">
        <f ca="1">IFERROR(__xludf.DUMMYFUNCTION("""COMPUTED_VALUE"""),"T256")</f>
        <v>T256</v>
      </c>
      <c r="C267" t="str">
        <f ca="1">IFERROR(__xludf.DUMMYFUNCTION("""COMPUTED_VALUE"""),"Kevin Stadler")</f>
        <v>Kevin Stadler</v>
      </c>
      <c r="D267">
        <f ca="1">IFERROR(__xludf.DUMMYFUNCTION("""COMPUTED_VALUE"""),8)</f>
        <v>8</v>
      </c>
      <c r="E267">
        <f ca="1">IFERROR(__xludf.DUMMYFUNCTION("""COMPUTED_VALUE"""),4.2)</f>
        <v>4.2</v>
      </c>
      <c r="F267">
        <f ca="1">IFERROR(__xludf.DUMMYFUNCTION("""COMPUTED_VALUE"""),353)</f>
        <v>353</v>
      </c>
      <c r="G267">
        <f ca="1">IFERROR(__xludf.DUMMYFUNCTION("""COMPUTED_VALUE"""),84)</f>
        <v>84</v>
      </c>
    </row>
    <row r="268" spans="1:7" ht="12.75">
      <c r="A268" t="str">
        <f ca="1">IFERROR(__xludf.DUMMYFUNCTION("""COMPUTED_VALUE"""),"T266")</f>
        <v>T266</v>
      </c>
      <c r="B268" t="str">
        <f ca="1">IFERROR(__xludf.DUMMYFUNCTION("""COMPUTED_VALUE"""),"")</f>
        <v/>
      </c>
      <c r="C268" t="str">
        <f ca="1">IFERROR(__xludf.DUMMYFUNCTION("""COMPUTED_VALUE"""),"Justin Harding")</f>
        <v>Justin Harding</v>
      </c>
      <c r="D268">
        <f ca="1">IFERROR(__xludf.DUMMYFUNCTION("""COMPUTED_VALUE"""),6)</f>
        <v>6</v>
      </c>
      <c r="E268">
        <f ca="1">IFERROR(__xludf.DUMMYFUNCTION("""COMPUTED_VALUE"""),4.2)</f>
        <v>4.2</v>
      </c>
      <c r="F268">
        <f ca="1">IFERROR(__xludf.DUMMYFUNCTION("""COMPUTED_VALUE"""),269)</f>
        <v>269</v>
      </c>
      <c r="G268">
        <f ca="1">IFERROR(__xludf.DUMMYFUNCTION("""COMPUTED_VALUE"""),64)</f>
        <v>64</v>
      </c>
    </row>
    <row r="269" spans="1:7" ht="12.75">
      <c r="A269" t="str">
        <f ca="1">IFERROR(__xludf.DUMMYFUNCTION("""COMPUTED_VALUE"""),"T266")</f>
        <v>T266</v>
      </c>
      <c r="B269" t="str">
        <f ca="1">IFERROR(__xludf.DUMMYFUNCTION("""COMPUTED_VALUE"""),"T244")</f>
        <v>T244</v>
      </c>
      <c r="C269" t="str">
        <f ca="1">IFERROR(__xludf.DUMMYFUNCTION("""COMPUTED_VALUE"""),"Tom Lewis")</f>
        <v>Tom Lewis</v>
      </c>
      <c r="D269">
        <f ca="1">IFERROR(__xludf.DUMMYFUNCTION("""COMPUTED_VALUE"""),12)</f>
        <v>12</v>
      </c>
      <c r="E269">
        <f ca="1">IFERROR(__xludf.DUMMYFUNCTION("""COMPUTED_VALUE"""),4.2)</f>
        <v>4.2</v>
      </c>
      <c r="F269">
        <f ca="1">IFERROR(__xludf.DUMMYFUNCTION("""COMPUTED_VALUE"""),546)</f>
        <v>546</v>
      </c>
      <c r="G269">
        <f ca="1">IFERROR(__xludf.DUMMYFUNCTION("""COMPUTED_VALUE"""),130)</f>
        <v>130</v>
      </c>
    </row>
    <row r="270" spans="1:7" ht="12.75">
      <c r="A270" t="str">
        <f ca="1">IFERROR(__xludf.DUMMYFUNCTION("""COMPUTED_VALUE"""),"T269")</f>
        <v>T269</v>
      </c>
      <c r="B270" t="str">
        <f ca="1">IFERROR(__xludf.DUMMYFUNCTION("""COMPUTED_VALUE"""),"T263")</f>
        <v>T263</v>
      </c>
      <c r="C270" t="str">
        <f ca="1">IFERROR(__xludf.DUMMYFUNCTION("""COMPUTED_VALUE"""),"Tiger Woods")</f>
        <v>Tiger Woods</v>
      </c>
      <c r="D270">
        <f ca="1">IFERROR(__xludf.DUMMYFUNCTION("""COMPUTED_VALUE"""),6)</f>
        <v>6</v>
      </c>
      <c r="E270">
        <f ca="1">IFERROR(__xludf.DUMMYFUNCTION("""COMPUTED_VALUE"""),4.21)</f>
        <v>4.21</v>
      </c>
      <c r="F270">
        <f ca="1">IFERROR(__xludf.DUMMYFUNCTION("""COMPUTED_VALUE"""),236)</f>
        <v>236</v>
      </c>
      <c r="G270">
        <f ca="1">IFERROR(__xludf.DUMMYFUNCTION("""COMPUTED_VALUE"""),56)</f>
        <v>56</v>
      </c>
    </row>
    <row r="271" spans="1:7" ht="12.75">
      <c r="A271" t="str">
        <f ca="1">IFERROR(__xludf.DUMMYFUNCTION("""COMPUTED_VALUE"""),"T269")</f>
        <v>T269</v>
      </c>
      <c r="B271" t="str">
        <f ca="1">IFERROR(__xludf.DUMMYFUNCTION("""COMPUTED_VALUE"""),"T263")</f>
        <v>T263</v>
      </c>
      <c r="C271" t="str">
        <f ca="1">IFERROR(__xludf.DUMMYFUNCTION("""COMPUTED_VALUE"""),"Bernd Wiesberger")</f>
        <v>Bernd Wiesberger</v>
      </c>
      <c r="D271">
        <f ca="1">IFERROR(__xludf.DUMMYFUNCTION("""COMPUTED_VALUE"""),4)</f>
        <v>4</v>
      </c>
      <c r="E271">
        <f ca="1">IFERROR(__xludf.DUMMYFUNCTION("""COMPUTED_VALUE"""),4.21)</f>
        <v>4.21</v>
      </c>
      <c r="F271">
        <f ca="1">IFERROR(__xludf.DUMMYFUNCTION("""COMPUTED_VALUE"""),202)</f>
        <v>202</v>
      </c>
      <c r="G271">
        <f ca="1">IFERROR(__xludf.DUMMYFUNCTION("""COMPUTED_VALUE"""),48)</f>
        <v>48</v>
      </c>
    </row>
    <row r="272" spans="1:7" ht="12.75">
      <c r="A272" t="str">
        <f ca="1">IFERROR(__xludf.DUMMYFUNCTION("""COMPUTED_VALUE"""),"T269")</f>
        <v>T269</v>
      </c>
      <c r="B272">
        <f ca="1">IFERROR(__xludf.DUMMYFUNCTION("""COMPUTED_VALUE"""),276)</f>
        <v>276</v>
      </c>
      <c r="C272" t="str">
        <f ca="1">IFERROR(__xludf.DUMMYFUNCTION("""COMPUTED_VALUE"""),"Michael Thompson")</f>
        <v>Michael Thompson</v>
      </c>
      <c r="D272">
        <f ca="1">IFERROR(__xludf.DUMMYFUNCTION("""COMPUTED_VALUE"""),16)</f>
        <v>16</v>
      </c>
      <c r="E272">
        <f ca="1">IFERROR(__xludf.DUMMYFUNCTION("""COMPUTED_VALUE"""),4.21)</f>
        <v>4.21</v>
      </c>
      <c r="F272">
        <f ca="1">IFERROR(__xludf.DUMMYFUNCTION("""COMPUTED_VALUE"""),674)</f>
        <v>674</v>
      </c>
      <c r="G272">
        <f ca="1">IFERROR(__xludf.DUMMYFUNCTION("""COMPUTED_VALUE"""),160)</f>
        <v>160</v>
      </c>
    </row>
    <row r="273" spans="1:7" ht="12.75">
      <c r="A273" t="str">
        <f ca="1">IFERROR(__xludf.DUMMYFUNCTION("""COMPUTED_VALUE"""),"T269")</f>
        <v>T269</v>
      </c>
      <c r="B273" t="str">
        <f ca="1">IFERROR(__xludf.DUMMYFUNCTION("""COMPUTED_VALUE"""),"T263")</f>
        <v>T263</v>
      </c>
      <c r="C273" t="str">
        <f ca="1">IFERROR(__xludf.DUMMYFUNCTION("""COMPUTED_VALUE"""),"Shawn Stefani")</f>
        <v>Shawn Stefani</v>
      </c>
      <c r="D273">
        <f ca="1">IFERROR(__xludf.DUMMYFUNCTION("""COMPUTED_VALUE"""),5)</f>
        <v>5</v>
      </c>
      <c r="E273">
        <f ca="1">IFERROR(__xludf.DUMMYFUNCTION("""COMPUTED_VALUE"""),4.21)</f>
        <v>4.21</v>
      </c>
      <c r="F273">
        <f ca="1">IFERROR(__xludf.DUMMYFUNCTION("""COMPUTED_VALUE"""),219)</f>
        <v>219</v>
      </c>
      <c r="G273">
        <f ca="1">IFERROR(__xludf.DUMMYFUNCTION("""COMPUTED_VALUE"""),52)</f>
        <v>52</v>
      </c>
    </row>
    <row r="274" spans="1:7" ht="12.75">
      <c r="A274">
        <f ca="1">IFERROR(__xludf.DUMMYFUNCTION("""COMPUTED_VALUE"""),273)</f>
        <v>273</v>
      </c>
      <c r="B274">
        <f ca="1">IFERROR(__xludf.DUMMYFUNCTION("""COMPUTED_VALUE"""),267)</f>
        <v>267</v>
      </c>
      <c r="C274" t="str">
        <f ca="1">IFERROR(__xludf.DUMMYFUNCTION("""COMPUTED_VALUE"""),"Matt Every")</f>
        <v>Matt Every</v>
      </c>
      <c r="D274">
        <f ca="1">IFERROR(__xludf.DUMMYFUNCTION("""COMPUTED_VALUE"""),8)</f>
        <v>8</v>
      </c>
      <c r="E274">
        <f ca="1">IFERROR(__xludf.DUMMYFUNCTION("""COMPUTED_VALUE"""),4.22)</f>
        <v>4.22</v>
      </c>
      <c r="F274">
        <f ca="1">IFERROR(__xludf.DUMMYFUNCTION("""COMPUTED_VALUE"""),346)</f>
        <v>346</v>
      </c>
      <c r="G274">
        <f ca="1">IFERROR(__xludf.DUMMYFUNCTION("""COMPUTED_VALUE"""),82)</f>
        <v>82</v>
      </c>
    </row>
    <row r="275" spans="1:7" ht="12.75">
      <c r="A275" t="str">
        <f ca="1">IFERROR(__xludf.DUMMYFUNCTION("""COMPUTED_VALUE"""),"T274")</f>
        <v>T274</v>
      </c>
      <c r="B275" t="str">
        <f ca="1">IFERROR(__xludf.DUMMYFUNCTION("""COMPUTED_VALUE"""),"T268")</f>
        <v>T268</v>
      </c>
      <c r="C275" t="str">
        <f ca="1">IFERROR(__xludf.DUMMYFUNCTION("""COMPUTED_VALUE"""),"Rafael Campos")</f>
        <v>Rafael Campos</v>
      </c>
      <c r="D275">
        <f ca="1">IFERROR(__xludf.DUMMYFUNCTION("""COMPUTED_VALUE"""),6)</f>
        <v>6</v>
      </c>
      <c r="E275">
        <f ca="1">IFERROR(__xludf.DUMMYFUNCTION("""COMPUTED_VALUE"""),4.23)</f>
        <v>4.2300000000000004</v>
      </c>
      <c r="F275">
        <f ca="1">IFERROR(__xludf.DUMMYFUNCTION("""COMPUTED_VALUE"""),262)</f>
        <v>262</v>
      </c>
      <c r="G275">
        <f ca="1">IFERROR(__xludf.DUMMYFUNCTION("""COMPUTED_VALUE"""),62)</f>
        <v>62</v>
      </c>
    </row>
    <row r="276" spans="1:7" ht="12.75">
      <c r="A276" t="str">
        <f ca="1">IFERROR(__xludf.DUMMYFUNCTION("""COMPUTED_VALUE"""),"T274")</f>
        <v>T274</v>
      </c>
      <c r="B276" t="str">
        <f ca="1">IFERROR(__xludf.DUMMYFUNCTION("""COMPUTED_VALUE"""),"")</f>
        <v/>
      </c>
      <c r="C276" t="str">
        <f ca="1">IFERROR(__xludf.DUMMYFUNCTION("""COMPUTED_VALUE"""),"Erik Barnes")</f>
        <v>Erik Barnes</v>
      </c>
      <c r="D276">
        <f ca="1">IFERROR(__xludf.DUMMYFUNCTION("""COMPUTED_VALUE"""),4)</f>
        <v>4</v>
      </c>
      <c r="E276">
        <f ca="1">IFERROR(__xludf.DUMMYFUNCTION("""COMPUTED_VALUE"""),4.23)</f>
        <v>4.2300000000000004</v>
      </c>
      <c r="F276">
        <f ca="1">IFERROR(__xludf.DUMMYFUNCTION("""COMPUTED_VALUE"""),169)</f>
        <v>169</v>
      </c>
      <c r="G276">
        <f ca="1">IFERROR(__xludf.DUMMYFUNCTION("""COMPUTED_VALUE"""),40)</f>
        <v>40</v>
      </c>
    </row>
    <row r="277" spans="1:7" ht="12.75">
      <c r="A277" t="str">
        <f ca="1">IFERROR(__xludf.DUMMYFUNCTION("""COMPUTED_VALUE"""),"T274")</f>
        <v>T274</v>
      </c>
      <c r="B277" t="str">
        <f ca="1">IFERROR(__xludf.DUMMYFUNCTION("""COMPUTED_VALUE"""),"T268")</f>
        <v>T268</v>
      </c>
      <c r="C277" t="str">
        <f ca="1">IFERROR(__xludf.DUMMYFUNCTION("""COMPUTED_VALUE"""),"Stephan Jaeger")</f>
        <v>Stephan Jaeger</v>
      </c>
      <c r="D277">
        <f ca="1">IFERROR(__xludf.DUMMYFUNCTION("""COMPUTED_VALUE"""),4)</f>
        <v>4</v>
      </c>
      <c r="E277">
        <f ca="1">IFERROR(__xludf.DUMMYFUNCTION("""COMPUTED_VALUE"""),4.23)</f>
        <v>4.2300000000000004</v>
      </c>
      <c r="F277">
        <f ca="1">IFERROR(__xludf.DUMMYFUNCTION("""COMPUTED_VALUE"""),203)</f>
        <v>203</v>
      </c>
      <c r="G277">
        <f ca="1">IFERROR(__xludf.DUMMYFUNCTION("""COMPUTED_VALUE"""),48)</f>
        <v>48</v>
      </c>
    </row>
    <row r="278" spans="1:7" ht="12.75">
      <c r="A278" t="str">
        <f ca="1">IFERROR(__xludf.DUMMYFUNCTION("""COMPUTED_VALUE"""),"T274")</f>
        <v>T274</v>
      </c>
      <c r="B278" t="str">
        <f ca="1">IFERROR(__xludf.DUMMYFUNCTION("""COMPUTED_VALUE"""),"T268")</f>
        <v>T268</v>
      </c>
      <c r="C278" t="str">
        <f ca="1">IFERROR(__xludf.DUMMYFUNCTION("""COMPUTED_VALUE"""),"Lucas Herbert")</f>
        <v>Lucas Herbert</v>
      </c>
      <c r="D278">
        <f ca="1">IFERROR(__xludf.DUMMYFUNCTION("""COMPUTED_VALUE"""),4)</f>
        <v>4</v>
      </c>
      <c r="E278">
        <f ca="1">IFERROR(__xludf.DUMMYFUNCTION("""COMPUTED_VALUE"""),4.23)</f>
        <v>4.2300000000000004</v>
      </c>
      <c r="F278">
        <f ca="1">IFERROR(__xludf.DUMMYFUNCTION("""COMPUTED_VALUE"""),203)</f>
        <v>203</v>
      </c>
      <c r="G278">
        <f ca="1">IFERROR(__xludf.DUMMYFUNCTION("""COMPUTED_VALUE"""),48)</f>
        <v>48</v>
      </c>
    </row>
    <row r="279" spans="1:7" ht="12.75">
      <c r="A279" t="str">
        <f ca="1">IFERROR(__xludf.DUMMYFUNCTION("""COMPUTED_VALUE"""),"T274")</f>
        <v>T274</v>
      </c>
      <c r="B279" t="str">
        <f ca="1">IFERROR(__xludf.DUMMYFUNCTION("""COMPUTED_VALUE"""),"T268")</f>
        <v>T268</v>
      </c>
      <c r="C279" t="str">
        <f ca="1">IFERROR(__xludf.DUMMYFUNCTION("""COMPUTED_VALUE"""),"Jeongwoo Ham")</f>
        <v>Jeongwoo Ham</v>
      </c>
      <c r="D279">
        <f ca="1">IFERROR(__xludf.DUMMYFUNCTION("""COMPUTED_VALUE"""),4)</f>
        <v>4</v>
      </c>
      <c r="E279">
        <f ca="1">IFERROR(__xludf.DUMMYFUNCTION("""COMPUTED_VALUE"""),4.23)</f>
        <v>4.2300000000000004</v>
      </c>
      <c r="F279">
        <f ca="1">IFERROR(__xludf.DUMMYFUNCTION("""COMPUTED_VALUE"""),169)</f>
        <v>169</v>
      </c>
      <c r="G279">
        <f ca="1">IFERROR(__xludf.DUMMYFUNCTION("""COMPUTED_VALUE"""),40)</f>
        <v>40</v>
      </c>
    </row>
    <row r="280" spans="1:7" ht="12.75">
      <c r="A280" t="str">
        <f ca="1">IFERROR(__xludf.DUMMYFUNCTION("""COMPUTED_VALUE"""),"T279")</f>
        <v>T279</v>
      </c>
      <c r="B280">
        <f ca="1">IFERROR(__xludf.DUMMYFUNCTION("""COMPUTED_VALUE"""),282)</f>
        <v>282</v>
      </c>
      <c r="C280" t="str">
        <f ca="1">IFERROR(__xludf.DUMMYFUNCTION("""COMPUTED_VALUE"""),"Graeme McDowell")</f>
        <v>Graeme McDowell</v>
      </c>
      <c r="D280">
        <f ca="1">IFERROR(__xludf.DUMMYFUNCTION("""COMPUTED_VALUE"""),8)</f>
        <v>8</v>
      </c>
      <c r="E280">
        <f ca="1">IFERROR(__xludf.DUMMYFUNCTION("""COMPUTED_VALUE"""),4.24)</f>
        <v>4.24</v>
      </c>
      <c r="F280">
        <f ca="1">IFERROR(__xludf.DUMMYFUNCTION("""COMPUTED_VALUE"""),356)</f>
        <v>356</v>
      </c>
      <c r="G280">
        <f ca="1">IFERROR(__xludf.DUMMYFUNCTION("""COMPUTED_VALUE"""),84)</f>
        <v>84</v>
      </c>
    </row>
    <row r="281" spans="1:7" ht="12.75">
      <c r="A281" t="str">
        <f ca="1">IFERROR(__xludf.DUMMYFUNCTION("""COMPUTED_VALUE"""),"T279")</f>
        <v>T279</v>
      </c>
      <c r="B281" t="str">
        <f ca="1">IFERROR(__xludf.DUMMYFUNCTION("""COMPUTED_VALUE"""),"T268")</f>
        <v>T268</v>
      </c>
      <c r="C281" t="str">
        <f ca="1">IFERROR(__xludf.DUMMYFUNCTION("""COMPUTED_VALUE"""),"Sung Kang")</f>
        <v>Sung Kang</v>
      </c>
      <c r="D281">
        <f ca="1">IFERROR(__xludf.DUMMYFUNCTION("""COMPUTED_VALUE"""),14)</f>
        <v>14</v>
      </c>
      <c r="E281">
        <f ca="1">IFERROR(__xludf.DUMMYFUNCTION("""COMPUTED_VALUE"""),4.24)</f>
        <v>4.24</v>
      </c>
      <c r="F281">
        <f ca="1">IFERROR(__xludf.DUMMYFUNCTION("""COMPUTED_VALUE"""),628)</f>
        <v>628</v>
      </c>
      <c r="G281">
        <f ca="1">IFERROR(__xludf.DUMMYFUNCTION("""COMPUTED_VALUE"""),148)</f>
        <v>148</v>
      </c>
    </row>
    <row r="282" spans="1:7" ht="12.75">
      <c r="A282" t="str">
        <f ca="1">IFERROR(__xludf.DUMMYFUNCTION("""COMPUTED_VALUE"""),"T281")</f>
        <v>T281</v>
      </c>
      <c r="B282" t="str">
        <f ca="1">IFERROR(__xludf.DUMMYFUNCTION("""COMPUTED_VALUE"""),"T273")</f>
        <v>T273</v>
      </c>
      <c r="C282" t="str">
        <f ca="1">IFERROR(__xludf.DUMMYFUNCTION("""COMPUTED_VALUE"""),"Renato Paratore")</f>
        <v>Renato Paratore</v>
      </c>
      <c r="D282">
        <f ca="1">IFERROR(__xludf.DUMMYFUNCTION("""COMPUTED_VALUE"""),4)</f>
        <v>4</v>
      </c>
      <c r="E282">
        <f ca="1">IFERROR(__xludf.DUMMYFUNCTION("""COMPUTED_VALUE"""),4.25)</f>
        <v>4.25</v>
      </c>
      <c r="F282">
        <f ca="1">IFERROR(__xludf.DUMMYFUNCTION("""COMPUTED_VALUE"""),204)</f>
        <v>204</v>
      </c>
      <c r="G282">
        <f ca="1">IFERROR(__xludf.DUMMYFUNCTION("""COMPUTED_VALUE"""),48)</f>
        <v>48</v>
      </c>
    </row>
    <row r="283" spans="1:7" ht="12.75">
      <c r="A283" t="str">
        <f ca="1">IFERROR(__xludf.DUMMYFUNCTION("""COMPUTED_VALUE"""),"T281")</f>
        <v>T281</v>
      </c>
      <c r="B283" t="str">
        <f ca="1">IFERROR(__xludf.DUMMYFUNCTION("""COMPUTED_VALUE"""),"T273")</f>
        <v>T273</v>
      </c>
      <c r="C283" t="str">
        <f ca="1">IFERROR(__xludf.DUMMYFUNCTION("""COMPUTED_VALUE"""),"Davis Riley")</f>
        <v>Davis Riley</v>
      </c>
      <c r="D283">
        <f ca="1">IFERROR(__xludf.DUMMYFUNCTION("""COMPUTED_VALUE"""),4)</f>
        <v>4</v>
      </c>
      <c r="E283">
        <f ca="1">IFERROR(__xludf.DUMMYFUNCTION("""COMPUTED_VALUE"""),4.25)</f>
        <v>4.25</v>
      </c>
      <c r="F283">
        <f ca="1">IFERROR(__xludf.DUMMYFUNCTION("""COMPUTED_VALUE"""),187)</f>
        <v>187</v>
      </c>
      <c r="G283">
        <f ca="1">IFERROR(__xludf.DUMMYFUNCTION("""COMPUTED_VALUE"""),44)</f>
        <v>44</v>
      </c>
    </row>
    <row r="284" spans="1:7" ht="12.75">
      <c r="A284" t="str">
        <f ca="1">IFERROR(__xludf.DUMMYFUNCTION("""COMPUTED_VALUE"""),"T283")</f>
        <v>T283</v>
      </c>
      <c r="B284" t="str">
        <f ca="1">IFERROR(__xludf.DUMMYFUNCTION("""COMPUTED_VALUE"""),"T277")</f>
        <v>T277</v>
      </c>
      <c r="C284" t="str">
        <f ca="1">IFERROR(__xludf.DUMMYFUNCTION("""COMPUTED_VALUE"""),"Romain Langasque")</f>
        <v>Romain Langasque</v>
      </c>
      <c r="D284">
        <f ca="1">IFERROR(__xludf.DUMMYFUNCTION("""COMPUTED_VALUE"""),4)</f>
        <v>4</v>
      </c>
      <c r="E284">
        <f ca="1">IFERROR(__xludf.DUMMYFUNCTION("""COMPUTED_VALUE"""),4.27)</f>
        <v>4.2699999999999996</v>
      </c>
      <c r="F284">
        <f ca="1">IFERROR(__xludf.DUMMYFUNCTION("""COMPUTED_VALUE"""),205)</f>
        <v>205</v>
      </c>
      <c r="G284">
        <f ca="1">IFERROR(__xludf.DUMMYFUNCTION("""COMPUTED_VALUE"""),48)</f>
        <v>48</v>
      </c>
    </row>
    <row r="285" spans="1:7" ht="12.75">
      <c r="A285" t="str">
        <f ca="1">IFERROR(__xludf.DUMMYFUNCTION("""COMPUTED_VALUE"""),"T283")</f>
        <v>T283</v>
      </c>
      <c r="B285" t="str">
        <f ca="1">IFERROR(__xludf.DUMMYFUNCTION("""COMPUTED_VALUE"""),"T277")</f>
        <v>T277</v>
      </c>
      <c r="C285" t="str">
        <f ca="1">IFERROR(__xludf.DUMMYFUNCTION("""COMPUTED_VALUE"""),"John Pak")</f>
        <v>John Pak</v>
      </c>
      <c r="D285">
        <f ca="1">IFERROR(__xludf.DUMMYFUNCTION("""COMPUTED_VALUE"""),4)</f>
        <v>4</v>
      </c>
      <c r="E285">
        <f ca="1">IFERROR(__xludf.DUMMYFUNCTION("""COMPUTED_VALUE"""),4.27)</f>
        <v>4.2699999999999996</v>
      </c>
      <c r="F285">
        <f ca="1">IFERROR(__xludf.DUMMYFUNCTION("""COMPUTED_VALUE"""),205)</f>
        <v>205</v>
      </c>
      <c r="G285">
        <f ca="1">IFERROR(__xludf.DUMMYFUNCTION("""COMPUTED_VALUE"""),48)</f>
        <v>48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IFERROR(__xludf.DUMMYFUNCTION("""COMPUTED_VALUE"""),279)</f>
        <v>279</v>
      </c>
      <c r="C286" t="str">
        <f ca="1">IFERROR(__xludf.DUMMYFUNCTION("""COMPUTED_VALUE"""),"Shugo Imahira")</f>
        <v>Shugo Imahira</v>
      </c>
      <c r="D286">
        <f ca="1">IFERROR(__xludf.DUMMYFUNCTION("""COMPUTED_VALUE"""),8)</f>
        <v>8</v>
      </c>
      <c r="E286">
        <f ca="1">IFERROR(__xludf.DUMMYFUNCTION("""COMPUTED_VALUE"""),4.29)</f>
        <v>4.29</v>
      </c>
      <c r="F286">
        <f ca="1">IFERROR(__xludf.DUMMYFUNCTION("""COMPUTED_VALUE"""),343)</f>
        <v>343</v>
      </c>
      <c r="G286">
        <f ca="1">IFERROR(__xludf.DUMMYFUNCTION("""COMPUTED_VALUE"""),80)</f>
        <v>80</v>
      </c>
    </row>
    <row r="287" spans="1:7" ht="12.75">
      <c r="A287" t="str">
        <f ca="1">IFERROR(__xludf.DUMMYFUNCTION("""COMPUTED_VALUE"""),"T286")</f>
        <v>T286</v>
      </c>
      <c r="B287" t="str">
        <f ca="1">IFERROR(__xludf.DUMMYFUNCTION("""COMPUTED_VALUE"""),"T280")</f>
        <v>T280</v>
      </c>
      <c r="C287" t="str">
        <f ca="1">IFERROR(__xludf.DUMMYFUNCTION("""COMPUTED_VALUE"""),"Christiaan Bezuidenhout")</f>
        <v>Christiaan Bezuidenhout</v>
      </c>
      <c r="D287">
        <f ca="1">IFERROR(__xludf.DUMMYFUNCTION("""COMPUTED_VALUE"""),4)</f>
        <v>4</v>
      </c>
      <c r="E287">
        <f ca="1">IFERROR(__xludf.DUMMYFUNCTION("""COMPUTED_VALUE"""),4.31)</f>
        <v>4.3099999999999996</v>
      </c>
      <c r="F287">
        <f ca="1">IFERROR(__xludf.DUMMYFUNCTION("""COMPUTED_VALUE"""),207)</f>
        <v>207</v>
      </c>
      <c r="G287">
        <f ca="1">IFERROR(__xludf.DUMMYFUNCTION("""COMPUTED_VALUE"""),48)</f>
        <v>48</v>
      </c>
    </row>
    <row r="288" spans="1:7" ht="12.75">
      <c r="A288" t="str">
        <f ca="1">IFERROR(__xludf.DUMMYFUNCTION("""COMPUTED_VALUE"""),"T286")</f>
        <v>T286</v>
      </c>
      <c r="B288" t="str">
        <f ca="1">IFERROR(__xludf.DUMMYFUNCTION("""COMPUTED_VALUE"""),"T280")</f>
        <v>T280</v>
      </c>
      <c r="C288" t="str">
        <f ca="1">IFERROR(__xludf.DUMMYFUNCTION("""COMPUTED_VALUE"""),"Robert MacIntyre")</f>
        <v>Robert MacIntyre</v>
      </c>
      <c r="D288">
        <f ca="1">IFERROR(__xludf.DUMMYFUNCTION("""COMPUTED_VALUE"""),4)</f>
        <v>4</v>
      </c>
      <c r="E288">
        <f ca="1">IFERROR(__xludf.DUMMYFUNCTION("""COMPUTED_VALUE"""),4.31)</f>
        <v>4.3099999999999996</v>
      </c>
      <c r="F288">
        <f ca="1">IFERROR(__xludf.DUMMYFUNCTION("""COMPUTED_VALUE"""),207)</f>
        <v>207</v>
      </c>
      <c r="G288">
        <f ca="1">IFERROR(__xludf.DUMMYFUNCTION("""COMPUTED_VALUE"""),48)</f>
        <v>48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IFERROR(__xludf.DUMMYFUNCTION("""COMPUTED_VALUE"""),"Gary Woodland")</f>
        <v>Gary Woodland</v>
      </c>
      <c r="D289">
        <f ca="1">IFERROR(__xludf.DUMMYFUNCTION("""COMPUTED_VALUE"""),6)</f>
        <v>6</v>
      </c>
      <c r="E289">
        <f ca="1">IFERROR(__xludf.DUMMYFUNCTION("""COMPUTED_VALUE"""),4.34)</f>
        <v>4.34</v>
      </c>
      <c r="F289">
        <f ca="1">IFERROR(__xludf.DUMMYFUNCTION("""COMPUTED_VALUE"""),278)</f>
        <v>278</v>
      </c>
      <c r="G289">
        <f ca="1">IFERROR(__xludf.DUMMYFUNCTION("""COMPUTED_VALUE"""),64)</f>
        <v>64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IFERROR(__xludf.DUMMYFUNCTION("""COMPUTED_VALUE"""),"Parker McLachlin")</f>
        <v>Parker McLachlin</v>
      </c>
      <c r="D290">
        <f ca="1">IFERROR(__xludf.DUMMYFUNCTION("""COMPUTED_VALUE"""),4)</f>
        <v>4</v>
      </c>
      <c r="E290">
        <f ca="1">IFERROR(__xludf.DUMMYFUNCTION("""COMPUTED_VALUE"""),4.4)</f>
        <v>4.4000000000000004</v>
      </c>
      <c r="F290">
        <f ca="1">IFERROR(__xludf.DUMMYFUNCTION("""COMPUTED_VALUE"""),176)</f>
        <v>176</v>
      </c>
      <c r="G290">
        <f ca="1">IFERROR(__xludf.DUMMYFUNCTION("""COMPUTED_VALUE"""),40)</f>
        <v>40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G290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IFERROR(__xludf.DUMMYFUNCTION("importhtml(""http://www.pgatour.com/stats/stat.144.html"",""table"",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IFERROR(__xludf.DUMMYFUNCTION("""COMPUTED_VALUE"""),"ROUNDS")</f>
        <v>ROUNDS</v>
      </c>
      <c r="E1" t="str">
        <f ca="1">IFERROR(__xludf.DUMMYFUNCTION("""COMPUTED_VALUE"""),"AVG")</f>
        <v>AVG</v>
      </c>
      <c r="F1" t="str">
        <f ca="1">IFERROR(__xludf.DUMMYFUNCTION("""COMPUTED_VALUE"""),"TOTAL STROKES")</f>
        <v>TOTAL STROKES</v>
      </c>
      <c r="G1" t="str">
        <f ca="1">IFERROR(__xludf.DUMMYFUNCTION("""COMPUTED_VALUE"""),"TOTAL HOLES")</f>
        <v>TOTAL HOLES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IFERROR(__xludf.DUMMYFUNCTION("""COMPUTED_VALUE"""),"T2")</f>
        <v>T2</v>
      </c>
      <c r="C2" t="str">
        <f ca="1">IFERROR(__xludf.DUMMYFUNCTION("""COMPUTED_VALUE"""),"Bud Cauley")</f>
        <v>Bud Cauley</v>
      </c>
      <c r="D2">
        <f ca="1">IFERROR(__xludf.DUMMYFUNCTION("""COMPUTED_VALUE"""),4)</f>
        <v>4</v>
      </c>
      <c r="E2">
        <f ca="1">IFERROR(__xludf.DUMMYFUNCTION("""COMPUTED_VALUE"""),4.25)</f>
        <v>4.25</v>
      </c>
      <c r="F2">
        <f ca="1">IFERROR(__xludf.DUMMYFUNCTION("""COMPUTED_VALUE"""),68)</f>
        <v>68</v>
      </c>
      <c r="G2">
        <f ca="1">IFERROR(__xludf.DUMMYFUNCTION("""COMPUTED_VALUE"""),16)</f>
        <v>16</v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IFERROR(__xludf.DUMMYFUNCTION("""COMPUTED_VALUE"""),"T2")</f>
        <v>T2</v>
      </c>
      <c r="C3" t="str">
        <f ca="1">IFERROR(__xludf.DUMMYFUNCTION("""COMPUTED_VALUE"""),"Patrick Reed")</f>
        <v>Patrick Reed</v>
      </c>
      <c r="D3">
        <f ca="1">IFERROR(__xludf.DUMMYFUNCTION("""COMPUTED_VALUE"""),8)</f>
        <v>8</v>
      </c>
      <c r="E3">
        <f ca="1">IFERROR(__xludf.DUMMYFUNCTION("""COMPUTED_VALUE"""),4.25)</f>
        <v>4.25</v>
      </c>
      <c r="F3">
        <f ca="1">IFERROR(__xludf.DUMMYFUNCTION("""COMPUTED_VALUE"""),119)</f>
        <v>119</v>
      </c>
      <c r="G3">
        <f ca="1">IFERROR(__xludf.DUMMYFUNCTION("""COMPUTED_VALUE"""),28)</f>
        <v>28</v>
      </c>
    </row>
    <row r="4" spans="1:7" ht="15.75" customHeight="1">
      <c r="A4">
        <f ca="1">IFERROR(__xludf.DUMMYFUNCTION("""COMPUTED_VALUE"""),3)</f>
        <v>3</v>
      </c>
      <c r="B4">
        <f ca="1">IFERROR(__xludf.DUMMYFUNCTION("""COMPUTED_VALUE"""),5)</f>
        <v>5</v>
      </c>
      <c r="C4" t="str">
        <f ca="1">IFERROR(__xludf.DUMMYFUNCTION("""COMPUTED_VALUE"""),"Cameron Smith")</f>
        <v>Cameron Smith</v>
      </c>
      <c r="D4">
        <f ca="1">IFERROR(__xludf.DUMMYFUNCTION("""COMPUTED_VALUE"""),16)</f>
        <v>16</v>
      </c>
      <c r="E4">
        <f ca="1">IFERROR(__xludf.DUMMYFUNCTION("""COMPUTED_VALUE"""),4.34)</f>
        <v>4.34</v>
      </c>
      <c r="F4">
        <f ca="1">IFERROR(__xludf.DUMMYFUNCTION("""COMPUTED_VALUE"""),243)</f>
        <v>243</v>
      </c>
      <c r="G4">
        <f ca="1">IFERROR(__xludf.DUMMYFUNCTION("""COMPUTED_VALUE"""),56)</f>
        <v>56</v>
      </c>
    </row>
    <row r="5" spans="1:7" ht="15.75" customHeight="1">
      <c r="A5">
        <f ca="1">IFERROR(__xludf.DUMMYFUNCTION("""COMPUTED_VALUE"""),4)</f>
        <v>4</v>
      </c>
      <c r="B5">
        <f ca="1">IFERROR(__xludf.DUMMYFUNCTION("""COMPUTED_VALUE"""),8)</f>
        <v>8</v>
      </c>
      <c r="C5" t="str">
        <f ca="1">IFERROR(__xludf.DUMMYFUNCTION("""COMPUTED_VALUE"""),"Justin Suh")</f>
        <v>Justin Suh</v>
      </c>
      <c r="D5">
        <f ca="1">IFERROR(__xludf.DUMMYFUNCTION("""COMPUTED_VALUE"""),10)</f>
        <v>10</v>
      </c>
      <c r="E5">
        <f ca="1">IFERROR(__xludf.DUMMYFUNCTION("""COMPUTED_VALUE"""),4.38)</f>
        <v>4.38</v>
      </c>
      <c r="F5">
        <f ca="1">IFERROR(__xludf.DUMMYFUNCTION("""COMPUTED_VALUE"""),149)</f>
        <v>149</v>
      </c>
      <c r="G5">
        <f ca="1">IFERROR(__xludf.DUMMYFUNCTION("""COMPUTED_VALUE"""),34)</f>
        <v>34</v>
      </c>
    </row>
    <row r="6" spans="1:7" ht="15.75" customHeight="1">
      <c r="A6">
        <f ca="1">IFERROR(__xludf.DUMMYFUNCTION("""COMPUTED_VALUE"""),5)</f>
        <v>5</v>
      </c>
      <c r="B6" t="str">
        <f ca="1">IFERROR(__xludf.DUMMYFUNCTION("""COMPUTED_VALUE"""),"T10")</f>
        <v>T10</v>
      </c>
      <c r="C6" t="str">
        <f ca="1">IFERROR(__xludf.DUMMYFUNCTION("""COMPUTED_VALUE"""),"Cameron Champ")</f>
        <v>Cameron Champ</v>
      </c>
      <c r="D6">
        <f ca="1">IFERROR(__xludf.DUMMYFUNCTION("""COMPUTED_VALUE"""),12)</f>
        <v>12</v>
      </c>
      <c r="E6">
        <f ca="1">IFERROR(__xludf.DUMMYFUNCTION("""COMPUTED_VALUE"""),4.41)</f>
        <v>4.41</v>
      </c>
      <c r="F6">
        <f ca="1">IFERROR(__xludf.DUMMYFUNCTION("""COMPUTED_VALUE"""),203)</f>
        <v>203</v>
      </c>
      <c r="G6">
        <f ca="1">IFERROR(__xludf.DUMMYFUNCTION("""COMPUTED_VALUE"""),46)</f>
        <v>46</v>
      </c>
    </row>
    <row r="7" spans="1:7" ht="15.75" customHeight="1">
      <c r="A7" t="str">
        <f ca="1">IFERROR(__xludf.DUMMYFUNCTION("""COMPUTED_VALUE"""),"T6")</f>
        <v>T6</v>
      </c>
      <c r="B7" t="str">
        <f ca="1">IFERROR(__xludf.DUMMYFUNCTION("""COMPUTED_VALUE"""),"T12")</f>
        <v>T12</v>
      </c>
      <c r="C7" t="str">
        <f ca="1">IFERROR(__xludf.DUMMYFUNCTION("""COMPUTED_VALUE"""),"Kevin Na")</f>
        <v>Kevin Na</v>
      </c>
      <c r="D7">
        <f ca="1">IFERROR(__xludf.DUMMYFUNCTION("""COMPUTED_VALUE"""),14)</f>
        <v>14</v>
      </c>
      <c r="E7">
        <f ca="1">IFERROR(__xludf.DUMMYFUNCTION("""COMPUTED_VALUE"""),4.42)</f>
        <v>4.42</v>
      </c>
      <c r="F7">
        <f ca="1">IFERROR(__xludf.DUMMYFUNCTION("""COMPUTED_VALUE"""),230)</f>
        <v>230</v>
      </c>
      <c r="G7">
        <f ca="1">IFERROR(__xludf.DUMMYFUNCTION("""COMPUTED_VALUE"""),52)</f>
        <v>52</v>
      </c>
    </row>
    <row r="8" spans="1:7" ht="15.75" customHeight="1">
      <c r="A8" t="str">
        <f ca="1">IFERROR(__xludf.DUMMYFUNCTION("""COMPUTED_VALUE"""),"T6")</f>
        <v>T6</v>
      </c>
      <c r="B8" t="str">
        <f ca="1">IFERROR(__xludf.DUMMYFUNCTION("""COMPUTED_VALUE"""),"T12")</f>
        <v>T12</v>
      </c>
      <c r="C8" t="str">
        <f ca="1">IFERROR(__xludf.DUMMYFUNCTION("""COMPUTED_VALUE"""),"MJ Daffue")</f>
        <v>MJ Daffue</v>
      </c>
      <c r="D8">
        <f ca="1">IFERROR(__xludf.DUMMYFUNCTION("""COMPUTED_VALUE"""),10)</f>
        <v>10</v>
      </c>
      <c r="E8">
        <f ca="1">IFERROR(__xludf.DUMMYFUNCTION("""COMPUTED_VALUE"""),4.42)</f>
        <v>4.42</v>
      </c>
      <c r="F8">
        <f ca="1">IFERROR(__xludf.DUMMYFUNCTION("""COMPUTED_VALUE"""),168)</f>
        <v>168</v>
      </c>
      <c r="G8">
        <f ca="1">IFERROR(__xludf.DUMMYFUNCTION("""COMPUTED_VALUE"""),38)</f>
        <v>38</v>
      </c>
    </row>
    <row r="9" spans="1:7" ht="15.75" customHeight="1">
      <c r="A9" t="str">
        <f ca="1">IFERROR(__xludf.DUMMYFUNCTION("""COMPUTED_VALUE"""),"T6")</f>
        <v>T6</v>
      </c>
      <c r="B9" t="str">
        <f ca="1">IFERROR(__xludf.DUMMYFUNCTION("""COMPUTED_VALUE"""),"T12")</f>
        <v>T12</v>
      </c>
      <c r="C9" t="str">
        <f ca="1">IFERROR(__xludf.DUMMYFUNCTION("""COMPUTED_VALUE"""),"George Markham")</f>
        <v>George Markham</v>
      </c>
      <c r="D9">
        <f ca="1">IFERROR(__xludf.DUMMYFUNCTION("""COMPUTED_VALUE"""),4)</f>
        <v>4</v>
      </c>
      <c r="E9">
        <f ca="1">IFERROR(__xludf.DUMMYFUNCTION("""COMPUTED_VALUE"""),4.42)</f>
        <v>4.42</v>
      </c>
      <c r="F9">
        <f ca="1">IFERROR(__xludf.DUMMYFUNCTION("""COMPUTED_VALUE"""),53)</f>
        <v>53</v>
      </c>
      <c r="G9">
        <f ca="1">IFERROR(__xludf.DUMMYFUNCTION("""COMPUTED_VALUE"""),12)</f>
        <v>12</v>
      </c>
    </row>
    <row r="10" spans="1:7" ht="15.75" customHeight="1">
      <c r="A10" t="str">
        <f ca="1">IFERROR(__xludf.DUMMYFUNCTION("""COMPUTED_VALUE"""),"T9")</f>
        <v>T9</v>
      </c>
      <c r="B10" t="str">
        <f ca="1">IFERROR(__xludf.DUMMYFUNCTION("""COMPUTED_VALUE"""),"T15")</f>
        <v>T15</v>
      </c>
      <c r="C10" t="str">
        <f ca="1">IFERROR(__xludf.DUMMYFUNCTION("""COMPUTED_VALUE"""),"Harris English")</f>
        <v>Harris English</v>
      </c>
      <c r="D10">
        <f ca="1">IFERROR(__xludf.DUMMYFUNCTION("""COMPUTED_VALUE"""),14)</f>
        <v>14</v>
      </c>
      <c r="E10">
        <f ca="1">IFERROR(__xludf.DUMMYFUNCTION("""COMPUTED_VALUE"""),4.44)</f>
        <v>4.4400000000000004</v>
      </c>
      <c r="F10">
        <f ca="1">IFERROR(__xludf.DUMMYFUNCTION("""COMPUTED_VALUE"""),222)</f>
        <v>222</v>
      </c>
      <c r="G10">
        <f ca="1">IFERROR(__xludf.DUMMYFUNCTION("""COMPUTED_VALUE"""),50)</f>
        <v>50</v>
      </c>
    </row>
    <row r="11" spans="1:7" ht="15.75" customHeight="1">
      <c r="A11" t="str">
        <f ca="1">IFERROR(__xludf.DUMMYFUNCTION("""COMPUTED_VALUE"""),"T9")</f>
        <v>T9</v>
      </c>
      <c r="B11" t="str">
        <f ca="1">IFERROR(__xludf.DUMMYFUNCTION("""COMPUTED_VALUE"""),"T15")</f>
        <v>T15</v>
      </c>
      <c r="C11" t="str">
        <f ca="1">IFERROR(__xludf.DUMMYFUNCTION("""COMPUTED_VALUE"""),"Roberto Díaz")</f>
        <v>Roberto Díaz</v>
      </c>
      <c r="D11">
        <f ca="1">IFERROR(__xludf.DUMMYFUNCTION("""COMPUTED_VALUE"""),4)</f>
        <v>4</v>
      </c>
      <c r="E11">
        <f ca="1">IFERROR(__xludf.DUMMYFUNCTION("""COMPUTED_VALUE"""),4.44)</f>
        <v>4.4400000000000004</v>
      </c>
      <c r="F11">
        <f ca="1">IFERROR(__xludf.DUMMYFUNCTION("""COMPUTED_VALUE"""),71)</f>
        <v>71</v>
      </c>
      <c r="G11">
        <f ca="1">IFERROR(__xludf.DUMMYFUNCTION("""COMPUTED_VALUE"""),16)</f>
        <v>16</v>
      </c>
    </row>
    <row r="12" spans="1:7" ht="15.75" customHeight="1">
      <c r="A12" t="str">
        <f ca="1">IFERROR(__xludf.DUMMYFUNCTION("""COMPUTED_VALUE"""),"T9")</f>
        <v>T9</v>
      </c>
      <c r="B12" t="str">
        <f ca="1">IFERROR(__xludf.DUMMYFUNCTION("""COMPUTED_VALUE"""),"T15")</f>
        <v>T15</v>
      </c>
      <c r="C12" t="str">
        <f ca="1">IFERROR(__xludf.DUMMYFUNCTION("""COMPUTED_VALUE"""),"Stephen Stallings Jr.")</f>
        <v>Stephen Stallings Jr.</v>
      </c>
      <c r="D12">
        <f ca="1">IFERROR(__xludf.DUMMYFUNCTION("""COMPUTED_VALUE"""),4)</f>
        <v>4</v>
      </c>
      <c r="E12">
        <f ca="1">IFERROR(__xludf.DUMMYFUNCTION("""COMPUTED_VALUE"""),4.44)</f>
        <v>4.4400000000000004</v>
      </c>
      <c r="F12">
        <f ca="1">IFERROR(__xludf.DUMMYFUNCTION("""COMPUTED_VALUE"""),71)</f>
        <v>71</v>
      </c>
      <c r="G12">
        <f ca="1">IFERROR(__xludf.DUMMYFUNCTION("""COMPUTED_VALUE"""),16)</f>
        <v>16</v>
      </c>
    </row>
    <row r="13" spans="1:7" ht="15.75" customHeight="1">
      <c r="A13" t="str">
        <f ca="1">IFERROR(__xludf.DUMMYFUNCTION("""COMPUTED_VALUE"""),"T12")</f>
        <v>T12</v>
      </c>
      <c r="B13" t="str">
        <f ca="1">IFERROR(__xludf.DUMMYFUNCTION("""COMPUTED_VALUE"""),"T20")</f>
        <v>T20</v>
      </c>
      <c r="C13" t="str">
        <f ca="1">IFERROR(__xludf.DUMMYFUNCTION("""COMPUTED_VALUE"""),"Bubba Watson")</f>
        <v>Bubba Watson</v>
      </c>
      <c r="D13">
        <f ca="1">IFERROR(__xludf.DUMMYFUNCTION("""COMPUTED_VALUE"""),12)</f>
        <v>12</v>
      </c>
      <c r="E13">
        <f ca="1">IFERROR(__xludf.DUMMYFUNCTION("""COMPUTED_VALUE"""),4.45)</f>
        <v>4.45</v>
      </c>
      <c r="F13">
        <f ca="1">IFERROR(__xludf.DUMMYFUNCTION("""COMPUTED_VALUE"""),196)</f>
        <v>196</v>
      </c>
      <c r="G13">
        <f ca="1">IFERROR(__xludf.DUMMYFUNCTION("""COMPUTED_VALUE"""),44)</f>
        <v>44</v>
      </c>
    </row>
    <row r="14" spans="1:7" ht="15.75" customHeight="1">
      <c r="A14" t="str">
        <f ca="1">IFERROR(__xludf.DUMMYFUNCTION("""COMPUTED_VALUE"""),"T12")</f>
        <v>T12</v>
      </c>
      <c r="B14" t="str">
        <f ca="1">IFERROR(__xludf.DUMMYFUNCTION("""COMPUTED_VALUE"""),"T20")</f>
        <v>T20</v>
      </c>
      <c r="C14" t="str">
        <f ca="1">IFERROR(__xludf.DUMMYFUNCTION("""COMPUTED_VALUE"""),"Bryson DeChambeau")</f>
        <v>Bryson DeChambeau</v>
      </c>
      <c r="D14">
        <f ca="1">IFERROR(__xludf.DUMMYFUNCTION("""COMPUTED_VALUE"""),8)</f>
        <v>8</v>
      </c>
      <c r="E14">
        <f ca="1">IFERROR(__xludf.DUMMYFUNCTION("""COMPUTED_VALUE"""),4.45)</f>
        <v>4.45</v>
      </c>
      <c r="F14">
        <f ca="1">IFERROR(__xludf.DUMMYFUNCTION("""COMPUTED_VALUE"""),89)</f>
        <v>89</v>
      </c>
      <c r="G14">
        <f ca="1">IFERROR(__xludf.DUMMYFUNCTION("""COMPUTED_VALUE"""),20)</f>
        <v>20</v>
      </c>
    </row>
    <row r="15" spans="1:7" ht="15.75" customHeight="1">
      <c r="A15">
        <f ca="1">IFERROR(__xludf.DUMMYFUNCTION("""COMPUTED_VALUE"""),14)</f>
        <v>14</v>
      </c>
      <c r="B15">
        <f ca="1">IFERROR(__xludf.DUMMYFUNCTION("""COMPUTED_VALUE"""),7)</f>
        <v>7</v>
      </c>
      <c r="C15" t="str">
        <f ca="1">IFERROR(__xludf.DUMMYFUNCTION("""COMPUTED_VALUE"""),"Sean O'Hair")</f>
        <v>Sean O'Hair</v>
      </c>
      <c r="D15">
        <f ca="1">IFERROR(__xludf.DUMMYFUNCTION("""COMPUTED_VALUE"""),14)</f>
        <v>14</v>
      </c>
      <c r="E15">
        <f ca="1">IFERROR(__xludf.DUMMYFUNCTION("""COMPUTED_VALUE"""),4.46)</f>
        <v>4.46</v>
      </c>
      <c r="F15">
        <f ca="1">IFERROR(__xludf.DUMMYFUNCTION("""COMPUTED_VALUE"""),223)</f>
        <v>223</v>
      </c>
      <c r="G15">
        <f ca="1">IFERROR(__xludf.DUMMYFUNCTION("""COMPUTED_VALUE"""),50)</f>
        <v>50</v>
      </c>
    </row>
    <row r="16" spans="1:7" ht="15.75" customHeight="1">
      <c r="A16">
        <f ca="1">IFERROR(__xludf.DUMMYFUNCTION("""COMPUTED_VALUE"""),15)</f>
        <v>15</v>
      </c>
      <c r="B16" t="str">
        <f ca="1">IFERROR(__xludf.DUMMYFUNCTION("""COMPUTED_VALUE"""),"T29")</f>
        <v>T29</v>
      </c>
      <c r="C16" t="str">
        <f ca="1">IFERROR(__xludf.DUMMYFUNCTION("""COMPUTED_VALUE"""),"Sam Burns")</f>
        <v>Sam Burns</v>
      </c>
      <c r="D16">
        <f ca="1">IFERROR(__xludf.DUMMYFUNCTION("""COMPUTED_VALUE"""),18)</f>
        <v>18</v>
      </c>
      <c r="E16">
        <f ca="1">IFERROR(__xludf.DUMMYFUNCTION("""COMPUTED_VALUE"""),4.47)</f>
        <v>4.47</v>
      </c>
      <c r="F16">
        <f ca="1">IFERROR(__xludf.DUMMYFUNCTION("""COMPUTED_VALUE"""),286)</f>
        <v>286</v>
      </c>
      <c r="G16">
        <f ca="1">IFERROR(__xludf.DUMMYFUNCTION("""COMPUTED_VALUE"""),64)</f>
        <v>64</v>
      </c>
    </row>
    <row r="17" spans="1:7" ht="15.75" customHeight="1">
      <c r="A17" t="str">
        <f ca="1">IFERROR(__xludf.DUMMYFUNCTION("""COMPUTED_VALUE"""),"T16")</f>
        <v>T16</v>
      </c>
      <c r="B17" t="str">
        <f ca="1">IFERROR(__xludf.DUMMYFUNCTION("""COMPUTED_VALUE"""),"T24")</f>
        <v>T24</v>
      </c>
      <c r="C17" t="str">
        <f ca="1">IFERROR(__xludf.DUMMYFUNCTION("""COMPUTED_VALUE"""),"Rory McIlroy")</f>
        <v>Rory McIlroy</v>
      </c>
      <c r="D17">
        <f ca="1">IFERROR(__xludf.DUMMYFUNCTION("""COMPUTED_VALUE"""),12)</f>
        <v>12</v>
      </c>
      <c r="E17">
        <f ca="1">IFERROR(__xludf.DUMMYFUNCTION("""COMPUTED_VALUE"""),4.48)</f>
        <v>4.4800000000000004</v>
      </c>
      <c r="F17">
        <f ca="1">IFERROR(__xludf.DUMMYFUNCTION("""COMPUTED_VALUE"""),197)</f>
        <v>197</v>
      </c>
      <c r="G17">
        <f ca="1">IFERROR(__xludf.DUMMYFUNCTION("""COMPUTED_VALUE"""),44)</f>
        <v>44</v>
      </c>
    </row>
    <row r="18" spans="1:7" ht="15.75" customHeight="1">
      <c r="A18" t="str">
        <f ca="1">IFERROR(__xludf.DUMMYFUNCTION("""COMPUTED_VALUE"""),"T16")</f>
        <v>T16</v>
      </c>
      <c r="B18">
        <f ca="1">IFERROR(__xludf.DUMMYFUNCTION("""COMPUTED_VALUE"""),6)</f>
        <v>6</v>
      </c>
      <c r="C18" t="str">
        <f ca="1">IFERROR(__xludf.DUMMYFUNCTION("""COMPUTED_VALUE"""),"Tony Finau")</f>
        <v>Tony Finau</v>
      </c>
      <c r="D18">
        <f ca="1">IFERROR(__xludf.DUMMYFUNCTION("""COMPUTED_VALUE"""),12)</f>
        <v>12</v>
      </c>
      <c r="E18">
        <f ca="1">IFERROR(__xludf.DUMMYFUNCTION("""COMPUTED_VALUE"""),4.48)</f>
        <v>4.4800000000000004</v>
      </c>
      <c r="F18">
        <f ca="1">IFERROR(__xludf.DUMMYFUNCTION("""COMPUTED_VALUE"""),179)</f>
        <v>179</v>
      </c>
      <c r="G18">
        <f ca="1">IFERROR(__xludf.DUMMYFUNCTION("""COMPUTED_VALUE"""),40)</f>
        <v>40</v>
      </c>
    </row>
    <row r="19" spans="1:7" ht="15.75" customHeight="1">
      <c r="A19" t="str">
        <f ca="1">IFERROR(__xludf.DUMMYFUNCTION("""COMPUTED_VALUE"""),"T16")</f>
        <v>T16</v>
      </c>
      <c r="B19" t="str">
        <f ca="1">IFERROR(__xludf.DUMMYFUNCTION("""COMPUTED_VALUE"""),"T24")</f>
        <v>T24</v>
      </c>
      <c r="C19" t="str">
        <f ca="1">IFERROR(__xludf.DUMMYFUNCTION("""COMPUTED_VALUE"""),"Brendon Todd")</f>
        <v>Brendon Todd</v>
      </c>
      <c r="D19">
        <f ca="1">IFERROR(__xludf.DUMMYFUNCTION("""COMPUTED_VALUE"""),14)</f>
        <v>14</v>
      </c>
      <c r="E19">
        <f ca="1">IFERROR(__xludf.DUMMYFUNCTION("""COMPUTED_VALUE"""),4.48)</f>
        <v>4.4800000000000004</v>
      </c>
      <c r="F19">
        <f ca="1">IFERROR(__xludf.DUMMYFUNCTION("""COMPUTED_VALUE"""),224)</f>
        <v>224</v>
      </c>
      <c r="G19">
        <f ca="1">IFERROR(__xludf.DUMMYFUNCTION("""COMPUTED_VALUE"""),50)</f>
        <v>50</v>
      </c>
    </row>
    <row r="20" spans="1:7" ht="15.75" customHeight="1">
      <c r="A20" t="str">
        <f ca="1">IFERROR(__xludf.DUMMYFUNCTION("""COMPUTED_VALUE"""),"T16")</f>
        <v>T16</v>
      </c>
      <c r="B20" t="str">
        <f ca="1">IFERROR(__xludf.DUMMYFUNCTION("""COMPUTED_VALUE"""),"T24")</f>
        <v>T24</v>
      </c>
      <c r="C20" t="str">
        <f ca="1">IFERROR(__xludf.DUMMYFUNCTION("""COMPUTED_VALUE"""),"Tyler McCumber")</f>
        <v>Tyler McCumber</v>
      </c>
      <c r="D20">
        <f ca="1">IFERROR(__xludf.DUMMYFUNCTION("""COMPUTED_VALUE"""),14)</f>
        <v>14</v>
      </c>
      <c r="E20">
        <f ca="1">IFERROR(__xludf.DUMMYFUNCTION("""COMPUTED_VALUE"""),4.48)</f>
        <v>4.4800000000000004</v>
      </c>
      <c r="F20">
        <f ca="1">IFERROR(__xludf.DUMMYFUNCTION("""COMPUTED_VALUE"""),233)</f>
        <v>233</v>
      </c>
      <c r="G20">
        <f ca="1">IFERROR(__xludf.DUMMYFUNCTION("""COMPUTED_VALUE"""),52)</f>
        <v>52</v>
      </c>
    </row>
    <row r="21" spans="1:7" ht="15.75" customHeight="1">
      <c r="A21" t="str">
        <f ca="1">IFERROR(__xludf.DUMMYFUNCTION("""COMPUTED_VALUE"""),"T16")</f>
        <v>T16</v>
      </c>
      <c r="B21" t="str">
        <f ca="1">IFERROR(__xludf.DUMMYFUNCTION("""COMPUTED_VALUE"""),"T29")</f>
        <v>T29</v>
      </c>
      <c r="C21" t="str">
        <f ca="1">IFERROR(__xludf.DUMMYFUNCTION("""COMPUTED_VALUE"""),"Wyndham Clark")</f>
        <v>Wyndham Clark</v>
      </c>
      <c r="D21">
        <f ca="1">IFERROR(__xludf.DUMMYFUNCTION("""COMPUTED_VALUE"""),16)</f>
        <v>16</v>
      </c>
      <c r="E21">
        <f ca="1">IFERROR(__xludf.DUMMYFUNCTION("""COMPUTED_VALUE"""),4.48)</f>
        <v>4.4800000000000004</v>
      </c>
      <c r="F21">
        <f ca="1">IFERROR(__xludf.DUMMYFUNCTION("""COMPUTED_VALUE"""),242)</f>
        <v>242</v>
      </c>
      <c r="G21">
        <f ca="1">IFERROR(__xludf.DUMMYFUNCTION("""COMPUTED_VALUE"""),54)</f>
        <v>54</v>
      </c>
    </row>
    <row r="22" spans="1:7" ht="15.75" customHeight="1">
      <c r="A22" t="str">
        <f ca="1">IFERROR(__xludf.DUMMYFUNCTION("""COMPUTED_VALUE"""),"T21")</f>
        <v>T21</v>
      </c>
      <c r="B22" t="str">
        <f ca="1">IFERROR(__xludf.DUMMYFUNCTION("""COMPUTED_VALUE"""),"T29")</f>
        <v>T29</v>
      </c>
      <c r="C22" t="str">
        <f ca="1">IFERROR(__xludf.DUMMYFUNCTION("""COMPUTED_VALUE"""),"Sergio Garcia")</f>
        <v>Sergio Garcia</v>
      </c>
      <c r="D22">
        <f ca="1">IFERROR(__xludf.DUMMYFUNCTION("""COMPUTED_VALUE"""),18)</f>
        <v>18</v>
      </c>
      <c r="E22">
        <f ca="1">IFERROR(__xludf.DUMMYFUNCTION("""COMPUTED_VALUE"""),4.5)</f>
        <v>4.5</v>
      </c>
      <c r="F22">
        <f ca="1">IFERROR(__xludf.DUMMYFUNCTION("""COMPUTED_VALUE"""),279)</f>
        <v>279</v>
      </c>
      <c r="G22">
        <f ca="1">IFERROR(__xludf.DUMMYFUNCTION("""COMPUTED_VALUE"""),62)</f>
        <v>62</v>
      </c>
    </row>
    <row r="23" spans="1:7" ht="15.75" customHeight="1">
      <c r="A23" t="str">
        <f ca="1">IFERROR(__xludf.DUMMYFUNCTION("""COMPUTED_VALUE"""),"T21")</f>
        <v>T21</v>
      </c>
      <c r="B23" t="str">
        <f ca="1">IFERROR(__xludf.DUMMYFUNCTION("""COMPUTED_VALUE"""),"T29")</f>
        <v>T29</v>
      </c>
      <c r="C23" t="str">
        <f ca="1">IFERROR(__xludf.DUMMYFUNCTION("""COMPUTED_VALUE"""),"Ryan Palmer")</f>
        <v>Ryan Palmer</v>
      </c>
      <c r="D23">
        <f ca="1">IFERROR(__xludf.DUMMYFUNCTION("""COMPUTED_VALUE"""),14)</f>
        <v>14</v>
      </c>
      <c r="E23">
        <f ca="1">IFERROR(__xludf.DUMMYFUNCTION("""COMPUTED_VALUE"""),4.5)</f>
        <v>4.5</v>
      </c>
      <c r="F23">
        <f ca="1">IFERROR(__xludf.DUMMYFUNCTION("""COMPUTED_VALUE"""),234)</f>
        <v>234</v>
      </c>
      <c r="G23">
        <f ca="1">IFERROR(__xludf.DUMMYFUNCTION("""COMPUTED_VALUE"""),52)</f>
        <v>52</v>
      </c>
    </row>
    <row r="24" spans="1:7" ht="15.75" customHeight="1">
      <c r="A24" t="str">
        <f ca="1">IFERROR(__xludf.DUMMYFUNCTION("""COMPUTED_VALUE"""),"T21")</f>
        <v>T21</v>
      </c>
      <c r="B24" t="str">
        <f ca="1">IFERROR(__xludf.DUMMYFUNCTION("""COMPUTED_VALUE"""),"T29")</f>
        <v>T29</v>
      </c>
      <c r="C24" t="str">
        <f ca="1">IFERROR(__xludf.DUMMYFUNCTION("""COMPUTED_VALUE"""),"Ryan Brehm")</f>
        <v>Ryan Brehm</v>
      </c>
      <c r="D24">
        <f ca="1">IFERROR(__xludf.DUMMYFUNCTION("""COMPUTED_VALUE"""),10)</f>
        <v>10</v>
      </c>
      <c r="E24">
        <f ca="1">IFERROR(__xludf.DUMMYFUNCTION("""COMPUTED_VALUE"""),4.5)</f>
        <v>4.5</v>
      </c>
      <c r="F24">
        <f ca="1">IFERROR(__xludf.DUMMYFUNCTION("""COMPUTED_VALUE"""),162)</f>
        <v>162</v>
      </c>
      <c r="G24">
        <f ca="1">IFERROR(__xludf.DUMMYFUNCTION("""COMPUTED_VALUE"""),36)</f>
        <v>36</v>
      </c>
    </row>
    <row r="25" spans="1:7" ht="15.75" customHeight="1">
      <c r="A25" t="str">
        <f ca="1">IFERROR(__xludf.DUMMYFUNCTION("""COMPUTED_VALUE"""),"T21")</f>
        <v>T21</v>
      </c>
      <c r="B25" t="str">
        <f ca="1">IFERROR(__xludf.DUMMYFUNCTION("""COMPUTED_VALUE"""),"T29")</f>
        <v>T29</v>
      </c>
      <c r="C25" t="str">
        <f ca="1">IFERROR(__xludf.DUMMYFUNCTION("""COMPUTED_VALUE"""),"Michael Gligic")</f>
        <v>Michael Gligic</v>
      </c>
      <c r="D25">
        <f ca="1">IFERROR(__xludf.DUMMYFUNCTION("""COMPUTED_VALUE"""),18)</f>
        <v>18</v>
      </c>
      <c r="E25">
        <f ca="1">IFERROR(__xludf.DUMMYFUNCTION("""COMPUTED_VALUE"""),4.5)</f>
        <v>4.5</v>
      </c>
      <c r="F25">
        <f ca="1">IFERROR(__xludf.DUMMYFUNCTION("""COMPUTED_VALUE"""),288)</f>
        <v>288</v>
      </c>
      <c r="G25">
        <f ca="1">IFERROR(__xludf.DUMMYFUNCTION("""COMPUTED_VALUE"""),64)</f>
        <v>64</v>
      </c>
    </row>
    <row r="26" spans="1:7" ht="15.75" customHeight="1">
      <c r="A26" t="str">
        <f ca="1">IFERROR(__xludf.DUMMYFUNCTION("""COMPUTED_VALUE"""),"T21")</f>
        <v>T21</v>
      </c>
      <c r="B26" t="str">
        <f ca="1">IFERROR(__xludf.DUMMYFUNCTION("""COMPUTED_VALUE"""),"T57")</f>
        <v>T57</v>
      </c>
      <c r="C26" t="str">
        <f ca="1">IFERROR(__xludf.DUMMYFUNCTION("""COMPUTED_VALUE"""),"Carlos Ortiz")</f>
        <v>Carlos Ortiz</v>
      </c>
      <c r="D26">
        <f ca="1">IFERROR(__xludf.DUMMYFUNCTION("""COMPUTED_VALUE"""),20)</f>
        <v>20</v>
      </c>
      <c r="E26">
        <f ca="1">IFERROR(__xludf.DUMMYFUNCTION("""COMPUTED_VALUE"""),4.5)</f>
        <v>4.5</v>
      </c>
      <c r="F26">
        <f ca="1">IFERROR(__xludf.DUMMYFUNCTION("""COMPUTED_VALUE"""),351)</f>
        <v>351</v>
      </c>
      <c r="G26">
        <f ca="1">IFERROR(__xludf.DUMMYFUNCTION("""COMPUTED_VALUE"""),78)</f>
        <v>78</v>
      </c>
    </row>
    <row r="27" spans="1:7" ht="15.75" customHeight="1">
      <c r="A27" t="str">
        <f ca="1">IFERROR(__xludf.DUMMYFUNCTION("""COMPUTED_VALUE"""),"T21")</f>
        <v>T21</v>
      </c>
      <c r="B27" t="str">
        <f ca="1">IFERROR(__xludf.DUMMYFUNCTION("""COMPUTED_VALUE"""),"")</f>
        <v/>
      </c>
      <c r="C27" t="str">
        <f ca="1">IFERROR(__xludf.DUMMYFUNCTION("""COMPUTED_VALUE"""),"Erik Barnes")</f>
        <v>Erik Barnes</v>
      </c>
      <c r="D27">
        <f ca="1">IFERROR(__xludf.DUMMYFUNCTION("""COMPUTED_VALUE"""),4)</f>
        <v>4</v>
      </c>
      <c r="E27">
        <f ca="1">IFERROR(__xludf.DUMMYFUNCTION("""COMPUTED_VALUE"""),4.5)</f>
        <v>4.5</v>
      </c>
      <c r="F27">
        <f ca="1">IFERROR(__xludf.DUMMYFUNCTION("""COMPUTED_VALUE"""),54)</f>
        <v>54</v>
      </c>
      <c r="G27">
        <f ca="1">IFERROR(__xludf.DUMMYFUNCTION("""COMPUTED_VALUE"""),12)</f>
        <v>12</v>
      </c>
    </row>
    <row r="28" spans="1:7" ht="15.75" customHeight="1">
      <c r="A28" t="str">
        <f ca="1">IFERROR(__xludf.DUMMYFUNCTION("""COMPUTED_VALUE"""),"T21")</f>
        <v>T21</v>
      </c>
      <c r="B28" t="str">
        <f ca="1">IFERROR(__xludf.DUMMYFUNCTION("""COMPUTED_VALUE"""),"T29")</f>
        <v>T29</v>
      </c>
      <c r="C28" t="str">
        <f ca="1">IFERROR(__xludf.DUMMYFUNCTION("""COMPUTED_VALUE"""),"Wes Roach")</f>
        <v>Wes Roach</v>
      </c>
      <c r="D28">
        <f ca="1">IFERROR(__xludf.DUMMYFUNCTION("""COMPUTED_VALUE"""),6)</f>
        <v>6</v>
      </c>
      <c r="E28">
        <f ca="1">IFERROR(__xludf.DUMMYFUNCTION("""COMPUTED_VALUE"""),4.5)</f>
        <v>4.5</v>
      </c>
      <c r="F28">
        <f ca="1">IFERROR(__xludf.DUMMYFUNCTION("""COMPUTED_VALUE"""),99)</f>
        <v>99</v>
      </c>
      <c r="G28">
        <f ca="1">IFERROR(__xludf.DUMMYFUNCTION("""COMPUTED_VALUE"""),22)</f>
        <v>22</v>
      </c>
    </row>
    <row r="29" spans="1:7" ht="15.75" customHeight="1">
      <c r="A29" t="str">
        <f ca="1">IFERROR(__xludf.DUMMYFUNCTION("""COMPUTED_VALUE"""),"T21")</f>
        <v>T21</v>
      </c>
      <c r="B29">
        <f ca="1">IFERROR(__xludf.DUMMYFUNCTION("""COMPUTED_VALUE"""),1)</f>
        <v>1</v>
      </c>
      <c r="C29" t="str">
        <f ca="1">IFERROR(__xludf.DUMMYFUNCTION("""COMPUTED_VALUE"""),"Ollie Schniederjans")</f>
        <v>Ollie Schniederjans</v>
      </c>
      <c r="D29">
        <f ca="1">IFERROR(__xludf.DUMMYFUNCTION("""COMPUTED_VALUE"""),6)</f>
        <v>6</v>
      </c>
      <c r="E29">
        <f ca="1">IFERROR(__xludf.DUMMYFUNCTION("""COMPUTED_VALUE"""),4.5)</f>
        <v>4.5</v>
      </c>
      <c r="F29">
        <f ca="1">IFERROR(__xludf.DUMMYFUNCTION("""COMPUTED_VALUE"""),81)</f>
        <v>81</v>
      </c>
      <c r="G29">
        <f ca="1">IFERROR(__xludf.DUMMYFUNCTION("""COMPUTED_VALUE"""),18)</f>
        <v>18</v>
      </c>
    </row>
    <row r="30" spans="1:7" ht="15.75" customHeight="1">
      <c r="A30" t="str">
        <f ca="1">IFERROR(__xludf.DUMMYFUNCTION("""COMPUTED_VALUE"""),"T21")</f>
        <v>T21</v>
      </c>
      <c r="B30" t="str">
        <f ca="1">IFERROR(__xludf.DUMMYFUNCTION("""COMPUTED_VALUE"""),"T29")</f>
        <v>T29</v>
      </c>
      <c r="C30" t="str">
        <f ca="1">IFERROR(__xludf.DUMMYFUNCTION("""COMPUTED_VALUE"""),"Jon Rahm")</f>
        <v>Jon Rahm</v>
      </c>
      <c r="D30">
        <f ca="1">IFERROR(__xludf.DUMMYFUNCTION("""COMPUTED_VALUE"""),12)</f>
        <v>12</v>
      </c>
      <c r="E30">
        <f ca="1">IFERROR(__xludf.DUMMYFUNCTION("""COMPUTED_VALUE"""),4.5)</f>
        <v>4.5</v>
      </c>
      <c r="F30">
        <f ca="1">IFERROR(__xludf.DUMMYFUNCTION("""COMPUTED_VALUE"""),198)</f>
        <v>198</v>
      </c>
      <c r="G30">
        <f ca="1">IFERROR(__xludf.DUMMYFUNCTION("""COMPUTED_VALUE"""),44)</f>
        <v>44</v>
      </c>
    </row>
    <row r="31" spans="1:7" ht="12.75">
      <c r="A31" t="str">
        <f ca="1">IFERROR(__xludf.DUMMYFUNCTION("""COMPUTED_VALUE"""),"T21")</f>
        <v>T21</v>
      </c>
      <c r="B31" t="str">
        <f ca="1">IFERROR(__xludf.DUMMYFUNCTION("""COMPUTED_VALUE"""),"T29")</f>
        <v>T29</v>
      </c>
      <c r="C31" t="str">
        <f ca="1">IFERROR(__xludf.DUMMYFUNCTION("""COMPUTED_VALUE"""),"Xander Schauffele")</f>
        <v>Xander Schauffele</v>
      </c>
      <c r="D31">
        <f ca="1">IFERROR(__xludf.DUMMYFUNCTION("""COMPUTED_VALUE"""),12)</f>
        <v>12</v>
      </c>
      <c r="E31">
        <f ca="1">IFERROR(__xludf.DUMMYFUNCTION("""COMPUTED_VALUE"""),4.5)</f>
        <v>4.5</v>
      </c>
      <c r="F31">
        <f ca="1">IFERROR(__xludf.DUMMYFUNCTION("""COMPUTED_VALUE"""),198)</f>
        <v>198</v>
      </c>
      <c r="G31">
        <f ca="1">IFERROR(__xludf.DUMMYFUNCTION("""COMPUTED_VALUE"""),44)</f>
        <v>44</v>
      </c>
    </row>
    <row r="32" spans="1:7" ht="12.75">
      <c r="A32" t="str">
        <f ca="1">IFERROR(__xludf.DUMMYFUNCTION("""COMPUTED_VALUE"""),"T21")</f>
        <v>T21</v>
      </c>
      <c r="B32" t="str">
        <f ca="1">IFERROR(__xludf.DUMMYFUNCTION("""COMPUTED_VALUE"""),"T15")</f>
        <v>T15</v>
      </c>
      <c r="C32" t="str">
        <f ca="1">IFERROR(__xludf.DUMMYFUNCTION("""COMPUTED_VALUE"""),"J.T. Poston")</f>
        <v>J.T. Poston</v>
      </c>
      <c r="D32">
        <f ca="1">IFERROR(__xludf.DUMMYFUNCTION("""COMPUTED_VALUE"""),18)</f>
        <v>18</v>
      </c>
      <c r="E32">
        <f ca="1">IFERROR(__xludf.DUMMYFUNCTION("""COMPUTED_VALUE"""),4.5)</f>
        <v>4.5</v>
      </c>
      <c r="F32">
        <f ca="1">IFERROR(__xludf.DUMMYFUNCTION("""COMPUTED_VALUE"""),270)</f>
        <v>270</v>
      </c>
      <c r="G32">
        <f ca="1">IFERROR(__xludf.DUMMYFUNCTION("""COMPUTED_VALUE"""),60)</f>
        <v>60</v>
      </c>
    </row>
    <row r="33" spans="1:7" ht="12.75">
      <c r="A33" t="str">
        <f ca="1">IFERROR(__xludf.DUMMYFUNCTION("""COMPUTED_VALUE"""),"T21")</f>
        <v>T21</v>
      </c>
      <c r="B33" t="str">
        <f ca="1">IFERROR(__xludf.DUMMYFUNCTION("""COMPUTED_VALUE"""),"T29")</f>
        <v>T29</v>
      </c>
      <c r="C33" t="str">
        <f ca="1">IFERROR(__xludf.DUMMYFUNCTION("""COMPUTED_VALUE"""),"Collin Morikawa")</f>
        <v>Collin Morikawa</v>
      </c>
      <c r="D33">
        <f ca="1">IFERROR(__xludf.DUMMYFUNCTION("""COMPUTED_VALUE"""),12)</f>
        <v>12</v>
      </c>
      <c r="E33">
        <f ca="1">IFERROR(__xludf.DUMMYFUNCTION("""COMPUTED_VALUE"""),4.5)</f>
        <v>4.5</v>
      </c>
      <c r="F33">
        <f ca="1">IFERROR(__xludf.DUMMYFUNCTION("""COMPUTED_VALUE"""),207)</f>
        <v>207</v>
      </c>
      <c r="G33">
        <f ca="1">IFERROR(__xludf.DUMMYFUNCTION("""COMPUTED_VALUE"""),46)</f>
        <v>46</v>
      </c>
    </row>
    <row r="34" spans="1:7" ht="12.75">
      <c r="A34" t="str">
        <f ca="1">IFERROR(__xludf.DUMMYFUNCTION("""COMPUTED_VALUE"""),"T21")</f>
        <v>T21</v>
      </c>
      <c r="B34" t="str">
        <f ca="1">IFERROR(__xludf.DUMMYFUNCTION("""COMPUTED_VALUE"""),"T29")</f>
        <v>T29</v>
      </c>
      <c r="C34" t="str">
        <f ca="1">IFERROR(__xludf.DUMMYFUNCTION("""COMPUTED_VALUE"""),"Rasmus Hojgaard")</f>
        <v>Rasmus Hojgaard</v>
      </c>
      <c r="D34">
        <f ca="1">IFERROR(__xludf.DUMMYFUNCTION("""COMPUTED_VALUE"""),6)</f>
        <v>6</v>
      </c>
      <c r="E34">
        <f ca="1">IFERROR(__xludf.DUMMYFUNCTION("""COMPUTED_VALUE"""),4.5)</f>
        <v>4.5</v>
      </c>
      <c r="F34">
        <f ca="1">IFERROR(__xludf.DUMMYFUNCTION("""COMPUTED_VALUE"""),72)</f>
        <v>72</v>
      </c>
      <c r="G34">
        <f ca="1">IFERROR(__xludf.DUMMYFUNCTION("""COMPUTED_VALUE"""),16)</f>
        <v>16</v>
      </c>
    </row>
    <row r="35" spans="1:7" ht="12.75">
      <c r="A35" t="str">
        <f ca="1">IFERROR(__xludf.DUMMYFUNCTION("""COMPUTED_VALUE"""),"T21")</f>
        <v>T21</v>
      </c>
      <c r="B35" t="str">
        <f ca="1">IFERROR(__xludf.DUMMYFUNCTION("""COMPUTED_VALUE"""),"T29")</f>
        <v>T29</v>
      </c>
      <c r="C35" t="str">
        <f ca="1">IFERROR(__xludf.DUMMYFUNCTION("""COMPUTED_VALUE"""),"Akshay Bhatia")</f>
        <v>Akshay Bhatia</v>
      </c>
      <c r="D35">
        <f ca="1">IFERROR(__xludf.DUMMYFUNCTION("""COMPUTED_VALUE"""),6)</f>
        <v>6</v>
      </c>
      <c r="E35">
        <f ca="1">IFERROR(__xludf.DUMMYFUNCTION("""COMPUTED_VALUE"""),4.5)</f>
        <v>4.5</v>
      </c>
      <c r="F35">
        <f ca="1">IFERROR(__xludf.DUMMYFUNCTION("""COMPUTED_VALUE"""),108)</f>
        <v>108</v>
      </c>
      <c r="G35">
        <f ca="1">IFERROR(__xludf.DUMMYFUNCTION("""COMPUTED_VALUE"""),24)</f>
        <v>24</v>
      </c>
    </row>
    <row r="36" spans="1:7" ht="12.75">
      <c r="A36" t="str">
        <f ca="1">IFERROR(__xludf.DUMMYFUNCTION("""COMPUTED_VALUE"""),"T21")</f>
        <v>T21</v>
      </c>
      <c r="B36" t="str">
        <f ca="1">IFERROR(__xludf.DUMMYFUNCTION("""COMPUTED_VALUE"""),"T29")</f>
        <v>T29</v>
      </c>
      <c r="C36" t="str">
        <f ca="1">IFERROR(__xludf.DUMMYFUNCTION("""COMPUTED_VALUE"""),"John Pak")</f>
        <v>John Pak</v>
      </c>
      <c r="D36">
        <f ca="1">IFERROR(__xludf.DUMMYFUNCTION("""COMPUTED_VALUE"""),4)</f>
        <v>4</v>
      </c>
      <c r="E36">
        <f ca="1">IFERROR(__xludf.DUMMYFUNCTION("""COMPUTED_VALUE"""),4.5)</f>
        <v>4.5</v>
      </c>
      <c r="F36">
        <f ca="1">IFERROR(__xludf.DUMMYFUNCTION("""COMPUTED_VALUE"""),36)</f>
        <v>36</v>
      </c>
      <c r="G36">
        <f ca="1">IFERROR(__xludf.DUMMYFUNCTION("""COMPUTED_VALUE"""),8)</f>
        <v>8</v>
      </c>
    </row>
    <row r="37" spans="1:7" ht="12.75">
      <c r="A37" t="str">
        <f ca="1">IFERROR(__xludf.DUMMYFUNCTION("""COMPUTED_VALUE"""),"T36")</f>
        <v>T36</v>
      </c>
      <c r="B37" t="str">
        <f ca="1">IFERROR(__xludf.DUMMYFUNCTION("""COMPUTED_VALUE"""),"T45")</f>
        <v>T45</v>
      </c>
      <c r="C37" t="str">
        <f ca="1">IFERROR(__xludf.DUMMYFUNCTION("""COMPUTED_VALUE"""),"Jason Kokrak")</f>
        <v>Jason Kokrak</v>
      </c>
      <c r="D37">
        <f ca="1">IFERROR(__xludf.DUMMYFUNCTION("""COMPUTED_VALUE"""),14)</f>
        <v>14</v>
      </c>
      <c r="E37">
        <f ca="1">IFERROR(__xludf.DUMMYFUNCTION("""COMPUTED_VALUE"""),4.52)</f>
        <v>4.5199999999999996</v>
      </c>
      <c r="F37">
        <f ca="1">IFERROR(__xludf.DUMMYFUNCTION("""COMPUTED_VALUE"""),226)</f>
        <v>226</v>
      </c>
      <c r="G37">
        <f ca="1">IFERROR(__xludf.DUMMYFUNCTION("""COMPUTED_VALUE"""),50)</f>
        <v>50</v>
      </c>
    </row>
    <row r="38" spans="1:7" ht="12.75">
      <c r="A38" t="str">
        <f ca="1">IFERROR(__xludf.DUMMYFUNCTION("""COMPUTED_VALUE"""),"T36")</f>
        <v>T36</v>
      </c>
      <c r="B38" t="str">
        <f ca="1">IFERROR(__xludf.DUMMYFUNCTION("""COMPUTED_VALUE"""),"T45")</f>
        <v>T45</v>
      </c>
      <c r="C38" t="str">
        <f ca="1">IFERROR(__xludf.DUMMYFUNCTION("""COMPUTED_VALUE"""),"Keegan Bradley")</f>
        <v>Keegan Bradley</v>
      </c>
      <c r="D38">
        <f ca="1">IFERROR(__xludf.DUMMYFUNCTION("""COMPUTED_VALUE"""),16)</f>
        <v>16</v>
      </c>
      <c r="E38">
        <f ca="1">IFERROR(__xludf.DUMMYFUNCTION("""COMPUTED_VALUE"""),4.52)</f>
        <v>4.5199999999999996</v>
      </c>
      <c r="F38">
        <f ca="1">IFERROR(__xludf.DUMMYFUNCTION("""COMPUTED_VALUE"""),253)</f>
        <v>253</v>
      </c>
      <c r="G38">
        <f ca="1">IFERROR(__xludf.DUMMYFUNCTION("""COMPUTED_VALUE"""),56)</f>
        <v>56</v>
      </c>
    </row>
    <row r="39" spans="1:7" ht="12.75">
      <c r="A39" t="str">
        <f ca="1">IFERROR(__xludf.DUMMYFUNCTION("""COMPUTED_VALUE"""),"T36")</f>
        <v>T36</v>
      </c>
      <c r="B39" t="str">
        <f ca="1">IFERROR(__xludf.DUMMYFUNCTION("""COMPUTED_VALUE"""),"T15")</f>
        <v>T15</v>
      </c>
      <c r="C39" t="str">
        <f ca="1">IFERROR(__xludf.DUMMYFUNCTION("""COMPUTED_VALUE"""),"Harold Varner III")</f>
        <v>Harold Varner III</v>
      </c>
      <c r="D39">
        <f ca="1">IFERROR(__xludf.DUMMYFUNCTION("""COMPUTED_VALUE"""),14)</f>
        <v>14</v>
      </c>
      <c r="E39">
        <f ca="1">IFERROR(__xludf.DUMMYFUNCTION("""COMPUTED_VALUE"""),4.52)</f>
        <v>4.5199999999999996</v>
      </c>
      <c r="F39">
        <f ca="1">IFERROR(__xludf.DUMMYFUNCTION("""COMPUTED_VALUE"""),208)</f>
        <v>208</v>
      </c>
      <c r="G39">
        <f ca="1">IFERROR(__xludf.DUMMYFUNCTION("""COMPUTED_VALUE"""),46)</f>
        <v>46</v>
      </c>
    </row>
    <row r="40" spans="1:7" ht="12.75">
      <c r="A40" t="str">
        <f ca="1">IFERROR(__xludf.DUMMYFUNCTION("""COMPUTED_VALUE"""),"T36")</f>
        <v>T36</v>
      </c>
      <c r="B40" t="str">
        <f ca="1">IFERROR(__xludf.DUMMYFUNCTION("""COMPUTED_VALUE"""),"T45")</f>
        <v>T45</v>
      </c>
      <c r="C40" t="str">
        <f ca="1">IFERROR(__xludf.DUMMYFUNCTION("""COMPUTED_VALUE"""),"Will Zalatoris")</f>
        <v>Will Zalatoris</v>
      </c>
      <c r="D40">
        <f ca="1">IFERROR(__xludf.DUMMYFUNCTION("""COMPUTED_VALUE"""),18)</f>
        <v>18</v>
      </c>
      <c r="E40">
        <f ca="1">IFERROR(__xludf.DUMMYFUNCTION("""COMPUTED_VALUE"""),4.52)</f>
        <v>4.5199999999999996</v>
      </c>
      <c r="F40">
        <f ca="1">IFERROR(__xludf.DUMMYFUNCTION("""COMPUTED_VALUE"""),253)</f>
        <v>253</v>
      </c>
      <c r="G40">
        <f ca="1">IFERROR(__xludf.DUMMYFUNCTION("""COMPUTED_VALUE"""),56)</f>
        <v>56</v>
      </c>
    </row>
    <row r="41" spans="1:7" ht="12.75">
      <c r="A41" t="str">
        <f ca="1">IFERROR(__xludf.DUMMYFUNCTION("""COMPUTED_VALUE"""),"T36")</f>
        <v>T36</v>
      </c>
      <c r="B41" t="str">
        <f ca="1">IFERROR(__xludf.DUMMYFUNCTION("""COMPUTED_VALUE"""),"T45")</f>
        <v>T45</v>
      </c>
      <c r="C41" t="str">
        <f ca="1">IFERROR(__xludf.DUMMYFUNCTION("""COMPUTED_VALUE"""),"Hank Lebioda")</f>
        <v>Hank Lebioda</v>
      </c>
      <c r="D41">
        <f ca="1">IFERROR(__xludf.DUMMYFUNCTION("""COMPUTED_VALUE"""),14)</f>
        <v>14</v>
      </c>
      <c r="E41">
        <f ca="1">IFERROR(__xludf.DUMMYFUNCTION("""COMPUTED_VALUE"""),4.52)</f>
        <v>4.5199999999999996</v>
      </c>
      <c r="F41">
        <f ca="1">IFERROR(__xludf.DUMMYFUNCTION("""COMPUTED_VALUE"""),235)</f>
        <v>235</v>
      </c>
      <c r="G41">
        <f ca="1">IFERROR(__xludf.DUMMYFUNCTION("""COMPUTED_VALUE"""),52)</f>
        <v>52</v>
      </c>
    </row>
    <row r="42" spans="1:7" ht="12.75">
      <c r="A42" t="str">
        <f ca="1">IFERROR(__xludf.DUMMYFUNCTION("""COMPUTED_VALUE"""),"T36")</f>
        <v>T36</v>
      </c>
      <c r="B42" t="str">
        <f ca="1">IFERROR(__xludf.DUMMYFUNCTION("""COMPUTED_VALUE"""),"T45")</f>
        <v>T45</v>
      </c>
      <c r="C42" t="str">
        <f ca="1">IFERROR(__xludf.DUMMYFUNCTION("""COMPUTED_VALUE"""),"Matthew Wolff")</f>
        <v>Matthew Wolff</v>
      </c>
      <c r="D42">
        <f ca="1">IFERROR(__xludf.DUMMYFUNCTION("""COMPUTED_VALUE"""),16)</f>
        <v>16</v>
      </c>
      <c r="E42">
        <f ca="1">IFERROR(__xludf.DUMMYFUNCTION("""COMPUTED_VALUE"""),4.52)</f>
        <v>4.5199999999999996</v>
      </c>
      <c r="F42">
        <f ca="1">IFERROR(__xludf.DUMMYFUNCTION("""COMPUTED_VALUE"""),253)</f>
        <v>253</v>
      </c>
      <c r="G42">
        <f ca="1">IFERROR(__xludf.DUMMYFUNCTION("""COMPUTED_VALUE"""),56)</f>
        <v>56</v>
      </c>
    </row>
    <row r="43" spans="1:7" ht="12.75">
      <c r="A43" t="str">
        <f ca="1">IFERROR(__xludf.DUMMYFUNCTION("""COMPUTED_VALUE"""),"T42")</f>
        <v>T42</v>
      </c>
      <c r="B43" t="str">
        <f ca="1">IFERROR(__xludf.DUMMYFUNCTION("""COMPUTED_VALUE"""),"T57")</f>
        <v>T57</v>
      </c>
      <c r="C43" t="str">
        <f ca="1">IFERROR(__xludf.DUMMYFUNCTION("""COMPUTED_VALUE"""),"Louis Oosthuizen")</f>
        <v>Louis Oosthuizen</v>
      </c>
      <c r="D43">
        <f ca="1">IFERROR(__xludf.DUMMYFUNCTION("""COMPUTED_VALUE"""),12)</f>
        <v>12</v>
      </c>
      <c r="E43">
        <f ca="1">IFERROR(__xludf.DUMMYFUNCTION("""COMPUTED_VALUE"""),4.53)</f>
        <v>4.53</v>
      </c>
      <c r="F43">
        <f ca="1">IFERROR(__xludf.DUMMYFUNCTION("""COMPUTED_VALUE"""),163)</f>
        <v>163</v>
      </c>
      <c r="G43">
        <f ca="1">IFERROR(__xludf.DUMMYFUNCTION("""COMPUTED_VALUE"""),36)</f>
        <v>36</v>
      </c>
    </row>
    <row r="44" spans="1:7" ht="12.75">
      <c r="A44" t="str">
        <f ca="1">IFERROR(__xludf.DUMMYFUNCTION("""COMPUTED_VALUE"""),"T42")</f>
        <v>T42</v>
      </c>
      <c r="B44" t="str">
        <f ca="1">IFERROR(__xludf.DUMMYFUNCTION("""COMPUTED_VALUE"""),"T57")</f>
        <v>T57</v>
      </c>
      <c r="C44" t="str">
        <f ca="1">IFERROR(__xludf.DUMMYFUNCTION("""COMPUTED_VALUE"""),"Rob Oppenheim")</f>
        <v>Rob Oppenheim</v>
      </c>
      <c r="D44">
        <f ca="1">IFERROR(__xludf.DUMMYFUNCTION("""COMPUTED_VALUE"""),16)</f>
        <v>16</v>
      </c>
      <c r="E44">
        <f ca="1">IFERROR(__xludf.DUMMYFUNCTION("""COMPUTED_VALUE"""),4.53)</f>
        <v>4.53</v>
      </c>
      <c r="F44">
        <f ca="1">IFERROR(__xludf.DUMMYFUNCTION("""COMPUTED_VALUE"""),263)</f>
        <v>263</v>
      </c>
      <c r="G44">
        <f ca="1">IFERROR(__xludf.DUMMYFUNCTION("""COMPUTED_VALUE"""),58)</f>
        <v>58</v>
      </c>
    </row>
    <row r="45" spans="1:7" ht="12.75">
      <c r="A45" t="str">
        <f ca="1">IFERROR(__xludf.DUMMYFUNCTION("""COMPUTED_VALUE"""),"T42")</f>
        <v>T42</v>
      </c>
      <c r="B45" t="str">
        <f ca="1">IFERROR(__xludf.DUMMYFUNCTION("""COMPUTED_VALUE"""),"T45")</f>
        <v>T45</v>
      </c>
      <c r="C45" t="str">
        <f ca="1">IFERROR(__xludf.DUMMYFUNCTION("""COMPUTED_VALUE"""),"Mackenzie Hughes")</f>
        <v>Mackenzie Hughes</v>
      </c>
      <c r="D45">
        <f ca="1">IFERROR(__xludf.DUMMYFUNCTION("""COMPUTED_VALUE"""),18)</f>
        <v>18</v>
      </c>
      <c r="E45">
        <f ca="1">IFERROR(__xludf.DUMMYFUNCTION("""COMPUTED_VALUE"""),4.53)</f>
        <v>4.53</v>
      </c>
      <c r="F45">
        <f ca="1">IFERROR(__xludf.DUMMYFUNCTION("""COMPUTED_VALUE"""),308)</f>
        <v>308</v>
      </c>
      <c r="G45">
        <f ca="1">IFERROR(__xludf.DUMMYFUNCTION("""COMPUTED_VALUE"""),68)</f>
        <v>68</v>
      </c>
    </row>
    <row r="46" spans="1:7" ht="12.75">
      <c r="A46" t="str">
        <f ca="1">IFERROR(__xludf.DUMMYFUNCTION("""COMPUTED_VALUE"""),"T45")</f>
        <v>T45</v>
      </c>
      <c r="B46" t="str">
        <f ca="1">IFERROR(__xludf.DUMMYFUNCTION("""COMPUTED_VALUE"""),"T62")</f>
        <v>T62</v>
      </c>
      <c r="C46" t="str">
        <f ca="1">IFERROR(__xludf.DUMMYFUNCTION("""COMPUTED_VALUE"""),"Thomas Detry")</f>
        <v>Thomas Detry</v>
      </c>
      <c r="D46">
        <f ca="1">IFERROR(__xludf.DUMMYFUNCTION("""COMPUTED_VALUE"""),8)</f>
        <v>8</v>
      </c>
      <c r="E46">
        <f ca="1">IFERROR(__xludf.DUMMYFUNCTION("""COMPUTED_VALUE"""),4.54)</f>
        <v>4.54</v>
      </c>
      <c r="F46">
        <f ca="1">IFERROR(__xludf.DUMMYFUNCTION("""COMPUTED_VALUE"""),109)</f>
        <v>109</v>
      </c>
      <c r="G46">
        <f ca="1">IFERROR(__xludf.DUMMYFUNCTION("""COMPUTED_VALUE"""),24)</f>
        <v>24</v>
      </c>
    </row>
    <row r="47" spans="1:7" ht="12.75">
      <c r="A47" t="str">
        <f ca="1">IFERROR(__xludf.DUMMYFUNCTION("""COMPUTED_VALUE"""),"T45")</f>
        <v>T45</v>
      </c>
      <c r="B47">
        <f ca="1">IFERROR(__xludf.DUMMYFUNCTION("""COMPUTED_VALUE"""),9)</f>
        <v>9</v>
      </c>
      <c r="C47" t="str">
        <f ca="1">IFERROR(__xludf.DUMMYFUNCTION("""COMPUTED_VALUE"""),"Kristoffer Ventura")</f>
        <v>Kristoffer Ventura</v>
      </c>
      <c r="D47">
        <f ca="1">IFERROR(__xludf.DUMMYFUNCTION("""COMPUTED_VALUE"""),20)</f>
        <v>20</v>
      </c>
      <c r="E47">
        <f ca="1">IFERROR(__xludf.DUMMYFUNCTION("""COMPUTED_VALUE"""),4.54)</f>
        <v>4.54</v>
      </c>
      <c r="F47">
        <f ca="1">IFERROR(__xludf.DUMMYFUNCTION("""COMPUTED_VALUE"""),327)</f>
        <v>327</v>
      </c>
      <c r="G47">
        <f ca="1">IFERROR(__xludf.DUMMYFUNCTION("""COMPUTED_VALUE"""),72)</f>
        <v>72</v>
      </c>
    </row>
    <row r="48" spans="1:7" ht="12.75">
      <c r="A48" t="str">
        <f ca="1">IFERROR(__xludf.DUMMYFUNCTION("""COMPUTED_VALUE"""),"T47")</f>
        <v>T47</v>
      </c>
      <c r="B48" t="str">
        <f ca="1">IFERROR(__xludf.DUMMYFUNCTION("""COMPUTED_VALUE"""),"T66")</f>
        <v>T66</v>
      </c>
      <c r="C48" t="str">
        <f ca="1">IFERROR(__xludf.DUMMYFUNCTION("""COMPUTED_VALUE"""),"Justin Rose")</f>
        <v>Justin Rose</v>
      </c>
      <c r="D48">
        <f ca="1">IFERROR(__xludf.DUMMYFUNCTION("""COMPUTED_VALUE"""),10)</f>
        <v>10</v>
      </c>
      <c r="E48">
        <f ca="1">IFERROR(__xludf.DUMMYFUNCTION("""COMPUTED_VALUE"""),4.55)</f>
        <v>4.55</v>
      </c>
      <c r="F48">
        <f ca="1">IFERROR(__xludf.DUMMYFUNCTION("""COMPUTED_VALUE"""),182)</f>
        <v>182</v>
      </c>
      <c r="G48">
        <f ca="1">IFERROR(__xludf.DUMMYFUNCTION("""COMPUTED_VALUE"""),40)</f>
        <v>40</v>
      </c>
    </row>
    <row r="49" spans="1:7" ht="12.75">
      <c r="A49" t="str">
        <f ca="1">IFERROR(__xludf.DUMMYFUNCTION("""COMPUTED_VALUE"""),"T47")</f>
        <v>T47</v>
      </c>
      <c r="B49" t="str">
        <f ca="1">IFERROR(__xludf.DUMMYFUNCTION("""COMPUTED_VALUE"""),"T66")</f>
        <v>T66</v>
      </c>
      <c r="C49" t="str">
        <f ca="1">IFERROR(__xludf.DUMMYFUNCTION("""COMPUTED_VALUE"""),"D.J. Trahan")</f>
        <v>D.J. Trahan</v>
      </c>
      <c r="D49">
        <f ca="1">IFERROR(__xludf.DUMMYFUNCTION("""COMPUTED_VALUE"""),16)</f>
        <v>16</v>
      </c>
      <c r="E49">
        <f ca="1">IFERROR(__xludf.DUMMYFUNCTION("""COMPUTED_VALUE"""),4.55)</f>
        <v>4.55</v>
      </c>
      <c r="F49">
        <f ca="1">IFERROR(__xludf.DUMMYFUNCTION("""COMPUTED_VALUE"""),273)</f>
        <v>273</v>
      </c>
      <c r="G49">
        <f ca="1">IFERROR(__xludf.DUMMYFUNCTION("""COMPUTED_VALUE"""),60)</f>
        <v>60</v>
      </c>
    </row>
    <row r="50" spans="1:7" ht="12.75">
      <c r="A50" t="str">
        <f ca="1">IFERROR(__xludf.DUMMYFUNCTION("""COMPUTED_VALUE"""),"T47")</f>
        <v>T47</v>
      </c>
      <c r="B50" t="str">
        <f ca="1">IFERROR(__xludf.DUMMYFUNCTION("""COMPUTED_VALUE"""),"T24")</f>
        <v>T24</v>
      </c>
      <c r="C50" t="str">
        <f ca="1">IFERROR(__xludf.DUMMYFUNCTION("""COMPUTED_VALUE"""),"Scott Harrington")</f>
        <v>Scott Harrington</v>
      </c>
      <c r="D50">
        <f ca="1">IFERROR(__xludf.DUMMYFUNCTION("""COMPUTED_VALUE"""),18)</f>
        <v>18</v>
      </c>
      <c r="E50">
        <f ca="1">IFERROR(__xludf.DUMMYFUNCTION("""COMPUTED_VALUE"""),4.55)</f>
        <v>4.55</v>
      </c>
      <c r="F50">
        <f ca="1">IFERROR(__xludf.DUMMYFUNCTION("""COMPUTED_VALUE"""),291)</f>
        <v>291</v>
      </c>
      <c r="G50">
        <f ca="1">IFERROR(__xludf.DUMMYFUNCTION("""COMPUTED_VALUE"""),64)</f>
        <v>64</v>
      </c>
    </row>
    <row r="51" spans="1:7" ht="12.75">
      <c r="A51" t="str">
        <f ca="1">IFERROR(__xludf.DUMMYFUNCTION("""COMPUTED_VALUE"""),"T47")</f>
        <v>T47</v>
      </c>
      <c r="B51" t="str">
        <f ca="1">IFERROR(__xludf.DUMMYFUNCTION("""COMPUTED_VALUE"""),"T66")</f>
        <v>T66</v>
      </c>
      <c r="C51" t="str">
        <f ca="1">IFERROR(__xludf.DUMMYFUNCTION("""COMPUTED_VALUE"""),"Harry Higgs")</f>
        <v>Harry Higgs</v>
      </c>
      <c r="D51">
        <f ca="1">IFERROR(__xludf.DUMMYFUNCTION("""COMPUTED_VALUE"""),14)</f>
        <v>14</v>
      </c>
      <c r="E51">
        <f ca="1">IFERROR(__xludf.DUMMYFUNCTION("""COMPUTED_VALUE"""),4.55)</f>
        <v>4.55</v>
      </c>
      <c r="F51">
        <f ca="1">IFERROR(__xludf.DUMMYFUNCTION("""COMPUTED_VALUE"""),264)</f>
        <v>264</v>
      </c>
      <c r="G51">
        <f ca="1">IFERROR(__xludf.DUMMYFUNCTION("""COMPUTED_VALUE"""),58)</f>
        <v>58</v>
      </c>
    </row>
    <row r="52" spans="1:7" ht="12.75">
      <c r="A52" t="str">
        <f ca="1">IFERROR(__xludf.DUMMYFUNCTION("""COMPUTED_VALUE"""),"T47")</f>
        <v>T47</v>
      </c>
      <c r="B52" t="str">
        <f ca="1">IFERROR(__xludf.DUMMYFUNCTION("""COMPUTED_VALUE"""),"T66")</f>
        <v>T66</v>
      </c>
      <c r="C52" t="str">
        <f ca="1">IFERROR(__xludf.DUMMYFUNCTION("""COMPUTED_VALUE"""),"Joseph Bramlett")</f>
        <v>Joseph Bramlett</v>
      </c>
      <c r="D52">
        <f ca="1">IFERROR(__xludf.DUMMYFUNCTION("""COMPUTED_VALUE"""),18)</f>
        <v>18</v>
      </c>
      <c r="E52">
        <f ca="1">IFERROR(__xludf.DUMMYFUNCTION("""COMPUTED_VALUE"""),4.55)</f>
        <v>4.55</v>
      </c>
      <c r="F52">
        <f ca="1">IFERROR(__xludf.DUMMYFUNCTION("""COMPUTED_VALUE"""),291)</f>
        <v>291</v>
      </c>
      <c r="G52">
        <f ca="1">IFERROR(__xludf.DUMMYFUNCTION("""COMPUTED_VALUE"""),64)</f>
        <v>64</v>
      </c>
    </row>
    <row r="53" spans="1:7" ht="12.75">
      <c r="A53" t="str">
        <f ca="1">IFERROR(__xludf.DUMMYFUNCTION("""COMPUTED_VALUE"""),"T47")</f>
        <v>T47</v>
      </c>
      <c r="B53" t="str">
        <f ca="1">IFERROR(__xludf.DUMMYFUNCTION("""COMPUTED_VALUE"""),"T66")</f>
        <v>T66</v>
      </c>
      <c r="C53" t="str">
        <f ca="1">IFERROR(__xludf.DUMMYFUNCTION("""COMPUTED_VALUE"""),"Peter Malnati")</f>
        <v>Peter Malnati</v>
      </c>
      <c r="D53">
        <f ca="1">IFERROR(__xludf.DUMMYFUNCTION("""COMPUTED_VALUE"""),18)</f>
        <v>18</v>
      </c>
      <c r="E53">
        <f ca="1">IFERROR(__xludf.DUMMYFUNCTION("""COMPUTED_VALUE"""),4.55)</f>
        <v>4.55</v>
      </c>
      <c r="F53">
        <f ca="1">IFERROR(__xludf.DUMMYFUNCTION("""COMPUTED_VALUE"""),291)</f>
        <v>291</v>
      </c>
      <c r="G53">
        <f ca="1">IFERROR(__xludf.DUMMYFUNCTION("""COMPUTED_VALUE"""),64)</f>
        <v>64</v>
      </c>
    </row>
    <row r="54" spans="1:7" ht="12.75">
      <c r="A54" t="str">
        <f ca="1">IFERROR(__xludf.DUMMYFUNCTION("""COMPUTED_VALUE"""),"T53")</f>
        <v>T53</v>
      </c>
      <c r="B54" t="str">
        <f ca="1">IFERROR(__xludf.DUMMYFUNCTION("""COMPUTED_VALUE"""),"T75")</f>
        <v>T75</v>
      </c>
      <c r="C54" t="str">
        <f ca="1">IFERROR(__xludf.DUMMYFUNCTION("""COMPUTED_VALUE"""),"Parker McLachlin")</f>
        <v>Parker McLachlin</v>
      </c>
      <c r="D54">
        <f ca="1">IFERROR(__xludf.DUMMYFUNCTION("""COMPUTED_VALUE"""),4)</f>
        <v>4</v>
      </c>
      <c r="E54">
        <f ca="1">IFERROR(__xludf.DUMMYFUNCTION("""COMPUTED_VALUE"""),4.56)</f>
        <v>4.5599999999999996</v>
      </c>
      <c r="F54">
        <f ca="1">IFERROR(__xludf.DUMMYFUNCTION("""COMPUTED_VALUE"""),73)</f>
        <v>73</v>
      </c>
      <c r="G54">
        <f ca="1">IFERROR(__xludf.DUMMYFUNCTION("""COMPUTED_VALUE"""),16)</f>
        <v>16</v>
      </c>
    </row>
    <row r="55" spans="1:7" ht="12.75">
      <c r="A55" t="str">
        <f ca="1">IFERROR(__xludf.DUMMYFUNCTION("""COMPUTED_VALUE"""),"T53")</f>
        <v>T53</v>
      </c>
      <c r="B55" t="str">
        <f ca="1">IFERROR(__xludf.DUMMYFUNCTION("""COMPUTED_VALUE"""),"T45")</f>
        <v>T45</v>
      </c>
      <c r="C55" t="str">
        <f ca="1">IFERROR(__xludf.DUMMYFUNCTION("""COMPUTED_VALUE"""),"Luke List")</f>
        <v>Luke List</v>
      </c>
      <c r="D55">
        <f ca="1">IFERROR(__xludf.DUMMYFUNCTION("""COMPUTED_VALUE"""),18)</f>
        <v>18</v>
      </c>
      <c r="E55">
        <f ca="1">IFERROR(__xludf.DUMMYFUNCTION("""COMPUTED_VALUE"""),4.56)</f>
        <v>4.5599999999999996</v>
      </c>
      <c r="F55">
        <f ca="1">IFERROR(__xludf.DUMMYFUNCTION("""COMPUTED_VALUE"""),292)</f>
        <v>292</v>
      </c>
      <c r="G55">
        <f ca="1">IFERROR(__xludf.DUMMYFUNCTION("""COMPUTED_VALUE"""),64)</f>
        <v>64</v>
      </c>
    </row>
    <row r="56" spans="1:7" ht="12.75">
      <c r="A56" t="str">
        <f ca="1">IFERROR(__xludf.DUMMYFUNCTION("""COMPUTED_VALUE"""),"T53")</f>
        <v>T53</v>
      </c>
      <c r="B56" t="str">
        <f ca="1">IFERROR(__xludf.DUMMYFUNCTION("""COMPUTED_VALUE"""),"T75")</f>
        <v>T75</v>
      </c>
      <c r="C56" t="str">
        <f ca="1">IFERROR(__xludf.DUMMYFUNCTION("""COMPUTED_VALUE"""),"Mark Anderson")</f>
        <v>Mark Anderson</v>
      </c>
      <c r="D56">
        <f ca="1">IFERROR(__xludf.DUMMYFUNCTION("""COMPUTED_VALUE"""),14)</f>
        <v>14</v>
      </c>
      <c r="E56">
        <f ca="1">IFERROR(__xludf.DUMMYFUNCTION("""COMPUTED_VALUE"""),4.56)</f>
        <v>4.5599999999999996</v>
      </c>
      <c r="F56">
        <f ca="1">IFERROR(__xludf.DUMMYFUNCTION("""COMPUTED_VALUE"""),237)</f>
        <v>237</v>
      </c>
      <c r="G56">
        <f ca="1">IFERROR(__xludf.DUMMYFUNCTION("""COMPUTED_VALUE"""),52)</f>
        <v>52</v>
      </c>
    </row>
    <row r="57" spans="1:7" ht="12.75">
      <c r="A57" t="str">
        <f ca="1">IFERROR(__xludf.DUMMYFUNCTION("""COMPUTED_VALUE"""),"T53")</f>
        <v>T53</v>
      </c>
      <c r="B57" t="str">
        <f ca="1">IFERROR(__xludf.DUMMYFUNCTION("""COMPUTED_VALUE"""),"T66")</f>
        <v>T66</v>
      </c>
      <c r="C57" t="str">
        <f ca="1">IFERROR(__xludf.DUMMYFUNCTION("""COMPUTED_VALUE"""),"Max Homa")</f>
        <v>Max Homa</v>
      </c>
      <c r="D57">
        <f ca="1">IFERROR(__xludf.DUMMYFUNCTION("""COMPUTED_VALUE"""),12)</f>
        <v>12</v>
      </c>
      <c r="E57">
        <f ca="1">IFERROR(__xludf.DUMMYFUNCTION("""COMPUTED_VALUE"""),4.56)</f>
        <v>4.5599999999999996</v>
      </c>
      <c r="F57">
        <f ca="1">IFERROR(__xludf.DUMMYFUNCTION("""COMPUTED_VALUE"""),155)</f>
        <v>155</v>
      </c>
      <c r="G57">
        <f ca="1">IFERROR(__xludf.DUMMYFUNCTION("""COMPUTED_VALUE"""),34)</f>
        <v>34</v>
      </c>
    </row>
    <row r="58" spans="1:7" ht="12.75">
      <c r="A58" t="str">
        <f ca="1">IFERROR(__xludf.DUMMYFUNCTION("""COMPUTED_VALUE"""),"T53")</f>
        <v>T53</v>
      </c>
      <c r="B58" t="str">
        <f ca="1">IFERROR(__xludf.DUMMYFUNCTION("""COMPUTED_VALUE"""),"T75")</f>
        <v>T75</v>
      </c>
      <c r="C58" t="str">
        <f ca="1">IFERROR(__xludf.DUMMYFUNCTION("""COMPUTED_VALUE"""),"Alex Smalley")</f>
        <v>Alex Smalley</v>
      </c>
      <c r="D58">
        <f ca="1">IFERROR(__xludf.DUMMYFUNCTION("""COMPUTED_VALUE"""),4)</f>
        <v>4</v>
      </c>
      <c r="E58">
        <f ca="1">IFERROR(__xludf.DUMMYFUNCTION("""COMPUTED_VALUE"""),4.56)</f>
        <v>4.5599999999999996</v>
      </c>
      <c r="F58">
        <f ca="1">IFERROR(__xludf.DUMMYFUNCTION("""COMPUTED_VALUE"""),73)</f>
        <v>73</v>
      </c>
      <c r="G58">
        <f ca="1">IFERROR(__xludf.DUMMYFUNCTION("""COMPUTED_VALUE"""),16)</f>
        <v>16</v>
      </c>
    </row>
    <row r="59" spans="1:7" ht="12.75">
      <c r="A59" t="str">
        <f ca="1">IFERROR(__xludf.DUMMYFUNCTION("""COMPUTED_VALUE"""),"T53")</f>
        <v>T53</v>
      </c>
      <c r="B59" t="str">
        <f ca="1">IFERROR(__xludf.DUMMYFUNCTION("""COMPUTED_VALUE"""),"T87")</f>
        <v>T87</v>
      </c>
      <c r="C59" t="str">
        <f ca="1">IFERROR(__xludf.DUMMYFUNCTION("""COMPUTED_VALUE"""),"Talor Gooch")</f>
        <v>Talor Gooch</v>
      </c>
      <c r="D59">
        <f ca="1">IFERROR(__xludf.DUMMYFUNCTION("""COMPUTED_VALUE"""),20)</f>
        <v>20</v>
      </c>
      <c r="E59">
        <f ca="1">IFERROR(__xludf.DUMMYFUNCTION("""COMPUTED_VALUE"""),4.56)</f>
        <v>4.5599999999999996</v>
      </c>
      <c r="F59">
        <f ca="1">IFERROR(__xludf.DUMMYFUNCTION("""COMPUTED_VALUE"""),356)</f>
        <v>356</v>
      </c>
      <c r="G59">
        <f ca="1">IFERROR(__xludf.DUMMYFUNCTION("""COMPUTED_VALUE"""),78)</f>
        <v>78</v>
      </c>
    </row>
    <row r="60" spans="1:7" ht="12.75">
      <c r="A60" t="str">
        <f ca="1">IFERROR(__xludf.DUMMYFUNCTION("""COMPUTED_VALUE"""),"T59")</f>
        <v>T59</v>
      </c>
      <c r="B60" t="str">
        <f ca="1">IFERROR(__xludf.DUMMYFUNCTION("""COMPUTED_VALUE"""),"T66")</f>
        <v>T66</v>
      </c>
      <c r="C60" t="str">
        <f ca="1">IFERROR(__xludf.DUMMYFUNCTION("""COMPUTED_VALUE"""),"Charl Schwartzel")</f>
        <v>Charl Schwartzel</v>
      </c>
      <c r="D60">
        <f ca="1">IFERROR(__xludf.DUMMYFUNCTION("""COMPUTED_VALUE"""),12)</f>
        <v>12</v>
      </c>
      <c r="E60">
        <f ca="1">IFERROR(__xludf.DUMMYFUNCTION("""COMPUTED_VALUE"""),4.57)</f>
        <v>4.57</v>
      </c>
      <c r="F60">
        <f ca="1">IFERROR(__xludf.DUMMYFUNCTION("""COMPUTED_VALUE"""),201)</f>
        <v>201</v>
      </c>
      <c r="G60">
        <f ca="1">IFERROR(__xludf.DUMMYFUNCTION("""COMPUTED_VALUE"""),44)</f>
        <v>44</v>
      </c>
    </row>
    <row r="61" spans="1:7" ht="12.75">
      <c r="A61" t="str">
        <f ca="1">IFERROR(__xludf.DUMMYFUNCTION("""COMPUTED_VALUE"""),"T59")</f>
        <v>T59</v>
      </c>
      <c r="B61" t="str">
        <f ca="1">IFERROR(__xludf.DUMMYFUNCTION("""COMPUTED_VALUE"""),"T82")</f>
        <v>T82</v>
      </c>
      <c r="C61" t="str">
        <f ca="1">IFERROR(__xludf.DUMMYFUNCTION("""COMPUTED_VALUE"""),"Robert Streb")</f>
        <v>Robert Streb</v>
      </c>
      <c r="D61">
        <f ca="1">IFERROR(__xludf.DUMMYFUNCTION("""COMPUTED_VALUE"""),12)</f>
        <v>12</v>
      </c>
      <c r="E61">
        <f ca="1">IFERROR(__xludf.DUMMYFUNCTION("""COMPUTED_VALUE"""),4.57)</f>
        <v>4.57</v>
      </c>
      <c r="F61">
        <f ca="1">IFERROR(__xludf.DUMMYFUNCTION("""COMPUTED_VALUE"""),201)</f>
        <v>201</v>
      </c>
      <c r="G61">
        <f ca="1">IFERROR(__xludf.DUMMYFUNCTION("""COMPUTED_VALUE"""),44)</f>
        <v>44</v>
      </c>
    </row>
    <row r="62" spans="1:7" ht="12.75">
      <c r="A62" t="str">
        <f ca="1">IFERROR(__xludf.DUMMYFUNCTION("""COMPUTED_VALUE"""),"T59")</f>
        <v>T59</v>
      </c>
      <c r="B62" t="str">
        <f ca="1">IFERROR(__xludf.DUMMYFUNCTION("""COMPUTED_VALUE"""),"T82")</f>
        <v>T82</v>
      </c>
      <c r="C62" t="str">
        <f ca="1">IFERROR(__xludf.DUMMYFUNCTION("""COMPUTED_VALUE"""),"Patrick Cantlay")</f>
        <v>Patrick Cantlay</v>
      </c>
      <c r="D62">
        <f ca="1">IFERROR(__xludf.DUMMYFUNCTION("""COMPUTED_VALUE"""),16)</f>
        <v>16</v>
      </c>
      <c r="E62">
        <f ca="1">IFERROR(__xludf.DUMMYFUNCTION("""COMPUTED_VALUE"""),4.57)</f>
        <v>4.57</v>
      </c>
      <c r="F62">
        <f ca="1">IFERROR(__xludf.DUMMYFUNCTION("""COMPUTED_VALUE"""),256)</f>
        <v>256</v>
      </c>
      <c r="G62">
        <f ca="1">IFERROR(__xludf.DUMMYFUNCTION("""COMPUTED_VALUE"""),56)</f>
        <v>56</v>
      </c>
    </row>
    <row r="63" spans="1:7" ht="12.75">
      <c r="A63" t="str">
        <f ca="1">IFERROR(__xludf.DUMMYFUNCTION("""COMPUTED_VALUE"""),"T59")</f>
        <v>T59</v>
      </c>
      <c r="B63" t="str">
        <f ca="1">IFERROR(__xludf.DUMMYFUNCTION("""COMPUTED_VALUE"""),"T20")</f>
        <v>T20</v>
      </c>
      <c r="C63" t="str">
        <f ca="1">IFERROR(__xludf.DUMMYFUNCTION("""COMPUTED_VALUE"""),"Cameron Davis")</f>
        <v>Cameron Davis</v>
      </c>
      <c r="D63">
        <f ca="1">IFERROR(__xludf.DUMMYFUNCTION("""COMPUTED_VALUE"""),16)</f>
        <v>16</v>
      </c>
      <c r="E63">
        <f ca="1">IFERROR(__xludf.DUMMYFUNCTION("""COMPUTED_VALUE"""),4.57)</f>
        <v>4.57</v>
      </c>
      <c r="F63">
        <f ca="1">IFERROR(__xludf.DUMMYFUNCTION("""COMPUTED_VALUE"""),256)</f>
        <v>256</v>
      </c>
      <c r="G63">
        <f ca="1">IFERROR(__xludf.DUMMYFUNCTION("""COMPUTED_VALUE"""),56)</f>
        <v>56</v>
      </c>
    </row>
    <row r="64" spans="1:7" ht="12.75">
      <c r="A64" t="str">
        <f ca="1">IFERROR(__xludf.DUMMYFUNCTION("""COMPUTED_VALUE"""),"T59")</f>
        <v>T59</v>
      </c>
      <c r="B64" t="str">
        <f ca="1">IFERROR(__xludf.DUMMYFUNCTION("""COMPUTED_VALUE"""),"T82")</f>
        <v>T82</v>
      </c>
      <c r="C64" t="str">
        <f ca="1">IFERROR(__xludf.DUMMYFUNCTION("""COMPUTED_VALUE"""),"Scottie Scheffler")</f>
        <v>Scottie Scheffler</v>
      </c>
      <c r="D64">
        <f ca="1">IFERROR(__xludf.DUMMYFUNCTION("""COMPUTED_VALUE"""),18)</f>
        <v>18</v>
      </c>
      <c r="E64">
        <f ca="1">IFERROR(__xludf.DUMMYFUNCTION("""COMPUTED_VALUE"""),4.57)</f>
        <v>4.57</v>
      </c>
      <c r="F64">
        <f ca="1">IFERROR(__xludf.DUMMYFUNCTION("""COMPUTED_VALUE"""),320)</f>
        <v>320</v>
      </c>
      <c r="G64">
        <f ca="1">IFERROR(__xludf.DUMMYFUNCTION("""COMPUTED_VALUE"""),70)</f>
        <v>70</v>
      </c>
    </row>
    <row r="65" spans="1:7" ht="12.75">
      <c r="A65" t="str">
        <f ca="1">IFERROR(__xludf.DUMMYFUNCTION("""COMPUTED_VALUE"""),"T59")</f>
        <v>T59</v>
      </c>
      <c r="B65" t="str">
        <f ca="1">IFERROR(__xludf.DUMMYFUNCTION("""COMPUTED_VALUE"""),"T10")</f>
        <v>T10</v>
      </c>
      <c r="C65" t="str">
        <f ca="1">IFERROR(__xludf.DUMMYFUNCTION("""COMPUTED_VALUE"""),"Viktor Hovland")</f>
        <v>Viktor Hovland</v>
      </c>
      <c r="D65">
        <f ca="1">IFERROR(__xludf.DUMMYFUNCTION("""COMPUTED_VALUE"""),16)</f>
        <v>16</v>
      </c>
      <c r="E65">
        <f ca="1">IFERROR(__xludf.DUMMYFUNCTION("""COMPUTED_VALUE"""),4.57)</f>
        <v>4.57</v>
      </c>
      <c r="F65">
        <f ca="1">IFERROR(__xludf.DUMMYFUNCTION("""COMPUTED_VALUE"""),256)</f>
        <v>256</v>
      </c>
      <c r="G65">
        <f ca="1">IFERROR(__xludf.DUMMYFUNCTION("""COMPUTED_VALUE"""),56)</f>
        <v>56</v>
      </c>
    </row>
    <row r="66" spans="1:7" ht="12.75">
      <c r="A66" t="str">
        <f ca="1">IFERROR(__xludf.DUMMYFUNCTION("""COMPUTED_VALUE"""),"T59")</f>
        <v>T59</v>
      </c>
      <c r="B66" t="str">
        <f ca="1">IFERROR(__xludf.DUMMYFUNCTION("""COMPUTED_VALUE"""),"T29")</f>
        <v>T29</v>
      </c>
      <c r="C66" t="str">
        <f ca="1">IFERROR(__xludf.DUMMYFUNCTION("""COMPUTED_VALUE"""),"Denny McCarthy")</f>
        <v>Denny McCarthy</v>
      </c>
      <c r="D66">
        <f ca="1">IFERROR(__xludf.DUMMYFUNCTION("""COMPUTED_VALUE"""),22)</f>
        <v>22</v>
      </c>
      <c r="E66">
        <f ca="1">IFERROR(__xludf.DUMMYFUNCTION("""COMPUTED_VALUE"""),4.57)</f>
        <v>4.57</v>
      </c>
      <c r="F66">
        <f ca="1">IFERROR(__xludf.DUMMYFUNCTION("""COMPUTED_VALUE"""),347)</f>
        <v>347</v>
      </c>
      <c r="G66">
        <f ca="1">IFERROR(__xludf.DUMMYFUNCTION("""COMPUTED_VALUE"""),76)</f>
        <v>76</v>
      </c>
    </row>
    <row r="67" spans="1:7" ht="12.75">
      <c r="A67" t="str">
        <f ca="1">IFERROR(__xludf.DUMMYFUNCTION("""COMPUTED_VALUE"""),"T59")</f>
        <v>T59</v>
      </c>
      <c r="B67" t="str">
        <f ca="1">IFERROR(__xludf.DUMMYFUNCTION("""COMPUTED_VALUE"""),"T100")</f>
        <v>T100</v>
      </c>
      <c r="C67" t="str">
        <f ca="1">IFERROR(__xludf.DUMMYFUNCTION("""COMPUTED_VALUE"""),"Aaron Wise")</f>
        <v>Aaron Wise</v>
      </c>
      <c r="D67">
        <f ca="1">IFERROR(__xludf.DUMMYFUNCTION("""COMPUTED_VALUE"""),16)</f>
        <v>16</v>
      </c>
      <c r="E67">
        <f ca="1">IFERROR(__xludf.DUMMYFUNCTION("""COMPUTED_VALUE"""),4.57)</f>
        <v>4.57</v>
      </c>
      <c r="F67">
        <f ca="1">IFERROR(__xludf.DUMMYFUNCTION("""COMPUTED_VALUE"""),247)</f>
        <v>247</v>
      </c>
      <c r="G67">
        <f ca="1">IFERROR(__xludf.DUMMYFUNCTION("""COMPUTED_VALUE"""),54)</f>
        <v>54</v>
      </c>
    </row>
    <row r="68" spans="1:7" ht="12.75">
      <c r="A68" t="str">
        <f ca="1">IFERROR(__xludf.DUMMYFUNCTION("""COMPUTED_VALUE"""),"T67")</f>
        <v>T67</v>
      </c>
      <c r="B68" t="str">
        <f ca="1">IFERROR(__xludf.DUMMYFUNCTION("""COMPUTED_VALUE"""),"T87")</f>
        <v>T87</v>
      </c>
      <c r="C68" t="str">
        <f ca="1">IFERROR(__xludf.DUMMYFUNCTION("""COMPUTED_VALUE"""),"Shaun Norris")</f>
        <v>Shaun Norris</v>
      </c>
      <c r="D68">
        <f ca="1">IFERROR(__xludf.DUMMYFUNCTION("""COMPUTED_VALUE"""),6)</f>
        <v>6</v>
      </c>
      <c r="E68">
        <f ca="1">IFERROR(__xludf.DUMMYFUNCTION("""COMPUTED_VALUE"""),4.58)</f>
        <v>4.58</v>
      </c>
      <c r="F68">
        <f ca="1">IFERROR(__xludf.DUMMYFUNCTION("""COMPUTED_VALUE"""),110)</f>
        <v>110</v>
      </c>
      <c r="G68">
        <f ca="1">IFERROR(__xludf.DUMMYFUNCTION("""COMPUTED_VALUE"""),24)</f>
        <v>24</v>
      </c>
    </row>
    <row r="69" spans="1:7" ht="12.75">
      <c r="A69" t="str">
        <f ca="1">IFERROR(__xludf.DUMMYFUNCTION("""COMPUTED_VALUE"""),"T67")</f>
        <v>T67</v>
      </c>
      <c r="B69" t="str">
        <f ca="1">IFERROR(__xludf.DUMMYFUNCTION("""COMPUTED_VALUE"""),"T128")</f>
        <v>T128</v>
      </c>
      <c r="C69" t="str">
        <f ca="1">IFERROR(__xludf.DUMMYFUNCTION("""COMPUTED_VALUE"""),"Brandt Snedeker")</f>
        <v>Brandt Snedeker</v>
      </c>
      <c r="D69">
        <f ca="1">IFERROR(__xludf.DUMMYFUNCTION("""COMPUTED_VALUE"""),16)</f>
        <v>16</v>
      </c>
      <c r="E69">
        <f ca="1">IFERROR(__xludf.DUMMYFUNCTION("""COMPUTED_VALUE"""),4.58)</f>
        <v>4.58</v>
      </c>
      <c r="F69">
        <f ca="1">IFERROR(__xludf.DUMMYFUNCTION("""COMPUTED_VALUE"""),238)</f>
        <v>238</v>
      </c>
      <c r="G69">
        <f ca="1">IFERROR(__xludf.DUMMYFUNCTION("""COMPUTED_VALUE"""),52)</f>
        <v>52</v>
      </c>
    </row>
    <row r="70" spans="1:7" ht="12.75">
      <c r="A70" t="str">
        <f ca="1">IFERROR(__xludf.DUMMYFUNCTION("""COMPUTED_VALUE"""),"T67")</f>
        <v>T67</v>
      </c>
      <c r="B70" t="str">
        <f ca="1">IFERROR(__xludf.DUMMYFUNCTION("""COMPUTED_VALUE"""),"")</f>
        <v/>
      </c>
      <c r="C70" t="str">
        <f ca="1">IFERROR(__xludf.DUMMYFUNCTION("""COMPUTED_VALUE"""),"Dawie van der Walt")</f>
        <v>Dawie van der Walt</v>
      </c>
      <c r="D70">
        <f ca="1">IFERROR(__xludf.DUMMYFUNCTION("""COMPUTED_VALUE"""),4)</f>
        <v>4</v>
      </c>
      <c r="E70">
        <f ca="1">IFERROR(__xludf.DUMMYFUNCTION("""COMPUTED_VALUE"""),4.58)</f>
        <v>4.58</v>
      </c>
      <c r="F70">
        <f ca="1">IFERROR(__xludf.DUMMYFUNCTION("""COMPUTED_VALUE"""),55)</f>
        <v>55</v>
      </c>
      <c r="G70">
        <f ca="1">IFERROR(__xludf.DUMMYFUNCTION("""COMPUTED_VALUE"""),12)</f>
        <v>12</v>
      </c>
    </row>
    <row r="71" spans="1:7" ht="12.75">
      <c r="A71" t="str">
        <f ca="1">IFERROR(__xludf.DUMMYFUNCTION("""COMPUTED_VALUE"""),"T67")</f>
        <v>T67</v>
      </c>
      <c r="B71" t="str">
        <f ca="1">IFERROR(__xludf.DUMMYFUNCTION("""COMPUTED_VALUE"""),"T45")</f>
        <v>T45</v>
      </c>
      <c r="C71" t="str">
        <f ca="1">IFERROR(__xludf.DUMMYFUNCTION("""COMPUTED_VALUE"""),"Xinjun Zhang")</f>
        <v>Xinjun Zhang</v>
      </c>
      <c r="D71">
        <f ca="1">IFERROR(__xludf.DUMMYFUNCTION("""COMPUTED_VALUE"""),14)</f>
        <v>14</v>
      </c>
      <c r="E71">
        <f ca="1">IFERROR(__xludf.DUMMYFUNCTION("""COMPUTED_VALUE"""),4.58)</f>
        <v>4.58</v>
      </c>
      <c r="F71">
        <f ca="1">IFERROR(__xludf.DUMMYFUNCTION("""COMPUTED_VALUE"""),238)</f>
        <v>238</v>
      </c>
      <c r="G71">
        <f ca="1">IFERROR(__xludf.DUMMYFUNCTION("""COMPUTED_VALUE"""),52)</f>
        <v>52</v>
      </c>
    </row>
    <row r="72" spans="1:7" ht="12.75">
      <c r="A72" t="str">
        <f ca="1">IFERROR(__xludf.DUMMYFUNCTION("""COMPUTED_VALUE"""),"T67")</f>
        <v>T67</v>
      </c>
      <c r="B72" t="str">
        <f ca="1">IFERROR(__xludf.DUMMYFUNCTION("""COMPUTED_VALUE"""),"T87")</f>
        <v>T87</v>
      </c>
      <c r="C72" t="str">
        <f ca="1">IFERROR(__xludf.DUMMYFUNCTION("""COMPUTED_VALUE"""),"Rhein Gibson")</f>
        <v>Rhein Gibson</v>
      </c>
      <c r="D72">
        <f ca="1">IFERROR(__xludf.DUMMYFUNCTION("""COMPUTED_VALUE"""),10)</f>
        <v>10</v>
      </c>
      <c r="E72">
        <f ca="1">IFERROR(__xludf.DUMMYFUNCTION("""COMPUTED_VALUE"""),4.58)</f>
        <v>4.58</v>
      </c>
      <c r="F72">
        <f ca="1">IFERROR(__xludf.DUMMYFUNCTION("""COMPUTED_VALUE"""),174)</f>
        <v>174</v>
      </c>
      <c r="G72">
        <f ca="1">IFERROR(__xludf.DUMMYFUNCTION("""COMPUTED_VALUE"""),38)</f>
        <v>38</v>
      </c>
    </row>
    <row r="73" spans="1:7" ht="12.75">
      <c r="A73" t="str">
        <f ca="1">IFERROR(__xludf.DUMMYFUNCTION("""COMPUTED_VALUE"""),"T67")</f>
        <v>T67</v>
      </c>
      <c r="B73" t="str">
        <f ca="1">IFERROR(__xludf.DUMMYFUNCTION("""COMPUTED_VALUE"""),"T87")</f>
        <v>T87</v>
      </c>
      <c r="C73" t="str">
        <f ca="1">IFERROR(__xludf.DUMMYFUNCTION("""COMPUTED_VALUE"""),"Patton Kizzire")</f>
        <v>Patton Kizzire</v>
      </c>
      <c r="D73">
        <f ca="1">IFERROR(__xludf.DUMMYFUNCTION("""COMPUTED_VALUE"""),18)</f>
        <v>18</v>
      </c>
      <c r="E73">
        <f ca="1">IFERROR(__xludf.DUMMYFUNCTION("""COMPUTED_VALUE"""),4.58)</f>
        <v>4.58</v>
      </c>
      <c r="F73">
        <f ca="1">IFERROR(__xludf.DUMMYFUNCTION("""COMPUTED_VALUE"""),293)</f>
        <v>293</v>
      </c>
      <c r="G73">
        <f ca="1">IFERROR(__xludf.DUMMYFUNCTION("""COMPUTED_VALUE"""),64)</f>
        <v>64</v>
      </c>
    </row>
    <row r="74" spans="1:7" ht="12.75">
      <c r="A74" t="str">
        <f ca="1">IFERROR(__xludf.DUMMYFUNCTION("""COMPUTED_VALUE"""),"T67")</f>
        <v>T67</v>
      </c>
      <c r="B74" t="str">
        <f ca="1">IFERROR(__xludf.DUMMYFUNCTION("""COMPUTED_VALUE"""),"T87")</f>
        <v>T87</v>
      </c>
      <c r="C74" t="str">
        <f ca="1">IFERROR(__xludf.DUMMYFUNCTION("""COMPUTED_VALUE"""),"Sebastián Muñoz")</f>
        <v>Sebastián Muñoz</v>
      </c>
      <c r="D74">
        <f ca="1">IFERROR(__xludf.DUMMYFUNCTION("""COMPUTED_VALUE"""),20)</f>
        <v>20</v>
      </c>
      <c r="E74">
        <f ca="1">IFERROR(__xludf.DUMMYFUNCTION("""COMPUTED_VALUE"""),4.58)</f>
        <v>4.58</v>
      </c>
      <c r="F74">
        <f ca="1">IFERROR(__xludf.DUMMYFUNCTION("""COMPUTED_VALUE"""),330)</f>
        <v>330</v>
      </c>
      <c r="G74">
        <f ca="1">IFERROR(__xludf.DUMMYFUNCTION("""COMPUTED_VALUE"""),72)</f>
        <v>72</v>
      </c>
    </row>
    <row r="75" spans="1:7" ht="12.75">
      <c r="A75" t="str">
        <f ca="1">IFERROR(__xludf.DUMMYFUNCTION("""COMPUTED_VALUE"""),"T67")</f>
        <v>T67</v>
      </c>
      <c r="B75" t="str">
        <f ca="1">IFERROR(__xludf.DUMMYFUNCTION("""COMPUTED_VALUE"""),"T66")</f>
        <v>T66</v>
      </c>
      <c r="C75" t="str">
        <f ca="1">IFERROR(__xludf.DUMMYFUNCTION("""COMPUTED_VALUE"""),"Sepp Straka")</f>
        <v>Sepp Straka</v>
      </c>
      <c r="D75">
        <f ca="1">IFERROR(__xludf.DUMMYFUNCTION("""COMPUTED_VALUE"""),22)</f>
        <v>22</v>
      </c>
      <c r="E75">
        <f ca="1">IFERROR(__xludf.DUMMYFUNCTION("""COMPUTED_VALUE"""),4.58)</f>
        <v>4.58</v>
      </c>
      <c r="F75">
        <f ca="1">IFERROR(__xludf.DUMMYFUNCTION("""COMPUTED_VALUE"""),348)</f>
        <v>348</v>
      </c>
      <c r="G75">
        <f ca="1">IFERROR(__xludf.DUMMYFUNCTION("""COMPUTED_VALUE"""),76)</f>
        <v>76</v>
      </c>
    </row>
    <row r="76" spans="1:7" ht="12.75">
      <c r="A76" t="str">
        <f ca="1">IFERROR(__xludf.DUMMYFUNCTION("""COMPUTED_VALUE"""),"T67")</f>
        <v>T67</v>
      </c>
      <c r="B76" t="str">
        <f ca="1">IFERROR(__xludf.DUMMYFUNCTION("""COMPUTED_VALUE"""),"T87")</f>
        <v>T87</v>
      </c>
      <c r="C76" t="str">
        <f ca="1">IFERROR(__xludf.DUMMYFUNCTION("""COMPUTED_VALUE"""),"Sahith Theegala")</f>
        <v>Sahith Theegala</v>
      </c>
      <c r="D76">
        <f ca="1">IFERROR(__xludf.DUMMYFUNCTION("""COMPUTED_VALUE"""),6)</f>
        <v>6</v>
      </c>
      <c r="E76">
        <f ca="1">IFERROR(__xludf.DUMMYFUNCTION("""COMPUTED_VALUE"""),4.58)</f>
        <v>4.58</v>
      </c>
      <c r="F76">
        <f ca="1">IFERROR(__xludf.DUMMYFUNCTION("""COMPUTED_VALUE"""),110)</f>
        <v>110</v>
      </c>
      <c r="G76">
        <f ca="1">IFERROR(__xludf.DUMMYFUNCTION("""COMPUTED_VALUE"""),24)</f>
        <v>24</v>
      </c>
    </row>
    <row r="77" spans="1:7" ht="12.75">
      <c r="A77" t="str">
        <f ca="1">IFERROR(__xludf.DUMMYFUNCTION("""COMPUTED_VALUE"""),"T67")</f>
        <v>T67</v>
      </c>
      <c r="B77" t="str">
        <f ca="1">IFERROR(__xludf.DUMMYFUNCTION("""COMPUTED_VALUE"""),"T87")</f>
        <v>T87</v>
      </c>
      <c r="C77" t="str">
        <f ca="1">IFERROR(__xludf.DUMMYFUNCTION("""COMPUTED_VALUE"""),"Doug Ghim")</f>
        <v>Doug Ghim</v>
      </c>
      <c r="D77">
        <f ca="1">IFERROR(__xludf.DUMMYFUNCTION("""COMPUTED_VALUE"""),14)</f>
        <v>14</v>
      </c>
      <c r="E77">
        <f ca="1">IFERROR(__xludf.DUMMYFUNCTION("""COMPUTED_VALUE"""),4.58)</f>
        <v>4.58</v>
      </c>
      <c r="F77">
        <f ca="1">IFERROR(__xludf.DUMMYFUNCTION("""COMPUTED_VALUE"""),238)</f>
        <v>238</v>
      </c>
      <c r="G77">
        <f ca="1">IFERROR(__xludf.DUMMYFUNCTION("""COMPUTED_VALUE"""),52)</f>
        <v>52</v>
      </c>
    </row>
    <row r="78" spans="1:7" ht="12.75">
      <c r="A78" t="str">
        <f ca="1">IFERROR(__xludf.DUMMYFUNCTION("""COMPUTED_VALUE"""),"T77")</f>
        <v>T77</v>
      </c>
      <c r="B78" t="str">
        <f ca="1">IFERROR(__xludf.DUMMYFUNCTION("""COMPUTED_VALUE"""),"T45")</f>
        <v>T45</v>
      </c>
      <c r="C78" t="str">
        <f ca="1">IFERROR(__xludf.DUMMYFUNCTION("""COMPUTED_VALUE"""),"Martin Laird")</f>
        <v>Martin Laird</v>
      </c>
      <c r="D78">
        <f ca="1">IFERROR(__xludf.DUMMYFUNCTION("""COMPUTED_VALUE"""),16)</f>
        <v>16</v>
      </c>
      <c r="E78">
        <f ca="1">IFERROR(__xludf.DUMMYFUNCTION("""COMPUTED_VALUE"""),4.59)</f>
        <v>4.59</v>
      </c>
      <c r="F78">
        <f ca="1">IFERROR(__xludf.DUMMYFUNCTION("""COMPUTED_VALUE"""),266)</f>
        <v>266</v>
      </c>
      <c r="G78">
        <f ca="1">IFERROR(__xludf.DUMMYFUNCTION("""COMPUTED_VALUE"""),58)</f>
        <v>58</v>
      </c>
    </row>
    <row r="79" spans="1:7" ht="12.75">
      <c r="A79" t="str">
        <f ca="1">IFERROR(__xludf.DUMMYFUNCTION("""COMPUTED_VALUE"""),"T77")</f>
        <v>T77</v>
      </c>
      <c r="B79">
        <f ca="1">IFERROR(__xludf.DUMMYFUNCTION("""COMPUTED_VALUE"""),23)</f>
        <v>23</v>
      </c>
      <c r="C79" t="str">
        <f ca="1">IFERROR(__xludf.DUMMYFUNCTION("""COMPUTED_VALUE"""),"Shane Lowry")</f>
        <v>Shane Lowry</v>
      </c>
      <c r="D79">
        <f ca="1">IFERROR(__xludf.DUMMYFUNCTION("""COMPUTED_VALUE"""),14)</f>
        <v>14</v>
      </c>
      <c r="E79">
        <f ca="1">IFERROR(__xludf.DUMMYFUNCTION("""COMPUTED_VALUE"""),4.59)</f>
        <v>4.59</v>
      </c>
      <c r="F79">
        <f ca="1">IFERROR(__xludf.DUMMYFUNCTION("""COMPUTED_VALUE"""),202)</f>
        <v>202</v>
      </c>
      <c r="G79">
        <f ca="1">IFERROR(__xludf.DUMMYFUNCTION("""COMPUTED_VALUE"""),44)</f>
        <v>44</v>
      </c>
    </row>
    <row r="80" spans="1:7" ht="12.75">
      <c r="A80" t="str">
        <f ca="1">IFERROR(__xludf.DUMMYFUNCTION("""COMPUTED_VALUE"""),"T77")</f>
        <v>T77</v>
      </c>
      <c r="B80" t="str">
        <f ca="1">IFERROR(__xludf.DUMMYFUNCTION("""COMPUTED_VALUE"""),"T96")</f>
        <v>T96</v>
      </c>
      <c r="C80" t="str">
        <f ca="1">IFERROR(__xludf.DUMMYFUNCTION("""COMPUTED_VALUE"""),"Ben Martin")</f>
        <v>Ben Martin</v>
      </c>
      <c r="D80">
        <f ca="1">IFERROR(__xludf.DUMMYFUNCTION("""COMPUTED_VALUE"""),6)</f>
        <v>6</v>
      </c>
      <c r="E80">
        <f ca="1">IFERROR(__xludf.DUMMYFUNCTION("""COMPUTED_VALUE"""),4.59)</f>
        <v>4.59</v>
      </c>
      <c r="F80">
        <f ca="1">IFERROR(__xludf.DUMMYFUNCTION("""COMPUTED_VALUE"""),101)</f>
        <v>101</v>
      </c>
      <c r="G80">
        <f ca="1">IFERROR(__xludf.DUMMYFUNCTION("""COMPUTED_VALUE"""),22)</f>
        <v>22</v>
      </c>
    </row>
    <row r="81" spans="1:7" ht="12.75">
      <c r="A81" t="str">
        <f ca="1">IFERROR(__xludf.DUMMYFUNCTION("""COMPUTED_VALUE"""),"T77")</f>
        <v>T77</v>
      </c>
      <c r="B81" t="str">
        <f ca="1">IFERROR(__xludf.DUMMYFUNCTION("""COMPUTED_VALUE"""),"T111")</f>
        <v>T111</v>
      </c>
      <c r="C81" t="str">
        <f ca="1">IFERROR(__xludf.DUMMYFUNCTION("""COMPUTED_VALUE"""),"Tom Hoge")</f>
        <v>Tom Hoge</v>
      </c>
      <c r="D81">
        <f ca="1">IFERROR(__xludf.DUMMYFUNCTION("""COMPUTED_VALUE"""),22)</f>
        <v>22</v>
      </c>
      <c r="E81">
        <f ca="1">IFERROR(__xludf.DUMMYFUNCTION("""COMPUTED_VALUE"""),4.59)</f>
        <v>4.59</v>
      </c>
      <c r="F81">
        <f ca="1">IFERROR(__xludf.DUMMYFUNCTION("""COMPUTED_VALUE"""),395)</f>
        <v>395</v>
      </c>
      <c r="G81">
        <f ca="1">IFERROR(__xludf.DUMMYFUNCTION("""COMPUTED_VALUE"""),86)</f>
        <v>86</v>
      </c>
    </row>
    <row r="82" spans="1:7" ht="12.75">
      <c r="A82" t="str">
        <f ca="1">IFERROR(__xludf.DUMMYFUNCTION("""COMPUTED_VALUE"""),"T77")</f>
        <v>T77</v>
      </c>
      <c r="B82" t="str">
        <f ca="1">IFERROR(__xludf.DUMMYFUNCTION("""COMPUTED_VALUE"""),"T96")</f>
        <v>T96</v>
      </c>
      <c r="C82" t="str">
        <f ca="1">IFERROR(__xludf.DUMMYFUNCTION("""COMPUTED_VALUE"""),"Daniel Berger")</f>
        <v>Daniel Berger</v>
      </c>
      <c r="D82">
        <f ca="1">IFERROR(__xludf.DUMMYFUNCTION("""COMPUTED_VALUE"""),12)</f>
        <v>12</v>
      </c>
      <c r="E82">
        <f ca="1">IFERROR(__xludf.DUMMYFUNCTION("""COMPUTED_VALUE"""),4.59)</f>
        <v>4.59</v>
      </c>
      <c r="F82">
        <f ca="1">IFERROR(__xludf.DUMMYFUNCTION("""COMPUTED_VALUE"""),202)</f>
        <v>202</v>
      </c>
      <c r="G82">
        <f ca="1">IFERROR(__xludf.DUMMYFUNCTION("""COMPUTED_VALUE"""),44)</f>
        <v>44</v>
      </c>
    </row>
    <row r="83" spans="1:7" ht="12.75">
      <c r="A83" t="str">
        <f ca="1">IFERROR(__xludf.DUMMYFUNCTION("""COMPUTED_VALUE"""),"T82")</f>
        <v>T82</v>
      </c>
      <c r="B83" t="str">
        <f ca="1">IFERROR(__xludf.DUMMYFUNCTION("""COMPUTED_VALUE"""),"T100")</f>
        <v>T100</v>
      </c>
      <c r="C83" t="str">
        <f ca="1">IFERROR(__xludf.DUMMYFUNCTION("""COMPUTED_VALUE"""),"Cameron Percy")</f>
        <v>Cameron Percy</v>
      </c>
      <c r="D83">
        <f ca="1">IFERROR(__xludf.DUMMYFUNCTION("""COMPUTED_VALUE"""),16)</f>
        <v>16</v>
      </c>
      <c r="E83">
        <f ca="1">IFERROR(__xludf.DUMMYFUNCTION("""COMPUTED_VALUE"""),4.6)</f>
        <v>4.5999999999999996</v>
      </c>
      <c r="F83">
        <f ca="1">IFERROR(__xludf.DUMMYFUNCTION("""COMPUTED_VALUE"""),276)</f>
        <v>276</v>
      </c>
      <c r="G83">
        <f ca="1">IFERROR(__xludf.DUMMYFUNCTION("""COMPUTED_VALUE"""),60)</f>
        <v>60</v>
      </c>
    </row>
    <row r="84" spans="1:7" ht="12.75">
      <c r="A84" t="str">
        <f ca="1">IFERROR(__xludf.DUMMYFUNCTION("""COMPUTED_VALUE"""),"T82")</f>
        <v>T82</v>
      </c>
      <c r="B84" t="str">
        <f ca="1">IFERROR(__xludf.DUMMYFUNCTION("""COMPUTED_VALUE"""),"T100")</f>
        <v>T100</v>
      </c>
      <c r="C84" t="str">
        <f ca="1">IFERROR(__xludf.DUMMYFUNCTION("""COMPUTED_VALUE"""),"Brad Kennedy")</f>
        <v>Brad Kennedy</v>
      </c>
      <c r="D84">
        <f ca="1">IFERROR(__xludf.DUMMYFUNCTION("""COMPUTED_VALUE"""),4)</f>
        <v>4</v>
      </c>
      <c r="E84">
        <f ca="1">IFERROR(__xludf.DUMMYFUNCTION("""COMPUTED_VALUE"""),4.6)</f>
        <v>4.5999999999999996</v>
      </c>
      <c r="F84">
        <f ca="1">IFERROR(__xludf.DUMMYFUNCTION("""COMPUTED_VALUE"""),92)</f>
        <v>92</v>
      </c>
      <c r="G84">
        <f ca="1">IFERROR(__xludf.DUMMYFUNCTION("""COMPUTED_VALUE"""),20)</f>
        <v>20</v>
      </c>
    </row>
    <row r="85" spans="1:7" ht="12.75">
      <c r="A85" t="str">
        <f ca="1">IFERROR(__xludf.DUMMYFUNCTION("""COMPUTED_VALUE"""),"T82")</f>
        <v>T82</v>
      </c>
      <c r="B85" t="str">
        <f ca="1">IFERROR(__xludf.DUMMYFUNCTION("""COMPUTED_VALUE"""),"T75")</f>
        <v>T75</v>
      </c>
      <c r="C85" t="str">
        <f ca="1">IFERROR(__xludf.DUMMYFUNCTION("""COMPUTED_VALUE"""),"Brian Harman")</f>
        <v>Brian Harman</v>
      </c>
      <c r="D85">
        <f ca="1">IFERROR(__xludf.DUMMYFUNCTION("""COMPUTED_VALUE"""),24)</f>
        <v>24</v>
      </c>
      <c r="E85">
        <f ca="1">IFERROR(__xludf.DUMMYFUNCTION("""COMPUTED_VALUE"""),4.6)</f>
        <v>4.5999999999999996</v>
      </c>
      <c r="F85">
        <f ca="1">IFERROR(__xludf.DUMMYFUNCTION("""COMPUTED_VALUE"""),386)</f>
        <v>386</v>
      </c>
      <c r="G85">
        <f ca="1">IFERROR(__xludf.DUMMYFUNCTION("""COMPUTED_VALUE"""),84)</f>
        <v>84</v>
      </c>
    </row>
    <row r="86" spans="1:7" ht="12.75">
      <c r="A86" t="str">
        <f ca="1">IFERROR(__xludf.DUMMYFUNCTION("""COMPUTED_VALUE"""),"T82")</f>
        <v>T82</v>
      </c>
      <c r="B86" t="str">
        <f ca="1">IFERROR(__xludf.DUMMYFUNCTION("""COMPUTED_VALUE"""),"T45")</f>
        <v>T45</v>
      </c>
      <c r="C86" t="str">
        <f ca="1">IFERROR(__xludf.DUMMYFUNCTION("""COMPUTED_VALUE"""),"Camilo Villegas")</f>
        <v>Camilo Villegas</v>
      </c>
      <c r="D86">
        <f ca="1">IFERROR(__xludf.DUMMYFUNCTION("""COMPUTED_VALUE"""),14)</f>
        <v>14</v>
      </c>
      <c r="E86">
        <f ca="1">IFERROR(__xludf.DUMMYFUNCTION("""COMPUTED_VALUE"""),4.6)</f>
        <v>4.5999999999999996</v>
      </c>
      <c r="F86">
        <f ca="1">IFERROR(__xludf.DUMMYFUNCTION("""COMPUTED_VALUE"""),221)</f>
        <v>221</v>
      </c>
      <c r="G86">
        <f ca="1">IFERROR(__xludf.DUMMYFUNCTION("""COMPUTED_VALUE"""),48)</f>
        <v>48</v>
      </c>
    </row>
    <row r="87" spans="1:7" ht="12.75">
      <c r="A87" t="str">
        <f ca="1">IFERROR(__xludf.DUMMYFUNCTION("""COMPUTED_VALUE"""),"T82")</f>
        <v>T82</v>
      </c>
      <c r="B87" t="str">
        <f ca="1">IFERROR(__xludf.DUMMYFUNCTION("""COMPUTED_VALUE"""),"T111")</f>
        <v>T111</v>
      </c>
      <c r="C87" t="str">
        <f ca="1">IFERROR(__xludf.DUMMYFUNCTION("""COMPUTED_VALUE"""),"Jason Day")</f>
        <v>Jason Day</v>
      </c>
      <c r="D87">
        <f ca="1">IFERROR(__xludf.DUMMYFUNCTION("""COMPUTED_VALUE"""),17)</f>
        <v>17</v>
      </c>
      <c r="E87">
        <f ca="1">IFERROR(__xludf.DUMMYFUNCTION("""COMPUTED_VALUE"""),4.6)</f>
        <v>4.5999999999999996</v>
      </c>
      <c r="F87">
        <f ca="1">IFERROR(__xludf.DUMMYFUNCTION("""COMPUTED_VALUE"""),267)</f>
        <v>267</v>
      </c>
      <c r="G87">
        <f ca="1">IFERROR(__xludf.DUMMYFUNCTION("""COMPUTED_VALUE"""),58)</f>
        <v>58</v>
      </c>
    </row>
    <row r="88" spans="1:7" ht="12.75">
      <c r="A88" t="str">
        <f ca="1">IFERROR(__xludf.DUMMYFUNCTION("""COMPUTED_VALUE"""),"T82")</f>
        <v>T82</v>
      </c>
      <c r="B88">
        <f ca="1">IFERROR(__xludf.DUMMYFUNCTION("""COMPUTED_VALUE"""),44)</f>
        <v>44</v>
      </c>
      <c r="C88" t="str">
        <f ca="1">IFERROR(__xludf.DUMMYFUNCTION("""COMPUTED_VALUE"""),"Emiliano Grillo")</f>
        <v>Emiliano Grillo</v>
      </c>
      <c r="D88">
        <f ca="1">IFERROR(__xludf.DUMMYFUNCTION("""COMPUTED_VALUE"""),22)</f>
        <v>22</v>
      </c>
      <c r="E88">
        <f ca="1">IFERROR(__xludf.DUMMYFUNCTION("""COMPUTED_VALUE"""),4.6)</f>
        <v>4.5999999999999996</v>
      </c>
      <c r="F88">
        <f ca="1">IFERROR(__xludf.DUMMYFUNCTION("""COMPUTED_VALUE"""),359)</f>
        <v>359</v>
      </c>
      <c r="G88">
        <f ca="1">IFERROR(__xludf.DUMMYFUNCTION("""COMPUTED_VALUE"""),78)</f>
        <v>78</v>
      </c>
    </row>
    <row r="89" spans="1:7" ht="12.75">
      <c r="A89" t="str">
        <f ca="1">IFERROR(__xludf.DUMMYFUNCTION("""COMPUTED_VALUE"""),"T82")</f>
        <v>T82</v>
      </c>
      <c r="B89" t="str">
        <f ca="1">IFERROR(__xludf.DUMMYFUNCTION("""COMPUTED_VALUE"""),"T100")</f>
        <v>T100</v>
      </c>
      <c r="C89" t="str">
        <f ca="1">IFERROR(__xludf.DUMMYFUNCTION("""COMPUTED_VALUE"""),"Mikumu Horikawa")</f>
        <v>Mikumu Horikawa</v>
      </c>
      <c r="D89">
        <f ca="1">IFERROR(__xludf.DUMMYFUNCTION("""COMPUTED_VALUE"""),4)</f>
        <v>4</v>
      </c>
      <c r="E89">
        <f ca="1">IFERROR(__xludf.DUMMYFUNCTION("""COMPUTED_VALUE"""),4.6)</f>
        <v>4.5999999999999996</v>
      </c>
      <c r="F89">
        <f ca="1">IFERROR(__xludf.DUMMYFUNCTION("""COMPUTED_VALUE"""),92)</f>
        <v>92</v>
      </c>
      <c r="G89">
        <f ca="1">IFERROR(__xludf.DUMMYFUNCTION("""COMPUTED_VALUE"""),20)</f>
        <v>20</v>
      </c>
    </row>
    <row r="90" spans="1:7" ht="12.75">
      <c r="A90" t="str">
        <f ca="1">IFERROR(__xludf.DUMMYFUNCTION("""COMPUTED_VALUE"""),"T82")</f>
        <v>T82</v>
      </c>
      <c r="B90" t="str">
        <f ca="1">IFERROR(__xludf.DUMMYFUNCTION("""COMPUTED_VALUE"""),"T100")</f>
        <v>T100</v>
      </c>
      <c r="C90" t="str">
        <f ca="1">IFERROR(__xludf.DUMMYFUNCTION("""COMPUTED_VALUE"""),"Nelson Ledesma")</f>
        <v>Nelson Ledesma</v>
      </c>
      <c r="D90">
        <f ca="1">IFERROR(__xludf.DUMMYFUNCTION("""COMPUTED_VALUE"""),8)</f>
        <v>8</v>
      </c>
      <c r="E90">
        <f ca="1">IFERROR(__xludf.DUMMYFUNCTION("""COMPUTED_VALUE"""),4.6)</f>
        <v>4.5999999999999996</v>
      </c>
      <c r="F90">
        <f ca="1">IFERROR(__xludf.DUMMYFUNCTION("""COMPUTED_VALUE"""),138)</f>
        <v>138</v>
      </c>
      <c r="G90">
        <f ca="1">IFERROR(__xludf.DUMMYFUNCTION("""COMPUTED_VALUE"""),30)</f>
        <v>30</v>
      </c>
    </row>
    <row r="91" spans="1:7" ht="12.75">
      <c r="A91" t="str">
        <f ca="1">IFERROR(__xludf.DUMMYFUNCTION("""COMPUTED_VALUE"""),"T82")</f>
        <v>T82</v>
      </c>
      <c r="B91" t="str">
        <f ca="1">IFERROR(__xludf.DUMMYFUNCTION("""COMPUTED_VALUE"""),"T100")</f>
        <v>T100</v>
      </c>
      <c r="C91" t="str">
        <f ca="1">IFERROR(__xludf.DUMMYFUNCTION("""COMPUTED_VALUE"""),"J.J. Spaun")</f>
        <v>J.J. Spaun</v>
      </c>
      <c r="D91">
        <f ca="1">IFERROR(__xludf.DUMMYFUNCTION("""COMPUTED_VALUE"""),10)</f>
        <v>10</v>
      </c>
      <c r="E91">
        <f ca="1">IFERROR(__xludf.DUMMYFUNCTION("""COMPUTED_VALUE"""),4.6)</f>
        <v>4.5999999999999996</v>
      </c>
      <c r="F91">
        <f ca="1">IFERROR(__xludf.DUMMYFUNCTION("""COMPUTED_VALUE"""),184)</f>
        <v>184</v>
      </c>
      <c r="G91">
        <f ca="1">IFERROR(__xludf.DUMMYFUNCTION("""COMPUTED_VALUE"""),40)</f>
        <v>40</v>
      </c>
    </row>
    <row r="92" spans="1:7" ht="12.75">
      <c r="A92" t="str">
        <f ca="1">IFERROR(__xludf.DUMMYFUNCTION("""COMPUTED_VALUE"""),"T82")</f>
        <v>T82</v>
      </c>
      <c r="B92" t="str">
        <f ca="1">IFERROR(__xludf.DUMMYFUNCTION("""COMPUTED_VALUE"""),"T82")</f>
        <v>T82</v>
      </c>
      <c r="C92" t="str">
        <f ca="1">IFERROR(__xludf.DUMMYFUNCTION("""COMPUTED_VALUE"""),"Robby Shelton")</f>
        <v>Robby Shelton</v>
      </c>
      <c r="D92">
        <f ca="1">IFERROR(__xludf.DUMMYFUNCTION("""COMPUTED_VALUE"""),14)</f>
        <v>14</v>
      </c>
      <c r="E92">
        <f ca="1">IFERROR(__xludf.DUMMYFUNCTION("""COMPUTED_VALUE"""),4.6)</f>
        <v>4.5999999999999996</v>
      </c>
      <c r="F92">
        <f ca="1">IFERROR(__xludf.DUMMYFUNCTION("""COMPUTED_VALUE"""),230)</f>
        <v>230</v>
      </c>
      <c r="G92">
        <f ca="1">IFERROR(__xludf.DUMMYFUNCTION("""COMPUTED_VALUE"""),50)</f>
        <v>50</v>
      </c>
    </row>
    <row r="93" spans="1:7" ht="12.75">
      <c r="A93" t="str">
        <f ca="1">IFERROR(__xludf.DUMMYFUNCTION("""COMPUTED_VALUE"""),"T82")</f>
        <v>T82</v>
      </c>
      <c r="B93" t="str">
        <f ca="1">IFERROR(__xludf.DUMMYFUNCTION("""COMPUTED_VALUE"""),"T100")</f>
        <v>T100</v>
      </c>
      <c r="C93" t="str">
        <f ca="1">IFERROR(__xludf.DUMMYFUNCTION("""COMPUTED_VALUE"""),"Rikuya Hoshino")</f>
        <v>Rikuya Hoshino</v>
      </c>
      <c r="D93">
        <f ca="1">IFERROR(__xludf.DUMMYFUNCTION("""COMPUTED_VALUE"""),4)</f>
        <v>4</v>
      </c>
      <c r="E93">
        <f ca="1">IFERROR(__xludf.DUMMYFUNCTION("""COMPUTED_VALUE"""),4.6)</f>
        <v>4.5999999999999996</v>
      </c>
      <c r="F93">
        <f ca="1">IFERROR(__xludf.DUMMYFUNCTION("""COMPUTED_VALUE"""),92)</f>
        <v>92</v>
      </c>
      <c r="G93">
        <f ca="1">IFERROR(__xludf.DUMMYFUNCTION("""COMPUTED_VALUE"""),20)</f>
        <v>20</v>
      </c>
    </row>
    <row r="94" spans="1:7" ht="12.75">
      <c r="A94" t="str">
        <f ca="1">IFERROR(__xludf.DUMMYFUNCTION("""COMPUTED_VALUE"""),"T82")</f>
        <v>T82</v>
      </c>
      <c r="B94" t="str">
        <f ca="1">IFERROR(__xludf.DUMMYFUNCTION("""COMPUTED_VALUE"""),"T75")</f>
        <v>T75</v>
      </c>
      <c r="C94" t="str">
        <f ca="1">IFERROR(__xludf.DUMMYFUNCTION("""COMPUTED_VALUE"""),"Adam Schenk")</f>
        <v>Adam Schenk</v>
      </c>
      <c r="D94">
        <f ca="1">IFERROR(__xludf.DUMMYFUNCTION("""COMPUTED_VALUE"""),22)</f>
        <v>22</v>
      </c>
      <c r="E94">
        <f ca="1">IFERROR(__xludf.DUMMYFUNCTION("""COMPUTED_VALUE"""),4.6)</f>
        <v>4.5999999999999996</v>
      </c>
      <c r="F94">
        <f ca="1">IFERROR(__xludf.DUMMYFUNCTION("""COMPUTED_VALUE"""),359)</f>
        <v>359</v>
      </c>
      <c r="G94">
        <f ca="1">IFERROR(__xludf.DUMMYFUNCTION("""COMPUTED_VALUE"""),78)</f>
        <v>78</v>
      </c>
    </row>
    <row r="95" spans="1:7" ht="12.75">
      <c r="A95" t="str">
        <f ca="1">IFERROR(__xludf.DUMMYFUNCTION("""COMPUTED_VALUE"""),"T82")</f>
        <v>T82</v>
      </c>
      <c r="B95" t="str">
        <f ca="1">IFERROR(__xludf.DUMMYFUNCTION("""COMPUTED_VALUE"""),"T100")</f>
        <v>T100</v>
      </c>
      <c r="C95" t="str">
        <f ca="1">IFERROR(__xludf.DUMMYFUNCTION("""COMPUTED_VALUE"""),"Naoki Sekito")</f>
        <v>Naoki Sekito</v>
      </c>
      <c r="D95">
        <f ca="1">IFERROR(__xludf.DUMMYFUNCTION("""COMPUTED_VALUE"""),4)</f>
        <v>4</v>
      </c>
      <c r="E95">
        <f ca="1">IFERROR(__xludf.DUMMYFUNCTION("""COMPUTED_VALUE"""),4.6)</f>
        <v>4.5999999999999996</v>
      </c>
      <c r="F95">
        <f ca="1">IFERROR(__xludf.DUMMYFUNCTION("""COMPUTED_VALUE"""),92)</f>
        <v>92</v>
      </c>
      <c r="G95">
        <f ca="1">IFERROR(__xludf.DUMMYFUNCTION("""COMPUTED_VALUE"""),20)</f>
        <v>20</v>
      </c>
    </row>
    <row r="96" spans="1:7" ht="12.75">
      <c r="A96" t="str">
        <f ca="1">IFERROR(__xludf.DUMMYFUNCTION("""COMPUTED_VALUE"""),"T82")</f>
        <v>T82</v>
      </c>
      <c r="B96" t="str">
        <f ca="1">IFERROR(__xludf.DUMMYFUNCTION("""COMPUTED_VALUE"""),"T62")</f>
        <v>T62</v>
      </c>
      <c r="C96" t="str">
        <f ca="1">IFERROR(__xludf.DUMMYFUNCTION("""COMPUTED_VALUE"""),"Doc Redman")</f>
        <v>Doc Redman</v>
      </c>
      <c r="D96">
        <f ca="1">IFERROR(__xludf.DUMMYFUNCTION("""COMPUTED_VALUE"""),18)</f>
        <v>18</v>
      </c>
      <c r="E96">
        <f ca="1">IFERROR(__xludf.DUMMYFUNCTION("""COMPUTED_VALUE"""),4.6)</f>
        <v>4.5999999999999996</v>
      </c>
      <c r="F96">
        <f ca="1">IFERROR(__xludf.DUMMYFUNCTION("""COMPUTED_VALUE"""),285)</f>
        <v>285</v>
      </c>
      <c r="G96">
        <f ca="1">IFERROR(__xludf.DUMMYFUNCTION("""COMPUTED_VALUE"""),62)</f>
        <v>62</v>
      </c>
    </row>
    <row r="97" spans="1:7" ht="12.75">
      <c r="A97" t="str">
        <f ca="1">IFERROR(__xludf.DUMMYFUNCTION("""COMPUTED_VALUE"""),"T82")</f>
        <v>T82</v>
      </c>
      <c r="B97" t="str">
        <f ca="1">IFERROR(__xludf.DUMMYFUNCTION("""COMPUTED_VALUE"""),"T100")</f>
        <v>T100</v>
      </c>
      <c r="C97" t="str">
        <f ca="1">IFERROR(__xludf.DUMMYFUNCTION("""COMPUTED_VALUE"""),"Will Gordon")</f>
        <v>Will Gordon</v>
      </c>
      <c r="D97">
        <f ca="1">IFERROR(__xludf.DUMMYFUNCTION("""COMPUTED_VALUE"""),20)</f>
        <v>20</v>
      </c>
      <c r="E97">
        <f ca="1">IFERROR(__xludf.DUMMYFUNCTION("""COMPUTED_VALUE"""),4.6)</f>
        <v>4.5999999999999996</v>
      </c>
      <c r="F97">
        <f ca="1">IFERROR(__xludf.DUMMYFUNCTION("""COMPUTED_VALUE"""),322)</f>
        <v>322</v>
      </c>
      <c r="G97">
        <f ca="1">IFERROR(__xludf.DUMMYFUNCTION("""COMPUTED_VALUE"""),70)</f>
        <v>70</v>
      </c>
    </row>
    <row r="98" spans="1:7" ht="12.75">
      <c r="A98" t="str">
        <f ca="1">IFERROR(__xludf.DUMMYFUNCTION("""COMPUTED_VALUE"""),"T97")</f>
        <v>T97</v>
      </c>
      <c r="B98" t="str">
        <f ca="1">IFERROR(__xludf.DUMMYFUNCTION("""COMPUTED_VALUE"""),"T96")</f>
        <v>T96</v>
      </c>
      <c r="C98" t="str">
        <f ca="1">IFERROR(__xludf.DUMMYFUNCTION("""COMPUTED_VALUE"""),"Stewart Cink")</f>
        <v>Stewart Cink</v>
      </c>
      <c r="D98">
        <f ca="1">IFERROR(__xludf.DUMMYFUNCTION("""COMPUTED_VALUE"""),18)</f>
        <v>18</v>
      </c>
      <c r="E98">
        <f ca="1">IFERROR(__xludf.DUMMYFUNCTION("""COMPUTED_VALUE"""),4.61)</f>
        <v>4.6100000000000003</v>
      </c>
      <c r="F98">
        <f ca="1">IFERROR(__xludf.DUMMYFUNCTION("""COMPUTED_VALUE"""),286)</f>
        <v>286</v>
      </c>
      <c r="G98">
        <f ca="1">IFERROR(__xludf.DUMMYFUNCTION("""COMPUTED_VALUE"""),62)</f>
        <v>62</v>
      </c>
    </row>
    <row r="99" spans="1:7" ht="12.75">
      <c r="A99" t="str">
        <f ca="1">IFERROR(__xludf.DUMMYFUNCTION("""COMPUTED_VALUE"""),"T97")</f>
        <v>T97</v>
      </c>
      <c r="B99" t="str">
        <f ca="1">IFERROR(__xludf.DUMMYFUNCTION("""COMPUTED_VALUE"""),"T111")</f>
        <v>T111</v>
      </c>
      <c r="C99" t="str">
        <f ca="1">IFERROR(__xludf.DUMMYFUNCTION("""COMPUTED_VALUE"""),"Charles Howell III")</f>
        <v>Charles Howell III</v>
      </c>
      <c r="D99">
        <f ca="1">IFERROR(__xludf.DUMMYFUNCTION("""COMPUTED_VALUE"""),10)</f>
        <v>10</v>
      </c>
      <c r="E99">
        <f ca="1">IFERROR(__xludf.DUMMYFUNCTION("""COMPUTED_VALUE"""),4.61)</f>
        <v>4.6100000000000003</v>
      </c>
      <c r="F99">
        <f ca="1">IFERROR(__xludf.DUMMYFUNCTION("""COMPUTED_VALUE"""),129)</f>
        <v>129</v>
      </c>
      <c r="G99">
        <f ca="1">IFERROR(__xludf.DUMMYFUNCTION("""COMPUTED_VALUE"""),28)</f>
        <v>28</v>
      </c>
    </row>
    <row r="100" spans="1:7" ht="12.75">
      <c r="A100" t="str">
        <f ca="1">IFERROR(__xludf.DUMMYFUNCTION("""COMPUTED_VALUE"""),"T97")</f>
        <v>T97</v>
      </c>
      <c r="B100" t="str">
        <f ca="1">IFERROR(__xludf.DUMMYFUNCTION("""COMPUTED_VALUE"""),"T111")</f>
        <v>T111</v>
      </c>
      <c r="C100" t="str">
        <f ca="1">IFERROR(__xludf.DUMMYFUNCTION("""COMPUTED_VALUE"""),"Bill Haas")</f>
        <v>Bill Haas</v>
      </c>
      <c r="D100">
        <f ca="1">IFERROR(__xludf.DUMMYFUNCTION("""COMPUTED_VALUE"""),10)</f>
        <v>10</v>
      </c>
      <c r="E100">
        <f ca="1">IFERROR(__xludf.DUMMYFUNCTION("""COMPUTED_VALUE"""),4.61)</f>
        <v>4.6100000000000003</v>
      </c>
      <c r="F100">
        <f ca="1">IFERROR(__xludf.DUMMYFUNCTION("""COMPUTED_VALUE"""),175)</f>
        <v>175</v>
      </c>
      <c r="G100">
        <f ca="1">IFERROR(__xludf.DUMMYFUNCTION("""COMPUTED_VALUE"""),38)</f>
        <v>38</v>
      </c>
    </row>
    <row r="101" spans="1:7" ht="12.75">
      <c r="A101" t="str">
        <f ca="1">IFERROR(__xludf.DUMMYFUNCTION("""COMPUTED_VALUE"""),"T97")</f>
        <v>T97</v>
      </c>
      <c r="B101" t="str">
        <f ca="1">IFERROR(__xludf.DUMMYFUNCTION("""COMPUTED_VALUE"""),"T111")</f>
        <v>T111</v>
      </c>
      <c r="C101" t="str">
        <f ca="1">IFERROR(__xludf.DUMMYFUNCTION("""COMPUTED_VALUE"""),"Rafa Cabrera Bello")</f>
        <v>Rafa Cabrera Bello</v>
      </c>
      <c r="D101">
        <f ca="1">IFERROR(__xludf.DUMMYFUNCTION("""COMPUTED_VALUE"""),14)</f>
        <v>14</v>
      </c>
      <c r="E101">
        <f ca="1">IFERROR(__xludf.DUMMYFUNCTION("""COMPUTED_VALUE"""),4.61)</f>
        <v>4.6100000000000003</v>
      </c>
      <c r="F101">
        <f ca="1">IFERROR(__xludf.DUMMYFUNCTION("""COMPUTED_VALUE"""),203)</f>
        <v>203</v>
      </c>
      <c r="G101">
        <f ca="1">IFERROR(__xludf.DUMMYFUNCTION("""COMPUTED_VALUE"""),44)</f>
        <v>44</v>
      </c>
    </row>
    <row r="102" spans="1:7" ht="12.75">
      <c r="A102" t="str">
        <f ca="1">IFERROR(__xludf.DUMMYFUNCTION("""COMPUTED_VALUE"""),"T97")</f>
        <v>T97</v>
      </c>
      <c r="B102" t="str">
        <f ca="1">IFERROR(__xludf.DUMMYFUNCTION("""COMPUTED_VALUE"""),"T155")</f>
        <v>T155</v>
      </c>
      <c r="C102" t="str">
        <f ca="1">IFERROR(__xludf.DUMMYFUNCTION("""COMPUTED_VALUE"""),"Brice Garnett")</f>
        <v>Brice Garnett</v>
      </c>
      <c r="D102">
        <f ca="1">IFERROR(__xludf.DUMMYFUNCTION("""COMPUTED_VALUE"""),22)</f>
        <v>22</v>
      </c>
      <c r="E102">
        <f ca="1">IFERROR(__xludf.DUMMYFUNCTION("""COMPUTED_VALUE"""),4.61)</f>
        <v>4.6100000000000003</v>
      </c>
      <c r="F102">
        <f ca="1">IFERROR(__xludf.DUMMYFUNCTION("""COMPUTED_VALUE"""),350)</f>
        <v>350</v>
      </c>
      <c r="G102">
        <f ca="1">IFERROR(__xludf.DUMMYFUNCTION("""COMPUTED_VALUE"""),76)</f>
        <v>76</v>
      </c>
    </row>
    <row r="103" spans="1:7" ht="12.75">
      <c r="A103" t="str">
        <f ca="1">IFERROR(__xludf.DUMMYFUNCTION("""COMPUTED_VALUE"""),"T97")</f>
        <v>T97</v>
      </c>
      <c r="B103" t="str">
        <f ca="1">IFERROR(__xludf.DUMMYFUNCTION("""COMPUTED_VALUE"""),"T24")</f>
        <v>T24</v>
      </c>
      <c r="C103" t="str">
        <f ca="1">IFERROR(__xludf.DUMMYFUNCTION("""COMPUTED_VALUE"""),"James Hahn")</f>
        <v>James Hahn</v>
      </c>
      <c r="D103">
        <f ca="1">IFERROR(__xludf.DUMMYFUNCTION("""COMPUTED_VALUE"""),16)</f>
        <v>16</v>
      </c>
      <c r="E103">
        <f ca="1">IFERROR(__xludf.DUMMYFUNCTION("""COMPUTED_VALUE"""),4.61)</f>
        <v>4.6100000000000003</v>
      </c>
      <c r="F103">
        <f ca="1">IFERROR(__xludf.DUMMYFUNCTION("""COMPUTED_VALUE"""),258)</f>
        <v>258</v>
      </c>
      <c r="G103">
        <f ca="1">IFERROR(__xludf.DUMMYFUNCTION("""COMPUTED_VALUE"""),56)</f>
        <v>56</v>
      </c>
    </row>
    <row r="104" spans="1:7" ht="12.75">
      <c r="A104" t="str">
        <f ca="1">IFERROR(__xludf.DUMMYFUNCTION("""COMPUTED_VALUE"""),"T97")</f>
        <v>T97</v>
      </c>
      <c r="B104" t="str">
        <f ca="1">IFERROR(__xludf.DUMMYFUNCTION("""COMPUTED_VALUE"""),"T57")</f>
        <v>T57</v>
      </c>
      <c r="C104" t="str">
        <f ca="1">IFERROR(__xludf.DUMMYFUNCTION("""COMPUTED_VALUE"""),"Tom Lewis")</f>
        <v>Tom Lewis</v>
      </c>
      <c r="D104">
        <f ca="1">IFERROR(__xludf.DUMMYFUNCTION("""COMPUTED_VALUE"""),12)</f>
        <v>12</v>
      </c>
      <c r="E104">
        <f ca="1">IFERROR(__xludf.DUMMYFUNCTION("""COMPUTED_VALUE"""),4.61)</f>
        <v>4.6100000000000003</v>
      </c>
      <c r="F104">
        <f ca="1">IFERROR(__xludf.DUMMYFUNCTION("""COMPUTED_VALUE"""),166)</f>
        <v>166</v>
      </c>
      <c r="G104">
        <f ca="1">IFERROR(__xludf.DUMMYFUNCTION("""COMPUTED_VALUE"""),36)</f>
        <v>36</v>
      </c>
    </row>
    <row r="105" spans="1:7" ht="12.75">
      <c r="A105" t="str">
        <f ca="1">IFERROR(__xludf.DUMMYFUNCTION("""COMPUTED_VALUE"""),"T97")</f>
        <v>T97</v>
      </c>
      <c r="B105" t="str">
        <f ca="1">IFERROR(__xludf.DUMMYFUNCTION("""COMPUTED_VALUE"""),"T141")</f>
        <v>T141</v>
      </c>
      <c r="C105" t="str">
        <f ca="1">IFERROR(__xludf.DUMMYFUNCTION("""COMPUTED_VALUE"""),"Lanto Griffin")</f>
        <v>Lanto Griffin</v>
      </c>
      <c r="D105">
        <f ca="1">IFERROR(__xludf.DUMMYFUNCTION("""COMPUTED_VALUE"""),18)</f>
        <v>18</v>
      </c>
      <c r="E105">
        <f ca="1">IFERROR(__xludf.DUMMYFUNCTION("""COMPUTED_VALUE"""),4.61)</f>
        <v>4.6100000000000003</v>
      </c>
      <c r="F105">
        <f ca="1">IFERROR(__xludf.DUMMYFUNCTION("""COMPUTED_VALUE"""),286)</f>
        <v>286</v>
      </c>
      <c r="G105">
        <f ca="1">IFERROR(__xludf.DUMMYFUNCTION("""COMPUTED_VALUE"""),62)</f>
        <v>62</v>
      </c>
    </row>
    <row r="106" spans="1:7" ht="12.75">
      <c r="A106" t="str">
        <f ca="1">IFERROR(__xludf.DUMMYFUNCTION("""COMPUTED_VALUE"""),"T97")</f>
        <v>T97</v>
      </c>
      <c r="B106" t="str">
        <f ca="1">IFERROR(__xludf.DUMMYFUNCTION("""COMPUTED_VALUE"""),"T111")</f>
        <v>T111</v>
      </c>
      <c r="C106" t="str">
        <f ca="1">IFERROR(__xludf.DUMMYFUNCTION("""COMPUTED_VALUE"""),"Vincent Whaley")</f>
        <v>Vincent Whaley</v>
      </c>
      <c r="D106">
        <f ca="1">IFERROR(__xludf.DUMMYFUNCTION("""COMPUTED_VALUE"""),14)</f>
        <v>14</v>
      </c>
      <c r="E106">
        <f ca="1">IFERROR(__xludf.DUMMYFUNCTION("""COMPUTED_VALUE"""),4.61)</f>
        <v>4.6100000000000003</v>
      </c>
      <c r="F106">
        <f ca="1">IFERROR(__xludf.DUMMYFUNCTION("""COMPUTED_VALUE"""),249)</f>
        <v>249</v>
      </c>
      <c r="G106">
        <f ca="1">IFERROR(__xludf.DUMMYFUNCTION("""COMPUTED_VALUE"""),54)</f>
        <v>54</v>
      </c>
    </row>
    <row r="107" spans="1:7" ht="12.75">
      <c r="A107" t="str">
        <f ca="1">IFERROR(__xludf.DUMMYFUNCTION("""COMPUTED_VALUE"""),"T106")</f>
        <v>T106</v>
      </c>
      <c r="B107" t="str">
        <f ca="1">IFERROR(__xludf.DUMMYFUNCTION("""COMPUTED_VALUE"""),"T62")</f>
        <v>T62</v>
      </c>
      <c r="C107" t="str">
        <f ca="1">IFERROR(__xludf.DUMMYFUNCTION("""COMPUTED_VALUE"""),"Pat Perez")</f>
        <v>Pat Perez</v>
      </c>
      <c r="D107">
        <f ca="1">IFERROR(__xludf.DUMMYFUNCTION("""COMPUTED_VALUE"""),16)</f>
        <v>16</v>
      </c>
      <c r="E107">
        <f ca="1">IFERROR(__xludf.DUMMYFUNCTION("""COMPUTED_VALUE"""),4.62)</f>
        <v>4.62</v>
      </c>
      <c r="F107">
        <f ca="1">IFERROR(__xludf.DUMMYFUNCTION("""COMPUTED_VALUE"""),268)</f>
        <v>268</v>
      </c>
      <c r="G107">
        <f ca="1">IFERROR(__xludf.DUMMYFUNCTION("""COMPUTED_VALUE"""),58)</f>
        <v>58</v>
      </c>
    </row>
    <row r="108" spans="1:7" ht="12.75">
      <c r="A108" t="str">
        <f ca="1">IFERROR(__xludf.DUMMYFUNCTION("""COMPUTED_VALUE"""),"T106")</f>
        <v>T106</v>
      </c>
      <c r="B108" t="str">
        <f ca="1">IFERROR(__xludf.DUMMYFUNCTION("""COMPUTED_VALUE"""),"T121")</f>
        <v>T121</v>
      </c>
      <c r="C108" t="str">
        <f ca="1">IFERROR(__xludf.DUMMYFUNCTION("""COMPUTED_VALUE"""),"Paul Casey")</f>
        <v>Paul Casey</v>
      </c>
      <c r="D108">
        <f ca="1">IFERROR(__xludf.DUMMYFUNCTION("""COMPUTED_VALUE"""),14)</f>
        <v>14</v>
      </c>
      <c r="E108">
        <f ca="1">IFERROR(__xludf.DUMMYFUNCTION("""COMPUTED_VALUE"""),4.62)</f>
        <v>4.62</v>
      </c>
      <c r="F108">
        <f ca="1">IFERROR(__xludf.DUMMYFUNCTION("""COMPUTED_VALUE"""),231)</f>
        <v>231</v>
      </c>
      <c r="G108">
        <f ca="1">IFERROR(__xludf.DUMMYFUNCTION("""COMPUTED_VALUE"""),50)</f>
        <v>50</v>
      </c>
    </row>
    <row r="109" spans="1:7" ht="12.75">
      <c r="A109" t="str">
        <f ca="1">IFERROR(__xludf.DUMMYFUNCTION("""COMPUTED_VALUE"""),"T106")</f>
        <v>T106</v>
      </c>
      <c r="B109" t="str">
        <f ca="1">IFERROR(__xludf.DUMMYFUNCTION("""COMPUTED_VALUE"""),"T45")</f>
        <v>T45</v>
      </c>
      <c r="C109" t="str">
        <f ca="1">IFERROR(__xludf.DUMMYFUNCTION("""COMPUTED_VALUE"""),"Scott Piercy")</f>
        <v>Scott Piercy</v>
      </c>
      <c r="D109">
        <f ca="1">IFERROR(__xludf.DUMMYFUNCTION("""COMPUTED_VALUE"""),18)</f>
        <v>18</v>
      </c>
      <c r="E109">
        <f ca="1">IFERROR(__xludf.DUMMYFUNCTION("""COMPUTED_VALUE"""),4.62)</f>
        <v>4.62</v>
      </c>
      <c r="F109">
        <f ca="1">IFERROR(__xludf.DUMMYFUNCTION("""COMPUTED_VALUE"""),277)</f>
        <v>277</v>
      </c>
      <c r="G109">
        <f ca="1">IFERROR(__xludf.DUMMYFUNCTION("""COMPUTED_VALUE"""),60)</f>
        <v>60</v>
      </c>
    </row>
    <row r="110" spans="1:7" ht="12.75">
      <c r="A110" t="str">
        <f ca="1">IFERROR(__xludf.DUMMYFUNCTION("""COMPUTED_VALUE"""),"T106")</f>
        <v>T106</v>
      </c>
      <c r="B110" t="str">
        <f ca="1">IFERROR(__xludf.DUMMYFUNCTION("""COMPUTED_VALUE"""),"T121")</f>
        <v>T121</v>
      </c>
      <c r="C110" t="str">
        <f ca="1">IFERROR(__xludf.DUMMYFUNCTION("""COMPUTED_VALUE"""),"Anirban Lahiri")</f>
        <v>Anirban Lahiri</v>
      </c>
      <c r="D110">
        <f ca="1">IFERROR(__xludf.DUMMYFUNCTION("""COMPUTED_VALUE"""),16)</f>
        <v>16</v>
      </c>
      <c r="E110">
        <f ca="1">IFERROR(__xludf.DUMMYFUNCTION("""COMPUTED_VALUE"""),4.62)</f>
        <v>4.62</v>
      </c>
      <c r="F110">
        <f ca="1">IFERROR(__xludf.DUMMYFUNCTION("""COMPUTED_VALUE"""),277)</f>
        <v>277</v>
      </c>
      <c r="G110">
        <f ca="1">IFERROR(__xludf.DUMMYFUNCTION("""COMPUTED_VALUE"""),60)</f>
        <v>60</v>
      </c>
    </row>
    <row r="111" spans="1:7" ht="12.75">
      <c r="A111" t="str">
        <f ca="1">IFERROR(__xludf.DUMMYFUNCTION("""COMPUTED_VALUE"""),"T106")</f>
        <v>T106</v>
      </c>
      <c r="B111" t="str">
        <f ca="1">IFERROR(__xludf.DUMMYFUNCTION("""COMPUTED_VALUE"""),"T121")</f>
        <v>T121</v>
      </c>
      <c r="C111" t="str">
        <f ca="1">IFERROR(__xludf.DUMMYFUNCTION("""COMPUTED_VALUE"""),"Joel Dahmen")</f>
        <v>Joel Dahmen</v>
      </c>
      <c r="D111">
        <f ca="1">IFERROR(__xludf.DUMMYFUNCTION("""COMPUTED_VALUE"""),18)</f>
        <v>18</v>
      </c>
      <c r="E111">
        <f ca="1">IFERROR(__xludf.DUMMYFUNCTION("""COMPUTED_VALUE"""),4.62)</f>
        <v>4.62</v>
      </c>
      <c r="F111">
        <f ca="1">IFERROR(__xludf.DUMMYFUNCTION("""COMPUTED_VALUE"""),314)</f>
        <v>314</v>
      </c>
      <c r="G111">
        <f ca="1">IFERROR(__xludf.DUMMYFUNCTION("""COMPUTED_VALUE"""),68)</f>
        <v>68</v>
      </c>
    </row>
    <row r="112" spans="1:7" ht="12.75">
      <c r="A112" t="str">
        <f ca="1">IFERROR(__xludf.DUMMYFUNCTION("""COMPUTED_VALUE"""),"T106")</f>
        <v>T106</v>
      </c>
      <c r="B112" t="str">
        <f ca="1">IFERROR(__xludf.DUMMYFUNCTION("""COMPUTED_VALUE"""),"T62")</f>
        <v>T62</v>
      </c>
      <c r="C112" t="str">
        <f ca="1">IFERROR(__xludf.DUMMYFUNCTION("""COMPUTED_VALUE"""),"Beau Hossler")</f>
        <v>Beau Hossler</v>
      </c>
      <c r="D112">
        <f ca="1">IFERROR(__xludf.DUMMYFUNCTION("""COMPUTED_VALUE"""),22)</f>
        <v>22</v>
      </c>
      <c r="E112">
        <f ca="1">IFERROR(__xludf.DUMMYFUNCTION("""COMPUTED_VALUE"""),4.62)</f>
        <v>4.62</v>
      </c>
      <c r="F112">
        <f ca="1">IFERROR(__xludf.DUMMYFUNCTION("""COMPUTED_VALUE"""),360)</f>
        <v>360</v>
      </c>
      <c r="G112">
        <f ca="1">IFERROR(__xludf.DUMMYFUNCTION("""COMPUTED_VALUE"""),78)</f>
        <v>78</v>
      </c>
    </row>
    <row r="113" spans="1:7" ht="12.75">
      <c r="A113" t="str">
        <f ca="1">IFERROR(__xludf.DUMMYFUNCTION("""COMPUTED_VALUE"""),"T106")</f>
        <v>T106</v>
      </c>
      <c r="B113" t="str">
        <f ca="1">IFERROR(__xludf.DUMMYFUNCTION("""COMPUTED_VALUE"""),"T100")</f>
        <v>T100</v>
      </c>
      <c r="C113" t="str">
        <f ca="1">IFERROR(__xludf.DUMMYFUNCTION("""COMPUTED_VALUE"""),"Matthew NeSmith")</f>
        <v>Matthew NeSmith</v>
      </c>
      <c r="D113">
        <f ca="1">IFERROR(__xludf.DUMMYFUNCTION("""COMPUTED_VALUE"""),16)</f>
        <v>16</v>
      </c>
      <c r="E113">
        <f ca="1">IFERROR(__xludf.DUMMYFUNCTION("""COMPUTED_VALUE"""),4.62)</f>
        <v>4.62</v>
      </c>
      <c r="F113">
        <f ca="1">IFERROR(__xludf.DUMMYFUNCTION("""COMPUTED_VALUE"""),268)</f>
        <v>268</v>
      </c>
      <c r="G113">
        <f ca="1">IFERROR(__xludf.DUMMYFUNCTION("""COMPUTED_VALUE"""),58)</f>
        <v>58</v>
      </c>
    </row>
    <row r="114" spans="1:7" ht="12.75">
      <c r="A114" t="str">
        <f ca="1">IFERROR(__xludf.DUMMYFUNCTION("""COMPUTED_VALUE"""),"T113")</f>
        <v>T113</v>
      </c>
      <c r="B114" t="str">
        <f ca="1">IFERROR(__xludf.DUMMYFUNCTION("""COMPUTED_VALUE"""),"T87")</f>
        <v>T87</v>
      </c>
      <c r="C114" t="str">
        <f ca="1">IFERROR(__xludf.DUMMYFUNCTION("""COMPUTED_VALUE"""),"Padraig Harrington")</f>
        <v>Padraig Harrington</v>
      </c>
      <c r="D114">
        <f ca="1">IFERROR(__xludf.DUMMYFUNCTION("""COMPUTED_VALUE"""),8)</f>
        <v>8</v>
      </c>
      <c r="E114">
        <f ca="1">IFERROR(__xludf.DUMMYFUNCTION("""COMPUTED_VALUE"""),4.63)</f>
        <v>4.63</v>
      </c>
      <c r="F114">
        <f ca="1">IFERROR(__xludf.DUMMYFUNCTION("""COMPUTED_VALUE"""),111)</f>
        <v>111</v>
      </c>
      <c r="G114">
        <f ca="1">IFERROR(__xludf.DUMMYFUNCTION("""COMPUTED_VALUE"""),24)</f>
        <v>24</v>
      </c>
    </row>
    <row r="115" spans="1:7" ht="12.75">
      <c r="A115" t="str">
        <f ca="1">IFERROR(__xludf.DUMMYFUNCTION("""COMPUTED_VALUE"""),"T113")</f>
        <v>T113</v>
      </c>
      <c r="B115" t="str">
        <f ca="1">IFERROR(__xludf.DUMMYFUNCTION("""COMPUTED_VALUE"""),"T148")</f>
        <v>T148</v>
      </c>
      <c r="C115" t="str">
        <f ca="1">IFERROR(__xludf.DUMMYFUNCTION("""COMPUTED_VALUE"""),"Matt Jones")</f>
        <v>Matt Jones</v>
      </c>
      <c r="D115">
        <f ca="1">IFERROR(__xludf.DUMMYFUNCTION("""COMPUTED_VALUE"""),20)</f>
        <v>20</v>
      </c>
      <c r="E115">
        <f ca="1">IFERROR(__xludf.DUMMYFUNCTION("""COMPUTED_VALUE"""),4.63)</f>
        <v>4.63</v>
      </c>
      <c r="F115">
        <f ca="1">IFERROR(__xludf.DUMMYFUNCTION("""COMPUTED_VALUE"""),296)</f>
        <v>296</v>
      </c>
      <c r="G115">
        <f ca="1">IFERROR(__xludf.DUMMYFUNCTION("""COMPUTED_VALUE"""),64)</f>
        <v>64</v>
      </c>
    </row>
    <row r="116" spans="1:7" ht="12.75">
      <c r="A116" t="str">
        <f ca="1">IFERROR(__xludf.DUMMYFUNCTION("""COMPUTED_VALUE"""),"T113")</f>
        <v>T113</v>
      </c>
      <c r="B116" t="str">
        <f ca="1">IFERROR(__xludf.DUMMYFUNCTION("""COMPUTED_VALUE"""),"T128")</f>
        <v>T128</v>
      </c>
      <c r="C116" t="str">
        <f ca="1">IFERROR(__xludf.DUMMYFUNCTION("""COMPUTED_VALUE"""),"J.B. Holmes")</f>
        <v>J.B. Holmes</v>
      </c>
      <c r="D116">
        <f ca="1">IFERROR(__xludf.DUMMYFUNCTION("""COMPUTED_VALUE"""),10)</f>
        <v>10</v>
      </c>
      <c r="E116">
        <f ca="1">IFERROR(__xludf.DUMMYFUNCTION("""COMPUTED_VALUE"""),4.63)</f>
        <v>4.63</v>
      </c>
      <c r="F116">
        <f ca="1">IFERROR(__xludf.DUMMYFUNCTION("""COMPUTED_VALUE"""),176)</f>
        <v>176</v>
      </c>
      <c r="G116">
        <f ca="1">IFERROR(__xludf.DUMMYFUNCTION("""COMPUTED_VALUE"""),38)</f>
        <v>38</v>
      </c>
    </row>
    <row r="117" spans="1:7" ht="12.75">
      <c r="A117" t="str">
        <f ca="1">IFERROR(__xludf.DUMMYFUNCTION("""COMPUTED_VALUE"""),"T113")</f>
        <v>T113</v>
      </c>
      <c r="B117" t="str">
        <f ca="1">IFERROR(__xludf.DUMMYFUNCTION("""COMPUTED_VALUE"""),"")</f>
        <v/>
      </c>
      <c r="C117" t="str">
        <f ca="1">IFERROR(__xludf.DUMMYFUNCTION("""COMPUTED_VALUE"""),"Justin Harding")</f>
        <v>Justin Harding</v>
      </c>
      <c r="D117">
        <f ca="1">IFERROR(__xludf.DUMMYFUNCTION("""COMPUTED_VALUE"""),6)</f>
        <v>6</v>
      </c>
      <c r="E117">
        <f ca="1">IFERROR(__xludf.DUMMYFUNCTION("""COMPUTED_VALUE"""),4.63)</f>
        <v>4.63</v>
      </c>
      <c r="F117">
        <f ca="1">IFERROR(__xludf.DUMMYFUNCTION("""COMPUTED_VALUE"""),74)</f>
        <v>74</v>
      </c>
      <c r="G117">
        <f ca="1">IFERROR(__xludf.DUMMYFUNCTION("""COMPUTED_VALUE"""),16)</f>
        <v>16</v>
      </c>
    </row>
    <row r="118" spans="1:7" ht="12.75">
      <c r="A118" t="str">
        <f ca="1">IFERROR(__xludf.DUMMYFUNCTION("""COMPUTED_VALUE"""),"T113")</f>
        <v>T113</v>
      </c>
      <c r="B118" t="str">
        <f ca="1">IFERROR(__xludf.DUMMYFUNCTION("""COMPUTED_VALUE"""),"T128")</f>
        <v>T128</v>
      </c>
      <c r="C118" t="str">
        <f ca="1">IFERROR(__xludf.DUMMYFUNCTION("""COMPUTED_VALUE"""),"Webb Simpson")</f>
        <v>Webb Simpson</v>
      </c>
      <c r="D118">
        <f ca="1">IFERROR(__xludf.DUMMYFUNCTION("""COMPUTED_VALUE"""),12)</f>
        <v>12</v>
      </c>
      <c r="E118">
        <f ca="1">IFERROR(__xludf.DUMMYFUNCTION("""COMPUTED_VALUE"""),4.63)</f>
        <v>4.63</v>
      </c>
      <c r="F118">
        <f ca="1">IFERROR(__xludf.DUMMYFUNCTION("""COMPUTED_VALUE"""),185)</f>
        <v>185</v>
      </c>
      <c r="G118">
        <f ca="1">IFERROR(__xludf.DUMMYFUNCTION("""COMPUTED_VALUE"""),40)</f>
        <v>40</v>
      </c>
    </row>
    <row r="119" spans="1:7" ht="12.75">
      <c r="A119" t="str">
        <f ca="1">IFERROR(__xludf.DUMMYFUNCTION("""COMPUTED_VALUE"""),"T113")</f>
        <v>T113</v>
      </c>
      <c r="B119" t="str">
        <f ca="1">IFERROR(__xludf.DUMMYFUNCTION("""COMPUTED_VALUE"""),"T121")</f>
        <v>T121</v>
      </c>
      <c r="C119" t="str">
        <f ca="1">IFERROR(__xludf.DUMMYFUNCTION("""COMPUTED_VALUE"""),"Brian Stuard")</f>
        <v>Brian Stuard</v>
      </c>
      <c r="D119">
        <f ca="1">IFERROR(__xludf.DUMMYFUNCTION("""COMPUTED_VALUE"""),18)</f>
        <v>18</v>
      </c>
      <c r="E119">
        <f ca="1">IFERROR(__xludf.DUMMYFUNCTION("""COMPUTED_VALUE"""),4.63)</f>
        <v>4.63</v>
      </c>
      <c r="F119">
        <f ca="1">IFERROR(__xludf.DUMMYFUNCTION("""COMPUTED_VALUE"""),296)</f>
        <v>296</v>
      </c>
      <c r="G119">
        <f ca="1">IFERROR(__xludf.DUMMYFUNCTION("""COMPUTED_VALUE"""),64)</f>
        <v>64</v>
      </c>
    </row>
    <row r="120" spans="1:7" ht="12.75">
      <c r="A120" t="str">
        <f ca="1">IFERROR(__xludf.DUMMYFUNCTION("""COMPUTED_VALUE"""),"T113")</f>
        <v>T113</v>
      </c>
      <c r="B120" t="str">
        <f ca="1">IFERROR(__xludf.DUMMYFUNCTION("""COMPUTED_VALUE"""),"T75")</f>
        <v>T75</v>
      </c>
      <c r="C120" t="str">
        <f ca="1">IFERROR(__xludf.DUMMYFUNCTION("""COMPUTED_VALUE"""),"Andrew Landry")</f>
        <v>Andrew Landry</v>
      </c>
      <c r="D120">
        <f ca="1">IFERROR(__xludf.DUMMYFUNCTION("""COMPUTED_VALUE"""),14)</f>
        <v>14</v>
      </c>
      <c r="E120">
        <f ca="1">IFERROR(__xludf.DUMMYFUNCTION("""COMPUTED_VALUE"""),4.63)</f>
        <v>4.63</v>
      </c>
      <c r="F120">
        <f ca="1">IFERROR(__xludf.DUMMYFUNCTION("""COMPUTED_VALUE"""),250)</f>
        <v>250</v>
      </c>
      <c r="G120">
        <f ca="1">IFERROR(__xludf.DUMMYFUNCTION("""COMPUTED_VALUE"""),54)</f>
        <v>54</v>
      </c>
    </row>
    <row r="121" spans="1:7" ht="12.75">
      <c r="A121" t="str">
        <f ca="1">IFERROR(__xludf.DUMMYFUNCTION("""COMPUTED_VALUE"""),"T113")</f>
        <v>T113</v>
      </c>
      <c r="B121" t="str">
        <f ca="1">IFERROR(__xludf.DUMMYFUNCTION("""COMPUTED_VALUE"""),"T141")</f>
        <v>T141</v>
      </c>
      <c r="C121" t="str">
        <f ca="1">IFERROR(__xludf.DUMMYFUNCTION("""COMPUTED_VALUE"""),"Cameron Tringale")</f>
        <v>Cameron Tringale</v>
      </c>
      <c r="D121">
        <f ca="1">IFERROR(__xludf.DUMMYFUNCTION("""COMPUTED_VALUE"""),16)</f>
        <v>16</v>
      </c>
      <c r="E121">
        <f ca="1">IFERROR(__xludf.DUMMYFUNCTION("""COMPUTED_VALUE"""),4.63)</f>
        <v>4.63</v>
      </c>
      <c r="F121">
        <f ca="1">IFERROR(__xludf.DUMMYFUNCTION("""COMPUTED_VALUE"""),250)</f>
        <v>250</v>
      </c>
      <c r="G121">
        <f ca="1">IFERROR(__xludf.DUMMYFUNCTION("""COMPUTED_VALUE"""),54)</f>
        <v>54</v>
      </c>
    </row>
    <row r="122" spans="1:7" ht="12.75">
      <c r="A122" t="str">
        <f ca="1">IFERROR(__xludf.DUMMYFUNCTION("""COMPUTED_VALUE"""),"T113")</f>
        <v>T113</v>
      </c>
      <c r="B122" t="str">
        <f ca="1">IFERROR(__xludf.DUMMYFUNCTION("""COMPUTED_VALUE"""),"T75")</f>
        <v>T75</v>
      </c>
      <c r="C122" t="str">
        <f ca="1">IFERROR(__xludf.DUMMYFUNCTION("""COMPUTED_VALUE"""),"Russell Henley")</f>
        <v>Russell Henley</v>
      </c>
      <c r="D122">
        <f ca="1">IFERROR(__xludf.DUMMYFUNCTION("""COMPUTED_VALUE"""),16)</f>
        <v>16</v>
      </c>
      <c r="E122">
        <f ca="1">IFERROR(__xludf.DUMMYFUNCTION("""COMPUTED_VALUE"""),4.63)</f>
        <v>4.63</v>
      </c>
      <c r="F122">
        <f ca="1">IFERROR(__xludf.DUMMYFUNCTION("""COMPUTED_VALUE"""),278)</f>
        <v>278</v>
      </c>
      <c r="G122">
        <f ca="1">IFERROR(__xludf.DUMMYFUNCTION("""COMPUTED_VALUE"""),60)</f>
        <v>60</v>
      </c>
    </row>
    <row r="123" spans="1:7" ht="12.75">
      <c r="A123" t="str">
        <f ca="1">IFERROR(__xludf.DUMMYFUNCTION("""COMPUTED_VALUE"""),"T113")</f>
        <v>T113</v>
      </c>
      <c r="B123" t="str">
        <f ca="1">IFERROR(__xludf.DUMMYFUNCTION("""COMPUTED_VALUE"""),"T57")</f>
        <v>T57</v>
      </c>
      <c r="C123" t="str">
        <f ca="1">IFERROR(__xludf.DUMMYFUNCTION("""COMPUTED_VALUE"""),"Grayson Murray")</f>
        <v>Grayson Murray</v>
      </c>
      <c r="D123">
        <f ca="1">IFERROR(__xludf.DUMMYFUNCTION("""COMPUTED_VALUE"""),10)</f>
        <v>10</v>
      </c>
      <c r="E123">
        <f ca="1">IFERROR(__xludf.DUMMYFUNCTION("""COMPUTED_VALUE"""),4.63)</f>
        <v>4.63</v>
      </c>
      <c r="F123">
        <f ca="1">IFERROR(__xludf.DUMMYFUNCTION("""COMPUTED_VALUE"""),176)</f>
        <v>176</v>
      </c>
      <c r="G123">
        <f ca="1">IFERROR(__xludf.DUMMYFUNCTION("""COMPUTED_VALUE"""),38)</f>
        <v>38</v>
      </c>
    </row>
    <row r="124" spans="1:7" ht="12.75">
      <c r="A124" t="str">
        <f ca="1">IFERROR(__xludf.DUMMYFUNCTION("""COMPUTED_VALUE"""),"T113")</f>
        <v>T113</v>
      </c>
      <c r="B124" t="str">
        <f ca="1">IFERROR(__xludf.DUMMYFUNCTION("""COMPUTED_VALUE"""),"T128")</f>
        <v>T128</v>
      </c>
      <c r="C124" t="str">
        <f ca="1">IFERROR(__xludf.DUMMYFUNCTION("""COMPUTED_VALUE"""),"Sebastian Cappelen")</f>
        <v>Sebastian Cappelen</v>
      </c>
      <c r="D124">
        <f ca="1">IFERROR(__xludf.DUMMYFUNCTION("""COMPUTED_VALUE"""),8)</f>
        <v>8</v>
      </c>
      <c r="E124">
        <f ca="1">IFERROR(__xludf.DUMMYFUNCTION("""COMPUTED_VALUE"""),4.63)</f>
        <v>4.63</v>
      </c>
      <c r="F124">
        <f ca="1">IFERROR(__xludf.DUMMYFUNCTION("""COMPUTED_VALUE"""),148)</f>
        <v>148</v>
      </c>
      <c r="G124">
        <f ca="1">IFERROR(__xludf.DUMMYFUNCTION("""COMPUTED_VALUE"""),32)</f>
        <v>32</v>
      </c>
    </row>
    <row r="125" spans="1:7" ht="12.75">
      <c r="A125" t="str">
        <f ca="1">IFERROR(__xludf.DUMMYFUNCTION("""COMPUTED_VALUE"""),"T113")</f>
        <v>T113</v>
      </c>
      <c r="B125" t="str">
        <f ca="1">IFERROR(__xludf.DUMMYFUNCTION("""COMPUTED_VALUE"""),"T128")</f>
        <v>T128</v>
      </c>
      <c r="C125" t="str">
        <f ca="1">IFERROR(__xludf.DUMMYFUNCTION("""COMPUTED_VALUE"""),"Chan Kim")</f>
        <v>Chan Kim</v>
      </c>
      <c r="D125">
        <f ca="1">IFERROR(__xludf.DUMMYFUNCTION("""COMPUTED_VALUE"""),6)</f>
        <v>6</v>
      </c>
      <c r="E125">
        <f ca="1">IFERROR(__xludf.DUMMYFUNCTION("""COMPUTED_VALUE"""),4.63)</f>
        <v>4.63</v>
      </c>
      <c r="F125">
        <f ca="1">IFERROR(__xludf.DUMMYFUNCTION("""COMPUTED_VALUE"""),111)</f>
        <v>111</v>
      </c>
      <c r="G125">
        <f ca="1">IFERROR(__xludf.DUMMYFUNCTION("""COMPUTED_VALUE"""),24)</f>
        <v>24</v>
      </c>
    </row>
    <row r="126" spans="1:7" ht="12.75">
      <c r="A126" t="str">
        <f ca="1">IFERROR(__xludf.DUMMYFUNCTION("""COMPUTED_VALUE"""),"T113")</f>
        <v>T113</v>
      </c>
      <c r="B126" t="str">
        <f ca="1">IFERROR(__xludf.DUMMYFUNCTION("""COMPUTED_VALUE"""),"T128")</f>
        <v>T128</v>
      </c>
      <c r="C126" t="str">
        <f ca="1">IFERROR(__xludf.DUMMYFUNCTION("""COMPUTED_VALUE"""),"Willy Pumarol")</f>
        <v>Willy Pumarol</v>
      </c>
      <c r="D126">
        <f ca="1">IFERROR(__xludf.DUMMYFUNCTION("""COMPUTED_VALUE"""),4)</f>
        <v>4</v>
      </c>
      <c r="E126">
        <f ca="1">IFERROR(__xludf.DUMMYFUNCTION("""COMPUTED_VALUE"""),4.63)</f>
        <v>4.63</v>
      </c>
      <c r="F126">
        <f ca="1">IFERROR(__xludf.DUMMYFUNCTION("""COMPUTED_VALUE"""),74)</f>
        <v>74</v>
      </c>
      <c r="G126">
        <f ca="1">IFERROR(__xludf.DUMMYFUNCTION("""COMPUTED_VALUE"""),16)</f>
        <v>16</v>
      </c>
    </row>
    <row r="127" spans="1:7" ht="12.75">
      <c r="A127" t="str">
        <f ca="1">IFERROR(__xludf.DUMMYFUNCTION("""COMPUTED_VALUE"""),"T113")</f>
        <v>T113</v>
      </c>
      <c r="B127" t="str">
        <f ca="1">IFERROR(__xludf.DUMMYFUNCTION("""COMPUTED_VALUE"""),"T128")</f>
        <v>T128</v>
      </c>
      <c r="C127" t="str">
        <f ca="1">IFERROR(__xludf.DUMMYFUNCTION("""COMPUTED_VALUE"""),"Andy Zhang")</f>
        <v>Andy Zhang</v>
      </c>
      <c r="D127">
        <f ca="1">IFERROR(__xludf.DUMMYFUNCTION("""COMPUTED_VALUE"""),4)</f>
        <v>4</v>
      </c>
      <c r="E127">
        <f ca="1">IFERROR(__xludf.DUMMYFUNCTION("""COMPUTED_VALUE"""),4.63)</f>
        <v>4.63</v>
      </c>
      <c r="F127">
        <f ca="1">IFERROR(__xludf.DUMMYFUNCTION("""COMPUTED_VALUE"""),74)</f>
        <v>74</v>
      </c>
      <c r="G127">
        <f ca="1">IFERROR(__xludf.DUMMYFUNCTION("""COMPUTED_VALUE"""),16)</f>
        <v>16</v>
      </c>
    </row>
    <row r="128" spans="1:7" ht="12.75">
      <c r="A128" t="str">
        <f ca="1">IFERROR(__xludf.DUMMYFUNCTION("""COMPUTED_VALUE"""),"T113")</f>
        <v>T113</v>
      </c>
      <c r="B128" t="str">
        <f ca="1">IFERROR(__xludf.DUMMYFUNCTION("""COMPUTED_VALUE"""),"T96")</f>
        <v>T96</v>
      </c>
      <c r="C128" t="str">
        <f ca="1">IFERROR(__xludf.DUMMYFUNCTION("""COMPUTED_VALUE"""),"Patrick Rodgers")</f>
        <v>Patrick Rodgers</v>
      </c>
      <c r="D128">
        <f ca="1">IFERROR(__xludf.DUMMYFUNCTION("""COMPUTED_VALUE"""),18)</f>
        <v>18</v>
      </c>
      <c r="E128">
        <f ca="1">IFERROR(__xludf.DUMMYFUNCTION("""COMPUTED_VALUE"""),4.63)</f>
        <v>4.63</v>
      </c>
      <c r="F128">
        <f ca="1">IFERROR(__xludf.DUMMYFUNCTION("""COMPUTED_VALUE"""),296)</f>
        <v>296</v>
      </c>
      <c r="G128">
        <f ca="1">IFERROR(__xludf.DUMMYFUNCTION("""COMPUTED_VALUE"""),64)</f>
        <v>64</v>
      </c>
    </row>
    <row r="129" spans="1:7" ht="12.75">
      <c r="A129" t="str">
        <f ca="1">IFERROR(__xludf.DUMMYFUNCTION("""COMPUTED_VALUE"""),"T113")</f>
        <v>T113</v>
      </c>
      <c r="B129" t="str">
        <f ca="1">IFERROR(__xludf.DUMMYFUNCTION("""COMPUTED_VALUE"""),"T87")</f>
        <v>T87</v>
      </c>
      <c r="C129" t="str">
        <f ca="1">IFERROR(__xludf.DUMMYFUNCTION("""COMPUTED_VALUE"""),"Si Woo Kim")</f>
        <v>Si Woo Kim</v>
      </c>
      <c r="D129">
        <f ca="1">IFERROR(__xludf.DUMMYFUNCTION("""COMPUTED_VALUE"""),20)</f>
        <v>20</v>
      </c>
      <c r="E129">
        <f ca="1">IFERROR(__xludf.DUMMYFUNCTION("""COMPUTED_VALUE"""),4.63)</f>
        <v>4.63</v>
      </c>
      <c r="F129">
        <f ca="1">IFERROR(__xludf.DUMMYFUNCTION("""COMPUTED_VALUE"""),324)</f>
        <v>324</v>
      </c>
      <c r="G129">
        <f ca="1">IFERROR(__xludf.DUMMYFUNCTION("""COMPUTED_VALUE"""),70)</f>
        <v>70</v>
      </c>
    </row>
    <row r="130" spans="1:7" ht="12.75">
      <c r="A130" t="str">
        <f ca="1">IFERROR(__xludf.DUMMYFUNCTION("""COMPUTED_VALUE"""),"T113")</f>
        <v>T113</v>
      </c>
      <c r="B130" t="str">
        <f ca="1">IFERROR(__xludf.DUMMYFUNCTION("""COMPUTED_VALUE"""),"T141")</f>
        <v>T141</v>
      </c>
      <c r="C130" t="str">
        <f ca="1">IFERROR(__xludf.DUMMYFUNCTION("""COMPUTED_VALUE"""),"Sungjae Im")</f>
        <v>Sungjae Im</v>
      </c>
      <c r="D130">
        <f ca="1">IFERROR(__xludf.DUMMYFUNCTION("""COMPUTED_VALUE"""),24)</f>
        <v>24</v>
      </c>
      <c r="E130">
        <f ca="1">IFERROR(__xludf.DUMMYFUNCTION("""COMPUTED_VALUE"""),4.63)</f>
        <v>4.63</v>
      </c>
      <c r="F130">
        <f ca="1">IFERROR(__xludf.DUMMYFUNCTION("""COMPUTED_VALUE"""),389)</f>
        <v>389</v>
      </c>
      <c r="G130">
        <f ca="1">IFERROR(__xludf.DUMMYFUNCTION("""COMPUTED_VALUE"""),84)</f>
        <v>84</v>
      </c>
    </row>
    <row r="131" spans="1:7" ht="12.75">
      <c r="A131" t="str">
        <f ca="1">IFERROR(__xludf.DUMMYFUNCTION("""COMPUTED_VALUE"""),"T113")</f>
        <v>T113</v>
      </c>
      <c r="B131" t="str">
        <f ca="1">IFERROR(__xludf.DUMMYFUNCTION("""COMPUTED_VALUE"""),"T128")</f>
        <v>T128</v>
      </c>
      <c r="C131" t="str">
        <f ca="1">IFERROR(__xludf.DUMMYFUNCTION("""COMPUTED_VALUE"""),"Dominic Bozzelli")</f>
        <v>Dominic Bozzelli</v>
      </c>
      <c r="D131">
        <f ca="1">IFERROR(__xludf.DUMMYFUNCTION("""COMPUTED_VALUE"""),8)</f>
        <v>8</v>
      </c>
      <c r="E131">
        <f ca="1">IFERROR(__xludf.DUMMYFUNCTION("""COMPUTED_VALUE"""),4.63)</f>
        <v>4.63</v>
      </c>
      <c r="F131">
        <f ca="1">IFERROR(__xludf.DUMMYFUNCTION("""COMPUTED_VALUE"""),139)</f>
        <v>139</v>
      </c>
      <c r="G131">
        <f ca="1">IFERROR(__xludf.DUMMYFUNCTION("""COMPUTED_VALUE"""),30)</f>
        <v>30</v>
      </c>
    </row>
    <row r="132" spans="1:7" ht="12.75">
      <c r="A132" t="str">
        <f ca="1">IFERROR(__xludf.DUMMYFUNCTION("""COMPUTED_VALUE"""),"T113")</f>
        <v>T113</v>
      </c>
      <c r="B132" t="str">
        <f ca="1">IFERROR(__xludf.DUMMYFUNCTION("""COMPUTED_VALUE"""),"T128")</f>
        <v>T128</v>
      </c>
      <c r="C132" t="str">
        <f ca="1">IFERROR(__xludf.DUMMYFUNCTION("""COMPUTED_VALUE"""),"Joaquin Niemann")</f>
        <v>Joaquin Niemann</v>
      </c>
      <c r="D132">
        <f ca="1">IFERROR(__xludf.DUMMYFUNCTION("""COMPUTED_VALUE"""),16)</f>
        <v>16</v>
      </c>
      <c r="E132">
        <f ca="1">IFERROR(__xludf.DUMMYFUNCTION("""COMPUTED_VALUE"""),4.63)</f>
        <v>4.63</v>
      </c>
      <c r="F132">
        <f ca="1">IFERROR(__xludf.DUMMYFUNCTION("""COMPUTED_VALUE"""),259)</f>
        <v>259</v>
      </c>
      <c r="G132">
        <f ca="1">IFERROR(__xludf.DUMMYFUNCTION("""COMPUTED_VALUE"""),56)</f>
        <v>56</v>
      </c>
    </row>
    <row r="133" spans="1:7" ht="12.75">
      <c r="A133" t="str">
        <f ca="1">IFERROR(__xludf.DUMMYFUNCTION("""COMPUTED_VALUE"""),"T113")</f>
        <v>T113</v>
      </c>
      <c r="B133" t="str">
        <f ca="1">IFERROR(__xludf.DUMMYFUNCTION("""COMPUTED_VALUE"""),"T128")</f>
        <v>T128</v>
      </c>
      <c r="C133" t="str">
        <f ca="1">IFERROR(__xludf.DUMMYFUNCTION("""COMPUTED_VALUE"""),"Abraham Ancer")</f>
        <v>Abraham Ancer</v>
      </c>
      <c r="D133">
        <f ca="1">IFERROR(__xludf.DUMMYFUNCTION("""COMPUTED_VALUE"""),16)</f>
        <v>16</v>
      </c>
      <c r="E133">
        <f ca="1">IFERROR(__xludf.DUMMYFUNCTION("""COMPUTED_VALUE"""),4.63)</f>
        <v>4.63</v>
      </c>
      <c r="F133">
        <f ca="1">IFERROR(__xludf.DUMMYFUNCTION("""COMPUTED_VALUE"""),259)</f>
        <v>259</v>
      </c>
      <c r="G133">
        <f ca="1">IFERROR(__xludf.DUMMYFUNCTION("""COMPUTED_VALUE"""),56)</f>
        <v>56</v>
      </c>
    </row>
    <row r="134" spans="1:7" ht="12.75">
      <c r="A134" t="str">
        <f ca="1">IFERROR(__xludf.DUMMYFUNCTION("""COMPUTED_VALUE"""),"T113")</f>
        <v>T113</v>
      </c>
      <c r="B134" t="str">
        <f ca="1">IFERROR(__xludf.DUMMYFUNCTION("""COMPUTED_VALUE"""),"T128")</f>
        <v>T128</v>
      </c>
      <c r="C134" t="str">
        <f ca="1">IFERROR(__xludf.DUMMYFUNCTION("""COMPUTED_VALUE"""),"Jaekyeong Lee")</f>
        <v>Jaekyeong Lee</v>
      </c>
      <c r="D134">
        <f ca="1">IFERROR(__xludf.DUMMYFUNCTION("""COMPUTED_VALUE"""),4)</f>
        <v>4</v>
      </c>
      <c r="E134">
        <f ca="1">IFERROR(__xludf.DUMMYFUNCTION("""COMPUTED_VALUE"""),4.63)</f>
        <v>4.63</v>
      </c>
      <c r="F134">
        <f ca="1">IFERROR(__xludf.DUMMYFUNCTION("""COMPUTED_VALUE"""),74)</f>
        <v>74</v>
      </c>
      <c r="G134">
        <f ca="1">IFERROR(__xludf.DUMMYFUNCTION("""COMPUTED_VALUE"""),16)</f>
        <v>16</v>
      </c>
    </row>
    <row r="135" spans="1:7" ht="12.75">
      <c r="A135" t="str">
        <f ca="1">IFERROR(__xludf.DUMMYFUNCTION("""COMPUTED_VALUE"""),"T113")</f>
        <v>T113</v>
      </c>
      <c r="B135" t="str">
        <f ca="1">IFERROR(__xludf.DUMMYFUNCTION("""COMPUTED_VALUE"""),"T128")</f>
        <v>T128</v>
      </c>
      <c r="C135" t="str">
        <f ca="1">IFERROR(__xludf.DUMMYFUNCTION("""COMPUTED_VALUE"""),"Takumi Kanaya")</f>
        <v>Takumi Kanaya</v>
      </c>
      <c r="D135">
        <f ca="1">IFERROR(__xludf.DUMMYFUNCTION("""COMPUTED_VALUE"""),6)</f>
        <v>6</v>
      </c>
      <c r="E135">
        <f ca="1">IFERROR(__xludf.DUMMYFUNCTION("""COMPUTED_VALUE"""),4.63)</f>
        <v>4.63</v>
      </c>
      <c r="F135">
        <f ca="1">IFERROR(__xludf.DUMMYFUNCTION("""COMPUTED_VALUE"""),111)</f>
        <v>111</v>
      </c>
      <c r="G135">
        <f ca="1">IFERROR(__xludf.DUMMYFUNCTION("""COMPUTED_VALUE"""),24)</f>
        <v>24</v>
      </c>
    </row>
    <row r="136" spans="1:7" ht="12.75">
      <c r="A136" t="str">
        <f ca="1">IFERROR(__xludf.DUMMYFUNCTION("""COMPUTED_VALUE"""),"T135")</f>
        <v>T135</v>
      </c>
      <c r="B136" t="str">
        <f ca="1">IFERROR(__xludf.DUMMYFUNCTION("""COMPUTED_VALUE"""),"T121")</f>
        <v>T121</v>
      </c>
      <c r="C136" t="str">
        <f ca="1">IFERROR(__xludf.DUMMYFUNCTION("""COMPUTED_VALUE"""),"Charley Hoffman")</f>
        <v>Charley Hoffman</v>
      </c>
      <c r="D136">
        <f ca="1">IFERROR(__xludf.DUMMYFUNCTION("""COMPUTED_VALUE"""),20)</f>
        <v>20</v>
      </c>
      <c r="E136">
        <f ca="1">IFERROR(__xludf.DUMMYFUNCTION("""COMPUTED_VALUE"""),4.64)</f>
        <v>4.6399999999999997</v>
      </c>
      <c r="F136">
        <f ca="1">IFERROR(__xludf.DUMMYFUNCTION("""COMPUTED_VALUE"""),334)</f>
        <v>334</v>
      </c>
      <c r="G136">
        <f ca="1">IFERROR(__xludf.DUMMYFUNCTION("""COMPUTED_VALUE"""),72)</f>
        <v>72</v>
      </c>
    </row>
    <row r="137" spans="1:7" ht="12.75">
      <c r="A137" t="str">
        <f ca="1">IFERROR(__xludf.DUMMYFUNCTION("""COMPUTED_VALUE"""),"T135")</f>
        <v>T135</v>
      </c>
      <c r="B137" t="str">
        <f ca="1">IFERROR(__xludf.DUMMYFUNCTION("""COMPUTED_VALUE"""),"T29")</f>
        <v>T29</v>
      </c>
      <c r="C137" t="str">
        <f ca="1">IFERROR(__xludf.DUMMYFUNCTION("""COMPUTED_VALUE"""),"Lee Westwood")</f>
        <v>Lee Westwood</v>
      </c>
      <c r="D137">
        <f ca="1">IFERROR(__xludf.DUMMYFUNCTION("""COMPUTED_VALUE"""),6)</f>
        <v>6</v>
      </c>
      <c r="E137">
        <f ca="1">IFERROR(__xludf.DUMMYFUNCTION("""COMPUTED_VALUE"""),4.64)</f>
        <v>4.6399999999999997</v>
      </c>
      <c r="F137">
        <f ca="1">IFERROR(__xludf.DUMMYFUNCTION("""COMPUTED_VALUE"""),65)</f>
        <v>65</v>
      </c>
      <c r="G137">
        <f ca="1">IFERROR(__xludf.DUMMYFUNCTION("""COMPUTED_VALUE"""),14)</f>
        <v>14</v>
      </c>
    </row>
    <row r="138" spans="1:7" ht="12.75">
      <c r="A138" t="str">
        <f ca="1">IFERROR(__xludf.DUMMYFUNCTION("""COMPUTED_VALUE"""),"T135")</f>
        <v>T135</v>
      </c>
      <c r="B138" t="str">
        <f ca="1">IFERROR(__xludf.DUMMYFUNCTION("""COMPUTED_VALUE"""),"T141")</f>
        <v>T141</v>
      </c>
      <c r="C138" t="str">
        <f ca="1">IFERROR(__xludf.DUMMYFUNCTION("""COMPUTED_VALUE"""),"K.J. Choi")</f>
        <v>K.J. Choi</v>
      </c>
      <c r="D138">
        <f ca="1">IFERROR(__xludf.DUMMYFUNCTION("""COMPUTED_VALUE"""),6)</f>
        <v>6</v>
      </c>
      <c r="E138">
        <f ca="1">IFERROR(__xludf.DUMMYFUNCTION("""COMPUTED_VALUE"""),4.64)</f>
        <v>4.6399999999999997</v>
      </c>
      <c r="F138">
        <f ca="1">IFERROR(__xludf.DUMMYFUNCTION("""COMPUTED_VALUE"""),102)</f>
        <v>102</v>
      </c>
      <c r="G138">
        <f ca="1">IFERROR(__xludf.DUMMYFUNCTION("""COMPUTED_VALUE"""),22)</f>
        <v>22</v>
      </c>
    </row>
    <row r="139" spans="1:7" ht="12.75">
      <c r="A139" t="str">
        <f ca="1">IFERROR(__xludf.DUMMYFUNCTION("""COMPUTED_VALUE"""),"T135")</f>
        <v>T135</v>
      </c>
      <c r="B139" t="str">
        <f ca="1">IFERROR(__xludf.DUMMYFUNCTION("""COMPUTED_VALUE"""),"T82")</f>
        <v>T82</v>
      </c>
      <c r="C139" t="str">
        <f ca="1">IFERROR(__xludf.DUMMYFUNCTION("""COMPUTED_VALUE"""),"Nate Lashley")</f>
        <v>Nate Lashley</v>
      </c>
      <c r="D139">
        <f ca="1">IFERROR(__xludf.DUMMYFUNCTION("""COMPUTED_VALUE"""),16)</f>
        <v>16</v>
      </c>
      <c r="E139">
        <f ca="1">IFERROR(__xludf.DUMMYFUNCTION("""COMPUTED_VALUE"""),4.64)</f>
        <v>4.6399999999999997</v>
      </c>
      <c r="F139">
        <f ca="1">IFERROR(__xludf.DUMMYFUNCTION("""COMPUTED_VALUE"""),260)</f>
        <v>260</v>
      </c>
      <c r="G139">
        <f ca="1">IFERROR(__xludf.DUMMYFUNCTION("""COMPUTED_VALUE"""),56)</f>
        <v>56</v>
      </c>
    </row>
    <row r="140" spans="1:7" ht="12.75">
      <c r="A140" t="str">
        <f ca="1">IFERROR(__xludf.DUMMYFUNCTION("""COMPUTED_VALUE"""),"T135")</f>
        <v>T135</v>
      </c>
      <c r="B140" t="str">
        <f ca="1">IFERROR(__xludf.DUMMYFUNCTION("""COMPUTED_VALUE"""),"T141")</f>
        <v>T141</v>
      </c>
      <c r="C140" t="str">
        <f ca="1">IFERROR(__xludf.DUMMYFUNCTION("""COMPUTED_VALUE"""),"Shugo Imahira")</f>
        <v>Shugo Imahira</v>
      </c>
      <c r="D140">
        <f ca="1">IFERROR(__xludf.DUMMYFUNCTION("""COMPUTED_VALUE"""),8)</f>
        <v>8</v>
      </c>
      <c r="E140">
        <f ca="1">IFERROR(__xludf.DUMMYFUNCTION("""COMPUTED_VALUE"""),4.64)</f>
        <v>4.6399999999999997</v>
      </c>
      <c r="F140">
        <f ca="1">IFERROR(__xludf.DUMMYFUNCTION("""COMPUTED_VALUE"""),130)</f>
        <v>130</v>
      </c>
      <c r="G140">
        <f ca="1">IFERROR(__xludf.DUMMYFUNCTION("""COMPUTED_VALUE"""),28)</f>
        <v>28</v>
      </c>
    </row>
    <row r="141" spans="1:7" ht="12.75">
      <c r="A141" t="str">
        <f ca="1">IFERROR(__xludf.DUMMYFUNCTION("""COMPUTED_VALUE"""),"T135")</f>
        <v>T135</v>
      </c>
      <c r="B141" t="str">
        <f ca="1">IFERROR(__xludf.DUMMYFUNCTION("""COMPUTED_VALUE"""),"T141")</f>
        <v>T141</v>
      </c>
      <c r="C141" t="str">
        <f ca="1">IFERROR(__xludf.DUMMYFUNCTION("""COMPUTED_VALUE"""),"Zack Sucher")</f>
        <v>Zack Sucher</v>
      </c>
      <c r="D141">
        <f ca="1">IFERROR(__xludf.DUMMYFUNCTION("""COMPUTED_VALUE"""),6)</f>
        <v>6</v>
      </c>
      <c r="E141">
        <f ca="1">IFERROR(__xludf.DUMMYFUNCTION("""COMPUTED_VALUE"""),4.64)</f>
        <v>4.6399999999999997</v>
      </c>
      <c r="F141">
        <f ca="1">IFERROR(__xludf.DUMMYFUNCTION("""COMPUTED_VALUE"""),102)</f>
        <v>102</v>
      </c>
      <c r="G141">
        <f ca="1">IFERROR(__xludf.DUMMYFUNCTION("""COMPUTED_VALUE"""),22)</f>
        <v>22</v>
      </c>
    </row>
    <row r="142" spans="1:7" ht="12.75">
      <c r="A142" t="str">
        <f ca="1">IFERROR(__xludf.DUMMYFUNCTION("""COMPUTED_VALUE"""),"T141")</f>
        <v>T141</v>
      </c>
      <c r="B142" t="str">
        <f ca="1">IFERROR(__xludf.DUMMYFUNCTION("""COMPUTED_VALUE"""),"T148")</f>
        <v>T148</v>
      </c>
      <c r="C142" t="str">
        <f ca="1">IFERROR(__xludf.DUMMYFUNCTION("""COMPUTED_VALUE"""),"Ian Poulter")</f>
        <v>Ian Poulter</v>
      </c>
      <c r="D142">
        <f ca="1">IFERROR(__xludf.DUMMYFUNCTION("""COMPUTED_VALUE"""),6)</f>
        <v>6</v>
      </c>
      <c r="E142">
        <f ca="1">IFERROR(__xludf.DUMMYFUNCTION("""COMPUTED_VALUE"""),4.65)</f>
        <v>4.6500000000000004</v>
      </c>
      <c r="F142">
        <f ca="1">IFERROR(__xludf.DUMMYFUNCTION("""COMPUTED_VALUE"""),93)</f>
        <v>93</v>
      </c>
      <c r="G142">
        <f ca="1">IFERROR(__xludf.DUMMYFUNCTION("""COMPUTED_VALUE"""),20)</f>
        <v>20</v>
      </c>
    </row>
    <row r="143" spans="1:7" ht="12.75">
      <c r="A143" t="str">
        <f ca="1">IFERROR(__xludf.DUMMYFUNCTION("""COMPUTED_VALUE"""),"T141")</f>
        <v>T141</v>
      </c>
      <c r="B143" t="str">
        <f ca="1">IFERROR(__xludf.DUMMYFUNCTION("""COMPUTED_VALUE"""),"T148")</f>
        <v>T148</v>
      </c>
      <c r="C143" t="str">
        <f ca="1">IFERROR(__xludf.DUMMYFUNCTION("""COMPUTED_VALUE"""),"Tim Wilkinson")</f>
        <v>Tim Wilkinson</v>
      </c>
      <c r="D143">
        <f ca="1">IFERROR(__xludf.DUMMYFUNCTION("""COMPUTED_VALUE"""),12)</f>
        <v>12</v>
      </c>
      <c r="E143">
        <f ca="1">IFERROR(__xludf.DUMMYFUNCTION("""COMPUTED_VALUE"""),4.65)</f>
        <v>4.6500000000000004</v>
      </c>
      <c r="F143">
        <f ca="1">IFERROR(__xludf.DUMMYFUNCTION("""COMPUTED_VALUE"""),214)</f>
        <v>214</v>
      </c>
      <c r="G143">
        <f ca="1">IFERROR(__xludf.DUMMYFUNCTION("""COMPUTED_VALUE"""),46)</f>
        <v>46</v>
      </c>
    </row>
    <row r="144" spans="1:7" ht="12.75">
      <c r="A144" t="str">
        <f ca="1">IFERROR(__xludf.DUMMYFUNCTION("""COMPUTED_VALUE"""),"T141")</f>
        <v>T141</v>
      </c>
      <c r="B144" t="str">
        <f ca="1">IFERROR(__xludf.DUMMYFUNCTION("""COMPUTED_VALUE"""),"T100")</f>
        <v>T100</v>
      </c>
      <c r="C144" t="str">
        <f ca="1">IFERROR(__xludf.DUMMYFUNCTION("""COMPUTED_VALUE"""),"Kevin Streelman")</f>
        <v>Kevin Streelman</v>
      </c>
      <c r="D144">
        <f ca="1">IFERROR(__xludf.DUMMYFUNCTION("""COMPUTED_VALUE"""),18)</f>
        <v>18</v>
      </c>
      <c r="E144">
        <f ca="1">IFERROR(__xludf.DUMMYFUNCTION("""COMPUTED_VALUE"""),4.65)</f>
        <v>4.6500000000000004</v>
      </c>
      <c r="F144">
        <f ca="1">IFERROR(__xludf.DUMMYFUNCTION("""COMPUTED_VALUE"""),316)</f>
        <v>316</v>
      </c>
      <c r="G144">
        <f ca="1">IFERROR(__xludf.DUMMYFUNCTION("""COMPUTED_VALUE"""),68)</f>
        <v>68</v>
      </c>
    </row>
    <row r="145" spans="1:7" ht="12.75">
      <c r="A145" t="str">
        <f ca="1">IFERROR(__xludf.DUMMYFUNCTION("""COMPUTED_VALUE"""),"T141")</f>
        <v>T141</v>
      </c>
      <c r="B145" t="str">
        <f ca="1">IFERROR(__xludf.DUMMYFUNCTION("""COMPUTED_VALUE"""),"T66")</f>
        <v>T66</v>
      </c>
      <c r="C145" t="str">
        <f ca="1">IFERROR(__xludf.DUMMYFUNCTION("""COMPUTED_VALUE"""),"Scott Stallings")</f>
        <v>Scott Stallings</v>
      </c>
      <c r="D145">
        <f ca="1">IFERROR(__xludf.DUMMYFUNCTION("""COMPUTED_VALUE"""),14)</f>
        <v>14</v>
      </c>
      <c r="E145">
        <f ca="1">IFERROR(__xludf.DUMMYFUNCTION("""COMPUTED_VALUE"""),4.65)</f>
        <v>4.6500000000000004</v>
      </c>
      <c r="F145">
        <f ca="1">IFERROR(__xludf.DUMMYFUNCTION("""COMPUTED_VALUE"""),223)</f>
        <v>223</v>
      </c>
      <c r="G145">
        <f ca="1">IFERROR(__xludf.DUMMYFUNCTION("""COMPUTED_VALUE"""),48)</f>
        <v>48</v>
      </c>
    </row>
    <row r="146" spans="1:7" ht="12.75">
      <c r="A146" t="str">
        <f ca="1">IFERROR(__xludf.DUMMYFUNCTION("""COMPUTED_VALUE"""),"T141")</f>
        <v>T141</v>
      </c>
      <c r="B146" t="str">
        <f ca="1">IFERROR(__xludf.DUMMYFUNCTION("""COMPUTED_VALUE"""),"T200")</f>
        <v>T200</v>
      </c>
      <c r="C146" t="str">
        <f ca="1">IFERROR(__xludf.DUMMYFUNCTION("""COMPUTED_VALUE"""),"Hideki Matsuyama")</f>
        <v>Hideki Matsuyama</v>
      </c>
      <c r="D146">
        <f ca="1">IFERROR(__xludf.DUMMYFUNCTION("""COMPUTED_VALUE"""),18)</f>
        <v>18</v>
      </c>
      <c r="E146">
        <f ca="1">IFERROR(__xludf.DUMMYFUNCTION("""COMPUTED_VALUE"""),4.65)</f>
        <v>4.6500000000000004</v>
      </c>
      <c r="F146">
        <f ca="1">IFERROR(__xludf.DUMMYFUNCTION("""COMPUTED_VALUE"""),288)</f>
        <v>288</v>
      </c>
      <c r="G146">
        <f ca="1">IFERROR(__xludf.DUMMYFUNCTION("""COMPUTED_VALUE"""),62)</f>
        <v>62</v>
      </c>
    </row>
    <row r="147" spans="1:7" ht="12.75">
      <c r="A147" t="str">
        <f ca="1">IFERROR(__xludf.DUMMYFUNCTION("""COMPUTED_VALUE"""),"T141")</f>
        <v>T141</v>
      </c>
      <c r="B147" t="str">
        <f ca="1">IFERROR(__xludf.DUMMYFUNCTION("""COMPUTED_VALUE"""),"T148")</f>
        <v>T148</v>
      </c>
      <c r="C147" t="str">
        <f ca="1">IFERROR(__xludf.DUMMYFUNCTION("""COMPUTED_VALUE"""),"Gunn Charoenkul")</f>
        <v>Gunn Charoenkul</v>
      </c>
      <c r="D147">
        <f ca="1">IFERROR(__xludf.DUMMYFUNCTION("""COMPUTED_VALUE"""),4)</f>
        <v>4</v>
      </c>
      <c r="E147">
        <f ca="1">IFERROR(__xludf.DUMMYFUNCTION("""COMPUTED_VALUE"""),4.65)</f>
        <v>4.6500000000000004</v>
      </c>
      <c r="F147">
        <f ca="1">IFERROR(__xludf.DUMMYFUNCTION("""COMPUTED_VALUE"""),93)</f>
        <v>93</v>
      </c>
      <c r="G147">
        <f ca="1">IFERROR(__xludf.DUMMYFUNCTION("""COMPUTED_VALUE"""),20)</f>
        <v>20</v>
      </c>
    </row>
    <row r="148" spans="1:7" ht="12.75">
      <c r="A148" t="str">
        <f ca="1">IFERROR(__xludf.DUMMYFUNCTION("""COMPUTED_VALUE"""),"T141")</f>
        <v>T141</v>
      </c>
      <c r="B148" t="str">
        <f ca="1">IFERROR(__xludf.DUMMYFUNCTION("""COMPUTED_VALUE"""),"T148")</f>
        <v>T148</v>
      </c>
      <c r="C148" t="str">
        <f ca="1">IFERROR(__xludf.DUMMYFUNCTION("""COMPUTED_VALUE"""),"Matthew Fitzpatrick")</f>
        <v>Matthew Fitzpatrick</v>
      </c>
      <c r="D148">
        <f ca="1">IFERROR(__xludf.DUMMYFUNCTION("""COMPUTED_VALUE"""),10)</f>
        <v>10</v>
      </c>
      <c r="E148">
        <f ca="1">IFERROR(__xludf.DUMMYFUNCTION("""COMPUTED_VALUE"""),4.65)</f>
        <v>4.6500000000000004</v>
      </c>
      <c r="F148">
        <f ca="1">IFERROR(__xludf.DUMMYFUNCTION("""COMPUTED_VALUE"""),186)</f>
        <v>186</v>
      </c>
      <c r="G148">
        <f ca="1">IFERROR(__xludf.DUMMYFUNCTION("""COMPUTED_VALUE"""),40)</f>
        <v>40</v>
      </c>
    </row>
    <row r="149" spans="1:7" ht="12.75">
      <c r="A149" t="str">
        <f ca="1">IFERROR(__xludf.DUMMYFUNCTION("""COMPUTED_VALUE"""),"T141")</f>
        <v>T141</v>
      </c>
      <c r="B149" t="str">
        <f ca="1">IFERROR(__xludf.DUMMYFUNCTION("""COMPUTED_VALUE"""),"T148")</f>
        <v>T148</v>
      </c>
      <c r="C149" t="str">
        <f ca="1">IFERROR(__xludf.DUMMYFUNCTION("""COMPUTED_VALUE"""),"Richy Werenski")</f>
        <v>Richy Werenski</v>
      </c>
      <c r="D149">
        <f ca="1">IFERROR(__xludf.DUMMYFUNCTION("""COMPUTED_VALUE"""),16)</f>
        <v>16</v>
      </c>
      <c r="E149">
        <f ca="1">IFERROR(__xludf.DUMMYFUNCTION("""COMPUTED_VALUE"""),4.65)</f>
        <v>4.6500000000000004</v>
      </c>
      <c r="F149">
        <f ca="1">IFERROR(__xludf.DUMMYFUNCTION("""COMPUTED_VALUE"""),288)</f>
        <v>288</v>
      </c>
      <c r="G149">
        <f ca="1">IFERROR(__xludf.DUMMYFUNCTION("""COMPUTED_VALUE"""),62)</f>
        <v>62</v>
      </c>
    </row>
    <row r="150" spans="1:7" ht="12.75">
      <c r="A150" t="str">
        <f ca="1">IFERROR(__xludf.DUMMYFUNCTION("""COMPUTED_VALUE"""),"T149")</f>
        <v>T149</v>
      </c>
      <c r="B150" t="str">
        <f ca="1">IFERROR(__xludf.DUMMYFUNCTION("""COMPUTED_VALUE"""),"T155")</f>
        <v>T155</v>
      </c>
      <c r="C150" t="str">
        <f ca="1">IFERROR(__xludf.DUMMYFUNCTION("""COMPUTED_VALUE"""),"Billy Horschel")</f>
        <v>Billy Horschel</v>
      </c>
      <c r="D150">
        <f ca="1">IFERROR(__xludf.DUMMYFUNCTION("""COMPUTED_VALUE"""),12)</f>
        <v>12</v>
      </c>
      <c r="E150">
        <f ca="1">IFERROR(__xludf.DUMMYFUNCTION("""COMPUTED_VALUE"""),4.66)</f>
        <v>4.66</v>
      </c>
      <c r="F150">
        <f ca="1">IFERROR(__xludf.DUMMYFUNCTION("""COMPUTED_VALUE"""),205)</f>
        <v>205</v>
      </c>
      <c r="G150">
        <f ca="1">IFERROR(__xludf.DUMMYFUNCTION("""COMPUTED_VALUE"""),44)</f>
        <v>44</v>
      </c>
    </row>
    <row r="151" spans="1:7" ht="12.75">
      <c r="A151" t="str">
        <f ca="1">IFERROR(__xludf.DUMMYFUNCTION("""COMPUTED_VALUE"""),"T149")</f>
        <v>T149</v>
      </c>
      <c r="B151" t="str">
        <f ca="1">IFERROR(__xludf.DUMMYFUNCTION("""COMPUTED_VALUE"""),"T155")</f>
        <v>T155</v>
      </c>
      <c r="C151" t="str">
        <f ca="1">IFERROR(__xludf.DUMMYFUNCTION("""COMPUTED_VALUE"""),"Kiradech Aphibarnrat")</f>
        <v>Kiradech Aphibarnrat</v>
      </c>
      <c r="D151">
        <f ca="1">IFERROR(__xludf.DUMMYFUNCTION("""COMPUTED_VALUE"""),12)</f>
        <v>12</v>
      </c>
      <c r="E151">
        <f ca="1">IFERROR(__xludf.DUMMYFUNCTION("""COMPUTED_VALUE"""),4.66)</f>
        <v>4.66</v>
      </c>
      <c r="F151">
        <f ca="1">IFERROR(__xludf.DUMMYFUNCTION("""COMPUTED_VALUE"""),205)</f>
        <v>205</v>
      </c>
      <c r="G151">
        <f ca="1">IFERROR(__xludf.DUMMYFUNCTION("""COMPUTED_VALUE"""),44)</f>
        <v>44</v>
      </c>
    </row>
    <row r="152" spans="1:7" ht="12.75">
      <c r="A152" t="str">
        <f ca="1">IFERROR(__xludf.DUMMYFUNCTION("""COMPUTED_VALUE"""),"T149")</f>
        <v>T149</v>
      </c>
      <c r="B152" t="str">
        <f ca="1">IFERROR(__xludf.DUMMYFUNCTION("""COMPUTED_VALUE"""),"T155")</f>
        <v>T155</v>
      </c>
      <c r="C152" t="str">
        <f ca="1">IFERROR(__xludf.DUMMYFUNCTION("""COMPUTED_VALUE"""),"Chesson Hadley")</f>
        <v>Chesson Hadley</v>
      </c>
      <c r="D152">
        <f ca="1">IFERROR(__xludf.DUMMYFUNCTION("""COMPUTED_VALUE"""),16)</f>
        <v>16</v>
      </c>
      <c r="E152">
        <f ca="1">IFERROR(__xludf.DUMMYFUNCTION("""COMPUTED_VALUE"""),4.66)</f>
        <v>4.66</v>
      </c>
      <c r="F152">
        <f ca="1">IFERROR(__xludf.DUMMYFUNCTION("""COMPUTED_VALUE"""),233)</f>
        <v>233</v>
      </c>
      <c r="G152">
        <f ca="1">IFERROR(__xludf.DUMMYFUNCTION("""COMPUTED_VALUE"""),50)</f>
        <v>50</v>
      </c>
    </row>
    <row r="153" spans="1:7" ht="12.75">
      <c r="A153" t="str">
        <f ca="1">IFERROR(__xludf.DUMMYFUNCTION("""COMPUTED_VALUE"""),"T152")</f>
        <v>T152</v>
      </c>
      <c r="B153" t="str">
        <f ca="1">IFERROR(__xludf.DUMMYFUNCTION("""COMPUTED_VALUE"""),"T162")</f>
        <v>T162</v>
      </c>
      <c r="C153" t="str">
        <f ca="1">IFERROR(__xludf.DUMMYFUNCTION("""COMPUTED_VALUE"""),"Fred Funk")</f>
        <v>Fred Funk</v>
      </c>
      <c r="D153">
        <f ca="1">IFERROR(__xludf.DUMMYFUNCTION("""COMPUTED_VALUE"""),4)</f>
        <v>4</v>
      </c>
      <c r="E153">
        <f ca="1">IFERROR(__xludf.DUMMYFUNCTION("""COMPUTED_VALUE"""),4.67)</f>
        <v>4.67</v>
      </c>
      <c r="F153">
        <f ca="1">IFERROR(__xludf.DUMMYFUNCTION("""COMPUTED_VALUE"""),56)</f>
        <v>56</v>
      </c>
      <c r="G153">
        <f ca="1">IFERROR(__xludf.DUMMYFUNCTION("""COMPUTED_VALUE"""),12)</f>
        <v>12</v>
      </c>
    </row>
    <row r="154" spans="1:7" ht="12.75">
      <c r="A154" t="str">
        <f ca="1">IFERROR(__xludf.DUMMYFUNCTION("""COMPUTED_VALUE"""),"T152")</f>
        <v>T152</v>
      </c>
      <c r="B154" t="str">
        <f ca="1">IFERROR(__xludf.DUMMYFUNCTION("""COMPUTED_VALUE"""),"T111")</f>
        <v>T111</v>
      </c>
      <c r="C154" t="str">
        <f ca="1">IFERROR(__xludf.DUMMYFUNCTION("""COMPUTED_VALUE"""),"Rory Sabbatini")</f>
        <v>Rory Sabbatini</v>
      </c>
      <c r="D154">
        <f ca="1">IFERROR(__xludf.DUMMYFUNCTION("""COMPUTED_VALUE"""),13)</f>
        <v>13</v>
      </c>
      <c r="E154">
        <f ca="1">IFERROR(__xludf.DUMMYFUNCTION("""COMPUTED_VALUE"""),4.67)</f>
        <v>4.67</v>
      </c>
      <c r="F154">
        <f ca="1">IFERROR(__xludf.DUMMYFUNCTION("""COMPUTED_VALUE"""),182)</f>
        <v>182</v>
      </c>
      <c r="G154">
        <f ca="1">IFERROR(__xludf.DUMMYFUNCTION("""COMPUTED_VALUE"""),39)</f>
        <v>39</v>
      </c>
    </row>
    <row r="155" spans="1:7" ht="12.75">
      <c r="A155" t="str">
        <f ca="1">IFERROR(__xludf.DUMMYFUNCTION("""COMPUTED_VALUE"""),"T152")</f>
        <v>T152</v>
      </c>
      <c r="B155" t="str">
        <f ca="1">IFERROR(__xludf.DUMMYFUNCTION("""COMPUTED_VALUE"""),"T148")</f>
        <v>T148</v>
      </c>
      <c r="C155" t="str">
        <f ca="1">IFERROR(__xludf.DUMMYFUNCTION("""COMPUTED_VALUE"""),"Luke Donald")</f>
        <v>Luke Donald</v>
      </c>
      <c r="D155">
        <f ca="1">IFERROR(__xludf.DUMMYFUNCTION("""COMPUTED_VALUE"""),14)</f>
        <v>14</v>
      </c>
      <c r="E155">
        <f ca="1">IFERROR(__xludf.DUMMYFUNCTION("""COMPUTED_VALUE"""),4.67)</f>
        <v>4.67</v>
      </c>
      <c r="F155">
        <f ca="1">IFERROR(__xludf.DUMMYFUNCTION("""COMPUTED_VALUE"""),215)</f>
        <v>215</v>
      </c>
      <c r="G155">
        <f ca="1">IFERROR(__xludf.DUMMYFUNCTION("""COMPUTED_VALUE"""),46)</f>
        <v>46</v>
      </c>
    </row>
    <row r="156" spans="1:7" ht="12.75">
      <c r="A156" t="str">
        <f ca="1">IFERROR(__xludf.DUMMYFUNCTION("""COMPUTED_VALUE"""),"T152")</f>
        <v>T152</v>
      </c>
      <c r="B156" t="str">
        <f ca="1">IFERROR(__xludf.DUMMYFUNCTION("""COMPUTED_VALUE"""),"")</f>
        <v/>
      </c>
      <c r="C156" t="str">
        <f ca="1">IFERROR(__xludf.DUMMYFUNCTION("""COMPUTED_VALUE"""),"Francesco Molinari")</f>
        <v>Francesco Molinari</v>
      </c>
      <c r="D156">
        <f ca="1">IFERROR(__xludf.DUMMYFUNCTION("""COMPUTED_VALUE"""),6)</f>
        <v>6</v>
      </c>
      <c r="E156">
        <f ca="1">IFERROR(__xludf.DUMMYFUNCTION("""COMPUTED_VALUE"""),4.67)</f>
        <v>4.67</v>
      </c>
      <c r="F156">
        <f ca="1">IFERROR(__xludf.DUMMYFUNCTION("""COMPUTED_VALUE"""),84)</f>
        <v>84</v>
      </c>
      <c r="G156">
        <f ca="1">IFERROR(__xludf.DUMMYFUNCTION("""COMPUTED_VALUE"""),18)</f>
        <v>18</v>
      </c>
    </row>
    <row r="157" spans="1:7" ht="12.75">
      <c r="A157" t="str">
        <f ca="1">IFERROR(__xludf.DUMMYFUNCTION("""COMPUTED_VALUE"""),"T152")</f>
        <v>T152</v>
      </c>
      <c r="B157" t="str">
        <f ca="1">IFERROR(__xludf.DUMMYFUNCTION("""COMPUTED_VALUE"""),"T121")</f>
        <v>T121</v>
      </c>
      <c r="C157" t="str">
        <f ca="1">IFERROR(__xludf.DUMMYFUNCTION("""COMPUTED_VALUE"""),"C.T. Pan")</f>
        <v>C.T. Pan</v>
      </c>
      <c r="D157">
        <f ca="1">IFERROR(__xludf.DUMMYFUNCTION("""COMPUTED_VALUE"""),20)</f>
        <v>20</v>
      </c>
      <c r="E157">
        <f ca="1">IFERROR(__xludf.DUMMYFUNCTION("""COMPUTED_VALUE"""),4.67)</f>
        <v>4.67</v>
      </c>
      <c r="F157">
        <f ca="1">IFERROR(__xludf.DUMMYFUNCTION("""COMPUTED_VALUE"""),336)</f>
        <v>336</v>
      </c>
      <c r="G157">
        <f ca="1">IFERROR(__xludf.DUMMYFUNCTION("""COMPUTED_VALUE"""),72)</f>
        <v>72</v>
      </c>
    </row>
    <row r="158" spans="1:7" ht="12.75">
      <c r="A158" t="str">
        <f ca="1">IFERROR(__xludf.DUMMYFUNCTION("""COMPUTED_VALUE"""),"T152")</f>
        <v>T152</v>
      </c>
      <c r="B158" t="str">
        <f ca="1">IFERROR(__xludf.DUMMYFUNCTION("""COMPUTED_VALUE"""),"T162")</f>
        <v>T162</v>
      </c>
      <c r="C158" t="str">
        <f ca="1">IFERROR(__xludf.DUMMYFUNCTION("""COMPUTED_VALUE"""),"Byeong Hun An")</f>
        <v>Byeong Hun An</v>
      </c>
      <c r="D158">
        <f ca="1">IFERROR(__xludf.DUMMYFUNCTION("""COMPUTED_VALUE"""),14)</f>
        <v>14</v>
      </c>
      <c r="E158">
        <f ca="1">IFERROR(__xludf.DUMMYFUNCTION("""COMPUTED_VALUE"""),4.67)</f>
        <v>4.67</v>
      </c>
      <c r="F158">
        <f ca="1">IFERROR(__xludf.DUMMYFUNCTION("""COMPUTED_VALUE"""),252)</f>
        <v>252</v>
      </c>
      <c r="G158">
        <f ca="1">IFERROR(__xludf.DUMMYFUNCTION("""COMPUTED_VALUE"""),54)</f>
        <v>54</v>
      </c>
    </row>
    <row r="159" spans="1:7" ht="12.75">
      <c r="A159" t="str">
        <f ca="1">IFERROR(__xludf.DUMMYFUNCTION("""COMPUTED_VALUE"""),"T152")</f>
        <v>T152</v>
      </c>
      <c r="B159">
        <f ca="1">IFERROR(__xludf.DUMMYFUNCTION("""COMPUTED_VALUE"""),4)</f>
        <v>4</v>
      </c>
      <c r="C159" t="str">
        <f ca="1">IFERROR(__xludf.DUMMYFUNCTION("""COMPUTED_VALUE"""),"John Huh")</f>
        <v>John Huh</v>
      </c>
      <c r="D159">
        <f ca="1">IFERROR(__xludf.DUMMYFUNCTION("""COMPUTED_VALUE"""),8)</f>
        <v>8</v>
      </c>
      <c r="E159">
        <f ca="1">IFERROR(__xludf.DUMMYFUNCTION("""COMPUTED_VALUE"""),4.67)</f>
        <v>4.67</v>
      </c>
      <c r="F159">
        <f ca="1">IFERROR(__xludf.DUMMYFUNCTION("""COMPUTED_VALUE"""),112)</f>
        <v>112</v>
      </c>
      <c r="G159">
        <f ca="1">IFERROR(__xludf.DUMMYFUNCTION("""COMPUTED_VALUE"""),24)</f>
        <v>24</v>
      </c>
    </row>
    <row r="160" spans="1:7" ht="12.75">
      <c r="A160" t="str">
        <f ca="1">IFERROR(__xludf.DUMMYFUNCTION("""COMPUTED_VALUE"""),"T152")</f>
        <v>T152</v>
      </c>
      <c r="B160" t="str">
        <f ca="1">IFERROR(__xludf.DUMMYFUNCTION("""COMPUTED_VALUE"""),"T162")</f>
        <v>T162</v>
      </c>
      <c r="C160" t="str">
        <f ca="1">IFERROR(__xludf.DUMMYFUNCTION("""COMPUTED_VALUE"""),"Andrew Putnam")</f>
        <v>Andrew Putnam</v>
      </c>
      <c r="D160">
        <f ca="1">IFERROR(__xludf.DUMMYFUNCTION("""COMPUTED_VALUE"""),19)</f>
        <v>19</v>
      </c>
      <c r="E160">
        <f ca="1">IFERROR(__xludf.DUMMYFUNCTION("""COMPUTED_VALUE"""),4.67)</f>
        <v>4.67</v>
      </c>
      <c r="F160">
        <f ca="1">IFERROR(__xludf.DUMMYFUNCTION("""COMPUTED_VALUE"""),299)</f>
        <v>299</v>
      </c>
      <c r="G160">
        <f ca="1">IFERROR(__xludf.DUMMYFUNCTION("""COMPUTED_VALUE"""),64)</f>
        <v>64</v>
      </c>
    </row>
    <row r="161" spans="1:7" ht="12.75">
      <c r="A161" t="str">
        <f ca="1">IFERROR(__xludf.DUMMYFUNCTION("""COMPUTED_VALUE"""),"T152")</f>
        <v>T152</v>
      </c>
      <c r="B161" t="str">
        <f ca="1">IFERROR(__xludf.DUMMYFUNCTION("""COMPUTED_VALUE"""),"T45")</f>
        <v>T45</v>
      </c>
      <c r="C161" t="str">
        <f ca="1">IFERROR(__xludf.DUMMYFUNCTION("""COMPUTED_VALUE"""),"Keith Mitchell")</f>
        <v>Keith Mitchell</v>
      </c>
      <c r="D161">
        <f ca="1">IFERROR(__xludf.DUMMYFUNCTION("""COMPUTED_VALUE"""),14)</f>
        <v>14</v>
      </c>
      <c r="E161">
        <f ca="1">IFERROR(__xludf.DUMMYFUNCTION("""COMPUTED_VALUE"""),4.67)</f>
        <v>4.67</v>
      </c>
      <c r="F161">
        <f ca="1">IFERROR(__xludf.DUMMYFUNCTION("""COMPUTED_VALUE"""),224)</f>
        <v>224</v>
      </c>
      <c r="G161">
        <f ca="1">IFERROR(__xludf.DUMMYFUNCTION("""COMPUTED_VALUE"""),48)</f>
        <v>48</v>
      </c>
    </row>
    <row r="162" spans="1:7" ht="12.75">
      <c r="A162" t="str">
        <f ca="1">IFERROR(__xludf.DUMMYFUNCTION("""COMPUTED_VALUE"""),"T152")</f>
        <v>T152</v>
      </c>
      <c r="B162" t="str">
        <f ca="1">IFERROR(__xludf.DUMMYFUNCTION("""COMPUTED_VALUE"""),"T111")</f>
        <v>T111</v>
      </c>
      <c r="C162" t="str">
        <f ca="1">IFERROR(__xludf.DUMMYFUNCTION("""COMPUTED_VALUE"""),"Michael Kim")</f>
        <v>Michael Kim</v>
      </c>
      <c r="D162">
        <f ca="1">IFERROR(__xludf.DUMMYFUNCTION("""COMPUTED_VALUE"""),12)</f>
        <v>12</v>
      </c>
      <c r="E162">
        <f ca="1">IFERROR(__xludf.DUMMYFUNCTION("""COMPUTED_VALUE"""),4.67)</f>
        <v>4.67</v>
      </c>
      <c r="F162">
        <f ca="1">IFERROR(__xludf.DUMMYFUNCTION("""COMPUTED_VALUE"""),196)</f>
        <v>196</v>
      </c>
      <c r="G162">
        <f ca="1">IFERROR(__xludf.DUMMYFUNCTION("""COMPUTED_VALUE"""),42)</f>
        <v>42</v>
      </c>
    </row>
    <row r="163" spans="1:7" ht="12.75">
      <c r="A163" t="str">
        <f ca="1">IFERROR(__xludf.DUMMYFUNCTION("""COMPUTED_VALUE"""),"T152")</f>
        <v>T152</v>
      </c>
      <c r="B163" t="str">
        <f ca="1">IFERROR(__xludf.DUMMYFUNCTION("""COMPUTED_VALUE"""),"T162")</f>
        <v>T162</v>
      </c>
      <c r="C163" t="str">
        <f ca="1">IFERROR(__xludf.DUMMYFUNCTION("""COMPUTED_VALUE"""),"Michael Miller")</f>
        <v>Michael Miller</v>
      </c>
      <c r="D163">
        <f ca="1">IFERROR(__xludf.DUMMYFUNCTION("""COMPUTED_VALUE"""),4)</f>
        <v>4</v>
      </c>
      <c r="E163">
        <f ca="1">IFERROR(__xludf.DUMMYFUNCTION("""COMPUTED_VALUE"""),4.67)</f>
        <v>4.67</v>
      </c>
      <c r="F163">
        <f ca="1">IFERROR(__xludf.DUMMYFUNCTION("""COMPUTED_VALUE"""),56)</f>
        <v>56</v>
      </c>
      <c r="G163">
        <f ca="1">IFERROR(__xludf.DUMMYFUNCTION("""COMPUTED_VALUE"""),12)</f>
        <v>12</v>
      </c>
    </row>
    <row r="164" spans="1:7" ht="12.75">
      <c r="A164" t="str">
        <f ca="1">IFERROR(__xludf.DUMMYFUNCTION("""COMPUTED_VALUE"""),"T152")</f>
        <v>T152</v>
      </c>
      <c r="B164" t="str">
        <f ca="1">IFERROR(__xludf.DUMMYFUNCTION("""COMPUTED_VALUE"""),"T162")</f>
        <v>T162</v>
      </c>
      <c r="C164" t="str">
        <f ca="1">IFERROR(__xludf.DUMMYFUNCTION("""COMPUTED_VALUE"""),"Ben Taylor")</f>
        <v>Ben Taylor</v>
      </c>
      <c r="D164">
        <f ca="1">IFERROR(__xludf.DUMMYFUNCTION("""COMPUTED_VALUE"""),10)</f>
        <v>10</v>
      </c>
      <c r="E164">
        <f ca="1">IFERROR(__xludf.DUMMYFUNCTION("""COMPUTED_VALUE"""),4.67)</f>
        <v>4.67</v>
      </c>
      <c r="F164">
        <f ca="1">IFERROR(__xludf.DUMMYFUNCTION("""COMPUTED_VALUE"""),168)</f>
        <v>168</v>
      </c>
      <c r="G164">
        <f ca="1">IFERROR(__xludf.DUMMYFUNCTION("""COMPUTED_VALUE"""),36)</f>
        <v>36</v>
      </c>
    </row>
    <row r="165" spans="1:7" ht="12.75">
      <c r="A165" t="str">
        <f ca="1">IFERROR(__xludf.DUMMYFUNCTION("""COMPUTED_VALUE"""),"T164")</f>
        <v>T164</v>
      </c>
      <c r="B165" t="str">
        <f ca="1">IFERROR(__xludf.DUMMYFUNCTION("""COMPUTED_VALUE"""),"T176")</f>
        <v>T176</v>
      </c>
      <c r="C165" t="str">
        <f ca="1">IFERROR(__xludf.DUMMYFUNCTION("""COMPUTED_VALUE"""),"Ricky Barnes")</f>
        <v>Ricky Barnes</v>
      </c>
      <c r="D165">
        <f ca="1">IFERROR(__xludf.DUMMYFUNCTION("""COMPUTED_VALUE"""),12)</f>
        <v>12</v>
      </c>
      <c r="E165">
        <f ca="1">IFERROR(__xludf.DUMMYFUNCTION("""COMPUTED_VALUE"""),4.68)</f>
        <v>4.68</v>
      </c>
      <c r="F165">
        <f ca="1">IFERROR(__xludf.DUMMYFUNCTION("""COMPUTED_VALUE"""),206)</f>
        <v>206</v>
      </c>
      <c r="G165">
        <f ca="1">IFERROR(__xludf.DUMMYFUNCTION("""COMPUTED_VALUE"""),44)</f>
        <v>44</v>
      </c>
    </row>
    <row r="166" spans="1:7" ht="12.75">
      <c r="A166" t="str">
        <f ca="1">IFERROR(__xludf.DUMMYFUNCTION("""COMPUTED_VALUE"""),"T164")</f>
        <v>T164</v>
      </c>
      <c r="B166" t="str">
        <f ca="1">IFERROR(__xludf.DUMMYFUNCTION("""COMPUTED_VALUE"""),"T176")</f>
        <v>T176</v>
      </c>
      <c r="C166" t="str">
        <f ca="1">IFERROR(__xludf.DUMMYFUNCTION("""COMPUTED_VALUE"""),"Josh Teater")</f>
        <v>Josh Teater</v>
      </c>
      <c r="D166">
        <f ca="1">IFERROR(__xludf.DUMMYFUNCTION("""COMPUTED_VALUE"""),6)</f>
        <v>6</v>
      </c>
      <c r="E166">
        <f ca="1">IFERROR(__xludf.DUMMYFUNCTION("""COMPUTED_VALUE"""),4.68)</f>
        <v>4.68</v>
      </c>
      <c r="F166">
        <f ca="1">IFERROR(__xludf.DUMMYFUNCTION("""COMPUTED_VALUE"""),103)</f>
        <v>103</v>
      </c>
      <c r="G166">
        <f ca="1">IFERROR(__xludf.DUMMYFUNCTION("""COMPUTED_VALUE"""),22)</f>
        <v>22</v>
      </c>
    </row>
    <row r="167" spans="1:7" ht="12.75">
      <c r="A167" t="str">
        <f ca="1">IFERROR(__xludf.DUMMYFUNCTION("""COMPUTED_VALUE"""),"T164")</f>
        <v>T164</v>
      </c>
      <c r="B167" t="str">
        <f ca="1">IFERROR(__xludf.DUMMYFUNCTION("""COMPUTED_VALUE"""),"T176")</f>
        <v>T176</v>
      </c>
      <c r="C167" t="str">
        <f ca="1">IFERROR(__xludf.DUMMYFUNCTION("""COMPUTED_VALUE"""),"Seamus Power")</f>
        <v>Seamus Power</v>
      </c>
      <c r="D167">
        <f ca="1">IFERROR(__xludf.DUMMYFUNCTION("""COMPUTED_VALUE"""),8)</f>
        <v>8</v>
      </c>
      <c r="E167">
        <f ca="1">IFERROR(__xludf.DUMMYFUNCTION("""COMPUTED_VALUE"""),4.68)</f>
        <v>4.68</v>
      </c>
      <c r="F167">
        <f ca="1">IFERROR(__xludf.DUMMYFUNCTION("""COMPUTED_VALUE"""),131)</f>
        <v>131</v>
      </c>
      <c r="G167">
        <f ca="1">IFERROR(__xludf.DUMMYFUNCTION("""COMPUTED_VALUE"""),28)</f>
        <v>28</v>
      </c>
    </row>
    <row r="168" spans="1:7" ht="12.75">
      <c r="A168" t="str">
        <f ca="1">IFERROR(__xludf.DUMMYFUNCTION("""COMPUTED_VALUE"""),"T164")</f>
        <v>T164</v>
      </c>
      <c r="B168" t="str">
        <f ca="1">IFERROR(__xludf.DUMMYFUNCTION("""COMPUTED_VALUE"""),"T176")</f>
        <v>T176</v>
      </c>
      <c r="C168" t="str">
        <f ca="1">IFERROR(__xludf.DUMMYFUNCTION("""COMPUTED_VALUE"""),"Tommy Gainey")</f>
        <v>Tommy Gainey</v>
      </c>
      <c r="D168">
        <f ca="1">IFERROR(__xludf.DUMMYFUNCTION("""COMPUTED_VALUE"""),6)</f>
        <v>6</v>
      </c>
      <c r="E168">
        <f ca="1">IFERROR(__xludf.DUMMYFUNCTION("""COMPUTED_VALUE"""),4.68)</f>
        <v>4.68</v>
      </c>
      <c r="F168">
        <f ca="1">IFERROR(__xludf.DUMMYFUNCTION("""COMPUTED_VALUE"""),103)</f>
        <v>103</v>
      </c>
      <c r="G168">
        <f ca="1">IFERROR(__xludf.DUMMYFUNCTION("""COMPUTED_VALUE"""),22)</f>
        <v>22</v>
      </c>
    </row>
    <row r="169" spans="1:7" ht="12.75">
      <c r="A169" t="str">
        <f ca="1">IFERROR(__xludf.DUMMYFUNCTION("""COMPUTED_VALUE"""),"T164")</f>
        <v>T164</v>
      </c>
      <c r="B169" t="str">
        <f ca="1">IFERROR(__xludf.DUMMYFUNCTION("""COMPUTED_VALUE"""),"T176")</f>
        <v>T176</v>
      </c>
      <c r="C169" t="str">
        <f ca="1">IFERROR(__xludf.DUMMYFUNCTION("""COMPUTED_VALUE"""),"Rafael Campos")</f>
        <v>Rafael Campos</v>
      </c>
      <c r="D169">
        <f ca="1">IFERROR(__xludf.DUMMYFUNCTION("""COMPUTED_VALUE"""),6)</f>
        <v>6</v>
      </c>
      <c r="E169">
        <f ca="1">IFERROR(__xludf.DUMMYFUNCTION("""COMPUTED_VALUE"""),4.68)</f>
        <v>4.68</v>
      </c>
      <c r="F169">
        <f ca="1">IFERROR(__xludf.DUMMYFUNCTION("""COMPUTED_VALUE"""),103)</f>
        <v>103</v>
      </c>
      <c r="G169">
        <f ca="1">IFERROR(__xludf.DUMMYFUNCTION("""COMPUTED_VALUE"""),22)</f>
        <v>22</v>
      </c>
    </row>
    <row r="170" spans="1:7" ht="12.75">
      <c r="A170" t="str">
        <f ca="1">IFERROR(__xludf.DUMMYFUNCTION("""COMPUTED_VALUE"""),"T164")</f>
        <v>T164</v>
      </c>
      <c r="B170" t="str">
        <f ca="1">IFERROR(__xludf.DUMMYFUNCTION("""COMPUTED_VALUE"""),"T176")</f>
        <v>T176</v>
      </c>
      <c r="C170" t="str">
        <f ca="1">IFERROR(__xludf.DUMMYFUNCTION("""COMPUTED_VALUE"""),"Roger Sloan")</f>
        <v>Roger Sloan</v>
      </c>
      <c r="D170">
        <f ca="1">IFERROR(__xludf.DUMMYFUNCTION("""COMPUTED_VALUE"""),12)</f>
        <v>12</v>
      </c>
      <c r="E170">
        <f ca="1">IFERROR(__xludf.DUMMYFUNCTION("""COMPUTED_VALUE"""),4.68)</f>
        <v>4.68</v>
      </c>
      <c r="F170">
        <f ca="1">IFERROR(__xludf.DUMMYFUNCTION("""COMPUTED_VALUE"""),206)</f>
        <v>206</v>
      </c>
      <c r="G170">
        <f ca="1">IFERROR(__xludf.DUMMYFUNCTION("""COMPUTED_VALUE"""),44)</f>
        <v>44</v>
      </c>
    </row>
    <row r="171" spans="1:7" ht="12.75">
      <c r="A171" t="str">
        <f ca="1">IFERROR(__xludf.DUMMYFUNCTION("""COMPUTED_VALUE"""),"T164")</f>
        <v>T164</v>
      </c>
      <c r="B171" t="str">
        <f ca="1">IFERROR(__xludf.DUMMYFUNCTION("""COMPUTED_VALUE"""),"T162")</f>
        <v>T162</v>
      </c>
      <c r="C171" t="str">
        <f ca="1">IFERROR(__xludf.DUMMYFUNCTION("""COMPUTED_VALUE"""),"Corey Conners")</f>
        <v>Corey Conners</v>
      </c>
      <c r="D171">
        <f ca="1">IFERROR(__xludf.DUMMYFUNCTION("""COMPUTED_VALUE"""),20)</f>
        <v>20</v>
      </c>
      <c r="E171">
        <f ca="1">IFERROR(__xludf.DUMMYFUNCTION("""COMPUTED_VALUE"""),4.68)</f>
        <v>4.68</v>
      </c>
      <c r="F171">
        <f ca="1">IFERROR(__xludf.DUMMYFUNCTION("""COMPUTED_VALUE"""),356)</f>
        <v>356</v>
      </c>
      <c r="G171">
        <f ca="1">IFERROR(__xludf.DUMMYFUNCTION("""COMPUTED_VALUE"""),76)</f>
        <v>76</v>
      </c>
    </row>
    <row r="172" spans="1:7" ht="12.75">
      <c r="A172" t="str">
        <f ca="1">IFERROR(__xludf.DUMMYFUNCTION("""COMPUTED_VALUE"""),"T164")</f>
        <v>T164</v>
      </c>
      <c r="B172" t="str">
        <f ca="1">IFERROR(__xludf.DUMMYFUNCTION("""COMPUTED_VALUE"""),"T176")</f>
        <v>T176</v>
      </c>
      <c r="C172" t="str">
        <f ca="1">IFERROR(__xludf.DUMMYFUNCTION("""COMPUTED_VALUE"""),"Brandon Hagy")</f>
        <v>Brandon Hagy</v>
      </c>
      <c r="D172">
        <f ca="1">IFERROR(__xludf.DUMMYFUNCTION("""COMPUTED_VALUE"""),10)</f>
        <v>10</v>
      </c>
      <c r="E172">
        <f ca="1">IFERROR(__xludf.DUMMYFUNCTION("""COMPUTED_VALUE"""),4.68)</f>
        <v>4.68</v>
      </c>
      <c r="F172">
        <f ca="1">IFERROR(__xludf.DUMMYFUNCTION("""COMPUTED_VALUE"""),178)</f>
        <v>178</v>
      </c>
      <c r="G172">
        <f ca="1">IFERROR(__xludf.DUMMYFUNCTION("""COMPUTED_VALUE"""),38)</f>
        <v>38</v>
      </c>
    </row>
    <row r="173" spans="1:7" ht="12.75">
      <c r="A173" t="str">
        <f ca="1">IFERROR(__xludf.DUMMYFUNCTION("""COMPUTED_VALUE"""),"T164")</f>
        <v>T164</v>
      </c>
      <c r="B173" t="str">
        <f ca="1">IFERROR(__xludf.DUMMYFUNCTION("""COMPUTED_VALUE"""),"T111")</f>
        <v>T111</v>
      </c>
      <c r="C173" t="str">
        <f ca="1">IFERROR(__xludf.DUMMYFUNCTION("""COMPUTED_VALUE"""),"Kramer Hickok")</f>
        <v>Kramer Hickok</v>
      </c>
      <c r="D173">
        <f ca="1">IFERROR(__xludf.DUMMYFUNCTION("""COMPUTED_VALUE"""),16)</f>
        <v>16</v>
      </c>
      <c r="E173">
        <f ca="1">IFERROR(__xludf.DUMMYFUNCTION("""COMPUTED_VALUE"""),4.68)</f>
        <v>4.68</v>
      </c>
      <c r="F173">
        <f ca="1">IFERROR(__xludf.DUMMYFUNCTION("""COMPUTED_VALUE"""),262)</f>
        <v>262</v>
      </c>
      <c r="G173">
        <f ca="1">IFERROR(__xludf.DUMMYFUNCTION("""COMPUTED_VALUE"""),56)</f>
        <v>56</v>
      </c>
    </row>
    <row r="174" spans="1:7" ht="12.75">
      <c r="A174" t="str">
        <f ca="1">IFERROR(__xludf.DUMMYFUNCTION("""COMPUTED_VALUE"""),"T173")</f>
        <v>T173</v>
      </c>
      <c r="B174" t="str">
        <f ca="1">IFERROR(__xludf.DUMMYFUNCTION("""COMPUTED_VALUE"""),"T183")</f>
        <v>T183</v>
      </c>
      <c r="C174" t="str">
        <f ca="1">IFERROR(__xludf.DUMMYFUNCTION("""COMPUTED_VALUE"""),"J.J. Henry")</f>
        <v>J.J. Henry</v>
      </c>
      <c r="D174">
        <f ca="1">IFERROR(__xludf.DUMMYFUNCTION("""COMPUTED_VALUE"""),4)</f>
        <v>4</v>
      </c>
      <c r="E174">
        <f ca="1">IFERROR(__xludf.DUMMYFUNCTION("""COMPUTED_VALUE"""),4.69)</f>
        <v>4.6900000000000004</v>
      </c>
      <c r="F174">
        <f ca="1">IFERROR(__xludf.DUMMYFUNCTION("""COMPUTED_VALUE"""),75)</f>
        <v>75</v>
      </c>
      <c r="G174">
        <f ca="1">IFERROR(__xludf.DUMMYFUNCTION("""COMPUTED_VALUE"""),16)</f>
        <v>16</v>
      </c>
    </row>
    <row r="175" spans="1:7" ht="12.75">
      <c r="A175" t="str">
        <f ca="1">IFERROR(__xludf.DUMMYFUNCTION("""COMPUTED_VALUE"""),"T173")</f>
        <v>T173</v>
      </c>
      <c r="B175" t="str">
        <f ca="1">IFERROR(__xludf.DUMMYFUNCTION("""COMPUTED_VALUE"""),"T162")</f>
        <v>T162</v>
      </c>
      <c r="C175" t="str">
        <f ca="1">IFERROR(__xludf.DUMMYFUNCTION("""COMPUTED_VALUE"""),"Zach Johnson")</f>
        <v>Zach Johnson</v>
      </c>
      <c r="D175">
        <f ca="1">IFERROR(__xludf.DUMMYFUNCTION("""COMPUTED_VALUE"""),16)</f>
        <v>16</v>
      </c>
      <c r="E175">
        <f ca="1">IFERROR(__xludf.DUMMYFUNCTION("""COMPUTED_VALUE"""),4.69)</f>
        <v>4.6900000000000004</v>
      </c>
      <c r="F175">
        <f ca="1">IFERROR(__xludf.DUMMYFUNCTION("""COMPUTED_VALUE"""),225)</f>
        <v>225</v>
      </c>
      <c r="G175">
        <f ca="1">IFERROR(__xludf.DUMMYFUNCTION("""COMPUTED_VALUE"""),48)</f>
        <v>48</v>
      </c>
    </row>
    <row r="176" spans="1:7" ht="12.75">
      <c r="A176" t="str">
        <f ca="1">IFERROR(__xludf.DUMMYFUNCTION("""COMPUTED_VALUE"""),"T173")</f>
        <v>T173</v>
      </c>
      <c r="B176" t="str">
        <f ca="1">IFERROR(__xludf.DUMMYFUNCTION("""COMPUTED_VALUE"""),"T141")</f>
        <v>T141</v>
      </c>
      <c r="C176" t="str">
        <f ca="1">IFERROR(__xludf.DUMMYFUNCTION("""COMPUTED_VALUE"""),"Dylan Frittelli")</f>
        <v>Dylan Frittelli</v>
      </c>
      <c r="D176">
        <f ca="1">IFERROR(__xludf.DUMMYFUNCTION("""COMPUTED_VALUE"""),16)</f>
        <v>16</v>
      </c>
      <c r="E176">
        <f ca="1">IFERROR(__xludf.DUMMYFUNCTION("""COMPUTED_VALUE"""),4.69)</f>
        <v>4.6900000000000004</v>
      </c>
      <c r="F176">
        <f ca="1">IFERROR(__xludf.DUMMYFUNCTION("""COMPUTED_VALUE"""),291)</f>
        <v>291</v>
      </c>
      <c r="G176">
        <f ca="1">IFERROR(__xludf.DUMMYFUNCTION("""COMPUTED_VALUE"""),62)</f>
        <v>62</v>
      </c>
    </row>
    <row r="177" spans="1:7" ht="12.75">
      <c r="A177" t="str">
        <f ca="1">IFERROR(__xludf.DUMMYFUNCTION("""COMPUTED_VALUE"""),"T173")</f>
        <v>T173</v>
      </c>
      <c r="B177" t="str">
        <f ca="1">IFERROR(__xludf.DUMMYFUNCTION("""COMPUTED_VALUE"""),"T155")</f>
        <v>T155</v>
      </c>
      <c r="C177" t="str">
        <f ca="1">IFERROR(__xludf.DUMMYFUNCTION("""COMPUTED_VALUE"""),"Hudson Swafford")</f>
        <v>Hudson Swafford</v>
      </c>
      <c r="D177">
        <f ca="1">IFERROR(__xludf.DUMMYFUNCTION("""COMPUTED_VALUE"""),18)</f>
        <v>18</v>
      </c>
      <c r="E177">
        <f ca="1">IFERROR(__xludf.DUMMYFUNCTION("""COMPUTED_VALUE"""),4.69)</f>
        <v>4.6900000000000004</v>
      </c>
      <c r="F177">
        <f ca="1">IFERROR(__xludf.DUMMYFUNCTION("""COMPUTED_VALUE"""),300)</f>
        <v>300</v>
      </c>
      <c r="G177">
        <f ca="1">IFERROR(__xludf.DUMMYFUNCTION("""COMPUTED_VALUE"""),64)</f>
        <v>64</v>
      </c>
    </row>
    <row r="178" spans="1:7" ht="12.75">
      <c r="A178" t="str">
        <f ca="1">IFERROR(__xludf.DUMMYFUNCTION("""COMPUTED_VALUE"""),"T173")</f>
        <v>T173</v>
      </c>
      <c r="B178" t="str">
        <f ca="1">IFERROR(__xludf.DUMMYFUNCTION("""COMPUTED_VALUE"""),"T183")</f>
        <v>T183</v>
      </c>
      <c r="C178" t="str">
        <f ca="1">IFERROR(__xludf.DUMMYFUNCTION("""COMPUTED_VALUE"""),"Chase Seiffert")</f>
        <v>Chase Seiffert</v>
      </c>
      <c r="D178">
        <f ca="1">IFERROR(__xludf.DUMMYFUNCTION("""COMPUTED_VALUE"""),14)</f>
        <v>14</v>
      </c>
      <c r="E178">
        <f ca="1">IFERROR(__xludf.DUMMYFUNCTION("""COMPUTED_VALUE"""),4.69)</f>
        <v>4.6900000000000004</v>
      </c>
      <c r="F178">
        <f ca="1">IFERROR(__xludf.DUMMYFUNCTION("""COMPUTED_VALUE"""),244)</f>
        <v>244</v>
      </c>
      <c r="G178">
        <f ca="1">IFERROR(__xludf.DUMMYFUNCTION("""COMPUTED_VALUE"""),52)</f>
        <v>52</v>
      </c>
    </row>
    <row r="179" spans="1:7" ht="12.75">
      <c r="A179" t="str">
        <f ca="1">IFERROR(__xludf.DUMMYFUNCTION("""COMPUTED_VALUE"""),"T173")</f>
        <v>T173</v>
      </c>
      <c r="B179" t="str">
        <f ca="1">IFERROR(__xludf.DUMMYFUNCTION("""COMPUTED_VALUE"""),"T162")</f>
        <v>T162</v>
      </c>
      <c r="C179" t="str">
        <f ca="1">IFERROR(__xludf.DUMMYFUNCTION("""COMPUTED_VALUE"""),"Tyler Duncan")</f>
        <v>Tyler Duncan</v>
      </c>
      <c r="D179">
        <f ca="1">IFERROR(__xludf.DUMMYFUNCTION("""COMPUTED_VALUE"""),18)</f>
        <v>18</v>
      </c>
      <c r="E179">
        <f ca="1">IFERROR(__xludf.DUMMYFUNCTION("""COMPUTED_VALUE"""),4.69)</f>
        <v>4.6900000000000004</v>
      </c>
      <c r="F179">
        <f ca="1">IFERROR(__xludf.DUMMYFUNCTION("""COMPUTED_VALUE"""),300)</f>
        <v>300</v>
      </c>
      <c r="G179">
        <f ca="1">IFERROR(__xludf.DUMMYFUNCTION("""COMPUTED_VALUE"""),64)</f>
        <v>64</v>
      </c>
    </row>
    <row r="180" spans="1:7" ht="12.75">
      <c r="A180" t="str">
        <f ca="1">IFERROR(__xludf.DUMMYFUNCTION("""COMPUTED_VALUE"""),"T179")</f>
        <v>T179</v>
      </c>
      <c r="B180" t="str">
        <f ca="1">IFERROR(__xludf.DUMMYFUNCTION("""COMPUTED_VALUE"""),"T121")</f>
        <v>T121</v>
      </c>
      <c r="C180" t="str">
        <f ca="1">IFERROR(__xludf.DUMMYFUNCTION("""COMPUTED_VALUE"""),"Ryan Armour")</f>
        <v>Ryan Armour</v>
      </c>
      <c r="D180">
        <f ca="1">IFERROR(__xludf.DUMMYFUNCTION("""COMPUTED_VALUE"""),16)</f>
        <v>16</v>
      </c>
      <c r="E180">
        <f ca="1">IFERROR(__xludf.DUMMYFUNCTION("""COMPUTED_VALUE"""),4.7)</f>
        <v>4.7</v>
      </c>
      <c r="F180">
        <f ca="1">IFERROR(__xludf.DUMMYFUNCTION("""COMPUTED_VALUE"""),263)</f>
        <v>263</v>
      </c>
      <c r="G180">
        <f ca="1">IFERROR(__xludf.DUMMYFUNCTION("""COMPUTED_VALUE"""),56)</f>
        <v>56</v>
      </c>
    </row>
    <row r="181" spans="1:7" ht="12.75">
      <c r="A181" t="str">
        <f ca="1">IFERROR(__xludf.DUMMYFUNCTION("""COMPUTED_VALUE"""),"T179")</f>
        <v>T179</v>
      </c>
      <c r="B181" t="str">
        <f ca="1">IFERROR(__xludf.DUMMYFUNCTION("""COMPUTED_VALUE"""),"T188")</f>
        <v>T188</v>
      </c>
      <c r="C181" t="str">
        <f ca="1">IFERROR(__xludf.DUMMYFUNCTION("""COMPUTED_VALUE"""),"Robert Garrigus")</f>
        <v>Robert Garrigus</v>
      </c>
      <c r="D181">
        <f ca="1">IFERROR(__xludf.DUMMYFUNCTION("""COMPUTED_VALUE"""),3)</f>
        <v>3</v>
      </c>
      <c r="E181">
        <f ca="1">IFERROR(__xludf.DUMMYFUNCTION("""COMPUTED_VALUE"""),4.7)</f>
        <v>4.7</v>
      </c>
      <c r="F181">
        <f ca="1">IFERROR(__xludf.DUMMYFUNCTION("""COMPUTED_VALUE"""),47)</f>
        <v>47</v>
      </c>
      <c r="G181">
        <f ca="1">IFERROR(__xludf.DUMMYFUNCTION("""COMPUTED_VALUE"""),10)</f>
        <v>10</v>
      </c>
    </row>
    <row r="182" spans="1:7" ht="12.75">
      <c r="A182" t="str">
        <f ca="1">IFERROR(__xludf.DUMMYFUNCTION("""COMPUTED_VALUE"""),"T179")</f>
        <v>T179</v>
      </c>
      <c r="B182" t="str">
        <f ca="1">IFERROR(__xludf.DUMMYFUNCTION("""COMPUTED_VALUE"""),"T188")</f>
        <v>T188</v>
      </c>
      <c r="C182" t="str">
        <f ca="1">IFERROR(__xludf.DUMMYFUNCTION("""COMPUTED_VALUE"""),"Sangmoon Bae")</f>
        <v>Sangmoon Bae</v>
      </c>
      <c r="D182">
        <f ca="1">IFERROR(__xludf.DUMMYFUNCTION("""COMPUTED_VALUE"""),8)</f>
        <v>8</v>
      </c>
      <c r="E182">
        <f ca="1">IFERROR(__xludf.DUMMYFUNCTION("""COMPUTED_VALUE"""),4.7)</f>
        <v>4.7</v>
      </c>
      <c r="F182">
        <f ca="1">IFERROR(__xludf.DUMMYFUNCTION("""COMPUTED_VALUE"""),141)</f>
        <v>141</v>
      </c>
      <c r="G182">
        <f ca="1">IFERROR(__xludf.DUMMYFUNCTION("""COMPUTED_VALUE"""),30)</f>
        <v>30</v>
      </c>
    </row>
    <row r="183" spans="1:7" ht="12.75">
      <c r="A183" t="str">
        <f ca="1">IFERROR(__xludf.DUMMYFUNCTION("""COMPUTED_VALUE"""),"T179")</f>
        <v>T179</v>
      </c>
      <c r="B183" t="str">
        <f ca="1">IFERROR(__xludf.DUMMYFUNCTION("""COMPUTED_VALUE"""),"T162")</f>
        <v>T162</v>
      </c>
      <c r="C183" t="str">
        <f ca="1">IFERROR(__xludf.DUMMYFUNCTION("""COMPUTED_VALUE"""),"Troy Merritt")</f>
        <v>Troy Merritt</v>
      </c>
      <c r="D183">
        <f ca="1">IFERROR(__xludf.DUMMYFUNCTION("""COMPUTED_VALUE"""),20)</f>
        <v>20</v>
      </c>
      <c r="E183">
        <f ca="1">IFERROR(__xludf.DUMMYFUNCTION("""COMPUTED_VALUE"""),4.7)</f>
        <v>4.7</v>
      </c>
      <c r="F183">
        <f ca="1">IFERROR(__xludf.DUMMYFUNCTION("""COMPUTED_VALUE"""),282)</f>
        <v>282</v>
      </c>
      <c r="G183">
        <f ca="1">IFERROR(__xludf.DUMMYFUNCTION("""COMPUTED_VALUE"""),60)</f>
        <v>60</v>
      </c>
    </row>
    <row r="184" spans="1:7" ht="12.75">
      <c r="A184" t="str">
        <f ca="1">IFERROR(__xludf.DUMMYFUNCTION("""COMPUTED_VALUE"""),"T179")</f>
        <v>T179</v>
      </c>
      <c r="B184" t="str">
        <f ca="1">IFERROR(__xludf.DUMMYFUNCTION("""COMPUTED_VALUE"""),"T188")</f>
        <v>T188</v>
      </c>
      <c r="C184" t="str">
        <f ca="1">IFERROR(__xludf.DUMMYFUNCTION("""COMPUTED_VALUE"""),"Adam Hadwin")</f>
        <v>Adam Hadwin</v>
      </c>
      <c r="D184">
        <f ca="1">IFERROR(__xludf.DUMMYFUNCTION("""COMPUTED_VALUE"""),16)</f>
        <v>16</v>
      </c>
      <c r="E184">
        <f ca="1">IFERROR(__xludf.DUMMYFUNCTION("""COMPUTED_VALUE"""),4.7)</f>
        <v>4.7</v>
      </c>
      <c r="F184">
        <f ca="1">IFERROR(__xludf.DUMMYFUNCTION("""COMPUTED_VALUE"""),263)</f>
        <v>263</v>
      </c>
      <c r="G184">
        <f ca="1">IFERROR(__xludf.DUMMYFUNCTION("""COMPUTED_VALUE"""),56)</f>
        <v>56</v>
      </c>
    </row>
    <row r="185" spans="1:7" ht="12.75">
      <c r="A185" t="str">
        <f ca="1">IFERROR(__xludf.DUMMYFUNCTION("""COMPUTED_VALUE"""),"T179")</f>
        <v>T179</v>
      </c>
      <c r="B185" t="str">
        <f ca="1">IFERROR(__xludf.DUMMYFUNCTION("""COMPUTED_VALUE"""),"T188")</f>
        <v>T188</v>
      </c>
      <c r="C185" t="str">
        <f ca="1">IFERROR(__xludf.DUMMYFUNCTION("""COMPUTED_VALUE"""),"Justin Thomas")</f>
        <v>Justin Thomas</v>
      </c>
      <c r="D185">
        <f ca="1">IFERROR(__xludf.DUMMYFUNCTION("""COMPUTED_VALUE"""),12)</f>
        <v>12</v>
      </c>
      <c r="E185">
        <f ca="1">IFERROR(__xludf.DUMMYFUNCTION("""COMPUTED_VALUE"""),4.7)</f>
        <v>4.7</v>
      </c>
      <c r="F185">
        <f ca="1">IFERROR(__xludf.DUMMYFUNCTION("""COMPUTED_VALUE"""),207)</f>
        <v>207</v>
      </c>
      <c r="G185">
        <f ca="1">IFERROR(__xludf.DUMMYFUNCTION("""COMPUTED_VALUE"""),44)</f>
        <v>44</v>
      </c>
    </row>
    <row r="186" spans="1:7" ht="12.75">
      <c r="A186" t="str">
        <f ca="1">IFERROR(__xludf.DUMMYFUNCTION("""COMPUTED_VALUE"""),"T179")</f>
        <v>T179</v>
      </c>
      <c r="B186" t="str">
        <f ca="1">IFERROR(__xludf.DUMMYFUNCTION("""COMPUTED_VALUE"""),"T128")</f>
        <v>T128</v>
      </c>
      <c r="C186" t="str">
        <f ca="1">IFERROR(__xludf.DUMMYFUNCTION("""COMPUTED_VALUE"""),"Mark Hubbard")</f>
        <v>Mark Hubbard</v>
      </c>
      <c r="D186">
        <f ca="1">IFERROR(__xludf.DUMMYFUNCTION("""COMPUTED_VALUE"""),20)</f>
        <v>20</v>
      </c>
      <c r="E186">
        <f ca="1">IFERROR(__xludf.DUMMYFUNCTION("""COMPUTED_VALUE"""),4.7)</f>
        <v>4.7</v>
      </c>
      <c r="F186">
        <f ca="1">IFERROR(__xludf.DUMMYFUNCTION("""COMPUTED_VALUE"""),348)</f>
        <v>348</v>
      </c>
      <c r="G186">
        <f ca="1">IFERROR(__xludf.DUMMYFUNCTION("""COMPUTED_VALUE"""),74)</f>
        <v>74</v>
      </c>
    </row>
    <row r="187" spans="1:7" ht="12.75">
      <c r="A187" t="str">
        <f ca="1">IFERROR(__xludf.DUMMYFUNCTION("""COMPUTED_VALUE"""),"T179")</f>
        <v>T179</v>
      </c>
      <c r="B187" t="str">
        <f ca="1">IFERROR(__xludf.DUMMYFUNCTION("""COMPUTED_VALUE"""),"T162")</f>
        <v>T162</v>
      </c>
      <c r="C187" t="str">
        <f ca="1">IFERROR(__xludf.DUMMYFUNCTION("""COMPUTED_VALUE"""),"Maverick McNealy")</f>
        <v>Maverick McNealy</v>
      </c>
      <c r="D187">
        <f ca="1">IFERROR(__xludf.DUMMYFUNCTION("""COMPUTED_VALUE"""),16)</f>
        <v>16</v>
      </c>
      <c r="E187">
        <f ca="1">IFERROR(__xludf.DUMMYFUNCTION("""COMPUTED_VALUE"""),4.7)</f>
        <v>4.7</v>
      </c>
      <c r="F187">
        <f ca="1">IFERROR(__xludf.DUMMYFUNCTION("""COMPUTED_VALUE"""),254)</f>
        <v>254</v>
      </c>
      <c r="G187">
        <f ca="1">IFERROR(__xludf.DUMMYFUNCTION("""COMPUTED_VALUE"""),54)</f>
        <v>54</v>
      </c>
    </row>
    <row r="188" spans="1:7" ht="12.75">
      <c r="A188" t="str">
        <f ca="1">IFERROR(__xludf.DUMMYFUNCTION("""COMPUTED_VALUE"""),"T179")</f>
        <v>T179</v>
      </c>
      <c r="B188" t="str">
        <f ca="1">IFERROR(__xludf.DUMMYFUNCTION("""COMPUTED_VALUE"""),"T188")</f>
        <v>T188</v>
      </c>
      <c r="C188" t="str">
        <f ca="1">IFERROR(__xludf.DUMMYFUNCTION("""COMPUTED_VALUE"""),"Wesley Bryan")</f>
        <v>Wesley Bryan</v>
      </c>
      <c r="D188">
        <f ca="1">IFERROR(__xludf.DUMMYFUNCTION("""COMPUTED_VALUE"""),8)</f>
        <v>8</v>
      </c>
      <c r="E188">
        <f ca="1">IFERROR(__xludf.DUMMYFUNCTION("""COMPUTED_VALUE"""),4.7)</f>
        <v>4.7</v>
      </c>
      <c r="F188">
        <f ca="1">IFERROR(__xludf.DUMMYFUNCTION("""COMPUTED_VALUE"""),141)</f>
        <v>141</v>
      </c>
      <c r="G188">
        <f ca="1">IFERROR(__xludf.DUMMYFUNCTION("""COMPUTED_VALUE"""),30)</f>
        <v>30</v>
      </c>
    </row>
    <row r="189" spans="1:7" ht="12.75">
      <c r="A189" t="str">
        <f ca="1">IFERROR(__xludf.DUMMYFUNCTION("""COMPUTED_VALUE"""),"T188")</f>
        <v>T188</v>
      </c>
      <c r="B189" t="str">
        <f ca="1">IFERROR(__xludf.DUMMYFUNCTION("""COMPUTED_VALUE"""),"T197")</f>
        <v>T197</v>
      </c>
      <c r="C189" t="str">
        <f ca="1">IFERROR(__xludf.DUMMYFUNCTION("""COMPUTED_VALUE"""),"Jonathan Byrd")</f>
        <v>Jonathan Byrd</v>
      </c>
      <c r="D189">
        <f ca="1">IFERROR(__xludf.DUMMYFUNCTION("""COMPUTED_VALUE"""),14)</f>
        <v>14</v>
      </c>
      <c r="E189">
        <f ca="1">IFERROR(__xludf.DUMMYFUNCTION("""COMPUTED_VALUE"""),4.71)</f>
        <v>4.71</v>
      </c>
      <c r="F189">
        <f ca="1">IFERROR(__xludf.DUMMYFUNCTION("""COMPUTED_VALUE"""),245)</f>
        <v>245</v>
      </c>
      <c r="G189">
        <f ca="1">IFERROR(__xludf.DUMMYFUNCTION("""COMPUTED_VALUE"""),52)</f>
        <v>52</v>
      </c>
    </row>
    <row r="190" spans="1:7" ht="12.75">
      <c r="A190" t="str">
        <f ca="1">IFERROR(__xludf.DUMMYFUNCTION("""COMPUTED_VALUE"""),"T188")</f>
        <v>T188</v>
      </c>
      <c r="B190" t="str">
        <f ca="1">IFERROR(__xludf.DUMMYFUNCTION("""COMPUTED_VALUE"""),"T212")</f>
        <v>T212</v>
      </c>
      <c r="C190" t="str">
        <f ca="1">IFERROR(__xludf.DUMMYFUNCTION("""COMPUTED_VALUE"""),"Tyrrell Hatton")</f>
        <v>Tyrrell Hatton</v>
      </c>
      <c r="D190">
        <f ca="1">IFERROR(__xludf.DUMMYFUNCTION("""COMPUTED_VALUE"""),14)</f>
        <v>14</v>
      </c>
      <c r="E190">
        <f ca="1">IFERROR(__xludf.DUMMYFUNCTION("""COMPUTED_VALUE"""),4.71)</f>
        <v>4.71</v>
      </c>
      <c r="F190">
        <f ca="1">IFERROR(__xludf.DUMMYFUNCTION("""COMPUTED_VALUE"""),245)</f>
        <v>245</v>
      </c>
      <c r="G190">
        <f ca="1">IFERROR(__xludf.DUMMYFUNCTION("""COMPUTED_VALUE"""),52)</f>
        <v>52</v>
      </c>
    </row>
    <row r="191" spans="1:7" ht="12.75">
      <c r="A191" t="str">
        <f ca="1">IFERROR(__xludf.DUMMYFUNCTION("""COMPUTED_VALUE"""),"T188")</f>
        <v>T188</v>
      </c>
      <c r="B191" t="str">
        <f ca="1">IFERROR(__xludf.DUMMYFUNCTION("""COMPUTED_VALUE"""),"T197")</f>
        <v>T197</v>
      </c>
      <c r="C191" t="str">
        <f ca="1">IFERROR(__xludf.DUMMYFUNCTION("""COMPUTED_VALUE"""),"Matthias Schwab")</f>
        <v>Matthias Schwab</v>
      </c>
      <c r="D191">
        <f ca="1">IFERROR(__xludf.DUMMYFUNCTION("""COMPUTED_VALUE"""),8)</f>
        <v>8</v>
      </c>
      <c r="E191">
        <f ca="1">IFERROR(__xludf.DUMMYFUNCTION("""COMPUTED_VALUE"""),4.71)</f>
        <v>4.71</v>
      </c>
      <c r="F191">
        <f ca="1">IFERROR(__xludf.DUMMYFUNCTION("""COMPUTED_VALUE"""),132)</f>
        <v>132</v>
      </c>
      <c r="G191">
        <f ca="1">IFERROR(__xludf.DUMMYFUNCTION("""COMPUTED_VALUE"""),28)</f>
        <v>28</v>
      </c>
    </row>
    <row r="192" spans="1:7" ht="12.75">
      <c r="A192" t="str">
        <f ca="1">IFERROR(__xludf.DUMMYFUNCTION("""COMPUTED_VALUE"""),"T188")</f>
        <v>T188</v>
      </c>
      <c r="B192" t="str">
        <f ca="1">IFERROR(__xludf.DUMMYFUNCTION("""COMPUTED_VALUE"""),"T162")</f>
        <v>T162</v>
      </c>
      <c r="C192" t="str">
        <f ca="1">IFERROR(__xludf.DUMMYFUNCTION("""COMPUTED_VALUE"""),"Kelly Kraft")</f>
        <v>Kelly Kraft</v>
      </c>
      <c r="D192">
        <f ca="1">IFERROR(__xludf.DUMMYFUNCTION("""COMPUTED_VALUE"""),14)</f>
        <v>14</v>
      </c>
      <c r="E192">
        <f ca="1">IFERROR(__xludf.DUMMYFUNCTION("""COMPUTED_VALUE"""),4.71)</f>
        <v>4.71</v>
      </c>
      <c r="F192">
        <f ca="1">IFERROR(__xludf.DUMMYFUNCTION("""COMPUTED_VALUE"""),245)</f>
        <v>245</v>
      </c>
      <c r="G192">
        <f ca="1">IFERROR(__xludf.DUMMYFUNCTION("""COMPUTED_VALUE"""),52)</f>
        <v>52</v>
      </c>
    </row>
    <row r="193" spans="1:7" ht="12.75">
      <c r="A193" t="str">
        <f ca="1">IFERROR(__xludf.DUMMYFUNCTION("""COMPUTED_VALUE"""),"T188")</f>
        <v>T188</v>
      </c>
      <c r="B193" t="str">
        <f ca="1">IFERROR(__xludf.DUMMYFUNCTION("""COMPUTED_VALUE"""),"T241")</f>
        <v>T241</v>
      </c>
      <c r="C193" t="str">
        <f ca="1">IFERROR(__xludf.DUMMYFUNCTION("""COMPUTED_VALUE"""),"Brooks Koepka")</f>
        <v>Brooks Koepka</v>
      </c>
      <c r="D193">
        <f ca="1">IFERROR(__xludf.DUMMYFUNCTION("""COMPUTED_VALUE"""),8)</f>
        <v>8</v>
      </c>
      <c r="E193">
        <f ca="1">IFERROR(__xludf.DUMMYFUNCTION("""COMPUTED_VALUE"""),4.71)</f>
        <v>4.71</v>
      </c>
      <c r="F193">
        <f ca="1">IFERROR(__xludf.DUMMYFUNCTION("""COMPUTED_VALUE"""),132)</f>
        <v>132</v>
      </c>
      <c r="G193">
        <f ca="1">IFERROR(__xludf.DUMMYFUNCTION("""COMPUTED_VALUE"""),28)</f>
        <v>28</v>
      </c>
    </row>
    <row r="194" spans="1:7" ht="12.75">
      <c r="A194" t="str">
        <f ca="1">IFERROR(__xludf.DUMMYFUNCTION("""COMPUTED_VALUE"""),"T193")</f>
        <v>T193</v>
      </c>
      <c r="B194" t="str">
        <f ca="1">IFERROR(__xludf.DUMMYFUNCTION("""COMPUTED_VALUE"""),"T200")</f>
        <v>T200</v>
      </c>
      <c r="C194" t="str">
        <f ca="1">IFERROR(__xludf.DUMMYFUNCTION("""COMPUTED_VALUE"""),"Nick Taylor")</f>
        <v>Nick Taylor</v>
      </c>
      <c r="D194">
        <f ca="1">IFERROR(__xludf.DUMMYFUNCTION("""COMPUTED_VALUE"""),12)</f>
        <v>12</v>
      </c>
      <c r="E194">
        <f ca="1">IFERROR(__xludf.DUMMYFUNCTION("""COMPUTED_VALUE"""),4.72)</f>
        <v>4.72</v>
      </c>
      <c r="F194">
        <f ca="1">IFERROR(__xludf.DUMMYFUNCTION("""COMPUTED_VALUE"""),236)</f>
        <v>236</v>
      </c>
      <c r="G194">
        <f ca="1">IFERROR(__xludf.DUMMYFUNCTION("""COMPUTED_VALUE"""),50)</f>
        <v>50</v>
      </c>
    </row>
    <row r="195" spans="1:7" ht="12.75">
      <c r="A195" t="str">
        <f ca="1">IFERROR(__xludf.DUMMYFUNCTION("""COMPUTED_VALUE"""),"T193")</f>
        <v>T193</v>
      </c>
      <c r="B195" t="str">
        <f ca="1">IFERROR(__xludf.DUMMYFUNCTION("""COMPUTED_VALUE"""),"T200")</f>
        <v>T200</v>
      </c>
      <c r="C195" t="str">
        <f ca="1">IFERROR(__xludf.DUMMYFUNCTION("""COMPUTED_VALUE"""),"Brendan Steele")</f>
        <v>Brendan Steele</v>
      </c>
      <c r="D195">
        <f ca="1">IFERROR(__xludf.DUMMYFUNCTION("""COMPUTED_VALUE"""),14)</f>
        <v>14</v>
      </c>
      <c r="E195">
        <f ca="1">IFERROR(__xludf.DUMMYFUNCTION("""COMPUTED_VALUE"""),4.72)</f>
        <v>4.72</v>
      </c>
      <c r="F195">
        <f ca="1">IFERROR(__xludf.DUMMYFUNCTION("""COMPUTED_VALUE"""),274)</f>
        <v>274</v>
      </c>
      <c r="G195">
        <f ca="1">IFERROR(__xludf.DUMMYFUNCTION("""COMPUTED_VALUE"""),58)</f>
        <v>58</v>
      </c>
    </row>
    <row r="196" spans="1:7" ht="12.75">
      <c r="A196" t="str">
        <f ca="1">IFERROR(__xludf.DUMMYFUNCTION("""COMPUTED_VALUE"""),"T193")</f>
        <v>T193</v>
      </c>
      <c r="B196" t="str">
        <f ca="1">IFERROR(__xludf.DUMMYFUNCTION("""COMPUTED_VALUE"""),"T183")</f>
        <v>T183</v>
      </c>
      <c r="C196" t="str">
        <f ca="1">IFERROR(__xludf.DUMMYFUNCTION("""COMPUTED_VALUE"""),"Russell Knox")</f>
        <v>Russell Knox</v>
      </c>
      <c r="D196">
        <f ca="1">IFERROR(__xludf.DUMMYFUNCTION("""COMPUTED_VALUE"""),16)</f>
        <v>16</v>
      </c>
      <c r="E196">
        <f ca="1">IFERROR(__xludf.DUMMYFUNCTION("""COMPUTED_VALUE"""),4.72)</f>
        <v>4.72</v>
      </c>
      <c r="F196">
        <f ca="1">IFERROR(__xludf.DUMMYFUNCTION("""COMPUTED_VALUE"""),255)</f>
        <v>255</v>
      </c>
      <c r="G196">
        <f ca="1">IFERROR(__xludf.DUMMYFUNCTION("""COMPUTED_VALUE"""),54)</f>
        <v>54</v>
      </c>
    </row>
    <row r="197" spans="1:7" ht="12.75">
      <c r="A197" t="str">
        <f ca="1">IFERROR(__xludf.DUMMYFUNCTION("""COMPUTED_VALUE"""),"T196")</f>
        <v>T196</v>
      </c>
      <c r="B197" t="str">
        <f ca="1">IFERROR(__xludf.DUMMYFUNCTION("""COMPUTED_VALUE"""),"T204")</f>
        <v>T204</v>
      </c>
      <c r="C197" t="str">
        <f ca="1">IFERROR(__xludf.DUMMYFUNCTION("""COMPUTED_VALUE"""),"Marc Leishman")</f>
        <v>Marc Leishman</v>
      </c>
      <c r="D197">
        <f ca="1">IFERROR(__xludf.DUMMYFUNCTION("""COMPUTED_VALUE"""),10)</f>
        <v>10</v>
      </c>
      <c r="E197">
        <f ca="1">IFERROR(__xludf.DUMMYFUNCTION("""COMPUTED_VALUE"""),4.73)</f>
        <v>4.7300000000000004</v>
      </c>
      <c r="F197">
        <f ca="1">IFERROR(__xludf.DUMMYFUNCTION("""COMPUTED_VALUE"""),189)</f>
        <v>189</v>
      </c>
      <c r="G197">
        <f ca="1">IFERROR(__xludf.DUMMYFUNCTION("""COMPUTED_VALUE"""),40)</f>
        <v>40</v>
      </c>
    </row>
    <row r="198" spans="1:7" ht="12.75">
      <c r="A198" t="str">
        <f ca="1">IFERROR(__xludf.DUMMYFUNCTION("""COMPUTED_VALUE"""),"T196")</f>
        <v>T196</v>
      </c>
      <c r="B198" t="str">
        <f ca="1">IFERROR(__xludf.DUMMYFUNCTION("""COMPUTED_VALUE"""),"T204")</f>
        <v>T204</v>
      </c>
      <c r="C198" t="str">
        <f ca="1">IFERROR(__xludf.DUMMYFUNCTION("""COMPUTED_VALUE"""),"Kevin Kisner")</f>
        <v>Kevin Kisner</v>
      </c>
      <c r="D198">
        <f ca="1">IFERROR(__xludf.DUMMYFUNCTION("""COMPUTED_VALUE"""),10)</f>
        <v>10</v>
      </c>
      <c r="E198">
        <f ca="1">IFERROR(__xludf.DUMMYFUNCTION("""COMPUTED_VALUE"""),4.73)</f>
        <v>4.7300000000000004</v>
      </c>
      <c r="F198">
        <f ca="1">IFERROR(__xludf.DUMMYFUNCTION("""COMPUTED_VALUE"""),189)</f>
        <v>189</v>
      </c>
      <c r="G198">
        <f ca="1">IFERROR(__xludf.DUMMYFUNCTION("""COMPUTED_VALUE"""),40)</f>
        <v>40</v>
      </c>
    </row>
    <row r="199" spans="1:7" ht="12.75">
      <c r="A199" t="str">
        <f ca="1">IFERROR(__xludf.DUMMYFUNCTION("""COMPUTED_VALUE"""),"T196")</f>
        <v>T196</v>
      </c>
      <c r="B199" t="str">
        <f ca="1">IFERROR(__xludf.DUMMYFUNCTION("""COMPUTED_VALUE"""),"T155")</f>
        <v>T155</v>
      </c>
      <c r="C199" t="str">
        <f ca="1">IFERROR(__xludf.DUMMYFUNCTION("""COMPUTED_VALUE"""),"Henrik Norlander")</f>
        <v>Henrik Norlander</v>
      </c>
      <c r="D199">
        <f ca="1">IFERROR(__xludf.DUMMYFUNCTION("""COMPUTED_VALUE"""),16)</f>
        <v>16</v>
      </c>
      <c r="E199">
        <f ca="1">IFERROR(__xludf.DUMMYFUNCTION("""COMPUTED_VALUE"""),4.73)</f>
        <v>4.7300000000000004</v>
      </c>
      <c r="F199">
        <f ca="1">IFERROR(__xludf.DUMMYFUNCTION("""COMPUTED_VALUE"""),265)</f>
        <v>265</v>
      </c>
      <c r="G199">
        <f ca="1">IFERROR(__xludf.DUMMYFUNCTION("""COMPUTED_VALUE"""),56)</f>
        <v>56</v>
      </c>
    </row>
    <row r="200" spans="1:7" ht="12.75">
      <c r="A200" t="str">
        <f ca="1">IFERROR(__xludf.DUMMYFUNCTION("""COMPUTED_VALUE"""),"T196")</f>
        <v>T196</v>
      </c>
      <c r="B200" t="str">
        <f ca="1">IFERROR(__xludf.DUMMYFUNCTION("""COMPUTED_VALUE"""),"T155")</f>
        <v>T155</v>
      </c>
      <c r="C200" t="str">
        <f ca="1">IFERROR(__xludf.DUMMYFUNCTION("""COMPUTED_VALUE"""),"Sam Ryder")</f>
        <v>Sam Ryder</v>
      </c>
      <c r="D200">
        <f ca="1">IFERROR(__xludf.DUMMYFUNCTION("""COMPUTED_VALUE"""),12)</f>
        <v>12</v>
      </c>
      <c r="E200">
        <f ca="1">IFERROR(__xludf.DUMMYFUNCTION("""COMPUTED_VALUE"""),4.73)</f>
        <v>4.7300000000000004</v>
      </c>
      <c r="F200">
        <f ca="1">IFERROR(__xludf.DUMMYFUNCTION("""COMPUTED_VALUE"""),208)</f>
        <v>208</v>
      </c>
      <c r="G200">
        <f ca="1">IFERROR(__xludf.DUMMYFUNCTION("""COMPUTED_VALUE"""),44)</f>
        <v>44</v>
      </c>
    </row>
    <row r="201" spans="1:7" ht="12.75">
      <c r="A201" t="str">
        <f ca="1">IFERROR(__xludf.DUMMYFUNCTION("""COMPUTED_VALUE"""),"T196")</f>
        <v>T196</v>
      </c>
      <c r="B201" t="str">
        <f ca="1">IFERROR(__xludf.DUMMYFUNCTION("""COMPUTED_VALUE"""),"T200")</f>
        <v>T200</v>
      </c>
      <c r="C201" t="str">
        <f ca="1">IFERROR(__xludf.DUMMYFUNCTION("""COMPUTED_VALUE"""),"Austin Cook")</f>
        <v>Austin Cook</v>
      </c>
      <c r="D201">
        <f ca="1">IFERROR(__xludf.DUMMYFUNCTION("""COMPUTED_VALUE"""),14)</f>
        <v>14</v>
      </c>
      <c r="E201">
        <f ca="1">IFERROR(__xludf.DUMMYFUNCTION("""COMPUTED_VALUE"""),4.73)</f>
        <v>4.7300000000000004</v>
      </c>
      <c r="F201">
        <f ca="1">IFERROR(__xludf.DUMMYFUNCTION("""COMPUTED_VALUE"""),227)</f>
        <v>227</v>
      </c>
      <c r="G201">
        <f ca="1">IFERROR(__xludf.DUMMYFUNCTION("""COMPUTED_VALUE"""),48)</f>
        <v>48</v>
      </c>
    </row>
    <row r="202" spans="1:7" ht="12.75">
      <c r="A202">
        <f ca="1">IFERROR(__xludf.DUMMYFUNCTION("""COMPUTED_VALUE"""),201)</f>
        <v>201</v>
      </c>
      <c r="B202" t="str">
        <f ca="1">IFERROR(__xludf.DUMMYFUNCTION("""COMPUTED_VALUE"""),"T208")</f>
        <v>T208</v>
      </c>
      <c r="C202" t="str">
        <f ca="1">IFERROR(__xludf.DUMMYFUNCTION("""COMPUTED_VALUE"""),"Zac Blair")</f>
        <v>Zac Blair</v>
      </c>
      <c r="D202">
        <f ca="1">IFERROR(__xludf.DUMMYFUNCTION("""COMPUTED_VALUE"""),10)</f>
        <v>10</v>
      </c>
      <c r="E202">
        <f ca="1">IFERROR(__xludf.DUMMYFUNCTION("""COMPUTED_VALUE"""),4.74)</f>
        <v>4.74</v>
      </c>
      <c r="F202">
        <f ca="1">IFERROR(__xludf.DUMMYFUNCTION("""COMPUTED_VALUE"""),180)</f>
        <v>180</v>
      </c>
      <c r="G202">
        <f ca="1">IFERROR(__xludf.DUMMYFUNCTION("""COMPUTED_VALUE"""),38)</f>
        <v>38</v>
      </c>
    </row>
    <row r="203" spans="1:7" ht="12.75">
      <c r="A203" t="str">
        <f ca="1">IFERROR(__xludf.DUMMYFUNCTION("""COMPUTED_VALUE"""),"T202")</f>
        <v>T202</v>
      </c>
      <c r="B203" t="str">
        <f ca="1">IFERROR(__xludf.DUMMYFUNCTION("""COMPUTED_VALUE"""),"T212")</f>
        <v>T212</v>
      </c>
      <c r="C203" t="str">
        <f ca="1">IFERROR(__xludf.DUMMYFUNCTION("""COMPUTED_VALUE"""),"Tiger Woods")</f>
        <v>Tiger Woods</v>
      </c>
      <c r="D203">
        <f ca="1">IFERROR(__xludf.DUMMYFUNCTION("""COMPUTED_VALUE"""),6)</f>
        <v>6</v>
      </c>
      <c r="E203">
        <f ca="1">IFERROR(__xludf.DUMMYFUNCTION("""COMPUTED_VALUE"""),4.75)</f>
        <v>4.75</v>
      </c>
      <c r="F203">
        <f ca="1">IFERROR(__xludf.DUMMYFUNCTION("""COMPUTED_VALUE"""),114)</f>
        <v>114</v>
      </c>
      <c r="G203">
        <f ca="1">IFERROR(__xludf.DUMMYFUNCTION("""COMPUTED_VALUE"""),24)</f>
        <v>24</v>
      </c>
    </row>
    <row r="204" spans="1:7" ht="12.75">
      <c r="A204" t="str">
        <f ca="1">IFERROR(__xludf.DUMMYFUNCTION("""COMPUTED_VALUE"""),"T202")</f>
        <v>T202</v>
      </c>
      <c r="B204" t="str">
        <f ca="1">IFERROR(__xludf.DUMMYFUNCTION("""COMPUTED_VALUE"""),"T212")</f>
        <v>T212</v>
      </c>
      <c r="C204" t="str">
        <f ca="1">IFERROR(__xludf.DUMMYFUNCTION("""COMPUTED_VALUE"""),"Jim Furyk")</f>
        <v>Jim Furyk</v>
      </c>
      <c r="D204">
        <f ca="1">IFERROR(__xludf.DUMMYFUNCTION("""COMPUTED_VALUE"""),4)</f>
        <v>4</v>
      </c>
      <c r="E204">
        <f ca="1">IFERROR(__xludf.DUMMYFUNCTION("""COMPUTED_VALUE"""),4.75)</f>
        <v>4.75</v>
      </c>
      <c r="F204">
        <f ca="1">IFERROR(__xludf.DUMMYFUNCTION("""COMPUTED_VALUE"""),76)</f>
        <v>76</v>
      </c>
      <c r="G204">
        <f ca="1">IFERROR(__xludf.DUMMYFUNCTION("""COMPUTED_VALUE"""),16)</f>
        <v>16</v>
      </c>
    </row>
    <row r="205" spans="1:7" ht="12.75">
      <c r="A205" t="str">
        <f ca="1">IFERROR(__xludf.DUMMYFUNCTION("""COMPUTED_VALUE"""),"T202")</f>
        <v>T202</v>
      </c>
      <c r="B205" t="str">
        <f ca="1">IFERROR(__xludf.DUMMYFUNCTION("""COMPUTED_VALUE"""),"T212")</f>
        <v>T212</v>
      </c>
      <c r="C205" t="str">
        <f ca="1">IFERROR(__xludf.DUMMYFUNCTION("""COMPUTED_VALUE"""),"John Senden")</f>
        <v>John Senden</v>
      </c>
      <c r="D205">
        <f ca="1">IFERROR(__xludf.DUMMYFUNCTION("""COMPUTED_VALUE"""),8)</f>
        <v>8</v>
      </c>
      <c r="E205">
        <f ca="1">IFERROR(__xludf.DUMMYFUNCTION("""COMPUTED_VALUE"""),4.75)</f>
        <v>4.75</v>
      </c>
      <c r="F205">
        <f ca="1">IFERROR(__xludf.DUMMYFUNCTION("""COMPUTED_VALUE"""),133)</f>
        <v>133</v>
      </c>
      <c r="G205">
        <f ca="1">IFERROR(__xludf.DUMMYFUNCTION("""COMPUTED_VALUE"""),28)</f>
        <v>28</v>
      </c>
    </row>
    <row r="206" spans="1:7" ht="12.75">
      <c r="A206" t="str">
        <f ca="1">IFERROR(__xludf.DUMMYFUNCTION("""COMPUTED_VALUE"""),"T202")</f>
        <v>T202</v>
      </c>
      <c r="B206" t="str">
        <f ca="1">IFERROR(__xludf.DUMMYFUNCTION("""COMPUTED_VALUE"""),"T204")</f>
        <v>T204</v>
      </c>
      <c r="C206" t="str">
        <f ca="1">IFERROR(__xludf.DUMMYFUNCTION("""COMPUTED_VALUE"""),"Ted Potter, Jr.")</f>
        <v>Ted Potter, Jr.</v>
      </c>
      <c r="D206">
        <f ca="1">IFERROR(__xludf.DUMMYFUNCTION("""COMPUTED_VALUE"""),8)</f>
        <v>8</v>
      </c>
      <c r="E206">
        <f ca="1">IFERROR(__xludf.DUMMYFUNCTION("""COMPUTED_VALUE"""),4.75)</f>
        <v>4.75</v>
      </c>
      <c r="F206">
        <f ca="1">IFERROR(__xludf.DUMMYFUNCTION("""COMPUTED_VALUE"""),133)</f>
        <v>133</v>
      </c>
      <c r="G206">
        <f ca="1">IFERROR(__xludf.DUMMYFUNCTION("""COMPUTED_VALUE"""),28)</f>
        <v>28</v>
      </c>
    </row>
    <row r="207" spans="1:7" ht="12.75">
      <c r="A207" t="str">
        <f ca="1">IFERROR(__xludf.DUMMYFUNCTION("""COMPUTED_VALUE"""),"T202")</f>
        <v>T202</v>
      </c>
      <c r="B207" t="str">
        <f ca="1">IFERROR(__xludf.DUMMYFUNCTION("""COMPUTED_VALUE"""),"T212")</f>
        <v>T212</v>
      </c>
      <c r="C207" t="str">
        <f ca="1">IFERROR(__xludf.DUMMYFUNCTION("""COMPUTED_VALUE"""),"Bernd Wiesberger")</f>
        <v>Bernd Wiesberger</v>
      </c>
      <c r="D207">
        <f ca="1">IFERROR(__xludf.DUMMYFUNCTION("""COMPUTED_VALUE"""),4)</f>
        <v>4</v>
      </c>
      <c r="E207">
        <f ca="1">IFERROR(__xludf.DUMMYFUNCTION("""COMPUTED_VALUE"""),4.75)</f>
        <v>4.75</v>
      </c>
      <c r="F207">
        <f ca="1">IFERROR(__xludf.DUMMYFUNCTION("""COMPUTED_VALUE"""),38)</f>
        <v>38</v>
      </c>
      <c r="G207">
        <f ca="1">IFERROR(__xludf.DUMMYFUNCTION("""COMPUTED_VALUE"""),8)</f>
        <v>8</v>
      </c>
    </row>
    <row r="208" spans="1:7" ht="12.75">
      <c r="A208" t="str">
        <f ca="1">IFERROR(__xludf.DUMMYFUNCTION("""COMPUTED_VALUE"""),"T202")</f>
        <v>T202</v>
      </c>
      <c r="B208" t="str">
        <f ca="1">IFERROR(__xludf.DUMMYFUNCTION("""COMPUTED_VALUE"""),"T212")</f>
        <v>T212</v>
      </c>
      <c r="C208" t="str">
        <f ca="1">IFERROR(__xludf.DUMMYFUNCTION("""COMPUTED_VALUE"""),"Gary Woodland")</f>
        <v>Gary Woodland</v>
      </c>
      <c r="D208">
        <f ca="1">IFERROR(__xludf.DUMMYFUNCTION("""COMPUTED_VALUE"""),6)</f>
        <v>6</v>
      </c>
      <c r="E208">
        <f ca="1">IFERROR(__xludf.DUMMYFUNCTION("""COMPUTED_VALUE"""),4.75)</f>
        <v>4.75</v>
      </c>
      <c r="F208">
        <f ca="1">IFERROR(__xludf.DUMMYFUNCTION("""COMPUTED_VALUE"""),95)</f>
        <v>95</v>
      </c>
      <c r="G208">
        <f ca="1">IFERROR(__xludf.DUMMYFUNCTION("""COMPUTED_VALUE"""),20)</f>
        <v>20</v>
      </c>
    </row>
    <row r="209" spans="1:7" ht="12.75">
      <c r="A209" t="str">
        <f ca="1">IFERROR(__xludf.DUMMYFUNCTION("""COMPUTED_VALUE"""),"T202")</f>
        <v>T202</v>
      </c>
      <c r="B209" t="str">
        <f ca="1">IFERROR(__xludf.DUMMYFUNCTION("""COMPUTED_VALUE"""),"T235")</f>
        <v>T235</v>
      </c>
      <c r="C209" t="str">
        <f ca="1">IFERROR(__xludf.DUMMYFUNCTION("""COMPUTED_VALUE"""),"Michael Thompson")</f>
        <v>Michael Thompson</v>
      </c>
      <c r="D209">
        <f ca="1">IFERROR(__xludf.DUMMYFUNCTION("""COMPUTED_VALUE"""),16)</f>
        <v>16</v>
      </c>
      <c r="E209">
        <f ca="1">IFERROR(__xludf.DUMMYFUNCTION("""COMPUTED_VALUE"""),4.75)</f>
        <v>4.75</v>
      </c>
      <c r="F209">
        <f ca="1">IFERROR(__xludf.DUMMYFUNCTION("""COMPUTED_VALUE"""),266)</f>
        <v>266</v>
      </c>
      <c r="G209">
        <f ca="1">IFERROR(__xludf.DUMMYFUNCTION("""COMPUTED_VALUE"""),56)</f>
        <v>56</v>
      </c>
    </row>
    <row r="210" spans="1:7" ht="12.75">
      <c r="A210" t="str">
        <f ca="1">IFERROR(__xludf.DUMMYFUNCTION("""COMPUTED_VALUE"""),"T202")</f>
        <v>T202</v>
      </c>
      <c r="B210" t="str">
        <f ca="1">IFERROR(__xludf.DUMMYFUNCTION("""COMPUTED_VALUE"""),"T188")</f>
        <v>T188</v>
      </c>
      <c r="C210" t="str">
        <f ca="1">IFERROR(__xludf.DUMMYFUNCTION("""COMPUTED_VALUE"""),"Kevin Tway")</f>
        <v>Kevin Tway</v>
      </c>
      <c r="D210">
        <f ca="1">IFERROR(__xludf.DUMMYFUNCTION("""COMPUTED_VALUE"""),16)</f>
        <v>16</v>
      </c>
      <c r="E210">
        <f ca="1">IFERROR(__xludf.DUMMYFUNCTION("""COMPUTED_VALUE"""),4.75)</f>
        <v>4.75</v>
      </c>
      <c r="F210">
        <f ca="1">IFERROR(__xludf.DUMMYFUNCTION("""COMPUTED_VALUE"""),266)</f>
        <v>266</v>
      </c>
      <c r="G210">
        <f ca="1">IFERROR(__xludf.DUMMYFUNCTION("""COMPUTED_VALUE"""),56)</f>
        <v>56</v>
      </c>
    </row>
    <row r="211" spans="1:7" ht="12.75">
      <c r="A211" t="str">
        <f ca="1">IFERROR(__xludf.DUMMYFUNCTION("""COMPUTED_VALUE"""),"T202")</f>
        <v>T202</v>
      </c>
      <c r="B211" t="str">
        <f ca="1">IFERROR(__xludf.DUMMYFUNCTION("""COMPUTED_VALUE"""),"T212")</f>
        <v>T212</v>
      </c>
      <c r="C211" t="str">
        <f ca="1">IFERROR(__xludf.DUMMYFUNCTION("""COMPUTED_VALUE"""),"Romain Langasque")</f>
        <v>Romain Langasque</v>
      </c>
      <c r="D211">
        <f ca="1">IFERROR(__xludf.DUMMYFUNCTION("""COMPUTED_VALUE"""),4)</f>
        <v>4</v>
      </c>
      <c r="E211">
        <f ca="1">IFERROR(__xludf.DUMMYFUNCTION("""COMPUTED_VALUE"""),4.75)</f>
        <v>4.75</v>
      </c>
      <c r="F211">
        <f ca="1">IFERROR(__xludf.DUMMYFUNCTION("""COMPUTED_VALUE"""),38)</f>
        <v>38</v>
      </c>
      <c r="G211">
        <f ca="1">IFERROR(__xludf.DUMMYFUNCTION("""COMPUTED_VALUE"""),8)</f>
        <v>8</v>
      </c>
    </row>
    <row r="212" spans="1:7" ht="12.75">
      <c r="A212" t="str">
        <f ca="1">IFERROR(__xludf.DUMMYFUNCTION("""COMPUTED_VALUE"""),"T202")</f>
        <v>T202</v>
      </c>
      <c r="B212" t="str">
        <f ca="1">IFERROR(__xludf.DUMMYFUNCTION("""COMPUTED_VALUE"""),"T212")</f>
        <v>T212</v>
      </c>
      <c r="C212" t="str">
        <f ca="1">IFERROR(__xludf.DUMMYFUNCTION("""COMPUTED_VALUE"""),"Taylor Pendrith")</f>
        <v>Taylor Pendrith</v>
      </c>
      <c r="D212">
        <f ca="1">IFERROR(__xludf.DUMMYFUNCTION("""COMPUTED_VALUE"""),4)</f>
        <v>4</v>
      </c>
      <c r="E212">
        <f ca="1">IFERROR(__xludf.DUMMYFUNCTION("""COMPUTED_VALUE"""),4.75)</f>
        <v>4.75</v>
      </c>
      <c r="F212">
        <f ca="1">IFERROR(__xludf.DUMMYFUNCTION("""COMPUTED_VALUE"""),38)</f>
        <v>38</v>
      </c>
      <c r="G212">
        <f ca="1">IFERROR(__xludf.DUMMYFUNCTION("""COMPUTED_VALUE"""),8)</f>
        <v>8</v>
      </c>
    </row>
    <row r="213" spans="1:7" ht="12.75">
      <c r="A213" t="str">
        <f ca="1">IFERROR(__xludf.DUMMYFUNCTION("""COMPUTED_VALUE"""),"T202")</f>
        <v>T202</v>
      </c>
      <c r="B213" t="str">
        <f ca="1">IFERROR(__xludf.DUMMYFUNCTION("""COMPUTED_VALUE"""),"T212")</f>
        <v>T212</v>
      </c>
      <c r="C213" t="str">
        <f ca="1">IFERROR(__xludf.DUMMYFUNCTION("""COMPUTED_VALUE"""),"Jazz Janewattananond")</f>
        <v>Jazz Janewattananond</v>
      </c>
      <c r="D213">
        <f ca="1">IFERROR(__xludf.DUMMYFUNCTION("""COMPUTED_VALUE"""),6)</f>
        <v>6</v>
      </c>
      <c r="E213">
        <f ca="1">IFERROR(__xludf.DUMMYFUNCTION("""COMPUTED_VALUE"""),4.75)</f>
        <v>4.75</v>
      </c>
      <c r="F213">
        <f ca="1">IFERROR(__xludf.DUMMYFUNCTION("""COMPUTED_VALUE"""),114)</f>
        <v>114</v>
      </c>
      <c r="G213">
        <f ca="1">IFERROR(__xludf.DUMMYFUNCTION("""COMPUTED_VALUE"""),24)</f>
        <v>24</v>
      </c>
    </row>
    <row r="214" spans="1:7" ht="12.75">
      <c r="A214" t="str">
        <f ca="1">IFERROR(__xludf.DUMMYFUNCTION("""COMPUTED_VALUE"""),"T202")</f>
        <v>T202</v>
      </c>
      <c r="B214" t="str">
        <f ca="1">IFERROR(__xludf.DUMMYFUNCTION("""COMPUTED_VALUE"""),"T212")</f>
        <v>T212</v>
      </c>
      <c r="C214" t="str">
        <f ca="1">IFERROR(__xludf.DUMMYFUNCTION("""COMPUTED_VALUE"""),"Matt Wallace")</f>
        <v>Matt Wallace</v>
      </c>
      <c r="D214">
        <f ca="1">IFERROR(__xludf.DUMMYFUNCTION("""COMPUTED_VALUE"""),4)</f>
        <v>4</v>
      </c>
      <c r="E214">
        <f ca="1">IFERROR(__xludf.DUMMYFUNCTION("""COMPUTED_VALUE"""),4.75)</f>
        <v>4.75</v>
      </c>
      <c r="F214">
        <f ca="1">IFERROR(__xludf.DUMMYFUNCTION("""COMPUTED_VALUE"""),38)</f>
        <v>38</v>
      </c>
      <c r="G214">
        <f ca="1">IFERROR(__xludf.DUMMYFUNCTION("""COMPUTED_VALUE"""),8)</f>
        <v>8</v>
      </c>
    </row>
    <row r="215" spans="1:7" ht="12.75">
      <c r="A215" t="str">
        <f ca="1">IFERROR(__xludf.DUMMYFUNCTION("""COMPUTED_VALUE"""),"T202")</f>
        <v>T202</v>
      </c>
      <c r="B215" t="str">
        <f ca="1">IFERROR(__xludf.DUMMYFUNCTION("""COMPUTED_VALUE"""),"T212")</f>
        <v>T212</v>
      </c>
      <c r="C215" t="str">
        <f ca="1">IFERROR(__xludf.DUMMYFUNCTION("""COMPUTED_VALUE"""),"Robert MacIntyre")</f>
        <v>Robert MacIntyre</v>
      </c>
      <c r="D215">
        <f ca="1">IFERROR(__xludf.DUMMYFUNCTION("""COMPUTED_VALUE"""),4)</f>
        <v>4</v>
      </c>
      <c r="E215">
        <f ca="1">IFERROR(__xludf.DUMMYFUNCTION("""COMPUTED_VALUE"""),4.75)</f>
        <v>4.75</v>
      </c>
      <c r="F215">
        <f ca="1">IFERROR(__xludf.DUMMYFUNCTION("""COMPUTED_VALUE"""),38)</f>
        <v>38</v>
      </c>
      <c r="G215">
        <f ca="1">IFERROR(__xludf.DUMMYFUNCTION("""COMPUTED_VALUE"""),8)</f>
        <v>8</v>
      </c>
    </row>
    <row r="216" spans="1:7" ht="12.75">
      <c r="A216" t="str">
        <f ca="1">IFERROR(__xludf.DUMMYFUNCTION("""COMPUTED_VALUE"""),"T202")</f>
        <v>T202</v>
      </c>
      <c r="B216" t="str">
        <f ca="1">IFERROR(__xludf.DUMMYFUNCTION("""COMPUTED_VALUE"""),"T183")</f>
        <v>T183</v>
      </c>
      <c r="C216" t="str">
        <f ca="1">IFERROR(__xludf.DUMMYFUNCTION("""COMPUTED_VALUE"""),"Isaiah Salinda")</f>
        <v>Isaiah Salinda</v>
      </c>
      <c r="D216">
        <f ca="1">IFERROR(__xludf.DUMMYFUNCTION("""COMPUTED_VALUE"""),8)</f>
        <v>8</v>
      </c>
      <c r="E216">
        <f ca="1">IFERROR(__xludf.DUMMYFUNCTION("""COMPUTED_VALUE"""),4.75)</f>
        <v>4.75</v>
      </c>
      <c r="F216">
        <f ca="1">IFERROR(__xludf.DUMMYFUNCTION("""COMPUTED_VALUE"""),133)</f>
        <v>133</v>
      </c>
      <c r="G216">
        <f ca="1">IFERROR(__xludf.DUMMYFUNCTION("""COMPUTED_VALUE"""),28)</f>
        <v>28</v>
      </c>
    </row>
    <row r="217" spans="1:7" ht="12.75">
      <c r="A217" t="str">
        <f ca="1">IFERROR(__xludf.DUMMYFUNCTION("""COMPUTED_VALUE"""),"T216")</f>
        <v>T216</v>
      </c>
      <c r="B217" t="str">
        <f ca="1">IFERROR(__xludf.DUMMYFUNCTION("""COMPUTED_VALUE"""),"T111")</f>
        <v>T111</v>
      </c>
      <c r="C217" t="str">
        <f ca="1">IFERROR(__xludf.DUMMYFUNCTION("""COMPUTED_VALUE"""),"Henrik Stenson")</f>
        <v>Henrik Stenson</v>
      </c>
      <c r="D217">
        <f ca="1">IFERROR(__xludf.DUMMYFUNCTION("""COMPUTED_VALUE"""),11)</f>
        <v>11</v>
      </c>
      <c r="E217">
        <f ca="1">IFERROR(__xludf.DUMMYFUNCTION("""COMPUTED_VALUE"""),4.76)</f>
        <v>4.76</v>
      </c>
      <c r="F217">
        <f ca="1">IFERROR(__xludf.DUMMYFUNCTION("""COMPUTED_VALUE"""),176)</f>
        <v>176</v>
      </c>
      <c r="G217">
        <f ca="1">IFERROR(__xludf.DUMMYFUNCTION("""COMPUTED_VALUE"""),37)</f>
        <v>37</v>
      </c>
    </row>
    <row r="218" spans="1:7" ht="12.75">
      <c r="A218" t="str">
        <f ca="1">IFERROR(__xludf.DUMMYFUNCTION("""COMPUTED_VALUE"""),"T216")</f>
        <v>T216</v>
      </c>
      <c r="B218" t="str">
        <f ca="1">IFERROR(__xludf.DUMMYFUNCTION("""COMPUTED_VALUE"""),"T212")</f>
        <v>T212</v>
      </c>
      <c r="C218" t="str">
        <f ca="1">IFERROR(__xludf.DUMMYFUNCTION("""COMPUTED_VALUE"""),"Lucas Glover")</f>
        <v>Lucas Glover</v>
      </c>
      <c r="D218">
        <f ca="1">IFERROR(__xludf.DUMMYFUNCTION("""COMPUTED_VALUE"""),12)</f>
        <v>12</v>
      </c>
      <c r="E218">
        <f ca="1">IFERROR(__xludf.DUMMYFUNCTION("""COMPUTED_VALUE"""),4.76)</f>
        <v>4.76</v>
      </c>
      <c r="F218">
        <f ca="1">IFERROR(__xludf.DUMMYFUNCTION("""COMPUTED_VALUE"""),181)</f>
        <v>181</v>
      </c>
      <c r="G218">
        <f ca="1">IFERROR(__xludf.DUMMYFUNCTION("""COMPUTED_VALUE"""),38)</f>
        <v>38</v>
      </c>
    </row>
    <row r="219" spans="1:7" ht="12.75">
      <c r="A219" t="str">
        <f ca="1">IFERROR(__xludf.DUMMYFUNCTION("""COMPUTED_VALUE"""),"T216")</f>
        <v>T216</v>
      </c>
      <c r="B219" t="str">
        <f ca="1">IFERROR(__xludf.DUMMYFUNCTION("""COMPUTED_VALUE"""),"T188")</f>
        <v>T188</v>
      </c>
      <c r="C219" t="str">
        <f ca="1">IFERROR(__xludf.DUMMYFUNCTION("""COMPUTED_VALUE"""),"Alex Noren")</f>
        <v>Alex Noren</v>
      </c>
      <c r="D219">
        <f ca="1">IFERROR(__xludf.DUMMYFUNCTION("""COMPUTED_VALUE"""),14)</f>
        <v>14</v>
      </c>
      <c r="E219">
        <f ca="1">IFERROR(__xludf.DUMMYFUNCTION("""COMPUTED_VALUE"""),4.76)</f>
        <v>4.76</v>
      </c>
      <c r="F219">
        <f ca="1">IFERROR(__xludf.DUMMYFUNCTION("""COMPUTED_VALUE"""),238)</f>
        <v>238</v>
      </c>
      <c r="G219">
        <f ca="1">IFERROR(__xludf.DUMMYFUNCTION("""COMPUTED_VALUE"""),50)</f>
        <v>50</v>
      </c>
    </row>
    <row r="220" spans="1:7" ht="12.75">
      <c r="A220" t="str">
        <f ca="1">IFERROR(__xludf.DUMMYFUNCTION("""COMPUTED_VALUE"""),"T216")</f>
        <v>T216</v>
      </c>
      <c r="B220" t="str">
        <f ca="1">IFERROR(__xludf.DUMMYFUNCTION("""COMPUTED_VALUE"""),"T162")</f>
        <v>T162</v>
      </c>
      <c r="C220" t="str">
        <f ca="1">IFERROR(__xludf.DUMMYFUNCTION("""COMPUTED_VALUE"""),"Danny Lee")</f>
        <v>Danny Lee</v>
      </c>
      <c r="D220">
        <f ca="1">IFERROR(__xludf.DUMMYFUNCTION("""COMPUTED_VALUE"""),15)</f>
        <v>15</v>
      </c>
      <c r="E220">
        <f ca="1">IFERROR(__xludf.DUMMYFUNCTION("""COMPUTED_VALUE"""),4.76)</f>
        <v>4.76</v>
      </c>
      <c r="F220">
        <f ca="1">IFERROR(__xludf.DUMMYFUNCTION("""COMPUTED_VALUE"""),257)</f>
        <v>257</v>
      </c>
      <c r="G220">
        <f ca="1">IFERROR(__xludf.DUMMYFUNCTION("""COMPUTED_VALUE"""),54)</f>
        <v>54</v>
      </c>
    </row>
    <row r="221" spans="1:7" ht="12.75">
      <c r="A221" t="str">
        <f ca="1">IFERROR(__xludf.DUMMYFUNCTION("""COMPUTED_VALUE"""),"T216")</f>
        <v>T216</v>
      </c>
      <c r="B221" t="str">
        <f ca="1">IFERROR(__xludf.DUMMYFUNCTION("""COMPUTED_VALUE"""),"T188")</f>
        <v>T188</v>
      </c>
      <c r="C221" t="str">
        <f ca="1">IFERROR(__xludf.DUMMYFUNCTION("""COMPUTED_VALUE"""),"Bo Hoag")</f>
        <v>Bo Hoag</v>
      </c>
      <c r="D221">
        <f ca="1">IFERROR(__xludf.DUMMYFUNCTION("""COMPUTED_VALUE"""),14)</f>
        <v>14</v>
      </c>
      <c r="E221">
        <f ca="1">IFERROR(__xludf.DUMMYFUNCTION("""COMPUTED_VALUE"""),4.76)</f>
        <v>4.76</v>
      </c>
      <c r="F221">
        <f ca="1">IFERROR(__xludf.DUMMYFUNCTION("""COMPUTED_VALUE"""),238)</f>
        <v>238</v>
      </c>
      <c r="G221">
        <f ca="1">IFERROR(__xludf.DUMMYFUNCTION("""COMPUTED_VALUE"""),50)</f>
        <v>50</v>
      </c>
    </row>
    <row r="222" spans="1:7" ht="12.75">
      <c r="A222" t="str">
        <f ca="1">IFERROR(__xludf.DUMMYFUNCTION("""COMPUTED_VALUE"""),"T221")</f>
        <v>T221</v>
      </c>
      <c r="B222" t="str">
        <f ca="1">IFERROR(__xludf.DUMMYFUNCTION("""COMPUTED_VALUE"""),"T226")</f>
        <v>T226</v>
      </c>
      <c r="C222" t="str">
        <f ca="1">IFERROR(__xludf.DUMMYFUNCTION("""COMPUTED_VALUE"""),"Aaron Baddeley")</f>
        <v>Aaron Baddeley</v>
      </c>
      <c r="D222">
        <f ca="1">IFERROR(__xludf.DUMMYFUNCTION("""COMPUTED_VALUE"""),8)</f>
        <v>8</v>
      </c>
      <c r="E222">
        <f ca="1">IFERROR(__xludf.DUMMYFUNCTION("""COMPUTED_VALUE"""),4.77)</f>
        <v>4.7699999999999996</v>
      </c>
      <c r="F222">
        <f ca="1">IFERROR(__xludf.DUMMYFUNCTION("""COMPUTED_VALUE"""),143)</f>
        <v>143</v>
      </c>
      <c r="G222">
        <f ca="1">IFERROR(__xludf.DUMMYFUNCTION("""COMPUTED_VALUE"""),30)</f>
        <v>30</v>
      </c>
    </row>
    <row r="223" spans="1:7" ht="12.75">
      <c r="A223" t="str">
        <f ca="1">IFERROR(__xludf.DUMMYFUNCTION("""COMPUTED_VALUE"""),"T221")</f>
        <v>T221</v>
      </c>
      <c r="B223" t="str">
        <f ca="1">IFERROR(__xludf.DUMMYFUNCTION("""COMPUTED_VALUE"""),"T226")</f>
        <v>T226</v>
      </c>
      <c r="C223" t="str">
        <f ca="1">IFERROR(__xludf.DUMMYFUNCTION("""COMPUTED_VALUE"""),"Matt Kuchar")</f>
        <v>Matt Kuchar</v>
      </c>
      <c r="D223">
        <f ca="1">IFERROR(__xludf.DUMMYFUNCTION("""COMPUTED_VALUE"""),14)</f>
        <v>14</v>
      </c>
      <c r="E223">
        <f ca="1">IFERROR(__xludf.DUMMYFUNCTION("""COMPUTED_VALUE"""),4.77)</f>
        <v>4.7699999999999996</v>
      </c>
      <c r="F223">
        <f ca="1">IFERROR(__xludf.DUMMYFUNCTION("""COMPUTED_VALUE"""),248)</f>
        <v>248</v>
      </c>
      <c r="G223">
        <f ca="1">IFERROR(__xludf.DUMMYFUNCTION("""COMPUTED_VALUE"""),52)</f>
        <v>52</v>
      </c>
    </row>
    <row r="224" spans="1:7" ht="12.75">
      <c r="A224" t="str">
        <f ca="1">IFERROR(__xludf.DUMMYFUNCTION("""COMPUTED_VALUE"""),"T221")</f>
        <v>T221</v>
      </c>
      <c r="B224" t="str">
        <f ca="1">IFERROR(__xludf.DUMMYFUNCTION("""COMPUTED_VALUE"""),"T188")</f>
        <v>T188</v>
      </c>
      <c r="C224" t="str">
        <f ca="1">IFERROR(__xludf.DUMMYFUNCTION("""COMPUTED_VALUE"""),"Jhonattan Vegas")</f>
        <v>Jhonattan Vegas</v>
      </c>
      <c r="D224">
        <f ca="1">IFERROR(__xludf.DUMMYFUNCTION("""COMPUTED_VALUE"""),16)</f>
        <v>16</v>
      </c>
      <c r="E224">
        <f ca="1">IFERROR(__xludf.DUMMYFUNCTION("""COMPUTED_VALUE"""),4.77)</f>
        <v>4.7699999999999996</v>
      </c>
      <c r="F224">
        <f ca="1">IFERROR(__xludf.DUMMYFUNCTION("""COMPUTED_VALUE"""),267)</f>
        <v>267</v>
      </c>
      <c r="G224">
        <f ca="1">IFERROR(__xludf.DUMMYFUNCTION("""COMPUTED_VALUE"""),56)</f>
        <v>56</v>
      </c>
    </row>
    <row r="225" spans="1:7" ht="12.75">
      <c r="A225" t="str">
        <f ca="1">IFERROR(__xludf.DUMMYFUNCTION("""COMPUTED_VALUE"""),"T221")</f>
        <v>T221</v>
      </c>
      <c r="B225" t="str">
        <f ca="1">IFERROR(__xludf.DUMMYFUNCTION("""COMPUTED_VALUE"""),"T226")</f>
        <v>T226</v>
      </c>
      <c r="C225" t="str">
        <f ca="1">IFERROR(__xludf.DUMMYFUNCTION("""COMPUTED_VALUE"""),"Matt Every")</f>
        <v>Matt Every</v>
      </c>
      <c r="D225">
        <f ca="1">IFERROR(__xludf.DUMMYFUNCTION("""COMPUTED_VALUE"""),8)</f>
        <v>8</v>
      </c>
      <c r="E225">
        <f ca="1">IFERROR(__xludf.DUMMYFUNCTION("""COMPUTED_VALUE"""),4.77)</f>
        <v>4.7699999999999996</v>
      </c>
      <c r="F225">
        <f ca="1">IFERROR(__xludf.DUMMYFUNCTION("""COMPUTED_VALUE"""),143)</f>
        <v>143</v>
      </c>
      <c r="G225">
        <f ca="1">IFERROR(__xludf.DUMMYFUNCTION("""COMPUTED_VALUE"""),30)</f>
        <v>30</v>
      </c>
    </row>
    <row r="226" spans="1:7" ht="12.75">
      <c r="A226" t="str">
        <f ca="1">IFERROR(__xludf.DUMMYFUNCTION("""COMPUTED_VALUE"""),"T221")</f>
        <v>T221</v>
      </c>
      <c r="B226" t="str">
        <f ca="1">IFERROR(__xludf.DUMMYFUNCTION("""COMPUTED_VALUE"""),"T226")</f>
        <v>T226</v>
      </c>
      <c r="C226" t="str">
        <f ca="1">IFERROR(__xludf.DUMMYFUNCTION("""COMPUTED_VALUE"""),"Joohyung Kim")</f>
        <v>Joohyung Kim</v>
      </c>
      <c r="D226">
        <f ca="1">IFERROR(__xludf.DUMMYFUNCTION("""COMPUTED_VALUE"""),12)</f>
        <v>12</v>
      </c>
      <c r="E226">
        <f ca="1">IFERROR(__xludf.DUMMYFUNCTION("""COMPUTED_VALUE"""),4.77)</f>
        <v>4.7699999999999996</v>
      </c>
      <c r="F226">
        <f ca="1">IFERROR(__xludf.DUMMYFUNCTION("""COMPUTED_VALUE"""),229)</f>
        <v>229</v>
      </c>
      <c r="G226">
        <f ca="1">IFERROR(__xludf.DUMMYFUNCTION("""COMPUTED_VALUE"""),48)</f>
        <v>48</v>
      </c>
    </row>
    <row r="227" spans="1:7" ht="12.75">
      <c r="A227" t="str">
        <f ca="1">IFERROR(__xludf.DUMMYFUNCTION("""COMPUTED_VALUE"""),"T226")</f>
        <v>T226</v>
      </c>
      <c r="B227" t="str">
        <f ca="1">IFERROR(__xludf.DUMMYFUNCTION("""COMPUTED_VALUE"""),"T208")</f>
        <v>T208</v>
      </c>
      <c r="C227" t="str">
        <f ca="1">IFERROR(__xludf.DUMMYFUNCTION("""COMPUTED_VALUE"""),"D.A. Points")</f>
        <v>D.A. Points</v>
      </c>
      <c r="D227">
        <f ca="1">IFERROR(__xludf.DUMMYFUNCTION("""COMPUTED_VALUE"""),12)</f>
        <v>12</v>
      </c>
      <c r="E227">
        <f ca="1">IFERROR(__xludf.DUMMYFUNCTION("""COMPUTED_VALUE"""),4.78)</f>
        <v>4.78</v>
      </c>
      <c r="F227">
        <f ca="1">IFERROR(__xludf.DUMMYFUNCTION("""COMPUTED_VALUE"""),191)</f>
        <v>191</v>
      </c>
      <c r="G227">
        <f ca="1">IFERROR(__xludf.DUMMYFUNCTION("""COMPUTED_VALUE"""),40)</f>
        <v>40</v>
      </c>
    </row>
    <row r="228" spans="1:7" ht="12.75">
      <c r="A228" t="str">
        <f ca="1">IFERROR(__xludf.DUMMYFUNCTION("""COMPUTED_VALUE"""),"T226")</f>
        <v>T226</v>
      </c>
      <c r="B228" t="str">
        <f ca="1">IFERROR(__xludf.DUMMYFUNCTION("""COMPUTED_VALUE"""),"T204")</f>
        <v>T204</v>
      </c>
      <c r="C228" t="str">
        <f ca="1">IFERROR(__xludf.DUMMYFUNCTION("""COMPUTED_VALUE"""),"David Hearn")</f>
        <v>David Hearn</v>
      </c>
      <c r="D228">
        <f ca="1">IFERROR(__xludf.DUMMYFUNCTION("""COMPUTED_VALUE"""),16)</f>
        <v>16</v>
      </c>
      <c r="E228">
        <f ca="1">IFERROR(__xludf.DUMMYFUNCTION("""COMPUTED_VALUE"""),4.78)</f>
        <v>4.78</v>
      </c>
      <c r="F228">
        <f ca="1">IFERROR(__xludf.DUMMYFUNCTION("""COMPUTED_VALUE"""),277)</f>
        <v>277</v>
      </c>
      <c r="G228">
        <f ca="1">IFERROR(__xludf.DUMMYFUNCTION("""COMPUTED_VALUE"""),58)</f>
        <v>58</v>
      </c>
    </row>
    <row r="229" spans="1:7" ht="12.75">
      <c r="A229" t="str">
        <f ca="1">IFERROR(__xludf.DUMMYFUNCTION("""COMPUTED_VALUE"""),"T226")</f>
        <v>T226</v>
      </c>
      <c r="B229" t="str">
        <f ca="1">IFERROR(__xludf.DUMMYFUNCTION("""COMPUTED_VALUE"""),"T183")</f>
        <v>T183</v>
      </c>
      <c r="C229" t="str">
        <f ca="1">IFERROR(__xludf.DUMMYFUNCTION("""COMPUTED_VALUE"""),"Jamie Lovemark")</f>
        <v>Jamie Lovemark</v>
      </c>
      <c r="D229">
        <f ca="1">IFERROR(__xludf.DUMMYFUNCTION("""COMPUTED_VALUE"""),18)</f>
        <v>18</v>
      </c>
      <c r="E229">
        <f ca="1">IFERROR(__xludf.DUMMYFUNCTION("""COMPUTED_VALUE"""),4.78)</f>
        <v>4.78</v>
      </c>
      <c r="F229">
        <f ca="1">IFERROR(__xludf.DUMMYFUNCTION("""COMPUTED_VALUE"""),306)</f>
        <v>306</v>
      </c>
      <c r="G229">
        <f ca="1">IFERROR(__xludf.DUMMYFUNCTION("""COMPUTED_VALUE"""),64)</f>
        <v>64</v>
      </c>
    </row>
    <row r="230" spans="1:7" ht="12.75">
      <c r="A230" t="str">
        <f ca="1">IFERROR(__xludf.DUMMYFUNCTION("""COMPUTED_VALUE"""),"T226")</f>
        <v>T226</v>
      </c>
      <c r="B230" t="str">
        <f ca="1">IFERROR(__xludf.DUMMYFUNCTION("""COMPUTED_VALUE"""),"T208")</f>
        <v>T208</v>
      </c>
      <c r="C230" t="str">
        <f ca="1">IFERROR(__xludf.DUMMYFUNCTION("""COMPUTED_VALUE"""),"Scott Brown")</f>
        <v>Scott Brown</v>
      </c>
      <c r="D230">
        <f ca="1">IFERROR(__xludf.DUMMYFUNCTION("""COMPUTED_VALUE"""),14)</f>
        <v>14</v>
      </c>
      <c r="E230">
        <f ca="1">IFERROR(__xludf.DUMMYFUNCTION("""COMPUTED_VALUE"""),4.78)</f>
        <v>4.78</v>
      </c>
      <c r="F230">
        <f ca="1">IFERROR(__xludf.DUMMYFUNCTION("""COMPUTED_VALUE"""),239)</f>
        <v>239</v>
      </c>
      <c r="G230">
        <f ca="1">IFERROR(__xludf.DUMMYFUNCTION("""COMPUTED_VALUE"""),50)</f>
        <v>50</v>
      </c>
    </row>
    <row r="231" spans="1:7" ht="12.75">
      <c r="A231" t="str">
        <f ca="1">IFERROR(__xludf.DUMMYFUNCTION("""COMPUTED_VALUE"""),"T226")</f>
        <v>T226</v>
      </c>
      <c r="B231" t="str">
        <f ca="1">IFERROR(__xludf.DUMMYFUNCTION("""COMPUTED_VALUE"""),"T231")</f>
        <v>T231</v>
      </c>
      <c r="C231" t="str">
        <f ca="1">IFERROR(__xludf.DUMMYFUNCTION("""COMPUTED_VALUE"""),"Adam Long")</f>
        <v>Adam Long</v>
      </c>
      <c r="D231">
        <f ca="1">IFERROR(__xludf.DUMMYFUNCTION("""COMPUTED_VALUE"""),22)</f>
        <v>22</v>
      </c>
      <c r="E231">
        <f ca="1">IFERROR(__xludf.DUMMYFUNCTION("""COMPUTED_VALUE"""),4.78)</f>
        <v>4.78</v>
      </c>
      <c r="F231">
        <f ca="1">IFERROR(__xludf.DUMMYFUNCTION("""COMPUTED_VALUE"""),382)</f>
        <v>382</v>
      </c>
      <c r="G231">
        <f ca="1">IFERROR(__xludf.DUMMYFUNCTION("""COMPUTED_VALUE"""),80)</f>
        <v>80</v>
      </c>
    </row>
    <row r="232" spans="1:7" ht="12.75">
      <c r="A232" t="str">
        <f ca="1">IFERROR(__xludf.DUMMYFUNCTION("""COMPUTED_VALUE"""),"T231")</f>
        <v>T231</v>
      </c>
      <c r="B232" t="str">
        <f ca="1">IFERROR(__xludf.DUMMYFUNCTION("""COMPUTED_VALUE"""),"T197")</f>
        <v>T197</v>
      </c>
      <c r="C232" t="str">
        <f ca="1">IFERROR(__xludf.DUMMYFUNCTION("""COMPUTED_VALUE"""),"Jason Dufner")</f>
        <v>Jason Dufner</v>
      </c>
      <c r="D232">
        <f ca="1">IFERROR(__xludf.DUMMYFUNCTION("""COMPUTED_VALUE"""),14)</f>
        <v>14</v>
      </c>
      <c r="E232">
        <f ca="1">IFERROR(__xludf.DUMMYFUNCTION("""COMPUTED_VALUE"""),4.79)</f>
        <v>4.79</v>
      </c>
      <c r="F232">
        <f ca="1">IFERROR(__xludf.DUMMYFUNCTION("""COMPUTED_VALUE"""),230)</f>
        <v>230</v>
      </c>
      <c r="G232">
        <f ca="1">IFERROR(__xludf.DUMMYFUNCTION("""COMPUTED_VALUE"""),48)</f>
        <v>48</v>
      </c>
    </row>
    <row r="233" spans="1:7" ht="12.75">
      <c r="A233" t="str">
        <f ca="1">IFERROR(__xludf.DUMMYFUNCTION("""COMPUTED_VALUE"""),"T231")</f>
        <v>T231</v>
      </c>
      <c r="B233" t="str">
        <f ca="1">IFERROR(__xludf.DUMMYFUNCTION("""COMPUTED_VALUE"""),"T231")</f>
        <v>T231</v>
      </c>
      <c r="C233" t="str">
        <f ca="1">IFERROR(__xludf.DUMMYFUNCTION("""COMPUTED_VALUE"""),"Michael Gellerman")</f>
        <v>Michael Gellerman</v>
      </c>
      <c r="D233">
        <f ca="1">IFERROR(__xludf.DUMMYFUNCTION("""COMPUTED_VALUE"""),5)</f>
        <v>5</v>
      </c>
      <c r="E233">
        <f ca="1">IFERROR(__xludf.DUMMYFUNCTION("""COMPUTED_VALUE"""),4.79)</f>
        <v>4.79</v>
      </c>
      <c r="F233">
        <f ca="1">IFERROR(__xludf.DUMMYFUNCTION("""COMPUTED_VALUE"""),91)</f>
        <v>91</v>
      </c>
      <c r="G233">
        <f ca="1">IFERROR(__xludf.DUMMYFUNCTION("""COMPUTED_VALUE"""),19)</f>
        <v>19</v>
      </c>
    </row>
    <row r="234" spans="1:7" ht="12.75">
      <c r="A234" t="str">
        <f ca="1">IFERROR(__xludf.DUMMYFUNCTION("""COMPUTED_VALUE"""),"T233")</f>
        <v>T233</v>
      </c>
      <c r="B234" t="str">
        <f ca="1">IFERROR(__xludf.DUMMYFUNCTION("""COMPUTED_VALUE"""),"T235")</f>
        <v>T235</v>
      </c>
      <c r="C234" t="str">
        <f ca="1">IFERROR(__xludf.DUMMYFUNCTION("""COMPUTED_VALUE"""),"Ryan Blaum")</f>
        <v>Ryan Blaum</v>
      </c>
      <c r="D234">
        <f ca="1">IFERROR(__xludf.DUMMYFUNCTION("""COMPUTED_VALUE"""),8)</f>
        <v>8</v>
      </c>
      <c r="E234">
        <f ca="1">IFERROR(__xludf.DUMMYFUNCTION("""COMPUTED_VALUE"""),4.8)</f>
        <v>4.8</v>
      </c>
      <c r="F234">
        <f ca="1">IFERROR(__xludf.DUMMYFUNCTION("""COMPUTED_VALUE"""),144)</f>
        <v>144</v>
      </c>
      <c r="G234">
        <f ca="1">IFERROR(__xludf.DUMMYFUNCTION("""COMPUTED_VALUE"""),30)</f>
        <v>30</v>
      </c>
    </row>
    <row r="235" spans="1:7" ht="12.75">
      <c r="A235" t="str">
        <f ca="1">IFERROR(__xludf.DUMMYFUNCTION("""COMPUTED_VALUE"""),"T233")</f>
        <v>T233</v>
      </c>
      <c r="B235" t="str">
        <f ca="1">IFERROR(__xludf.DUMMYFUNCTION("""COMPUTED_VALUE"""),"T235")</f>
        <v>T235</v>
      </c>
      <c r="C235" t="str">
        <f ca="1">IFERROR(__xludf.DUMMYFUNCTION("""COMPUTED_VALUE"""),"Tommy Fleetwood")</f>
        <v>Tommy Fleetwood</v>
      </c>
      <c r="D235">
        <f ca="1">IFERROR(__xludf.DUMMYFUNCTION("""COMPUTED_VALUE"""),10)</f>
        <v>10</v>
      </c>
      <c r="E235">
        <f ca="1">IFERROR(__xludf.DUMMYFUNCTION("""COMPUTED_VALUE"""),4.8)</f>
        <v>4.8</v>
      </c>
      <c r="F235">
        <f ca="1">IFERROR(__xludf.DUMMYFUNCTION("""COMPUTED_VALUE"""),192)</f>
        <v>192</v>
      </c>
      <c r="G235">
        <f ca="1">IFERROR(__xludf.DUMMYFUNCTION("""COMPUTED_VALUE"""),40)</f>
        <v>40</v>
      </c>
    </row>
    <row r="236" spans="1:7" ht="12.75">
      <c r="A236" t="str">
        <f ca="1">IFERROR(__xludf.DUMMYFUNCTION("""COMPUTED_VALUE"""),"T233")</f>
        <v>T233</v>
      </c>
      <c r="B236" t="str">
        <f ca="1">IFERROR(__xludf.DUMMYFUNCTION("""COMPUTED_VALUE"""),"T212")</f>
        <v>T212</v>
      </c>
      <c r="C236" t="str">
        <f ca="1">IFERROR(__xludf.DUMMYFUNCTION("""COMPUTED_VALUE"""),"Dustin Johnson")</f>
        <v>Dustin Johnson</v>
      </c>
      <c r="D236">
        <f ca="1">IFERROR(__xludf.DUMMYFUNCTION("""COMPUTED_VALUE"""),8)</f>
        <v>8</v>
      </c>
      <c r="E236">
        <f ca="1">IFERROR(__xludf.DUMMYFUNCTION("""COMPUTED_VALUE"""),4.8)</f>
        <v>4.8</v>
      </c>
      <c r="F236">
        <f ca="1">IFERROR(__xludf.DUMMYFUNCTION("""COMPUTED_VALUE"""),96)</f>
        <v>96</v>
      </c>
      <c r="G236">
        <f ca="1">IFERROR(__xludf.DUMMYFUNCTION("""COMPUTED_VALUE"""),20)</f>
        <v>20</v>
      </c>
    </row>
    <row r="237" spans="1:7" ht="12.75">
      <c r="A237" t="str">
        <f ca="1">IFERROR(__xludf.DUMMYFUNCTION("""COMPUTED_VALUE"""),"T233")</f>
        <v>T233</v>
      </c>
      <c r="B237" t="str">
        <f ca="1">IFERROR(__xludf.DUMMYFUNCTION("""COMPUTED_VALUE"""),"T235")</f>
        <v>T235</v>
      </c>
      <c r="C237" t="str">
        <f ca="1">IFERROR(__xludf.DUMMYFUNCTION("""COMPUTED_VALUE"""),"Chris Baker")</f>
        <v>Chris Baker</v>
      </c>
      <c r="D237">
        <f ca="1">IFERROR(__xludf.DUMMYFUNCTION("""COMPUTED_VALUE"""),8)</f>
        <v>8</v>
      </c>
      <c r="E237">
        <f ca="1">IFERROR(__xludf.DUMMYFUNCTION("""COMPUTED_VALUE"""),4.8)</f>
        <v>4.8</v>
      </c>
      <c r="F237">
        <f ca="1">IFERROR(__xludf.DUMMYFUNCTION("""COMPUTED_VALUE"""),144)</f>
        <v>144</v>
      </c>
      <c r="G237">
        <f ca="1">IFERROR(__xludf.DUMMYFUNCTION("""COMPUTED_VALUE"""),30)</f>
        <v>30</v>
      </c>
    </row>
    <row r="238" spans="1:7" ht="12.75">
      <c r="A238" t="str">
        <f ca="1">IFERROR(__xludf.DUMMYFUNCTION("""COMPUTED_VALUE"""),"T233")</f>
        <v>T233</v>
      </c>
      <c r="B238" t="str">
        <f ca="1">IFERROR(__xludf.DUMMYFUNCTION("""COMPUTED_VALUE"""),"T231")</f>
        <v>T231</v>
      </c>
      <c r="C238" t="str">
        <f ca="1">IFERROR(__xludf.DUMMYFUNCTION("""COMPUTED_VALUE"""),"Jordan Spieth")</f>
        <v>Jordan Spieth</v>
      </c>
      <c r="D238">
        <f ca="1">IFERROR(__xludf.DUMMYFUNCTION("""COMPUTED_VALUE"""),14)</f>
        <v>14</v>
      </c>
      <c r="E238">
        <f ca="1">IFERROR(__xludf.DUMMYFUNCTION("""COMPUTED_VALUE"""),4.8)</f>
        <v>4.8</v>
      </c>
      <c r="F238">
        <f ca="1">IFERROR(__xludf.DUMMYFUNCTION("""COMPUTED_VALUE"""),259)</f>
        <v>259</v>
      </c>
      <c r="G238">
        <f ca="1">IFERROR(__xludf.DUMMYFUNCTION("""COMPUTED_VALUE"""),54)</f>
        <v>54</v>
      </c>
    </row>
    <row r="239" spans="1:7" ht="12.75">
      <c r="A239" t="str">
        <f ca="1">IFERROR(__xludf.DUMMYFUNCTION("""COMPUTED_VALUE"""),"T238")</f>
        <v>T238</v>
      </c>
      <c r="B239" t="str">
        <f ca="1">IFERROR(__xludf.DUMMYFUNCTION("""COMPUTED_VALUE"""),"T241")</f>
        <v>T241</v>
      </c>
      <c r="C239" t="str">
        <f ca="1">IFERROR(__xludf.DUMMYFUNCTION("""COMPUTED_VALUE"""),"Brian Gay")</f>
        <v>Brian Gay</v>
      </c>
      <c r="D239">
        <f ca="1">IFERROR(__xludf.DUMMYFUNCTION("""COMPUTED_VALUE"""),8)</f>
        <v>8</v>
      </c>
      <c r="E239">
        <f ca="1">IFERROR(__xludf.DUMMYFUNCTION("""COMPUTED_VALUE"""),4.81)</f>
        <v>4.8099999999999996</v>
      </c>
      <c r="F239">
        <f ca="1">IFERROR(__xludf.DUMMYFUNCTION("""COMPUTED_VALUE"""),125)</f>
        <v>125</v>
      </c>
      <c r="G239">
        <f ca="1">IFERROR(__xludf.DUMMYFUNCTION("""COMPUTED_VALUE"""),26)</f>
        <v>26</v>
      </c>
    </row>
    <row r="240" spans="1:7" ht="12.75">
      <c r="A240" t="str">
        <f ca="1">IFERROR(__xludf.DUMMYFUNCTION("""COMPUTED_VALUE"""),"T238")</f>
        <v>T238</v>
      </c>
      <c r="B240" t="str">
        <f ca="1">IFERROR(__xludf.DUMMYFUNCTION("""COMPUTED_VALUE"""),"T241")</f>
        <v>T241</v>
      </c>
      <c r="C240" t="str">
        <f ca="1">IFERROR(__xludf.DUMMYFUNCTION("""COMPUTED_VALUE"""),"Jay McLuen")</f>
        <v>Jay McLuen</v>
      </c>
      <c r="D240">
        <f ca="1">IFERROR(__xludf.DUMMYFUNCTION("""COMPUTED_VALUE"""),4)</f>
        <v>4</v>
      </c>
      <c r="E240">
        <f ca="1">IFERROR(__xludf.DUMMYFUNCTION("""COMPUTED_VALUE"""),4.81)</f>
        <v>4.8099999999999996</v>
      </c>
      <c r="F240">
        <f ca="1">IFERROR(__xludf.DUMMYFUNCTION("""COMPUTED_VALUE"""),77)</f>
        <v>77</v>
      </c>
      <c r="G240">
        <f ca="1">IFERROR(__xludf.DUMMYFUNCTION("""COMPUTED_VALUE"""),16)</f>
        <v>16</v>
      </c>
    </row>
    <row r="241" spans="1:7" ht="12.75">
      <c r="A241" t="str">
        <f ca="1">IFERROR(__xludf.DUMMYFUNCTION("""COMPUTED_VALUE"""),"T238")</f>
        <v>T238</v>
      </c>
      <c r="B241" t="str">
        <f ca="1">IFERROR(__xludf.DUMMYFUNCTION("""COMPUTED_VALUE"""),"T162")</f>
        <v>T162</v>
      </c>
      <c r="C241" t="str">
        <f ca="1">IFERROR(__xludf.DUMMYFUNCTION("""COMPUTED_VALUE"""),"Branden Grace")</f>
        <v>Branden Grace</v>
      </c>
      <c r="D241">
        <f ca="1">IFERROR(__xludf.DUMMYFUNCTION("""COMPUTED_VALUE"""),16)</f>
        <v>16</v>
      </c>
      <c r="E241">
        <f ca="1">IFERROR(__xludf.DUMMYFUNCTION("""COMPUTED_VALUE"""),4.81)</f>
        <v>4.8099999999999996</v>
      </c>
      <c r="F241">
        <f ca="1">IFERROR(__xludf.DUMMYFUNCTION("""COMPUTED_VALUE"""),260)</f>
        <v>260</v>
      </c>
      <c r="G241">
        <f ca="1">IFERROR(__xludf.DUMMYFUNCTION("""COMPUTED_VALUE"""),54)</f>
        <v>54</v>
      </c>
    </row>
    <row r="242" spans="1:7" ht="12.75">
      <c r="A242" t="str">
        <f ca="1">IFERROR(__xludf.DUMMYFUNCTION("""COMPUTED_VALUE"""),"T238")</f>
        <v>T238</v>
      </c>
      <c r="B242" t="str">
        <f ca="1">IFERROR(__xludf.DUMMYFUNCTION("""COMPUTED_VALUE"""),"T241")</f>
        <v>T241</v>
      </c>
      <c r="C242" t="str">
        <f ca="1">IFERROR(__xludf.DUMMYFUNCTION("""COMPUTED_VALUE"""),"Kyle Stanley")</f>
        <v>Kyle Stanley</v>
      </c>
      <c r="D242">
        <f ca="1">IFERROR(__xludf.DUMMYFUNCTION("""COMPUTED_VALUE"""),16)</f>
        <v>16</v>
      </c>
      <c r="E242">
        <f ca="1">IFERROR(__xludf.DUMMYFUNCTION("""COMPUTED_VALUE"""),4.81)</f>
        <v>4.8099999999999996</v>
      </c>
      <c r="F242">
        <f ca="1">IFERROR(__xludf.DUMMYFUNCTION("""COMPUTED_VALUE"""),279)</f>
        <v>279</v>
      </c>
      <c r="G242">
        <f ca="1">IFERROR(__xludf.DUMMYFUNCTION("""COMPUTED_VALUE"""),58)</f>
        <v>58</v>
      </c>
    </row>
    <row r="243" spans="1:7" ht="12.75">
      <c r="A243" t="str">
        <f ca="1">IFERROR(__xludf.DUMMYFUNCTION("""COMPUTED_VALUE"""),"T242")</f>
        <v>T242</v>
      </c>
      <c r="B243" t="str">
        <f ca="1">IFERROR(__xludf.DUMMYFUNCTION("""COMPUTED_VALUE"""),"T246")</f>
        <v>T246</v>
      </c>
      <c r="C243" t="str">
        <f ca="1">IFERROR(__xludf.DUMMYFUNCTION("""COMPUTED_VALUE"""),"Arjun Atwal")</f>
        <v>Arjun Atwal</v>
      </c>
      <c r="D243">
        <f ca="1">IFERROR(__xludf.DUMMYFUNCTION("""COMPUTED_VALUE"""),6)</f>
        <v>6</v>
      </c>
      <c r="E243">
        <f ca="1">IFERROR(__xludf.DUMMYFUNCTION("""COMPUTED_VALUE"""),4.82)</f>
        <v>4.82</v>
      </c>
      <c r="F243">
        <f ca="1">IFERROR(__xludf.DUMMYFUNCTION("""COMPUTED_VALUE"""),106)</f>
        <v>106</v>
      </c>
      <c r="G243">
        <f ca="1">IFERROR(__xludf.DUMMYFUNCTION("""COMPUTED_VALUE"""),22)</f>
        <v>22</v>
      </c>
    </row>
    <row r="244" spans="1:7" ht="12.75">
      <c r="A244" t="str">
        <f ca="1">IFERROR(__xludf.DUMMYFUNCTION("""COMPUTED_VALUE"""),"T242")</f>
        <v>T242</v>
      </c>
      <c r="B244" t="str">
        <f ca="1">IFERROR(__xludf.DUMMYFUNCTION("""COMPUTED_VALUE"""),"T235")</f>
        <v>T235</v>
      </c>
      <c r="C244" t="str">
        <f ca="1">IFERROR(__xludf.DUMMYFUNCTION("""COMPUTED_VALUE"""),"Kyoung-Hoon Lee")</f>
        <v>Kyoung-Hoon Lee</v>
      </c>
      <c r="D244">
        <f ca="1">IFERROR(__xludf.DUMMYFUNCTION("""COMPUTED_VALUE"""),20)</f>
        <v>20</v>
      </c>
      <c r="E244">
        <f ca="1">IFERROR(__xludf.DUMMYFUNCTION("""COMPUTED_VALUE"""),4.82)</f>
        <v>4.82</v>
      </c>
      <c r="F244">
        <f ca="1">IFERROR(__xludf.DUMMYFUNCTION("""COMPUTED_VALUE"""),347)</f>
        <v>347</v>
      </c>
      <c r="G244">
        <f ca="1">IFERROR(__xludf.DUMMYFUNCTION("""COMPUTED_VALUE"""),72)</f>
        <v>72</v>
      </c>
    </row>
    <row r="245" spans="1:7" ht="12.75">
      <c r="A245" t="str">
        <f ca="1">IFERROR(__xludf.DUMMYFUNCTION("""COMPUTED_VALUE"""),"T242")</f>
        <v>T242</v>
      </c>
      <c r="B245" t="str">
        <f ca="1">IFERROR(__xludf.DUMMYFUNCTION("""COMPUTED_VALUE"""),"T241")</f>
        <v>T241</v>
      </c>
      <c r="C245" t="str">
        <f ca="1">IFERROR(__xludf.DUMMYFUNCTION("""COMPUTED_VALUE"""),"Erik van Rooyen")</f>
        <v>Erik van Rooyen</v>
      </c>
      <c r="D245">
        <f ca="1">IFERROR(__xludf.DUMMYFUNCTION("""COMPUTED_VALUE"""),10)</f>
        <v>10</v>
      </c>
      <c r="E245">
        <f ca="1">IFERROR(__xludf.DUMMYFUNCTION("""COMPUTED_VALUE"""),4.82)</f>
        <v>4.82</v>
      </c>
      <c r="F245">
        <f ca="1">IFERROR(__xludf.DUMMYFUNCTION("""COMPUTED_VALUE"""),135)</f>
        <v>135</v>
      </c>
      <c r="G245">
        <f ca="1">IFERROR(__xludf.DUMMYFUNCTION("""COMPUTED_VALUE"""),28)</f>
        <v>28</v>
      </c>
    </row>
    <row r="246" spans="1:7" ht="12.75">
      <c r="A246" t="str">
        <f ca="1">IFERROR(__xludf.DUMMYFUNCTION("""COMPUTED_VALUE"""),"T245")</f>
        <v>T245</v>
      </c>
      <c r="B246" t="str">
        <f ca="1">IFERROR(__xludf.DUMMYFUNCTION("""COMPUTED_VALUE"""),"T162")</f>
        <v>T162</v>
      </c>
      <c r="C246" t="str">
        <f ca="1">IFERROR(__xludf.DUMMYFUNCTION("""COMPUTED_VALUE"""),"Graeme McDowell")</f>
        <v>Graeme McDowell</v>
      </c>
      <c r="D246">
        <f ca="1">IFERROR(__xludf.DUMMYFUNCTION("""COMPUTED_VALUE"""),8)</f>
        <v>8</v>
      </c>
      <c r="E246">
        <f ca="1">IFERROR(__xludf.DUMMYFUNCTION("""COMPUTED_VALUE"""),4.83)</f>
        <v>4.83</v>
      </c>
      <c r="F246">
        <f ca="1">IFERROR(__xludf.DUMMYFUNCTION("""COMPUTED_VALUE"""),116)</f>
        <v>116</v>
      </c>
      <c r="G246">
        <f ca="1">IFERROR(__xludf.DUMMYFUNCTION("""COMPUTED_VALUE"""),24)</f>
        <v>24</v>
      </c>
    </row>
    <row r="247" spans="1:7" ht="12.75">
      <c r="A247" t="str">
        <f ca="1">IFERROR(__xludf.DUMMYFUNCTION("""COMPUTED_VALUE"""),"T245")</f>
        <v>T245</v>
      </c>
      <c r="B247" t="str">
        <f ca="1">IFERROR(__xludf.DUMMYFUNCTION("""COMPUTED_VALUE"""),"T248")</f>
        <v>T248</v>
      </c>
      <c r="C247" t="str">
        <f ca="1">IFERROR(__xludf.DUMMYFUNCTION("""COMPUTED_VALUE"""),"Chris Stroud")</f>
        <v>Chris Stroud</v>
      </c>
      <c r="D247">
        <f ca="1">IFERROR(__xludf.DUMMYFUNCTION("""COMPUTED_VALUE"""),6)</f>
        <v>6</v>
      </c>
      <c r="E247">
        <f ca="1">IFERROR(__xludf.DUMMYFUNCTION("""COMPUTED_VALUE"""),4.83)</f>
        <v>4.83</v>
      </c>
      <c r="F247">
        <f ca="1">IFERROR(__xludf.DUMMYFUNCTION("""COMPUTED_VALUE"""),116)</f>
        <v>116</v>
      </c>
      <c r="G247">
        <f ca="1">IFERROR(__xludf.DUMMYFUNCTION("""COMPUTED_VALUE"""),24)</f>
        <v>24</v>
      </c>
    </row>
    <row r="248" spans="1:7" ht="12.75">
      <c r="A248" t="str">
        <f ca="1">IFERROR(__xludf.DUMMYFUNCTION("""COMPUTED_VALUE"""),"T245")</f>
        <v>T245</v>
      </c>
      <c r="B248" t="str">
        <f ca="1">IFERROR(__xludf.DUMMYFUNCTION("""COMPUTED_VALUE"""),"T256")</f>
        <v>T256</v>
      </c>
      <c r="C248" t="str">
        <f ca="1">IFERROR(__xludf.DUMMYFUNCTION("""COMPUTED_VALUE"""),"Chris Kirk")</f>
        <v>Chris Kirk</v>
      </c>
      <c r="D248">
        <f ca="1">IFERROR(__xludf.DUMMYFUNCTION("""COMPUTED_VALUE"""),10)</f>
        <v>10</v>
      </c>
      <c r="E248">
        <f ca="1">IFERROR(__xludf.DUMMYFUNCTION("""COMPUTED_VALUE"""),4.83)</f>
        <v>4.83</v>
      </c>
      <c r="F248">
        <f ca="1">IFERROR(__xludf.DUMMYFUNCTION("""COMPUTED_VALUE"""),174)</f>
        <v>174</v>
      </c>
      <c r="G248">
        <f ca="1">IFERROR(__xludf.DUMMYFUNCTION("""COMPUTED_VALUE"""),36)</f>
        <v>36</v>
      </c>
    </row>
    <row r="249" spans="1:7" ht="12.75">
      <c r="A249" t="str">
        <f ca="1">IFERROR(__xludf.DUMMYFUNCTION("""COMPUTED_VALUE"""),"T245")</f>
        <v>T245</v>
      </c>
      <c r="B249" t="str">
        <f ca="1">IFERROR(__xludf.DUMMYFUNCTION("""COMPUTED_VALUE"""),"T248")</f>
        <v>T248</v>
      </c>
      <c r="C249" t="str">
        <f ca="1">IFERROR(__xludf.DUMMYFUNCTION("""COMPUTED_VALUE"""),"Jim Herman")</f>
        <v>Jim Herman</v>
      </c>
      <c r="D249">
        <f ca="1">IFERROR(__xludf.DUMMYFUNCTION("""COMPUTED_VALUE"""),12)</f>
        <v>12</v>
      </c>
      <c r="E249">
        <f ca="1">IFERROR(__xludf.DUMMYFUNCTION("""COMPUTED_VALUE"""),4.83)</f>
        <v>4.83</v>
      </c>
      <c r="F249">
        <f ca="1">IFERROR(__xludf.DUMMYFUNCTION("""COMPUTED_VALUE"""),232)</f>
        <v>232</v>
      </c>
      <c r="G249">
        <f ca="1">IFERROR(__xludf.DUMMYFUNCTION("""COMPUTED_VALUE"""),48)</f>
        <v>48</v>
      </c>
    </row>
    <row r="250" spans="1:7" ht="12.75">
      <c r="A250" t="str">
        <f ca="1">IFERROR(__xludf.DUMMYFUNCTION("""COMPUTED_VALUE"""),"T245")</f>
        <v>T245</v>
      </c>
      <c r="B250" t="str">
        <f ca="1">IFERROR(__xludf.DUMMYFUNCTION("""COMPUTED_VALUE"""),"T248")</f>
        <v>T248</v>
      </c>
      <c r="C250" t="str">
        <f ca="1">IFERROR(__xludf.DUMMYFUNCTION("""COMPUTED_VALUE"""),"Davis Riley")</f>
        <v>Davis Riley</v>
      </c>
      <c r="D250">
        <f ca="1">IFERROR(__xludf.DUMMYFUNCTION("""COMPUTED_VALUE"""),4)</f>
        <v>4</v>
      </c>
      <c r="E250">
        <f ca="1">IFERROR(__xludf.DUMMYFUNCTION("""COMPUTED_VALUE"""),4.83)</f>
        <v>4.83</v>
      </c>
      <c r="F250">
        <f ca="1">IFERROR(__xludf.DUMMYFUNCTION("""COMPUTED_VALUE"""),58)</f>
        <v>58</v>
      </c>
      <c r="G250">
        <f ca="1">IFERROR(__xludf.DUMMYFUNCTION("""COMPUTED_VALUE"""),12)</f>
        <v>12</v>
      </c>
    </row>
    <row r="251" spans="1:7" ht="12.75">
      <c r="A251" t="str">
        <f ca="1">IFERROR(__xludf.DUMMYFUNCTION("""COMPUTED_VALUE"""),"T245")</f>
        <v>T245</v>
      </c>
      <c r="B251" t="str">
        <f ca="1">IFERROR(__xludf.DUMMYFUNCTION("""COMPUTED_VALUE"""),"T248")</f>
        <v>T248</v>
      </c>
      <c r="C251" t="str">
        <f ca="1">IFERROR(__xludf.DUMMYFUNCTION("""COMPUTED_VALUE"""),"Kurt Kitayama")</f>
        <v>Kurt Kitayama</v>
      </c>
      <c r="D251">
        <f ca="1">IFERROR(__xludf.DUMMYFUNCTION("""COMPUTED_VALUE"""),4)</f>
        <v>4</v>
      </c>
      <c r="E251">
        <f ca="1">IFERROR(__xludf.DUMMYFUNCTION("""COMPUTED_VALUE"""),4.83)</f>
        <v>4.83</v>
      </c>
      <c r="F251">
        <f ca="1">IFERROR(__xludf.DUMMYFUNCTION("""COMPUTED_VALUE"""),58)</f>
        <v>58</v>
      </c>
      <c r="G251">
        <f ca="1">IFERROR(__xludf.DUMMYFUNCTION("""COMPUTED_VALUE"""),12)</f>
        <v>12</v>
      </c>
    </row>
    <row r="252" spans="1:7" ht="12.75">
      <c r="A252" t="str">
        <f ca="1">IFERROR(__xludf.DUMMYFUNCTION("""COMPUTED_VALUE"""),"T251")</f>
        <v>T251</v>
      </c>
      <c r="B252">
        <f ca="1">IFERROR(__xludf.DUMMYFUNCTION("""COMPUTED_VALUE"""),252)</f>
        <v>252</v>
      </c>
      <c r="C252" t="str">
        <f ca="1">IFERROR(__xludf.DUMMYFUNCTION("""COMPUTED_VALUE"""),"Rickie Fowler")</f>
        <v>Rickie Fowler</v>
      </c>
      <c r="D252">
        <f ca="1">IFERROR(__xludf.DUMMYFUNCTION("""COMPUTED_VALUE"""),14)</f>
        <v>14</v>
      </c>
      <c r="E252">
        <f ca="1">IFERROR(__xludf.DUMMYFUNCTION("""COMPUTED_VALUE"""),4.84)</f>
        <v>4.84</v>
      </c>
      <c r="F252">
        <f ca="1">IFERROR(__xludf.DUMMYFUNCTION("""COMPUTED_VALUE"""),242)</f>
        <v>242</v>
      </c>
      <c r="G252">
        <f ca="1">IFERROR(__xludf.DUMMYFUNCTION("""COMPUTED_VALUE"""),50)</f>
        <v>50</v>
      </c>
    </row>
    <row r="253" spans="1:7" ht="12.75">
      <c r="A253" t="str">
        <f ca="1">IFERROR(__xludf.DUMMYFUNCTION("""COMPUTED_VALUE"""),"T251")</f>
        <v>T251</v>
      </c>
      <c r="B253" t="str">
        <f ca="1">IFERROR(__xludf.DUMMYFUNCTION("""COMPUTED_VALUE"""),"T208")</f>
        <v>T208</v>
      </c>
      <c r="C253" t="str">
        <f ca="1">IFERROR(__xludf.DUMMYFUNCTION("""COMPUTED_VALUE"""),"Kevin Chappell")</f>
        <v>Kevin Chappell</v>
      </c>
      <c r="D253">
        <f ca="1">IFERROR(__xludf.DUMMYFUNCTION("""COMPUTED_VALUE"""),16)</f>
        <v>16</v>
      </c>
      <c r="E253">
        <f ca="1">IFERROR(__xludf.DUMMYFUNCTION("""COMPUTED_VALUE"""),4.84)</f>
        <v>4.84</v>
      </c>
      <c r="F253">
        <f ca="1">IFERROR(__xludf.DUMMYFUNCTION("""COMPUTED_VALUE"""),281)</f>
        <v>281</v>
      </c>
      <c r="G253">
        <f ca="1">IFERROR(__xludf.DUMMYFUNCTION("""COMPUTED_VALUE"""),58)</f>
        <v>58</v>
      </c>
    </row>
    <row r="254" spans="1:7" ht="12.75">
      <c r="A254" t="str">
        <f ca="1">IFERROR(__xludf.DUMMYFUNCTION("""COMPUTED_VALUE"""),"T253")</f>
        <v>T253</v>
      </c>
      <c r="B254" t="str">
        <f ca="1">IFERROR(__xludf.DUMMYFUNCTION("""COMPUTED_VALUE"""),"")</f>
        <v/>
      </c>
      <c r="C254" t="str">
        <f ca="1">IFERROR(__xludf.DUMMYFUNCTION("""COMPUTED_VALUE"""),"Greg Chalmers")</f>
        <v>Greg Chalmers</v>
      </c>
      <c r="D254">
        <f ca="1">IFERROR(__xludf.DUMMYFUNCTION("""COMPUTED_VALUE"""),6)</f>
        <v>6</v>
      </c>
      <c r="E254">
        <f ca="1">IFERROR(__xludf.DUMMYFUNCTION("""COMPUTED_VALUE"""),4.85)</f>
        <v>4.8499999999999996</v>
      </c>
      <c r="F254">
        <f ca="1">IFERROR(__xludf.DUMMYFUNCTION("""COMPUTED_VALUE"""),97)</f>
        <v>97</v>
      </c>
      <c r="G254">
        <f ca="1">IFERROR(__xludf.DUMMYFUNCTION("""COMPUTED_VALUE"""),20)</f>
        <v>20</v>
      </c>
    </row>
    <row r="255" spans="1:7" ht="12.75">
      <c r="A255" t="str">
        <f ca="1">IFERROR(__xludf.DUMMYFUNCTION("""COMPUTED_VALUE"""),"T253")</f>
        <v>T253</v>
      </c>
      <c r="B255" t="str">
        <f ca="1">IFERROR(__xludf.DUMMYFUNCTION("""COMPUTED_VALUE"""),"T212")</f>
        <v>T212</v>
      </c>
      <c r="C255" t="str">
        <f ca="1">IFERROR(__xludf.DUMMYFUNCTION("""COMPUTED_VALUE"""),"Adam Scott")</f>
        <v>Adam Scott</v>
      </c>
      <c r="D255">
        <f ca="1">IFERROR(__xludf.DUMMYFUNCTION("""COMPUTED_VALUE"""),8)</f>
        <v>8</v>
      </c>
      <c r="E255">
        <f ca="1">IFERROR(__xludf.DUMMYFUNCTION("""COMPUTED_VALUE"""),4.85)</f>
        <v>4.8499999999999996</v>
      </c>
      <c r="F255">
        <f ca="1">IFERROR(__xludf.DUMMYFUNCTION("""COMPUTED_VALUE"""),97)</f>
        <v>97</v>
      </c>
      <c r="G255">
        <f ca="1">IFERROR(__xludf.DUMMYFUNCTION("""COMPUTED_VALUE"""),20)</f>
        <v>20</v>
      </c>
    </row>
    <row r="256" spans="1:7" ht="12.75">
      <c r="A256" t="str">
        <f ca="1">IFERROR(__xludf.DUMMYFUNCTION("""COMPUTED_VALUE"""),"T255")</f>
        <v>T255</v>
      </c>
      <c r="B256">
        <f ca="1">IFERROR(__xludf.DUMMYFUNCTION("""COMPUTED_VALUE"""),255)</f>
        <v>255</v>
      </c>
      <c r="C256" t="str">
        <f ca="1">IFERROR(__xludf.DUMMYFUNCTION("""COMPUTED_VALUE"""),"Nick Watney")</f>
        <v>Nick Watney</v>
      </c>
      <c r="D256">
        <f ca="1">IFERROR(__xludf.DUMMYFUNCTION("""COMPUTED_VALUE"""),10)</f>
        <v>10</v>
      </c>
      <c r="E256">
        <f ca="1">IFERROR(__xludf.DUMMYFUNCTION("""COMPUTED_VALUE"""),4.86)</f>
        <v>4.8600000000000003</v>
      </c>
      <c r="F256">
        <f ca="1">IFERROR(__xludf.DUMMYFUNCTION("""COMPUTED_VALUE"""),175)</f>
        <v>175</v>
      </c>
      <c r="G256">
        <f ca="1">IFERROR(__xludf.DUMMYFUNCTION("""COMPUTED_VALUE"""),36)</f>
        <v>36</v>
      </c>
    </row>
    <row r="257" spans="1:7" ht="12.75">
      <c r="A257" t="str">
        <f ca="1">IFERROR(__xludf.DUMMYFUNCTION("""COMPUTED_VALUE"""),"T255")</f>
        <v>T255</v>
      </c>
      <c r="B257" t="str">
        <f ca="1">IFERROR(__xludf.DUMMYFUNCTION("""COMPUTED_VALUE"""),"T235")</f>
        <v>T235</v>
      </c>
      <c r="C257" t="str">
        <f ca="1">IFERROR(__xludf.DUMMYFUNCTION("""COMPUTED_VALUE"""),"Fabián Gómez")</f>
        <v>Fabián Gómez</v>
      </c>
      <c r="D257">
        <f ca="1">IFERROR(__xludf.DUMMYFUNCTION("""COMPUTED_VALUE"""),16)</f>
        <v>16</v>
      </c>
      <c r="E257">
        <f ca="1">IFERROR(__xludf.DUMMYFUNCTION("""COMPUTED_VALUE"""),4.86)</f>
        <v>4.8600000000000003</v>
      </c>
      <c r="F257">
        <f ca="1">IFERROR(__xludf.DUMMYFUNCTION("""COMPUTED_VALUE"""),272)</f>
        <v>272</v>
      </c>
      <c r="G257">
        <f ca="1">IFERROR(__xludf.DUMMYFUNCTION("""COMPUTED_VALUE"""),56)</f>
        <v>56</v>
      </c>
    </row>
    <row r="258" spans="1:7" ht="12.75">
      <c r="A258">
        <f ca="1">IFERROR(__xludf.DUMMYFUNCTION("""COMPUTED_VALUE"""),257)</f>
        <v>257</v>
      </c>
      <c r="B258" t="str">
        <f ca="1">IFERROR(__xludf.DUMMYFUNCTION("""COMPUTED_VALUE"""),"T256")</f>
        <v>T256</v>
      </c>
      <c r="C258" t="str">
        <f ca="1">IFERROR(__xludf.DUMMYFUNCTION("""COMPUTED_VALUE"""),"Sung Kang")</f>
        <v>Sung Kang</v>
      </c>
      <c r="D258">
        <f ca="1">IFERROR(__xludf.DUMMYFUNCTION("""COMPUTED_VALUE"""),14)</f>
        <v>14</v>
      </c>
      <c r="E258">
        <f ca="1">IFERROR(__xludf.DUMMYFUNCTION("""COMPUTED_VALUE"""),4.87)</f>
        <v>4.87</v>
      </c>
      <c r="F258">
        <f ca="1">IFERROR(__xludf.DUMMYFUNCTION("""COMPUTED_VALUE"""),224)</f>
        <v>224</v>
      </c>
      <c r="G258">
        <f ca="1">IFERROR(__xludf.DUMMYFUNCTION("""COMPUTED_VALUE"""),46)</f>
        <v>46</v>
      </c>
    </row>
    <row r="259" spans="1:7" ht="12.75">
      <c r="A259" t="str">
        <f ca="1">IFERROR(__xludf.DUMMYFUNCTION("""COMPUTED_VALUE"""),"T258")</f>
        <v>T258</v>
      </c>
      <c r="B259" t="str">
        <f ca="1">IFERROR(__xludf.DUMMYFUNCTION("""COMPUTED_VALUE"""),"T231")</f>
        <v>T231</v>
      </c>
      <c r="C259" t="str">
        <f ca="1">IFERROR(__xludf.DUMMYFUNCTION("""COMPUTED_VALUE"""),"Vaughn Taylor")</f>
        <v>Vaughn Taylor</v>
      </c>
      <c r="D259">
        <f ca="1">IFERROR(__xludf.DUMMYFUNCTION("""COMPUTED_VALUE"""),12)</f>
        <v>12</v>
      </c>
      <c r="E259">
        <f ca="1">IFERROR(__xludf.DUMMYFUNCTION("""COMPUTED_VALUE"""),4.88)</f>
        <v>4.88</v>
      </c>
      <c r="F259">
        <f ca="1">IFERROR(__xludf.DUMMYFUNCTION("""COMPUTED_VALUE"""),195)</f>
        <v>195</v>
      </c>
      <c r="G259">
        <f ca="1">IFERROR(__xludf.DUMMYFUNCTION("""COMPUTED_VALUE"""),40)</f>
        <v>40</v>
      </c>
    </row>
    <row r="260" spans="1:7" ht="12.75">
      <c r="A260" t="str">
        <f ca="1">IFERROR(__xludf.DUMMYFUNCTION("""COMPUTED_VALUE"""),"T258")</f>
        <v>T258</v>
      </c>
      <c r="B260" t="str">
        <f ca="1">IFERROR(__xludf.DUMMYFUNCTION("""COMPUTED_VALUE"""),"T256")</f>
        <v>T256</v>
      </c>
      <c r="C260" t="str">
        <f ca="1">IFERROR(__xludf.DUMMYFUNCTION("""COMPUTED_VALUE"""),"Chez Reavie")</f>
        <v>Chez Reavie</v>
      </c>
      <c r="D260">
        <f ca="1">IFERROR(__xludf.DUMMYFUNCTION("""COMPUTED_VALUE"""),14)</f>
        <v>14</v>
      </c>
      <c r="E260">
        <f ca="1">IFERROR(__xludf.DUMMYFUNCTION("""COMPUTED_VALUE"""),4.88)</f>
        <v>4.88</v>
      </c>
      <c r="F260">
        <f ca="1">IFERROR(__xludf.DUMMYFUNCTION("""COMPUTED_VALUE"""),234)</f>
        <v>234</v>
      </c>
      <c r="G260">
        <f ca="1">IFERROR(__xludf.DUMMYFUNCTION("""COMPUTED_VALUE"""),48)</f>
        <v>48</v>
      </c>
    </row>
    <row r="261" spans="1:7" ht="12.75">
      <c r="A261" t="str">
        <f ca="1">IFERROR(__xludf.DUMMYFUNCTION("""COMPUTED_VALUE"""),"T258")</f>
        <v>T258</v>
      </c>
      <c r="B261" t="str">
        <f ca="1">IFERROR(__xludf.DUMMYFUNCTION("""COMPUTED_VALUE"""),"T256")</f>
        <v>T256</v>
      </c>
      <c r="C261" t="str">
        <f ca="1">IFERROR(__xludf.DUMMYFUNCTION("""COMPUTED_VALUE"""),"Steve Lewton")</f>
        <v>Steve Lewton</v>
      </c>
      <c r="D261">
        <f ca="1">IFERROR(__xludf.DUMMYFUNCTION("""COMPUTED_VALUE"""),4)</f>
        <v>4</v>
      </c>
      <c r="E261">
        <f ca="1">IFERROR(__xludf.DUMMYFUNCTION("""COMPUTED_VALUE"""),4.88)</f>
        <v>4.88</v>
      </c>
      <c r="F261">
        <f ca="1">IFERROR(__xludf.DUMMYFUNCTION("""COMPUTED_VALUE"""),78)</f>
        <v>78</v>
      </c>
      <c r="G261">
        <f ca="1">IFERROR(__xludf.DUMMYFUNCTION("""COMPUTED_VALUE"""),16)</f>
        <v>16</v>
      </c>
    </row>
    <row r="262" spans="1:7" ht="12.75">
      <c r="A262" t="str">
        <f ca="1">IFERROR(__xludf.DUMMYFUNCTION("""COMPUTED_VALUE"""),"T258")</f>
        <v>T258</v>
      </c>
      <c r="B262" t="str">
        <f ca="1">IFERROR(__xludf.DUMMYFUNCTION("""COMPUTED_VALUE"""),"T256")</f>
        <v>T256</v>
      </c>
      <c r="C262" t="str">
        <f ca="1">IFERROR(__xludf.DUMMYFUNCTION("""COMPUTED_VALUE"""),"Stephan Jaeger")</f>
        <v>Stephan Jaeger</v>
      </c>
      <c r="D262">
        <f ca="1">IFERROR(__xludf.DUMMYFUNCTION("""COMPUTED_VALUE"""),4)</f>
        <v>4</v>
      </c>
      <c r="E262">
        <f ca="1">IFERROR(__xludf.DUMMYFUNCTION("""COMPUTED_VALUE"""),4.88)</f>
        <v>4.88</v>
      </c>
      <c r="F262">
        <f ca="1">IFERROR(__xludf.DUMMYFUNCTION("""COMPUTED_VALUE"""),39)</f>
        <v>39</v>
      </c>
      <c r="G262">
        <f ca="1">IFERROR(__xludf.DUMMYFUNCTION("""COMPUTED_VALUE"""),8)</f>
        <v>8</v>
      </c>
    </row>
    <row r="263" spans="1:7" ht="12.75">
      <c r="A263" t="str">
        <f ca="1">IFERROR(__xludf.DUMMYFUNCTION("""COMPUTED_VALUE"""),"T258")</f>
        <v>T258</v>
      </c>
      <c r="B263" t="str">
        <f ca="1">IFERROR(__xludf.DUMMYFUNCTION("""COMPUTED_VALUE"""),"T256")</f>
        <v>T256</v>
      </c>
      <c r="C263" t="str">
        <f ca="1">IFERROR(__xludf.DUMMYFUNCTION("""COMPUTED_VALUE"""),"Lucas Herbert")</f>
        <v>Lucas Herbert</v>
      </c>
      <c r="D263">
        <f ca="1">IFERROR(__xludf.DUMMYFUNCTION("""COMPUTED_VALUE"""),4)</f>
        <v>4</v>
      </c>
      <c r="E263">
        <f ca="1">IFERROR(__xludf.DUMMYFUNCTION("""COMPUTED_VALUE"""),4.88)</f>
        <v>4.88</v>
      </c>
      <c r="F263">
        <f ca="1">IFERROR(__xludf.DUMMYFUNCTION("""COMPUTED_VALUE"""),39)</f>
        <v>39</v>
      </c>
      <c r="G263">
        <f ca="1">IFERROR(__xludf.DUMMYFUNCTION("""COMPUTED_VALUE"""),8)</f>
        <v>8</v>
      </c>
    </row>
    <row r="264" spans="1:7" ht="12.75">
      <c r="A264" t="str">
        <f ca="1">IFERROR(__xludf.DUMMYFUNCTION("""COMPUTED_VALUE"""),"T263")</f>
        <v>T263</v>
      </c>
      <c r="B264" t="str">
        <f ca="1">IFERROR(__xludf.DUMMYFUNCTION("""COMPUTED_VALUE"""),"T253")</f>
        <v>T253</v>
      </c>
      <c r="C264" t="str">
        <f ca="1">IFERROR(__xludf.DUMMYFUNCTION("""COMPUTED_VALUE"""),"Phil Mickelson")</f>
        <v>Phil Mickelson</v>
      </c>
      <c r="D264">
        <f ca="1">IFERROR(__xludf.DUMMYFUNCTION("""COMPUTED_VALUE"""),12)</f>
        <v>12</v>
      </c>
      <c r="E264">
        <f ca="1">IFERROR(__xludf.DUMMYFUNCTION("""COMPUTED_VALUE"""),4.89)</f>
        <v>4.8899999999999997</v>
      </c>
      <c r="F264">
        <f ca="1">IFERROR(__xludf.DUMMYFUNCTION("""COMPUTED_VALUE"""),225)</f>
        <v>225</v>
      </c>
      <c r="G264">
        <f ca="1">IFERROR(__xludf.DUMMYFUNCTION("""COMPUTED_VALUE"""),46)</f>
        <v>46</v>
      </c>
    </row>
    <row r="265" spans="1:7" ht="12.75">
      <c r="A265" t="str">
        <f ca="1">IFERROR(__xludf.DUMMYFUNCTION("""COMPUTED_VALUE"""),"T263")</f>
        <v>T263</v>
      </c>
      <c r="B265">
        <f ca="1">IFERROR(__xludf.DUMMYFUNCTION("""COMPUTED_VALUE"""),263)</f>
        <v>263</v>
      </c>
      <c r="C265" t="str">
        <f ca="1">IFERROR(__xludf.DUMMYFUNCTION("""COMPUTED_VALUE"""),"Johnson Wagner")</f>
        <v>Johnson Wagner</v>
      </c>
      <c r="D265">
        <f ca="1">IFERROR(__xludf.DUMMYFUNCTION("""COMPUTED_VALUE"""),8)</f>
        <v>8</v>
      </c>
      <c r="E265">
        <f ca="1">IFERROR(__xludf.DUMMYFUNCTION("""COMPUTED_VALUE"""),4.89)</f>
        <v>4.8899999999999997</v>
      </c>
      <c r="F265">
        <f ca="1">IFERROR(__xludf.DUMMYFUNCTION("""COMPUTED_VALUE"""),137)</f>
        <v>137</v>
      </c>
      <c r="G265">
        <f ca="1">IFERROR(__xludf.DUMMYFUNCTION("""COMPUTED_VALUE"""),28)</f>
        <v>28</v>
      </c>
    </row>
    <row r="266" spans="1:7" ht="12.75">
      <c r="A266" t="str">
        <f ca="1">IFERROR(__xludf.DUMMYFUNCTION("""COMPUTED_VALUE"""),"T263")</f>
        <v>T263</v>
      </c>
      <c r="B266" t="str">
        <f ca="1">IFERROR(__xludf.DUMMYFUNCTION("""COMPUTED_VALUE"""),"T226")</f>
        <v>T226</v>
      </c>
      <c r="C266" t="str">
        <f ca="1">IFERROR(__xludf.DUMMYFUNCTION("""COMPUTED_VALUE"""),"Martin Trainer")</f>
        <v>Martin Trainer</v>
      </c>
      <c r="D266">
        <f ca="1">IFERROR(__xludf.DUMMYFUNCTION("""COMPUTED_VALUE"""),10)</f>
        <v>10</v>
      </c>
      <c r="E266">
        <f ca="1">IFERROR(__xludf.DUMMYFUNCTION("""COMPUTED_VALUE"""),4.89)</f>
        <v>4.8899999999999997</v>
      </c>
      <c r="F266">
        <f ca="1">IFERROR(__xludf.DUMMYFUNCTION("""COMPUTED_VALUE"""),176)</f>
        <v>176</v>
      </c>
      <c r="G266">
        <f ca="1">IFERROR(__xludf.DUMMYFUNCTION("""COMPUTED_VALUE"""),36)</f>
        <v>36</v>
      </c>
    </row>
    <row r="267" spans="1:7" ht="12.75">
      <c r="A267">
        <f ca="1">IFERROR(__xludf.DUMMYFUNCTION("""COMPUTED_VALUE"""),266)</f>
        <v>266</v>
      </c>
      <c r="B267">
        <f ca="1">IFERROR(__xludf.DUMMYFUNCTION("""COMPUTED_VALUE"""),264)</f>
        <v>264</v>
      </c>
      <c r="C267" t="str">
        <f ca="1">IFERROR(__xludf.DUMMYFUNCTION("""COMPUTED_VALUE"""),"George McNeill")</f>
        <v>George McNeill</v>
      </c>
      <c r="D267">
        <f ca="1">IFERROR(__xludf.DUMMYFUNCTION("""COMPUTED_VALUE"""),8)</f>
        <v>8</v>
      </c>
      <c r="E267">
        <f ca="1">IFERROR(__xludf.DUMMYFUNCTION("""COMPUTED_VALUE"""),4.9)</f>
        <v>4.9000000000000004</v>
      </c>
      <c r="F267">
        <f ca="1">IFERROR(__xludf.DUMMYFUNCTION("""COMPUTED_VALUE"""),147)</f>
        <v>147</v>
      </c>
      <c r="G267">
        <f ca="1">IFERROR(__xludf.DUMMYFUNCTION("""COMPUTED_VALUE"""),30)</f>
        <v>30</v>
      </c>
    </row>
    <row r="268" spans="1:7" ht="12.75">
      <c r="A268">
        <f ca="1">IFERROR(__xludf.DUMMYFUNCTION("""COMPUTED_VALUE"""),267)</f>
        <v>267</v>
      </c>
      <c r="B268">
        <f ca="1">IFERROR(__xludf.DUMMYFUNCTION("""COMPUTED_VALUE"""),266)</f>
        <v>266</v>
      </c>
      <c r="C268" t="str">
        <f ca="1">IFERROR(__xludf.DUMMYFUNCTION("""COMPUTED_VALUE"""),"Matthew Borchert")</f>
        <v>Matthew Borchert</v>
      </c>
      <c r="D268">
        <f ca="1">IFERROR(__xludf.DUMMYFUNCTION("""COMPUTED_VALUE"""),4)</f>
        <v>4</v>
      </c>
      <c r="E268">
        <f ca="1">IFERROR(__xludf.DUMMYFUNCTION("""COMPUTED_VALUE"""),4.92)</f>
        <v>4.92</v>
      </c>
      <c r="F268">
        <f ca="1">IFERROR(__xludf.DUMMYFUNCTION("""COMPUTED_VALUE"""),59)</f>
        <v>59</v>
      </c>
      <c r="G268">
        <f ca="1">IFERROR(__xludf.DUMMYFUNCTION("""COMPUTED_VALUE"""),12)</f>
        <v>12</v>
      </c>
    </row>
    <row r="269" spans="1:7" ht="12.75">
      <c r="A269">
        <f ca="1">IFERROR(__xludf.DUMMYFUNCTION("""COMPUTED_VALUE"""),268)</f>
        <v>268</v>
      </c>
      <c r="B269">
        <f ca="1">IFERROR(__xludf.DUMMYFUNCTION("""COMPUTED_VALUE"""),267)</f>
        <v>267</v>
      </c>
      <c r="C269" t="str">
        <f ca="1">IFERROR(__xludf.DUMMYFUNCTION("""COMPUTED_VALUE"""),"Luke Schniederjans")</f>
        <v>Luke Schniederjans</v>
      </c>
      <c r="D269">
        <f ca="1">IFERROR(__xludf.DUMMYFUNCTION("""COMPUTED_VALUE"""),4)</f>
        <v>4</v>
      </c>
      <c r="E269">
        <f ca="1">IFERROR(__xludf.DUMMYFUNCTION("""COMPUTED_VALUE"""),4.93)</f>
        <v>4.93</v>
      </c>
      <c r="F269">
        <f ca="1">IFERROR(__xludf.DUMMYFUNCTION("""COMPUTED_VALUE"""),69)</f>
        <v>69</v>
      </c>
      <c r="G269">
        <f ca="1">IFERROR(__xludf.DUMMYFUNCTION("""COMPUTED_VALUE"""),14)</f>
        <v>14</v>
      </c>
    </row>
    <row r="270" spans="1:7" ht="12.75">
      <c r="A270" t="str">
        <f ca="1">IFERROR(__xludf.DUMMYFUNCTION("""COMPUTED_VALUE"""),"T269")</f>
        <v>T269</v>
      </c>
      <c r="B270" t="str">
        <f ca="1">IFERROR(__xludf.DUMMYFUNCTION("""COMPUTED_VALUE"""),"T268")</f>
        <v>T268</v>
      </c>
      <c r="C270" t="str">
        <f ca="1">IFERROR(__xludf.DUMMYFUNCTION("""COMPUTED_VALUE"""),"Shawn Stefani")</f>
        <v>Shawn Stefani</v>
      </c>
      <c r="D270">
        <f ca="1">IFERROR(__xludf.DUMMYFUNCTION("""COMPUTED_VALUE"""),5)</f>
        <v>5</v>
      </c>
      <c r="E270">
        <f ca="1">IFERROR(__xludf.DUMMYFUNCTION("""COMPUTED_VALUE"""),4.94)</f>
        <v>4.9400000000000004</v>
      </c>
      <c r="F270">
        <f ca="1">IFERROR(__xludf.DUMMYFUNCTION("""COMPUTED_VALUE"""),89)</f>
        <v>89</v>
      </c>
      <c r="G270">
        <f ca="1">IFERROR(__xludf.DUMMYFUNCTION("""COMPUTED_VALUE"""),18)</f>
        <v>18</v>
      </c>
    </row>
    <row r="271" spans="1:7" ht="12.75">
      <c r="A271" t="str">
        <f ca="1">IFERROR(__xludf.DUMMYFUNCTION("""COMPUTED_VALUE"""),"T269")</f>
        <v>T269</v>
      </c>
      <c r="B271" t="str">
        <f ca="1">IFERROR(__xludf.DUMMYFUNCTION("""COMPUTED_VALUE"""),"T268")</f>
        <v>T268</v>
      </c>
      <c r="C271" t="str">
        <f ca="1">IFERROR(__xludf.DUMMYFUNCTION("""COMPUTED_VALUE"""),"Hanbyeol Kim")</f>
        <v>Hanbyeol Kim</v>
      </c>
      <c r="D271">
        <f ca="1">IFERROR(__xludf.DUMMYFUNCTION("""COMPUTED_VALUE"""),4)</f>
        <v>4</v>
      </c>
      <c r="E271">
        <f ca="1">IFERROR(__xludf.DUMMYFUNCTION("""COMPUTED_VALUE"""),4.94)</f>
        <v>4.9400000000000004</v>
      </c>
      <c r="F271">
        <f ca="1">IFERROR(__xludf.DUMMYFUNCTION("""COMPUTED_VALUE"""),79)</f>
        <v>79</v>
      </c>
      <c r="G271">
        <f ca="1">IFERROR(__xludf.DUMMYFUNCTION("""COMPUTED_VALUE"""),16)</f>
        <v>16</v>
      </c>
    </row>
    <row r="272" spans="1:7" ht="12.75">
      <c r="A272">
        <f ca="1">IFERROR(__xludf.DUMMYFUNCTION("""COMPUTED_VALUE"""),271)</f>
        <v>271</v>
      </c>
      <c r="B272" t="str">
        <f ca="1">IFERROR(__xludf.DUMMYFUNCTION("""COMPUTED_VALUE"""),"T256")</f>
        <v>T256</v>
      </c>
      <c r="C272" t="str">
        <f ca="1">IFERROR(__xludf.DUMMYFUNCTION("""COMPUTED_VALUE"""),"Danny Willett")</f>
        <v>Danny Willett</v>
      </c>
      <c r="D272">
        <f ca="1">IFERROR(__xludf.DUMMYFUNCTION("""COMPUTED_VALUE"""),7)</f>
        <v>7</v>
      </c>
      <c r="E272">
        <f ca="1">IFERROR(__xludf.DUMMYFUNCTION("""COMPUTED_VALUE"""),4.95)</f>
        <v>4.95</v>
      </c>
      <c r="F272">
        <f ca="1">IFERROR(__xludf.DUMMYFUNCTION("""COMPUTED_VALUE"""),94)</f>
        <v>94</v>
      </c>
      <c r="G272">
        <f ca="1">IFERROR(__xludf.DUMMYFUNCTION("""COMPUTED_VALUE"""),19)</f>
        <v>19</v>
      </c>
    </row>
    <row r="273" spans="1:7" ht="12.75">
      <c r="A273">
        <f ca="1">IFERROR(__xludf.DUMMYFUNCTION("""COMPUTED_VALUE"""),272)</f>
        <v>272</v>
      </c>
      <c r="B273" t="str">
        <f ca="1">IFERROR(__xludf.DUMMYFUNCTION("""COMPUTED_VALUE"""),"T271")</f>
        <v>T271</v>
      </c>
      <c r="C273" t="str">
        <f ca="1">IFERROR(__xludf.DUMMYFUNCTION("""COMPUTED_VALUE"""),"William McGirt")</f>
        <v>William McGirt</v>
      </c>
      <c r="D273">
        <f ca="1">IFERROR(__xludf.DUMMYFUNCTION("""COMPUTED_VALUE"""),6)</f>
        <v>6</v>
      </c>
      <c r="E273">
        <f ca="1">IFERROR(__xludf.DUMMYFUNCTION("""COMPUTED_VALUE"""),4.96)</f>
        <v>4.96</v>
      </c>
      <c r="F273">
        <f ca="1">IFERROR(__xludf.DUMMYFUNCTION("""COMPUTED_VALUE"""),119)</f>
        <v>119</v>
      </c>
      <c r="G273">
        <f ca="1">IFERROR(__xludf.DUMMYFUNCTION("""COMPUTED_VALUE"""),24)</f>
        <v>24</v>
      </c>
    </row>
    <row r="274" spans="1:7" ht="12.75">
      <c r="A274" t="str">
        <f ca="1">IFERROR(__xludf.DUMMYFUNCTION("""COMPUTED_VALUE"""),"T273")</f>
        <v>T273</v>
      </c>
      <c r="B274" t="str">
        <f ca="1">IFERROR(__xludf.DUMMYFUNCTION("""COMPUTED_VALUE"""),"T246")</f>
        <v>T246</v>
      </c>
      <c r="C274" t="str">
        <f ca="1">IFERROR(__xludf.DUMMYFUNCTION("""COMPUTED_VALUE"""),"Bo Van Pelt")</f>
        <v>Bo Van Pelt</v>
      </c>
      <c r="D274">
        <f ca="1">IFERROR(__xludf.DUMMYFUNCTION("""COMPUTED_VALUE"""),10)</f>
        <v>10</v>
      </c>
      <c r="E274">
        <f ca="1">IFERROR(__xludf.DUMMYFUNCTION("""COMPUTED_VALUE"""),4.97)</f>
        <v>4.97</v>
      </c>
      <c r="F274">
        <f ca="1">IFERROR(__xludf.DUMMYFUNCTION("""COMPUTED_VALUE"""),169)</f>
        <v>169</v>
      </c>
      <c r="G274">
        <f ca="1">IFERROR(__xludf.DUMMYFUNCTION("""COMPUTED_VALUE"""),34)</f>
        <v>34</v>
      </c>
    </row>
    <row r="275" spans="1:7" ht="12.75">
      <c r="A275" t="str">
        <f ca="1">IFERROR(__xludf.DUMMYFUNCTION("""COMPUTED_VALUE"""),"T273")</f>
        <v>T273</v>
      </c>
      <c r="B275" t="str">
        <f ca="1">IFERROR(__xludf.DUMMYFUNCTION("""COMPUTED_VALUE"""),"T253")</f>
        <v>T253</v>
      </c>
      <c r="C275" t="str">
        <f ca="1">IFERROR(__xludf.DUMMYFUNCTION("""COMPUTED_VALUE"""),"Jimmy Walker")</f>
        <v>Jimmy Walker</v>
      </c>
      <c r="D275">
        <f ca="1">IFERROR(__xludf.DUMMYFUNCTION("""COMPUTED_VALUE"""),10)</f>
        <v>10</v>
      </c>
      <c r="E275">
        <f ca="1">IFERROR(__xludf.DUMMYFUNCTION("""COMPUTED_VALUE"""),4.97)</f>
        <v>4.97</v>
      </c>
      <c r="F275">
        <f ca="1">IFERROR(__xludf.DUMMYFUNCTION("""COMPUTED_VALUE"""),159)</f>
        <v>159</v>
      </c>
      <c r="G275">
        <f ca="1">IFERROR(__xludf.DUMMYFUNCTION("""COMPUTED_VALUE"""),32)</f>
        <v>32</v>
      </c>
    </row>
    <row r="276" spans="1:7" ht="12.75">
      <c r="A276" t="str">
        <f ca="1">IFERROR(__xludf.DUMMYFUNCTION("""COMPUTED_VALUE"""),"T273")</f>
        <v>T273</v>
      </c>
      <c r="B276" t="str">
        <f ca="1">IFERROR(__xludf.DUMMYFUNCTION("""COMPUTED_VALUE"""),"T271")</f>
        <v>T271</v>
      </c>
      <c r="C276" t="str">
        <f ca="1">IFERROR(__xludf.DUMMYFUNCTION("""COMPUTED_VALUE"""),"Graham DeLaet")</f>
        <v>Graham DeLaet</v>
      </c>
      <c r="D276">
        <f ca="1">IFERROR(__xludf.DUMMYFUNCTION("""COMPUTED_VALUE"""),9)</f>
        <v>9</v>
      </c>
      <c r="E276">
        <f ca="1">IFERROR(__xludf.DUMMYFUNCTION("""COMPUTED_VALUE"""),4.97)</f>
        <v>4.97</v>
      </c>
      <c r="F276">
        <f ca="1">IFERROR(__xludf.DUMMYFUNCTION("""COMPUTED_VALUE"""),154)</f>
        <v>154</v>
      </c>
      <c r="G276">
        <f ca="1">IFERROR(__xludf.DUMMYFUNCTION("""COMPUTED_VALUE"""),31)</f>
        <v>31</v>
      </c>
    </row>
    <row r="277" spans="1:7" ht="12.75">
      <c r="A277" t="str">
        <f ca="1">IFERROR(__xludf.DUMMYFUNCTION("""COMPUTED_VALUE"""),"T276")</f>
        <v>T276</v>
      </c>
      <c r="B277">
        <f ca="1">IFERROR(__xludf.DUMMYFUNCTION("""COMPUTED_VALUE"""),270)</f>
        <v>270</v>
      </c>
      <c r="C277" t="str">
        <f ca="1">IFERROR(__xludf.DUMMYFUNCTION("""COMPUTED_VALUE"""),"Hunter Mahan")</f>
        <v>Hunter Mahan</v>
      </c>
      <c r="D277">
        <f ca="1">IFERROR(__xludf.DUMMYFUNCTION("""COMPUTED_VALUE"""),14)</f>
        <v>14</v>
      </c>
      <c r="E277">
        <f ca="1">IFERROR(__xludf.DUMMYFUNCTION("""COMPUTED_VALUE"""),4.98)</f>
        <v>4.9800000000000004</v>
      </c>
      <c r="F277">
        <f ca="1">IFERROR(__xludf.DUMMYFUNCTION("""COMPUTED_VALUE"""),229)</f>
        <v>229</v>
      </c>
      <c r="G277">
        <f ca="1">IFERROR(__xludf.DUMMYFUNCTION("""COMPUTED_VALUE"""),46)</f>
        <v>46</v>
      </c>
    </row>
    <row r="278" spans="1:7" ht="12.75">
      <c r="A278" t="str">
        <f ca="1">IFERROR(__xludf.DUMMYFUNCTION("""COMPUTED_VALUE"""),"T276")</f>
        <v>T276</v>
      </c>
      <c r="B278">
        <f ca="1">IFERROR(__xludf.DUMMYFUNCTION("""COMPUTED_VALUE"""),265)</f>
        <v>265</v>
      </c>
      <c r="C278" t="str">
        <f ca="1">IFERROR(__xludf.DUMMYFUNCTION("""COMPUTED_VALUE"""),"Satoshi Kodaira")</f>
        <v>Satoshi Kodaira</v>
      </c>
      <c r="D278">
        <f ca="1">IFERROR(__xludf.DUMMYFUNCTION("""COMPUTED_VALUE"""),12)</f>
        <v>12</v>
      </c>
      <c r="E278">
        <f ca="1">IFERROR(__xludf.DUMMYFUNCTION("""COMPUTED_VALUE"""),4.98)</f>
        <v>4.9800000000000004</v>
      </c>
      <c r="F278">
        <f ca="1">IFERROR(__xludf.DUMMYFUNCTION("""COMPUTED_VALUE"""),229)</f>
        <v>229</v>
      </c>
      <c r="G278">
        <f ca="1">IFERROR(__xludf.DUMMYFUNCTION("""COMPUTED_VALUE"""),46)</f>
        <v>46</v>
      </c>
    </row>
    <row r="279" spans="1:7" ht="12.75">
      <c r="A279" t="str">
        <f ca="1">IFERROR(__xludf.DUMMYFUNCTION("""COMPUTED_VALUE"""),"T278")</f>
        <v>T278</v>
      </c>
      <c r="B279" t="str">
        <f ca="1">IFERROR(__xludf.DUMMYFUNCTION("""COMPUTED_VALUE"""),"T274")</f>
        <v>T274</v>
      </c>
      <c r="C279" t="str">
        <f ca="1">IFERROR(__xludf.DUMMYFUNCTION("""COMPUTED_VALUE"""),"Kevin Stadler")</f>
        <v>Kevin Stadler</v>
      </c>
      <c r="D279">
        <f ca="1">IFERROR(__xludf.DUMMYFUNCTION("""COMPUTED_VALUE"""),8)</f>
        <v>8</v>
      </c>
      <c r="E279">
        <f ca="1">IFERROR(__xludf.DUMMYFUNCTION("""COMPUTED_VALUE"""),5)</f>
        <v>5</v>
      </c>
      <c r="F279">
        <f ca="1">IFERROR(__xludf.DUMMYFUNCTION("""COMPUTED_VALUE"""),130)</f>
        <v>130</v>
      </c>
      <c r="G279">
        <f ca="1">IFERROR(__xludf.DUMMYFUNCTION("""COMPUTED_VALUE"""),26)</f>
        <v>26</v>
      </c>
    </row>
    <row r="280" spans="1:7" ht="12.75">
      <c r="A280" t="str">
        <f ca="1">IFERROR(__xludf.DUMMYFUNCTION("""COMPUTED_VALUE"""),"T278")</f>
        <v>T278</v>
      </c>
      <c r="B280" t="str">
        <f ca="1">IFERROR(__xludf.DUMMYFUNCTION("""COMPUTED_VALUE"""),"T274")</f>
        <v>T274</v>
      </c>
      <c r="C280" t="str">
        <f ca="1">IFERROR(__xludf.DUMMYFUNCTION("""COMPUTED_VALUE"""),"Peter Uihlein")</f>
        <v>Peter Uihlein</v>
      </c>
      <c r="D280">
        <f ca="1">IFERROR(__xludf.DUMMYFUNCTION("""COMPUTED_VALUE"""),8)</f>
        <v>8</v>
      </c>
      <c r="E280">
        <f ca="1">IFERROR(__xludf.DUMMYFUNCTION("""COMPUTED_VALUE"""),5)</f>
        <v>5</v>
      </c>
      <c r="F280">
        <f ca="1">IFERROR(__xludf.DUMMYFUNCTION("""COMPUTED_VALUE"""),140)</f>
        <v>140</v>
      </c>
      <c r="G280">
        <f ca="1">IFERROR(__xludf.DUMMYFUNCTION("""COMPUTED_VALUE"""),28)</f>
        <v>28</v>
      </c>
    </row>
    <row r="281" spans="1:7" ht="12.75">
      <c r="A281" t="str">
        <f ca="1">IFERROR(__xludf.DUMMYFUNCTION("""COMPUTED_VALUE"""),"T278")</f>
        <v>T278</v>
      </c>
      <c r="B281" t="str">
        <f ca="1">IFERROR(__xludf.DUMMYFUNCTION("""COMPUTED_VALUE"""),"T274")</f>
        <v>T274</v>
      </c>
      <c r="C281" t="str">
        <f ca="1">IFERROR(__xludf.DUMMYFUNCTION("""COMPUTED_VALUE"""),"Eric Dugas")</f>
        <v>Eric Dugas</v>
      </c>
      <c r="D281">
        <f ca="1">IFERROR(__xludf.DUMMYFUNCTION("""COMPUTED_VALUE"""),4)</f>
        <v>4</v>
      </c>
      <c r="E281">
        <f ca="1">IFERROR(__xludf.DUMMYFUNCTION("""COMPUTED_VALUE"""),5)</f>
        <v>5</v>
      </c>
      <c r="F281">
        <f ca="1">IFERROR(__xludf.DUMMYFUNCTION("""COMPUTED_VALUE"""),60)</f>
        <v>60</v>
      </c>
      <c r="G281">
        <f ca="1">IFERROR(__xludf.DUMMYFUNCTION("""COMPUTED_VALUE"""),12)</f>
        <v>12</v>
      </c>
    </row>
    <row r="282" spans="1:7" ht="12.75">
      <c r="A282" t="str">
        <f ca="1">IFERROR(__xludf.DUMMYFUNCTION("""COMPUTED_VALUE"""),"T278")</f>
        <v>T278</v>
      </c>
      <c r="B282" t="str">
        <f ca="1">IFERROR(__xludf.DUMMYFUNCTION("""COMPUTED_VALUE"""),"T274")</f>
        <v>T274</v>
      </c>
      <c r="C282" t="str">
        <f ca="1">IFERROR(__xludf.DUMMYFUNCTION("""COMPUTED_VALUE"""),"Thomas Pieters")</f>
        <v>Thomas Pieters</v>
      </c>
      <c r="D282">
        <f ca="1">IFERROR(__xludf.DUMMYFUNCTION("""COMPUTED_VALUE"""),4)</f>
        <v>4</v>
      </c>
      <c r="E282">
        <f ca="1">IFERROR(__xludf.DUMMYFUNCTION("""COMPUTED_VALUE"""),5)</f>
        <v>5</v>
      </c>
      <c r="F282">
        <f ca="1">IFERROR(__xludf.DUMMYFUNCTION("""COMPUTED_VALUE"""),40)</f>
        <v>40</v>
      </c>
      <c r="G282">
        <f ca="1">IFERROR(__xludf.DUMMYFUNCTION("""COMPUTED_VALUE"""),8)</f>
        <v>8</v>
      </c>
    </row>
    <row r="283" spans="1:7" ht="12.75">
      <c r="A283" t="str">
        <f ca="1">IFERROR(__xludf.DUMMYFUNCTION("""COMPUTED_VALUE"""),"T278")</f>
        <v>T278</v>
      </c>
      <c r="B283" t="str">
        <f ca="1">IFERROR(__xludf.DUMMYFUNCTION("""COMPUTED_VALUE"""),"T274")</f>
        <v>T274</v>
      </c>
      <c r="C283" t="str">
        <f ca="1">IFERROR(__xludf.DUMMYFUNCTION("""COMPUTED_VALUE"""),"Renato Paratore")</f>
        <v>Renato Paratore</v>
      </c>
      <c r="D283">
        <f ca="1">IFERROR(__xludf.DUMMYFUNCTION("""COMPUTED_VALUE"""),4)</f>
        <v>4</v>
      </c>
      <c r="E283">
        <f ca="1">IFERROR(__xludf.DUMMYFUNCTION("""COMPUTED_VALUE"""),5)</f>
        <v>5</v>
      </c>
      <c r="F283">
        <f ca="1">IFERROR(__xludf.DUMMYFUNCTION("""COMPUTED_VALUE"""),40)</f>
        <v>40</v>
      </c>
      <c r="G283">
        <f ca="1">IFERROR(__xludf.DUMMYFUNCTION("""COMPUTED_VALUE"""),8)</f>
        <v>8</v>
      </c>
    </row>
    <row r="284" spans="1:7" ht="12.75">
      <c r="A284" t="str">
        <f ca="1">IFERROR(__xludf.DUMMYFUNCTION("""COMPUTED_VALUE"""),"T278")</f>
        <v>T278</v>
      </c>
      <c r="B284" t="str">
        <f ca="1">IFERROR(__xludf.DUMMYFUNCTION("""COMPUTED_VALUE"""),"T274")</f>
        <v>T274</v>
      </c>
      <c r="C284" t="str">
        <f ca="1">IFERROR(__xludf.DUMMYFUNCTION("""COMPUTED_VALUE"""),"Seonghyeon Kim")</f>
        <v>Seonghyeon Kim</v>
      </c>
      <c r="D284">
        <f ca="1">IFERROR(__xludf.DUMMYFUNCTION("""COMPUTED_VALUE"""),4)</f>
        <v>4</v>
      </c>
      <c r="E284">
        <f ca="1">IFERROR(__xludf.DUMMYFUNCTION("""COMPUTED_VALUE"""),5)</f>
        <v>5</v>
      </c>
      <c r="F284">
        <f ca="1">IFERROR(__xludf.DUMMYFUNCTION("""COMPUTED_VALUE"""),80)</f>
        <v>80</v>
      </c>
      <c r="G284">
        <f ca="1">IFERROR(__xludf.DUMMYFUNCTION("""COMPUTED_VALUE"""),16)</f>
        <v>16</v>
      </c>
    </row>
    <row r="285" spans="1:7" ht="12.75">
      <c r="A285">
        <f ca="1">IFERROR(__xludf.DUMMYFUNCTION("""COMPUTED_VALUE"""),284)</f>
        <v>284</v>
      </c>
      <c r="B285">
        <f ca="1">IFERROR(__xludf.DUMMYFUNCTION("""COMPUTED_VALUE"""),280)</f>
        <v>280</v>
      </c>
      <c r="C285" t="str">
        <f ca="1">IFERROR(__xludf.DUMMYFUNCTION("""COMPUTED_VALUE"""),"Ryo Ishikawa")</f>
        <v>Ryo Ishikawa</v>
      </c>
      <c r="D285">
        <f ca="1">IFERROR(__xludf.DUMMYFUNCTION("""COMPUTED_VALUE"""),8)</f>
        <v>8</v>
      </c>
      <c r="E285">
        <f ca="1">IFERROR(__xludf.DUMMYFUNCTION("""COMPUTED_VALUE"""),5.04)</f>
        <v>5.04</v>
      </c>
      <c r="F285">
        <f ca="1">IFERROR(__xludf.DUMMYFUNCTION("""COMPUTED_VALUE"""),141)</f>
        <v>141</v>
      </c>
      <c r="G285">
        <f ca="1">IFERROR(__xludf.DUMMYFUNCTION("""COMPUTED_VALUE"""),28)</f>
        <v>28</v>
      </c>
    </row>
    <row r="286" spans="1:7" ht="12.75">
      <c r="A286">
        <f ca="1">IFERROR(__xludf.DUMMYFUNCTION("""COMPUTED_VALUE"""),285)</f>
        <v>285</v>
      </c>
      <c r="B286">
        <f ca="1">IFERROR(__xludf.DUMMYFUNCTION("""COMPUTED_VALUE"""),281)</f>
        <v>281</v>
      </c>
      <c r="C286" t="str">
        <f ca="1">IFERROR(__xludf.DUMMYFUNCTION("""COMPUTED_VALUE"""),"Alex Cejka")</f>
        <v>Alex Cejka</v>
      </c>
      <c r="D286">
        <f ca="1">IFERROR(__xludf.DUMMYFUNCTION("""COMPUTED_VALUE"""),6)</f>
        <v>6</v>
      </c>
      <c r="E286">
        <f ca="1">IFERROR(__xludf.DUMMYFUNCTION("""COMPUTED_VALUE"""),5.05)</f>
        <v>5.05</v>
      </c>
      <c r="F286">
        <f ca="1">IFERROR(__xludf.DUMMYFUNCTION("""COMPUTED_VALUE"""),111)</f>
        <v>111</v>
      </c>
      <c r="G286">
        <f ca="1">IFERROR(__xludf.DUMMYFUNCTION("""COMPUTED_VALUE"""),22)</f>
        <v>22</v>
      </c>
    </row>
    <row r="287" spans="1:7" ht="12.75">
      <c r="A287" t="str">
        <f ca="1">IFERROR(__xludf.DUMMYFUNCTION("""COMPUTED_VALUE"""),"T286")</f>
        <v>T286</v>
      </c>
      <c r="B287" t="str">
        <f ca="1">IFERROR(__xludf.DUMMYFUNCTION("""COMPUTED_VALUE"""),"T271")</f>
        <v>T271</v>
      </c>
      <c r="C287" t="str">
        <f ca="1">IFERROR(__xludf.DUMMYFUNCTION("""COMPUTED_VALUE"""),"Bronson Burgoon")</f>
        <v>Bronson Burgoon</v>
      </c>
      <c r="D287">
        <f ca="1">IFERROR(__xludf.DUMMYFUNCTION("""COMPUTED_VALUE"""),10)</f>
        <v>10</v>
      </c>
      <c r="E287">
        <f ca="1">IFERROR(__xludf.DUMMYFUNCTION("""COMPUTED_VALUE"""),5.06)</f>
        <v>5.0599999999999996</v>
      </c>
      <c r="F287">
        <f ca="1">IFERROR(__xludf.DUMMYFUNCTION("""COMPUTED_VALUE"""),162)</f>
        <v>162</v>
      </c>
      <c r="G287">
        <f ca="1">IFERROR(__xludf.DUMMYFUNCTION("""COMPUTED_VALUE"""),32)</f>
        <v>32</v>
      </c>
    </row>
    <row r="288" spans="1:7" ht="12.75">
      <c r="A288" t="str">
        <f ca="1">IFERROR(__xludf.DUMMYFUNCTION("""COMPUTED_VALUE"""),"T286")</f>
        <v>T286</v>
      </c>
      <c r="B288">
        <f ca="1">IFERROR(__xludf.DUMMYFUNCTION("""COMPUTED_VALUE"""),282)</f>
        <v>282</v>
      </c>
      <c r="C288" t="str">
        <f ca="1">IFERROR(__xludf.DUMMYFUNCTION("""COMPUTED_VALUE"""),"Jeongwoo Ham")</f>
        <v>Jeongwoo Ham</v>
      </c>
      <c r="D288">
        <f ca="1">IFERROR(__xludf.DUMMYFUNCTION("""COMPUTED_VALUE"""),4)</f>
        <v>4</v>
      </c>
      <c r="E288">
        <f ca="1">IFERROR(__xludf.DUMMYFUNCTION("""COMPUTED_VALUE"""),5.06)</f>
        <v>5.0599999999999996</v>
      </c>
      <c r="F288">
        <f ca="1">IFERROR(__xludf.DUMMYFUNCTION("""COMPUTED_VALUE"""),81)</f>
        <v>81</v>
      </c>
      <c r="G288">
        <f ca="1">IFERROR(__xludf.DUMMYFUNCTION("""COMPUTED_VALUE"""),16)</f>
        <v>16</v>
      </c>
    </row>
    <row r="289" spans="1:7" ht="12.75">
      <c r="A289">
        <f ca="1">IFERROR(__xludf.DUMMYFUNCTION("""COMPUTED_VALUE"""),288)</f>
        <v>288</v>
      </c>
      <c r="B289">
        <f ca="1">IFERROR(__xludf.DUMMYFUNCTION("""COMPUTED_VALUE"""),283)</f>
        <v>283</v>
      </c>
      <c r="C289" t="str">
        <f ca="1">IFERROR(__xludf.DUMMYFUNCTION("""COMPUTED_VALUE"""),"Christiaan Bezuidenhout")</f>
        <v>Christiaan Bezuidenhout</v>
      </c>
      <c r="D289">
        <f ca="1">IFERROR(__xludf.DUMMYFUNCTION("""COMPUTED_VALUE"""),4)</f>
        <v>4</v>
      </c>
      <c r="E289">
        <f ca="1">IFERROR(__xludf.DUMMYFUNCTION("""COMPUTED_VALUE"""),5.25)</f>
        <v>5.25</v>
      </c>
      <c r="F289">
        <f ca="1">IFERROR(__xludf.DUMMYFUNCTION("""COMPUTED_VALUE"""),42)</f>
        <v>42</v>
      </c>
      <c r="G289">
        <f ca="1">IFERROR(__xludf.DUMMYFUNCTION("""COMPUTED_VALUE"""),8)</f>
        <v>8</v>
      </c>
    </row>
    <row r="290" spans="1:7" ht="12.75">
      <c r="A290">
        <f ca="1">IFERROR(__xludf.DUMMYFUNCTION("""COMPUTED_VALUE"""),289)</f>
        <v>289</v>
      </c>
      <c r="B290">
        <f ca="1">IFERROR(__xludf.DUMMYFUNCTION("""COMPUTED_VALUE"""),284)</f>
        <v>284</v>
      </c>
      <c r="C290" t="str">
        <f ca="1">IFERROR(__xludf.DUMMYFUNCTION("""COMPUTED_VALUE"""),"Tae Hee Lee")</f>
        <v>Tae Hee Lee</v>
      </c>
      <c r="D290">
        <f ca="1">IFERROR(__xludf.DUMMYFUNCTION("""COMPUTED_VALUE"""),4)</f>
        <v>4</v>
      </c>
      <c r="E290">
        <f ca="1">IFERROR(__xludf.DUMMYFUNCTION("""COMPUTED_VALUE"""),5.31)</f>
        <v>5.31</v>
      </c>
      <c r="F290">
        <f ca="1">IFERROR(__xludf.DUMMYFUNCTION("""COMPUTED_VALUE"""),85)</f>
        <v>85</v>
      </c>
      <c r="G290">
        <f ca="1">IFERROR(__xludf.DUMMYFUNCTION("""COMPUTED_VALUE"""),16)</f>
        <v>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G76"/>
  <sheetViews>
    <sheetView workbookViewId="0"/>
  </sheetViews>
  <sheetFormatPr defaultColWidth="14.42578125" defaultRowHeight="15.75" customHeight="1"/>
  <sheetData>
    <row r="1" spans="1:7" ht="15.75" customHeight="1">
      <c r="A1" t="str">
        <f ca="1">IFERROR(__xludf.DUMMYFUNCTION("importhtml(""http://www.pgatour.com/stats/stat.138.html"",""table"",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IFERROR(__xludf.DUMMYFUNCTION("""COMPUTED_VALUE"""),"TOP 10")</f>
        <v>TOP 10</v>
      </c>
      <c r="E1" t="str">
        <f ca="1">IFERROR(__xludf.DUMMYFUNCTION("""COMPUTED_VALUE"""),"1ST")</f>
        <v>1ST</v>
      </c>
      <c r="F1" t="str">
        <f ca="1">IFERROR(__xludf.DUMMYFUNCTION("""COMPUTED_VALUE"""),"2ND")</f>
        <v>2ND</v>
      </c>
      <c r="G1" t="str">
        <f ca="1">IFERROR(__xludf.DUMMYFUNCTION("""COMPUTED_VALUE"""),"3RD")</f>
        <v>3RD</v>
      </c>
    </row>
    <row r="2" spans="1:7" ht="15.75" customHeight="1">
      <c r="A2" t="str">
        <f ca="1">IFERROR(__xludf.DUMMYFUNCTION("""COMPUTED_VALUE"""),"T1")</f>
        <v>T1</v>
      </c>
      <c r="B2" t="str">
        <f ca="1">IFERROR(__xludf.DUMMYFUNCTION("""COMPUTED_VALUE"""),"T1")</f>
        <v>T1</v>
      </c>
      <c r="C2" t="str">
        <f ca="1">IFERROR(__xludf.DUMMYFUNCTION("""COMPUTED_VALUE"""),"Will Zalatoris")</f>
        <v>Will Zalatoris</v>
      </c>
      <c r="D2">
        <f ca="1">IFERROR(__xludf.DUMMYFUNCTION("""COMPUTED_VALUE"""),3)</f>
        <v>3</v>
      </c>
      <c r="E2" t="str">
        <f ca="1">IFERROR(__xludf.DUMMYFUNCTION("""COMPUTED_VALUE"""),"")</f>
        <v/>
      </c>
      <c r="F2" t="str">
        <f ca="1">IFERROR(__xludf.DUMMYFUNCTION("""COMPUTED_VALUE"""),"")</f>
        <v/>
      </c>
      <c r="G2" t="str">
        <f ca="1">IFERROR(__xludf.DUMMYFUNCTION("""COMPUTED_VALUE"""),"")</f>
        <v/>
      </c>
    </row>
    <row r="3" spans="1:7" ht="15.75" customHeight="1">
      <c r="A3" t="str">
        <f ca="1">IFERROR(__xludf.DUMMYFUNCTION("""COMPUTED_VALUE"""),"T1")</f>
        <v>T1</v>
      </c>
      <c r="B3" t="str">
        <f ca="1">IFERROR(__xludf.DUMMYFUNCTION("""COMPUTED_VALUE"""),"T1")</f>
        <v>T1</v>
      </c>
      <c r="C3" t="str">
        <f ca="1">IFERROR(__xludf.DUMMYFUNCTION("""COMPUTED_VALUE"""),"James Hahn")</f>
        <v>James Hahn</v>
      </c>
      <c r="D3">
        <f ca="1">IFERROR(__xludf.DUMMYFUNCTION("""COMPUTED_VALUE"""),3)</f>
        <v>3</v>
      </c>
      <c r="E3" t="str">
        <f ca="1">IFERROR(__xludf.DUMMYFUNCTION("""COMPUTED_VALUE"""),"")</f>
        <v/>
      </c>
      <c r="F3" t="str">
        <f ca="1">IFERROR(__xludf.DUMMYFUNCTION("""COMPUTED_VALUE"""),"")</f>
        <v/>
      </c>
      <c r="G3" t="str">
        <f ca="1">IFERROR(__xludf.DUMMYFUNCTION("""COMPUTED_VALUE"""),"")</f>
        <v/>
      </c>
    </row>
    <row r="4" spans="1:7" ht="15.75" customHeight="1">
      <c r="A4" t="str">
        <f ca="1">IFERROR(__xludf.DUMMYFUNCTION("""COMPUTED_VALUE"""),"T3")</f>
        <v>T3</v>
      </c>
      <c r="B4" t="str">
        <f ca="1">IFERROR(__xludf.DUMMYFUNCTION("""COMPUTED_VALUE"""),"T3")</f>
        <v>T3</v>
      </c>
      <c r="C4" t="str">
        <f ca="1">IFERROR(__xludf.DUMMYFUNCTION("""COMPUTED_VALUE"""),"Matthew Wolff")</f>
        <v>Matthew Wolff</v>
      </c>
      <c r="D4">
        <f ca="1">IFERROR(__xludf.DUMMYFUNCTION("""COMPUTED_VALUE"""),2)</f>
        <v>2</v>
      </c>
      <c r="E4" t="str">
        <f ca="1">IFERROR(__xludf.DUMMYFUNCTION("""COMPUTED_VALUE"""),"")</f>
        <v/>
      </c>
      <c r="F4">
        <f ca="1">IFERROR(__xludf.DUMMYFUNCTION("""COMPUTED_VALUE"""),2)</f>
        <v>2</v>
      </c>
      <c r="G4" t="str">
        <f ca="1">IFERROR(__xludf.DUMMYFUNCTION("""COMPUTED_VALUE"""),"")</f>
        <v/>
      </c>
    </row>
    <row r="5" spans="1:7" ht="15.75" customHeight="1">
      <c r="A5" t="str">
        <f ca="1">IFERROR(__xludf.DUMMYFUNCTION("""COMPUTED_VALUE"""),"T3")</f>
        <v>T3</v>
      </c>
      <c r="B5" t="str">
        <f ca="1">IFERROR(__xludf.DUMMYFUNCTION("""COMPUTED_VALUE"""),"T3")</f>
        <v>T3</v>
      </c>
      <c r="C5" t="str">
        <f ca="1">IFERROR(__xludf.DUMMYFUNCTION("""COMPUTED_VALUE"""),"Doc Redman")</f>
        <v>Doc Redman</v>
      </c>
      <c r="D5">
        <f ca="1">IFERROR(__xludf.DUMMYFUNCTION("""COMPUTED_VALUE"""),2)</f>
        <v>2</v>
      </c>
      <c r="E5" t="str">
        <f ca="1">IFERROR(__xludf.DUMMYFUNCTION("""COMPUTED_VALUE"""),"")</f>
        <v/>
      </c>
      <c r="F5" t="str">
        <f ca="1">IFERROR(__xludf.DUMMYFUNCTION("""COMPUTED_VALUE"""),"")</f>
        <v/>
      </c>
      <c r="G5">
        <f ca="1">IFERROR(__xludf.DUMMYFUNCTION("""COMPUTED_VALUE"""),1)</f>
        <v>1</v>
      </c>
    </row>
    <row r="6" spans="1:7" ht="15.75" customHeight="1">
      <c r="A6" t="str">
        <f ca="1">IFERROR(__xludf.DUMMYFUNCTION("""COMPUTED_VALUE"""),"T3")</f>
        <v>T3</v>
      </c>
      <c r="B6" t="str">
        <f ca="1">IFERROR(__xludf.DUMMYFUNCTION("""COMPUTED_VALUE"""),"T3")</f>
        <v>T3</v>
      </c>
      <c r="C6" t="str">
        <f ca="1">IFERROR(__xludf.DUMMYFUNCTION("""COMPUTED_VALUE"""),"Xander Schauffele")</f>
        <v>Xander Schauffele</v>
      </c>
      <c r="D6">
        <f ca="1">IFERROR(__xludf.DUMMYFUNCTION("""COMPUTED_VALUE"""),2)</f>
        <v>2</v>
      </c>
      <c r="E6" t="str">
        <f ca="1">IFERROR(__xludf.DUMMYFUNCTION("""COMPUTED_VALUE"""),"")</f>
        <v/>
      </c>
      <c r="F6">
        <f ca="1">IFERROR(__xludf.DUMMYFUNCTION("""COMPUTED_VALUE"""),1)</f>
        <v>1</v>
      </c>
      <c r="G6" t="str">
        <f ca="1">IFERROR(__xludf.DUMMYFUNCTION("""COMPUTED_VALUE"""),"")</f>
        <v/>
      </c>
    </row>
    <row r="7" spans="1:7" ht="15.75" customHeight="1">
      <c r="A7" t="str">
        <f ca="1">IFERROR(__xludf.DUMMYFUNCTION("""COMPUTED_VALUE"""),"T3")</f>
        <v>T3</v>
      </c>
      <c r="B7" t="str">
        <f ca="1">IFERROR(__xludf.DUMMYFUNCTION("""COMPUTED_VALUE"""),"T3")</f>
        <v>T3</v>
      </c>
      <c r="C7" t="str">
        <f ca="1">IFERROR(__xludf.DUMMYFUNCTION("""COMPUTED_VALUE"""),"Denny McCarthy")</f>
        <v>Denny McCarthy</v>
      </c>
      <c r="D7">
        <f ca="1">IFERROR(__xludf.DUMMYFUNCTION("""COMPUTED_VALUE"""),2)</f>
        <v>2</v>
      </c>
      <c r="E7" t="str">
        <f ca="1">IFERROR(__xludf.DUMMYFUNCTION("""COMPUTED_VALUE"""),"")</f>
        <v/>
      </c>
      <c r="F7" t="str">
        <f ca="1">IFERROR(__xludf.DUMMYFUNCTION("""COMPUTED_VALUE"""),"")</f>
        <v/>
      </c>
      <c r="G7" t="str">
        <f ca="1">IFERROR(__xludf.DUMMYFUNCTION("""COMPUTED_VALUE"""),"")</f>
        <v/>
      </c>
    </row>
    <row r="8" spans="1:7" ht="15.75" customHeight="1">
      <c r="A8" t="str">
        <f ca="1">IFERROR(__xludf.DUMMYFUNCTION("""COMPUTED_VALUE"""),"T3")</f>
        <v>T3</v>
      </c>
      <c r="B8" t="str">
        <f ca="1">IFERROR(__xludf.DUMMYFUNCTION("""COMPUTED_VALUE"""),"T3")</f>
        <v>T3</v>
      </c>
      <c r="C8" t="str">
        <f ca="1">IFERROR(__xludf.DUMMYFUNCTION("""COMPUTED_VALUE"""),"Bryson DeChambeau")</f>
        <v>Bryson DeChambeau</v>
      </c>
      <c r="D8">
        <f ca="1">IFERROR(__xludf.DUMMYFUNCTION("""COMPUTED_VALUE"""),2)</f>
        <v>2</v>
      </c>
      <c r="E8">
        <f ca="1">IFERROR(__xludf.DUMMYFUNCTION("""COMPUTED_VALUE"""),1)</f>
        <v>1</v>
      </c>
      <c r="F8" t="str">
        <f ca="1">IFERROR(__xludf.DUMMYFUNCTION("""COMPUTED_VALUE"""),"")</f>
        <v/>
      </c>
      <c r="G8" t="str">
        <f ca="1">IFERROR(__xludf.DUMMYFUNCTION("""COMPUTED_VALUE"""),"")</f>
        <v/>
      </c>
    </row>
    <row r="9" spans="1:7" ht="15.75" customHeight="1">
      <c r="A9" t="str">
        <f ca="1">IFERROR(__xludf.DUMMYFUNCTION("""COMPUTED_VALUE"""),"T3")</f>
        <v>T3</v>
      </c>
      <c r="B9" t="str">
        <f ca="1">IFERROR(__xludf.DUMMYFUNCTION("""COMPUTED_VALUE"""),"T17")</f>
        <v>T17</v>
      </c>
      <c r="C9" t="str">
        <f ca="1">IFERROR(__xludf.DUMMYFUNCTION("""COMPUTED_VALUE"""),"Sam Burns")</f>
        <v>Sam Burns</v>
      </c>
      <c r="D9">
        <f ca="1">IFERROR(__xludf.DUMMYFUNCTION("""COMPUTED_VALUE"""),2)</f>
        <v>2</v>
      </c>
      <c r="E9" t="str">
        <f ca="1">IFERROR(__xludf.DUMMYFUNCTION("""COMPUTED_VALUE"""),"")</f>
        <v/>
      </c>
      <c r="F9" t="str">
        <f ca="1">IFERROR(__xludf.DUMMYFUNCTION("""COMPUTED_VALUE"""),"")</f>
        <v/>
      </c>
      <c r="G9" t="str">
        <f ca="1">IFERROR(__xludf.DUMMYFUNCTION("""COMPUTED_VALUE"""),"")</f>
        <v/>
      </c>
    </row>
    <row r="10" spans="1:7" ht="15.75" customHeight="1">
      <c r="A10" t="str">
        <f ca="1">IFERROR(__xludf.DUMMYFUNCTION("""COMPUTED_VALUE"""),"T3")</f>
        <v>T3</v>
      </c>
      <c r="B10" t="str">
        <f ca="1">IFERROR(__xludf.DUMMYFUNCTION("""COMPUTED_VALUE"""),"T17")</f>
        <v>T17</v>
      </c>
      <c r="C10" t="str">
        <f ca="1">IFERROR(__xludf.DUMMYFUNCTION("""COMPUTED_VALUE"""),"Talor Gooch")</f>
        <v>Talor Gooch</v>
      </c>
      <c r="D10">
        <f ca="1">IFERROR(__xludf.DUMMYFUNCTION("""COMPUTED_VALUE"""),2)</f>
        <v>2</v>
      </c>
      <c r="E10" t="str">
        <f ca="1">IFERROR(__xludf.DUMMYFUNCTION("""COMPUTED_VALUE"""),"")</f>
        <v/>
      </c>
      <c r="F10" t="str">
        <f ca="1">IFERROR(__xludf.DUMMYFUNCTION("""COMPUTED_VALUE"""),"")</f>
        <v/>
      </c>
      <c r="G10" t="str">
        <f ca="1">IFERROR(__xludf.DUMMYFUNCTION("""COMPUTED_VALUE"""),"")</f>
        <v/>
      </c>
    </row>
    <row r="11" spans="1:7" ht="15.75" customHeight="1">
      <c r="A11" t="str">
        <f ca="1">IFERROR(__xludf.DUMMYFUNCTION("""COMPUTED_VALUE"""),"T3")</f>
        <v>T3</v>
      </c>
      <c r="B11" t="str">
        <f ca="1">IFERROR(__xludf.DUMMYFUNCTION("""COMPUTED_VALUE"""),"T3")</f>
        <v>T3</v>
      </c>
      <c r="C11" t="str">
        <f ca="1">IFERROR(__xludf.DUMMYFUNCTION("""COMPUTED_VALUE"""),"Tyler McCumber")</f>
        <v>Tyler McCumber</v>
      </c>
      <c r="D11">
        <f ca="1">IFERROR(__xludf.DUMMYFUNCTION("""COMPUTED_VALUE"""),2)</f>
        <v>2</v>
      </c>
      <c r="E11" t="str">
        <f ca="1">IFERROR(__xludf.DUMMYFUNCTION("""COMPUTED_VALUE"""),"")</f>
        <v/>
      </c>
      <c r="F11">
        <f ca="1">IFERROR(__xludf.DUMMYFUNCTION("""COMPUTED_VALUE"""),1)</f>
        <v>1</v>
      </c>
      <c r="G11" t="str">
        <f ca="1">IFERROR(__xludf.DUMMYFUNCTION("""COMPUTED_VALUE"""),"")</f>
        <v/>
      </c>
    </row>
    <row r="12" spans="1:7" ht="15.75" customHeight="1">
      <c r="A12" t="str">
        <f ca="1">IFERROR(__xludf.DUMMYFUNCTION("""COMPUTED_VALUE"""),"T3")</f>
        <v>T3</v>
      </c>
      <c r="B12" t="str">
        <f ca="1">IFERROR(__xludf.DUMMYFUNCTION("""COMPUTED_VALUE"""),"T3")</f>
        <v>T3</v>
      </c>
      <c r="C12" t="str">
        <f ca="1">IFERROR(__xludf.DUMMYFUNCTION("""COMPUTED_VALUE"""),"Kristoffer Ventura")</f>
        <v>Kristoffer Ventura</v>
      </c>
      <c r="D12">
        <f ca="1">IFERROR(__xludf.DUMMYFUNCTION("""COMPUTED_VALUE"""),2)</f>
        <v>2</v>
      </c>
      <c r="E12" t="str">
        <f ca="1">IFERROR(__xludf.DUMMYFUNCTION("""COMPUTED_VALUE"""),"")</f>
        <v/>
      </c>
      <c r="F12" t="str">
        <f ca="1">IFERROR(__xludf.DUMMYFUNCTION("""COMPUTED_VALUE"""),"")</f>
        <v/>
      </c>
      <c r="G12" t="str">
        <f ca="1">IFERROR(__xludf.DUMMYFUNCTION("""COMPUTED_VALUE"""),"")</f>
        <v/>
      </c>
    </row>
    <row r="13" spans="1:7" ht="15.75" customHeight="1">
      <c r="A13" t="str">
        <f ca="1">IFERROR(__xludf.DUMMYFUNCTION("""COMPUTED_VALUE"""),"T3")</f>
        <v>T3</v>
      </c>
      <c r="B13" t="str">
        <f ca="1">IFERROR(__xludf.DUMMYFUNCTION("""COMPUTED_VALUE"""),"T17")</f>
        <v>T17</v>
      </c>
      <c r="C13" t="str">
        <f ca="1">IFERROR(__xludf.DUMMYFUNCTION("""COMPUTED_VALUE"""),"Mackenzie Hughes")</f>
        <v>Mackenzie Hughes</v>
      </c>
      <c r="D13">
        <f ca="1">IFERROR(__xludf.DUMMYFUNCTION("""COMPUTED_VALUE"""),2)</f>
        <v>2</v>
      </c>
      <c r="E13" t="str">
        <f ca="1">IFERROR(__xludf.DUMMYFUNCTION("""COMPUTED_VALUE"""),"")</f>
        <v/>
      </c>
      <c r="F13" t="str">
        <f ca="1">IFERROR(__xludf.DUMMYFUNCTION("""COMPUTED_VALUE"""),"")</f>
        <v/>
      </c>
      <c r="G13">
        <f ca="1">IFERROR(__xludf.DUMMYFUNCTION("""COMPUTED_VALUE"""),1)</f>
        <v>1</v>
      </c>
    </row>
    <row r="14" spans="1:7" ht="15.75" customHeight="1">
      <c r="A14" t="str">
        <f ca="1">IFERROR(__xludf.DUMMYFUNCTION("""COMPUTED_VALUE"""),"T3")</f>
        <v>T3</v>
      </c>
      <c r="B14" t="str">
        <f ca="1">IFERROR(__xludf.DUMMYFUNCTION("""COMPUTED_VALUE"""),"T3")</f>
        <v>T3</v>
      </c>
      <c r="C14" t="str">
        <f ca="1">IFERROR(__xludf.DUMMYFUNCTION("""COMPUTED_VALUE"""),"Patrick Cantlay")</f>
        <v>Patrick Cantlay</v>
      </c>
      <c r="D14">
        <f ca="1">IFERROR(__xludf.DUMMYFUNCTION("""COMPUTED_VALUE"""),2)</f>
        <v>2</v>
      </c>
      <c r="E14">
        <f ca="1">IFERROR(__xludf.DUMMYFUNCTION("""COMPUTED_VALUE"""),1)</f>
        <v>1</v>
      </c>
      <c r="F14" t="str">
        <f ca="1">IFERROR(__xludf.DUMMYFUNCTION("""COMPUTED_VALUE"""),"")</f>
        <v/>
      </c>
      <c r="G14" t="str">
        <f ca="1">IFERROR(__xludf.DUMMYFUNCTION("""COMPUTED_VALUE"""),"")</f>
        <v/>
      </c>
    </row>
    <row r="15" spans="1:7" ht="15.75" customHeight="1">
      <c r="A15" t="str">
        <f ca="1">IFERROR(__xludf.DUMMYFUNCTION("""COMPUTED_VALUE"""),"T3")</f>
        <v>T3</v>
      </c>
      <c r="B15" t="str">
        <f ca="1">IFERROR(__xludf.DUMMYFUNCTION("""COMPUTED_VALUE"""),"T3")</f>
        <v>T3</v>
      </c>
      <c r="C15" t="str">
        <f ca="1">IFERROR(__xludf.DUMMYFUNCTION("""COMPUTED_VALUE"""),"Peter Malnati")</f>
        <v>Peter Malnati</v>
      </c>
      <c r="D15">
        <f ca="1">IFERROR(__xludf.DUMMYFUNCTION("""COMPUTED_VALUE"""),2)</f>
        <v>2</v>
      </c>
      <c r="E15" t="str">
        <f ca="1">IFERROR(__xludf.DUMMYFUNCTION("""COMPUTED_VALUE"""),"")</f>
        <v/>
      </c>
      <c r="F15">
        <f ca="1">IFERROR(__xludf.DUMMYFUNCTION("""COMPUTED_VALUE"""),1)</f>
        <v>1</v>
      </c>
      <c r="G15" t="str">
        <f ca="1">IFERROR(__xludf.DUMMYFUNCTION("""COMPUTED_VALUE"""),"")</f>
        <v/>
      </c>
    </row>
    <row r="16" spans="1:7" ht="15.75" customHeight="1">
      <c r="A16" t="str">
        <f ca="1">IFERROR(__xludf.DUMMYFUNCTION("""COMPUTED_VALUE"""),"T3")</f>
        <v>T3</v>
      </c>
      <c r="B16" t="str">
        <f ca="1">IFERROR(__xludf.DUMMYFUNCTION("""COMPUTED_VALUE"""),"T17")</f>
        <v>T17</v>
      </c>
      <c r="C16" t="str">
        <f ca="1">IFERROR(__xludf.DUMMYFUNCTION("""COMPUTED_VALUE"""),"Tyrrell Hatton")</f>
        <v>Tyrrell Hatton</v>
      </c>
      <c r="D16">
        <f ca="1">IFERROR(__xludf.DUMMYFUNCTION("""COMPUTED_VALUE"""),2)</f>
        <v>2</v>
      </c>
      <c r="E16" t="str">
        <f ca="1">IFERROR(__xludf.DUMMYFUNCTION("""COMPUTED_VALUE"""),"")</f>
        <v/>
      </c>
      <c r="F16" t="str">
        <f ca="1">IFERROR(__xludf.DUMMYFUNCTION("""COMPUTED_VALUE"""),"")</f>
        <v/>
      </c>
      <c r="G16">
        <f ca="1">IFERROR(__xludf.DUMMYFUNCTION("""COMPUTED_VALUE"""),1)</f>
        <v>1</v>
      </c>
    </row>
    <row r="17" spans="1:7" ht="15.75" customHeight="1">
      <c r="A17" t="str">
        <f ca="1">IFERROR(__xludf.DUMMYFUNCTION("""COMPUTED_VALUE"""),"T3")</f>
        <v>T3</v>
      </c>
      <c r="B17" t="str">
        <f ca="1">IFERROR(__xludf.DUMMYFUNCTION("""COMPUTED_VALUE"""),"T3")</f>
        <v>T3</v>
      </c>
      <c r="C17" t="str">
        <f ca="1">IFERROR(__xludf.DUMMYFUNCTION("""COMPUTED_VALUE"""),"Harris English")</f>
        <v>Harris English</v>
      </c>
      <c r="D17">
        <f ca="1">IFERROR(__xludf.DUMMYFUNCTION("""COMPUTED_VALUE"""),2)</f>
        <v>2</v>
      </c>
      <c r="E17" t="str">
        <f ca="1">IFERROR(__xludf.DUMMYFUNCTION("""COMPUTED_VALUE"""),"")</f>
        <v/>
      </c>
      <c r="F17" t="str">
        <f ca="1">IFERROR(__xludf.DUMMYFUNCTION("""COMPUTED_VALUE"""),"")</f>
        <v/>
      </c>
      <c r="G17" t="str">
        <f ca="1">IFERROR(__xludf.DUMMYFUNCTION("""COMPUTED_VALUE"""),"")</f>
        <v/>
      </c>
    </row>
    <row r="18" spans="1:7" ht="15.75" customHeight="1">
      <c r="A18" t="str">
        <f ca="1">IFERROR(__xludf.DUMMYFUNCTION("""COMPUTED_VALUE"""),"T3")</f>
        <v>T3</v>
      </c>
      <c r="B18" t="str">
        <f ca="1">IFERROR(__xludf.DUMMYFUNCTION("""COMPUTED_VALUE"""),"T3")</f>
        <v>T3</v>
      </c>
      <c r="C18" t="str">
        <f ca="1">IFERROR(__xludf.DUMMYFUNCTION("""COMPUTED_VALUE"""),"Russell Henley")</f>
        <v>Russell Henley</v>
      </c>
      <c r="D18">
        <f ca="1">IFERROR(__xludf.DUMMYFUNCTION("""COMPUTED_VALUE"""),2)</f>
        <v>2</v>
      </c>
      <c r="E18" t="str">
        <f ca="1">IFERROR(__xludf.DUMMYFUNCTION("""COMPUTED_VALUE"""),"")</f>
        <v/>
      </c>
      <c r="F18" t="str">
        <f ca="1">IFERROR(__xludf.DUMMYFUNCTION("""COMPUTED_VALUE"""),"")</f>
        <v/>
      </c>
      <c r="G18">
        <f ca="1">IFERROR(__xludf.DUMMYFUNCTION("""COMPUTED_VALUE"""),1)</f>
        <v>1</v>
      </c>
    </row>
    <row r="19" spans="1:7" ht="15.75" customHeight="1">
      <c r="A19" t="str">
        <f ca="1">IFERROR(__xludf.DUMMYFUNCTION("""COMPUTED_VALUE"""),"T3")</f>
        <v>T3</v>
      </c>
      <c r="B19" t="str">
        <f ca="1">IFERROR(__xludf.DUMMYFUNCTION("""COMPUTED_VALUE"""),"T3")</f>
        <v>T3</v>
      </c>
      <c r="C19" t="str">
        <f ca="1">IFERROR(__xludf.DUMMYFUNCTION("""COMPUTED_VALUE"""),"Justin Thomas")</f>
        <v>Justin Thomas</v>
      </c>
      <c r="D19">
        <f ca="1">IFERROR(__xludf.DUMMYFUNCTION("""COMPUTED_VALUE"""),2)</f>
        <v>2</v>
      </c>
      <c r="E19" t="str">
        <f ca="1">IFERROR(__xludf.DUMMYFUNCTION("""COMPUTED_VALUE"""),"")</f>
        <v/>
      </c>
      <c r="F19">
        <f ca="1">IFERROR(__xludf.DUMMYFUNCTION("""COMPUTED_VALUE"""),1)</f>
        <v>1</v>
      </c>
      <c r="G19" t="str">
        <f ca="1">IFERROR(__xludf.DUMMYFUNCTION("""COMPUTED_VALUE"""),"")</f>
        <v/>
      </c>
    </row>
    <row r="20" spans="1:7" ht="15.75" customHeight="1">
      <c r="A20" t="str">
        <f ca="1">IFERROR(__xludf.DUMMYFUNCTION("""COMPUTED_VALUE"""),"T3")</f>
        <v>T3</v>
      </c>
      <c r="B20" t="str">
        <f ca="1">IFERROR(__xludf.DUMMYFUNCTION("""COMPUTED_VALUE"""),"T17")</f>
        <v>T17</v>
      </c>
      <c r="C20" t="str">
        <f ca="1">IFERROR(__xludf.DUMMYFUNCTION("""COMPUTED_VALUE"""),"Dustin Johnson")</f>
        <v>Dustin Johnson</v>
      </c>
      <c r="D20">
        <f ca="1">IFERROR(__xludf.DUMMYFUNCTION("""COMPUTED_VALUE"""),2)</f>
        <v>2</v>
      </c>
      <c r="E20" t="str">
        <f ca="1">IFERROR(__xludf.DUMMYFUNCTION("""COMPUTED_VALUE"""),"")</f>
        <v/>
      </c>
      <c r="F20">
        <f ca="1">IFERROR(__xludf.DUMMYFUNCTION("""COMPUTED_VALUE"""),1)</f>
        <v>1</v>
      </c>
      <c r="G20" t="str">
        <f ca="1">IFERROR(__xludf.DUMMYFUNCTION("""COMPUTED_VALUE"""),"")</f>
        <v/>
      </c>
    </row>
    <row r="21" spans="1:7" ht="15.75" customHeight="1">
      <c r="A21" t="str">
        <f ca="1">IFERROR(__xludf.DUMMYFUNCTION("""COMPUTED_VALUE"""),"T3")</f>
        <v>T3</v>
      </c>
      <c r="B21" t="str">
        <f ca="1">IFERROR(__xludf.DUMMYFUNCTION("""COMPUTED_VALUE"""),"T3")</f>
        <v>T3</v>
      </c>
      <c r="C21" t="str">
        <f ca="1">IFERROR(__xludf.DUMMYFUNCTION("""COMPUTED_VALUE"""),"Bubba Watson")</f>
        <v>Bubba Watson</v>
      </c>
      <c r="D21">
        <f ca="1">IFERROR(__xludf.DUMMYFUNCTION("""COMPUTED_VALUE"""),2)</f>
        <v>2</v>
      </c>
      <c r="E21" t="str">
        <f ca="1">IFERROR(__xludf.DUMMYFUNCTION("""COMPUTED_VALUE"""),"")</f>
        <v/>
      </c>
      <c r="F21" t="str">
        <f ca="1">IFERROR(__xludf.DUMMYFUNCTION("""COMPUTED_VALUE"""),"")</f>
        <v/>
      </c>
      <c r="G21" t="str">
        <f ca="1">IFERROR(__xludf.DUMMYFUNCTION("""COMPUTED_VALUE"""),"")</f>
        <v/>
      </c>
    </row>
    <row r="22" spans="1:7" ht="15.75" customHeight="1">
      <c r="A22" t="str">
        <f ca="1">IFERROR(__xludf.DUMMYFUNCTION("""COMPUTED_VALUE"""),"T3")</f>
        <v>T3</v>
      </c>
      <c r="B22" t="str">
        <f ca="1">IFERROR(__xludf.DUMMYFUNCTION("""COMPUTED_VALUE"""),"T3")</f>
        <v>T3</v>
      </c>
      <c r="C22" t="str">
        <f ca="1">IFERROR(__xludf.DUMMYFUNCTION("""COMPUTED_VALUE"""),"Stewart Cink")</f>
        <v>Stewart Cink</v>
      </c>
      <c r="D22">
        <f ca="1">IFERROR(__xludf.DUMMYFUNCTION("""COMPUTED_VALUE"""),2)</f>
        <v>2</v>
      </c>
      <c r="E22">
        <f ca="1">IFERROR(__xludf.DUMMYFUNCTION("""COMPUTED_VALUE"""),1)</f>
        <v>1</v>
      </c>
      <c r="F22" t="str">
        <f ca="1">IFERROR(__xludf.DUMMYFUNCTION("""COMPUTED_VALUE"""),"")</f>
        <v/>
      </c>
      <c r="G22" t="str">
        <f ca="1">IFERROR(__xludf.DUMMYFUNCTION("""COMPUTED_VALUE"""),"")</f>
        <v/>
      </c>
    </row>
    <row r="23" spans="1:7" ht="15.75" customHeight="1">
      <c r="A23" t="str">
        <f ca="1">IFERROR(__xludf.DUMMYFUNCTION("""COMPUTED_VALUE"""),"T22")</f>
        <v>T22</v>
      </c>
      <c r="B23" t="str">
        <f ca="1">IFERROR(__xludf.DUMMYFUNCTION("""COMPUTED_VALUE"""),"T17")</f>
        <v>T17</v>
      </c>
      <c r="C23" t="str">
        <f ca="1">IFERROR(__xludf.DUMMYFUNCTION("""COMPUTED_VALUE"""),"Jon Rahm")</f>
        <v>Jon Rahm</v>
      </c>
      <c r="D23">
        <f ca="1">IFERROR(__xludf.DUMMYFUNCTION("""COMPUTED_VALUE"""),1)</f>
        <v>1</v>
      </c>
      <c r="E23" t="str">
        <f ca="1">IFERROR(__xludf.DUMMYFUNCTION("""COMPUTED_VALUE"""),"")</f>
        <v/>
      </c>
      <c r="F23">
        <f ca="1">IFERROR(__xludf.DUMMYFUNCTION("""COMPUTED_VALUE"""),1)</f>
        <v>1</v>
      </c>
      <c r="G23" t="str">
        <f ca="1">IFERROR(__xludf.DUMMYFUNCTION("""COMPUTED_VALUE"""),"")</f>
        <v/>
      </c>
    </row>
    <row r="24" spans="1:7" ht="15.75" customHeight="1">
      <c r="A24" t="str">
        <f ca="1">IFERROR(__xludf.DUMMYFUNCTION("""COMPUTED_VALUE"""),"T22")</f>
        <v>T22</v>
      </c>
      <c r="B24" t="str">
        <f ca="1">IFERROR(__xludf.DUMMYFUNCTION("""COMPUTED_VALUE"""),"T17")</f>
        <v>T17</v>
      </c>
      <c r="C24" t="str">
        <f ca="1">IFERROR(__xludf.DUMMYFUNCTION("""COMPUTED_VALUE"""),"Sebastián Muñoz")</f>
        <v>Sebastián Muñoz</v>
      </c>
      <c r="D24">
        <f ca="1">IFERROR(__xludf.DUMMYFUNCTION("""COMPUTED_VALUE"""),1)</f>
        <v>1</v>
      </c>
      <c r="E24" t="str">
        <f ca="1">IFERROR(__xludf.DUMMYFUNCTION("""COMPUTED_VALUE"""),"")</f>
        <v/>
      </c>
      <c r="F24" t="str">
        <f ca="1">IFERROR(__xludf.DUMMYFUNCTION("""COMPUTED_VALUE"""),"")</f>
        <v/>
      </c>
      <c r="G24" t="str">
        <f ca="1">IFERROR(__xludf.DUMMYFUNCTION("""COMPUTED_VALUE"""),"")</f>
        <v/>
      </c>
    </row>
    <row r="25" spans="1:7" ht="15.75" customHeight="1">
      <c r="A25" t="str">
        <f ca="1">IFERROR(__xludf.DUMMYFUNCTION("""COMPUTED_VALUE"""),"T22")</f>
        <v>T22</v>
      </c>
      <c r="B25" t="str">
        <f ca="1">IFERROR(__xludf.DUMMYFUNCTION("""COMPUTED_VALUE"""),"T17")</f>
        <v>T17</v>
      </c>
      <c r="C25" t="str">
        <f ca="1">IFERROR(__xludf.DUMMYFUNCTION("""COMPUTED_VALUE"""),"Kramer Hickok")</f>
        <v>Kramer Hickok</v>
      </c>
      <c r="D25">
        <f ca="1">IFERROR(__xludf.DUMMYFUNCTION("""COMPUTED_VALUE"""),1)</f>
        <v>1</v>
      </c>
      <c r="E25" t="str">
        <f ca="1">IFERROR(__xludf.DUMMYFUNCTION("""COMPUTED_VALUE"""),"")</f>
        <v/>
      </c>
      <c r="F25" t="str">
        <f ca="1">IFERROR(__xludf.DUMMYFUNCTION("""COMPUTED_VALUE"""),"")</f>
        <v/>
      </c>
      <c r="G25" t="str">
        <f ca="1">IFERROR(__xludf.DUMMYFUNCTION("""COMPUTED_VALUE"""),"")</f>
        <v/>
      </c>
    </row>
    <row r="26" spans="1:7" ht="15.75" customHeight="1">
      <c r="A26" t="str">
        <f ca="1">IFERROR(__xludf.DUMMYFUNCTION("""COMPUTED_VALUE"""),"T22")</f>
        <v>T22</v>
      </c>
      <c r="B26" t="str">
        <f ca="1">IFERROR(__xludf.DUMMYFUNCTION("""COMPUTED_VALUE"""),"T17")</f>
        <v>T17</v>
      </c>
      <c r="C26" t="str">
        <f ca="1">IFERROR(__xludf.DUMMYFUNCTION("""COMPUTED_VALUE"""),"J.T. Poston")</f>
        <v>J.T. Poston</v>
      </c>
      <c r="D26">
        <f ca="1">IFERROR(__xludf.DUMMYFUNCTION("""COMPUTED_VALUE"""),1)</f>
        <v>1</v>
      </c>
      <c r="E26" t="str">
        <f ca="1">IFERROR(__xludf.DUMMYFUNCTION("""COMPUTED_VALUE"""),"")</f>
        <v/>
      </c>
      <c r="F26" t="str">
        <f ca="1">IFERROR(__xludf.DUMMYFUNCTION("""COMPUTED_VALUE"""),"")</f>
        <v/>
      </c>
      <c r="G26">
        <f ca="1">IFERROR(__xludf.DUMMYFUNCTION("""COMPUTED_VALUE"""),1)</f>
        <v>1</v>
      </c>
    </row>
    <row r="27" spans="1:7" ht="15.75" customHeight="1">
      <c r="A27" t="str">
        <f ca="1">IFERROR(__xludf.DUMMYFUNCTION("""COMPUTED_VALUE"""),"T22")</f>
        <v>T22</v>
      </c>
      <c r="B27" t="str">
        <f ca="1">IFERROR(__xludf.DUMMYFUNCTION("""COMPUTED_VALUE"""),"")</f>
        <v/>
      </c>
      <c r="C27" t="str">
        <f ca="1">IFERROR(__xludf.DUMMYFUNCTION("""COMPUTED_VALUE"""),"Sepp Straka")</f>
        <v>Sepp Straka</v>
      </c>
      <c r="D27">
        <f ca="1">IFERROR(__xludf.DUMMYFUNCTION("""COMPUTED_VALUE"""),1)</f>
        <v>1</v>
      </c>
      <c r="E27" t="str">
        <f ca="1">IFERROR(__xludf.DUMMYFUNCTION("""COMPUTED_VALUE"""),"")</f>
        <v/>
      </c>
      <c r="F27" t="str">
        <f ca="1">IFERROR(__xludf.DUMMYFUNCTION("""COMPUTED_VALUE"""),"")</f>
        <v/>
      </c>
      <c r="G27" t="str">
        <f ca="1">IFERROR(__xludf.DUMMYFUNCTION("""COMPUTED_VALUE"""),"")</f>
        <v/>
      </c>
    </row>
    <row r="28" spans="1:7" ht="15.75" customHeight="1">
      <c r="A28" t="str">
        <f ca="1">IFERROR(__xludf.DUMMYFUNCTION("""COMPUTED_VALUE"""),"T22")</f>
        <v>T22</v>
      </c>
      <c r="B28" t="str">
        <f ca="1">IFERROR(__xludf.DUMMYFUNCTION("""COMPUTED_VALUE"""),"T17")</f>
        <v>T17</v>
      </c>
      <c r="C28" t="str">
        <f ca="1">IFERROR(__xludf.DUMMYFUNCTION("""COMPUTED_VALUE"""),"Justin Suh")</f>
        <v>Justin Suh</v>
      </c>
      <c r="D28">
        <f ca="1">IFERROR(__xludf.DUMMYFUNCTION("""COMPUTED_VALUE"""),1)</f>
        <v>1</v>
      </c>
      <c r="E28" t="str">
        <f ca="1">IFERROR(__xludf.DUMMYFUNCTION("""COMPUTED_VALUE"""),"")</f>
        <v/>
      </c>
      <c r="F28" t="str">
        <f ca="1">IFERROR(__xludf.DUMMYFUNCTION("""COMPUTED_VALUE"""),"")</f>
        <v/>
      </c>
      <c r="G28" t="str">
        <f ca="1">IFERROR(__xludf.DUMMYFUNCTION("""COMPUTED_VALUE"""),"")</f>
        <v/>
      </c>
    </row>
    <row r="29" spans="1:7" ht="15.75" customHeight="1">
      <c r="A29" t="str">
        <f ca="1">IFERROR(__xludf.DUMMYFUNCTION("""COMPUTED_VALUE"""),"T22")</f>
        <v>T22</v>
      </c>
      <c r="B29" t="str">
        <f ca="1">IFERROR(__xludf.DUMMYFUNCTION("""COMPUTED_VALUE"""),"T17")</f>
        <v>T17</v>
      </c>
      <c r="C29" t="str">
        <f ca="1">IFERROR(__xludf.DUMMYFUNCTION("""COMPUTED_VALUE"""),"Wyndham Clark")</f>
        <v>Wyndham Clark</v>
      </c>
      <c r="D29">
        <f ca="1">IFERROR(__xludf.DUMMYFUNCTION("""COMPUTED_VALUE"""),1)</f>
        <v>1</v>
      </c>
      <c r="E29" t="str">
        <f ca="1">IFERROR(__xludf.DUMMYFUNCTION("""COMPUTED_VALUE"""),"")</f>
        <v/>
      </c>
      <c r="F29">
        <f ca="1">IFERROR(__xludf.DUMMYFUNCTION("""COMPUTED_VALUE"""),1)</f>
        <v>1</v>
      </c>
      <c r="G29" t="str">
        <f ca="1">IFERROR(__xludf.DUMMYFUNCTION("""COMPUTED_VALUE"""),"")</f>
        <v/>
      </c>
    </row>
    <row r="30" spans="1:7" ht="15.75" customHeight="1">
      <c r="A30" t="str">
        <f ca="1">IFERROR(__xludf.DUMMYFUNCTION("""COMPUTED_VALUE"""),"T22")</f>
        <v>T22</v>
      </c>
      <c r="B30" t="str">
        <f ca="1">IFERROR(__xludf.DUMMYFUNCTION("""COMPUTED_VALUE"""),"T17")</f>
        <v>T17</v>
      </c>
      <c r="C30" t="str">
        <f ca="1">IFERROR(__xludf.DUMMYFUNCTION("""COMPUTED_VALUE"""),"Cameron Champ")</f>
        <v>Cameron Champ</v>
      </c>
      <c r="D30">
        <f ca="1">IFERROR(__xludf.DUMMYFUNCTION("""COMPUTED_VALUE"""),1)</f>
        <v>1</v>
      </c>
      <c r="E30" t="str">
        <f ca="1">IFERROR(__xludf.DUMMYFUNCTION("""COMPUTED_VALUE"""),"")</f>
        <v/>
      </c>
      <c r="F30" t="str">
        <f ca="1">IFERROR(__xludf.DUMMYFUNCTION("""COMPUTED_VALUE"""),"")</f>
        <v/>
      </c>
      <c r="G30" t="str">
        <f ca="1">IFERROR(__xludf.DUMMYFUNCTION("""COMPUTED_VALUE"""),"")</f>
        <v/>
      </c>
    </row>
    <row r="31" spans="1:7" ht="12.75">
      <c r="A31" t="str">
        <f ca="1">IFERROR(__xludf.DUMMYFUNCTION("""COMPUTED_VALUE"""),"T22")</f>
        <v>T22</v>
      </c>
      <c r="B31" t="str">
        <f ca="1">IFERROR(__xludf.DUMMYFUNCTION("""COMPUTED_VALUE"""),"T17")</f>
        <v>T17</v>
      </c>
      <c r="C31" t="str">
        <f ca="1">IFERROR(__xludf.DUMMYFUNCTION("""COMPUTED_VALUE"""),"Akshay Bhatia")</f>
        <v>Akshay Bhatia</v>
      </c>
      <c r="D31">
        <f ca="1">IFERROR(__xludf.DUMMYFUNCTION("""COMPUTED_VALUE"""),1)</f>
        <v>1</v>
      </c>
      <c r="E31" t="str">
        <f ca="1">IFERROR(__xludf.DUMMYFUNCTION("""COMPUTED_VALUE"""),"")</f>
        <v/>
      </c>
      <c r="F31" t="str">
        <f ca="1">IFERROR(__xludf.DUMMYFUNCTION("""COMPUTED_VALUE"""),"")</f>
        <v/>
      </c>
      <c r="G31" t="str">
        <f ca="1">IFERROR(__xludf.DUMMYFUNCTION("""COMPUTED_VALUE"""),"")</f>
        <v/>
      </c>
    </row>
    <row r="32" spans="1:7" ht="12.75">
      <c r="A32" t="str">
        <f ca="1">IFERROR(__xludf.DUMMYFUNCTION("""COMPUTED_VALUE"""),"T22")</f>
        <v>T22</v>
      </c>
      <c r="B32" t="str">
        <f ca="1">IFERROR(__xludf.DUMMYFUNCTION("""COMPUTED_VALUE"""),"T17")</f>
        <v>T17</v>
      </c>
      <c r="C32" t="str">
        <f ca="1">IFERROR(__xludf.DUMMYFUNCTION("""COMPUTED_VALUE"""),"Kevin Streelman")</f>
        <v>Kevin Streelman</v>
      </c>
      <c r="D32">
        <f ca="1">IFERROR(__xludf.DUMMYFUNCTION("""COMPUTED_VALUE"""),1)</f>
        <v>1</v>
      </c>
      <c r="E32" t="str">
        <f ca="1">IFERROR(__xludf.DUMMYFUNCTION("""COMPUTED_VALUE"""),"")</f>
        <v/>
      </c>
      <c r="F32" t="str">
        <f ca="1">IFERROR(__xludf.DUMMYFUNCTION("""COMPUTED_VALUE"""),"")</f>
        <v/>
      </c>
      <c r="G32">
        <f ca="1">IFERROR(__xludf.DUMMYFUNCTION("""COMPUTED_VALUE"""),1)</f>
        <v>1</v>
      </c>
    </row>
    <row r="33" spans="1:7" ht="12.75">
      <c r="A33" t="str">
        <f ca="1">IFERROR(__xludf.DUMMYFUNCTION("""COMPUTED_VALUE"""),"T22")</f>
        <v>T22</v>
      </c>
      <c r="B33" t="str">
        <f ca="1">IFERROR(__xludf.DUMMYFUNCTION("""COMPUTED_VALUE"""),"T17")</f>
        <v>T17</v>
      </c>
      <c r="C33" t="str">
        <f ca="1">IFERROR(__xludf.DUMMYFUNCTION("""COMPUTED_VALUE"""),"Martin Laird")</f>
        <v>Martin Laird</v>
      </c>
      <c r="D33">
        <f ca="1">IFERROR(__xludf.DUMMYFUNCTION("""COMPUTED_VALUE"""),1)</f>
        <v>1</v>
      </c>
      <c r="E33">
        <f ca="1">IFERROR(__xludf.DUMMYFUNCTION("""COMPUTED_VALUE"""),1)</f>
        <v>1</v>
      </c>
      <c r="F33" t="str">
        <f ca="1">IFERROR(__xludf.DUMMYFUNCTION("""COMPUTED_VALUE"""),"")</f>
        <v/>
      </c>
      <c r="G33" t="str">
        <f ca="1">IFERROR(__xludf.DUMMYFUNCTION("""COMPUTED_VALUE"""),"")</f>
        <v/>
      </c>
    </row>
    <row r="34" spans="1:7" ht="12.75">
      <c r="A34" t="str">
        <f ca="1">IFERROR(__xludf.DUMMYFUNCTION("""COMPUTED_VALUE"""),"T22")</f>
        <v>T22</v>
      </c>
      <c r="B34" t="str">
        <f ca="1">IFERROR(__xludf.DUMMYFUNCTION("""COMPUTED_VALUE"""),"")</f>
        <v/>
      </c>
      <c r="C34" t="str">
        <f ca="1">IFERROR(__xludf.DUMMYFUNCTION("""COMPUTED_VALUE"""),"Jason Day")</f>
        <v>Jason Day</v>
      </c>
      <c r="D34">
        <f ca="1">IFERROR(__xludf.DUMMYFUNCTION("""COMPUTED_VALUE"""),1)</f>
        <v>1</v>
      </c>
      <c r="E34" t="str">
        <f ca="1">IFERROR(__xludf.DUMMYFUNCTION("""COMPUTED_VALUE"""),"")</f>
        <v/>
      </c>
      <c r="F34" t="str">
        <f ca="1">IFERROR(__xludf.DUMMYFUNCTION("""COMPUTED_VALUE"""),"")</f>
        <v/>
      </c>
      <c r="G34" t="str">
        <f ca="1">IFERROR(__xludf.DUMMYFUNCTION("""COMPUTED_VALUE"""),"")</f>
        <v/>
      </c>
    </row>
    <row r="35" spans="1:7" ht="12.75">
      <c r="A35" t="str">
        <f ca="1">IFERROR(__xludf.DUMMYFUNCTION("""COMPUTED_VALUE"""),"T22")</f>
        <v>T22</v>
      </c>
      <c r="B35" t="str">
        <f ca="1">IFERROR(__xludf.DUMMYFUNCTION("""COMPUTED_VALUE"""),"T17")</f>
        <v>T17</v>
      </c>
      <c r="C35" t="str">
        <f ca="1">IFERROR(__xludf.DUMMYFUNCTION("""COMPUTED_VALUE"""),"Rory McIlroy")</f>
        <v>Rory McIlroy</v>
      </c>
      <c r="D35">
        <f ca="1">IFERROR(__xludf.DUMMYFUNCTION("""COMPUTED_VALUE"""),1)</f>
        <v>1</v>
      </c>
      <c r="E35" t="str">
        <f ca="1">IFERROR(__xludf.DUMMYFUNCTION("""COMPUTED_VALUE"""),"")</f>
        <v/>
      </c>
      <c r="F35" t="str">
        <f ca="1">IFERROR(__xludf.DUMMYFUNCTION("""COMPUTED_VALUE"""),"")</f>
        <v/>
      </c>
      <c r="G35" t="str">
        <f ca="1">IFERROR(__xludf.DUMMYFUNCTION("""COMPUTED_VALUE"""),"")</f>
        <v/>
      </c>
    </row>
    <row r="36" spans="1:7" ht="12.75">
      <c r="A36" t="str">
        <f ca="1">IFERROR(__xludf.DUMMYFUNCTION("""COMPUTED_VALUE"""),"T22")</f>
        <v>T22</v>
      </c>
      <c r="B36" t="str">
        <f ca="1">IFERROR(__xludf.DUMMYFUNCTION("""COMPUTED_VALUE"""),"T17")</f>
        <v>T17</v>
      </c>
      <c r="C36" t="str">
        <f ca="1">IFERROR(__xludf.DUMMYFUNCTION("""COMPUTED_VALUE"""),"Nate Lashley")</f>
        <v>Nate Lashley</v>
      </c>
      <c r="D36">
        <f ca="1">IFERROR(__xludf.DUMMYFUNCTION("""COMPUTED_VALUE"""),1)</f>
        <v>1</v>
      </c>
      <c r="E36" t="str">
        <f ca="1">IFERROR(__xludf.DUMMYFUNCTION("""COMPUTED_VALUE"""),"")</f>
        <v/>
      </c>
      <c r="F36" t="str">
        <f ca="1">IFERROR(__xludf.DUMMYFUNCTION("""COMPUTED_VALUE"""),"")</f>
        <v/>
      </c>
      <c r="G36" t="str">
        <f ca="1">IFERROR(__xludf.DUMMYFUNCTION("""COMPUTED_VALUE"""),"")</f>
        <v/>
      </c>
    </row>
    <row r="37" spans="1:7" ht="12.75">
      <c r="A37" t="str">
        <f ca="1">IFERROR(__xludf.DUMMYFUNCTION("""COMPUTED_VALUE"""),"T22")</f>
        <v>T22</v>
      </c>
      <c r="B37" t="str">
        <f ca="1">IFERROR(__xludf.DUMMYFUNCTION("""COMPUTED_VALUE"""),"T17")</f>
        <v>T17</v>
      </c>
      <c r="C37" t="str">
        <f ca="1">IFERROR(__xludf.DUMMYFUNCTION("""COMPUTED_VALUE"""),"Webb Simpson")</f>
        <v>Webb Simpson</v>
      </c>
      <c r="D37">
        <f ca="1">IFERROR(__xludf.DUMMYFUNCTION("""COMPUTED_VALUE"""),1)</f>
        <v>1</v>
      </c>
      <c r="E37" t="str">
        <f ca="1">IFERROR(__xludf.DUMMYFUNCTION("""COMPUTED_VALUE"""),"")</f>
        <v/>
      </c>
      <c r="F37" t="str">
        <f ca="1">IFERROR(__xludf.DUMMYFUNCTION("""COMPUTED_VALUE"""),"")</f>
        <v/>
      </c>
      <c r="G37" t="str">
        <f ca="1">IFERROR(__xludf.DUMMYFUNCTION("""COMPUTED_VALUE"""),"")</f>
        <v/>
      </c>
    </row>
    <row r="38" spans="1:7" ht="12.75">
      <c r="A38" t="str">
        <f ca="1">IFERROR(__xludf.DUMMYFUNCTION("""COMPUTED_VALUE"""),"T22")</f>
        <v>T22</v>
      </c>
      <c r="B38" t="str">
        <f ca="1">IFERROR(__xludf.DUMMYFUNCTION("""COMPUTED_VALUE"""),"T17")</f>
        <v>T17</v>
      </c>
      <c r="C38" t="str">
        <f ca="1">IFERROR(__xludf.DUMMYFUNCTION("""COMPUTED_VALUE"""),"Tony Finau")</f>
        <v>Tony Finau</v>
      </c>
      <c r="D38">
        <f ca="1">IFERROR(__xludf.DUMMYFUNCTION("""COMPUTED_VALUE"""),1)</f>
        <v>1</v>
      </c>
      <c r="E38" t="str">
        <f ca="1">IFERROR(__xludf.DUMMYFUNCTION("""COMPUTED_VALUE"""),"")</f>
        <v/>
      </c>
      <c r="F38" t="str">
        <f ca="1">IFERROR(__xludf.DUMMYFUNCTION("""COMPUTED_VALUE"""),"")</f>
        <v/>
      </c>
      <c r="G38" t="str">
        <f ca="1">IFERROR(__xludf.DUMMYFUNCTION("""COMPUTED_VALUE"""),"")</f>
        <v/>
      </c>
    </row>
    <row r="39" spans="1:7" ht="12.75">
      <c r="A39" t="str">
        <f ca="1">IFERROR(__xludf.DUMMYFUNCTION("""COMPUTED_VALUE"""),"T22")</f>
        <v>T22</v>
      </c>
      <c r="B39" t="str">
        <f ca="1">IFERROR(__xludf.DUMMYFUNCTION("""COMPUTED_VALUE"""),"T17")</f>
        <v>T17</v>
      </c>
      <c r="C39" t="str">
        <f ca="1">IFERROR(__xludf.DUMMYFUNCTION("""COMPUTED_VALUE"""),"Henrik Norlander")</f>
        <v>Henrik Norlander</v>
      </c>
      <c r="D39">
        <f ca="1">IFERROR(__xludf.DUMMYFUNCTION("""COMPUTED_VALUE"""),1)</f>
        <v>1</v>
      </c>
      <c r="E39" t="str">
        <f ca="1">IFERROR(__xludf.DUMMYFUNCTION("""COMPUTED_VALUE"""),"")</f>
        <v/>
      </c>
      <c r="F39" t="str">
        <f ca="1">IFERROR(__xludf.DUMMYFUNCTION("""COMPUTED_VALUE"""),"")</f>
        <v/>
      </c>
      <c r="G39" t="str">
        <f ca="1">IFERROR(__xludf.DUMMYFUNCTION("""COMPUTED_VALUE"""),"")</f>
        <v/>
      </c>
    </row>
    <row r="40" spans="1:7" ht="12.75">
      <c r="A40" t="str">
        <f ca="1">IFERROR(__xludf.DUMMYFUNCTION("""COMPUTED_VALUE"""),"T22")</f>
        <v>T22</v>
      </c>
      <c r="B40" t="str">
        <f ca="1">IFERROR(__xludf.DUMMYFUNCTION("""COMPUTED_VALUE"""),"T17")</f>
        <v>T17</v>
      </c>
      <c r="C40" t="str">
        <f ca="1">IFERROR(__xludf.DUMMYFUNCTION("""COMPUTED_VALUE"""),"Scott Stallings")</f>
        <v>Scott Stallings</v>
      </c>
      <c r="D40">
        <f ca="1">IFERROR(__xludf.DUMMYFUNCTION("""COMPUTED_VALUE"""),1)</f>
        <v>1</v>
      </c>
      <c r="E40" t="str">
        <f ca="1">IFERROR(__xludf.DUMMYFUNCTION("""COMPUTED_VALUE"""),"")</f>
        <v/>
      </c>
      <c r="F40" t="str">
        <f ca="1">IFERROR(__xludf.DUMMYFUNCTION("""COMPUTED_VALUE"""),"")</f>
        <v/>
      </c>
      <c r="G40" t="str">
        <f ca="1">IFERROR(__xludf.DUMMYFUNCTION("""COMPUTED_VALUE"""),"")</f>
        <v/>
      </c>
    </row>
    <row r="41" spans="1:7" ht="12.75">
      <c r="A41" t="str">
        <f ca="1">IFERROR(__xludf.DUMMYFUNCTION("""COMPUTED_VALUE"""),"T22")</f>
        <v>T22</v>
      </c>
      <c r="B41" t="str">
        <f ca="1">IFERROR(__xludf.DUMMYFUNCTION("""COMPUTED_VALUE"""),"T17")</f>
        <v>T17</v>
      </c>
      <c r="C41" t="str">
        <f ca="1">IFERROR(__xludf.DUMMYFUNCTION("""COMPUTED_VALUE"""),"Jason Kokrak")</f>
        <v>Jason Kokrak</v>
      </c>
      <c r="D41">
        <f ca="1">IFERROR(__xludf.DUMMYFUNCTION("""COMPUTED_VALUE"""),1)</f>
        <v>1</v>
      </c>
      <c r="E41">
        <f ca="1">IFERROR(__xludf.DUMMYFUNCTION("""COMPUTED_VALUE"""),1)</f>
        <v>1</v>
      </c>
      <c r="F41" t="str">
        <f ca="1">IFERROR(__xludf.DUMMYFUNCTION("""COMPUTED_VALUE"""),"")</f>
        <v/>
      </c>
      <c r="G41" t="str">
        <f ca="1">IFERROR(__xludf.DUMMYFUNCTION("""COMPUTED_VALUE"""),"")</f>
        <v/>
      </c>
    </row>
    <row r="42" spans="1:7" ht="12.75">
      <c r="A42" t="str">
        <f ca="1">IFERROR(__xludf.DUMMYFUNCTION("""COMPUTED_VALUE"""),"T22")</f>
        <v>T22</v>
      </c>
      <c r="B42" t="str">
        <f ca="1">IFERROR(__xludf.DUMMYFUNCTION("""COMPUTED_VALUE"""),"T17")</f>
        <v>T17</v>
      </c>
      <c r="C42" t="str">
        <f ca="1">IFERROR(__xludf.DUMMYFUNCTION("""COMPUTED_VALUE"""),"Anirban Lahiri")</f>
        <v>Anirban Lahiri</v>
      </c>
      <c r="D42">
        <f ca="1">IFERROR(__xludf.DUMMYFUNCTION("""COMPUTED_VALUE"""),1)</f>
        <v>1</v>
      </c>
      <c r="E42" t="str">
        <f ca="1">IFERROR(__xludf.DUMMYFUNCTION("""COMPUTED_VALUE"""),"")</f>
        <v/>
      </c>
      <c r="F42" t="str">
        <f ca="1">IFERROR(__xludf.DUMMYFUNCTION("""COMPUTED_VALUE"""),"")</f>
        <v/>
      </c>
      <c r="G42" t="str">
        <f ca="1">IFERROR(__xludf.DUMMYFUNCTION("""COMPUTED_VALUE"""),"")</f>
        <v/>
      </c>
    </row>
    <row r="43" spans="1:7" ht="12.75">
      <c r="A43" t="str">
        <f ca="1">IFERROR(__xludf.DUMMYFUNCTION("""COMPUTED_VALUE"""),"T22")</f>
        <v>T22</v>
      </c>
      <c r="B43" t="str">
        <f ca="1">IFERROR(__xludf.DUMMYFUNCTION("""COMPUTED_VALUE"""),"T17")</f>
        <v>T17</v>
      </c>
      <c r="C43" t="str">
        <f ca="1">IFERROR(__xludf.DUMMYFUNCTION("""COMPUTED_VALUE"""),"Brian Stuard")</f>
        <v>Brian Stuard</v>
      </c>
      <c r="D43">
        <f ca="1">IFERROR(__xludf.DUMMYFUNCTION("""COMPUTED_VALUE"""),1)</f>
        <v>1</v>
      </c>
      <c r="E43" t="str">
        <f ca="1">IFERROR(__xludf.DUMMYFUNCTION("""COMPUTED_VALUE"""),"")</f>
        <v/>
      </c>
      <c r="F43" t="str">
        <f ca="1">IFERROR(__xludf.DUMMYFUNCTION("""COMPUTED_VALUE"""),"")</f>
        <v/>
      </c>
      <c r="G43">
        <f ca="1">IFERROR(__xludf.DUMMYFUNCTION("""COMPUTED_VALUE"""),1)</f>
        <v>1</v>
      </c>
    </row>
    <row r="44" spans="1:7" ht="12.75">
      <c r="A44" t="str">
        <f ca="1">IFERROR(__xludf.DUMMYFUNCTION("""COMPUTED_VALUE"""),"T22")</f>
        <v>T22</v>
      </c>
      <c r="B44" t="str">
        <f ca="1">IFERROR(__xludf.DUMMYFUNCTION("""COMPUTED_VALUE"""),"")</f>
        <v/>
      </c>
      <c r="C44" t="str">
        <f ca="1">IFERROR(__xludf.DUMMYFUNCTION("""COMPUTED_VALUE"""),"Hideki Matsuyama")</f>
        <v>Hideki Matsuyama</v>
      </c>
      <c r="D44">
        <f ca="1">IFERROR(__xludf.DUMMYFUNCTION("""COMPUTED_VALUE"""),1)</f>
        <v>1</v>
      </c>
      <c r="E44" t="str">
        <f ca="1">IFERROR(__xludf.DUMMYFUNCTION("""COMPUTED_VALUE"""),"")</f>
        <v/>
      </c>
      <c r="F44">
        <f ca="1">IFERROR(__xludf.DUMMYFUNCTION("""COMPUTED_VALUE"""),1)</f>
        <v>1</v>
      </c>
      <c r="G44" t="str">
        <f ca="1">IFERROR(__xludf.DUMMYFUNCTION("""COMPUTED_VALUE"""),"")</f>
        <v/>
      </c>
    </row>
    <row r="45" spans="1:7" ht="12.75">
      <c r="A45" t="str">
        <f ca="1">IFERROR(__xludf.DUMMYFUNCTION("""COMPUTED_VALUE"""),"T22")</f>
        <v>T22</v>
      </c>
      <c r="B45" t="str">
        <f ca="1">IFERROR(__xludf.DUMMYFUNCTION("""COMPUTED_VALUE"""),"T17")</f>
        <v>T17</v>
      </c>
      <c r="C45" t="str">
        <f ca="1">IFERROR(__xludf.DUMMYFUNCTION("""COMPUTED_VALUE"""),"Russell Knox")</f>
        <v>Russell Knox</v>
      </c>
      <c r="D45">
        <f ca="1">IFERROR(__xludf.DUMMYFUNCTION("""COMPUTED_VALUE"""),1)</f>
        <v>1</v>
      </c>
      <c r="E45" t="str">
        <f ca="1">IFERROR(__xludf.DUMMYFUNCTION("""COMPUTED_VALUE"""),"")</f>
        <v/>
      </c>
      <c r="F45" t="str">
        <f ca="1">IFERROR(__xludf.DUMMYFUNCTION("""COMPUTED_VALUE"""),"")</f>
        <v/>
      </c>
      <c r="G45" t="str">
        <f ca="1">IFERROR(__xludf.DUMMYFUNCTION("""COMPUTED_VALUE"""),"")</f>
        <v/>
      </c>
    </row>
    <row r="46" spans="1:7" ht="12.75">
      <c r="A46" t="str">
        <f ca="1">IFERROR(__xludf.DUMMYFUNCTION("""COMPUTED_VALUE"""),"T22")</f>
        <v>T22</v>
      </c>
      <c r="B46" t="str">
        <f ca="1">IFERROR(__xludf.DUMMYFUNCTION("""COMPUTED_VALUE"""),"T17")</f>
        <v>T17</v>
      </c>
      <c r="C46" t="str">
        <f ca="1">IFERROR(__xludf.DUMMYFUNCTION("""COMPUTED_VALUE"""),"Keegan Bradley")</f>
        <v>Keegan Bradley</v>
      </c>
      <c r="D46">
        <f ca="1">IFERROR(__xludf.DUMMYFUNCTION("""COMPUTED_VALUE"""),1)</f>
        <v>1</v>
      </c>
      <c r="E46" t="str">
        <f ca="1">IFERROR(__xludf.DUMMYFUNCTION("""COMPUTED_VALUE"""),"")</f>
        <v/>
      </c>
      <c r="F46" t="str">
        <f ca="1">IFERROR(__xludf.DUMMYFUNCTION("""COMPUTED_VALUE"""),"")</f>
        <v/>
      </c>
      <c r="G46" t="str">
        <f ca="1">IFERROR(__xludf.DUMMYFUNCTION("""COMPUTED_VALUE"""),"")</f>
        <v/>
      </c>
    </row>
    <row r="47" spans="1:7" ht="12.75">
      <c r="A47" t="str">
        <f ca="1">IFERROR(__xludf.DUMMYFUNCTION("""COMPUTED_VALUE"""),"T22")</f>
        <v>T22</v>
      </c>
      <c r="B47" t="str">
        <f ca="1">IFERROR(__xludf.DUMMYFUNCTION("""COMPUTED_VALUE"""),"T17")</f>
        <v>T17</v>
      </c>
      <c r="C47" t="str">
        <f ca="1">IFERROR(__xludf.DUMMYFUNCTION("""COMPUTED_VALUE"""),"Harry Higgs")</f>
        <v>Harry Higgs</v>
      </c>
      <c r="D47">
        <f ca="1">IFERROR(__xludf.DUMMYFUNCTION("""COMPUTED_VALUE"""),1)</f>
        <v>1</v>
      </c>
      <c r="E47" t="str">
        <f ca="1">IFERROR(__xludf.DUMMYFUNCTION("""COMPUTED_VALUE"""),"")</f>
        <v/>
      </c>
      <c r="F47">
        <f ca="1">IFERROR(__xludf.DUMMYFUNCTION("""COMPUTED_VALUE"""),1)</f>
        <v>1</v>
      </c>
      <c r="G47" t="str">
        <f ca="1">IFERROR(__xludf.DUMMYFUNCTION("""COMPUTED_VALUE"""),"")</f>
        <v/>
      </c>
    </row>
    <row r="48" spans="1:7" ht="12.75">
      <c r="A48" t="str">
        <f ca="1">IFERROR(__xludf.DUMMYFUNCTION("""COMPUTED_VALUE"""),"T22")</f>
        <v>T22</v>
      </c>
      <c r="B48" t="str">
        <f ca="1">IFERROR(__xludf.DUMMYFUNCTION("""COMPUTED_VALUE"""),"")</f>
        <v/>
      </c>
      <c r="C48" t="str">
        <f ca="1">IFERROR(__xludf.DUMMYFUNCTION("""COMPUTED_VALUE"""),"Carlos Ortiz")</f>
        <v>Carlos Ortiz</v>
      </c>
      <c r="D48">
        <f ca="1">IFERROR(__xludf.DUMMYFUNCTION("""COMPUTED_VALUE"""),1)</f>
        <v>1</v>
      </c>
      <c r="E48">
        <f ca="1">IFERROR(__xludf.DUMMYFUNCTION("""COMPUTED_VALUE"""),1)</f>
        <v>1</v>
      </c>
      <c r="F48" t="str">
        <f ca="1">IFERROR(__xludf.DUMMYFUNCTION("""COMPUTED_VALUE"""),"")</f>
        <v/>
      </c>
      <c r="G48" t="str">
        <f ca="1">IFERROR(__xludf.DUMMYFUNCTION("""COMPUTED_VALUE"""),"")</f>
        <v/>
      </c>
    </row>
    <row r="49" spans="1:7" ht="12.75">
      <c r="A49" t="str">
        <f ca="1">IFERROR(__xludf.DUMMYFUNCTION("""COMPUTED_VALUE"""),"T22")</f>
        <v>T22</v>
      </c>
      <c r="B49" t="str">
        <f ca="1">IFERROR(__xludf.DUMMYFUNCTION("""COMPUTED_VALUE"""),"T17")</f>
        <v>T17</v>
      </c>
      <c r="C49" t="str">
        <f ca="1">IFERROR(__xludf.DUMMYFUNCTION("""COMPUTED_VALUE"""),"Joel Dahmen")</f>
        <v>Joel Dahmen</v>
      </c>
      <c r="D49">
        <f ca="1">IFERROR(__xludf.DUMMYFUNCTION("""COMPUTED_VALUE"""),1)</f>
        <v>1</v>
      </c>
      <c r="E49" t="str">
        <f ca="1">IFERROR(__xludf.DUMMYFUNCTION("""COMPUTED_VALUE"""),"")</f>
        <v/>
      </c>
      <c r="F49" t="str">
        <f ca="1">IFERROR(__xludf.DUMMYFUNCTION("""COMPUTED_VALUE"""),"")</f>
        <v/>
      </c>
      <c r="G49" t="str">
        <f ca="1">IFERROR(__xludf.DUMMYFUNCTION("""COMPUTED_VALUE"""),"")</f>
        <v/>
      </c>
    </row>
    <row r="50" spans="1:7" ht="12.75">
      <c r="A50" t="str">
        <f ca="1">IFERROR(__xludf.DUMMYFUNCTION("""COMPUTED_VALUE"""),"T22")</f>
        <v>T22</v>
      </c>
      <c r="B50" t="str">
        <f ca="1">IFERROR(__xludf.DUMMYFUNCTION("""COMPUTED_VALUE"""),"T17")</f>
        <v>T17</v>
      </c>
      <c r="C50" t="str">
        <f ca="1">IFERROR(__xludf.DUMMYFUNCTION("""COMPUTED_VALUE"""),"Hudson Swafford")</f>
        <v>Hudson Swafford</v>
      </c>
      <c r="D50">
        <f ca="1">IFERROR(__xludf.DUMMYFUNCTION("""COMPUTED_VALUE"""),1)</f>
        <v>1</v>
      </c>
      <c r="E50">
        <f ca="1">IFERROR(__xludf.DUMMYFUNCTION("""COMPUTED_VALUE"""),1)</f>
        <v>1</v>
      </c>
      <c r="F50" t="str">
        <f ca="1">IFERROR(__xludf.DUMMYFUNCTION("""COMPUTED_VALUE"""),"")</f>
        <v/>
      </c>
      <c r="G50" t="str">
        <f ca="1">IFERROR(__xludf.DUMMYFUNCTION("""COMPUTED_VALUE"""),"")</f>
        <v/>
      </c>
    </row>
    <row r="51" spans="1:7" ht="12.75">
      <c r="A51" t="str">
        <f ca="1">IFERROR(__xludf.DUMMYFUNCTION("""COMPUTED_VALUE"""),"T22")</f>
        <v>T22</v>
      </c>
      <c r="B51" t="str">
        <f ca="1">IFERROR(__xludf.DUMMYFUNCTION("""COMPUTED_VALUE"""),"T17")</f>
        <v>T17</v>
      </c>
      <c r="C51" t="str">
        <f ca="1">IFERROR(__xludf.DUMMYFUNCTION("""COMPUTED_VALUE"""),"Lanto Griffin")</f>
        <v>Lanto Griffin</v>
      </c>
      <c r="D51">
        <f ca="1">IFERROR(__xludf.DUMMYFUNCTION("""COMPUTED_VALUE"""),1)</f>
        <v>1</v>
      </c>
      <c r="E51" t="str">
        <f ca="1">IFERROR(__xludf.DUMMYFUNCTION("""COMPUTED_VALUE"""),"")</f>
        <v/>
      </c>
      <c r="F51" t="str">
        <f ca="1">IFERROR(__xludf.DUMMYFUNCTION("""COMPUTED_VALUE"""),"")</f>
        <v/>
      </c>
      <c r="G51" t="str">
        <f ca="1">IFERROR(__xludf.DUMMYFUNCTION("""COMPUTED_VALUE"""),"")</f>
        <v/>
      </c>
    </row>
    <row r="52" spans="1:7" ht="12.75">
      <c r="A52" t="str">
        <f ca="1">IFERROR(__xludf.DUMMYFUNCTION("""COMPUTED_VALUE"""),"T22")</f>
        <v>T22</v>
      </c>
      <c r="B52" t="str">
        <f ca="1">IFERROR(__xludf.DUMMYFUNCTION("""COMPUTED_VALUE"""),"T17")</f>
        <v>T17</v>
      </c>
      <c r="C52" t="str">
        <f ca="1">IFERROR(__xludf.DUMMYFUNCTION("""COMPUTED_VALUE"""),"Adam Long")</f>
        <v>Adam Long</v>
      </c>
      <c r="D52">
        <f ca="1">IFERROR(__xludf.DUMMYFUNCTION("""COMPUTED_VALUE"""),1)</f>
        <v>1</v>
      </c>
      <c r="E52" t="str">
        <f ca="1">IFERROR(__xludf.DUMMYFUNCTION("""COMPUTED_VALUE"""),"")</f>
        <v/>
      </c>
      <c r="F52" t="str">
        <f ca="1">IFERROR(__xludf.DUMMYFUNCTION("""COMPUTED_VALUE"""),"")</f>
        <v/>
      </c>
      <c r="G52" t="str">
        <f ca="1">IFERROR(__xludf.DUMMYFUNCTION("""COMPUTED_VALUE"""),"")</f>
        <v/>
      </c>
    </row>
    <row r="53" spans="1:7" ht="12.75">
      <c r="A53" t="str">
        <f ca="1">IFERROR(__xludf.DUMMYFUNCTION("""COMPUTED_VALUE"""),"T22")</f>
        <v>T22</v>
      </c>
      <c r="B53" t="str">
        <f ca="1">IFERROR(__xludf.DUMMYFUNCTION("""COMPUTED_VALUE"""),"T17")</f>
        <v>T17</v>
      </c>
      <c r="C53" t="str">
        <f ca="1">IFERROR(__xludf.DUMMYFUNCTION("""COMPUTED_VALUE"""),"Cameron Smith")</f>
        <v>Cameron Smith</v>
      </c>
      <c r="D53">
        <f ca="1">IFERROR(__xludf.DUMMYFUNCTION("""COMPUTED_VALUE"""),1)</f>
        <v>1</v>
      </c>
      <c r="E53" t="str">
        <f ca="1">IFERROR(__xludf.DUMMYFUNCTION("""COMPUTED_VALUE"""),"")</f>
        <v/>
      </c>
      <c r="F53" t="str">
        <f ca="1">IFERROR(__xludf.DUMMYFUNCTION("""COMPUTED_VALUE"""),"")</f>
        <v/>
      </c>
      <c r="G53" t="str">
        <f ca="1">IFERROR(__xludf.DUMMYFUNCTION("""COMPUTED_VALUE"""),"")</f>
        <v/>
      </c>
    </row>
    <row r="54" spans="1:7" ht="12.75">
      <c r="A54" t="str">
        <f ca="1">IFERROR(__xludf.DUMMYFUNCTION("""COMPUTED_VALUE"""),"T22")</f>
        <v>T22</v>
      </c>
      <c r="B54" t="str">
        <f ca="1">IFERROR(__xludf.DUMMYFUNCTION("""COMPUTED_VALUE"""),"")</f>
        <v/>
      </c>
      <c r="C54" t="str">
        <f ca="1">IFERROR(__xludf.DUMMYFUNCTION("""COMPUTED_VALUE"""),"Brooks Koepka")</f>
        <v>Brooks Koepka</v>
      </c>
      <c r="D54">
        <f ca="1">IFERROR(__xludf.DUMMYFUNCTION("""COMPUTED_VALUE"""),1)</f>
        <v>1</v>
      </c>
      <c r="E54" t="str">
        <f ca="1">IFERROR(__xludf.DUMMYFUNCTION("""COMPUTED_VALUE"""),"")</f>
        <v/>
      </c>
      <c r="F54" t="str">
        <f ca="1">IFERROR(__xludf.DUMMYFUNCTION("""COMPUTED_VALUE"""),"")</f>
        <v/>
      </c>
      <c r="G54" t="str">
        <f ca="1">IFERROR(__xludf.DUMMYFUNCTION("""COMPUTED_VALUE"""),"")</f>
        <v/>
      </c>
    </row>
    <row r="55" spans="1:7" ht="12.75">
      <c r="A55" t="str">
        <f ca="1">IFERROR(__xludf.DUMMYFUNCTION("""COMPUTED_VALUE"""),"T22")</f>
        <v>T22</v>
      </c>
      <c r="B55" t="str">
        <f ca="1">IFERROR(__xludf.DUMMYFUNCTION("""COMPUTED_VALUE"""),"T17")</f>
        <v>T17</v>
      </c>
      <c r="C55" t="str">
        <f ca="1">IFERROR(__xludf.DUMMYFUNCTION("""COMPUTED_VALUE"""),"Matthew NeSmith")</f>
        <v>Matthew NeSmith</v>
      </c>
      <c r="D55">
        <f ca="1">IFERROR(__xludf.DUMMYFUNCTION("""COMPUTED_VALUE"""),1)</f>
        <v>1</v>
      </c>
      <c r="E55" t="str">
        <f ca="1">IFERROR(__xludf.DUMMYFUNCTION("""COMPUTED_VALUE"""),"")</f>
        <v/>
      </c>
      <c r="F55" t="str">
        <f ca="1">IFERROR(__xludf.DUMMYFUNCTION("""COMPUTED_VALUE"""),"")</f>
        <v/>
      </c>
      <c r="G55" t="str">
        <f ca="1">IFERROR(__xludf.DUMMYFUNCTION("""COMPUTED_VALUE"""),"")</f>
        <v/>
      </c>
    </row>
    <row r="56" spans="1:7" ht="12.75">
      <c r="A56" t="str">
        <f ca="1">IFERROR(__xludf.DUMMYFUNCTION("""COMPUTED_VALUE"""),"T22")</f>
        <v>T22</v>
      </c>
      <c r="B56" t="str">
        <f ca="1">IFERROR(__xludf.DUMMYFUNCTION("""COMPUTED_VALUE"""),"T17")</f>
        <v>T17</v>
      </c>
      <c r="C56" t="str">
        <f ca="1">IFERROR(__xludf.DUMMYFUNCTION("""COMPUTED_VALUE"""),"Si Woo Kim")</f>
        <v>Si Woo Kim</v>
      </c>
      <c r="D56">
        <f ca="1">IFERROR(__xludf.DUMMYFUNCTION("""COMPUTED_VALUE"""),1)</f>
        <v>1</v>
      </c>
      <c r="E56" t="str">
        <f ca="1">IFERROR(__xludf.DUMMYFUNCTION("""COMPUTED_VALUE"""),"")</f>
        <v/>
      </c>
      <c r="F56" t="str">
        <f ca="1">IFERROR(__xludf.DUMMYFUNCTION("""COMPUTED_VALUE"""),"")</f>
        <v/>
      </c>
      <c r="G56" t="str">
        <f ca="1">IFERROR(__xludf.DUMMYFUNCTION("""COMPUTED_VALUE"""),"")</f>
        <v/>
      </c>
    </row>
    <row r="57" spans="1:7" ht="12.75">
      <c r="A57" t="str">
        <f ca="1">IFERROR(__xludf.DUMMYFUNCTION("""COMPUTED_VALUE"""),"T22")</f>
        <v>T22</v>
      </c>
      <c r="B57" t="str">
        <f ca="1">IFERROR(__xludf.DUMMYFUNCTION("""COMPUTED_VALUE"""),"T17")</f>
        <v>T17</v>
      </c>
      <c r="C57" t="str">
        <f ca="1">IFERROR(__xludf.DUMMYFUNCTION("""COMPUTED_VALUE"""),"J.J. Spaun")</f>
        <v>J.J. Spaun</v>
      </c>
      <c r="D57">
        <f ca="1">IFERROR(__xludf.DUMMYFUNCTION("""COMPUTED_VALUE"""),1)</f>
        <v>1</v>
      </c>
      <c r="E57" t="str">
        <f ca="1">IFERROR(__xludf.DUMMYFUNCTION("""COMPUTED_VALUE"""),"")</f>
        <v/>
      </c>
      <c r="F57" t="str">
        <f ca="1">IFERROR(__xludf.DUMMYFUNCTION("""COMPUTED_VALUE"""),"")</f>
        <v/>
      </c>
      <c r="G57" t="str">
        <f ca="1">IFERROR(__xludf.DUMMYFUNCTION("""COMPUTED_VALUE"""),"")</f>
        <v/>
      </c>
    </row>
    <row r="58" spans="1:7" ht="12.75">
      <c r="A58" t="str">
        <f ca="1">IFERROR(__xludf.DUMMYFUNCTION("""COMPUTED_VALUE"""),"T22")</f>
        <v>T22</v>
      </c>
      <c r="B58" t="str">
        <f ca="1">IFERROR(__xludf.DUMMYFUNCTION("""COMPUTED_VALUE"""),"T17")</f>
        <v>T17</v>
      </c>
      <c r="C58" t="str">
        <f ca="1">IFERROR(__xludf.DUMMYFUNCTION("""COMPUTED_VALUE"""),"Corey Conners")</f>
        <v>Corey Conners</v>
      </c>
      <c r="D58">
        <f ca="1">IFERROR(__xludf.DUMMYFUNCTION("""COMPUTED_VALUE"""),1)</f>
        <v>1</v>
      </c>
      <c r="E58" t="str">
        <f ca="1">IFERROR(__xludf.DUMMYFUNCTION("""COMPUTED_VALUE"""),"")</f>
        <v/>
      </c>
      <c r="F58" t="str">
        <f ca="1">IFERROR(__xludf.DUMMYFUNCTION("""COMPUTED_VALUE"""),"")</f>
        <v/>
      </c>
      <c r="G58" t="str">
        <f ca="1">IFERROR(__xludf.DUMMYFUNCTION("""COMPUTED_VALUE"""),"")</f>
        <v/>
      </c>
    </row>
    <row r="59" spans="1:7" ht="12.75">
      <c r="A59" t="str">
        <f ca="1">IFERROR(__xludf.DUMMYFUNCTION("""COMPUTED_VALUE"""),"T22")</f>
        <v>T22</v>
      </c>
      <c r="B59" t="str">
        <f ca="1">IFERROR(__xludf.DUMMYFUNCTION("""COMPUTED_VALUE"""),"T17")</f>
        <v>T17</v>
      </c>
      <c r="C59" t="str">
        <f ca="1">IFERROR(__xludf.DUMMYFUNCTION("""COMPUTED_VALUE"""),"Cameron Davis")</f>
        <v>Cameron Davis</v>
      </c>
      <c r="D59">
        <f ca="1">IFERROR(__xludf.DUMMYFUNCTION("""COMPUTED_VALUE"""),1)</f>
        <v>1</v>
      </c>
      <c r="E59" t="str">
        <f ca="1">IFERROR(__xludf.DUMMYFUNCTION("""COMPUTED_VALUE"""),"")</f>
        <v/>
      </c>
      <c r="F59" t="str">
        <f ca="1">IFERROR(__xludf.DUMMYFUNCTION("""COMPUTED_VALUE"""),"")</f>
        <v/>
      </c>
      <c r="G59" t="str">
        <f ca="1">IFERROR(__xludf.DUMMYFUNCTION("""COMPUTED_VALUE"""),"")</f>
        <v/>
      </c>
    </row>
    <row r="60" spans="1:7" ht="12.75">
      <c r="A60" t="str">
        <f ca="1">IFERROR(__xludf.DUMMYFUNCTION("""COMPUTED_VALUE"""),"T22")</f>
        <v>T22</v>
      </c>
      <c r="B60" t="str">
        <f ca="1">IFERROR(__xludf.DUMMYFUNCTION("""COMPUTED_VALUE"""),"T17")</f>
        <v>T17</v>
      </c>
      <c r="C60" t="str">
        <f ca="1">IFERROR(__xludf.DUMMYFUNCTION("""COMPUTED_VALUE"""),"Joaquin Niemann")</f>
        <v>Joaquin Niemann</v>
      </c>
      <c r="D60">
        <f ca="1">IFERROR(__xludf.DUMMYFUNCTION("""COMPUTED_VALUE"""),1)</f>
        <v>1</v>
      </c>
      <c r="E60" t="str">
        <f ca="1">IFERROR(__xludf.DUMMYFUNCTION("""COMPUTED_VALUE"""),"")</f>
        <v/>
      </c>
      <c r="F60" t="str">
        <f ca="1">IFERROR(__xludf.DUMMYFUNCTION("""COMPUTED_VALUE"""),"")</f>
        <v/>
      </c>
      <c r="G60" t="str">
        <f ca="1">IFERROR(__xludf.DUMMYFUNCTION("""COMPUTED_VALUE"""),"")</f>
        <v/>
      </c>
    </row>
    <row r="61" spans="1:7" ht="12.75">
      <c r="A61" t="str">
        <f ca="1">IFERROR(__xludf.DUMMYFUNCTION("""COMPUTED_VALUE"""),"T22")</f>
        <v>T22</v>
      </c>
      <c r="B61" t="str">
        <f ca="1">IFERROR(__xludf.DUMMYFUNCTION("""COMPUTED_VALUE"""),"T17")</f>
        <v>T17</v>
      </c>
      <c r="C61" t="str">
        <f ca="1">IFERROR(__xludf.DUMMYFUNCTION("""COMPUTED_VALUE"""),"Abraham Ancer")</f>
        <v>Abraham Ancer</v>
      </c>
      <c r="D61">
        <f ca="1">IFERROR(__xludf.DUMMYFUNCTION("""COMPUTED_VALUE"""),1)</f>
        <v>1</v>
      </c>
      <c r="E61" t="str">
        <f ca="1">IFERROR(__xludf.DUMMYFUNCTION("""COMPUTED_VALUE"""),"")</f>
        <v/>
      </c>
      <c r="F61" t="str">
        <f ca="1">IFERROR(__xludf.DUMMYFUNCTION("""COMPUTED_VALUE"""),"")</f>
        <v/>
      </c>
      <c r="G61" t="str">
        <f ca="1">IFERROR(__xludf.DUMMYFUNCTION("""COMPUTED_VALUE"""),"")</f>
        <v/>
      </c>
    </row>
    <row r="62" spans="1:7" ht="12.75">
      <c r="A62" t="str">
        <f ca="1">IFERROR(__xludf.DUMMYFUNCTION("""COMPUTED_VALUE"""),"T22")</f>
        <v>T22</v>
      </c>
      <c r="B62" t="str">
        <f ca="1">IFERROR(__xludf.DUMMYFUNCTION("""COMPUTED_VALUE"""),"T17")</f>
        <v>T17</v>
      </c>
      <c r="C62" t="str">
        <f ca="1">IFERROR(__xludf.DUMMYFUNCTION("""COMPUTED_VALUE"""),"Austin Cook")</f>
        <v>Austin Cook</v>
      </c>
      <c r="D62">
        <f ca="1">IFERROR(__xludf.DUMMYFUNCTION("""COMPUTED_VALUE"""),1)</f>
        <v>1</v>
      </c>
      <c r="E62" t="str">
        <f ca="1">IFERROR(__xludf.DUMMYFUNCTION("""COMPUTED_VALUE"""),"")</f>
        <v/>
      </c>
      <c r="F62">
        <f ca="1">IFERROR(__xludf.DUMMYFUNCTION("""COMPUTED_VALUE"""),1)</f>
        <v>1</v>
      </c>
      <c r="G62" t="str">
        <f ca="1">IFERROR(__xludf.DUMMYFUNCTION("""COMPUTED_VALUE"""),"")</f>
        <v/>
      </c>
    </row>
    <row r="63" spans="1:7" ht="12.75">
      <c r="A63" t="str">
        <f ca="1">IFERROR(__xludf.DUMMYFUNCTION("""COMPUTED_VALUE"""),"T22")</f>
        <v>T22</v>
      </c>
      <c r="B63" t="str">
        <f ca="1">IFERROR(__xludf.DUMMYFUNCTION("""COMPUTED_VALUE"""),"T17")</f>
        <v>T17</v>
      </c>
      <c r="C63" t="str">
        <f ca="1">IFERROR(__xludf.DUMMYFUNCTION("""COMPUTED_VALUE"""),"Ollie Schniederjans")</f>
        <v>Ollie Schniederjans</v>
      </c>
      <c r="D63">
        <f ca="1">IFERROR(__xludf.DUMMYFUNCTION("""COMPUTED_VALUE"""),1)</f>
        <v>1</v>
      </c>
      <c r="E63" t="str">
        <f ca="1">IFERROR(__xludf.DUMMYFUNCTION("""COMPUTED_VALUE"""),"")</f>
        <v/>
      </c>
      <c r="F63" t="str">
        <f ca="1">IFERROR(__xludf.DUMMYFUNCTION("""COMPUTED_VALUE"""),"")</f>
        <v/>
      </c>
      <c r="G63">
        <f ca="1">IFERROR(__xludf.DUMMYFUNCTION("""COMPUTED_VALUE"""),1)</f>
        <v>1</v>
      </c>
    </row>
    <row r="64" spans="1:7" ht="12.75">
      <c r="A64" t="str">
        <f ca="1">IFERROR(__xludf.DUMMYFUNCTION("""COMPUTED_VALUE"""),"T22")</f>
        <v>T22</v>
      </c>
      <c r="B64" t="str">
        <f ca="1">IFERROR(__xludf.DUMMYFUNCTION("""COMPUTED_VALUE"""),"T17")</f>
        <v>T17</v>
      </c>
      <c r="C64" t="str">
        <f ca="1">IFERROR(__xludf.DUMMYFUNCTION("""COMPUTED_VALUE"""),"Luke List")</f>
        <v>Luke List</v>
      </c>
      <c r="D64">
        <f ca="1">IFERROR(__xludf.DUMMYFUNCTION("""COMPUTED_VALUE"""),1)</f>
        <v>1</v>
      </c>
      <c r="E64" t="str">
        <f ca="1">IFERROR(__xludf.DUMMYFUNCTION("""COMPUTED_VALUE"""),"")</f>
        <v/>
      </c>
      <c r="F64" t="str">
        <f ca="1">IFERROR(__xludf.DUMMYFUNCTION("""COMPUTED_VALUE"""),"")</f>
        <v/>
      </c>
      <c r="G64" t="str">
        <f ca="1">IFERROR(__xludf.DUMMYFUNCTION("""COMPUTED_VALUE"""),"")</f>
        <v/>
      </c>
    </row>
    <row r="65" spans="1:7" ht="12.75">
      <c r="A65" t="str">
        <f ca="1">IFERROR(__xludf.DUMMYFUNCTION("""COMPUTED_VALUE"""),"T22")</f>
        <v>T22</v>
      </c>
      <c r="B65" t="str">
        <f ca="1">IFERROR(__xludf.DUMMYFUNCTION("""COMPUTED_VALUE"""),"T17")</f>
        <v>T17</v>
      </c>
      <c r="C65" t="str">
        <f ca="1">IFERROR(__xludf.DUMMYFUNCTION("""COMPUTED_VALUE"""),"David Hearn")</f>
        <v>David Hearn</v>
      </c>
      <c r="D65">
        <f ca="1">IFERROR(__xludf.DUMMYFUNCTION("""COMPUTED_VALUE"""),1)</f>
        <v>1</v>
      </c>
      <c r="E65" t="str">
        <f ca="1">IFERROR(__xludf.DUMMYFUNCTION("""COMPUTED_VALUE"""),"")</f>
        <v/>
      </c>
      <c r="F65" t="str">
        <f ca="1">IFERROR(__xludf.DUMMYFUNCTION("""COMPUTED_VALUE"""),"")</f>
        <v/>
      </c>
      <c r="G65" t="str">
        <f ca="1">IFERROR(__xludf.DUMMYFUNCTION("""COMPUTED_VALUE"""),"")</f>
        <v/>
      </c>
    </row>
    <row r="66" spans="1:7" ht="12.75">
      <c r="A66" t="str">
        <f ca="1">IFERROR(__xludf.DUMMYFUNCTION("""COMPUTED_VALUE"""),"T22")</f>
        <v>T22</v>
      </c>
      <c r="B66" t="str">
        <f ca="1">IFERROR(__xludf.DUMMYFUNCTION("""COMPUTED_VALUE"""),"T17")</f>
        <v>T17</v>
      </c>
      <c r="C66" t="str">
        <f ca="1">IFERROR(__xludf.DUMMYFUNCTION("""COMPUTED_VALUE"""),"Chez Reavie")</f>
        <v>Chez Reavie</v>
      </c>
      <c r="D66">
        <f ca="1">IFERROR(__xludf.DUMMYFUNCTION("""COMPUTED_VALUE"""),1)</f>
        <v>1</v>
      </c>
      <c r="E66" t="str">
        <f ca="1">IFERROR(__xludf.DUMMYFUNCTION("""COMPUTED_VALUE"""),"")</f>
        <v/>
      </c>
      <c r="F66" t="str">
        <f ca="1">IFERROR(__xludf.DUMMYFUNCTION("""COMPUTED_VALUE"""),"")</f>
        <v/>
      </c>
      <c r="G66">
        <f ca="1">IFERROR(__xludf.DUMMYFUNCTION("""COMPUTED_VALUE"""),1)</f>
        <v>1</v>
      </c>
    </row>
    <row r="67" spans="1:7" ht="12.75">
      <c r="A67" t="str">
        <f ca="1">IFERROR(__xludf.DUMMYFUNCTION("""COMPUTED_VALUE"""),"T22")</f>
        <v>T22</v>
      </c>
      <c r="B67" t="str">
        <f ca="1">IFERROR(__xludf.DUMMYFUNCTION("""COMPUTED_VALUE"""),"T17")</f>
        <v>T17</v>
      </c>
      <c r="C67" t="str">
        <f ca="1">IFERROR(__xludf.DUMMYFUNCTION("""COMPUTED_VALUE"""),"Louis Oosthuizen")</f>
        <v>Louis Oosthuizen</v>
      </c>
      <c r="D67">
        <f ca="1">IFERROR(__xludf.DUMMYFUNCTION("""COMPUTED_VALUE"""),1)</f>
        <v>1</v>
      </c>
      <c r="E67" t="str">
        <f ca="1">IFERROR(__xludf.DUMMYFUNCTION("""COMPUTED_VALUE"""),"")</f>
        <v/>
      </c>
      <c r="F67" t="str">
        <f ca="1">IFERROR(__xludf.DUMMYFUNCTION("""COMPUTED_VALUE"""),"")</f>
        <v/>
      </c>
      <c r="G67">
        <f ca="1">IFERROR(__xludf.DUMMYFUNCTION("""COMPUTED_VALUE"""),1)</f>
        <v>1</v>
      </c>
    </row>
    <row r="68" spans="1:7" ht="12.75">
      <c r="A68" t="str">
        <f ca="1">IFERROR(__xludf.DUMMYFUNCTION("""COMPUTED_VALUE"""),"T22")</f>
        <v>T22</v>
      </c>
      <c r="B68" t="str">
        <f ca="1">IFERROR(__xludf.DUMMYFUNCTION("""COMPUTED_VALUE"""),"T17")</f>
        <v>T17</v>
      </c>
      <c r="C68" t="str">
        <f ca="1">IFERROR(__xludf.DUMMYFUNCTION("""COMPUTED_VALUE"""),"Matt Jones")</f>
        <v>Matt Jones</v>
      </c>
      <c r="D68">
        <f ca="1">IFERROR(__xludf.DUMMYFUNCTION("""COMPUTED_VALUE"""),1)</f>
        <v>1</v>
      </c>
      <c r="E68" t="str">
        <f ca="1">IFERROR(__xludf.DUMMYFUNCTION("""COMPUTED_VALUE"""),"")</f>
        <v/>
      </c>
      <c r="F68" t="str">
        <f ca="1">IFERROR(__xludf.DUMMYFUNCTION("""COMPUTED_VALUE"""),"")</f>
        <v/>
      </c>
      <c r="G68" t="str">
        <f ca="1">IFERROR(__xludf.DUMMYFUNCTION("""COMPUTED_VALUE"""),"")</f>
        <v/>
      </c>
    </row>
    <row r="69" spans="1:7" ht="12.75">
      <c r="A69" t="str">
        <f ca="1">IFERROR(__xludf.DUMMYFUNCTION("""COMPUTED_VALUE"""),"T22")</f>
        <v>T22</v>
      </c>
      <c r="B69" t="str">
        <f ca="1">IFERROR(__xludf.DUMMYFUNCTION("""COMPUTED_VALUE"""),"T17")</f>
        <v>T17</v>
      </c>
      <c r="C69" t="str">
        <f ca="1">IFERROR(__xludf.DUMMYFUNCTION("""COMPUTED_VALUE"""),"Pat Perez")</f>
        <v>Pat Perez</v>
      </c>
      <c r="D69">
        <f ca="1">IFERROR(__xludf.DUMMYFUNCTION("""COMPUTED_VALUE"""),1)</f>
        <v>1</v>
      </c>
      <c r="E69" t="str">
        <f ca="1">IFERROR(__xludf.DUMMYFUNCTION("""COMPUTED_VALUE"""),"")</f>
        <v/>
      </c>
      <c r="F69" t="str">
        <f ca="1">IFERROR(__xludf.DUMMYFUNCTION("""COMPUTED_VALUE"""),"")</f>
        <v/>
      </c>
      <c r="G69" t="str">
        <f ca="1">IFERROR(__xludf.DUMMYFUNCTION("""COMPUTED_VALUE"""),"")</f>
        <v/>
      </c>
    </row>
    <row r="70" spans="1:7" ht="12.75">
      <c r="A70" t="str">
        <f ca="1">IFERROR(__xludf.DUMMYFUNCTION("""COMPUTED_VALUE"""),"T22")</f>
        <v>T22</v>
      </c>
      <c r="B70" t="str">
        <f ca="1">IFERROR(__xludf.DUMMYFUNCTION("""COMPUTED_VALUE"""),"T17")</f>
        <v>T17</v>
      </c>
      <c r="C70" t="str">
        <f ca="1">IFERROR(__xludf.DUMMYFUNCTION("""COMPUTED_VALUE"""),"Zach Johnson")</f>
        <v>Zach Johnson</v>
      </c>
      <c r="D70">
        <f ca="1">IFERROR(__xludf.DUMMYFUNCTION("""COMPUTED_VALUE"""),1)</f>
        <v>1</v>
      </c>
      <c r="E70" t="str">
        <f ca="1">IFERROR(__xludf.DUMMYFUNCTION("""COMPUTED_VALUE"""),"")</f>
        <v/>
      </c>
      <c r="F70" t="str">
        <f ca="1">IFERROR(__xludf.DUMMYFUNCTION("""COMPUTED_VALUE"""),"")</f>
        <v/>
      </c>
      <c r="G70" t="str">
        <f ca="1">IFERROR(__xludf.DUMMYFUNCTION("""COMPUTED_VALUE"""),"")</f>
        <v/>
      </c>
    </row>
    <row r="71" spans="1:7" ht="12.75">
      <c r="A71" t="str">
        <f ca="1">IFERROR(__xludf.DUMMYFUNCTION("""COMPUTED_VALUE"""),"T22")</f>
        <v>T22</v>
      </c>
      <c r="B71" t="str">
        <f ca="1">IFERROR(__xludf.DUMMYFUNCTION("""COMPUTED_VALUE"""),"T17")</f>
        <v>T17</v>
      </c>
      <c r="C71" t="str">
        <f ca="1">IFERROR(__xludf.DUMMYFUNCTION("""COMPUTED_VALUE"""),"Ryan Palmer")</f>
        <v>Ryan Palmer</v>
      </c>
      <c r="D71">
        <f ca="1">IFERROR(__xludf.DUMMYFUNCTION("""COMPUTED_VALUE"""),1)</f>
        <v>1</v>
      </c>
      <c r="E71" t="str">
        <f ca="1">IFERROR(__xludf.DUMMYFUNCTION("""COMPUTED_VALUE"""),"")</f>
        <v/>
      </c>
      <c r="F71" t="str">
        <f ca="1">IFERROR(__xludf.DUMMYFUNCTION("""COMPUTED_VALUE"""),"")</f>
        <v/>
      </c>
      <c r="G71" t="str">
        <f ca="1">IFERROR(__xludf.DUMMYFUNCTION("""COMPUTED_VALUE"""),"")</f>
        <v/>
      </c>
    </row>
    <row r="72" spans="1:7" ht="12.75">
      <c r="A72" t="str">
        <f ca="1">IFERROR(__xludf.DUMMYFUNCTION("""COMPUTED_VALUE"""),"T22")</f>
        <v>T22</v>
      </c>
      <c r="B72" t="str">
        <f ca="1">IFERROR(__xludf.DUMMYFUNCTION("""COMPUTED_VALUE"""),"T17")</f>
        <v>T17</v>
      </c>
      <c r="C72" t="str">
        <f ca="1">IFERROR(__xludf.DUMMYFUNCTION("""COMPUTED_VALUE"""),"Cameron Percy")</f>
        <v>Cameron Percy</v>
      </c>
      <c r="D72">
        <f ca="1">IFERROR(__xludf.DUMMYFUNCTION("""COMPUTED_VALUE"""),1)</f>
        <v>1</v>
      </c>
      <c r="E72" t="str">
        <f ca="1">IFERROR(__xludf.DUMMYFUNCTION("""COMPUTED_VALUE"""),"")</f>
        <v/>
      </c>
      <c r="F72" t="str">
        <f ca="1">IFERROR(__xludf.DUMMYFUNCTION("""COMPUTED_VALUE"""),"")</f>
        <v/>
      </c>
      <c r="G72" t="str">
        <f ca="1">IFERROR(__xludf.DUMMYFUNCTION("""COMPUTED_VALUE"""),"")</f>
        <v/>
      </c>
    </row>
    <row r="73" spans="1:7" ht="12.75">
      <c r="A73" t="str">
        <f ca="1">IFERROR(__xludf.DUMMYFUNCTION("""COMPUTED_VALUE"""),"T22")</f>
        <v>T22</v>
      </c>
      <c r="B73" t="str">
        <f ca="1">IFERROR(__xludf.DUMMYFUNCTION("""COMPUTED_VALUE"""),"T17")</f>
        <v>T17</v>
      </c>
      <c r="C73" t="str">
        <f ca="1">IFERROR(__xludf.DUMMYFUNCTION("""COMPUTED_VALUE"""),"Sergio Garcia")</f>
        <v>Sergio Garcia</v>
      </c>
      <c r="D73">
        <f ca="1">IFERROR(__xludf.DUMMYFUNCTION("""COMPUTED_VALUE"""),1)</f>
        <v>1</v>
      </c>
      <c r="E73">
        <f ca="1">IFERROR(__xludf.DUMMYFUNCTION("""COMPUTED_VALUE"""),1)</f>
        <v>1</v>
      </c>
      <c r="F73" t="str">
        <f ca="1">IFERROR(__xludf.DUMMYFUNCTION("""COMPUTED_VALUE"""),"")</f>
        <v/>
      </c>
      <c r="G73" t="str">
        <f ca="1">IFERROR(__xludf.DUMMYFUNCTION("""COMPUTED_VALUE"""),"")</f>
        <v/>
      </c>
    </row>
    <row r="74" spans="1:7" ht="12.75">
      <c r="A74" t="str">
        <f ca="1">IFERROR(__xludf.DUMMYFUNCTION("""COMPUTED_VALUE"""),"T22")</f>
        <v>T22</v>
      </c>
      <c r="B74" t="str">
        <f ca="1">IFERROR(__xludf.DUMMYFUNCTION("""COMPUTED_VALUE"""),"T17")</f>
        <v>T17</v>
      </c>
      <c r="C74" t="str">
        <f ca="1">IFERROR(__xludf.DUMMYFUNCTION("""COMPUTED_VALUE"""),"Brian Gay")</f>
        <v>Brian Gay</v>
      </c>
      <c r="D74">
        <f ca="1">IFERROR(__xludf.DUMMYFUNCTION("""COMPUTED_VALUE"""),1)</f>
        <v>1</v>
      </c>
      <c r="E74">
        <f ca="1">IFERROR(__xludf.DUMMYFUNCTION("""COMPUTED_VALUE"""),1)</f>
        <v>1</v>
      </c>
      <c r="F74" t="str">
        <f ca="1">IFERROR(__xludf.DUMMYFUNCTION("""COMPUTED_VALUE"""),"")</f>
        <v/>
      </c>
      <c r="G74" t="str">
        <f ca="1">IFERROR(__xludf.DUMMYFUNCTION("""COMPUTED_VALUE"""),"")</f>
        <v/>
      </c>
    </row>
    <row r="75" spans="1:7" ht="12.75">
      <c r="A75" t="str">
        <f ca="1">IFERROR(__xludf.DUMMYFUNCTION("""COMPUTED_VALUE"""),"T22")</f>
        <v>T22</v>
      </c>
      <c r="B75" t="str">
        <f ca="1">IFERROR(__xludf.DUMMYFUNCTION("""COMPUTED_VALUE"""),"T17")</f>
        <v>T17</v>
      </c>
      <c r="C75" t="str">
        <f ca="1">IFERROR(__xludf.DUMMYFUNCTION("""COMPUTED_VALUE"""),"Ryan Armour")</f>
        <v>Ryan Armour</v>
      </c>
      <c r="D75">
        <f ca="1">IFERROR(__xludf.DUMMYFUNCTION("""COMPUTED_VALUE"""),1)</f>
        <v>1</v>
      </c>
      <c r="E75" t="str">
        <f ca="1">IFERROR(__xludf.DUMMYFUNCTION("""COMPUTED_VALUE"""),"")</f>
        <v/>
      </c>
      <c r="F75" t="str">
        <f ca="1">IFERROR(__xludf.DUMMYFUNCTION("""COMPUTED_VALUE"""),"")</f>
        <v/>
      </c>
      <c r="G75" t="str">
        <f ca="1">IFERROR(__xludf.DUMMYFUNCTION("""COMPUTED_VALUE"""),"")</f>
        <v/>
      </c>
    </row>
    <row r="76" spans="1:7" ht="12.75">
      <c r="A76" t="str">
        <f ca="1">IFERROR(__xludf.DUMMYFUNCTION("""COMPUTED_VALUE"""),"T22")</f>
        <v>T22</v>
      </c>
      <c r="B76" t="str">
        <f ca="1">IFERROR(__xludf.DUMMYFUNCTION("""COMPUTED_VALUE"""),"T17")</f>
        <v>T17</v>
      </c>
      <c r="C76" t="str">
        <f ca="1">IFERROR(__xludf.DUMMYFUNCTION("""COMPUTED_VALUE"""),"Charley Hoffman")</f>
        <v>Charley Hoffman</v>
      </c>
      <c r="D76">
        <f ca="1">IFERROR(__xludf.DUMMYFUNCTION("""COMPUTED_VALUE"""),1)</f>
        <v>1</v>
      </c>
      <c r="E76" t="str">
        <f ca="1">IFERROR(__xludf.DUMMYFUNCTION("""COMPUTED_VALUE"""),"")</f>
        <v/>
      </c>
      <c r="F76" t="str">
        <f ca="1">IFERROR(__xludf.DUMMYFUNCTION("""COMPUTED_VALUE"""),"")</f>
        <v/>
      </c>
      <c r="G76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E266"/>
  <sheetViews>
    <sheetView workbookViewId="0"/>
  </sheetViews>
  <sheetFormatPr defaultColWidth="14.42578125" defaultRowHeight="15.75" customHeight="1"/>
  <sheetData>
    <row r="1" spans="1:5" ht="15.75" customHeight="1">
      <c r="A1" t="str">
        <f ca="1">IFERROR(__xludf.DUMMYFUNCTION("importhtml(""http://www.pgatour.com/stats/stat.194.html"",""table"",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IFERROR(__xludf.DUMMYFUNCTION("""COMPUTED_VALUE"""),"EVENTS")</f>
        <v>EVENTS</v>
      </c>
      <c r="E1" t="str">
        <f ca="1">IFERROR(__xludf.DUMMYFUNCTION("""COMPUTED_VALUE"""),"MONEY")</f>
        <v>MONEY</v>
      </c>
    </row>
    <row r="2" spans="1:5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IFERROR(__xludf.DUMMYFUNCTION("""COMPUTED_VALUE"""),"Bryson DeChambeau")</f>
        <v>Bryson DeChambeau</v>
      </c>
      <c r="D2">
        <f ca="1">IFERROR(__xludf.DUMMYFUNCTION("""COMPUTED_VALUE"""),2)</f>
        <v>2</v>
      </c>
      <c r="E2" s="4">
        <f ca="1">IFERROR(__xludf.DUMMYFUNCTION("""COMPUTED_VALUE"""),2440750)</f>
        <v>2440750</v>
      </c>
    </row>
    <row r="3" spans="1:5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IFERROR(__xludf.DUMMYFUNCTION("""COMPUTED_VALUE"""),"Jason Kokrak")</f>
        <v>Jason Kokrak</v>
      </c>
      <c r="D3">
        <f ca="1">IFERROR(__xludf.DUMMYFUNCTION("""COMPUTED_VALUE"""),4)</f>
        <v>4</v>
      </c>
      <c r="E3" s="4">
        <f ca="1">IFERROR(__xludf.DUMMYFUNCTION("""COMPUTED_VALUE"""),2008789)</f>
        <v>2008789</v>
      </c>
    </row>
    <row r="4" spans="1:5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IFERROR(__xludf.DUMMYFUNCTION("""COMPUTED_VALUE"""),"Matthew Wolff")</f>
        <v>Matthew Wolff</v>
      </c>
      <c r="D4">
        <f ca="1">IFERROR(__xludf.DUMMYFUNCTION("""COMPUTED_VALUE"""),4)</f>
        <v>4</v>
      </c>
      <c r="E4" s="4">
        <f ca="1">IFERROR(__xludf.DUMMYFUNCTION("""COMPUTED_VALUE"""),2007135)</f>
        <v>2007135</v>
      </c>
    </row>
    <row r="5" spans="1:5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IFERROR(__xludf.DUMMYFUNCTION("""COMPUTED_VALUE"""),"Patrick Cantlay")</f>
        <v>Patrick Cantlay</v>
      </c>
      <c r="D5">
        <f ca="1">IFERROR(__xludf.DUMMYFUNCTION("""COMPUTED_VALUE"""),4)</f>
        <v>4</v>
      </c>
      <c r="E5" s="4">
        <f ca="1">IFERROR(__xludf.DUMMYFUNCTION("""COMPUTED_VALUE"""),1710585)</f>
        <v>1710585</v>
      </c>
    </row>
    <row r="6" spans="1:5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IFERROR(__xludf.DUMMYFUNCTION("""COMPUTED_VALUE"""),"Xander Schauffele")</f>
        <v>Xander Schauffele</v>
      </c>
      <c r="D6">
        <f ca="1">IFERROR(__xludf.DUMMYFUNCTION("""COMPUTED_VALUE"""),3)</f>
        <v>3</v>
      </c>
      <c r="E6" s="4">
        <f ca="1">IFERROR(__xludf.DUMMYFUNCTION("""COMPUTED_VALUE"""),1651851)</f>
        <v>1651851</v>
      </c>
    </row>
    <row r="7" spans="1:5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IFERROR(__xludf.DUMMYFUNCTION("""COMPUTED_VALUE"""),"Stewart Cink")</f>
        <v>Stewart Cink</v>
      </c>
      <c r="D7">
        <f ca="1">IFERROR(__xludf.DUMMYFUNCTION("""COMPUTED_VALUE"""),5)</f>
        <v>5</v>
      </c>
      <c r="E7" s="4">
        <f ca="1">IFERROR(__xludf.DUMMYFUNCTION("""COMPUTED_VALUE"""),1494130)</f>
        <v>1494130</v>
      </c>
    </row>
    <row r="8" spans="1:5" ht="15.75" customHeight="1">
      <c r="A8">
        <f ca="1">IFERROR(__xludf.DUMMYFUNCTION("""COMPUTED_VALUE"""),7)</f>
        <v>7</v>
      </c>
      <c r="B8">
        <f ca="1">IFERROR(__xludf.DUMMYFUNCTION("""COMPUTED_VALUE"""),143)</f>
        <v>143</v>
      </c>
      <c r="C8" t="str">
        <f ca="1">IFERROR(__xludf.DUMMYFUNCTION("""COMPUTED_VALUE"""),"Carlos Ortiz")</f>
        <v>Carlos Ortiz</v>
      </c>
      <c r="D8">
        <f ca="1">IFERROR(__xludf.DUMMYFUNCTION("""COMPUTED_VALUE"""),6)</f>
        <v>6</v>
      </c>
      <c r="E8" s="4">
        <f ca="1">IFERROR(__xludf.DUMMYFUNCTION("""COMPUTED_VALUE"""),1338167)</f>
        <v>1338167</v>
      </c>
    </row>
    <row r="9" spans="1:5" ht="15.75" customHeight="1">
      <c r="A9">
        <f ca="1">IFERROR(__xludf.DUMMYFUNCTION("""COMPUTED_VALUE"""),8)</f>
        <v>8</v>
      </c>
      <c r="B9">
        <f ca="1">IFERROR(__xludf.DUMMYFUNCTION("""COMPUTED_VALUE"""),7)</f>
        <v>7</v>
      </c>
      <c r="C9" t="str">
        <f ca="1">IFERROR(__xludf.DUMMYFUNCTION("""COMPUTED_VALUE"""),"Martin Laird")</f>
        <v>Martin Laird</v>
      </c>
      <c r="D9">
        <f ca="1">IFERROR(__xludf.DUMMYFUNCTION("""COMPUTED_VALUE"""),5)</f>
        <v>5</v>
      </c>
      <c r="E9" s="4">
        <f ca="1">IFERROR(__xludf.DUMMYFUNCTION("""COMPUTED_VALUE"""),1314640)</f>
        <v>1314640</v>
      </c>
    </row>
    <row r="10" spans="1:5" ht="15.75" customHeight="1">
      <c r="A10">
        <f ca="1">IFERROR(__xludf.DUMMYFUNCTION("""COMPUTED_VALUE"""),9)</f>
        <v>9</v>
      </c>
      <c r="B10">
        <f ca="1">IFERROR(__xludf.DUMMYFUNCTION("""COMPUTED_VALUE"""),8)</f>
        <v>8</v>
      </c>
      <c r="C10" t="str">
        <f ca="1">IFERROR(__xludf.DUMMYFUNCTION("""COMPUTED_VALUE"""),"Sergio Garcia")</f>
        <v>Sergio Garcia</v>
      </c>
      <c r="D10">
        <f ca="1">IFERROR(__xludf.DUMMYFUNCTION("""COMPUTED_VALUE"""),6)</f>
        <v>6</v>
      </c>
      <c r="E10" s="4">
        <f ca="1">IFERROR(__xludf.DUMMYFUNCTION("""COMPUTED_VALUE"""),1301621)</f>
        <v>1301621</v>
      </c>
    </row>
    <row r="11" spans="1:5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IFERROR(__xludf.DUMMYFUNCTION("""COMPUTED_VALUE"""),"Justin Thomas")</f>
        <v>Justin Thomas</v>
      </c>
      <c r="D11">
        <f ca="1">IFERROR(__xludf.DUMMYFUNCTION("""COMPUTED_VALUE"""),3)</f>
        <v>3</v>
      </c>
      <c r="E11" s="4">
        <f ca="1">IFERROR(__xludf.DUMMYFUNCTION("""COMPUTED_VALUE"""),1196556)</f>
        <v>1196556</v>
      </c>
    </row>
    <row r="12" spans="1:5" ht="15.75" customHeight="1">
      <c r="A12">
        <f ca="1">IFERROR(__xludf.DUMMYFUNCTION("""COMPUTED_VALUE"""),11)</f>
        <v>11</v>
      </c>
      <c r="B12">
        <f ca="1">IFERROR(__xludf.DUMMYFUNCTION("""COMPUTED_VALUE"""),40)</f>
        <v>40</v>
      </c>
      <c r="C12" t="str">
        <f ca="1">IFERROR(__xludf.DUMMYFUNCTION("""COMPUTED_VALUE"""),"Dustin Johnson")</f>
        <v>Dustin Johnson</v>
      </c>
      <c r="D12">
        <f ca="1">IFERROR(__xludf.DUMMYFUNCTION("""COMPUTED_VALUE"""),2)</f>
        <v>2</v>
      </c>
      <c r="E12" s="4">
        <f ca="1">IFERROR(__xludf.DUMMYFUNCTION("""COMPUTED_VALUE"""),1047040)</f>
        <v>1047040</v>
      </c>
    </row>
    <row r="13" spans="1:5" ht="15.75" customHeight="1">
      <c r="A13">
        <f ca="1">IFERROR(__xludf.DUMMYFUNCTION("""COMPUTED_VALUE"""),12)</f>
        <v>12</v>
      </c>
      <c r="B13">
        <f ca="1">IFERROR(__xludf.DUMMYFUNCTION("""COMPUTED_VALUE"""),10)</f>
        <v>10</v>
      </c>
      <c r="C13" t="str">
        <f ca="1">IFERROR(__xludf.DUMMYFUNCTION("""COMPUTED_VALUE"""),"Peter Malnati")</f>
        <v>Peter Malnati</v>
      </c>
      <c r="D13">
        <f ca="1">IFERROR(__xludf.DUMMYFUNCTION("""COMPUTED_VALUE"""),5)</f>
        <v>5</v>
      </c>
      <c r="E13" s="4">
        <f ca="1">IFERROR(__xludf.DUMMYFUNCTION("""COMPUTED_VALUE"""),1033222)</f>
        <v>1033222</v>
      </c>
    </row>
    <row r="14" spans="1:5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IFERROR(__xludf.DUMMYFUNCTION("""COMPUTED_VALUE"""),"Russell Henley")</f>
        <v>Russell Henley</v>
      </c>
      <c r="D14">
        <f ca="1">IFERROR(__xludf.DUMMYFUNCTION("""COMPUTED_VALUE"""),4)</f>
        <v>4</v>
      </c>
      <c r="E14" s="4">
        <f ca="1">IFERROR(__xludf.DUMMYFUNCTION("""COMPUTED_VALUE"""),976400)</f>
        <v>976400</v>
      </c>
    </row>
    <row r="15" spans="1:5" ht="15.75" customHeight="1">
      <c r="A15">
        <f ca="1">IFERROR(__xludf.DUMMYFUNCTION("""COMPUTED_VALUE"""),14)</f>
        <v>14</v>
      </c>
      <c r="B15">
        <f ca="1">IFERROR(__xludf.DUMMYFUNCTION("""COMPUTED_VALUE"""),11)</f>
        <v>11</v>
      </c>
      <c r="C15" t="str">
        <f ca="1">IFERROR(__xludf.DUMMYFUNCTION("""COMPUTED_VALUE"""),"Louis Oosthuizen")</f>
        <v>Louis Oosthuizen</v>
      </c>
      <c r="D15">
        <f ca="1">IFERROR(__xludf.DUMMYFUNCTION("""COMPUTED_VALUE"""),3)</f>
        <v>3</v>
      </c>
      <c r="E15" s="4">
        <f ca="1">IFERROR(__xludf.DUMMYFUNCTION("""COMPUTED_VALUE"""),970692)</f>
        <v>970692</v>
      </c>
    </row>
    <row r="16" spans="1:5" ht="15.75" customHeight="1">
      <c r="A16">
        <f ca="1">IFERROR(__xludf.DUMMYFUNCTION("""COMPUTED_VALUE"""),15)</f>
        <v>15</v>
      </c>
      <c r="B16">
        <f ca="1">IFERROR(__xludf.DUMMYFUNCTION("""COMPUTED_VALUE"""),12)</f>
        <v>12</v>
      </c>
      <c r="C16" t="str">
        <f ca="1">IFERROR(__xludf.DUMMYFUNCTION("""COMPUTED_VALUE"""),"Jon Rahm")</f>
        <v>Jon Rahm</v>
      </c>
      <c r="D16">
        <f ca="1">IFERROR(__xludf.DUMMYFUNCTION("""COMPUTED_VALUE"""),3)</f>
        <v>3</v>
      </c>
      <c r="E16" s="4">
        <f ca="1">IFERROR(__xludf.DUMMYFUNCTION("""COMPUTED_VALUE"""),944832)</f>
        <v>944832</v>
      </c>
    </row>
    <row r="17" spans="1:5" ht="15.75" customHeight="1">
      <c r="A17">
        <f ca="1">IFERROR(__xludf.DUMMYFUNCTION("""COMPUTED_VALUE"""),16)</f>
        <v>16</v>
      </c>
      <c r="B17">
        <f ca="1">IFERROR(__xludf.DUMMYFUNCTION("""COMPUTED_VALUE"""),55)</f>
        <v>55</v>
      </c>
      <c r="C17" t="str">
        <f ca="1">IFERROR(__xludf.DUMMYFUNCTION("""COMPUTED_VALUE"""),"Hideki Matsuyama")</f>
        <v>Hideki Matsuyama</v>
      </c>
      <c r="D17">
        <f ca="1">IFERROR(__xludf.DUMMYFUNCTION("""COMPUTED_VALUE"""),5)</f>
        <v>5</v>
      </c>
      <c r="E17" s="4">
        <f ca="1">IFERROR(__xludf.DUMMYFUNCTION("""COMPUTED_VALUE"""),923025)</f>
        <v>923025</v>
      </c>
    </row>
    <row r="18" spans="1:5" ht="15.75" customHeight="1">
      <c r="A18">
        <f ca="1">IFERROR(__xludf.DUMMYFUNCTION("""COMPUTED_VALUE"""),17)</f>
        <v>17</v>
      </c>
      <c r="B18">
        <f ca="1">IFERROR(__xludf.DUMMYFUNCTION("""COMPUTED_VALUE"""),14)</f>
        <v>14</v>
      </c>
      <c r="C18" t="str">
        <f ca="1">IFERROR(__xludf.DUMMYFUNCTION("""COMPUTED_VALUE"""),"Harris English")</f>
        <v>Harris English</v>
      </c>
      <c r="D18">
        <f ca="1">IFERROR(__xludf.DUMMYFUNCTION("""COMPUTED_VALUE"""),4)</f>
        <v>4</v>
      </c>
      <c r="E18" s="4">
        <f ca="1">IFERROR(__xludf.DUMMYFUNCTION("""COMPUTED_VALUE"""),917290)</f>
        <v>917290</v>
      </c>
    </row>
    <row r="19" spans="1:5" ht="15.75" customHeight="1">
      <c r="A19">
        <f ca="1">IFERROR(__xludf.DUMMYFUNCTION("""COMPUTED_VALUE"""),18)</f>
        <v>18</v>
      </c>
      <c r="B19">
        <f ca="1">IFERROR(__xludf.DUMMYFUNCTION("""COMPUTED_VALUE"""),15)</f>
        <v>15</v>
      </c>
      <c r="C19" t="str">
        <f ca="1">IFERROR(__xludf.DUMMYFUNCTION("""COMPUTED_VALUE"""),"Will Zalatoris")</f>
        <v>Will Zalatoris</v>
      </c>
      <c r="D19">
        <f ca="1">IFERROR(__xludf.DUMMYFUNCTION("""COMPUTED_VALUE"""),5)</f>
        <v>5</v>
      </c>
      <c r="E19" s="4">
        <f ca="1">IFERROR(__xludf.DUMMYFUNCTION("""COMPUTED_VALUE"""),861040)</f>
        <v>861040</v>
      </c>
    </row>
    <row r="20" spans="1:5" ht="15.75" customHeight="1">
      <c r="A20">
        <f ca="1">IFERROR(__xludf.DUMMYFUNCTION("""COMPUTED_VALUE"""),19)</f>
        <v>19</v>
      </c>
      <c r="B20">
        <f ca="1">IFERROR(__xludf.DUMMYFUNCTION("""COMPUTED_VALUE"""),24)</f>
        <v>24</v>
      </c>
      <c r="C20" t="str">
        <f ca="1">IFERROR(__xludf.DUMMYFUNCTION("""COMPUTED_VALUE"""),"Tyrrell Hatton")</f>
        <v>Tyrrell Hatton</v>
      </c>
      <c r="D20">
        <f ca="1">IFERROR(__xludf.DUMMYFUNCTION("""COMPUTED_VALUE"""),4)</f>
        <v>4</v>
      </c>
      <c r="E20" s="4">
        <f ca="1">IFERROR(__xludf.DUMMYFUNCTION("""COMPUTED_VALUE"""),828262)</f>
        <v>828262</v>
      </c>
    </row>
    <row r="21" spans="1:5" ht="15.75" customHeight="1">
      <c r="A21">
        <f ca="1">IFERROR(__xludf.DUMMYFUNCTION("""COMPUTED_VALUE"""),20)</f>
        <v>20</v>
      </c>
      <c r="B21">
        <f ca="1">IFERROR(__xludf.DUMMYFUNCTION("""COMPUTED_VALUE"""),16)</f>
        <v>16</v>
      </c>
      <c r="C21" t="str">
        <f ca="1">IFERROR(__xludf.DUMMYFUNCTION("""COMPUTED_VALUE"""),"Harry Higgs")</f>
        <v>Harry Higgs</v>
      </c>
      <c r="D21">
        <f ca="1">IFERROR(__xludf.DUMMYFUNCTION("""COMPUTED_VALUE"""),4)</f>
        <v>4</v>
      </c>
      <c r="E21" s="4">
        <f ca="1">IFERROR(__xludf.DUMMYFUNCTION("""COMPUTED_VALUE"""),827836)</f>
        <v>827836</v>
      </c>
    </row>
    <row r="22" spans="1:5" ht="15.75" customHeight="1">
      <c r="A22">
        <f ca="1">IFERROR(__xludf.DUMMYFUNCTION("""COMPUTED_VALUE"""),21)</f>
        <v>21</v>
      </c>
      <c r="B22">
        <f ca="1">IFERROR(__xludf.DUMMYFUNCTION("""COMPUTED_VALUE"""),37)</f>
        <v>37</v>
      </c>
      <c r="C22" t="str">
        <f ca="1">IFERROR(__xludf.DUMMYFUNCTION("""COMPUTED_VALUE"""),"Talor Gooch")</f>
        <v>Talor Gooch</v>
      </c>
      <c r="D22">
        <f ca="1">IFERROR(__xludf.DUMMYFUNCTION("""COMPUTED_VALUE"""),6)</f>
        <v>6</v>
      </c>
      <c r="E22" s="4">
        <f ca="1">IFERROR(__xludf.DUMMYFUNCTION("""COMPUTED_VALUE"""),798390)</f>
        <v>798390</v>
      </c>
    </row>
    <row r="23" spans="1:5" ht="15.75" customHeight="1">
      <c r="A23">
        <f ca="1">IFERROR(__xludf.DUMMYFUNCTION("""COMPUTED_VALUE"""),22)</f>
        <v>22</v>
      </c>
      <c r="B23">
        <f ca="1">IFERROR(__xludf.DUMMYFUNCTION("""COMPUTED_VALUE"""),17)</f>
        <v>17</v>
      </c>
      <c r="C23" t="str">
        <f ca="1">IFERROR(__xludf.DUMMYFUNCTION("""COMPUTED_VALUE"""),"Hudson Swafford")</f>
        <v>Hudson Swafford</v>
      </c>
      <c r="D23">
        <f ca="1">IFERROR(__xludf.DUMMYFUNCTION("""COMPUTED_VALUE"""),6)</f>
        <v>6</v>
      </c>
      <c r="E23" s="4">
        <f ca="1">IFERROR(__xludf.DUMMYFUNCTION("""COMPUTED_VALUE"""),743834)</f>
        <v>743834</v>
      </c>
    </row>
    <row r="24" spans="1:5" ht="15.75" customHeight="1">
      <c r="A24">
        <f ca="1">IFERROR(__xludf.DUMMYFUNCTION("""COMPUTED_VALUE"""),23)</f>
        <v>23</v>
      </c>
      <c r="B24">
        <f ca="1">IFERROR(__xludf.DUMMYFUNCTION("""COMPUTED_VALUE"""),18)</f>
        <v>18</v>
      </c>
      <c r="C24" t="str">
        <f ca="1">IFERROR(__xludf.DUMMYFUNCTION("""COMPUTED_VALUE"""),"Brian Gay")</f>
        <v>Brian Gay</v>
      </c>
      <c r="D24">
        <f ca="1">IFERROR(__xludf.DUMMYFUNCTION("""COMPUTED_VALUE"""),3)</f>
        <v>3</v>
      </c>
      <c r="E24" s="4">
        <f ca="1">IFERROR(__xludf.DUMMYFUNCTION("""COMPUTED_VALUE"""),720000)</f>
        <v>720000</v>
      </c>
    </row>
    <row r="25" spans="1:5" ht="15.75" customHeight="1">
      <c r="A25">
        <f ca="1">IFERROR(__xludf.DUMMYFUNCTION("""COMPUTED_VALUE"""),24)</f>
        <v>24</v>
      </c>
      <c r="B25">
        <f ca="1">IFERROR(__xludf.DUMMYFUNCTION("""COMPUTED_VALUE"""),19)</f>
        <v>19</v>
      </c>
      <c r="C25" t="str">
        <f ca="1">IFERROR(__xludf.DUMMYFUNCTION("""COMPUTED_VALUE"""),"Bubba Watson")</f>
        <v>Bubba Watson</v>
      </c>
      <c r="D25">
        <f ca="1">IFERROR(__xludf.DUMMYFUNCTION("""COMPUTED_VALUE"""),3)</f>
        <v>3</v>
      </c>
      <c r="E25" s="4">
        <f ca="1">IFERROR(__xludf.DUMMYFUNCTION("""COMPUTED_VALUE"""),705087)</f>
        <v>705087</v>
      </c>
    </row>
    <row r="26" spans="1:5" ht="15.75" customHeight="1">
      <c r="A26">
        <f ca="1">IFERROR(__xludf.DUMMYFUNCTION("""COMPUTED_VALUE"""),25)</f>
        <v>25</v>
      </c>
      <c r="B26">
        <f ca="1">IFERROR(__xludf.DUMMYFUNCTION("""COMPUTED_VALUE"""),22)</f>
        <v>22</v>
      </c>
      <c r="C26" t="str">
        <f ca="1">IFERROR(__xludf.DUMMYFUNCTION("""COMPUTED_VALUE"""),"Austin Cook")</f>
        <v>Austin Cook</v>
      </c>
      <c r="D26">
        <f ca="1">IFERROR(__xludf.DUMMYFUNCTION("""COMPUTED_VALUE"""),4)</f>
        <v>4</v>
      </c>
      <c r="E26" s="4">
        <f ca="1">IFERROR(__xludf.DUMMYFUNCTION("""COMPUTED_VALUE"""),697257)</f>
        <v>697257</v>
      </c>
    </row>
    <row r="27" spans="1:5" ht="15.75" customHeight="1">
      <c r="A27">
        <f ca="1">IFERROR(__xludf.DUMMYFUNCTION("""COMPUTED_VALUE"""),26)</f>
        <v>26</v>
      </c>
      <c r="B27">
        <f ca="1">IFERROR(__xludf.DUMMYFUNCTION("""COMPUTED_VALUE"""),20)</f>
        <v>20</v>
      </c>
      <c r="C27" t="str">
        <f ca="1">IFERROR(__xludf.DUMMYFUNCTION("""COMPUTED_VALUE"""),"Joaquin Niemann")</f>
        <v>Joaquin Niemann</v>
      </c>
      <c r="D27">
        <f ca="1">IFERROR(__xludf.DUMMYFUNCTION("""COMPUTED_VALUE"""),4)</f>
        <v>4</v>
      </c>
      <c r="E27" s="4">
        <f ca="1">IFERROR(__xludf.DUMMYFUNCTION("""COMPUTED_VALUE"""),674071)</f>
        <v>674071</v>
      </c>
    </row>
    <row r="28" spans="1:5" ht="15.75" customHeight="1">
      <c r="A28">
        <f ca="1">IFERROR(__xludf.DUMMYFUNCTION("""COMPUTED_VALUE"""),27)</f>
        <v>27</v>
      </c>
      <c r="B28">
        <f ca="1">IFERROR(__xludf.DUMMYFUNCTION("""COMPUTED_VALUE"""),21)</f>
        <v>21</v>
      </c>
      <c r="C28" t="str">
        <f ca="1">IFERROR(__xludf.DUMMYFUNCTION("""COMPUTED_VALUE"""),"Cameron Smith")</f>
        <v>Cameron Smith</v>
      </c>
      <c r="D28">
        <f ca="1">IFERROR(__xludf.DUMMYFUNCTION("""COMPUTED_VALUE"""),4)</f>
        <v>4</v>
      </c>
      <c r="E28" s="4">
        <f ca="1">IFERROR(__xludf.DUMMYFUNCTION("""COMPUTED_VALUE"""),672774)</f>
        <v>672774</v>
      </c>
    </row>
    <row r="29" spans="1:5" ht="15.75" customHeight="1">
      <c r="A29">
        <f ca="1">IFERROR(__xludf.DUMMYFUNCTION("""COMPUTED_VALUE"""),28)</f>
        <v>28</v>
      </c>
      <c r="B29">
        <f ca="1">IFERROR(__xludf.DUMMYFUNCTION("""COMPUTED_VALUE"""),23)</f>
        <v>23</v>
      </c>
      <c r="C29" t="str">
        <f ca="1">IFERROR(__xludf.DUMMYFUNCTION("""COMPUTED_VALUE"""),"Tyler McCumber")</f>
        <v>Tyler McCumber</v>
      </c>
      <c r="D29">
        <f ca="1">IFERROR(__xludf.DUMMYFUNCTION("""COMPUTED_VALUE"""),5)</f>
        <v>5</v>
      </c>
      <c r="E29" s="4">
        <f ca="1">IFERROR(__xludf.DUMMYFUNCTION("""COMPUTED_VALUE"""),637300)</f>
        <v>637300</v>
      </c>
    </row>
    <row r="30" spans="1:5" ht="15.75" customHeight="1">
      <c r="A30">
        <f ca="1">IFERROR(__xludf.DUMMYFUNCTION("""COMPUTED_VALUE"""),29)</f>
        <v>29</v>
      </c>
      <c r="B30">
        <f ca="1">IFERROR(__xludf.DUMMYFUNCTION("""COMPUTED_VALUE"""),30)</f>
        <v>30</v>
      </c>
      <c r="C30" t="str">
        <f ca="1">IFERROR(__xludf.DUMMYFUNCTION("""COMPUTED_VALUE"""),"J.T. Poston")</f>
        <v>J.T. Poston</v>
      </c>
      <c r="D30">
        <f ca="1">IFERROR(__xludf.DUMMYFUNCTION("""COMPUTED_VALUE"""),5)</f>
        <v>5</v>
      </c>
      <c r="E30" s="4">
        <f ca="1">IFERROR(__xludf.DUMMYFUNCTION("""COMPUTED_VALUE"""),607595)</f>
        <v>607595</v>
      </c>
    </row>
    <row r="31" spans="1:5" ht="12.75">
      <c r="A31">
        <f ca="1">IFERROR(__xludf.DUMMYFUNCTION("""COMPUTED_VALUE"""),30)</f>
        <v>30</v>
      </c>
      <c r="B31">
        <f ca="1">IFERROR(__xludf.DUMMYFUNCTION("""COMPUTED_VALUE"""),26)</f>
        <v>26</v>
      </c>
      <c r="C31" t="str">
        <f ca="1">IFERROR(__xludf.DUMMYFUNCTION("""COMPUTED_VALUE"""),"James Hahn")</f>
        <v>James Hahn</v>
      </c>
      <c r="D31">
        <f ca="1">IFERROR(__xludf.DUMMYFUNCTION("""COMPUTED_VALUE"""),4)</f>
        <v>4</v>
      </c>
      <c r="E31" s="4">
        <f ca="1">IFERROR(__xludf.DUMMYFUNCTION("""COMPUTED_VALUE"""),582538)</f>
        <v>582538</v>
      </c>
    </row>
    <row r="32" spans="1:5" ht="12.75">
      <c r="A32">
        <f ca="1">IFERROR(__xludf.DUMMYFUNCTION("""COMPUTED_VALUE"""),31)</f>
        <v>31</v>
      </c>
      <c r="B32">
        <f ca="1">IFERROR(__xludf.DUMMYFUNCTION("""COMPUTED_VALUE"""),25)</f>
        <v>25</v>
      </c>
      <c r="C32" t="str">
        <f ca="1">IFERROR(__xludf.DUMMYFUNCTION("""COMPUTED_VALUE"""),"Wyndham Clark")</f>
        <v>Wyndham Clark</v>
      </c>
      <c r="D32">
        <f ca="1">IFERROR(__xludf.DUMMYFUNCTION("""COMPUTED_VALUE"""),5)</f>
        <v>5</v>
      </c>
      <c r="E32" s="4">
        <f ca="1">IFERROR(__xludf.DUMMYFUNCTION("""COMPUTED_VALUE"""),575475)</f>
        <v>575475</v>
      </c>
    </row>
    <row r="33" spans="1:5" ht="12.75">
      <c r="A33">
        <f ca="1">IFERROR(__xludf.DUMMYFUNCTION("""COMPUTED_VALUE"""),32)</f>
        <v>32</v>
      </c>
      <c r="B33">
        <f ca="1">IFERROR(__xludf.DUMMYFUNCTION("""COMPUTED_VALUE"""),42)</f>
        <v>42</v>
      </c>
      <c r="C33" t="str">
        <f ca="1">IFERROR(__xludf.DUMMYFUNCTION("""COMPUTED_VALUE"""),"Adam Long")</f>
        <v>Adam Long</v>
      </c>
      <c r="D33">
        <f ca="1">IFERROR(__xludf.DUMMYFUNCTION("""COMPUTED_VALUE"""),6)</f>
        <v>6</v>
      </c>
      <c r="E33" s="4">
        <f ca="1">IFERROR(__xludf.DUMMYFUNCTION("""COMPUTED_VALUE"""),561447)</f>
        <v>561447</v>
      </c>
    </row>
    <row r="34" spans="1:5" ht="12.75">
      <c r="A34">
        <f ca="1">IFERROR(__xludf.DUMMYFUNCTION("""COMPUTED_VALUE"""),33)</f>
        <v>33</v>
      </c>
      <c r="B34">
        <f ca="1">IFERROR(__xludf.DUMMYFUNCTION("""COMPUTED_VALUE"""),27)</f>
        <v>27</v>
      </c>
      <c r="C34" t="str">
        <f ca="1">IFERROR(__xludf.DUMMYFUNCTION("""COMPUTED_VALUE"""),"Sebastián Muñoz")</f>
        <v>Sebastián Muñoz</v>
      </c>
      <c r="D34">
        <f ca="1">IFERROR(__xludf.DUMMYFUNCTION("""COMPUTED_VALUE"""),5)</f>
        <v>5</v>
      </c>
      <c r="E34" s="4">
        <f ca="1">IFERROR(__xludf.DUMMYFUNCTION("""COMPUTED_VALUE"""),558999)</f>
        <v>558999</v>
      </c>
    </row>
    <row r="35" spans="1:5" ht="12.75">
      <c r="A35">
        <f ca="1">IFERROR(__xludf.DUMMYFUNCTION("""COMPUTED_VALUE"""),34)</f>
        <v>34</v>
      </c>
      <c r="B35">
        <f ca="1">IFERROR(__xludf.DUMMYFUNCTION("""COMPUTED_VALUE"""),28)</f>
        <v>28</v>
      </c>
      <c r="C35" t="str">
        <f ca="1">IFERROR(__xludf.DUMMYFUNCTION("""COMPUTED_VALUE"""),"Lanto Griffin")</f>
        <v>Lanto Griffin</v>
      </c>
      <c r="D35">
        <f ca="1">IFERROR(__xludf.DUMMYFUNCTION("""COMPUTED_VALUE"""),5)</f>
        <v>5</v>
      </c>
      <c r="E35" s="4">
        <f ca="1">IFERROR(__xludf.DUMMYFUNCTION("""COMPUTED_VALUE"""),553603)</f>
        <v>553603</v>
      </c>
    </row>
    <row r="36" spans="1:5" ht="12.75">
      <c r="A36">
        <f ca="1">IFERROR(__xludf.DUMMYFUNCTION("""COMPUTED_VALUE"""),35)</f>
        <v>35</v>
      </c>
      <c r="B36">
        <f ca="1">IFERROR(__xludf.DUMMYFUNCTION("""COMPUTED_VALUE"""),34)</f>
        <v>34</v>
      </c>
      <c r="C36" t="str">
        <f ca="1">IFERROR(__xludf.DUMMYFUNCTION("""COMPUTED_VALUE"""),"Tony Finau")</f>
        <v>Tony Finau</v>
      </c>
      <c r="D36">
        <f ca="1">IFERROR(__xludf.DUMMYFUNCTION("""COMPUTED_VALUE"""),3)</f>
        <v>3</v>
      </c>
      <c r="E36" s="4">
        <f ca="1">IFERROR(__xludf.DUMMYFUNCTION("""COMPUTED_VALUE"""),544686)</f>
        <v>544686</v>
      </c>
    </row>
    <row r="37" spans="1:5" ht="12.75">
      <c r="A37">
        <f ca="1">IFERROR(__xludf.DUMMYFUNCTION("""COMPUTED_VALUE"""),36)</f>
        <v>36</v>
      </c>
      <c r="B37">
        <f ca="1">IFERROR(__xludf.DUMMYFUNCTION("""COMPUTED_VALUE"""),29)</f>
        <v>29</v>
      </c>
      <c r="C37" t="str">
        <f ca="1">IFERROR(__xludf.DUMMYFUNCTION("""COMPUTED_VALUE"""),"Doc Redman")</f>
        <v>Doc Redman</v>
      </c>
      <c r="D37">
        <f ca="1">IFERROR(__xludf.DUMMYFUNCTION("""COMPUTED_VALUE"""),5)</f>
        <v>5</v>
      </c>
      <c r="E37" s="4">
        <f ca="1">IFERROR(__xludf.DUMMYFUNCTION("""COMPUTED_VALUE"""),543903)</f>
        <v>543903</v>
      </c>
    </row>
    <row r="38" spans="1:5" ht="12.75">
      <c r="A38">
        <f ca="1">IFERROR(__xludf.DUMMYFUNCTION("""COMPUTED_VALUE"""),37)</f>
        <v>37</v>
      </c>
      <c r="B38">
        <f ca="1">IFERROR(__xludf.DUMMYFUNCTION("""COMPUTED_VALUE"""),41)</f>
        <v>41</v>
      </c>
      <c r="C38" t="str">
        <f ca="1">IFERROR(__xludf.DUMMYFUNCTION("""COMPUTED_VALUE"""),"Viktor Hovland")</f>
        <v>Viktor Hovland</v>
      </c>
      <c r="D38">
        <f ca="1">IFERROR(__xludf.DUMMYFUNCTION("""COMPUTED_VALUE"""),4)</f>
        <v>4</v>
      </c>
      <c r="E38" s="4">
        <f ca="1">IFERROR(__xludf.DUMMYFUNCTION("""COMPUTED_VALUE"""),534880)</f>
        <v>534880</v>
      </c>
    </row>
    <row r="39" spans="1:5" ht="12.75">
      <c r="A39">
        <f ca="1">IFERROR(__xludf.DUMMYFUNCTION("""COMPUTED_VALUE"""),38)</f>
        <v>38</v>
      </c>
      <c r="B39">
        <f ca="1">IFERROR(__xludf.DUMMYFUNCTION("""COMPUTED_VALUE"""),52)</f>
        <v>52</v>
      </c>
      <c r="C39" t="str">
        <f ca="1">IFERROR(__xludf.DUMMYFUNCTION("""COMPUTED_VALUE"""),"Mackenzie Hughes")</f>
        <v>Mackenzie Hughes</v>
      </c>
      <c r="D39">
        <f ca="1">IFERROR(__xludf.DUMMYFUNCTION("""COMPUTED_VALUE"""),5)</f>
        <v>5</v>
      </c>
      <c r="E39" s="4">
        <f ca="1">IFERROR(__xludf.DUMMYFUNCTION("""COMPUTED_VALUE"""),533348)</f>
        <v>533348</v>
      </c>
    </row>
    <row r="40" spans="1:5" ht="12.75">
      <c r="A40">
        <f ca="1">IFERROR(__xludf.DUMMYFUNCTION("""COMPUTED_VALUE"""),39)</f>
        <v>39</v>
      </c>
      <c r="B40">
        <f ca="1">IFERROR(__xludf.DUMMYFUNCTION("""COMPUTED_VALUE"""),31)</f>
        <v>31</v>
      </c>
      <c r="C40" t="str">
        <f ca="1">IFERROR(__xludf.DUMMYFUNCTION("""COMPUTED_VALUE"""),"Webb Simpson")</f>
        <v>Webb Simpson</v>
      </c>
      <c r="D40">
        <f ca="1">IFERROR(__xludf.DUMMYFUNCTION("""COMPUTED_VALUE"""),3)</f>
        <v>3</v>
      </c>
      <c r="E40" s="4">
        <f ca="1">IFERROR(__xludf.DUMMYFUNCTION("""COMPUTED_VALUE"""),523510)</f>
        <v>523510</v>
      </c>
    </row>
    <row r="41" spans="1:5" ht="12.75">
      <c r="A41">
        <f ca="1">IFERROR(__xludf.DUMMYFUNCTION("""COMPUTED_VALUE"""),40)</f>
        <v>40</v>
      </c>
      <c r="B41">
        <f ca="1">IFERROR(__xludf.DUMMYFUNCTION("""COMPUTED_VALUE"""),32)</f>
        <v>32</v>
      </c>
      <c r="C41" t="str">
        <f ca="1">IFERROR(__xludf.DUMMYFUNCTION("""COMPUTED_VALUE"""),"Rory McIlroy")</f>
        <v>Rory McIlroy</v>
      </c>
      <c r="D41">
        <f ca="1">IFERROR(__xludf.DUMMYFUNCTION("""COMPUTED_VALUE"""),3)</f>
        <v>3</v>
      </c>
      <c r="E41" s="4">
        <f ca="1">IFERROR(__xludf.DUMMYFUNCTION("""COMPUTED_VALUE"""),490050)</f>
        <v>490050</v>
      </c>
    </row>
    <row r="42" spans="1:5" ht="12.75">
      <c r="A42">
        <f ca="1">IFERROR(__xludf.DUMMYFUNCTION("""COMPUTED_VALUE"""),41)</f>
        <v>41</v>
      </c>
      <c r="B42">
        <f ca="1">IFERROR(__xludf.DUMMYFUNCTION("""COMPUTED_VALUE"""),60)</f>
        <v>60</v>
      </c>
      <c r="C42" t="str">
        <f ca="1">IFERROR(__xludf.DUMMYFUNCTION("""COMPUTED_VALUE"""),"Sam Burns")</f>
        <v>Sam Burns</v>
      </c>
      <c r="D42">
        <f ca="1">IFERROR(__xludf.DUMMYFUNCTION("""COMPUTED_VALUE"""),5)</f>
        <v>5</v>
      </c>
      <c r="E42" s="4">
        <f ca="1">IFERROR(__xludf.DUMMYFUNCTION("""COMPUTED_VALUE"""),488008)</f>
        <v>488008</v>
      </c>
    </row>
    <row r="43" spans="1:5" ht="12.75">
      <c r="A43">
        <f ca="1">IFERROR(__xludf.DUMMYFUNCTION("""COMPUTED_VALUE"""),42)</f>
        <v>42</v>
      </c>
      <c r="B43">
        <f ca="1">IFERROR(__xludf.DUMMYFUNCTION("""COMPUTED_VALUE"""),33)</f>
        <v>33</v>
      </c>
      <c r="C43" t="str">
        <f ca="1">IFERROR(__xludf.DUMMYFUNCTION("""COMPUTED_VALUE"""),"Ryan Palmer")</f>
        <v>Ryan Palmer</v>
      </c>
      <c r="D43">
        <f ca="1">IFERROR(__xludf.DUMMYFUNCTION("""COMPUTED_VALUE"""),4)</f>
        <v>4</v>
      </c>
      <c r="E43" s="4">
        <f ca="1">IFERROR(__xludf.DUMMYFUNCTION("""COMPUTED_VALUE"""),487518)</f>
        <v>487518</v>
      </c>
    </row>
    <row r="44" spans="1:5" ht="12.75">
      <c r="A44">
        <f ca="1">IFERROR(__xludf.DUMMYFUNCTION("""COMPUTED_VALUE"""),43)</f>
        <v>43</v>
      </c>
      <c r="B44">
        <f ca="1">IFERROR(__xludf.DUMMYFUNCTION("""COMPUTED_VALUE"""),35)</f>
        <v>35</v>
      </c>
      <c r="C44" t="str">
        <f ca="1">IFERROR(__xludf.DUMMYFUNCTION("""COMPUTED_VALUE"""),"Kevin Streelman")</f>
        <v>Kevin Streelman</v>
      </c>
      <c r="D44">
        <f ca="1">IFERROR(__xludf.DUMMYFUNCTION("""COMPUTED_VALUE"""),6)</f>
        <v>6</v>
      </c>
      <c r="E44" s="4">
        <f ca="1">IFERROR(__xludf.DUMMYFUNCTION("""COMPUTED_VALUE"""),464256)</f>
        <v>464256</v>
      </c>
    </row>
    <row r="45" spans="1:5" ht="12.75">
      <c r="A45">
        <f ca="1">IFERROR(__xludf.DUMMYFUNCTION("""COMPUTED_VALUE"""),44)</f>
        <v>44</v>
      </c>
      <c r="B45">
        <f ca="1">IFERROR(__xludf.DUMMYFUNCTION("""COMPUTED_VALUE"""),38)</f>
        <v>38</v>
      </c>
      <c r="C45" t="str">
        <f ca="1">IFERROR(__xludf.DUMMYFUNCTION("""COMPUTED_VALUE"""),"Zach Johnson")</f>
        <v>Zach Johnson</v>
      </c>
      <c r="D45">
        <f ca="1">IFERROR(__xludf.DUMMYFUNCTION("""COMPUTED_VALUE"""),4)</f>
        <v>4</v>
      </c>
      <c r="E45" s="4">
        <f ca="1">IFERROR(__xludf.DUMMYFUNCTION("""COMPUTED_VALUE"""),464224)</f>
        <v>464224</v>
      </c>
    </row>
    <row r="46" spans="1:5" ht="12.75">
      <c r="A46">
        <f ca="1">IFERROR(__xludf.DUMMYFUNCTION("""COMPUTED_VALUE"""),45)</f>
        <v>45</v>
      </c>
      <c r="B46">
        <f ca="1">IFERROR(__xludf.DUMMYFUNCTION("""COMPUTED_VALUE"""),36)</f>
        <v>36</v>
      </c>
      <c r="C46" t="str">
        <f ca="1">IFERROR(__xludf.DUMMYFUNCTION("""COMPUTED_VALUE"""),"Abraham Ancer")</f>
        <v>Abraham Ancer</v>
      </c>
      <c r="D46">
        <f ca="1">IFERROR(__xludf.DUMMYFUNCTION("""COMPUTED_VALUE"""),4)</f>
        <v>4</v>
      </c>
      <c r="E46" s="4">
        <f ca="1">IFERROR(__xludf.DUMMYFUNCTION("""COMPUTED_VALUE"""),463888)</f>
        <v>463888</v>
      </c>
    </row>
    <row r="47" spans="1:5" ht="12.75">
      <c r="A47">
        <f ca="1">IFERROR(__xludf.DUMMYFUNCTION("""COMPUTED_VALUE"""),46)</f>
        <v>46</v>
      </c>
      <c r="B47">
        <f ca="1">IFERROR(__xludf.DUMMYFUNCTION("""COMPUTED_VALUE"""),84)</f>
        <v>84</v>
      </c>
      <c r="C47" t="str">
        <f ca="1">IFERROR(__xludf.DUMMYFUNCTION("""COMPUTED_VALUE"""),"Sepp Straka")</f>
        <v>Sepp Straka</v>
      </c>
      <c r="D47">
        <f ca="1">IFERROR(__xludf.DUMMYFUNCTION("""COMPUTED_VALUE"""),6)</f>
        <v>6</v>
      </c>
      <c r="E47" s="4">
        <f ca="1">IFERROR(__xludf.DUMMYFUNCTION("""COMPUTED_VALUE"""),455100)</f>
        <v>455100</v>
      </c>
    </row>
    <row r="48" spans="1:5" ht="12.75">
      <c r="A48">
        <f ca="1">IFERROR(__xludf.DUMMYFUNCTION("""COMPUTED_VALUE"""),47)</f>
        <v>47</v>
      </c>
      <c r="B48">
        <f ca="1">IFERROR(__xludf.DUMMYFUNCTION("""COMPUTED_VALUE"""),39)</f>
        <v>39</v>
      </c>
      <c r="C48" t="str">
        <f ca="1">IFERROR(__xludf.DUMMYFUNCTION("""COMPUTED_VALUE"""),"Kristoffer Ventura")</f>
        <v>Kristoffer Ventura</v>
      </c>
      <c r="D48">
        <f ca="1">IFERROR(__xludf.DUMMYFUNCTION("""COMPUTED_VALUE"""),6)</f>
        <v>6</v>
      </c>
      <c r="E48" s="4">
        <f ca="1">IFERROR(__xludf.DUMMYFUNCTION("""COMPUTED_VALUE"""),440500)</f>
        <v>440500</v>
      </c>
    </row>
    <row r="49" spans="1:5" ht="12.75">
      <c r="A49">
        <f ca="1">IFERROR(__xludf.DUMMYFUNCTION("""COMPUTED_VALUE"""),48)</f>
        <v>48</v>
      </c>
      <c r="B49">
        <f ca="1">IFERROR(__xludf.DUMMYFUNCTION("""COMPUTED_VALUE"""),43)</f>
        <v>43</v>
      </c>
      <c r="C49" t="str">
        <f ca="1">IFERROR(__xludf.DUMMYFUNCTION("""COMPUTED_VALUE"""),"Denny McCarthy")</f>
        <v>Denny McCarthy</v>
      </c>
      <c r="D49">
        <f ca="1">IFERROR(__xludf.DUMMYFUNCTION("""COMPUTED_VALUE"""),6)</f>
        <v>6</v>
      </c>
      <c r="E49" s="4">
        <f ca="1">IFERROR(__xludf.DUMMYFUNCTION("""COMPUTED_VALUE"""),420082)</f>
        <v>420082</v>
      </c>
    </row>
    <row r="50" spans="1:5" ht="12.75">
      <c r="A50">
        <f ca="1">IFERROR(__xludf.DUMMYFUNCTION("""COMPUTED_VALUE"""),49)</f>
        <v>49</v>
      </c>
      <c r="B50">
        <f ca="1">IFERROR(__xludf.DUMMYFUNCTION("""COMPUTED_VALUE"""),49)</f>
        <v>49</v>
      </c>
      <c r="C50" t="str">
        <f ca="1">IFERROR(__xludf.DUMMYFUNCTION("""COMPUTED_VALUE"""),"Corey Conners")</f>
        <v>Corey Conners</v>
      </c>
      <c r="D50">
        <f ca="1">IFERROR(__xludf.DUMMYFUNCTION("""COMPUTED_VALUE"""),6)</f>
        <v>6</v>
      </c>
      <c r="E50" s="4">
        <f ca="1">IFERROR(__xludf.DUMMYFUNCTION("""COMPUTED_VALUE"""),399920)</f>
        <v>399920</v>
      </c>
    </row>
    <row r="51" spans="1:5" ht="12.75">
      <c r="A51">
        <f ca="1">IFERROR(__xludf.DUMMYFUNCTION("""COMPUTED_VALUE"""),50)</f>
        <v>50</v>
      </c>
      <c r="B51">
        <f ca="1">IFERROR(__xludf.DUMMYFUNCTION("""COMPUTED_VALUE"""),51)</f>
        <v>51</v>
      </c>
      <c r="C51" t="str">
        <f ca="1">IFERROR(__xludf.DUMMYFUNCTION("""COMPUTED_VALUE"""),"Brian Harman")</f>
        <v>Brian Harman</v>
      </c>
      <c r="D51">
        <f ca="1">IFERROR(__xludf.DUMMYFUNCTION("""COMPUTED_VALUE"""),6)</f>
        <v>6</v>
      </c>
      <c r="E51" s="4">
        <f ca="1">IFERROR(__xludf.DUMMYFUNCTION("""COMPUTED_VALUE"""),382666)</f>
        <v>382666</v>
      </c>
    </row>
    <row r="52" spans="1:5" ht="12.75">
      <c r="A52">
        <f ca="1">IFERROR(__xludf.DUMMYFUNCTION("""COMPUTED_VALUE"""),51)</f>
        <v>51</v>
      </c>
      <c r="B52">
        <f ca="1">IFERROR(__xludf.DUMMYFUNCTION("""COMPUTED_VALUE"""),44)</f>
        <v>44</v>
      </c>
      <c r="C52" t="str">
        <f ca="1">IFERROR(__xludf.DUMMYFUNCTION("""COMPUTED_VALUE"""),"Si Woo Kim")</f>
        <v>Si Woo Kim</v>
      </c>
      <c r="D52">
        <f ca="1">IFERROR(__xludf.DUMMYFUNCTION("""COMPUTED_VALUE"""),6)</f>
        <v>6</v>
      </c>
      <c r="E52" s="4">
        <f ca="1">IFERROR(__xludf.DUMMYFUNCTION("""COMPUTED_VALUE"""),381265)</f>
        <v>381265</v>
      </c>
    </row>
    <row r="53" spans="1:5" ht="12.75">
      <c r="A53">
        <f ca="1">IFERROR(__xludf.DUMMYFUNCTION("""COMPUTED_VALUE"""),52)</f>
        <v>52</v>
      </c>
      <c r="B53">
        <f ca="1">IFERROR(__xludf.DUMMYFUNCTION("""COMPUTED_VALUE"""),45)</f>
        <v>45</v>
      </c>
      <c r="C53" t="str">
        <f ca="1">IFERROR(__xludf.DUMMYFUNCTION("""COMPUTED_VALUE"""),"Sungjae Im")</f>
        <v>Sungjae Im</v>
      </c>
      <c r="D53">
        <f ca="1">IFERROR(__xludf.DUMMYFUNCTION("""COMPUTED_VALUE"""),6)</f>
        <v>6</v>
      </c>
      <c r="E53" s="4">
        <f ca="1">IFERROR(__xludf.DUMMYFUNCTION("""COMPUTED_VALUE"""),372676)</f>
        <v>372676</v>
      </c>
    </row>
    <row r="54" spans="1:5" ht="12.75">
      <c r="A54">
        <f ca="1">IFERROR(__xludf.DUMMYFUNCTION("""COMPUTED_VALUE"""),53)</f>
        <v>53</v>
      </c>
      <c r="B54">
        <f ca="1">IFERROR(__xludf.DUMMYFUNCTION("""COMPUTED_VALUE"""),48)</f>
        <v>48</v>
      </c>
      <c r="C54" t="str">
        <f ca="1">IFERROR(__xludf.DUMMYFUNCTION("""COMPUTED_VALUE"""),"Brian Stuard")</f>
        <v>Brian Stuard</v>
      </c>
      <c r="D54">
        <f ca="1">IFERROR(__xludf.DUMMYFUNCTION("""COMPUTED_VALUE"""),6)</f>
        <v>6</v>
      </c>
      <c r="E54" s="4">
        <f ca="1">IFERROR(__xludf.DUMMYFUNCTION("""COMPUTED_VALUE"""),359500)</f>
        <v>359500</v>
      </c>
    </row>
    <row r="55" spans="1:5" ht="12.75">
      <c r="A55">
        <f ca="1">IFERROR(__xludf.DUMMYFUNCTION("""COMPUTED_VALUE"""),54)</f>
        <v>54</v>
      </c>
      <c r="B55">
        <f ca="1">IFERROR(__xludf.DUMMYFUNCTION("""COMPUTED_VALUE"""),46)</f>
        <v>46</v>
      </c>
      <c r="C55" t="str">
        <f ca="1">IFERROR(__xludf.DUMMYFUNCTION("""COMPUTED_VALUE"""),"Chez Reavie")</f>
        <v>Chez Reavie</v>
      </c>
      <c r="D55">
        <f ca="1">IFERROR(__xludf.DUMMYFUNCTION("""COMPUTED_VALUE"""),4)</f>
        <v>4</v>
      </c>
      <c r="E55" s="4">
        <f ca="1">IFERROR(__xludf.DUMMYFUNCTION("""COMPUTED_VALUE"""),355473)</f>
        <v>355473</v>
      </c>
    </row>
    <row r="56" spans="1:5" ht="12.75">
      <c r="A56">
        <f ca="1">IFERROR(__xludf.DUMMYFUNCTION("""COMPUTED_VALUE"""),55)</f>
        <v>55</v>
      </c>
      <c r="B56">
        <f ca="1">IFERROR(__xludf.DUMMYFUNCTION("""COMPUTED_VALUE"""),47)</f>
        <v>47</v>
      </c>
      <c r="C56" t="str">
        <f ca="1">IFERROR(__xludf.DUMMYFUNCTION("""COMPUTED_VALUE"""),"Patrick Reed")</f>
        <v>Patrick Reed</v>
      </c>
      <c r="D56">
        <f ca="1">IFERROR(__xludf.DUMMYFUNCTION("""COMPUTED_VALUE"""),2)</f>
        <v>2</v>
      </c>
      <c r="E56" s="4">
        <f ca="1">IFERROR(__xludf.DUMMYFUNCTION("""COMPUTED_VALUE"""),353690)</f>
        <v>353690</v>
      </c>
    </row>
    <row r="57" spans="1:5" ht="12.75">
      <c r="A57">
        <f ca="1">IFERROR(__xludf.DUMMYFUNCTION("""COMPUTED_VALUE"""),56)</f>
        <v>56</v>
      </c>
      <c r="B57">
        <f ca="1">IFERROR(__xludf.DUMMYFUNCTION("""COMPUTED_VALUE"""),72)</f>
        <v>72</v>
      </c>
      <c r="C57" t="str">
        <f ca="1">IFERROR(__xludf.DUMMYFUNCTION("""COMPUTED_VALUE"""),"Russell Knox")</f>
        <v>Russell Knox</v>
      </c>
      <c r="D57">
        <f ca="1">IFERROR(__xludf.DUMMYFUNCTION("""COMPUTED_VALUE"""),5)</f>
        <v>5</v>
      </c>
      <c r="E57" s="4">
        <f ca="1">IFERROR(__xludf.DUMMYFUNCTION("""COMPUTED_VALUE"""),341400)</f>
        <v>341400</v>
      </c>
    </row>
    <row r="58" spans="1:5" ht="12.75">
      <c r="A58">
        <f ca="1">IFERROR(__xludf.DUMMYFUNCTION("""COMPUTED_VALUE"""),57)</f>
        <v>57</v>
      </c>
      <c r="B58">
        <f ca="1">IFERROR(__xludf.DUMMYFUNCTION("""COMPUTED_VALUE"""),50)</f>
        <v>50</v>
      </c>
      <c r="C58" t="str">
        <f ca="1">IFERROR(__xludf.DUMMYFUNCTION("""COMPUTED_VALUE"""),"Keegan Bradley")</f>
        <v>Keegan Bradley</v>
      </c>
      <c r="D58">
        <f ca="1">IFERROR(__xludf.DUMMYFUNCTION("""COMPUTED_VALUE"""),6)</f>
        <v>6</v>
      </c>
      <c r="E58" s="4">
        <f ca="1">IFERROR(__xludf.DUMMYFUNCTION("""COMPUTED_VALUE"""),330735)</f>
        <v>330735</v>
      </c>
    </row>
    <row r="59" spans="1:5" ht="12.75">
      <c r="A59">
        <f ca="1">IFERROR(__xludf.DUMMYFUNCTION("""COMPUTED_VALUE"""),58)</f>
        <v>58</v>
      </c>
      <c r="B59">
        <f ca="1">IFERROR(__xludf.DUMMYFUNCTION("""COMPUTED_VALUE"""),58)</f>
        <v>58</v>
      </c>
      <c r="C59" t="str">
        <f ca="1">IFERROR(__xludf.DUMMYFUNCTION("""COMPUTED_VALUE"""),"Charley Hoffman")</f>
        <v>Charley Hoffman</v>
      </c>
      <c r="D59">
        <f ca="1">IFERROR(__xludf.DUMMYFUNCTION("""COMPUTED_VALUE"""),6)</f>
        <v>6</v>
      </c>
      <c r="E59" s="4">
        <f ca="1">IFERROR(__xludf.DUMMYFUNCTION("""COMPUTED_VALUE"""),329364)</f>
        <v>329364</v>
      </c>
    </row>
    <row r="60" spans="1:5" ht="12.75">
      <c r="A60">
        <f ca="1">IFERROR(__xludf.DUMMYFUNCTION("""COMPUTED_VALUE"""),59)</f>
        <v>59</v>
      </c>
      <c r="B60">
        <f ca="1">IFERROR(__xludf.DUMMYFUNCTION("""COMPUTED_VALUE"""),163)</f>
        <v>163</v>
      </c>
      <c r="C60" t="str">
        <f ca="1">IFERROR(__xludf.DUMMYFUNCTION("""COMPUTED_VALUE"""),"Brooks Koepka")</f>
        <v>Brooks Koepka</v>
      </c>
      <c r="D60">
        <f ca="1">IFERROR(__xludf.DUMMYFUNCTION("""COMPUTED_VALUE"""),2)</f>
        <v>2</v>
      </c>
      <c r="E60" s="4">
        <f ca="1">IFERROR(__xludf.DUMMYFUNCTION("""COMPUTED_VALUE"""),327510)</f>
        <v>327510</v>
      </c>
    </row>
    <row r="61" spans="1:5" ht="12.75">
      <c r="A61">
        <f ca="1">IFERROR(__xludf.DUMMYFUNCTION("""COMPUTED_VALUE"""),60)</f>
        <v>60</v>
      </c>
      <c r="B61">
        <f ca="1">IFERROR(__xludf.DUMMYFUNCTION("""COMPUTED_VALUE"""),53)</f>
        <v>53</v>
      </c>
      <c r="C61" t="str">
        <f ca="1">IFERROR(__xludf.DUMMYFUNCTION("""COMPUTED_VALUE"""),"Henrik Norlander")</f>
        <v>Henrik Norlander</v>
      </c>
      <c r="D61">
        <f ca="1">IFERROR(__xludf.DUMMYFUNCTION("""COMPUTED_VALUE"""),6)</f>
        <v>6</v>
      </c>
      <c r="E61" s="4">
        <f ca="1">IFERROR(__xludf.DUMMYFUNCTION("""COMPUTED_VALUE"""),312750)</f>
        <v>312750</v>
      </c>
    </row>
    <row r="62" spans="1:5" ht="12.75">
      <c r="A62">
        <f ca="1">IFERROR(__xludf.DUMMYFUNCTION("""COMPUTED_VALUE"""),61)</f>
        <v>61</v>
      </c>
      <c r="B62">
        <f ca="1">IFERROR(__xludf.DUMMYFUNCTION("""COMPUTED_VALUE"""),54)</f>
        <v>54</v>
      </c>
      <c r="C62" t="str">
        <f ca="1">IFERROR(__xludf.DUMMYFUNCTION("""COMPUTED_VALUE"""),"Joel Dahmen")</f>
        <v>Joel Dahmen</v>
      </c>
      <c r="D62">
        <f ca="1">IFERROR(__xludf.DUMMYFUNCTION("""COMPUTED_VALUE"""),5)</f>
        <v>5</v>
      </c>
      <c r="E62" s="4">
        <f ca="1">IFERROR(__xludf.DUMMYFUNCTION("""COMPUTED_VALUE"""),304117)</f>
        <v>304117</v>
      </c>
    </row>
    <row r="63" spans="1:5" ht="12.75">
      <c r="A63">
        <f ca="1">IFERROR(__xludf.DUMMYFUNCTION("""COMPUTED_VALUE"""),62)</f>
        <v>62</v>
      </c>
      <c r="B63">
        <f ca="1">IFERROR(__xludf.DUMMYFUNCTION("""COMPUTED_VALUE"""),56)</f>
        <v>56</v>
      </c>
      <c r="C63" t="str">
        <f ca="1">IFERROR(__xludf.DUMMYFUNCTION("""COMPUTED_VALUE"""),"Matthew NeSmith")</f>
        <v>Matthew NeSmith</v>
      </c>
      <c r="D63">
        <f ca="1">IFERROR(__xludf.DUMMYFUNCTION("""COMPUTED_VALUE"""),5)</f>
        <v>5</v>
      </c>
      <c r="E63" s="4">
        <f ca="1">IFERROR(__xludf.DUMMYFUNCTION("""COMPUTED_VALUE"""),294362)</f>
        <v>294362</v>
      </c>
    </row>
    <row r="64" spans="1:5" ht="12.75">
      <c r="A64">
        <f ca="1">IFERROR(__xludf.DUMMYFUNCTION("""COMPUTED_VALUE"""),63)</f>
        <v>63</v>
      </c>
      <c r="B64">
        <f ca="1">IFERROR(__xludf.DUMMYFUNCTION("""COMPUTED_VALUE"""),57)</f>
        <v>57</v>
      </c>
      <c r="C64" t="str">
        <f ca="1">IFERROR(__xludf.DUMMYFUNCTION("""COMPUTED_VALUE"""),"Anirban Lahiri")</f>
        <v>Anirban Lahiri</v>
      </c>
      <c r="D64">
        <f ca="1">IFERROR(__xludf.DUMMYFUNCTION("""COMPUTED_VALUE"""),4)</f>
        <v>4</v>
      </c>
      <c r="E64" s="4">
        <f ca="1">IFERROR(__xludf.DUMMYFUNCTION("""COMPUTED_VALUE"""),291121)</f>
        <v>291121</v>
      </c>
    </row>
    <row r="65" spans="1:5" ht="12.75">
      <c r="A65">
        <f ca="1">IFERROR(__xludf.DUMMYFUNCTION("""COMPUTED_VALUE"""),64)</f>
        <v>64</v>
      </c>
      <c r="B65">
        <f ca="1">IFERROR(__xludf.DUMMYFUNCTION("""COMPUTED_VALUE"""),93)</f>
        <v>93</v>
      </c>
      <c r="C65" t="str">
        <f ca="1">IFERROR(__xludf.DUMMYFUNCTION("""COMPUTED_VALUE"""),"Harold Varner III")</f>
        <v>Harold Varner III</v>
      </c>
      <c r="D65">
        <f ca="1">IFERROR(__xludf.DUMMYFUNCTION("""COMPUTED_VALUE"""),4)</f>
        <v>4</v>
      </c>
      <c r="E65" s="4">
        <f ca="1">IFERROR(__xludf.DUMMYFUNCTION("""COMPUTED_VALUE"""),280558)</f>
        <v>280558</v>
      </c>
    </row>
    <row r="66" spans="1:5" ht="12.75">
      <c r="A66">
        <f ca="1">IFERROR(__xludf.DUMMYFUNCTION("""COMPUTED_VALUE"""),65)</f>
        <v>65</v>
      </c>
      <c r="B66">
        <f ca="1">IFERROR(__xludf.DUMMYFUNCTION("""COMPUTED_VALUE"""),152)</f>
        <v>152</v>
      </c>
      <c r="C66" t="str">
        <f ca="1">IFERROR(__xludf.DUMMYFUNCTION("""COMPUTED_VALUE"""),"Jason Day")</f>
        <v>Jason Day</v>
      </c>
      <c r="D66">
        <f ca="1">IFERROR(__xludf.DUMMYFUNCTION("""COMPUTED_VALUE"""),5)</f>
        <v>5</v>
      </c>
      <c r="E66" s="4">
        <f ca="1">IFERROR(__xludf.DUMMYFUNCTION("""COMPUTED_VALUE"""),280219)</f>
        <v>280219</v>
      </c>
    </row>
    <row r="67" spans="1:5" ht="12.75">
      <c r="A67">
        <f ca="1">IFERROR(__xludf.DUMMYFUNCTION("""COMPUTED_VALUE"""),66)</f>
        <v>66</v>
      </c>
      <c r="B67">
        <f ca="1">IFERROR(__xludf.DUMMYFUNCTION("""COMPUTED_VALUE"""),59)</f>
        <v>59</v>
      </c>
      <c r="C67" t="str">
        <f ca="1">IFERROR(__xludf.DUMMYFUNCTION("""COMPUTED_VALUE"""),"Ollie Schniederjans")</f>
        <v>Ollie Schniederjans</v>
      </c>
      <c r="D67">
        <f ca="1">IFERROR(__xludf.DUMMYFUNCTION("""COMPUTED_VALUE"""),2)</f>
        <v>2</v>
      </c>
      <c r="E67" s="4">
        <f ca="1">IFERROR(__xludf.DUMMYFUNCTION("""COMPUTED_VALUE"""),276000)</f>
        <v>276000</v>
      </c>
    </row>
    <row r="68" spans="1:5" ht="12.75">
      <c r="A68">
        <f ca="1">IFERROR(__xludf.DUMMYFUNCTION("""COMPUTED_VALUE"""),67)</f>
        <v>67</v>
      </c>
      <c r="B68">
        <f ca="1">IFERROR(__xludf.DUMMYFUNCTION("""COMPUTED_VALUE"""),113)</f>
        <v>113</v>
      </c>
      <c r="C68" t="str">
        <f ca="1">IFERROR(__xludf.DUMMYFUNCTION("""COMPUTED_VALUE"""),"Aaron Wise")</f>
        <v>Aaron Wise</v>
      </c>
      <c r="D68">
        <f ca="1">IFERROR(__xludf.DUMMYFUNCTION("""COMPUTED_VALUE"""),5)</f>
        <v>5</v>
      </c>
      <c r="E68" s="4">
        <f ca="1">IFERROR(__xludf.DUMMYFUNCTION("""COMPUTED_VALUE"""),274500)</f>
        <v>274500</v>
      </c>
    </row>
    <row r="69" spans="1:5" ht="12.75">
      <c r="A69">
        <f ca="1">IFERROR(__xludf.DUMMYFUNCTION("""COMPUTED_VALUE"""),68)</f>
        <v>68</v>
      </c>
      <c r="B69">
        <f ca="1">IFERROR(__xludf.DUMMYFUNCTION("""COMPUTED_VALUE"""),61)</f>
        <v>61</v>
      </c>
      <c r="C69" t="str">
        <f ca="1">IFERROR(__xludf.DUMMYFUNCTION("""COMPUTED_VALUE"""),"Michael Gligic")</f>
        <v>Michael Gligic</v>
      </c>
      <c r="D69">
        <f ca="1">IFERROR(__xludf.DUMMYFUNCTION("""COMPUTED_VALUE"""),5)</f>
        <v>5</v>
      </c>
      <c r="E69" s="4">
        <f ca="1">IFERROR(__xludf.DUMMYFUNCTION("""COMPUTED_VALUE"""),270310)</f>
        <v>270310</v>
      </c>
    </row>
    <row r="70" spans="1:5" ht="12.75">
      <c r="A70">
        <f ca="1">IFERROR(__xludf.DUMMYFUNCTION("""COMPUTED_VALUE"""),69)</f>
        <v>69</v>
      </c>
      <c r="B70">
        <f ca="1">IFERROR(__xludf.DUMMYFUNCTION("""COMPUTED_VALUE"""),62)</f>
        <v>62</v>
      </c>
      <c r="C70" t="str">
        <f ca="1">IFERROR(__xludf.DUMMYFUNCTION("""COMPUTED_VALUE"""),"Alex Noren")</f>
        <v>Alex Noren</v>
      </c>
      <c r="D70">
        <f ca="1">IFERROR(__xludf.DUMMYFUNCTION("""COMPUTED_VALUE"""),4)</f>
        <v>4</v>
      </c>
      <c r="E70" s="4">
        <f ca="1">IFERROR(__xludf.DUMMYFUNCTION("""COMPUTED_VALUE"""),269779)</f>
        <v>269779</v>
      </c>
    </row>
    <row r="71" spans="1:5" ht="12.75">
      <c r="A71">
        <f ca="1">IFERROR(__xludf.DUMMYFUNCTION("""COMPUTED_VALUE"""),70)</f>
        <v>70</v>
      </c>
      <c r="B71">
        <f ca="1">IFERROR(__xludf.DUMMYFUNCTION("""COMPUTED_VALUE"""),63)</f>
        <v>63</v>
      </c>
      <c r="C71" t="str">
        <f ca="1">IFERROR(__xludf.DUMMYFUNCTION("""COMPUTED_VALUE"""),"Cameron Champ")</f>
        <v>Cameron Champ</v>
      </c>
      <c r="D71">
        <f ca="1">IFERROR(__xludf.DUMMYFUNCTION("""COMPUTED_VALUE"""),4)</f>
        <v>4</v>
      </c>
      <c r="E71" s="4">
        <f ca="1">IFERROR(__xludf.DUMMYFUNCTION("""COMPUTED_VALUE"""),265735)</f>
        <v>265735</v>
      </c>
    </row>
    <row r="72" spans="1:5" ht="12.75">
      <c r="A72">
        <f ca="1">IFERROR(__xludf.DUMMYFUNCTION("""COMPUTED_VALUE"""),71)</f>
        <v>71</v>
      </c>
      <c r="B72">
        <f ca="1">IFERROR(__xludf.DUMMYFUNCTION("""COMPUTED_VALUE"""),66)</f>
        <v>66</v>
      </c>
      <c r="C72" t="str">
        <f ca="1">IFERROR(__xludf.DUMMYFUNCTION("""COMPUTED_VALUE"""),"Cameron Davis")</f>
        <v>Cameron Davis</v>
      </c>
      <c r="D72">
        <f ca="1">IFERROR(__xludf.DUMMYFUNCTION("""COMPUTED_VALUE"""),4)</f>
        <v>4</v>
      </c>
      <c r="E72" s="4">
        <f ca="1">IFERROR(__xludf.DUMMYFUNCTION("""COMPUTED_VALUE"""),262015)</f>
        <v>262015</v>
      </c>
    </row>
    <row r="73" spans="1:5" ht="12.75">
      <c r="A73">
        <f ca="1">IFERROR(__xludf.DUMMYFUNCTION("""COMPUTED_VALUE"""),72)</f>
        <v>72</v>
      </c>
      <c r="B73">
        <f ca="1">IFERROR(__xludf.DUMMYFUNCTION("""COMPUTED_VALUE"""),67)</f>
        <v>67</v>
      </c>
      <c r="C73" t="str">
        <f ca="1">IFERROR(__xludf.DUMMYFUNCTION("""COMPUTED_VALUE"""),"Matt Jones")</f>
        <v>Matt Jones</v>
      </c>
      <c r="D73">
        <f ca="1">IFERROR(__xludf.DUMMYFUNCTION("""COMPUTED_VALUE"""),6)</f>
        <v>6</v>
      </c>
      <c r="E73" s="4">
        <f ca="1">IFERROR(__xludf.DUMMYFUNCTION("""COMPUTED_VALUE"""),257004)</f>
        <v>257004</v>
      </c>
    </row>
    <row r="74" spans="1:5" ht="12.75">
      <c r="A74">
        <f ca="1">IFERROR(__xludf.DUMMYFUNCTION("""COMPUTED_VALUE"""),73)</f>
        <v>73</v>
      </c>
      <c r="B74">
        <f ca="1">IFERROR(__xludf.DUMMYFUNCTION("""COMPUTED_VALUE"""),64)</f>
        <v>64</v>
      </c>
      <c r="C74" t="str">
        <f ca="1">IFERROR(__xludf.DUMMYFUNCTION("""COMPUTED_VALUE"""),"Justin Suh")</f>
        <v>Justin Suh</v>
      </c>
      <c r="D74">
        <f ca="1">IFERROR(__xludf.DUMMYFUNCTION("""COMPUTED_VALUE"""),3)</f>
        <v>3</v>
      </c>
      <c r="E74" s="4">
        <f ca="1">IFERROR(__xludf.DUMMYFUNCTION("""COMPUTED_VALUE"""),255750)</f>
        <v>255750</v>
      </c>
    </row>
    <row r="75" spans="1:5" ht="12.75">
      <c r="A75">
        <f ca="1">IFERROR(__xludf.DUMMYFUNCTION("""COMPUTED_VALUE"""),74)</f>
        <v>74</v>
      </c>
      <c r="B75">
        <f ca="1">IFERROR(__xludf.DUMMYFUNCTION("""COMPUTED_VALUE"""),133)</f>
        <v>133</v>
      </c>
      <c r="C75" t="str">
        <f ca="1">IFERROR(__xludf.DUMMYFUNCTION("""COMPUTED_VALUE"""),"Shane Lowry")</f>
        <v>Shane Lowry</v>
      </c>
      <c r="D75">
        <f ca="1">IFERROR(__xludf.DUMMYFUNCTION("""COMPUTED_VALUE"""),4)</f>
        <v>4</v>
      </c>
      <c r="E75" s="4">
        <f ca="1">IFERROR(__xludf.DUMMYFUNCTION("""COMPUTED_VALUE"""),252160)</f>
        <v>252160</v>
      </c>
    </row>
    <row r="76" spans="1:5" ht="12.75">
      <c r="A76">
        <f ca="1">IFERROR(__xludf.DUMMYFUNCTION("""COMPUTED_VALUE"""),75)</f>
        <v>75</v>
      </c>
      <c r="B76">
        <f ca="1">IFERROR(__xludf.DUMMYFUNCTION("""COMPUTED_VALUE"""),65)</f>
        <v>65</v>
      </c>
      <c r="C76" t="str">
        <f ca="1">IFERROR(__xludf.DUMMYFUNCTION("""COMPUTED_VALUE"""),"Matthew Fitzpatrick")</f>
        <v>Matthew Fitzpatrick</v>
      </c>
      <c r="D76">
        <f ca="1">IFERROR(__xludf.DUMMYFUNCTION("""COMPUTED_VALUE"""),3)</f>
        <v>3</v>
      </c>
      <c r="E76" s="4">
        <f ca="1">IFERROR(__xludf.DUMMYFUNCTION("""COMPUTED_VALUE"""),251200)</f>
        <v>251200</v>
      </c>
    </row>
    <row r="77" spans="1:5" ht="12.75">
      <c r="A77">
        <f ca="1">IFERROR(__xludf.DUMMYFUNCTION("""COMPUTED_VALUE"""),76)</f>
        <v>76</v>
      </c>
      <c r="B77">
        <f ca="1">IFERROR(__xludf.DUMMYFUNCTION("""COMPUTED_VALUE"""),136)</f>
        <v>136</v>
      </c>
      <c r="C77" t="str">
        <f ca="1">IFERROR(__xludf.DUMMYFUNCTION("""COMPUTED_VALUE"""),"Patton Kizzire")</f>
        <v>Patton Kizzire</v>
      </c>
      <c r="D77">
        <f ca="1">IFERROR(__xludf.DUMMYFUNCTION("""COMPUTED_VALUE"""),5)</f>
        <v>5</v>
      </c>
      <c r="E77" s="4">
        <f ca="1">IFERROR(__xludf.DUMMYFUNCTION("""COMPUTED_VALUE"""),245346)</f>
        <v>245346</v>
      </c>
    </row>
    <row r="78" spans="1:5" ht="12.75">
      <c r="A78">
        <f ca="1">IFERROR(__xludf.DUMMYFUNCTION("""COMPUTED_VALUE"""),77)</f>
        <v>77</v>
      </c>
      <c r="B78">
        <f ca="1">IFERROR(__xludf.DUMMYFUNCTION("""COMPUTED_VALUE"""),75)</f>
        <v>75</v>
      </c>
      <c r="C78" t="str">
        <f ca="1">IFERROR(__xludf.DUMMYFUNCTION("""COMPUTED_VALUE"""),"Nate Lashley")</f>
        <v>Nate Lashley</v>
      </c>
      <c r="D78">
        <f ca="1">IFERROR(__xludf.DUMMYFUNCTION("""COMPUTED_VALUE"""),5)</f>
        <v>5</v>
      </c>
      <c r="E78" s="4">
        <f ca="1">IFERROR(__xludf.DUMMYFUNCTION("""COMPUTED_VALUE"""),242424)</f>
        <v>242424</v>
      </c>
    </row>
    <row r="79" spans="1:5" ht="12.75">
      <c r="A79">
        <f ca="1">IFERROR(__xludf.DUMMYFUNCTION("""COMPUTED_VALUE"""),78)</f>
        <v>78</v>
      </c>
      <c r="B79">
        <f ca="1">IFERROR(__xludf.DUMMYFUNCTION("""COMPUTED_VALUE"""),68)</f>
        <v>68</v>
      </c>
      <c r="C79" t="str">
        <f ca="1">IFERROR(__xludf.DUMMYFUNCTION("""COMPUTED_VALUE"""),"David Hearn")</f>
        <v>David Hearn</v>
      </c>
      <c r="D79">
        <f ca="1">IFERROR(__xludf.DUMMYFUNCTION("""COMPUTED_VALUE"""),5)</f>
        <v>5</v>
      </c>
      <c r="E79" s="4">
        <f ca="1">IFERROR(__xludf.DUMMYFUNCTION("""COMPUTED_VALUE"""),238100)</f>
        <v>238100</v>
      </c>
    </row>
    <row r="80" spans="1:5" ht="12.75">
      <c r="A80">
        <f ca="1">IFERROR(__xludf.DUMMYFUNCTION("""COMPUTED_VALUE"""),79)</f>
        <v>79</v>
      </c>
      <c r="B80">
        <f ca="1">IFERROR(__xludf.DUMMYFUNCTION("""COMPUTED_VALUE"""),69)</f>
        <v>69</v>
      </c>
      <c r="C80" t="str">
        <f ca="1">IFERROR(__xludf.DUMMYFUNCTION("""COMPUTED_VALUE"""),"Dylan Frittelli")</f>
        <v>Dylan Frittelli</v>
      </c>
      <c r="D80">
        <f ca="1">IFERROR(__xludf.DUMMYFUNCTION("""COMPUTED_VALUE"""),5)</f>
        <v>5</v>
      </c>
      <c r="E80" s="4">
        <f ca="1">IFERROR(__xludf.DUMMYFUNCTION("""COMPUTED_VALUE"""),234741)</f>
        <v>234741</v>
      </c>
    </row>
    <row r="81" spans="1:5" ht="12.75">
      <c r="A81">
        <f ca="1">IFERROR(__xludf.DUMMYFUNCTION("""COMPUTED_VALUE"""),80)</f>
        <v>80</v>
      </c>
      <c r="B81">
        <f ca="1">IFERROR(__xludf.DUMMYFUNCTION("""COMPUTED_VALUE"""),70)</f>
        <v>70</v>
      </c>
      <c r="C81" t="str">
        <f ca="1">IFERROR(__xludf.DUMMYFUNCTION("""COMPUTED_VALUE"""),"Doug Ghim")</f>
        <v>Doug Ghim</v>
      </c>
      <c r="D81">
        <f ca="1">IFERROR(__xludf.DUMMYFUNCTION("""COMPUTED_VALUE"""),4)</f>
        <v>4</v>
      </c>
      <c r="E81" s="4">
        <f ca="1">IFERROR(__xludf.DUMMYFUNCTION("""COMPUTED_VALUE"""),234720)</f>
        <v>234720</v>
      </c>
    </row>
    <row r="82" spans="1:5" ht="12.75">
      <c r="A82">
        <f ca="1">IFERROR(__xludf.DUMMYFUNCTION("""COMPUTED_VALUE"""),81)</f>
        <v>81</v>
      </c>
      <c r="B82">
        <f ca="1">IFERROR(__xludf.DUMMYFUNCTION("""COMPUTED_VALUE"""),71)</f>
        <v>71</v>
      </c>
      <c r="C82" t="str">
        <f ca="1">IFERROR(__xludf.DUMMYFUNCTION("""COMPUTED_VALUE"""),"Scott Stallings")</f>
        <v>Scott Stallings</v>
      </c>
      <c r="D82">
        <f ca="1">IFERROR(__xludf.DUMMYFUNCTION("""COMPUTED_VALUE"""),5)</f>
        <v>5</v>
      </c>
      <c r="E82" s="4">
        <f ca="1">IFERROR(__xludf.DUMMYFUNCTION("""COMPUTED_VALUE"""),229300)</f>
        <v>229300</v>
      </c>
    </row>
    <row r="83" spans="1:5" ht="12.75">
      <c r="A83">
        <f ca="1">IFERROR(__xludf.DUMMYFUNCTION("""COMPUTED_VALUE"""),82)</f>
        <v>82</v>
      </c>
      <c r="B83">
        <f ca="1">IFERROR(__xludf.DUMMYFUNCTION("""COMPUTED_VALUE"""),73)</f>
        <v>73</v>
      </c>
      <c r="C83" t="str">
        <f ca="1">IFERROR(__xludf.DUMMYFUNCTION("""COMPUTED_VALUE"""),"Cameron Percy")</f>
        <v>Cameron Percy</v>
      </c>
      <c r="D83">
        <f ca="1">IFERROR(__xludf.DUMMYFUNCTION("""COMPUTED_VALUE"""),4)</f>
        <v>4</v>
      </c>
      <c r="E83" s="4">
        <f ca="1">IFERROR(__xludf.DUMMYFUNCTION("""COMPUTED_VALUE"""),217204)</f>
        <v>217204</v>
      </c>
    </row>
    <row r="84" spans="1:5" ht="12.75">
      <c r="A84">
        <f ca="1">IFERROR(__xludf.DUMMYFUNCTION("""COMPUTED_VALUE"""),83)</f>
        <v>83</v>
      </c>
      <c r="B84">
        <f ca="1">IFERROR(__xludf.DUMMYFUNCTION("""COMPUTED_VALUE"""),74)</f>
        <v>74</v>
      </c>
      <c r="C84" t="str">
        <f ca="1">IFERROR(__xludf.DUMMYFUNCTION("""COMPUTED_VALUE"""),"Daniel Berger")</f>
        <v>Daniel Berger</v>
      </c>
      <c r="D84">
        <f ca="1">IFERROR(__xludf.DUMMYFUNCTION("""COMPUTED_VALUE"""),3)</f>
        <v>3</v>
      </c>
      <c r="E84" s="4">
        <f ca="1">IFERROR(__xludf.DUMMYFUNCTION("""COMPUTED_VALUE"""),217017)</f>
        <v>217017</v>
      </c>
    </row>
    <row r="85" spans="1:5" ht="12.75">
      <c r="A85">
        <f ca="1">IFERROR(__xludf.DUMMYFUNCTION("""COMPUTED_VALUE"""),84)</f>
        <v>84</v>
      </c>
      <c r="B85">
        <f ca="1">IFERROR(__xludf.DUMMYFUNCTION("""COMPUTED_VALUE"""),106)</f>
        <v>106</v>
      </c>
      <c r="C85" t="str">
        <f ca="1">IFERROR(__xludf.DUMMYFUNCTION("""COMPUTED_VALUE"""),"Maverick McNealy")</f>
        <v>Maverick McNealy</v>
      </c>
      <c r="D85">
        <f ca="1">IFERROR(__xludf.DUMMYFUNCTION("""COMPUTED_VALUE"""),5)</f>
        <v>5</v>
      </c>
      <c r="E85" s="4">
        <f ca="1">IFERROR(__xludf.DUMMYFUNCTION("""COMPUTED_VALUE"""),215310)</f>
        <v>215310</v>
      </c>
    </row>
    <row r="86" spans="1:5" ht="12.75">
      <c r="A86">
        <f ca="1">IFERROR(__xludf.DUMMYFUNCTION("""COMPUTED_VALUE"""),85)</f>
        <v>85</v>
      </c>
      <c r="B86">
        <f ca="1">IFERROR(__xludf.DUMMYFUNCTION("""COMPUTED_VALUE"""),85)</f>
        <v>85</v>
      </c>
      <c r="C86" t="str">
        <f ca="1">IFERROR(__xludf.DUMMYFUNCTION("""COMPUTED_VALUE"""),"Scott Piercy")</f>
        <v>Scott Piercy</v>
      </c>
      <c r="D86">
        <f ca="1">IFERROR(__xludf.DUMMYFUNCTION("""COMPUTED_VALUE"""),5)</f>
        <v>5</v>
      </c>
      <c r="E86" s="4">
        <f ca="1">IFERROR(__xludf.DUMMYFUNCTION("""COMPUTED_VALUE"""),215293)</f>
        <v>215293</v>
      </c>
    </row>
    <row r="87" spans="1:5" ht="12.75">
      <c r="A87">
        <f ca="1">IFERROR(__xludf.DUMMYFUNCTION("""COMPUTED_VALUE"""),86)</f>
        <v>86</v>
      </c>
      <c r="B87">
        <f ca="1">IFERROR(__xludf.DUMMYFUNCTION("""COMPUTED_VALUE"""),76)</f>
        <v>76</v>
      </c>
      <c r="C87" t="str">
        <f ca="1">IFERROR(__xludf.DUMMYFUNCTION("""COMPUTED_VALUE"""),"Paul Casey")</f>
        <v>Paul Casey</v>
      </c>
      <c r="D87">
        <f ca="1">IFERROR(__xludf.DUMMYFUNCTION("""COMPUTED_VALUE"""),4)</f>
        <v>4</v>
      </c>
      <c r="E87" s="4">
        <f ca="1">IFERROR(__xludf.DUMMYFUNCTION("""COMPUTED_VALUE"""),211869)</f>
        <v>211869</v>
      </c>
    </row>
    <row r="88" spans="1:5" ht="12.75">
      <c r="A88">
        <f ca="1">IFERROR(__xludf.DUMMYFUNCTION("""COMPUTED_VALUE"""),87)</f>
        <v>87</v>
      </c>
      <c r="B88">
        <f ca="1">IFERROR(__xludf.DUMMYFUNCTION("""COMPUTED_VALUE"""),77)</f>
        <v>77</v>
      </c>
      <c r="C88" t="str">
        <f ca="1">IFERROR(__xludf.DUMMYFUNCTION("""COMPUTED_VALUE"""),"Lee Westwood")</f>
        <v>Lee Westwood</v>
      </c>
      <c r="D88">
        <f ca="1">IFERROR(__xludf.DUMMYFUNCTION("""COMPUTED_VALUE"""),2)</f>
        <v>2</v>
      </c>
      <c r="E88" s="4">
        <f ca="1">IFERROR(__xludf.DUMMYFUNCTION("""COMPUTED_VALUE"""),210757)</f>
        <v>210757</v>
      </c>
    </row>
    <row r="89" spans="1:5" ht="12.75">
      <c r="A89">
        <f ca="1">IFERROR(__xludf.DUMMYFUNCTION("""COMPUTED_VALUE"""),88)</f>
        <v>88</v>
      </c>
      <c r="B89">
        <f ca="1">IFERROR(__xludf.DUMMYFUNCTION("""COMPUTED_VALUE"""),78)</f>
        <v>78</v>
      </c>
      <c r="C89" t="str">
        <f ca="1">IFERROR(__xludf.DUMMYFUNCTION("""COMPUTED_VALUE"""),"Tom Hoge")</f>
        <v>Tom Hoge</v>
      </c>
      <c r="D89">
        <f ca="1">IFERROR(__xludf.DUMMYFUNCTION("""COMPUTED_VALUE"""),6)</f>
        <v>6</v>
      </c>
      <c r="E89" s="4">
        <f ca="1">IFERROR(__xludf.DUMMYFUNCTION("""COMPUTED_VALUE"""),210155)</f>
        <v>210155</v>
      </c>
    </row>
    <row r="90" spans="1:5" ht="12.75">
      <c r="A90">
        <f ca="1">IFERROR(__xludf.DUMMYFUNCTION("""COMPUTED_VALUE"""),89)</f>
        <v>89</v>
      </c>
      <c r="B90">
        <f ca="1">IFERROR(__xludf.DUMMYFUNCTION("""COMPUTED_VALUE"""),79)</f>
        <v>79</v>
      </c>
      <c r="C90" t="str">
        <f ca="1">IFERROR(__xludf.DUMMYFUNCTION("""COMPUTED_VALUE"""),"Collin Morikawa")</f>
        <v>Collin Morikawa</v>
      </c>
      <c r="D90">
        <f ca="1">IFERROR(__xludf.DUMMYFUNCTION("""COMPUTED_VALUE"""),4)</f>
        <v>4</v>
      </c>
      <c r="E90" s="4">
        <f ca="1">IFERROR(__xludf.DUMMYFUNCTION("""COMPUTED_VALUE"""),207880)</f>
        <v>207880</v>
      </c>
    </row>
    <row r="91" spans="1:5" ht="12.75">
      <c r="A91">
        <f ca="1">IFERROR(__xludf.DUMMYFUNCTION("""COMPUTED_VALUE"""),90)</f>
        <v>90</v>
      </c>
      <c r="B91">
        <f ca="1">IFERROR(__xludf.DUMMYFUNCTION("""COMPUTED_VALUE"""),80)</f>
        <v>80</v>
      </c>
      <c r="C91" t="str">
        <f ca="1">IFERROR(__xludf.DUMMYFUNCTION("""COMPUTED_VALUE"""),"Pat Perez")</f>
        <v>Pat Perez</v>
      </c>
      <c r="D91">
        <f ca="1">IFERROR(__xludf.DUMMYFUNCTION("""COMPUTED_VALUE"""),6)</f>
        <v>6</v>
      </c>
      <c r="E91" s="4">
        <f ca="1">IFERROR(__xludf.DUMMYFUNCTION("""COMPUTED_VALUE"""),205650)</f>
        <v>205650</v>
      </c>
    </row>
    <row r="92" spans="1:5" ht="12.75">
      <c r="A92">
        <f ca="1">IFERROR(__xludf.DUMMYFUNCTION("""COMPUTED_VALUE"""),91)</f>
        <v>91</v>
      </c>
      <c r="B92">
        <f ca="1">IFERROR(__xludf.DUMMYFUNCTION("""COMPUTED_VALUE"""),81)</f>
        <v>81</v>
      </c>
      <c r="C92" t="str">
        <f ca="1">IFERROR(__xludf.DUMMYFUNCTION("""COMPUTED_VALUE"""),"Xinjun Zhang")</f>
        <v>Xinjun Zhang</v>
      </c>
      <c r="D92">
        <f ca="1">IFERROR(__xludf.DUMMYFUNCTION("""COMPUTED_VALUE"""),5)</f>
        <v>5</v>
      </c>
      <c r="E92" s="4">
        <f ca="1">IFERROR(__xludf.DUMMYFUNCTION("""COMPUTED_VALUE"""),193650)</f>
        <v>193650</v>
      </c>
    </row>
    <row r="93" spans="1:5" ht="12.75">
      <c r="A93">
        <f ca="1">IFERROR(__xludf.DUMMYFUNCTION("""COMPUTED_VALUE"""),92)</f>
        <v>92</v>
      </c>
      <c r="B93">
        <f ca="1">IFERROR(__xludf.DUMMYFUNCTION("""COMPUTED_VALUE"""),82)</f>
        <v>82</v>
      </c>
      <c r="C93" t="str">
        <f ca="1">IFERROR(__xludf.DUMMYFUNCTION("""COMPUTED_VALUE"""),"Ian Poulter")</f>
        <v>Ian Poulter</v>
      </c>
      <c r="D93">
        <f ca="1">IFERROR(__xludf.DUMMYFUNCTION("""COMPUTED_VALUE"""),2)</f>
        <v>2</v>
      </c>
      <c r="E93" s="4">
        <f ca="1">IFERROR(__xludf.DUMMYFUNCTION("""COMPUTED_VALUE"""),190320)</f>
        <v>190320</v>
      </c>
    </row>
    <row r="94" spans="1:5" ht="12.75">
      <c r="A94">
        <f ca="1">IFERROR(__xludf.DUMMYFUNCTION("""COMPUTED_VALUE"""),93)</f>
        <v>93</v>
      </c>
      <c r="B94">
        <f ca="1">IFERROR(__xludf.DUMMYFUNCTION("""COMPUTED_VALUE"""),83)</f>
        <v>83</v>
      </c>
      <c r="C94" t="str">
        <f ca="1">IFERROR(__xludf.DUMMYFUNCTION("""COMPUTED_VALUE"""),"Chesson Hadley")</f>
        <v>Chesson Hadley</v>
      </c>
      <c r="D94">
        <f ca="1">IFERROR(__xludf.DUMMYFUNCTION("""COMPUTED_VALUE"""),5)</f>
        <v>5</v>
      </c>
      <c r="E94" s="4">
        <f ca="1">IFERROR(__xludf.DUMMYFUNCTION("""COMPUTED_VALUE"""),190213)</f>
        <v>190213</v>
      </c>
    </row>
    <row r="95" spans="1:5" ht="12.75">
      <c r="A95">
        <f ca="1">IFERROR(__xludf.DUMMYFUNCTION("""COMPUTED_VALUE"""),94)</f>
        <v>94</v>
      </c>
      <c r="B95">
        <f ca="1">IFERROR(__xludf.DUMMYFUNCTION("""COMPUTED_VALUE"""),90)</f>
        <v>90</v>
      </c>
      <c r="C95" t="str">
        <f ca="1">IFERROR(__xludf.DUMMYFUNCTION("""COMPUTED_VALUE"""),"C.T. Pan")</f>
        <v>C.T. Pan</v>
      </c>
      <c r="D95">
        <f ca="1">IFERROR(__xludf.DUMMYFUNCTION("""COMPUTED_VALUE"""),5)</f>
        <v>5</v>
      </c>
      <c r="E95" s="4">
        <f ca="1">IFERROR(__xludf.DUMMYFUNCTION("""COMPUTED_VALUE"""),186894)</f>
        <v>186894</v>
      </c>
    </row>
    <row r="96" spans="1:5" ht="12.75">
      <c r="A96">
        <f ca="1">IFERROR(__xludf.DUMMYFUNCTION("""COMPUTED_VALUE"""),95)</f>
        <v>95</v>
      </c>
      <c r="B96" t="str">
        <f ca="1">IFERROR(__xludf.DUMMYFUNCTION("""COMPUTED_VALUE"""),"T122")</f>
        <v>T122</v>
      </c>
      <c r="C96" t="str">
        <f ca="1">IFERROR(__xludf.DUMMYFUNCTION("""COMPUTED_VALUE"""),"Erik van Rooyen")</f>
        <v>Erik van Rooyen</v>
      </c>
      <c r="D96">
        <f ca="1">IFERROR(__xludf.DUMMYFUNCTION("""COMPUTED_VALUE"""),3)</f>
        <v>3</v>
      </c>
      <c r="E96" s="4">
        <f ca="1">IFERROR(__xludf.DUMMYFUNCTION("""COMPUTED_VALUE"""),184397)</f>
        <v>184397</v>
      </c>
    </row>
    <row r="97" spans="1:5" ht="12.75">
      <c r="A97">
        <f ca="1">IFERROR(__xludf.DUMMYFUNCTION("""COMPUTED_VALUE"""),96)</f>
        <v>96</v>
      </c>
      <c r="B97">
        <f ca="1">IFERROR(__xludf.DUMMYFUNCTION("""COMPUTED_VALUE"""),98)</f>
        <v>98</v>
      </c>
      <c r="C97" t="str">
        <f ca="1">IFERROR(__xludf.DUMMYFUNCTION("""COMPUTED_VALUE"""),"Scottie Scheffler")</f>
        <v>Scottie Scheffler</v>
      </c>
      <c r="D97">
        <f ca="1">IFERROR(__xludf.DUMMYFUNCTION("""COMPUTED_VALUE"""),5)</f>
        <v>5</v>
      </c>
      <c r="E97" s="4">
        <f ca="1">IFERROR(__xludf.DUMMYFUNCTION("""COMPUTED_VALUE"""),183820)</f>
        <v>183820</v>
      </c>
    </row>
    <row r="98" spans="1:5" ht="12.75">
      <c r="A98">
        <f ca="1">IFERROR(__xludf.DUMMYFUNCTION("""COMPUTED_VALUE"""),97)</f>
        <v>97</v>
      </c>
      <c r="B98">
        <f ca="1">IFERROR(__xludf.DUMMYFUNCTION("""COMPUTED_VALUE"""),95)</f>
        <v>95</v>
      </c>
      <c r="C98" t="str">
        <f ca="1">IFERROR(__xludf.DUMMYFUNCTION("""COMPUTED_VALUE"""),"Mark Hubbard")</f>
        <v>Mark Hubbard</v>
      </c>
      <c r="D98">
        <f ca="1">IFERROR(__xludf.DUMMYFUNCTION("""COMPUTED_VALUE"""),7)</f>
        <v>7</v>
      </c>
      <c r="E98" s="4">
        <f ca="1">IFERROR(__xludf.DUMMYFUNCTION("""COMPUTED_VALUE"""),182803)</f>
        <v>182803</v>
      </c>
    </row>
    <row r="99" spans="1:5" ht="12.75">
      <c r="A99">
        <f ca="1">IFERROR(__xludf.DUMMYFUNCTION("""COMPUTED_VALUE"""),98)</f>
        <v>98</v>
      </c>
      <c r="B99">
        <f ca="1">IFERROR(__xludf.DUMMYFUNCTION("""COMPUTED_VALUE"""),160)</f>
        <v>160</v>
      </c>
      <c r="C99" t="str">
        <f ca="1">IFERROR(__xludf.DUMMYFUNCTION("""COMPUTED_VALUE"""),"Michael Thompson")</f>
        <v>Michael Thompson</v>
      </c>
      <c r="D99">
        <f ca="1">IFERROR(__xludf.DUMMYFUNCTION("""COMPUTED_VALUE"""),4)</f>
        <v>4</v>
      </c>
      <c r="E99" s="4">
        <f ca="1">IFERROR(__xludf.DUMMYFUNCTION("""COMPUTED_VALUE"""),176807)</f>
        <v>176807</v>
      </c>
    </row>
    <row r="100" spans="1:5" ht="12.75">
      <c r="A100">
        <f ca="1">IFERROR(__xludf.DUMMYFUNCTION("""COMPUTED_VALUE"""),99)</f>
        <v>99</v>
      </c>
      <c r="B100">
        <f ca="1">IFERROR(__xludf.DUMMYFUNCTION("""COMPUTED_VALUE"""),86)</f>
        <v>86</v>
      </c>
      <c r="C100" t="str">
        <f ca="1">IFERROR(__xludf.DUMMYFUNCTION("""COMPUTED_VALUE"""),"J.J. Spaun")</f>
        <v>J.J. Spaun</v>
      </c>
      <c r="D100">
        <f ca="1">IFERROR(__xludf.DUMMYFUNCTION("""COMPUTED_VALUE"""),3)</f>
        <v>3</v>
      </c>
      <c r="E100" s="4">
        <f ca="1">IFERROR(__xludf.DUMMYFUNCTION("""COMPUTED_VALUE"""),175810)</f>
        <v>175810</v>
      </c>
    </row>
    <row r="101" spans="1:5" ht="12.75">
      <c r="A101">
        <f ca="1">IFERROR(__xludf.DUMMYFUNCTION("""COMPUTED_VALUE"""),100)</f>
        <v>100</v>
      </c>
      <c r="B101">
        <f ca="1">IFERROR(__xludf.DUMMYFUNCTION("""COMPUTED_VALUE"""),87)</f>
        <v>87</v>
      </c>
      <c r="C101" t="str">
        <f ca="1">IFERROR(__xludf.DUMMYFUNCTION("""COMPUTED_VALUE"""),"Rory Sabbatini")</f>
        <v>Rory Sabbatini</v>
      </c>
      <c r="D101">
        <f ca="1">IFERROR(__xludf.DUMMYFUNCTION("""COMPUTED_VALUE"""),4)</f>
        <v>4</v>
      </c>
      <c r="E101" s="4">
        <f ca="1">IFERROR(__xludf.DUMMYFUNCTION("""COMPUTED_VALUE"""),173980)</f>
        <v>173980</v>
      </c>
    </row>
    <row r="102" spans="1:5" ht="12.75">
      <c r="A102">
        <f ca="1">IFERROR(__xludf.DUMMYFUNCTION("""COMPUTED_VALUE"""),101)</f>
        <v>101</v>
      </c>
      <c r="B102">
        <f ca="1">IFERROR(__xludf.DUMMYFUNCTION("""COMPUTED_VALUE"""),88)</f>
        <v>88</v>
      </c>
      <c r="C102" t="str">
        <f ca="1">IFERROR(__xludf.DUMMYFUNCTION("""COMPUTED_VALUE"""),"Lucas Glover")</f>
        <v>Lucas Glover</v>
      </c>
      <c r="D102">
        <f ca="1">IFERROR(__xludf.DUMMYFUNCTION("""COMPUTED_VALUE"""),4)</f>
        <v>4</v>
      </c>
      <c r="E102" s="4">
        <f ca="1">IFERROR(__xludf.DUMMYFUNCTION("""COMPUTED_VALUE"""),172055)</f>
        <v>172055</v>
      </c>
    </row>
    <row r="103" spans="1:5" ht="12.75">
      <c r="A103">
        <f ca="1">IFERROR(__xludf.DUMMYFUNCTION("""COMPUTED_VALUE"""),102)</f>
        <v>102</v>
      </c>
      <c r="B103">
        <f ca="1">IFERROR(__xludf.DUMMYFUNCTION("""COMPUTED_VALUE"""),96)</f>
        <v>96</v>
      </c>
      <c r="C103" t="str">
        <f ca="1">IFERROR(__xludf.DUMMYFUNCTION("""COMPUTED_VALUE"""),"Kramer Hickok")</f>
        <v>Kramer Hickok</v>
      </c>
      <c r="D103">
        <f ca="1">IFERROR(__xludf.DUMMYFUNCTION("""COMPUTED_VALUE"""),5)</f>
        <v>5</v>
      </c>
      <c r="E103" s="4">
        <f ca="1">IFERROR(__xludf.DUMMYFUNCTION("""COMPUTED_VALUE"""),171890)</f>
        <v>171890</v>
      </c>
    </row>
    <row r="104" spans="1:5" ht="12.75">
      <c r="A104">
        <f ca="1">IFERROR(__xludf.DUMMYFUNCTION("""COMPUTED_VALUE"""),103)</f>
        <v>103</v>
      </c>
      <c r="B104">
        <f ca="1">IFERROR(__xludf.DUMMYFUNCTION("""COMPUTED_VALUE"""),89)</f>
        <v>89</v>
      </c>
      <c r="C104" t="str">
        <f ca="1">IFERROR(__xludf.DUMMYFUNCTION("""COMPUTED_VALUE"""),"Tyler Duncan")</f>
        <v>Tyler Duncan</v>
      </c>
      <c r="D104">
        <f ca="1">IFERROR(__xludf.DUMMYFUNCTION("""COMPUTED_VALUE"""),6)</f>
        <v>6</v>
      </c>
      <c r="E104" s="4">
        <f ca="1">IFERROR(__xludf.DUMMYFUNCTION("""COMPUTED_VALUE"""),171296)</f>
        <v>171296</v>
      </c>
    </row>
    <row r="105" spans="1:5" ht="12.75">
      <c r="A105">
        <f ca="1">IFERROR(__xludf.DUMMYFUNCTION("""COMPUTED_VALUE"""),104)</f>
        <v>104</v>
      </c>
      <c r="B105">
        <f ca="1">IFERROR(__xludf.DUMMYFUNCTION("""COMPUTED_VALUE"""),91)</f>
        <v>91</v>
      </c>
      <c r="C105" t="str">
        <f ca="1">IFERROR(__xludf.DUMMYFUNCTION("""COMPUTED_VALUE"""),"Emiliano Grillo")</f>
        <v>Emiliano Grillo</v>
      </c>
      <c r="D105">
        <f ca="1">IFERROR(__xludf.DUMMYFUNCTION("""COMPUTED_VALUE"""),6)</f>
        <v>6</v>
      </c>
      <c r="E105" s="4">
        <f ca="1">IFERROR(__xludf.DUMMYFUNCTION("""COMPUTED_VALUE"""),170820)</f>
        <v>170820</v>
      </c>
    </row>
    <row r="106" spans="1:5" ht="12.75">
      <c r="A106">
        <f ca="1">IFERROR(__xludf.DUMMYFUNCTION("""COMPUTED_VALUE"""),105)</f>
        <v>105</v>
      </c>
      <c r="B106">
        <f ca="1">IFERROR(__xludf.DUMMYFUNCTION("""COMPUTED_VALUE"""),92)</f>
        <v>92</v>
      </c>
      <c r="C106" t="str">
        <f ca="1">IFERROR(__xludf.DUMMYFUNCTION("""COMPUTED_VALUE"""),"Kevin Kisner")</f>
        <v>Kevin Kisner</v>
      </c>
      <c r="D106">
        <f ca="1">IFERROR(__xludf.DUMMYFUNCTION("""COMPUTED_VALUE"""),3)</f>
        <v>3</v>
      </c>
      <c r="E106" s="4">
        <f ca="1">IFERROR(__xludf.DUMMYFUNCTION("""COMPUTED_VALUE"""),170818)</f>
        <v>170818</v>
      </c>
    </row>
    <row r="107" spans="1:5" ht="12.75">
      <c r="A107">
        <f ca="1">IFERROR(__xludf.DUMMYFUNCTION("""COMPUTED_VALUE"""),106)</f>
        <v>106</v>
      </c>
      <c r="B107">
        <f ca="1">IFERROR(__xludf.DUMMYFUNCTION("""COMPUTED_VALUE"""),94)</f>
        <v>94</v>
      </c>
      <c r="C107" t="str">
        <f ca="1">IFERROR(__xludf.DUMMYFUNCTION("""COMPUTED_VALUE"""),"Akshay Bhatia")</f>
        <v>Akshay Bhatia</v>
      </c>
      <c r="D107">
        <f ca="1">IFERROR(__xludf.DUMMYFUNCTION("""COMPUTED_VALUE"""),2)</f>
        <v>2</v>
      </c>
      <c r="E107" s="4">
        <f ca="1">IFERROR(__xludf.DUMMYFUNCTION("""COMPUTED_VALUE"""),166650)</f>
        <v>166650</v>
      </c>
    </row>
    <row r="108" spans="1:5" ht="12.75">
      <c r="A108">
        <f ca="1">IFERROR(__xludf.DUMMYFUNCTION("""COMPUTED_VALUE"""),107)</f>
        <v>107</v>
      </c>
      <c r="B108">
        <f ca="1">IFERROR(__xludf.DUMMYFUNCTION("""COMPUTED_VALUE"""),116)</f>
        <v>116</v>
      </c>
      <c r="C108" t="str">
        <f ca="1">IFERROR(__xludf.DUMMYFUNCTION("""COMPUTED_VALUE"""),"Cameron Tringale")</f>
        <v>Cameron Tringale</v>
      </c>
      <c r="D108">
        <f ca="1">IFERROR(__xludf.DUMMYFUNCTION("""COMPUTED_VALUE"""),5)</f>
        <v>5</v>
      </c>
      <c r="E108" s="4">
        <f ca="1">IFERROR(__xludf.DUMMYFUNCTION("""COMPUTED_VALUE"""),162690)</f>
        <v>162690</v>
      </c>
    </row>
    <row r="109" spans="1:5" ht="12.75">
      <c r="A109">
        <f ca="1">IFERROR(__xludf.DUMMYFUNCTION("""COMPUTED_VALUE"""),108)</f>
        <v>108</v>
      </c>
      <c r="B109">
        <f ca="1">IFERROR(__xludf.DUMMYFUNCTION("""COMPUTED_VALUE"""),97)</f>
        <v>97</v>
      </c>
      <c r="C109" t="str">
        <f ca="1">IFERROR(__xludf.DUMMYFUNCTION("""COMPUTED_VALUE"""),"Beau Hossler")</f>
        <v>Beau Hossler</v>
      </c>
      <c r="D109">
        <f ca="1">IFERROR(__xludf.DUMMYFUNCTION("""COMPUTED_VALUE"""),6)</f>
        <v>6</v>
      </c>
      <c r="E109" s="4">
        <f ca="1">IFERROR(__xludf.DUMMYFUNCTION("""COMPUTED_VALUE"""),146945)</f>
        <v>146945</v>
      </c>
    </row>
    <row r="110" spans="1:5" ht="12.75">
      <c r="A110">
        <f ca="1">IFERROR(__xludf.DUMMYFUNCTION("""COMPUTED_VALUE"""),109)</f>
        <v>109</v>
      </c>
      <c r="B110">
        <f ca="1">IFERROR(__xludf.DUMMYFUNCTION("""COMPUTED_VALUE"""),99)</f>
        <v>99</v>
      </c>
      <c r="C110" t="str">
        <f ca="1">IFERROR(__xludf.DUMMYFUNCTION("""COMPUTED_VALUE"""),"MJ Daffue")</f>
        <v>MJ Daffue</v>
      </c>
      <c r="D110">
        <f ca="1">IFERROR(__xludf.DUMMYFUNCTION("""COMPUTED_VALUE"""),3)</f>
        <v>3</v>
      </c>
      <c r="E110" s="4">
        <f ca="1">IFERROR(__xludf.DUMMYFUNCTION("""COMPUTED_VALUE"""),144276)</f>
        <v>144276</v>
      </c>
    </row>
    <row r="111" spans="1:5" ht="12.75">
      <c r="A111">
        <f ca="1">IFERROR(__xludf.DUMMYFUNCTION("""COMPUTED_VALUE"""),110)</f>
        <v>110</v>
      </c>
      <c r="B111">
        <f ca="1">IFERROR(__xludf.DUMMYFUNCTION("""COMPUTED_VALUE"""),100)</f>
        <v>100</v>
      </c>
      <c r="C111" t="str">
        <f ca="1">IFERROR(__xludf.DUMMYFUNCTION("""COMPUTED_VALUE"""),"Brendon Todd")</f>
        <v>Brendon Todd</v>
      </c>
      <c r="D111">
        <f ca="1">IFERROR(__xludf.DUMMYFUNCTION("""COMPUTED_VALUE"""),4)</f>
        <v>4</v>
      </c>
      <c r="E111" s="4">
        <f ca="1">IFERROR(__xludf.DUMMYFUNCTION("""COMPUTED_VALUE"""),142019)</f>
        <v>142019</v>
      </c>
    </row>
    <row r="112" spans="1:5" ht="12.75">
      <c r="A112">
        <f ca="1">IFERROR(__xludf.DUMMYFUNCTION("""COMPUTED_VALUE"""),111)</f>
        <v>111</v>
      </c>
      <c r="B112">
        <f ca="1">IFERROR(__xludf.DUMMYFUNCTION("""COMPUTED_VALUE"""),101)</f>
        <v>101</v>
      </c>
      <c r="C112" t="str">
        <f ca="1">IFERROR(__xludf.DUMMYFUNCTION("""COMPUTED_VALUE"""),"Luke List")</f>
        <v>Luke List</v>
      </c>
      <c r="D112">
        <f ca="1">IFERROR(__xludf.DUMMYFUNCTION("""COMPUTED_VALUE"""),6)</f>
        <v>6</v>
      </c>
      <c r="E112" s="4">
        <f ca="1">IFERROR(__xludf.DUMMYFUNCTION("""COMPUTED_VALUE"""),140684)</f>
        <v>140684</v>
      </c>
    </row>
    <row r="113" spans="1:5" ht="12.75">
      <c r="A113">
        <f ca="1">IFERROR(__xludf.DUMMYFUNCTION("""COMPUTED_VALUE"""),112)</f>
        <v>112</v>
      </c>
      <c r="B113">
        <f ca="1">IFERROR(__xludf.DUMMYFUNCTION("""COMPUTED_VALUE"""),102)</f>
        <v>102</v>
      </c>
      <c r="C113" t="str">
        <f ca="1">IFERROR(__xludf.DUMMYFUNCTION("""COMPUTED_VALUE"""),"D.J. Trahan")</f>
        <v>D.J. Trahan</v>
      </c>
      <c r="D113">
        <f ca="1">IFERROR(__xludf.DUMMYFUNCTION("""COMPUTED_VALUE"""),4)</f>
        <v>4</v>
      </c>
      <c r="E113" s="4">
        <f ca="1">IFERROR(__xludf.DUMMYFUNCTION("""COMPUTED_VALUE"""),140450)</f>
        <v>140450</v>
      </c>
    </row>
    <row r="114" spans="1:5" ht="12.75">
      <c r="A114">
        <f ca="1">IFERROR(__xludf.DUMMYFUNCTION("""COMPUTED_VALUE"""),113)</f>
        <v>113</v>
      </c>
      <c r="B114">
        <f ca="1">IFERROR(__xludf.DUMMYFUNCTION("""COMPUTED_VALUE"""),103)</f>
        <v>103</v>
      </c>
      <c r="C114" t="str">
        <f ca="1">IFERROR(__xludf.DUMMYFUNCTION("""COMPUTED_VALUE"""),"Adam Schenk")</f>
        <v>Adam Schenk</v>
      </c>
      <c r="D114">
        <f ca="1">IFERROR(__xludf.DUMMYFUNCTION("""COMPUTED_VALUE"""),6)</f>
        <v>6</v>
      </c>
      <c r="E114" s="4">
        <f ca="1">IFERROR(__xludf.DUMMYFUNCTION("""COMPUTED_VALUE"""),139010)</f>
        <v>139010</v>
      </c>
    </row>
    <row r="115" spans="1:5" ht="12.75">
      <c r="A115">
        <f ca="1">IFERROR(__xludf.DUMMYFUNCTION("""COMPUTED_VALUE"""),114)</f>
        <v>114</v>
      </c>
      <c r="B115">
        <f ca="1">IFERROR(__xludf.DUMMYFUNCTION("""COMPUTED_VALUE"""),117)</f>
        <v>117</v>
      </c>
      <c r="C115" t="str">
        <f ca="1">IFERROR(__xludf.DUMMYFUNCTION("""COMPUTED_VALUE"""),"Brandt Snedeker")</f>
        <v>Brandt Snedeker</v>
      </c>
      <c r="D115">
        <f ca="1">IFERROR(__xludf.DUMMYFUNCTION("""COMPUTED_VALUE"""),5)</f>
        <v>5</v>
      </c>
      <c r="E115" s="4">
        <f ca="1">IFERROR(__xludf.DUMMYFUNCTION("""COMPUTED_VALUE"""),135165)</f>
        <v>135165</v>
      </c>
    </row>
    <row r="116" spans="1:5" ht="12.75">
      <c r="A116">
        <f ca="1">IFERROR(__xludf.DUMMYFUNCTION("""COMPUTED_VALUE"""),115)</f>
        <v>115</v>
      </c>
      <c r="B116">
        <f ca="1">IFERROR(__xludf.DUMMYFUNCTION("""COMPUTED_VALUE"""),104)</f>
        <v>104</v>
      </c>
      <c r="C116" t="str">
        <f ca="1">IFERROR(__xludf.DUMMYFUNCTION("""COMPUTED_VALUE"""),"Ryan Armour")</f>
        <v>Ryan Armour</v>
      </c>
      <c r="D116">
        <f ca="1">IFERROR(__xludf.DUMMYFUNCTION("""COMPUTED_VALUE"""),6)</f>
        <v>6</v>
      </c>
      <c r="E116" s="4">
        <f ca="1">IFERROR(__xludf.DUMMYFUNCTION("""COMPUTED_VALUE"""),134980)</f>
        <v>134980</v>
      </c>
    </row>
    <row r="117" spans="1:5" ht="12.75">
      <c r="A117">
        <f ca="1">IFERROR(__xludf.DUMMYFUNCTION("""COMPUTED_VALUE"""),116)</f>
        <v>116</v>
      </c>
      <c r="B117">
        <f ca="1">IFERROR(__xludf.DUMMYFUNCTION("""COMPUTED_VALUE"""),105)</f>
        <v>105</v>
      </c>
      <c r="C117" t="str">
        <f ca="1">IFERROR(__xludf.DUMMYFUNCTION("""COMPUTED_VALUE"""),"Adam Hadwin")</f>
        <v>Adam Hadwin</v>
      </c>
      <c r="D117">
        <f ca="1">IFERROR(__xludf.DUMMYFUNCTION("""COMPUTED_VALUE"""),4)</f>
        <v>4</v>
      </c>
      <c r="E117" s="4">
        <f ca="1">IFERROR(__xludf.DUMMYFUNCTION("""COMPUTED_VALUE"""),133378)</f>
        <v>133378</v>
      </c>
    </row>
    <row r="118" spans="1:5" ht="12.75">
      <c r="A118">
        <f ca="1">IFERROR(__xludf.DUMMYFUNCTION("""COMPUTED_VALUE"""),117)</f>
        <v>117</v>
      </c>
      <c r="B118">
        <f ca="1">IFERROR(__xludf.DUMMYFUNCTION("""COMPUTED_VALUE"""),107)</f>
        <v>107</v>
      </c>
      <c r="C118" t="str">
        <f ca="1">IFERROR(__xludf.DUMMYFUNCTION("""COMPUTED_VALUE"""),"Wesley Bryan")</f>
        <v>Wesley Bryan</v>
      </c>
      <c r="D118">
        <f ca="1">IFERROR(__xludf.DUMMYFUNCTION("""COMPUTED_VALUE"""),3)</f>
        <v>3</v>
      </c>
      <c r="E118" s="4">
        <f ca="1">IFERROR(__xludf.DUMMYFUNCTION("""COMPUTED_VALUE"""),131010)</f>
        <v>131010</v>
      </c>
    </row>
    <row r="119" spans="1:5" ht="12.75">
      <c r="A119">
        <f ca="1">IFERROR(__xludf.DUMMYFUNCTION("""COMPUTED_VALUE"""),118)</f>
        <v>118</v>
      </c>
      <c r="B119">
        <f ca="1">IFERROR(__xludf.DUMMYFUNCTION("""COMPUTED_VALUE"""),108)</f>
        <v>108</v>
      </c>
      <c r="C119" t="str">
        <f ca="1">IFERROR(__xludf.DUMMYFUNCTION("""COMPUTED_VALUE"""),"Robby Shelton")</f>
        <v>Robby Shelton</v>
      </c>
      <c r="D119">
        <f ca="1">IFERROR(__xludf.DUMMYFUNCTION("""COMPUTED_VALUE"""),5)</f>
        <v>5</v>
      </c>
      <c r="E119" s="4">
        <f ca="1">IFERROR(__xludf.DUMMYFUNCTION("""COMPUTED_VALUE"""),125440)</f>
        <v>125440</v>
      </c>
    </row>
    <row r="120" spans="1:5" ht="12.75">
      <c r="A120">
        <f ca="1">IFERROR(__xludf.DUMMYFUNCTION("""COMPUTED_VALUE"""),119)</f>
        <v>119</v>
      </c>
      <c r="B120">
        <f ca="1">IFERROR(__xludf.DUMMYFUNCTION("""COMPUTED_VALUE"""),109)</f>
        <v>109</v>
      </c>
      <c r="C120" t="str">
        <f ca="1">IFERROR(__xludf.DUMMYFUNCTION("""COMPUTED_VALUE"""),"Billy Horschel")</f>
        <v>Billy Horschel</v>
      </c>
      <c r="D120">
        <f ca="1">IFERROR(__xludf.DUMMYFUNCTION("""COMPUTED_VALUE"""),3)</f>
        <v>3</v>
      </c>
      <c r="E120" s="4">
        <f ca="1">IFERROR(__xludf.DUMMYFUNCTION("""COMPUTED_VALUE"""),123449)</f>
        <v>123449</v>
      </c>
    </row>
    <row r="121" spans="1:5" ht="12.75">
      <c r="A121">
        <f ca="1">IFERROR(__xludf.DUMMYFUNCTION("""COMPUTED_VALUE"""),120)</f>
        <v>120</v>
      </c>
      <c r="B121">
        <f ca="1">IFERROR(__xludf.DUMMYFUNCTION("""COMPUTED_VALUE"""),110)</f>
        <v>110</v>
      </c>
      <c r="C121" t="str">
        <f ca="1">IFERROR(__xludf.DUMMYFUNCTION("""COMPUTED_VALUE"""),"Hank Lebioda")</f>
        <v>Hank Lebioda</v>
      </c>
      <c r="D121">
        <f ca="1">IFERROR(__xludf.DUMMYFUNCTION("""COMPUTED_VALUE"""),4)</f>
        <v>4</v>
      </c>
      <c r="E121" s="4">
        <f ca="1">IFERROR(__xludf.DUMMYFUNCTION("""COMPUTED_VALUE"""),122770)</f>
        <v>122770</v>
      </c>
    </row>
    <row r="122" spans="1:5" ht="12.75">
      <c r="A122">
        <f ca="1">IFERROR(__xludf.DUMMYFUNCTION("""COMPUTED_VALUE"""),121)</f>
        <v>121</v>
      </c>
      <c r="B122">
        <f ca="1">IFERROR(__xludf.DUMMYFUNCTION("""COMPUTED_VALUE"""),111)</f>
        <v>111</v>
      </c>
      <c r="C122" t="str">
        <f ca="1">IFERROR(__xludf.DUMMYFUNCTION("""COMPUTED_VALUE"""),"Patrick Rodgers")</f>
        <v>Patrick Rodgers</v>
      </c>
      <c r="D122">
        <f ca="1">IFERROR(__xludf.DUMMYFUNCTION("""COMPUTED_VALUE"""),6)</f>
        <v>6</v>
      </c>
      <c r="E122" s="4">
        <f ca="1">IFERROR(__xludf.DUMMYFUNCTION("""COMPUTED_VALUE"""),120282)</f>
        <v>120282</v>
      </c>
    </row>
    <row r="123" spans="1:5" ht="12.75">
      <c r="A123">
        <f ca="1">IFERROR(__xludf.DUMMYFUNCTION("""COMPUTED_VALUE"""),122)</f>
        <v>122</v>
      </c>
      <c r="B123">
        <f ca="1">IFERROR(__xludf.DUMMYFUNCTION("""COMPUTED_VALUE"""),112)</f>
        <v>112</v>
      </c>
      <c r="C123" t="str">
        <f ca="1">IFERROR(__xludf.DUMMYFUNCTION("""COMPUTED_VALUE"""),"Rafa Cabrera Bello")</f>
        <v>Rafa Cabrera Bello</v>
      </c>
      <c r="D123">
        <f ca="1">IFERROR(__xludf.DUMMYFUNCTION("""COMPUTED_VALUE"""),5)</f>
        <v>5</v>
      </c>
      <c r="E123" s="4">
        <f ca="1">IFERROR(__xludf.DUMMYFUNCTION("""COMPUTED_VALUE"""),119777)</f>
        <v>119777</v>
      </c>
    </row>
    <row r="124" spans="1:5" ht="12.75">
      <c r="A124">
        <f ca="1">IFERROR(__xludf.DUMMYFUNCTION("""COMPUTED_VALUE"""),123)</f>
        <v>123</v>
      </c>
      <c r="B124">
        <f ca="1">IFERROR(__xludf.DUMMYFUNCTION("""COMPUTED_VALUE"""),114)</f>
        <v>114</v>
      </c>
      <c r="C124" t="str">
        <f ca="1">IFERROR(__xludf.DUMMYFUNCTION("""COMPUTED_VALUE"""),"Charles Howell III")</f>
        <v>Charles Howell III</v>
      </c>
      <c r="D124">
        <f ca="1">IFERROR(__xludf.DUMMYFUNCTION("""COMPUTED_VALUE"""),3)</f>
        <v>3</v>
      </c>
      <c r="E124" s="4">
        <f ca="1">IFERROR(__xludf.DUMMYFUNCTION("""COMPUTED_VALUE"""),116905)</f>
        <v>116905</v>
      </c>
    </row>
    <row r="125" spans="1:5" ht="12.75">
      <c r="A125">
        <f ca="1">IFERROR(__xludf.DUMMYFUNCTION("""COMPUTED_VALUE"""),124)</f>
        <v>124</v>
      </c>
      <c r="B125">
        <f ca="1">IFERROR(__xludf.DUMMYFUNCTION("""COMPUTED_VALUE"""),115)</f>
        <v>115</v>
      </c>
      <c r="C125" t="str">
        <f ca="1">IFERROR(__xludf.DUMMYFUNCTION("""COMPUTED_VALUE"""),"Justin Rose")</f>
        <v>Justin Rose</v>
      </c>
      <c r="D125">
        <f ca="1">IFERROR(__xludf.DUMMYFUNCTION("""COMPUTED_VALUE"""),3)</f>
        <v>3</v>
      </c>
      <c r="E125" s="4">
        <f ca="1">IFERROR(__xludf.DUMMYFUNCTION("""COMPUTED_VALUE"""),116026)</f>
        <v>116026</v>
      </c>
    </row>
    <row r="126" spans="1:5" ht="12.75">
      <c r="A126">
        <f ca="1">IFERROR(__xludf.DUMMYFUNCTION("""COMPUTED_VALUE"""),125)</f>
        <v>125</v>
      </c>
      <c r="B126" t="str">
        <f ca="1">IFERROR(__xludf.DUMMYFUNCTION("""COMPUTED_VALUE"""),"")</f>
        <v/>
      </c>
      <c r="C126" t="str">
        <f ca="1">IFERROR(__xludf.DUMMYFUNCTION("""COMPUTED_VALUE"""),"Francesco Molinari")</f>
        <v>Francesco Molinari</v>
      </c>
      <c r="D126">
        <f ca="1">IFERROR(__xludf.DUMMYFUNCTION("""COMPUTED_VALUE"""),2)</f>
        <v>2</v>
      </c>
      <c r="E126" s="4">
        <f ca="1">IFERROR(__xludf.DUMMYFUNCTION("""COMPUTED_VALUE"""),113750)</f>
        <v>113750</v>
      </c>
    </row>
    <row r="127" spans="1:5" ht="12.75">
      <c r="A127">
        <f ca="1">IFERROR(__xludf.DUMMYFUNCTION("""COMPUTED_VALUE"""),126)</f>
        <v>126</v>
      </c>
      <c r="B127">
        <f ca="1">IFERROR(__xludf.DUMMYFUNCTION("""COMPUTED_VALUE"""),134)</f>
        <v>134</v>
      </c>
      <c r="C127" t="str">
        <f ca="1">IFERROR(__xludf.DUMMYFUNCTION("""COMPUTED_VALUE"""),"Scott Harrington")</f>
        <v>Scott Harrington</v>
      </c>
      <c r="D127">
        <f ca="1">IFERROR(__xludf.DUMMYFUNCTION("""COMPUTED_VALUE"""),6)</f>
        <v>6</v>
      </c>
      <c r="E127" s="4">
        <f ca="1">IFERROR(__xludf.DUMMYFUNCTION("""COMPUTED_VALUE"""),109251)</f>
        <v>109251</v>
      </c>
    </row>
    <row r="128" spans="1:5" ht="12.75">
      <c r="A128">
        <f ca="1">IFERROR(__xludf.DUMMYFUNCTION("""COMPUTED_VALUE"""),127)</f>
        <v>127</v>
      </c>
      <c r="B128">
        <f ca="1">IFERROR(__xludf.DUMMYFUNCTION("""COMPUTED_VALUE"""),118)</f>
        <v>118</v>
      </c>
      <c r="C128" t="str">
        <f ca="1">IFERROR(__xludf.DUMMYFUNCTION("""COMPUTED_VALUE"""),"Danny Lee")</f>
        <v>Danny Lee</v>
      </c>
      <c r="D128">
        <f ca="1">IFERROR(__xludf.DUMMYFUNCTION("""COMPUTED_VALUE"""),5)</f>
        <v>5</v>
      </c>
      <c r="E128" s="4">
        <f ca="1">IFERROR(__xludf.DUMMYFUNCTION("""COMPUTED_VALUE"""),105556)</f>
        <v>105556</v>
      </c>
    </row>
    <row r="129" spans="1:5" ht="12.75">
      <c r="A129">
        <f ca="1">IFERROR(__xludf.DUMMYFUNCTION("""COMPUTED_VALUE"""),128)</f>
        <v>128</v>
      </c>
      <c r="B129">
        <f ca="1">IFERROR(__xludf.DUMMYFUNCTION("""COMPUTED_VALUE"""),138)</f>
        <v>138</v>
      </c>
      <c r="C129" t="str">
        <f ca="1">IFERROR(__xludf.DUMMYFUNCTION("""COMPUTED_VALUE"""),"John Huh")</f>
        <v>John Huh</v>
      </c>
      <c r="D129">
        <f ca="1">IFERROR(__xludf.DUMMYFUNCTION("""COMPUTED_VALUE"""),2)</f>
        <v>2</v>
      </c>
      <c r="E129" s="4">
        <f ca="1">IFERROR(__xludf.DUMMYFUNCTION("""COMPUTED_VALUE"""),105070)</f>
        <v>105070</v>
      </c>
    </row>
    <row r="130" spans="1:5" ht="12.75">
      <c r="A130">
        <f ca="1">IFERROR(__xludf.DUMMYFUNCTION("""COMPUTED_VALUE"""),129)</f>
        <v>129</v>
      </c>
      <c r="B130">
        <f ca="1">IFERROR(__xludf.DUMMYFUNCTION("""COMPUTED_VALUE"""),119)</f>
        <v>119</v>
      </c>
      <c r="C130" t="str">
        <f ca="1">IFERROR(__xludf.DUMMYFUNCTION("""COMPUTED_VALUE"""),"Chase Seiffert")</f>
        <v>Chase Seiffert</v>
      </c>
      <c r="D130">
        <f ca="1">IFERROR(__xludf.DUMMYFUNCTION("""COMPUTED_VALUE"""),5)</f>
        <v>5</v>
      </c>
      <c r="E130" s="4">
        <f ca="1">IFERROR(__xludf.DUMMYFUNCTION("""COMPUTED_VALUE"""),103612)</f>
        <v>103612</v>
      </c>
    </row>
    <row r="131" spans="1:5" ht="12.75">
      <c r="A131">
        <f ca="1">IFERROR(__xludf.DUMMYFUNCTION("""COMPUTED_VALUE"""),130)</f>
        <v>130</v>
      </c>
      <c r="B131">
        <f ca="1">IFERROR(__xludf.DUMMYFUNCTION("""COMPUTED_VALUE"""),120)</f>
        <v>120</v>
      </c>
      <c r="C131" t="str">
        <f ca="1">IFERROR(__xludf.DUMMYFUNCTION("""COMPUTED_VALUE"""),"Rickie Fowler")</f>
        <v>Rickie Fowler</v>
      </c>
      <c r="D131">
        <f ca="1">IFERROR(__xludf.DUMMYFUNCTION("""COMPUTED_VALUE"""),4)</f>
        <v>4</v>
      </c>
      <c r="E131" s="4">
        <f ca="1">IFERROR(__xludf.DUMMYFUNCTION("""COMPUTED_VALUE"""),103447)</f>
        <v>103447</v>
      </c>
    </row>
    <row r="132" spans="1:5" ht="12.75">
      <c r="A132">
        <f ca="1">IFERROR(__xludf.DUMMYFUNCTION("""COMPUTED_VALUE"""),131)</f>
        <v>131</v>
      </c>
      <c r="B132">
        <f ca="1">IFERROR(__xludf.DUMMYFUNCTION("""COMPUTED_VALUE"""),157)</f>
        <v>157</v>
      </c>
      <c r="C132" t="str">
        <f ca="1">IFERROR(__xludf.DUMMYFUNCTION("""COMPUTED_VALUE"""),"Troy Merritt")</f>
        <v>Troy Merritt</v>
      </c>
      <c r="D132">
        <f ca="1">IFERROR(__xludf.DUMMYFUNCTION("""COMPUTED_VALUE"""),6)</f>
        <v>6</v>
      </c>
      <c r="E132" s="4">
        <f ca="1">IFERROR(__xludf.DUMMYFUNCTION("""COMPUTED_VALUE"""),103232)</f>
        <v>103232</v>
      </c>
    </row>
    <row r="133" spans="1:5" ht="12.75">
      <c r="A133">
        <f ca="1">IFERROR(__xludf.DUMMYFUNCTION("""COMPUTED_VALUE"""),132)</f>
        <v>132</v>
      </c>
      <c r="B133">
        <f ca="1">IFERROR(__xludf.DUMMYFUNCTION("""COMPUTED_VALUE"""),121)</f>
        <v>121</v>
      </c>
      <c r="C133" t="str">
        <f ca="1">IFERROR(__xludf.DUMMYFUNCTION("""COMPUTED_VALUE"""),"Andrew Putnam")</f>
        <v>Andrew Putnam</v>
      </c>
      <c r="D133">
        <f ca="1">IFERROR(__xludf.DUMMYFUNCTION("""COMPUTED_VALUE"""),6)</f>
        <v>6</v>
      </c>
      <c r="E133" s="4">
        <f ca="1">IFERROR(__xludf.DUMMYFUNCTION("""COMPUTED_VALUE"""),102730)</f>
        <v>102730</v>
      </c>
    </row>
    <row r="134" spans="1:5" ht="12.75">
      <c r="A134" t="str">
        <f ca="1">IFERROR(__xludf.DUMMYFUNCTION("""COMPUTED_VALUE"""),"T133")</f>
        <v>T133</v>
      </c>
      <c r="B134" t="str">
        <f ca="1">IFERROR(__xludf.DUMMYFUNCTION("""COMPUTED_VALUE"""),"T122")</f>
        <v>T122</v>
      </c>
      <c r="C134" t="str">
        <f ca="1">IFERROR(__xludf.DUMMYFUNCTION("""COMPUTED_VALUE"""),"Thomas Pieters")</f>
        <v>Thomas Pieters</v>
      </c>
      <c r="D134">
        <f ca="1">IFERROR(__xludf.DUMMYFUNCTION("""COMPUTED_VALUE"""),1)</f>
        <v>1</v>
      </c>
      <c r="E134" s="4">
        <f ca="1">IFERROR(__xludf.DUMMYFUNCTION("""COMPUTED_VALUE"""),101797)</f>
        <v>101797</v>
      </c>
    </row>
    <row r="135" spans="1:5" ht="12.75">
      <c r="A135" t="str">
        <f ca="1">IFERROR(__xludf.DUMMYFUNCTION("""COMPUTED_VALUE"""),"T133")</f>
        <v>T133</v>
      </c>
      <c r="B135" t="str">
        <f ca="1">IFERROR(__xludf.DUMMYFUNCTION("""COMPUTED_VALUE"""),"T122")</f>
        <v>T122</v>
      </c>
      <c r="C135" t="str">
        <f ca="1">IFERROR(__xludf.DUMMYFUNCTION("""COMPUTED_VALUE"""),"Taylor Pendrith")</f>
        <v>Taylor Pendrith</v>
      </c>
      <c r="D135">
        <f ca="1">IFERROR(__xludf.DUMMYFUNCTION("""COMPUTED_VALUE"""),1)</f>
        <v>1</v>
      </c>
      <c r="E135" s="4">
        <f ca="1">IFERROR(__xludf.DUMMYFUNCTION("""COMPUTED_VALUE"""),101797)</f>
        <v>101797</v>
      </c>
    </row>
    <row r="136" spans="1:5" ht="12.75">
      <c r="A136">
        <f ca="1">IFERROR(__xludf.DUMMYFUNCTION("""COMPUTED_VALUE"""),135)</f>
        <v>135</v>
      </c>
      <c r="B136">
        <f ca="1">IFERROR(__xludf.DUMMYFUNCTION("""COMPUTED_VALUE"""),125)</f>
        <v>125</v>
      </c>
      <c r="C136" t="str">
        <f ca="1">IFERROR(__xludf.DUMMYFUNCTION("""COMPUTED_VALUE"""),"Kiradech Aphibarnrat")</f>
        <v>Kiradech Aphibarnrat</v>
      </c>
      <c r="D136">
        <f ca="1">IFERROR(__xludf.DUMMYFUNCTION("""COMPUTED_VALUE"""),4)</f>
        <v>4</v>
      </c>
      <c r="E136" s="4">
        <f ca="1">IFERROR(__xludf.DUMMYFUNCTION("""COMPUTED_VALUE"""),101120)</f>
        <v>101120</v>
      </c>
    </row>
    <row r="137" spans="1:5" ht="12.75">
      <c r="A137" t="str">
        <f ca="1">IFERROR(__xludf.DUMMYFUNCTION("""COMPUTED_VALUE"""),"T136")</f>
        <v>T136</v>
      </c>
      <c r="B137" t="str">
        <f ca="1">IFERROR(__xludf.DUMMYFUNCTION("""COMPUTED_VALUE"""),"T126")</f>
        <v>T126</v>
      </c>
      <c r="C137" t="str">
        <f ca="1">IFERROR(__xludf.DUMMYFUNCTION("""COMPUTED_VALUE"""),"Bud Cauley")</f>
        <v>Bud Cauley</v>
      </c>
      <c r="D137">
        <f ca="1">IFERROR(__xludf.DUMMYFUNCTION("""COMPUTED_VALUE"""),1)</f>
        <v>1</v>
      </c>
      <c r="E137" s="4">
        <f ca="1">IFERROR(__xludf.DUMMYFUNCTION("""COMPUTED_VALUE"""),100650)</f>
        <v>100650</v>
      </c>
    </row>
    <row r="138" spans="1:5" ht="12.75">
      <c r="A138" t="str">
        <f ca="1">IFERROR(__xludf.DUMMYFUNCTION("""COMPUTED_VALUE"""),"T136")</f>
        <v>T136</v>
      </c>
      <c r="B138" t="str">
        <f ca="1">IFERROR(__xludf.DUMMYFUNCTION("""COMPUTED_VALUE"""),"T126")</f>
        <v>T126</v>
      </c>
      <c r="C138" t="str">
        <f ca="1">IFERROR(__xludf.DUMMYFUNCTION("""COMPUTED_VALUE"""),"Sahith Theegala")</f>
        <v>Sahith Theegala</v>
      </c>
      <c r="D138">
        <f ca="1">IFERROR(__xludf.DUMMYFUNCTION("""COMPUTED_VALUE"""),2)</f>
        <v>2</v>
      </c>
      <c r="E138" s="4">
        <f ca="1">IFERROR(__xludf.DUMMYFUNCTION("""COMPUTED_VALUE"""),100650)</f>
        <v>100650</v>
      </c>
    </row>
    <row r="139" spans="1:5" ht="12.75">
      <c r="A139">
        <f ca="1">IFERROR(__xludf.DUMMYFUNCTION("""COMPUTED_VALUE"""),138)</f>
        <v>138</v>
      </c>
      <c r="B139">
        <f ca="1">IFERROR(__xludf.DUMMYFUNCTION("""COMPUTED_VALUE"""),128)</f>
        <v>128</v>
      </c>
      <c r="C139" t="str">
        <f ca="1">IFERROR(__xludf.DUMMYFUNCTION("""COMPUTED_VALUE"""),"Roger Sloan")</f>
        <v>Roger Sloan</v>
      </c>
      <c r="D139">
        <f ca="1">IFERROR(__xludf.DUMMYFUNCTION("""COMPUTED_VALUE"""),4)</f>
        <v>4</v>
      </c>
      <c r="E139" s="4">
        <f ca="1">IFERROR(__xludf.DUMMYFUNCTION("""COMPUTED_VALUE"""),100380)</f>
        <v>100380</v>
      </c>
    </row>
    <row r="140" spans="1:5" ht="12.75">
      <c r="A140">
        <f ca="1">IFERROR(__xludf.DUMMYFUNCTION("""COMPUTED_VALUE"""),139)</f>
        <v>139</v>
      </c>
      <c r="B140">
        <f ca="1">IFERROR(__xludf.DUMMYFUNCTION("""COMPUTED_VALUE"""),129)</f>
        <v>129</v>
      </c>
      <c r="C140" t="str">
        <f ca="1">IFERROR(__xludf.DUMMYFUNCTION("""COMPUTED_VALUE"""),"Kevin Na")</f>
        <v>Kevin Na</v>
      </c>
      <c r="D140">
        <f ca="1">IFERROR(__xludf.DUMMYFUNCTION("""COMPUTED_VALUE"""),4)</f>
        <v>4</v>
      </c>
      <c r="E140" s="4">
        <f ca="1">IFERROR(__xludf.DUMMYFUNCTION("""COMPUTED_VALUE"""),99687)</f>
        <v>99687</v>
      </c>
    </row>
    <row r="141" spans="1:5" ht="12.75">
      <c r="A141">
        <f ca="1">IFERROR(__xludf.DUMMYFUNCTION("""COMPUTED_VALUE"""),140)</f>
        <v>140</v>
      </c>
      <c r="B141">
        <f ca="1">IFERROR(__xludf.DUMMYFUNCTION("""COMPUTED_VALUE"""),130)</f>
        <v>130</v>
      </c>
      <c r="C141" t="str">
        <f ca="1">IFERROR(__xludf.DUMMYFUNCTION("""COMPUTED_VALUE"""),"Vincent Whaley")</f>
        <v>Vincent Whaley</v>
      </c>
      <c r="D141">
        <f ca="1">IFERROR(__xludf.DUMMYFUNCTION("""COMPUTED_VALUE"""),4)</f>
        <v>4</v>
      </c>
      <c r="E141" s="4">
        <f ca="1">IFERROR(__xludf.DUMMYFUNCTION("""COMPUTED_VALUE"""),99142)</f>
        <v>99142</v>
      </c>
    </row>
    <row r="142" spans="1:5" ht="12.75">
      <c r="A142">
        <f ca="1">IFERROR(__xludf.DUMMYFUNCTION("""COMPUTED_VALUE"""),141)</f>
        <v>141</v>
      </c>
      <c r="B142">
        <f ca="1">IFERROR(__xludf.DUMMYFUNCTION("""COMPUTED_VALUE"""),141)</f>
        <v>141</v>
      </c>
      <c r="C142" t="str">
        <f ca="1">IFERROR(__xludf.DUMMYFUNCTION("""COMPUTED_VALUE"""),"Brice Garnett")</f>
        <v>Brice Garnett</v>
      </c>
      <c r="D142">
        <f ca="1">IFERROR(__xludf.DUMMYFUNCTION("""COMPUTED_VALUE"""),6)</f>
        <v>6</v>
      </c>
      <c r="E142" s="4">
        <f ca="1">IFERROR(__xludf.DUMMYFUNCTION("""COMPUTED_VALUE"""),98946)</f>
        <v>98946</v>
      </c>
    </row>
    <row r="143" spans="1:5" ht="12.75">
      <c r="A143">
        <f ca="1">IFERROR(__xludf.DUMMYFUNCTION("""COMPUTED_VALUE"""),142)</f>
        <v>142</v>
      </c>
      <c r="B143">
        <f ca="1">IFERROR(__xludf.DUMMYFUNCTION("""COMPUTED_VALUE"""),131)</f>
        <v>131</v>
      </c>
      <c r="C143" t="str">
        <f ca="1">IFERROR(__xludf.DUMMYFUNCTION("""COMPUTED_VALUE"""),"Rob Oppenheim")</f>
        <v>Rob Oppenheim</v>
      </c>
      <c r="D143">
        <f ca="1">IFERROR(__xludf.DUMMYFUNCTION("""COMPUTED_VALUE"""),5)</f>
        <v>5</v>
      </c>
      <c r="E143" s="4">
        <f ca="1">IFERROR(__xludf.DUMMYFUNCTION("""COMPUTED_VALUE"""),97811)</f>
        <v>97811</v>
      </c>
    </row>
    <row r="144" spans="1:5" ht="12.75">
      <c r="A144">
        <f ca="1">IFERROR(__xludf.DUMMYFUNCTION("""COMPUTED_VALUE"""),143)</f>
        <v>143</v>
      </c>
      <c r="B144">
        <f ca="1">IFERROR(__xludf.DUMMYFUNCTION("""COMPUTED_VALUE"""),132)</f>
        <v>132</v>
      </c>
      <c r="C144" t="str">
        <f ca="1">IFERROR(__xludf.DUMMYFUNCTION("""COMPUTED_VALUE"""),"Charl Schwartzel")</f>
        <v>Charl Schwartzel</v>
      </c>
      <c r="D144">
        <f ca="1">IFERROR(__xludf.DUMMYFUNCTION("""COMPUTED_VALUE"""),4)</f>
        <v>4</v>
      </c>
      <c r="E144" s="4">
        <f ca="1">IFERROR(__xludf.DUMMYFUNCTION("""COMPUTED_VALUE"""),96800)</f>
        <v>96800</v>
      </c>
    </row>
    <row r="145" spans="1:5" ht="12.75">
      <c r="A145">
        <f ca="1">IFERROR(__xludf.DUMMYFUNCTION("""COMPUTED_VALUE"""),144)</f>
        <v>144</v>
      </c>
      <c r="B145">
        <f ca="1">IFERROR(__xludf.DUMMYFUNCTION("""COMPUTED_VALUE"""),135)</f>
        <v>135</v>
      </c>
      <c r="C145" t="str">
        <f ca="1">IFERROR(__xludf.DUMMYFUNCTION("""COMPUTED_VALUE"""),"Sebastian Cappelen")</f>
        <v>Sebastian Cappelen</v>
      </c>
      <c r="D145">
        <f ca="1">IFERROR(__xludf.DUMMYFUNCTION("""COMPUTED_VALUE"""),3)</f>
        <v>3</v>
      </c>
      <c r="E145" s="4">
        <f ca="1">IFERROR(__xludf.DUMMYFUNCTION("""COMPUTED_VALUE"""),93000)</f>
        <v>93000</v>
      </c>
    </row>
    <row r="146" spans="1:5" ht="12.75">
      <c r="A146">
        <f ca="1">IFERROR(__xludf.DUMMYFUNCTION("""COMPUTED_VALUE"""),145)</f>
        <v>145</v>
      </c>
      <c r="B146">
        <f ca="1">IFERROR(__xludf.DUMMYFUNCTION("""COMPUTED_VALUE"""),167)</f>
        <v>167</v>
      </c>
      <c r="C146" t="str">
        <f ca="1">IFERROR(__xludf.DUMMYFUNCTION("""COMPUTED_VALUE"""),"Adam Scott")</f>
        <v>Adam Scott</v>
      </c>
      <c r="D146">
        <f ca="1">IFERROR(__xludf.DUMMYFUNCTION("""COMPUTED_VALUE"""),2)</f>
        <v>2</v>
      </c>
      <c r="E146" s="4">
        <f ca="1">IFERROR(__xludf.DUMMYFUNCTION("""COMPUTED_VALUE"""),91157)</f>
        <v>91157</v>
      </c>
    </row>
    <row r="147" spans="1:5" ht="12.75">
      <c r="A147">
        <f ca="1">IFERROR(__xludf.DUMMYFUNCTION("""COMPUTED_VALUE"""),146)</f>
        <v>146</v>
      </c>
      <c r="B147">
        <f ca="1">IFERROR(__xludf.DUMMYFUNCTION("""COMPUTED_VALUE"""),146)</f>
        <v>146</v>
      </c>
      <c r="C147" t="str">
        <f ca="1">IFERROR(__xludf.DUMMYFUNCTION("""COMPUTED_VALUE"""),"Kevin Chappell")</f>
        <v>Kevin Chappell</v>
      </c>
      <c r="D147">
        <f ca="1">IFERROR(__xludf.DUMMYFUNCTION("""COMPUTED_VALUE"""),5)</f>
        <v>5</v>
      </c>
      <c r="E147" s="4">
        <f ca="1">IFERROR(__xludf.DUMMYFUNCTION("""COMPUTED_VALUE"""),89724)</f>
        <v>89724</v>
      </c>
    </row>
    <row r="148" spans="1:5" ht="12.75">
      <c r="A148">
        <f ca="1">IFERROR(__xludf.DUMMYFUNCTION("""COMPUTED_VALUE"""),147)</f>
        <v>147</v>
      </c>
      <c r="B148">
        <f ca="1">IFERROR(__xludf.DUMMYFUNCTION("""COMPUTED_VALUE"""),137)</f>
        <v>137</v>
      </c>
      <c r="C148" t="str">
        <f ca="1">IFERROR(__xludf.DUMMYFUNCTION("""COMPUTED_VALUE"""),"Richy Werenski")</f>
        <v>Richy Werenski</v>
      </c>
      <c r="D148">
        <f ca="1">IFERROR(__xludf.DUMMYFUNCTION("""COMPUTED_VALUE"""),5)</f>
        <v>5</v>
      </c>
      <c r="E148" s="4">
        <f ca="1">IFERROR(__xludf.DUMMYFUNCTION("""COMPUTED_VALUE"""),87919)</f>
        <v>87919</v>
      </c>
    </row>
    <row r="149" spans="1:5" ht="12.75">
      <c r="A149">
        <f ca="1">IFERROR(__xludf.DUMMYFUNCTION("""COMPUTED_VALUE"""),148)</f>
        <v>148</v>
      </c>
      <c r="B149">
        <f ca="1">IFERROR(__xludf.DUMMYFUNCTION("""COMPUTED_VALUE"""),139)</f>
        <v>139</v>
      </c>
      <c r="C149" t="str">
        <f ca="1">IFERROR(__xludf.DUMMYFUNCTION("""COMPUTED_VALUE"""),"Andrew Landry")</f>
        <v>Andrew Landry</v>
      </c>
      <c r="D149">
        <f ca="1">IFERROR(__xludf.DUMMYFUNCTION("""COMPUTED_VALUE"""),4)</f>
        <v>4</v>
      </c>
      <c r="E149" s="4">
        <f ca="1">IFERROR(__xludf.DUMMYFUNCTION("""COMPUTED_VALUE"""),84230)</f>
        <v>84230</v>
      </c>
    </row>
    <row r="150" spans="1:5" ht="12.75">
      <c r="A150">
        <f ca="1">IFERROR(__xludf.DUMMYFUNCTION("""COMPUTED_VALUE"""),149)</f>
        <v>149</v>
      </c>
      <c r="B150">
        <f ca="1">IFERROR(__xludf.DUMMYFUNCTION("""COMPUTED_VALUE"""),140)</f>
        <v>140</v>
      </c>
      <c r="C150" t="str">
        <f ca="1">IFERROR(__xludf.DUMMYFUNCTION("""COMPUTED_VALUE"""),"Kelly Kraft")</f>
        <v>Kelly Kraft</v>
      </c>
      <c r="D150">
        <f ca="1">IFERROR(__xludf.DUMMYFUNCTION("""COMPUTED_VALUE"""),5)</f>
        <v>5</v>
      </c>
      <c r="E150" s="4">
        <f ca="1">IFERROR(__xludf.DUMMYFUNCTION("""COMPUTED_VALUE"""),82980)</f>
        <v>82980</v>
      </c>
    </row>
    <row r="151" spans="1:5" ht="12.75">
      <c r="A151">
        <f ca="1">IFERROR(__xludf.DUMMYFUNCTION("""COMPUTED_VALUE"""),150)</f>
        <v>150</v>
      </c>
      <c r="B151" t="str">
        <f ca="1">IFERROR(__xludf.DUMMYFUNCTION("""COMPUTED_VALUE"""),"")</f>
        <v/>
      </c>
      <c r="C151" t="str">
        <f ca="1">IFERROR(__xludf.DUMMYFUNCTION("""COMPUTED_VALUE"""),"Dawie van der Walt")</f>
        <v>Dawie van der Walt</v>
      </c>
      <c r="D151">
        <f ca="1">IFERROR(__xludf.DUMMYFUNCTION("""COMPUTED_VALUE"""),1)</f>
        <v>1</v>
      </c>
      <c r="E151" s="4">
        <f ca="1">IFERROR(__xludf.DUMMYFUNCTION("""COMPUTED_VALUE"""),82600)</f>
        <v>82600</v>
      </c>
    </row>
    <row r="152" spans="1:5" ht="12.75">
      <c r="A152">
        <f ca="1">IFERROR(__xludf.DUMMYFUNCTION("""COMPUTED_VALUE"""),151)</f>
        <v>151</v>
      </c>
      <c r="B152">
        <f ca="1">IFERROR(__xludf.DUMMYFUNCTION("""COMPUTED_VALUE"""),168)</f>
        <v>168</v>
      </c>
      <c r="C152" t="str">
        <f ca="1">IFERROR(__xludf.DUMMYFUNCTION("""COMPUTED_VALUE"""),"Will Gordon")</f>
        <v>Will Gordon</v>
      </c>
      <c r="D152">
        <f ca="1">IFERROR(__xludf.DUMMYFUNCTION("""COMPUTED_VALUE"""),6)</f>
        <v>6</v>
      </c>
      <c r="E152" s="4">
        <f ca="1">IFERROR(__xludf.DUMMYFUNCTION("""COMPUTED_VALUE"""),81679)</f>
        <v>81679</v>
      </c>
    </row>
    <row r="153" spans="1:5" ht="12.75">
      <c r="A153">
        <f ca="1">IFERROR(__xludf.DUMMYFUNCTION("""COMPUTED_VALUE"""),152)</f>
        <v>152</v>
      </c>
      <c r="B153" t="str">
        <f ca="1">IFERROR(__xludf.DUMMYFUNCTION("""COMPUTED_VALUE"""),"T155")</f>
        <v>T155</v>
      </c>
      <c r="C153" t="str">
        <f ca="1">IFERROR(__xludf.DUMMYFUNCTION("""COMPUTED_VALUE"""),"Sean O'Hair")</f>
        <v>Sean O'Hair</v>
      </c>
      <c r="D153">
        <f ca="1">IFERROR(__xludf.DUMMYFUNCTION("""COMPUTED_VALUE"""),5)</f>
        <v>5</v>
      </c>
      <c r="E153" s="4">
        <f ca="1">IFERROR(__xludf.DUMMYFUNCTION("""COMPUTED_VALUE"""),79840)</f>
        <v>79840</v>
      </c>
    </row>
    <row r="154" spans="1:5" ht="12.75">
      <c r="A154">
        <f ca="1">IFERROR(__xludf.DUMMYFUNCTION("""COMPUTED_VALUE"""),153)</f>
        <v>153</v>
      </c>
      <c r="B154">
        <f ca="1">IFERROR(__xludf.DUMMYFUNCTION("""COMPUTED_VALUE"""),142)</f>
        <v>142</v>
      </c>
      <c r="C154" t="str">
        <f ca="1">IFERROR(__xludf.DUMMYFUNCTION("""COMPUTED_VALUE"""),"Ricky Barnes")</f>
        <v>Ricky Barnes</v>
      </c>
      <c r="D154">
        <f ca="1">IFERROR(__xludf.DUMMYFUNCTION("""COMPUTED_VALUE"""),3)</f>
        <v>3</v>
      </c>
      <c r="E154" s="4">
        <f ca="1">IFERROR(__xludf.DUMMYFUNCTION("""COMPUTED_VALUE"""),79002)</f>
        <v>79002</v>
      </c>
    </row>
    <row r="155" spans="1:5" ht="12.75">
      <c r="A155" t="str">
        <f ca="1">IFERROR(__xludf.DUMMYFUNCTION("""COMPUTED_VALUE"""),"T154")</f>
        <v>T154</v>
      </c>
      <c r="B155" t="str">
        <f ca="1">IFERROR(__xludf.DUMMYFUNCTION("""COMPUTED_VALUE"""),"T144")</f>
        <v>T144</v>
      </c>
      <c r="C155" t="str">
        <f ca="1">IFERROR(__xludf.DUMMYFUNCTION("""COMPUTED_VALUE"""),"Renato Paratore")</f>
        <v>Renato Paratore</v>
      </c>
      <c r="D155">
        <f ca="1">IFERROR(__xludf.DUMMYFUNCTION("""COMPUTED_VALUE"""),1)</f>
        <v>1</v>
      </c>
      <c r="E155" s="4">
        <f ca="1">IFERROR(__xludf.DUMMYFUNCTION("""COMPUTED_VALUE"""),75649)</f>
        <v>75649</v>
      </c>
    </row>
    <row r="156" spans="1:5" ht="12.75">
      <c r="A156" t="str">
        <f ca="1">IFERROR(__xludf.DUMMYFUNCTION("""COMPUTED_VALUE"""),"T154")</f>
        <v>T154</v>
      </c>
      <c r="B156" t="str">
        <f ca="1">IFERROR(__xludf.DUMMYFUNCTION("""COMPUTED_VALUE"""),"T144")</f>
        <v>T144</v>
      </c>
      <c r="C156" t="str">
        <f ca="1">IFERROR(__xludf.DUMMYFUNCTION("""COMPUTED_VALUE"""),"Lucas Herbert")</f>
        <v>Lucas Herbert</v>
      </c>
      <c r="D156">
        <f ca="1">IFERROR(__xludf.DUMMYFUNCTION("""COMPUTED_VALUE"""),1)</f>
        <v>1</v>
      </c>
      <c r="E156" s="4">
        <f ca="1">IFERROR(__xludf.DUMMYFUNCTION("""COMPUTED_VALUE"""),75649)</f>
        <v>75649</v>
      </c>
    </row>
    <row r="157" spans="1:5" ht="12.75">
      <c r="A157">
        <f ca="1">IFERROR(__xludf.DUMMYFUNCTION("""COMPUTED_VALUE"""),156)</f>
        <v>156</v>
      </c>
      <c r="B157">
        <f ca="1">IFERROR(__xludf.DUMMYFUNCTION("""COMPUTED_VALUE"""),147)</f>
        <v>147</v>
      </c>
      <c r="C157" t="str">
        <f ca="1">IFERROR(__xludf.DUMMYFUNCTION("""COMPUTED_VALUE"""),"Brendan Steele")</f>
        <v>Brendan Steele</v>
      </c>
      <c r="D157">
        <f ca="1">IFERROR(__xludf.DUMMYFUNCTION("""COMPUTED_VALUE"""),4)</f>
        <v>4</v>
      </c>
      <c r="E157" s="4">
        <f ca="1">IFERROR(__xludf.DUMMYFUNCTION("""COMPUTED_VALUE"""),73234)</f>
        <v>73234</v>
      </c>
    </row>
    <row r="158" spans="1:5" ht="12.75">
      <c r="A158">
        <f ca="1">IFERROR(__xludf.DUMMYFUNCTION("""COMPUTED_VALUE"""),157)</f>
        <v>157</v>
      </c>
      <c r="B158">
        <f ca="1">IFERROR(__xludf.DUMMYFUNCTION("""COMPUTED_VALUE"""),148)</f>
        <v>148</v>
      </c>
      <c r="C158" t="str">
        <f ca="1">IFERROR(__xludf.DUMMYFUNCTION("""COMPUTED_VALUE"""),"Byeong Hun An")</f>
        <v>Byeong Hun An</v>
      </c>
      <c r="D158">
        <f ca="1">IFERROR(__xludf.DUMMYFUNCTION("""COMPUTED_VALUE"""),5)</f>
        <v>5</v>
      </c>
      <c r="E158" s="4">
        <f ca="1">IFERROR(__xludf.DUMMYFUNCTION("""COMPUTED_VALUE"""),70415)</f>
        <v>70415</v>
      </c>
    </row>
    <row r="159" spans="1:5" ht="12.75">
      <c r="A159">
        <f ca="1">IFERROR(__xludf.DUMMYFUNCTION("""COMPUTED_VALUE"""),158)</f>
        <v>158</v>
      </c>
      <c r="B159">
        <f ca="1">IFERROR(__xludf.DUMMYFUNCTION("""COMPUTED_VALUE"""),149)</f>
        <v>149</v>
      </c>
      <c r="C159" t="str">
        <f ca="1">IFERROR(__xludf.DUMMYFUNCTION("""COMPUTED_VALUE"""),"Matt Kuchar")</f>
        <v>Matt Kuchar</v>
      </c>
      <c r="D159">
        <f ca="1">IFERROR(__xludf.DUMMYFUNCTION("""COMPUTED_VALUE"""),4)</f>
        <v>4</v>
      </c>
      <c r="E159" s="4">
        <f ca="1">IFERROR(__xludf.DUMMYFUNCTION("""COMPUTED_VALUE"""),70132)</f>
        <v>70132</v>
      </c>
    </row>
    <row r="160" spans="1:5" ht="12.75">
      <c r="A160">
        <f ca="1">IFERROR(__xludf.DUMMYFUNCTION("""COMPUTED_VALUE"""),159)</f>
        <v>159</v>
      </c>
      <c r="B160">
        <f ca="1">IFERROR(__xludf.DUMMYFUNCTION("""COMPUTED_VALUE"""),150)</f>
        <v>150</v>
      </c>
      <c r="C160" t="str">
        <f ca="1">IFERROR(__xludf.DUMMYFUNCTION("""COMPUTED_VALUE"""),"Joseph Bramlett")</f>
        <v>Joseph Bramlett</v>
      </c>
      <c r="D160">
        <f ca="1">IFERROR(__xludf.DUMMYFUNCTION("""COMPUTED_VALUE"""),5)</f>
        <v>5</v>
      </c>
      <c r="E160" s="4">
        <f ca="1">IFERROR(__xludf.DUMMYFUNCTION("""COMPUTED_VALUE"""),69537)</f>
        <v>69537</v>
      </c>
    </row>
    <row r="161" spans="1:5" ht="12.75">
      <c r="A161">
        <f ca="1">IFERROR(__xludf.DUMMYFUNCTION("""COMPUTED_VALUE"""),160)</f>
        <v>160</v>
      </c>
      <c r="B161">
        <f ca="1">IFERROR(__xludf.DUMMYFUNCTION("""COMPUTED_VALUE"""),151)</f>
        <v>151</v>
      </c>
      <c r="C161" t="str">
        <f ca="1">IFERROR(__xludf.DUMMYFUNCTION("""COMPUTED_VALUE"""),"Camilo Villegas")</f>
        <v>Camilo Villegas</v>
      </c>
      <c r="D161">
        <f ca="1">IFERROR(__xludf.DUMMYFUNCTION("""COMPUTED_VALUE"""),5)</f>
        <v>5</v>
      </c>
      <c r="E161" s="4">
        <f ca="1">IFERROR(__xludf.DUMMYFUNCTION("""COMPUTED_VALUE"""),68390)</f>
        <v>68390</v>
      </c>
    </row>
    <row r="162" spans="1:5" ht="12.75">
      <c r="A162">
        <f ca="1">IFERROR(__xludf.DUMMYFUNCTION("""COMPUTED_VALUE"""),161)</f>
        <v>161</v>
      </c>
      <c r="B162" t="str">
        <f ca="1">IFERROR(__xludf.DUMMYFUNCTION("""COMPUTED_VALUE"""),"T248")</f>
        <v>T248</v>
      </c>
      <c r="C162" t="str">
        <f ca="1">IFERROR(__xludf.DUMMYFUNCTION("""COMPUTED_VALUE"""),"Scott Brown")</f>
        <v>Scott Brown</v>
      </c>
      <c r="D162">
        <f ca="1">IFERROR(__xludf.DUMMYFUNCTION("""COMPUTED_VALUE"""),5)</f>
        <v>5</v>
      </c>
      <c r="E162" s="4">
        <f ca="1">IFERROR(__xludf.DUMMYFUNCTION("""COMPUTED_VALUE"""),67610)</f>
        <v>67610</v>
      </c>
    </row>
    <row r="163" spans="1:5" ht="12.75">
      <c r="A163">
        <f ca="1">IFERROR(__xludf.DUMMYFUNCTION("""COMPUTED_VALUE"""),162)</f>
        <v>162</v>
      </c>
      <c r="B163">
        <f ca="1">IFERROR(__xludf.DUMMYFUNCTION("""COMPUTED_VALUE"""),153)</f>
        <v>153</v>
      </c>
      <c r="C163" t="str">
        <f ca="1">IFERROR(__xludf.DUMMYFUNCTION("""COMPUTED_VALUE"""),"Jordan Spieth")</f>
        <v>Jordan Spieth</v>
      </c>
      <c r="D163">
        <f ca="1">IFERROR(__xludf.DUMMYFUNCTION("""COMPUTED_VALUE"""),5)</f>
        <v>5</v>
      </c>
      <c r="E163" s="4">
        <f ca="1">IFERROR(__xludf.DUMMYFUNCTION("""COMPUTED_VALUE"""),67440)</f>
        <v>67440</v>
      </c>
    </row>
    <row r="164" spans="1:5" ht="12.75">
      <c r="A164">
        <f ca="1">IFERROR(__xludf.DUMMYFUNCTION("""COMPUTED_VALUE"""),163)</f>
        <v>163</v>
      </c>
      <c r="B164">
        <f ca="1">IFERROR(__xludf.DUMMYFUNCTION("""COMPUTED_VALUE"""),195)</f>
        <v>195</v>
      </c>
      <c r="C164" t="str">
        <f ca="1">IFERROR(__xludf.DUMMYFUNCTION("""COMPUTED_VALUE"""),"Padraig Harrington")</f>
        <v>Padraig Harrington</v>
      </c>
      <c r="D164">
        <f ca="1">IFERROR(__xludf.DUMMYFUNCTION("""COMPUTED_VALUE"""),2)</f>
        <v>2</v>
      </c>
      <c r="E164" s="4">
        <f ca="1">IFERROR(__xludf.DUMMYFUNCTION("""COMPUTED_VALUE"""),67083)</f>
        <v>67083</v>
      </c>
    </row>
    <row r="165" spans="1:5" ht="12.75">
      <c r="A165">
        <f ca="1">IFERROR(__xludf.DUMMYFUNCTION("""COMPUTED_VALUE"""),164)</f>
        <v>164</v>
      </c>
      <c r="B165">
        <f ca="1">IFERROR(__xludf.DUMMYFUNCTION("""COMPUTED_VALUE"""),185)</f>
        <v>185</v>
      </c>
      <c r="C165" t="str">
        <f ca="1">IFERROR(__xludf.DUMMYFUNCTION("""COMPUTED_VALUE"""),"Satoshi Kodaira")</f>
        <v>Satoshi Kodaira</v>
      </c>
      <c r="D165">
        <f ca="1">IFERROR(__xludf.DUMMYFUNCTION("""COMPUTED_VALUE"""),4)</f>
        <v>4</v>
      </c>
      <c r="E165" s="4">
        <f ca="1">IFERROR(__xludf.DUMMYFUNCTION("""COMPUTED_VALUE"""),66430)</f>
        <v>66430</v>
      </c>
    </row>
    <row r="166" spans="1:5" ht="12.75">
      <c r="A166">
        <f ca="1">IFERROR(__xludf.DUMMYFUNCTION("""COMPUTED_VALUE"""),165)</f>
        <v>165</v>
      </c>
      <c r="B166">
        <f ca="1">IFERROR(__xludf.DUMMYFUNCTION("""COMPUTED_VALUE"""),154)</f>
        <v>154</v>
      </c>
      <c r="C166" t="str">
        <f ca="1">IFERROR(__xludf.DUMMYFUNCTION("""COMPUTED_VALUE"""),"Mark Anderson")</f>
        <v>Mark Anderson</v>
      </c>
      <c r="D166">
        <f ca="1">IFERROR(__xludf.DUMMYFUNCTION("""COMPUTED_VALUE"""),4)</f>
        <v>4</v>
      </c>
      <c r="E166" s="4">
        <f ca="1">IFERROR(__xludf.DUMMYFUNCTION("""COMPUTED_VALUE"""),65851)</f>
        <v>65851</v>
      </c>
    </row>
    <row r="167" spans="1:5" ht="12.75">
      <c r="A167">
        <f ca="1">IFERROR(__xludf.DUMMYFUNCTION("""COMPUTED_VALUE"""),166)</f>
        <v>166</v>
      </c>
      <c r="B167" t="str">
        <f ca="1">IFERROR(__xludf.DUMMYFUNCTION("""COMPUTED_VALUE"""),"T155")</f>
        <v>T155</v>
      </c>
      <c r="C167" t="str">
        <f ca="1">IFERROR(__xludf.DUMMYFUNCTION("""COMPUTED_VALUE"""),"Alex Smalley")</f>
        <v>Alex Smalley</v>
      </c>
      <c r="D167">
        <f ca="1">IFERROR(__xludf.DUMMYFUNCTION("""COMPUTED_VALUE"""),1)</f>
        <v>1</v>
      </c>
      <c r="E167" s="4">
        <f ca="1">IFERROR(__xludf.DUMMYFUNCTION("""COMPUTED_VALUE"""),65000)</f>
        <v>65000</v>
      </c>
    </row>
    <row r="168" spans="1:5" ht="12.75">
      <c r="A168" t="str">
        <f ca="1">IFERROR(__xludf.DUMMYFUNCTION("""COMPUTED_VALUE"""),"T167")</f>
        <v>T167</v>
      </c>
      <c r="B168" t="str">
        <f ca="1">IFERROR(__xludf.DUMMYFUNCTION("""COMPUTED_VALUE"""),"T158")</f>
        <v>T158</v>
      </c>
      <c r="C168" t="str">
        <f ca="1">IFERROR(__xludf.DUMMYFUNCTION("""COMPUTED_VALUE"""),"Stephan Jaeger")</f>
        <v>Stephan Jaeger</v>
      </c>
      <c r="D168">
        <f ca="1">IFERROR(__xludf.DUMMYFUNCTION("""COMPUTED_VALUE"""),1)</f>
        <v>1</v>
      </c>
      <c r="E168" s="4">
        <f ca="1">IFERROR(__xludf.DUMMYFUNCTION("""COMPUTED_VALUE"""),64024)</f>
        <v>64024</v>
      </c>
    </row>
    <row r="169" spans="1:5" ht="12.75">
      <c r="A169" t="str">
        <f ca="1">IFERROR(__xludf.DUMMYFUNCTION("""COMPUTED_VALUE"""),"T167")</f>
        <v>T167</v>
      </c>
      <c r="B169" t="str">
        <f ca="1">IFERROR(__xludf.DUMMYFUNCTION("""COMPUTED_VALUE"""),"T158")</f>
        <v>T158</v>
      </c>
      <c r="C169" t="str">
        <f ca="1">IFERROR(__xludf.DUMMYFUNCTION("""COMPUTED_VALUE"""),"Romain Langasque")</f>
        <v>Romain Langasque</v>
      </c>
      <c r="D169">
        <f ca="1">IFERROR(__xludf.DUMMYFUNCTION("""COMPUTED_VALUE"""),1)</f>
        <v>1</v>
      </c>
      <c r="E169" s="4">
        <f ca="1">IFERROR(__xludf.DUMMYFUNCTION("""COMPUTED_VALUE"""),64024)</f>
        <v>64024</v>
      </c>
    </row>
    <row r="170" spans="1:5" ht="12.75">
      <c r="A170">
        <f ca="1">IFERROR(__xludf.DUMMYFUNCTION("""COMPUTED_VALUE"""),169)</f>
        <v>169</v>
      </c>
      <c r="B170">
        <f ca="1">IFERROR(__xludf.DUMMYFUNCTION("""COMPUTED_VALUE"""),161)</f>
        <v>161</v>
      </c>
      <c r="C170" t="str">
        <f ca="1">IFERROR(__xludf.DUMMYFUNCTION("""COMPUTED_VALUE"""),"Nelson Ledesma")</f>
        <v>Nelson Ledesma</v>
      </c>
      <c r="D170">
        <f ca="1">IFERROR(__xludf.DUMMYFUNCTION("""COMPUTED_VALUE"""),3)</f>
        <v>3</v>
      </c>
      <c r="E170" s="4">
        <f ca="1">IFERROR(__xludf.DUMMYFUNCTION("""COMPUTED_VALUE"""),57420)</f>
        <v>57420</v>
      </c>
    </row>
    <row r="171" spans="1:5" ht="12.75">
      <c r="A171">
        <f ca="1">IFERROR(__xludf.DUMMYFUNCTION("""COMPUTED_VALUE"""),170)</f>
        <v>170</v>
      </c>
      <c r="B171">
        <f ca="1">IFERROR(__xludf.DUMMYFUNCTION("""COMPUTED_VALUE"""),162)</f>
        <v>162</v>
      </c>
      <c r="C171" t="str">
        <f ca="1">IFERROR(__xludf.DUMMYFUNCTION("""COMPUTED_VALUE"""),"Branden Grace")</f>
        <v>Branden Grace</v>
      </c>
      <c r="D171">
        <f ca="1">IFERROR(__xludf.DUMMYFUNCTION("""COMPUTED_VALUE"""),6)</f>
        <v>6</v>
      </c>
      <c r="E171" s="4">
        <f ca="1">IFERROR(__xludf.DUMMYFUNCTION("""COMPUTED_VALUE"""),57191)</f>
        <v>57191</v>
      </c>
    </row>
    <row r="172" spans="1:5" ht="12.75">
      <c r="A172">
        <f ca="1">IFERROR(__xludf.DUMMYFUNCTION("""COMPUTED_VALUE"""),171)</f>
        <v>171</v>
      </c>
      <c r="B172">
        <f ca="1">IFERROR(__xludf.DUMMYFUNCTION("""COMPUTED_VALUE"""),164)</f>
        <v>164</v>
      </c>
      <c r="C172" t="str">
        <f ca="1">IFERROR(__xludf.DUMMYFUNCTION("""COMPUTED_VALUE"""),"Kyle Stanley")</f>
        <v>Kyle Stanley</v>
      </c>
      <c r="D172">
        <f ca="1">IFERROR(__xludf.DUMMYFUNCTION("""COMPUTED_VALUE"""),5)</f>
        <v>5</v>
      </c>
      <c r="E172" s="4">
        <f ca="1">IFERROR(__xludf.DUMMYFUNCTION("""COMPUTED_VALUE"""),54242)</f>
        <v>54242</v>
      </c>
    </row>
    <row r="173" spans="1:5" ht="12.75">
      <c r="A173">
        <f ca="1">IFERROR(__xludf.DUMMYFUNCTION("""COMPUTED_VALUE"""),172)</f>
        <v>172</v>
      </c>
      <c r="B173">
        <f ca="1">IFERROR(__xludf.DUMMYFUNCTION("""COMPUTED_VALUE"""),165)</f>
        <v>165</v>
      </c>
      <c r="C173" t="str">
        <f ca="1">IFERROR(__xludf.DUMMYFUNCTION("""COMPUTED_VALUE"""),"Joohyung Kim")</f>
        <v>Joohyung Kim</v>
      </c>
      <c r="D173">
        <f ca="1">IFERROR(__xludf.DUMMYFUNCTION("""COMPUTED_VALUE"""),3)</f>
        <v>3</v>
      </c>
      <c r="E173" s="4">
        <f ca="1">IFERROR(__xludf.DUMMYFUNCTION("""COMPUTED_VALUE"""),52508)</f>
        <v>52508</v>
      </c>
    </row>
    <row r="174" spans="1:5" ht="12.75">
      <c r="A174">
        <f ca="1">IFERROR(__xludf.DUMMYFUNCTION("""COMPUTED_VALUE"""),173)</f>
        <v>173</v>
      </c>
      <c r="B174">
        <f ca="1">IFERROR(__xludf.DUMMYFUNCTION("""COMPUTED_VALUE"""),166)</f>
        <v>166</v>
      </c>
      <c r="C174" t="str">
        <f ca="1">IFERROR(__xludf.DUMMYFUNCTION("""COMPUTED_VALUE"""),"Rhein Gibson")</f>
        <v>Rhein Gibson</v>
      </c>
      <c r="D174">
        <f ca="1">IFERROR(__xludf.DUMMYFUNCTION("""COMPUTED_VALUE"""),3)</f>
        <v>3</v>
      </c>
      <c r="E174" s="4">
        <f ca="1">IFERROR(__xludf.DUMMYFUNCTION("""COMPUTED_VALUE"""),52134)</f>
        <v>52134</v>
      </c>
    </row>
    <row r="175" spans="1:5" ht="12.75">
      <c r="A175">
        <f ca="1">IFERROR(__xludf.DUMMYFUNCTION("""COMPUTED_VALUE"""),174)</f>
        <v>174</v>
      </c>
      <c r="B175" t="str">
        <f ca="1">IFERROR(__xludf.DUMMYFUNCTION("""COMPUTED_VALUE"""),"T239")</f>
        <v>T239</v>
      </c>
      <c r="C175" t="str">
        <f ca="1">IFERROR(__xludf.DUMMYFUNCTION("""COMPUTED_VALUE"""),"Fabián Gómez")</f>
        <v>Fabián Gómez</v>
      </c>
      <c r="D175">
        <f ca="1">IFERROR(__xludf.DUMMYFUNCTION("""COMPUTED_VALUE"""),6)</f>
        <v>6</v>
      </c>
      <c r="E175" s="4">
        <f ca="1">IFERROR(__xludf.DUMMYFUNCTION("""COMPUTED_VALUE"""),51945)</f>
        <v>51945</v>
      </c>
    </row>
    <row r="176" spans="1:5" ht="12.75">
      <c r="A176">
        <f ca="1">IFERROR(__xludf.DUMMYFUNCTION("""COMPUTED_VALUE"""),175)</f>
        <v>175</v>
      </c>
      <c r="B176">
        <f ca="1">IFERROR(__xludf.DUMMYFUNCTION("""COMPUTED_VALUE"""),169)</f>
        <v>169</v>
      </c>
      <c r="C176" t="str">
        <f ca="1">IFERROR(__xludf.DUMMYFUNCTION("""COMPUTED_VALUE"""),"Jonathan Byrd")</f>
        <v>Jonathan Byrd</v>
      </c>
      <c r="D176">
        <f ca="1">IFERROR(__xludf.DUMMYFUNCTION("""COMPUTED_VALUE"""),4)</f>
        <v>4</v>
      </c>
      <c r="E176" s="4">
        <f ca="1">IFERROR(__xludf.DUMMYFUNCTION("""COMPUTED_VALUE"""),51480)</f>
        <v>51480</v>
      </c>
    </row>
    <row r="177" spans="1:5" ht="12.75">
      <c r="A177">
        <f ca="1">IFERROR(__xludf.DUMMYFUNCTION("""COMPUTED_VALUE"""),176)</f>
        <v>176</v>
      </c>
      <c r="B177">
        <f ca="1">IFERROR(__xludf.DUMMYFUNCTION("""COMPUTED_VALUE"""),170)</f>
        <v>170</v>
      </c>
      <c r="C177" t="str">
        <f ca="1">IFERROR(__xludf.DUMMYFUNCTION("""COMPUTED_VALUE"""),"Thomas Detry")</f>
        <v>Thomas Detry</v>
      </c>
      <c r="D177">
        <f ca="1">IFERROR(__xludf.DUMMYFUNCTION("""COMPUTED_VALUE"""),2)</f>
        <v>2</v>
      </c>
      <c r="E177" s="4">
        <f ca="1">IFERROR(__xludf.DUMMYFUNCTION("""COMPUTED_VALUE"""),50762)</f>
        <v>50762</v>
      </c>
    </row>
    <row r="178" spans="1:5" ht="12.75">
      <c r="A178">
        <f ca="1">IFERROR(__xludf.DUMMYFUNCTION("""COMPUTED_VALUE"""),177)</f>
        <v>177</v>
      </c>
      <c r="B178">
        <f ca="1">IFERROR(__xludf.DUMMYFUNCTION("""COMPUTED_VALUE"""),171)</f>
        <v>171</v>
      </c>
      <c r="C178" t="str">
        <f ca="1">IFERROR(__xludf.DUMMYFUNCTION("""COMPUTED_VALUE"""),"Jason Dufner")</f>
        <v>Jason Dufner</v>
      </c>
      <c r="D178">
        <f ca="1">IFERROR(__xludf.DUMMYFUNCTION("""COMPUTED_VALUE"""),5)</f>
        <v>5</v>
      </c>
      <c r="E178" s="4">
        <f ca="1">IFERROR(__xludf.DUMMYFUNCTION("""COMPUTED_VALUE"""),50551)</f>
        <v>50551</v>
      </c>
    </row>
    <row r="179" spans="1:5" ht="12.75">
      <c r="A179">
        <f ca="1">IFERROR(__xludf.DUMMYFUNCTION("""COMPUTED_VALUE"""),178)</f>
        <v>178</v>
      </c>
      <c r="B179">
        <f ca="1">IFERROR(__xludf.DUMMYFUNCTION("""COMPUTED_VALUE"""),172)</f>
        <v>172</v>
      </c>
      <c r="C179" t="str">
        <f ca="1">IFERROR(__xludf.DUMMYFUNCTION("""COMPUTED_VALUE"""),"Shaun Norris")</f>
        <v>Shaun Norris</v>
      </c>
      <c r="D179">
        <f ca="1">IFERROR(__xludf.DUMMYFUNCTION("""COMPUTED_VALUE"""),2)</f>
        <v>2</v>
      </c>
      <c r="E179" s="4">
        <f ca="1">IFERROR(__xludf.DUMMYFUNCTION("""COMPUTED_VALUE"""),50137)</f>
        <v>50137</v>
      </c>
    </row>
    <row r="180" spans="1:5" ht="12.75">
      <c r="A180">
        <f ca="1">IFERROR(__xludf.DUMMYFUNCTION("""COMPUTED_VALUE"""),179)</f>
        <v>179</v>
      </c>
      <c r="B180">
        <f ca="1">IFERROR(__xludf.DUMMYFUNCTION("""COMPUTED_VALUE"""),173)</f>
        <v>173</v>
      </c>
      <c r="C180" t="str">
        <f ca="1">IFERROR(__xludf.DUMMYFUNCTION("""COMPUTED_VALUE"""),"Ryan Brehm")</f>
        <v>Ryan Brehm</v>
      </c>
      <c r="D180">
        <f ca="1">IFERROR(__xludf.DUMMYFUNCTION("""COMPUTED_VALUE"""),3)</f>
        <v>3</v>
      </c>
      <c r="E180" s="4">
        <f ca="1">IFERROR(__xludf.DUMMYFUNCTION("""COMPUTED_VALUE"""),48450)</f>
        <v>48450</v>
      </c>
    </row>
    <row r="181" spans="1:5" ht="12.75">
      <c r="A181">
        <f ca="1">IFERROR(__xludf.DUMMYFUNCTION("""COMPUTED_VALUE"""),180)</f>
        <v>180</v>
      </c>
      <c r="B181">
        <f ca="1">IFERROR(__xludf.DUMMYFUNCTION("""COMPUTED_VALUE"""),174)</f>
        <v>174</v>
      </c>
      <c r="C181" t="str">
        <f ca="1">IFERROR(__xludf.DUMMYFUNCTION("""COMPUTED_VALUE"""),"Robert Streb")</f>
        <v>Robert Streb</v>
      </c>
      <c r="D181">
        <f ca="1">IFERROR(__xludf.DUMMYFUNCTION("""COMPUTED_VALUE"""),4)</f>
        <v>4</v>
      </c>
      <c r="E181" s="4">
        <f ca="1">IFERROR(__xludf.DUMMYFUNCTION("""COMPUTED_VALUE"""),48320)</f>
        <v>48320</v>
      </c>
    </row>
    <row r="182" spans="1:5" ht="12.75">
      <c r="A182">
        <f ca="1">IFERROR(__xludf.DUMMYFUNCTION("""COMPUTED_VALUE"""),181)</f>
        <v>181</v>
      </c>
      <c r="B182">
        <f ca="1">IFERROR(__xludf.DUMMYFUNCTION("""COMPUTED_VALUE"""),201)</f>
        <v>201</v>
      </c>
      <c r="C182" t="str">
        <f ca="1">IFERROR(__xludf.DUMMYFUNCTION("""COMPUTED_VALUE"""),"Jhonattan Vegas")</f>
        <v>Jhonattan Vegas</v>
      </c>
      <c r="D182">
        <f ca="1">IFERROR(__xludf.DUMMYFUNCTION("""COMPUTED_VALUE"""),5)</f>
        <v>5</v>
      </c>
      <c r="E182" s="4">
        <f ca="1">IFERROR(__xludf.DUMMYFUNCTION("""COMPUTED_VALUE"""),47557)</f>
        <v>47557</v>
      </c>
    </row>
    <row r="183" spans="1:5" ht="12.75">
      <c r="A183">
        <f ca="1">IFERROR(__xludf.DUMMYFUNCTION("""COMPUTED_VALUE"""),182)</f>
        <v>182</v>
      </c>
      <c r="B183">
        <f ca="1">IFERROR(__xludf.DUMMYFUNCTION("""COMPUTED_VALUE"""),175)</f>
        <v>175</v>
      </c>
      <c r="C183" t="str">
        <f ca="1">IFERROR(__xludf.DUMMYFUNCTION("""COMPUTED_VALUE"""),"Kyoung-Hoon Lee")</f>
        <v>Kyoung-Hoon Lee</v>
      </c>
      <c r="D183">
        <f ca="1">IFERROR(__xludf.DUMMYFUNCTION("""COMPUTED_VALUE"""),7)</f>
        <v>7</v>
      </c>
      <c r="E183" s="4">
        <f ca="1">IFERROR(__xludf.DUMMYFUNCTION("""COMPUTED_VALUE"""),46989)</f>
        <v>46989</v>
      </c>
    </row>
    <row r="184" spans="1:5" ht="12.75">
      <c r="A184">
        <f ca="1">IFERROR(__xludf.DUMMYFUNCTION("""COMPUTED_VALUE"""),183)</f>
        <v>183</v>
      </c>
      <c r="B184">
        <f ca="1">IFERROR(__xludf.DUMMYFUNCTION("""COMPUTED_VALUE"""),176)</f>
        <v>176</v>
      </c>
      <c r="C184" t="str">
        <f ca="1">IFERROR(__xludf.DUMMYFUNCTION("""COMPUTED_VALUE"""),"Ryo Ishikawa")</f>
        <v>Ryo Ishikawa</v>
      </c>
      <c r="D184">
        <f ca="1">IFERROR(__xludf.DUMMYFUNCTION("""COMPUTED_VALUE"""),2)</f>
        <v>2</v>
      </c>
      <c r="E184" s="4">
        <f ca="1">IFERROR(__xludf.DUMMYFUNCTION("""COMPUTED_VALUE"""),43603)</f>
        <v>43603</v>
      </c>
    </row>
    <row r="185" spans="1:5" ht="12.75">
      <c r="A185">
        <f ca="1">IFERROR(__xludf.DUMMYFUNCTION("""COMPUTED_VALUE"""),184)</f>
        <v>184</v>
      </c>
      <c r="B185">
        <f ca="1">IFERROR(__xludf.DUMMYFUNCTION("""COMPUTED_VALUE"""),177)</f>
        <v>177</v>
      </c>
      <c r="C185" t="str">
        <f ca="1">IFERROR(__xludf.DUMMYFUNCTION("""COMPUTED_VALUE"""),"Bo Hoag")</f>
        <v>Bo Hoag</v>
      </c>
      <c r="D185">
        <f ca="1">IFERROR(__xludf.DUMMYFUNCTION("""COMPUTED_VALUE"""),6)</f>
        <v>6</v>
      </c>
      <c r="E185" s="4">
        <f ca="1">IFERROR(__xludf.DUMMYFUNCTION("""COMPUTED_VALUE"""),41391)</f>
        <v>41391</v>
      </c>
    </row>
    <row r="186" spans="1:5" ht="12.75">
      <c r="A186">
        <f ca="1">IFERROR(__xludf.DUMMYFUNCTION("""COMPUTED_VALUE"""),185)</f>
        <v>185</v>
      </c>
      <c r="B186">
        <f ca="1">IFERROR(__xludf.DUMMYFUNCTION("""COMPUTED_VALUE"""),205)</f>
        <v>205</v>
      </c>
      <c r="C186" t="str">
        <f ca="1">IFERROR(__xludf.DUMMYFUNCTION("""COMPUTED_VALUE"""),"Max Homa")</f>
        <v>Max Homa</v>
      </c>
      <c r="D186">
        <f ca="1">IFERROR(__xludf.DUMMYFUNCTION("""COMPUTED_VALUE"""),4)</f>
        <v>4</v>
      </c>
      <c r="E186" s="4">
        <f ca="1">IFERROR(__xludf.DUMMYFUNCTION("""COMPUTED_VALUE"""),40840)</f>
        <v>40840</v>
      </c>
    </row>
    <row r="187" spans="1:5" ht="12.75">
      <c r="A187">
        <f ca="1">IFERROR(__xludf.DUMMYFUNCTION("""COMPUTED_VALUE"""),186)</f>
        <v>186</v>
      </c>
      <c r="B187">
        <f ca="1">IFERROR(__xludf.DUMMYFUNCTION("""COMPUTED_VALUE"""),178)</f>
        <v>178</v>
      </c>
      <c r="C187" t="str">
        <f ca="1">IFERROR(__xludf.DUMMYFUNCTION("""COMPUTED_VALUE"""),"Shugo Imahira")</f>
        <v>Shugo Imahira</v>
      </c>
      <c r="D187">
        <f ca="1">IFERROR(__xludf.DUMMYFUNCTION("""COMPUTED_VALUE"""),2)</f>
        <v>2</v>
      </c>
      <c r="E187" s="4">
        <f ca="1">IFERROR(__xludf.DUMMYFUNCTION("""COMPUTED_VALUE"""),40461)</f>
        <v>40461</v>
      </c>
    </row>
    <row r="188" spans="1:5" ht="12.75">
      <c r="A188">
        <f ca="1">IFERROR(__xludf.DUMMYFUNCTION("""COMPUTED_VALUE"""),187)</f>
        <v>187</v>
      </c>
      <c r="B188">
        <f ca="1">IFERROR(__xludf.DUMMYFUNCTION("""COMPUTED_VALUE"""),179)</f>
        <v>179</v>
      </c>
      <c r="C188" t="str">
        <f ca="1">IFERROR(__xludf.DUMMYFUNCTION("""COMPUTED_VALUE"""),"Ben Taylor")</f>
        <v>Ben Taylor</v>
      </c>
      <c r="D188">
        <f ca="1">IFERROR(__xludf.DUMMYFUNCTION("""COMPUTED_VALUE"""),3)</f>
        <v>3</v>
      </c>
      <c r="E188" s="4">
        <f ca="1">IFERROR(__xludf.DUMMYFUNCTION("""COMPUTED_VALUE"""),39591)</f>
        <v>39591</v>
      </c>
    </row>
    <row r="189" spans="1:5" ht="12.75">
      <c r="A189" t="str">
        <f ca="1">IFERROR(__xludf.DUMMYFUNCTION("""COMPUTED_VALUE"""),"T188")</f>
        <v>T188</v>
      </c>
      <c r="B189" t="str">
        <f ca="1">IFERROR(__xludf.DUMMYFUNCTION("""COMPUTED_VALUE"""),"T180")</f>
        <v>T180</v>
      </c>
      <c r="C189" t="str">
        <f ca="1">IFERROR(__xludf.DUMMYFUNCTION("""COMPUTED_VALUE"""),"Bernd Wiesberger")</f>
        <v>Bernd Wiesberger</v>
      </c>
      <c r="D189">
        <f ca="1">IFERROR(__xludf.DUMMYFUNCTION("""COMPUTED_VALUE"""),1)</f>
        <v>1</v>
      </c>
      <c r="E189" s="4">
        <f ca="1">IFERROR(__xludf.DUMMYFUNCTION("""COMPUTED_VALUE"""),39275)</f>
        <v>39275</v>
      </c>
    </row>
    <row r="190" spans="1:5" ht="12.75">
      <c r="A190" t="str">
        <f ca="1">IFERROR(__xludf.DUMMYFUNCTION("""COMPUTED_VALUE"""),"T188")</f>
        <v>T188</v>
      </c>
      <c r="B190" t="str">
        <f ca="1">IFERROR(__xludf.DUMMYFUNCTION("""COMPUTED_VALUE"""),"T180")</f>
        <v>T180</v>
      </c>
      <c r="C190" t="str">
        <f ca="1">IFERROR(__xludf.DUMMYFUNCTION("""COMPUTED_VALUE"""),"Matt Wallace")</f>
        <v>Matt Wallace</v>
      </c>
      <c r="D190">
        <f ca="1">IFERROR(__xludf.DUMMYFUNCTION("""COMPUTED_VALUE"""),1)</f>
        <v>1</v>
      </c>
      <c r="E190" s="4">
        <f ca="1">IFERROR(__xludf.DUMMYFUNCTION("""COMPUTED_VALUE"""),39275)</f>
        <v>39275</v>
      </c>
    </row>
    <row r="191" spans="1:5" ht="12.75">
      <c r="A191">
        <f ca="1">IFERROR(__xludf.DUMMYFUNCTION("""COMPUTED_VALUE"""),190)</f>
        <v>190</v>
      </c>
      <c r="B191">
        <f ca="1">IFERROR(__xludf.DUMMYFUNCTION("""COMPUTED_VALUE"""),182)</f>
        <v>182</v>
      </c>
      <c r="C191" t="str">
        <f ca="1">IFERROR(__xludf.DUMMYFUNCTION("""COMPUTED_VALUE"""),"Henrik Stenson")</f>
        <v>Henrik Stenson</v>
      </c>
      <c r="D191">
        <f ca="1">IFERROR(__xludf.DUMMYFUNCTION("""COMPUTED_VALUE"""),5)</f>
        <v>5</v>
      </c>
      <c r="E191" s="4">
        <f ca="1">IFERROR(__xludf.DUMMYFUNCTION("""COMPUTED_VALUE"""),39000)</f>
        <v>39000</v>
      </c>
    </row>
    <row r="192" spans="1:5" ht="12.75">
      <c r="A192">
        <f ca="1">IFERROR(__xludf.DUMMYFUNCTION("""COMPUTED_VALUE"""),191)</f>
        <v>191</v>
      </c>
      <c r="B192">
        <f ca="1">IFERROR(__xludf.DUMMYFUNCTION("""COMPUTED_VALUE"""),203)</f>
        <v>203</v>
      </c>
      <c r="C192" t="str">
        <f ca="1">IFERROR(__xludf.DUMMYFUNCTION("""COMPUTED_VALUE"""),"Jamie Lovemark")</f>
        <v>Jamie Lovemark</v>
      </c>
      <c r="D192">
        <f ca="1">IFERROR(__xludf.DUMMYFUNCTION("""COMPUTED_VALUE"""),6)</f>
        <v>6</v>
      </c>
      <c r="E192" s="4">
        <f ca="1">IFERROR(__xludf.DUMMYFUNCTION("""COMPUTED_VALUE"""),38674)</f>
        <v>38674</v>
      </c>
    </row>
    <row r="193" spans="1:5" ht="12.75">
      <c r="A193">
        <f ca="1">IFERROR(__xludf.DUMMYFUNCTION("""COMPUTED_VALUE"""),192)</f>
        <v>192</v>
      </c>
      <c r="B193" t="str">
        <f ca="1">IFERROR(__xludf.DUMMYFUNCTION("""COMPUTED_VALUE"""),"T224")</f>
        <v>T224</v>
      </c>
      <c r="C193" t="str">
        <f ca="1">IFERROR(__xludf.DUMMYFUNCTION("""COMPUTED_VALUE"""),"Chris Kirk")</f>
        <v>Chris Kirk</v>
      </c>
      <c r="D193">
        <f ca="1">IFERROR(__xludf.DUMMYFUNCTION("""COMPUTED_VALUE"""),3)</f>
        <v>3</v>
      </c>
      <c r="E193" s="4">
        <f ca="1">IFERROR(__xludf.DUMMYFUNCTION("""COMPUTED_VALUE"""),38359)</f>
        <v>38359</v>
      </c>
    </row>
    <row r="194" spans="1:5" ht="12.75">
      <c r="A194">
        <f ca="1">IFERROR(__xludf.DUMMYFUNCTION("""COMPUTED_VALUE"""),193)</f>
        <v>193</v>
      </c>
      <c r="B194">
        <f ca="1">IFERROR(__xludf.DUMMYFUNCTION("""COMPUTED_VALUE"""),183)</f>
        <v>183</v>
      </c>
      <c r="C194" t="str">
        <f ca="1">IFERROR(__xludf.DUMMYFUNCTION("""COMPUTED_VALUE"""),"Tim Wilkinson")</f>
        <v>Tim Wilkinson</v>
      </c>
      <c r="D194">
        <f ca="1">IFERROR(__xludf.DUMMYFUNCTION("""COMPUTED_VALUE"""),4)</f>
        <v>4</v>
      </c>
      <c r="E194" s="4">
        <f ca="1">IFERROR(__xludf.DUMMYFUNCTION("""COMPUTED_VALUE"""),38211)</f>
        <v>38211</v>
      </c>
    </row>
    <row r="195" spans="1:5" ht="12.75">
      <c r="A195">
        <f ca="1">IFERROR(__xludf.DUMMYFUNCTION("""COMPUTED_VALUE"""),194)</f>
        <v>194</v>
      </c>
      <c r="B195">
        <f ca="1">IFERROR(__xludf.DUMMYFUNCTION("""COMPUTED_VALUE"""),184)</f>
        <v>184</v>
      </c>
      <c r="C195" t="str">
        <f ca="1">IFERROR(__xludf.DUMMYFUNCTION("""COMPUTED_VALUE"""),"Sung Kang")</f>
        <v>Sung Kang</v>
      </c>
      <c r="D195">
        <f ca="1">IFERROR(__xludf.DUMMYFUNCTION("""COMPUTED_VALUE"""),5)</f>
        <v>5</v>
      </c>
      <c r="E195" s="4">
        <f ca="1">IFERROR(__xludf.DUMMYFUNCTION("""COMPUTED_VALUE"""),37850)</f>
        <v>37850</v>
      </c>
    </row>
    <row r="196" spans="1:5" ht="12.75">
      <c r="A196">
        <f ca="1">IFERROR(__xludf.DUMMYFUNCTION("""COMPUTED_VALUE"""),195)</f>
        <v>195</v>
      </c>
      <c r="B196">
        <f ca="1">IFERROR(__xludf.DUMMYFUNCTION("""COMPUTED_VALUE"""),186)</f>
        <v>186</v>
      </c>
      <c r="C196" t="str">
        <f ca="1">IFERROR(__xludf.DUMMYFUNCTION("""COMPUTED_VALUE"""),"Phil Mickelson")</f>
        <v>Phil Mickelson</v>
      </c>
      <c r="D196">
        <f ca="1">IFERROR(__xludf.DUMMYFUNCTION("""COMPUTED_VALUE"""),4)</f>
        <v>4</v>
      </c>
      <c r="E196" s="4">
        <f ca="1">IFERROR(__xludf.DUMMYFUNCTION("""COMPUTED_VALUE"""),35890)</f>
        <v>35890</v>
      </c>
    </row>
    <row r="197" spans="1:5" ht="12.75">
      <c r="A197">
        <f ca="1">IFERROR(__xludf.DUMMYFUNCTION("""COMPUTED_VALUE"""),196)</f>
        <v>196</v>
      </c>
      <c r="B197">
        <f ca="1">IFERROR(__xludf.DUMMYFUNCTION("""COMPUTED_VALUE"""),187)</f>
        <v>187</v>
      </c>
      <c r="C197" t="str">
        <f ca="1">IFERROR(__xludf.DUMMYFUNCTION("""COMPUTED_VALUE"""),"Jim Herman")</f>
        <v>Jim Herman</v>
      </c>
      <c r="D197">
        <f ca="1">IFERROR(__xludf.DUMMYFUNCTION("""COMPUTED_VALUE"""),4)</f>
        <v>4</v>
      </c>
      <c r="E197" s="4">
        <f ca="1">IFERROR(__xludf.DUMMYFUNCTION("""COMPUTED_VALUE"""),35403)</f>
        <v>35403</v>
      </c>
    </row>
    <row r="198" spans="1:5" ht="12.75">
      <c r="A198">
        <f ca="1">IFERROR(__xludf.DUMMYFUNCTION("""COMPUTED_VALUE"""),197)</f>
        <v>197</v>
      </c>
      <c r="B198">
        <f ca="1">IFERROR(__xludf.DUMMYFUNCTION("""COMPUTED_VALUE"""),188)</f>
        <v>188</v>
      </c>
      <c r="C198" t="str">
        <f ca="1">IFERROR(__xludf.DUMMYFUNCTION("""COMPUTED_VALUE"""),"Tommy Fleetwood")</f>
        <v>Tommy Fleetwood</v>
      </c>
      <c r="D198">
        <f ca="1">IFERROR(__xludf.DUMMYFUNCTION("""COMPUTED_VALUE"""),3)</f>
        <v>3</v>
      </c>
      <c r="E198" s="4">
        <f ca="1">IFERROR(__xludf.DUMMYFUNCTION("""COMPUTED_VALUE"""),35208)</f>
        <v>35208</v>
      </c>
    </row>
    <row r="199" spans="1:5" ht="12.75">
      <c r="A199">
        <f ca="1">IFERROR(__xludf.DUMMYFUNCTION("""COMPUTED_VALUE"""),198)</f>
        <v>198</v>
      </c>
      <c r="B199">
        <f ca="1">IFERROR(__xludf.DUMMYFUNCTION("""COMPUTED_VALUE"""),189)</f>
        <v>189</v>
      </c>
      <c r="C199" t="str">
        <f ca="1">IFERROR(__xludf.DUMMYFUNCTION("""COMPUTED_VALUE"""),"Bill Haas")</f>
        <v>Bill Haas</v>
      </c>
      <c r="D199">
        <f ca="1">IFERROR(__xludf.DUMMYFUNCTION("""COMPUTED_VALUE"""),4)</f>
        <v>4</v>
      </c>
      <c r="E199" s="4">
        <f ca="1">IFERROR(__xludf.DUMMYFUNCTION("""COMPUTED_VALUE"""),35145)</f>
        <v>35145</v>
      </c>
    </row>
    <row r="200" spans="1:5" ht="12.75">
      <c r="A200">
        <f ca="1">IFERROR(__xludf.DUMMYFUNCTION("""COMPUTED_VALUE"""),199)</f>
        <v>199</v>
      </c>
      <c r="B200">
        <f ca="1">IFERROR(__xludf.DUMMYFUNCTION("""COMPUTED_VALUE"""),190)</f>
        <v>190</v>
      </c>
      <c r="C200" t="str">
        <f ca="1">IFERROR(__xludf.DUMMYFUNCTION("""COMPUTED_VALUE"""),"Marc Leishman")</f>
        <v>Marc Leishman</v>
      </c>
      <c r="D200">
        <f ca="1">IFERROR(__xludf.DUMMYFUNCTION("""COMPUTED_VALUE"""),3)</f>
        <v>3</v>
      </c>
      <c r="E200" s="4">
        <f ca="1">IFERROR(__xludf.DUMMYFUNCTION("""COMPUTED_VALUE"""),34169)</f>
        <v>34169</v>
      </c>
    </row>
    <row r="201" spans="1:5" ht="12.75">
      <c r="A201">
        <f ca="1">IFERROR(__xludf.DUMMYFUNCTION("""COMPUTED_VALUE"""),200)</f>
        <v>200</v>
      </c>
      <c r="B201">
        <f ca="1">IFERROR(__xludf.DUMMYFUNCTION("""COMPUTED_VALUE"""),191)</f>
        <v>191</v>
      </c>
      <c r="C201" t="str">
        <f ca="1">IFERROR(__xludf.DUMMYFUNCTION("""COMPUTED_VALUE"""),"Nick Taylor")</f>
        <v>Nick Taylor</v>
      </c>
      <c r="D201">
        <f ca="1">IFERROR(__xludf.DUMMYFUNCTION("""COMPUTED_VALUE"""),4)</f>
        <v>4</v>
      </c>
      <c r="E201" s="4">
        <f ca="1">IFERROR(__xludf.DUMMYFUNCTION("""COMPUTED_VALUE"""),33760)</f>
        <v>33760</v>
      </c>
    </row>
    <row r="202" spans="1:5" ht="12.75">
      <c r="A202">
        <f ca="1">IFERROR(__xludf.DUMMYFUNCTION("""COMPUTED_VALUE"""),201)</f>
        <v>201</v>
      </c>
      <c r="B202">
        <f ca="1">IFERROR(__xludf.DUMMYFUNCTION("""COMPUTED_VALUE"""),192)</f>
        <v>192</v>
      </c>
      <c r="C202" t="str">
        <f ca="1">IFERROR(__xludf.DUMMYFUNCTION("""COMPUTED_VALUE"""),"J.B. Holmes")</f>
        <v>J.B. Holmes</v>
      </c>
      <c r="D202">
        <f ca="1">IFERROR(__xludf.DUMMYFUNCTION("""COMPUTED_VALUE"""),3)</f>
        <v>3</v>
      </c>
      <c r="E202" s="4">
        <f ca="1">IFERROR(__xludf.DUMMYFUNCTION("""COMPUTED_VALUE"""),32472)</f>
        <v>32472</v>
      </c>
    </row>
    <row r="203" spans="1:5" ht="12.75">
      <c r="A203">
        <f ca="1">IFERROR(__xludf.DUMMYFUNCTION("""COMPUTED_VALUE"""),202)</f>
        <v>202</v>
      </c>
      <c r="B203">
        <f ca="1">IFERROR(__xludf.DUMMYFUNCTION("""COMPUTED_VALUE"""),229)</f>
        <v>229</v>
      </c>
      <c r="C203" t="str">
        <f ca="1">IFERROR(__xludf.DUMMYFUNCTION("""COMPUTED_VALUE"""),"Isaiah Salinda")</f>
        <v>Isaiah Salinda</v>
      </c>
      <c r="D203">
        <f ca="1">IFERROR(__xludf.DUMMYFUNCTION("""COMPUTED_VALUE"""),2)</f>
        <v>2</v>
      </c>
      <c r="E203" s="4">
        <f ca="1">IFERROR(__xludf.DUMMYFUNCTION("""COMPUTED_VALUE"""),32002)</f>
        <v>32002</v>
      </c>
    </row>
    <row r="204" spans="1:5" ht="12.75">
      <c r="A204">
        <f ca="1">IFERROR(__xludf.DUMMYFUNCTION("""COMPUTED_VALUE"""),203)</f>
        <v>203</v>
      </c>
      <c r="B204">
        <f ca="1">IFERROR(__xludf.DUMMYFUNCTION("""COMPUTED_VALUE"""),193)</f>
        <v>193</v>
      </c>
      <c r="C204" t="str">
        <f ca="1">IFERROR(__xludf.DUMMYFUNCTION("""COMPUTED_VALUE"""),"Luke Donald")</f>
        <v>Luke Donald</v>
      </c>
      <c r="D204">
        <f ca="1">IFERROR(__xludf.DUMMYFUNCTION("""COMPUTED_VALUE"""),5)</f>
        <v>5</v>
      </c>
      <c r="E204" s="4">
        <f ca="1">IFERROR(__xludf.DUMMYFUNCTION("""COMPUTED_VALUE"""),30710)</f>
        <v>30710</v>
      </c>
    </row>
    <row r="205" spans="1:5" ht="12.75">
      <c r="A205" t="str">
        <f ca="1">IFERROR(__xludf.DUMMYFUNCTION("""COMPUTED_VALUE"""),"T204")</f>
        <v>T204</v>
      </c>
      <c r="B205" t="str">
        <f ca="1">IFERROR(__xludf.DUMMYFUNCTION("""COMPUTED_VALUE"""),"")</f>
        <v/>
      </c>
      <c r="C205" t="str">
        <f ca="1">IFERROR(__xludf.DUMMYFUNCTION("""COMPUTED_VALUE"""),"Justin Harding")</f>
        <v>Justin Harding</v>
      </c>
      <c r="D205">
        <f ca="1">IFERROR(__xludf.DUMMYFUNCTION("""COMPUTED_VALUE"""),2)</f>
        <v>2</v>
      </c>
      <c r="E205" s="4">
        <f ca="1">IFERROR(__xludf.DUMMYFUNCTION("""COMPUTED_VALUE"""),29750)</f>
        <v>29750</v>
      </c>
    </row>
    <row r="206" spans="1:5" ht="12.75">
      <c r="A206" t="str">
        <f ca="1">IFERROR(__xludf.DUMMYFUNCTION("""COMPUTED_VALUE"""),"T204")</f>
        <v>T204</v>
      </c>
      <c r="B206" t="str">
        <f ca="1">IFERROR(__xludf.DUMMYFUNCTION("""COMPUTED_VALUE"""),"")</f>
        <v/>
      </c>
      <c r="C206" t="str">
        <f ca="1">IFERROR(__xludf.DUMMYFUNCTION("""COMPUTED_VALUE"""),"Erik Barnes")</f>
        <v>Erik Barnes</v>
      </c>
      <c r="D206">
        <f ca="1">IFERROR(__xludf.DUMMYFUNCTION("""COMPUTED_VALUE"""),1)</f>
        <v>1</v>
      </c>
      <c r="E206" s="4">
        <f ca="1">IFERROR(__xludf.DUMMYFUNCTION("""COMPUTED_VALUE"""),29750)</f>
        <v>29750</v>
      </c>
    </row>
    <row r="207" spans="1:5" ht="12.75">
      <c r="A207">
        <f ca="1">IFERROR(__xludf.DUMMYFUNCTION("""COMPUTED_VALUE"""),206)</f>
        <v>206</v>
      </c>
      <c r="B207">
        <f ca="1">IFERROR(__xludf.DUMMYFUNCTION("""COMPUTED_VALUE"""),194)</f>
        <v>194</v>
      </c>
      <c r="C207" t="str">
        <f ca="1">IFERROR(__xludf.DUMMYFUNCTION("""COMPUTED_VALUE"""),"Kevin Tway")</f>
        <v>Kevin Tway</v>
      </c>
      <c r="D207">
        <f ca="1">IFERROR(__xludf.DUMMYFUNCTION("""COMPUTED_VALUE"""),6)</f>
        <v>6</v>
      </c>
      <c r="E207" s="4">
        <f ca="1">IFERROR(__xludf.DUMMYFUNCTION("""COMPUTED_VALUE"""),28662)</f>
        <v>28662</v>
      </c>
    </row>
    <row r="208" spans="1:5" ht="12.75">
      <c r="A208">
        <f ca="1">IFERROR(__xludf.DUMMYFUNCTION("""COMPUTED_VALUE"""),207)</f>
        <v>207</v>
      </c>
      <c r="B208">
        <f ca="1">IFERROR(__xludf.DUMMYFUNCTION("""COMPUTED_VALUE"""),196)</f>
        <v>196</v>
      </c>
      <c r="C208" t="str">
        <f ca="1">IFERROR(__xludf.DUMMYFUNCTION("""COMPUTED_VALUE"""),"Christiaan Bezuidenhout")</f>
        <v>Christiaan Bezuidenhout</v>
      </c>
      <c r="D208">
        <f ca="1">IFERROR(__xludf.DUMMYFUNCTION("""COMPUTED_VALUE"""),1)</f>
        <v>1</v>
      </c>
      <c r="E208" s="4">
        <f ca="1">IFERROR(__xludf.DUMMYFUNCTION("""COMPUTED_VALUE"""),27461)</f>
        <v>27461</v>
      </c>
    </row>
    <row r="209" spans="1:5" ht="12.75">
      <c r="A209">
        <f ca="1">IFERROR(__xludf.DUMMYFUNCTION("""COMPUTED_VALUE"""),208)</f>
        <v>208</v>
      </c>
      <c r="B209">
        <f ca="1">IFERROR(__xludf.DUMMYFUNCTION("""COMPUTED_VALUE"""),197)</f>
        <v>197</v>
      </c>
      <c r="C209" t="str">
        <f ca="1">IFERROR(__xludf.DUMMYFUNCTION("""COMPUTED_VALUE"""),"Sangmoon Bae")</f>
        <v>Sangmoon Bae</v>
      </c>
      <c r="D209">
        <f ca="1">IFERROR(__xludf.DUMMYFUNCTION("""COMPUTED_VALUE"""),3)</f>
        <v>3</v>
      </c>
      <c r="E209" s="4">
        <f ca="1">IFERROR(__xludf.DUMMYFUNCTION("""COMPUTED_VALUE"""),27400)</f>
        <v>27400</v>
      </c>
    </row>
    <row r="210" spans="1:5" ht="12.75">
      <c r="A210">
        <f ca="1">IFERROR(__xludf.DUMMYFUNCTION("""COMPUTED_VALUE"""),209)</f>
        <v>209</v>
      </c>
      <c r="B210">
        <f ca="1">IFERROR(__xludf.DUMMYFUNCTION("""COMPUTED_VALUE"""),198)</f>
        <v>198</v>
      </c>
      <c r="C210" t="str">
        <f ca="1">IFERROR(__xludf.DUMMYFUNCTION("""COMPUTED_VALUE"""),"Robert MacIntyre")</f>
        <v>Robert MacIntyre</v>
      </c>
      <c r="D210">
        <f ca="1">IFERROR(__xludf.DUMMYFUNCTION("""COMPUTED_VALUE"""),1)</f>
        <v>1</v>
      </c>
      <c r="E210" s="4">
        <f ca="1">IFERROR(__xludf.DUMMYFUNCTION("""COMPUTED_VALUE"""),27073)</f>
        <v>27073</v>
      </c>
    </row>
    <row r="211" spans="1:5" ht="12.75">
      <c r="A211" t="str">
        <f ca="1">IFERROR(__xludf.DUMMYFUNCTION("""COMPUTED_VALUE"""),"T210")</f>
        <v>T210</v>
      </c>
      <c r="B211" t="str">
        <f ca="1">IFERROR(__xludf.DUMMYFUNCTION("""COMPUTED_VALUE"""),"T199")</f>
        <v>T199</v>
      </c>
      <c r="C211" t="str">
        <f ca="1">IFERROR(__xludf.DUMMYFUNCTION("""COMPUTED_VALUE"""),"Brad Kennedy")</f>
        <v>Brad Kennedy</v>
      </c>
      <c r="D211">
        <f ca="1">IFERROR(__xludf.DUMMYFUNCTION("""COMPUTED_VALUE"""),1)</f>
        <v>1</v>
      </c>
      <c r="E211" s="4">
        <f ca="1">IFERROR(__xludf.DUMMYFUNCTION("""COMPUTED_VALUE"""),26880)</f>
        <v>26880</v>
      </c>
    </row>
    <row r="212" spans="1:5" ht="12.75">
      <c r="A212" t="str">
        <f ca="1">IFERROR(__xludf.DUMMYFUNCTION("""COMPUTED_VALUE"""),"T210")</f>
        <v>T210</v>
      </c>
      <c r="B212" t="str">
        <f ca="1">IFERROR(__xludf.DUMMYFUNCTION("""COMPUTED_VALUE"""),"T199")</f>
        <v>T199</v>
      </c>
      <c r="C212" t="str">
        <f ca="1">IFERROR(__xludf.DUMMYFUNCTION("""COMPUTED_VALUE"""),"Takumi Kanaya")</f>
        <v>Takumi Kanaya</v>
      </c>
      <c r="D212">
        <f ca="1">IFERROR(__xludf.DUMMYFUNCTION("""COMPUTED_VALUE"""),2)</f>
        <v>2</v>
      </c>
      <c r="E212" s="4">
        <f ca="1">IFERROR(__xludf.DUMMYFUNCTION("""COMPUTED_VALUE"""),26880)</f>
        <v>26880</v>
      </c>
    </row>
    <row r="213" spans="1:5" ht="12.75">
      <c r="A213">
        <f ca="1">IFERROR(__xludf.DUMMYFUNCTION("""COMPUTED_VALUE"""),212)</f>
        <v>212</v>
      </c>
      <c r="B213">
        <f ca="1">IFERROR(__xludf.DUMMYFUNCTION("""COMPUTED_VALUE"""),202)</f>
        <v>202</v>
      </c>
      <c r="C213" t="str">
        <f ca="1">IFERROR(__xludf.DUMMYFUNCTION("""COMPUTED_VALUE"""),"Hunter Mahan")</f>
        <v>Hunter Mahan</v>
      </c>
      <c r="D213">
        <f ca="1">IFERROR(__xludf.DUMMYFUNCTION("""COMPUTED_VALUE"""),5)</f>
        <v>5</v>
      </c>
      <c r="E213" s="4">
        <f ca="1">IFERROR(__xludf.DUMMYFUNCTION("""COMPUTED_VALUE"""),24310)</f>
        <v>24310</v>
      </c>
    </row>
    <row r="214" spans="1:5" ht="12.75">
      <c r="A214">
        <f ca="1">IFERROR(__xludf.DUMMYFUNCTION("""COMPUTED_VALUE"""),213)</f>
        <v>213</v>
      </c>
      <c r="B214">
        <f ca="1">IFERROR(__xludf.DUMMYFUNCTION("""COMPUTED_VALUE"""),204)</f>
        <v>204</v>
      </c>
      <c r="C214" t="str">
        <f ca="1">IFERROR(__xludf.DUMMYFUNCTION("""COMPUTED_VALUE"""),"Hanbyeol Kim")</f>
        <v>Hanbyeol Kim</v>
      </c>
      <c r="D214">
        <f ca="1">IFERROR(__xludf.DUMMYFUNCTION("""COMPUTED_VALUE"""),1)</f>
        <v>1</v>
      </c>
      <c r="E214" s="4">
        <f ca="1">IFERROR(__xludf.DUMMYFUNCTION("""COMPUTED_VALUE"""),23205)</f>
        <v>23205</v>
      </c>
    </row>
    <row r="215" spans="1:5" ht="12.75">
      <c r="A215">
        <f ca="1">IFERROR(__xludf.DUMMYFUNCTION("""COMPUTED_VALUE"""),214)</f>
        <v>214</v>
      </c>
      <c r="B215" t="str">
        <f ca="1">IFERROR(__xludf.DUMMYFUNCTION("""COMPUTED_VALUE"""),"")</f>
        <v/>
      </c>
      <c r="C215" t="str">
        <f ca="1">IFERROR(__xludf.DUMMYFUNCTION("""COMPUTED_VALUE"""),"Graeme McDowell")</f>
        <v>Graeme McDowell</v>
      </c>
      <c r="D215">
        <f ca="1">IFERROR(__xludf.DUMMYFUNCTION("""COMPUTED_VALUE"""),3)</f>
        <v>3</v>
      </c>
      <c r="E215" s="4">
        <f ca="1">IFERROR(__xludf.DUMMYFUNCTION("""COMPUTED_VALUE"""),22750)</f>
        <v>22750</v>
      </c>
    </row>
    <row r="216" spans="1:5" ht="12.75">
      <c r="A216">
        <f ca="1">IFERROR(__xludf.DUMMYFUNCTION("""COMPUTED_VALUE"""),215)</f>
        <v>215</v>
      </c>
      <c r="B216">
        <f ca="1">IFERROR(__xludf.DUMMYFUNCTION("""COMPUTED_VALUE"""),206)</f>
        <v>206</v>
      </c>
      <c r="C216" t="str">
        <f ca="1">IFERROR(__xludf.DUMMYFUNCTION("""COMPUTED_VALUE"""),"Tom Lewis")</f>
        <v>Tom Lewis</v>
      </c>
      <c r="D216">
        <f ca="1">IFERROR(__xludf.DUMMYFUNCTION("""COMPUTED_VALUE"""),5)</f>
        <v>5</v>
      </c>
      <c r="E216" s="4">
        <f ca="1">IFERROR(__xludf.DUMMYFUNCTION("""COMPUTED_VALUE"""),21665)</f>
        <v>21665</v>
      </c>
    </row>
    <row r="217" spans="1:5" ht="12.75">
      <c r="A217">
        <f ca="1">IFERROR(__xludf.DUMMYFUNCTION("""COMPUTED_VALUE"""),216)</f>
        <v>216</v>
      </c>
      <c r="B217">
        <f ca="1">IFERROR(__xludf.DUMMYFUNCTION("""COMPUTED_VALUE"""),207)</f>
        <v>207</v>
      </c>
      <c r="C217" t="str">
        <f ca="1">IFERROR(__xludf.DUMMYFUNCTION("""COMPUTED_VALUE"""),"Stephen Stallings Jr.")</f>
        <v>Stephen Stallings Jr.</v>
      </c>
      <c r="D217">
        <f ca="1">IFERROR(__xludf.DUMMYFUNCTION("""COMPUTED_VALUE"""),1)</f>
        <v>1</v>
      </c>
      <c r="E217" s="4">
        <f ca="1">IFERROR(__xludf.DUMMYFUNCTION("""COMPUTED_VALUE"""),20450)</f>
        <v>20450</v>
      </c>
    </row>
    <row r="218" spans="1:5" ht="12.75">
      <c r="A218">
        <f ca="1">IFERROR(__xludf.DUMMYFUNCTION("""COMPUTED_VALUE"""),217)</f>
        <v>217</v>
      </c>
      <c r="B218">
        <f ca="1">IFERROR(__xludf.DUMMYFUNCTION("""COMPUTED_VALUE"""),208)</f>
        <v>208</v>
      </c>
      <c r="C218" t="str">
        <f ca="1">IFERROR(__xludf.DUMMYFUNCTION("""COMPUTED_VALUE"""),"Seonghyeon Kim")</f>
        <v>Seonghyeon Kim</v>
      </c>
      <c r="D218">
        <f ca="1">IFERROR(__xludf.DUMMYFUNCTION("""COMPUTED_VALUE"""),1)</f>
        <v>1</v>
      </c>
      <c r="E218" s="4">
        <f ca="1">IFERROR(__xludf.DUMMYFUNCTION("""COMPUTED_VALUE"""),20169)</f>
        <v>20169</v>
      </c>
    </row>
    <row r="219" spans="1:5" ht="12.75">
      <c r="A219">
        <f ca="1">IFERROR(__xludf.DUMMYFUNCTION("""COMPUTED_VALUE"""),218)</f>
        <v>218</v>
      </c>
      <c r="B219">
        <f ca="1">IFERROR(__xludf.DUMMYFUNCTION("""COMPUTED_VALUE"""),209)</f>
        <v>209</v>
      </c>
      <c r="C219" t="str">
        <f ca="1">IFERROR(__xludf.DUMMYFUNCTION("""COMPUTED_VALUE"""),"Jaekyeong Lee")</f>
        <v>Jaekyeong Lee</v>
      </c>
      <c r="D219">
        <f ca="1">IFERROR(__xludf.DUMMYFUNCTION("""COMPUTED_VALUE"""),1)</f>
        <v>1</v>
      </c>
      <c r="E219" s="4">
        <f ca="1">IFERROR(__xludf.DUMMYFUNCTION("""COMPUTED_VALUE"""),19208)</f>
        <v>19208</v>
      </c>
    </row>
    <row r="220" spans="1:5" ht="12.75">
      <c r="A220" t="str">
        <f ca="1">IFERROR(__xludf.DUMMYFUNCTION("""COMPUTED_VALUE"""),"T219")</f>
        <v>T219</v>
      </c>
      <c r="B220" t="str">
        <f ca="1">IFERROR(__xludf.DUMMYFUNCTION("""COMPUTED_VALUE"""),"T210")</f>
        <v>T210</v>
      </c>
      <c r="C220" t="str">
        <f ca="1">IFERROR(__xludf.DUMMYFUNCTION("""COMPUTED_VALUE"""),"Seamus Power")</f>
        <v>Seamus Power</v>
      </c>
      <c r="D220">
        <f ca="1">IFERROR(__xludf.DUMMYFUNCTION("""COMPUTED_VALUE"""),3)</f>
        <v>3</v>
      </c>
      <c r="E220" s="4">
        <f ca="1">IFERROR(__xludf.DUMMYFUNCTION("""COMPUTED_VALUE"""),19000)</f>
        <v>19000</v>
      </c>
    </row>
    <row r="221" spans="1:5" ht="12.75">
      <c r="A221" t="str">
        <f ca="1">IFERROR(__xludf.DUMMYFUNCTION("""COMPUTED_VALUE"""),"T219")</f>
        <v>T219</v>
      </c>
      <c r="B221" t="str">
        <f ca="1">IFERROR(__xludf.DUMMYFUNCTION("""COMPUTED_VALUE"""),"T210")</f>
        <v>T210</v>
      </c>
      <c r="C221" t="str">
        <f ca="1">IFERROR(__xludf.DUMMYFUNCTION("""COMPUTED_VALUE"""),"Peter Uihlein")</f>
        <v>Peter Uihlein</v>
      </c>
      <c r="D221">
        <f ca="1">IFERROR(__xludf.DUMMYFUNCTION("""COMPUTED_VALUE"""),3)</f>
        <v>3</v>
      </c>
      <c r="E221" s="4">
        <f ca="1">IFERROR(__xludf.DUMMYFUNCTION("""COMPUTED_VALUE"""),19000)</f>
        <v>19000</v>
      </c>
    </row>
    <row r="222" spans="1:5" ht="12.75">
      <c r="A222" t="str">
        <f ca="1">IFERROR(__xludf.DUMMYFUNCTION("""COMPUTED_VALUE"""),"T219")</f>
        <v>T219</v>
      </c>
      <c r="B222" t="str">
        <f ca="1">IFERROR(__xludf.DUMMYFUNCTION("""COMPUTED_VALUE"""),"T210")</f>
        <v>T210</v>
      </c>
      <c r="C222" t="str">
        <f ca="1">IFERROR(__xludf.DUMMYFUNCTION("""COMPUTED_VALUE"""),"Rasmus Hojgaard")</f>
        <v>Rasmus Hojgaard</v>
      </c>
      <c r="D222">
        <f ca="1">IFERROR(__xludf.DUMMYFUNCTION("""COMPUTED_VALUE"""),2)</f>
        <v>2</v>
      </c>
      <c r="E222" s="4">
        <f ca="1">IFERROR(__xludf.DUMMYFUNCTION("""COMPUTED_VALUE"""),19000)</f>
        <v>19000</v>
      </c>
    </row>
    <row r="223" spans="1:5" ht="12.75">
      <c r="A223">
        <f ca="1">IFERROR(__xludf.DUMMYFUNCTION("""COMPUTED_VALUE"""),222)</f>
        <v>222</v>
      </c>
      <c r="B223">
        <f ca="1">IFERROR(__xludf.DUMMYFUNCTION("""COMPUTED_VALUE"""),213)</f>
        <v>213</v>
      </c>
      <c r="C223" t="str">
        <f ca="1">IFERROR(__xludf.DUMMYFUNCTION("""COMPUTED_VALUE"""),"Keith Mitchell")</f>
        <v>Keith Mitchell</v>
      </c>
      <c r="D223">
        <f ca="1">IFERROR(__xludf.DUMMYFUNCTION("""COMPUTED_VALUE"""),5)</f>
        <v>5</v>
      </c>
      <c r="E223" s="4">
        <f ca="1">IFERROR(__xludf.DUMMYFUNCTION("""COMPUTED_VALUE"""),18980)</f>
        <v>18980</v>
      </c>
    </row>
    <row r="224" spans="1:5" ht="12.75">
      <c r="A224" t="str">
        <f ca="1">IFERROR(__xludf.DUMMYFUNCTION("""COMPUTED_VALUE"""),"T223")</f>
        <v>T223</v>
      </c>
      <c r="B224" t="str">
        <f ca="1">IFERROR(__xludf.DUMMYFUNCTION("""COMPUTED_VALUE"""),"T214")</f>
        <v>T214</v>
      </c>
      <c r="C224" t="str">
        <f ca="1">IFERROR(__xludf.DUMMYFUNCTION("""COMPUTED_VALUE"""),"Jim Furyk")</f>
        <v>Jim Furyk</v>
      </c>
      <c r="D224">
        <f ca="1">IFERROR(__xludf.DUMMYFUNCTION("""COMPUTED_VALUE"""),1)</f>
        <v>1</v>
      </c>
      <c r="E224" s="4">
        <f ca="1">IFERROR(__xludf.DUMMYFUNCTION("""COMPUTED_VALUE"""),18282)</f>
        <v>18282</v>
      </c>
    </row>
    <row r="225" spans="1:5" ht="12.75">
      <c r="A225" t="str">
        <f ca="1">IFERROR(__xludf.DUMMYFUNCTION("""COMPUTED_VALUE"""),"T223")</f>
        <v>T223</v>
      </c>
      <c r="B225" t="str">
        <f ca="1">IFERROR(__xludf.DUMMYFUNCTION("""COMPUTED_VALUE"""),"T214")</f>
        <v>T214</v>
      </c>
      <c r="C225" t="str">
        <f ca="1">IFERROR(__xludf.DUMMYFUNCTION("""COMPUTED_VALUE"""),"Nick Watney")</f>
        <v>Nick Watney</v>
      </c>
      <c r="D225">
        <f ca="1">IFERROR(__xludf.DUMMYFUNCTION("""COMPUTED_VALUE"""),4)</f>
        <v>4</v>
      </c>
      <c r="E225" s="4">
        <f ca="1">IFERROR(__xludf.DUMMYFUNCTION("""COMPUTED_VALUE"""),18282)</f>
        <v>18282</v>
      </c>
    </row>
    <row r="226" spans="1:5" ht="12.75">
      <c r="A226">
        <f ca="1">IFERROR(__xludf.DUMMYFUNCTION("""COMPUTED_VALUE"""),225)</f>
        <v>225</v>
      </c>
      <c r="B226">
        <f ca="1">IFERROR(__xludf.DUMMYFUNCTION("""COMPUTED_VALUE"""),216)</f>
        <v>216</v>
      </c>
      <c r="C226" t="str">
        <f ca="1">IFERROR(__xludf.DUMMYFUNCTION("""COMPUTED_VALUE"""),"Jimmy Walker")</f>
        <v>Jimmy Walker</v>
      </c>
      <c r="D226">
        <f ca="1">IFERROR(__xludf.DUMMYFUNCTION("""COMPUTED_VALUE"""),4)</f>
        <v>4</v>
      </c>
      <c r="E226" s="4">
        <f ca="1">IFERROR(__xludf.DUMMYFUNCTION("""COMPUTED_VALUE"""),17980)</f>
        <v>17980</v>
      </c>
    </row>
    <row r="227" spans="1:5" ht="12.75">
      <c r="A227">
        <f ca="1">IFERROR(__xludf.DUMMYFUNCTION("""COMPUTED_VALUE"""),226)</f>
        <v>226</v>
      </c>
      <c r="B227">
        <f ca="1">IFERROR(__xludf.DUMMYFUNCTION("""COMPUTED_VALUE"""),217)</f>
        <v>217</v>
      </c>
      <c r="C227" t="str">
        <f ca="1">IFERROR(__xludf.DUMMYFUNCTION("""COMPUTED_VALUE"""),"Jeongwoo Ham")</f>
        <v>Jeongwoo Ham</v>
      </c>
      <c r="D227">
        <f ca="1">IFERROR(__xludf.DUMMYFUNCTION("""COMPUTED_VALUE"""),1)</f>
        <v>1</v>
      </c>
      <c r="E227" s="4">
        <f ca="1">IFERROR(__xludf.DUMMYFUNCTION("""COMPUTED_VALUE"""),16965)</f>
        <v>16965</v>
      </c>
    </row>
    <row r="228" spans="1:5" ht="12.75">
      <c r="A228">
        <f ca="1">IFERROR(__xludf.DUMMYFUNCTION("""COMPUTED_VALUE"""),227)</f>
        <v>227</v>
      </c>
      <c r="B228" t="str">
        <f ca="1">IFERROR(__xludf.DUMMYFUNCTION("""COMPUTED_VALUE"""),"")</f>
        <v/>
      </c>
      <c r="C228" t="str">
        <f ca="1">IFERROR(__xludf.DUMMYFUNCTION("""COMPUTED_VALUE"""),"Greg Chalmers")</f>
        <v>Greg Chalmers</v>
      </c>
      <c r="D228">
        <f ca="1">IFERROR(__xludf.DUMMYFUNCTION("""COMPUTED_VALUE"""),2)</f>
        <v>2</v>
      </c>
      <c r="E228" s="4">
        <f ca="1">IFERROR(__xludf.DUMMYFUNCTION("""COMPUTED_VALUE"""),16888)</f>
        <v>16888</v>
      </c>
    </row>
    <row r="229" spans="1:5" ht="12.75">
      <c r="A229">
        <f ca="1">IFERROR(__xludf.DUMMYFUNCTION("""COMPUTED_VALUE"""),228)</f>
        <v>228</v>
      </c>
      <c r="B229">
        <f ca="1">IFERROR(__xludf.DUMMYFUNCTION("""COMPUTED_VALUE"""),218)</f>
        <v>218</v>
      </c>
      <c r="C229" t="str">
        <f ca="1">IFERROR(__xludf.DUMMYFUNCTION("""COMPUTED_VALUE"""),"Gary Woodland")</f>
        <v>Gary Woodland</v>
      </c>
      <c r="D229">
        <f ca="1">IFERROR(__xludf.DUMMYFUNCTION("""COMPUTED_VALUE"""),3)</f>
        <v>3</v>
      </c>
      <c r="E229" s="4">
        <f ca="1">IFERROR(__xludf.DUMMYFUNCTION("""COMPUTED_VALUE"""),16770)</f>
        <v>16770</v>
      </c>
    </row>
    <row r="230" spans="1:5" ht="12.75">
      <c r="A230">
        <f ca="1">IFERROR(__xludf.DUMMYFUNCTION("""COMPUTED_VALUE"""),229)</f>
        <v>229</v>
      </c>
      <c r="B230">
        <f ca="1">IFERROR(__xludf.DUMMYFUNCTION("""COMPUTED_VALUE"""),219)</f>
        <v>219</v>
      </c>
      <c r="C230" t="str">
        <f ca="1">IFERROR(__xludf.DUMMYFUNCTION("""COMPUTED_VALUE"""),"Gunn Charoenkul")</f>
        <v>Gunn Charoenkul</v>
      </c>
      <c r="D230">
        <f ca="1">IFERROR(__xludf.DUMMYFUNCTION("""COMPUTED_VALUE"""),1)</f>
        <v>1</v>
      </c>
      <c r="E230" s="4">
        <f ca="1">IFERROR(__xludf.DUMMYFUNCTION("""COMPUTED_VALUE"""),16480)</f>
        <v>16480</v>
      </c>
    </row>
    <row r="231" spans="1:5" ht="12.75">
      <c r="A231">
        <f ca="1">IFERROR(__xludf.DUMMYFUNCTION("""COMPUTED_VALUE"""),230)</f>
        <v>230</v>
      </c>
      <c r="B231">
        <f ca="1">IFERROR(__xludf.DUMMYFUNCTION("""COMPUTED_VALUE"""),220)</f>
        <v>220</v>
      </c>
      <c r="C231" t="str">
        <f ca="1">IFERROR(__xludf.DUMMYFUNCTION("""COMPUTED_VALUE"""),"Ryan Blaum")</f>
        <v>Ryan Blaum</v>
      </c>
      <c r="D231">
        <f ca="1">IFERROR(__xludf.DUMMYFUNCTION("""COMPUTED_VALUE"""),3)</f>
        <v>3</v>
      </c>
      <c r="E231" s="4">
        <f ca="1">IFERROR(__xludf.DUMMYFUNCTION("""COMPUTED_VALUE"""),15807)</f>
        <v>15807</v>
      </c>
    </row>
    <row r="232" spans="1:5" ht="12.75">
      <c r="A232">
        <f ca="1">IFERROR(__xludf.DUMMYFUNCTION("""COMPUTED_VALUE"""),231)</f>
        <v>231</v>
      </c>
      <c r="B232">
        <f ca="1">IFERROR(__xludf.DUMMYFUNCTION("""COMPUTED_VALUE"""),221)</f>
        <v>221</v>
      </c>
      <c r="C232" t="str">
        <f ca="1">IFERROR(__xludf.DUMMYFUNCTION("""COMPUTED_VALUE"""),"Vaughn Taylor")</f>
        <v>Vaughn Taylor</v>
      </c>
      <c r="D232">
        <f ca="1">IFERROR(__xludf.DUMMYFUNCTION("""COMPUTED_VALUE"""),5)</f>
        <v>5</v>
      </c>
      <c r="E232" s="4">
        <f ca="1">IFERROR(__xludf.DUMMYFUNCTION("""COMPUTED_VALUE"""),15800)</f>
        <v>15800</v>
      </c>
    </row>
    <row r="233" spans="1:5" ht="12.75">
      <c r="A233">
        <f ca="1">IFERROR(__xludf.DUMMYFUNCTION("""COMPUTED_VALUE"""),232)</f>
        <v>232</v>
      </c>
      <c r="B233">
        <f ca="1">IFERROR(__xludf.DUMMYFUNCTION("""COMPUTED_VALUE"""),222)</f>
        <v>222</v>
      </c>
      <c r="C233" t="str">
        <f ca="1">IFERROR(__xludf.DUMMYFUNCTION("""COMPUTED_VALUE"""),"Tae Hee Lee")</f>
        <v>Tae Hee Lee</v>
      </c>
      <c r="D233">
        <f ca="1">IFERROR(__xludf.DUMMYFUNCTION("""COMPUTED_VALUE"""),1)</f>
        <v>1</v>
      </c>
      <c r="E233" s="4">
        <f ca="1">IFERROR(__xludf.DUMMYFUNCTION("""COMPUTED_VALUE"""),15795)</f>
        <v>15795</v>
      </c>
    </row>
    <row r="234" spans="1:5" ht="12.75">
      <c r="A234">
        <f ca="1">IFERROR(__xludf.DUMMYFUNCTION("""COMPUTED_VALUE"""),233)</f>
        <v>233</v>
      </c>
      <c r="B234">
        <f ca="1">IFERROR(__xludf.DUMMYFUNCTION("""COMPUTED_VALUE"""),223)</f>
        <v>223</v>
      </c>
      <c r="C234" t="str">
        <f ca="1">IFERROR(__xludf.DUMMYFUNCTION("""COMPUTED_VALUE"""),"Bronson Burgoon")</f>
        <v>Bronson Burgoon</v>
      </c>
      <c r="D234">
        <f ca="1">IFERROR(__xludf.DUMMYFUNCTION("""COMPUTED_VALUE"""),4)</f>
        <v>4</v>
      </c>
      <c r="E234" s="4">
        <f ca="1">IFERROR(__xludf.DUMMYFUNCTION("""COMPUTED_VALUE"""),15750)</f>
        <v>15750</v>
      </c>
    </row>
    <row r="235" spans="1:5" ht="12.75">
      <c r="A235">
        <f ca="1">IFERROR(__xludf.DUMMYFUNCTION("""COMPUTED_VALUE"""),234)</f>
        <v>234</v>
      </c>
      <c r="B235" t="str">
        <f ca="1">IFERROR(__xludf.DUMMYFUNCTION("""COMPUTED_VALUE"""),"T224")</f>
        <v>T224</v>
      </c>
      <c r="C235" t="str">
        <f ca="1">IFERROR(__xludf.DUMMYFUNCTION("""COMPUTED_VALUE"""),"Grayson Murray")</f>
        <v>Grayson Murray</v>
      </c>
      <c r="D235">
        <f ca="1">IFERROR(__xludf.DUMMYFUNCTION("""COMPUTED_VALUE"""),4)</f>
        <v>4</v>
      </c>
      <c r="E235" s="4">
        <f ca="1">IFERROR(__xludf.DUMMYFUNCTION("""COMPUTED_VALUE"""),15609)</f>
        <v>15609</v>
      </c>
    </row>
    <row r="236" spans="1:5" ht="12.75">
      <c r="A236" t="str">
        <f ca="1">IFERROR(__xludf.DUMMYFUNCTION("""COMPUTED_VALUE"""),"T235")</f>
        <v>T235</v>
      </c>
      <c r="B236" t="str">
        <f ca="1">IFERROR(__xludf.DUMMYFUNCTION("""COMPUTED_VALUE"""),"T226")</f>
        <v>T226</v>
      </c>
      <c r="C236" t="str">
        <f ca="1">IFERROR(__xludf.DUMMYFUNCTION("""COMPUTED_VALUE"""),"Chan Kim")</f>
        <v>Chan Kim</v>
      </c>
      <c r="D236">
        <f ca="1">IFERROR(__xludf.DUMMYFUNCTION("""COMPUTED_VALUE"""),2)</f>
        <v>2</v>
      </c>
      <c r="E236" s="4">
        <f ca="1">IFERROR(__xludf.DUMMYFUNCTION("""COMPUTED_VALUE"""),15520)</f>
        <v>15520</v>
      </c>
    </row>
    <row r="237" spans="1:5" ht="12.75">
      <c r="A237" t="str">
        <f ca="1">IFERROR(__xludf.DUMMYFUNCTION("""COMPUTED_VALUE"""),"T235")</f>
        <v>T235</v>
      </c>
      <c r="B237" t="str">
        <f ca="1">IFERROR(__xludf.DUMMYFUNCTION("""COMPUTED_VALUE"""),"T226")</f>
        <v>T226</v>
      </c>
      <c r="C237" t="str">
        <f ca="1">IFERROR(__xludf.DUMMYFUNCTION("""COMPUTED_VALUE"""),"Jazz Janewattananond")</f>
        <v>Jazz Janewattananond</v>
      </c>
      <c r="D237">
        <f ca="1">IFERROR(__xludf.DUMMYFUNCTION("""COMPUTED_VALUE"""),2)</f>
        <v>2</v>
      </c>
      <c r="E237" s="4">
        <f ca="1">IFERROR(__xludf.DUMMYFUNCTION("""COMPUTED_VALUE"""),15520)</f>
        <v>15520</v>
      </c>
    </row>
    <row r="238" spans="1:5" ht="12.75">
      <c r="A238">
        <f ca="1">IFERROR(__xludf.DUMMYFUNCTION("""COMPUTED_VALUE"""),237)</f>
        <v>237</v>
      </c>
      <c r="B238">
        <f ca="1">IFERROR(__xludf.DUMMYFUNCTION("""COMPUTED_VALUE"""),228)</f>
        <v>228</v>
      </c>
      <c r="C238" t="str">
        <f ca="1">IFERROR(__xludf.DUMMYFUNCTION("""COMPUTED_VALUE"""),"George Markham")</f>
        <v>George Markham</v>
      </c>
      <c r="D238">
        <f ca="1">IFERROR(__xludf.DUMMYFUNCTION("""COMPUTED_VALUE"""),1)</f>
        <v>1</v>
      </c>
      <c r="E238" s="4">
        <f ca="1">IFERROR(__xludf.DUMMYFUNCTION("""COMPUTED_VALUE"""),15120)</f>
        <v>15120</v>
      </c>
    </row>
    <row r="239" spans="1:5" ht="12.75">
      <c r="A239">
        <f ca="1">IFERROR(__xludf.DUMMYFUNCTION("""COMPUTED_VALUE"""),238)</f>
        <v>238</v>
      </c>
      <c r="B239">
        <f ca="1">IFERROR(__xludf.DUMMYFUNCTION("""COMPUTED_VALUE"""),230)</f>
        <v>230</v>
      </c>
      <c r="C239" t="str">
        <f ca="1">IFERROR(__xludf.DUMMYFUNCTION("""COMPUTED_VALUE"""),"Steve Lewton")</f>
        <v>Steve Lewton</v>
      </c>
      <c r="D239">
        <f ca="1">IFERROR(__xludf.DUMMYFUNCTION("""COMPUTED_VALUE"""),1)</f>
        <v>1</v>
      </c>
      <c r="E239" s="4">
        <f ca="1">IFERROR(__xludf.DUMMYFUNCTION("""COMPUTED_VALUE"""),14784)</f>
        <v>14784</v>
      </c>
    </row>
    <row r="240" spans="1:5" ht="12.75">
      <c r="A240">
        <f ca="1">IFERROR(__xludf.DUMMYFUNCTION("""COMPUTED_VALUE"""),239)</f>
        <v>239</v>
      </c>
      <c r="B240">
        <f ca="1">IFERROR(__xludf.DUMMYFUNCTION("""COMPUTED_VALUE"""),231)</f>
        <v>231</v>
      </c>
      <c r="C240" t="str">
        <f ca="1">IFERROR(__xludf.DUMMYFUNCTION("""COMPUTED_VALUE"""),"Mikumu Horikawa")</f>
        <v>Mikumu Horikawa</v>
      </c>
      <c r="D240">
        <f ca="1">IFERROR(__xludf.DUMMYFUNCTION("""COMPUTED_VALUE"""),1)</f>
        <v>1</v>
      </c>
      <c r="E240" s="4">
        <f ca="1">IFERROR(__xludf.DUMMYFUNCTION("""COMPUTED_VALUE"""),14560)</f>
        <v>14560</v>
      </c>
    </row>
    <row r="241" spans="1:5" ht="12.75">
      <c r="A241">
        <f ca="1">IFERROR(__xludf.DUMMYFUNCTION("""COMPUTED_VALUE"""),240)</f>
        <v>240</v>
      </c>
      <c r="B241">
        <f ca="1">IFERROR(__xludf.DUMMYFUNCTION("""COMPUTED_VALUE"""),232)</f>
        <v>232</v>
      </c>
      <c r="C241" t="str">
        <f ca="1">IFERROR(__xludf.DUMMYFUNCTION("""COMPUTED_VALUE"""),"Jay McLuen")</f>
        <v>Jay McLuen</v>
      </c>
      <c r="D241">
        <f ca="1">IFERROR(__xludf.DUMMYFUNCTION("""COMPUTED_VALUE"""),1)</f>
        <v>1</v>
      </c>
      <c r="E241" s="4">
        <f ca="1">IFERROR(__xludf.DUMMYFUNCTION("""COMPUTED_VALUE"""),14454)</f>
        <v>14454</v>
      </c>
    </row>
    <row r="242" spans="1:5" ht="12.75">
      <c r="A242" t="str">
        <f ca="1">IFERROR(__xludf.DUMMYFUNCTION("""COMPUTED_VALUE"""),"T241")</f>
        <v>T241</v>
      </c>
      <c r="B242" t="str">
        <f ca="1">IFERROR(__xludf.DUMMYFUNCTION("""COMPUTED_VALUE"""),"T233")</f>
        <v>T233</v>
      </c>
      <c r="C242" t="str">
        <f ca="1">IFERROR(__xludf.DUMMYFUNCTION("""COMPUTED_VALUE"""),"William McGirt")</f>
        <v>William McGirt</v>
      </c>
      <c r="D242">
        <f ca="1">IFERROR(__xludf.DUMMYFUNCTION("""COMPUTED_VALUE"""),2)</f>
        <v>2</v>
      </c>
      <c r="E242" s="4">
        <f ca="1">IFERROR(__xludf.DUMMYFUNCTION("""COMPUTED_VALUE"""),13728)</f>
        <v>13728</v>
      </c>
    </row>
    <row r="243" spans="1:5" ht="12.75">
      <c r="A243" t="str">
        <f ca="1">IFERROR(__xludf.DUMMYFUNCTION("""COMPUTED_VALUE"""),"T241")</f>
        <v>T241</v>
      </c>
      <c r="B243" t="str">
        <f ca="1">IFERROR(__xludf.DUMMYFUNCTION("""COMPUTED_VALUE"""),"T233")</f>
        <v>T233</v>
      </c>
      <c r="C243" t="str">
        <f ca="1">IFERROR(__xludf.DUMMYFUNCTION("""COMPUTED_VALUE"""),"Brandon Hagy")</f>
        <v>Brandon Hagy</v>
      </c>
      <c r="D243">
        <f ca="1">IFERROR(__xludf.DUMMYFUNCTION("""COMPUTED_VALUE"""),4)</f>
        <v>4</v>
      </c>
      <c r="E243" s="4">
        <f ca="1">IFERROR(__xludf.DUMMYFUNCTION("""COMPUTED_VALUE"""),13728)</f>
        <v>13728</v>
      </c>
    </row>
    <row r="244" spans="1:5" ht="12.75">
      <c r="A244" t="str">
        <f ca="1">IFERROR(__xludf.DUMMYFUNCTION("""COMPUTED_VALUE"""),"T243")</f>
        <v>T243</v>
      </c>
      <c r="B244" t="str">
        <f ca="1">IFERROR(__xludf.DUMMYFUNCTION("""COMPUTED_VALUE"""),"T235")</f>
        <v>T235</v>
      </c>
      <c r="C244" t="str">
        <f ca="1">IFERROR(__xludf.DUMMYFUNCTION("""COMPUTED_VALUE"""),"Tiger Woods")</f>
        <v>Tiger Woods</v>
      </c>
      <c r="D244">
        <f ca="1">IFERROR(__xludf.DUMMYFUNCTION("""COMPUTED_VALUE"""),2)</f>
        <v>2</v>
      </c>
      <c r="E244" s="4">
        <f ca="1">IFERROR(__xludf.DUMMYFUNCTION("""COMPUTED_VALUE"""),13600)</f>
        <v>13600</v>
      </c>
    </row>
    <row r="245" spans="1:5" ht="12.75">
      <c r="A245" t="str">
        <f ca="1">IFERROR(__xludf.DUMMYFUNCTION("""COMPUTED_VALUE"""),"T243")</f>
        <v>T243</v>
      </c>
      <c r="B245" t="str">
        <f ca="1">IFERROR(__xludf.DUMMYFUNCTION("""COMPUTED_VALUE"""),"T235")</f>
        <v>T235</v>
      </c>
      <c r="C245" t="str">
        <f ca="1">IFERROR(__xludf.DUMMYFUNCTION("""COMPUTED_VALUE"""),"Rikuya Hoshino")</f>
        <v>Rikuya Hoshino</v>
      </c>
      <c r="D245">
        <f ca="1">IFERROR(__xludf.DUMMYFUNCTION("""COMPUTED_VALUE"""),1)</f>
        <v>1</v>
      </c>
      <c r="E245" s="4">
        <f ca="1">IFERROR(__xludf.DUMMYFUNCTION("""COMPUTED_VALUE"""),13600)</f>
        <v>13600</v>
      </c>
    </row>
    <row r="246" spans="1:5" ht="12.75">
      <c r="A246">
        <f ca="1">IFERROR(__xludf.DUMMYFUNCTION("""COMPUTED_VALUE"""),245)</f>
        <v>245</v>
      </c>
      <c r="B246">
        <f ca="1">IFERROR(__xludf.DUMMYFUNCTION("""COMPUTED_VALUE"""),237)</f>
        <v>237</v>
      </c>
      <c r="C246" t="str">
        <f ca="1">IFERROR(__xludf.DUMMYFUNCTION("""COMPUTED_VALUE"""),"Andy Zhang")</f>
        <v>Andy Zhang</v>
      </c>
      <c r="D246">
        <f ca="1">IFERROR(__xludf.DUMMYFUNCTION("""COMPUTED_VALUE"""),1)</f>
        <v>1</v>
      </c>
      <c r="E246" s="4">
        <f ca="1">IFERROR(__xludf.DUMMYFUNCTION("""COMPUTED_VALUE"""),13398)</f>
        <v>13398</v>
      </c>
    </row>
    <row r="247" spans="1:5" ht="12.75">
      <c r="A247">
        <f ca="1">IFERROR(__xludf.DUMMYFUNCTION("""COMPUTED_VALUE"""),246)</f>
        <v>246</v>
      </c>
      <c r="B247">
        <f ca="1">IFERROR(__xludf.DUMMYFUNCTION("""COMPUTED_VALUE"""),238)</f>
        <v>238</v>
      </c>
      <c r="C247" t="str">
        <f ca="1">IFERROR(__xludf.DUMMYFUNCTION("""COMPUTED_VALUE"""),"Naoki Sekito")</f>
        <v>Naoki Sekito</v>
      </c>
      <c r="D247">
        <f ca="1">IFERROR(__xludf.DUMMYFUNCTION("""COMPUTED_VALUE"""),1)</f>
        <v>1</v>
      </c>
      <c r="E247" s="4">
        <f ca="1">IFERROR(__xludf.DUMMYFUNCTION("""COMPUTED_VALUE"""),13280)</f>
        <v>13280</v>
      </c>
    </row>
    <row r="248" spans="1:5" ht="12.75">
      <c r="A248">
        <f ca="1">IFERROR(__xludf.DUMMYFUNCTION("""COMPUTED_VALUE"""),247)</f>
        <v>247</v>
      </c>
      <c r="B248" t="str">
        <f ca="1">IFERROR(__xludf.DUMMYFUNCTION("""COMPUTED_VALUE"""),"T239")</f>
        <v>T239</v>
      </c>
      <c r="C248" t="str">
        <f ca="1">IFERROR(__xludf.DUMMYFUNCTION("""COMPUTED_VALUE"""),"George McNeill")</f>
        <v>George McNeill</v>
      </c>
      <c r="D248">
        <f ca="1">IFERROR(__xludf.DUMMYFUNCTION("""COMPUTED_VALUE"""),3)</f>
        <v>3</v>
      </c>
      <c r="E248" s="4">
        <f ca="1">IFERROR(__xludf.DUMMYFUNCTION("""COMPUTED_VALUE"""),12862)</f>
        <v>12862</v>
      </c>
    </row>
    <row r="249" spans="1:5" ht="12.75">
      <c r="A249" t="str">
        <f ca="1">IFERROR(__xludf.DUMMYFUNCTION("""COMPUTED_VALUE"""),"T248")</f>
        <v>T248</v>
      </c>
      <c r="B249" t="str">
        <f ca="1">IFERROR(__xludf.DUMMYFUNCTION("""COMPUTED_VALUE"""),"T241")</f>
        <v>T241</v>
      </c>
      <c r="C249" t="str">
        <f ca="1">IFERROR(__xludf.DUMMYFUNCTION("""COMPUTED_VALUE"""),"D.A. Points")</f>
        <v>D.A. Points</v>
      </c>
      <c r="D249">
        <f ca="1">IFERROR(__xludf.DUMMYFUNCTION("""COMPUTED_VALUE"""),5)</f>
        <v>5</v>
      </c>
      <c r="E249" s="4">
        <f ca="1">IFERROR(__xludf.DUMMYFUNCTION("""COMPUTED_VALUE"""),12240)</f>
        <v>12240</v>
      </c>
    </row>
    <row r="250" spans="1:5" ht="12.75">
      <c r="A250" t="str">
        <f ca="1">IFERROR(__xludf.DUMMYFUNCTION("""COMPUTED_VALUE"""),"T248")</f>
        <v>T248</v>
      </c>
      <c r="B250" t="str">
        <f ca="1">IFERROR(__xludf.DUMMYFUNCTION("""COMPUTED_VALUE"""),"T241")</f>
        <v>T241</v>
      </c>
      <c r="C250" t="str">
        <f ca="1">IFERROR(__xludf.DUMMYFUNCTION("""COMPUTED_VALUE"""),"Johnson Wagner")</f>
        <v>Johnson Wagner</v>
      </c>
      <c r="D250">
        <f ca="1">IFERROR(__xludf.DUMMYFUNCTION("""COMPUTED_VALUE"""),3)</f>
        <v>3</v>
      </c>
      <c r="E250" s="4">
        <f ca="1">IFERROR(__xludf.DUMMYFUNCTION("""COMPUTED_VALUE"""),12240)</f>
        <v>12240</v>
      </c>
    </row>
    <row r="251" spans="1:5" ht="12.75">
      <c r="A251" t="str">
        <f ca="1">IFERROR(__xludf.DUMMYFUNCTION("""COMPUTED_VALUE"""),"T250")</f>
        <v>T250</v>
      </c>
      <c r="B251" t="str">
        <f ca="1">IFERROR(__xludf.DUMMYFUNCTION("""COMPUTED_VALUE"""),"T243")</f>
        <v>T243</v>
      </c>
      <c r="C251" t="str">
        <f ca="1">IFERROR(__xludf.DUMMYFUNCTION("""COMPUTED_VALUE"""),"John Senden")</f>
        <v>John Senden</v>
      </c>
      <c r="D251">
        <f ca="1">IFERROR(__xludf.DUMMYFUNCTION("""COMPUTED_VALUE"""),3)</f>
        <v>3</v>
      </c>
      <c r="E251" s="4">
        <f ca="1">IFERROR(__xludf.DUMMYFUNCTION("""COMPUTED_VALUE"""),10180)</f>
        <v>10180</v>
      </c>
    </row>
    <row r="252" spans="1:5" ht="12.75">
      <c r="A252" t="str">
        <f ca="1">IFERROR(__xludf.DUMMYFUNCTION("""COMPUTED_VALUE"""),"T250")</f>
        <v>T250</v>
      </c>
      <c r="B252" t="str">
        <f ca="1">IFERROR(__xludf.DUMMYFUNCTION("""COMPUTED_VALUE"""),"T243")</f>
        <v>T243</v>
      </c>
      <c r="C252" t="str">
        <f ca="1">IFERROR(__xludf.DUMMYFUNCTION("""COMPUTED_VALUE"""),"Michael Miller")</f>
        <v>Michael Miller</v>
      </c>
      <c r="D252">
        <f ca="1">IFERROR(__xludf.DUMMYFUNCTION("""COMPUTED_VALUE"""),1)</f>
        <v>1</v>
      </c>
      <c r="E252" s="4">
        <f ca="1">IFERROR(__xludf.DUMMYFUNCTION("""COMPUTED_VALUE"""),10180)</f>
        <v>10180</v>
      </c>
    </row>
    <row r="253" spans="1:5" ht="12.75">
      <c r="A253" t="str">
        <f ca="1">IFERROR(__xludf.DUMMYFUNCTION("""COMPUTED_VALUE"""),"T252")</f>
        <v>T252</v>
      </c>
      <c r="B253" t="str">
        <f ca="1">IFERROR(__xludf.DUMMYFUNCTION("""COMPUTED_VALUE"""),"T245")</f>
        <v>T245</v>
      </c>
      <c r="C253" t="str">
        <f ca="1">IFERROR(__xludf.DUMMYFUNCTION("""COMPUTED_VALUE"""),"Ben Martin")</f>
        <v>Ben Martin</v>
      </c>
      <c r="D253">
        <f ca="1">IFERROR(__xludf.DUMMYFUNCTION("""COMPUTED_VALUE"""),2)</f>
        <v>2</v>
      </c>
      <c r="E253" s="4">
        <f ca="1">IFERROR(__xludf.DUMMYFUNCTION("""COMPUTED_VALUE"""),9580)</f>
        <v>9580</v>
      </c>
    </row>
    <row r="254" spans="1:5" ht="12.75">
      <c r="A254" t="str">
        <f ca="1">IFERROR(__xludf.DUMMYFUNCTION("""COMPUTED_VALUE"""),"T252")</f>
        <v>T252</v>
      </c>
      <c r="B254" t="str">
        <f ca="1">IFERROR(__xludf.DUMMYFUNCTION("""COMPUTED_VALUE"""),"T245")</f>
        <v>T245</v>
      </c>
      <c r="C254" t="str">
        <f ca="1">IFERROR(__xludf.DUMMYFUNCTION("""COMPUTED_VALUE"""),"Sam Ryder")</f>
        <v>Sam Ryder</v>
      </c>
      <c r="D254">
        <f ca="1">IFERROR(__xludf.DUMMYFUNCTION("""COMPUTED_VALUE"""),5)</f>
        <v>5</v>
      </c>
      <c r="E254" s="4">
        <f ca="1">IFERROR(__xludf.DUMMYFUNCTION("""COMPUTED_VALUE"""),9580)</f>
        <v>9580</v>
      </c>
    </row>
    <row r="255" spans="1:5" ht="12.75">
      <c r="A255">
        <f ca="1">IFERROR(__xludf.DUMMYFUNCTION("""COMPUTED_VALUE"""),254)</f>
        <v>254</v>
      </c>
      <c r="B255">
        <f ca="1">IFERROR(__xludf.DUMMYFUNCTION("""COMPUTED_VALUE"""),247)</f>
        <v>247</v>
      </c>
      <c r="C255" t="str">
        <f ca="1">IFERROR(__xludf.DUMMYFUNCTION("""COMPUTED_VALUE"""),"Danny Willett")</f>
        <v>Danny Willett</v>
      </c>
      <c r="D255">
        <f ca="1">IFERROR(__xludf.DUMMYFUNCTION("""COMPUTED_VALUE"""),3)</f>
        <v>3</v>
      </c>
      <c r="E255" s="4">
        <f ca="1">IFERROR(__xludf.DUMMYFUNCTION("""COMPUTED_VALUE"""),9320)</f>
        <v>9320</v>
      </c>
    </row>
    <row r="256" spans="1:5" ht="12.75">
      <c r="A256" t="str">
        <f ca="1">IFERROR(__xludf.DUMMYFUNCTION("""COMPUTED_VALUE"""),"T255")</f>
        <v>T255</v>
      </c>
      <c r="B256" t="str">
        <f ca="1">IFERROR(__xludf.DUMMYFUNCTION("""COMPUTED_VALUE"""),"T248")</f>
        <v>T248</v>
      </c>
      <c r="C256" t="str">
        <f ca="1">IFERROR(__xludf.DUMMYFUNCTION("""COMPUTED_VALUE"""),"Matthias Schwab")</f>
        <v>Matthias Schwab</v>
      </c>
      <c r="D256">
        <f ca="1">IFERROR(__xludf.DUMMYFUNCTION("""COMPUTED_VALUE"""),3)</f>
        <v>3</v>
      </c>
      <c r="E256" s="4">
        <f ca="1">IFERROR(__xludf.DUMMYFUNCTION("""COMPUTED_VALUE"""),9160)</f>
        <v>9160</v>
      </c>
    </row>
    <row r="257" spans="1:5" ht="12.75">
      <c r="A257" t="str">
        <f ca="1">IFERROR(__xludf.DUMMYFUNCTION("""COMPUTED_VALUE"""),"T255")</f>
        <v>T255</v>
      </c>
      <c r="B257" t="str">
        <f ca="1">IFERROR(__xludf.DUMMYFUNCTION("""COMPUTED_VALUE"""),"T248")</f>
        <v>T248</v>
      </c>
      <c r="C257" t="str">
        <f ca="1">IFERROR(__xludf.DUMMYFUNCTION("""COMPUTED_VALUE"""),"Dominic Bozzelli")</f>
        <v>Dominic Bozzelli</v>
      </c>
      <c r="D257">
        <f ca="1">IFERROR(__xludf.DUMMYFUNCTION("""COMPUTED_VALUE"""),3)</f>
        <v>3</v>
      </c>
      <c r="E257" s="4">
        <f ca="1">IFERROR(__xludf.DUMMYFUNCTION("""COMPUTED_VALUE"""),9160)</f>
        <v>9160</v>
      </c>
    </row>
    <row r="258" spans="1:5" ht="12.75">
      <c r="A258">
        <f ca="1">IFERROR(__xludf.DUMMYFUNCTION("""COMPUTED_VALUE"""),257)</f>
        <v>257</v>
      </c>
      <c r="B258">
        <f ca="1">IFERROR(__xludf.DUMMYFUNCTION("""COMPUTED_VALUE"""),251)</f>
        <v>251</v>
      </c>
      <c r="C258" t="str">
        <f ca="1">IFERROR(__xludf.DUMMYFUNCTION("""COMPUTED_VALUE"""),"Fred Funk")</f>
        <v>Fred Funk</v>
      </c>
      <c r="D258">
        <f ca="1">IFERROR(__xludf.DUMMYFUNCTION("""COMPUTED_VALUE"""),1)</f>
        <v>1</v>
      </c>
      <c r="E258" s="4">
        <f ca="1">IFERROR(__xludf.DUMMYFUNCTION("""COMPUTED_VALUE"""),9000)</f>
        <v>9000</v>
      </c>
    </row>
    <row r="259" spans="1:5" ht="12.75">
      <c r="A259" t="str">
        <f ca="1">IFERROR(__xludf.DUMMYFUNCTION("""COMPUTED_VALUE"""),"T258")</f>
        <v>T258</v>
      </c>
      <c r="B259" t="str">
        <f ca="1">IFERROR(__xludf.DUMMYFUNCTION("""COMPUTED_VALUE"""),"T252")</f>
        <v>T252</v>
      </c>
      <c r="C259" t="str">
        <f ca="1">IFERROR(__xludf.DUMMYFUNCTION("""COMPUTED_VALUE"""),"J.J. Henry")</f>
        <v>J.J. Henry</v>
      </c>
      <c r="D259">
        <f ca="1">IFERROR(__xludf.DUMMYFUNCTION("""COMPUTED_VALUE"""),1)</f>
        <v>1</v>
      </c>
      <c r="E259" s="4">
        <f ca="1">IFERROR(__xludf.DUMMYFUNCTION("""COMPUTED_VALUE"""),8440)</f>
        <v>8440</v>
      </c>
    </row>
    <row r="260" spans="1:5" ht="12.75">
      <c r="A260" t="str">
        <f ca="1">IFERROR(__xludf.DUMMYFUNCTION("""COMPUTED_VALUE"""),"T258")</f>
        <v>T258</v>
      </c>
      <c r="B260" t="str">
        <f ca="1">IFERROR(__xludf.DUMMYFUNCTION("""COMPUTED_VALUE"""),"T252")</f>
        <v>T252</v>
      </c>
      <c r="C260" t="str">
        <f ca="1">IFERROR(__xludf.DUMMYFUNCTION("""COMPUTED_VALUE"""),"Matthew Borchert")</f>
        <v>Matthew Borchert</v>
      </c>
      <c r="D260">
        <f ca="1">IFERROR(__xludf.DUMMYFUNCTION("""COMPUTED_VALUE"""),1)</f>
        <v>1</v>
      </c>
      <c r="E260" s="4">
        <f ca="1">IFERROR(__xludf.DUMMYFUNCTION("""COMPUTED_VALUE"""),8440)</f>
        <v>8440</v>
      </c>
    </row>
    <row r="261" spans="1:5" ht="12.75">
      <c r="A261" t="str">
        <f ca="1">IFERROR(__xludf.DUMMYFUNCTION("""COMPUTED_VALUE"""),"T258")</f>
        <v>T258</v>
      </c>
      <c r="B261" t="str">
        <f ca="1">IFERROR(__xludf.DUMMYFUNCTION("""COMPUTED_VALUE"""),"T252")</f>
        <v>T252</v>
      </c>
      <c r="C261" t="str">
        <f ca="1">IFERROR(__xludf.DUMMYFUNCTION("""COMPUTED_VALUE"""),"Willy Pumarol")</f>
        <v>Willy Pumarol</v>
      </c>
      <c r="D261">
        <f ca="1">IFERROR(__xludf.DUMMYFUNCTION("""COMPUTED_VALUE"""),1)</f>
        <v>1</v>
      </c>
      <c r="E261" s="4">
        <f ca="1">IFERROR(__xludf.DUMMYFUNCTION("""COMPUTED_VALUE"""),8440)</f>
        <v>8440</v>
      </c>
    </row>
    <row r="262" spans="1:5" ht="12.75">
      <c r="A262">
        <f ca="1">IFERROR(__xludf.DUMMYFUNCTION("""COMPUTED_VALUE"""),261)</f>
        <v>261</v>
      </c>
      <c r="B262">
        <f ca="1">IFERROR(__xludf.DUMMYFUNCTION("""COMPUTED_VALUE"""),255)</f>
        <v>255</v>
      </c>
      <c r="C262" t="str">
        <f ca="1">IFERROR(__xludf.DUMMYFUNCTION("""COMPUTED_VALUE"""),"Eric Dugas")</f>
        <v>Eric Dugas</v>
      </c>
      <c r="D262">
        <f ca="1">IFERROR(__xludf.DUMMYFUNCTION("""COMPUTED_VALUE"""),1)</f>
        <v>1</v>
      </c>
      <c r="E262" s="4">
        <f ca="1">IFERROR(__xludf.DUMMYFUNCTION("""COMPUTED_VALUE"""),8360)</f>
        <v>8360</v>
      </c>
    </row>
    <row r="263" spans="1:5" ht="12.75">
      <c r="A263" t="str">
        <f ca="1">IFERROR(__xludf.DUMMYFUNCTION("""COMPUTED_VALUE"""),"T262")</f>
        <v>T262</v>
      </c>
      <c r="B263" t="str">
        <f ca="1">IFERROR(__xludf.DUMMYFUNCTION("""COMPUTED_VALUE"""),"T256")</f>
        <v>T256</v>
      </c>
      <c r="C263" t="str">
        <f ca="1">IFERROR(__xludf.DUMMYFUNCTION("""COMPUTED_VALUE"""),"Arjun Atwal")</f>
        <v>Arjun Atwal</v>
      </c>
      <c r="D263">
        <f ca="1">IFERROR(__xludf.DUMMYFUNCTION("""COMPUTED_VALUE"""),2)</f>
        <v>2</v>
      </c>
      <c r="E263" s="4">
        <f ca="1">IFERROR(__xludf.DUMMYFUNCTION("""COMPUTED_VALUE"""),8120)</f>
        <v>8120</v>
      </c>
    </row>
    <row r="264" spans="1:5" ht="12.75">
      <c r="A264" t="str">
        <f ca="1">IFERROR(__xludf.DUMMYFUNCTION("""COMPUTED_VALUE"""),"T262")</f>
        <v>T262</v>
      </c>
      <c r="B264" t="str">
        <f ca="1">IFERROR(__xludf.DUMMYFUNCTION("""COMPUTED_VALUE"""),"T256")</f>
        <v>T256</v>
      </c>
      <c r="C264" t="str">
        <f ca="1">IFERROR(__xludf.DUMMYFUNCTION("""COMPUTED_VALUE"""),"Zac Blair")</f>
        <v>Zac Blair</v>
      </c>
      <c r="D264">
        <f ca="1">IFERROR(__xludf.DUMMYFUNCTION("""COMPUTED_VALUE"""),4)</f>
        <v>4</v>
      </c>
      <c r="E264" s="4">
        <f ca="1">IFERROR(__xludf.DUMMYFUNCTION("""COMPUTED_VALUE"""),8120)</f>
        <v>8120</v>
      </c>
    </row>
    <row r="265" spans="1:5" ht="12.75">
      <c r="A265" t="str">
        <f ca="1">IFERROR(__xludf.DUMMYFUNCTION("""COMPUTED_VALUE"""),"T264")</f>
        <v>T264</v>
      </c>
      <c r="B265" t="str">
        <f ca="1">IFERROR(__xludf.DUMMYFUNCTION("""COMPUTED_VALUE"""),"T258")</f>
        <v>T258</v>
      </c>
      <c r="C265" t="str">
        <f ca="1">IFERROR(__xludf.DUMMYFUNCTION("""COMPUTED_VALUE"""),"Tommy Gainey")</f>
        <v>Tommy Gainey</v>
      </c>
      <c r="D265">
        <f ca="1">IFERROR(__xludf.DUMMYFUNCTION("""COMPUTED_VALUE"""),2)</f>
        <v>2</v>
      </c>
      <c r="E265" s="4">
        <f ca="1">IFERROR(__xludf.DUMMYFUNCTION("""COMPUTED_VALUE"""),7920)</f>
        <v>7920</v>
      </c>
    </row>
    <row r="266" spans="1:5" ht="12.75">
      <c r="A266" t="str">
        <f ca="1">IFERROR(__xludf.DUMMYFUNCTION("""COMPUTED_VALUE"""),"T264")</f>
        <v>T264</v>
      </c>
      <c r="B266" t="str">
        <f ca="1">IFERROR(__xludf.DUMMYFUNCTION("""COMPUTED_VALUE"""),"T258")</f>
        <v>T258</v>
      </c>
      <c r="C266" t="str">
        <f ca="1">IFERROR(__xludf.DUMMYFUNCTION("""COMPUTED_VALUE"""),"Roberto Díaz")</f>
        <v>Roberto Díaz</v>
      </c>
      <c r="D266">
        <f ca="1">IFERROR(__xludf.DUMMYFUNCTION("""COMPUTED_VALUE"""),1)</f>
        <v>1</v>
      </c>
      <c r="E266" s="4">
        <f ca="1">IFERROR(__xludf.DUMMYFUNCTION("""COMPUTED_VALUE"""),7920)</f>
        <v>7920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D792"/>
  <sheetViews>
    <sheetView workbookViewId="0"/>
  </sheetViews>
  <sheetFormatPr defaultColWidth="14.42578125" defaultRowHeight="15.75" customHeight="1"/>
  <sheetData>
    <row r="1" spans="1:4" ht="15.75" customHeight="1">
      <c r="A1" t="str">
        <f ca="1">IFERROR(__xludf.DUMMYFUNCTION("importhtml(""http://www.pgatour.com/stats/stat.014.html"",""table"",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IFERROR(__xludf.DUMMYFUNCTION("""COMPUTED_VALUE"""),"MONEY")</f>
        <v>MONEY</v>
      </c>
    </row>
    <row r="2" spans="1:4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IFERROR(__xludf.DUMMYFUNCTION("""COMPUTED_VALUE"""),"Tiger Woods")</f>
        <v>Tiger Woods</v>
      </c>
      <c r="D2" s="4">
        <f ca="1">IFERROR(__xludf.DUMMYFUNCTION("""COMPUTED_VALUE"""),120801106)</f>
        <v>120801106</v>
      </c>
    </row>
    <row r="3" spans="1:4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IFERROR(__xludf.DUMMYFUNCTION("""COMPUTED_VALUE"""),"Phil Mickelson")</f>
        <v>Phil Mickelson</v>
      </c>
      <c r="D3" s="4">
        <f ca="1">IFERROR(__xludf.DUMMYFUNCTION("""COMPUTED_VALUE"""),92143142)</f>
        <v>92143142</v>
      </c>
    </row>
    <row r="4" spans="1:4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IFERROR(__xludf.DUMMYFUNCTION("""COMPUTED_VALUE"""),"Jim Furyk")</f>
        <v>Jim Furyk</v>
      </c>
      <c r="D4" s="4">
        <f ca="1">IFERROR(__xludf.DUMMYFUNCTION("""COMPUTED_VALUE"""),71313279)</f>
        <v>71313279</v>
      </c>
    </row>
    <row r="5" spans="1:4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IFERROR(__xludf.DUMMYFUNCTION("""COMPUTED_VALUE"""),"Vijay Singh")</f>
        <v>Vijay Singh</v>
      </c>
      <c r="D5" s="4">
        <f ca="1">IFERROR(__xludf.DUMMYFUNCTION("""COMPUTED_VALUE"""),71236216)</f>
        <v>71236216</v>
      </c>
    </row>
    <row r="6" spans="1:4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IFERROR(__xludf.DUMMYFUNCTION("""COMPUTED_VALUE"""),"Dustin Johnson")</f>
        <v>Dustin Johnson</v>
      </c>
      <c r="D6" s="4">
        <f ca="1">IFERROR(__xludf.DUMMYFUNCTION("""COMPUTED_VALUE"""),68640215)</f>
        <v>68640215</v>
      </c>
    </row>
    <row r="7" spans="1:4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IFERROR(__xludf.DUMMYFUNCTION("""COMPUTED_VALUE"""),"Adam Scott")</f>
        <v>Adam Scott</v>
      </c>
      <c r="D7" s="4">
        <f ca="1">IFERROR(__xludf.DUMMYFUNCTION("""COMPUTED_VALUE"""),55534025)</f>
        <v>55534025</v>
      </c>
    </row>
    <row r="8" spans="1:4" ht="15.75" customHeight="1">
      <c r="A8">
        <f ca="1">IFERROR(__xludf.DUMMYFUNCTION("""COMPUTED_VALUE"""),7)</f>
        <v>7</v>
      </c>
      <c r="B8">
        <f ca="1">IFERROR(__xludf.DUMMYFUNCTION("""COMPUTED_VALUE"""),7)</f>
        <v>7</v>
      </c>
      <c r="C8" t="str">
        <f ca="1">IFERROR(__xludf.DUMMYFUNCTION("""COMPUTED_VALUE"""),"Justin Rose")</f>
        <v>Justin Rose</v>
      </c>
      <c r="D8" s="4">
        <f ca="1">IFERROR(__xludf.DUMMYFUNCTION("""COMPUTED_VALUE"""),54569092)</f>
        <v>54569092</v>
      </c>
    </row>
    <row r="9" spans="1:4" ht="15.75" customHeight="1">
      <c r="A9">
        <f ca="1">IFERROR(__xludf.DUMMYFUNCTION("""COMPUTED_VALUE"""),8)</f>
        <v>8</v>
      </c>
      <c r="B9">
        <f ca="1">IFERROR(__xludf.DUMMYFUNCTION("""COMPUTED_VALUE"""),8)</f>
        <v>8</v>
      </c>
      <c r="C9" t="str">
        <f ca="1">IFERROR(__xludf.DUMMYFUNCTION("""COMPUTED_VALUE"""),"Rory McIlroy")</f>
        <v>Rory McIlroy</v>
      </c>
      <c r="D9" s="4">
        <f ca="1">IFERROR(__xludf.DUMMYFUNCTION("""COMPUTED_VALUE"""),53618225)</f>
        <v>53618225</v>
      </c>
    </row>
    <row r="10" spans="1:4" ht="15.75" customHeight="1">
      <c r="A10">
        <f ca="1">IFERROR(__xludf.DUMMYFUNCTION("""COMPUTED_VALUE"""),9)</f>
        <v>9</v>
      </c>
      <c r="B10">
        <f ca="1">IFERROR(__xludf.DUMMYFUNCTION("""COMPUTED_VALUE"""),9)</f>
        <v>9</v>
      </c>
      <c r="C10" t="str">
        <f ca="1">IFERROR(__xludf.DUMMYFUNCTION("""COMPUTED_VALUE"""),"Sergio Garcia")</f>
        <v>Sergio Garcia</v>
      </c>
      <c r="D10" s="4">
        <f ca="1">IFERROR(__xludf.DUMMYFUNCTION("""COMPUTED_VALUE"""),51840118)</f>
        <v>51840118</v>
      </c>
    </row>
    <row r="11" spans="1:4" ht="15.75" customHeight="1">
      <c r="A11">
        <f ca="1">IFERROR(__xludf.DUMMYFUNCTION("""COMPUTED_VALUE"""),10)</f>
        <v>10</v>
      </c>
      <c r="B11">
        <f ca="1">IFERROR(__xludf.DUMMYFUNCTION("""COMPUTED_VALUE"""),10)</f>
        <v>10</v>
      </c>
      <c r="C11" t="str">
        <f ca="1">IFERROR(__xludf.DUMMYFUNCTION("""COMPUTED_VALUE"""),"Matt Kuchar")</f>
        <v>Matt Kuchar</v>
      </c>
      <c r="D11" s="4">
        <f ca="1">IFERROR(__xludf.DUMMYFUNCTION("""COMPUTED_VALUE"""),51588384)</f>
        <v>51588384</v>
      </c>
    </row>
    <row r="12" spans="1:4" ht="15.75" customHeight="1">
      <c r="A12">
        <f ca="1">IFERROR(__xludf.DUMMYFUNCTION("""COMPUTED_VALUE"""),11)</f>
        <v>11</v>
      </c>
      <c r="B12">
        <f ca="1">IFERROR(__xludf.DUMMYFUNCTION("""COMPUTED_VALUE"""),11)</f>
        <v>11</v>
      </c>
      <c r="C12" t="str">
        <f ca="1">IFERROR(__xludf.DUMMYFUNCTION("""COMPUTED_VALUE"""),"Ernie Els")</f>
        <v>Ernie Els</v>
      </c>
      <c r="D12" s="4">
        <f ca="1">IFERROR(__xludf.DUMMYFUNCTION("""COMPUTED_VALUE"""),49339400)</f>
        <v>49339400</v>
      </c>
    </row>
    <row r="13" spans="1:4" ht="15.75" customHeight="1">
      <c r="A13">
        <f ca="1">IFERROR(__xludf.DUMMYFUNCTION("""COMPUTED_VALUE"""),12)</f>
        <v>12</v>
      </c>
      <c r="B13">
        <f ca="1">IFERROR(__xludf.DUMMYFUNCTION("""COMPUTED_VALUE"""),12)</f>
        <v>12</v>
      </c>
      <c r="C13" t="str">
        <f ca="1">IFERROR(__xludf.DUMMYFUNCTION("""COMPUTED_VALUE"""),"Jason Day")</f>
        <v>Jason Day</v>
      </c>
      <c r="D13" s="4">
        <f ca="1">IFERROR(__xludf.DUMMYFUNCTION("""COMPUTED_VALUE"""),47993611)</f>
        <v>47993611</v>
      </c>
    </row>
    <row r="14" spans="1:4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IFERROR(__xludf.DUMMYFUNCTION("""COMPUTED_VALUE"""),"Zach Johnson")</f>
        <v>Zach Johnson</v>
      </c>
      <c r="D14" s="4">
        <f ca="1">IFERROR(__xludf.DUMMYFUNCTION("""COMPUTED_VALUE"""),46361122)</f>
        <v>46361122</v>
      </c>
    </row>
    <row r="15" spans="1:4" ht="15.75" customHeight="1">
      <c r="A15">
        <f ca="1">IFERROR(__xludf.DUMMYFUNCTION("""COMPUTED_VALUE"""),14)</f>
        <v>14</v>
      </c>
      <c r="B15">
        <f ca="1">IFERROR(__xludf.DUMMYFUNCTION("""COMPUTED_VALUE"""),14)</f>
        <v>14</v>
      </c>
      <c r="C15" t="str">
        <f ca="1">IFERROR(__xludf.DUMMYFUNCTION("""COMPUTED_VALUE"""),"Bubba Watson")</f>
        <v>Bubba Watson</v>
      </c>
      <c r="D15" s="4">
        <f ca="1">IFERROR(__xludf.DUMMYFUNCTION("""COMPUTED_VALUE"""),46270835)</f>
        <v>46270835</v>
      </c>
    </row>
    <row r="16" spans="1:4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IFERROR(__xludf.DUMMYFUNCTION("""COMPUTED_VALUE"""),"Davis Love III")</f>
        <v>Davis Love III</v>
      </c>
      <c r="D16" s="4">
        <f ca="1">IFERROR(__xludf.DUMMYFUNCTION("""COMPUTED_VALUE"""),44944195)</f>
        <v>44944195</v>
      </c>
    </row>
    <row r="17" spans="1:4" ht="15.75" customHeight="1">
      <c r="A17">
        <f ca="1">IFERROR(__xludf.DUMMYFUNCTION("""COMPUTED_VALUE"""),16)</f>
        <v>16</v>
      </c>
      <c r="B17">
        <f ca="1">IFERROR(__xludf.DUMMYFUNCTION("""COMPUTED_VALUE"""),16)</f>
        <v>16</v>
      </c>
      <c r="C17" t="str">
        <f ca="1">IFERROR(__xludf.DUMMYFUNCTION("""COMPUTED_VALUE"""),"Steve Stricker")</f>
        <v>Steve Stricker</v>
      </c>
      <c r="D17" s="4">
        <f ca="1">IFERROR(__xludf.DUMMYFUNCTION("""COMPUTED_VALUE"""),44296043)</f>
        <v>44296043</v>
      </c>
    </row>
    <row r="18" spans="1:4" ht="15.75" customHeight="1">
      <c r="A18">
        <f ca="1">IFERROR(__xludf.DUMMYFUNCTION("""COMPUTED_VALUE"""),17)</f>
        <v>17</v>
      </c>
      <c r="B18">
        <f ca="1">IFERROR(__xludf.DUMMYFUNCTION("""COMPUTED_VALUE"""),17)</f>
        <v>17</v>
      </c>
      <c r="C18" t="str">
        <f ca="1">IFERROR(__xludf.DUMMYFUNCTION("""COMPUTED_VALUE"""),"David Toms")</f>
        <v>David Toms</v>
      </c>
      <c r="D18" s="4">
        <f ca="1">IFERROR(__xludf.DUMMYFUNCTION("""COMPUTED_VALUE"""),41901709)</f>
        <v>41901709</v>
      </c>
    </row>
    <row r="19" spans="1:4" ht="15.75" customHeight="1">
      <c r="A19">
        <f ca="1">IFERROR(__xludf.DUMMYFUNCTION("""COMPUTED_VALUE"""),18)</f>
        <v>18</v>
      </c>
      <c r="B19">
        <f ca="1">IFERROR(__xludf.DUMMYFUNCTION("""COMPUTED_VALUE"""),18)</f>
        <v>18</v>
      </c>
      <c r="C19" t="str">
        <f ca="1">IFERROR(__xludf.DUMMYFUNCTION("""COMPUTED_VALUE"""),"Jordan Spieth")</f>
        <v>Jordan Spieth</v>
      </c>
      <c r="D19" s="4">
        <f ca="1">IFERROR(__xludf.DUMMYFUNCTION("""COMPUTED_VALUE"""),41347850)</f>
        <v>41347850</v>
      </c>
    </row>
    <row r="20" spans="1:4" ht="15.75" customHeight="1">
      <c r="A20">
        <f ca="1">IFERROR(__xludf.DUMMYFUNCTION("""COMPUTED_VALUE"""),19)</f>
        <v>19</v>
      </c>
      <c r="B20">
        <f ca="1">IFERROR(__xludf.DUMMYFUNCTION("""COMPUTED_VALUE"""),19)</f>
        <v>19</v>
      </c>
      <c r="C20" t="str">
        <f ca="1">IFERROR(__xludf.DUMMYFUNCTION("""COMPUTED_VALUE"""),"Webb Simpson")</f>
        <v>Webb Simpson</v>
      </c>
      <c r="D20" s="4">
        <f ca="1">IFERROR(__xludf.DUMMYFUNCTION("""COMPUTED_VALUE"""),40936891)</f>
        <v>40936891</v>
      </c>
    </row>
    <row r="21" spans="1:4" ht="15.75" customHeight="1">
      <c r="A21">
        <f ca="1">IFERROR(__xludf.DUMMYFUNCTION("""COMPUTED_VALUE"""),20)</f>
        <v>20</v>
      </c>
      <c r="B21">
        <f ca="1">IFERROR(__xludf.DUMMYFUNCTION("""COMPUTED_VALUE"""),20)</f>
        <v>20</v>
      </c>
      <c r="C21" t="str">
        <f ca="1">IFERROR(__xludf.DUMMYFUNCTION("""COMPUTED_VALUE"""),"Charles Howell III")</f>
        <v>Charles Howell III</v>
      </c>
      <c r="D21" s="4">
        <f ca="1">IFERROR(__xludf.DUMMYFUNCTION("""COMPUTED_VALUE"""),40169207)</f>
        <v>40169207</v>
      </c>
    </row>
    <row r="22" spans="1:4" ht="15.75" customHeight="1">
      <c r="A22">
        <f ca="1">IFERROR(__xludf.DUMMYFUNCTION("""COMPUTED_VALUE"""),21)</f>
        <v>21</v>
      </c>
      <c r="B22">
        <f ca="1">IFERROR(__xludf.DUMMYFUNCTION("""COMPUTED_VALUE"""),21)</f>
        <v>21</v>
      </c>
      <c r="C22" t="str">
        <f ca="1">IFERROR(__xludf.DUMMYFUNCTION("""COMPUTED_VALUE"""),"Stewart Cink")</f>
        <v>Stewart Cink</v>
      </c>
      <c r="D22" s="4">
        <f ca="1">IFERROR(__xludf.DUMMYFUNCTION("""COMPUTED_VALUE"""),39655271)</f>
        <v>39655271</v>
      </c>
    </row>
    <row r="23" spans="1:4" ht="15.75" customHeight="1">
      <c r="A23">
        <f ca="1">IFERROR(__xludf.DUMMYFUNCTION("""COMPUTED_VALUE"""),22)</f>
        <v>22</v>
      </c>
      <c r="B23">
        <f ca="1">IFERROR(__xludf.DUMMYFUNCTION("""COMPUTED_VALUE"""),22)</f>
        <v>22</v>
      </c>
      <c r="C23" t="str">
        <f ca="1">IFERROR(__xludf.DUMMYFUNCTION("""COMPUTED_VALUE"""),"Rickie Fowler")</f>
        <v>Rickie Fowler</v>
      </c>
      <c r="D23" s="4">
        <f ca="1">IFERROR(__xludf.DUMMYFUNCTION("""COMPUTED_VALUE"""),39004024)</f>
        <v>39004024</v>
      </c>
    </row>
    <row r="24" spans="1:4" ht="15.75" customHeight="1">
      <c r="A24">
        <f ca="1">IFERROR(__xludf.DUMMYFUNCTION("""COMPUTED_VALUE"""),23)</f>
        <v>23</v>
      </c>
      <c r="B24">
        <f ca="1">IFERROR(__xludf.DUMMYFUNCTION("""COMPUTED_VALUE"""),23)</f>
        <v>23</v>
      </c>
      <c r="C24" t="str">
        <f ca="1">IFERROR(__xludf.DUMMYFUNCTION("""COMPUTED_VALUE"""),"Brandt Snedeker")</f>
        <v>Brandt Snedeker</v>
      </c>
      <c r="D24" s="4">
        <f ca="1">IFERROR(__xludf.DUMMYFUNCTION("""COMPUTED_VALUE"""),38956515)</f>
        <v>38956515</v>
      </c>
    </row>
    <row r="25" spans="1:4" ht="15.75" customHeight="1">
      <c r="A25">
        <f ca="1">IFERROR(__xludf.DUMMYFUNCTION("""COMPUTED_VALUE"""),24)</f>
        <v>24</v>
      </c>
      <c r="B25">
        <f ca="1">IFERROR(__xludf.DUMMYFUNCTION("""COMPUTED_VALUE"""),24)</f>
        <v>24</v>
      </c>
      <c r="C25" t="str">
        <f ca="1">IFERROR(__xludf.DUMMYFUNCTION("""COMPUTED_VALUE"""),"Justin Thomas")</f>
        <v>Justin Thomas</v>
      </c>
      <c r="D25" s="4">
        <f ca="1">IFERROR(__xludf.DUMMYFUNCTION("""COMPUTED_VALUE"""),38745227)</f>
        <v>38745227</v>
      </c>
    </row>
    <row r="26" spans="1:4" ht="15.75" customHeight="1">
      <c r="A26">
        <f ca="1">IFERROR(__xludf.DUMMYFUNCTION("""COMPUTED_VALUE"""),25)</f>
        <v>25</v>
      </c>
      <c r="B26">
        <f ca="1">IFERROR(__xludf.DUMMYFUNCTION("""COMPUTED_VALUE"""),25)</f>
        <v>25</v>
      </c>
      <c r="C26" t="str">
        <f ca="1">IFERROR(__xludf.DUMMYFUNCTION("""COMPUTED_VALUE"""),"Luke Donald")</f>
        <v>Luke Donald</v>
      </c>
      <c r="D26" s="4">
        <f ca="1">IFERROR(__xludf.DUMMYFUNCTION("""COMPUTED_VALUE"""),36493733)</f>
        <v>36493733</v>
      </c>
    </row>
    <row r="27" spans="1:4" ht="15.75" customHeight="1">
      <c r="A27">
        <f ca="1">IFERROR(__xludf.DUMMYFUNCTION("""COMPUTED_VALUE"""),26)</f>
        <v>26</v>
      </c>
      <c r="B27">
        <f ca="1">IFERROR(__xludf.DUMMYFUNCTION("""COMPUTED_VALUE"""),26)</f>
        <v>26</v>
      </c>
      <c r="C27" t="str">
        <f ca="1">IFERROR(__xludf.DUMMYFUNCTION("""COMPUTED_VALUE"""),"Rory Sabbatini")</f>
        <v>Rory Sabbatini</v>
      </c>
      <c r="D27" s="4">
        <f ca="1">IFERROR(__xludf.DUMMYFUNCTION("""COMPUTED_VALUE"""),34547253)</f>
        <v>34547253</v>
      </c>
    </row>
    <row r="28" spans="1:4" ht="15.75" customHeight="1">
      <c r="A28">
        <f ca="1">IFERROR(__xludf.DUMMYFUNCTION("""COMPUTED_VALUE"""),27)</f>
        <v>27</v>
      </c>
      <c r="B28">
        <f ca="1">IFERROR(__xludf.DUMMYFUNCTION("""COMPUTED_VALUE"""),27)</f>
        <v>27</v>
      </c>
      <c r="C28" t="str">
        <f ca="1">IFERROR(__xludf.DUMMYFUNCTION("""COMPUTED_VALUE"""),"Justin Leonard")</f>
        <v>Justin Leonard</v>
      </c>
      <c r="D28" s="4">
        <f ca="1">IFERROR(__xludf.DUMMYFUNCTION("""COMPUTED_VALUE"""),33884793)</f>
        <v>33884793</v>
      </c>
    </row>
    <row r="29" spans="1:4" ht="15.75" customHeight="1">
      <c r="A29">
        <f ca="1">IFERROR(__xludf.DUMMYFUNCTION("""COMPUTED_VALUE"""),28)</f>
        <v>28</v>
      </c>
      <c r="B29">
        <f ca="1">IFERROR(__xludf.DUMMYFUNCTION("""COMPUTED_VALUE"""),28)</f>
        <v>28</v>
      </c>
      <c r="C29" t="str">
        <f ca="1">IFERROR(__xludf.DUMMYFUNCTION("""COMPUTED_VALUE"""),"Kevin Na")</f>
        <v>Kevin Na</v>
      </c>
      <c r="D29" s="4">
        <f ca="1">IFERROR(__xludf.DUMMYFUNCTION("""COMPUTED_VALUE"""),33137830)</f>
        <v>33137830</v>
      </c>
    </row>
    <row r="30" spans="1:4" ht="15.75" customHeight="1">
      <c r="A30">
        <f ca="1">IFERROR(__xludf.DUMMYFUNCTION("""COMPUTED_VALUE"""),29)</f>
        <v>29</v>
      </c>
      <c r="B30">
        <f ca="1">IFERROR(__xludf.DUMMYFUNCTION("""COMPUTED_VALUE"""),29)</f>
        <v>29</v>
      </c>
      <c r="C30" t="str">
        <f ca="1">IFERROR(__xludf.DUMMYFUNCTION("""COMPUTED_VALUE"""),"K.J. Choi")</f>
        <v>K.J. Choi</v>
      </c>
      <c r="D30" s="4">
        <f ca="1">IFERROR(__xludf.DUMMYFUNCTION("""COMPUTED_VALUE"""),32681277)</f>
        <v>32681277</v>
      </c>
    </row>
    <row r="31" spans="1:4" ht="12.75">
      <c r="A31">
        <f ca="1">IFERROR(__xludf.DUMMYFUNCTION("""COMPUTED_VALUE"""),30)</f>
        <v>30</v>
      </c>
      <c r="B31">
        <f ca="1">IFERROR(__xludf.DUMMYFUNCTION("""COMPUTED_VALUE"""),30)</f>
        <v>30</v>
      </c>
      <c r="C31" t="str">
        <f ca="1">IFERROR(__xludf.DUMMYFUNCTION("""COMPUTED_VALUE"""),"Kenny Perry")</f>
        <v>Kenny Perry</v>
      </c>
      <c r="D31" s="4">
        <f ca="1">IFERROR(__xludf.DUMMYFUNCTION("""COMPUTED_VALUE"""),32123130)</f>
        <v>32123130</v>
      </c>
    </row>
    <row r="32" spans="1:4" ht="12.75">
      <c r="A32">
        <f ca="1">IFERROR(__xludf.DUMMYFUNCTION("""COMPUTED_VALUE"""),31)</f>
        <v>31</v>
      </c>
      <c r="B32">
        <f ca="1">IFERROR(__xludf.DUMMYFUNCTION("""COMPUTED_VALUE"""),31)</f>
        <v>31</v>
      </c>
      <c r="C32" t="str">
        <f ca="1">IFERROR(__xludf.DUMMYFUNCTION("""COMPUTED_VALUE"""),"Paul Casey")</f>
        <v>Paul Casey</v>
      </c>
      <c r="D32" s="4">
        <f ca="1">IFERROR(__xludf.DUMMYFUNCTION("""COMPUTED_VALUE"""),31961992)</f>
        <v>31961992</v>
      </c>
    </row>
    <row r="33" spans="1:4" ht="12.75">
      <c r="A33">
        <f ca="1">IFERROR(__xludf.DUMMYFUNCTION("""COMPUTED_VALUE"""),32)</f>
        <v>32</v>
      </c>
      <c r="B33">
        <f ca="1">IFERROR(__xludf.DUMMYFUNCTION("""COMPUTED_VALUE"""),32)</f>
        <v>32</v>
      </c>
      <c r="C33" t="str">
        <f ca="1">IFERROR(__xludf.DUMMYFUNCTION("""COMPUTED_VALUE"""),"Patrick Reed")</f>
        <v>Patrick Reed</v>
      </c>
      <c r="D33" s="4">
        <f ca="1">IFERROR(__xludf.DUMMYFUNCTION("""COMPUTED_VALUE"""),31839743)</f>
        <v>31839743</v>
      </c>
    </row>
    <row r="34" spans="1:4" ht="12.75">
      <c r="A34">
        <f ca="1">IFERROR(__xludf.DUMMYFUNCTION("""COMPUTED_VALUE"""),33)</f>
        <v>33</v>
      </c>
      <c r="B34">
        <f ca="1">IFERROR(__xludf.DUMMYFUNCTION("""COMPUTED_VALUE"""),34)</f>
        <v>34</v>
      </c>
      <c r="C34" t="str">
        <f ca="1">IFERROR(__xludf.DUMMYFUNCTION("""COMPUTED_VALUE"""),"Brooks Koepka")</f>
        <v>Brooks Koepka</v>
      </c>
      <c r="D34" s="4">
        <f ca="1">IFERROR(__xludf.DUMMYFUNCTION("""COMPUTED_VALUE"""),31793545)</f>
        <v>31793545</v>
      </c>
    </row>
    <row r="35" spans="1:4" ht="12.75">
      <c r="A35">
        <f ca="1">IFERROR(__xludf.DUMMYFUNCTION("""COMPUTED_VALUE"""),34)</f>
        <v>34</v>
      </c>
      <c r="B35">
        <f ca="1">IFERROR(__xludf.DUMMYFUNCTION("""COMPUTED_VALUE"""),33)</f>
        <v>33</v>
      </c>
      <c r="C35" t="str">
        <f ca="1">IFERROR(__xludf.DUMMYFUNCTION("""COMPUTED_VALUE"""),"Henrik Stenson")</f>
        <v>Henrik Stenson</v>
      </c>
      <c r="D35" s="4">
        <f ca="1">IFERROR(__xludf.DUMMYFUNCTION("""COMPUTED_VALUE"""),31600701)</f>
        <v>31600701</v>
      </c>
    </row>
    <row r="36" spans="1:4" ht="12.75">
      <c r="A36">
        <f ca="1">IFERROR(__xludf.DUMMYFUNCTION("""COMPUTED_VALUE"""),35)</f>
        <v>35</v>
      </c>
      <c r="B36">
        <f ca="1">IFERROR(__xludf.DUMMYFUNCTION("""COMPUTED_VALUE"""),35)</f>
        <v>35</v>
      </c>
      <c r="C36" t="str">
        <f ca="1">IFERROR(__xludf.DUMMYFUNCTION("""COMPUTED_VALUE"""),"Ryan Moore")</f>
        <v>Ryan Moore</v>
      </c>
      <c r="D36" s="4">
        <f ca="1">IFERROR(__xludf.DUMMYFUNCTION("""COMPUTED_VALUE"""),31444368)</f>
        <v>31444368</v>
      </c>
    </row>
    <row r="37" spans="1:4" ht="12.75">
      <c r="A37">
        <f ca="1">IFERROR(__xludf.DUMMYFUNCTION("""COMPUTED_VALUE"""),36)</f>
        <v>36</v>
      </c>
      <c r="B37">
        <f ca="1">IFERROR(__xludf.DUMMYFUNCTION("""COMPUTED_VALUE"""),36)</f>
        <v>36</v>
      </c>
      <c r="C37" t="str">
        <f ca="1">IFERROR(__xludf.DUMMYFUNCTION("""COMPUTED_VALUE"""),"Retief Goosen")</f>
        <v>Retief Goosen</v>
      </c>
      <c r="D37" s="4">
        <f ca="1">IFERROR(__xludf.DUMMYFUNCTION("""COMPUTED_VALUE"""),31294708)</f>
        <v>31294708</v>
      </c>
    </row>
    <row r="38" spans="1:4" ht="12.75">
      <c r="A38">
        <f ca="1">IFERROR(__xludf.DUMMYFUNCTION("""COMPUTED_VALUE"""),37)</f>
        <v>37</v>
      </c>
      <c r="B38">
        <f ca="1">IFERROR(__xludf.DUMMYFUNCTION("""COMPUTED_VALUE"""),37)</f>
        <v>37</v>
      </c>
      <c r="C38" t="str">
        <f ca="1">IFERROR(__xludf.DUMMYFUNCTION("""COMPUTED_VALUE"""),"Hunter Mahan")</f>
        <v>Hunter Mahan</v>
      </c>
      <c r="D38" s="4">
        <f ca="1">IFERROR(__xludf.DUMMYFUNCTION("""COMPUTED_VALUE"""),30752168)</f>
        <v>30752168</v>
      </c>
    </row>
    <row r="39" spans="1:4" ht="12.75">
      <c r="A39">
        <f ca="1">IFERROR(__xludf.DUMMYFUNCTION("""COMPUTED_VALUE"""),38)</f>
        <v>38</v>
      </c>
      <c r="B39">
        <f ca="1">IFERROR(__xludf.DUMMYFUNCTION("""COMPUTED_VALUE"""),41)</f>
        <v>41</v>
      </c>
      <c r="C39" t="str">
        <f ca="1">IFERROR(__xludf.DUMMYFUNCTION("""COMPUTED_VALUE"""),"Hideki Matsuyama")</f>
        <v>Hideki Matsuyama</v>
      </c>
      <c r="D39" s="4">
        <f ca="1">IFERROR(__xludf.DUMMYFUNCTION("""COMPUTED_VALUE"""),30472558)</f>
        <v>30472558</v>
      </c>
    </row>
    <row r="40" spans="1:4" ht="12.75">
      <c r="A40">
        <f ca="1">IFERROR(__xludf.DUMMYFUNCTION("""COMPUTED_VALUE"""),39)</f>
        <v>39</v>
      </c>
      <c r="B40">
        <f ca="1">IFERROR(__xludf.DUMMYFUNCTION("""COMPUTED_VALUE"""),38)</f>
        <v>38</v>
      </c>
      <c r="C40" t="str">
        <f ca="1">IFERROR(__xludf.DUMMYFUNCTION("""COMPUTED_VALUE"""),"Geoff Ogilvy")</f>
        <v>Geoff Ogilvy</v>
      </c>
      <c r="D40" s="4">
        <f ca="1">IFERROR(__xludf.DUMMYFUNCTION("""COMPUTED_VALUE"""),30453426)</f>
        <v>30453426</v>
      </c>
    </row>
    <row r="41" spans="1:4" ht="12.75">
      <c r="A41">
        <f ca="1">IFERROR(__xludf.DUMMYFUNCTION("""COMPUTED_VALUE"""),40)</f>
        <v>40</v>
      </c>
      <c r="B41">
        <f ca="1">IFERROR(__xludf.DUMMYFUNCTION("""COMPUTED_VALUE"""),39)</f>
        <v>39</v>
      </c>
      <c r="C41" t="str">
        <f ca="1">IFERROR(__xludf.DUMMYFUNCTION("""COMPUTED_VALUE"""),"Bill Haas")</f>
        <v>Bill Haas</v>
      </c>
      <c r="D41" s="4">
        <f ca="1">IFERROR(__xludf.DUMMYFUNCTION("""COMPUTED_VALUE"""),30247531)</f>
        <v>30247531</v>
      </c>
    </row>
    <row r="42" spans="1:4" ht="12.75">
      <c r="A42">
        <f ca="1">IFERROR(__xludf.DUMMYFUNCTION("""COMPUTED_VALUE"""),41)</f>
        <v>41</v>
      </c>
      <c r="B42">
        <f ca="1">IFERROR(__xludf.DUMMYFUNCTION("""COMPUTED_VALUE"""),40)</f>
        <v>40</v>
      </c>
      <c r="C42" t="str">
        <f ca="1">IFERROR(__xludf.DUMMYFUNCTION("""COMPUTED_VALUE"""),"Marc Leishman")</f>
        <v>Marc Leishman</v>
      </c>
      <c r="D42" s="4">
        <f ca="1">IFERROR(__xludf.DUMMYFUNCTION("""COMPUTED_VALUE"""),30128386)</f>
        <v>30128386</v>
      </c>
    </row>
    <row r="43" spans="1:4" ht="12.75">
      <c r="A43">
        <f ca="1">IFERROR(__xludf.DUMMYFUNCTION("""COMPUTED_VALUE"""),42)</f>
        <v>42</v>
      </c>
      <c r="B43">
        <f ca="1">IFERROR(__xludf.DUMMYFUNCTION("""COMPUTED_VALUE"""),42)</f>
        <v>42</v>
      </c>
      <c r="C43" t="str">
        <f ca="1">IFERROR(__xludf.DUMMYFUNCTION("""COMPUTED_VALUE"""),"Stuart Appleby")</f>
        <v>Stuart Appleby</v>
      </c>
      <c r="D43" s="4">
        <f ca="1">IFERROR(__xludf.DUMMYFUNCTION("""COMPUTED_VALUE"""),29828521)</f>
        <v>29828521</v>
      </c>
    </row>
    <row r="44" spans="1:4" ht="12.75">
      <c r="A44">
        <f ca="1">IFERROR(__xludf.DUMMYFUNCTION("""COMPUTED_VALUE"""),43)</f>
        <v>43</v>
      </c>
      <c r="B44">
        <f ca="1">IFERROR(__xludf.DUMMYFUNCTION("""COMPUTED_VALUE"""),43)</f>
        <v>43</v>
      </c>
      <c r="C44" t="str">
        <f ca="1">IFERROR(__xludf.DUMMYFUNCTION("""COMPUTED_VALUE"""),"Ryan Palmer")</f>
        <v>Ryan Palmer</v>
      </c>
      <c r="D44" s="4">
        <f ca="1">IFERROR(__xludf.DUMMYFUNCTION("""COMPUTED_VALUE"""),29292242)</f>
        <v>29292242</v>
      </c>
    </row>
    <row r="45" spans="1:4" ht="12.75">
      <c r="A45">
        <f ca="1">IFERROR(__xludf.DUMMYFUNCTION("""COMPUTED_VALUE"""),44)</f>
        <v>44</v>
      </c>
      <c r="B45">
        <f ca="1">IFERROR(__xludf.DUMMYFUNCTION("""COMPUTED_VALUE"""),44)</f>
        <v>44</v>
      </c>
      <c r="C45" t="str">
        <f ca="1">IFERROR(__xludf.DUMMYFUNCTION("""COMPUTED_VALUE"""),"Charley Hoffman")</f>
        <v>Charley Hoffman</v>
      </c>
      <c r="D45" s="4">
        <f ca="1">IFERROR(__xludf.DUMMYFUNCTION("""COMPUTED_VALUE"""),29209824)</f>
        <v>29209824</v>
      </c>
    </row>
    <row r="46" spans="1:4" ht="12.75">
      <c r="A46">
        <f ca="1">IFERROR(__xludf.DUMMYFUNCTION("""COMPUTED_VALUE"""),45)</f>
        <v>45</v>
      </c>
      <c r="B46">
        <f ca="1">IFERROR(__xludf.DUMMYFUNCTION("""COMPUTED_VALUE"""),45)</f>
        <v>45</v>
      </c>
      <c r="C46" t="str">
        <f ca="1">IFERROR(__xludf.DUMMYFUNCTION("""COMPUTED_VALUE"""),"Jerry Kelly")</f>
        <v>Jerry Kelly</v>
      </c>
      <c r="D46" s="4">
        <f ca="1">IFERROR(__xludf.DUMMYFUNCTION("""COMPUTED_VALUE"""),29040575)</f>
        <v>29040575</v>
      </c>
    </row>
    <row r="47" spans="1:4" ht="12.75">
      <c r="A47">
        <f ca="1">IFERROR(__xludf.DUMMYFUNCTION("""COMPUTED_VALUE"""),46)</f>
        <v>46</v>
      </c>
      <c r="B47">
        <f ca="1">IFERROR(__xludf.DUMMYFUNCTION("""COMPUTED_VALUE"""),46)</f>
        <v>46</v>
      </c>
      <c r="C47" t="str">
        <f ca="1">IFERROR(__xludf.DUMMYFUNCTION("""COMPUTED_VALUE"""),"Mike Weir")</f>
        <v>Mike Weir</v>
      </c>
      <c r="D47" s="4">
        <f ca="1">IFERROR(__xludf.DUMMYFUNCTION("""COMPUTED_VALUE"""),27977076)</f>
        <v>27977076</v>
      </c>
    </row>
    <row r="48" spans="1:4" ht="12.75">
      <c r="A48">
        <f ca="1">IFERROR(__xludf.DUMMYFUNCTION("""COMPUTED_VALUE"""),47)</f>
        <v>47</v>
      </c>
      <c r="B48">
        <f ca="1">IFERROR(__xludf.DUMMYFUNCTION("""COMPUTED_VALUE"""),47)</f>
        <v>47</v>
      </c>
      <c r="C48" t="str">
        <f ca="1">IFERROR(__xludf.DUMMYFUNCTION("""COMPUTED_VALUE"""),"Gary Woodland")</f>
        <v>Gary Woodland</v>
      </c>
      <c r="D48" s="4">
        <f ca="1">IFERROR(__xludf.DUMMYFUNCTION("""COMPUTED_VALUE"""),27897326)</f>
        <v>27897326</v>
      </c>
    </row>
    <row r="49" spans="1:4" ht="12.75">
      <c r="A49">
        <f ca="1">IFERROR(__xludf.DUMMYFUNCTION("""COMPUTED_VALUE"""),48)</f>
        <v>48</v>
      </c>
      <c r="B49">
        <f ca="1">IFERROR(__xludf.DUMMYFUNCTION("""COMPUTED_VALUE"""),48)</f>
        <v>48</v>
      </c>
      <c r="C49" t="str">
        <f ca="1">IFERROR(__xludf.DUMMYFUNCTION("""COMPUTED_VALUE"""),"Nick Watney")</f>
        <v>Nick Watney</v>
      </c>
      <c r="D49" s="4">
        <f ca="1">IFERROR(__xludf.DUMMYFUNCTION("""COMPUTED_VALUE"""),27836101)</f>
        <v>27836101</v>
      </c>
    </row>
    <row r="50" spans="1:4" ht="12.75">
      <c r="A50">
        <f ca="1">IFERROR(__xludf.DUMMYFUNCTION("""COMPUTED_VALUE"""),49)</f>
        <v>49</v>
      </c>
      <c r="B50">
        <f ca="1">IFERROR(__xludf.DUMMYFUNCTION("""COMPUTED_VALUE"""),49)</f>
        <v>49</v>
      </c>
      <c r="C50" t="str">
        <f ca="1">IFERROR(__xludf.DUMMYFUNCTION("""COMPUTED_VALUE"""),"Scott Verplank")</f>
        <v>Scott Verplank</v>
      </c>
      <c r="D50" s="4">
        <f ca="1">IFERROR(__xludf.DUMMYFUNCTION("""COMPUTED_VALUE"""),27500225)</f>
        <v>27500225</v>
      </c>
    </row>
    <row r="51" spans="1:4" ht="12.75">
      <c r="A51">
        <f ca="1">IFERROR(__xludf.DUMMYFUNCTION("""COMPUTED_VALUE"""),50)</f>
        <v>50</v>
      </c>
      <c r="B51">
        <f ca="1">IFERROR(__xludf.DUMMYFUNCTION("""COMPUTED_VALUE"""),50)</f>
        <v>50</v>
      </c>
      <c r="C51" t="str">
        <f ca="1">IFERROR(__xludf.DUMMYFUNCTION("""COMPUTED_VALUE"""),"Robert Allenby")</f>
        <v>Robert Allenby</v>
      </c>
      <c r="D51" s="4">
        <f ca="1">IFERROR(__xludf.DUMMYFUNCTION("""COMPUTED_VALUE"""),27492076)</f>
        <v>27492076</v>
      </c>
    </row>
    <row r="52" spans="1:4" ht="12.75">
      <c r="A52">
        <f ca="1">IFERROR(__xludf.DUMMYFUNCTION("""COMPUTED_VALUE"""),51)</f>
        <v>51</v>
      </c>
      <c r="B52">
        <f ca="1">IFERROR(__xludf.DUMMYFUNCTION("""COMPUTED_VALUE"""),51)</f>
        <v>51</v>
      </c>
      <c r="C52" t="str">
        <f ca="1">IFERROR(__xludf.DUMMYFUNCTION("""COMPUTED_VALUE"""),"Jason Dufner")</f>
        <v>Jason Dufner</v>
      </c>
      <c r="D52" s="4">
        <f ca="1">IFERROR(__xludf.DUMMYFUNCTION("""COMPUTED_VALUE"""),27209341)</f>
        <v>27209341</v>
      </c>
    </row>
    <row r="53" spans="1:4" ht="12.75">
      <c r="A53">
        <f ca="1">IFERROR(__xludf.DUMMYFUNCTION("""COMPUTED_VALUE"""),52)</f>
        <v>52</v>
      </c>
      <c r="B53">
        <f ca="1">IFERROR(__xludf.DUMMYFUNCTION("""COMPUTED_VALUE"""),52)</f>
        <v>52</v>
      </c>
      <c r="C53" t="str">
        <f ca="1">IFERROR(__xludf.DUMMYFUNCTION("""COMPUTED_VALUE"""),"Chad Campbell")</f>
        <v>Chad Campbell</v>
      </c>
      <c r="D53" s="4">
        <f ca="1">IFERROR(__xludf.DUMMYFUNCTION("""COMPUTED_VALUE"""),26817362)</f>
        <v>26817362</v>
      </c>
    </row>
    <row r="54" spans="1:4" ht="12.75">
      <c r="A54">
        <f ca="1">IFERROR(__xludf.DUMMYFUNCTION("""COMPUTED_VALUE"""),53)</f>
        <v>53</v>
      </c>
      <c r="B54">
        <f ca="1">IFERROR(__xludf.DUMMYFUNCTION("""COMPUTED_VALUE"""),53)</f>
        <v>53</v>
      </c>
      <c r="C54" t="str">
        <f ca="1">IFERROR(__xludf.DUMMYFUNCTION("""COMPUTED_VALUE"""),"Pat Perez")</f>
        <v>Pat Perez</v>
      </c>
      <c r="D54" s="4">
        <f ca="1">IFERROR(__xludf.DUMMYFUNCTION("""COMPUTED_VALUE"""),26762995)</f>
        <v>26762995</v>
      </c>
    </row>
    <row r="55" spans="1:4" ht="12.75">
      <c r="A55">
        <f ca="1">IFERROR(__xludf.DUMMYFUNCTION("""COMPUTED_VALUE"""),54)</f>
        <v>54</v>
      </c>
      <c r="B55">
        <f ca="1">IFERROR(__xludf.DUMMYFUNCTION("""COMPUTED_VALUE"""),54)</f>
        <v>54</v>
      </c>
      <c r="C55" t="str">
        <f ca="1">IFERROR(__xludf.DUMMYFUNCTION("""COMPUTED_VALUE"""),"Ian Poulter")</f>
        <v>Ian Poulter</v>
      </c>
      <c r="D55" s="4">
        <f ca="1">IFERROR(__xludf.DUMMYFUNCTION("""COMPUTED_VALUE"""),26221389)</f>
        <v>26221389</v>
      </c>
    </row>
    <row r="56" spans="1:4" ht="12.75">
      <c r="A56">
        <f ca="1">IFERROR(__xludf.DUMMYFUNCTION("""COMPUTED_VALUE"""),55)</f>
        <v>55</v>
      </c>
      <c r="B56">
        <f ca="1">IFERROR(__xludf.DUMMYFUNCTION("""COMPUTED_VALUE"""),55)</f>
        <v>55</v>
      </c>
      <c r="C56" t="str">
        <f ca="1">IFERROR(__xludf.DUMMYFUNCTION("""COMPUTED_VALUE"""),"Jimmy Walker")</f>
        <v>Jimmy Walker</v>
      </c>
      <c r="D56" s="4">
        <f ca="1">IFERROR(__xludf.DUMMYFUNCTION("""COMPUTED_VALUE"""),25735603)</f>
        <v>25735603</v>
      </c>
    </row>
    <row r="57" spans="1:4" ht="12.75">
      <c r="A57">
        <f ca="1">IFERROR(__xludf.DUMMYFUNCTION("""COMPUTED_VALUE"""),56)</f>
        <v>56</v>
      </c>
      <c r="B57">
        <f ca="1">IFERROR(__xludf.DUMMYFUNCTION("""COMPUTED_VALUE"""),56)</f>
        <v>56</v>
      </c>
      <c r="C57" t="str">
        <f ca="1">IFERROR(__xludf.DUMMYFUNCTION("""COMPUTED_VALUE"""),"J.B. Holmes")</f>
        <v>J.B. Holmes</v>
      </c>
      <c r="D57" s="4">
        <f ca="1">IFERROR(__xludf.DUMMYFUNCTION("""COMPUTED_VALUE"""),25668834)</f>
        <v>25668834</v>
      </c>
    </row>
    <row r="58" spans="1:4" ht="12.75">
      <c r="A58">
        <f ca="1">IFERROR(__xludf.DUMMYFUNCTION("""COMPUTED_VALUE"""),57)</f>
        <v>57</v>
      </c>
      <c r="B58">
        <f ca="1">IFERROR(__xludf.DUMMYFUNCTION("""COMPUTED_VALUE"""),57)</f>
        <v>57</v>
      </c>
      <c r="C58" t="str">
        <f ca="1">IFERROR(__xludf.DUMMYFUNCTION("""COMPUTED_VALUE"""),"Keegan Bradley")</f>
        <v>Keegan Bradley</v>
      </c>
      <c r="D58" s="4">
        <f ca="1">IFERROR(__xludf.DUMMYFUNCTION("""COMPUTED_VALUE"""),25667717)</f>
        <v>25667717</v>
      </c>
    </row>
    <row r="59" spans="1:4" ht="12.75">
      <c r="A59">
        <f ca="1">IFERROR(__xludf.DUMMYFUNCTION("""COMPUTED_VALUE"""),58)</f>
        <v>58</v>
      </c>
      <c r="B59">
        <f ca="1">IFERROR(__xludf.DUMMYFUNCTION("""COMPUTED_VALUE"""),58)</f>
        <v>58</v>
      </c>
      <c r="C59" t="str">
        <f ca="1">IFERROR(__xludf.DUMMYFUNCTION("""COMPUTED_VALUE"""),"Padraig Harrington")</f>
        <v>Padraig Harrington</v>
      </c>
      <c r="D59" s="4">
        <f ca="1">IFERROR(__xludf.DUMMYFUNCTION("""COMPUTED_VALUE"""),25013154)</f>
        <v>25013154</v>
      </c>
    </row>
    <row r="60" spans="1:4" ht="12.75">
      <c r="A60">
        <f ca="1">IFERROR(__xludf.DUMMYFUNCTION("""COMPUTED_VALUE"""),59)</f>
        <v>59</v>
      </c>
      <c r="B60">
        <f ca="1">IFERROR(__xludf.DUMMYFUNCTION("""COMPUTED_VALUE"""),59)</f>
        <v>59</v>
      </c>
      <c r="C60" t="str">
        <f ca="1">IFERROR(__xludf.DUMMYFUNCTION("""COMPUTED_VALUE"""),"Billy Horschel")</f>
        <v>Billy Horschel</v>
      </c>
      <c r="D60" s="4">
        <f ca="1">IFERROR(__xludf.DUMMYFUNCTION("""COMPUTED_VALUE"""),24523778)</f>
        <v>24523778</v>
      </c>
    </row>
    <row r="61" spans="1:4" ht="12.75">
      <c r="A61">
        <f ca="1">IFERROR(__xludf.DUMMYFUNCTION("""COMPUTED_VALUE"""),60)</f>
        <v>60</v>
      </c>
      <c r="B61">
        <f ca="1">IFERROR(__xludf.DUMMYFUNCTION("""COMPUTED_VALUE"""),60)</f>
        <v>60</v>
      </c>
      <c r="C61" t="str">
        <f ca="1">IFERROR(__xludf.DUMMYFUNCTION("""COMPUTED_VALUE"""),"Mark Calcavecchia")</f>
        <v>Mark Calcavecchia</v>
      </c>
      <c r="D61" s="4">
        <f ca="1">IFERROR(__xludf.DUMMYFUNCTION("""COMPUTED_VALUE"""),24216436)</f>
        <v>24216436</v>
      </c>
    </row>
    <row r="62" spans="1:4" ht="12.75">
      <c r="A62">
        <f ca="1">IFERROR(__xludf.DUMMYFUNCTION("""COMPUTED_VALUE"""),61)</f>
        <v>61</v>
      </c>
      <c r="B62">
        <f ca="1">IFERROR(__xludf.DUMMYFUNCTION("""COMPUTED_VALUE"""),61)</f>
        <v>61</v>
      </c>
      <c r="C62" t="str">
        <f ca="1">IFERROR(__xludf.DUMMYFUNCTION("""COMPUTED_VALUE"""),"Sean O'Hair")</f>
        <v>Sean O'Hair</v>
      </c>
      <c r="D62" s="4">
        <f ca="1">IFERROR(__xludf.DUMMYFUNCTION("""COMPUTED_VALUE"""),24025950)</f>
        <v>24025950</v>
      </c>
    </row>
    <row r="63" spans="1:4" ht="12.75">
      <c r="A63">
        <f ca="1">IFERROR(__xludf.DUMMYFUNCTION("""COMPUTED_VALUE"""),62)</f>
        <v>62</v>
      </c>
      <c r="B63">
        <f ca="1">IFERROR(__xludf.DUMMYFUNCTION("""COMPUTED_VALUE"""),62)</f>
        <v>62</v>
      </c>
      <c r="C63" t="str">
        <f ca="1">IFERROR(__xludf.DUMMYFUNCTION("""COMPUTED_VALUE"""),"Tim Clark")</f>
        <v>Tim Clark</v>
      </c>
      <c r="D63" s="4">
        <f ca="1">IFERROR(__xludf.DUMMYFUNCTION("""COMPUTED_VALUE"""),23942321)</f>
        <v>23942321</v>
      </c>
    </row>
    <row r="64" spans="1:4" ht="12.75">
      <c r="A64">
        <f ca="1">IFERROR(__xludf.DUMMYFUNCTION("""COMPUTED_VALUE"""),63)</f>
        <v>63</v>
      </c>
      <c r="B64">
        <f ca="1">IFERROR(__xludf.DUMMYFUNCTION("""COMPUTED_VALUE"""),63)</f>
        <v>63</v>
      </c>
      <c r="C64" t="str">
        <f ca="1">IFERROR(__xludf.DUMMYFUNCTION("""COMPUTED_VALUE"""),"Lucas Glover")</f>
        <v>Lucas Glover</v>
      </c>
      <c r="D64" s="4">
        <f ca="1">IFERROR(__xludf.DUMMYFUNCTION("""COMPUTED_VALUE"""),23656710)</f>
        <v>23656710</v>
      </c>
    </row>
    <row r="65" spans="1:4" ht="12.75">
      <c r="A65">
        <f ca="1">IFERROR(__xludf.DUMMYFUNCTION("""COMPUTED_VALUE"""),64)</f>
        <v>64</v>
      </c>
      <c r="B65">
        <f ca="1">IFERROR(__xludf.DUMMYFUNCTION("""COMPUTED_VALUE"""),64)</f>
        <v>64</v>
      </c>
      <c r="C65" t="str">
        <f ca="1">IFERROR(__xludf.DUMMYFUNCTION("""COMPUTED_VALUE"""),"Brian Gay")</f>
        <v>Brian Gay</v>
      </c>
      <c r="D65" s="4">
        <f ca="1">IFERROR(__xludf.DUMMYFUNCTION("""COMPUTED_VALUE"""),23622945)</f>
        <v>23622945</v>
      </c>
    </row>
    <row r="66" spans="1:4" ht="12.75">
      <c r="A66">
        <f ca="1">IFERROR(__xludf.DUMMYFUNCTION("""COMPUTED_VALUE"""),65)</f>
        <v>65</v>
      </c>
      <c r="B66">
        <f ca="1">IFERROR(__xludf.DUMMYFUNCTION("""COMPUTED_VALUE"""),65)</f>
        <v>65</v>
      </c>
      <c r="C66" t="str">
        <f ca="1">IFERROR(__xludf.DUMMYFUNCTION("""COMPUTED_VALUE"""),"Jon Rahm")</f>
        <v>Jon Rahm</v>
      </c>
      <c r="D66" s="4">
        <f ca="1">IFERROR(__xludf.DUMMYFUNCTION("""COMPUTED_VALUE"""),23014721)</f>
        <v>23014721</v>
      </c>
    </row>
    <row r="67" spans="1:4" ht="12.75">
      <c r="A67">
        <f ca="1">IFERROR(__xludf.DUMMYFUNCTION("""COMPUTED_VALUE"""),66)</f>
        <v>66</v>
      </c>
      <c r="B67">
        <f ca="1">IFERROR(__xludf.DUMMYFUNCTION("""COMPUTED_VALUE"""),66)</f>
        <v>66</v>
      </c>
      <c r="C67" t="str">
        <f ca="1">IFERROR(__xludf.DUMMYFUNCTION("""COMPUTED_VALUE"""),"Fred Couples")</f>
        <v>Fred Couples</v>
      </c>
      <c r="D67" s="4">
        <f ca="1">IFERROR(__xludf.DUMMYFUNCTION("""COMPUTED_VALUE"""),22814254)</f>
        <v>22814254</v>
      </c>
    </row>
    <row r="68" spans="1:4" ht="12.75">
      <c r="A68">
        <f ca="1">IFERROR(__xludf.DUMMYFUNCTION("""COMPUTED_VALUE"""),67)</f>
        <v>67</v>
      </c>
      <c r="B68">
        <f ca="1">IFERROR(__xludf.DUMMYFUNCTION("""COMPUTED_VALUE"""),67)</f>
        <v>67</v>
      </c>
      <c r="C68" t="str">
        <f ca="1">IFERROR(__xludf.DUMMYFUNCTION("""COMPUTED_VALUE"""),"Carl Pettersson")</f>
        <v>Carl Pettersson</v>
      </c>
      <c r="D68" s="4">
        <f ca="1">IFERROR(__xludf.DUMMYFUNCTION("""COMPUTED_VALUE"""),22688674)</f>
        <v>22688674</v>
      </c>
    </row>
    <row r="69" spans="1:4" ht="12.75">
      <c r="A69">
        <f ca="1">IFERROR(__xludf.DUMMYFUNCTION("""COMPUTED_VALUE"""),68)</f>
        <v>68</v>
      </c>
      <c r="B69">
        <f ca="1">IFERROR(__xludf.DUMMYFUNCTION("""COMPUTED_VALUE"""),68)</f>
        <v>68</v>
      </c>
      <c r="C69" t="str">
        <f ca="1">IFERROR(__xludf.DUMMYFUNCTION("""COMPUTED_VALUE"""),"Chris DiMarco")</f>
        <v>Chris DiMarco</v>
      </c>
      <c r="D69" s="4">
        <f ca="1">IFERROR(__xludf.DUMMYFUNCTION("""COMPUTED_VALUE"""),22656443)</f>
        <v>22656443</v>
      </c>
    </row>
    <row r="70" spans="1:4" ht="12.75">
      <c r="A70">
        <f ca="1">IFERROR(__xludf.DUMMYFUNCTION("""COMPUTED_VALUE"""),69)</f>
        <v>69</v>
      </c>
      <c r="B70">
        <f ca="1">IFERROR(__xludf.DUMMYFUNCTION("""COMPUTED_VALUE"""),69)</f>
        <v>69</v>
      </c>
      <c r="C70" t="str">
        <f ca="1">IFERROR(__xludf.DUMMYFUNCTION("""COMPUTED_VALUE"""),"Louis Oosthuizen")</f>
        <v>Louis Oosthuizen</v>
      </c>
      <c r="D70" s="4">
        <f ca="1">IFERROR(__xludf.DUMMYFUNCTION("""COMPUTED_VALUE"""),22286636)</f>
        <v>22286636</v>
      </c>
    </row>
    <row r="71" spans="1:4" ht="12.75">
      <c r="A71">
        <f ca="1">IFERROR(__xludf.DUMMYFUNCTION("""COMPUTED_VALUE"""),70)</f>
        <v>70</v>
      </c>
      <c r="B71">
        <f ca="1">IFERROR(__xludf.DUMMYFUNCTION("""COMPUTED_VALUE"""),70)</f>
        <v>70</v>
      </c>
      <c r="C71" t="str">
        <f ca="1">IFERROR(__xludf.DUMMYFUNCTION("""COMPUTED_VALUE"""),"Kevin Kisner")</f>
        <v>Kevin Kisner</v>
      </c>
      <c r="D71" s="4">
        <f ca="1">IFERROR(__xludf.DUMMYFUNCTION("""COMPUTED_VALUE"""),22235290)</f>
        <v>22235290</v>
      </c>
    </row>
    <row r="72" spans="1:4" ht="12.75">
      <c r="A72">
        <f ca="1">IFERROR(__xludf.DUMMYFUNCTION("""COMPUTED_VALUE"""),71)</f>
        <v>71</v>
      </c>
      <c r="B72">
        <f ca="1">IFERROR(__xludf.DUMMYFUNCTION("""COMPUTED_VALUE"""),71)</f>
        <v>71</v>
      </c>
      <c r="C72" t="str">
        <f ca="1">IFERROR(__xludf.DUMMYFUNCTION("""COMPUTED_VALUE"""),"Kevin Streelman")</f>
        <v>Kevin Streelman</v>
      </c>
      <c r="D72" s="4">
        <f ca="1">IFERROR(__xludf.DUMMYFUNCTION("""COMPUTED_VALUE"""),21782116)</f>
        <v>21782116</v>
      </c>
    </row>
    <row r="73" spans="1:4" ht="12.75">
      <c r="A73">
        <f ca="1">IFERROR(__xludf.DUMMYFUNCTION("""COMPUTED_VALUE"""),72)</f>
        <v>72</v>
      </c>
      <c r="B73">
        <f ca="1">IFERROR(__xludf.DUMMYFUNCTION("""COMPUTED_VALUE"""),72)</f>
        <v>72</v>
      </c>
      <c r="C73" t="str">
        <f ca="1">IFERROR(__xludf.DUMMYFUNCTION("""COMPUTED_VALUE"""),"Aaron Baddeley")</f>
        <v>Aaron Baddeley</v>
      </c>
      <c r="D73" s="4">
        <f ca="1">IFERROR(__xludf.DUMMYFUNCTION("""COMPUTED_VALUE"""),21735103)</f>
        <v>21735103</v>
      </c>
    </row>
    <row r="74" spans="1:4" ht="12.75">
      <c r="A74">
        <f ca="1">IFERROR(__xludf.DUMMYFUNCTION("""COMPUTED_VALUE"""),73)</f>
        <v>73</v>
      </c>
      <c r="B74">
        <f ca="1">IFERROR(__xludf.DUMMYFUNCTION("""COMPUTED_VALUE"""),73)</f>
        <v>73</v>
      </c>
      <c r="C74" t="str">
        <f ca="1">IFERROR(__xludf.DUMMYFUNCTION("""COMPUTED_VALUE"""),"Bob Estes")</f>
        <v>Bob Estes</v>
      </c>
      <c r="D74" s="4">
        <f ca="1">IFERROR(__xludf.DUMMYFUNCTION("""COMPUTED_VALUE"""),21628540)</f>
        <v>21628540</v>
      </c>
    </row>
    <row r="75" spans="1:4" ht="12.75">
      <c r="A75">
        <f ca="1">IFERROR(__xludf.DUMMYFUNCTION("""COMPUTED_VALUE"""),74)</f>
        <v>74</v>
      </c>
      <c r="B75">
        <f ca="1">IFERROR(__xludf.DUMMYFUNCTION("""COMPUTED_VALUE"""),74)</f>
        <v>74</v>
      </c>
      <c r="C75" t="str">
        <f ca="1">IFERROR(__xludf.DUMMYFUNCTION("""COMPUTED_VALUE"""),"Ben Crane")</f>
        <v>Ben Crane</v>
      </c>
      <c r="D75" s="4">
        <f ca="1">IFERROR(__xludf.DUMMYFUNCTION("""COMPUTED_VALUE"""),21626587)</f>
        <v>21626587</v>
      </c>
    </row>
    <row r="76" spans="1:4" ht="12.75">
      <c r="A76">
        <f ca="1">IFERROR(__xludf.DUMMYFUNCTION("""COMPUTED_VALUE"""),75)</f>
        <v>75</v>
      </c>
      <c r="B76">
        <f ca="1">IFERROR(__xludf.DUMMYFUNCTION("""COMPUTED_VALUE"""),75)</f>
        <v>75</v>
      </c>
      <c r="C76" t="str">
        <f ca="1">IFERROR(__xludf.DUMMYFUNCTION("""COMPUTED_VALUE"""),"John Senden")</f>
        <v>John Senden</v>
      </c>
      <c r="D76" s="4">
        <f ca="1">IFERROR(__xludf.DUMMYFUNCTION("""COMPUTED_VALUE"""),21591478)</f>
        <v>21591478</v>
      </c>
    </row>
    <row r="77" spans="1:4" ht="12.75">
      <c r="A77">
        <f ca="1">IFERROR(__xludf.DUMMYFUNCTION("""COMPUTED_VALUE"""),76)</f>
        <v>76</v>
      </c>
      <c r="B77">
        <f ca="1">IFERROR(__xludf.DUMMYFUNCTION("""COMPUTED_VALUE"""),76)</f>
        <v>76</v>
      </c>
      <c r="C77" t="str">
        <f ca="1">IFERROR(__xludf.DUMMYFUNCTION("""COMPUTED_VALUE"""),"Tom Lehman")</f>
        <v>Tom Lehman</v>
      </c>
      <c r="D77" s="4">
        <f ca="1">IFERROR(__xludf.DUMMYFUNCTION("""COMPUTED_VALUE"""),21509830)</f>
        <v>21509830</v>
      </c>
    </row>
    <row r="78" spans="1:4" ht="12.75">
      <c r="A78">
        <f ca="1">IFERROR(__xludf.DUMMYFUNCTION("""COMPUTED_VALUE"""),77)</f>
        <v>77</v>
      </c>
      <c r="B78">
        <f ca="1">IFERROR(__xludf.DUMMYFUNCTION("""COMPUTED_VALUE"""),77)</f>
        <v>77</v>
      </c>
      <c r="C78" t="str">
        <f ca="1">IFERROR(__xludf.DUMMYFUNCTION("""COMPUTED_VALUE"""),"Fred Funk")</f>
        <v>Fred Funk</v>
      </c>
      <c r="D78" s="4">
        <f ca="1">IFERROR(__xludf.DUMMYFUNCTION("""COMPUTED_VALUE"""),21310437)</f>
        <v>21310437</v>
      </c>
    </row>
    <row r="79" spans="1:4" ht="12.75">
      <c r="A79">
        <f ca="1">IFERROR(__xludf.DUMMYFUNCTION("""COMPUTED_VALUE"""),78)</f>
        <v>78</v>
      </c>
      <c r="B79">
        <f ca="1">IFERROR(__xludf.DUMMYFUNCTION("""COMPUTED_VALUE"""),78)</f>
        <v>78</v>
      </c>
      <c r="C79" t="str">
        <f ca="1">IFERROR(__xludf.DUMMYFUNCTION("""COMPUTED_VALUE"""),"Bryson DeChambeau")</f>
        <v>Bryson DeChambeau</v>
      </c>
      <c r="D79" s="4">
        <f ca="1">IFERROR(__xludf.DUMMYFUNCTION("""COMPUTED_VALUE"""),21013641)</f>
        <v>21013641</v>
      </c>
    </row>
    <row r="80" spans="1:4" ht="12.75">
      <c r="A80">
        <f ca="1">IFERROR(__xludf.DUMMYFUNCTION("""COMPUTED_VALUE"""),79)</f>
        <v>79</v>
      </c>
      <c r="B80">
        <f ca="1">IFERROR(__xludf.DUMMYFUNCTION("""COMPUTED_VALUE"""),79)</f>
        <v>79</v>
      </c>
      <c r="C80" t="str">
        <f ca="1">IFERROR(__xludf.DUMMYFUNCTION("""COMPUTED_VALUE"""),"Scott Piercy")</f>
        <v>Scott Piercy</v>
      </c>
      <c r="D80" s="4">
        <f ca="1">IFERROR(__xludf.DUMMYFUNCTION("""COMPUTED_VALUE"""),20678085)</f>
        <v>20678085</v>
      </c>
    </row>
    <row r="81" spans="1:4" ht="12.75">
      <c r="A81">
        <f ca="1">IFERROR(__xludf.DUMMYFUNCTION("""COMPUTED_VALUE"""),80)</f>
        <v>80</v>
      </c>
      <c r="B81">
        <f ca="1">IFERROR(__xludf.DUMMYFUNCTION("""COMPUTED_VALUE"""),80)</f>
        <v>80</v>
      </c>
      <c r="C81" t="str">
        <f ca="1">IFERROR(__xludf.DUMMYFUNCTION("""COMPUTED_VALUE"""),"Nick Price")</f>
        <v>Nick Price</v>
      </c>
      <c r="D81" s="4">
        <f ca="1">IFERROR(__xludf.DUMMYFUNCTION("""COMPUTED_VALUE"""),20576104)</f>
        <v>20576104</v>
      </c>
    </row>
    <row r="82" spans="1:4" ht="12.75">
      <c r="A82">
        <f ca="1">IFERROR(__xludf.DUMMYFUNCTION("""COMPUTED_VALUE"""),81)</f>
        <v>81</v>
      </c>
      <c r="B82">
        <f ca="1">IFERROR(__xludf.DUMMYFUNCTION("""COMPUTED_VALUE"""),81)</f>
        <v>81</v>
      </c>
      <c r="C82" t="str">
        <f ca="1">IFERROR(__xludf.DUMMYFUNCTION("""COMPUTED_VALUE"""),"Bo Van Pelt")</f>
        <v>Bo Van Pelt</v>
      </c>
      <c r="D82" s="4">
        <f ca="1">IFERROR(__xludf.DUMMYFUNCTION("""COMPUTED_VALUE"""),20477726)</f>
        <v>20477726</v>
      </c>
    </row>
    <row r="83" spans="1:4" ht="12.75">
      <c r="A83">
        <f ca="1">IFERROR(__xludf.DUMMYFUNCTION("""COMPUTED_VALUE"""),82)</f>
        <v>82</v>
      </c>
      <c r="B83">
        <f ca="1">IFERROR(__xludf.DUMMYFUNCTION("""COMPUTED_VALUE"""),82)</f>
        <v>82</v>
      </c>
      <c r="C83" t="str">
        <f ca="1">IFERROR(__xludf.DUMMYFUNCTION("""COMPUTED_VALUE"""),"Billy Mayfair")</f>
        <v>Billy Mayfair</v>
      </c>
      <c r="D83" s="4">
        <f ca="1">IFERROR(__xludf.DUMMYFUNCTION("""COMPUTED_VALUE"""),20303642)</f>
        <v>20303642</v>
      </c>
    </row>
    <row r="84" spans="1:4" ht="12.75">
      <c r="A84">
        <f ca="1">IFERROR(__xludf.DUMMYFUNCTION("""COMPUTED_VALUE"""),83)</f>
        <v>83</v>
      </c>
      <c r="B84">
        <f ca="1">IFERROR(__xludf.DUMMYFUNCTION("""COMPUTED_VALUE"""),83)</f>
        <v>83</v>
      </c>
      <c r="C84" t="str">
        <f ca="1">IFERROR(__xludf.DUMMYFUNCTION("""COMPUTED_VALUE"""),"Lee Westwood")</f>
        <v>Lee Westwood</v>
      </c>
      <c r="D84" s="4">
        <f ca="1">IFERROR(__xludf.DUMMYFUNCTION("""COMPUTED_VALUE"""),20234841)</f>
        <v>20234841</v>
      </c>
    </row>
    <row r="85" spans="1:4" ht="12.75">
      <c r="A85">
        <f ca="1">IFERROR(__xludf.DUMMYFUNCTION("""COMPUTED_VALUE"""),84)</f>
        <v>84</v>
      </c>
      <c r="B85">
        <f ca="1">IFERROR(__xludf.DUMMYFUNCTION("""COMPUTED_VALUE"""),84)</f>
        <v>84</v>
      </c>
      <c r="C85" t="str">
        <f ca="1">IFERROR(__xludf.DUMMYFUNCTION("""COMPUTED_VALUE"""),"Tony Finau")</f>
        <v>Tony Finau</v>
      </c>
      <c r="D85" s="4">
        <f ca="1">IFERROR(__xludf.DUMMYFUNCTION("""COMPUTED_VALUE"""),20198056)</f>
        <v>20198056</v>
      </c>
    </row>
    <row r="86" spans="1:4" ht="12.75">
      <c r="A86">
        <f ca="1">IFERROR(__xludf.DUMMYFUNCTION("""COMPUTED_VALUE"""),85)</f>
        <v>85</v>
      </c>
      <c r="B86">
        <f ca="1">IFERROR(__xludf.DUMMYFUNCTION("""COMPUTED_VALUE"""),85)</f>
        <v>85</v>
      </c>
      <c r="C86" t="str">
        <f ca="1">IFERROR(__xludf.DUMMYFUNCTION("""COMPUTED_VALUE"""),"Stephen Ames")</f>
        <v>Stephen Ames</v>
      </c>
      <c r="D86" s="4">
        <f ca="1">IFERROR(__xludf.DUMMYFUNCTION("""COMPUTED_VALUE"""),19718160)</f>
        <v>19718160</v>
      </c>
    </row>
    <row r="87" spans="1:4" ht="12.75">
      <c r="A87">
        <f ca="1">IFERROR(__xludf.DUMMYFUNCTION("""COMPUTED_VALUE"""),86)</f>
        <v>86</v>
      </c>
      <c r="B87">
        <f ca="1">IFERROR(__xludf.DUMMYFUNCTION("""COMPUTED_VALUE"""),86)</f>
        <v>86</v>
      </c>
      <c r="C87" t="str">
        <f ca="1">IFERROR(__xludf.DUMMYFUNCTION("""COMPUTED_VALUE"""),"Camilo Villegas")</f>
        <v>Camilo Villegas</v>
      </c>
      <c r="D87" s="4">
        <f ca="1">IFERROR(__xludf.DUMMYFUNCTION("""COMPUTED_VALUE"""),19639750)</f>
        <v>19639750</v>
      </c>
    </row>
    <row r="88" spans="1:4" ht="12.75">
      <c r="A88">
        <f ca="1">IFERROR(__xludf.DUMMYFUNCTION("""COMPUTED_VALUE"""),87)</f>
        <v>87</v>
      </c>
      <c r="B88">
        <f ca="1">IFERROR(__xludf.DUMMYFUNCTION("""COMPUTED_VALUE"""),87)</f>
        <v>87</v>
      </c>
      <c r="C88" t="str">
        <f ca="1">IFERROR(__xludf.DUMMYFUNCTION("""COMPUTED_VALUE"""),"Xander Schauffele")</f>
        <v>Xander Schauffele</v>
      </c>
      <c r="D88" s="4">
        <f ca="1">IFERROR(__xludf.DUMMYFUNCTION("""COMPUTED_VALUE"""),19435155)</f>
        <v>19435155</v>
      </c>
    </row>
    <row r="89" spans="1:4" ht="12.75">
      <c r="A89">
        <f ca="1">IFERROR(__xludf.DUMMYFUNCTION("""COMPUTED_VALUE"""),88)</f>
        <v>88</v>
      </c>
      <c r="B89">
        <f ca="1">IFERROR(__xludf.DUMMYFUNCTION("""COMPUTED_VALUE"""),88)</f>
        <v>88</v>
      </c>
      <c r="C89" t="str">
        <f ca="1">IFERROR(__xludf.DUMMYFUNCTION("""COMPUTED_VALUE"""),"Jonathan Byrd")</f>
        <v>Jonathan Byrd</v>
      </c>
      <c r="D89" s="4">
        <f ca="1">IFERROR(__xludf.DUMMYFUNCTION("""COMPUTED_VALUE"""),19400345)</f>
        <v>19400345</v>
      </c>
    </row>
    <row r="90" spans="1:4" ht="12.75">
      <c r="A90">
        <f ca="1">IFERROR(__xludf.DUMMYFUNCTION("""COMPUTED_VALUE"""),89)</f>
        <v>89</v>
      </c>
      <c r="B90">
        <f ca="1">IFERROR(__xludf.DUMMYFUNCTION("""COMPUTED_VALUE"""),89)</f>
        <v>89</v>
      </c>
      <c r="C90" t="str">
        <f ca="1">IFERROR(__xludf.DUMMYFUNCTION("""COMPUTED_VALUE"""),"Tim Herron")</f>
        <v>Tim Herron</v>
      </c>
      <c r="D90" s="4">
        <f ca="1">IFERROR(__xludf.DUMMYFUNCTION("""COMPUTED_VALUE"""),19382388)</f>
        <v>19382388</v>
      </c>
    </row>
    <row r="91" spans="1:4" ht="12.75">
      <c r="A91">
        <f ca="1">IFERROR(__xludf.DUMMYFUNCTION("""COMPUTED_VALUE"""),90)</f>
        <v>90</v>
      </c>
      <c r="B91">
        <f ca="1">IFERROR(__xludf.DUMMYFUNCTION("""COMPUTED_VALUE"""),90)</f>
        <v>90</v>
      </c>
      <c r="C91" t="str">
        <f ca="1">IFERROR(__xludf.DUMMYFUNCTION("""COMPUTED_VALUE"""),"Jeff Maggert")</f>
        <v>Jeff Maggert</v>
      </c>
      <c r="D91" s="4">
        <f ca="1">IFERROR(__xludf.DUMMYFUNCTION("""COMPUTED_VALUE"""),19364566)</f>
        <v>19364566</v>
      </c>
    </row>
    <row r="92" spans="1:4" ht="12.75">
      <c r="A92">
        <f ca="1">IFERROR(__xludf.DUMMYFUNCTION("""COMPUTED_VALUE"""),91)</f>
        <v>91</v>
      </c>
      <c r="B92">
        <f ca="1">IFERROR(__xludf.DUMMYFUNCTION("""COMPUTED_VALUE"""),91)</f>
        <v>91</v>
      </c>
      <c r="C92" t="str">
        <f ca="1">IFERROR(__xludf.DUMMYFUNCTION("""COMPUTED_VALUE"""),"Martin Laird")</f>
        <v>Martin Laird</v>
      </c>
      <c r="D92" s="4">
        <f ca="1">IFERROR(__xludf.DUMMYFUNCTION("""COMPUTED_VALUE"""),19065915)</f>
        <v>19065915</v>
      </c>
    </row>
    <row r="93" spans="1:4" ht="12.75">
      <c r="A93">
        <f ca="1">IFERROR(__xludf.DUMMYFUNCTION("""COMPUTED_VALUE"""),92)</f>
        <v>92</v>
      </c>
      <c r="B93">
        <f ca="1">IFERROR(__xludf.DUMMYFUNCTION("""COMPUTED_VALUE"""),92)</f>
        <v>92</v>
      </c>
      <c r="C93" t="str">
        <f ca="1">IFERROR(__xludf.DUMMYFUNCTION("""COMPUTED_VALUE"""),"David Duval")</f>
        <v>David Duval</v>
      </c>
      <c r="D93" s="4">
        <f ca="1">IFERROR(__xludf.DUMMYFUNCTION("""COMPUTED_VALUE"""),18983931)</f>
        <v>18983931</v>
      </c>
    </row>
    <row r="94" spans="1:4" ht="12.75">
      <c r="A94">
        <f ca="1">IFERROR(__xludf.DUMMYFUNCTION("""COMPUTED_VALUE"""),93)</f>
        <v>93</v>
      </c>
      <c r="B94">
        <f ca="1">IFERROR(__xludf.DUMMYFUNCTION("""COMPUTED_VALUE"""),93)</f>
        <v>93</v>
      </c>
      <c r="C94" t="str">
        <f ca="1">IFERROR(__xludf.DUMMYFUNCTION("""COMPUTED_VALUE"""),"Scott Hoch")</f>
        <v>Scott Hoch</v>
      </c>
      <c r="D94" s="4">
        <f ca="1">IFERROR(__xludf.DUMMYFUNCTION("""COMPUTED_VALUE"""),18530156)</f>
        <v>18530156</v>
      </c>
    </row>
    <row r="95" spans="1:4" ht="12.75">
      <c r="A95">
        <f ca="1">IFERROR(__xludf.DUMMYFUNCTION("""COMPUTED_VALUE"""),94)</f>
        <v>94</v>
      </c>
      <c r="B95">
        <f ca="1">IFERROR(__xludf.DUMMYFUNCTION("""COMPUTED_VALUE"""),94)</f>
        <v>94</v>
      </c>
      <c r="C95" t="str">
        <f ca="1">IFERROR(__xludf.DUMMYFUNCTION("""COMPUTED_VALUE"""),"John Rollins")</f>
        <v>John Rollins</v>
      </c>
      <c r="D95" s="4">
        <f ca="1">IFERROR(__xludf.DUMMYFUNCTION("""COMPUTED_VALUE"""),18446947)</f>
        <v>18446947</v>
      </c>
    </row>
    <row r="96" spans="1:4" ht="12.75">
      <c r="A96">
        <f ca="1">IFERROR(__xludf.DUMMYFUNCTION("""COMPUTED_VALUE"""),95)</f>
        <v>95</v>
      </c>
      <c r="B96">
        <f ca="1">IFERROR(__xludf.DUMMYFUNCTION("""COMPUTED_VALUE"""),95)</f>
        <v>95</v>
      </c>
      <c r="C96" t="str">
        <f ca="1">IFERROR(__xludf.DUMMYFUNCTION("""COMPUTED_VALUE"""),"Vaughn Taylor")</f>
        <v>Vaughn Taylor</v>
      </c>
      <c r="D96" s="4">
        <f ca="1">IFERROR(__xludf.DUMMYFUNCTION("""COMPUTED_VALUE"""),18387996)</f>
        <v>18387996</v>
      </c>
    </row>
    <row r="97" spans="1:4" ht="12.75">
      <c r="A97">
        <f ca="1">IFERROR(__xludf.DUMMYFUNCTION("""COMPUTED_VALUE"""),96)</f>
        <v>96</v>
      </c>
      <c r="B97">
        <f ca="1">IFERROR(__xludf.DUMMYFUNCTION("""COMPUTED_VALUE"""),96)</f>
        <v>96</v>
      </c>
      <c r="C97" t="str">
        <f ca="1">IFERROR(__xludf.DUMMYFUNCTION("""COMPUTED_VALUE"""),"Graeme McDowell")</f>
        <v>Graeme McDowell</v>
      </c>
      <c r="D97" s="4">
        <f ca="1">IFERROR(__xludf.DUMMYFUNCTION("""COMPUTED_VALUE"""),18381873)</f>
        <v>18381873</v>
      </c>
    </row>
    <row r="98" spans="1:4" ht="12.75">
      <c r="A98">
        <f ca="1">IFERROR(__xludf.DUMMYFUNCTION("""COMPUTED_VALUE"""),97)</f>
        <v>97</v>
      </c>
      <c r="B98">
        <f ca="1">IFERROR(__xludf.DUMMYFUNCTION("""COMPUTED_VALUE"""),97)</f>
        <v>97</v>
      </c>
      <c r="C98" t="str">
        <f ca="1">IFERROR(__xludf.DUMMYFUNCTION("""COMPUTED_VALUE"""),"Steve Flesch")</f>
        <v>Steve Flesch</v>
      </c>
      <c r="D98" s="4">
        <f ca="1">IFERROR(__xludf.DUMMYFUNCTION("""COMPUTED_VALUE"""),18299945)</f>
        <v>18299945</v>
      </c>
    </row>
    <row r="99" spans="1:4" ht="12.75">
      <c r="A99">
        <f ca="1">IFERROR(__xludf.DUMMYFUNCTION("""COMPUTED_VALUE"""),98)</f>
        <v>98</v>
      </c>
      <c r="B99">
        <f ca="1">IFERROR(__xludf.DUMMYFUNCTION("""COMPUTED_VALUE"""),98)</f>
        <v>98</v>
      </c>
      <c r="C99" t="str">
        <f ca="1">IFERROR(__xludf.DUMMYFUNCTION("""COMPUTED_VALUE"""),"Freddie Jacobson")</f>
        <v>Freddie Jacobson</v>
      </c>
      <c r="D99" s="4">
        <f ca="1">IFERROR(__xludf.DUMMYFUNCTION("""COMPUTED_VALUE"""),18191698)</f>
        <v>18191698</v>
      </c>
    </row>
    <row r="100" spans="1:4" ht="12.75">
      <c r="A100">
        <f ca="1">IFERROR(__xludf.DUMMYFUNCTION("""COMPUTED_VALUE"""),99)</f>
        <v>99</v>
      </c>
      <c r="B100">
        <f ca="1">IFERROR(__xludf.DUMMYFUNCTION("""COMPUTED_VALUE"""),99)</f>
        <v>99</v>
      </c>
      <c r="C100" t="str">
        <f ca="1">IFERROR(__xludf.DUMMYFUNCTION("""COMPUTED_VALUE"""),"Jeff Sluman")</f>
        <v>Jeff Sluman</v>
      </c>
      <c r="D100" s="4">
        <f ca="1">IFERROR(__xludf.DUMMYFUNCTION("""COMPUTED_VALUE"""),18165266)</f>
        <v>18165266</v>
      </c>
    </row>
    <row r="101" spans="1:4" ht="12.75">
      <c r="A101">
        <f ca="1">IFERROR(__xludf.DUMMYFUNCTION("""COMPUTED_VALUE"""),100)</f>
        <v>100</v>
      </c>
      <c r="B101">
        <f ca="1">IFERROR(__xludf.DUMMYFUNCTION("""COMPUTED_VALUE"""),100)</f>
        <v>100</v>
      </c>
      <c r="C101" t="str">
        <f ca="1">IFERROR(__xludf.DUMMYFUNCTION("""COMPUTED_VALUE"""),"Charl Schwartzel")</f>
        <v>Charl Schwartzel</v>
      </c>
      <c r="D101" s="4">
        <f ca="1">IFERROR(__xludf.DUMMYFUNCTION("""COMPUTED_VALUE"""),17972803)</f>
        <v>17972803</v>
      </c>
    </row>
    <row r="102" spans="1:4" ht="12.75">
      <c r="A102">
        <f ca="1">IFERROR(__xludf.DUMMYFUNCTION("""COMPUTED_VALUE"""),101)</f>
        <v>101</v>
      </c>
      <c r="B102">
        <f ca="1">IFERROR(__xludf.DUMMYFUNCTION("""COMPUTED_VALUE"""),101)</f>
        <v>101</v>
      </c>
      <c r="C102" t="str">
        <f ca="1">IFERROR(__xludf.DUMMYFUNCTION("""COMPUTED_VALUE"""),"Daniel Berger")</f>
        <v>Daniel Berger</v>
      </c>
      <c r="D102" s="4">
        <f ca="1">IFERROR(__xludf.DUMMYFUNCTION("""COMPUTED_VALUE"""),17786954)</f>
        <v>17786954</v>
      </c>
    </row>
    <row r="103" spans="1:4" ht="12.75">
      <c r="A103">
        <f ca="1">IFERROR(__xludf.DUMMYFUNCTION("""COMPUTED_VALUE"""),102)</f>
        <v>102</v>
      </c>
      <c r="B103">
        <f ca="1">IFERROR(__xludf.DUMMYFUNCTION("""COMPUTED_VALUE"""),102)</f>
        <v>102</v>
      </c>
      <c r="C103" t="str">
        <f ca="1">IFERROR(__xludf.DUMMYFUNCTION("""COMPUTED_VALUE"""),"Brad Faxon")</f>
        <v>Brad Faxon</v>
      </c>
      <c r="D103" s="4">
        <f ca="1">IFERROR(__xludf.DUMMYFUNCTION("""COMPUTED_VALUE"""),17769249)</f>
        <v>17769249</v>
      </c>
    </row>
    <row r="104" spans="1:4" ht="12.75">
      <c r="A104">
        <f ca="1">IFERROR(__xludf.DUMMYFUNCTION("""COMPUTED_VALUE"""),103)</f>
        <v>103</v>
      </c>
      <c r="B104">
        <f ca="1">IFERROR(__xludf.DUMMYFUNCTION("""COMPUTED_VALUE"""),103)</f>
        <v>103</v>
      </c>
      <c r="C104" t="str">
        <f ca="1">IFERROR(__xludf.DUMMYFUNCTION("""COMPUTED_VALUE"""),"Brian Harman")</f>
        <v>Brian Harman</v>
      </c>
      <c r="D104" s="4">
        <f ca="1">IFERROR(__xludf.DUMMYFUNCTION("""COMPUTED_VALUE"""),17656653)</f>
        <v>17656653</v>
      </c>
    </row>
    <row r="105" spans="1:4" ht="12.75">
      <c r="A105">
        <f ca="1">IFERROR(__xludf.DUMMYFUNCTION("""COMPUTED_VALUE"""),104)</f>
        <v>104</v>
      </c>
      <c r="B105">
        <f ca="1">IFERROR(__xludf.DUMMYFUNCTION("""COMPUTED_VALUE"""),104)</f>
        <v>104</v>
      </c>
      <c r="C105" t="str">
        <f ca="1">IFERROR(__xludf.DUMMYFUNCTION("""COMPUTED_VALUE"""),"Chris Kirk")</f>
        <v>Chris Kirk</v>
      </c>
      <c r="D105" s="4">
        <f ca="1">IFERROR(__xludf.DUMMYFUNCTION("""COMPUTED_VALUE"""),17396484)</f>
        <v>17396484</v>
      </c>
    </row>
    <row r="106" spans="1:4" ht="12.75">
      <c r="A106">
        <f ca="1">IFERROR(__xludf.DUMMYFUNCTION("""COMPUTED_VALUE"""),105)</f>
        <v>105</v>
      </c>
      <c r="B106">
        <f ca="1">IFERROR(__xludf.DUMMYFUNCTION("""COMPUTED_VALUE"""),105)</f>
        <v>105</v>
      </c>
      <c r="C106" t="str">
        <f ca="1">IFERROR(__xludf.DUMMYFUNCTION("""COMPUTED_VALUE"""),"J.J. Henry")</f>
        <v>J.J. Henry</v>
      </c>
      <c r="D106" s="4">
        <f ca="1">IFERROR(__xludf.DUMMYFUNCTION("""COMPUTED_VALUE"""),16860945)</f>
        <v>16860945</v>
      </c>
    </row>
    <row r="107" spans="1:4" ht="12.75">
      <c r="A107">
        <f ca="1">IFERROR(__xludf.DUMMYFUNCTION("""COMPUTED_VALUE"""),106)</f>
        <v>106</v>
      </c>
      <c r="B107">
        <f ca="1">IFERROR(__xludf.DUMMYFUNCTION("""COMPUTED_VALUE"""),106)</f>
        <v>106</v>
      </c>
      <c r="C107" t="str">
        <f ca="1">IFERROR(__xludf.DUMMYFUNCTION("""COMPUTED_VALUE"""),"Harris English")</f>
        <v>Harris English</v>
      </c>
      <c r="D107" s="4">
        <f ca="1">IFERROR(__xludf.DUMMYFUNCTION("""COMPUTED_VALUE"""),16830449)</f>
        <v>16830449</v>
      </c>
    </row>
    <row r="108" spans="1:4" ht="12.75">
      <c r="A108">
        <f ca="1">IFERROR(__xludf.DUMMYFUNCTION("""COMPUTED_VALUE"""),107)</f>
        <v>107</v>
      </c>
      <c r="B108">
        <f ca="1">IFERROR(__xludf.DUMMYFUNCTION("""COMPUTED_VALUE"""),107)</f>
        <v>107</v>
      </c>
      <c r="C108" t="str">
        <f ca="1">IFERROR(__xludf.DUMMYFUNCTION("""COMPUTED_VALUE"""),"Rocco Mediate")</f>
        <v>Rocco Mediate</v>
      </c>
      <c r="D108" s="4">
        <f ca="1">IFERROR(__xludf.DUMMYFUNCTION("""COMPUTED_VALUE"""),16824617)</f>
        <v>16824617</v>
      </c>
    </row>
    <row r="109" spans="1:4" ht="12.75">
      <c r="A109">
        <f ca="1">IFERROR(__xludf.DUMMYFUNCTION("""COMPUTED_VALUE"""),108)</f>
        <v>108</v>
      </c>
      <c r="B109">
        <f ca="1">IFERROR(__xludf.DUMMYFUNCTION("""COMPUTED_VALUE"""),108)</f>
        <v>108</v>
      </c>
      <c r="C109" t="str">
        <f ca="1">IFERROR(__xludf.DUMMYFUNCTION("""COMPUTED_VALUE"""),"Chez Reavie")</f>
        <v>Chez Reavie</v>
      </c>
      <c r="D109" s="4">
        <f ca="1">IFERROR(__xludf.DUMMYFUNCTION("""COMPUTED_VALUE"""),16589040)</f>
        <v>16589040</v>
      </c>
    </row>
    <row r="110" spans="1:4" ht="12.75">
      <c r="A110">
        <f ca="1">IFERROR(__xludf.DUMMYFUNCTION("""COMPUTED_VALUE"""),109)</f>
        <v>109</v>
      </c>
      <c r="B110">
        <f ca="1">IFERROR(__xludf.DUMMYFUNCTION("""COMPUTED_VALUE"""),109)</f>
        <v>109</v>
      </c>
      <c r="C110" t="str">
        <f ca="1">IFERROR(__xludf.DUMMYFUNCTION("""COMPUTED_VALUE"""),"Woody Austin")</f>
        <v>Woody Austin</v>
      </c>
      <c r="D110" s="4">
        <f ca="1">IFERROR(__xludf.DUMMYFUNCTION("""COMPUTED_VALUE"""),16580132)</f>
        <v>16580132</v>
      </c>
    </row>
    <row r="111" spans="1:4" ht="12.75">
      <c r="A111">
        <f ca="1">IFERROR(__xludf.DUMMYFUNCTION("""COMPUTED_VALUE"""),110)</f>
        <v>110</v>
      </c>
      <c r="B111">
        <f ca="1">IFERROR(__xludf.DUMMYFUNCTION("""COMPUTED_VALUE"""),110)</f>
        <v>110</v>
      </c>
      <c r="C111" t="str">
        <f ca="1">IFERROR(__xludf.DUMMYFUNCTION("""COMPUTED_VALUE"""),"Patrick Cantlay")</f>
        <v>Patrick Cantlay</v>
      </c>
      <c r="D111" s="4">
        <f ca="1">IFERROR(__xludf.DUMMYFUNCTION("""COMPUTED_VALUE"""),16352539)</f>
        <v>16352539</v>
      </c>
    </row>
    <row r="112" spans="1:4" ht="12.75">
      <c r="A112">
        <f ca="1">IFERROR(__xludf.DUMMYFUNCTION("""COMPUTED_VALUE"""),111)</f>
        <v>111</v>
      </c>
      <c r="B112">
        <f ca="1">IFERROR(__xludf.DUMMYFUNCTION("""COMPUTED_VALUE"""),111)</f>
        <v>111</v>
      </c>
      <c r="C112" t="str">
        <f ca="1">IFERROR(__xludf.DUMMYFUNCTION("""COMPUTED_VALUE"""),"Kevin Chappell")</f>
        <v>Kevin Chappell</v>
      </c>
      <c r="D112" s="4">
        <f ca="1">IFERROR(__xludf.DUMMYFUNCTION("""COMPUTED_VALUE"""),16225695)</f>
        <v>16225695</v>
      </c>
    </row>
    <row r="113" spans="1:4" ht="12.75">
      <c r="A113">
        <f ca="1">IFERROR(__xludf.DUMMYFUNCTION("""COMPUTED_VALUE"""),112)</f>
        <v>112</v>
      </c>
      <c r="B113">
        <f ca="1">IFERROR(__xludf.DUMMYFUNCTION("""COMPUTED_VALUE"""),112)</f>
        <v>112</v>
      </c>
      <c r="C113" t="str">
        <f ca="1">IFERROR(__xludf.DUMMYFUNCTION("""COMPUTED_VALUE"""),"Russell Henley")</f>
        <v>Russell Henley</v>
      </c>
      <c r="D113" s="4">
        <f ca="1">IFERROR(__xludf.DUMMYFUNCTION("""COMPUTED_VALUE"""),16173504)</f>
        <v>16173504</v>
      </c>
    </row>
    <row r="114" spans="1:4" ht="12.75">
      <c r="A114">
        <f ca="1">IFERROR(__xludf.DUMMYFUNCTION("""COMPUTED_VALUE"""),113)</f>
        <v>113</v>
      </c>
      <c r="B114">
        <f ca="1">IFERROR(__xludf.DUMMYFUNCTION("""COMPUTED_VALUE"""),113)</f>
        <v>113</v>
      </c>
      <c r="C114" t="str">
        <f ca="1">IFERROR(__xludf.DUMMYFUNCTION("""COMPUTED_VALUE"""),"Brendan Steele")</f>
        <v>Brendan Steele</v>
      </c>
      <c r="D114" s="4">
        <f ca="1">IFERROR(__xludf.DUMMYFUNCTION("""COMPUTED_VALUE"""),16055802)</f>
        <v>16055802</v>
      </c>
    </row>
    <row r="115" spans="1:4" ht="12.75">
      <c r="A115">
        <f ca="1">IFERROR(__xludf.DUMMYFUNCTION("""COMPUTED_VALUE"""),114)</f>
        <v>114</v>
      </c>
      <c r="B115">
        <f ca="1">IFERROR(__xludf.DUMMYFUNCTION("""COMPUTED_VALUE"""),114)</f>
        <v>114</v>
      </c>
      <c r="C115" t="str">
        <f ca="1">IFERROR(__xludf.DUMMYFUNCTION("""COMPUTED_VALUE"""),"Jason Bohn")</f>
        <v>Jason Bohn</v>
      </c>
      <c r="D115" s="4">
        <f ca="1">IFERROR(__xludf.DUMMYFUNCTION("""COMPUTED_VALUE"""),16046883)</f>
        <v>16046883</v>
      </c>
    </row>
    <row r="116" spans="1:4" ht="12.75">
      <c r="A116">
        <f ca="1">IFERROR(__xludf.DUMMYFUNCTION("""COMPUTED_VALUE"""),115)</f>
        <v>115</v>
      </c>
      <c r="B116">
        <f ca="1">IFERROR(__xludf.DUMMYFUNCTION("""COMPUTED_VALUE"""),115)</f>
        <v>115</v>
      </c>
      <c r="C116" t="str">
        <f ca="1">IFERROR(__xludf.DUMMYFUNCTION("""COMPUTED_VALUE"""),"Lee Janzen")</f>
        <v>Lee Janzen</v>
      </c>
      <c r="D116" s="4">
        <f ca="1">IFERROR(__xludf.DUMMYFUNCTION("""COMPUTED_VALUE"""),16040639)</f>
        <v>16040639</v>
      </c>
    </row>
    <row r="117" spans="1:4" ht="12.75">
      <c r="A117">
        <f ca="1">IFERROR(__xludf.DUMMYFUNCTION("""COMPUTED_VALUE"""),116)</f>
        <v>116</v>
      </c>
      <c r="B117">
        <f ca="1">IFERROR(__xludf.DUMMYFUNCTION("""COMPUTED_VALUE"""),116)</f>
        <v>116</v>
      </c>
      <c r="C117" t="str">
        <f ca="1">IFERROR(__xludf.DUMMYFUNCTION("""COMPUTED_VALUE"""),"Rod Pampling")</f>
        <v>Rod Pampling</v>
      </c>
      <c r="D117" s="4">
        <f ca="1">IFERROR(__xludf.DUMMYFUNCTION("""COMPUTED_VALUE"""),16039993)</f>
        <v>16039993</v>
      </c>
    </row>
    <row r="118" spans="1:4" ht="12.75">
      <c r="A118">
        <f ca="1">IFERROR(__xludf.DUMMYFUNCTION("""COMPUTED_VALUE"""),117)</f>
        <v>117</v>
      </c>
      <c r="B118">
        <f ca="1">IFERROR(__xludf.DUMMYFUNCTION("""COMPUTED_VALUE"""),117)</f>
        <v>117</v>
      </c>
      <c r="C118" t="str">
        <f ca="1">IFERROR(__xludf.DUMMYFUNCTION("""COMPUTED_VALUE"""),"Corey Pavin")</f>
        <v>Corey Pavin</v>
      </c>
      <c r="D118" s="4">
        <f ca="1">IFERROR(__xludf.DUMMYFUNCTION("""COMPUTED_VALUE"""),16021370)</f>
        <v>16021370</v>
      </c>
    </row>
    <row r="119" spans="1:4" ht="12.75">
      <c r="A119">
        <f ca="1">IFERROR(__xludf.DUMMYFUNCTION("""COMPUTED_VALUE"""),118)</f>
        <v>118</v>
      </c>
      <c r="B119">
        <f ca="1">IFERROR(__xludf.DUMMYFUNCTION("""COMPUTED_VALUE"""),118)</f>
        <v>118</v>
      </c>
      <c r="C119" t="str">
        <f ca="1">IFERROR(__xludf.DUMMYFUNCTION("""COMPUTED_VALUE"""),"Heath Slocum")</f>
        <v>Heath Slocum</v>
      </c>
      <c r="D119" s="4">
        <f ca="1">IFERROR(__xludf.DUMMYFUNCTION("""COMPUTED_VALUE"""),15948701)</f>
        <v>15948701</v>
      </c>
    </row>
    <row r="120" spans="1:4" ht="12.75">
      <c r="A120">
        <f ca="1">IFERROR(__xludf.DUMMYFUNCTION("""COMPUTED_VALUE"""),119)</f>
        <v>119</v>
      </c>
      <c r="B120">
        <f ca="1">IFERROR(__xludf.DUMMYFUNCTION("""COMPUTED_VALUE"""),120)</f>
        <v>120</v>
      </c>
      <c r="C120" t="str">
        <f ca="1">IFERROR(__xludf.DUMMYFUNCTION("""COMPUTED_VALUE"""),"Francesco Molinari")</f>
        <v>Francesco Molinari</v>
      </c>
      <c r="D120" s="4">
        <f ca="1">IFERROR(__xludf.DUMMYFUNCTION("""COMPUTED_VALUE"""),15900220)</f>
        <v>15900220</v>
      </c>
    </row>
    <row r="121" spans="1:4" ht="12.75">
      <c r="A121">
        <f ca="1">IFERROR(__xludf.DUMMYFUNCTION("""COMPUTED_VALUE"""),120)</f>
        <v>120</v>
      </c>
      <c r="B121">
        <f ca="1">IFERROR(__xludf.DUMMYFUNCTION("""COMPUTED_VALUE"""),119)</f>
        <v>119</v>
      </c>
      <c r="C121" t="str">
        <f ca="1">IFERROR(__xludf.DUMMYFUNCTION("""COMPUTED_VALUE"""),"Kyle Stanley")</f>
        <v>Kyle Stanley</v>
      </c>
      <c r="D121" s="4">
        <f ca="1">IFERROR(__xludf.DUMMYFUNCTION("""COMPUTED_VALUE"""),15793718)</f>
        <v>15793718</v>
      </c>
    </row>
    <row r="122" spans="1:4" ht="12.75">
      <c r="A122">
        <f ca="1">IFERROR(__xludf.DUMMYFUNCTION("""COMPUTED_VALUE"""),121)</f>
        <v>121</v>
      </c>
      <c r="B122">
        <f ca="1">IFERROR(__xludf.DUMMYFUNCTION("""COMPUTED_VALUE"""),121)</f>
        <v>121</v>
      </c>
      <c r="C122" t="str">
        <f ca="1">IFERROR(__xludf.DUMMYFUNCTION("""COMPUTED_VALUE"""),"Bob Tway")</f>
        <v>Bob Tway</v>
      </c>
      <c r="D122" s="4">
        <f ca="1">IFERROR(__xludf.DUMMYFUNCTION("""COMPUTED_VALUE"""),15785815)</f>
        <v>15785815</v>
      </c>
    </row>
    <row r="123" spans="1:4" ht="12.75">
      <c r="A123">
        <f ca="1">IFERROR(__xludf.DUMMYFUNCTION("""COMPUTED_VALUE"""),122)</f>
        <v>122</v>
      </c>
      <c r="B123">
        <f ca="1">IFERROR(__xludf.DUMMYFUNCTION("""COMPUTED_VALUE"""),122)</f>
        <v>122</v>
      </c>
      <c r="C123" t="str">
        <f ca="1">IFERROR(__xludf.DUMMYFUNCTION("""COMPUTED_VALUE"""),"Kevin Sutherland")</f>
        <v>Kevin Sutherland</v>
      </c>
      <c r="D123" s="4">
        <f ca="1">IFERROR(__xludf.DUMMYFUNCTION("""COMPUTED_VALUE"""),15658171)</f>
        <v>15658171</v>
      </c>
    </row>
    <row r="124" spans="1:4" ht="12.75">
      <c r="A124">
        <f ca="1">IFERROR(__xludf.DUMMYFUNCTION("""COMPUTED_VALUE"""),123)</f>
        <v>123</v>
      </c>
      <c r="B124">
        <f ca="1">IFERROR(__xludf.DUMMYFUNCTION("""COMPUTED_VALUE"""),123)</f>
        <v>123</v>
      </c>
      <c r="C124" t="str">
        <f ca="1">IFERROR(__xludf.DUMMYFUNCTION("""COMPUTED_VALUE"""),"Steve Elkington")</f>
        <v>Steve Elkington</v>
      </c>
      <c r="D124" s="4">
        <f ca="1">IFERROR(__xludf.DUMMYFUNCTION("""COMPUTED_VALUE"""),15505418)</f>
        <v>15505418</v>
      </c>
    </row>
    <row r="125" spans="1:4" ht="12.75">
      <c r="A125">
        <f ca="1">IFERROR(__xludf.DUMMYFUNCTION("""COMPUTED_VALUE"""),124)</f>
        <v>124</v>
      </c>
      <c r="B125">
        <f ca="1">IFERROR(__xludf.DUMMYFUNCTION("""COMPUTED_VALUE"""),124)</f>
        <v>124</v>
      </c>
      <c r="C125" t="str">
        <f ca="1">IFERROR(__xludf.DUMMYFUNCTION("""COMPUTED_VALUE"""),"Mark Wilson")</f>
        <v>Mark Wilson</v>
      </c>
      <c r="D125" s="4">
        <f ca="1">IFERROR(__xludf.DUMMYFUNCTION("""COMPUTED_VALUE"""),15343537)</f>
        <v>15343537</v>
      </c>
    </row>
    <row r="126" spans="1:4" ht="12.75">
      <c r="A126">
        <f ca="1">IFERROR(__xludf.DUMMYFUNCTION("""COMPUTED_VALUE"""),125)</f>
        <v>125</v>
      </c>
      <c r="B126">
        <f ca="1">IFERROR(__xludf.DUMMYFUNCTION("""COMPUTED_VALUE"""),125)</f>
        <v>125</v>
      </c>
      <c r="C126" t="str">
        <f ca="1">IFERROR(__xludf.DUMMYFUNCTION("""COMPUTED_VALUE"""),"Jesper Parnevik")</f>
        <v>Jesper Parnevik</v>
      </c>
      <c r="D126" s="4">
        <f ca="1">IFERROR(__xludf.DUMMYFUNCTION("""COMPUTED_VALUE"""),15321627)</f>
        <v>15321627</v>
      </c>
    </row>
    <row r="127" spans="1:4" ht="12.75">
      <c r="A127">
        <f ca="1">IFERROR(__xludf.DUMMYFUNCTION("""COMPUTED_VALUE"""),126)</f>
        <v>126</v>
      </c>
      <c r="B127">
        <f ca="1">IFERROR(__xludf.DUMMYFUNCTION("""COMPUTED_VALUE"""),126)</f>
        <v>126</v>
      </c>
      <c r="C127" t="str">
        <f ca="1">IFERROR(__xludf.DUMMYFUNCTION("""COMPUTED_VALUE"""),"Hal Sutton")</f>
        <v>Hal Sutton</v>
      </c>
      <c r="D127" s="4">
        <f ca="1">IFERROR(__xludf.DUMMYFUNCTION("""COMPUTED_VALUE"""),15267685)</f>
        <v>15267685</v>
      </c>
    </row>
    <row r="128" spans="1:4" ht="12.75">
      <c r="A128">
        <f ca="1">IFERROR(__xludf.DUMMYFUNCTION("""COMPUTED_VALUE"""),127)</f>
        <v>127</v>
      </c>
      <c r="B128">
        <f ca="1">IFERROR(__xludf.DUMMYFUNCTION("""COMPUTED_VALUE"""),127)</f>
        <v>127</v>
      </c>
      <c r="C128" t="str">
        <f ca="1">IFERROR(__xludf.DUMMYFUNCTION("""COMPUTED_VALUE"""),"Boo Weekley")</f>
        <v>Boo Weekley</v>
      </c>
      <c r="D128" s="4">
        <f ca="1">IFERROR(__xludf.DUMMYFUNCTION("""COMPUTED_VALUE"""),15167517)</f>
        <v>15167517</v>
      </c>
    </row>
    <row r="129" spans="1:4" ht="12.75">
      <c r="A129">
        <f ca="1">IFERROR(__xludf.DUMMYFUNCTION("""COMPUTED_VALUE"""),128)</f>
        <v>128</v>
      </c>
      <c r="B129">
        <f ca="1">IFERROR(__xludf.DUMMYFUNCTION("""COMPUTED_VALUE"""),128)</f>
        <v>128</v>
      </c>
      <c r="C129" t="str">
        <f ca="1">IFERROR(__xludf.DUMMYFUNCTION("""COMPUTED_VALUE"""),"Loren Roberts")</f>
        <v>Loren Roberts</v>
      </c>
      <c r="D129" s="4">
        <f ca="1">IFERROR(__xludf.DUMMYFUNCTION("""COMPUTED_VALUE"""),15154767)</f>
        <v>15154767</v>
      </c>
    </row>
    <row r="130" spans="1:4" ht="12.75">
      <c r="A130">
        <f ca="1">IFERROR(__xludf.DUMMYFUNCTION("""COMPUTED_VALUE"""),129)</f>
        <v>129</v>
      </c>
      <c r="B130">
        <f ca="1">IFERROR(__xludf.DUMMYFUNCTION("""COMPUTED_VALUE"""),129)</f>
        <v>129</v>
      </c>
      <c r="C130" t="str">
        <f ca="1">IFERROR(__xludf.DUMMYFUNCTION("""COMPUTED_VALUE"""),"Steve Lowery")</f>
        <v>Steve Lowery</v>
      </c>
      <c r="D130" s="4">
        <f ca="1">IFERROR(__xludf.DUMMYFUNCTION("""COMPUTED_VALUE"""),15128611)</f>
        <v>15128611</v>
      </c>
    </row>
    <row r="131" spans="1:4" ht="12.75">
      <c r="A131">
        <f ca="1">IFERROR(__xludf.DUMMYFUNCTION("""COMPUTED_VALUE"""),130)</f>
        <v>130</v>
      </c>
      <c r="B131">
        <f ca="1">IFERROR(__xludf.DUMMYFUNCTION("""COMPUTED_VALUE"""),130)</f>
        <v>130</v>
      </c>
      <c r="C131" t="str">
        <f ca="1">IFERROR(__xludf.DUMMYFUNCTION("""COMPUTED_VALUE"""),"Jason Kokrak")</f>
        <v>Jason Kokrak</v>
      </c>
      <c r="D131" s="4">
        <f ca="1">IFERROR(__xludf.DUMMYFUNCTION("""COMPUTED_VALUE"""),14987610)</f>
        <v>14987610</v>
      </c>
    </row>
    <row r="132" spans="1:4" ht="12.75">
      <c r="A132">
        <f ca="1">IFERROR(__xludf.DUMMYFUNCTION("""COMPUTED_VALUE"""),131)</f>
        <v>131</v>
      </c>
      <c r="B132">
        <f ca="1">IFERROR(__xludf.DUMMYFUNCTION("""COMPUTED_VALUE"""),131)</f>
        <v>131</v>
      </c>
      <c r="C132" t="str">
        <f ca="1">IFERROR(__xludf.DUMMYFUNCTION("""COMPUTED_VALUE"""),"John Huston")</f>
        <v>John Huston</v>
      </c>
      <c r="D132" s="4">
        <f ca="1">IFERROR(__xludf.DUMMYFUNCTION("""COMPUTED_VALUE"""),14967146)</f>
        <v>14967146</v>
      </c>
    </row>
    <row r="133" spans="1:4" ht="12.75">
      <c r="A133">
        <f ca="1">IFERROR(__xludf.DUMMYFUNCTION("""COMPUTED_VALUE"""),132)</f>
        <v>132</v>
      </c>
      <c r="B133">
        <f ca="1">IFERROR(__xludf.DUMMYFUNCTION("""COMPUTED_VALUE"""),132)</f>
        <v>132</v>
      </c>
      <c r="C133" t="str">
        <f ca="1">IFERROR(__xludf.DUMMYFUNCTION("""COMPUTED_VALUE"""),"Tom Pernice Jr.")</f>
        <v>Tom Pernice Jr.</v>
      </c>
      <c r="D133" s="4">
        <f ca="1">IFERROR(__xludf.DUMMYFUNCTION("""COMPUTED_VALUE"""),14950594)</f>
        <v>14950594</v>
      </c>
    </row>
    <row r="134" spans="1:4" ht="12.75">
      <c r="A134">
        <f ca="1">IFERROR(__xludf.DUMMYFUNCTION("""COMPUTED_VALUE"""),133)</f>
        <v>133</v>
      </c>
      <c r="B134">
        <f ca="1">IFERROR(__xludf.DUMMYFUNCTION("""COMPUTED_VALUE"""),133)</f>
        <v>133</v>
      </c>
      <c r="C134" t="str">
        <f ca="1">IFERROR(__xludf.DUMMYFUNCTION("""COMPUTED_VALUE"""),"Robert Garrigus")</f>
        <v>Robert Garrigus</v>
      </c>
      <c r="D134" s="4">
        <f ca="1">IFERROR(__xludf.DUMMYFUNCTION("""COMPUTED_VALUE"""),14716394)</f>
        <v>14716394</v>
      </c>
    </row>
    <row r="135" spans="1:4" ht="12.75">
      <c r="A135">
        <f ca="1">IFERROR(__xludf.DUMMYFUNCTION("""COMPUTED_VALUE"""),134)</f>
        <v>134</v>
      </c>
      <c r="B135">
        <f ca="1">IFERROR(__xludf.DUMMYFUNCTION("""COMPUTED_VALUE"""),134)</f>
        <v>134</v>
      </c>
      <c r="C135" t="str">
        <f ca="1">IFERROR(__xludf.DUMMYFUNCTION("""COMPUTED_VALUE"""),"Ángel Cabrera")</f>
        <v>Ángel Cabrera</v>
      </c>
      <c r="D135" s="4">
        <f ca="1">IFERROR(__xludf.DUMMYFUNCTION("""COMPUTED_VALUE"""),14583622)</f>
        <v>14583622</v>
      </c>
    </row>
    <row r="136" spans="1:4" ht="12.75">
      <c r="A136">
        <f ca="1">IFERROR(__xludf.DUMMYFUNCTION("""COMPUTED_VALUE"""),135)</f>
        <v>135</v>
      </c>
      <c r="B136">
        <f ca="1">IFERROR(__xludf.DUMMYFUNCTION("""COMPUTED_VALUE"""),135)</f>
        <v>135</v>
      </c>
      <c r="C136" t="str">
        <f ca="1">IFERROR(__xludf.DUMMYFUNCTION("""COMPUTED_VALUE"""),"Greg Norman")</f>
        <v>Greg Norman</v>
      </c>
      <c r="D136" s="4">
        <f ca="1">IFERROR(__xludf.DUMMYFUNCTION("""COMPUTED_VALUE"""),14484458)</f>
        <v>14484458</v>
      </c>
    </row>
    <row r="137" spans="1:4" ht="12.75">
      <c r="A137">
        <f ca="1">IFERROR(__xludf.DUMMYFUNCTION("""COMPUTED_VALUE"""),136)</f>
        <v>136</v>
      </c>
      <c r="B137">
        <f ca="1">IFERROR(__xludf.DUMMYFUNCTION("""COMPUTED_VALUE"""),136)</f>
        <v>136</v>
      </c>
      <c r="C137" t="str">
        <f ca="1">IFERROR(__xludf.DUMMYFUNCTION("""COMPUTED_VALUE"""),"Paul Azinger")</f>
        <v>Paul Azinger</v>
      </c>
      <c r="D137" s="4">
        <f ca="1">IFERROR(__xludf.DUMMYFUNCTION("""COMPUTED_VALUE"""),14467496)</f>
        <v>14467496</v>
      </c>
    </row>
    <row r="138" spans="1:4" ht="12.75">
      <c r="A138">
        <f ca="1">IFERROR(__xludf.DUMMYFUNCTION("""COMPUTED_VALUE"""),137)</f>
        <v>137</v>
      </c>
      <c r="B138">
        <f ca="1">IFERROR(__xludf.DUMMYFUNCTION("""COMPUTED_VALUE"""),137)</f>
        <v>137</v>
      </c>
      <c r="C138" t="str">
        <f ca="1">IFERROR(__xludf.DUMMYFUNCTION("""COMPUTED_VALUE"""),"Jay Haas")</f>
        <v>Jay Haas</v>
      </c>
      <c r="D138" s="4">
        <f ca="1">IFERROR(__xludf.DUMMYFUNCTION("""COMPUTED_VALUE"""),14440317)</f>
        <v>14440317</v>
      </c>
    </row>
    <row r="139" spans="1:4" ht="12.75">
      <c r="A139">
        <f ca="1">IFERROR(__xludf.DUMMYFUNCTION("""COMPUTED_VALUE"""),138)</f>
        <v>138</v>
      </c>
      <c r="B139">
        <f ca="1">IFERROR(__xludf.DUMMYFUNCTION("""COMPUTED_VALUE"""),138)</f>
        <v>138</v>
      </c>
      <c r="C139" t="str">
        <f ca="1">IFERROR(__xludf.DUMMYFUNCTION("""COMPUTED_VALUE"""),"Mark O'Meara")</f>
        <v>Mark O'Meara</v>
      </c>
      <c r="D139" s="4">
        <f ca="1">IFERROR(__xludf.DUMMYFUNCTION("""COMPUTED_VALUE"""),14325371)</f>
        <v>14325371</v>
      </c>
    </row>
    <row r="140" spans="1:4" ht="12.75">
      <c r="A140">
        <f ca="1">IFERROR(__xludf.DUMMYFUNCTION("""COMPUTED_VALUE"""),139)</f>
        <v>139</v>
      </c>
      <c r="B140">
        <f ca="1">IFERROR(__xludf.DUMMYFUNCTION("""COMPUTED_VALUE"""),141)</f>
        <v>141</v>
      </c>
      <c r="C140" t="str">
        <f ca="1">IFERROR(__xludf.DUMMYFUNCTION("""COMPUTED_VALUE"""),"Russell Knox")</f>
        <v>Russell Knox</v>
      </c>
      <c r="D140" s="4">
        <f ca="1">IFERROR(__xludf.DUMMYFUNCTION("""COMPUTED_VALUE"""),14195967)</f>
        <v>14195967</v>
      </c>
    </row>
    <row r="141" spans="1:4" ht="12.75">
      <c r="A141">
        <f ca="1">IFERROR(__xludf.DUMMYFUNCTION("""COMPUTED_VALUE"""),140)</f>
        <v>140</v>
      </c>
      <c r="B141">
        <f ca="1">IFERROR(__xludf.DUMMYFUNCTION("""COMPUTED_VALUE"""),139)</f>
        <v>139</v>
      </c>
      <c r="C141" t="str">
        <f ca="1">IFERROR(__xludf.DUMMYFUNCTION("""COMPUTED_VALUE"""),"Joe Durant")</f>
        <v>Joe Durant</v>
      </c>
      <c r="D141" s="4">
        <f ca="1">IFERROR(__xludf.DUMMYFUNCTION("""COMPUTED_VALUE"""),14181693)</f>
        <v>14181693</v>
      </c>
    </row>
    <row r="142" spans="1:4" ht="12.75">
      <c r="A142">
        <f ca="1">IFERROR(__xludf.DUMMYFUNCTION("""COMPUTED_VALUE"""),141)</f>
        <v>141</v>
      </c>
      <c r="B142">
        <f ca="1">IFERROR(__xludf.DUMMYFUNCTION("""COMPUTED_VALUE"""),140)</f>
        <v>140</v>
      </c>
      <c r="C142" t="str">
        <f ca="1">IFERROR(__xludf.DUMMYFUNCTION("""COMPUTED_VALUE"""),"Kirk Triplett")</f>
        <v>Kirk Triplett</v>
      </c>
      <c r="D142" s="4">
        <f ca="1">IFERROR(__xludf.DUMMYFUNCTION("""COMPUTED_VALUE"""),14096656)</f>
        <v>14096656</v>
      </c>
    </row>
    <row r="143" spans="1:4" ht="12.75">
      <c r="A143">
        <f ca="1">IFERROR(__xludf.DUMMYFUNCTION("""COMPUTED_VALUE"""),142)</f>
        <v>142</v>
      </c>
      <c r="B143">
        <f ca="1">IFERROR(__xludf.DUMMYFUNCTION("""COMPUTED_VALUE"""),142)</f>
        <v>142</v>
      </c>
      <c r="C143" t="str">
        <f ca="1">IFERROR(__xludf.DUMMYFUNCTION("""COMPUTED_VALUE"""),"Shigeki Maruyama")</f>
        <v>Shigeki Maruyama</v>
      </c>
      <c r="D143" s="4">
        <f ca="1">IFERROR(__xludf.DUMMYFUNCTION("""COMPUTED_VALUE"""),13809170)</f>
        <v>13809170</v>
      </c>
    </row>
    <row r="144" spans="1:4" ht="12.75">
      <c r="A144">
        <f ca="1">IFERROR(__xludf.DUMMYFUNCTION("""COMPUTED_VALUE"""),143)</f>
        <v>143</v>
      </c>
      <c r="B144">
        <f ca="1">IFERROR(__xludf.DUMMYFUNCTION("""COMPUTED_VALUE"""),143)</f>
        <v>143</v>
      </c>
      <c r="C144" t="str">
        <f ca="1">IFERROR(__xludf.DUMMYFUNCTION("""COMPUTED_VALUE"""),"Ben Curtis")</f>
        <v>Ben Curtis</v>
      </c>
      <c r="D144" s="4">
        <f ca="1">IFERROR(__xludf.DUMMYFUNCTION("""COMPUTED_VALUE"""),13779910)</f>
        <v>13779910</v>
      </c>
    </row>
    <row r="145" spans="1:4" ht="12.75">
      <c r="A145">
        <f ca="1">IFERROR(__xludf.DUMMYFUNCTION("""COMPUTED_VALUE"""),144)</f>
        <v>144</v>
      </c>
      <c r="B145">
        <f ca="1">IFERROR(__xludf.DUMMYFUNCTION("""COMPUTED_VALUE"""),144)</f>
        <v>144</v>
      </c>
      <c r="C145" t="str">
        <f ca="1">IFERROR(__xludf.DUMMYFUNCTION("""COMPUTED_VALUE"""),"Danny Lee")</f>
        <v>Danny Lee</v>
      </c>
      <c r="D145" s="4">
        <f ca="1">IFERROR(__xludf.DUMMYFUNCTION("""COMPUTED_VALUE"""),13538071)</f>
        <v>13538071</v>
      </c>
    </row>
    <row r="146" spans="1:4" ht="12.75">
      <c r="A146">
        <f ca="1">IFERROR(__xludf.DUMMYFUNCTION("""COMPUTED_VALUE"""),145)</f>
        <v>145</v>
      </c>
      <c r="B146">
        <f ca="1">IFERROR(__xludf.DUMMYFUNCTION("""COMPUTED_VALUE"""),145)</f>
        <v>145</v>
      </c>
      <c r="C146" t="str">
        <f ca="1">IFERROR(__xludf.DUMMYFUNCTION("""COMPUTED_VALUE"""),"Brian Davis")</f>
        <v>Brian Davis</v>
      </c>
      <c r="D146" s="4">
        <f ca="1">IFERROR(__xludf.DUMMYFUNCTION("""COMPUTED_VALUE"""),13374228)</f>
        <v>13374228</v>
      </c>
    </row>
    <row r="147" spans="1:4" ht="12.75">
      <c r="A147">
        <f ca="1">IFERROR(__xludf.DUMMYFUNCTION("""COMPUTED_VALUE"""),146)</f>
        <v>146</v>
      </c>
      <c r="B147">
        <f ca="1">IFERROR(__xludf.DUMMYFUNCTION("""COMPUTED_VALUE"""),146)</f>
        <v>146</v>
      </c>
      <c r="C147" t="str">
        <f ca="1">IFERROR(__xludf.DUMMYFUNCTION("""COMPUTED_VALUE"""),"Briny Baird")</f>
        <v>Briny Baird</v>
      </c>
      <c r="D147" s="4">
        <f ca="1">IFERROR(__xludf.DUMMYFUNCTION("""COMPUTED_VALUE"""),13251178)</f>
        <v>13251178</v>
      </c>
    </row>
    <row r="148" spans="1:4" ht="12.75">
      <c r="A148">
        <f ca="1">IFERROR(__xludf.DUMMYFUNCTION("""COMPUTED_VALUE"""),147)</f>
        <v>147</v>
      </c>
      <c r="B148">
        <f ca="1">IFERROR(__xludf.DUMMYFUNCTION("""COMPUTED_VALUE"""),147)</f>
        <v>147</v>
      </c>
      <c r="C148" t="str">
        <f ca="1">IFERROR(__xludf.DUMMYFUNCTION("""COMPUTED_VALUE"""),"Matt Jones")</f>
        <v>Matt Jones</v>
      </c>
      <c r="D148" s="4">
        <f ca="1">IFERROR(__xludf.DUMMYFUNCTION("""COMPUTED_VALUE"""),13176267)</f>
        <v>13176267</v>
      </c>
    </row>
    <row r="149" spans="1:4" ht="12.75">
      <c r="A149">
        <f ca="1">IFERROR(__xludf.DUMMYFUNCTION("""COMPUTED_VALUE"""),148)</f>
        <v>148</v>
      </c>
      <c r="B149">
        <f ca="1">IFERROR(__xludf.DUMMYFUNCTION("""COMPUTED_VALUE"""),148)</f>
        <v>148</v>
      </c>
      <c r="C149" t="str">
        <f ca="1">IFERROR(__xludf.DUMMYFUNCTION("""COMPUTED_VALUE"""),"Alex Cejka")</f>
        <v>Alex Cejka</v>
      </c>
      <c r="D149" s="4">
        <f ca="1">IFERROR(__xludf.DUMMYFUNCTION("""COMPUTED_VALUE"""),12892186)</f>
        <v>12892186</v>
      </c>
    </row>
    <row r="150" spans="1:4" ht="12.75">
      <c r="A150">
        <f ca="1">IFERROR(__xludf.DUMMYFUNCTION("""COMPUTED_VALUE"""),149)</f>
        <v>149</v>
      </c>
      <c r="B150">
        <f ca="1">IFERROR(__xludf.DUMMYFUNCTION("""COMPUTED_VALUE"""),149)</f>
        <v>149</v>
      </c>
      <c r="C150" t="str">
        <f ca="1">IFERROR(__xludf.DUMMYFUNCTION("""COMPUTED_VALUE"""),"Chris Stroud")</f>
        <v>Chris Stroud</v>
      </c>
      <c r="D150" s="4">
        <f ca="1">IFERROR(__xludf.DUMMYFUNCTION("""COMPUTED_VALUE"""),12816017)</f>
        <v>12816017</v>
      </c>
    </row>
    <row r="151" spans="1:4" ht="12.75">
      <c r="A151">
        <f ca="1">IFERROR(__xludf.DUMMYFUNCTION("""COMPUTED_VALUE"""),150)</f>
        <v>150</v>
      </c>
      <c r="B151">
        <f ca="1">IFERROR(__xludf.DUMMYFUNCTION("""COMPUTED_VALUE"""),150)</f>
        <v>150</v>
      </c>
      <c r="C151" t="str">
        <f ca="1">IFERROR(__xludf.DUMMYFUNCTION("""COMPUTED_VALUE"""),"Paul Goydos")</f>
        <v>Paul Goydos</v>
      </c>
      <c r="D151" s="4">
        <f ca="1">IFERROR(__xludf.DUMMYFUNCTION("""COMPUTED_VALUE"""),12800167)</f>
        <v>12800167</v>
      </c>
    </row>
    <row r="152" spans="1:4" ht="12.75">
      <c r="A152">
        <f ca="1">IFERROR(__xludf.DUMMYFUNCTION("""COMPUTED_VALUE"""),151)</f>
        <v>151</v>
      </c>
      <c r="B152">
        <f ca="1">IFERROR(__xludf.DUMMYFUNCTION("""COMPUTED_VALUE"""),151)</f>
        <v>151</v>
      </c>
      <c r="C152" t="str">
        <f ca="1">IFERROR(__xludf.DUMMYFUNCTION("""COMPUTED_VALUE"""),"Jeff Overton")</f>
        <v>Jeff Overton</v>
      </c>
      <c r="D152" s="4">
        <f ca="1">IFERROR(__xludf.DUMMYFUNCTION("""COMPUTED_VALUE"""),12790635)</f>
        <v>12790635</v>
      </c>
    </row>
    <row r="153" spans="1:4" ht="12.75">
      <c r="A153">
        <f ca="1">IFERROR(__xludf.DUMMYFUNCTION("""COMPUTED_VALUE"""),152)</f>
        <v>152</v>
      </c>
      <c r="B153">
        <f ca="1">IFERROR(__xludf.DUMMYFUNCTION("""COMPUTED_VALUE"""),152)</f>
        <v>152</v>
      </c>
      <c r="C153" t="str">
        <f ca="1">IFERROR(__xludf.DUMMYFUNCTION("""COMPUTED_VALUE"""),"John Cook")</f>
        <v>John Cook</v>
      </c>
      <c r="D153" s="4">
        <f ca="1">IFERROR(__xludf.DUMMYFUNCTION("""COMPUTED_VALUE"""),12685199)</f>
        <v>12685199</v>
      </c>
    </row>
    <row r="154" spans="1:4" ht="12.75">
      <c r="A154">
        <f ca="1">IFERROR(__xludf.DUMMYFUNCTION("""COMPUTED_VALUE"""),153)</f>
        <v>153</v>
      </c>
      <c r="B154">
        <f ca="1">IFERROR(__xludf.DUMMYFUNCTION("""COMPUTED_VALUE"""),153)</f>
        <v>153</v>
      </c>
      <c r="C154" t="str">
        <f ca="1">IFERROR(__xludf.DUMMYFUNCTION("""COMPUTED_VALUE"""),"Scott McCarron")</f>
        <v>Scott McCarron</v>
      </c>
      <c r="D154" s="4">
        <f ca="1">IFERROR(__xludf.DUMMYFUNCTION("""COMPUTED_VALUE"""),12649527)</f>
        <v>12649527</v>
      </c>
    </row>
    <row r="155" spans="1:4" ht="12.75">
      <c r="A155">
        <f ca="1">IFERROR(__xludf.DUMMYFUNCTION("""COMPUTED_VALUE"""),154)</f>
        <v>154</v>
      </c>
      <c r="B155">
        <f ca="1">IFERROR(__xludf.DUMMYFUNCTION("""COMPUTED_VALUE"""),154)</f>
        <v>154</v>
      </c>
      <c r="C155" t="str">
        <f ca="1">IFERROR(__xludf.DUMMYFUNCTION("""COMPUTED_VALUE"""),"Dudley Hart")</f>
        <v>Dudley Hart</v>
      </c>
      <c r="D155" s="4">
        <f ca="1">IFERROR(__xludf.DUMMYFUNCTION("""COMPUTED_VALUE"""),12635726)</f>
        <v>12635726</v>
      </c>
    </row>
    <row r="156" spans="1:4" ht="12.75">
      <c r="A156">
        <f ca="1">IFERROR(__xludf.DUMMYFUNCTION("""COMPUTED_VALUE"""),155)</f>
        <v>155</v>
      </c>
      <c r="B156">
        <f ca="1">IFERROR(__xludf.DUMMYFUNCTION("""COMPUTED_VALUE"""),155)</f>
        <v>155</v>
      </c>
      <c r="C156" t="str">
        <f ca="1">IFERROR(__xludf.DUMMYFUNCTION("""COMPUTED_VALUE"""),"Trevor Immelman")</f>
        <v>Trevor Immelman</v>
      </c>
      <c r="D156" s="4">
        <f ca="1">IFERROR(__xludf.DUMMYFUNCTION("""COMPUTED_VALUE"""),12628762)</f>
        <v>12628762</v>
      </c>
    </row>
    <row r="157" spans="1:4" ht="12.75">
      <c r="A157">
        <f ca="1">IFERROR(__xludf.DUMMYFUNCTION("""COMPUTED_VALUE"""),156)</f>
        <v>156</v>
      </c>
      <c r="B157">
        <f ca="1">IFERROR(__xludf.DUMMYFUNCTION("""COMPUTED_VALUE"""),156)</f>
        <v>156</v>
      </c>
      <c r="C157" t="str">
        <f ca="1">IFERROR(__xludf.DUMMYFUNCTION("""COMPUTED_VALUE"""),"Jhonattan Vegas")</f>
        <v>Jhonattan Vegas</v>
      </c>
      <c r="D157" s="4">
        <f ca="1">IFERROR(__xludf.DUMMYFUNCTION("""COMPUTED_VALUE"""),12603275)</f>
        <v>12603275</v>
      </c>
    </row>
    <row r="158" spans="1:4" ht="12.75">
      <c r="A158">
        <f ca="1">IFERROR(__xludf.DUMMYFUNCTION("""COMPUTED_VALUE"""),157)</f>
        <v>157</v>
      </c>
      <c r="B158">
        <f ca="1">IFERROR(__xludf.DUMMYFUNCTION("""COMPUTED_VALUE"""),157)</f>
        <v>157</v>
      </c>
      <c r="C158" t="str">
        <f ca="1">IFERROR(__xludf.DUMMYFUNCTION("""COMPUTED_VALUE"""),"Billy Andrade")</f>
        <v>Billy Andrade</v>
      </c>
      <c r="D158" s="4">
        <f ca="1">IFERROR(__xludf.DUMMYFUNCTION("""COMPUTED_VALUE"""),12494805)</f>
        <v>12494805</v>
      </c>
    </row>
    <row r="159" spans="1:4" ht="12.75">
      <c r="A159">
        <f ca="1">IFERROR(__xludf.DUMMYFUNCTION("""COMPUTED_VALUE"""),158)</f>
        <v>158</v>
      </c>
      <c r="B159">
        <f ca="1">IFERROR(__xludf.DUMMYFUNCTION("""COMPUTED_VALUE"""),158)</f>
        <v>158</v>
      </c>
      <c r="C159" t="str">
        <f ca="1">IFERROR(__xludf.DUMMYFUNCTION("""COMPUTED_VALUE"""),"Johnson Wagner")</f>
        <v>Johnson Wagner</v>
      </c>
      <c r="D159" s="4">
        <f ca="1">IFERROR(__xludf.DUMMYFUNCTION("""COMPUTED_VALUE"""),12491677)</f>
        <v>12491677</v>
      </c>
    </row>
    <row r="160" spans="1:4" ht="12.75">
      <c r="A160">
        <f ca="1">IFERROR(__xludf.DUMMYFUNCTION("""COMPUTED_VALUE"""),159)</f>
        <v>159</v>
      </c>
      <c r="B160">
        <f ca="1">IFERROR(__xludf.DUMMYFUNCTION("""COMPUTED_VALUE"""),159)</f>
        <v>159</v>
      </c>
      <c r="C160" t="str">
        <f ca="1">IFERROR(__xludf.DUMMYFUNCTION("""COMPUTED_VALUE"""),"José María Olazábal")</f>
        <v>José María Olazábal</v>
      </c>
      <c r="D160" s="4">
        <f ca="1">IFERROR(__xludf.DUMMYFUNCTION("""COMPUTED_VALUE"""),12335310)</f>
        <v>12335310</v>
      </c>
    </row>
    <row r="161" spans="1:4" ht="12.75">
      <c r="A161">
        <f ca="1">IFERROR(__xludf.DUMMYFUNCTION("""COMPUTED_VALUE"""),160)</f>
        <v>160</v>
      </c>
      <c r="B161">
        <f ca="1">IFERROR(__xludf.DUMMYFUNCTION("""COMPUTED_VALUE"""),160)</f>
        <v>160</v>
      </c>
      <c r="C161" t="str">
        <f ca="1">IFERROR(__xludf.DUMMYFUNCTION("""COMPUTED_VALUE"""),"Tim Petrovic")</f>
        <v>Tim Petrovic</v>
      </c>
      <c r="D161" s="4">
        <f ca="1">IFERROR(__xludf.DUMMYFUNCTION("""COMPUTED_VALUE"""),12193429)</f>
        <v>12193429</v>
      </c>
    </row>
    <row r="162" spans="1:4" ht="12.75">
      <c r="A162">
        <f ca="1">IFERROR(__xludf.DUMMYFUNCTION("""COMPUTED_VALUE"""),161)</f>
        <v>161</v>
      </c>
      <c r="B162">
        <f ca="1">IFERROR(__xludf.DUMMYFUNCTION("""COMPUTED_VALUE"""),161)</f>
        <v>161</v>
      </c>
      <c r="C162" t="str">
        <f ca="1">IFERROR(__xludf.DUMMYFUNCTION("""COMPUTED_VALUE"""),"George McNeill")</f>
        <v>George McNeill</v>
      </c>
      <c r="D162" s="4">
        <f ca="1">IFERROR(__xludf.DUMMYFUNCTION("""COMPUTED_VALUE"""),12193117)</f>
        <v>12193117</v>
      </c>
    </row>
    <row r="163" spans="1:4" ht="12.75">
      <c r="A163">
        <f ca="1">IFERROR(__xludf.DUMMYFUNCTION("""COMPUTED_VALUE"""),162)</f>
        <v>162</v>
      </c>
      <c r="B163">
        <f ca="1">IFERROR(__xludf.DUMMYFUNCTION("""COMPUTED_VALUE"""),163)</f>
        <v>163</v>
      </c>
      <c r="C163" t="str">
        <f ca="1">IFERROR(__xludf.DUMMYFUNCTION("""COMPUTED_VALUE"""),"Cameron Tringale")</f>
        <v>Cameron Tringale</v>
      </c>
      <c r="D163" s="4">
        <f ca="1">IFERROR(__xludf.DUMMYFUNCTION("""COMPUTED_VALUE"""),11993566)</f>
        <v>11993566</v>
      </c>
    </row>
    <row r="164" spans="1:4" ht="12.75">
      <c r="A164">
        <f ca="1">IFERROR(__xludf.DUMMYFUNCTION("""COMPUTED_VALUE"""),163)</f>
        <v>163</v>
      </c>
      <c r="B164">
        <f ca="1">IFERROR(__xludf.DUMMYFUNCTION("""COMPUTED_VALUE"""),162)</f>
        <v>162</v>
      </c>
      <c r="C164" t="str">
        <f ca="1">IFERROR(__xludf.DUMMYFUNCTION("""COMPUTED_VALUE"""),"Scott Stallings")</f>
        <v>Scott Stallings</v>
      </c>
      <c r="D164" s="4">
        <f ca="1">IFERROR(__xludf.DUMMYFUNCTION("""COMPUTED_VALUE"""),11953779)</f>
        <v>11953779</v>
      </c>
    </row>
    <row r="165" spans="1:4" ht="12.75">
      <c r="A165">
        <f ca="1">IFERROR(__xludf.DUMMYFUNCTION("""COMPUTED_VALUE"""),164)</f>
        <v>164</v>
      </c>
      <c r="B165">
        <f ca="1">IFERROR(__xludf.DUMMYFUNCTION("""COMPUTED_VALUE"""),164)</f>
        <v>164</v>
      </c>
      <c r="C165" t="str">
        <f ca="1">IFERROR(__xludf.DUMMYFUNCTION("""COMPUTED_VALUE"""),"Duffy Waldorf")</f>
        <v>Duffy Waldorf</v>
      </c>
      <c r="D165" s="4">
        <f ca="1">IFERROR(__xludf.DUMMYFUNCTION("""COMPUTED_VALUE"""),11932543)</f>
        <v>11932543</v>
      </c>
    </row>
    <row r="166" spans="1:4" ht="12.75">
      <c r="A166">
        <f ca="1">IFERROR(__xludf.DUMMYFUNCTION("""COMPUTED_VALUE"""),165)</f>
        <v>165</v>
      </c>
      <c r="B166">
        <f ca="1">IFERROR(__xludf.DUMMYFUNCTION("""COMPUTED_VALUE"""),165)</f>
        <v>165</v>
      </c>
      <c r="C166" t="str">
        <f ca="1">IFERROR(__xludf.DUMMYFUNCTION("""COMPUTED_VALUE"""),"D.A. Points")</f>
        <v>D.A. Points</v>
      </c>
      <c r="D166" s="4">
        <f ca="1">IFERROR(__xludf.DUMMYFUNCTION("""COMPUTED_VALUE"""),11842260)</f>
        <v>11842260</v>
      </c>
    </row>
    <row r="167" spans="1:4" ht="12.75">
      <c r="A167">
        <f ca="1">IFERROR(__xludf.DUMMYFUNCTION("""COMPUTED_VALUE"""),166)</f>
        <v>166</v>
      </c>
      <c r="B167">
        <f ca="1">IFERROR(__xludf.DUMMYFUNCTION("""COMPUTED_VALUE"""),166)</f>
        <v>166</v>
      </c>
      <c r="C167" t="str">
        <f ca="1">IFERROR(__xludf.DUMMYFUNCTION("""COMPUTED_VALUE"""),"Frank Lickliter II")</f>
        <v>Frank Lickliter II</v>
      </c>
      <c r="D167" s="4">
        <f ca="1">IFERROR(__xludf.DUMMYFUNCTION("""COMPUTED_VALUE"""),11841515)</f>
        <v>11841515</v>
      </c>
    </row>
    <row r="168" spans="1:4" ht="12.75">
      <c r="A168">
        <f ca="1">IFERROR(__xludf.DUMMYFUNCTION("""COMPUTED_VALUE"""),167)</f>
        <v>167</v>
      </c>
      <c r="B168">
        <f ca="1">IFERROR(__xludf.DUMMYFUNCTION("""COMPUTED_VALUE"""),167)</f>
        <v>167</v>
      </c>
      <c r="C168" t="str">
        <f ca="1">IFERROR(__xludf.DUMMYFUNCTION("""COMPUTED_VALUE"""),"Cameron Smith")</f>
        <v>Cameron Smith</v>
      </c>
      <c r="D168" s="4">
        <f ca="1">IFERROR(__xludf.DUMMYFUNCTION("""COMPUTED_VALUE"""),11750043)</f>
        <v>11750043</v>
      </c>
    </row>
    <row r="169" spans="1:4" ht="12.75">
      <c r="A169">
        <f ca="1">IFERROR(__xludf.DUMMYFUNCTION("""COMPUTED_VALUE"""),168)</f>
        <v>168</v>
      </c>
      <c r="B169">
        <f ca="1">IFERROR(__xludf.DUMMYFUNCTION("""COMPUTED_VALUE"""),168)</f>
        <v>168</v>
      </c>
      <c r="C169" t="str">
        <f ca="1">IFERROR(__xludf.DUMMYFUNCTION("""COMPUTED_VALUE"""),"Adam Hadwin")</f>
        <v>Adam Hadwin</v>
      </c>
      <c r="D169" s="4">
        <f ca="1">IFERROR(__xludf.DUMMYFUNCTION("""COMPUTED_VALUE"""),11749795)</f>
        <v>11749795</v>
      </c>
    </row>
    <row r="170" spans="1:4" ht="12.75">
      <c r="A170">
        <f ca="1">IFERROR(__xludf.DUMMYFUNCTION("""COMPUTED_VALUE"""),169)</f>
        <v>169</v>
      </c>
      <c r="B170">
        <f ca="1">IFERROR(__xludf.DUMMYFUNCTION("""COMPUTED_VALUE"""),169)</f>
        <v>169</v>
      </c>
      <c r="C170" t="str">
        <f ca="1">IFERROR(__xludf.DUMMYFUNCTION("""COMPUTED_VALUE"""),"Si Woo Kim")</f>
        <v>Si Woo Kim</v>
      </c>
      <c r="D170" s="4">
        <f ca="1">IFERROR(__xludf.DUMMYFUNCTION("""COMPUTED_VALUE"""),11690979)</f>
        <v>11690979</v>
      </c>
    </row>
    <row r="171" spans="1:4" ht="12.75">
      <c r="A171">
        <f ca="1">IFERROR(__xludf.DUMMYFUNCTION("""COMPUTED_VALUE"""),170)</f>
        <v>170</v>
      </c>
      <c r="B171">
        <f ca="1">IFERROR(__xludf.DUMMYFUNCTION("""COMPUTED_VALUE"""),170)</f>
        <v>170</v>
      </c>
      <c r="C171" t="str">
        <f ca="1">IFERROR(__xludf.DUMMYFUNCTION("""COMPUTED_VALUE"""),"Brendon de Jonge")</f>
        <v>Brendon de Jonge</v>
      </c>
      <c r="D171" s="4">
        <f ca="1">IFERROR(__xludf.DUMMYFUNCTION("""COMPUTED_VALUE"""),11568484)</f>
        <v>11568484</v>
      </c>
    </row>
    <row r="172" spans="1:4" ht="12.75">
      <c r="A172">
        <f ca="1">IFERROR(__xludf.DUMMYFUNCTION("""COMPUTED_VALUE"""),171)</f>
        <v>171</v>
      </c>
      <c r="B172">
        <f ca="1">IFERROR(__xludf.DUMMYFUNCTION("""COMPUTED_VALUE"""),171)</f>
        <v>171</v>
      </c>
      <c r="C172" t="str">
        <f ca="1">IFERROR(__xludf.DUMMYFUNCTION("""COMPUTED_VALUE"""),"Chris Riley")</f>
        <v>Chris Riley</v>
      </c>
      <c r="D172" s="4">
        <f ca="1">IFERROR(__xludf.DUMMYFUNCTION("""COMPUTED_VALUE"""),11525199)</f>
        <v>11525199</v>
      </c>
    </row>
    <row r="173" spans="1:4" ht="12.75">
      <c r="A173">
        <f ca="1">IFERROR(__xludf.DUMMYFUNCTION("""COMPUTED_VALUE"""),172)</f>
        <v>172</v>
      </c>
      <c r="B173">
        <f ca="1">IFERROR(__xludf.DUMMYFUNCTION("""COMPUTED_VALUE"""),172)</f>
        <v>172</v>
      </c>
      <c r="C173" t="str">
        <f ca="1">IFERROR(__xludf.DUMMYFUNCTION("""COMPUTED_VALUE"""),"Harrison Frazar")</f>
        <v>Harrison Frazar</v>
      </c>
      <c r="D173" s="4">
        <f ca="1">IFERROR(__xludf.DUMMYFUNCTION("""COMPUTED_VALUE"""),11456390)</f>
        <v>11456390</v>
      </c>
    </row>
    <row r="174" spans="1:4" ht="12.75">
      <c r="A174">
        <f ca="1">IFERROR(__xludf.DUMMYFUNCTION("""COMPUTED_VALUE"""),173)</f>
        <v>173</v>
      </c>
      <c r="B174">
        <f ca="1">IFERROR(__xludf.DUMMYFUNCTION("""COMPUTED_VALUE"""),173)</f>
        <v>173</v>
      </c>
      <c r="C174" t="str">
        <f ca="1">IFERROR(__xludf.DUMMYFUNCTION("""COMPUTED_VALUE"""),"Martin Kaymer")</f>
        <v>Martin Kaymer</v>
      </c>
      <c r="D174" s="4">
        <f ca="1">IFERROR(__xludf.DUMMYFUNCTION("""COMPUTED_VALUE"""),11304931)</f>
        <v>11304931</v>
      </c>
    </row>
    <row r="175" spans="1:4" ht="12.75">
      <c r="A175">
        <f ca="1">IFERROR(__xludf.DUMMYFUNCTION("""COMPUTED_VALUE"""),174)</f>
        <v>174</v>
      </c>
      <c r="B175">
        <f ca="1">IFERROR(__xludf.DUMMYFUNCTION("""COMPUTED_VALUE"""),174)</f>
        <v>174</v>
      </c>
      <c r="C175" t="str">
        <f ca="1">IFERROR(__xludf.DUMMYFUNCTION("""COMPUTED_VALUE"""),"Graham DeLaet")</f>
        <v>Graham DeLaet</v>
      </c>
      <c r="D175" s="4">
        <f ca="1">IFERROR(__xludf.DUMMYFUNCTION("""COMPUTED_VALUE"""),11265285)</f>
        <v>11265285</v>
      </c>
    </row>
    <row r="176" spans="1:4" ht="12.75">
      <c r="A176">
        <f ca="1">IFERROR(__xludf.DUMMYFUNCTION("""COMPUTED_VALUE"""),175)</f>
        <v>175</v>
      </c>
      <c r="B176">
        <f ca="1">IFERROR(__xludf.DUMMYFUNCTION("""COMPUTED_VALUE"""),175)</f>
        <v>175</v>
      </c>
      <c r="C176" t="str">
        <f ca="1">IFERROR(__xludf.DUMMYFUNCTION("""COMPUTED_VALUE"""),"Joey Sindelar")</f>
        <v>Joey Sindelar</v>
      </c>
      <c r="D176" s="4">
        <f ca="1">IFERROR(__xludf.DUMMYFUNCTION("""COMPUTED_VALUE"""),11196462)</f>
        <v>11196462</v>
      </c>
    </row>
    <row r="177" spans="1:4" ht="12.75">
      <c r="A177">
        <f ca="1">IFERROR(__xludf.DUMMYFUNCTION("""COMPUTED_VALUE"""),176)</f>
        <v>176</v>
      </c>
      <c r="B177">
        <f ca="1">IFERROR(__xludf.DUMMYFUNCTION("""COMPUTED_VALUE"""),176)</f>
        <v>176</v>
      </c>
      <c r="C177" t="str">
        <f ca="1">IFERROR(__xludf.DUMMYFUNCTION("""COMPUTED_VALUE"""),"Bryce Molder")</f>
        <v>Bryce Molder</v>
      </c>
      <c r="D177" s="4">
        <f ca="1">IFERROR(__xludf.DUMMYFUNCTION("""COMPUTED_VALUE"""),11142502)</f>
        <v>11142502</v>
      </c>
    </row>
    <row r="178" spans="1:4" ht="12.75">
      <c r="A178">
        <f ca="1">IFERROR(__xludf.DUMMYFUNCTION("""COMPUTED_VALUE"""),177)</f>
        <v>177</v>
      </c>
      <c r="B178">
        <f ca="1">IFERROR(__xludf.DUMMYFUNCTION("""COMPUTED_VALUE"""),177)</f>
        <v>177</v>
      </c>
      <c r="C178" t="str">
        <f ca="1">IFERROR(__xludf.DUMMYFUNCTION("""COMPUTED_VALUE"""),"Tom Watson")</f>
        <v>Tom Watson</v>
      </c>
      <c r="D178" s="4">
        <f ca="1">IFERROR(__xludf.DUMMYFUNCTION("""COMPUTED_VALUE"""),11081140)</f>
        <v>11081140</v>
      </c>
    </row>
    <row r="179" spans="1:4" ht="12.75">
      <c r="A179">
        <f ca="1">IFERROR(__xludf.DUMMYFUNCTION("""COMPUTED_VALUE"""),178)</f>
        <v>178</v>
      </c>
      <c r="B179">
        <f ca="1">IFERROR(__xludf.DUMMYFUNCTION("""COMPUTED_VALUE"""),178)</f>
        <v>178</v>
      </c>
      <c r="C179" t="str">
        <f ca="1">IFERROR(__xludf.DUMMYFUNCTION("""COMPUTED_VALUE"""),"Brett Quigley")</f>
        <v>Brett Quigley</v>
      </c>
      <c r="D179" s="4">
        <f ca="1">IFERROR(__xludf.DUMMYFUNCTION("""COMPUTED_VALUE"""),11058693)</f>
        <v>11058693</v>
      </c>
    </row>
    <row r="180" spans="1:4" ht="12.75">
      <c r="A180">
        <f ca="1">IFERROR(__xludf.DUMMYFUNCTION("""COMPUTED_VALUE"""),179)</f>
        <v>179</v>
      </c>
      <c r="B180">
        <f ca="1">IFERROR(__xludf.DUMMYFUNCTION("""COMPUTED_VALUE"""),179)</f>
        <v>179</v>
      </c>
      <c r="C180" t="str">
        <f ca="1">IFERROR(__xludf.DUMMYFUNCTION("""COMPUTED_VALUE"""),"Tom Kite")</f>
        <v>Tom Kite</v>
      </c>
      <c r="D180" s="4">
        <f ca="1">IFERROR(__xludf.DUMMYFUNCTION("""COMPUTED_VALUE"""),11041042)</f>
        <v>11041042</v>
      </c>
    </row>
    <row r="181" spans="1:4" ht="12.75">
      <c r="A181">
        <f ca="1">IFERROR(__xludf.DUMMYFUNCTION("""COMPUTED_VALUE"""),180)</f>
        <v>180</v>
      </c>
      <c r="B181">
        <f ca="1">IFERROR(__xludf.DUMMYFUNCTION("""COMPUTED_VALUE"""),180)</f>
        <v>180</v>
      </c>
      <c r="C181" t="str">
        <f ca="1">IFERROR(__xludf.DUMMYFUNCTION("""COMPUTED_VALUE"""),"D.J. Trahan")</f>
        <v>D.J. Trahan</v>
      </c>
      <c r="D181" s="4">
        <f ca="1">IFERROR(__xludf.DUMMYFUNCTION("""COMPUTED_VALUE"""),10891771)</f>
        <v>10891771</v>
      </c>
    </row>
    <row r="182" spans="1:4" ht="12.75">
      <c r="A182">
        <f ca="1">IFERROR(__xludf.DUMMYFUNCTION("""COMPUTED_VALUE"""),181)</f>
        <v>181</v>
      </c>
      <c r="B182">
        <f ca="1">IFERROR(__xludf.DUMMYFUNCTION("""COMPUTED_VALUE"""),181)</f>
        <v>181</v>
      </c>
      <c r="C182" t="str">
        <f ca="1">IFERROR(__xludf.DUMMYFUNCTION("""COMPUTED_VALUE"""),"Ken Duke")</f>
        <v>Ken Duke</v>
      </c>
      <c r="D182" s="4">
        <f ca="1">IFERROR(__xludf.DUMMYFUNCTION("""COMPUTED_VALUE"""),10836211)</f>
        <v>10836211</v>
      </c>
    </row>
    <row r="183" spans="1:4" ht="12.75">
      <c r="A183">
        <f ca="1">IFERROR(__xludf.DUMMYFUNCTION("""COMPUTED_VALUE"""),182)</f>
        <v>182</v>
      </c>
      <c r="B183">
        <f ca="1">IFERROR(__xludf.DUMMYFUNCTION("""COMPUTED_VALUE"""),182)</f>
        <v>182</v>
      </c>
      <c r="C183" t="str">
        <f ca="1">IFERROR(__xludf.DUMMYFUNCTION("""COMPUTED_VALUE"""),"William McGirt")</f>
        <v>William McGirt</v>
      </c>
      <c r="D183" s="4">
        <f ca="1">IFERROR(__xludf.DUMMYFUNCTION("""COMPUTED_VALUE"""),10715889)</f>
        <v>10715889</v>
      </c>
    </row>
    <row r="184" spans="1:4" ht="12.75">
      <c r="A184">
        <f ca="1">IFERROR(__xludf.DUMMYFUNCTION("""COMPUTED_VALUE"""),183)</f>
        <v>183</v>
      </c>
      <c r="B184">
        <f ca="1">IFERROR(__xludf.DUMMYFUNCTION("""COMPUTED_VALUE"""),183)</f>
        <v>183</v>
      </c>
      <c r="C184" t="str">
        <f ca="1">IFERROR(__xludf.DUMMYFUNCTION("""COMPUTED_VALUE"""),"Bernhard Langer")</f>
        <v>Bernhard Langer</v>
      </c>
      <c r="D184" s="4">
        <f ca="1">IFERROR(__xludf.DUMMYFUNCTION("""COMPUTED_VALUE"""),10684776)</f>
        <v>10684776</v>
      </c>
    </row>
    <row r="185" spans="1:4" ht="12.75">
      <c r="A185">
        <f ca="1">IFERROR(__xludf.DUMMYFUNCTION("""COMPUTED_VALUE"""),184)</f>
        <v>184</v>
      </c>
      <c r="B185">
        <f ca="1">IFERROR(__xludf.DUMMYFUNCTION("""COMPUTED_VALUE"""),184)</f>
        <v>184</v>
      </c>
      <c r="C185" t="str">
        <f ca="1">IFERROR(__xludf.DUMMYFUNCTION("""COMPUTED_VALUE"""),"Greg Chalmers")</f>
        <v>Greg Chalmers</v>
      </c>
      <c r="D185" s="4">
        <f ca="1">IFERROR(__xludf.DUMMYFUNCTION("""COMPUTED_VALUE"""),10635504)</f>
        <v>10635504</v>
      </c>
    </row>
    <row r="186" spans="1:4" ht="12.75">
      <c r="A186">
        <f ca="1">IFERROR(__xludf.DUMMYFUNCTION("""COMPUTED_VALUE"""),185)</f>
        <v>185</v>
      </c>
      <c r="B186">
        <f ca="1">IFERROR(__xludf.DUMMYFUNCTION("""COMPUTED_VALUE"""),185)</f>
        <v>185</v>
      </c>
      <c r="C186" t="str">
        <f ca="1">IFERROR(__xludf.DUMMYFUNCTION("""COMPUTED_VALUE"""),"Jonathan Kaye")</f>
        <v>Jonathan Kaye</v>
      </c>
      <c r="D186" s="4">
        <f ca="1">IFERROR(__xludf.DUMMYFUNCTION("""COMPUTED_VALUE"""),10597848)</f>
        <v>10597848</v>
      </c>
    </row>
    <row r="187" spans="1:4" ht="12.75">
      <c r="A187">
        <f ca="1">IFERROR(__xludf.DUMMYFUNCTION("""COMPUTED_VALUE"""),186)</f>
        <v>186</v>
      </c>
      <c r="B187">
        <f ca="1">IFERROR(__xludf.DUMMYFUNCTION("""COMPUTED_VALUE"""),186)</f>
        <v>186</v>
      </c>
      <c r="C187" t="str">
        <f ca="1">IFERROR(__xludf.DUMMYFUNCTION("""COMPUTED_VALUE"""),"Emiliano Grillo")</f>
        <v>Emiliano Grillo</v>
      </c>
      <c r="D187" s="4">
        <f ca="1">IFERROR(__xludf.DUMMYFUNCTION("""COMPUTED_VALUE"""),10585968)</f>
        <v>10585968</v>
      </c>
    </row>
    <row r="188" spans="1:4" ht="12.75">
      <c r="A188">
        <f ca="1">IFERROR(__xludf.DUMMYFUNCTION("""COMPUTED_VALUE"""),187)</f>
        <v>187</v>
      </c>
      <c r="B188">
        <f ca="1">IFERROR(__xludf.DUMMYFUNCTION("""COMPUTED_VALUE"""),191)</f>
        <v>191</v>
      </c>
      <c r="C188" t="str">
        <f ca="1">IFERROR(__xludf.DUMMYFUNCTION("""COMPUTED_VALUE"""),"Michael Thompson")</f>
        <v>Michael Thompson</v>
      </c>
      <c r="D188" s="4">
        <f ca="1">IFERROR(__xludf.DUMMYFUNCTION("""COMPUTED_VALUE"""),10333436)</f>
        <v>10333436</v>
      </c>
    </row>
    <row r="189" spans="1:4" ht="12.75">
      <c r="A189">
        <f ca="1">IFERROR(__xludf.DUMMYFUNCTION("""COMPUTED_VALUE"""),188)</f>
        <v>188</v>
      </c>
      <c r="B189">
        <f ca="1">IFERROR(__xludf.DUMMYFUNCTION("""COMPUTED_VALUE"""),187)</f>
        <v>187</v>
      </c>
      <c r="C189" t="str">
        <f ca="1">IFERROR(__xludf.DUMMYFUNCTION("""COMPUTED_VALUE"""),"James Hahn")</f>
        <v>James Hahn</v>
      </c>
      <c r="D189" s="4">
        <f ca="1">IFERROR(__xludf.DUMMYFUNCTION("""COMPUTED_VALUE"""),10317677)</f>
        <v>10317677</v>
      </c>
    </row>
    <row r="190" spans="1:4" ht="12.75">
      <c r="A190">
        <f ca="1">IFERROR(__xludf.DUMMYFUNCTION("""COMPUTED_VALUE"""),189)</f>
        <v>189</v>
      </c>
      <c r="B190">
        <f ca="1">IFERROR(__xludf.DUMMYFUNCTION("""COMPUTED_VALUE"""),188)</f>
        <v>188</v>
      </c>
      <c r="C190" t="str">
        <f ca="1">IFERROR(__xludf.DUMMYFUNCTION("""COMPUTED_VALUE"""),"John Daly")</f>
        <v>John Daly</v>
      </c>
      <c r="D190" s="4">
        <f ca="1">IFERROR(__xludf.DUMMYFUNCTION("""COMPUTED_VALUE"""),10270681)</f>
        <v>10270681</v>
      </c>
    </row>
    <row r="191" spans="1:4" ht="12.75">
      <c r="A191">
        <f ca="1">IFERROR(__xludf.DUMMYFUNCTION("""COMPUTED_VALUE"""),190)</f>
        <v>190</v>
      </c>
      <c r="B191">
        <f ca="1">IFERROR(__xludf.DUMMYFUNCTION("""COMPUTED_VALUE"""),189)</f>
        <v>189</v>
      </c>
      <c r="C191" t="str">
        <f ca="1">IFERROR(__xludf.DUMMYFUNCTION("""COMPUTED_VALUE"""),"Brendon Todd")</f>
        <v>Brendon Todd</v>
      </c>
      <c r="D191" s="4">
        <f ca="1">IFERROR(__xludf.DUMMYFUNCTION("""COMPUTED_VALUE"""),10232815)</f>
        <v>10232815</v>
      </c>
    </row>
    <row r="192" spans="1:4" ht="12.75">
      <c r="A192">
        <f ca="1">IFERROR(__xludf.DUMMYFUNCTION("""COMPUTED_VALUE"""),191)</f>
        <v>191</v>
      </c>
      <c r="B192">
        <f ca="1">IFERROR(__xludf.DUMMYFUNCTION("""COMPUTED_VALUE"""),190)</f>
        <v>190</v>
      </c>
      <c r="C192" t="str">
        <f ca="1">IFERROR(__xludf.DUMMYFUNCTION("""COMPUTED_VALUE"""),"Matt Every")</f>
        <v>Matt Every</v>
      </c>
      <c r="D192" s="4">
        <f ca="1">IFERROR(__xludf.DUMMYFUNCTION("""COMPUTED_VALUE"""),10230834)</f>
        <v>10230834</v>
      </c>
    </row>
    <row r="193" spans="1:4" ht="12.75">
      <c r="A193">
        <f ca="1">IFERROR(__xludf.DUMMYFUNCTION("""COMPUTED_VALUE"""),192)</f>
        <v>192</v>
      </c>
      <c r="B193">
        <f ca="1">IFERROR(__xludf.DUMMYFUNCTION("""COMPUTED_VALUE"""),192)</f>
        <v>192</v>
      </c>
      <c r="C193" t="str">
        <f ca="1">IFERROR(__xludf.DUMMYFUNCTION("""COMPUTED_VALUE"""),"Joe Ogilvie")</f>
        <v>Joe Ogilvie</v>
      </c>
      <c r="D193" s="4">
        <f ca="1">IFERROR(__xludf.DUMMYFUNCTION("""COMPUTED_VALUE"""),10149923)</f>
        <v>10149923</v>
      </c>
    </row>
    <row r="194" spans="1:4" ht="12.75">
      <c r="A194">
        <f ca="1">IFERROR(__xludf.DUMMYFUNCTION("""COMPUTED_VALUE"""),193)</f>
        <v>193</v>
      </c>
      <c r="B194">
        <f ca="1">IFERROR(__xludf.DUMMYFUNCTION("""COMPUTED_VALUE"""),193)</f>
        <v>193</v>
      </c>
      <c r="C194" t="str">
        <f ca="1">IFERROR(__xludf.DUMMYFUNCTION("""COMPUTED_VALUE"""),"Brian Stuard")</f>
        <v>Brian Stuard</v>
      </c>
      <c r="D194" s="4">
        <f ca="1">IFERROR(__xludf.DUMMYFUNCTION("""COMPUTED_VALUE"""),10134981)</f>
        <v>10134981</v>
      </c>
    </row>
    <row r="195" spans="1:4" ht="12.75">
      <c r="A195">
        <f ca="1">IFERROR(__xludf.DUMMYFUNCTION("""COMPUTED_VALUE"""),194)</f>
        <v>194</v>
      </c>
      <c r="B195">
        <f ca="1">IFERROR(__xludf.DUMMYFUNCTION("""COMPUTED_VALUE"""),196)</f>
        <v>196</v>
      </c>
      <c r="C195" t="str">
        <f ca="1">IFERROR(__xludf.DUMMYFUNCTION("""COMPUTED_VALUE"""),"Scott Brown")</f>
        <v>Scott Brown</v>
      </c>
      <c r="D195" s="4">
        <f ca="1">IFERROR(__xludf.DUMMYFUNCTION("""COMPUTED_VALUE"""),10093313)</f>
        <v>10093313</v>
      </c>
    </row>
    <row r="196" spans="1:4" ht="12.75">
      <c r="A196">
        <f ca="1">IFERROR(__xludf.DUMMYFUNCTION("""COMPUTED_VALUE"""),195)</f>
        <v>195</v>
      </c>
      <c r="B196">
        <f ca="1">IFERROR(__xludf.DUMMYFUNCTION("""COMPUTED_VALUE"""),194)</f>
        <v>194</v>
      </c>
      <c r="C196" t="str">
        <f ca="1">IFERROR(__xludf.DUMMYFUNCTION("""COMPUTED_VALUE"""),"Charlie Wi")</f>
        <v>Charlie Wi</v>
      </c>
      <c r="D196" s="4">
        <f ca="1">IFERROR(__xludf.DUMMYFUNCTION("""COMPUTED_VALUE"""),10079659)</f>
        <v>10079659</v>
      </c>
    </row>
    <row r="197" spans="1:4" ht="12.75">
      <c r="A197">
        <f ca="1">IFERROR(__xludf.DUMMYFUNCTION("""COMPUTED_VALUE"""),196)</f>
        <v>196</v>
      </c>
      <c r="B197">
        <f ca="1">IFERROR(__xludf.DUMMYFUNCTION("""COMPUTED_VALUE"""),195)</f>
        <v>195</v>
      </c>
      <c r="C197" t="str">
        <f ca="1">IFERROR(__xludf.DUMMYFUNCTION("""COMPUTED_VALUE"""),"Jonas Blixt")</f>
        <v>Jonas Blixt</v>
      </c>
      <c r="D197" s="4">
        <f ca="1">IFERROR(__xludf.DUMMYFUNCTION("""COMPUTED_VALUE"""),10059472)</f>
        <v>10059472</v>
      </c>
    </row>
    <row r="198" spans="1:4" ht="12.75">
      <c r="A198">
        <f ca="1">IFERROR(__xludf.DUMMYFUNCTION("""COMPUTED_VALUE"""),197)</f>
        <v>197</v>
      </c>
      <c r="B198">
        <f ca="1">IFERROR(__xludf.DUMMYFUNCTION("""COMPUTED_VALUE"""),197)</f>
        <v>197</v>
      </c>
      <c r="C198" t="str">
        <f ca="1">IFERROR(__xludf.DUMMYFUNCTION("""COMPUTED_VALUE"""),"Craig Stadler")</f>
        <v>Craig Stadler</v>
      </c>
      <c r="D198" s="4">
        <f ca="1">IFERROR(__xludf.DUMMYFUNCTION("""COMPUTED_VALUE"""),10021897)</f>
        <v>10021897</v>
      </c>
    </row>
    <row r="199" spans="1:4" ht="12.75">
      <c r="A199">
        <f ca="1">IFERROR(__xludf.DUMMYFUNCTION("""COMPUTED_VALUE"""),198)</f>
        <v>198</v>
      </c>
      <c r="B199">
        <f ca="1">IFERROR(__xludf.DUMMYFUNCTION("""COMPUTED_VALUE"""),198)</f>
        <v>198</v>
      </c>
      <c r="C199" t="str">
        <f ca="1">IFERROR(__xludf.DUMMYFUNCTION("""COMPUTED_VALUE"""),"Robert Streb")</f>
        <v>Robert Streb</v>
      </c>
      <c r="D199" s="4">
        <f ca="1">IFERROR(__xludf.DUMMYFUNCTION("""COMPUTED_VALUE"""),9965729)</f>
        <v>9965729</v>
      </c>
    </row>
    <row r="200" spans="1:4" ht="12.75">
      <c r="A200">
        <f ca="1">IFERROR(__xludf.DUMMYFUNCTION("""COMPUTED_VALUE"""),199)</f>
        <v>199</v>
      </c>
      <c r="B200">
        <f ca="1">IFERROR(__xludf.DUMMYFUNCTION("""COMPUTED_VALUE"""),199)</f>
        <v>199</v>
      </c>
      <c r="C200" t="str">
        <f ca="1">IFERROR(__xludf.DUMMYFUNCTION("""COMPUTED_VALUE"""),"Cameron Beckman")</f>
        <v>Cameron Beckman</v>
      </c>
      <c r="D200" s="4">
        <f ca="1">IFERROR(__xludf.DUMMYFUNCTION("""COMPUTED_VALUE"""),9870919)</f>
        <v>9870919</v>
      </c>
    </row>
    <row r="201" spans="1:4" ht="12.75">
      <c r="A201">
        <f ca="1">IFERROR(__xludf.DUMMYFUNCTION("""COMPUTED_VALUE"""),200)</f>
        <v>200</v>
      </c>
      <c r="B201">
        <f ca="1">IFERROR(__xludf.DUMMYFUNCTION("""COMPUTED_VALUE"""),200)</f>
        <v>200</v>
      </c>
      <c r="C201" t="str">
        <f ca="1">IFERROR(__xludf.DUMMYFUNCTION("""COMPUTED_VALUE"""),"David Hearn")</f>
        <v>David Hearn</v>
      </c>
      <c r="D201" s="4">
        <f ca="1">IFERROR(__xludf.DUMMYFUNCTION("""COMPUTED_VALUE"""),9836279)</f>
        <v>9836279</v>
      </c>
    </row>
    <row r="202" spans="1:4" ht="12.75">
      <c r="A202">
        <f ca="1">IFERROR(__xludf.DUMMYFUNCTION("""COMPUTED_VALUE"""),201)</f>
        <v>201</v>
      </c>
      <c r="B202">
        <f ca="1">IFERROR(__xludf.DUMMYFUNCTION("""COMPUTED_VALUE"""),201)</f>
        <v>201</v>
      </c>
      <c r="C202" t="str">
        <f ca="1">IFERROR(__xludf.DUMMYFUNCTION("""COMPUTED_VALUE"""),"Tommy Fleetwood")</f>
        <v>Tommy Fleetwood</v>
      </c>
      <c r="D202" s="4">
        <f ca="1">IFERROR(__xludf.DUMMYFUNCTION("""COMPUTED_VALUE"""),9826200)</f>
        <v>9826200</v>
      </c>
    </row>
    <row r="203" spans="1:4" ht="12.75">
      <c r="A203">
        <f ca="1">IFERROR(__xludf.DUMMYFUNCTION("""COMPUTED_VALUE"""),202)</f>
        <v>202</v>
      </c>
      <c r="B203">
        <f ca="1">IFERROR(__xludf.DUMMYFUNCTION("""COMPUTED_VALUE"""),202)</f>
        <v>202</v>
      </c>
      <c r="C203" t="str">
        <f ca="1">IFERROR(__xludf.DUMMYFUNCTION("""COMPUTED_VALUE"""),"Bart Bryant")</f>
        <v>Bart Bryant</v>
      </c>
      <c r="D203" s="4">
        <f ca="1">IFERROR(__xludf.DUMMYFUNCTION("""COMPUTED_VALUE"""),9713852)</f>
        <v>9713852</v>
      </c>
    </row>
    <row r="204" spans="1:4" ht="12.75">
      <c r="A204">
        <f ca="1">IFERROR(__xludf.DUMMYFUNCTION("""COMPUTED_VALUE"""),203)</f>
        <v>203</v>
      </c>
      <c r="B204">
        <f ca="1">IFERROR(__xludf.DUMMYFUNCTION("""COMPUTED_VALUE"""),203)</f>
        <v>203</v>
      </c>
      <c r="C204" t="str">
        <f ca="1">IFERROR(__xludf.DUMMYFUNCTION("""COMPUTED_VALUE"""),"Kevin Stadler")</f>
        <v>Kevin Stadler</v>
      </c>
      <c r="D204" s="4">
        <f ca="1">IFERROR(__xludf.DUMMYFUNCTION("""COMPUTED_VALUE"""),9698197)</f>
        <v>9698197</v>
      </c>
    </row>
    <row r="205" spans="1:4" ht="12.75">
      <c r="A205">
        <f ca="1">IFERROR(__xludf.DUMMYFUNCTION("""COMPUTED_VALUE"""),204)</f>
        <v>204</v>
      </c>
      <c r="B205">
        <f ca="1">IFERROR(__xludf.DUMMYFUNCTION("""COMPUTED_VALUE"""),204)</f>
        <v>204</v>
      </c>
      <c r="C205" t="str">
        <f ca="1">IFERROR(__xludf.DUMMYFUNCTION("""COMPUTED_VALUE"""),"Andres Romero")</f>
        <v>Andres Romero</v>
      </c>
      <c r="D205" s="4">
        <f ca="1">IFERROR(__xludf.DUMMYFUNCTION("""COMPUTED_VALUE"""),9682051)</f>
        <v>9682051</v>
      </c>
    </row>
    <row r="206" spans="1:4" ht="12.75">
      <c r="A206">
        <f ca="1">IFERROR(__xludf.DUMMYFUNCTION("""COMPUTED_VALUE"""),205)</f>
        <v>205</v>
      </c>
      <c r="B206">
        <f ca="1">IFERROR(__xludf.DUMMYFUNCTION("""COMPUTED_VALUE"""),205)</f>
        <v>205</v>
      </c>
      <c r="C206" t="str">
        <f ca="1">IFERROR(__xludf.DUMMYFUNCTION("""COMPUTED_VALUE"""),"Rich Beem")</f>
        <v>Rich Beem</v>
      </c>
      <c r="D206" s="4">
        <f ca="1">IFERROR(__xludf.DUMMYFUNCTION("""COMPUTED_VALUE"""),9656392)</f>
        <v>9656392</v>
      </c>
    </row>
    <row r="207" spans="1:4" ht="12.75">
      <c r="A207">
        <f ca="1">IFERROR(__xludf.DUMMYFUNCTION("""COMPUTED_VALUE"""),206)</f>
        <v>206</v>
      </c>
      <c r="B207">
        <f ca="1">IFERROR(__xludf.DUMMYFUNCTION("""COMPUTED_VALUE"""),206)</f>
        <v>206</v>
      </c>
      <c r="C207" t="str">
        <f ca="1">IFERROR(__xludf.DUMMYFUNCTION("""COMPUTED_VALUE"""),"Peter Lonard")</f>
        <v>Peter Lonard</v>
      </c>
      <c r="D207" s="4">
        <f ca="1">IFERROR(__xludf.DUMMYFUNCTION("""COMPUTED_VALUE"""),9501202)</f>
        <v>9501202</v>
      </c>
    </row>
    <row r="208" spans="1:4" ht="12.75">
      <c r="A208">
        <f ca="1">IFERROR(__xludf.DUMMYFUNCTION("""COMPUTED_VALUE"""),207)</f>
        <v>207</v>
      </c>
      <c r="B208">
        <f ca="1">IFERROR(__xludf.DUMMYFUNCTION("""COMPUTED_VALUE"""),207)</f>
        <v>207</v>
      </c>
      <c r="C208" t="str">
        <f ca="1">IFERROR(__xludf.DUMMYFUNCTION("""COMPUTED_VALUE"""),"Tommy Armour III")</f>
        <v>Tommy Armour III</v>
      </c>
      <c r="D208" s="4">
        <f ca="1">IFERROR(__xludf.DUMMYFUNCTION("""COMPUTED_VALUE"""),9458248)</f>
        <v>9458248</v>
      </c>
    </row>
    <row r="209" spans="1:4" ht="12.75">
      <c r="A209">
        <f ca="1">IFERROR(__xludf.DUMMYFUNCTION("""COMPUTED_VALUE"""),208)</f>
        <v>208</v>
      </c>
      <c r="B209">
        <f ca="1">IFERROR(__xludf.DUMMYFUNCTION("""COMPUTED_VALUE"""),208)</f>
        <v>208</v>
      </c>
      <c r="C209" t="str">
        <f ca="1">IFERROR(__xludf.DUMMYFUNCTION("""COMPUTED_VALUE"""),"Mark Brooks")</f>
        <v>Mark Brooks</v>
      </c>
      <c r="D209" s="4">
        <f ca="1">IFERROR(__xludf.DUMMYFUNCTION("""COMPUTED_VALUE"""),9455441)</f>
        <v>9455441</v>
      </c>
    </row>
    <row r="210" spans="1:4" ht="12.75">
      <c r="A210">
        <f ca="1">IFERROR(__xludf.DUMMYFUNCTION("""COMPUTED_VALUE"""),209)</f>
        <v>209</v>
      </c>
      <c r="B210">
        <f ca="1">IFERROR(__xludf.DUMMYFUNCTION("""COMPUTED_VALUE"""),209)</f>
        <v>209</v>
      </c>
      <c r="C210" t="str">
        <f ca="1">IFERROR(__xludf.DUMMYFUNCTION("""COMPUTED_VALUE"""),"Carlos Franco")</f>
        <v>Carlos Franco</v>
      </c>
      <c r="D210" s="4">
        <f ca="1">IFERROR(__xludf.DUMMYFUNCTION("""COMPUTED_VALUE"""),9437758)</f>
        <v>9437758</v>
      </c>
    </row>
    <row r="211" spans="1:4" ht="12.75">
      <c r="A211">
        <f ca="1">IFERROR(__xludf.DUMMYFUNCTION("""COMPUTED_VALUE"""),210)</f>
        <v>210</v>
      </c>
      <c r="B211">
        <f ca="1">IFERROR(__xludf.DUMMYFUNCTION("""COMPUTED_VALUE"""),210)</f>
        <v>210</v>
      </c>
      <c r="C211" t="str">
        <f ca="1">IFERROR(__xludf.DUMMYFUNCTION("""COMPUTED_VALUE"""),"Sung Kang")</f>
        <v>Sung Kang</v>
      </c>
      <c r="D211" s="4">
        <f ca="1">IFERROR(__xludf.DUMMYFUNCTION("""COMPUTED_VALUE"""),9437540)</f>
        <v>9437540</v>
      </c>
    </row>
    <row r="212" spans="1:4" ht="12.75">
      <c r="A212">
        <f ca="1">IFERROR(__xludf.DUMMYFUNCTION("""COMPUTED_VALUE"""),211)</f>
        <v>211</v>
      </c>
      <c r="B212">
        <f ca="1">IFERROR(__xludf.DUMMYFUNCTION("""COMPUTED_VALUE"""),212)</f>
        <v>212</v>
      </c>
      <c r="C212" t="str">
        <f ca="1">IFERROR(__xludf.DUMMYFUNCTION("""COMPUTED_VALUE"""),"Troy Merritt")</f>
        <v>Troy Merritt</v>
      </c>
      <c r="D212" s="4">
        <f ca="1">IFERROR(__xludf.DUMMYFUNCTION("""COMPUTED_VALUE"""),9405708)</f>
        <v>9405708</v>
      </c>
    </row>
    <row r="213" spans="1:4" ht="12.75">
      <c r="A213">
        <f ca="1">IFERROR(__xludf.DUMMYFUNCTION("""COMPUTED_VALUE"""),212)</f>
        <v>212</v>
      </c>
      <c r="B213">
        <f ca="1">IFERROR(__xludf.DUMMYFUNCTION("""COMPUTED_VALUE"""),211)</f>
        <v>211</v>
      </c>
      <c r="C213" t="str">
        <f ca="1">IFERROR(__xludf.DUMMYFUNCTION("""COMPUTED_VALUE"""),"Troy Matteson")</f>
        <v>Troy Matteson</v>
      </c>
      <c r="D213" s="4">
        <f ca="1">IFERROR(__xludf.DUMMYFUNCTION("""COMPUTED_VALUE"""),9392206)</f>
        <v>9392206</v>
      </c>
    </row>
    <row r="214" spans="1:4" ht="12.75">
      <c r="A214">
        <f ca="1">IFERROR(__xludf.DUMMYFUNCTION("""COMPUTED_VALUE"""),213)</f>
        <v>213</v>
      </c>
      <c r="B214">
        <f ca="1">IFERROR(__xludf.DUMMYFUNCTION("""COMPUTED_VALUE"""),213)</f>
        <v>213</v>
      </c>
      <c r="C214" t="str">
        <f ca="1">IFERROR(__xludf.DUMMYFUNCTION("""COMPUTED_VALUE"""),"Branden Grace")</f>
        <v>Branden Grace</v>
      </c>
      <c r="D214" s="4">
        <f ca="1">IFERROR(__xludf.DUMMYFUNCTION("""COMPUTED_VALUE"""),9340382)</f>
        <v>9340382</v>
      </c>
    </row>
    <row r="215" spans="1:4" ht="12.75">
      <c r="A215">
        <f ca="1">IFERROR(__xludf.DUMMYFUNCTION("""COMPUTED_VALUE"""),214)</f>
        <v>214</v>
      </c>
      <c r="B215">
        <f ca="1">IFERROR(__xludf.DUMMYFUNCTION("""COMPUTED_VALUE"""),214)</f>
        <v>214</v>
      </c>
      <c r="C215" t="str">
        <f ca="1">IFERROR(__xludf.DUMMYFUNCTION("""COMPUTED_VALUE"""),"Glen Day")</f>
        <v>Glen Day</v>
      </c>
      <c r="D215" s="4">
        <f ca="1">IFERROR(__xludf.DUMMYFUNCTION("""COMPUTED_VALUE"""),9241922)</f>
        <v>9241922</v>
      </c>
    </row>
    <row r="216" spans="1:4" ht="12.75">
      <c r="A216">
        <f ca="1">IFERROR(__xludf.DUMMYFUNCTION("""COMPUTED_VALUE"""),215)</f>
        <v>215</v>
      </c>
      <c r="B216">
        <f ca="1">IFERROR(__xludf.DUMMYFUNCTION("""COMPUTED_VALUE"""),215)</f>
        <v>215</v>
      </c>
      <c r="C216" t="str">
        <f ca="1">IFERROR(__xludf.DUMMYFUNCTION("""COMPUTED_VALUE"""),"Byeong Hun An")</f>
        <v>Byeong Hun An</v>
      </c>
      <c r="D216" s="4">
        <f ca="1">IFERROR(__xludf.DUMMYFUNCTION("""COMPUTED_VALUE"""),9235350)</f>
        <v>9235350</v>
      </c>
    </row>
    <row r="217" spans="1:4" ht="12.75">
      <c r="A217">
        <f ca="1">IFERROR(__xludf.DUMMYFUNCTION("""COMPUTED_VALUE"""),216)</f>
        <v>216</v>
      </c>
      <c r="B217">
        <f ca="1">IFERROR(__xludf.DUMMYFUNCTION("""COMPUTED_VALUE"""),216)</f>
        <v>216</v>
      </c>
      <c r="C217" t="str">
        <f ca="1">IFERROR(__xludf.DUMMYFUNCTION("""COMPUTED_VALUE"""),"Ryuji Imada")</f>
        <v>Ryuji Imada</v>
      </c>
      <c r="D217" s="4">
        <f ca="1">IFERROR(__xludf.DUMMYFUNCTION("""COMPUTED_VALUE"""),9213425)</f>
        <v>9213425</v>
      </c>
    </row>
    <row r="218" spans="1:4" ht="12.75">
      <c r="A218">
        <f ca="1">IFERROR(__xludf.DUMMYFUNCTION("""COMPUTED_VALUE"""),217)</f>
        <v>217</v>
      </c>
      <c r="B218">
        <f ca="1">IFERROR(__xludf.DUMMYFUNCTION("""COMPUTED_VALUE"""),217)</f>
        <v>217</v>
      </c>
      <c r="C218" t="str">
        <f ca="1">IFERROR(__xludf.DUMMYFUNCTION("""COMPUTED_VALUE"""),"David Frost")</f>
        <v>David Frost</v>
      </c>
      <c r="D218" s="4">
        <f ca="1">IFERROR(__xludf.DUMMYFUNCTION("""COMPUTED_VALUE"""),9195639)</f>
        <v>9195639</v>
      </c>
    </row>
    <row r="219" spans="1:4" ht="12.75">
      <c r="A219">
        <f ca="1">IFERROR(__xludf.DUMMYFUNCTION("""COMPUTED_VALUE"""),218)</f>
        <v>218</v>
      </c>
      <c r="B219">
        <f ca="1">IFERROR(__xludf.DUMMYFUNCTION("""COMPUTED_VALUE"""),218)</f>
        <v>218</v>
      </c>
      <c r="C219" t="str">
        <f ca="1">IFERROR(__xludf.DUMMYFUNCTION("""COMPUTED_VALUE"""),"Shaun Micheel")</f>
        <v>Shaun Micheel</v>
      </c>
      <c r="D219" s="4">
        <f ca="1">IFERROR(__xludf.DUMMYFUNCTION("""COMPUTED_VALUE"""),9139260)</f>
        <v>9139260</v>
      </c>
    </row>
    <row r="220" spans="1:4" ht="12.75">
      <c r="A220">
        <f ca="1">IFERROR(__xludf.DUMMYFUNCTION("""COMPUTED_VALUE"""),219)</f>
        <v>219</v>
      </c>
      <c r="B220">
        <f ca="1">IFERROR(__xludf.DUMMYFUNCTION("""COMPUTED_VALUE"""),219)</f>
        <v>219</v>
      </c>
      <c r="C220" t="str">
        <f ca="1">IFERROR(__xludf.DUMMYFUNCTION("""COMPUTED_VALUE"""),"John Merrick")</f>
        <v>John Merrick</v>
      </c>
      <c r="D220" s="4">
        <f ca="1">IFERROR(__xludf.DUMMYFUNCTION("""COMPUTED_VALUE"""),9137048)</f>
        <v>9137048</v>
      </c>
    </row>
    <row r="221" spans="1:4" ht="12.75">
      <c r="A221">
        <f ca="1">IFERROR(__xludf.DUMMYFUNCTION("""COMPUTED_VALUE"""),220)</f>
        <v>220</v>
      </c>
      <c r="B221">
        <f ca="1">IFERROR(__xludf.DUMMYFUNCTION("""COMPUTED_VALUE"""),225)</f>
        <v>225</v>
      </c>
      <c r="C221" t="str">
        <f ca="1">IFERROR(__xludf.DUMMYFUNCTION("""COMPUTED_VALUE"""),"Tyrrell Hatton")</f>
        <v>Tyrrell Hatton</v>
      </c>
      <c r="D221" s="4">
        <f ca="1">IFERROR(__xludf.DUMMYFUNCTION("""COMPUTED_VALUE"""),9121522)</f>
        <v>9121522</v>
      </c>
    </row>
    <row r="222" spans="1:4" ht="12.75">
      <c r="A222">
        <f ca="1">IFERROR(__xludf.DUMMYFUNCTION("""COMPUTED_VALUE"""),221)</f>
        <v>221</v>
      </c>
      <c r="B222">
        <f ca="1">IFERROR(__xludf.DUMMYFUNCTION("""COMPUTED_VALUE"""),220)</f>
        <v>220</v>
      </c>
      <c r="C222" t="str">
        <f ca="1">IFERROR(__xludf.DUMMYFUNCTION("""COMPUTED_VALUE"""),"Bud Cauley")</f>
        <v>Bud Cauley</v>
      </c>
      <c r="D222" s="4">
        <f ca="1">IFERROR(__xludf.DUMMYFUNCTION("""COMPUTED_VALUE"""),9048687)</f>
        <v>9048687</v>
      </c>
    </row>
    <row r="223" spans="1:4" ht="12.75">
      <c r="A223">
        <f ca="1">IFERROR(__xludf.DUMMYFUNCTION("""COMPUTED_VALUE"""),222)</f>
        <v>222</v>
      </c>
      <c r="B223">
        <f ca="1">IFERROR(__xludf.DUMMYFUNCTION("""COMPUTED_VALUE"""),221)</f>
        <v>221</v>
      </c>
      <c r="C223" t="str">
        <f ca="1">IFERROR(__xludf.DUMMYFUNCTION("""COMPUTED_VALUE"""),"Brandt Jobe")</f>
        <v>Brandt Jobe</v>
      </c>
      <c r="D223" s="4">
        <f ca="1">IFERROR(__xludf.DUMMYFUNCTION("""COMPUTED_VALUE"""),9000273)</f>
        <v>9000273</v>
      </c>
    </row>
    <row r="224" spans="1:4" ht="12.75">
      <c r="A224">
        <f ca="1">IFERROR(__xludf.DUMMYFUNCTION("""COMPUTED_VALUE"""),223)</f>
        <v>223</v>
      </c>
      <c r="B224">
        <f ca="1">IFERROR(__xludf.DUMMYFUNCTION("""COMPUTED_VALUE"""),222)</f>
        <v>222</v>
      </c>
      <c r="C224" t="str">
        <f ca="1">IFERROR(__xludf.DUMMYFUNCTION("""COMPUTED_VALUE"""),"Daniel Summerhays")</f>
        <v>Daniel Summerhays</v>
      </c>
      <c r="D224" s="4">
        <f ca="1">IFERROR(__xludf.DUMMYFUNCTION("""COMPUTED_VALUE"""),8941409)</f>
        <v>8941409</v>
      </c>
    </row>
    <row r="225" spans="1:4" ht="12.75">
      <c r="A225">
        <f ca="1">IFERROR(__xludf.DUMMYFUNCTION("""COMPUTED_VALUE"""),224)</f>
        <v>224</v>
      </c>
      <c r="B225">
        <f ca="1">IFERROR(__xludf.DUMMYFUNCTION("""COMPUTED_VALUE"""),224)</f>
        <v>224</v>
      </c>
      <c r="C225" t="str">
        <f ca="1">IFERROR(__xludf.DUMMYFUNCTION("""COMPUTED_VALUE"""),"John Huh")</f>
        <v>John Huh</v>
      </c>
      <c r="D225" s="4">
        <f ca="1">IFERROR(__xludf.DUMMYFUNCTION("""COMPUTED_VALUE"""),8930355)</f>
        <v>8930355</v>
      </c>
    </row>
    <row r="226" spans="1:4" ht="12.75">
      <c r="A226">
        <f ca="1">IFERROR(__xludf.DUMMYFUNCTION("""COMPUTED_VALUE"""),225)</f>
        <v>225</v>
      </c>
      <c r="B226">
        <f ca="1">IFERROR(__xludf.DUMMYFUNCTION("""COMPUTED_VALUE"""),223)</f>
        <v>223</v>
      </c>
      <c r="C226" t="str">
        <f ca="1">IFERROR(__xludf.DUMMYFUNCTION("""COMPUTED_VALUE"""),"Dean Wilson")</f>
        <v>Dean Wilson</v>
      </c>
      <c r="D226" s="4">
        <f ca="1">IFERROR(__xludf.DUMMYFUNCTION("""COMPUTED_VALUE"""),8924744)</f>
        <v>8924744</v>
      </c>
    </row>
    <row r="227" spans="1:4" ht="12.75">
      <c r="A227">
        <f ca="1">IFERROR(__xludf.DUMMYFUNCTION("""COMPUTED_VALUE"""),226)</f>
        <v>226</v>
      </c>
      <c r="B227">
        <f ca="1">IFERROR(__xludf.DUMMYFUNCTION("""COMPUTED_VALUE"""),226)</f>
        <v>226</v>
      </c>
      <c r="C227" t="str">
        <f ca="1">IFERROR(__xludf.DUMMYFUNCTION("""COMPUTED_VALUE"""),"David Lingmerth")</f>
        <v>David Lingmerth</v>
      </c>
      <c r="D227" s="4">
        <f ca="1">IFERROR(__xludf.DUMMYFUNCTION("""COMPUTED_VALUE"""),8813855)</f>
        <v>8813855</v>
      </c>
    </row>
    <row r="228" spans="1:4" ht="12.75">
      <c r="A228">
        <f ca="1">IFERROR(__xludf.DUMMYFUNCTION("""COMPUTED_VALUE"""),227)</f>
        <v>227</v>
      </c>
      <c r="B228">
        <f ca="1">IFERROR(__xludf.DUMMYFUNCTION("""COMPUTED_VALUE"""),227)</f>
        <v>227</v>
      </c>
      <c r="C228" t="str">
        <f ca="1">IFERROR(__xludf.DUMMYFUNCTION("""COMPUTED_VALUE"""),"Y.E. Yang")</f>
        <v>Y.E. Yang</v>
      </c>
      <c r="D228" s="4">
        <f ca="1">IFERROR(__xludf.DUMMYFUNCTION("""COMPUTED_VALUE"""),8768257)</f>
        <v>8768257</v>
      </c>
    </row>
    <row r="229" spans="1:4" ht="12.75">
      <c r="A229">
        <f ca="1">IFERROR(__xludf.DUMMYFUNCTION("""COMPUTED_VALUE"""),228)</f>
        <v>228</v>
      </c>
      <c r="B229">
        <f ca="1">IFERROR(__xludf.DUMMYFUNCTION("""COMPUTED_VALUE"""),228)</f>
        <v>228</v>
      </c>
      <c r="C229" t="str">
        <f ca="1">IFERROR(__xludf.DUMMYFUNCTION("""COMPUTED_VALUE"""),"Ricky Barnes")</f>
        <v>Ricky Barnes</v>
      </c>
      <c r="D229" s="4">
        <f ca="1">IFERROR(__xludf.DUMMYFUNCTION("""COMPUTED_VALUE"""),8714374)</f>
        <v>8714374</v>
      </c>
    </row>
    <row r="230" spans="1:4" ht="12.75">
      <c r="A230">
        <f ca="1">IFERROR(__xludf.DUMMYFUNCTION("""COMPUTED_VALUE"""),229)</f>
        <v>229</v>
      </c>
      <c r="B230">
        <f ca="1">IFERROR(__xludf.DUMMYFUNCTION("""COMPUTED_VALUE"""),229)</f>
        <v>229</v>
      </c>
      <c r="C230" t="str">
        <f ca="1">IFERROR(__xludf.DUMMYFUNCTION("""COMPUTED_VALUE"""),"Robert Gamez")</f>
        <v>Robert Gamez</v>
      </c>
      <c r="D230" s="4">
        <f ca="1">IFERROR(__xludf.DUMMYFUNCTION("""COMPUTED_VALUE"""),8712304)</f>
        <v>8712304</v>
      </c>
    </row>
    <row r="231" spans="1:4" ht="12.75">
      <c r="A231">
        <f ca="1">IFERROR(__xludf.DUMMYFUNCTION("""COMPUTED_VALUE"""),230)</f>
        <v>230</v>
      </c>
      <c r="B231">
        <f ca="1">IFERROR(__xludf.DUMMYFUNCTION("""COMPUTED_VALUE"""),230)</f>
        <v>230</v>
      </c>
      <c r="C231" t="str">
        <f ca="1">IFERROR(__xludf.DUMMYFUNCTION("""COMPUTED_VALUE"""),"Darren Clarke")</f>
        <v>Darren Clarke</v>
      </c>
      <c r="D231" s="4">
        <f ca="1">IFERROR(__xludf.DUMMYFUNCTION("""COMPUTED_VALUE"""),8694752)</f>
        <v>8694752</v>
      </c>
    </row>
    <row r="232" spans="1:4" ht="12.75">
      <c r="A232">
        <f ca="1">IFERROR(__xludf.DUMMYFUNCTION("""COMPUTED_VALUE"""),231)</f>
        <v>231</v>
      </c>
      <c r="B232">
        <f ca="1">IFERROR(__xludf.DUMMYFUNCTION("""COMPUTED_VALUE"""),231)</f>
        <v>231</v>
      </c>
      <c r="C232" t="str">
        <f ca="1">IFERROR(__xludf.DUMMYFUNCTION("""COMPUTED_VALUE"""),"Dan Forsman")</f>
        <v>Dan Forsman</v>
      </c>
      <c r="D232" s="4">
        <f ca="1">IFERROR(__xludf.DUMMYFUNCTION("""COMPUTED_VALUE"""),8687983)</f>
        <v>8687983</v>
      </c>
    </row>
    <row r="233" spans="1:4" ht="12.75">
      <c r="A233">
        <f ca="1">IFERROR(__xludf.DUMMYFUNCTION("""COMPUTED_VALUE"""),232)</f>
        <v>232</v>
      </c>
      <c r="B233">
        <f ca="1">IFERROR(__xludf.DUMMYFUNCTION("""COMPUTED_VALUE"""),236)</f>
        <v>236</v>
      </c>
      <c r="C233" t="str">
        <f ca="1">IFERROR(__xludf.DUMMYFUNCTION("""COMPUTED_VALUE"""),"Shane Lowry")</f>
        <v>Shane Lowry</v>
      </c>
      <c r="D233" s="4">
        <f ca="1">IFERROR(__xludf.DUMMYFUNCTION("""COMPUTED_VALUE"""),8540054)</f>
        <v>8540054</v>
      </c>
    </row>
    <row r="234" spans="1:4" ht="12.75">
      <c r="A234">
        <f ca="1">IFERROR(__xludf.DUMMYFUNCTION("""COMPUTED_VALUE"""),233)</f>
        <v>233</v>
      </c>
      <c r="B234">
        <f ca="1">IFERROR(__xludf.DUMMYFUNCTION("""COMPUTED_VALUE"""),232)</f>
        <v>232</v>
      </c>
      <c r="C234" t="str">
        <f ca="1">IFERROR(__xludf.DUMMYFUNCTION("""COMPUTED_VALUE"""),"Olin Browne")</f>
        <v>Olin Browne</v>
      </c>
      <c r="D234" s="4">
        <f ca="1">IFERROR(__xludf.DUMMYFUNCTION("""COMPUTED_VALUE"""),8523672)</f>
        <v>8523672</v>
      </c>
    </row>
    <row r="235" spans="1:4" ht="12.75">
      <c r="A235">
        <f ca="1">IFERROR(__xludf.DUMMYFUNCTION("""COMPUTED_VALUE"""),234)</f>
        <v>234</v>
      </c>
      <c r="B235">
        <f ca="1">IFERROR(__xludf.DUMMYFUNCTION("""COMPUTED_VALUE"""),233)</f>
        <v>233</v>
      </c>
      <c r="C235" t="str">
        <f ca="1">IFERROR(__xludf.DUMMYFUNCTION("""COMPUTED_VALUE"""),"Andrew Magee")</f>
        <v>Andrew Magee</v>
      </c>
      <c r="D235" s="4">
        <f ca="1">IFERROR(__xludf.DUMMYFUNCTION("""COMPUTED_VALUE"""),8512753)</f>
        <v>8512753</v>
      </c>
    </row>
    <row r="236" spans="1:4" ht="12.75">
      <c r="A236">
        <f ca="1">IFERROR(__xludf.DUMMYFUNCTION("""COMPUTED_VALUE"""),235)</f>
        <v>235</v>
      </c>
      <c r="B236">
        <f ca="1">IFERROR(__xludf.DUMMYFUNCTION("""COMPUTED_VALUE"""),234)</f>
        <v>234</v>
      </c>
      <c r="C236" t="str">
        <f ca="1">IFERROR(__xludf.DUMMYFUNCTION("""COMPUTED_VALUE"""),"Craig Parry")</f>
        <v>Craig Parry</v>
      </c>
      <c r="D236" s="4">
        <f ca="1">IFERROR(__xludf.DUMMYFUNCTION("""COMPUTED_VALUE"""),8481456)</f>
        <v>8481456</v>
      </c>
    </row>
    <row r="237" spans="1:4" ht="12.75">
      <c r="A237">
        <f ca="1">IFERROR(__xludf.DUMMYFUNCTION("""COMPUTED_VALUE"""),236)</f>
        <v>236</v>
      </c>
      <c r="B237">
        <f ca="1">IFERROR(__xludf.DUMMYFUNCTION("""COMPUTED_VALUE"""),235)</f>
        <v>235</v>
      </c>
      <c r="C237" t="str">
        <f ca="1">IFERROR(__xludf.DUMMYFUNCTION("""COMPUTED_VALUE"""),"J.P. Hayes")</f>
        <v>J.P. Hayes</v>
      </c>
      <c r="D237" s="4">
        <f ca="1">IFERROR(__xludf.DUMMYFUNCTION("""COMPUTED_VALUE"""),8391404)</f>
        <v>8391404</v>
      </c>
    </row>
    <row r="238" spans="1:4" ht="12.75">
      <c r="A238">
        <f ca="1">IFERROR(__xludf.DUMMYFUNCTION("""COMPUTED_VALUE"""),237)</f>
        <v>237</v>
      </c>
      <c r="B238">
        <f ca="1">IFERROR(__xludf.DUMMYFUNCTION("""COMPUTED_VALUE"""),237)</f>
        <v>237</v>
      </c>
      <c r="C238" t="str">
        <f ca="1">IFERROR(__xludf.DUMMYFUNCTION("""COMPUTED_VALUE"""),"Chesson Hadley")</f>
        <v>Chesson Hadley</v>
      </c>
      <c r="D238" s="4">
        <f ca="1">IFERROR(__xludf.DUMMYFUNCTION("""COMPUTED_VALUE"""),8274948)</f>
        <v>8274948</v>
      </c>
    </row>
    <row r="239" spans="1:4" ht="12.75">
      <c r="A239">
        <f ca="1">IFERROR(__xludf.DUMMYFUNCTION("""COMPUTED_VALUE"""),238)</f>
        <v>238</v>
      </c>
      <c r="B239">
        <f ca="1">IFERROR(__xludf.DUMMYFUNCTION("""COMPUTED_VALUE"""),238)</f>
        <v>238</v>
      </c>
      <c r="C239" t="str">
        <f ca="1">IFERROR(__xludf.DUMMYFUNCTION("""COMPUTED_VALUE"""),"Rafa Cabrera Bello")</f>
        <v>Rafa Cabrera Bello</v>
      </c>
      <c r="D239" s="4">
        <f ca="1">IFERROR(__xludf.DUMMYFUNCTION("""COMPUTED_VALUE"""),8231853)</f>
        <v>8231853</v>
      </c>
    </row>
    <row r="240" spans="1:4" ht="12.75">
      <c r="A240">
        <f ca="1">IFERROR(__xludf.DUMMYFUNCTION("""COMPUTED_VALUE"""),239)</f>
        <v>239</v>
      </c>
      <c r="B240">
        <f ca="1">IFERROR(__xludf.DUMMYFUNCTION("""COMPUTED_VALUE"""),239)</f>
        <v>239</v>
      </c>
      <c r="C240" t="str">
        <f ca="1">IFERROR(__xludf.DUMMYFUNCTION("""COMPUTED_VALUE"""),"Spencer Levin")</f>
        <v>Spencer Levin</v>
      </c>
      <c r="D240" s="4">
        <f ca="1">IFERROR(__xludf.DUMMYFUNCTION("""COMPUTED_VALUE"""),8213107)</f>
        <v>8213107</v>
      </c>
    </row>
    <row r="241" spans="1:4" ht="12.75">
      <c r="A241">
        <f ca="1">IFERROR(__xludf.DUMMYFUNCTION("""COMPUTED_VALUE"""),240)</f>
        <v>240</v>
      </c>
      <c r="B241">
        <f ca="1">IFERROR(__xludf.DUMMYFUNCTION("""COMPUTED_VALUE"""),240)</f>
        <v>240</v>
      </c>
      <c r="C241" t="str">
        <f ca="1">IFERROR(__xludf.DUMMYFUNCTION("""COMPUTED_VALUE"""),"Skip Kendall")</f>
        <v>Skip Kendall</v>
      </c>
      <c r="D241" s="4">
        <f ca="1">IFERROR(__xludf.DUMMYFUNCTION("""COMPUTED_VALUE"""),8087631)</f>
        <v>8087631</v>
      </c>
    </row>
    <row r="242" spans="1:4" ht="12.75">
      <c r="A242">
        <f ca="1">IFERROR(__xludf.DUMMYFUNCTION("""COMPUTED_VALUE"""),241)</f>
        <v>241</v>
      </c>
      <c r="B242">
        <f ca="1">IFERROR(__xludf.DUMMYFUNCTION("""COMPUTED_VALUE"""),241)</f>
        <v>241</v>
      </c>
      <c r="C242" t="str">
        <f ca="1">IFERROR(__xludf.DUMMYFUNCTION("""COMPUTED_VALUE"""),"Will MacKenzie")</f>
        <v>Will MacKenzie</v>
      </c>
      <c r="D242" s="4">
        <f ca="1">IFERROR(__xludf.DUMMYFUNCTION("""COMPUTED_VALUE"""),8050755)</f>
        <v>8050755</v>
      </c>
    </row>
    <row r="243" spans="1:4" ht="12.75">
      <c r="A243">
        <f ca="1">IFERROR(__xludf.DUMMYFUNCTION("""COMPUTED_VALUE"""),242)</f>
        <v>242</v>
      </c>
      <c r="B243">
        <f ca="1">IFERROR(__xludf.DUMMYFUNCTION("""COMPUTED_VALUE"""),242)</f>
        <v>242</v>
      </c>
      <c r="C243" t="str">
        <f ca="1">IFERROR(__xludf.DUMMYFUNCTION("""COMPUTED_VALUE"""),"Steve Pate")</f>
        <v>Steve Pate</v>
      </c>
      <c r="D243" s="4">
        <f ca="1">IFERROR(__xludf.DUMMYFUNCTION("""COMPUTED_VALUE"""),8039988)</f>
        <v>8039988</v>
      </c>
    </row>
    <row r="244" spans="1:4" ht="12.75">
      <c r="A244">
        <f ca="1">IFERROR(__xludf.DUMMYFUNCTION("""COMPUTED_VALUE"""),243)</f>
        <v>243</v>
      </c>
      <c r="B244">
        <f ca="1">IFERROR(__xludf.DUMMYFUNCTION("""COMPUTED_VALUE"""),243)</f>
        <v>243</v>
      </c>
      <c r="C244" t="str">
        <f ca="1">IFERROR(__xludf.DUMMYFUNCTION("""COMPUTED_VALUE"""),"Daniel Chopra")</f>
        <v>Daniel Chopra</v>
      </c>
      <c r="D244" s="4">
        <f ca="1">IFERROR(__xludf.DUMMYFUNCTION("""COMPUTED_VALUE"""),8007885)</f>
        <v>8007885</v>
      </c>
    </row>
    <row r="245" spans="1:4" ht="12.75">
      <c r="A245">
        <f ca="1">IFERROR(__xludf.DUMMYFUNCTION("""COMPUTED_VALUE"""),244)</f>
        <v>244</v>
      </c>
      <c r="B245">
        <f ca="1">IFERROR(__xludf.DUMMYFUNCTION("""COMPUTED_VALUE"""),244)</f>
        <v>244</v>
      </c>
      <c r="C245" t="str">
        <f ca="1">IFERROR(__xludf.DUMMYFUNCTION("""COMPUTED_VALUE"""),"Larry Mize")</f>
        <v>Larry Mize</v>
      </c>
      <c r="D245" s="4">
        <f ca="1">IFERROR(__xludf.DUMMYFUNCTION("""COMPUTED_VALUE"""),7947092)</f>
        <v>7947092</v>
      </c>
    </row>
    <row r="246" spans="1:4" ht="12.75">
      <c r="A246">
        <f ca="1">IFERROR(__xludf.DUMMYFUNCTION("""COMPUTED_VALUE"""),245)</f>
        <v>245</v>
      </c>
      <c r="B246">
        <f ca="1">IFERROR(__xludf.DUMMYFUNCTION("""COMPUTED_VALUE"""),245)</f>
        <v>245</v>
      </c>
      <c r="C246" t="str">
        <f ca="1">IFERROR(__xludf.DUMMYFUNCTION("""COMPUTED_VALUE"""),"Abraham Ancer")</f>
        <v>Abraham Ancer</v>
      </c>
      <c r="D246" s="4">
        <f ca="1">IFERROR(__xludf.DUMMYFUNCTION("""COMPUTED_VALUE"""),7911144)</f>
        <v>7911144</v>
      </c>
    </row>
    <row r="247" spans="1:4" ht="12.75">
      <c r="A247">
        <f ca="1">IFERROR(__xludf.DUMMYFUNCTION("""COMPUTED_VALUE"""),246)</f>
        <v>246</v>
      </c>
      <c r="B247">
        <f ca="1">IFERROR(__xludf.DUMMYFUNCTION("""COMPUTED_VALUE"""),246)</f>
        <v>246</v>
      </c>
      <c r="C247" t="str">
        <f ca="1">IFERROR(__xludf.DUMMYFUNCTION("""COMPUTED_VALUE"""),"Luke List")</f>
        <v>Luke List</v>
      </c>
      <c r="D247" s="4">
        <f ca="1">IFERROR(__xludf.DUMMYFUNCTION("""COMPUTED_VALUE"""),7815556)</f>
        <v>7815556</v>
      </c>
    </row>
    <row r="248" spans="1:4" ht="12.75">
      <c r="A248">
        <f ca="1">IFERROR(__xludf.DUMMYFUNCTION("""COMPUTED_VALUE"""),247)</f>
        <v>247</v>
      </c>
      <c r="B248">
        <f ca="1">IFERROR(__xludf.DUMMYFUNCTION("""COMPUTED_VALUE"""),247)</f>
        <v>247</v>
      </c>
      <c r="C248" t="str">
        <f ca="1">IFERROR(__xludf.DUMMYFUNCTION("""COMPUTED_VALUE"""),"Peter Jacobsen")</f>
        <v>Peter Jacobsen</v>
      </c>
      <c r="D248" s="4">
        <f ca="1">IFERROR(__xludf.DUMMYFUNCTION("""COMPUTED_VALUE"""),7799810)</f>
        <v>7799810</v>
      </c>
    </row>
    <row r="249" spans="1:4" ht="12.75">
      <c r="A249">
        <f ca="1">IFERROR(__xludf.DUMMYFUNCTION("""COMPUTED_VALUE"""),248)</f>
        <v>248</v>
      </c>
      <c r="B249">
        <f ca="1">IFERROR(__xludf.DUMMYFUNCTION("""COMPUTED_VALUE"""),252)</f>
        <v>252</v>
      </c>
      <c r="C249" t="str">
        <f ca="1">IFERROR(__xludf.DUMMYFUNCTION("""COMPUTED_VALUE"""),"Patton Kizzire")</f>
        <v>Patton Kizzire</v>
      </c>
      <c r="D249" s="4">
        <f ca="1">IFERROR(__xludf.DUMMYFUNCTION("""COMPUTED_VALUE"""),7726165)</f>
        <v>7726165</v>
      </c>
    </row>
    <row r="250" spans="1:4" ht="12.75">
      <c r="A250">
        <f ca="1">IFERROR(__xludf.DUMMYFUNCTION("""COMPUTED_VALUE"""),249)</f>
        <v>249</v>
      </c>
      <c r="B250">
        <f ca="1">IFERROR(__xludf.DUMMYFUNCTION("""COMPUTED_VALUE"""),248)</f>
        <v>248</v>
      </c>
      <c r="C250" t="str">
        <f ca="1">IFERROR(__xludf.DUMMYFUNCTION("""COMPUTED_VALUE"""),"Arron Oberholser")</f>
        <v>Arron Oberholser</v>
      </c>
      <c r="D250" s="4">
        <f ca="1">IFERROR(__xludf.DUMMYFUNCTION("""COMPUTED_VALUE"""),7665222)</f>
        <v>7665222</v>
      </c>
    </row>
    <row r="251" spans="1:4" ht="12.75">
      <c r="A251">
        <f ca="1">IFERROR(__xludf.DUMMYFUNCTION("""COMPUTED_VALUE"""),250)</f>
        <v>250</v>
      </c>
      <c r="B251">
        <f ca="1">IFERROR(__xludf.DUMMYFUNCTION("""COMPUTED_VALUE"""),249)</f>
        <v>249</v>
      </c>
      <c r="C251" t="str">
        <f ca="1">IFERROR(__xludf.DUMMYFUNCTION("""COMPUTED_VALUE"""),"Jim Herman")</f>
        <v>Jim Herman</v>
      </c>
      <c r="D251" s="4">
        <f ca="1">IFERROR(__xludf.DUMMYFUNCTION("""COMPUTED_VALUE"""),7663832)</f>
        <v>7663832</v>
      </c>
    </row>
    <row r="252" spans="1:4" ht="12.75">
      <c r="A252">
        <f ca="1">IFERROR(__xludf.DUMMYFUNCTION("""COMPUTED_VALUE"""),251)</f>
        <v>251</v>
      </c>
      <c r="B252">
        <f ca="1">IFERROR(__xludf.DUMMYFUNCTION("""COMPUTED_VALUE"""),250)</f>
        <v>250</v>
      </c>
      <c r="C252" t="str">
        <f ca="1">IFERROR(__xludf.DUMMYFUNCTION("""COMPUTED_VALUE"""),"Curtis Strange")</f>
        <v>Curtis Strange</v>
      </c>
      <c r="D252" s="4">
        <f ca="1">IFERROR(__xludf.DUMMYFUNCTION("""COMPUTED_VALUE"""),7599951)</f>
        <v>7599951</v>
      </c>
    </row>
    <row r="253" spans="1:4" ht="12.75">
      <c r="A253">
        <f ca="1">IFERROR(__xludf.DUMMYFUNCTION("""COMPUTED_VALUE"""),252)</f>
        <v>252</v>
      </c>
      <c r="B253">
        <f ca="1">IFERROR(__xludf.DUMMYFUNCTION("""COMPUTED_VALUE"""),251)</f>
        <v>251</v>
      </c>
      <c r="C253" t="str">
        <f ca="1">IFERROR(__xludf.DUMMYFUNCTION("""COMPUTED_VALUE"""),"Sungjae Im")</f>
        <v>Sungjae Im</v>
      </c>
      <c r="D253" s="4">
        <f ca="1">IFERROR(__xludf.DUMMYFUNCTION("""COMPUTED_VALUE"""),7594903)</f>
        <v>7594903</v>
      </c>
    </row>
    <row r="254" spans="1:4" ht="12.75">
      <c r="A254">
        <f ca="1">IFERROR(__xludf.DUMMYFUNCTION("""COMPUTED_VALUE"""),253)</f>
        <v>253</v>
      </c>
      <c r="B254">
        <f ca="1">IFERROR(__xludf.DUMMYFUNCTION("""COMPUTED_VALUE"""),253)</f>
        <v>253</v>
      </c>
      <c r="C254" t="str">
        <f ca="1">IFERROR(__xludf.DUMMYFUNCTION("""COMPUTED_VALUE"""),"J.L. Lewis")</f>
        <v>J.L. Lewis</v>
      </c>
      <c r="D254" s="4">
        <f ca="1">IFERROR(__xludf.DUMMYFUNCTION("""COMPUTED_VALUE"""),7480274)</f>
        <v>7480274</v>
      </c>
    </row>
    <row r="255" spans="1:4" ht="12.75">
      <c r="A255">
        <f ca="1">IFERROR(__xludf.DUMMYFUNCTION("""COMPUTED_VALUE"""),254)</f>
        <v>254</v>
      </c>
      <c r="B255">
        <f ca="1">IFERROR(__xludf.DUMMYFUNCTION("""COMPUTED_VALUE"""),254)</f>
        <v>254</v>
      </c>
      <c r="C255" t="str">
        <f ca="1">IFERROR(__xludf.DUMMYFUNCTION("""COMPUTED_VALUE"""),"Ted Purdy")</f>
        <v>Ted Purdy</v>
      </c>
      <c r="D255" s="4">
        <f ca="1">IFERROR(__xludf.DUMMYFUNCTION("""COMPUTED_VALUE"""),7431369)</f>
        <v>7431369</v>
      </c>
    </row>
    <row r="256" spans="1:4" ht="12.75">
      <c r="A256">
        <f ca="1">IFERROR(__xludf.DUMMYFUNCTION("""COMPUTED_VALUE"""),255)</f>
        <v>255</v>
      </c>
      <c r="B256">
        <f ca="1">IFERROR(__xludf.DUMMYFUNCTION("""COMPUTED_VALUE"""),255)</f>
        <v>255</v>
      </c>
      <c r="C256" t="str">
        <f ca="1">IFERROR(__xludf.DUMMYFUNCTION("""COMPUTED_VALUE"""),"Roberto Castro")</f>
        <v>Roberto Castro</v>
      </c>
      <c r="D256" s="4">
        <f ca="1">IFERROR(__xludf.DUMMYFUNCTION("""COMPUTED_VALUE"""),7411048)</f>
        <v>7411048</v>
      </c>
    </row>
    <row r="257" spans="1:4" ht="12.75">
      <c r="A257">
        <f ca="1">IFERROR(__xludf.DUMMYFUNCTION("""COMPUTED_VALUE"""),256)</f>
        <v>256</v>
      </c>
      <c r="B257">
        <f ca="1">IFERROR(__xludf.DUMMYFUNCTION("""COMPUTED_VALUE"""),256)</f>
        <v>256</v>
      </c>
      <c r="C257" t="str">
        <f ca="1">IFERROR(__xludf.DUMMYFUNCTION("""COMPUTED_VALUE"""),"Ben Martin")</f>
        <v>Ben Martin</v>
      </c>
      <c r="D257" s="4">
        <f ca="1">IFERROR(__xludf.DUMMYFUNCTION("""COMPUTED_VALUE"""),7409665)</f>
        <v>7409665</v>
      </c>
    </row>
    <row r="258" spans="1:4" ht="12.75">
      <c r="A258">
        <f ca="1">IFERROR(__xludf.DUMMYFUNCTION("""COMPUTED_VALUE"""),257)</f>
        <v>257</v>
      </c>
      <c r="B258">
        <f ca="1">IFERROR(__xludf.DUMMYFUNCTION("""COMPUTED_VALUE"""),257)</f>
        <v>257</v>
      </c>
      <c r="C258" t="str">
        <f ca="1">IFERROR(__xludf.DUMMYFUNCTION("""COMPUTED_VALUE"""),"Brent Geiberger")</f>
        <v>Brent Geiberger</v>
      </c>
      <c r="D258" s="4">
        <f ca="1">IFERROR(__xludf.DUMMYFUNCTION("""COMPUTED_VALUE"""),7374382)</f>
        <v>7374382</v>
      </c>
    </row>
    <row r="259" spans="1:4" ht="12.75">
      <c r="A259">
        <f ca="1">IFERROR(__xludf.DUMMYFUNCTION("""COMPUTED_VALUE"""),258)</f>
        <v>258</v>
      </c>
      <c r="B259">
        <f ca="1">IFERROR(__xludf.DUMMYFUNCTION("""COMPUTED_VALUE"""),258)</f>
        <v>258</v>
      </c>
      <c r="C259" t="str">
        <f ca="1">IFERROR(__xludf.DUMMYFUNCTION("""COMPUTED_VALUE"""),"Paul Stankowski")</f>
        <v>Paul Stankowski</v>
      </c>
      <c r="D259" s="4">
        <f ca="1">IFERROR(__xludf.DUMMYFUNCTION("""COMPUTED_VALUE"""),7357259)</f>
        <v>7357259</v>
      </c>
    </row>
    <row r="260" spans="1:4" ht="12.75">
      <c r="A260">
        <f ca="1">IFERROR(__xludf.DUMMYFUNCTION("""COMPUTED_VALUE"""),259)</f>
        <v>259</v>
      </c>
      <c r="B260">
        <f ca="1">IFERROR(__xludf.DUMMYFUNCTION("""COMPUTED_VALUE"""),259)</f>
        <v>259</v>
      </c>
      <c r="C260" t="str">
        <f ca="1">IFERROR(__xludf.DUMMYFUNCTION("""COMPUTED_VALUE"""),"Patrick Rodgers")</f>
        <v>Patrick Rodgers</v>
      </c>
      <c r="D260" s="4">
        <f ca="1">IFERROR(__xludf.DUMMYFUNCTION("""COMPUTED_VALUE"""),7220063)</f>
        <v>7220063</v>
      </c>
    </row>
    <row r="261" spans="1:4" ht="12.75">
      <c r="A261">
        <f ca="1">IFERROR(__xludf.DUMMYFUNCTION("""COMPUTED_VALUE"""),260)</f>
        <v>260</v>
      </c>
      <c r="B261">
        <f ca="1">IFERROR(__xludf.DUMMYFUNCTION("""COMPUTED_VALUE"""),260)</f>
        <v>260</v>
      </c>
      <c r="C261" t="str">
        <f ca="1">IFERROR(__xludf.DUMMYFUNCTION("""COMPUTED_VALUE"""),"Collin Morikawa")</f>
        <v>Collin Morikawa</v>
      </c>
      <c r="D261" s="4">
        <f ca="1">IFERROR(__xludf.DUMMYFUNCTION("""COMPUTED_VALUE"""),7213637)</f>
        <v>7213637</v>
      </c>
    </row>
    <row r="262" spans="1:4" ht="12.75">
      <c r="A262">
        <f ca="1">IFERROR(__xludf.DUMMYFUNCTION("""COMPUTED_VALUE"""),261)</f>
        <v>261</v>
      </c>
      <c r="B262">
        <f ca="1">IFERROR(__xludf.DUMMYFUNCTION("""COMPUTED_VALUE"""),261)</f>
        <v>261</v>
      </c>
      <c r="C262" t="str">
        <f ca="1">IFERROR(__xludf.DUMMYFUNCTION("""COMPUTED_VALUE"""),"Ben Crenshaw")</f>
        <v>Ben Crenshaw</v>
      </c>
      <c r="D262" s="4">
        <f ca="1">IFERROR(__xludf.DUMMYFUNCTION("""COMPUTED_VALUE"""),7139756)</f>
        <v>7139756</v>
      </c>
    </row>
    <row r="263" spans="1:4" ht="12.75">
      <c r="A263">
        <f ca="1">IFERROR(__xludf.DUMMYFUNCTION("""COMPUTED_VALUE"""),262)</f>
        <v>262</v>
      </c>
      <c r="B263">
        <f ca="1">IFERROR(__xludf.DUMMYFUNCTION("""COMPUTED_VALUE"""),262)</f>
        <v>262</v>
      </c>
      <c r="C263" t="str">
        <f ca="1">IFERROR(__xludf.DUMMYFUNCTION("""COMPUTED_VALUE"""),"Brett Wetterich")</f>
        <v>Brett Wetterich</v>
      </c>
      <c r="D263" s="4">
        <f ca="1">IFERROR(__xludf.DUMMYFUNCTION("""COMPUTED_VALUE"""),7008473)</f>
        <v>7008473</v>
      </c>
    </row>
    <row r="264" spans="1:4" ht="12.75">
      <c r="A264">
        <f ca="1">IFERROR(__xludf.DUMMYFUNCTION("""COMPUTED_VALUE"""),263)</f>
        <v>263</v>
      </c>
      <c r="B264">
        <f ca="1">IFERROR(__xludf.DUMMYFUNCTION("""COMPUTED_VALUE"""),263)</f>
        <v>263</v>
      </c>
      <c r="C264" t="str">
        <f ca="1">IFERROR(__xludf.DUMMYFUNCTION("""COMPUTED_VALUE"""),"Seung-Yul Noh")</f>
        <v>Seung-Yul Noh</v>
      </c>
      <c r="D264" s="4">
        <f ca="1">IFERROR(__xludf.DUMMYFUNCTION("""COMPUTED_VALUE"""),6992789)</f>
        <v>6992789</v>
      </c>
    </row>
    <row r="265" spans="1:4" ht="12.75">
      <c r="A265">
        <f ca="1">IFERROR(__xludf.DUMMYFUNCTION("""COMPUTED_VALUE"""),264)</f>
        <v>264</v>
      </c>
      <c r="B265">
        <f ca="1">IFERROR(__xludf.DUMMYFUNCTION("""COMPUTED_VALUE"""),264)</f>
        <v>264</v>
      </c>
      <c r="C265" t="str">
        <f ca="1">IFERROR(__xludf.DUMMYFUNCTION("""COMPUTED_VALUE"""),"Hudson Swafford")</f>
        <v>Hudson Swafford</v>
      </c>
      <c r="D265" s="4">
        <f ca="1">IFERROR(__xludf.DUMMYFUNCTION("""COMPUTED_VALUE"""),6919378)</f>
        <v>6919378</v>
      </c>
    </row>
    <row r="266" spans="1:4" ht="12.75">
      <c r="A266">
        <f ca="1">IFERROR(__xludf.DUMMYFUNCTION("""COMPUTED_VALUE"""),265)</f>
        <v>265</v>
      </c>
      <c r="B266">
        <f ca="1">IFERROR(__xludf.DUMMYFUNCTION("""COMPUTED_VALUE"""),265)</f>
        <v>265</v>
      </c>
      <c r="C266" t="str">
        <f ca="1">IFERROR(__xludf.DUMMYFUNCTION("""COMPUTED_VALUE"""),"Bill Glasson")</f>
        <v>Bill Glasson</v>
      </c>
      <c r="D266" s="4">
        <f ca="1">IFERROR(__xludf.DUMMYFUNCTION("""COMPUTED_VALUE"""),6912619)</f>
        <v>6912619</v>
      </c>
    </row>
    <row r="267" spans="1:4" ht="12.75">
      <c r="A267">
        <f ca="1">IFERROR(__xludf.DUMMYFUNCTION("""COMPUTED_VALUE"""),266)</f>
        <v>266</v>
      </c>
      <c r="B267">
        <f ca="1">IFERROR(__xludf.DUMMYFUNCTION("""COMPUTED_VALUE"""),266)</f>
        <v>266</v>
      </c>
      <c r="C267" t="str">
        <f ca="1">IFERROR(__xludf.DUMMYFUNCTION("""COMPUTED_VALUE"""),"Chris Perry")</f>
        <v>Chris Perry</v>
      </c>
      <c r="D267" s="4">
        <f ca="1">IFERROR(__xludf.DUMMYFUNCTION("""COMPUTED_VALUE"""),6866671)</f>
        <v>6866671</v>
      </c>
    </row>
    <row r="268" spans="1:4" ht="12.75">
      <c r="A268">
        <f ca="1">IFERROR(__xludf.DUMMYFUNCTION("""COMPUTED_VALUE"""),267)</f>
        <v>267</v>
      </c>
      <c r="B268">
        <f ca="1">IFERROR(__xludf.DUMMYFUNCTION("""COMPUTED_VALUE"""),267)</f>
        <v>267</v>
      </c>
      <c r="C268" t="str">
        <f ca="1">IFERROR(__xludf.DUMMYFUNCTION("""COMPUTED_VALUE"""),"Len Mattiace")</f>
        <v>Len Mattiace</v>
      </c>
      <c r="D268" s="4">
        <f ca="1">IFERROR(__xludf.DUMMYFUNCTION("""COMPUTED_VALUE"""),6863198)</f>
        <v>6863198</v>
      </c>
    </row>
    <row r="269" spans="1:4" ht="12.75">
      <c r="A269">
        <f ca="1">IFERROR(__xludf.DUMMYFUNCTION("""COMPUTED_VALUE"""),268)</f>
        <v>268</v>
      </c>
      <c r="B269">
        <f ca="1">IFERROR(__xludf.DUMMYFUNCTION("""COMPUTED_VALUE"""),268)</f>
        <v>268</v>
      </c>
      <c r="C269" t="str">
        <f ca="1">IFERROR(__xludf.DUMMYFUNCTION("""COMPUTED_VALUE"""),"Nathan Green")</f>
        <v>Nathan Green</v>
      </c>
      <c r="D269" s="4">
        <f ca="1">IFERROR(__xludf.DUMMYFUNCTION("""COMPUTED_VALUE"""),6856057)</f>
        <v>6856057</v>
      </c>
    </row>
    <row r="270" spans="1:4" ht="12.75">
      <c r="A270">
        <f ca="1">IFERROR(__xludf.DUMMYFUNCTION("""COMPUTED_VALUE"""),269)</f>
        <v>269</v>
      </c>
      <c r="B270">
        <f ca="1">IFERROR(__xludf.DUMMYFUNCTION("""COMPUTED_VALUE"""),269)</f>
        <v>269</v>
      </c>
      <c r="C270" t="str">
        <f ca="1">IFERROR(__xludf.DUMMYFUNCTION("""COMPUTED_VALUE"""),"Steven Bowditch")</f>
        <v>Steven Bowditch</v>
      </c>
      <c r="D270" s="4">
        <f ca="1">IFERROR(__xludf.DUMMYFUNCTION("""COMPUTED_VALUE"""),6839023)</f>
        <v>6839023</v>
      </c>
    </row>
    <row r="271" spans="1:4" ht="12.75">
      <c r="A271">
        <f ca="1">IFERROR(__xludf.DUMMYFUNCTION("""COMPUTED_VALUE"""),270)</f>
        <v>270</v>
      </c>
      <c r="B271">
        <f ca="1">IFERROR(__xludf.DUMMYFUNCTION("""COMPUTED_VALUE"""),270)</f>
        <v>270</v>
      </c>
      <c r="C271" t="str">
        <f ca="1">IFERROR(__xludf.DUMMYFUNCTION("""COMPUTED_VALUE"""),"Scott Simpson")</f>
        <v>Scott Simpson</v>
      </c>
      <c r="D271" s="4">
        <f ca="1">IFERROR(__xludf.DUMMYFUNCTION("""COMPUTED_VALUE"""),6778273)</f>
        <v>6778273</v>
      </c>
    </row>
    <row r="272" spans="1:4" ht="12.75">
      <c r="A272">
        <f ca="1">IFERROR(__xludf.DUMMYFUNCTION("""COMPUTED_VALUE"""),271)</f>
        <v>271</v>
      </c>
      <c r="B272">
        <f ca="1">IFERROR(__xludf.DUMMYFUNCTION("""COMPUTED_VALUE"""),273)</f>
        <v>273</v>
      </c>
      <c r="C272" t="str">
        <f ca="1">IFERROR(__xludf.DUMMYFUNCTION("""COMPUTED_VALUE"""),"Fabián Gómez")</f>
        <v>Fabián Gómez</v>
      </c>
      <c r="D272" s="4">
        <f ca="1">IFERROR(__xludf.DUMMYFUNCTION("""COMPUTED_VALUE"""),6693418)</f>
        <v>6693418</v>
      </c>
    </row>
    <row r="273" spans="1:4" ht="12.75">
      <c r="A273">
        <f ca="1">IFERROR(__xludf.DUMMYFUNCTION("""COMPUTED_VALUE"""),272)</f>
        <v>272</v>
      </c>
      <c r="B273">
        <f ca="1">IFERROR(__xludf.DUMMYFUNCTION("""COMPUTED_VALUE"""),271)</f>
        <v>271</v>
      </c>
      <c r="C273" t="str">
        <f ca="1">IFERROR(__xludf.DUMMYFUNCTION("""COMPUTED_VALUE"""),"Nick Taylor")</f>
        <v>Nick Taylor</v>
      </c>
      <c r="D273" s="4">
        <f ca="1">IFERROR(__xludf.DUMMYFUNCTION("""COMPUTED_VALUE"""),6679711)</f>
        <v>6679711</v>
      </c>
    </row>
    <row r="274" spans="1:4" ht="12.75">
      <c r="A274">
        <f ca="1">IFERROR(__xludf.DUMMYFUNCTION("""COMPUTED_VALUE"""),273)</f>
        <v>273</v>
      </c>
      <c r="B274">
        <f ca="1">IFERROR(__xludf.DUMMYFUNCTION("""COMPUTED_VALUE"""),272)</f>
        <v>272</v>
      </c>
      <c r="C274" t="str">
        <f ca="1">IFERROR(__xludf.DUMMYFUNCTION("""COMPUTED_VALUE"""),"Sangmoon Bae")</f>
        <v>Sangmoon Bae</v>
      </c>
      <c r="D274" s="4">
        <f ca="1">IFERROR(__xludf.DUMMYFUNCTION("""COMPUTED_VALUE"""),6657525)</f>
        <v>6657525</v>
      </c>
    </row>
    <row r="275" spans="1:4" ht="12.75">
      <c r="A275">
        <f ca="1">IFERROR(__xludf.DUMMYFUNCTION("""COMPUTED_VALUE"""),274)</f>
        <v>274</v>
      </c>
      <c r="B275">
        <f ca="1">IFERROR(__xludf.DUMMYFUNCTION("""COMPUTED_VALUE"""),274)</f>
        <v>274</v>
      </c>
      <c r="C275" t="str">
        <f ca="1">IFERROR(__xludf.DUMMYFUNCTION("""COMPUTED_VALUE"""),"Jamie Lovemark")</f>
        <v>Jamie Lovemark</v>
      </c>
      <c r="D275" s="4">
        <f ca="1">IFERROR(__xludf.DUMMYFUNCTION("""COMPUTED_VALUE"""),6583879)</f>
        <v>6583879</v>
      </c>
    </row>
    <row r="276" spans="1:4" ht="12.75">
      <c r="A276">
        <f ca="1">IFERROR(__xludf.DUMMYFUNCTION("""COMPUTED_VALUE"""),275)</f>
        <v>275</v>
      </c>
      <c r="B276">
        <f ca="1">IFERROR(__xludf.DUMMYFUNCTION("""COMPUTED_VALUE"""),275)</f>
        <v>275</v>
      </c>
      <c r="C276" t="str">
        <f ca="1">IFERROR(__xludf.DUMMYFUNCTION("""COMPUTED_VALUE"""),"Tom Byrum")</f>
        <v>Tom Byrum</v>
      </c>
      <c r="D276" s="4">
        <f ca="1">IFERROR(__xludf.DUMMYFUNCTION("""COMPUTED_VALUE"""),6554699)</f>
        <v>6554699</v>
      </c>
    </row>
    <row r="277" spans="1:4" ht="12.75">
      <c r="A277">
        <f ca="1">IFERROR(__xludf.DUMMYFUNCTION("""COMPUTED_VALUE"""),276)</f>
        <v>276</v>
      </c>
      <c r="B277">
        <f ca="1">IFERROR(__xludf.DUMMYFUNCTION("""COMPUTED_VALUE"""),276)</f>
        <v>276</v>
      </c>
      <c r="C277" t="str">
        <f ca="1">IFERROR(__xludf.DUMMYFUNCTION("""COMPUTED_VALUE"""),"Steve Jones")</f>
        <v>Steve Jones</v>
      </c>
      <c r="D277" s="4">
        <f ca="1">IFERROR(__xludf.DUMMYFUNCTION("""COMPUTED_VALUE"""),6519451)</f>
        <v>6519451</v>
      </c>
    </row>
    <row r="278" spans="1:4" ht="12.75">
      <c r="A278">
        <f ca="1">IFERROR(__xludf.DUMMYFUNCTION("""COMPUTED_VALUE"""),277)</f>
        <v>277</v>
      </c>
      <c r="B278">
        <f ca="1">IFERROR(__xludf.DUMMYFUNCTION("""COMPUTED_VALUE"""),283)</f>
        <v>283</v>
      </c>
      <c r="C278" t="str">
        <f ca="1">IFERROR(__xludf.DUMMYFUNCTION("""COMPUTED_VALUE"""),"Mackenzie Hughes")</f>
        <v>Mackenzie Hughes</v>
      </c>
      <c r="D278" s="4">
        <f ca="1">IFERROR(__xludf.DUMMYFUNCTION("""COMPUTED_VALUE"""),6509409)</f>
        <v>6509409</v>
      </c>
    </row>
    <row r="279" spans="1:4" ht="12.75">
      <c r="A279">
        <f ca="1">IFERROR(__xludf.DUMMYFUNCTION("""COMPUTED_VALUE"""),278)</f>
        <v>278</v>
      </c>
      <c r="B279">
        <f ca="1">IFERROR(__xludf.DUMMYFUNCTION("""COMPUTED_VALUE"""),277)</f>
        <v>277</v>
      </c>
      <c r="C279" t="str">
        <f ca="1">IFERROR(__xludf.DUMMYFUNCTION("""COMPUTED_VALUE"""),"Jason Gore")</f>
        <v>Jason Gore</v>
      </c>
      <c r="D279" s="4">
        <f ca="1">IFERROR(__xludf.DUMMYFUNCTION("""COMPUTED_VALUE"""),6465283)</f>
        <v>6465283</v>
      </c>
    </row>
    <row r="280" spans="1:4" ht="12.75">
      <c r="A280">
        <f ca="1">IFERROR(__xludf.DUMMYFUNCTION("""COMPUTED_VALUE"""),279)</f>
        <v>279</v>
      </c>
      <c r="B280">
        <f ca="1">IFERROR(__xludf.DUMMYFUNCTION("""COMPUTED_VALUE"""),286)</f>
        <v>286</v>
      </c>
      <c r="C280" t="str">
        <f ca="1">IFERROR(__xludf.DUMMYFUNCTION("""COMPUTED_VALUE"""),"Harold Varner III")</f>
        <v>Harold Varner III</v>
      </c>
      <c r="D280" s="4">
        <f ca="1">IFERROR(__xludf.DUMMYFUNCTION("""COMPUTED_VALUE"""),6376222)</f>
        <v>6376222</v>
      </c>
    </row>
    <row r="281" spans="1:4" ht="12.75">
      <c r="A281">
        <f ca="1">IFERROR(__xludf.DUMMYFUNCTION("""COMPUTED_VALUE"""),280)</f>
        <v>280</v>
      </c>
      <c r="B281">
        <f ca="1">IFERROR(__xludf.DUMMYFUNCTION("""COMPUTED_VALUE"""),278)</f>
        <v>278</v>
      </c>
      <c r="C281" t="str">
        <f ca="1">IFERROR(__xludf.DUMMYFUNCTION("""COMPUTED_VALUE"""),"Robert Damron")</f>
        <v>Robert Damron</v>
      </c>
      <c r="D281" s="4">
        <f ca="1">IFERROR(__xludf.DUMMYFUNCTION("""COMPUTED_VALUE"""),6363926)</f>
        <v>6363926</v>
      </c>
    </row>
    <row r="282" spans="1:4" ht="12.75">
      <c r="A282">
        <f ca="1">IFERROR(__xludf.DUMMYFUNCTION("""COMPUTED_VALUE"""),281)</f>
        <v>281</v>
      </c>
      <c r="B282">
        <f ca="1">IFERROR(__xludf.DUMMYFUNCTION("""COMPUTED_VALUE"""),279)</f>
        <v>279</v>
      </c>
      <c r="C282" t="str">
        <f ca="1">IFERROR(__xludf.DUMMYFUNCTION("""COMPUTED_VALUE"""),"Lanny Wadkins")</f>
        <v>Lanny Wadkins</v>
      </c>
      <c r="D282" s="4">
        <f ca="1">IFERROR(__xludf.DUMMYFUNCTION("""COMPUTED_VALUE"""),6355681)</f>
        <v>6355681</v>
      </c>
    </row>
    <row r="283" spans="1:4" ht="12.75">
      <c r="A283">
        <f ca="1">IFERROR(__xludf.DUMMYFUNCTION("""COMPUTED_VALUE"""),282)</f>
        <v>282</v>
      </c>
      <c r="B283">
        <f ca="1">IFERROR(__xludf.DUMMYFUNCTION("""COMPUTED_VALUE"""),280)</f>
        <v>280</v>
      </c>
      <c r="C283" t="str">
        <f ca="1">IFERROR(__xludf.DUMMYFUNCTION("""COMPUTED_VALUE"""),"Mark Hensby")</f>
        <v>Mark Hensby</v>
      </c>
      <c r="D283" s="4">
        <f ca="1">IFERROR(__xludf.DUMMYFUNCTION("""COMPUTED_VALUE"""),6334964)</f>
        <v>6334964</v>
      </c>
    </row>
    <row r="284" spans="1:4" ht="12.75">
      <c r="A284">
        <f ca="1">IFERROR(__xludf.DUMMYFUNCTION("""COMPUTED_VALUE"""),283)</f>
        <v>283</v>
      </c>
      <c r="B284">
        <f ca="1">IFERROR(__xludf.DUMMYFUNCTION("""COMPUTED_VALUE"""),281)</f>
        <v>281</v>
      </c>
      <c r="C284" t="str">
        <f ca="1">IFERROR(__xludf.DUMMYFUNCTION("""COMPUTED_VALUE"""),"Neal Lancaster")</f>
        <v>Neal Lancaster</v>
      </c>
      <c r="D284" s="4">
        <f ca="1">IFERROR(__xludf.DUMMYFUNCTION("""COMPUTED_VALUE"""),6319598)</f>
        <v>6319598</v>
      </c>
    </row>
    <row r="285" spans="1:4" ht="12.75">
      <c r="A285">
        <f ca="1">IFERROR(__xludf.DUMMYFUNCTION("""COMPUTED_VALUE"""),284)</f>
        <v>284</v>
      </c>
      <c r="B285">
        <f ca="1">IFERROR(__xludf.DUMMYFUNCTION("""COMPUTED_VALUE"""),282)</f>
        <v>282</v>
      </c>
      <c r="C285" t="str">
        <f ca="1">IFERROR(__xludf.DUMMYFUNCTION("""COMPUTED_VALUE"""),"Michael Allen")</f>
        <v>Michael Allen</v>
      </c>
      <c r="D285" s="4">
        <f ca="1">IFERROR(__xludf.DUMMYFUNCTION("""COMPUTED_VALUE"""),6316156)</f>
        <v>6316156</v>
      </c>
    </row>
    <row r="286" spans="1:4" ht="12.75">
      <c r="A286">
        <f ca="1">IFERROR(__xludf.DUMMYFUNCTION("""COMPUTED_VALUE"""),285)</f>
        <v>285</v>
      </c>
      <c r="B286">
        <f ca="1">IFERROR(__xludf.DUMMYFUNCTION("""COMPUTED_VALUE"""),284)</f>
        <v>284</v>
      </c>
      <c r="C286" t="str">
        <f ca="1">IFERROR(__xludf.DUMMYFUNCTION("""COMPUTED_VALUE"""),"Shawn Stefani")</f>
        <v>Shawn Stefani</v>
      </c>
      <c r="D286" s="4">
        <f ca="1">IFERROR(__xludf.DUMMYFUNCTION("""COMPUTED_VALUE"""),6293081)</f>
        <v>6293081</v>
      </c>
    </row>
    <row r="287" spans="1:4" ht="12.75">
      <c r="A287">
        <f ca="1">IFERROR(__xludf.DUMMYFUNCTION("""COMPUTED_VALUE"""),286)</f>
        <v>286</v>
      </c>
      <c r="B287">
        <f ca="1">IFERROR(__xludf.DUMMYFUNCTION("""COMPUTED_VALUE"""),285)</f>
        <v>285</v>
      </c>
      <c r="C287" t="str">
        <f ca="1">IFERROR(__xludf.DUMMYFUNCTION("""COMPUTED_VALUE"""),"Ryan Armour")</f>
        <v>Ryan Armour</v>
      </c>
      <c r="D287" s="4">
        <f ca="1">IFERROR(__xludf.DUMMYFUNCTION("""COMPUTED_VALUE"""),6263398)</f>
        <v>6263398</v>
      </c>
    </row>
    <row r="288" spans="1:4" ht="12.75">
      <c r="A288">
        <f ca="1">IFERROR(__xludf.DUMMYFUNCTION("""COMPUTED_VALUE"""),287)</f>
        <v>287</v>
      </c>
      <c r="B288">
        <f ca="1">IFERROR(__xludf.DUMMYFUNCTION("""COMPUTED_VALUE"""),287)</f>
        <v>287</v>
      </c>
      <c r="C288" t="str">
        <f ca="1">IFERROR(__xludf.DUMMYFUNCTION("""COMPUTED_VALUE"""),"Joaquin Niemann")</f>
        <v>Joaquin Niemann</v>
      </c>
      <c r="D288" s="4">
        <f ca="1">IFERROR(__xludf.DUMMYFUNCTION("""COMPUTED_VALUE"""),6232684)</f>
        <v>6232684</v>
      </c>
    </row>
    <row r="289" spans="1:4" ht="12.75">
      <c r="A289">
        <f ca="1">IFERROR(__xludf.DUMMYFUNCTION("""COMPUTED_VALUE"""),288)</f>
        <v>288</v>
      </c>
      <c r="B289">
        <f ca="1">IFERROR(__xludf.DUMMYFUNCTION("""COMPUTED_VALUE"""),288)</f>
        <v>288</v>
      </c>
      <c r="C289" t="str">
        <f ca="1">IFERROR(__xludf.DUMMYFUNCTION("""COMPUTED_VALUE"""),"Joel Dahmen")</f>
        <v>Joel Dahmen</v>
      </c>
      <c r="D289" s="4">
        <f ca="1">IFERROR(__xludf.DUMMYFUNCTION("""COMPUTED_VALUE"""),6209744)</f>
        <v>6209744</v>
      </c>
    </row>
    <row r="290" spans="1:4" ht="12.75">
      <c r="A290">
        <f ca="1">IFERROR(__xludf.DUMMYFUNCTION("""COMPUTED_VALUE"""),289)</f>
        <v>289</v>
      </c>
      <c r="B290">
        <f ca="1">IFERROR(__xludf.DUMMYFUNCTION("""COMPUTED_VALUE"""),289)</f>
        <v>289</v>
      </c>
      <c r="C290" t="str">
        <f ca="1">IFERROR(__xludf.DUMMYFUNCTION("""COMPUTED_VALUE"""),"Chip Beck")</f>
        <v>Chip Beck</v>
      </c>
      <c r="D290" s="4">
        <f ca="1">IFERROR(__xludf.DUMMYFUNCTION("""COMPUTED_VALUE"""),6205730)</f>
        <v>6205730</v>
      </c>
    </row>
    <row r="291" spans="1:4" ht="12.75">
      <c r="A291">
        <f ca="1">IFERROR(__xludf.DUMMYFUNCTION("""COMPUTED_VALUE"""),290)</f>
        <v>290</v>
      </c>
      <c r="B291">
        <f ca="1">IFERROR(__xludf.DUMMYFUNCTION("""COMPUTED_VALUE"""),290)</f>
        <v>290</v>
      </c>
      <c r="C291" t="str">
        <f ca="1">IFERROR(__xludf.DUMMYFUNCTION("""COMPUTED_VALUE"""),"Richard Johnson")</f>
        <v>Richard Johnson</v>
      </c>
      <c r="D291" s="4">
        <f ca="1">IFERROR(__xludf.DUMMYFUNCTION("""COMPUTED_VALUE"""),6204475)</f>
        <v>6204475</v>
      </c>
    </row>
    <row r="292" spans="1:4" ht="12.75">
      <c r="A292">
        <f ca="1">IFERROR(__xludf.DUMMYFUNCTION("""COMPUTED_VALUE"""),291)</f>
        <v>291</v>
      </c>
      <c r="B292">
        <f ca="1">IFERROR(__xludf.DUMMYFUNCTION("""COMPUTED_VALUE"""),291)</f>
        <v>291</v>
      </c>
      <c r="C292" t="str">
        <f ca="1">IFERROR(__xludf.DUMMYFUNCTION("""COMPUTED_VALUE"""),"Alex Noren")</f>
        <v>Alex Noren</v>
      </c>
      <c r="D292" s="4">
        <f ca="1">IFERROR(__xludf.DUMMYFUNCTION("""COMPUTED_VALUE"""),6136446)</f>
        <v>6136446</v>
      </c>
    </row>
    <row r="293" spans="1:4" ht="12.75">
      <c r="A293">
        <f ca="1">IFERROR(__xludf.DUMMYFUNCTION("""COMPUTED_VALUE"""),292)</f>
        <v>292</v>
      </c>
      <c r="B293">
        <f ca="1">IFERROR(__xludf.DUMMYFUNCTION("""COMPUTED_VALUE"""),292)</f>
        <v>292</v>
      </c>
      <c r="C293" t="str">
        <f ca="1">IFERROR(__xludf.DUMMYFUNCTION("""COMPUTED_VALUE"""),"C.T. Pan")</f>
        <v>C.T. Pan</v>
      </c>
      <c r="D293" s="4">
        <f ca="1">IFERROR(__xludf.DUMMYFUNCTION("""COMPUTED_VALUE"""),6093783)</f>
        <v>6093783</v>
      </c>
    </row>
    <row r="294" spans="1:4" ht="12.75">
      <c r="A294">
        <f ca="1">IFERROR(__xludf.DUMMYFUNCTION("""COMPUTED_VALUE"""),293)</f>
        <v>293</v>
      </c>
      <c r="B294">
        <f ca="1">IFERROR(__xludf.DUMMYFUNCTION("""COMPUTED_VALUE"""),293)</f>
        <v>293</v>
      </c>
      <c r="C294" t="str">
        <f ca="1">IFERROR(__xludf.DUMMYFUNCTION("""COMPUTED_VALUE"""),"Morgan Hoffmann")</f>
        <v>Morgan Hoffmann</v>
      </c>
      <c r="D294" s="4">
        <f ca="1">IFERROR(__xludf.DUMMYFUNCTION("""COMPUTED_VALUE"""),6004658)</f>
        <v>6004658</v>
      </c>
    </row>
    <row r="295" spans="1:4" ht="12.75">
      <c r="A295">
        <f ca="1">IFERROR(__xludf.DUMMYFUNCTION("""COMPUTED_VALUE"""),294)</f>
        <v>294</v>
      </c>
      <c r="B295">
        <f ca="1">IFERROR(__xludf.DUMMYFUNCTION("""COMPUTED_VALUE"""),294)</f>
        <v>294</v>
      </c>
      <c r="C295" t="str">
        <f ca="1">IFERROR(__xludf.DUMMYFUNCTION("""COMPUTED_VALUE"""),"Jim Gallagher, Jr.")</f>
        <v>Jim Gallagher, Jr.</v>
      </c>
      <c r="D295" s="4">
        <f ca="1">IFERROR(__xludf.DUMMYFUNCTION("""COMPUTED_VALUE"""),6002202)</f>
        <v>6002202</v>
      </c>
    </row>
    <row r="296" spans="1:4" ht="12.75">
      <c r="A296">
        <f ca="1">IFERROR(__xludf.DUMMYFUNCTION("""COMPUTED_VALUE"""),295)</f>
        <v>295</v>
      </c>
      <c r="B296">
        <f ca="1">IFERROR(__xludf.DUMMYFUNCTION("""COMPUTED_VALUE"""),295)</f>
        <v>295</v>
      </c>
      <c r="C296" t="str">
        <f ca="1">IFERROR(__xludf.DUMMYFUNCTION("""COMPUTED_VALUE"""),"Hale Irwin")</f>
        <v>Hale Irwin</v>
      </c>
      <c r="D296" s="4">
        <f ca="1">IFERROR(__xludf.DUMMYFUNCTION("""COMPUTED_VALUE"""),5966031)</f>
        <v>5966031</v>
      </c>
    </row>
    <row r="297" spans="1:4" ht="12.75">
      <c r="A297">
        <f ca="1">IFERROR(__xludf.DUMMYFUNCTION("""COMPUTED_VALUE"""),296)</f>
        <v>296</v>
      </c>
      <c r="B297">
        <f ca="1">IFERROR(__xludf.DUMMYFUNCTION("""COMPUTED_VALUE"""),297)</f>
        <v>297</v>
      </c>
      <c r="C297" t="str">
        <f ca="1">IFERROR(__xludf.DUMMYFUNCTION("""COMPUTED_VALUE"""),"J.T. Poston")</f>
        <v>J.T. Poston</v>
      </c>
      <c r="D297" s="4">
        <f ca="1">IFERROR(__xludf.DUMMYFUNCTION("""COMPUTED_VALUE"""),5954965)</f>
        <v>5954965</v>
      </c>
    </row>
    <row r="298" spans="1:4" ht="12.75">
      <c r="A298">
        <f ca="1">IFERROR(__xludf.DUMMYFUNCTION("""COMPUTED_VALUE"""),297)</f>
        <v>297</v>
      </c>
      <c r="B298">
        <f ca="1">IFERROR(__xludf.DUMMYFUNCTION("""COMPUTED_VALUE"""),296)</f>
        <v>296</v>
      </c>
      <c r="C298" t="str">
        <f ca="1">IFERROR(__xludf.DUMMYFUNCTION("""COMPUTED_VALUE"""),"Jay Williamson")</f>
        <v>Jay Williamson</v>
      </c>
      <c r="D298" s="4">
        <f ca="1">IFERROR(__xludf.DUMMYFUNCTION("""COMPUTED_VALUE"""),5944298)</f>
        <v>5944298</v>
      </c>
    </row>
    <row r="299" spans="1:4" ht="12.75">
      <c r="A299">
        <f ca="1">IFERROR(__xludf.DUMMYFUNCTION("""COMPUTED_VALUE"""),298)</f>
        <v>298</v>
      </c>
      <c r="B299">
        <f ca="1">IFERROR(__xludf.DUMMYFUNCTION("""COMPUTED_VALUE"""),298)</f>
        <v>298</v>
      </c>
      <c r="C299" t="str">
        <f ca="1">IFERROR(__xludf.DUMMYFUNCTION("""COMPUTED_VALUE"""),"Fuzzy Zoeller")</f>
        <v>Fuzzy Zoeller</v>
      </c>
      <c r="D299" s="4">
        <f ca="1">IFERROR(__xludf.DUMMYFUNCTION("""COMPUTED_VALUE"""),5819293)</f>
        <v>5819293</v>
      </c>
    </row>
    <row r="300" spans="1:4" ht="12.75">
      <c r="A300">
        <f ca="1">IFERROR(__xludf.DUMMYFUNCTION("""COMPUTED_VALUE"""),299)</f>
        <v>299</v>
      </c>
      <c r="B300">
        <f ca="1">IFERROR(__xludf.DUMMYFUNCTION("""COMPUTED_VALUE"""),299)</f>
        <v>299</v>
      </c>
      <c r="C300" t="str">
        <f ca="1">IFERROR(__xludf.DUMMYFUNCTION("""COMPUTED_VALUE"""),"Dicky Pride")</f>
        <v>Dicky Pride</v>
      </c>
      <c r="D300" s="4">
        <f ca="1">IFERROR(__xludf.DUMMYFUNCTION("""COMPUTED_VALUE"""),5805902)</f>
        <v>5805902</v>
      </c>
    </row>
    <row r="301" spans="1:4" ht="12.75">
      <c r="A301">
        <f ca="1">IFERROR(__xludf.DUMMYFUNCTION("""COMPUTED_VALUE"""),300)</f>
        <v>300</v>
      </c>
      <c r="B301">
        <f ca="1">IFERROR(__xludf.DUMMYFUNCTION("""COMPUTED_VALUE"""),300)</f>
        <v>300</v>
      </c>
      <c r="C301" t="str">
        <f ca="1">IFERROR(__xludf.DUMMYFUNCTION("""COMPUTED_VALUE"""),"Greg Kraft")</f>
        <v>Greg Kraft</v>
      </c>
      <c r="D301" s="4">
        <f ca="1">IFERROR(__xludf.DUMMYFUNCTION("""COMPUTED_VALUE"""),5786218)</f>
        <v>5786218</v>
      </c>
    </row>
    <row r="302" spans="1:4" ht="12.75">
      <c r="A302">
        <f ca="1">IFERROR(__xludf.DUMMYFUNCTION("""COMPUTED_VALUE"""),301)</f>
        <v>301</v>
      </c>
      <c r="B302">
        <f ca="1">IFERROR(__xludf.DUMMYFUNCTION("""COMPUTED_VALUE"""),301)</f>
        <v>301</v>
      </c>
      <c r="C302" t="str">
        <f ca="1">IFERROR(__xludf.DUMMYFUNCTION("""COMPUTED_VALUE"""),"Josh Teater")</f>
        <v>Josh Teater</v>
      </c>
      <c r="D302" s="4">
        <f ca="1">IFERROR(__xludf.DUMMYFUNCTION("""COMPUTED_VALUE"""),5738699)</f>
        <v>5738699</v>
      </c>
    </row>
    <row r="303" spans="1:4" ht="12.75">
      <c r="A303">
        <f ca="1">IFERROR(__xludf.DUMMYFUNCTION("""COMPUTED_VALUE"""),302)</f>
        <v>302</v>
      </c>
      <c r="B303">
        <f ca="1">IFERROR(__xludf.DUMMYFUNCTION("""COMPUTED_VALUE"""),302)</f>
        <v>302</v>
      </c>
      <c r="C303" t="str">
        <f ca="1">IFERROR(__xludf.DUMMYFUNCTION("""COMPUTED_VALUE"""),"David Peoples")</f>
        <v>David Peoples</v>
      </c>
      <c r="D303" s="4">
        <f ca="1">IFERROR(__xludf.DUMMYFUNCTION("""COMPUTED_VALUE"""),5736812)</f>
        <v>5736812</v>
      </c>
    </row>
    <row r="304" spans="1:4" ht="12.75">
      <c r="A304">
        <f ca="1">IFERROR(__xludf.DUMMYFUNCTION("""COMPUTED_VALUE"""),303)</f>
        <v>303</v>
      </c>
      <c r="B304">
        <f ca="1">IFERROR(__xludf.DUMMYFUNCTION("""COMPUTED_VALUE"""),303)</f>
        <v>303</v>
      </c>
      <c r="C304" t="str">
        <f ca="1">IFERROR(__xludf.DUMMYFUNCTION("""COMPUTED_VALUE"""),"Jack Nicklaus")</f>
        <v>Jack Nicklaus</v>
      </c>
      <c r="D304" s="4">
        <f ca="1">IFERROR(__xludf.DUMMYFUNCTION("""COMPUTED_VALUE"""),5734031)</f>
        <v>5734031</v>
      </c>
    </row>
    <row r="305" spans="1:4" ht="12.75">
      <c r="A305">
        <f ca="1">IFERROR(__xludf.DUMMYFUNCTION("""COMPUTED_VALUE"""),304)</f>
        <v>304</v>
      </c>
      <c r="B305">
        <f ca="1">IFERROR(__xludf.DUMMYFUNCTION("""COMPUTED_VALUE"""),304)</f>
        <v>304</v>
      </c>
      <c r="C305" t="str">
        <f ca="1">IFERROR(__xludf.DUMMYFUNCTION("""COMPUTED_VALUE"""),"Ted Potter, Jr.")</f>
        <v>Ted Potter, Jr.</v>
      </c>
      <c r="D305" s="4">
        <f ca="1">IFERROR(__xludf.DUMMYFUNCTION("""COMPUTED_VALUE"""),5726024)</f>
        <v>5726024</v>
      </c>
    </row>
    <row r="306" spans="1:4" ht="12.75">
      <c r="A306">
        <f ca="1">IFERROR(__xludf.DUMMYFUNCTION("""COMPUTED_VALUE"""),305)</f>
        <v>305</v>
      </c>
      <c r="B306">
        <f ca="1">IFERROR(__xludf.DUMMYFUNCTION("""COMPUTED_VALUE"""),305)</f>
        <v>305</v>
      </c>
      <c r="C306" t="str">
        <f ca="1">IFERROR(__xludf.DUMMYFUNCTION("""COMPUTED_VALUE"""),"Michael Bradley")</f>
        <v>Michael Bradley</v>
      </c>
      <c r="D306" s="4">
        <f ca="1">IFERROR(__xludf.DUMMYFUNCTION("""COMPUTED_VALUE"""),5672529)</f>
        <v>5672529</v>
      </c>
    </row>
    <row r="307" spans="1:4" ht="12.75">
      <c r="A307">
        <f ca="1">IFERROR(__xludf.DUMMYFUNCTION("""COMPUTED_VALUE"""),306)</f>
        <v>306</v>
      </c>
      <c r="B307">
        <f ca="1">IFERROR(__xludf.DUMMYFUNCTION("""COMPUTED_VALUE"""),306)</f>
        <v>306</v>
      </c>
      <c r="C307" t="str">
        <f ca="1">IFERROR(__xludf.DUMMYFUNCTION("""COMPUTED_VALUE"""),"Andrew Putnam")</f>
        <v>Andrew Putnam</v>
      </c>
      <c r="D307" s="4">
        <f ca="1">IFERROR(__xludf.DUMMYFUNCTION("""COMPUTED_VALUE"""),5671768)</f>
        <v>5671768</v>
      </c>
    </row>
    <row r="308" spans="1:4" ht="12.75">
      <c r="A308">
        <f ca="1">IFERROR(__xludf.DUMMYFUNCTION("""COMPUTED_VALUE"""),307)</f>
        <v>307</v>
      </c>
      <c r="B308">
        <f ca="1">IFERROR(__xludf.DUMMYFUNCTION("""COMPUTED_VALUE"""),307)</f>
        <v>307</v>
      </c>
      <c r="C308" t="str">
        <f ca="1">IFERROR(__xludf.DUMMYFUNCTION("""COMPUTED_VALUE"""),"Tommy Gainey")</f>
        <v>Tommy Gainey</v>
      </c>
      <c r="D308" s="4">
        <f ca="1">IFERROR(__xludf.DUMMYFUNCTION("""COMPUTED_VALUE"""),5633981)</f>
        <v>5633981</v>
      </c>
    </row>
    <row r="309" spans="1:4" ht="12.75">
      <c r="A309">
        <f ca="1">IFERROR(__xludf.DUMMYFUNCTION("""COMPUTED_VALUE"""),308)</f>
        <v>308</v>
      </c>
      <c r="B309">
        <f ca="1">IFERROR(__xludf.DUMMYFUNCTION("""COMPUTED_VALUE"""),308)</f>
        <v>308</v>
      </c>
      <c r="C309" t="str">
        <f ca="1">IFERROR(__xludf.DUMMYFUNCTION("""COMPUTED_VALUE"""),"Tom Hoge")</f>
        <v>Tom Hoge</v>
      </c>
      <c r="D309" s="4">
        <f ca="1">IFERROR(__xludf.DUMMYFUNCTION("""COMPUTED_VALUE"""),5624203)</f>
        <v>5624203</v>
      </c>
    </row>
    <row r="310" spans="1:4" ht="12.75">
      <c r="A310">
        <f ca="1">IFERROR(__xludf.DUMMYFUNCTION("""COMPUTED_VALUE"""),309)</f>
        <v>309</v>
      </c>
      <c r="B310">
        <f ca="1">IFERROR(__xludf.DUMMYFUNCTION("""COMPUTED_VALUE"""),309)</f>
        <v>309</v>
      </c>
      <c r="C310" t="str">
        <f ca="1">IFERROR(__xludf.DUMMYFUNCTION("""COMPUTED_VALUE"""),"Matthew Wolff")</f>
        <v>Matthew Wolff</v>
      </c>
      <c r="D310" s="4">
        <f ca="1">IFERROR(__xludf.DUMMYFUNCTION("""COMPUTED_VALUE"""),5621916)</f>
        <v>5621916</v>
      </c>
    </row>
    <row r="311" spans="1:4" ht="12.75">
      <c r="A311">
        <f ca="1">IFERROR(__xludf.DUMMYFUNCTION("""COMPUTED_VALUE"""),310)</f>
        <v>310</v>
      </c>
      <c r="B311">
        <f ca="1">IFERROR(__xludf.DUMMYFUNCTION("""COMPUTED_VALUE"""),310)</f>
        <v>310</v>
      </c>
      <c r="C311" t="str">
        <f ca="1">IFERROR(__xludf.DUMMYFUNCTION("""COMPUTED_VALUE"""),"Kevin Tway")</f>
        <v>Kevin Tway</v>
      </c>
      <c r="D311" s="4">
        <f ca="1">IFERROR(__xludf.DUMMYFUNCTION("""COMPUTED_VALUE"""),5618789)</f>
        <v>5618789</v>
      </c>
    </row>
    <row r="312" spans="1:4" ht="12.75">
      <c r="A312">
        <f ca="1">IFERROR(__xludf.DUMMYFUNCTION("""COMPUTED_VALUE"""),311)</f>
        <v>311</v>
      </c>
      <c r="B312">
        <f ca="1">IFERROR(__xludf.DUMMYFUNCTION("""COMPUTED_VALUE"""),311)</f>
        <v>311</v>
      </c>
      <c r="C312" t="str">
        <f ca="1">IFERROR(__xludf.DUMMYFUNCTION("""COMPUTED_VALUE"""),"Russ Cochran")</f>
        <v>Russ Cochran</v>
      </c>
      <c r="D312" s="4">
        <f ca="1">IFERROR(__xludf.DUMMYFUNCTION("""COMPUTED_VALUE"""),5579837)</f>
        <v>5579837</v>
      </c>
    </row>
    <row r="313" spans="1:4" ht="12.75">
      <c r="A313">
        <f ca="1">IFERROR(__xludf.DUMMYFUNCTION("""COMPUTED_VALUE"""),312)</f>
        <v>312</v>
      </c>
      <c r="B313">
        <f ca="1">IFERROR(__xludf.DUMMYFUNCTION("""COMPUTED_VALUE"""),312)</f>
        <v>312</v>
      </c>
      <c r="C313" t="str">
        <f ca="1">IFERROR(__xludf.DUMMYFUNCTION("""COMPUTED_VALUE"""),"Jay Don Blake")</f>
        <v>Jay Don Blake</v>
      </c>
      <c r="D313" s="4">
        <f ca="1">IFERROR(__xludf.DUMMYFUNCTION("""COMPUTED_VALUE"""),5563065)</f>
        <v>5563065</v>
      </c>
    </row>
    <row r="314" spans="1:4" ht="12.75">
      <c r="A314">
        <f ca="1">IFERROR(__xludf.DUMMYFUNCTION("""COMPUTED_VALUE"""),313)</f>
        <v>313</v>
      </c>
      <c r="B314">
        <f ca="1">IFERROR(__xludf.DUMMYFUNCTION("""COMPUTED_VALUE"""),313)</f>
        <v>313</v>
      </c>
      <c r="C314" t="str">
        <f ca="1">IFERROR(__xludf.DUMMYFUNCTION("""COMPUTED_VALUE"""),"Anirban Lahiri")</f>
        <v>Anirban Lahiri</v>
      </c>
      <c r="D314" s="4">
        <f ca="1">IFERROR(__xludf.DUMMYFUNCTION("""COMPUTED_VALUE"""),5561430)</f>
        <v>5561430</v>
      </c>
    </row>
    <row r="315" spans="1:4" ht="12.75">
      <c r="A315">
        <f ca="1">IFERROR(__xludf.DUMMYFUNCTION("""COMPUTED_VALUE"""),314)</f>
        <v>314</v>
      </c>
      <c r="B315">
        <f ca="1">IFERROR(__xludf.DUMMYFUNCTION("""COMPUTED_VALUE"""),315)</f>
        <v>315</v>
      </c>
      <c r="C315" t="str">
        <f ca="1">IFERROR(__xludf.DUMMYFUNCTION("""COMPUTED_VALUE"""),"Corey Conners")</f>
        <v>Corey Conners</v>
      </c>
      <c r="D315" s="4">
        <f ca="1">IFERROR(__xludf.DUMMYFUNCTION("""COMPUTED_VALUE"""),5557057)</f>
        <v>5557057</v>
      </c>
    </row>
    <row r="316" spans="1:4" ht="12.75">
      <c r="A316">
        <f ca="1">IFERROR(__xludf.DUMMYFUNCTION("""COMPUTED_VALUE"""),315)</f>
        <v>315</v>
      </c>
      <c r="B316">
        <f ca="1">IFERROR(__xludf.DUMMYFUNCTION("""COMPUTED_VALUE"""),314)</f>
        <v>314</v>
      </c>
      <c r="C316" t="str">
        <f ca="1">IFERROR(__xludf.DUMMYFUNCTION("""COMPUTED_VALUE"""),"Todd Hamilton")</f>
        <v>Todd Hamilton</v>
      </c>
      <c r="D316" s="4">
        <f ca="1">IFERROR(__xludf.DUMMYFUNCTION("""COMPUTED_VALUE"""),5521259)</f>
        <v>5521259</v>
      </c>
    </row>
    <row r="317" spans="1:4" ht="12.75">
      <c r="A317">
        <f ca="1">IFERROR(__xludf.DUMMYFUNCTION("""COMPUTED_VALUE"""),316)</f>
        <v>316</v>
      </c>
      <c r="B317">
        <f ca="1">IFERROR(__xludf.DUMMYFUNCTION("""COMPUTED_VALUE"""),316)</f>
        <v>316</v>
      </c>
      <c r="C317" t="str">
        <f ca="1">IFERROR(__xludf.DUMMYFUNCTION("""COMPUTED_VALUE"""),"Andrew Landry")</f>
        <v>Andrew Landry</v>
      </c>
      <c r="D317" s="4">
        <f ca="1">IFERROR(__xludf.DUMMYFUNCTION("""COMPUTED_VALUE"""),5498068)</f>
        <v>5498068</v>
      </c>
    </row>
    <row r="318" spans="1:4" ht="12.75">
      <c r="A318">
        <f ca="1">IFERROR(__xludf.DUMMYFUNCTION("""COMPUTED_VALUE"""),317)</f>
        <v>317</v>
      </c>
      <c r="B318">
        <f ca="1">IFERROR(__xludf.DUMMYFUNCTION("""COMPUTED_VALUE"""),321)</f>
        <v>321</v>
      </c>
      <c r="C318" t="str">
        <f ca="1">IFERROR(__xludf.DUMMYFUNCTION("""COMPUTED_VALUE"""),"Aaron Wise")</f>
        <v>Aaron Wise</v>
      </c>
      <c r="D318" s="4">
        <f ca="1">IFERROR(__xludf.DUMMYFUNCTION("""COMPUTED_VALUE"""),5448473)</f>
        <v>5448473</v>
      </c>
    </row>
    <row r="319" spans="1:4" ht="12.75">
      <c r="A319">
        <f ca="1">IFERROR(__xludf.DUMMYFUNCTION("""COMPUTED_VALUE"""),318)</f>
        <v>318</v>
      </c>
      <c r="B319">
        <f ca="1">IFERROR(__xludf.DUMMYFUNCTION("""COMPUTED_VALUE"""),317)</f>
        <v>317</v>
      </c>
      <c r="C319" t="str">
        <f ca="1">IFERROR(__xludf.DUMMYFUNCTION("""COMPUTED_VALUE"""),"Kent Jones")</f>
        <v>Kent Jones</v>
      </c>
      <c r="D319" s="4">
        <f ca="1">IFERROR(__xludf.DUMMYFUNCTION("""COMPUTED_VALUE"""),5386476)</f>
        <v>5386476</v>
      </c>
    </row>
    <row r="320" spans="1:4" ht="12.75">
      <c r="A320">
        <f ca="1">IFERROR(__xludf.DUMMYFUNCTION("""COMPUTED_VALUE"""),319)</f>
        <v>319</v>
      </c>
      <c r="B320">
        <f ca="1">IFERROR(__xludf.DUMMYFUNCTION("""COMPUTED_VALUE"""),318)</f>
        <v>318</v>
      </c>
      <c r="C320" t="str">
        <f ca="1">IFERROR(__xludf.DUMMYFUNCTION("""COMPUTED_VALUE"""),"José Coceres")</f>
        <v>José Coceres</v>
      </c>
      <c r="D320" s="4">
        <f ca="1">IFERROR(__xludf.DUMMYFUNCTION("""COMPUTED_VALUE"""),5337955)</f>
        <v>5337955</v>
      </c>
    </row>
    <row r="321" spans="1:4" ht="12.75">
      <c r="A321">
        <f ca="1">IFERROR(__xludf.DUMMYFUNCTION("""COMPUTED_VALUE"""),320)</f>
        <v>320</v>
      </c>
      <c r="B321">
        <f ca="1">IFERROR(__xludf.DUMMYFUNCTION("""COMPUTED_VALUE"""),319)</f>
        <v>319</v>
      </c>
      <c r="C321" t="str">
        <f ca="1">IFERROR(__xludf.DUMMYFUNCTION("""COMPUTED_VALUE"""),"Raymond Floyd")</f>
        <v>Raymond Floyd</v>
      </c>
      <c r="D321" s="4">
        <f ca="1">IFERROR(__xludf.DUMMYFUNCTION("""COMPUTED_VALUE"""),5323075)</f>
        <v>5323075</v>
      </c>
    </row>
    <row r="322" spans="1:4" ht="12.75">
      <c r="A322">
        <f ca="1">IFERROR(__xludf.DUMMYFUNCTION("""COMPUTED_VALUE"""),321)</f>
        <v>321</v>
      </c>
      <c r="B322">
        <f ca="1">IFERROR(__xludf.DUMMYFUNCTION("""COMPUTED_VALUE"""),365)</f>
        <v>365</v>
      </c>
      <c r="C322" t="str">
        <f ca="1">IFERROR(__xludf.DUMMYFUNCTION("""COMPUTED_VALUE"""),"Carlos Ortiz")</f>
        <v>Carlos Ortiz</v>
      </c>
      <c r="D322" s="4">
        <f ca="1">IFERROR(__xludf.DUMMYFUNCTION("""COMPUTED_VALUE"""),5320648)</f>
        <v>5320648</v>
      </c>
    </row>
    <row r="323" spans="1:4" ht="12.75">
      <c r="A323">
        <f ca="1">IFERROR(__xludf.DUMMYFUNCTION("""COMPUTED_VALUE"""),322)</f>
        <v>322</v>
      </c>
      <c r="B323">
        <f ca="1">IFERROR(__xludf.DUMMYFUNCTION("""COMPUTED_VALUE"""),320)</f>
        <v>320</v>
      </c>
      <c r="C323" t="str">
        <f ca="1">IFERROR(__xludf.DUMMYFUNCTION("""COMPUTED_VALUE"""),"Mark McCumber")</f>
        <v>Mark McCumber</v>
      </c>
      <c r="D323" s="4">
        <f ca="1">IFERROR(__xludf.DUMMYFUNCTION("""COMPUTED_VALUE"""),5309688)</f>
        <v>5309688</v>
      </c>
    </row>
    <row r="324" spans="1:4" ht="12.75">
      <c r="A324">
        <f ca="1">IFERROR(__xludf.DUMMYFUNCTION("""COMPUTED_VALUE"""),323)</f>
        <v>323</v>
      </c>
      <c r="B324">
        <f ca="1">IFERROR(__xludf.DUMMYFUNCTION("""COMPUTED_VALUE"""),322)</f>
        <v>322</v>
      </c>
      <c r="C324" t="str">
        <f ca="1">IFERROR(__xludf.DUMMYFUNCTION("""COMPUTED_VALUE"""),"Gil Morgan")</f>
        <v>Gil Morgan</v>
      </c>
      <c r="D324" s="4">
        <f ca="1">IFERROR(__xludf.DUMMYFUNCTION("""COMPUTED_VALUE"""),5259164)</f>
        <v>5259164</v>
      </c>
    </row>
    <row r="325" spans="1:4" ht="12.75">
      <c r="A325">
        <f ca="1">IFERROR(__xludf.DUMMYFUNCTION("""COMPUTED_VALUE"""),324)</f>
        <v>324</v>
      </c>
      <c r="B325">
        <f ca="1">IFERROR(__xludf.DUMMYFUNCTION("""COMPUTED_VALUE"""),323)</f>
        <v>323</v>
      </c>
      <c r="C325" t="str">
        <f ca="1">IFERROR(__xludf.DUMMYFUNCTION("""COMPUTED_VALUE"""),"Craig Barlow")</f>
        <v>Craig Barlow</v>
      </c>
      <c r="D325" s="4">
        <f ca="1">IFERROR(__xludf.DUMMYFUNCTION("""COMPUTED_VALUE"""),5236816)</f>
        <v>5236816</v>
      </c>
    </row>
    <row r="326" spans="1:4" ht="12.75">
      <c r="A326">
        <f ca="1">IFERROR(__xludf.DUMMYFUNCTION("""COMPUTED_VALUE"""),325)</f>
        <v>325</v>
      </c>
      <c r="B326">
        <f ca="1">IFERROR(__xludf.DUMMYFUNCTION("""COMPUTED_VALUE"""),324)</f>
        <v>324</v>
      </c>
      <c r="C326" t="str">
        <f ca="1">IFERROR(__xludf.DUMMYFUNCTION("""COMPUTED_VALUE"""),"Blaine McCallister")</f>
        <v>Blaine McCallister</v>
      </c>
      <c r="D326" s="4">
        <f ca="1">IFERROR(__xludf.DUMMYFUNCTION("""COMPUTED_VALUE"""),5227278)</f>
        <v>5227278</v>
      </c>
    </row>
    <row r="327" spans="1:4" ht="12.75">
      <c r="A327">
        <f ca="1">IFERROR(__xludf.DUMMYFUNCTION("""COMPUTED_VALUE"""),326)</f>
        <v>326</v>
      </c>
      <c r="B327">
        <f ca="1">IFERROR(__xludf.DUMMYFUNCTION("""COMPUTED_VALUE"""),325)</f>
        <v>325</v>
      </c>
      <c r="C327" t="str">
        <f ca="1">IFERROR(__xludf.DUMMYFUNCTION("""COMPUTED_VALUE"""),"Notah Begay III")</f>
        <v>Notah Begay III</v>
      </c>
      <c r="D327" s="4">
        <f ca="1">IFERROR(__xludf.DUMMYFUNCTION("""COMPUTED_VALUE"""),5207339)</f>
        <v>5207339</v>
      </c>
    </row>
    <row r="328" spans="1:4" ht="12.75">
      <c r="A328">
        <f ca="1">IFERROR(__xludf.DUMMYFUNCTION("""COMPUTED_VALUE"""),327)</f>
        <v>327</v>
      </c>
      <c r="B328">
        <f ca="1">IFERROR(__xludf.DUMMYFUNCTION("""COMPUTED_VALUE"""),326)</f>
        <v>326</v>
      </c>
      <c r="C328" t="str">
        <f ca="1">IFERROR(__xludf.DUMMYFUNCTION("""COMPUTED_VALUE"""),"Billy Hurley III")</f>
        <v>Billy Hurley III</v>
      </c>
      <c r="D328" s="4">
        <f ca="1">IFERROR(__xludf.DUMMYFUNCTION("""COMPUTED_VALUE"""),5136229)</f>
        <v>5136229</v>
      </c>
    </row>
    <row r="329" spans="1:4" ht="12.75">
      <c r="A329">
        <f ca="1">IFERROR(__xludf.DUMMYFUNCTION("""COMPUTED_VALUE"""),328)</f>
        <v>328</v>
      </c>
      <c r="B329">
        <f ca="1">IFERROR(__xludf.DUMMYFUNCTION("""COMPUTED_VALUE"""),327)</f>
        <v>327</v>
      </c>
      <c r="C329" t="str">
        <f ca="1">IFERROR(__xludf.DUMMYFUNCTION("""COMPUTED_VALUE"""),"Matthew Fitzpatrick")</f>
        <v>Matthew Fitzpatrick</v>
      </c>
      <c r="D329" s="4">
        <f ca="1">IFERROR(__xludf.DUMMYFUNCTION("""COMPUTED_VALUE"""),5101629)</f>
        <v>5101629</v>
      </c>
    </row>
    <row r="330" spans="1:4" ht="12.75">
      <c r="A330">
        <f ca="1">IFERROR(__xludf.DUMMYFUNCTION("""COMPUTED_VALUE"""),329)</f>
        <v>329</v>
      </c>
      <c r="B330">
        <f ca="1">IFERROR(__xludf.DUMMYFUNCTION("""COMPUTED_VALUE"""),328)</f>
        <v>328</v>
      </c>
      <c r="C330" t="str">
        <f ca="1">IFERROR(__xludf.DUMMYFUNCTION("""COMPUTED_VALUE"""),"Keith Mitchell")</f>
        <v>Keith Mitchell</v>
      </c>
      <c r="D330" s="4">
        <f ca="1">IFERROR(__xludf.DUMMYFUNCTION("""COMPUTED_VALUE"""),5097480)</f>
        <v>5097480</v>
      </c>
    </row>
    <row r="331" spans="1:4" ht="12.75">
      <c r="A331">
        <f ca="1">IFERROR(__xludf.DUMMYFUNCTION("""COMPUTED_VALUE"""),330)</f>
        <v>330</v>
      </c>
      <c r="B331">
        <f ca="1">IFERROR(__xludf.DUMMYFUNCTION("""COMPUTED_VALUE"""),329)</f>
        <v>329</v>
      </c>
      <c r="C331" t="str">
        <f ca="1">IFERROR(__xludf.DUMMYFUNCTION("""COMPUTED_VALUE"""),"Arjun Atwal")</f>
        <v>Arjun Atwal</v>
      </c>
      <c r="D331" s="4">
        <f ca="1">IFERROR(__xludf.DUMMYFUNCTION("""COMPUTED_VALUE"""),5069585)</f>
        <v>5069585</v>
      </c>
    </row>
    <row r="332" spans="1:4" ht="12.75">
      <c r="A332">
        <f ca="1">IFERROR(__xludf.DUMMYFUNCTION("""COMPUTED_VALUE"""),331)</f>
        <v>331</v>
      </c>
      <c r="B332">
        <f ca="1">IFERROR(__xludf.DUMMYFUNCTION("""COMPUTED_VALUE"""),330)</f>
        <v>330</v>
      </c>
      <c r="C332" t="str">
        <f ca="1">IFERROR(__xludf.DUMMYFUNCTION("""COMPUTED_VALUE"""),"Chris Smith")</f>
        <v>Chris Smith</v>
      </c>
      <c r="D332" s="4">
        <f ca="1">IFERROR(__xludf.DUMMYFUNCTION("""COMPUTED_VALUE"""),5016813)</f>
        <v>5016813</v>
      </c>
    </row>
    <row r="333" spans="1:4" ht="12.75">
      <c r="A333">
        <f ca="1">IFERROR(__xludf.DUMMYFUNCTION("""COMPUTED_VALUE"""),332)</f>
        <v>332</v>
      </c>
      <c r="B333">
        <f ca="1">IFERROR(__xludf.DUMMYFUNCTION("""COMPUTED_VALUE"""),332)</f>
        <v>332</v>
      </c>
      <c r="C333" t="str">
        <f ca="1">IFERROR(__xludf.DUMMYFUNCTION("""COMPUTED_VALUE"""),"Austin Cook")</f>
        <v>Austin Cook</v>
      </c>
      <c r="D333" s="4">
        <f ca="1">IFERROR(__xludf.DUMMYFUNCTION("""COMPUTED_VALUE"""),5010433)</f>
        <v>5010433</v>
      </c>
    </row>
    <row r="334" spans="1:4" ht="12.75">
      <c r="A334">
        <f ca="1">IFERROR(__xludf.DUMMYFUNCTION("""COMPUTED_VALUE"""),333)</f>
        <v>333</v>
      </c>
      <c r="B334">
        <f ca="1">IFERROR(__xludf.DUMMYFUNCTION("""COMPUTED_VALUE"""),331)</f>
        <v>331</v>
      </c>
      <c r="C334" t="str">
        <f ca="1">IFERROR(__xludf.DUMMYFUNCTION("""COMPUTED_VALUE"""),"Dennis Paulson")</f>
        <v>Dennis Paulson</v>
      </c>
      <c r="D334" s="4">
        <f ca="1">IFERROR(__xludf.DUMMYFUNCTION("""COMPUTED_VALUE"""),4983871)</f>
        <v>4983871</v>
      </c>
    </row>
    <row r="335" spans="1:4" ht="12.75">
      <c r="A335">
        <f ca="1">IFERROR(__xludf.DUMMYFUNCTION("""COMPUTED_VALUE"""),334)</f>
        <v>334</v>
      </c>
      <c r="B335">
        <f ca="1">IFERROR(__xludf.DUMMYFUNCTION("""COMPUTED_VALUE"""),333)</f>
        <v>333</v>
      </c>
      <c r="C335" t="str">
        <f ca="1">IFERROR(__xludf.DUMMYFUNCTION("""COMPUTED_VALUE"""),"Sebastián Muñoz")</f>
        <v>Sebastián Muñoz</v>
      </c>
      <c r="D335" s="4">
        <f ca="1">IFERROR(__xludf.DUMMYFUNCTION("""COMPUTED_VALUE"""),4951382)</f>
        <v>4951382</v>
      </c>
    </row>
    <row r="336" spans="1:4" ht="12.75">
      <c r="A336">
        <f ca="1">IFERROR(__xludf.DUMMYFUNCTION("""COMPUTED_VALUE"""),335)</f>
        <v>335</v>
      </c>
      <c r="B336">
        <f ca="1">IFERROR(__xludf.DUMMYFUNCTION("""COMPUTED_VALUE"""),334)</f>
        <v>334</v>
      </c>
      <c r="C336" t="str">
        <f ca="1">IFERROR(__xludf.DUMMYFUNCTION("""COMPUTED_VALUE"""),"Brice Garnett")</f>
        <v>Brice Garnett</v>
      </c>
      <c r="D336" s="4">
        <f ca="1">IFERROR(__xludf.DUMMYFUNCTION("""COMPUTED_VALUE"""),4913101)</f>
        <v>4913101</v>
      </c>
    </row>
    <row r="337" spans="1:4" ht="12.75">
      <c r="A337">
        <f ca="1">IFERROR(__xludf.DUMMYFUNCTION("""COMPUTED_VALUE"""),336)</f>
        <v>336</v>
      </c>
      <c r="B337">
        <f ca="1">IFERROR(__xludf.DUMMYFUNCTION("""COMPUTED_VALUE"""),335)</f>
        <v>335</v>
      </c>
      <c r="C337" t="str">
        <f ca="1">IFERROR(__xludf.DUMMYFUNCTION("""COMPUTED_VALUE"""),"Peter Malnati")</f>
        <v>Peter Malnati</v>
      </c>
      <c r="D337" s="4">
        <f ca="1">IFERROR(__xludf.DUMMYFUNCTION("""COMPUTED_VALUE"""),4807803)</f>
        <v>4807803</v>
      </c>
    </row>
    <row r="338" spans="1:4" ht="12.75">
      <c r="A338">
        <f ca="1">IFERROR(__xludf.DUMMYFUNCTION("""COMPUTED_VALUE"""),337)</f>
        <v>337</v>
      </c>
      <c r="B338">
        <f ca="1">IFERROR(__xludf.DUMMYFUNCTION("""COMPUTED_VALUE"""),336)</f>
        <v>336</v>
      </c>
      <c r="C338" t="str">
        <f ca="1">IFERROR(__xludf.DUMMYFUNCTION("""COMPUTED_VALUE"""),"Whee Kim")</f>
        <v>Whee Kim</v>
      </c>
      <c r="D338" s="4">
        <f ca="1">IFERROR(__xludf.DUMMYFUNCTION("""COMPUTED_VALUE"""),4794398)</f>
        <v>4794398</v>
      </c>
    </row>
    <row r="339" spans="1:4" ht="12.75">
      <c r="A339">
        <f ca="1">IFERROR(__xludf.DUMMYFUNCTION("""COMPUTED_VALUE"""),338)</f>
        <v>338</v>
      </c>
      <c r="B339">
        <f ca="1">IFERROR(__xludf.DUMMYFUNCTION("""COMPUTED_VALUE"""),337)</f>
        <v>337</v>
      </c>
      <c r="C339" t="str">
        <f ca="1">IFERROR(__xludf.DUMMYFUNCTION("""COMPUTED_VALUE"""),"Danny Willett")</f>
        <v>Danny Willett</v>
      </c>
      <c r="D339" s="4">
        <f ca="1">IFERROR(__xludf.DUMMYFUNCTION("""COMPUTED_VALUE"""),4781498)</f>
        <v>4781498</v>
      </c>
    </row>
    <row r="340" spans="1:4" ht="12.75">
      <c r="A340">
        <f ca="1">IFERROR(__xludf.DUMMYFUNCTION("""COMPUTED_VALUE"""),339)</f>
        <v>339</v>
      </c>
      <c r="B340">
        <f ca="1">IFERROR(__xludf.DUMMYFUNCTION("""COMPUTED_VALUE"""),338)</f>
        <v>338</v>
      </c>
      <c r="C340" t="str">
        <f ca="1">IFERROR(__xludf.DUMMYFUNCTION("""COMPUTED_VALUE"""),"David Edwards")</f>
        <v>David Edwards</v>
      </c>
      <c r="D340" s="4">
        <f ca="1">IFERROR(__xludf.DUMMYFUNCTION("""COMPUTED_VALUE"""),4773198)</f>
        <v>4773198</v>
      </c>
    </row>
    <row r="341" spans="1:4" ht="12.75">
      <c r="A341">
        <f ca="1">IFERROR(__xludf.DUMMYFUNCTION("""COMPUTED_VALUE"""),340)</f>
        <v>340</v>
      </c>
      <c r="B341">
        <f ca="1">IFERROR(__xludf.DUMMYFUNCTION("""COMPUTED_VALUE"""),339)</f>
        <v>339</v>
      </c>
      <c r="C341" t="str">
        <f ca="1">IFERROR(__xludf.DUMMYFUNCTION("""COMPUTED_VALUE"""),"D.A. Weibring")</f>
        <v>D.A. Weibring</v>
      </c>
      <c r="D341" s="4">
        <f ca="1">IFERROR(__xludf.DUMMYFUNCTION("""COMPUTED_VALUE"""),4770705)</f>
        <v>4770705</v>
      </c>
    </row>
    <row r="342" spans="1:4" ht="12.75">
      <c r="A342">
        <f ca="1">IFERROR(__xludf.DUMMYFUNCTION("""COMPUTED_VALUE"""),341)</f>
        <v>341</v>
      </c>
      <c r="B342">
        <f ca="1">IFERROR(__xludf.DUMMYFUNCTION("""COMPUTED_VALUE"""),340)</f>
        <v>340</v>
      </c>
      <c r="C342" t="str">
        <f ca="1">IFERROR(__xludf.DUMMYFUNCTION("""COMPUTED_VALUE"""),"Jim Carter")</f>
        <v>Jim Carter</v>
      </c>
      <c r="D342" s="4">
        <f ca="1">IFERROR(__xludf.DUMMYFUNCTION("""COMPUTED_VALUE"""),4766778)</f>
        <v>4766778</v>
      </c>
    </row>
    <row r="343" spans="1:4" ht="12.75">
      <c r="A343">
        <f ca="1">IFERROR(__xludf.DUMMYFUNCTION("""COMPUTED_VALUE"""),342)</f>
        <v>342</v>
      </c>
      <c r="B343">
        <f ca="1">IFERROR(__xludf.DUMMYFUNCTION("""COMPUTED_VALUE"""),341)</f>
        <v>341</v>
      </c>
      <c r="C343" t="str">
        <f ca="1">IFERROR(__xludf.DUMMYFUNCTION("""COMPUTED_VALUE"""),"J.J. Spaun")</f>
        <v>J.J. Spaun</v>
      </c>
      <c r="D343" s="4">
        <f ca="1">IFERROR(__xludf.DUMMYFUNCTION("""COMPUTED_VALUE"""),4736076)</f>
        <v>4736076</v>
      </c>
    </row>
    <row r="344" spans="1:4" ht="12.75">
      <c r="A344">
        <f ca="1">IFERROR(__xludf.DUMMYFUNCTION("""COMPUTED_VALUE"""),343)</f>
        <v>343</v>
      </c>
      <c r="B344">
        <f ca="1">IFERROR(__xludf.DUMMYFUNCTION("""COMPUTED_VALUE"""),342)</f>
        <v>342</v>
      </c>
      <c r="C344" t="str">
        <f ca="1">IFERROR(__xludf.DUMMYFUNCTION("""COMPUTED_VALUE"""),"Wayne Levi")</f>
        <v>Wayne Levi</v>
      </c>
      <c r="D344" s="4">
        <f ca="1">IFERROR(__xludf.DUMMYFUNCTION("""COMPUTED_VALUE"""),4730158)</f>
        <v>4730158</v>
      </c>
    </row>
    <row r="345" spans="1:4" ht="12.75">
      <c r="A345">
        <f ca="1">IFERROR(__xludf.DUMMYFUNCTION("""COMPUTED_VALUE"""),344)</f>
        <v>344</v>
      </c>
      <c r="B345">
        <f ca="1">IFERROR(__xludf.DUMMYFUNCTION("""COMPUTED_VALUE"""),343)</f>
        <v>343</v>
      </c>
      <c r="C345" t="str">
        <f ca="1">IFERROR(__xludf.DUMMYFUNCTION("""COMPUTED_VALUE"""),"Mike Reid")</f>
        <v>Mike Reid</v>
      </c>
      <c r="D345" s="4">
        <f ca="1">IFERROR(__xludf.DUMMYFUNCTION("""COMPUTED_VALUE"""),4686774)</f>
        <v>4686774</v>
      </c>
    </row>
    <row r="346" spans="1:4" ht="12.75">
      <c r="A346">
        <f ca="1">IFERROR(__xludf.DUMMYFUNCTION("""COMPUTED_VALUE"""),345)</f>
        <v>345</v>
      </c>
      <c r="B346">
        <f ca="1">IFERROR(__xludf.DUMMYFUNCTION("""COMPUTED_VALUE"""),344)</f>
        <v>344</v>
      </c>
      <c r="C346" t="str">
        <f ca="1">IFERROR(__xludf.DUMMYFUNCTION("""COMPUTED_VALUE"""),"Gene Sauers")</f>
        <v>Gene Sauers</v>
      </c>
      <c r="D346" s="4">
        <f ca="1">IFERROR(__xludf.DUMMYFUNCTION("""COMPUTED_VALUE"""),4660569)</f>
        <v>4660569</v>
      </c>
    </row>
    <row r="347" spans="1:4" ht="12.75">
      <c r="A347">
        <f ca="1">IFERROR(__xludf.DUMMYFUNCTION("""COMPUTED_VALUE"""),346)</f>
        <v>346</v>
      </c>
      <c r="B347">
        <f ca="1">IFERROR(__xludf.DUMMYFUNCTION("""COMPUTED_VALUE"""),345)</f>
        <v>345</v>
      </c>
      <c r="C347" t="str">
        <f ca="1">IFERROR(__xludf.DUMMYFUNCTION("""COMPUTED_VALUE"""),"Richy Werenski")</f>
        <v>Richy Werenski</v>
      </c>
      <c r="D347" s="4">
        <f ca="1">IFERROR(__xludf.DUMMYFUNCTION("""COMPUTED_VALUE"""),4634026)</f>
        <v>4634026</v>
      </c>
    </row>
    <row r="348" spans="1:4" ht="12.75">
      <c r="A348">
        <f ca="1">IFERROR(__xludf.DUMMYFUNCTION("""COMPUTED_VALUE"""),347)</f>
        <v>347</v>
      </c>
      <c r="B348">
        <f ca="1">IFERROR(__xludf.DUMMYFUNCTION("""COMPUTED_VALUE"""),346)</f>
        <v>346</v>
      </c>
      <c r="C348" t="str">
        <f ca="1">IFERROR(__xludf.DUMMYFUNCTION("""COMPUTED_VALUE"""),"Matt Gogel")</f>
        <v>Matt Gogel</v>
      </c>
      <c r="D348" s="4">
        <f ca="1">IFERROR(__xludf.DUMMYFUNCTION("""COMPUTED_VALUE"""),4596216)</f>
        <v>4596216</v>
      </c>
    </row>
    <row r="349" spans="1:4" ht="12.75">
      <c r="A349">
        <f ca="1">IFERROR(__xludf.DUMMYFUNCTION("""COMPUTED_VALUE"""),348)</f>
        <v>348</v>
      </c>
      <c r="B349">
        <f ca="1">IFERROR(__xludf.DUMMYFUNCTION("""COMPUTED_VALUE"""),347)</f>
        <v>347</v>
      </c>
      <c r="C349" t="str">
        <f ca="1">IFERROR(__xludf.DUMMYFUNCTION("""COMPUTED_VALUE"""),"Kelly Kraft")</f>
        <v>Kelly Kraft</v>
      </c>
      <c r="D349" s="4">
        <f ca="1">IFERROR(__xludf.DUMMYFUNCTION("""COMPUTED_VALUE"""),4590929)</f>
        <v>4590929</v>
      </c>
    </row>
    <row r="350" spans="1:4" ht="12.75">
      <c r="A350">
        <f ca="1">IFERROR(__xludf.DUMMYFUNCTION("""COMPUTED_VALUE"""),349)</f>
        <v>349</v>
      </c>
      <c r="B350">
        <f ca="1">IFERROR(__xludf.DUMMYFUNCTION("""COMPUTED_VALUE"""),348)</f>
        <v>348</v>
      </c>
      <c r="C350" t="str">
        <f ca="1">IFERROR(__xludf.DUMMYFUNCTION("""COMPUTED_VALUE"""),"Grant Waite")</f>
        <v>Grant Waite</v>
      </c>
      <c r="D350" s="4">
        <f ca="1">IFERROR(__xludf.DUMMYFUNCTION("""COMPUTED_VALUE"""),4583879)</f>
        <v>4583879</v>
      </c>
    </row>
    <row r="351" spans="1:4" ht="12.75">
      <c r="A351">
        <f ca="1">IFERROR(__xludf.DUMMYFUNCTION("""COMPUTED_VALUE"""),350)</f>
        <v>350</v>
      </c>
      <c r="B351">
        <f ca="1">IFERROR(__xludf.DUMMYFUNCTION("""COMPUTED_VALUE"""),355)</f>
        <v>355</v>
      </c>
      <c r="C351" t="str">
        <f ca="1">IFERROR(__xludf.DUMMYFUNCTION("""COMPUTED_VALUE"""),"Adam Long")</f>
        <v>Adam Long</v>
      </c>
      <c r="D351" s="4">
        <f ca="1">IFERROR(__xludf.DUMMYFUNCTION("""COMPUTED_VALUE"""),4396368)</f>
        <v>4396368</v>
      </c>
    </row>
    <row r="352" spans="1:4" ht="12.75">
      <c r="A352">
        <f ca="1">IFERROR(__xludf.DUMMYFUNCTION("""COMPUTED_VALUE"""),351)</f>
        <v>351</v>
      </c>
      <c r="B352">
        <f ca="1">IFERROR(__xludf.DUMMYFUNCTION("""COMPUTED_VALUE"""),349)</f>
        <v>349</v>
      </c>
      <c r="C352" t="str">
        <f ca="1">IFERROR(__xludf.DUMMYFUNCTION("""COMPUTED_VALUE"""),"Marco Dawson")</f>
        <v>Marco Dawson</v>
      </c>
      <c r="D352" s="4">
        <f ca="1">IFERROR(__xludf.DUMMYFUNCTION("""COMPUTED_VALUE"""),4341727)</f>
        <v>4341727</v>
      </c>
    </row>
    <row r="353" spans="1:4" ht="12.75">
      <c r="A353">
        <f ca="1">IFERROR(__xludf.DUMMYFUNCTION("""COMPUTED_VALUE"""),352)</f>
        <v>352</v>
      </c>
      <c r="B353">
        <f ca="1">IFERROR(__xludf.DUMMYFUNCTION("""COMPUTED_VALUE"""),350)</f>
        <v>350</v>
      </c>
      <c r="C353" t="str">
        <f ca="1">IFERROR(__xludf.DUMMYFUNCTION("""COMPUTED_VALUE"""),"Colt Knost")</f>
        <v>Colt Knost</v>
      </c>
      <c r="D353" s="4">
        <f ca="1">IFERROR(__xludf.DUMMYFUNCTION("""COMPUTED_VALUE"""),4330438)</f>
        <v>4330438</v>
      </c>
    </row>
    <row r="354" spans="1:4" ht="12.75">
      <c r="A354">
        <f ca="1">IFERROR(__xludf.DUMMYFUNCTION("""COMPUTED_VALUE"""),353)</f>
        <v>353</v>
      </c>
      <c r="B354">
        <f ca="1">IFERROR(__xludf.DUMMYFUNCTION("""COMPUTED_VALUE"""),351)</f>
        <v>351</v>
      </c>
      <c r="C354" t="str">
        <f ca="1">IFERROR(__xludf.DUMMYFUNCTION("""COMPUTED_VALUE"""),"Mark Wiebe")</f>
        <v>Mark Wiebe</v>
      </c>
      <c r="D354" s="4">
        <f ca="1">IFERROR(__xludf.DUMMYFUNCTION("""COMPUTED_VALUE"""),4314460)</f>
        <v>4314460</v>
      </c>
    </row>
    <row r="355" spans="1:4" ht="12.75">
      <c r="A355">
        <f ca="1">IFERROR(__xludf.DUMMYFUNCTION("""COMPUTED_VALUE"""),354)</f>
        <v>354</v>
      </c>
      <c r="B355">
        <f ca="1">IFERROR(__xludf.DUMMYFUNCTION("""COMPUTED_VALUE"""),352)</f>
        <v>352</v>
      </c>
      <c r="C355" t="str">
        <f ca="1">IFERROR(__xludf.DUMMYFUNCTION("""COMPUTED_VALUE"""),"Chris Couch")</f>
        <v>Chris Couch</v>
      </c>
      <c r="D355" s="4">
        <f ca="1">IFERROR(__xludf.DUMMYFUNCTION("""COMPUTED_VALUE"""),4287838)</f>
        <v>4287838</v>
      </c>
    </row>
    <row r="356" spans="1:4" ht="12.75">
      <c r="A356">
        <f ca="1">IFERROR(__xludf.DUMMYFUNCTION("""COMPUTED_VALUE"""),355)</f>
        <v>355</v>
      </c>
      <c r="B356">
        <f ca="1">IFERROR(__xludf.DUMMYFUNCTION("""COMPUTED_VALUE"""),353)</f>
        <v>353</v>
      </c>
      <c r="C356" t="str">
        <f ca="1">IFERROR(__xludf.DUMMYFUNCTION("""COMPUTED_VALUE"""),"Joel Edwards")</f>
        <v>Joel Edwards</v>
      </c>
      <c r="D356" s="4">
        <f ca="1">IFERROR(__xludf.DUMMYFUNCTION("""COMPUTED_VALUE"""),4286415)</f>
        <v>4286415</v>
      </c>
    </row>
    <row r="357" spans="1:4" ht="12.75">
      <c r="A357">
        <f ca="1">IFERROR(__xludf.DUMMYFUNCTION("""COMPUTED_VALUE"""),356)</f>
        <v>356</v>
      </c>
      <c r="B357">
        <f ca="1">IFERROR(__xludf.DUMMYFUNCTION("""COMPUTED_VALUE"""),354)</f>
        <v>354</v>
      </c>
      <c r="C357" t="str">
        <f ca="1">IFERROR(__xludf.DUMMYFUNCTION("""COMPUTED_VALUE"""),"Cameron Champ")</f>
        <v>Cameron Champ</v>
      </c>
      <c r="D357" s="4">
        <f ca="1">IFERROR(__xludf.DUMMYFUNCTION("""COMPUTED_VALUE"""),4264288)</f>
        <v>4264288</v>
      </c>
    </row>
    <row r="358" spans="1:4" ht="12.75">
      <c r="A358">
        <f ca="1">IFERROR(__xludf.DUMMYFUNCTION("""COMPUTED_VALUE"""),357)</f>
        <v>357</v>
      </c>
      <c r="B358">
        <f ca="1">IFERROR(__xludf.DUMMYFUNCTION("""COMPUTED_VALUE"""),356)</f>
        <v>356</v>
      </c>
      <c r="C358" t="str">
        <f ca="1">IFERROR(__xludf.DUMMYFUNCTION("""COMPUTED_VALUE"""),"Tom Purtzer")</f>
        <v>Tom Purtzer</v>
      </c>
      <c r="D358" s="4">
        <f ca="1">IFERROR(__xludf.DUMMYFUNCTION("""COMPUTED_VALUE"""),4192268)</f>
        <v>4192268</v>
      </c>
    </row>
    <row r="359" spans="1:4" ht="12.75">
      <c r="A359">
        <f ca="1">IFERROR(__xludf.DUMMYFUNCTION("""COMPUTED_VALUE"""),358)</f>
        <v>358</v>
      </c>
      <c r="B359">
        <f ca="1">IFERROR(__xludf.DUMMYFUNCTION("""COMPUTED_VALUE"""),357)</f>
        <v>357</v>
      </c>
      <c r="C359" t="str">
        <f ca="1">IFERROR(__xludf.DUMMYFUNCTION("""COMPUTED_VALUE"""),"Mike Hulbert")</f>
        <v>Mike Hulbert</v>
      </c>
      <c r="D359" s="4">
        <f ca="1">IFERROR(__xludf.DUMMYFUNCTION("""COMPUTED_VALUE"""),4183778)</f>
        <v>4183778</v>
      </c>
    </row>
    <row r="360" spans="1:4" ht="12.75">
      <c r="A360">
        <f ca="1">IFERROR(__xludf.DUMMYFUNCTION("""COMPUTED_VALUE"""),359)</f>
        <v>359</v>
      </c>
      <c r="B360">
        <f ca="1">IFERROR(__xludf.DUMMYFUNCTION("""COMPUTED_VALUE"""),358)</f>
        <v>358</v>
      </c>
      <c r="C360" t="str">
        <f ca="1">IFERROR(__xludf.DUMMYFUNCTION("""COMPUTED_VALUE"""),"Tim Wilkinson")</f>
        <v>Tim Wilkinson</v>
      </c>
      <c r="D360" s="4">
        <f ca="1">IFERROR(__xludf.DUMMYFUNCTION("""COMPUTED_VALUE"""),4179490)</f>
        <v>4179490</v>
      </c>
    </row>
    <row r="361" spans="1:4" ht="12.75">
      <c r="A361">
        <f ca="1">IFERROR(__xludf.DUMMYFUNCTION("""COMPUTED_VALUE"""),360)</f>
        <v>360</v>
      </c>
      <c r="B361">
        <f ca="1">IFERROR(__xludf.DUMMYFUNCTION("""COMPUTED_VALUE"""),359)</f>
        <v>359</v>
      </c>
      <c r="C361" t="str">
        <f ca="1">IFERROR(__xludf.DUMMYFUNCTION("""COMPUTED_VALUE"""),"Ollie Schniederjans")</f>
        <v>Ollie Schniederjans</v>
      </c>
      <c r="D361" s="4">
        <f ca="1">IFERROR(__xludf.DUMMYFUNCTION("""COMPUTED_VALUE"""),4155653)</f>
        <v>4155653</v>
      </c>
    </row>
    <row r="362" spans="1:4" ht="12.75">
      <c r="A362">
        <f ca="1">IFERROR(__xludf.DUMMYFUNCTION("""COMPUTED_VALUE"""),361)</f>
        <v>361</v>
      </c>
      <c r="B362">
        <f ca="1">IFERROR(__xludf.DUMMYFUNCTION("""COMPUTED_VALUE"""),361)</f>
        <v>361</v>
      </c>
      <c r="C362" t="str">
        <f ca="1">IFERROR(__xludf.DUMMYFUNCTION("""COMPUTED_VALUE"""),"Max Homa")</f>
        <v>Max Homa</v>
      </c>
      <c r="D362" s="4">
        <f ca="1">IFERROR(__xludf.DUMMYFUNCTION("""COMPUTED_VALUE"""),4151773)</f>
        <v>4151773</v>
      </c>
    </row>
    <row r="363" spans="1:4" ht="12.75">
      <c r="A363">
        <f ca="1">IFERROR(__xludf.DUMMYFUNCTION("""COMPUTED_VALUE"""),362)</f>
        <v>362</v>
      </c>
      <c r="B363">
        <f ca="1">IFERROR(__xludf.DUMMYFUNCTION("""COMPUTED_VALUE"""),360)</f>
        <v>360</v>
      </c>
      <c r="C363" t="str">
        <f ca="1">IFERROR(__xludf.DUMMYFUNCTION("""COMPUTED_VALUE"""),"Ryo Ishikawa")</f>
        <v>Ryo Ishikawa</v>
      </c>
      <c r="D363" s="4">
        <f ca="1">IFERROR(__xludf.DUMMYFUNCTION("""COMPUTED_VALUE"""),4148306)</f>
        <v>4148306</v>
      </c>
    </row>
    <row r="364" spans="1:4" ht="12.75">
      <c r="A364">
        <f ca="1">IFERROR(__xludf.DUMMYFUNCTION("""COMPUTED_VALUE"""),363)</f>
        <v>363</v>
      </c>
      <c r="B364">
        <f ca="1">IFERROR(__xludf.DUMMYFUNCTION("""COMPUTED_VALUE"""),362)</f>
        <v>362</v>
      </c>
      <c r="C364" t="str">
        <f ca="1">IFERROR(__xludf.DUMMYFUNCTION("""COMPUTED_VALUE"""),"Lanto Griffin")</f>
        <v>Lanto Griffin</v>
      </c>
      <c r="D364" s="4">
        <f ca="1">IFERROR(__xludf.DUMMYFUNCTION("""COMPUTED_VALUE"""),4100569)</f>
        <v>4100569</v>
      </c>
    </row>
    <row r="365" spans="1:4" ht="12.75">
      <c r="A365">
        <f ca="1">IFERROR(__xludf.DUMMYFUNCTION("""COMPUTED_VALUE"""),364)</f>
        <v>364</v>
      </c>
      <c r="B365">
        <f ca="1">IFERROR(__xludf.DUMMYFUNCTION("""COMPUTED_VALUE"""),363)</f>
        <v>363</v>
      </c>
      <c r="C365" t="str">
        <f ca="1">IFERROR(__xludf.DUMMYFUNCTION("""COMPUTED_VALUE"""),"Zac Blair")</f>
        <v>Zac Blair</v>
      </c>
      <c r="D365" s="4">
        <f ca="1">IFERROR(__xludf.DUMMYFUNCTION("""COMPUTED_VALUE"""),4064802)</f>
        <v>4064802</v>
      </c>
    </row>
    <row r="366" spans="1:4" ht="12.75">
      <c r="A366">
        <f ca="1">IFERROR(__xludf.DUMMYFUNCTION("""COMPUTED_VALUE"""),365)</f>
        <v>365</v>
      </c>
      <c r="B366">
        <f ca="1">IFERROR(__xludf.DUMMYFUNCTION("""COMPUTED_VALUE"""),364)</f>
        <v>364</v>
      </c>
      <c r="C366" t="str">
        <f ca="1">IFERROR(__xludf.DUMMYFUNCTION("""COMPUTED_VALUE"""),"Kyle Reifers")</f>
        <v>Kyle Reifers</v>
      </c>
      <c r="D366" s="4">
        <f ca="1">IFERROR(__xludf.DUMMYFUNCTION("""COMPUTED_VALUE"""),4061552)</f>
        <v>4061552</v>
      </c>
    </row>
    <row r="367" spans="1:4" ht="12.75">
      <c r="A367">
        <f ca="1">IFERROR(__xludf.DUMMYFUNCTION("""COMPUTED_VALUE"""),366)</f>
        <v>366</v>
      </c>
      <c r="B367">
        <f ca="1">IFERROR(__xludf.DUMMYFUNCTION("""COMPUTED_VALUE"""),366)</f>
        <v>366</v>
      </c>
      <c r="C367" t="str">
        <f ca="1">IFERROR(__xludf.DUMMYFUNCTION("""COMPUTED_VALUE"""),"Brandel Chamblee")</f>
        <v>Brandel Chamblee</v>
      </c>
      <c r="D367" s="4">
        <f ca="1">IFERROR(__xludf.DUMMYFUNCTION("""COMPUTED_VALUE"""),4018410)</f>
        <v>4018410</v>
      </c>
    </row>
    <row r="368" spans="1:4" ht="12.75">
      <c r="A368">
        <f ca="1">IFERROR(__xludf.DUMMYFUNCTION("""COMPUTED_VALUE"""),367)</f>
        <v>367</v>
      </c>
      <c r="B368">
        <f ca="1">IFERROR(__xludf.DUMMYFUNCTION("""COMPUTED_VALUE"""),367)</f>
        <v>367</v>
      </c>
      <c r="C368" t="str">
        <f ca="1">IFERROR(__xludf.DUMMYFUNCTION("""COMPUTED_VALUE"""),"Rick Fehr")</f>
        <v>Rick Fehr</v>
      </c>
      <c r="D368" s="4">
        <f ca="1">IFERROR(__xludf.DUMMYFUNCTION("""COMPUTED_VALUE"""),4018239)</f>
        <v>4018239</v>
      </c>
    </row>
    <row r="369" spans="1:4" ht="12.75">
      <c r="A369">
        <f ca="1">IFERROR(__xludf.DUMMYFUNCTION("""COMPUTED_VALUE"""),368)</f>
        <v>368</v>
      </c>
      <c r="B369">
        <f ca="1">IFERROR(__xludf.DUMMYFUNCTION("""COMPUTED_VALUE"""),368)</f>
        <v>368</v>
      </c>
      <c r="C369" t="str">
        <f ca="1">IFERROR(__xludf.DUMMYFUNCTION("""COMPUTED_VALUE"""),"Chad Collins")</f>
        <v>Chad Collins</v>
      </c>
      <c r="D369" s="4">
        <f ca="1">IFERROR(__xludf.DUMMYFUNCTION("""COMPUTED_VALUE"""),4012676)</f>
        <v>4012676</v>
      </c>
    </row>
    <row r="370" spans="1:4" ht="12.75">
      <c r="A370">
        <f ca="1">IFERROR(__xludf.DUMMYFUNCTION("""COMPUTED_VALUE"""),369)</f>
        <v>369</v>
      </c>
      <c r="B370">
        <f ca="1">IFERROR(__xludf.DUMMYFUNCTION("""COMPUTED_VALUE"""),369)</f>
        <v>369</v>
      </c>
      <c r="C370" t="str">
        <f ca="1">IFERROR(__xludf.DUMMYFUNCTION("""COMPUTED_VALUE"""),"Donnie Hammond")</f>
        <v>Donnie Hammond</v>
      </c>
      <c r="D370" s="4">
        <f ca="1">IFERROR(__xludf.DUMMYFUNCTION("""COMPUTED_VALUE"""),4008060)</f>
        <v>4008060</v>
      </c>
    </row>
    <row r="371" spans="1:4" ht="12.75">
      <c r="A371">
        <f ca="1">IFERROR(__xludf.DUMMYFUNCTION("""COMPUTED_VALUE"""),370)</f>
        <v>370</v>
      </c>
      <c r="B371">
        <f ca="1">IFERROR(__xludf.DUMMYFUNCTION("""COMPUTED_VALUE"""),370)</f>
        <v>370</v>
      </c>
      <c r="C371" t="str">
        <f ca="1">IFERROR(__xludf.DUMMYFUNCTION("""COMPUTED_VALUE"""),"Beau Hossler")</f>
        <v>Beau Hossler</v>
      </c>
      <c r="D371" s="4">
        <f ca="1">IFERROR(__xludf.DUMMYFUNCTION("""COMPUTED_VALUE"""),3977564)</f>
        <v>3977564</v>
      </c>
    </row>
    <row r="372" spans="1:4" ht="12.75">
      <c r="A372">
        <f ca="1">IFERROR(__xludf.DUMMYFUNCTION("""COMPUTED_VALUE"""),371)</f>
        <v>371</v>
      </c>
      <c r="B372">
        <f ca="1">IFERROR(__xludf.DUMMYFUNCTION("""COMPUTED_VALUE"""),371)</f>
        <v>371</v>
      </c>
      <c r="C372" t="str">
        <f ca="1">IFERROR(__xludf.DUMMYFUNCTION("""COMPUTED_VALUE"""),"Garrett Willis")</f>
        <v>Garrett Willis</v>
      </c>
      <c r="D372" s="4">
        <f ca="1">IFERROR(__xludf.DUMMYFUNCTION("""COMPUTED_VALUE"""),3950898)</f>
        <v>3950898</v>
      </c>
    </row>
    <row r="373" spans="1:4" ht="12.75">
      <c r="A373">
        <f ca="1">IFERROR(__xludf.DUMMYFUNCTION("""COMPUTED_VALUE"""),372)</f>
        <v>372</v>
      </c>
      <c r="B373">
        <f ca="1">IFERROR(__xludf.DUMMYFUNCTION("""COMPUTED_VALUE"""),386)</f>
        <v>386</v>
      </c>
      <c r="C373" t="str">
        <f ca="1">IFERROR(__xludf.DUMMYFUNCTION("""COMPUTED_VALUE"""),"Talor Gooch")</f>
        <v>Talor Gooch</v>
      </c>
      <c r="D373" s="4">
        <f ca="1">IFERROR(__xludf.DUMMYFUNCTION("""COMPUTED_VALUE"""),3941063)</f>
        <v>3941063</v>
      </c>
    </row>
    <row r="374" spans="1:4" ht="12.75">
      <c r="A374">
        <f ca="1">IFERROR(__xludf.DUMMYFUNCTION("""COMPUTED_VALUE"""),373)</f>
        <v>373</v>
      </c>
      <c r="B374">
        <f ca="1">IFERROR(__xludf.DUMMYFUNCTION("""COMPUTED_VALUE"""),372)</f>
        <v>372</v>
      </c>
      <c r="C374" t="str">
        <f ca="1">IFERROR(__xludf.DUMMYFUNCTION("""COMPUTED_VALUE"""),"John Mahaffey")</f>
        <v>John Mahaffey</v>
      </c>
      <c r="D374" s="4">
        <f ca="1">IFERROR(__xludf.DUMMYFUNCTION("""COMPUTED_VALUE"""),3876852)</f>
        <v>3876852</v>
      </c>
    </row>
    <row r="375" spans="1:4" ht="12.75">
      <c r="A375">
        <f ca="1">IFERROR(__xludf.DUMMYFUNCTION("""COMPUTED_VALUE"""),374)</f>
        <v>374</v>
      </c>
      <c r="B375">
        <f ca="1">IFERROR(__xludf.DUMMYFUNCTION("""COMPUTED_VALUE"""),373)</f>
        <v>373</v>
      </c>
      <c r="C375" t="str">
        <f ca="1">IFERROR(__xludf.DUMMYFUNCTION("""COMPUTED_VALUE"""),"Omar Uresti")</f>
        <v>Omar Uresti</v>
      </c>
      <c r="D375" s="4">
        <f ca="1">IFERROR(__xludf.DUMMYFUNCTION("""COMPUTED_VALUE"""),3871876)</f>
        <v>3871876</v>
      </c>
    </row>
    <row r="376" spans="1:4" ht="12.75">
      <c r="A376">
        <f ca="1">IFERROR(__xludf.DUMMYFUNCTION("""COMPUTED_VALUE"""),375)</f>
        <v>375</v>
      </c>
      <c r="B376">
        <f ca="1">IFERROR(__xludf.DUMMYFUNCTION("""COMPUTED_VALUE"""),374)</f>
        <v>374</v>
      </c>
      <c r="C376" t="str">
        <f ca="1">IFERROR(__xludf.DUMMYFUNCTION("""COMPUTED_VALUE"""),"Brian Bateman")</f>
        <v>Brian Bateman</v>
      </c>
      <c r="D376" s="4">
        <f ca="1">IFERROR(__xludf.DUMMYFUNCTION("""COMPUTED_VALUE"""),3869324)</f>
        <v>3869324</v>
      </c>
    </row>
    <row r="377" spans="1:4" ht="12.75">
      <c r="A377">
        <f ca="1">IFERROR(__xludf.DUMMYFUNCTION("""COMPUTED_VALUE"""),376)</f>
        <v>376</v>
      </c>
      <c r="B377">
        <f ca="1">IFERROR(__xludf.DUMMYFUNCTION("""COMPUTED_VALUE"""),375)</f>
        <v>375</v>
      </c>
      <c r="C377" t="str">
        <f ca="1">IFERROR(__xludf.DUMMYFUNCTION("""COMPUTED_VALUE"""),"Ted Tryba")</f>
        <v>Ted Tryba</v>
      </c>
      <c r="D377" s="4">
        <f ca="1">IFERROR(__xludf.DUMMYFUNCTION("""COMPUTED_VALUE"""),3853236)</f>
        <v>3853236</v>
      </c>
    </row>
    <row r="378" spans="1:4" ht="12.75">
      <c r="A378">
        <f ca="1">IFERROR(__xludf.DUMMYFUNCTION("""COMPUTED_VALUE"""),377)</f>
        <v>377</v>
      </c>
      <c r="B378">
        <f ca="1">IFERROR(__xludf.DUMMYFUNCTION("""COMPUTED_VALUE"""),376)</f>
        <v>376</v>
      </c>
      <c r="C378" t="str">
        <f ca="1">IFERROR(__xludf.DUMMYFUNCTION("""COMPUTED_VALUE"""),"Charlie Beljan")</f>
        <v>Charlie Beljan</v>
      </c>
      <c r="D378" s="4">
        <f ca="1">IFERROR(__xludf.DUMMYFUNCTION("""COMPUTED_VALUE"""),3849631)</f>
        <v>3849631</v>
      </c>
    </row>
    <row r="379" spans="1:4" ht="12.75">
      <c r="A379">
        <f ca="1">IFERROR(__xludf.DUMMYFUNCTION("""COMPUTED_VALUE"""),378)</f>
        <v>378</v>
      </c>
      <c r="B379">
        <f ca="1">IFERROR(__xludf.DUMMYFUNCTION("""COMPUTED_VALUE"""),377)</f>
        <v>377</v>
      </c>
      <c r="C379" t="str">
        <f ca="1">IFERROR(__xludf.DUMMYFUNCTION("""COMPUTED_VALUE"""),"Larry Nelson")</f>
        <v>Larry Nelson</v>
      </c>
      <c r="D379" s="4">
        <f ca="1">IFERROR(__xludf.DUMMYFUNCTION("""COMPUTED_VALUE"""),3827401)</f>
        <v>3827401</v>
      </c>
    </row>
    <row r="380" spans="1:4" ht="12.75">
      <c r="A380">
        <f ca="1">IFERROR(__xludf.DUMMYFUNCTION("""COMPUTED_VALUE"""),379)</f>
        <v>379</v>
      </c>
      <c r="B380">
        <f ca="1">IFERROR(__xludf.DUMMYFUNCTION("""COMPUTED_VALUE"""),378)</f>
        <v>378</v>
      </c>
      <c r="C380" t="str">
        <f ca="1">IFERROR(__xludf.DUMMYFUNCTION("""COMPUTED_VALUE"""),"Cameron Percy")</f>
        <v>Cameron Percy</v>
      </c>
      <c r="D380" s="4">
        <f ca="1">IFERROR(__xludf.DUMMYFUNCTION("""COMPUTED_VALUE"""),3776505)</f>
        <v>3776505</v>
      </c>
    </row>
    <row r="381" spans="1:4" ht="12.75">
      <c r="A381">
        <f ca="1">IFERROR(__xludf.DUMMYFUNCTION("""COMPUTED_VALUE"""),380)</f>
        <v>380</v>
      </c>
      <c r="B381">
        <f ca="1">IFERROR(__xludf.DUMMYFUNCTION("""COMPUTED_VALUE"""),379)</f>
        <v>379</v>
      </c>
      <c r="C381" t="str">
        <f ca="1">IFERROR(__xludf.DUMMYFUNCTION("""COMPUTED_VALUE"""),"Ken Green")</f>
        <v>Ken Green</v>
      </c>
      <c r="D381" s="4">
        <f ca="1">IFERROR(__xludf.DUMMYFUNCTION("""COMPUTED_VALUE"""),3745345)</f>
        <v>3745345</v>
      </c>
    </row>
    <row r="382" spans="1:4" ht="12.75">
      <c r="A382">
        <f ca="1">IFERROR(__xludf.DUMMYFUNCTION("""COMPUTED_VALUE"""),381)</f>
        <v>381</v>
      </c>
      <c r="B382">
        <f ca="1">IFERROR(__xludf.DUMMYFUNCTION("""COMPUTED_VALUE"""),380)</f>
        <v>380</v>
      </c>
      <c r="C382" t="str">
        <f ca="1">IFERROR(__xludf.DUMMYFUNCTION("""COMPUTED_VALUE"""),"Bill Lunde")</f>
        <v>Bill Lunde</v>
      </c>
      <c r="D382" s="4">
        <f ca="1">IFERROR(__xludf.DUMMYFUNCTION("""COMPUTED_VALUE"""),3716287)</f>
        <v>3716287</v>
      </c>
    </row>
    <row r="383" spans="1:4" ht="12.75">
      <c r="A383">
        <f ca="1">IFERROR(__xludf.DUMMYFUNCTION("""COMPUTED_VALUE"""),382)</f>
        <v>382</v>
      </c>
      <c r="B383">
        <f ca="1">IFERROR(__xludf.DUMMYFUNCTION("""COMPUTED_VALUE"""),381)</f>
        <v>381</v>
      </c>
      <c r="C383" t="str">
        <f ca="1">IFERROR(__xludf.DUMMYFUNCTION("""COMPUTED_VALUE"""),"Dylan Frittelli")</f>
        <v>Dylan Frittelli</v>
      </c>
      <c r="D383" s="4">
        <f ca="1">IFERROR(__xludf.DUMMYFUNCTION("""COMPUTED_VALUE"""),3671189)</f>
        <v>3671189</v>
      </c>
    </row>
    <row r="384" spans="1:4" ht="12.75">
      <c r="A384">
        <f ca="1">IFERROR(__xludf.DUMMYFUNCTION("""COMPUTED_VALUE"""),383)</f>
        <v>383</v>
      </c>
      <c r="B384">
        <f ca="1">IFERROR(__xludf.DUMMYFUNCTION("""COMPUTED_VALUE"""),382)</f>
        <v>382</v>
      </c>
      <c r="C384" t="str">
        <f ca="1">IFERROR(__xludf.DUMMYFUNCTION("""COMPUTED_VALUE"""),"Kiradech Aphibarnrat")</f>
        <v>Kiradech Aphibarnrat</v>
      </c>
      <c r="D384" s="4">
        <f ca="1">IFERROR(__xludf.DUMMYFUNCTION("""COMPUTED_VALUE"""),3646773)</f>
        <v>3646773</v>
      </c>
    </row>
    <row r="385" spans="1:4" ht="12.75">
      <c r="A385">
        <f ca="1">IFERROR(__xludf.DUMMYFUNCTION("""COMPUTED_VALUE"""),384)</f>
        <v>384</v>
      </c>
      <c r="B385">
        <f ca="1">IFERROR(__xludf.DUMMYFUNCTION("""COMPUTED_VALUE"""),383)</f>
        <v>383</v>
      </c>
      <c r="C385" t="str">
        <f ca="1">IFERROR(__xludf.DUMMYFUNCTION("""COMPUTED_VALUE"""),"Steve Allan")</f>
        <v>Steve Allan</v>
      </c>
      <c r="D385" s="4">
        <f ca="1">IFERROR(__xludf.DUMMYFUNCTION("""COMPUTED_VALUE"""),3619335)</f>
        <v>3619335</v>
      </c>
    </row>
    <row r="386" spans="1:4" ht="12.75">
      <c r="A386">
        <f ca="1">IFERROR(__xludf.DUMMYFUNCTION("""COMPUTED_VALUE"""),385)</f>
        <v>385</v>
      </c>
      <c r="B386">
        <f ca="1">IFERROR(__xludf.DUMMYFUNCTION("""COMPUTED_VALUE"""),384)</f>
        <v>384</v>
      </c>
      <c r="C386" t="str">
        <f ca="1">IFERROR(__xludf.DUMMYFUNCTION("""COMPUTED_VALUE"""),"Jay Delsing")</f>
        <v>Jay Delsing</v>
      </c>
      <c r="D386" s="4">
        <f ca="1">IFERROR(__xludf.DUMMYFUNCTION("""COMPUTED_VALUE"""),3608666)</f>
        <v>3608666</v>
      </c>
    </row>
    <row r="387" spans="1:4" ht="12.75">
      <c r="A387">
        <f ca="1">IFERROR(__xludf.DUMMYFUNCTION("""COMPUTED_VALUE"""),386)</f>
        <v>386</v>
      </c>
      <c r="B387">
        <f ca="1">IFERROR(__xludf.DUMMYFUNCTION("""COMPUTED_VALUE"""),385)</f>
        <v>385</v>
      </c>
      <c r="C387" t="str">
        <f ca="1">IFERROR(__xludf.DUMMYFUNCTION("""COMPUTED_VALUE"""),"Nolan Henke")</f>
        <v>Nolan Henke</v>
      </c>
      <c r="D387" s="4">
        <f ca="1">IFERROR(__xludf.DUMMYFUNCTION("""COMPUTED_VALUE"""),3606563)</f>
        <v>3606563</v>
      </c>
    </row>
    <row r="388" spans="1:4" ht="12.75">
      <c r="A388">
        <f ca="1">IFERROR(__xludf.DUMMYFUNCTION("""COMPUTED_VALUE"""),387)</f>
        <v>387</v>
      </c>
      <c r="B388">
        <f ca="1">IFERROR(__xludf.DUMMYFUNCTION("""COMPUTED_VALUE"""),387)</f>
        <v>387</v>
      </c>
      <c r="C388" t="str">
        <f ca="1">IFERROR(__xludf.DUMMYFUNCTION("""COMPUTED_VALUE"""),"Nate Lashley")</f>
        <v>Nate Lashley</v>
      </c>
      <c r="D388" s="4">
        <f ca="1">IFERROR(__xludf.DUMMYFUNCTION("""COMPUTED_VALUE"""),3604583)</f>
        <v>3604583</v>
      </c>
    </row>
    <row r="389" spans="1:4" ht="12.75">
      <c r="A389">
        <f ca="1">IFERROR(__xludf.DUMMYFUNCTION("""COMPUTED_VALUE"""),388)</f>
        <v>388</v>
      </c>
      <c r="B389">
        <f ca="1">IFERROR(__xludf.DUMMYFUNCTION("""COMPUTED_VALUE"""),388)</f>
        <v>388</v>
      </c>
      <c r="C389" t="str">
        <f ca="1">IFERROR(__xludf.DUMMYFUNCTION("""COMPUTED_VALUE"""),"Brad Bryant")</f>
        <v>Brad Bryant</v>
      </c>
      <c r="D389" s="4">
        <f ca="1">IFERROR(__xludf.DUMMYFUNCTION("""COMPUTED_VALUE"""),3558804)</f>
        <v>3558804</v>
      </c>
    </row>
    <row r="390" spans="1:4" ht="12.75">
      <c r="A390">
        <f ca="1">IFERROR(__xludf.DUMMYFUNCTION("""COMPUTED_VALUE"""),389)</f>
        <v>389</v>
      </c>
      <c r="B390">
        <f ca="1">IFERROR(__xludf.DUMMYFUNCTION("""COMPUTED_VALUE"""),389)</f>
        <v>389</v>
      </c>
      <c r="C390" t="str">
        <f ca="1">IFERROR(__xludf.DUMMYFUNCTION("""COMPUTED_VALUE"""),"Andy Bean")</f>
        <v>Andy Bean</v>
      </c>
      <c r="D390" s="4">
        <f ca="1">IFERROR(__xludf.DUMMYFUNCTION("""COMPUTED_VALUE"""),3531780)</f>
        <v>3531780</v>
      </c>
    </row>
    <row r="391" spans="1:4" ht="12.75">
      <c r="A391">
        <f ca="1">IFERROR(__xludf.DUMMYFUNCTION("""COMPUTED_VALUE"""),390)</f>
        <v>390</v>
      </c>
      <c r="B391">
        <f ca="1">IFERROR(__xludf.DUMMYFUNCTION("""COMPUTED_VALUE"""),390)</f>
        <v>390</v>
      </c>
      <c r="C391" t="str">
        <f ca="1">IFERROR(__xludf.DUMMYFUNCTION("""COMPUTED_VALUE"""),"Scott Langley")</f>
        <v>Scott Langley</v>
      </c>
      <c r="D391" s="4">
        <f ca="1">IFERROR(__xludf.DUMMYFUNCTION("""COMPUTED_VALUE"""),3528208)</f>
        <v>3528208</v>
      </c>
    </row>
    <row r="392" spans="1:4" ht="12.75">
      <c r="A392">
        <f ca="1">IFERROR(__xludf.DUMMYFUNCTION("""COMPUTED_VALUE"""),391)</f>
        <v>391</v>
      </c>
      <c r="B392">
        <f ca="1">IFERROR(__xludf.DUMMYFUNCTION("""COMPUTED_VALUE"""),391)</f>
        <v>391</v>
      </c>
      <c r="C392" t="str">
        <f ca="1">IFERROR(__xludf.DUMMYFUNCTION("""COMPUTED_VALUE"""),"Peter Uihlein")</f>
        <v>Peter Uihlein</v>
      </c>
      <c r="D392" s="4">
        <f ca="1">IFERROR(__xludf.DUMMYFUNCTION("""COMPUTED_VALUE"""),3521040)</f>
        <v>3521040</v>
      </c>
    </row>
    <row r="393" spans="1:4" ht="12.75">
      <c r="A393">
        <f ca="1">IFERROR(__xludf.DUMMYFUNCTION("""COMPUTED_VALUE"""),392)</f>
        <v>392</v>
      </c>
      <c r="B393">
        <f ca="1">IFERROR(__xludf.DUMMYFUNCTION("""COMPUTED_VALUE"""),392)</f>
        <v>392</v>
      </c>
      <c r="C393" t="str">
        <f ca="1">IFERROR(__xludf.DUMMYFUNCTION("""COMPUTED_VALUE"""),"Smylie Kaufman")</f>
        <v>Smylie Kaufman</v>
      </c>
      <c r="D393" s="4">
        <f ca="1">IFERROR(__xludf.DUMMYFUNCTION("""COMPUTED_VALUE"""),3515732)</f>
        <v>3515732</v>
      </c>
    </row>
    <row r="394" spans="1:4" ht="12.75">
      <c r="A394">
        <f ca="1">IFERROR(__xludf.DUMMYFUNCTION("""COMPUTED_VALUE"""),393)</f>
        <v>393</v>
      </c>
      <c r="B394">
        <f ca="1">IFERROR(__xludf.DUMMYFUNCTION("""COMPUTED_VALUE"""),393)</f>
        <v>393</v>
      </c>
      <c r="C394" t="str">
        <f ca="1">IFERROR(__xludf.DUMMYFUNCTION("""COMPUTED_VALUE"""),"Tyler Duncan")</f>
        <v>Tyler Duncan</v>
      </c>
      <c r="D394" s="4">
        <f ca="1">IFERROR(__xludf.DUMMYFUNCTION("""COMPUTED_VALUE"""),3511674)</f>
        <v>3511674</v>
      </c>
    </row>
    <row r="395" spans="1:4" ht="12.75">
      <c r="A395">
        <f ca="1">IFERROR(__xludf.DUMMYFUNCTION("""COMPUTED_VALUE"""),394)</f>
        <v>394</v>
      </c>
      <c r="B395">
        <f ca="1">IFERROR(__xludf.DUMMYFUNCTION("""COMPUTED_VALUE"""),394)</f>
        <v>394</v>
      </c>
      <c r="C395" t="str">
        <f ca="1">IFERROR(__xludf.DUMMYFUNCTION("""COMPUTED_VALUE"""),"Wesley Bryan")</f>
        <v>Wesley Bryan</v>
      </c>
      <c r="D395" s="4">
        <f ca="1">IFERROR(__xludf.DUMMYFUNCTION("""COMPUTED_VALUE"""),3482533)</f>
        <v>3482533</v>
      </c>
    </row>
    <row r="396" spans="1:4" ht="12.75">
      <c r="A396">
        <f ca="1">IFERROR(__xludf.DUMMYFUNCTION("""COMPUTED_VALUE"""),395)</f>
        <v>395</v>
      </c>
      <c r="B396">
        <f ca="1">IFERROR(__xludf.DUMMYFUNCTION("""COMPUTED_VALUE"""),395)</f>
        <v>395</v>
      </c>
      <c r="C396" t="str">
        <f ca="1">IFERROR(__xludf.DUMMYFUNCTION("""COMPUTED_VALUE"""),"Lee Trevino")</f>
        <v>Lee Trevino</v>
      </c>
      <c r="D396" s="4">
        <f ca="1">IFERROR(__xludf.DUMMYFUNCTION("""COMPUTED_VALUE"""),3478328)</f>
        <v>3478328</v>
      </c>
    </row>
    <row r="397" spans="1:4" ht="12.75">
      <c r="A397">
        <f ca="1">IFERROR(__xludf.DUMMYFUNCTION("""COMPUTED_VALUE"""),396)</f>
        <v>396</v>
      </c>
      <c r="B397">
        <f ca="1">IFERROR(__xludf.DUMMYFUNCTION("""COMPUTED_VALUE"""),396)</f>
        <v>396</v>
      </c>
      <c r="C397" t="str">
        <f ca="1">IFERROR(__xludf.DUMMYFUNCTION("""COMPUTED_VALUE"""),"Sam Saunders")</f>
        <v>Sam Saunders</v>
      </c>
      <c r="D397" s="4">
        <f ca="1">IFERROR(__xludf.DUMMYFUNCTION("""COMPUTED_VALUE"""),3456499)</f>
        <v>3456499</v>
      </c>
    </row>
    <row r="398" spans="1:4" ht="12.75">
      <c r="A398">
        <f ca="1">IFERROR(__xludf.DUMMYFUNCTION("""COMPUTED_VALUE"""),397)</f>
        <v>397</v>
      </c>
      <c r="B398">
        <f ca="1">IFERROR(__xludf.DUMMYFUNCTION("""COMPUTED_VALUE"""),397)</f>
        <v>397</v>
      </c>
      <c r="C398" t="str">
        <f ca="1">IFERROR(__xludf.DUMMYFUNCTION("""COMPUTED_VALUE"""),"Tim Simpson")</f>
        <v>Tim Simpson</v>
      </c>
      <c r="D398" s="4">
        <f ca="1">IFERROR(__xludf.DUMMYFUNCTION("""COMPUTED_VALUE"""),3406017)</f>
        <v>3406017</v>
      </c>
    </row>
    <row r="399" spans="1:4" ht="12.75">
      <c r="A399">
        <f ca="1">IFERROR(__xludf.DUMMYFUNCTION("""COMPUTED_VALUE"""),398)</f>
        <v>398</v>
      </c>
      <c r="B399">
        <f ca="1">IFERROR(__xludf.DUMMYFUNCTION("""COMPUTED_VALUE"""),398)</f>
        <v>398</v>
      </c>
      <c r="C399" t="str">
        <f ca="1">IFERROR(__xludf.DUMMYFUNCTION("""COMPUTED_VALUE"""),"Craig Perks")</f>
        <v>Craig Perks</v>
      </c>
      <c r="D399" s="4">
        <f ca="1">IFERROR(__xludf.DUMMYFUNCTION("""COMPUTED_VALUE"""),3362251)</f>
        <v>3362251</v>
      </c>
    </row>
    <row r="400" spans="1:4" ht="12.75">
      <c r="A400">
        <f ca="1">IFERROR(__xludf.DUMMYFUNCTION("""COMPUTED_VALUE"""),399)</f>
        <v>399</v>
      </c>
      <c r="B400">
        <f ca="1">IFERROR(__xludf.DUMMYFUNCTION("""COMPUTED_VALUE"""),399)</f>
        <v>399</v>
      </c>
      <c r="C400" t="str">
        <f ca="1">IFERROR(__xludf.DUMMYFUNCTION("""COMPUTED_VALUE"""),"Brian Henninger")</f>
        <v>Brian Henninger</v>
      </c>
      <c r="D400" s="4">
        <f ca="1">IFERROR(__xludf.DUMMYFUNCTION("""COMPUTED_VALUE"""),3316460)</f>
        <v>3316460</v>
      </c>
    </row>
    <row r="401" spans="1:4" ht="12.75">
      <c r="A401">
        <f ca="1">IFERROR(__xludf.DUMMYFUNCTION("""COMPUTED_VALUE"""),400)</f>
        <v>400</v>
      </c>
      <c r="B401">
        <f ca="1">IFERROR(__xludf.DUMMYFUNCTION("""COMPUTED_VALUE"""),400)</f>
        <v>400</v>
      </c>
      <c r="C401" t="str">
        <f ca="1">IFERROR(__xludf.DUMMYFUNCTION("""COMPUTED_VALUE"""),"Bob Burns")</f>
        <v>Bob Burns</v>
      </c>
      <c r="D401" s="4">
        <f ca="1">IFERROR(__xludf.DUMMYFUNCTION("""COMPUTED_VALUE"""),3313226)</f>
        <v>3313226</v>
      </c>
    </row>
    <row r="402" spans="1:4" ht="12.75">
      <c r="A402">
        <f ca="1">IFERROR(__xludf.DUMMYFUNCTION("""COMPUTED_VALUE"""),401)</f>
        <v>401</v>
      </c>
      <c r="B402">
        <f ca="1">IFERROR(__xludf.DUMMYFUNCTION("""COMPUTED_VALUE"""),401)</f>
        <v>401</v>
      </c>
      <c r="C402" t="str">
        <f ca="1">IFERROR(__xludf.DUMMYFUNCTION("""COMPUTED_VALUE"""),"Don Pooley")</f>
        <v>Don Pooley</v>
      </c>
      <c r="D402" s="4">
        <f ca="1">IFERROR(__xludf.DUMMYFUNCTION("""COMPUTED_VALUE"""),3296615)</f>
        <v>3296615</v>
      </c>
    </row>
    <row r="403" spans="1:4" ht="12.75">
      <c r="A403">
        <f ca="1">IFERROR(__xludf.DUMMYFUNCTION("""COMPUTED_VALUE"""),402)</f>
        <v>402</v>
      </c>
      <c r="B403">
        <f ca="1">IFERROR(__xludf.DUMMYFUNCTION("""COMPUTED_VALUE"""),402)</f>
        <v>402</v>
      </c>
      <c r="C403" t="str">
        <f ca="1">IFERROR(__xludf.DUMMYFUNCTION("""COMPUTED_VALUE"""),"Phil Blackmar")</f>
        <v>Phil Blackmar</v>
      </c>
      <c r="D403" s="4">
        <f ca="1">IFERROR(__xludf.DUMMYFUNCTION("""COMPUTED_VALUE"""),3245909)</f>
        <v>3245909</v>
      </c>
    </row>
    <row r="404" spans="1:4" ht="12.75">
      <c r="A404">
        <f ca="1">IFERROR(__xludf.DUMMYFUNCTION("""COMPUTED_VALUE"""),403)</f>
        <v>403</v>
      </c>
      <c r="B404">
        <f ca="1">IFERROR(__xludf.DUMMYFUNCTION("""COMPUTED_VALUE"""),403)</f>
        <v>403</v>
      </c>
      <c r="C404" t="str">
        <f ca="1">IFERROR(__xludf.DUMMYFUNCTION("""COMPUTED_VALUE"""),"Eric Axley")</f>
        <v>Eric Axley</v>
      </c>
      <c r="D404" s="4">
        <f ca="1">IFERROR(__xludf.DUMMYFUNCTION("""COMPUTED_VALUE"""),3241604)</f>
        <v>3241604</v>
      </c>
    </row>
    <row r="405" spans="1:4" ht="12.75">
      <c r="A405">
        <f ca="1">IFERROR(__xludf.DUMMYFUNCTION("""COMPUTED_VALUE"""),404)</f>
        <v>404</v>
      </c>
      <c r="B405">
        <f ca="1">IFERROR(__xludf.DUMMYFUNCTION("""COMPUTED_VALUE"""),404)</f>
        <v>404</v>
      </c>
      <c r="C405" t="str">
        <f ca="1">IFERROR(__xludf.DUMMYFUNCTION("""COMPUTED_VALUE"""),"Mark Hubbard")</f>
        <v>Mark Hubbard</v>
      </c>
      <c r="D405" s="4">
        <f ca="1">IFERROR(__xludf.DUMMYFUNCTION("""COMPUTED_VALUE"""),3238266)</f>
        <v>3238266</v>
      </c>
    </row>
    <row r="406" spans="1:4" ht="12.75">
      <c r="A406">
        <f ca="1">IFERROR(__xludf.DUMMYFUNCTION("""COMPUTED_VALUE"""),405)</f>
        <v>405</v>
      </c>
      <c r="B406">
        <f ca="1">IFERROR(__xludf.DUMMYFUNCTION("""COMPUTED_VALUE"""),412)</f>
        <v>412</v>
      </c>
      <c r="C406" t="str">
        <f ca="1">IFERROR(__xludf.DUMMYFUNCTION("""COMPUTED_VALUE"""),"Viktor Hovland")</f>
        <v>Viktor Hovland</v>
      </c>
      <c r="D406" s="4">
        <f ca="1">IFERROR(__xludf.DUMMYFUNCTION("""COMPUTED_VALUE"""),3195190)</f>
        <v>3195190</v>
      </c>
    </row>
    <row r="407" spans="1:4" ht="12.75">
      <c r="A407">
        <f ca="1">IFERROR(__xludf.DUMMYFUNCTION("""COMPUTED_VALUE"""),406)</f>
        <v>406</v>
      </c>
      <c r="B407">
        <f ca="1">IFERROR(__xludf.DUMMYFUNCTION("""COMPUTED_VALUE"""),405)</f>
        <v>405</v>
      </c>
      <c r="C407" t="str">
        <f ca="1">IFERROR(__xludf.DUMMYFUNCTION("""COMPUTED_VALUE"""),"Michael Kim")</f>
        <v>Michael Kim</v>
      </c>
      <c r="D407" s="4">
        <f ca="1">IFERROR(__xludf.DUMMYFUNCTION("""COMPUTED_VALUE"""),3184673)</f>
        <v>3184673</v>
      </c>
    </row>
    <row r="408" spans="1:4" ht="12.75">
      <c r="A408">
        <f ca="1">IFERROR(__xludf.DUMMYFUNCTION("""COMPUTED_VALUE"""),407)</f>
        <v>407</v>
      </c>
      <c r="B408">
        <f ca="1">IFERROR(__xludf.DUMMYFUNCTION("""COMPUTED_VALUE"""),410)</f>
        <v>410</v>
      </c>
      <c r="C408" t="str">
        <f ca="1">IFERROR(__xludf.DUMMYFUNCTION("""COMPUTED_VALUE"""),"Scottie Scheffler")</f>
        <v>Scottie Scheffler</v>
      </c>
      <c r="D408" s="4">
        <f ca="1">IFERROR(__xludf.DUMMYFUNCTION("""COMPUTED_VALUE"""),3182209)</f>
        <v>3182209</v>
      </c>
    </row>
    <row r="409" spans="1:4" ht="12.75">
      <c r="A409">
        <f ca="1">IFERROR(__xludf.DUMMYFUNCTION("""COMPUTED_VALUE"""),408)</f>
        <v>408</v>
      </c>
      <c r="B409">
        <f ca="1">IFERROR(__xludf.DUMMYFUNCTION("""COMPUTED_VALUE"""),406)</f>
        <v>406</v>
      </c>
      <c r="C409" t="str">
        <f ca="1">IFERROR(__xludf.DUMMYFUNCTION("""COMPUTED_VALUE"""),"Phil Tataurangi")</f>
        <v>Phil Tataurangi</v>
      </c>
      <c r="D409" s="4">
        <f ca="1">IFERROR(__xludf.DUMMYFUNCTION("""COMPUTED_VALUE"""),3174391)</f>
        <v>3174391</v>
      </c>
    </row>
    <row r="410" spans="1:4" ht="12.75">
      <c r="A410">
        <f ca="1">IFERROR(__xludf.DUMMYFUNCTION("""COMPUTED_VALUE"""),409)</f>
        <v>409</v>
      </c>
      <c r="B410">
        <f ca="1">IFERROR(__xludf.DUMMYFUNCTION("""COMPUTED_VALUE"""),407)</f>
        <v>407</v>
      </c>
      <c r="C410" t="str">
        <f ca="1">IFERROR(__xludf.DUMMYFUNCTION("""COMPUTED_VALUE"""),"Bronson Burgoon")</f>
        <v>Bronson Burgoon</v>
      </c>
      <c r="D410" s="4">
        <f ca="1">IFERROR(__xludf.DUMMYFUNCTION("""COMPUTED_VALUE"""),3156599)</f>
        <v>3156599</v>
      </c>
    </row>
    <row r="411" spans="1:4" ht="12.75">
      <c r="A411">
        <f ca="1">IFERROR(__xludf.DUMMYFUNCTION("""COMPUTED_VALUE"""),410)</f>
        <v>410</v>
      </c>
      <c r="B411">
        <f ca="1">IFERROR(__xludf.DUMMYFUNCTION("""COMPUTED_VALUE"""),408)</f>
        <v>408</v>
      </c>
      <c r="C411" t="str">
        <f ca="1">IFERROR(__xludf.DUMMYFUNCTION("""COMPUTED_VALUE"""),"Fulton Allem")</f>
        <v>Fulton Allem</v>
      </c>
      <c r="D411" s="4">
        <f ca="1">IFERROR(__xludf.DUMMYFUNCTION("""COMPUTED_VALUE"""),3155787)</f>
        <v>3155787</v>
      </c>
    </row>
    <row r="412" spans="1:4" ht="12.75">
      <c r="A412">
        <f ca="1">IFERROR(__xludf.DUMMYFUNCTION("""COMPUTED_VALUE"""),411)</f>
        <v>411</v>
      </c>
      <c r="B412">
        <f ca="1">IFERROR(__xludf.DUMMYFUNCTION("""COMPUTED_VALUE"""),409)</f>
        <v>409</v>
      </c>
      <c r="C412" t="str">
        <f ca="1">IFERROR(__xludf.DUMMYFUNCTION("""COMPUTED_VALUE"""),"Ronnie Black")</f>
        <v>Ronnie Black</v>
      </c>
      <c r="D412" s="4">
        <f ca="1">IFERROR(__xludf.DUMMYFUNCTION("""COMPUTED_VALUE"""),3155053)</f>
        <v>3155053</v>
      </c>
    </row>
    <row r="413" spans="1:4" ht="12.75">
      <c r="A413">
        <f ca="1">IFERROR(__xludf.DUMMYFUNCTION("""COMPUTED_VALUE"""),412)</f>
        <v>412</v>
      </c>
      <c r="B413">
        <f ca="1">IFERROR(__xludf.DUMMYFUNCTION("""COMPUTED_VALUE"""),411)</f>
        <v>411</v>
      </c>
      <c r="C413" t="str">
        <f ca="1">IFERROR(__xludf.DUMMYFUNCTION("""COMPUTED_VALUE"""),"Dan Pohl")</f>
        <v>Dan Pohl</v>
      </c>
      <c r="D413" s="4">
        <f ca="1">IFERROR(__xludf.DUMMYFUNCTION("""COMPUTED_VALUE"""),3112263)</f>
        <v>3112263</v>
      </c>
    </row>
    <row r="414" spans="1:4" ht="12.75">
      <c r="A414">
        <f ca="1">IFERROR(__xludf.DUMMYFUNCTION("""COMPUTED_VALUE"""),413)</f>
        <v>413</v>
      </c>
      <c r="B414">
        <f ca="1">IFERROR(__xludf.DUMMYFUNCTION("""COMPUTED_VALUE"""),413)</f>
        <v>413</v>
      </c>
      <c r="C414" t="str">
        <f ca="1">IFERROR(__xludf.DUMMYFUNCTION("""COMPUTED_VALUE"""),"Bob Gilder")</f>
        <v>Bob Gilder</v>
      </c>
      <c r="D414" s="4">
        <f ca="1">IFERROR(__xludf.DUMMYFUNCTION("""COMPUTED_VALUE"""),3032108)</f>
        <v>3032108</v>
      </c>
    </row>
    <row r="415" spans="1:4" ht="12.75">
      <c r="A415">
        <f ca="1">IFERROR(__xludf.DUMMYFUNCTION("""COMPUTED_VALUE"""),414)</f>
        <v>414</v>
      </c>
      <c r="B415">
        <f ca="1">IFERROR(__xludf.DUMMYFUNCTION("""COMPUTED_VALUE"""),414)</f>
        <v>414</v>
      </c>
      <c r="C415" t="str">
        <f ca="1">IFERROR(__xludf.DUMMYFUNCTION("""COMPUTED_VALUE"""),"Denny McCarthy")</f>
        <v>Denny McCarthy</v>
      </c>
      <c r="D415" s="4">
        <f ca="1">IFERROR(__xludf.DUMMYFUNCTION("""COMPUTED_VALUE"""),3022136)</f>
        <v>3022136</v>
      </c>
    </row>
    <row r="416" spans="1:4" ht="12.75">
      <c r="A416">
        <f ca="1">IFERROR(__xludf.DUMMYFUNCTION("""COMPUTED_VALUE"""),415)</f>
        <v>415</v>
      </c>
      <c r="B416">
        <f ca="1">IFERROR(__xludf.DUMMYFUNCTION("""COMPUTED_VALUE"""),415)</f>
        <v>415</v>
      </c>
      <c r="C416" t="str">
        <f ca="1">IFERROR(__xludf.DUMMYFUNCTION("""COMPUTED_VALUE"""),"Grayson Murray")</f>
        <v>Grayson Murray</v>
      </c>
      <c r="D416" s="4">
        <f ca="1">IFERROR(__xludf.DUMMYFUNCTION("""COMPUTED_VALUE"""),2910627)</f>
        <v>2910627</v>
      </c>
    </row>
    <row r="417" spans="1:4" ht="12.75">
      <c r="A417">
        <f ca="1">IFERROR(__xludf.DUMMYFUNCTION("""COMPUTED_VALUE"""),416)</f>
        <v>416</v>
      </c>
      <c r="B417">
        <f ca="1">IFERROR(__xludf.DUMMYFUNCTION("""COMPUTED_VALUE"""),416)</f>
        <v>416</v>
      </c>
      <c r="C417" t="str">
        <f ca="1">IFERROR(__xludf.DUMMYFUNCTION("""COMPUTED_VALUE"""),"Alex Prugh")</f>
        <v>Alex Prugh</v>
      </c>
      <c r="D417" s="4">
        <f ca="1">IFERROR(__xludf.DUMMYFUNCTION("""COMPUTED_VALUE"""),2894825)</f>
        <v>2894825</v>
      </c>
    </row>
    <row r="418" spans="1:4" ht="12.75">
      <c r="A418">
        <f ca="1">IFERROR(__xludf.DUMMYFUNCTION("""COMPUTED_VALUE"""),417)</f>
        <v>417</v>
      </c>
      <c r="B418">
        <f ca="1">IFERROR(__xludf.DUMMYFUNCTION("""COMPUTED_VALUE"""),417)</f>
        <v>417</v>
      </c>
      <c r="C418" t="str">
        <f ca="1">IFERROR(__xludf.DUMMYFUNCTION("""COMPUTED_VALUE"""),"Frank Nobilo")</f>
        <v>Frank Nobilo</v>
      </c>
      <c r="D418" s="4">
        <f ca="1">IFERROR(__xludf.DUMMYFUNCTION("""COMPUTED_VALUE"""),2875836)</f>
        <v>2875836</v>
      </c>
    </row>
    <row r="419" spans="1:4" ht="12.75">
      <c r="A419">
        <f ca="1">IFERROR(__xludf.DUMMYFUNCTION("""COMPUTED_VALUE"""),418)</f>
        <v>418</v>
      </c>
      <c r="B419">
        <f ca="1">IFERROR(__xludf.DUMMYFUNCTION("""COMPUTED_VALUE"""),418)</f>
        <v>418</v>
      </c>
      <c r="C419" t="str">
        <f ca="1">IFERROR(__xludf.DUMMYFUNCTION("""COMPUTED_VALUE"""),"Matt Bettencourt")</f>
        <v>Matt Bettencourt</v>
      </c>
      <c r="D419" s="4">
        <f ca="1">IFERROR(__xludf.DUMMYFUNCTION("""COMPUTED_VALUE"""),2874771)</f>
        <v>2874771</v>
      </c>
    </row>
    <row r="420" spans="1:4" ht="12.75">
      <c r="A420">
        <f ca="1">IFERROR(__xludf.DUMMYFUNCTION("""COMPUTED_VALUE"""),419)</f>
        <v>419</v>
      </c>
      <c r="B420">
        <f ca="1">IFERROR(__xludf.DUMMYFUNCTION("""COMPUTED_VALUE"""),434)</f>
        <v>434</v>
      </c>
      <c r="C420" t="str">
        <f ca="1">IFERROR(__xludf.DUMMYFUNCTION("""COMPUTED_VALUE"""),"Sam Burns")</f>
        <v>Sam Burns</v>
      </c>
      <c r="D420" s="4">
        <f ca="1">IFERROR(__xludf.DUMMYFUNCTION("""COMPUTED_VALUE"""),2858736)</f>
        <v>2858736</v>
      </c>
    </row>
    <row r="421" spans="1:4" ht="12.75">
      <c r="A421">
        <f ca="1">IFERROR(__xludf.DUMMYFUNCTION("""COMPUTED_VALUE"""),420)</f>
        <v>420</v>
      </c>
      <c r="B421">
        <f ca="1">IFERROR(__xludf.DUMMYFUNCTION("""COMPUTED_VALUE"""),419)</f>
        <v>419</v>
      </c>
      <c r="C421" t="str">
        <f ca="1">IFERROR(__xludf.DUMMYFUNCTION("""COMPUTED_VALUE"""),"Jim McGovern")</f>
        <v>Jim McGovern</v>
      </c>
      <c r="D421" s="4">
        <f ca="1">IFERROR(__xludf.DUMMYFUNCTION("""COMPUTED_VALUE"""),2858703)</f>
        <v>2858703</v>
      </c>
    </row>
    <row r="422" spans="1:4" ht="12.75">
      <c r="A422">
        <f ca="1">IFERROR(__xludf.DUMMYFUNCTION("""COMPUTED_VALUE"""),421)</f>
        <v>421</v>
      </c>
      <c r="B422">
        <f ca="1">IFERROR(__xludf.DUMMYFUNCTION("""COMPUTED_VALUE"""),420)</f>
        <v>420</v>
      </c>
      <c r="C422" t="str">
        <f ca="1">IFERROR(__xludf.DUMMYFUNCTION("""COMPUTED_VALUE"""),"Sandy Lyle")</f>
        <v>Sandy Lyle</v>
      </c>
      <c r="D422" s="4">
        <f ca="1">IFERROR(__xludf.DUMMYFUNCTION("""COMPUTED_VALUE"""),2855439)</f>
        <v>2855439</v>
      </c>
    </row>
    <row r="423" spans="1:4" ht="12.75">
      <c r="A423">
        <f ca="1">IFERROR(__xludf.DUMMYFUNCTION("""COMPUTED_VALUE"""),422)</f>
        <v>422</v>
      </c>
      <c r="B423">
        <f ca="1">IFERROR(__xludf.DUMMYFUNCTION("""COMPUTED_VALUE"""),421)</f>
        <v>421</v>
      </c>
      <c r="C423" t="str">
        <f ca="1">IFERROR(__xludf.DUMMYFUNCTION("""COMPUTED_VALUE"""),"Tom Scherrer")</f>
        <v>Tom Scherrer</v>
      </c>
      <c r="D423" s="4">
        <f ca="1">IFERROR(__xludf.DUMMYFUNCTION("""COMPUTED_VALUE"""),2850394)</f>
        <v>2850394</v>
      </c>
    </row>
    <row r="424" spans="1:4" ht="12.75">
      <c r="A424">
        <f ca="1">IFERROR(__xludf.DUMMYFUNCTION("""COMPUTED_VALUE"""),423)</f>
        <v>423</v>
      </c>
      <c r="B424">
        <f ca="1">IFERROR(__xludf.DUMMYFUNCTION("""COMPUTED_VALUE"""),422)</f>
        <v>422</v>
      </c>
      <c r="C424" t="str">
        <f ca="1">IFERROR(__xludf.DUMMYFUNCTION("""COMPUTED_VALUE"""),"David Ogrin")</f>
        <v>David Ogrin</v>
      </c>
      <c r="D424" s="4">
        <f ca="1">IFERROR(__xludf.DUMMYFUNCTION("""COMPUTED_VALUE"""),2848159)</f>
        <v>2848159</v>
      </c>
    </row>
    <row r="425" spans="1:4" ht="12.75">
      <c r="A425">
        <f ca="1">IFERROR(__xludf.DUMMYFUNCTION("""COMPUTED_VALUE"""),424)</f>
        <v>424</v>
      </c>
      <c r="B425">
        <f ca="1">IFERROR(__xludf.DUMMYFUNCTION("""COMPUTED_VALUE"""),423)</f>
        <v>423</v>
      </c>
      <c r="C425" t="str">
        <f ca="1">IFERROR(__xludf.DUMMYFUNCTION("""COMPUTED_VALUE"""),"Ryan Blaum")</f>
        <v>Ryan Blaum</v>
      </c>
      <c r="D425" s="4">
        <f ca="1">IFERROR(__xludf.DUMMYFUNCTION("""COMPUTED_VALUE"""),2840881)</f>
        <v>2840881</v>
      </c>
    </row>
    <row r="426" spans="1:4" ht="12.75">
      <c r="A426">
        <f ca="1">IFERROR(__xludf.DUMMYFUNCTION("""COMPUTED_VALUE"""),425)</f>
        <v>425</v>
      </c>
      <c r="B426">
        <f ca="1">IFERROR(__xludf.DUMMYFUNCTION("""COMPUTED_VALUE"""),424)</f>
        <v>424</v>
      </c>
      <c r="C426" t="str">
        <f ca="1">IFERROR(__xludf.DUMMYFUNCTION("""COMPUTED_VALUE"""),"Bobby Wadkins")</f>
        <v>Bobby Wadkins</v>
      </c>
      <c r="D426" s="4">
        <f ca="1">IFERROR(__xludf.DUMMYFUNCTION("""COMPUTED_VALUE"""),2822418)</f>
        <v>2822418</v>
      </c>
    </row>
    <row r="427" spans="1:4" ht="12.75">
      <c r="A427">
        <f ca="1">IFERROR(__xludf.DUMMYFUNCTION("""COMPUTED_VALUE"""),426)</f>
        <v>426</v>
      </c>
      <c r="B427">
        <f ca="1">IFERROR(__xludf.DUMMYFUNCTION("""COMPUTED_VALUE"""),425)</f>
        <v>425</v>
      </c>
      <c r="C427" t="str">
        <f ca="1">IFERROR(__xludf.DUMMYFUNCTION("""COMPUTED_VALUE"""),"Sam Ryder")</f>
        <v>Sam Ryder</v>
      </c>
      <c r="D427" s="4">
        <f ca="1">IFERROR(__xludf.DUMMYFUNCTION("""COMPUTED_VALUE"""),2806727)</f>
        <v>2806727</v>
      </c>
    </row>
    <row r="428" spans="1:4" ht="12.75">
      <c r="A428">
        <f ca="1">IFERROR(__xludf.DUMMYFUNCTION("""COMPUTED_VALUE"""),427)</f>
        <v>427</v>
      </c>
      <c r="B428">
        <f ca="1">IFERROR(__xludf.DUMMYFUNCTION("""COMPUTED_VALUE"""),426)</f>
        <v>426</v>
      </c>
      <c r="C428" t="str">
        <f ca="1">IFERROR(__xludf.DUMMYFUNCTION("""COMPUTED_VALUE"""),"Willie Wood")</f>
        <v>Willie Wood</v>
      </c>
      <c r="D428" s="4">
        <f ca="1">IFERROR(__xludf.DUMMYFUNCTION("""COMPUTED_VALUE"""),2760886)</f>
        <v>2760886</v>
      </c>
    </row>
    <row r="429" spans="1:4" ht="12.75">
      <c r="A429">
        <f ca="1">IFERROR(__xludf.DUMMYFUNCTION("""COMPUTED_VALUE"""),428)</f>
        <v>428</v>
      </c>
      <c r="B429">
        <f ca="1">IFERROR(__xludf.DUMMYFUNCTION("""COMPUTED_VALUE"""),427)</f>
        <v>427</v>
      </c>
      <c r="C429" t="str">
        <f ca="1">IFERROR(__xludf.DUMMYFUNCTION("""COMPUTED_VALUE"""),"Wyndham Clark")</f>
        <v>Wyndham Clark</v>
      </c>
      <c r="D429" s="4">
        <f ca="1">IFERROR(__xludf.DUMMYFUNCTION("""COMPUTED_VALUE"""),2754666)</f>
        <v>2754666</v>
      </c>
    </row>
    <row r="430" spans="1:4" ht="12.75">
      <c r="A430">
        <f ca="1">IFERROR(__xludf.DUMMYFUNCTION("""COMPUTED_VALUE"""),429)</f>
        <v>429</v>
      </c>
      <c r="B430">
        <f ca="1">IFERROR(__xludf.DUMMYFUNCTION("""COMPUTED_VALUE"""),428)</f>
        <v>428</v>
      </c>
      <c r="C430" t="str">
        <f ca="1">IFERROR(__xludf.DUMMYFUNCTION("""COMPUTED_VALUE"""),"Johnny Miller")</f>
        <v>Johnny Miller</v>
      </c>
      <c r="D430" s="4">
        <f ca="1">IFERROR(__xludf.DUMMYFUNCTION("""COMPUTED_VALUE"""),2747484)</f>
        <v>2747484</v>
      </c>
    </row>
    <row r="431" spans="1:4" ht="12.75">
      <c r="A431">
        <f ca="1">IFERROR(__xludf.DUMMYFUNCTION("""COMPUTED_VALUE"""),430)</f>
        <v>430</v>
      </c>
      <c r="B431">
        <f ca="1">IFERROR(__xludf.DUMMYFUNCTION("""COMPUTED_VALUE"""),429)</f>
        <v>429</v>
      </c>
      <c r="C431" t="str">
        <f ca="1">IFERROR(__xludf.DUMMYFUNCTION("""COMPUTED_VALUE"""),"Doug Tewell")</f>
        <v>Doug Tewell</v>
      </c>
      <c r="D431" s="4">
        <f ca="1">IFERROR(__xludf.DUMMYFUNCTION("""COMPUTED_VALUE"""),2723711)</f>
        <v>2723711</v>
      </c>
    </row>
    <row r="432" spans="1:4" ht="12.75">
      <c r="A432">
        <f ca="1">IFERROR(__xludf.DUMMYFUNCTION("""COMPUTED_VALUE"""),431)</f>
        <v>431</v>
      </c>
      <c r="B432">
        <f ca="1">IFERROR(__xludf.DUMMYFUNCTION("""COMPUTED_VALUE"""),430)</f>
        <v>430</v>
      </c>
      <c r="C432" t="str">
        <f ca="1">IFERROR(__xludf.DUMMYFUNCTION("""COMPUTED_VALUE"""),"Scott Gump")</f>
        <v>Scott Gump</v>
      </c>
      <c r="D432" s="4">
        <f ca="1">IFERROR(__xludf.DUMMYFUNCTION("""COMPUTED_VALUE"""),2715190)</f>
        <v>2715190</v>
      </c>
    </row>
    <row r="433" spans="1:4" ht="12.75">
      <c r="A433">
        <f ca="1">IFERROR(__xludf.DUMMYFUNCTION("""COMPUTED_VALUE"""),432)</f>
        <v>432</v>
      </c>
      <c r="B433">
        <f ca="1">IFERROR(__xludf.DUMMYFUNCTION("""COMPUTED_VALUE"""),433)</f>
        <v>433</v>
      </c>
      <c r="C433" t="str">
        <f ca="1">IFERROR(__xludf.DUMMYFUNCTION("""COMPUTED_VALUE"""),"Doc Redman")</f>
        <v>Doc Redman</v>
      </c>
      <c r="D433" s="4">
        <f ca="1">IFERROR(__xludf.DUMMYFUNCTION("""COMPUTED_VALUE"""),2713583)</f>
        <v>2713583</v>
      </c>
    </row>
    <row r="434" spans="1:4" ht="12.75">
      <c r="A434">
        <f ca="1">IFERROR(__xludf.DUMMYFUNCTION("""COMPUTED_VALUE"""),433)</f>
        <v>433</v>
      </c>
      <c r="B434">
        <f ca="1">IFERROR(__xludf.DUMMYFUNCTION("""COMPUTED_VALUE"""),431)</f>
        <v>431</v>
      </c>
      <c r="C434" t="str">
        <f ca="1">IFERROR(__xludf.DUMMYFUNCTION("""COMPUTED_VALUE"""),"Howard Twitty")</f>
        <v>Howard Twitty</v>
      </c>
      <c r="D434" s="4">
        <f ca="1">IFERROR(__xludf.DUMMYFUNCTION("""COMPUTED_VALUE"""),2713551)</f>
        <v>2713551</v>
      </c>
    </row>
    <row r="435" spans="1:4" ht="12.75">
      <c r="A435">
        <f ca="1">IFERROR(__xludf.DUMMYFUNCTION("""COMPUTED_VALUE"""),434)</f>
        <v>434</v>
      </c>
      <c r="B435">
        <f ca="1">IFERROR(__xludf.DUMMYFUNCTION("""COMPUTED_VALUE"""),432)</f>
        <v>432</v>
      </c>
      <c r="C435" t="str">
        <f ca="1">IFERROR(__xludf.DUMMYFUNCTION("""COMPUTED_VALUE"""),"Henrik Norlander")</f>
        <v>Henrik Norlander</v>
      </c>
      <c r="D435" s="4">
        <f ca="1">IFERROR(__xludf.DUMMYFUNCTION("""COMPUTED_VALUE"""),2708545)</f>
        <v>2708545</v>
      </c>
    </row>
    <row r="436" spans="1:4" ht="12.75">
      <c r="A436">
        <f ca="1">IFERROR(__xludf.DUMMYFUNCTION("""COMPUTED_VALUE"""),435)</f>
        <v>435</v>
      </c>
      <c r="B436">
        <f ca="1">IFERROR(__xludf.DUMMYFUNCTION("""COMPUTED_VALUE"""),435)</f>
        <v>435</v>
      </c>
      <c r="C436" t="str">
        <f ca="1">IFERROR(__xludf.DUMMYFUNCTION("""COMPUTED_VALUE"""),"Brad Fabel")</f>
        <v>Brad Fabel</v>
      </c>
      <c r="D436" s="4">
        <f ca="1">IFERROR(__xludf.DUMMYFUNCTION("""COMPUTED_VALUE"""),2636911)</f>
        <v>2636911</v>
      </c>
    </row>
    <row r="437" spans="1:4" ht="12.75">
      <c r="A437">
        <f ca="1">IFERROR(__xludf.DUMMYFUNCTION("""COMPUTED_VALUE"""),436)</f>
        <v>436</v>
      </c>
      <c r="B437">
        <f ca="1">IFERROR(__xludf.DUMMYFUNCTION("""COMPUTED_VALUE"""),436)</f>
        <v>436</v>
      </c>
      <c r="C437" t="str">
        <f ca="1">IFERROR(__xludf.DUMMYFUNCTION("""COMPUTED_VALUE"""),"Mike Springer")</f>
        <v>Mike Springer</v>
      </c>
      <c r="D437" s="4">
        <f ca="1">IFERROR(__xludf.DUMMYFUNCTION("""COMPUTED_VALUE"""),2596451)</f>
        <v>2596451</v>
      </c>
    </row>
    <row r="438" spans="1:4" ht="12.75">
      <c r="A438">
        <f ca="1">IFERROR(__xludf.DUMMYFUNCTION("""COMPUTED_VALUE"""),437)</f>
        <v>437</v>
      </c>
      <c r="B438">
        <f ca="1">IFERROR(__xludf.DUMMYFUNCTION("""COMPUTED_VALUE"""),437)</f>
        <v>437</v>
      </c>
      <c r="C438" t="str">
        <f ca="1">IFERROR(__xludf.DUMMYFUNCTION("""COMPUTED_VALUE"""),"Seamus Power")</f>
        <v>Seamus Power</v>
      </c>
      <c r="D438" s="4">
        <f ca="1">IFERROR(__xludf.DUMMYFUNCTION("""COMPUTED_VALUE"""),2581243)</f>
        <v>2581243</v>
      </c>
    </row>
    <row r="439" spans="1:4" ht="12.75">
      <c r="A439">
        <f ca="1">IFERROR(__xludf.DUMMYFUNCTION("""COMPUTED_VALUE"""),438)</f>
        <v>438</v>
      </c>
      <c r="B439">
        <f ca="1">IFERROR(__xludf.DUMMYFUNCTION("""COMPUTED_VALUE"""),438)</f>
        <v>438</v>
      </c>
      <c r="C439" t="str">
        <f ca="1">IFERROR(__xludf.DUMMYFUNCTION("""COMPUTED_VALUE"""),"Adam Schenk")</f>
        <v>Adam Schenk</v>
      </c>
      <c r="D439" s="4">
        <f ca="1">IFERROR(__xludf.DUMMYFUNCTION("""COMPUTED_VALUE"""),2550019)</f>
        <v>2550019</v>
      </c>
    </row>
    <row r="440" spans="1:4" ht="12.75">
      <c r="A440">
        <f ca="1">IFERROR(__xludf.DUMMYFUNCTION("""COMPUTED_VALUE"""),439)</f>
        <v>439</v>
      </c>
      <c r="B440">
        <f ca="1">IFERROR(__xludf.DUMMYFUNCTION("""COMPUTED_VALUE"""),439)</f>
        <v>439</v>
      </c>
      <c r="C440" t="str">
        <f ca="1">IFERROR(__xludf.DUMMYFUNCTION("""COMPUTED_VALUE"""),"Trey Mullinax")</f>
        <v>Trey Mullinax</v>
      </c>
      <c r="D440" s="4">
        <f ca="1">IFERROR(__xludf.DUMMYFUNCTION("""COMPUTED_VALUE"""),2542890)</f>
        <v>2542890</v>
      </c>
    </row>
    <row r="441" spans="1:4" ht="12.75">
      <c r="A441">
        <f ca="1">IFERROR(__xludf.DUMMYFUNCTION("""COMPUTED_VALUE"""),440)</f>
        <v>440</v>
      </c>
      <c r="B441">
        <f ca="1">IFERROR(__xludf.DUMMYFUNCTION("""COMPUTED_VALUE"""),454)</f>
        <v>454</v>
      </c>
      <c r="C441" t="str">
        <f ca="1">IFERROR(__xludf.DUMMYFUNCTION("""COMPUTED_VALUE"""),"Sepp Straka")</f>
        <v>Sepp Straka</v>
      </c>
      <c r="D441" s="4">
        <f ca="1">IFERROR(__xludf.DUMMYFUNCTION("""COMPUTED_VALUE"""),2530435)</f>
        <v>2530435</v>
      </c>
    </row>
    <row r="442" spans="1:4" ht="12.75">
      <c r="A442">
        <f ca="1">IFERROR(__xludf.DUMMYFUNCTION("""COMPUTED_VALUE"""),441)</f>
        <v>441</v>
      </c>
      <c r="B442">
        <f ca="1">IFERROR(__xludf.DUMMYFUNCTION("""COMPUTED_VALUE"""),440)</f>
        <v>440</v>
      </c>
      <c r="C442" t="str">
        <f ca="1">IFERROR(__xludf.DUMMYFUNCTION("""COMPUTED_VALUE"""),"Parker McLachlin")</f>
        <v>Parker McLachlin</v>
      </c>
      <c r="D442" s="4">
        <f ca="1">IFERROR(__xludf.DUMMYFUNCTION("""COMPUTED_VALUE"""),2520142)</f>
        <v>2520142</v>
      </c>
    </row>
    <row r="443" spans="1:4" ht="12.75">
      <c r="A443">
        <f ca="1">IFERROR(__xludf.DUMMYFUNCTION("""COMPUTED_VALUE"""),442)</f>
        <v>442</v>
      </c>
      <c r="B443">
        <f ca="1">IFERROR(__xludf.DUMMYFUNCTION("""COMPUTED_VALUE"""),441)</f>
        <v>441</v>
      </c>
      <c r="C443" t="str">
        <f ca="1">IFERROR(__xludf.DUMMYFUNCTION("""COMPUTED_VALUE"""),"Gary Hallberg")</f>
        <v>Gary Hallberg</v>
      </c>
      <c r="D443" s="4">
        <f ca="1">IFERROR(__xludf.DUMMYFUNCTION("""COMPUTED_VALUE"""),2476014)</f>
        <v>2476014</v>
      </c>
    </row>
    <row r="444" spans="1:4" ht="12.75">
      <c r="A444">
        <f ca="1">IFERROR(__xludf.DUMMYFUNCTION("""COMPUTED_VALUE"""),443)</f>
        <v>443</v>
      </c>
      <c r="B444">
        <f ca="1">IFERROR(__xludf.DUMMYFUNCTION("""COMPUTED_VALUE"""),442)</f>
        <v>442</v>
      </c>
      <c r="C444" t="str">
        <f ca="1">IFERROR(__xludf.DUMMYFUNCTION("""COMPUTED_VALUE"""),"Andres Gonzales")</f>
        <v>Andres Gonzales</v>
      </c>
      <c r="D444" s="4">
        <f ca="1">IFERROR(__xludf.DUMMYFUNCTION("""COMPUTED_VALUE"""),2473579)</f>
        <v>2473579</v>
      </c>
    </row>
    <row r="445" spans="1:4" ht="12.75">
      <c r="A445">
        <f ca="1">IFERROR(__xludf.DUMMYFUNCTION("""COMPUTED_VALUE"""),444)</f>
        <v>444</v>
      </c>
      <c r="B445">
        <f ca="1">IFERROR(__xludf.DUMMYFUNCTION("""COMPUTED_VALUE"""),443)</f>
        <v>443</v>
      </c>
      <c r="C445" t="str">
        <f ca="1">IFERROR(__xludf.DUMMYFUNCTION("""COMPUTED_VALUE"""),"Bob Lohr")</f>
        <v>Bob Lohr</v>
      </c>
      <c r="D445" s="4">
        <f ca="1">IFERROR(__xludf.DUMMYFUNCTION("""COMPUTED_VALUE"""),2417060)</f>
        <v>2417060</v>
      </c>
    </row>
    <row r="446" spans="1:4" ht="12.75">
      <c r="A446">
        <f ca="1">IFERROR(__xludf.DUMMYFUNCTION("""COMPUTED_VALUE"""),445)</f>
        <v>445</v>
      </c>
      <c r="B446">
        <f ca="1">IFERROR(__xludf.DUMMYFUNCTION("""COMPUTED_VALUE"""),444)</f>
        <v>444</v>
      </c>
      <c r="C446" t="str">
        <f ca="1">IFERROR(__xludf.DUMMYFUNCTION("""COMPUTED_VALUE"""),"Spike McRoy")</f>
        <v>Spike McRoy</v>
      </c>
      <c r="D446" s="4">
        <f ca="1">IFERROR(__xludf.DUMMYFUNCTION("""COMPUTED_VALUE"""),2412577)</f>
        <v>2412577</v>
      </c>
    </row>
    <row r="447" spans="1:4" ht="12.75">
      <c r="A447">
        <f ca="1">IFERROR(__xludf.DUMMYFUNCTION("""COMPUTED_VALUE"""),446)</f>
        <v>446</v>
      </c>
      <c r="B447">
        <f ca="1">IFERROR(__xludf.DUMMYFUNCTION("""COMPUTED_VALUE"""),445)</f>
        <v>445</v>
      </c>
      <c r="C447" t="str">
        <f ca="1">IFERROR(__xludf.DUMMYFUNCTION("""COMPUTED_VALUE"""),"Ian Leggatt")</f>
        <v>Ian Leggatt</v>
      </c>
      <c r="D447" s="4">
        <f ca="1">IFERROR(__xludf.DUMMYFUNCTION("""COMPUTED_VALUE"""),2410796)</f>
        <v>2410796</v>
      </c>
    </row>
    <row r="448" spans="1:4" ht="12.75">
      <c r="A448">
        <f ca="1">IFERROR(__xludf.DUMMYFUNCTION("""COMPUTED_VALUE"""),447)</f>
        <v>447</v>
      </c>
      <c r="B448">
        <f ca="1">IFERROR(__xludf.DUMMYFUNCTION("""COMPUTED_VALUE"""),446)</f>
        <v>446</v>
      </c>
      <c r="C448" t="str">
        <f ca="1">IFERROR(__xludf.DUMMYFUNCTION("""COMPUTED_VALUE"""),"Dave Barr")</f>
        <v>Dave Barr</v>
      </c>
      <c r="D448" s="4">
        <f ca="1">IFERROR(__xludf.DUMMYFUNCTION("""COMPUTED_VALUE"""),2404793)</f>
        <v>2404793</v>
      </c>
    </row>
    <row r="449" spans="1:4" ht="12.75">
      <c r="A449">
        <f ca="1">IFERROR(__xludf.DUMMYFUNCTION("""COMPUTED_VALUE"""),448)</f>
        <v>448</v>
      </c>
      <c r="B449">
        <f ca="1">IFERROR(__xludf.DUMMYFUNCTION("""COMPUTED_VALUE"""),447)</f>
        <v>447</v>
      </c>
      <c r="C449" t="str">
        <f ca="1">IFERROR(__xludf.DUMMYFUNCTION("""COMPUTED_VALUE"""),"Keith Clearwater")</f>
        <v>Keith Clearwater</v>
      </c>
      <c r="D449" s="4">
        <f ca="1">IFERROR(__xludf.DUMMYFUNCTION("""COMPUTED_VALUE"""),2365698)</f>
        <v>2365698</v>
      </c>
    </row>
    <row r="450" spans="1:4" ht="12.75">
      <c r="A450">
        <f ca="1">IFERROR(__xludf.DUMMYFUNCTION("""COMPUTED_VALUE"""),449)</f>
        <v>449</v>
      </c>
      <c r="B450">
        <f ca="1">IFERROR(__xludf.DUMMYFUNCTION("""COMPUTED_VALUE"""),448)</f>
        <v>448</v>
      </c>
      <c r="C450" t="str">
        <f ca="1">IFERROR(__xludf.DUMMYFUNCTION("""COMPUTED_VALUE"""),"Thomas Pieters")</f>
        <v>Thomas Pieters</v>
      </c>
      <c r="D450" s="4">
        <f ca="1">IFERROR(__xludf.DUMMYFUNCTION("""COMPUTED_VALUE"""),2354322)</f>
        <v>2354322</v>
      </c>
    </row>
    <row r="451" spans="1:4" ht="12.75">
      <c r="A451">
        <f ca="1">IFERROR(__xludf.DUMMYFUNCTION("""COMPUTED_VALUE"""),450)</f>
        <v>450</v>
      </c>
      <c r="B451">
        <f ca="1">IFERROR(__xludf.DUMMYFUNCTION("""COMPUTED_VALUE"""),449)</f>
        <v>449</v>
      </c>
      <c r="C451" t="str">
        <f ca="1">IFERROR(__xludf.DUMMYFUNCTION("""COMPUTED_VALUE"""),"Gabriel Hjertstedt")</f>
        <v>Gabriel Hjertstedt</v>
      </c>
      <c r="D451" s="4">
        <f ca="1">IFERROR(__xludf.DUMMYFUNCTION("""COMPUTED_VALUE"""),2339756)</f>
        <v>2339756</v>
      </c>
    </row>
    <row r="452" spans="1:4" ht="12.75">
      <c r="A452">
        <f ca="1">IFERROR(__xludf.DUMMYFUNCTION("""COMPUTED_VALUE"""),451)</f>
        <v>451</v>
      </c>
      <c r="B452">
        <f ca="1">IFERROR(__xludf.DUMMYFUNCTION("""COMPUTED_VALUE"""),450)</f>
        <v>450</v>
      </c>
      <c r="C452" t="str">
        <f ca="1">IFERROR(__xludf.DUMMYFUNCTION("""COMPUTED_VALUE"""),"Billy Ray Brown")</f>
        <v>Billy Ray Brown</v>
      </c>
      <c r="D452" s="4">
        <f ca="1">IFERROR(__xludf.DUMMYFUNCTION("""COMPUTED_VALUE"""),2330389)</f>
        <v>2330389</v>
      </c>
    </row>
    <row r="453" spans="1:4" ht="12.75">
      <c r="A453">
        <f ca="1">IFERROR(__xludf.DUMMYFUNCTION("""COMPUTED_VALUE"""),452)</f>
        <v>452</v>
      </c>
      <c r="B453">
        <f ca="1">IFERROR(__xludf.DUMMYFUNCTION("""COMPUTED_VALUE"""),451)</f>
        <v>451</v>
      </c>
      <c r="C453" t="str">
        <f ca="1">IFERROR(__xludf.DUMMYFUNCTION("""COMPUTED_VALUE"""),"Mike Sullivan")</f>
        <v>Mike Sullivan</v>
      </c>
      <c r="D453" s="4">
        <f ca="1">IFERROR(__xludf.DUMMYFUNCTION("""COMPUTED_VALUE"""),2301255)</f>
        <v>2301255</v>
      </c>
    </row>
    <row r="454" spans="1:4" ht="12.75">
      <c r="A454">
        <f ca="1">IFERROR(__xludf.DUMMYFUNCTION("""COMPUTED_VALUE"""),453)</f>
        <v>453</v>
      </c>
      <c r="B454">
        <f ca="1">IFERROR(__xludf.DUMMYFUNCTION("""COMPUTED_VALUE"""),452)</f>
        <v>452</v>
      </c>
      <c r="C454" t="str">
        <f ca="1">IFERROR(__xludf.DUMMYFUNCTION("""COMPUTED_VALUE"""),"Lennie Clements")</f>
        <v>Lennie Clements</v>
      </c>
      <c r="D454" s="4">
        <f ca="1">IFERROR(__xludf.DUMMYFUNCTION("""COMPUTED_VALUE"""),2280766)</f>
        <v>2280766</v>
      </c>
    </row>
    <row r="455" spans="1:4" ht="12.75">
      <c r="A455">
        <f ca="1">IFERROR(__xludf.DUMMYFUNCTION("""COMPUTED_VALUE"""),454)</f>
        <v>454</v>
      </c>
      <c r="B455">
        <f ca="1">IFERROR(__xludf.DUMMYFUNCTION("""COMPUTED_VALUE"""),453)</f>
        <v>453</v>
      </c>
      <c r="C455" t="str">
        <f ca="1">IFERROR(__xludf.DUMMYFUNCTION("""COMPUTED_VALUE"""),"Ed Fiori")</f>
        <v>Ed Fiori</v>
      </c>
      <c r="D455" s="4">
        <f ca="1">IFERROR(__xludf.DUMMYFUNCTION("""COMPUTED_VALUE"""),2270198)</f>
        <v>2270198</v>
      </c>
    </row>
    <row r="456" spans="1:4" ht="12.75">
      <c r="A456">
        <f ca="1">IFERROR(__xludf.DUMMYFUNCTION("""COMPUTED_VALUE"""),455)</f>
        <v>455</v>
      </c>
      <c r="B456">
        <f ca="1">IFERROR(__xludf.DUMMYFUNCTION("""COMPUTED_VALUE"""),455)</f>
        <v>455</v>
      </c>
      <c r="C456" t="str">
        <f ca="1">IFERROR(__xludf.DUMMYFUNCTION("""COMPUTED_VALUE"""),"Tom Weiskopf")</f>
        <v>Tom Weiskopf</v>
      </c>
      <c r="D456" s="4">
        <f ca="1">IFERROR(__xludf.DUMMYFUNCTION("""COMPUTED_VALUE"""),2241687)</f>
        <v>2241687</v>
      </c>
    </row>
    <row r="457" spans="1:4" ht="12.75">
      <c r="A457">
        <f ca="1">IFERROR(__xludf.DUMMYFUNCTION("""COMPUTED_VALUE"""),456)</f>
        <v>456</v>
      </c>
      <c r="B457">
        <f ca="1">IFERROR(__xludf.DUMMYFUNCTION("""COMPUTED_VALUE"""),456)</f>
        <v>456</v>
      </c>
      <c r="C457" t="str">
        <f ca="1">IFERROR(__xludf.DUMMYFUNCTION("""COMPUTED_VALUE"""),"David Gossett")</f>
        <v>David Gossett</v>
      </c>
      <c r="D457" s="4">
        <f ca="1">IFERROR(__xludf.DUMMYFUNCTION("""COMPUTED_VALUE"""),2234484)</f>
        <v>2234484</v>
      </c>
    </row>
    <row r="458" spans="1:4" ht="12.75">
      <c r="A458">
        <f ca="1">IFERROR(__xludf.DUMMYFUNCTION("""COMPUTED_VALUE"""),457)</f>
        <v>457</v>
      </c>
      <c r="B458">
        <f ca="1">IFERROR(__xludf.DUMMYFUNCTION("""COMPUTED_VALUE"""),457)</f>
        <v>457</v>
      </c>
      <c r="C458" t="str">
        <f ca="1">IFERROR(__xludf.DUMMYFUNCTION("""COMPUTED_VALUE"""),"Matt Wallace")</f>
        <v>Matt Wallace</v>
      </c>
      <c r="D458" s="4">
        <f ca="1">IFERROR(__xludf.DUMMYFUNCTION("""COMPUTED_VALUE"""),2220792)</f>
        <v>2220792</v>
      </c>
    </row>
    <row r="459" spans="1:4" ht="12.75">
      <c r="A459">
        <f ca="1">IFERROR(__xludf.DUMMYFUNCTION("""COMPUTED_VALUE"""),458)</f>
        <v>458</v>
      </c>
      <c r="B459">
        <f ca="1">IFERROR(__xludf.DUMMYFUNCTION("""COMPUTED_VALUE"""),458)</f>
        <v>458</v>
      </c>
      <c r="C459" t="str">
        <f ca="1">IFERROR(__xludf.DUMMYFUNCTION("""COMPUTED_VALUE"""),"Derek Ernst")</f>
        <v>Derek Ernst</v>
      </c>
      <c r="D459" s="4">
        <f ca="1">IFERROR(__xludf.DUMMYFUNCTION("""COMPUTED_VALUE"""),2217072)</f>
        <v>2217072</v>
      </c>
    </row>
    <row r="460" spans="1:4" ht="12.75">
      <c r="A460">
        <f ca="1">IFERROR(__xludf.DUMMYFUNCTION("""COMPUTED_VALUE"""),459)</f>
        <v>459</v>
      </c>
      <c r="B460">
        <f ca="1">IFERROR(__xludf.DUMMYFUNCTION("""COMPUTED_VALUE"""),459)</f>
        <v>459</v>
      </c>
      <c r="C460" t="str">
        <f ca="1">IFERROR(__xludf.DUMMYFUNCTION("""COMPUTED_VALUE"""),"Roger Maltbie")</f>
        <v>Roger Maltbie</v>
      </c>
      <c r="D460" s="4">
        <f ca="1">IFERROR(__xludf.DUMMYFUNCTION("""COMPUTED_VALUE"""),2212879)</f>
        <v>2212879</v>
      </c>
    </row>
    <row r="461" spans="1:4" ht="12.75">
      <c r="A461">
        <f ca="1">IFERROR(__xludf.DUMMYFUNCTION("""COMPUTED_VALUE"""),460)</f>
        <v>460</v>
      </c>
      <c r="B461">
        <f ca="1">IFERROR(__xludf.DUMMYFUNCTION("""COMPUTED_VALUE"""),460)</f>
        <v>460</v>
      </c>
      <c r="C461" t="str">
        <f ca="1">IFERROR(__xludf.DUMMYFUNCTION("""COMPUTED_VALUE"""),"Dominic Bozzelli")</f>
        <v>Dominic Bozzelli</v>
      </c>
      <c r="D461" s="4">
        <f ca="1">IFERROR(__xludf.DUMMYFUNCTION("""COMPUTED_VALUE"""),2210627)</f>
        <v>2210627</v>
      </c>
    </row>
    <row r="462" spans="1:4" ht="12.75">
      <c r="A462">
        <f ca="1">IFERROR(__xludf.DUMMYFUNCTION("""COMPUTED_VALUE"""),461)</f>
        <v>461</v>
      </c>
      <c r="B462">
        <f ca="1">IFERROR(__xludf.DUMMYFUNCTION("""COMPUTED_VALUE"""),461)</f>
        <v>461</v>
      </c>
      <c r="C462" t="str">
        <f ca="1">IFERROR(__xludf.DUMMYFUNCTION("""COMPUTED_VALUE"""),"J.C. Snead")</f>
        <v>J.C. Snead</v>
      </c>
      <c r="D462" s="4">
        <f ca="1">IFERROR(__xludf.DUMMYFUNCTION("""COMPUTED_VALUE"""),2197545)</f>
        <v>2197545</v>
      </c>
    </row>
    <row r="463" spans="1:4" ht="12.75">
      <c r="A463">
        <f ca="1">IFERROR(__xludf.DUMMYFUNCTION("""COMPUTED_VALUE"""),462)</f>
        <v>462</v>
      </c>
      <c r="B463">
        <f ca="1">IFERROR(__xludf.DUMMYFUNCTION("""COMPUTED_VALUE"""),462)</f>
        <v>462</v>
      </c>
      <c r="C463" t="str">
        <f ca="1">IFERROR(__xludf.DUMMYFUNCTION("""COMPUTED_VALUE"""),"Robin Freeman")</f>
        <v>Robin Freeman</v>
      </c>
      <c r="D463" s="4">
        <f ca="1">IFERROR(__xludf.DUMMYFUNCTION("""COMPUTED_VALUE"""),2174379)</f>
        <v>2174379</v>
      </c>
    </row>
    <row r="464" spans="1:4" ht="12.75">
      <c r="A464">
        <f ca="1">IFERROR(__xludf.DUMMYFUNCTION("""COMPUTED_VALUE"""),463)</f>
        <v>463</v>
      </c>
      <c r="B464">
        <f ca="1">IFERROR(__xludf.DUMMYFUNCTION("""COMPUTED_VALUE"""),463)</f>
        <v>463</v>
      </c>
      <c r="C464" t="str">
        <f ca="1">IFERROR(__xludf.DUMMYFUNCTION("""COMPUTED_VALUE"""),"Clarence Rose")</f>
        <v>Clarence Rose</v>
      </c>
      <c r="D464" s="4">
        <f ca="1">IFERROR(__xludf.DUMMYFUNCTION("""COMPUTED_VALUE"""),2155380)</f>
        <v>2155380</v>
      </c>
    </row>
    <row r="465" spans="1:4" ht="12.75">
      <c r="A465">
        <f ca="1">IFERROR(__xludf.DUMMYFUNCTION("""COMPUTED_VALUE"""),464)</f>
        <v>464</v>
      </c>
      <c r="B465">
        <f ca="1">IFERROR(__xludf.DUMMYFUNCTION("""COMPUTED_VALUE"""),464)</f>
        <v>464</v>
      </c>
      <c r="C465" t="str">
        <f ca="1">IFERROR(__xludf.DUMMYFUNCTION("""COMPUTED_VALUE"""),"Satoshi Kodaira")</f>
        <v>Satoshi Kodaira</v>
      </c>
      <c r="D465" s="4">
        <f ca="1">IFERROR(__xludf.DUMMYFUNCTION("""COMPUTED_VALUE"""),2128249)</f>
        <v>2128249</v>
      </c>
    </row>
    <row r="466" spans="1:4" ht="12.75">
      <c r="A466">
        <f ca="1">IFERROR(__xludf.DUMMYFUNCTION("""COMPUTED_VALUE"""),465)</f>
        <v>465</v>
      </c>
      <c r="B466">
        <f ca="1">IFERROR(__xludf.DUMMYFUNCTION("""COMPUTED_VALUE"""),465)</f>
        <v>465</v>
      </c>
      <c r="C466" t="str">
        <f ca="1">IFERROR(__xludf.DUMMYFUNCTION("""COMPUTED_VALUE"""),"Andrew Loupe")</f>
        <v>Andrew Loupe</v>
      </c>
      <c r="D466" s="4">
        <f ca="1">IFERROR(__xludf.DUMMYFUNCTION("""COMPUTED_VALUE"""),2095316)</f>
        <v>2095316</v>
      </c>
    </row>
    <row r="467" spans="1:4" ht="12.75">
      <c r="A467">
        <f ca="1">IFERROR(__xludf.DUMMYFUNCTION("""COMPUTED_VALUE"""),466)</f>
        <v>466</v>
      </c>
      <c r="B467">
        <f ca="1">IFERROR(__xludf.DUMMYFUNCTION("""COMPUTED_VALUE"""),466)</f>
        <v>466</v>
      </c>
      <c r="C467" t="str">
        <f ca="1">IFERROR(__xludf.DUMMYFUNCTION("""COMPUTED_VALUE"""),"Harry Higgs")</f>
        <v>Harry Higgs</v>
      </c>
      <c r="D467" s="4">
        <f ca="1">IFERROR(__xludf.DUMMYFUNCTION("""COMPUTED_VALUE"""),2079406)</f>
        <v>2079406</v>
      </c>
    </row>
    <row r="468" spans="1:4" ht="12.75">
      <c r="A468">
        <f ca="1">IFERROR(__xludf.DUMMYFUNCTION("""COMPUTED_VALUE"""),467)</f>
        <v>467</v>
      </c>
      <c r="B468">
        <f ca="1">IFERROR(__xludf.DUMMYFUNCTION("""COMPUTED_VALUE"""),467)</f>
        <v>467</v>
      </c>
      <c r="C468" t="str">
        <f ca="1">IFERROR(__xludf.DUMMYFUNCTION("""COMPUTED_VALUE"""),"Ian Baker-Finch")</f>
        <v>Ian Baker-Finch</v>
      </c>
      <c r="D468" s="4">
        <f ca="1">IFERROR(__xludf.DUMMYFUNCTION("""COMPUTED_VALUE"""),2078743)</f>
        <v>2078743</v>
      </c>
    </row>
    <row r="469" spans="1:4" ht="12.75">
      <c r="A469">
        <f ca="1">IFERROR(__xludf.DUMMYFUNCTION("""COMPUTED_VALUE"""),468)</f>
        <v>468</v>
      </c>
      <c r="B469">
        <f ca="1">IFERROR(__xludf.DUMMYFUNCTION("""COMPUTED_VALUE"""),468)</f>
        <v>468</v>
      </c>
      <c r="C469" t="str">
        <f ca="1">IFERROR(__xludf.DUMMYFUNCTION("""COMPUTED_VALUE"""),"Marc Turnesa")</f>
        <v>Marc Turnesa</v>
      </c>
      <c r="D469" s="4">
        <f ca="1">IFERROR(__xludf.DUMMYFUNCTION("""COMPUTED_VALUE"""),2075845)</f>
        <v>2075845</v>
      </c>
    </row>
    <row r="470" spans="1:4" ht="12.75">
      <c r="A470">
        <f ca="1">IFERROR(__xludf.DUMMYFUNCTION("""COMPUTED_VALUE"""),469)</f>
        <v>469</v>
      </c>
      <c r="B470">
        <f ca="1">IFERROR(__xludf.DUMMYFUNCTION("""COMPUTED_VALUE"""),469)</f>
        <v>469</v>
      </c>
      <c r="C470" t="str">
        <f ca="1">IFERROR(__xludf.DUMMYFUNCTION("""COMPUTED_VALUE"""),"John Adams")</f>
        <v>John Adams</v>
      </c>
      <c r="D470" s="4">
        <f ca="1">IFERROR(__xludf.DUMMYFUNCTION("""COMPUTED_VALUE"""),2019582)</f>
        <v>2019582</v>
      </c>
    </row>
    <row r="471" spans="1:4" ht="12.75">
      <c r="A471">
        <f ca="1">IFERROR(__xludf.DUMMYFUNCTION("""COMPUTED_VALUE"""),470)</f>
        <v>470</v>
      </c>
      <c r="B471">
        <f ca="1">IFERROR(__xludf.DUMMYFUNCTION("""COMPUTED_VALUE"""),470)</f>
        <v>470</v>
      </c>
      <c r="C471" t="str">
        <f ca="1">IFERROR(__xludf.DUMMYFUNCTION("""COMPUTED_VALUE"""),"Larry Rinker")</f>
        <v>Larry Rinker</v>
      </c>
      <c r="D471" s="4">
        <f ca="1">IFERROR(__xludf.DUMMYFUNCTION("""COMPUTED_VALUE"""),2007824)</f>
        <v>2007824</v>
      </c>
    </row>
    <row r="472" spans="1:4" ht="12.75">
      <c r="A472">
        <f ca="1">IFERROR(__xludf.DUMMYFUNCTION("""COMPUTED_VALUE"""),471)</f>
        <v>471</v>
      </c>
      <c r="B472">
        <f ca="1">IFERROR(__xludf.DUMMYFUNCTION("""COMPUTED_VALUE"""),471)</f>
        <v>471</v>
      </c>
      <c r="C472" t="str">
        <f ca="1">IFERROR(__xludf.DUMMYFUNCTION("""COMPUTED_VALUE"""),"Cody Gribble")</f>
        <v>Cody Gribble</v>
      </c>
      <c r="D472" s="4">
        <f ca="1">IFERROR(__xludf.DUMMYFUNCTION("""COMPUTED_VALUE"""),1989290)</f>
        <v>1989290</v>
      </c>
    </row>
    <row r="473" spans="1:4" ht="12.75">
      <c r="A473">
        <f ca="1">IFERROR(__xludf.DUMMYFUNCTION("""COMPUTED_VALUE"""),472)</f>
        <v>472</v>
      </c>
      <c r="B473">
        <f ca="1">IFERROR(__xludf.DUMMYFUNCTION("""COMPUTED_VALUE"""),472)</f>
        <v>472</v>
      </c>
      <c r="C473" t="str">
        <f ca="1">IFERROR(__xludf.DUMMYFUNCTION("""COMPUTED_VALUE"""),"Mike Donald")</f>
        <v>Mike Donald</v>
      </c>
      <c r="D473" s="4">
        <f ca="1">IFERROR(__xludf.DUMMYFUNCTION("""COMPUTED_VALUE"""),1970260)</f>
        <v>1970260</v>
      </c>
    </row>
    <row r="474" spans="1:4" ht="12.75">
      <c r="A474">
        <f ca="1">IFERROR(__xludf.DUMMYFUNCTION("""COMPUTED_VALUE"""),473)</f>
        <v>473</v>
      </c>
      <c r="B474">
        <f ca="1">IFERROR(__xludf.DUMMYFUNCTION("""COMPUTED_VALUE"""),473)</f>
        <v>473</v>
      </c>
      <c r="C474" t="str">
        <f ca="1">IFERROR(__xludf.DUMMYFUNCTION("""COMPUTED_VALUE"""),"Wes Roach")</f>
        <v>Wes Roach</v>
      </c>
      <c r="D474" s="4">
        <f ca="1">IFERROR(__xludf.DUMMYFUNCTION("""COMPUTED_VALUE"""),1944439)</f>
        <v>1944439</v>
      </c>
    </row>
    <row r="475" spans="1:4" ht="12.75">
      <c r="A475">
        <f ca="1">IFERROR(__xludf.DUMMYFUNCTION("""COMPUTED_VALUE"""),474)</f>
        <v>474</v>
      </c>
      <c r="B475">
        <f ca="1">IFERROR(__xludf.DUMMYFUNCTION("""COMPUTED_VALUE"""),474)</f>
        <v>474</v>
      </c>
      <c r="C475" t="str">
        <f ca="1">IFERROR(__xludf.DUMMYFUNCTION("""COMPUTED_VALUE"""),"Trevor Dodds")</f>
        <v>Trevor Dodds</v>
      </c>
      <c r="D475" s="4">
        <f ca="1">IFERROR(__xludf.DUMMYFUNCTION("""COMPUTED_VALUE"""),1940834)</f>
        <v>1940834</v>
      </c>
    </row>
    <row r="476" spans="1:4" ht="12.75">
      <c r="A476">
        <f ca="1">IFERROR(__xludf.DUMMYFUNCTION("""COMPUTED_VALUE"""),475)</f>
        <v>475</v>
      </c>
      <c r="B476">
        <f ca="1">IFERROR(__xludf.DUMMYFUNCTION("""COMPUTED_VALUE"""),475)</f>
        <v>475</v>
      </c>
      <c r="C476" t="str">
        <f ca="1">IFERROR(__xludf.DUMMYFUNCTION("""COMPUTED_VALUE"""),"Jim Thorpe")</f>
        <v>Jim Thorpe</v>
      </c>
      <c r="D476" s="4">
        <f ca="1">IFERROR(__xludf.DUMMYFUNCTION("""COMPUTED_VALUE"""),1935566)</f>
        <v>1935566</v>
      </c>
    </row>
    <row r="477" spans="1:4" ht="12.75">
      <c r="A477">
        <f ca="1">IFERROR(__xludf.DUMMYFUNCTION("""COMPUTED_VALUE"""),476)</f>
        <v>476</v>
      </c>
      <c r="B477">
        <f ca="1">IFERROR(__xludf.DUMMYFUNCTION("""COMPUTED_VALUE"""),476)</f>
        <v>476</v>
      </c>
      <c r="C477" t="str">
        <f ca="1">IFERROR(__xludf.DUMMYFUNCTION("""COMPUTED_VALUE"""),"Kyoung-Hoon Lee")</f>
        <v>Kyoung-Hoon Lee</v>
      </c>
      <c r="D477" s="4">
        <f ca="1">IFERROR(__xludf.DUMMYFUNCTION("""COMPUTED_VALUE"""),1914013)</f>
        <v>1914013</v>
      </c>
    </row>
    <row r="478" spans="1:4" ht="12.75">
      <c r="A478">
        <f ca="1">IFERROR(__xludf.DUMMYFUNCTION("""COMPUTED_VALUE"""),477)</f>
        <v>477</v>
      </c>
      <c r="B478">
        <f ca="1">IFERROR(__xludf.DUMMYFUNCTION("""COMPUTED_VALUE"""),477)</f>
        <v>477</v>
      </c>
      <c r="C478" t="str">
        <f ca="1">IFERROR(__xludf.DUMMYFUNCTION("""COMPUTED_VALUE"""),"Dave Rummells")</f>
        <v>Dave Rummells</v>
      </c>
      <c r="D478" s="4">
        <f ca="1">IFERROR(__xludf.DUMMYFUNCTION("""COMPUTED_VALUE"""),1909430)</f>
        <v>1909430</v>
      </c>
    </row>
    <row r="479" spans="1:4" ht="12.75">
      <c r="A479">
        <f ca="1">IFERROR(__xludf.DUMMYFUNCTION("""COMPUTED_VALUE"""),478)</f>
        <v>478</v>
      </c>
      <c r="B479">
        <f ca="1">IFERROR(__xludf.DUMMYFUNCTION("""COMPUTED_VALUE"""),478)</f>
        <v>478</v>
      </c>
      <c r="C479" t="str">
        <f ca="1">IFERROR(__xludf.DUMMYFUNCTION("""COMPUTED_VALUE"""),"David Graham")</f>
        <v>David Graham</v>
      </c>
      <c r="D479" s="4">
        <f ca="1">IFERROR(__xludf.DUMMYFUNCTION("""COMPUTED_VALUE"""),1888731)</f>
        <v>1888731</v>
      </c>
    </row>
    <row r="480" spans="1:4" ht="12.75">
      <c r="A480">
        <f ca="1">IFERROR(__xludf.DUMMYFUNCTION("""COMPUTED_VALUE"""),479)</f>
        <v>479</v>
      </c>
      <c r="B480">
        <f ca="1">IFERROR(__xludf.DUMMYFUNCTION("""COMPUTED_VALUE"""),479)</f>
        <v>479</v>
      </c>
      <c r="C480" t="str">
        <f ca="1">IFERROR(__xludf.DUMMYFUNCTION("""COMPUTED_VALUE"""),"Mike Heinen")</f>
        <v>Mike Heinen</v>
      </c>
      <c r="D480" s="4">
        <f ca="1">IFERROR(__xludf.DUMMYFUNCTION("""COMPUTED_VALUE"""),1848216)</f>
        <v>1848216</v>
      </c>
    </row>
    <row r="481" spans="1:4" ht="12.75">
      <c r="A481">
        <f ca="1">IFERROR(__xludf.DUMMYFUNCTION("""COMPUTED_VALUE"""),480)</f>
        <v>480</v>
      </c>
      <c r="B481">
        <f ca="1">IFERROR(__xludf.DUMMYFUNCTION("""COMPUTED_VALUE"""),480)</f>
        <v>480</v>
      </c>
      <c r="C481" t="str">
        <f ca="1">IFERROR(__xludf.DUMMYFUNCTION("""COMPUTED_VALUE"""),"Xinjun Zhang")</f>
        <v>Xinjun Zhang</v>
      </c>
      <c r="D481" s="4">
        <f ca="1">IFERROR(__xludf.DUMMYFUNCTION("""COMPUTED_VALUE"""),1846403)</f>
        <v>1846403</v>
      </c>
    </row>
    <row r="482" spans="1:4" ht="12.75">
      <c r="A482">
        <f ca="1">IFERROR(__xludf.DUMMYFUNCTION("""COMPUTED_VALUE"""),481)</f>
        <v>481</v>
      </c>
      <c r="B482">
        <f ca="1">IFERROR(__xludf.DUMMYFUNCTION("""COMPUTED_VALUE"""),481)</f>
        <v>481</v>
      </c>
      <c r="C482" t="str">
        <f ca="1">IFERROR(__xludf.DUMMYFUNCTION("""COMPUTED_VALUE"""),"Richard Zokol")</f>
        <v>Richard Zokol</v>
      </c>
      <c r="D482" s="4">
        <f ca="1">IFERROR(__xludf.DUMMYFUNCTION("""COMPUTED_VALUE"""),1840397)</f>
        <v>1840397</v>
      </c>
    </row>
    <row r="483" spans="1:4" ht="12.75">
      <c r="A483">
        <f ca="1">IFERROR(__xludf.DUMMYFUNCTION("""COMPUTED_VALUE"""),482)</f>
        <v>482</v>
      </c>
      <c r="B483">
        <f ca="1">IFERROR(__xludf.DUMMYFUNCTION("""COMPUTED_VALUE"""),482)</f>
        <v>482</v>
      </c>
      <c r="C483" t="str">
        <f ca="1">IFERROR(__xludf.DUMMYFUNCTION("""COMPUTED_VALUE"""),"Mike Standly")</f>
        <v>Mike Standly</v>
      </c>
      <c r="D483" s="4">
        <f ca="1">IFERROR(__xludf.DUMMYFUNCTION("""COMPUTED_VALUE"""),1834597)</f>
        <v>1834597</v>
      </c>
    </row>
    <row r="484" spans="1:4" ht="12.75">
      <c r="A484">
        <f ca="1">IFERROR(__xludf.DUMMYFUNCTION("""COMPUTED_VALUE"""),483)</f>
        <v>483</v>
      </c>
      <c r="B484">
        <f ca="1">IFERROR(__xludf.DUMMYFUNCTION("""COMPUTED_VALUE"""),483)</f>
        <v>483</v>
      </c>
      <c r="C484" t="str">
        <f ca="1">IFERROR(__xludf.DUMMYFUNCTION("""COMPUTED_VALUE"""),"Gary Player")</f>
        <v>Gary Player</v>
      </c>
      <c r="D484" s="4">
        <f ca="1">IFERROR(__xludf.DUMMYFUNCTION("""COMPUTED_VALUE"""),1834482)</f>
        <v>1834482</v>
      </c>
    </row>
    <row r="485" spans="1:4" ht="12.75">
      <c r="A485">
        <f ca="1">IFERROR(__xludf.DUMMYFUNCTION("""COMPUTED_VALUE"""),484)</f>
        <v>484</v>
      </c>
      <c r="B485">
        <f ca="1">IFERROR(__xludf.DUMMYFUNCTION("""COMPUTED_VALUE"""),484)</f>
        <v>484</v>
      </c>
      <c r="C485" t="str">
        <f ca="1">IFERROR(__xludf.DUMMYFUNCTION("""COMPUTED_VALUE"""),"Leonard Thompson")</f>
        <v>Leonard Thompson</v>
      </c>
      <c r="D485" s="4">
        <f ca="1">IFERROR(__xludf.DUMMYFUNCTION("""COMPUTED_VALUE"""),1819028)</f>
        <v>1819028</v>
      </c>
    </row>
    <row r="486" spans="1:4" ht="12.75">
      <c r="A486">
        <f ca="1">IFERROR(__xludf.DUMMYFUNCTION("""COMPUTED_VALUE"""),485)</f>
        <v>485</v>
      </c>
      <c r="B486">
        <f ca="1">IFERROR(__xludf.DUMMYFUNCTION("""COMPUTED_VALUE"""),485)</f>
        <v>485</v>
      </c>
      <c r="C486" t="str">
        <f ca="1">IFERROR(__xludf.DUMMYFUNCTION("""COMPUTED_VALUE"""),"Mark Lye")</f>
        <v>Mark Lye</v>
      </c>
      <c r="D486" s="4">
        <f ca="1">IFERROR(__xludf.DUMMYFUNCTION("""COMPUTED_VALUE"""),1800654)</f>
        <v>1800654</v>
      </c>
    </row>
    <row r="487" spans="1:4" ht="12.75">
      <c r="A487">
        <f ca="1">IFERROR(__xludf.DUMMYFUNCTION("""COMPUTED_VALUE"""),486)</f>
        <v>486</v>
      </c>
      <c r="B487">
        <f ca="1">IFERROR(__xludf.DUMMYFUNCTION("""COMPUTED_VALUE"""),486)</f>
        <v>486</v>
      </c>
      <c r="C487" t="str">
        <f ca="1">IFERROR(__xludf.DUMMYFUNCTION("""COMPUTED_VALUE"""),"George Burns")</f>
        <v>George Burns</v>
      </c>
      <c r="D487" s="4">
        <f ca="1">IFERROR(__xludf.DUMMYFUNCTION("""COMPUTED_VALUE"""),1781090)</f>
        <v>1781090</v>
      </c>
    </row>
    <row r="488" spans="1:4" ht="12.75">
      <c r="A488">
        <f ca="1">IFERROR(__xludf.DUMMYFUNCTION("""COMPUTED_VALUE"""),487)</f>
        <v>487</v>
      </c>
      <c r="B488">
        <f ca="1">IFERROR(__xludf.DUMMYFUNCTION("""COMPUTED_VALUE"""),487)</f>
        <v>487</v>
      </c>
      <c r="C488" t="str">
        <f ca="1">IFERROR(__xludf.DUMMYFUNCTION("""COMPUTED_VALUE"""),"David Berganio, Jr.")</f>
        <v>David Berganio, Jr.</v>
      </c>
      <c r="D488" s="4">
        <f ca="1">IFERROR(__xludf.DUMMYFUNCTION("""COMPUTED_VALUE"""),1766499)</f>
        <v>1766499</v>
      </c>
    </row>
    <row r="489" spans="1:4" ht="12.75">
      <c r="A489">
        <f ca="1">IFERROR(__xludf.DUMMYFUNCTION("""COMPUTED_VALUE"""),488)</f>
        <v>488</v>
      </c>
      <c r="B489">
        <f ca="1">IFERROR(__xludf.DUMMYFUNCTION("""COMPUTED_VALUE"""),488)</f>
        <v>488</v>
      </c>
      <c r="C489" t="str">
        <f ca="1">IFERROR(__xludf.DUMMYFUNCTION("""COMPUTED_VALUE"""),"Kelly Gibson")</f>
        <v>Kelly Gibson</v>
      </c>
      <c r="D489" s="4">
        <f ca="1">IFERROR(__xludf.DUMMYFUNCTION("""COMPUTED_VALUE"""),1751957)</f>
        <v>1751957</v>
      </c>
    </row>
    <row r="490" spans="1:4" ht="12.75">
      <c r="A490">
        <f ca="1">IFERROR(__xludf.DUMMYFUNCTION("""COMPUTED_VALUE"""),489)</f>
        <v>489</v>
      </c>
      <c r="B490">
        <f ca="1">IFERROR(__xludf.DUMMYFUNCTION("""COMPUTED_VALUE"""),489)</f>
        <v>489</v>
      </c>
      <c r="C490" t="str">
        <f ca="1">IFERROR(__xludf.DUMMYFUNCTION("""COMPUTED_VALUE"""),"Cameron Davis")</f>
        <v>Cameron Davis</v>
      </c>
      <c r="D490" s="4">
        <f ca="1">IFERROR(__xludf.DUMMYFUNCTION("""COMPUTED_VALUE"""),1751729)</f>
        <v>1751729</v>
      </c>
    </row>
    <row r="491" spans="1:4" ht="12.75">
      <c r="A491">
        <f ca="1">IFERROR(__xludf.DUMMYFUNCTION("""COMPUTED_VALUE"""),490)</f>
        <v>490</v>
      </c>
      <c r="B491">
        <f ca="1">IFERROR(__xludf.DUMMYFUNCTION("""COMPUTED_VALUE"""),490)</f>
        <v>490</v>
      </c>
      <c r="C491" t="str">
        <f ca="1">IFERROR(__xludf.DUMMYFUNCTION("""COMPUTED_VALUE"""),"Morris Hatalsky")</f>
        <v>Morris Hatalsky</v>
      </c>
      <c r="D491" s="4">
        <f ca="1">IFERROR(__xludf.DUMMYFUNCTION("""COMPUTED_VALUE"""),1707280)</f>
        <v>1707280</v>
      </c>
    </row>
    <row r="492" spans="1:4" ht="12.75">
      <c r="A492">
        <f ca="1">IFERROR(__xludf.DUMMYFUNCTION("""COMPUTED_VALUE"""),491)</f>
        <v>491</v>
      </c>
      <c r="B492">
        <f ca="1">IFERROR(__xludf.DUMMYFUNCTION("""COMPUTED_VALUE"""),491)</f>
        <v>491</v>
      </c>
      <c r="C492" t="str">
        <f ca="1">IFERROR(__xludf.DUMMYFUNCTION("""COMPUTED_VALUE"""),"Bruce Fleisher")</f>
        <v>Bruce Fleisher</v>
      </c>
      <c r="D492" s="4">
        <f ca="1">IFERROR(__xludf.DUMMYFUNCTION("""COMPUTED_VALUE"""),1695111)</f>
        <v>1695111</v>
      </c>
    </row>
    <row r="493" spans="1:4" ht="12.75">
      <c r="A493">
        <f ca="1">IFERROR(__xludf.DUMMYFUNCTION("""COMPUTED_VALUE"""),492)</f>
        <v>492</v>
      </c>
      <c r="B493">
        <f ca="1">IFERROR(__xludf.DUMMYFUNCTION("""COMPUTED_VALUE"""),492)</f>
        <v>492</v>
      </c>
      <c r="C493" t="str">
        <f ca="1">IFERROR(__xludf.DUMMYFUNCTION("""COMPUTED_VALUE"""),"Guy Boros")</f>
        <v>Guy Boros</v>
      </c>
      <c r="D493" s="4">
        <f ca="1">IFERROR(__xludf.DUMMYFUNCTION("""COMPUTED_VALUE"""),1672839)</f>
        <v>1672839</v>
      </c>
    </row>
    <row r="494" spans="1:4" ht="12.75">
      <c r="A494">
        <f ca="1">IFERROR(__xludf.DUMMYFUNCTION("""COMPUTED_VALUE"""),493)</f>
        <v>493</v>
      </c>
      <c r="B494">
        <f ca="1">IFERROR(__xludf.DUMMYFUNCTION("""COMPUTED_VALUE"""),493)</f>
        <v>493</v>
      </c>
      <c r="C494" t="str">
        <f ca="1">IFERROR(__xludf.DUMMYFUNCTION("""COMPUTED_VALUE"""),"Michael Clark II")</f>
        <v>Michael Clark II</v>
      </c>
      <c r="D494" s="4">
        <f ca="1">IFERROR(__xludf.DUMMYFUNCTION("""COMPUTED_VALUE"""),1670485)</f>
        <v>1670485</v>
      </c>
    </row>
    <row r="495" spans="1:4" ht="12.75">
      <c r="A495">
        <f ca="1">IFERROR(__xludf.DUMMYFUNCTION("""COMPUTED_VALUE"""),494)</f>
        <v>494</v>
      </c>
      <c r="B495">
        <f ca="1">IFERROR(__xludf.DUMMYFUNCTION("""COMPUTED_VALUE"""),494)</f>
        <v>494</v>
      </c>
      <c r="C495" t="str">
        <f ca="1">IFERROR(__xludf.DUMMYFUNCTION("""COMPUTED_VALUE"""),"Brandon Harkins")</f>
        <v>Brandon Harkins</v>
      </c>
      <c r="D495" s="4">
        <f ca="1">IFERROR(__xludf.DUMMYFUNCTION("""COMPUTED_VALUE"""),1667435)</f>
        <v>1667435</v>
      </c>
    </row>
    <row r="496" spans="1:4" ht="12.75">
      <c r="A496">
        <f ca="1">IFERROR(__xludf.DUMMYFUNCTION("""COMPUTED_VALUE"""),495)</f>
        <v>495</v>
      </c>
      <c r="B496">
        <f ca="1">IFERROR(__xludf.DUMMYFUNCTION("""COMPUTED_VALUE"""),495)</f>
        <v>495</v>
      </c>
      <c r="C496" t="str">
        <f ca="1">IFERROR(__xludf.DUMMYFUNCTION("""COMPUTED_VALUE"""),"Wes Short, Jr.")</f>
        <v>Wes Short, Jr.</v>
      </c>
      <c r="D496" s="4">
        <f ca="1">IFERROR(__xludf.DUMMYFUNCTION("""COMPUTED_VALUE"""),1652656)</f>
        <v>1652656</v>
      </c>
    </row>
    <row r="497" spans="1:4" ht="12.75">
      <c r="A497">
        <f ca="1">IFERROR(__xludf.DUMMYFUNCTION("""COMPUTED_VALUE"""),496)</f>
        <v>496</v>
      </c>
      <c r="B497">
        <f ca="1">IFERROR(__xludf.DUMMYFUNCTION("""COMPUTED_VALUE"""),496)</f>
        <v>496</v>
      </c>
      <c r="C497" t="str">
        <f ca="1">IFERROR(__xludf.DUMMYFUNCTION("""COMPUTED_VALUE"""),"Ted Schulz")</f>
        <v>Ted Schulz</v>
      </c>
      <c r="D497" s="4">
        <f ca="1">IFERROR(__xludf.DUMMYFUNCTION("""COMPUTED_VALUE"""),1645215)</f>
        <v>1645215</v>
      </c>
    </row>
    <row r="498" spans="1:4" ht="12.75">
      <c r="A498">
        <f ca="1">IFERROR(__xludf.DUMMYFUNCTION("""COMPUTED_VALUE"""),497)</f>
        <v>497</v>
      </c>
      <c r="B498">
        <f ca="1">IFERROR(__xludf.DUMMYFUNCTION("""COMPUTED_VALUE"""),497)</f>
        <v>497</v>
      </c>
      <c r="C498" t="str">
        <f ca="1">IFERROR(__xludf.DUMMYFUNCTION("""COMPUTED_VALUE"""),"Bob Murphy")</f>
        <v>Bob Murphy</v>
      </c>
      <c r="D498" s="4">
        <f ca="1">IFERROR(__xludf.DUMMYFUNCTION("""COMPUTED_VALUE"""),1642330)</f>
        <v>1642330</v>
      </c>
    </row>
    <row r="499" spans="1:4" ht="12.75">
      <c r="A499">
        <f ca="1">IFERROR(__xludf.DUMMYFUNCTION("""COMPUTED_VALUE"""),498)</f>
        <v>498</v>
      </c>
      <c r="B499">
        <f ca="1">IFERROR(__xludf.DUMMYFUNCTION("""COMPUTED_VALUE"""),498)</f>
        <v>498</v>
      </c>
      <c r="C499" t="str">
        <f ca="1">IFERROR(__xludf.DUMMYFUNCTION("""COMPUTED_VALUE"""),"Jerry Pate")</f>
        <v>Jerry Pate</v>
      </c>
      <c r="D499" s="4">
        <f ca="1">IFERROR(__xludf.DUMMYFUNCTION("""COMPUTED_VALUE"""),1634246)</f>
        <v>1634246</v>
      </c>
    </row>
    <row r="500" spans="1:4" ht="12.75">
      <c r="A500">
        <f ca="1">IFERROR(__xludf.DUMMYFUNCTION("""COMPUTED_VALUE"""),499)</f>
        <v>499</v>
      </c>
      <c r="B500">
        <f ca="1">IFERROR(__xludf.DUMMYFUNCTION("""COMPUTED_VALUE"""),499)</f>
        <v>499</v>
      </c>
      <c r="C500" t="str">
        <f ca="1">IFERROR(__xludf.DUMMYFUNCTION("""COMPUTED_VALUE"""),"Gary Koch")</f>
        <v>Gary Koch</v>
      </c>
      <c r="D500" s="4">
        <f ca="1">IFERROR(__xludf.DUMMYFUNCTION("""COMPUTED_VALUE"""),1629482)</f>
        <v>1629482</v>
      </c>
    </row>
    <row r="501" spans="1:4" ht="12.75">
      <c r="A501">
        <f ca="1">IFERROR(__xludf.DUMMYFUNCTION("""COMPUTED_VALUE"""),500)</f>
        <v>500</v>
      </c>
      <c r="B501">
        <f ca="1">IFERROR(__xludf.DUMMYFUNCTION("""COMPUTED_VALUE"""),508)</f>
        <v>508</v>
      </c>
      <c r="C501" t="str">
        <f ca="1">IFERROR(__xludf.DUMMYFUNCTION("""COMPUTED_VALUE"""),"Maverick McNealy")</f>
        <v>Maverick McNealy</v>
      </c>
      <c r="D501" s="4">
        <f ca="1">IFERROR(__xludf.DUMMYFUNCTION("""COMPUTED_VALUE"""),1626485)</f>
        <v>1626485</v>
      </c>
    </row>
    <row r="502" spans="1:4" ht="12.75">
      <c r="A502">
        <f ca="1">IFERROR(__xludf.DUMMYFUNCTION("""COMPUTED_VALUE"""),501)</f>
        <v>501</v>
      </c>
      <c r="B502">
        <f ca="1">IFERROR(__xludf.DUMMYFUNCTION("""COMPUTED_VALUE"""),500)</f>
        <v>500</v>
      </c>
      <c r="C502" t="str">
        <f ca="1">IFERROR(__xludf.DUMMYFUNCTION("""COMPUTED_VALUE"""),"Lon Hinkle")</f>
        <v>Lon Hinkle</v>
      </c>
      <c r="D502" s="4">
        <f ca="1">IFERROR(__xludf.DUMMYFUNCTION("""COMPUTED_VALUE"""),1607691)</f>
        <v>1607691</v>
      </c>
    </row>
    <row r="503" spans="1:4" ht="12.75">
      <c r="A503">
        <f ca="1">IFERROR(__xludf.DUMMYFUNCTION("""COMPUTED_VALUE"""),502)</f>
        <v>502</v>
      </c>
      <c r="B503">
        <f ca="1">IFERROR(__xludf.DUMMYFUNCTION("""COMPUTED_VALUE"""),501)</f>
        <v>501</v>
      </c>
      <c r="C503" t="str">
        <f ca="1">IFERROR(__xludf.DUMMYFUNCTION("""COMPUTED_VALUE"""),"Kenny Knox")</f>
        <v>Kenny Knox</v>
      </c>
      <c r="D503" s="4">
        <f ca="1">IFERROR(__xludf.DUMMYFUNCTION("""COMPUTED_VALUE"""),1607180)</f>
        <v>1607180</v>
      </c>
    </row>
    <row r="504" spans="1:4" ht="12.75">
      <c r="A504">
        <f ca="1">IFERROR(__xludf.DUMMYFUNCTION("""COMPUTED_VALUE"""),503)</f>
        <v>503</v>
      </c>
      <c r="B504">
        <f ca="1">IFERROR(__xludf.DUMMYFUNCTION("""COMPUTED_VALUE"""),502)</f>
        <v>502</v>
      </c>
      <c r="C504" t="str">
        <f ca="1">IFERROR(__xludf.DUMMYFUNCTION("""COMPUTED_VALUE"""),"Jack Renner")</f>
        <v>Jack Renner</v>
      </c>
      <c r="D504" s="4">
        <f ca="1">IFERROR(__xludf.DUMMYFUNCTION("""COMPUTED_VALUE"""),1579090)</f>
        <v>1579090</v>
      </c>
    </row>
    <row r="505" spans="1:4" ht="12.75">
      <c r="A505">
        <f ca="1">IFERROR(__xludf.DUMMYFUNCTION("""COMPUTED_VALUE"""),504)</f>
        <v>504</v>
      </c>
      <c r="B505">
        <f ca="1">IFERROR(__xludf.DUMMYFUNCTION("""COMPUTED_VALUE"""),503)</f>
        <v>503</v>
      </c>
      <c r="C505" t="str">
        <f ca="1">IFERROR(__xludf.DUMMYFUNCTION("""COMPUTED_VALUE"""),"Curt Byrum")</f>
        <v>Curt Byrum</v>
      </c>
      <c r="D505" s="4">
        <f ca="1">IFERROR(__xludf.DUMMYFUNCTION("""COMPUTED_VALUE"""),1576535)</f>
        <v>1576535</v>
      </c>
    </row>
    <row r="506" spans="1:4" ht="12.75">
      <c r="A506">
        <f ca="1">IFERROR(__xludf.DUMMYFUNCTION("""COMPUTED_VALUE"""),505)</f>
        <v>505</v>
      </c>
      <c r="B506">
        <f ca="1">IFERROR(__xludf.DUMMYFUNCTION("""COMPUTED_VALUE"""),504)</f>
        <v>504</v>
      </c>
      <c r="C506" t="str">
        <f ca="1">IFERROR(__xludf.DUMMYFUNCTION("""COMPUTED_VALUE"""),"Robby Shelton")</f>
        <v>Robby Shelton</v>
      </c>
      <c r="D506" s="4">
        <f ca="1">IFERROR(__xludf.DUMMYFUNCTION("""COMPUTED_VALUE"""),1556888)</f>
        <v>1556888</v>
      </c>
    </row>
    <row r="507" spans="1:4" ht="12.75">
      <c r="A507">
        <f ca="1">IFERROR(__xludf.DUMMYFUNCTION("""COMPUTED_VALUE"""),506)</f>
        <v>506</v>
      </c>
      <c r="B507">
        <f ca="1">IFERROR(__xludf.DUMMYFUNCTION("""COMPUTED_VALUE"""),505)</f>
        <v>505</v>
      </c>
      <c r="C507" t="str">
        <f ca="1">IFERROR(__xludf.DUMMYFUNCTION("""COMPUTED_VALUE"""),"Jim Colbert")</f>
        <v>Jim Colbert</v>
      </c>
      <c r="D507" s="4">
        <f ca="1">IFERROR(__xludf.DUMMYFUNCTION("""COMPUTED_VALUE"""),1553136)</f>
        <v>1553136</v>
      </c>
    </row>
    <row r="508" spans="1:4" ht="12.75">
      <c r="A508">
        <f ca="1">IFERROR(__xludf.DUMMYFUNCTION("""COMPUTED_VALUE"""),507)</f>
        <v>507</v>
      </c>
      <c r="B508">
        <f ca="1">IFERROR(__xludf.DUMMYFUNCTION("""COMPUTED_VALUE"""),506)</f>
        <v>506</v>
      </c>
      <c r="C508" t="str">
        <f ca="1">IFERROR(__xludf.DUMMYFUNCTION("""COMPUTED_VALUE"""),"Bob Eastwood")</f>
        <v>Bob Eastwood</v>
      </c>
      <c r="D508" s="4">
        <f ca="1">IFERROR(__xludf.DUMMYFUNCTION("""COMPUTED_VALUE"""),1546106)</f>
        <v>1546106</v>
      </c>
    </row>
    <row r="509" spans="1:4" ht="12.75">
      <c r="A509">
        <f ca="1">IFERROR(__xludf.DUMMYFUNCTION("""COMPUTED_VALUE"""),508)</f>
        <v>508</v>
      </c>
      <c r="B509">
        <f ca="1">IFERROR(__xludf.DUMMYFUNCTION("""COMPUTED_VALUE"""),507)</f>
        <v>507</v>
      </c>
      <c r="C509" t="str">
        <f ca="1">IFERROR(__xludf.DUMMYFUNCTION("""COMPUTED_VALUE"""),"Keith Fergus")</f>
        <v>Keith Fergus</v>
      </c>
      <c r="D509" s="4">
        <f ca="1">IFERROR(__xludf.DUMMYFUNCTION("""COMPUTED_VALUE"""),1546009)</f>
        <v>1546009</v>
      </c>
    </row>
    <row r="510" spans="1:4" ht="12.75">
      <c r="A510">
        <f ca="1">IFERROR(__xludf.DUMMYFUNCTION("""COMPUTED_VALUE"""),509)</f>
        <v>509</v>
      </c>
      <c r="B510">
        <f ca="1">IFERROR(__xludf.DUMMYFUNCTION("""COMPUTED_VALUE"""),509)</f>
        <v>509</v>
      </c>
      <c r="C510" t="str">
        <f ca="1">IFERROR(__xludf.DUMMYFUNCTION("""COMPUTED_VALUE"""),"Roger Sloan")</f>
        <v>Roger Sloan</v>
      </c>
      <c r="D510" s="4">
        <f ca="1">IFERROR(__xludf.DUMMYFUNCTION("""COMPUTED_VALUE"""),1541531)</f>
        <v>1541531</v>
      </c>
    </row>
    <row r="511" spans="1:4" ht="12.75">
      <c r="A511">
        <f ca="1">IFERROR(__xludf.DUMMYFUNCTION("""COMPUTED_VALUE"""),510)</f>
        <v>510</v>
      </c>
      <c r="B511">
        <f ca="1">IFERROR(__xludf.DUMMYFUNCTION("""COMPUTED_VALUE"""),510)</f>
        <v>510</v>
      </c>
      <c r="C511" t="str">
        <f ca="1">IFERROR(__xludf.DUMMYFUNCTION("""COMPUTED_VALUE"""),"Rob Oppenheim")</f>
        <v>Rob Oppenheim</v>
      </c>
      <c r="D511" s="4">
        <f ca="1">IFERROR(__xludf.DUMMYFUNCTION("""COMPUTED_VALUE"""),1537418)</f>
        <v>1537418</v>
      </c>
    </row>
    <row r="512" spans="1:4" ht="12.75">
      <c r="A512">
        <f ca="1">IFERROR(__xludf.DUMMYFUNCTION("""COMPUTED_VALUE"""),511)</f>
        <v>511</v>
      </c>
      <c r="B512">
        <f ca="1">IFERROR(__xludf.DUMMYFUNCTION("""COMPUTED_VALUE"""),511)</f>
        <v>511</v>
      </c>
      <c r="C512" t="str">
        <f ca="1">IFERROR(__xludf.DUMMYFUNCTION("""COMPUTED_VALUE"""),"Derek Lamely")</f>
        <v>Derek Lamely</v>
      </c>
      <c r="D512" s="4">
        <f ca="1">IFERROR(__xludf.DUMMYFUNCTION("""COMPUTED_VALUE"""),1528267)</f>
        <v>1528267</v>
      </c>
    </row>
    <row r="513" spans="1:4" ht="12.75">
      <c r="A513">
        <f ca="1">IFERROR(__xludf.DUMMYFUNCTION("""COMPUTED_VALUE"""),512)</f>
        <v>512</v>
      </c>
      <c r="B513">
        <f ca="1">IFERROR(__xludf.DUMMYFUNCTION("""COMPUTED_VALUE"""),512)</f>
        <v>512</v>
      </c>
      <c r="C513" t="str">
        <f ca="1">IFERROR(__xludf.DUMMYFUNCTION("""COMPUTED_VALUE"""),"Buddy Gardner")</f>
        <v>Buddy Gardner</v>
      </c>
      <c r="D513" s="4">
        <f ca="1">IFERROR(__xludf.DUMMYFUNCTION("""COMPUTED_VALUE"""),1491943)</f>
        <v>1491943</v>
      </c>
    </row>
    <row r="514" spans="1:4" ht="12.75">
      <c r="A514">
        <f ca="1">IFERROR(__xludf.DUMMYFUNCTION("""COMPUTED_VALUE"""),513)</f>
        <v>513</v>
      </c>
      <c r="B514">
        <f ca="1">IFERROR(__xludf.DUMMYFUNCTION("""COMPUTED_VALUE"""),513)</f>
        <v>513</v>
      </c>
      <c r="C514" t="str">
        <f ca="1">IFERROR(__xludf.DUMMYFUNCTION("""COMPUTED_VALUE"""),"Eddie Pepperell")</f>
        <v>Eddie Pepperell</v>
      </c>
      <c r="D514" s="4">
        <f ca="1">IFERROR(__xludf.DUMMYFUNCTION("""COMPUTED_VALUE"""),1424039)</f>
        <v>1424039</v>
      </c>
    </row>
    <row r="515" spans="1:4" ht="12.75">
      <c r="A515">
        <f ca="1">IFERROR(__xludf.DUMMYFUNCTION("""COMPUTED_VALUE"""),514)</f>
        <v>514</v>
      </c>
      <c r="B515">
        <f ca="1">IFERROR(__xludf.DUMMYFUNCTION("""COMPUTED_VALUE"""),514)</f>
        <v>514</v>
      </c>
      <c r="C515" t="str">
        <f ca="1">IFERROR(__xludf.DUMMYFUNCTION("""COMPUTED_VALUE"""),"Bobby Clampett")</f>
        <v>Bobby Clampett</v>
      </c>
      <c r="D515" s="4">
        <f ca="1">IFERROR(__xludf.DUMMYFUNCTION("""COMPUTED_VALUE"""),1423000)</f>
        <v>1423000</v>
      </c>
    </row>
    <row r="516" spans="1:4" ht="12.75">
      <c r="A516">
        <f ca="1">IFERROR(__xludf.DUMMYFUNCTION("""COMPUTED_VALUE"""),515)</f>
        <v>515</v>
      </c>
      <c r="B516">
        <f ca="1">IFERROR(__xludf.DUMMYFUNCTION("""COMPUTED_VALUE"""),515)</f>
        <v>515</v>
      </c>
      <c r="C516" t="str">
        <f ca="1">IFERROR(__xludf.DUMMYFUNCTION("""COMPUTED_VALUE"""),"Brandon Hagy")</f>
        <v>Brandon Hagy</v>
      </c>
      <c r="D516" s="4">
        <f ca="1">IFERROR(__xludf.DUMMYFUNCTION("""COMPUTED_VALUE"""),1417987)</f>
        <v>1417987</v>
      </c>
    </row>
    <row r="517" spans="1:4" ht="12.75">
      <c r="A517">
        <f ca="1">IFERROR(__xludf.DUMMYFUNCTION("""COMPUTED_VALUE"""),516)</f>
        <v>516</v>
      </c>
      <c r="B517">
        <f ca="1">IFERROR(__xludf.DUMMYFUNCTION("""COMPUTED_VALUE"""),516)</f>
        <v>516</v>
      </c>
      <c r="C517" t="str">
        <f ca="1">IFERROR(__xludf.DUMMYFUNCTION("""COMPUTED_VALUE"""),"Billy Kratzert")</f>
        <v>Billy Kratzert</v>
      </c>
      <c r="D517" s="4">
        <f ca="1">IFERROR(__xludf.DUMMYFUNCTION("""COMPUTED_VALUE"""),1396819)</f>
        <v>1396819</v>
      </c>
    </row>
    <row r="518" spans="1:4" ht="12.75">
      <c r="A518">
        <f ca="1">IFERROR(__xludf.DUMMYFUNCTION("""COMPUTED_VALUE"""),517)</f>
        <v>517</v>
      </c>
      <c r="B518">
        <f ca="1">IFERROR(__xludf.DUMMYFUNCTION("""COMPUTED_VALUE"""),517)</f>
        <v>517</v>
      </c>
      <c r="C518" t="str">
        <f ca="1">IFERROR(__xludf.DUMMYFUNCTION("""COMPUTED_VALUE"""),"Bill Rogers")</f>
        <v>Bill Rogers</v>
      </c>
      <c r="D518" s="4">
        <f ca="1">IFERROR(__xludf.DUMMYFUNCTION("""COMPUTED_VALUE"""),1384710)</f>
        <v>1384710</v>
      </c>
    </row>
    <row r="519" spans="1:4" ht="12.75">
      <c r="A519">
        <f ca="1">IFERROR(__xludf.DUMMYFUNCTION("""COMPUTED_VALUE"""),518)</f>
        <v>518</v>
      </c>
      <c r="B519">
        <f ca="1">IFERROR(__xludf.DUMMYFUNCTION("""COMPUTED_VALUE"""),518)</f>
        <v>518</v>
      </c>
      <c r="C519" t="str">
        <f ca="1">IFERROR(__xludf.DUMMYFUNCTION("""COMPUTED_VALUE"""),"Bruce Crampton")</f>
        <v>Bruce Crampton</v>
      </c>
      <c r="D519" s="4">
        <f ca="1">IFERROR(__xludf.DUMMYFUNCTION("""COMPUTED_VALUE"""),1376193)</f>
        <v>1376193</v>
      </c>
    </row>
    <row r="520" spans="1:4" ht="12.75">
      <c r="A520">
        <f ca="1">IFERROR(__xludf.DUMMYFUNCTION("""COMPUTED_VALUE"""),519)</f>
        <v>519</v>
      </c>
      <c r="B520">
        <f ca="1">IFERROR(__xludf.DUMMYFUNCTION("""COMPUTED_VALUE"""),519)</f>
        <v>519</v>
      </c>
      <c r="C520" t="str">
        <f ca="1">IFERROR(__xludf.DUMMYFUNCTION("""COMPUTED_VALUE"""),"Haotong Li")</f>
        <v>Haotong Li</v>
      </c>
      <c r="D520" s="4">
        <f ca="1">IFERROR(__xludf.DUMMYFUNCTION("""COMPUTED_VALUE"""),1366434)</f>
        <v>1366434</v>
      </c>
    </row>
    <row r="521" spans="1:4" ht="12.75">
      <c r="A521">
        <f ca="1">IFERROR(__xludf.DUMMYFUNCTION("""COMPUTED_VALUE"""),520)</f>
        <v>520</v>
      </c>
      <c r="B521">
        <f ca="1">IFERROR(__xludf.DUMMYFUNCTION("""COMPUTED_VALUE"""),520)</f>
        <v>520</v>
      </c>
      <c r="C521" t="str">
        <f ca="1">IFERROR(__xludf.DUMMYFUNCTION("""COMPUTED_VALUE"""),"Andy North")</f>
        <v>Andy North</v>
      </c>
      <c r="D521" s="4">
        <f ca="1">IFERROR(__xludf.DUMMYFUNCTION("""COMPUTED_VALUE"""),1365530)</f>
        <v>1365530</v>
      </c>
    </row>
    <row r="522" spans="1:4" ht="12.75">
      <c r="A522">
        <f ca="1">IFERROR(__xludf.DUMMYFUNCTION("""COMPUTED_VALUE"""),521)</f>
        <v>521</v>
      </c>
      <c r="B522">
        <f ca="1">IFERROR(__xludf.DUMMYFUNCTION("""COMPUTED_VALUE"""),521)</f>
        <v>521</v>
      </c>
      <c r="C522" t="str">
        <f ca="1">IFERROR(__xludf.DUMMYFUNCTION("""COMPUTED_VALUE"""),"Scott Hend")</f>
        <v>Scott Hend</v>
      </c>
      <c r="D522" s="4">
        <f ca="1">IFERROR(__xludf.DUMMYFUNCTION("""COMPUTED_VALUE"""),1344228)</f>
        <v>1344228</v>
      </c>
    </row>
    <row r="523" spans="1:4" ht="12.75">
      <c r="A523">
        <f ca="1">IFERROR(__xludf.DUMMYFUNCTION("""COMPUTED_VALUE"""),522)</f>
        <v>522</v>
      </c>
      <c r="B523">
        <f ca="1">IFERROR(__xludf.DUMMYFUNCTION("""COMPUTED_VALUE"""),522)</f>
        <v>522</v>
      </c>
      <c r="C523" t="str">
        <f ca="1">IFERROR(__xludf.DUMMYFUNCTION("""COMPUTED_VALUE"""),"Ed Dougherty")</f>
        <v>Ed Dougherty</v>
      </c>
      <c r="D523" s="4">
        <f ca="1">IFERROR(__xludf.DUMMYFUNCTION("""COMPUTED_VALUE"""),1323769)</f>
        <v>1323769</v>
      </c>
    </row>
    <row r="524" spans="1:4" ht="12.75">
      <c r="A524">
        <f ca="1">IFERROR(__xludf.DUMMYFUNCTION("""COMPUTED_VALUE"""),523)</f>
        <v>523</v>
      </c>
      <c r="B524">
        <f ca="1">IFERROR(__xludf.DUMMYFUNCTION("""COMPUTED_VALUE"""),523)</f>
        <v>523</v>
      </c>
      <c r="C524" t="str">
        <f ca="1">IFERROR(__xludf.DUMMYFUNCTION("""COMPUTED_VALUE"""),"John Morse")</f>
        <v>John Morse</v>
      </c>
      <c r="D524" s="4">
        <f ca="1">IFERROR(__xludf.DUMMYFUNCTION("""COMPUTED_VALUE"""),1311273)</f>
        <v>1311273</v>
      </c>
    </row>
    <row r="525" spans="1:4" ht="12.75">
      <c r="A525">
        <f ca="1">IFERROR(__xludf.DUMMYFUNCTION("""COMPUTED_VALUE"""),524)</f>
        <v>524</v>
      </c>
      <c r="B525">
        <f ca="1">IFERROR(__xludf.DUMMYFUNCTION("""COMPUTED_VALUE"""),524)</f>
        <v>524</v>
      </c>
      <c r="C525" t="str">
        <f ca="1">IFERROR(__xludf.DUMMYFUNCTION("""COMPUTED_VALUE"""),"Tom Sieckmann")</f>
        <v>Tom Sieckmann</v>
      </c>
      <c r="D525" s="4">
        <f ca="1">IFERROR(__xludf.DUMMYFUNCTION("""COMPUTED_VALUE"""),1310647)</f>
        <v>1310647</v>
      </c>
    </row>
    <row r="526" spans="1:4" ht="12.75">
      <c r="A526">
        <f ca="1">IFERROR(__xludf.DUMMYFUNCTION("""COMPUTED_VALUE"""),525)</f>
        <v>525</v>
      </c>
      <c r="B526">
        <f ca="1">IFERROR(__xludf.DUMMYFUNCTION("""COMPUTED_VALUE"""),525)</f>
        <v>525</v>
      </c>
      <c r="C526" t="str">
        <f ca="1">IFERROR(__xludf.DUMMYFUNCTION("""COMPUTED_VALUE"""),"Dave Stockton")</f>
        <v>Dave Stockton</v>
      </c>
      <c r="D526" s="4">
        <f ca="1">IFERROR(__xludf.DUMMYFUNCTION("""COMPUTED_VALUE"""),1303281)</f>
        <v>1303281</v>
      </c>
    </row>
    <row r="527" spans="1:4" ht="12.75">
      <c r="A527">
        <f ca="1">IFERROR(__xludf.DUMMYFUNCTION("""COMPUTED_VALUE"""),526)</f>
        <v>526</v>
      </c>
      <c r="B527">
        <f ca="1">IFERROR(__xludf.DUMMYFUNCTION("""COMPUTED_VALUE"""),526)</f>
        <v>526</v>
      </c>
      <c r="C527" t="str">
        <f ca="1">IFERROR(__xludf.DUMMYFUNCTION("""COMPUTED_VALUE"""),"Denis Watson")</f>
        <v>Denis Watson</v>
      </c>
      <c r="D527" s="4">
        <f ca="1">IFERROR(__xludf.DUMMYFUNCTION("""COMPUTED_VALUE"""),1288621)</f>
        <v>1288621</v>
      </c>
    </row>
    <row r="528" spans="1:4" ht="12.75">
      <c r="A528">
        <f ca="1">IFERROR(__xludf.DUMMYFUNCTION("""COMPUTED_VALUE"""),527)</f>
        <v>527</v>
      </c>
      <c r="B528">
        <f ca="1">IFERROR(__xludf.DUMMYFUNCTION("""COMPUTED_VALUE"""),527)</f>
        <v>527</v>
      </c>
      <c r="C528" t="str">
        <f ca="1">IFERROR(__xludf.DUMMYFUNCTION("""COMPUTED_VALUE"""),"Al Geiberger")</f>
        <v>Al Geiberger</v>
      </c>
      <c r="D528" s="4">
        <f ca="1">IFERROR(__xludf.DUMMYFUNCTION("""COMPUTED_VALUE"""),1265188)</f>
        <v>1265188</v>
      </c>
    </row>
    <row r="529" spans="1:4" ht="12.75">
      <c r="A529">
        <f ca="1">IFERROR(__xludf.DUMMYFUNCTION("""COMPUTED_VALUE"""),528)</f>
        <v>528</v>
      </c>
      <c r="B529">
        <f ca="1">IFERROR(__xludf.DUMMYFUNCTION("""COMPUTED_VALUE"""),528)</f>
        <v>528</v>
      </c>
      <c r="C529" t="str">
        <f ca="1">IFERROR(__xludf.DUMMYFUNCTION("""COMPUTED_VALUE"""),"Mark Anderson")</f>
        <v>Mark Anderson</v>
      </c>
      <c r="D529" s="4">
        <f ca="1">IFERROR(__xludf.DUMMYFUNCTION("""COMPUTED_VALUE"""),1249146)</f>
        <v>1249146</v>
      </c>
    </row>
    <row r="530" spans="1:4" ht="12.75">
      <c r="A530">
        <f ca="1">IFERROR(__xludf.DUMMYFUNCTION("""COMPUTED_VALUE"""),529)</f>
        <v>529</v>
      </c>
      <c r="B530">
        <f ca="1">IFERROR(__xludf.DUMMYFUNCTION("""COMPUTED_VALUE"""),529)</f>
        <v>529</v>
      </c>
      <c r="C530" t="str">
        <f ca="1">IFERROR(__xludf.DUMMYFUNCTION("""COMPUTED_VALUE"""),"Hank Lebioda")</f>
        <v>Hank Lebioda</v>
      </c>
      <c r="D530" s="4">
        <f ca="1">IFERROR(__xludf.DUMMYFUNCTION("""COMPUTED_VALUE"""),1216412)</f>
        <v>1216412</v>
      </c>
    </row>
    <row r="531" spans="1:4" ht="12.75">
      <c r="A531">
        <f ca="1">IFERROR(__xludf.DUMMYFUNCTION("""COMPUTED_VALUE"""),530)</f>
        <v>530</v>
      </c>
      <c r="B531">
        <f ca="1">IFERROR(__xludf.DUMMYFUNCTION("""COMPUTED_VALUE"""),530)</f>
        <v>530</v>
      </c>
      <c r="C531" t="str">
        <f ca="1">IFERROR(__xludf.DUMMYFUNCTION("""COMPUTED_VALUE"""),"Danny Edwards")</f>
        <v>Danny Edwards</v>
      </c>
      <c r="D531" s="4">
        <f ca="1">IFERROR(__xludf.DUMMYFUNCTION("""COMPUTED_VALUE"""),1212304)</f>
        <v>1212304</v>
      </c>
    </row>
    <row r="532" spans="1:4" ht="12.75">
      <c r="A532">
        <f ca="1">IFERROR(__xludf.DUMMYFUNCTION("""COMPUTED_VALUE"""),531)</f>
        <v>531</v>
      </c>
      <c r="B532">
        <f ca="1">IFERROR(__xludf.DUMMYFUNCTION("""COMPUTED_VALUE"""),531)</f>
        <v>531</v>
      </c>
      <c r="C532" t="str">
        <f ca="1">IFERROR(__xludf.DUMMYFUNCTION("""COMPUTED_VALUE"""),"Bernd Wiesberger")</f>
        <v>Bernd Wiesberger</v>
      </c>
      <c r="D532" s="4">
        <f ca="1">IFERROR(__xludf.DUMMYFUNCTION("""COMPUTED_VALUE"""),1209633)</f>
        <v>1209633</v>
      </c>
    </row>
    <row r="533" spans="1:4" ht="12.75">
      <c r="A533">
        <f ca="1">IFERROR(__xludf.DUMMYFUNCTION("""COMPUTED_VALUE"""),532)</f>
        <v>532</v>
      </c>
      <c r="B533">
        <f ca="1">IFERROR(__xludf.DUMMYFUNCTION("""COMPUTED_VALUE"""),532)</f>
        <v>532</v>
      </c>
      <c r="C533" t="str">
        <f ca="1">IFERROR(__xludf.DUMMYFUNCTION("""COMPUTED_VALUE"""),"Charles Coody")</f>
        <v>Charles Coody</v>
      </c>
      <c r="D533" s="4">
        <f ca="1">IFERROR(__xludf.DUMMYFUNCTION("""COMPUTED_VALUE"""),1187762)</f>
        <v>1187762</v>
      </c>
    </row>
    <row r="534" spans="1:4" ht="12.75">
      <c r="A534">
        <f ca="1">IFERROR(__xludf.DUMMYFUNCTION("""COMPUTED_VALUE"""),533)</f>
        <v>533</v>
      </c>
      <c r="B534">
        <f ca="1">IFERROR(__xludf.DUMMYFUNCTION("""COMPUTED_VALUE"""),533)</f>
        <v>533</v>
      </c>
      <c r="C534" t="str">
        <f ca="1">IFERROR(__xludf.DUMMYFUNCTION("""COMPUTED_VALUE"""),"Dave Eichelberger")</f>
        <v>Dave Eichelberger</v>
      </c>
      <c r="D534" s="4">
        <f ca="1">IFERROR(__xludf.DUMMYFUNCTION("""COMPUTED_VALUE"""),1186505)</f>
        <v>1186505</v>
      </c>
    </row>
    <row r="535" spans="1:4" ht="12.75">
      <c r="A535">
        <f ca="1">IFERROR(__xludf.DUMMYFUNCTION("""COMPUTED_VALUE"""),534)</f>
        <v>534</v>
      </c>
      <c r="B535">
        <f ca="1">IFERROR(__xludf.DUMMYFUNCTION("""COMPUTED_VALUE"""),534)</f>
        <v>534</v>
      </c>
      <c r="C535" t="str">
        <f ca="1">IFERROR(__xludf.DUMMYFUNCTION("""COMPUTED_VALUE"""),"Tony Sills")</f>
        <v>Tony Sills</v>
      </c>
      <c r="D535" s="4">
        <f ca="1">IFERROR(__xludf.DUMMYFUNCTION("""COMPUTED_VALUE"""),1173361)</f>
        <v>1173361</v>
      </c>
    </row>
    <row r="536" spans="1:4" ht="12.75">
      <c r="A536">
        <f ca="1">IFERROR(__xludf.DUMMYFUNCTION("""COMPUTED_VALUE"""),535)</f>
        <v>535</v>
      </c>
      <c r="B536">
        <f ca="1">IFERROR(__xludf.DUMMYFUNCTION("""COMPUTED_VALUE"""),535)</f>
        <v>535</v>
      </c>
      <c r="C536" t="str">
        <f ca="1">IFERROR(__xludf.DUMMYFUNCTION("""COMPUTED_VALUE"""),"Don January")</f>
        <v>Don January</v>
      </c>
      <c r="D536" s="4">
        <f ca="1">IFERROR(__xludf.DUMMYFUNCTION("""COMPUTED_VALUE"""),1140925)</f>
        <v>1140925</v>
      </c>
    </row>
    <row r="537" spans="1:4" ht="12.75">
      <c r="A537">
        <f ca="1">IFERROR(__xludf.DUMMYFUNCTION("""COMPUTED_VALUE"""),536)</f>
        <v>536</v>
      </c>
      <c r="B537">
        <f ca="1">IFERROR(__xludf.DUMMYFUNCTION("""COMPUTED_VALUE"""),536)</f>
        <v>536</v>
      </c>
      <c r="C537" t="str">
        <f ca="1">IFERROR(__xludf.DUMMYFUNCTION("""COMPUTED_VALUE"""),"Stephan Jaeger")</f>
        <v>Stephan Jaeger</v>
      </c>
      <c r="D537" s="4">
        <f ca="1">IFERROR(__xludf.DUMMYFUNCTION("""COMPUTED_VALUE"""),1133730)</f>
        <v>1133730</v>
      </c>
    </row>
    <row r="538" spans="1:4" ht="12.75">
      <c r="A538">
        <f ca="1">IFERROR(__xludf.DUMMYFUNCTION("""COMPUTED_VALUE"""),537)</f>
        <v>537</v>
      </c>
      <c r="B538">
        <f ca="1">IFERROR(__xludf.DUMMYFUNCTION("""COMPUTED_VALUE"""),537)</f>
        <v>537</v>
      </c>
      <c r="C538" t="str">
        <f ca="1">IFERROR(__xludf.DUMMYFUNCTION("""COMPUTED_VALUE"""),"Dick Mast")</f>
        <v>Dick Mast</v>
      </c>
      <c r="D538" s="4">
        <f ca="1">IFERROR(__xludf.DUMMYFUNCTION("""COMPUTED_VALUE"""),1123038)</f>
        <v>1123038</v>
      </c>
    </row>
    <row r="539" spans="1:4" ht="12.75">
      <c r="A539">
        <f ca="1">IFERROR(__xludf.DUMMYFUNCTION("""COMPUTED_VALUE"""),538)</f>
        <v>538</v>
      </c>
      <c r="B539">
        <f ca="1">IFERROR(__xludf.DUMMYFUNCTION("""COMPUTED_VALUE"""),538)</f>
        <v>538</v>
      </c>
      <c r="C539" t="str">
        <f ca="1">IFERROR(__xludf.DUMMYFUNCTION("""COMPUTED_VALUE"""),"Tom Lewis")</f>
        <v>Tom Lewis</v>
      </c>
      <c r="D539" s="4">
        <f ca="1">IFERROR(__xludf.DUMMYFUNCTION("""COMPUTED_VALUE"""),1119606)</f>
        <v>1119606</v>
      </c>
    </row>
    <row r="540" spans="1:4" ht="12.75">
      <c r="A540">
        <f ca="1">IFERROR(__xludf.DUMMYFUNCTION("""COMPUTED_VALUE"""),539)</f>
        <v>539</v>
      </c>
      <c r="B540">
        <f ca="1">IFERROR(__xludf.DUMMYFUNCTION("""COMPUTED_VALUE"""),539)</f>
        <v>539</v>
      </c>
      <c r="C540" t="str">
        <f ca="1">IFERROR(__xludf.DUMMYFUNCTION("""COMPUTED_VALUE"""),"Ben Silverman")</f>
        <v>Ben Silverman</v>
      </c>
      <c r="D540" s="4">
        <f ca="1">IFERROR(__xludf.DUMMYFUNCTION("""COMPUTED_VALUE"""),1091637)</f>
        <v>1091637</v>
      </c>
    </row>
    <row r="541" spans="1:4" ht="12.75">
      <c r="A541">
        <f ca="1">IFERROR(__xludf.DUMMYFUNCTION("""COMPUTED_VALUE"""),540)</f>
        <v>540</v>
      </c>
      <c r="B541">
        <f ca="1">IFERROR(__xludf.DUMMYFUNCTION("""COMPUTED_VALUE"""),540)</f>
        <v>540</v>
      </c>
      <c r="C541" t="str">
        <f ca="1">IFERROR(__xludf.DUMMYFUNCTION("""COMPUTED_VALUE"""),"Zack Sucher")</f>
        <v>Zack Sucher</v>
      </c>
      <c r="D541" s="4">
        <f ca="1">IFERROR(__xludf.DUMMYFUNCTION("""COMPUTED_VALUE"""),1090098)</f>
        <v>1090098</v>
      </c>
    </row>
    <row r="542" spans="1:4" ht="12.75">
      <c r="A542">
        <f ca="1">IFERROR(__xludf.DUMMYFUNCTION("""COMPUTED_VALUE"""),541)</f>
        <v>541</v>
      </c>
      <c r="B542">
        <f ca="1">IFERROR(__xludf.DUMMYFUNCTION("""COMPUTED_VALUE"""),541)</f>
        <v>541</v>
      </c>
      <c r="C542" t="str">
        <f ca="1">IFERROR(__xludf.DUMMYFUNCTION("""COMPUTED_VALUE"""),"John Inman")</f>
        <v>John Inman</v>
      </c>
      <c r="D542" s="4">
        <f ca="1">IFERROR(__xludf.DUMMYFUNCTION("""COMPUTED_VALUE"""),1087947)</f>
        <v>1087947</v>
      </c>
    </row>
    <row r="543" spans="1:4" ht="12.75">
      <c r="A543">
        <f ca="1">IFERROR(__xludf.DUMMYFUNCTION("""COMPUTED_VALUE"""),542)</f>
        <v>542</v>
      </c>
      <c r="B543">
        <f ca="1">IFERROR(__xludf.DUMMYFUNCTION("""COMPUTED_VALUE"""),543)</f>
        <v>543</v>
      </c>
      <c r="C543" t="str">
        <f ca="1">IFERROR(__xludf.DUMMYFUNCTION("""COMPUTED_VALUE"""),"Scott Harrington")</f>
        <v>Scott Harrington</v>
      </c>
      <c r="D543" s="4">
        <f ca="1">IFERROR(__xludf.DUMMYFUNCTION("""COMPUTED_VALUE"""),1086238)</f>
        <v>1086238</v>
      </c>
    </row>
    <row r="544" spans="1:4" ht="12.75">
      <c r="A544">
        <f ca="1">IFERROR(__xludf.DUMMYFUNCTION("""COMPUTED_VALUE"""),543)</f>
        <v>543</v>
      </c>
      <c r="B544">
        <f ca="1">IFERROR(__xludf.DUMMYFUNCTION("""COMPUTED_VALUE"""),542)</f>
        <v>542</v>
      </c>
      <c r="C544" t="str">
        <f ca="1">IFERROR(__xludf.DUMMYFUNCTION("""COMPUTED_VALUE"""),"Matthew NeSmith")</f>
        <v>Matthew NeSmith</v>
      </c>
      <c r="D544" s="4">
        <f ca="1">IFERROR(__xludf.DUMMYFUNCTION("""COMPUTED_VALUE"""),1077593)</f>
        <v>1077593</v>
      </c>
    </row>
    <row r="545" spans="1:4" ht="12.75">
      <c r="A545">
        <f ca="1">IFERROR(__xludf.DUMMYFUNCTION("""COMPUTED_VALUE"""),544)</f>
        <v>544</v>
      </c>
      <c r="B545">
        <f ca="1">IFERROR(__xludf.DUMMYFUNCTION("""COMPUTED_VALUE"""),544)</f>
        <v>544</v>
      </c>
      <c r="C545" t="str">
        <f ca="1">IFERROR(__xludf.DUMMYFUNCTION("""COMPUTED_VALUE"""),"Gibby Gilbert")</f>
        <v>Gibby Gilbert</v>
      </c>
      <c r="D545" s="4">
        <f ca="1">IFERROR(__xludf.DUMMYFUNCTION("""COMPUTED_VALUE"""),1056506)</f>
        <v>1056506</v>
      </c>
    </row>
    <row r="546" spans="1:4" ht="12.75">
      <c r="A546">
        <f ca="1">IFERROR(__xludf.DUMMYFUNCTION("""COMPUTED_VALUE"""),545)</f>
        <v>545</v>
      </c>
      <c r="B546">
        <f ca="1">IFERROR(__xludf.DUMMYFUNCTION("""COMPUTED_VALUE"""),545)</f>
        <v>545</v>
      </c>
      <c r="C546" t="str">
        <f ca="1">IFERROR(__xludf.DUMMYFUNCTION("""COMPUTED_VALUE"""),"Mac O'Grady")</f>
        <v>Mac O'Grady</v>
      </c>
      <c r="D546" s="4">
        <f ca="1">IFERROR(__xludf.DUMMYFUNCTION("""COMPUTED_VALUE"""),1050779)</f>
        <v>1050779</v>
      </c>
    </row>
    <row r="547" spans="1:4" ht="12.75">
      <c r="A547">
        <f ca="1">IFERROR(__xludf.DUMMYFUNCTION("""COMPUTED_VALUE"""),546)</f>
        <v>546</v>
      </c>
      <c r="B547">
        <f ca="1">IFERROR(__xludf.DUMMYFUNCTION("""COMPUTED_VALUE"""),546)</f>
        <v>546</v>
      </c>
      <c r="C547" t="str">
        <f ca="1">IFERROR(__xludf.DUMMYFUNCTION("""COMPUTED_VALUE"""),"Rex Caldwell")</f>
        <v>Rex Caldwell</v>
      </c>
      <c r="D547" s="4">
        <f ca="1">IFERROR(__xludf.DUMMYFUNCTION("""COMPUTED_VALUE"""),1043403)</f>
        <v>1043403</v>
      </c>
    </row>
    <row r="548" spans="1:4" ht="12.75">
      <c r="A548">
        <f ca="1">IFERROR(__xludf.DUMMYFUNCTION("""COMPUTED_VALUE"""),547)</f>
        <v>547</v>
      </c>
      <c r="B548">
        <f ca="1">IFERROR(__xludf.DUMMYFUNCTION("""COMPUTED_VALUE"""),547)</f>
        <v>547</v>
      </c>
      <c r="C548" t="str">
        <f ca="1">IFERROR(__xludf.DUMMYFUNCTION("""COMPUTED_VALUE"""),"Chi Chi Rodriguez")</f>
        <v>Chi Chi Rodriguez</v>
      </c>
      <c r="D548" s="4">
        <f ca="1">IFERROR(__xludf.DUMMYFUNCTION("""COMPUTED_VALUE"""),1037106)</f>
        <v>1037106</v>
      </c>
    </row>
    <row r="549" spans="1:4" ht="12.75">
      <c r="A549">
        <f ca="1">IFERROR(__xludf.DUMMYFUNCTION("""COMPUTED_VALUE"""),548)</f>
        <v>548</v>
      </c>
      <c r="B549">
        <f ca="1">IFERROR(__xludf.DUMMYFUNCTION("""COMPUTED_VALUE"""),548)</f>
        <v>548</v>
      </c>
      <c r="C549" t="str">
        <f ca="1">IFERROR(__xludf.DUMMYFUNCTION("""COMPUTED_VALUE"""),"Lee Elder")</f>
        <v>Lee Elder</v>
      </c>
      <c r="D549" s="4">
        <f ca="1">IFERROR(__xludf.DUMMYFUNCTION("""COMPUTED_VALUE"""),1020514)</f>
        <v>1020514</v>
      </c>
    </row>
    <row r="550" spans="1:4" ht="12.75">
      <c r="A550">
        <f ca="1">IFERROR(__xludf.DUMMYFUNCTION("""COMPUTED_VALUE"""),549)</f>
        <v>549</v>
      </c>
      <c r="B550">
        <f ca="1">IFERROR(__xludf.DUMMYFUNCTION("""COMPUTED_VALUE"""),549)</f>
        <v>549</v>
      </c>
      <c r="C550" t="str">
        <f ca="1">IFERROR(__xludf.DUMMYFUNCTION("""COMPUTED_VALUE"""),"Tyler McCumber")</f>
        <v>Tyler McCumber</v>
      </c>
      <c r="D550" s="4">
        <f ca="1">IFERROR(__xludf.DUMMYFUNCTION("""COMPUTED_VALUE"""),1007330)</f>
        <v>1007330</v>
      </c>
    </row>
    <row r="551" spans="1:4" ht="12.75">
      <c r="A551">
        <f ca="1">IFERROR(__xludf.DUMMYFUNCTION("""COMPUTED_VALUE"""),550)</f>
        <v>550</v>
      </c>
      <c r="B551">
        <f ca="1">IFERROR(__xludf.DUMMYFUNCTION("""COMPUTED_VALUE"""),552)</f>
        <v>552</v>
      </c>
      <c r="C551" t="str">
        <f ca="1">IFERROR(__xludf.DUMMYFUNCTION("""COMPUTED_VALUE"""),"Kramer Hickok")</f>
        <v>Kramer Hickok</v>
      </c>
      <c r="D551" s="4">
        <f ca="1">IFERROR(__xludf.DUMMYFUNCTION("""COMPUTED_VALUE"""),995260)</f>
        <v>995260</v>
      </c>
    </row>
    <row r="552" spans="1:4" ht="12.75">
      <c r="A552">
        <f ca="1">IFERROR(__xludf.DUMMYFUNCTION("""COMPUTED_VALUE"""),551)</f>
        <v>551</v>
      </c>
      <c r="B552">
        <f ca="1">IFERROR(__xludf.DUMMYFUNCTION("""COMPUTED_VALUE"""),550)</f>
        <v>550</v>
      </c>
      <c r="C552" t="str">
        <f ca="1">IFERROR(__xludf.DUMMYFUNCTION("""COMPUTED_VALUE"""),"Bobby Nichols")</f>
        <v>Bobby Nichols</v>
      </c>
      <c r="D552" s="4">
        <f ca="1">IFERROR(__xludf.DUMMYFUNCTION("""COMPUTED_VALUE"""),993025)</f>
        <v>993025</v>
      </c>
    </row>
    <row r="553" spans="1:4" ht="12.75">
      <c r="A553">
        <f ca="1">IFERROR(__xludf.DUMMYFUNCTION("""COMPUTED_VALUE"""),552)</f>
        <v>552</v>
      </c>
      <c r="B553">
        <f ca="1">IFERROR(__xludf.DUMMYFUNCTION("""COMPUTED_VALUE"""),551)</f>
        <v>551</v>
      </c>
      <c r="C553" t="str">
        <f ca="1">IFERROR(__xludf.DUMMYFUNCTION("""COMPUTED_VALUE"""),"Barry Jaeckel")</f>
        <v>Barry Jaeckel</v>
      </c>
      <c r="D553" s="4">
        <f ca="1">IFERROR(__xludf.DUMMYFUNCTION("""COMPUTED_VALUE"""),982408)</f>
        <v>982408</v>
      </c>
    </row>
    <row r="554" spans="1:4" ht="12.75">
      <c r="A554">
        <f ca="1">IFERROR(__xludf.DUMMYFUNCTION("""COMPUTED_VALUE"""),553)</f>
        <v>553</v>
      </c>
      <c r="B554">
        <f ca="1">IFERROR(__xludf.DUMMYFUNCTION("""COMPUTED_VALUE"""),553)</f>
        <v>553</v>
      </c>
      <c r="C554" t="str">
        <f ca="1">IFERROR(__xludf.DUMMYFUNCTION("""COMPUTED_VALUE"""),"Isao Aoki")</f>
        <v>Isao Aoki</v>
      </c>
      <c r="D554" s="4">
        <f ca="1">IFERROR(__xludf.DUMMYFUNCTION("""COMPUTED_VALUE"""),960571)</f>
        <v>960571</v>
      </c>
    </row>
    <row r="555" spans="1:4" ht="12.75">
      <c r="A555">
        <f ca="1">IFERROR(__xludf.DUMMYFUNCTION("""COMPUTED_VALUE"""),554)</f>
        <v>554</v>
      </c>
      <c r="B555">
        <f ca="1">IFERROR(__xludf.DUMMYFUNCTION("""COMPUTED_VALUE"""),554)</f>
        <v>554</v>
      </c>
      <c r="C555" t="str">
        <f ca="1">IFERROR(__xludf.DUMMYFUNCTION("""COMPUTED_VALUE"""),"Andre Stolz")</f>
        <v>Andre Stolz</v>
      </c>
      <c r="D555" s="4">
        <f ca="1">IFERROR(__xludf.DUMMYFUNCTION("""COMPUTED_VALUE"""),942647)</f>
        <v>942647</v>
      </c>
    </row>
    <row r="556" spans="1:4" ht="12.75">
      <c r="A556">
        <f ca="1">IFERROR(__xludf.DUMMYFUNCTION("""COMPUTED_VALUE"""),555)</f>
        <v>555</v>
      </c>
      <c r="B556">
        <f ca="1">IFERROR(__xludf.DUMMYFUNCTION("""COMPUTED_VALUE"""),563)</f>
        <v>563</v>
      </c>
      <c r="C556" t="str">
        <f ca="1">IFERROR(__xludf.DUMMYFUNCTION("""COMPUTED_VALUE"""),"Erik van Rooyen")</f>
        <v>Erik van Rooyen</v>
      </c>
      <c r="D556" s="4">
        <f ca="1">IFERROR(__xludf.DUMMYFUNCTION("""COMPUTED_VALUE"""),941958)</f>
        <v>941958</v>
      </c>
    </row>
    <row r="557" spans="1:4" ht="12.75">
      <c r="A557">
        <f ca="1">IFERROR(__xludf.DUMMYFUNCTION("""COMPUTED_VALUE"""),556)</f>
        <v>556</v>
      </c>
      <c r="B557">
        <f ca="1">IFERROR(__xludf.DUMMYFUNCTION("""COMPUTED_VALUE"""),555)</f>
        <v>555</v>
      </c>
      <c r="C557" t="str">
        <f ca="1">IFERROR(__xludf.DUMMYFUNCTION("""COMPUTED_VALUE"""),"Pat McGowan")</f>
        <v>Pat McGowan</v>
      </c>
      <c r="D557" s="4">
        <f ca="1">IFERROR(__xludf.DUMMYFUNCTION("""COMPUTED_VALUE"""),915577)</f>
        <v>915577</v>
      </c>
    </row>
    <row r="558" spans="1:4" ht="12.75">
      <c r="A558">
        <f ca="1">IFERROR(__xludf.DUMMYFUNCTION("""COMPUTED_VALUE"""),557)</f>
        <v>557</v>
      </c>
      <c r="B558">
        <f ca="1">IFERROR(__xludf.DUMMYFUNCTION("""COMPUTED_VALUE"""),556)</f>
        <v>556</v>
      </c>
      <c r="C558" t="str">
        <f ca="1">IFERROR(__xludf.DUMMYFUNCTION("""COMPUTED_VALUE"""),"Bruce Devlin")</f>
        <v>Bruce Devlin</v>
      </c>
      <c r="D558" s="4">
        <f ca="1">IFERROR(__xludf.DUMMYFUNCTION("""COMPUTED_VALUE"""),907069)</f>
        <v>907069</v>
      </c>
    </row>
    <row r="559" spans="1:4" ht="12.75">
      <c r="A559">
        <f ca="1">IFERROR(__xludf.DUMMYFUNCTION("""COMPUTED_VALUE"""),558)</f>
        <v>558</v>
      </c>
      <c r="B559">
        <f ca="1">IFERROR(__xludf.DUMMYFUNCTION("""COMPUTED_VALUE"""),557)</f>
        <v>557</v>
      </c>
      <c r="C559" t="str">
        <f ca="1">IFERROR(__xludf.DUMMYFUNCTION("""COMPUTED_VALUE"""),"Mark Carnevale")</f>
        <v>Mark Carnevale</v>
      </c>
      <c r="D559" s="4">
        <f ca="1">IFERROR(__xludf.DUMMYFUNCTION("""COMPUTED_VALUE"""),906925)</f>
        <v>906925</v>
      </c>
    </row>
    <row r="560" spans="1:4" ht="12.75">
      <c r="A560">
        <f ca="1">IFERROR(__xludf.DUMMYFUNCTION("""COMPUTED_VALUE"""),559)</f>
        <v>559</v>
      </c>
      <c r="B560">
        <f ca="1">IFERROR(__xludf.DUMMYFUNCTION("""COMPUTED_VALUE"""),565)</f>
        <v>565</v>
      </c>
      <c r="C560" t="str">
        <f ca="1">IFERROR(__xludf.DUMMYFUNCTION("""COMPUTED_VALUE"""),"Will Gordon")</f>
        <v>Will Gordon</v>
      </c>
      <c r="D560" s="4">
        <f ca="1">IFERROR(__xludf.DUMMYFUNCTION("""COMPUTED_VALUE"""),876118)</f>
        <v>876118</v>
      </c>
    </row>
    <row r="561" spans="1:4" ht="12.75">
      <c r="A561">
        <f ca="1">IFERROR(__xludf.DUMMYFUNCTION("""COMPUTED_VALUE"""),560)</f>
        <v>560</v>
      </c>
      <c r="B561">
        <f ca="1">IFERROR(__xludf.DUMMYFUNCTION("""COMPUTED_VALUE"""),558)</f>
        <v>558</v>
      </c>
      <c r="C561" t="str">
        <f ca="1">IFERROR(__xludf.DUMMYFUNCTION("""COMPUTED_VALUE"""),"Will Zalatoris")</f>
        <v>Will Zalatoris</v>
      </c>
      <c r="D561" s="4">
        <f ca="1">IFERROR(__xludf.DUMMYFUNCTION("""COMPUTED_VALUE"""),875914)</f>
        <v>875914</v>
      </c>
    </row>
    <row r="562" spans="1:4" ht="12.75">
      <c r="A562">
        <f ca="1">IFERROR(__xludf.DUMMYFUNCTION("""COMPUTED_VALUE"""),561)</f>
        <v>561</v>
      </c>
      <c r="B562">
        <f ca="1">IFERROR(__xludf.DUMMYFUNCTION("""COMPUTED_VALUE"""),559)</f>
        <v>559</v>
      </c>
      <c r="C562" t="str">
        <f ca="1">IFERROR(__xludf.DUMMYFUNCTION("""COMPUTED_VALUE"""),"Jerry McGee")</f>
        <v>Jerry McGee</v>
      </c>
      <c r="D562" s="4">
        <f ca="1">IFERROR(__xludf.DUMMYFUNCTION("""COMPUTED_VALUE"""),871753)</f>
        <v>871753</v>
      </c>
    </row>
    <row r="563" spans="1:4" ht="12.75">
      <c r="A563">
        <f ca="1">IFERROR(__xludf.DUMMYFUNCTION("""COMPUTED_VALUE"""),562)</f>
        <v>562</v>
      </c>
      <c r="B563">
        <f ca="1">IFERROR(__xludf.DUMMYFUNCTION("""COMPUTED_VALUE"""),560)</f>
        <v>560</v>
      </c>
      <c r="C563" t="str">
        <f ca="1">IFERROR(__xludf.DUMMYFUNCTION("""COMPUTED_VALUE"""),"Roberto Díaz")</f>
        <v>Roberto Díaz</v>
      </c>
      <c r="D563" s="4">
        <f ca="1">IFERROR(__xludf.DUMMYFUNCTION("""COMPUTED_VALUE"""),871743)</f>
        <v>871743</v>
      </c>
    </row>
    <row r="564" spans="1:4" ht="12.75">
      <c r="A564">
        <f ca="1">IFERROR(__xludf.DUMMYFUNCTION("""COMPUTED_VALUE"""),563)</f>
        <v>563</v>
      </c>
      <c r="B564">
        <f ca="1">IFERROR(__xludf.DUMMYFUNCTION("""COMPUTED_VALUE"""),561)</f>
        <v>561</v>
      </c>
      <c r="C564" t="str">
        <f ca="1">IFERROR(__xludf.DUMMYFUNCTION("""COMPUTED_VALUE"""),"Chase Seiffert")</f>
        <v>Chase Seiffert</v>
      </c>
      <c r="D564" s="4">
        <f ca="1">IFERROR(__xludf.DUMMYFUNCTION("""COMPUTED_VALUE"""),870415)</f>
        <v>870415</v>
      </c>
    </row>
    <row r="565" spans="1:4" ht="12.75">
      <c r="A565">
        <f ca="1">IFERROR(__xludf.DUMMYFUNCTION("""COMPUTED_VALUE"""),564)</f>
        <v>564</v>
      </c>
      <c r="B565">
        <f ca="1">IFERROR(__xludf.DUMMYFUNCTION("""COMPUTED_VALUE"""),562)</f>
        <v>562</v>
      </c>
      <c r="C565" t="str">
        <f ca="1">IFERROR(__xludf.DUMMYFUNCTION("""COMPUTED_VALUE"""),"Ed Sneed")</f>
        <v>Ed Sneed</v>
      </c>
      <c r="D565" s="4">
        <f ca="1">IFERROR(__xludf.DUMMYFUNCTION("""COMPUTED_VALUE"""),860268)</f>
        <v>860268</v>
      </c>
    </row>
    <row r="566" spans="1:4" ht="12.75">
      <c r="A566">
        <f ca="1">IFERROR(__xludf.DUMMYFUNCTION("""COMPUTED_VALUE"""),565)</f>
        <v>565</v>
      </c>
      <c r="B566">
        <f ca="1">IFERROR(__xludf.DUMMYFUNCTION("""COMPUTED_VALUE"""),564)</f>
        <v>564</v>
      </c>
      <c r="C566" t="str">
        <f ca="1">IFERROR(__xludf.DUMMYFUNCTION("""COMPUTED_VALUE"""),"Julián Etulain")</f>
        <v>Julián Etulain</v>
      </c>
      <c r="D566" s="4">
        <f ca="1">IFERROR(__xludf.DUMMYFUNCTION("""COMPUTED_VALUE"""),851736)</f>
        <v>851736</v>
      </c>
    </row>
    <row r="567" spans="1:4" ht="12.75">
      <c r="A567">
        <f ca="1">IFERROR(__xludf.DUMMYFUNCTION("""COMPUTED_VALUE"""),566)</f>
        <v>566</v>
      </c>
      <c r="B567">
        <f ca="1">IFERROR(__xludf.DUMMYFUNCTION("""COMPUTED_VALUE"""),566)</f>
        <v>566</v>
      </c>
      <c r="C567" t="str">
        <f ca="1">IFERROR(__xludf.DUMMYFUNCTION("""COMPUTED_VALUE"""),"Bill Sander")</f>
        <v>Bill Sander</v>
      </c>
      <c r="D567" s="4">
        <f ca="1">IFERROR(__xludf.DUMMYFUNCTION("""COMPUTED_VALUE"""),823428)</f>
        <v>823428</v>
      </c>
    </row>
    <row r="568" spans="1:4" ht="12.75">
      <c r="A568">
        <f ca="1">IFERROR(__xludf.DUMMYFUNCTION("""COMPUTED_VALUE"""),567)</f>
        <v>567</v>
      </c>
      <c r="B568">
        <f ca="1">IFERROR(__xludf.DUMMYFUNCTION("""COMPUTED_VALUE"""),567)</f>
        <v>567</v>
      </c>
      <c r="C568" t="str">
        <f ca="1">IFERROR(__xludf.DUMMYFUNCTION("""COMPUTED_VALUE"""),"Ron Streck")</f>
        <v>Ron Streck</v>
      </c>
      <c r="D568" s="4">
        <f ca="1">IFERROR(__xludf.DUMMYFUNCTION("""COMPUTED_VALUE"""),817211)</f>
        <v>817211</v>
      </c>
    </row>
    <row r="569" spans="1:4" ht="12.75">
      <c r="A569">
        <f ca="1">IFERROR(__xludf.DUMMYFUNCTION("""COMPUTED_VALUE"""),568)</f>
        <v>568</v>
      </c>
      <c r="B569">
        <f ca="1">IFERROR(__xludf.DUMMYFUNCTION("""COMPUTED_VALUE"""),568)</f>
        <v>568</v>
      </c>
      <c r="C569" t="str">
        <f ca="1">IFERROR(__xludf.DUMMYFUNCTION("""COMPUTED_VALUE"""),"Curtis Luck")</f>
        <v>Curtis Luck</v>
      </c>
      <c r="D569" s="4">
        <f ca="1">IFERROR(__xludf.DUMMYFUNCTION("""COMPUTED_VALUE"""),814290)</f>
        <v>814290</v>
      </c>
    </row>
    <row r="570" spans="1:4" ht="12.75">
      <c r="A570">
        <f ca="1">IFERROR(__xludf.DUMMYFUNCTION("""COMPUTED_VALUE"""),569)</f>
        <v>569</v>
      </c>
      <c r="B570">
        <f ca="1">IFERROR(__xludf.DUMMYFUNCTION("""COMPUTED_VALUE"""),569)</f>
        <v>569</v>
      </c>
      <c r="C570" t="str">
        <f ca="1">IFERROR(__xludf.DUMMYFUNCTION("""COMPUTED_VALUE"""),"Grier Jones")</f>
        <v>Grier Jones</v>
      </c>
      <c r="D570" s="4">
        <f ca="1">IFERROR(__xludf.DUMMYFUNCTION("""COMPUTED_VALUE"""),803189)</f>
        <v>803189</v>
      </c>
    </row>
    <row r="571" spans="1:4" ht="12.75">
      <c r="A571">
        <f ca="1">IFERROR(__xludf.DUMMYFUNCTION("""COMPUTED_VALUE"""),570)</f>
        <v>570</v>
      </c>
      <c r="B571">
        <f ca="1">IFERROR(__xludf.DUMMYFUNCTION("""COMPUTED_VALUE"""),570)</f>
        <v>570</v>
      </c>
      <c r="C571" t="str">
        <f ca="1">IFERROR(__xludf.DUMMYFUNCTION("""COMPUTED_VALUE"""),"Lance Ten Broeck")</f>
        <v>Lance Ten Broeck</v>
      </c>
      <c r="D571" s="4">
        <f ca="1">IFERROR(__xludf.DUMMYFUNCTION("""COMPUTED_VALUE"""),790347)</f>
        <v>790347</v>
      </c>
    </row>
    <row r="572" spans="1:4" ht="12.75">
      <c r="A572">
        <f ca="1">IFERROR(__xludf.DUMMYFUNCTION("""COMPUTED_VALUE"""),571)</f>
        <v>571</v>
      </c>
      <c r="B572">
        <f ca="1">IFERROR(__xludf.DUMMYFUNCTION("""COMPUTED_VALUE"""),571)</f>
        <v>571</v>
      </c>
      <c r="C572" t="str">
        <f ca="1">IFERROR(__xludf.DUMMYFUNCTION("""COMPUTED_VALUE"""),"Joseph Bramlett")</f>
        <v>Joseph Bramlett</v>
      </c>
      <c r="D572" s="4">
        <f ca="1">IFERROR(__xludf.DUMMYFUNCTION("""COMPUTED_VALUE"""),789320)</f>
        <v>789320</v>
      </c>
    </row>
    <row r="573" spans="1:4" ht="12.75">
      <c r="A573">
        <f ca="1">IFERROR(__xludf.DUMMYFUNCTION("""COMPUTED_VALUE"""),572)</f>
        <v>572</v>
      </c>
      <c r="B573">
        <f ca="1">IFERROR(__xludf.DUMMYFUNCTION("""COMPUTED_VALUE"""),572)</f>
        <v>572</v>
      </c>
      <c r="C573" t="str">
        <f ca="1">IFERROR(__xludf.DUMMYFUNCTION("""COMPUTED_VALUE"""),"Doug Ghim")</f>
        <v>Doug Ghim</v>
      </c>
      <c r="D573" s="4">
        <f ca="1">IFERROR(__xludf.DUMMYFUNCTION("""COMPUTED_VALUE"""),782045)</f>
        <v>782045</v>
      </c>
    </row>
    <row r="574" spans="1:4" ht="12.75">
      <c r="A574">
        <f ca="1">IFERROR(__xludf.DUMMYFUNCTION("""COMPUTED_VALUE"""),573)</f>
        <v>573</v>
      </c>
      <c r="B574">
        <f ca="1">IFERROR(__xludf.DUMMYFUNCTION("""COMPUTED_VALUE"""),573)</f>
        <v>573</v>
      </c>
      <c r="C574" t="str">
        <f ca="1">IFERROR(__xludf.DUMMYFUNCTION("""COMPUTED_VALUE"""),"Martin Trainer")</f>
        <v>Martin Trainer</v>
      </c>
      <c r="D574" s="4">
        <f ca="1">IFERROR(__xludf.DUMMYFUNCTION("""COMPUTED_VALUE"""),781637)</f>
        <v>781637</v>
      </c>
    </row>
    <row r="575" spans="1:4" ht="12.75">
      <c r="A575">
        <f ca="1">IFERROR(__xludf.DUMMYFUNCTION("""COMPUTED_VALUE"""),574)</f>
        <v>574</v>
      </c>
      <c r="B575">
        <f ca="1">IFERROR(__xludf.DUMMYFUNCTION("""COMPUTED_VALUE"""),574)</f>
        <v>574</v>
      </c>
      <c r="C575" t="str">
        <f ca="1">IFERROR(__xludf.DUMMYFUNCTION("""COMPUTED_VALUE"""),"Jerry Heard")</f>
        <v>Jerry Heard</v>
      </c>
      <c r="D575" s="4">
        <f ca="1">IFERROR(__xludf.DUMMYFUNCTION("""COMPUTED_VALUE"""),780746)</f>
        <v>780746</v>
      </c>
    </row>
    <row r="576" spans="1:4" ht="12.75">
      <c r="A576">
        <f ca="1">IFERROR(__xludf.DUMMYFUNCTION("""COMPUTED_VALUE"""),575)</f>
        <v>575</v>
      </c>
      <c r="B576">
        <f ca="1">IFERROR(__xludf.DUMMYFUNCTION("""COMPUTED_VALUE"""),575)</f>
        <v>575</v>
      </c>
      <c r="C576" t="str">
        <f ca="1">IFERROR(__xludf.DUMMYFUNCTION("""COMPUTED_VALUE"""),"Greg Twiggs")</f>
        <v>Greg Twiggs</v>
      </c>
      <c r="D576" s="4">
        <f ca="1">IFERROR(__xludf.DUMMYFUNCTION("""COMPUTED_VALUE"""),767294)</f>
        <v>767294</v>
      </c>
    </row>
    <row r="577" spans="1:4" ht="12.75">
      <c r="A577">
        <f ca="1">IFERROR(__xludf.DUMMYFUNCTION("""COMPUTED_VALUE"""),576)</f>
        <v>576</v>
      </c>
      <c r="B577">
        <f ca="1">IFERROR(__xludf.DUMMYFUNCTION("""COMPUTED_VALUE"""),577)</f>
        <v>577</v>
      </c>
      <c r="C577" t="str">
        <f ca="1">IFERROR(__xludf.DUMMYFUNCTION("""COMPUTED_VALUE"""),"Kristoffer Ventura")</f>
        <v>Kristoffer Ventura</v>
      </c>
      <c r="D577" s="4">
        <f ca="1">IFERROR(__xludf.DUMMYFUNCTION("""COMPUTED_VALUE"""),753372)</f>
        <v>753372</v>
      </c>
    </row>
    <row r="578" spans="1:4" ht="12.75">
      <c r="A578">
        <f ca="1">IFERROR(__xludf.DUMMYFUNCTION("""COMPUTED_VALUE"""),577)</f>
        <v>577</v>
      </c>
      <c r="B578">
        <f ca="1">IFERROR(__xludf.DUMMYFUNCTION("""COMPUTED_VALUE"""),576)</f>
        <v>576</v>
      </c>
      <c r="C578" t="str">
        <f ca="1">IFERROR(__xludf.DUMMYFUNCTION("""COMPUTED_VALUE"""),"Frank Conner")</f>
        <v>Frank Conner</v>
      </c>
      <c r="D578" s="4">
        <f ca="1">IFERROR(__xludf.DUMMYFUNCTION("""COMPUTED_VALUE"""),750733)</f>
        <v>750733</v>
      </c>
    </row>
    <row r="579" spans="1:4" ht="12.75">
      <c r="A579">
        <f ca="1">IFERROR(__xludf.DUMMYFUNCTION("""COMPUTED_VALUE"""),578)</f>
        <v>578</v>
      </c>
      <c r="B579">
        <f ca="1">IFERROR(__xludf.DUMMYFUNCTION("""COMPUTED_VALUE"""),578)</f>
        <v>578</v>
      </c>
      <c r="C579" t="str">
        <f ca="1">IFERROR(__xludf.DUMMYFUNCTION("""COMPUTED_VALUE"""),"Peter Oosterhuis")</f>
        <v>Peter Oosterhuis</v>
      </c>
      <c r="D579" s="4">
        <f ca="1">IFERROR(__xludf.DUMMYFUNCTION("""COMPUTED_VALUE"""),736692)</f>
        <v>736692</v>
      </c>
    </row>
    <row r="580" spans="1:4" ht="12.75">
      <c r="A580">
        <f ca="1">IFERROR(__xludf.DUMMYFUNCTION("""COMPUTED_VALUE"""),579)</f>
        <v>579</v>
      </c>
      <c r="B580">
        <f ca="1">IFERROR(__xludf.DUMMYFUNCTION("""COMPUTED_VALUE"""),579)</f>
        <v>579</v>
      </c>
      <c r="C580" t="str">
        <f ca="1">IFERROR(__xludf.DUMMYFUNCTION("""COMPUTED_VALUE"""),"Joe Inman")</f>
        <v>Joe Inman</v>
      </c>
      <c r="D580" s="4">
        <f ca="1">IFERROR(__xludf.DUMMYFUNCTION("""COMPUTED_VALUE"""),729249)</f>
        <v>729249</v>
      </c>
    </row>
    <row r="581" spans="1:4" ht="12.75">
      <c r="A581">
        <f ca="1">IFERROR(__xludf.DUMMYFUNCTION("""COMPUTED_VALUE"""),580)</f>
        <v>580</v>
      </c>
      <c r="B581">
        <f ca="1">IFERROR(__xludf.DUMMYFUNCTION("""COMPUTED_VALUE"""),580)</f>
        <v>580</v>
      </c>
      <c r="C581" t="str">
        <f ca="1">IFERROR(__xludf.DUMMYFUNCTION("""COMPUTED_VALUE"""),"Joost Luiten")</f>
        <v>Joost Luiten</v>
      </c>
      <c r="D581" s="4">
        <f ca="1">IFERROR(__xludf.DUMMYFUNCTION("""COMPUTED_VALUE"""),725477)</f>
        <v>725477</v>
      </c>
    </row>
    <row r="582" spans="1:4" ht="12.75">
      <c r="A582">
        <f ca="1">IFERROR(__xludf.DUMMYFUNCTION("""COMPUTED_VALUE"""),581)</f>
        <v>581</v>
      </c>
      <c r="B582">
        <f ca="1">IFERROR(__xludf.DUMMYFUNCTION("""COMPUTED_VALUE"""),581)</f>
        <v>581</v>
      </c>
      <c r="C582" t="str">
        <f ca="1">IFERROR(__xludf.DUMMYFUNCTION("""COMPUTED_VALUE"""),"Gary Nicklaus")</f>
        <v>Gary Nicklaus</v>
      </c>
      <c r="D582" s="4">
        <f ca="1">IFERROR(__xludf.DUMMYFUNCTION("""COMPUTED_VALUE"""),688144)</f>
        <v>688144</v>
      </c>
    </row>
    <row r="583" spans="1:4" ht="12.75">
      <c r="A583">
        <f ca="1">IFERROR(__xludf.DUMMYFUNCTION("""COMPUTED_VALUE"""),582)</f>
        <v>582</v>
      </c>
      <c r="B583">
        <f ca="1">IFERROR(__xludf.DUMMYFUNCTION("""COMPUTED_VALUE"""),582)</f>
        <v>582</v>
      </c>
      <c r="C583" t="str">
        <f ca="1">IFERROR(__xludf.DUMMYFUNCTION("""COMPUTED_VALUE"""),"Mike McCullough")</f>
        <v>Mike McCullough</v>
      </c>
      <c r="D583" s="4">
        <f ca="1">IFERROR(__xludf.DUMMYFUNCTION("""COMPUTED_VALUE"""),682511)</f>
        <v>682511</v>
      </c>
    </row>
    <row r="584" spans="1:4" ht="12.75">
      <c r="A584">
        <f ca="1">IFERROR(__xludf.DUMMYFUNCTION("""COMPUTED_VALUE"""),583)</f>
        <v>583</v>
      </c>
      <c r="B584">
        <f ca="1">IFERROR(__xludf.DUMMYFUNCTION("""COMPUTED_VALUE"""),583)</f>
        <v>583</v>
      </c>
      <c r="C584" t="str">
        <f ca="1">IFERROR(__xludf.DUMMYFUNCTION("""COMPUTED_VALUE"""),"Rod Curl")</f>
        <v>Rod Curl</v>
      </c>
      <c r="D584" s="4">
        <f ca="1">IFERROR(__xludf.DUMMYFUNCTION("""COMPUTED_VALUE"""),677009)</f>
        <v>677009</v>
      </c>
    </row>
    <row r="585" spans="1:4" ht="12.75">
      <c r="A585">
        <f ca="1">IFERROR(__xludf.DUMMYFUNCTION("""COMPUTED_VALUE"""),584)</f>
        <v>584</v>
      </c>
      <c r="B585">
        <f ca="1">IFERROR(__xludf.DUMMYFUNCTION("""COMPUTED_VALUE"""),584)</f>
        <v>584</v>
      </c>
      <c r="C585" t="str">
        <f ca="1">IFERROR(__xludf.DUMMYFUNCTION("""COMPUTED_VALUE"""),"Stan Utley")</f>
        <v>Stan Utley</v>
      </c>
      <c r="D585" s="4">
        <f ca="1">IFERROR(__xludf.DUMMYFUNCTION("""COMPUTED_VALUE"""),674546)</f>
        <v>674546</v>
      </c>
    </row>
    <row r="586" spans="1:4" ht="12.75">
      <c r="A586">
        <f ca="1">IFERROR(__xludf.DUMMYFUNCTION("""COMPUTED_VALUE"""),585)</f>
        <v>585</v>
      </c>
      <c r="B586">
        <f ca="1">IFERROR(__xludf.DUMMYFUNCTION("""COMPUTED_VALUE"""),585)</f>
        <v>585</v>
      </c>
      <c r="C586" t="str">
        <f ca="1">IFERROR(__xludf.DUMMYFUNCTION("""COMPUTED_VALUE"""),"Andy Sullivan")</f>
        <v>Andy Sullivan</v>
      </c>
      <c r="D586" s="4">
        <f ca="1">IFERROR(__xludf.DUMMYFUNCTION("""COMPUTED_VALUE"""),673343)</f>
        <v>673343</v>
      </c>
    </row>
    <row r="587" spans="1:4" ht="12.75">
      <c r="A587">
        <f ca="1">IFERROR(__xludf.DUMMYFUNCTION("""COMPUTED_VALUE"""),586)</f>
        <v>586</v>
      </c>
      <c r="B587">
        <f ca="1">IFERROR(__xludf.DUMMYFUNCTION("""COMPUTED_VALUE"""),586)</f>
        <v>586</v>
      </c>
      <c r="C587" t="str">
        <f ca="1">IFERROR(__xludf.DUMMYFUNCTION("""COMPUTED_VALUE"""),"Homero Blancas")</f>
        <v>Homero Blancas</v>
      </c>
      <c r="D587" s="4">
        <f ca="1">IFERROR(__xludf.DUMMYFUNCTION("""COMPUTED_VALUE"""),671251)</f>
        <v>671251</v>
      </c>
    </row>
    <row r="588" spans="1:4" ht="12.75">
      <c r="A588">
        <f ca="1">IFERROR(__xludf.DUMMYFUNCTION("""COMPUTED_VALUE"""),587)</f>
        <v>587</v>
      </c>
      <c r="B588">
        <f ca="1">IFERROR(__xludf.DUMMYFUNCTION("""COMPUTED_VALUE"""),587)</f>
        <v>587</v>
      </c>
      <c r="C588" t="str">
        <f ca="1">IFERROR(__xludf.DUMMYFUNCTION("""COMPUTED_VALUE"""),"Bo Hoag")</f>
        <v>Bo Hoag</v>
      </c>
      <c r="D588" s="4">
        <f ca="1">IFERROR(__xludf.DUMMYFUNCTION("""COMPUTED_VALUE"""),662910)</f>
        <v>662910</v>
      </c>
    </row>
    <row r="589" spans="1:4" ht="12.75">
      <c r="A589">
        <f ca="1">IFERROR(__xludf.DUMMYFUNCTION("""COMPUTED_VALUE"""),588)</f>
        <v>588</v>
      </c>
      <c r="B589">
        <f ca="1">IFERROR(__xludf.DUMMYFUNCTION("""COMPUTED_VALUE"""),588)</f>
        <v>588</v>
      </c>
      <c r="C589" t="str">
        <f ca="1">IFERROR(__xludf.DUMMYFUNCTION("""COMPUTED_VALUE"""),"Gary McCord")</f>
        <v>Gary McCord</v>
      </c>
      <c r="D589" s="4">
        <f ca="1">IFERROR(__xludf.DUMMYFUNCTION("""COMPUTED_VALUE"""),662359)</f>
        <v>662359</v>
      </c>
    </row>
    <row r="590" spans="1:4" ht="12.75">
      <c r="A590">
        <f ca="1">IFERROR(__xludf.DUMMYFUNCTION("""COMPUTED_VALUE"""),589)</f>
        <v>589</v>
      </c>
      <c r="B590">
        <f ca="1">IFERROR(__xludf.DUMMYFUNCTION("""COMPUTED_VALUE"""),589)</f>
        <v>589</v>
      </c>
      <c r="C590" t="str">
        <f ca="1">IFERROR(__xludf.DUMMYFUNCTION("""COMPUTED_VALUE"""),"Lucas Bjerregaard")</f>
        <v>Lucas Bjerregaard</v>
      </c>
      <c r="D590" s="4">
        <f ca="1">IFERROR(__xludf.DUMMYFUNCTION("""COMPUTED_VALUE"""),652273)</f>
        <v>652273</v>
      </c>
    </row>
    <row r="591" spans="1:4" ht="12.75">
      <c r="A591">
        <f ca="1">IFERROR(__xludf.DUMMYFUNCTION("""COMPUTED_VALUE"""),590)</f>
        <v>590</v>
      </c>
      <c r="B591">
        <f ca="1">IFERROR(__xludf.DUMMYFUNCTION("""COMPUTED_VALUE"""),590)</f>
        <v>590</v>
      </c>
      <c r="C591" t="str">
        <f ca="1">IFERROR(__xludf.DUMMYFUNCTION("""COMPUTED_VALUE"""),"Bob Goalby")</f>
        <v>Bob Goalby</v>
      </c>
      <c r="D591" s="4">
        <f ca="1">IFERROR(__xludf.DUMMYFUNCTION("""COMPUTED_VALUE"""),645013)</f>
        <v>645013</v>
      </c>
    </row>
    <row r="592" spans="1:4" ht="12.75">
      <c r="A592">
        <f ca="1">IFERROR(__xludf.DUMMYFUNCTION("""COMPUTED_VALUE"""),591)</f>
        <v>591</v>
      </c>
      <c r="B592">
        <f ca="1">IFERROR(__xludf.DUMMYFUNCTION("""COMPUTED_VALUE"""),591)</f>
        <v>591</v>
      </c>
      <c r="C592" t="str">
        <f ca="1">IFERROR(__xludf.DUMMYFUNCTION("""COMPUTED_VALUE"""),"Victor Regalado")</f>
        <v>Victor Regalado</v>
      </c>
      <c r="D592" s="4">
        <f ca="1">IFERROR(__xludf.DUMMYFUNCTION("""COMPUTED_VALUE"""),628557)</f>
        <v>628557</v>
      </c>
    </row>
    <row r="593" spans="1:4" ht="12.75">
      <c r="A593">
        <f ca="1">IFERROR(__xludf.DUMMYFUNCTION("""COMPUTED_VALUE"""),592)</f>
        <v>592</v>
      </c>
      <c r="B593">
        <f ca="1">IFERROR(__xludf.DUMMYFUNCTION("""COMPUTED_VALUE"""),592)</f>
        <v>592</v>
      </c>
      <c r="C593" t="str">
        <f ca="1">IFERROR(__xludf.DUMMYFUNCTION("""COMPUTED_VALUE"""),"Ryan Brehm")</f>
        <v>Ryan Brehm</v>
      </c>
      <c r="D593" s="4">
        <f ca="1">IFERROR(__xludf.DUMMYFUNCTION("""COMPUTED_VALUE"""),620643)</f>
        <v>620643</v>
      </c>
    </row>
    <row r="594" spans="1:4" ht="12.75">
      <c r="A594">
        <f ca="1">IFERROR(__xludf.DUMMYFUNCTION("""COMPUTED_VALUE"""),593)</f>
        <v>593</v>
      </c>
      <c r="B594">
        <f ca="1">IFERROR(__xludf.DUMMYFUNCTION("""COMPUTED_VALUE"""),593)</f>
        <v>593</v>
      </c>
      <c r="C594" t="str">
        <f ca="1">IFERROR(__xludf.DUMMYFUNCTION("""COMPUTED_VALUE"""),"T.C. Chen")</f>
        <v>T.C. Chen</v>
      </c>
      <c r="D594" s="4">
        <f ca="1">IFERROR(__xludf.DUMMYFUNCTION("""COMPUTED_VALUE"""),616303)</f>
        <v>616303</v>
      </c>
    </row>
    <row r="595" spans="1:4" ht="12.75">
      <c r="A595">
        <f ca="1">IFERROR(__xludf.DUMMYFUNCTION("""COMPUTED_VALUE"""),594)</f>
        <v>594</v>
      </c>
      <c r="B595">
        <f ca="1">IFERROR(__xludf.DUMMYFUNCTION("""COMPUTED_VALUE"""),594)</f>
        <v>594</v>
      </c>
      <c r="C595" t="str">
        <f ca="1">IFERROR(__xludf.DUMMYFUNCTION("""COMPUTED_VALUE"""),"Jeff Hart")</f>
        <v>Jeff Hart</v>
      </c>
      <c r="D595" s="4">
        <f ca="1">IFERROR(__xludf.DUMMYFUNCTION("""COMPUTED_VALUE"""),610877)</f>
        <v>610877</v>
      </c>
    </row>
    <row r="596" spans="1:4" ht="12.75">
      <c r="A596">
        <f ca="1">IFERROR(__xludf.DUMMYFUNCTION("""COMPUTED_VALUE"""),595)</f>
        <v>595</v>
      </c>
      <c r="B596">
        <f ca="1">IFERROR(__xludf.DUMMYFUNCTION("""COMPUTED_VALUE"""),595)</f>
        <v>595</v>
      </c>
      <c r="C596" t="str">
        <f ca="1">IFERROR(__xludf.DUMMYFUNCTION("""COMPUTED_VALUE"""),"Rafael Campos")</f>
        <v>Rafael Campos</v>
      </c>
      <c r="D596" s="4">
        <f ca="1">IFERROR(__xludf.DUMMYFUNCTION("""COMPUTED_VALUE"""),602932)</f>
        <v>602932</v>
      </c>
    </row>
    <row r="597" spans="1:4" ht="12.75">
      <c r="A597">
        <f ca="1">IFERROR(__xludf.DUMMYFUNCTION("""COMPUTED_VALUE"""),596)</f>
        <v>596</v>
      </c>
      <c r="B597">
        <f ca="1">IFERROR(__xludf.DUMMYFUNCTION("""COMPUTED_VALUE"""),596)</f>
        <v>596</v>
      </c>
      <c r="C597" t="str">
        <f ca="1">IFERROR(__xludf.DUMMYFUNCTION("""COMPUTED_VALUE"""),"John Oda")</f>
        <v>John Oda</v>
      </c>
      <c r="D597" s="4">
        <f ca="1">IFERROR(__xludf.DUMMYFUNCTION("""COMPUTED_VALUE"""),601675)</f>
        <v>601675</v>
      </c>
    </row>
    <row r="598" spans="1:4" ht="12.75">
      <c r="A598">
        <f ca="1">IFERROR(__xludf.DUMMYFUNCTION("""COMPUTED_VALUE"""),597)</f>
        <v>597</v>
      </c>
      <c r="B598">
        <f ca="1">IFERROR(__xludf.DUMMYFUNCTION("""COMPUTED_VALUE"""),597)</f>
        <v>597</v>
      </c>
      <c r="C598" t="str">
        <f ca="1">IFERROR(__xludf.DUMMYFUNCTION("""COMPUTED_VALUE"""),"Dale Douglass")</f>
        <v>Dale Douglass</v>
      </c>
      <c r="D598" s="4">
        <f ca="1">IFERROR(__xludf.DUMMYFUNCTION("""COMPUTED_VALUE"""),577950)</f>
        <v>577950</v>
      </c>
    </row>
    <row r="599" spans="1:4" ht="12.75">
      <c r="A599">
        <f ca="1">IFERROR(__xludf.DUMMYFUNCTION("""COMPUTED_VALUE"""),598)</f>
        <v>598</v>
      </c>
      <c r="B599">
        <f ca="1">IFERROR(__xludf.DUMMYFUNCTION("""COMPUTED_VALUE"""),598)</f>
        <v>598</v>
      </c>
      <c r="C599" t="str">
        <f ca="1">IFERROR(__xludf.DUMMYFUNCTION("""COMPUTED_VALUE"""),"Sam Randolph")</f>
        <v>Sam Randolph</v>
      </c>
      <c r="D599" s="4">
        <f ca="1">IFERROR(__xludf.DUMMYFUNCTION("""COMPUTED_VALUE"""),574876)</f>
        <v>574876</v>
      </c>
    </row>
    <row r="600" spans="1:4" ht="12.75">
      <c r="A600">
        <f ca="1">IFERROR(__xludf.DUMMYFUNCTION("""COMPUTED_VALUE"""),599)</f>
        <v>599</v>
      </c>
      <c r="B600">
        <f ca="1">IFERROR(__xludf.DUMMYFUNCTION("""COMPUTED_VALUE"""),599)</f>
        <v>599</v>
      </c>
      <c r="C600" t="str">
        <f ca="1">IFERROR(__xludf.DUMMYFUNCTION("""COMPUTED_VALUE"""),"Mark Pfeil")</f>
        <v>Mark Pfeil</v>
      </c>
      <c r="D600" s="4">
        <f ca="1">IFERROR(__xludf.DUMMYFUNCTION("""COMPUTED_VALUE"""),573387)</f>
        <v>573387</v>
      </c>
    </row>
    <row r="601" spans="1:4" ht="12.75">
      <c r="A601">
        <f ca="1">IFERROR(__xludf.DUMMYFUNCTION("""COMPUTED_VALUE"""),600)</f>
        <v>600</v>
      </c>
      <c r="B601">
        <f ca="1">IFERROR(__xludf.DUMMYFUNCTION("""COMPUTED_VALUE"""),600)</f>
        <v>600</v>
      </c>
      <c r="C601" t="str">
        <f ca="1">IFERROR(__xludf.DUMMYFUNCTION("""COMPUTED_VALUE"""),"Jim Dent")</f>
        <v>Jim Dent</v>
      </c>
      <c r="D601" s="4">
        <f ca="1">IFERROR(__xludf.DUMMYFUNCTION("""COMPUTED_VALUE"""),564809)</f>
        <v>564809</v>
      </c>
    </row>
    <row r="602" spans="1:4" ht="12.75">
      <c r="A602">
        <f ca="1">IFERROR(__xludf.DUMMYFUNCTION("""COMPUTED_VALUE"""),601)</f>
        <v>601</v>
      </c>
      <c r="B602">
        <f ca="1">IFERROR(__xludf.DUMMYFUNCTION("""COMPUTED_VALUE"""),608)</f>
        <v>608</v>
      </c>
      <c r="C602" t="str">
        <f ca="1">IFERROR(__xludf.DUMMYFUNCTION("""COMPUTED_VALUE"""),"Justin Harding")</f>
        <v>Justin Harding</v>
      </c>
      <c r="D602" s="4">
        <f ca="1">IFERROR(__xludf.DUMMYFUNCTION("""COMPUTED_VALUE"""),555888)</f>
        <v>555888</v>
      </c>
    </row>
    <row r="603" spans="1:4" ht="12.75">
      <c r="A603">
        <f ca="1">IFERROR(__xludf.DUMMYFUNCTION("""COMPUTED_VALUE"""),602)</f>
        <v>602</v>
      </c>
      <c r="B603">
        <f ca="1">IFERROR(__xludf.DUMMYFUNCTION("""COMPUTED_VALUE"""),601)</f>
        <v>601</v>
      </c>
      <c r="C603" t="str">
        <f ca="1">IFERROR(__xludf.DUMMYFUNCTION("""COMPUTED_VALUE"""),"John Schroeder")</f>
        <v>John Schroeder</v>
      </c>
      <c r="D603" s="4">
        <f ca="1">IFERROR(__xludf.DUMMYFUNCTION("""COMPUTED_VALUE"""),546569)</f>
        <v>546569</v>
      </c>
    </row>
    <row r="604" spans="1:4" ht="12.75">
      <c r="A604">
        <f ca="1">IFERROR(__xludf.DUMMYFUNCTION("""COMPUTED_VALUE"""),603)</f>
        <v>603</v>
      </c>
      <c r="B604">
        <f ca="1">IFERROR(__xludf.DUMMYFUNCTION("""COMPUTED_VALUE"""),602)</f>
        <v>602</v>
      </c>
      <c r="C604" t="str">
        <f ca="1">IFERROR(__xludf.DUMMYFUNCTION("""COMPUTED_VALUE"""),"Tim Norris")</f>
        <v>Tim Norris</v>
      </c>
      <c r="D604" s="4">
        <f ca="1">IFERROR(__xludf.DUMMYFUNCTION("""COMPUTED_VALUE"""),545531)</f>
        <v>545531</v>
      </c>
    </row>
    <row r="605" spans="1:4" ht="12.75">
      <c r="A605">
        <f ca="1">IFERROR(__xludf.DUMMYFUNCTION("""COMPUTED_VALUE"""),604)</f>
        <v>604</v>
      </c>
      <c r="B605">
        <f ca="1">IFERROR(__xludf.DUMMYFUNCTION("""COMPUTED_VALUE"""),603)</f>
        <v>603</v>
      </c>
      <c r="C605" t="str">
        <f ca="1">IFERROR(__xludf.DUMMYFUNCTION("""COMPUTED_VALUE"""),"Mac McLendon")</f>
        <v>Mac McLendon</v>
      </c>
      <c r="D605" s="4">
        <f ca="1">IFERROR(__xludf.DUMMYFUNCTION("""COMPUTED_VALUE"""),541908)</f>
        <v>541908</v>
      </c>
    </row>
    <row r="606" spans="1:4" ht="12.75">
      <c r="A606">
        <f ca="1">IFERROR(__xludf.DUMMYFUNCTION("""COMPUTED_VALUE"""),605)</f>
        <v>605</v>
      </c>
      <c r="B606">
        <f ca="1">IFERROR(__xludf.DUMMYFUNCTION("""COMPUTED_VALUE"""),604)</f>
        <v>604</v>
      </c>
      <c r="C606" t="str">
        <f ca="1">IFERROR(__xludf.DUMMYFUNCTION("""COMPUTED_VALUE"""),"Richard Sterne")</f>
        <v>Richard Sterne</v>
      </c>
      <c r="D606" s="4">
        <f ca="1">IFERROR(__xludf.DUMMYFUNCTION("""COMPUTED_VALUE"""),537067)</f>
        <v>537067</v>
      </c>
    </row>
    <row r="607" spans="1:4" ht="12.75">
      <c r="A607">
        <f ca="1">IFERROR(__xludf.DUMMYFUNCTION("""COMPUTED_VALUE"""),606)</f>
        <v>606</v>
      </c>
      <c r="B607">
        <f ca="1">IFERROR(__xludf.DUMMYFUNCTION("""COMPUTED_VALUE"""),605)</f>
        <v>605</v>
      </c>
      <c r="C607" t="str">
        <f ca="1">IFERROR(__xludf.DUMMYFUNCTION("""COMPUTED_VALUE"""),"Rik Massengale")</f>
        <v>Rik Massengale</v>
      </c>
      <c r="D607" s="4">
        <f ca="1">IFERROR(__xludf.DUMMYFUNCTION("""COMPUTED_VALUE"""),536254)</f>
        <v>536254</v>
      </c>
    </row>
    <row r="608" spans="1:4" ht="12.75">
      <c r="A608">
        <f ca="1">IFERROR(__xludf.DUMMYFUNCTION("""COMPUTED_VALUE"""),607)</f>
        <v>607</v>
      </c>
      <c r="B608">
        <f ca="1">IFERROR(__xludf.DUMMYFUNCTION("""COMPUTED_VALUE"""),606)</f>
        <v>606</v>
      </c>
      <c r="C608" t="str">
        <f ca="1">IFERROR(__xludf.DUMMYFUNCTION("""COMPUTED_VALUE"""),"Bobby Cole")</f>
        <v>Bobby Cole</v>
      </c>
      <c r="D608" s="4">
        <f ca="1">IFERROR(__xludf.DUMMYFUNCTION("""COMPUTED_VALUE"""),535130)</f>
        <v>535130</v>
      </c>
    </row>
    <row r="609" spans="1:4" ht="12.75">
      <c r="A609">
        <f ca="1">IFERROR(__xludf.DUMMYFUNCTION("""COMPUTED_VALUE"""),608)</f>
        <v>608</v>
      </c>
      <c r="B609">
        <f ca="1">IFERROR(__xludf.DUMMYFUNCTION("""COMPUTED_VALUE"""),607)</f>
        <v>607</v>
      </c>
      <c r="C609" t="str">
        <f ca="1">IFERROR(__xludf.DUMMYFUNCTION("""COMPUTED_VALUE"""),"Mike Morley")</f>
        <v>Mike Morley</v>
      </c>
      <c r="D609" s="4">
        <f ca="1">IFERROR(__xludf.DUMMYFUNCTION("""COMPUTED_VALUE"""),526403)</f>
        <v>526403</v>
      </c>
    </row>
    <row r="610" spans="1:4" ht="12.75">
      <c r="A610">
        <f ca="1">IFERROR(__xludf.DUMMYFUNCTION("""COMPUTED_VALUE"""),609)</f>
        <v>609</v>
      </c>
      <c r="B610">
        <f ca="1">IFERROR(__xludf.DUMMYFUNCTION("""COMPUTED_VALUE"""),609)</f>
        <v>609</v>
      </c>
      <c r="C610" t="str">
        <f ca="1">IFERROR(__xludf.DUMMYFUNCTION("""COMPUTED_VALUE"""),"Jim Knous")</f>
        <v>Jim Knous</v>
      </c>
      <c r="D610" s="4">
        <f ca="1">IFERROR(__xludf.DUMMYFUNCTION("""COMPUTED_VALUE"""),515456)</f>
        <v>515456</v>
      </c>
    </row>
    <row r="611" spans="1:4" ht="12.75">
      <c r="A611">
        <f ca="1">IFERROR(__xludf.DUMMYFUNCTION("""COMPUTED_VALUE"""),610)</f>
        <v>610</v>
      </c>
      <c r="B611">
        <f ca="1">IFERROR(__xludf.DUMMYFUNCTION("""COMPUTED_VALUE"""),610)</f>
        <v>610</v>
      </c>
      <c r="C611" t="str">
        <f ca="1">IFERROR(__xludf.DUMMYFUNCTION("""COMPUTED_VALUE"""),"Michael Gligic")</f>
        <v>Michael Gligic</v>
      </c>
      <c r="D611" s="4">
        <f ca="1">IFERROR(__xludf.DUMMYFUNCTION("""COMPUTED_VALUE"""),508721)</f>
        <v>508721</v>
      </c>
    </row>
    <row r="612" spans="1:4" ht="12.75">
      <c r="A612">
        <f ca="1">IFERROR(__xludf.DUMMYFUNCTION("""COMPUTED_VALUE"""),611)</f>
        <v>611</v>
      </c>
      <c r="B612">
        <f ca="1">IFERROR(__xludf.DUMMYFUNCTION("""COMPUTED_VALUE"""),611)</f>
        <v>611</v>
      </c>
      <c r="C612" t="str">
        <f ca="1">IFERROR(__xludf.DUMMYFUNCTION("""COMPUTED_VALUE"""),"Ken Brown")</f>
        <v>Ken Brown</v>
      </c>
      <c r="D612" s="4">
        <f ca="1">IFERROR(__xludf.DUMMYFUNCTION("""COMPUTED_VALUE"""),507919)</f>
        <v>507919</v>
      </c>
    </row>
    <row r="613" spans="1:4" ht="12.75">
      <c r="A613">
        <f ca="1">IFERROR(__xludf.DUMMYFUNCTION("""COMPUTED_VALUE"""),612)</f>
        <v>612</v>
      </c>
      <c r="B613">
        <f ca="1">IFERROR(__xludf.DUMMYFUNCTION("""COMPUTED_VALUE"""),612)</f>
        <v>612</v>
      </c>
      <c r="C613" t="str">
        <f ca="1">IFERROR(__xludf.DUMMYFUNCTION("""COMPUTED_VALUE"""),"Jim Nelford")</f>
        <v>Jim Nelford</v>
      </c>
      <c r="D613" s="4">
        <f ca="1">IFERROR(__xludf.DUMMYFUNCTION("""COMPUTED_VALUE"""),485111)</f>
        <v>485111</v>
      </c>
    </row>
    <row r="614" spans="1:4" ht="12.75">
      <c r="A614">
        <f ca="1">IFERROR(__xludf.DUMMYFUNCTION("""COMPUTED_VALUE"""),613)</f>
        <v>613</v>
      </c>
      <c r="B614">
        <f ca="1">IFERROR(__xludf.DUMMYFUNCTION("""COMPUTED_VALUE"""),613)</f>
        <v>613</v>
      </c>
      <c r="C614" t="str">
        <f ca="1">IFERROR(__xludf.DUMMYFUNCTION("""COMPUTED_VALUE"""),"Sebastian Cappelen")</f>
        <v>Sebastian Cappelen</v>
      </c>
      <c r="D614" s="4">
        <f ca="1">IFERROR(__xludf.DUMMYFUNCTION("""COMPUTED_VALUE"""),482957)</f>
        <v>482957</v>
      </c>
    </row>
    <row r="615" spans="1:4" ht="12.75">
      <c r="A615">
        <f ca="1">IFERROR(__xludf.DUMMYFUNCTION("""COMPUTED_VALUE"""),614)</f>
        <v>614</v>
      </c>
      <c r="B615">
        <f ca="1">IFERROR(__xludf.DUMMYFUNCTION("""COMPUTED_VALUE"""),614)</f>
        <v>614</v>
      </c>
      <c r="C615" t="str">
        <f ca="1">IFERROR(__xludf.DUMMYFUNCTION("""COMPUTED_VALUE"""),"Paul Dunne")</f>
        <v>Paul Dunne</v>
      </c>
      <c r="D615" s="4">
        <f ca="1">IFERROR(__xludf.DUMMYFUNCTION("""COMPUTED_VALUE"""),480604)</f>
        <v>480604</v>
      </c>
    </row>
    <row r="616" spans="1:4" ht="12.75">
      <c r="A616">
        <f ca="1">IFERROR(__xludf.DUMMYFUNCTION("""COMPUTED_VALUE"""),615)</f>
        <v>615</v>
      </c>
      <c r="B616">
        <f ca="1">IFERROR(__xludf.DUMMYFUNCTION("""COMPUTED_VALUE"""),615)</f>
        <v>615</v>
      </c>
      <c r="C616" t="str">
        <f ca="1">IFERROR(__xludf.DUMMYFUNCTION("""COMPUTED_VALUE"""),"Tom Jenkins")</f>
        <v>Tom Jenkins</v>
      </c>
      <c r="D616" s="4">
        <f ca="1">IFERROR(__xludf.DUMMYFUNCTION("""COMPUTED_VALUE"""),470019)</f>
        <v>470019</v>
      </c>
    </row>
    <row r="617" spans="1:4" ht="12.75">
      <c r="A617">
        <f ca="1">IFERROR(__xludf.DUMMYFUNCTION("""COMPUTED_VALUE"""),616)</f>
        <v>616</v>
      </c>
      <c r="B617">
        <f ca="1">IFERROR(__xludf.DUMMYFUNCTION("""COMPUTED_VALUE"""),616)</f>
        <v>616</v>
      </c>
      <c r="C617" t="str">
        <f ca="1">IFERROR(__xludf.DUMMYFUNCTION("""COMPUTED_VALUE"""),"Bob Lunn")</f>
        <v>Bob Lunn</v>
      </c>
      <c r="D617" s="4">
        <f ca="1">IFERROR(__xludf.DUMMYFUNCTION("""COMPUTED_VALUE"""),459182)</f>
        <v>459182</v>
      </c>
    </row>
    <row r="618" spans="1:4" ht="12.75">
      <c r="A618">
        <f ca="1">IFERROR(__xludf.DUMMYFUNCTION("""COMPUTED_VALUE"""),617)</f>
        <v>617</v>
      </c>
      <c r="B618">
        <f ca="1">IFERROR(__xludf.DUMMYFUNCTION("""COMPUTED_VALUE"""),617)</f>
        <v>617</v>
      </c>
      <c r="C618" t="str">
        <f ca="1">IFERROR(__xludf.DUMMYFUNCTION("""COMPUTED_VALUE"""),"Mike Nicolette")</f>
        <v>Mike Nicolette</v>
      </c>
      <c r="D618" s="4">
        <f ca="1">IFERROR(__xludf.DUMMYFUNCTION("""COMPUTED_VALUE"""),448037)</f>
        <v>448037</v>
      </c>
    </row>
    <row r="619" spans="1:4" ht="12.75">
      <c r="A619">
        <f ca="1">IFERROR(__xludf.DUMMYFUNCTION("""COMPUTED_VALUE"""),618)</f>
        <v>618</v>
      </c>
      <c r="B619">
        <f ca="1">IFERROR(__xludf.DUMMYFUNCTION("""COMPUTED_VALUE"""),618)</f>
        <v>618</v>
      </c>
      <c r="C619" t="str">
        <f ca="1">IFERROR(__xludf.DUMMYFUNCTION("""COMPUTED_VALUE"""),"WC Liang")</f>
        <v>WC Liang</v>
      </c>
      <c r="D619" s="4">
        <f ca="1">IFERROR(__xludf.DUMMYFUNCTION("""COMPUTED_VALUE"""),445366)</f>
        <v>445366</v>
      </c>
    </row>
    <row r="620" spans="1:4" ht="12.75">
      <c r="A620">
        <f ca="1">IFERROR(__xludf.DUMMYFUNCTION("""COMPUTED_VALUE"""),619)</f>
        <v>619</v>
      </c>
      <c r="B620">
        <f ca="1">IFERROR(__xludf.DUMMYFUNCTION("""COMPUTED_VALUE"""),619)</f>
        <v>619</v>
      </c>
      <c r="C620" t="str">
        <f ca="1">IFERROR(__xludf.DUMMYFUNCTION("""COMPUTED_VALUE"""),"Adam Svensson")</f>
        <v>Adam Svensson</v>
      </c>
      <c r="D620" s="4">
        <f ca="1">IFERROR(__xludf.DUMMYFUNCTION("""COMPUTED_VALUE"""),442104)</f>
        <v>442104</v>
      </c>
    </row>
    <row r="621" spans="1:4" ht="12.75">
      <c r="A621">
        <f ca="1">IFERROR(__xludf.DUMMYFUNCTION("""COMPUTED_VALUE"""),620)</f>
        <v>620</v>
      </c>
      <c r="B621">
        <f ca="1">IFERROR(__xludf.DUMMYFUNCTION("""COMPUTED_VALUE"""),620)</f>
        <v>620</v>
      </c>
      <c r="C621" t="str">
        <f ca="1">IFERROR(__xludf.DUMMYFUNCTION("""COMPUTED_VALUE"""),"Tom Shaw")</f>
        <v>Tom Shaw</v>
      </c>
      <c r="D621" s="4">
        <f ca="1">IFERROR(__xludf.DUMMYFUNCTION("""COMPUTED_VALUE"""),434756)</f>
        <v>434756</v>
      </c>
    </row>
    <row r="622" spans="1:4" ht="12.75">
      <c r="A622">
        <f ca="1">IFERROR(__xludf.DUMMYFUNCTION("""COMPUTED_VALUE"""),621)</f>
        <v>621</v>
      </c>
      <c r="B622">
        <f ca="1">IFERROR(__xludf.DUMMYFUNCTION("""COMPUTED_VALUE"""),621)</f>
        <v>621</v>
      </c>
      <c r="C622" t="str">
        <f ca="1">IFERROR(__xludf.DUMMYFUNCTION("""COMPUTED_VALUE"""),"Allen Miller")</f>
        <v>Allen Miller</v>
      </c>
      <c r="D622" s="4">
        <f ca="1">IFERROR(__xludf.DUMMYFUNCTION("""COMPUTED_VALUE"""),426883)</f>
        <v>426883</v>
      </c>
    </row>
    <row r="623" spans="1:4" ht="12.75">
      <c r="A623">
        <f ca="1">IFERROR(__xludf.DUMMYFUNCTION("""COMPUTED_VALUE"""),622)</f>
        <v>622</v>
      </c>
      <c r="B623">
        <f ca="1">IFERROR(__xludf.DUMMYFUNCTION("""COMPUTED_VALUE"""),622)</f>
        <v>622</v>
      </c>
      <c r="C623" t="str">
        <f ca="1">IFERROR(__xludf.DUMMYFUNCTION("""COMPUTED_VALUE"""),"Phillip Hancock")</f>
        <v>Phillip Hancock</v>
      </c>
      <c r="D623" s="4">
        <f ca="1">IFERROR(__xludf.DUMMYFUNCTION("""COMPUTED_VALUE"""),425154)</f>
        <v>425154</v>
      </c>
    </row>
    <row r="624" spans="1:4" ht="12.75">
      <c r="A624">
        <f ca="1">IFERROR(__xludf.DUMMYFUNCTION("""COMPUTED_VALUE"""),623)</f>
        <v>623</v>
      </c>
      <c r="B624">
        <f ca="1">IFERROR(__xludf.DUMMYFUNCTION("""COMPUTED_VALUE"""),623)</f>
        <v>623</v>
      </c>
      <c r="C624" t="str">
        <f ca="1">IFERROR(__xludf.DUMMYFUNCTION("""COMPUTED_VALUE"""),"José de Jesús Rodríguez")</f>
        <v>José de Jesús Rodríguez</v>
      </c>
      <c r="D624" s="4">
        <f ca="1">IFERROR(__xludf.DUMMYFUNCTION("""COMPUTED_VALUE"""),417164)</f>
        <v>417164</v>
      </c>
    </row>
    <row r="625" spans="1:4" ht="12.75">
      <c r="A625">
        <f ca="1">IFERROR(__xludf.DUMMYFUNCTION("""COMPUTED_VALUE"""),624)</f>
        <v>624</v>
      </c>
      <c r="B625">
        <f ca="1">IFERROR(__xludf.DUMMYFUNCTION("""COMPUTED_VALUE"""),624)</f>
        <v>624</v>
      </c>
      <c r="C625" t="str">
        <f ca="1">IFERROR(__xludf.DUMMYFUNCTION("""COMPUTED_VALUE"""),"Larry Hinson")</f>
        <v>Larry Hinson</v>
      </c>
      <c r="D625" s="4">
        <f ca="1">IFERROR(__xludf.DUMMYFUNCTION("""COMPUTED_VALUE"""),413284)</f>
        <v>413284</v>
      </c>
    </row>
    <row r="626" spans="1:4" ht="12.75">
      <c r="A626">
        <f ca="1">IFERROR(__xludf.DUMMYFUNCTION("""COMPUTED_VALUE"""),625)</f>
        <v>625</v>
      </c>
      <c r="B626">
        <f ca="1">IFERROR(__xludf.DUMMYFUNCTION("""COMPUTED_VALUE"""),625)</f>
        <v>625</v>
      </c>
      <c r="C626" t="str">
        <f ca="1">IFERROR(__xludf.DUMMYFUNCTION("""COMPUTED_VALUE"""),"Rhein Gibson")</f>
        <v>Rhein Gibson</v>
      </c>
      <c r="D626" s="4">
        <f ca="1">IFERROR(__xludf.DUMMYFUNCTION("""COMPUTED_VALUE"""),410668)</f>
        <v>410668</v>
      </c>
    </row>
    <row r="627" spans="1:4" ht="12.75">
      <c r="A627">
        <f ca="1">IFERROR(__xludf.DUMMYFUNCTION("""COMPUTED_VALUE"""),626)</f>
        <v>626</v>
      </c>
      <c r="B627">
        <f ca="1">IFERROR(__xludf.DUMMYFUNCTION("""COMPUTED_VALUE"""),626)</f>
        <v>626</v>
      </c>
      <c r="C627" t="str">
        <f ca="1">IFERROR(__xludf.DUMMYFUNCTION("""COMPUTED_VALUE"""),"Wally Armstrong")</f>
        <v>Wally Armstrong</v>
      </c>
      <c r="D627" s="4">
        <f ca="1">IFERROR(__xludf.DUMMYFUNCTION("""COMPUTED_VALUE"""),406269)</f>
        <v>406269</v>
      </c>
    </row>
    <row r="628" spans="1:4" ht="12.75">
      <c r="A628">
        <f ca="1">IFERROR(__xludf.DUMMYFUNCTION("""COMPUTED_VALUE"""),627)</f>
        <v>627</v>
      </c>
      <c r="B628">
        <f ca="1">IFERROR(__xludf.DUMMYFUNCTION("""COMPUTED_VALUE"""),627)</f>
        <v>627</v>
      </c>
      <c r="C628" t="str">
        <f ca="1">IFERROR(__xludf.DUMMYFUNCTION("""COMPUTED_VALUE"""),"Fred Marti")</f>
        <v>Fred Marti</v>
      </c>
      <c r="D628" s="4">
        <f ca="1">IFERROR(__xludf.DUMMYFUNCTION("""COMPUTED_VALUE"""),404674)</f>
        <v>404674</v>
      </c>
    </row>
    <row r="629" spans="1:4" ht="12.75">
      <c r="A629">
        <f ca="1">IFERROR(__xludf.DUMMYFUNCTION("""COMPUTED_VALUE"""),628)</f>
        <v>628</v>
      </c>
      <c r="B629">
        <f ca="1">IFERROR(__xludf.DUMMYFUNCTION("""COMPUTED_VALUE"""),628)</f>
        <v>628</v>
      </c>
      <c r="C629" t="str">
        <f ca="1">IFERROR(__xludf.DUMMYFUNCTION("""COMPUTED_VALUE"""),"Terry Diehl")</f>
        <v>Terry Diehl</v>
      </c>
      <c r="D629" s="4">
        <f ca="1">IFERROR(__xludf.DUMMYFUNCTION("""COMPUTED_VALUE"""),404611)</f>
        <v>404611</v>
      </c>
    </row>
    <row r="630" spans="1:4" ht="12.75">
      <c r="A630">
        <f ca="1">IFERROR(__xludf.DUMMYFUNCTION("""COMPUTED_VALUE"""),629)</f>
        <v>629</v>
      </c>
      <c r="B630">
        <f ca="1">IFERROR(__xludf.DUMMYFUNCTION("""COMPUTED_VALUE"""),629)</f>
        <v>629</v>
      </c>
      <c r="C630" t="str">
        <f ca="1">IFERROR(__xludf.DUMMYFUNCTION("""COMPUTED_VALUE"""),"Dow Finsterwald")</f>
        <v>Dow Finsterwald</v>
      </c>
      <c r="D630" s="4">
        <f ca="1">IFERROR(__xludf.DUMMYFUNCTION("""COMPUTED_VALUE"""),402102)</f>
        <v>402102</v>
      </c>
    </row>
    <row r="631" spans="1:4" ht="12.75">
      <c r="A631">
        <f ca="1">IFERROR(__xludf.DUMMYFUNCTION("""COMPUTED_VALUE"""),630)</f>
        <v>630</v>
      </c>
      <c r="B631">
        <f ca="1">IFERROR(__xludf.DUMMYFUNCTION("""COMPUTED_VALUE"""),647)</f>
        <v>647</v>
      </c>
      <c r="C631" t="str">
        <f ca="1">IFERROR(__xludf.DUMMYFUNCTION("""COMPUTED_VALUE"""),"Dawie van der Walt")</f>
        <v>Dawie van der Walt</v>
      </c>
      <c r="D631" s="4">
        <f ca="1">IFERROR(__xludf.DUMMYFUNCTION("""COMPUTED_VALUE"""),398507)</f>
        <v>398507</v>
      </c>
    </row>
    <row r="632" spans="1:4" ht="12.75">
      <c r="A632">
        <f ca="1">IFERROR(__xludf.DUMMYFUNCTION("""COMPUTED_VALUE"""),631)</f>
        <v>631</v>
      </c>
      <c r="B632">
        <f ca="1">IFERROR(__xludf.DUMMYFUNCTION("""COMPUTED_VALUE"""),630)</f>
        <v>630</v>
      </c>
      <c r="C632" t="str">
        <f ca="1">IFERROR(__xludf.DUMMYFUNCTION("""COMPUTED_VALUE"""),"Jim Benepe")</f>
        <v>Jim Benepe</v>
      </c>
      <c r="D632" s="4">
        <f ca="1">IFERROR(__xludf.DUMMYFUNCTION("""COMPUTED_VALUE"""),395214)</f>
        <v>395214</v>
      </c>
    </row>
    <row r="633" spans="1:4" ht="12.75">
      <c r="A633">
        <f ca="1">IFERROR(__xludf.DUMMYFUNCTION("""COMPUTED_VALUE"""),632)</f>
        <v>632</v>
      </c>
      <c r="B633">
        <f ca="1">IFERROR(__xludf.DUMMYFUNCTION("""COMPUTED_VALUE"""),631)</f>
        <v>631</v>
      </c>
      <c r="C633" t="str">
        <f ca="1">IFERROR(__xludf.DUMMYFUNCTION("""COMPUTED_VALUE"""),"Dylan Meyer")</f>
        <v>Dylan Meyer</v>
      </c>
      <c r="D633" s="4">
        <f ca="1">IFERROR(__xludf.DUMMYFUNCTION("""COMPUTED_VALUE"""),394223)</f>
        <v>394223</v>
      </c>
    </row>
    <row r="634" spans="1:4" ht="12.75">
      <c r="A634">
        <f ca="1">IFERROR(__xludf.DUMMYFUNCTION("""COMPUTED_VALUE"""),633)</f>
        <v>633</v>
      </c>
      <c r="B634">
        <f ca="1">IFERROR(__xludf.DUMMYFUNCTION("""COMPUTED_VALUE"""),632)</f>
        <v>632</v>
      </c>
      <c r="C634" t="str">
        <f ca="1">IFERROR(__xludf.DUMMYFUNCTION("""COMPUTED_VALUE"""),"John Fought")</f>
        <v>John Fought</v>
      </c>
      <c r="D634" s="4">
        <f ca="1">IFERROR(__xludf.DUMMYFUNCTION("""COMPUTED_VALUE"""),387036)</f>
        <v>387036</v>
      </c>
    </row>
    <row r="635" spans="1:4" ht="12.75">
      <c r="A635">
        <f ca="1">IFERROR(__xludf.DUMMYFUNCTION("""COMPUTED_VALUE"""),634)</f>
        <v>634</v>
      </c>
      <c r="B635">
        <f ca="1">IFERROR(__xludf.DUMMYFUNCTION("""COMPUTED_VALUE"""),633)</f>
        <v>633</v>
      </c>
      <c r="C635" t="str">
        <f ca="1">IFERROR(__xludf.DUMMYFUNCTION("""COMPUTED_VALUE"""),"Greg Powers")</f>
        <v>Greg Powers</v>
      </c>
      <c r="D635" s="4">
        <f ca="1">IFERROR(__xludf.DUMMYFUNCTION("""COMPUTED_VALUE"""),386086)</f>
        <v>386086</v>
      </c>
    </row>
    <row r="636" spans="1:4" ht="12.75">
      <c r="A636">
        <f ca="1">IFERROR(__xludf.DUMMYFUNCTION("""COMPUTED_VALUE"""),635)</f>
        <v>635</v>
      </c>
      <c r="B636">
        <f ca="1">IFERROR(__xludf.DUMMYFUNCTION("""COMPUTED_VALUE"""),634)</f>
        <v>634</v>
      </c>
      <c r="C636" t="str">
        <f ca="1">IFERROR(__xludf.DUMMYFUNCTION("""COMPUTED_VALUE"""),"Bob Smith")</f>
        <v>Bob Smith</v>
      </c>
      <c r="D636" s="4">
        <f ca="1">IFERROR(__xludf.DUMMYFUNCTION("""COMPUTED_VALUE"""),385283)</f>
        <v>385283</v>
      </c>
    </row>
    <row r="637" spans="1:4" ht="12.75">
      <c r="A637">
        <f ca="1">IFERROR(__xludf.DUMMYFUNCTION("""COMPUTED_VALUE"""),636)</f>
        <v>636</v>
      </c>
      <c r="B637">
        <f ca="1">IFERROR(__xludf.DUMMYFUNCTION("""COMPUTED_VALUE"""),635)</f>
        <v>635</v>
      </c>
      <c r="C637" t="str">
        <f ca="1">IFERROR(__xludf.DUMMYFUNCTION("""COMPUTED_VALUE"""),"Bob Shearer")</f>
        <v>Bob Shearer</v>
      </c>
      <c r="D637" s="4">
        <f ca="1">IFERROR(__xludf.DUMMYFUNCTION("""COMPUTED_VALUE"""),378336)</f>
        <v>378336</v>
      </c>
    </row>
    <row r="638" spans="1:4" ht="12.75">
      <c r="A638">
        <f ca="1">IFERROR(__xludf.DUMMYFUNCTION("""COMPUTED_VALUE"""),637)</f>
        <v>637</v>
      </c>
      <c r="B638">
        <f ca="1">IFERROR(__xludf.DUMMYFUNCTION("""COMPUTED_VALUE"""),636)</f>
        <v>636</v>
      </c>
      <c r="C638" t="str">
        <f ca="1">IFERROR(__xludf.DUMMYFUNCTION("""COMPUTED_VALUE"""),"Billy Maxwell")</f>
        <v>Billy Maxwell</v>
      </c>
      <c r="D638" s="4">
        <f ca="1">IFERROR(__xludf.DUMMYFUNCTION("""COMPUTED_VALUE"""),375648)</f>
        <v>375648</v>
      </c>
    </row>
    <row r="639" spans="1:4" ht="12.75">
      <c r="A639">
        <f ca="1">IFERROR(__xludf.DUMMYFUNCTION("""COMPUTED_VALUE"""),638)</f>
        <v>638</v>
      </c>
      <c r="B639">
        <f ca="1">IFERROR(__xludf.DUMMYFUNCTION("""COMPUTED_VALUE"""),637)</f>
        <v>637</v>
      </c>
      <c r="C639" t="str">
        <f ca="1">IFERROR(__xludf.DUMMYFUNCTION("""COMPUTED_VALUE"""),"Johnny Pott")</f>
        <v>Johnny Pott</v>
      </c>
      <c r="D639" s="4">
        <f ca="1">IFERROR(__xludf.DUMMYFUNCTION("""COMPUTED_VALUE"""),371396)</f>
        <v>371396</v>
      </c>
    </row>
    <row r="640" spans="1:4" ht="12.75">
      <c r="A640">
        <f ca="1">IFERROR(__xludf.DUMMYFUNCTION("""COMPUTED_VALUE"""),639)</f>
        <v>639</v>
      </c>
      <c r="B640">
        <f ca="1">IFERROR(__xludf.DUMMYFUNCTION("""COMPUTED_VALUE"""),638)</f>
        <v>638</v>
      </c>
      <c r="C640" t="str">
        <f ca="1">IFERROR(__xludf.DUMMYFUNCTION("""COMPUTED_VALUE"""),"Deane Beman")</f>
        <v>Deane Beman</v>
      </c>
      <c r="D640" s="4">
        <f ca="1">IFERROR(__xludf.DUMMYFUNCTION("""COMPUTED_VALUE"""),370003)</f>
        <v>370003</v>
      </c>
    </row>
    <row r="641" spans="1:4" ht="12.75">
      <c r="A641">
        <f ca="1">IFERROR(__xludf.DUMMYFUNCTION("""COMPUTED_VALUE"""),640)</f>
        <v>640</v>
      </c>
      <c r="B641">
        <f ca="1">IFERROR(__xludf.DUMMYFUNCTION("""COMPUTED_VALUE"""),639)</f>
        <v>639</v>
      </c>
      <c r="C641" t="str">
        <f ca="1">IFERROR(__xludf.DUMMYFUNCTION("""COMPUTED_VALUE"""),"Robert MacIntyre")</f>
        <v>Robert MacIntyre</v>
      </c>
      <c r="D641" s="4">
        <f ca="1">IFERROR(__xludf.DUMMYFUNCTION("""COMPUTED_VALUE"""),360073)</f>
        <v>360073</v>
      </c>
    </row>
    <row r="642" spans="1:4" ht="12.75">
      <c r="A642">
        <f ca="1">IFERROR(__xludf.DUMMYFUNCTION("""COMPUTED_VALUE"""),641)</f>
        <v>641</v>
      </c>
      <c r="B642">
        <f ca="1">IFERROR(__xludf.DUMMYFUNCTION("""COMPUTED_VALUE"""),640)</f>
        <v>640</v>
      </c>
      <c r="C642" t="str">
        <f ca="1">IFERROR(__xludf.DUMMYFUNCTION("""COMPUTED_VALUE"""),"R.H. Sikes")</f>
        <v>R.H. Sikes</v>
      </c>
      <c r="D642" s="4">
        <f ca="1">IFERROR(__xludf.DUMMYFUNCTION("""COMPUTED_VALUE"""),344387)</f>
        <v>344387</v>
      </c>
    </row>
    <row r="643" spans="1:4" ht="12.75">
      <c r="A643">
        <f ca="1">IFERROR(__xludf.DUMMYFUNCTION("""COMPUTED_VALUE"""),642)</f>
        <v>642</v>
      </c>
      <c r="B643">
        <f ca="1">IFERROR(__xludf.DUMMYFUNCTION("""COMPUTED_VALUE"""),641)</f>
        <v>641</v>
      </c>
      <c r="C643" t="str">
        <f ca="1">IFERROR(__xludf.DUMMYFUNCTION("""COMPUTED_VALUE"""),"Ryan Fox")</f>
        <v>Ryan Fox</v>
      </c>
      <c r="D643" s="4">
        <f ca="1">IFERROR(__xludf.DUMMYFUNCTION("""COMPUTED_VALUE"""),338818)</f>
        <v>338818</v>
      </c>
    </row>
    <row r="644" spans="1:4" ht="12.75">
      <c r="A644">
        <f ca="1">IFERROR(__xludf.DUMMYFUNCTION("""COMPUTED_VALUE"""),643)</f>
        <v>643</v>
      </c>
      <c r="B644">
        <f ca="1">IFERROR(__xludf.DUMMYFUNCTION("""COMPUTED_VALUE"""),642)</f>
        <v>642</v>
      </c>
      <c r="C644" t="str">
        <f ca="1">IFERROR(__xludf.DUMMYFUNCTION("""COMPUTED_VALUE"""),"Tony Jacklin")</f>
        <v>Tony Jacklin</v>
      </c>
      <c r="D644" s="4">
        <f ca="1">IFERROR(__xludf.DUMMYFUNCTION("""COMPUTED_VALUE"""),336530)</f>
        <v>336530</v>
      </c>
    </row>
    <row r="645" spans="1:4" ht="12.75">
      <c r="A645">
        <f ca="1">IFERROR(__xludf.DUMMYFUNCTION("""COMPUTED_VALUE"""),644)</f>
        <v>644</v>
      </c>
      <c r="B645">
        <f ca="1">IFERROR(__xludf.DUMMYFUNCTION("""COMPUTED_VALUE"""),643)</f>
        <v>643</v>
      </c>
      <c r="C645" t="str">
        <f ca="1">IFERROR(__xludf.DUMMYFUNCTION("""COMPUTED_VALUE"""),"Lyn Lott")</f>
        <v>Lyn Lott</v>
      </c>
      <c r="D645" s="4">
        <f ca="1">IFERROR(__xludf.DUMMYFUNCTION("""COMPUTED_VALUE"""),325966)</f>
        <v>325966</v>
      </c>
    </row>
    <row r="646" spans="1:4" ht="12.75">
      <c r="A646">
        <f ca="1">IFERROR(__xludf.DUMMYFUNCTION("""COMPUTED_VALUE"""),645)</f>
        <v>645</v>
      </c>
      <c r="B646">
        <f ca="1">IFERROR(__xludf.DUMMYFUNCTION("""COMPUTED_VALUE"""),644)</f>
        <v>644</v>
      </c>
      <c r="C646" t="str">
        <f ca="1">IFERROR(__xludf.DUMMYFUNCTION("""COMPUTED_VALUE"""),"Jason Caron")</f>
        <v>Jason Caron</v>
      </c>
      <c r="D646" s="4">
        <f ca="1">IFERROR(__xludf.DUMMYFUNCTION("""COMPUTED_VALUE"""),324300)</f>
        <v>324300</v>
      </c>
    </row>
    <row r="647" spans="1:4" ht="12.75">
      <c r="A647">
        <f ca="1">IFERROR(__xludf.DUMMYFUNCTION("""COMPUTED_VALUE"""),646)</f>
        <v>646</v>
      </c>
      <c r="B647">
        <f ca="1">IFERROR(__xludf.DUMMYFUNCTION("""COMPUTED_VALUE"""),645)</f>
        <v>645</v>
      </c>
      <c r="C647" t="str">
        <f ca="1">IFERROR(__xludf.DUMMYFUNCTION("""COMPUTED_VALUE"""),"Jeff Mitchell")</f>
        <v>Jeff Mitchell</v>
      </c>
      <c r="D647" s="4">
        <f ca="1">IFERROR(__xludf.DUMMYFUNCTION("""COMPUTED_VALUE"""),322320)</f>
        <v>322320</v>
      </c>
    </row>
    <row r="648" spans="1:4" ht="12.75">
      <c r="A648">
        <f ca="1">IFERROR(__xludf.DUMMYFUNCTION("""COMPUTED_VALUE"""),647)</f>
        <v>647</v>
      </c>
      <c r="B648">
        <f ca="1">IFERROR(__xludf.DUMMYFUNCTION("""COMPUTED_VALUE"""),646)</f>
        <v>646</v>
      </c>
      <c r="C648" t="str">
        <f ca="1">IFERROR(__xludf.DUMMYFUNCTION("""COMPUTED_VALUE"""),"Pat Lindsey")</f>
        <v>Pat Lindsey</v>
      </c>
      <c r="D648" s="4">
        <f ca="1">IFERROR(__xludf.DUMMYFUNCTION("""COMPUTED_VALUE"""),318777)</f>
        <v>318777</v>
      </c>
    </row>
    <row r="649" spans="1:4" ht="12.75">
      <c r="A649">
        <f ca="1">IFERROR(__xludf.DUMMYFUNCTION("""COMPUTED_VALUE"""),648)</f>
        <v>648</v>
      </c>
      <c r="B649">
        <f ca="1">IFERROR(__xludf.DUMMYFUNCTION("""COMPUTED_VALUE"""),648)</f>
        <v>648</v>
      </c>
      <c r="C649" t="str">
        <f ca="1">IFERROR(__xludf.DUMMYFUNCTION("""COMPUTED_VALUE"""),"Woody Blackburn")</f>
        <v>Woody Blackburn</v>
      </c>
      <c r="D649" s="4">
        <f ca="1">IFERROR(__xludf.DUMMYFUNCTION("""COMPUTED_VALUE"""),310231)</f>
        <v>310231</v>
      </c>
    </row>
    <row r="650" spans="1:4" ht="12.75">
      <c r="A650">
        <f ca="1">IFERROR(__xludf.DUMMYFUNCTION("""COMPUTED_VALUE"""),649)</f>
        <v>649</v>
      </c>
      <c r="B650">
        <f ca="1">IFERROR(__xludf.DUMMYFUNCTION("""COMPUTED_VALUE"""),649)</f>
        <v>649</v>
      </c>
      <c r="C650" t="str">
        <f ca="1">IFERROR(__xludf.DUMMYFUNCTION("""COMPUTED_VALUE"""),"Seth Reeves")</f>
        <v>Seth Reeves</v>
      </c>
      <c r="D650" s="4">
        <f ca="1">IFERROR(__xludf.DUMMYFUNCTION("""COMPUTED_VALUE"""),309588)</f>
        <v>309588</v>
      </c>
    </row>
    <row r="651" spans="1:4" ht="12.75">
      <c r="A651">
        <f ca="1">IFERROR(__xludf.DUMMYFUNCTION("""COMPUTED_VALUE"""),650)</f>
        <v>650</v>
      </c>
      <c r="B651">
        <f ca="1">IFERROR(__xludf.DUMMYFUNCTION("""COMPUTED_VALUE"""),650)</f>
        <v>650</v>
      </c>
      <c r="C651" t="str">
        <f ca="1">IFERROR(__xludf.DUMMYFUNCTION("""COMPUTED_VALUE"""),"Justin Suh")</f>
        <v>Justin Suh</v>
      </c>
      <c r="D651" s="4">
        <f ca="1">IFERROR(__xludf.DUMMYFUNCTION("""COMPUTED_VALUE"""),307852)</f>
        <v>307852</v>
      </c>
    </row>
    <row r="652" spans="1:4" ht="12.75">
      <c r="A652">
        <f ca="1">IFERROR(__xludf.DUMMYFUNCTION("""COMPUTED_VALUE"""),651)</f>
        <v>651</v>
      </c>
      <c r="B652">
        <f ca="1">IFERROR(__xludf.DUMMYFUNCTION("""COMPUTED_VALUE"""),651)</f>
        <v>651</v>
      </c>
      <c r="C652" t="str">
        <f ca="1">IFERROR(__xludf.DUMMYFUNCTION("""COMPUTED_VALUE"""),"Vincent Whaley")</f>
        <v>Vincent Whaley</v>
      </c>
      <c r="D652" s="4">
        <f ca="1">IFERROR(__xludf.DUMMYFUNCTION("""COMPUTED_VALUE"""),306713)</f>
        <v>306713</v>
      </c>
    </row>
    <row r="653" spans="1:4" ht="12.75">
      <c r="A653">
        <f ca="1">IFERROR(__xludf.DUMMYFUNCTION("""COMPUTED_VALUE"""),652)</f>
        <v>652</v>
      </c>
      <c r="B653">
        <f ca="1">IFERROR(__xludf.DUMMYFUNCTION("""COMPUTED_VALUE"""),652)</f>
        <v>652</v>
      </c>
      <c r="C653" t="str">
        <f ca="1">IFERROR(__xludf.DUMMYFUNCTION("""COMPUTED_VALUE"""),"Sam Horsfield")</f>
        <v>Sam Horsfield</v>
      </c>
      <c r="D653" s="4">
        <f ca="1">IFERROR(__xludf.DUMMYFUNCTION("""COMPUTED_VALUE"""),305259)</f>
        <v>305259</v>
      </c>
    </row>
    <row r="654" spans="1:4" ht="12.75">
      <c r="A654">
        <f ca="1">IFERROR(__xludf.DUMMYFUNCTION("""COMPUTED_VALUE"""),653)</f>
        <v>653</v>
      </c>
      <c r="B654">
        <f ca="1">IFERROR(__xludf.DUMMYFUNCTION("""COMPUTED_VALUE"""),653)</f>
        <v>653</v>
      </c>
      <c r="C654" t="str">
        <f ca="1">IFERROR(__xludf.DUMMYFUNCTION("""COMPUTED_VALUE"""),"Christiaan Bezuidenhout")</f>
        <v>Christiaan Bezuidenhout</v>
      </c>
      <c r="D654" s="4">
        <f ca="1">IFERROR(__xludf.DUMMYFUNCTION("""COMPUTED_VALUE"""),302221)</f>
        <v>302221</v>
      </c>
    </row>
    <row r="655" spans="1:4" ht="12.75">
      <c r="A655">
        <f ca="1">IFERROR(__xludf.DUMMYFUNCTION("""COMPUTED_VALUE"""),654)</f>
        <v>654</v>
      </c>
      <c r="B655">
        <f ca="1">IFERROR(__xludf.DUMMYFUNCTION("""COMPUTED_VALUE"""),654)</f>
        <v>654</v>
      </c>
      <c r="C655" t="str">
        <f ca="1">IFERROR(__xludf.DUMMYFUNCTION("""COMPUTED_VALUE"""),"Bob Dickson")</f>
        <v>Bob Dickson</v>
      </c>
      <c r="D655" s="4">
        <f ca="1">IFERROR(__xludf.DUMMYFUNCTION("""COMPUTED_VALUE"""),296640)</f>
        <v>296640</v>
      </c>
    </row>
    <row r="656" spans="1:4" ht="12.75">
      <c r="A656">
        <f ca="1">IFERROR(__xludf.DUMMYFUNCTION("""COMPUTED_VALUE"""),655)</f>
        <v>655</v>
      </c>
      <c r="B656">
        <f ca="1">IFERROR(__xludf.DUMMYFUNCTION("""COMPUTED_VALUE"""),655)</f>
        <v>655</v>
      </c>
      <c r="C656" t="str">
        <f ca="1">IFERROR(__xludf.DUMMYFUNCTION("""COMPUTED_VALUE"""),"Labron Harris")</f>
        <v>Labron Harris</v>
      </c>
      <c r="D656" s="4">
        <f ca="1">IFERROR(__xludf.DUMMYFUNCTION("""COMPUTED_VALUE"""),295917)</f>
        <v>295917</v>
      </c>
    </row>
    <row r="657" spans="1:4" ht="12.75">
      <c r="A657">
        <f ca="1">IFERROR(__xludf.DUMMYFUNCTION("""COMPUTED_VALUE"""),656)</f>
        <v>656</v>
      </c>
      <c r="B657">
        <f ca="1">IFERROR(__xludf.DUMMYFUNCTION("""COMPUTED_VALUE"""),656)</f>
        <v>656</v>
      </c>
      <c r="C657" t="str">
        <f ca="1">IFERROR(__xludf.DUMMYFUNCTION("""COMPUTED_VALUE"""),"Bob Sowards")</f>
        <v>Bob Sowards</v>
      </c>
      <c r="D657" s="4">
        <f ca="1">IFERROR(__xludf.DUMMYFUNCTION("""COMPUTED_VALUE"""),282489)</f>
        <v>282489</v>
      </c>
    </row>
    <row r="658" spans="1:4" ht="12.75">
      <c r="A658">
        <f ca="1">IFERROR(__xludf.DUMMYFUNCTION("""COMPUTED_VALUE"""),657)</f>
        <v>657</v>
      </c>
      <c r="B658">
        <f ca="1">IFERROR(__xludf.DUMMYFUNCTION("""COMPUTED_VALUE"""),657)</f>
        <v>657</v>
      </c>
      <c r="C658" t="str">
        <f ca="1">IFERROR(__xludf.DUMMYFUNCTION("""COMPUTED_VALUE"""),"Ernie Gonzalez")</f>
        <v>Ernie Gonzalez</v>
      </c>
      <c r="D658" s="4">
        <f ca="1">IFERROR(__xludf.DUMMYFUNCTION("""COMPUTED_VALUE"""),275820)</f>
        <v>275820</v>
      </c>
    </row>
    <row r="659" spans="1:4" ht="12.75">
      <c r="A659">
        <f ca="1">IFERROR(__xludf.DUMMYFUNCTION("""COMPUTED_VALUE"""),658)</f>
        <v>658</v>
      </c>
      <c r="B659">
        <f ca="1">IFERROR(__xludf.DUMMYFUNCTION("""COMPUTED_VALUE"""),658)</f>
        <v>658</v>
      </c>
      <c r="C659" t="str">
        <f ca="1">IFERROR(__xludf.DUMMYFUNCTION("""COMPUTED_VALUE"""),"Jazz Janewattananond")</f>
        <v>Jazz Janewattananond</v>
      </c>
      <c r="D659" s="4">
        <f ca="1">IFERROR(__xludf.DUMMYFUNCTION("""COMPUTED_VALUE"""),273520)</f>
        <v>273520</v>
      </c>
    </row>
    <row r="660" spans="1:4" ht="12.75">
      <c r="A660">
        <f ca="1">IFERROR(__xludf.DUMMYFUNCTION("""COMPUTED_VALUE"""),659)</f>
        <v>659</v>
      </c>
      <c r="B660">
        <f ca="1">IFERROR(__xludf.DUMMYFUNCTION("""COMPUTED_VALUE"""),659)</f>
        <v>659</v>
      </c>
      <c r="C660" t="str">
        <f ca="1">IFERROR(__xludf.DUMMYFUNCTION("""COMPUTED_VALUE"""),"DeWitt Weaver")</f>
        <v>DeWitt Weaver</v>
      </c>
      <c r="D660" s="4">
        <f ca="1">IFERROR(__xludf.DUMMYFUNCTION("""COMPUTED_VALUE"""),273435)</f>
        <v>273435</v>
      </c>
    </row>
    <row r="661" spans="1:4" ht="12.75">
      <c r="A661">
        <f ca="1">IFERROR(__xludf.DUMMYFUNCTION("""COMPUTED_VALUE"""),660)</f>
        <v>660</v>
      </c>
      <c r="B661">
        <f ca="1">IFERROR(__xludf.DUMMYFUNCTION("""COMPUTED_VALUE"""),660)</f>
        <v>660</v>
      </c>
      <c r="C661" t="str">
        <f ca="1">IFERROR(__xludf.DUMMYFUNCTION("""COMPUTED_VALUE"""),"Matthias Schwab")</f>
        <v>Matthias Schwab</v>
      </c>
      <c r="D661" s="4">
        <f ca="1">IFERROR(__xludf.DUMMYFUNCTION("""COMPUTED_VALUE"""),270653)</f>
        <v>270653</v>
      </c>
    </row>
    <row r="662" spans="1:4" ht="12.75">
      <c r="A662">
        <f ca="1">IFERROR(__xludf.DUMMYFUNCTION("""COMPUTED_VALUE"""),661)</f>
        <v>661</v>
      </c>
      <c r="B662">
        <f ca="1">IFERROR(__xludf.DUMMYFUNCTION("""COMPUTED_VALUE"""),661)</f>
        <v>661</v>
      </c>
      <c r="C662" t="str">
        <f ca="1">IFERROR(__xludf.DUMMYFUNCTION("""COMPUTED_VALUE"""),"Chris Baker")</f>
        <v>Chris Baker</v>
      </c>
      <c r="D662" s="4">
        <f ca="1">IFERROR(__xludf.DUMMYFUNCTION("""COMPUTED_VALUE"""),270300)</f>
        <v>270300</v>
      </c>
    </row>
    <row r="663" spans="1:4" ht="12.75">
      <c r="A663">
        <f ca="1">IFERROR(__xludf.DUMMYFUNCTION("""COMPUTED_VALUE"""),662)</f>
        <v>662</v>
      </c>
      <c r="B663">
        <f ca="1">IFERROR(__xludf.DUMMYFUNCTION("""COMPUTED_VALUE"""),662)</f>
        <v>662</v>
      </c>
      <c r="C663" t="str">
        <f ca="1">IFERROR(__xludf.DUMMYFUNCTION("""COMPUTED_VALUE"""),"Terry Dill")</f>
        <v>Terry Dill</v>
      </c>
      <c r="D663" s="4">
        <f ca="1">IFERROR(__xludf.DUMMYFUNCTION("""COMPUTED_VALUE"""),255050)</f>
        <v>255050</v>
      </c>
    </row>
    <row r="664" spans="1:4" ht="12.75">
      <c r="A664">
        <f ca="1">IFERROR(__xludf.DUMMYFUNCTION("""COMPUTED_VALUE"""),663)</f>
        <v>663</v>
      </c>
      <c r="B664">
        <f ca="1">IFERROR(__xludf.DUMMYFUNCTION("""COMPUTED_VALUE"""),663)</f>
        <v>663</v>
      </c>
      <c r="C664" t="str">
        <f ca="1">IFERROR(__xludf.DUMMYFUNCTION("""COMPUTED_VALUE"""),"Chase Koepka")</f>
        <v>Chase Koepka</v>
      </c>
      <c r="D664" s="4">
        <f ca="1">IFERROR(__xludf.DUMMYFUNCTION("""COMPUTED_VALUE"""),245642)</f>
        <v>245642</v>
      </c>
    </row>
    <row r="665" spans="1:4" ht="12.75">
      <c r="A665">
        <f ca="1">IFERROR(__xludf.DUMMYFUNCTION("""COMPUTED_VALUE"""),664)</f>
        <v>664</v>
      </c>
      <c r="B665">
        <f ca="1">IFERROR(__xludf.DUMMYFUNCTION("""COMPUTED_VALUE"""),664)</f>
        <v>664</v>
      </c>
      <c r="C665" t="str">
        <f ca="1">IFERROR(__xludf.DUMMYFUNCTION("""COMPUTED_VALUE"""),"Fred Wadsworth")</f>
        <v>Fred Wadsworth</v>
      </c>
      <c r="D665" s="4">
        <f ca="1">IFERROR(__xludf.DUMMYFUNCTION("""COMPUTED_VALUE"""),235449)</f>
        <v>235449</v>
      </c>
    </row>
    <row r="666" spans="1:4" ht="12.75">
      <c r="A666">
        <f ca="1">IFERROR(__xludf.DUMMYFUNCTION("""COMPUTED_VALUE"""),665)</f>
        <v>665</v>
      </c>
      <c r="B666">
        <f ca="1">IFERROR(__xludf.DUMMYFUNCTION("""COMPUTED_VALUE"""),665)</f>
        <v>665</v>
      </c>
      <c r="C666" t="str">
        <f ca="1">IFERROR(__xludf.DUMMYFUNCTION("""COMPUTED_VALUE"""),"Tommy Jacobs")</f>
        <v>Tommy Jacobs</v>
      </c>
      <c r="D666" s="4">
        <f ca="1">IFERROR(__xludf.DUMMYFUNCTION("""COMPUTED_VALUE"""),232720)</f>
        <v>232720</v>
      </c>
    </row>
    <row r="667" spans="1:4" ht="12.75">
      <c r="A667">
        <f ca="1">IFERROR(__xludf.DUMMYFUNCTION("""COMPUTED_VALUE"""),666)</f>
        <v>666</v>
      </c>
      <c r="B667">
        <f ca="1">IFERROR(__xludf.DUMMYFUNCTION("""COMPUTED_VALUE"""),666)</f>
        <v>666</v>
      </c>
      <c r="C667" t="str">
        <f ca="1">IFERROR(__xludf.DUMMYFUNCTION("""COMPUTED_VALUE"""),"Ron Cerrudo")</f>
        <v>Ron Cerrudo</v>
      </c>
      <c r="D667" s="4">
        <f ca="1">IFERROR(__xludf.DUMMYFUNCTION("""COMPUTED_VALUE"""),228199)</f>
        <v>228199</v>
      </c>
    </row>
    <row r="668" spans="1:4" ht="12.75">
      <c r="A668">
        <f ca="1">IFERROR(__xludf.DUMMYFUNCTION("""COMPUTED_VALUE"""),667)</f>
        <v>667</v>
      </c>
      <c r="B668">
        <f ca="1">IFERROR(__xludf.DUMMYFUNCTION("""COMPUTED_VALUE"""),667)</f>
        <v>667</v>
      </c>
      <c r="C668" t="str">
        <f ca="1">IFERROR(__xludf.DUMMYFUNCTION("""COMPUTED_VALUE"""),"Chan Kim")</f>
        <v>Chan Kim</v>
      </c>
      <c r="D668" s="4">
        <f ca="1">IFERROR(__xludf.DUMMYFUNCTION("""COMPUTED_VALUE"""),224588)</f>
        <v>224588</v>
      </c>
    </row>
    <row r="669" spans="1:4" ht="12.75">
      <c r="A669">
        <f ca="1">IFERROR(__xludf.DUMMYFUNCTION("""COMPUTED_VALUE"""),668)</f>
        <v>668</v>
      </c>
      <c r="B669">
        <f ca="1">IFERROR(__xludf.DUMMYFUNCTION("""COMPUTED_VALUE"""),668)</f>
        <v>668</v>
      </c>
      <c r="C669" t="str">
        <f ca="1">IFERROR(__xludf.DUMMYFUNCTION("""COMPUTED_VALUE"""),"Michael Lorenzo-Vera")</f>
        <v>Michael Lorenzo-Vera</v>
      </c>
      <c r="D669" s="4">
        <f ca="1">IFERROR(__xludf.DUMMYFUNCTION("""COMPUTED_VALUE"""),219294)</f>
        <v>219294</v>
      </c>
    </row>
    <row r="670" spans="1:4" ht="12.75">
      <c r="A670">
        <f ca="1">IFERROR(__xludf.DUMMYFUNCTION("""COMPUTED_VALUE"""),669)</f>
        <v>669</v>
      </c>
      <c r="B670">
        <f ca="1">IFERROR(__xludf.DUMMYFUNCTION("""COMPUTED_VALUE"""),669)</f>
        <v>669</v>
      </c>
      <c r="C670" t="str">
        <f ca="1">IFERROR(__xludf.DUMMYFUNCTION("""COMPUTED_VALUE"""),"MJ Daffue")</f>
        <v>MJ Daffue</v>
      </c>
      <c r="D670" s="4">
        <f ca="1">IFERROR(__xludf.DUMMYFUNCTION("""COMPUTED_VALUE"""),211216)</f>
        <v>211216</v>
      </c>
    </row>
    <row r="671" spans="1:4" ht="12.75">
      <c r="A671">
        <f ca="1">IFERROR(__xludf.DUMMYFUNCTION("""COMPUTED_VALUE"""),670)</f>
        <v>670</v>
      </c>
      <c r="B671">
        <f ca="1">IFERROR(__xludf.DUMMYFUNCTION("""COMPUTED_VALUE"""),670)</f>
        <v>670</v>
      </c>
      <c r="C671" t="str">
        <f ca="1">IFERROR(__xludf.DUMMYFUNCTION("""COMPUTED_VALUE"""),"Chip McDaniel")</f>
        <v>Chip McDaniel</v>
      </c>
      <c r="D671" s="4">
        <f ca="1">IFERROR(__xludf.DUMMYFUNCTION("""COMPUTED_VALUE"""),204013)</f>
        <v>204013</v>
      </c>
    </row>
    <row r="672" spans="1:4" ht="12.75">
      <c r="A672">
        <f ca="1">IFERROR(__xludf.DUMMYFUNCTION("""COMPUTED_VALUE"""),671)</f>
        <v>671</v>
      </c>
      <c r="B672">
        <f ca="1">IFERROR(__xludf.DUMMYFUNCTION("""COMPUTED_VALUE"""),671)</f>
        <v>671</v>
      </c>
      <c r="C672" t="str">
        <f ca="1">IFERROR(__xludf.DUMMYFUNCTION("""COMPUTED_VALUE"""),"Babe Hiskey")</f>
        <v>Babe Hiskey</v>
      </c>
      <c r="D672" s="4">
        <f ca="1">IFERROR(__xludf.DUMMYFUNCTION("""COMPUTED_VALUE"""),202754)</f>
        <v>202754</v>
      </c>
    </row>
    <row r="673" spans="1:4" ht="12.75">
      <c r="A673">
        <f ca="1">IFERROR(__xludf.DUMMYFUNCTION("""COMPUTED_VALUE"""),672)</f>
        <v>672</v>
      </c>
      <c r="B673">
        <f ca="1">IFERROR(__xludf.DUMMYFUNCTION("""COMPUTED_VALUE"""),672)</f>
        <v>672</v>
      </c>
      <c r="C673" t="str">
        <f ca="1">IFERROR(__xludf.DUMMYFUNCTION("""COMPUTED_VALUE"""),"Conrad Shindler")</f>
        <v>Conrad Shindler</v>
      </c>
      <c r="D673" s="4">
        <f ca="1">IFERROR(__xludf.DUMMYFUNCTION("""COMPUTED_VALUE"""),201196)</f>
        <v>201196</v>
      </c>
    </row>
    <row r="674" spans="1:4" ht="12.75">
      <c r="A674">
        <f ca="1">IFERROR(__xludf.DUMMYFUNCTION("""COMPUTED_VALUE"""),673)</f>
        <v>673</v>
      </c>
      <c r="B674">
        <f ca="1">IFERROR(__xludf.DUMMYFUNCTION("""COMPUTED_VALUE"""),673)</f>
        <v>673</v>
      </c>
      <c r="C674" t="str">
        <f ca="1">IFERROR(__xludf.DUMMYFUNCTION("""COMPUTED_VALUE"""),"Dwight Nevil")</f>
        <v>Dwight Nevil</v>
      </c>
      <c r="D674" s="4">
        <f ca="1">IFERROR(__xludf.DUMMYFUNCTION("""COMPUTED_VALUE"""),199935)</f>
        <v>199935</v>
      </c>
    </row>
    <row r="675" spans="1:4" ht="12.75">
      <c r="A675">
        <f ca="1">IFERROR(__xludf.DUMMYFUNCTION("""COMPUTED_VALUE"""),674)</f>
        <v>674</v>
      </c>
      <c r="B675">
        <f ca="1">IFERROR(__xludf.DUMMYFUNCTION("""COMPUTED_VALUE"""),674)</f>
        <v>674</v>
      </c>
      <c r="C675" t="str">
        <f ca="1">IFERROR(__xludf.DUMMYFUNCTION("""COMPUTED_VALUE"""),"Don Iverson")</f>
        <v>Don Iverson</v>
      </c>
      <c r="D675" s="4">
        <f ca="1">IFERROR(__xludf.DUMMYFUNCTION("""COMPUTED_VALUE"""),198477)</f>
        <v>198477</v>
      </c>
    </row>
    <row r="676" spans="1:4" ht="12.75">
      <c r="A676">
        <f ca="1">IFERROR(__xludf.DUMMYFUNCTION("""COMPUTED_VALUE"""),675)</f>
        <v>675</v>
      </c>
      <c r="B676">
        <f ca="1">IFERROR(__xludf.DUMMYFUNCTION("""COMPUTED_VALUE"""),675)</f>
        <v>675</v>
      </c>
      <c r="C676" t="str">
        <f ca="1">IFERROR(__xludf.DUMMYFUNCTION("""COMPUTED_VALUE"""),"Kurt Kitayama")</f>
        <v>Kurt Kitayama</v>
      </c>
      <c r="D676" s="4">
        <f ca="1">IFERROR(__xludf.DUMMYFUNCTION("""COMPUTED_VALUE"""),198249)</f>
        <v>198249</v>
      </c>
    </row>
    <row r="677" spans="1:4" ht="12.75">
      <c r="A677">
        <f ca="1">IFERROR(__xludf.DUMMYFUNCTION("""COMPUTED_VALUE"""),676)</f>
        <v>676</v>
      </c>
      <c r="B677">
        <f ca="1">IFERROR(__xludf.DUMMYFUNCTION("""COMPUTED_VALUE"""),676)</f>
        <v>676</v>
      </c>
      <c r="C677" t="str">
        <f ca="1">IFERROR(__xludf.DUMMYFUNCTION("""COMPUTED_VALUE"""),"Sanghyun Park")</f>
        <v>Sanghyun Park</v>
      </c>
      <c r="D677" s="4">
        <f ca="1">IFERROR(__xludf.DUMMYFUNCTION("""COMPUTED_VALUE"""),196023)</f>
        <v>196023</v>
      </c>
    </row>
    <row r="678" spans="1:4" ht="12.75">
      <c r="A678">
        <f ca="1">IFERROR(__xludf.DUMMYFUNCTION("""COMPUTED_VALUE"""),677)</f>
        <v>677</v>
      </c>
      <c r="B678">
        <f ca="1">IFERROR(__xludf.DUMMYFUNCTION("""COMPUTED_VALUE"""),677)</f>
        <v>677</v>
      </c>
      <c r="C678" t="str">
        <f ca="1">IFERROR(__xludf.DUMMYFUNCTION("""COMPUTED_VALUE"""),"David Lipsky")</f>
        <v>David Lipsky</v>
      </c>
      <c r="D678" s="4">
        <f ca="1">IFERROR(__xludf.DUMMYFUNCTION("""COMPUTED_VALUE"""),192192)</f>
        <v>192192</v>
      </c>
    </row>
    <row r="679" spans="1:4" ht="12.75">
      <c r="A679">
        <f ca="1">IFERROR(__xludf.DUMMYFUNCTION("""COMPUTED_VALUE"""),678)</f>
        <v>678</v>
      </c>
      <c r="B679">
        <f ca="1">IFERROR(__xludf.DUMMYFUNCTION("""COMPUTED_VALUE"""),678)</f>
        <v>678</v>
      </c>
      <c r="C679" t="str">
        <f ca="1">IFERROR(__xludf.DUMMYFUNCTION("""COMPUTED_VALUE"""),"Jack Newton")</f>
        <v>Jack Newton</v>
      </c>
      <c r="D679" s="4">
        <f ca="1">IFERROR(__xludf.DUMMYFUNCTION("""COMPUTED_VALUE"""),191898)</f>
        <v>191898</v>
      </c>
    </row>
    <row r="680" spans="1:4" ht="12.75">
      <c r="A680">
        <f ca="1">IFERROR(__xludf.DUMMYFUNCTION("""COMPUTED_VALUE"""),679)</f>
        <v>679</v>
      </c>
      <c r="B680">
        <f ca="1">IFERROR(__xludf.DUMMYFUNCTION("""COMPUTED_VALUE"""),679)</f>
        <v>679</v>
      </c>
      <c r="C680" t="str">
        <f ca="1">IFERROR(__xludf.DUMMYFUNCTION("""COMPUTED_VALUE"""),"Garrett Osborn")</f>
        <v>Garrett Osborn</v>
      </c>
      <c r="D680" s="4">
        <f ca="1">IFERROR(__xludf.DUMMYFUNCTION("""COMPUTED_VALUE"""),187450)</f>
        <v>187450</v>
      </c>
    </row>
    <row r="681" spans="1:4" ht="12.75">
      <c r="A681">
        <f ca="1">IFERROR(__xludf.DUMMYFUNCTION("""COMPUTED_VALUE"""),680)</f>
        <v>680</v>
      </c>
      <c r="B681">
        <f ca="1">IFERROR(__xludf.DUMMYFUNCTION("""COMPUTED_VALUE"""),680)</f>
        <v>680</v>
      </c>
      <c r="C681" t="str">
        <f ca="1">IFERROR(__xludf.DUMMYFUNCTION("""COMPUTED_VALUE"""),"Seungsu Han")</f>
        <v>Seungsu Han</v>
      </c>
      <c r="D681" s="4">
        <f ca="1">IFERROR(__xludf.DUMMYFUNCTION("""COMPUTED_VALUE"""),183045)</f>
        <v>183045</v>
      </c>
    </row>
    <row r="682" spans="1:4" ht="12.75">
      <c r="A682">
        <f ca="1">IFERROR(__xludf.DUMMYFUNCTION("""COMPUTED_VALUE"""),681)</f>
        <v>681</v>
      </c>
      <c r="B682">
        <f ca="1">IFERROR(__xludf.DUMMYFUNCTION("""COMPUTED_VALUE"""),681)</f>
        <v>681</v>
      </c>
      <c r="C682" t="str">
        <f ca="1">IFERROR(__xludf.DUMMYFUNCTION("""COMPUTED_VALUE"""),"Brandon Wu")</f>
        <v>Brandon Wu</v>
      </c>
      <c r="D682" s="4">
        <f ca="1">IFERROR(__xludf.DUMMYFUNCTION("""COMPUTED_VALUE"""),172987)</f>
        <v>172987</v>
      </c>
    </row>
    <row r="683" spans="1:4" ht="12.75">
      <c r="A683">
        <f ca="1">IFERROR(__xludf.DUMMYFUNCTION("""COMPUTED_VALUE"""),682)</f>
        <v>682</v>
      </c>
      <c r="B683">
        <f ca="1">IFERROR(__xludf.DUMMYFUNCTION("""COMPUTED_VALUE"""),682)</f>
        <v>682</v>
      </c>
      <c r="C683" t="str">
        <f ca="1">IFERROR(__xludf.DUMMYFUNCTION("""COMPUTED_VALUE"""),"Akshay Bhatia")</f>
        <v>Akshay Bhatia</v>
      </c>
      <c r="D683" s="4">
        <f ca="1">IFERROR(__xludf.DUMMYFUNCTION("""COMPUTED_VALUE"""),166650)</f>
        <v>166650</v>
      </c>
    </row>
    <row r="684" spans="1:4" ht="12.75">
      <c r="A684">
        <f ca="1">IFERROR(__xludf.DUMMYFUNCTION("""COMPUTED_VALUE"""),683)</f>
        <v>683</v>
      </c>
      <c r="B684">
        <f ca="1">IFERROR(__xludf.DUMMYFUNCTION("""COMPUTED_VALUE"""),683)</f>
        <v>683</v>
      </c>
      <c r="C684" t="str">
        <f ca="1">IFERROR(__xludf.DUMMYFUNCTION("""COMPUTED_VALUE"""),"Roy Pace")</f>
        <v>Roy Pace</v>
      </c>
      <c r="D684" s="4">
        <f ca="1">IFERROR(__xludf.DUMMYFUNCTION("""COMPUTED_VALUE"""),165699)</f>
        <v>165699</v>
      </c>
    </row>
    <row r="685" spans="1:4" ht="12.75">
      <c r="A685">
        <f ca="1">IFERROR(__xludf.DUMMYFUNCTION("""COMPUTED_VALUE"""),684)</f>
        <v>684</v>
      </c>
      <c r="B685">
        <f ca="1">IFERROR(__xludf.DUMMYFUNCTION("""COMPUTED_VALUE"""),684)</f>
        <v>684</v>
      </c>
      <c r="C685" t="str">
        <f ca="1">IFERROR(__xludf.DUMMYFUNCTION("""COMPUTED_VALUE"""),"Marty Fleckman")</f>
        <v>Marty Fleckman</v>
      </c>
      <c r="D685" s="4">
        <f ca="1">IFERROR(__xludf.DUMMYFUNCTION("""COMPUTED_VALUE"""),162141)</f>
        <v>162141</v>
      </c>
    </row>
    <row r="686" spans="1:4" ht="12.75">
      <c r="A686">
        <f ca="1">IFERROR(__xludf.DUMMYFUNCTION("""COMPUTED_VALUE"""),685)</f>
        <v>685</v>
      </c>
      <c r="B686">
        <f ca="1">IFERROR(__xludf.DUMMYFUNCTION("""COMPUTED_VALUE"""),685)</f>
        <v>685</v>
      </c>
      <c r="C686" t="str">
        <f ca="1">IFERROR(__xludf.DUMMYFUNCTION("""COMPUTED_VALUE"""),"Bob Byman")</f>
        <v>Bob Byman</v>
      </c>
      <c r="D686" s="4">
        <f ca="1">IFERROR(__xludf.DUMMYFUNCTION("""COMPUTED_VALUE"""),161884)</f>
        <v>161884</v>
      </c>
    </row>
    <row r="687" spans="1:4" ht="12.75">
      <c r="A687">
        <f ca="1">IFERROR(__xludf.DUMMYFUNCTION("""COMPUTED_VALUE"""),686)</f>
        <v>686</v>
      </c>
      <c r="B687">
        <f ca="1">IFERROR(__xludf.DUMMYFUNCTION("""COMPUTED_VALUE"""),686)</f>
        <v>686</v>
      </c>
      <c r="C687" t="str">
        <f ca="1">IFERROR(__xludf.DUMMYFUNCTION("""COMPUTED_VALUE"""),"Bert Weaver")</f>
        <v>Bert Weaver</v>
      </c>
      <c r="D687" s="4">
        <f ca="1">IFERROR(__xludf.DUMMYFUNCTION("""COMPUTED_VALUE"""),161210)</f>
        <v>161210</v>
      </c>
    </row>
    <row r="688" spans="1:4" ht="12.75">
      <c r="A688">
        <f ca="1">IFERROR(__xludf.DUMMYFUNCTION("""COMPUTED_VALUE"""),687)</f>
        <v>687</v>
      </c>
      <c r="B688">
        <f ca="1">IFERROR(__xludf.DUMMYFUNCTION("""COMPUTED_VALUE"""),687)</f>
        <v>687</v>
      </c>
      <c r="C688" t="str">
        <f ca="1">IFERROR(__xludf.DUMMYFUNCTION("""COMPUTED_VALUE"""),"Ben Taylor")</f>
        <v>Ben Taylor</v>
      </c>
      <c r="D688" s="4">
        <f ca="1">IFERROR(__xludf.DUMMYFUNCTION("""COMPUTED_VALUE"""),156334)</f>
        <v>156334</v>
      </c>
    </row>
    <row r="689" spans="1:4" ht="12.75">
      <c r="A689">
        <f ca="1">IFERROR(__xludf.DUMMYFUNCTION("""COMPUTED_VALUE"""),688)</f>
        <v>688</v>
      </c>
      <c r="B689">
        <f ca="1">IFERROR(__xludf.DUMMYFUNCTION("""COMPUTED_VALUE"""),688)</f>
        <v>688</v>
      </c>
      <c r="C689" t="str">
        <f ca="1">IFERROR(__xludf.DUMMYFUNCTION("""COMPUTED_VALUE"""),"Pat Fitzsimons")</f>
        <v>Pat Fitzsimons</v>
      </c>
      <c r="D689" s="4">
        <f ca="1">IFERROR(__xludf.DUMMYFUNCTION("""COMPUTED_VALUE"""),153542)</f>
        <v>153542</v>
      </c>
    </row>
    <row r="690" spans="1:4" ht="12.75">
      <c r="A690">
        <f ca="1">IFERROR(__xludf.DUMMYFUNCTION("""COMPUTED_VALUE"""),689)</f>
        <v>689</v>
      </c>
      <c r="B690">
        <f ca="1">IFERROR(__xludf.DUMMYFUNCTION("""COMPUTED_VALUE"""),689)</f>
        <v>689</v>
      </c>
      <c r="C690" t="str">
        <f ca="1">IFERROR(__xludf.DUMMYFUNCTION("""COMPUTED_VALUE"""),"Gary Groh")</f>
        <v>Gary Groh</v>
      </c>
      <c r="D690" s="4">
        <f ca="1">IFERROR(__xludf.DUMMYFUNCTION("""COMPUTED_VALUE"""),148753)</f>
        <v>148753</v>
      </c>
    </row>
    <row r="691" spans="1:4" ht="12.75">
      <c r="A691">
        <f ca="1">IFERROR(__xludf.DUMMYFUNCTION("""COMPUTED_VALUE"""),690)</f>
        <v>690</v>
      </c>
      <c r="B691">
        <f ca="1">IFERROR(__xludf.DUMMYFUNCTION("""COMPUTED_VALUE"""),690)</f>
        <v>690</v>
      </c>
      <c r="C691" t="str">
        <f ca="1">IFERROR(__xludf.DUMMYFUNCTION("""COMPUTED_VALUE"""),"Zack Fischer")</f>
        <v>Zack Fischer</v>
      </c>
      <c r="D691" s="4">
        <f ca="1">IFERROR(__xludf.DUMMYFUNCTION("""COMPUTED_VALUE"""),148601)</f>
        <v>148601</v>
      </c>
    </row>
    <row r="692" spans="1:4" ht="12.75">
      <c r="A692">
        <f ca="1">IFERROR(__xludf.DUMMYFUNCTION("""COMPUTED_VALUE"""),691)</f>
        <v>691</v>
      </c>
      <c r="B692">
        <f ca="1">IFERROR(__xludf.DUMMYFUNCTION("""COMPUTED_VALUE"""),691)</f>
        <v>691</v>
      </c>
      <c r="C692" t="str">
        <f ca="1">IFERROR(__xludf.DUMMYFUNCTION("""COMPUTED_VALUE"""),"Rocky Thompson")</f>
        <v>Rocky Thompson</v>
      </c>
      <c r="D692" s="4">
        <f ca="1">IFERROR(__xludf.DUMMYFUNCTION("""COMPUTED_VALUE"""),146391)</f>
        <v>146391</v>
      </c>
    </row>
    <row r="693" spans="1:4" ht="12.75">
      <c r="A693">
        <f ca="1">IFERROR(__xludf.DUMMYFUNCTION("""COMPUTED_VALUE"""),692)</f>
        <v>692</v>
      </c>
      <c r="B693">
        <f ca="1">IFERROR(__xludf.DUMMYFUNCTION("""COMPUTED_VALUE"""),692)</f>
        <v>692</v>
      </c>
      <c r="C693" t="str">
        <f ca="1">IFERROR(__xludf.DUMMYFUNCTION("""COMPUTED_VALUE"""),"Steve Spray")</f>
        <v>Steve Spray</v>
      </c>
      <c r="D693" s="4">
        <f ca="1">IFERROR(__xludf.DUMMYFUNCTION("""COMPUTED_VALUE"""),142045)</f>
        <v>142045</v>
      </c>
    </row>
    <row r="694" spans="1:4" ht="12.75">
      <c r="A694">
        <f ca="1">IFERROR(__xludf.DUMMYFUNCTION("""COMPUTED_VALUE"""),693)</f>
        <v>693</v>
      </c>
      <c r="B694">
        <f ca="1">IFERROR(__xludf.DUMMYFUNCTION("""COMPUTED_VALUE"""),693)</f>
        <v>693</v>
      </c>
      <c r="C694" t="str">
        <f ca="1">IFERROR(__xludf.DUMMYFUNCTION("""COMPUTED_VALUE"""),"Michael Gellerman")</f>
        <v>Michael Gellerman</v>
      </c>
      <c r="D694" s="4">
        <f ca="1">IFERROR(__xludf.DUMMYFUNCTION("""COMPUTED_VALUE"""),125992)</f>
        <v>125992</v>
      </c>
    </row>
    <row r="695" spans="1:4" ht="12.75">
      <c r="A695">
        <f ca="1">IFERROR(__xludf.DUMMYFUNCTION("""COMPUTED_VALUE"""),694)</f>
        <v>694</v>
      </c>
      <c r="B695">
        <f ca="1">IFERROR(__xludf.DUMMYFUNCTION("""COMPUTED_VALUE"""),694)</f>
        <v>694</v>
      </c>
      <c r="C695" t="str">
        <f ca="1">IFERROR(__xludf.DUMMYFUNCTION("""COMPUTED_VALUE"""),"Randy Glover")</f>
        <v>Randy Glover</v>
      </c>
      <c r="D695" s="4">
        <f ca="1">IFERROR(__xludf.DUMMYFUNCTION("""COMPUTED_VALUE"""),123531)</f>
        <v>123531</v>
      </c>
    </row>
    <row r="696" spans="1:4" ht="12.75">
      <c r="A696">
        <f ca="1">IFERROR(__xludf.DUMMYFUNCTION("""COMPUTED_VALUE"""),695)</f>
        <v>695</v>
      </c>
      <c r="B696">
        <f ca="1">IFERROR(__xludf.DUMMYFUNCTION("""COMPUTED_VALUE"""),695)</f>
        <v>695</v>
      </c>
      <c r="C696" t="str">
        <f ca="1">IFERROR(__xludf.DUMMYFUNCTION("""COMPUTED_VALUE"""),"Lucas Herbert")</f>
        <v>Lucas Herbert</v>
      </c>
      <c r="D696" s="4">
        <f ca="1">IFERROR(__xludf.DUMMYFUNCTION("""COMPUTED_VALUE"""),122060)</f>
        <v>122060</v>
      </c>
    </row>
    <row r="697" spans="1:4" ht="12.75">
      <c r="A697">
        <f ca="1">IFERROR(__xludf.DUMMYFUNCTION("""COMPUTED_VALUE"""),696)</f>
        <v>696</v>
      </c>
      <c r="B697">
        <f ca="1">IFERROR(__xludf.DUMMYFUNCTION("""COMPUTED_VALUE"""),696)</f>
        <v>696</v>
      </c>
      <c r="C697" t="str">
        <f ca="1">IFERROR(__xludf.DUMMYFUNCTION("""COMPUTED_VALUE"""),"Shaun Norris")</f>
        <v>Shaun Norris</v>
      </c>
      <c r="D697" s="4">
        <f ca="1">IFERROR(__xludf.DUMMYFUNCTION("""COMPUTED_VALUE"""),120559)</f>
        <v>120559</v>
      </c>
    </row>
    <row r="698" spans="1:4" ht="12.75">
      <c r="A698">
        <f ca="1">IFERROR(__xludf.DUMMYFUNCTION("""COMPUTED_VALUE"""),697)</f>
        <v>697</v>
      </c>
      <c r="B698">
        <f ca="1">IFERROR(__xludf.DUMMYFUNCTION("""COMPUTED_VALUE"""),697)</f>
        <v>697</v>
      </c>
      <c r="C698" t="str">
        <f ca="1">IFERROR(__xludf.DUMMYFUNCTION("""COMPUTED_VALUE"""),"Sahith Theegala")</f>
        <v>Sahith Theegala</v>
      </c>
      <c r="D698" s="4">
        <f ca="1">IFERROR(__xludf.DUMMYFUNCTION("""COMPUTED_VALUE"""),113075)</f>
        <v>113075</v>
      </c>
    </row>
    <row r="699" spans="1:4" ht="12.75">
      <c r="A699">
        <f ca="1">IFERROR(__xludf.DUMMYFUNCTION("""COMPUTED_VALUE"""),698)</f>
        <v>698</v>
      </c>
      <c r="B699">
        <f ca="1">IFERROR(__xludf.DUMMYFUNCTION("""COMPUTED_VALUE"""),698)</f>
        <v>698</v>
      </c>
      <c r="C699" t="str">
        <f ca="1">IFERROR(__xludf.DUMMYFUNCTION("""COMPUTED_VALUE"""),"Jung-gon Hwang")</f>
        <v>Jung-gon Hwang</v>
      </c>
      <c r="D699" s="4">
        <f ca="1">IFERROR(__xludf.DUMMYFUNCTION("""COMPUTED_VALUE"""),112238)</f>
        <v>112238</v>
      </c>
    </row>
    <row r="700" spans="1:4" ht="12.75">
      <c r="A700">
        <f ca="1">IFERROR(__xludf.DUMMYFUNCTION("""COMPUTED_VALUE"""),699)</f>
        <v>699</v>
      </c>
      <c r="B700">
        <f ca="1">IFERROR(__xludf.DUMMYFUNCTION("""COMPUTED_VALUE"""),699)</f>
        <v>699</v>
      </c>
      <c r="C700" t="str">
        <f ca="1">IFERROR(__xludf.DUMMYFUNCTION("""COMPUTED_VALUE"""),"Franklin Corpening")</f>
        <v>Franklin Corpening</v>
      </c>
      <c r="D700" s="4">
        <f ca="1">IFERROR(__xludf.DUMMYFUNCTION("""COMPUTED_VALUE"""),112000)</f>
        <v>112000</v>
      </c>
    </row>
    <row r="701" spans="1:4" ht="12.75">
      <c r="A701">
        <f ca="1">IFERROR(__xludf.DUMMYFUNCTION("""COMPUTED_VALUE"""),700)</f>
        <v>700</v>
      </c>
      <c r="B701">
        <f ca="1">IFERROR(__xludf.DUMMYFUNCTION("""COMPUTED_VALUE"""),700)</f>
        <v>700</v>
      </c>
      <c r="C701" t="str">
        <f ca="1">IFERROR(__xludf.DUMMYFUNCTION("""COMPUTED_VALUE"""),"Jay McLuen")</f>
        <v>Jay McLuen</v>
      </c>
      <c r="D701" s="4">
        <f ca="1">IFERROR(__xludf.DUMMYFUNCTION("""COMPUTED_VALUE"""),110909)</f>
        <v>110909</v>
      </c>
    </row>
    <row r="702" spans="1:4" ht="12.75">
      <c r="A702">
        <f ca="1">IFERROR(__xludf.DUMMYFUNCTION("""COMPUTED_VALUE"""),701)</f>
        <v>701</v>
      </c>
      <c r="B702">
        <f ca="1">IFERROR(__xludf.DUMMYFUNCTION("""COMPUTED_VALUE"""),701)</f>
        <v>701</v>
      </c>
      <c r="C702" t="str">
        <f ca="1">IFERROR(__xludf.DUMMYFUNCTION("""COMPUTED_VALUE"""),"Pablo Larrazabal")</f>
        <v>Pablo Larrazabal</v>
      </c>
      <c r="D702" s="4">
        <f ca="1">IFERROR(__xludf.DUMMYFUNCTION("""COMPUTED_VALUE"""),110500)</f>
        <v>110500</v>
      </c>
    </row>
    <row r="703" spans="1:4" ht="12.75">
      <c r="A703">
        <f ca="1">IFERROR(__xludf.DUMMYFUNCTION("""COMPUTED_VALUE"""),702)</f>
        <v>702</v>
      </c>
      <c r="B703">
        <f ca="1">IFERROR(__xludf.DUMMYFUNCTION("""COMPUTED_VALUE"""),702)</f>
        <v>702</v>
      </c>
      <c r="C703" t="str">
        <f ca="1">IFERROR(__xludf.DUMMYFUNCTION("""COMPUTED_VALUE"""),"Steve Reid")</f>
        <v>Steve Reid</v>
      </c>
      <c r="D703" s="4">
        <f ca="1">IFERROR(__xludf.DUMMYFUNCTION("""COMPUTED_VALUE"""),110441)</f>
        <v>110441</v>
      </c>
    </row>
    <row r="704" spans="1:4" ht="12.75">
      <c r="A704">
        <f ca="1">IFERROR(__xludf.DUMMYFUNCTION("""COMPUTED_VALUE"""),703)</f>
        <v>703</v>
      </c>
      <c r="B704">
        <f ca="1">IFERROR(__xludf.DUMMYFUNCTION("""COMPUTED_VALUE"""),703)</f>
        <v>703</v>
      </c>
      <c r="C704" t="str">
        <f ca="1">IFERROR(__xludf.DUMMYFUNCTION("""COMPUTED_VALUE"""),"Matt Atkins")</f>
        <v>Matt Atkins</v>
      </c>
      <c r="D704" s="4">
        <f ca="1">IFERROR(__xludf.DUMMYFUNCTION("""COMPUTED_VALUE"""),109264)</f>
        <v>109264</v>
      </c>
    </row>
    <row r="705" spans="1:4" ht="12.75">
      <c r="A705">
        <f ca="1">IFERROR(__xludf.DUMMYFUNCTION("""COMPUTED_VALUE"""),704)</f>
        <v>704</v>
      </c>
      <c r="B705">
        <f ca="1">IFERROR(__xludf.DUMMYFUNCTION("""COMPUTED_VALUE"""),704)</f>
        <v>704</v>
      </c>
      <c r="C705" t="str">
        <f ca="1">IFERROR(__xludf.DUMMYFUNCTION("""COMPUTED_VALUE"""),"Jim Ferree")</f>
        <v>Jim Ferree</v>
      </c>
      <c r="D705" s="4">
        <f ca="1">IFERROR(__xludf.DUMMYFUNCTION("""COMPUTED_VALUE"""),106895)</f>
        <v>106895</v>
      </c>
    </row>
    <row r="706" spans="1:4" ht="12.75">
      <c r="A706">
        <f ca="1">IFERROR(__xludf.DUMMYFUNCTION("""COMPUTED_VALUE"""),705)</f>
        <v>705</v>
      </c>
      <c r="B706">
        <f ca="1">IFERROR(__xludf.DUMMYFUNCTION("""COMPUTED_VALUE"""),705)</f>
        <v>705</v>
      </c>
      <c r="C706" t="str">
        <f ca="1">IFERROR(__xludf.DUMMYFUNCTION("""COMPUTED_VALUE"""),"Bob Toski")</f>
        <v>Bob Toski</v>
      </c>
      <c r="D706" s="4">
        <f ca="1">IFERROR(__xludf.DUMMYFUNCTION("""COMPUTED_VALUE"""),105484)</f>
        <v>105484</v>
      </c>
    </row>
    <row r="707" spans="1:4" ht="12.75">
      <c r="A707">
        <f ca="1">IFERROR(__xludf.DUMMYFUNCTION("""COMPUTED_VALUE"""),706)</f>
        <v>706</v>
      </c>
      <c r="B707">
        <f ca="1">IFERROR(__xludf.DUMMYFUNCTION("""COMPUTED_VALUE"""),706)</f>
        <v>706</v>
      </c>
      <c r="C707" t="str">
        <f ca="1">IFERROR(__xludf.DUMMYFUNCTION("""COMPUTED_VALUE"""),"Shugo Imahira")</f>
        <v>Shugo Imahira</v>
      </c>
      <c r="D707" s="4">
        <f ca="1">IFERROR(__xludf.DUMMYFUNCTION("""COMPUTED_VALUE"""),104712)</f>
        <v>104712</v>
      </c>
    </row>
    <row r="708" spans="1:4" ht="12.75">
      <c r="A708">
        <f ca="1">IFERROR(__xludf.DUMMYFUNCTION("""COMPUTED_VALUE"""),707)</f>
        <v>707</v>
      </c>
      <c r="B708">
        <f ca="1">IFERROR(__xludf.DUMMYFUNCTION("""COMPUTED_VALUE"""),707)</f>
        <v>707</v>
      </c>
      <c r="C708" t="str">
        <f ca="1">IFERROR(__xludf.DUMMYFUNCTION("""COMPUTED_VALUE"""),"Nelson Ledesma")</f>
        <v>Nelson Ledesma</v>
      </c>
      <c r="D708" s="4">
        <f ca="1">IFERROR(__xludf.DUMMYFUNCTION("""COMPUTED_VALUE"""),102940)</f>
        <v>102940</v>
      </c>
    </row>
    <row r="709" spans="1:4" ht="12.75">
      <c r="A709">
        <f ca="1">IFERROR(__xludf.DUMMYFUNCTION("""COMPUTED_VALUE"""),708)</f>
        <v>708</v>
      </c>
      <c r="B709">
        <f ca="1">IFERROR(__xludf.DUMMYFUNCTION("""COMPUTED_VALUE"""),708)</f>
        <v>708</v>
      </c>
      <c r="C709" t="str">
        <f ca="1">IFERROR(__xludf.DUMMYFUNCTION("""COMPUTED_VALUE"""),"Taylor Pendrith")</f>
        <v>Taylor Pendrith</v>
      </c>
      <c r="D709" s="4">
        <f ca="1">IFERROR(__xludf.DUMMYFUNCTION("""COMPUTED_VALUE"""),101797)</f>
        <v>101797</v>
      </c>
    </row>
    <row r="710" spans="1:4" ht="12.75">
      <c r="A710">
        <f ca="1">IFERROR(__xludf.DUMMYFUNCTION("""COMPUTED_VALUE"""),709)</f>
        <v>709</v>
      </c>
      <c r="B710">
        <f ca="1">IFERROR(__xludf.DUMMYFUNCTION("""COMPUTED_VALUE"""),709)</f>
        <v>709</v>
      </c>
      <c r="C710" t="str">
        <f ca="1">IFERROR(__xludf.DUMMYFUNCTION("""COMPUTED_VALUE"""),"Paul Waring")</f>
        <v>Paul Waring</v>
      </c>
      <c r="D710" s="4">
        <f ca="1">IFERROR(__xludf.DUMMYFUNCTION("""COMPUTED_VALUE"""),101285)</f>
        <v>101285</v>
      </c>
    </row>
    <row r="711" spans="1:4" ht="12.75">
      <c r="A711">
        <f ca="1">IFERROR(__xludf.DUMMYFUNCTION("""COMPUTED_VALUE"""),710)</f>
        <v>710</v>
      </c>
      <c r="B711">
        <f ca="1">IFERROR(__xludf.DUMMYFUNCTION("""COMPUTED_VALUE"""),710)</f>
        <v>710</v>
      </c>
      <c r="C711" t="str">
        <f ca="1">IFERROR(__xludf.DUMMYFUNCTION("""COMPUTED_VALUE"""),"Bob McCallister")</f>
        <v>Bob McCallister</v>
      </c>
      <c r="D711" s="4">
        <f ca="1">IFERROR(__xludf.DUMMYFUNCTION("""COMPUTED_VALUE"""),101079)</f>
        <v>101079</v>
      </c>
    </row>
    <row r="712" spans="1:4" ht="12.75">
      <c r="A712">
        <f ca="1">IFERROR(__xludf.DUMMYFUNCTION("""COMPUTED_VALUE"""),711)</f>
        <v>711</v>
      </c>
      <c r="B712">
        <f ca="1">IFERROR(__xludf.DUMMYFUNCTION("""COMPUTED_VALUE"""),711)</f>
        <v>711</v>
      </c>
      <c r="C712" t="str">
        <f ca="1">IFERROR(__xludf.DUMMYFUNCTION("""COMPUTED_VALUE"""),"Marcus Kinhult")</f>
        <v>Marcus Kinhult</v>
      </c>
      <c r="D712" s="4">
        <f ca="1">IFERROR(__xludf.DUMMYFUNCTION("""COMPUTED_VALUE"""),98245)</f>
        <v>98245</v>
      </c>
    </row>
    <row r="713" spans="1:4" ht="12.75">
      <c r="A713">
        <f ca="1">IFERROR(__xludf.DUMMYFUNCTION("""COMPUTED_VALUE"""),712)</f>
        <v>712</v>
      </c>
      <c r="B713">
        <f ca="1">IFERROR(__xludf.DUMMYFUNCTION("""COMPUTED_VALUE"""),712)</f>
        <v>712</v>
      </c>
      <c r="C713" t="str">
        <f ca="1">IFERROR(__xludf.DUMMYFUNCTION("""COMPUTED_VALUE"""),"Victor Perez")</f>
        <v>Victor Perez</v>
      </c>
      <c r="D713" s="4">
        <f ca="1">IFERROR(__xludf.DUMMYFUNCTION("""COMPUTED_VALUE"""),94571)</f>
        <v>94571</v>
      </c>
    </row>
    <row r="714" spans="1:4" ht="12.75">
      <c r="A714">
        <f ca="1">IFERROR(__xludf.DUMMYFUNCTION("""COMPUTED_VALUE"""),713)</f>
        <v>713</v>
      </c>
      <c r="B714">
        <f ca="1">IFERROR(__xludf.DUMMYFUNCTION("""COMPUTED_VALUE"""),713)</f>
        <v>713</v>
      </c>
      <c r="C714" t="str">
        <f ca="1">IFERROR(__xludf.DUMMYFUNCTION("""COMPUTED_VALUE"""),"Tom Nieporte")</f>
        <v>Tom Nieporte</v>
      </c>
      <c r="D714" s="4">
        <f ca="1">IFERROR(__xludf.DUMMYFUNCTION("""COMPUTED_VALUE"""),94555)</f>
        <v>94555</v>
      </c>
    </row>
    <row r="715" spans="1:4" ht="12.75">
      <c r="A715">
        <f ca="1">IFERROR(__xludf.DUMMYFUNCTION("""COMPUTED_VALUE"""),714)</f>
        <v>714</v>
      </c>
      <c r="B715">
        <f ca="1">IFERROR(__xludf.DUMMYFUNCTION("""COMPUTED_VALUE"""),714)</f>
        <v>714</v>
      </c>
      <c r="C715" t="str">
        <f ca="1">IFERROR(__xludf.DUMMYFUNCTION("""COMPUTED_VALUE"""),"Zecheng Dou")</f>
        <v>Zecheng Dou</v>
      </c>
      <c r="D715" s="4">
        <f ca="1">IFERROR(__xludf.DUMMYFUNCTION("""COMPUTED_VALUE"""),90993)</f>
        <v>90993</v>
      </c>
    </row>
    <row r="716" spans="1:4" ht="12.75">
      <c r="A716">
        <f ca="1">IFERROR(__xludf.DUMMYFUNCTION("""COMPUTED_VALUE"""),715)</f>
        <v>715</v>
      </c>
      <c r="B716">
        <f ca="1">IFERROR(__xludf.DUMMYFUNCTION("""COMPUTED_VALUE"""),715)</f>
        <v>715</v>
      </c>
      <c r="C716" t="str">
        <f ca="1">IFERROR(__xludf.DUMMYFUNCTION("""COMPUTED_VALUE"""),"Davis Riley")</f>
        <v>Davis Riley</v>
      </c>
      <c r="D716" s="4">
        <f ca="1">IFERROR(__xludf.DUMMYFUNCTION("""COMPUTED_VALUE"""),89831)</f>
        <v>89831</v>
      </c>
    </row>
    <row r="717" spans="1:4" ht="12.75">
      <c r="A717">
        <f ca="1">IFERROR(__xludf.DUMMYFUNCTION("""COMPUTED_VALUE"""),716)</f>
        <v>716</v>
      </c>
      <c r="B717">
        <f ca="1">IFERROR(__xludf.DUMMYFUNCTION("""COMPUTED_VALUE"""),716)</f>
        <v>716</v>
      </c>
      <c r="C717" t="str">
        <f ca="1">IFERROR(__xludf.DUMMYFUNCTION("""COMPUTED_VALUE"""),"Romain Langasque")</f>
        <v>Romain Langasque</v>
      </c>
      <c r="D717" s="4">
        <f ca="1">IFERROR(__xludf.DUMMYFUNCTION("""COMPUTED_VALUE"""),89824)</f>
        <v>89824</v>
      </c>
    </row>
    <row r="718" spans="1:4" ht="12.75">
      <c r="A718">
        <f ca="1">IFERROR(__xludf.DUMMYFUNCTION("""COMPUTED_VALUE"""),717)</f>
        <v>717</v>
      </c>
      <c r="B718">
        <f ca="1">IFERROR(__xludf.DUMMYFUNCTION("""COMPUTED_VALUE"""),717)</f>
        <v>717</v>
      </c>
      <c r="C718" t="str">
        <f ca="1">IFERROR(__xludf.DUMMYFUNCTION("""COMPUTED_VALUE"""),"Sam Adams")</f>
        <v>Sam Adams</v>
      </c>
      <c r="D718" s="4">
        <f ca="1">IFERROR(__xludf.DUMMYFUNCTION("""COMPUTED_VALUE"""),82787)</f>
        <v>82787</v>
      </c>
    </row>
    <row r="719" spans="1:4" ht="12.75">
      <c r="A719">
        <f ca="1">IFERROR(__xludf.DUMMYFUNCTION("""COMPUTED_VALUE"""),718)</f>
        <v>718</v>
      </c>
      <c r="B719">
        <f ca="1">IFERROR(__xludf.DUMMYFUNCTION("""COMPUTED_VALUE"""),718)</f>
        <v>718</v>
      </c>
      <c r="C719" t="str">
        <f ca="1">IFERROR(__xludf.DUMMYFUNCTION("""COMPUTED_VALUE"""),"Andy Zhang")</f>
        <v>Andy Zhang</v>
      </c>
      <c r="D719" s="4">
        <f ca="1">IFERROR(__xludf.DUMMYFUNCTION("""COMPUTED_VALUE"""),80523)</f>
        <v>80523</v>
      </c>
    </row>
    <row r="720" spans="1:4" ht="12.75">
      <c r="A720">
        <f ca="1">IFERROR(__xludf.DUMMYFUNCTION("""COMPUTED_VALUE"""),719)</f>
        <v>719</v>
      </c>
      <c r="B720">
        <f ca="1">IFERROR(__xludf.DUMMYFUNCTION("""COMPUTED_VALUE"""),726)</f>
        <v>726</v>
      </c>
      <c r="C720" t="str">
        <f ca="1">IFERROR(__xludf.DUMMYFUNCTION("""COMPUTED_VALUE"""),"Isaiah Salinda")</f>
        <v>Isaiah Salinda</v>
      </c>
      <c r="D720" s="4">
        <f ca="1">IFERROR(__xludf.DUMMYFUNCTION("""COMPUTED_VALUE"""),80113)</f>
        <v>80113</v>
      </c>
    </row>
    <row r="721" spans="1:4" ht="12.75">
      <c r="A721">
        <f ca="1">IFERROR(__xludf.DUMMYFUNCTION("""COMPUTED_VALUE"""),720)</f>
        <v>720</v>
      </c>
      <c r="B721">
        <f ca="1">IFERROR(__xludf.DUMMYFUNCTION("""COMPUTED_VALUE"""),719)</f>
        <v>719</v>
      </c>
      <c r="C721" t="str">
        <f ca="1">IFERROR(__xludf.DUMMYFUNCTION("""COMPUTED_VALUE"""),"Paul Barjon")</f>
        <v>Paul Barjon</v>
      </c>
      <c r="D721" s="4">
        <f ca="1">IFERROR(__xludf.DUMMYFUNCTION("""COMPUTED_VALUE"""),79257)</f>
        <v>79257</v>
      </c>
    </row>
    <row r="722" spans="1:4" ht="12.75">
      <c r="A722">
        <f ca="1">IFERROR(__xludf.DUMMYFUNCTION("""COMPUTED_VALUE"""),721)</f>
        <v>721</v>
      </c>
      <c r="B722">
        <f ca="1">IFERROR(__xludf.DUMMYFUNCTION("""COMPUTED_VALUE"""),720)</f>
        <v>720</v>
      </c>
      <c r="C722" t="str">
        <f ca="1">IFERROR(__xludf.DUMMYFUNCTION("""COMPUTED_VALUE"""),"Renato Paratore")</f>
        <v>Renato Paratore</v>
      </c>
      <c r="D722" s="4">
        <f ca="1">IFERROR(__xludf.DUMMYFUNCTION("""COMPUTED_VALUE"""),75649)</f>
        <v>75649</v>
      </c>
    </row>
    <row r="723" spans="1:4" ht="12.75">
      <c r="A723">
        <f ca="1">IFERROR(__xludf.DUMMYFUNCTION("""COMPUTED_VALUE"""),722)</f>
        <v>722</v>
      </c>
      <c r="B723">
        <f ca="1">IFERROR(__xludf.DUMMYFUNCTION("""COMPUTED_VALUE"""),721)</f>
        <v>721</v>
      </c>
      <c r="C723" t="str">
        <f ca="1">IFERROR(__xludf.DUMMYFUNCTION("""COMPUTED_VALUE"""),"George Cunningham")</f>
        <v>George Cunningham</v>
      </c>
      <c r="D723" s="4">
        <f ca="1">IFERROR(__xludf.DUMMYFUNCTION("""COMPUTED_VALUE"""),70713)</f>
        <v>70713</v>
      </c>
    </row>
    <row r="724" spans="1:4" ht="12.75">
      <c r="A724">
        <f ca="1">IFERROR(__xludf.DUMMYFUNCTION("""COMPUTED_VALUE"""),723)</f>
        <v>723</v>
      </c>
      <c r="B724">
        <f ca="1">IFERROR(__xludf.DUMMYFUNCTION("""COMPUTED_VALUE"""),722)</f>
        <v>722</v>
      </c>
      <c r="C724" t="str">
        <f ca="1">IFERROR(__xludf.DUMMYFUNCTION("""COMPUTED_VALUE"""),"Thomas Detry")</f>
        <v>Thomas Detry</v>
      </c>
      <c r="D724" s="4">
        <f ca="1">IFERROR(__xludf.DUMMYFUNCTION("""COMPUTED_VALUE"""),66612)</f>
        <v>66612</v>
      </c>
    </row>
    <row r="725" spans="1:4" ht="12.75">
      <c r="A725">
        <f ca="1">IFERROR(__xludf.DUMMYFUNCTION("""COMPUTED_VALUE"""),724)</f>
        <v>724</v>
      </c>
      <c r="B725">
        <f ca="1">IFERROR(__xludf.DUMMYFUNCTION("""COMPUTED_VALUE"""),723)</f>
        <v>723</v>
      </c>
      <c r="C725" t="str">
        <f ca="1">IFERROR(__xludf.DUMMYFUNCTION("""COMPUTED_VALUE"""),"Rikuya Hoshino")</f>
        <v>Rikuya Hoshino</v>
      </c>
      <c r="D725" s="4">
        <f ca="1">IFERROR(__xludf.DUMMYFUNCTION("""COMPUTED_VALUE"""),65822)</f>
        <v>65822</v>
      </c>
    </row>
    <row r="726" spans="1:4" ht="12.75">
      <c r="A726">
        <f ca="1">IFERROR(__xludf.DUMMYFUNCTION("""COMPUTED_VALUE"""),725)</f>
        <v>725</v>
      </c>
      <c r="B726">
        <f ca="1">IFERROR(__xludf.DUMMYFUNCTION("""COMPUTED_VALUE"""),724)</f>
        <v>724</v>
      </c>
      <c r="C726" t="str">
        <f ca="1">IFERROR(__xludf.DUMMYFUNCTION("""COMPUTED_VALUE"""),"Tae Hee Lee")</f>
        <v>Tae Hee Lee</v>
      </c>
      <c r="D726" s="4">
        <f ca="1">IFERROR(__xludf.DUMMYFUNCTION("""COMPUTED_VALUE"""),65727)</f>
        <v>65727</v>
      </c>
    </row>
    <row r="727" spans="1:4" ht="12.75">
      <c r="A727">
        <f ca="1">IFERROR(__xludf.DUMMYFUNCTION("""COMPUTED_VALUE"""),726)</f>
        <v>726</v>
      </c>
      <c r="B727">
        <f ca="1">IFERROR(__xludf.DUMMYFUNCTION("""COMPUTED_VALUE"""),725)</f>
        <v>725</v>
      </c>
      <c r="C727" t="str">
        <f ca="1">IFERROR(__xludf.DUMMYFUNCTION("""COMPUTED_VALUE"""),"Alex Smalley")</f>
        <v>Alex Smalley</v>
      </c>
      <c r="D727" s="4">
        <f ca="1">IFERROR(__xludf.DUMMYFUNCTION("""COMPUTED_VALUE"""),65000)</f>
        <v>65000</v>
      </c>
    </row>
    <row r="728" spans="1:4" ht="12.75">
      <c r="A728">
        <f ca="1">IFERROR(__xludf.DUMMYFUNCTION("""COMPUTED_VALUE"""),727)</f>
        <v>727</v>
      </c>
      <c r="B728">
        <f ca="1">IFERROR(__xludf.DUMMYFUNCTION("""COMPUTED_VALUE"""),727)</f>
        <v>727</v>
      </c>
      <c r="C728" t="str">
        <f ca="1">IFERROR(__xludf.DUMMYFUNCTION("""COMPUTED_VALUE"""),"Richie Karl")</f>
        <v>Richie Karl</v>
      </c>
      <c r="D728" s="4">
        <f ca="1">IFERROR(__xludf.DUMMYFUNCTION("""COMPUTED_VALUE"""),61566)</f>
        <v>61566</v>
      </c>
    </row>
    <row r="729" spans="1:4" ht="12.75">
      <c r="A729">
        <f ca="1">IFERROR(__xludf.DUMMYFUNCTION("""COMPUTED_VALUE"""),728)</f>
        <v>728</v>
      </c>
      <c r="B729">
        <f ca="1">IFERROR(__xludf.DUMMYFUNCTION("""COMPUTED_VALUE"""),728)</f>
        <v>728</v>
      </c>
      <c r="C729" t="str">
        <f ca="1">IFERROR(__xludf.DUMMYFUNCTION("""COMPUTED_VALUE"""),"Hyungjoon Lee")</f>
        <v>Hyungjoon Lee</v>
      </c>
      <c r="D729" s="4">
        <f ca="1">IFERROR(__xludf.DUMMYFUNCTION("""COMPUTED_VALUE"""),59028)</f>
        <v>59028</v>
      </c>
    </row>
    <row r="730" spans="1:4" ht="12.75">
      <c r="A730">
        <f ca="1">IFERROR(__xludf.DUMMYFUNCTION("""COMPUTED_VALUE"""),729)</f>
        <v>729</v>
      </c>
      <c r="B730">
        <f ca="1">IFERROR(__xludf.DUMMYFUNCTION("""COMPUTED_VALUE"""),729)</f>
        <v>729</v>
      </c>
      <c r="C730" t="str">
        <f ca="1">IFERROR(__xludf.DUMMYFUNCTION("""COMPUTED_VALUE"""),"Dru Love")</f>
        <v>Dru Love</v>
      </c>
      <c r="D730" s="4">
        <f ca="1">IFERROR(__xludf.DUMMYFUNCTION("""COMPUTED_VALUE"""),52685)</f>
        <v>52685</v>
      </c>
    </row>
    <row r="731" spans="1:4" ht="12.75">
      <c r="A731">
        <f ca="1">IFERROR(__xludf.DUMMYFUNCTION("""COMPUTED_VALUE"""),730)</f>
        <v>730</v>
      </c>
      <c r="B731">
        <f ca="1">IFERROR(__xludf.DUMMYFUNCTION("""COMPUTED_VALUE"""),730)</f>
        <v>730</v>
      </c>
      <c r="C731" t="str">
        <f ca="1">IFERROR(__xludf.DUMMYFUNCTION("""COMPUTED_VALUE"""),"Joohyung Kim")</f>
        <v>Joohyung Kim</v>
      </c>
      <c r="D731" s="4">
        <f ca="1">IFERROR(__xludf.DUMMYFUNCTION("""COMPUTED_VALUE"""),52508)</f>
        <v>52508</v>
      </c>
    </row>
    <row r="732" spans="1:4" ht="12.75">
      <c r="A732">
        <f ca="1">IFERROR(__xludf.DUMMYFUNCTION("""COMPUTED_VALUE"""),731)</f>
        <v>731</v>
      </c>
      <c r="B732">
        <f ca="1">IFERROR(__xludf.DUMMYFUNCTION("""COMPUTED_VALUE"""),731)</f>
        <v>731</v>
      </c>
      <c r="C732" t="str">
        <f ca="1">IFERROR(__xludf.DUMMYFUNCTION("""COMPUTED_VALUE"""),"Rod Perry")</f>
        <v>Rod Perry</v>
      </c>
      <c r="D732" s="4">
        <f ca="1">IFERROR(__xludf.DUMMYFUNCTION("""COMPUTED_VALUE"""),51882)</f>
        <v>51882</v>
      </c>
    </row>
    <row r="733" spans="1:4" ht="12.75">
      <c r="A733">
        <f ca="1">IFERROR(__xludf.DUMMYFUNCTION("""COMPUTED_VALUE"""),732)</f>
        <v>732</v>
      </c>
      <c r="B733">
        <f ca="1">IFERROR(__xludf.DUMMYFUNCTION("""COMPUTED_VALUE"""),732)</f>
        <v>732</v>
      </c>
      <c r="C733" t="str">
        <f ca="1">IFERROR(__xludf.DUMMYFUNCTION("""COMPUTED_VALUE"""),"Soomin Lee")</f>
        <v>Soomin Lee</v>
      </c>
      <c r="D733" s="4">
        <f ca="1">IFERROR(__xludf.DUMMYFUNCTION("""COMPUTED_VALUE"""),51630)</f>
        <v>51630</v>
      </c>
    </row>
    <row r="734" spans="1:4" ht="12.75">
      <c r="A734">
        <f ca="1">IFERROR(__xludf.DUMMYFUNCTION("""COMPUTED_VALUE"""),733)</f>
        <v>733</v>
      </c>
      <c r="B734">
        <f ca="1">IFERROR(__xludf.DUMMYFUNCTION("""COMPUTED_VALUE"""),733)</f>
        <v>733</v>
      </c>
      <c r="C734" t="str">
        <f ca="1">IFERROR(__xludf.DUMMYFUNCTION("""COMPUTED_VALUE"""),"Bill Johnston")</f>
        <v>Bill Johnston</v>
      </c>
      <c r="D734" s="4">
        <f ca="1">IFERROR(__xludf.DUMMYFUNCTION("""COMPUTED_VALUE"""),50707)</f>
        <v>50707</v>
      </c>
    </row>
    <row r="735" spans="1:4" ht="12.75">
      <c r="A735">
        <f ca="1">IFERROR(__xludf.DUMMYFUNCTION("""COMPUTED_VALUE"""),734)</f>
        <v>734</v>
      </c>
      <c r="B735">
        <f ca="1">IFERROR(__xludf.DUMMYFUNCTION("""COMPUTED_VALUE"""),734)</f>
        <v>734</v>
      </c>
      <c r="C735" t="str">
        <f ca="1">IFERROR(__xludf.DUMMYFUNCTION("""COMPUTED_VALUE"""),"Yi Keun Chang")</f>
        <v>Yi Keun Chang</v>
      </c>
      <c r="D735" s="4">
        <f ca="1">IFERROR(__xludf.DUMMYFUNCTION("""COMPUTED_VALUE"""),47938)</f>
        <v>47938</v>
      </c>
    </row>
    <row r="736" spans="1:4" ht="12.75">
      <c r="A736">
        <f ca="1">IFERROR(__xludf.DUMMYFUNCTION("""COMPUTED_VALUE"""),735)</f>
        <v>735</v>
      </c>
      <c r="B736">
        <f ca="1">IFERROR(__xludf.DUMMYFUNCTION("""COMPUTED_VALUE"""),735)</f>
        <v>735</v>
      </c>
      <c r="C736" t="str">
        <f ca="1">IFERROR(__xludf.DUMMYFUNCTION("""COMPUTED_VALUE"""),"Andrew Novak")</f>
        <v>Andrew Novak</v>
      </c>
      <c r="D736" s="4">
        <f ca="1">IFERROR(__xludf.DUMMYFUNCTION("""COMPUTED_VALUE"""),46009)</f>
        <v>46009</v>
      </c>
    </row>
    <row r="737" spans="1:4" ht="12.75">
      <c r="A737">
        <f ca="1">IFERROR(__xludf.DUMMYFUNCTION("""COMPUTED_VALUE"""),736)</f>
        <v>736</v>
      </c>
      <c r="B737">
        <f ca="1">IFERROR(__xludf.DUMMYFUNCTION("""COMPUTED_VALUE"""),736)</f>
        <v>736</v>
      </c>
      <c r="C737" t="str">
        <f ca="1">IFERROR(__xludf.DUMMYFUNCTION("""COMPUTED_VALUE"""),"Mikumu Horikawa")</f>
        <v>Mikumu Horikawa</v>
      </c>
      <c r="D737" s="4">
        <f ca="1">IFERROR(__xludf.DUMMYFUNCTION("""COMPUTED_VALUE"""),45423)</f>
        <v>45423</v>
      </c>
    </row>
    <row r="738" spans="1:4" ht="12.75">
      <c r="A738">
        <f ca="1">IFERROR(__xludf.DUMMYFUNCTION("""COMPUTED_VALUE"""),737)</f>
        <v>737</v>
      </c>
      <c r="B738">
        <f ca="1">IFERROR(__xludf.DUMMYFUNCTION("""COMPUTED_VALUE"""),737)</f>
        <v>737</v>
      </c>
      <c r="C738" t="str">
        <f ca="1">IFERROR(__xludf.DUMMYFUNCTION("""COMPUTED_VALUE"""),"Jeff Roth")</f>
        <v>Jeff Roth</v>
      </c>
      <c r="D738" s="4">
        <f ca="1">IFERROR(__xludf.DUMMYFUNCTION("""COMPUTED_VALUE"""),45206)</f>
        <v>45206</v>
      </c>
    </row>
    <row r="739" spans="1:4" ht="12.75">
      <c r="A739">
        <f ca="1">IFERROR(__xludf.DUMMYFUNCTION("""COMPUTED_VALUE"""),738)</f>
        <v>738</v>
      </c>
      <c r="B739">
        <f ca="1">IFERROR(__xludf.DUMMYFUNCTION("""COMPUTED_VALUE"""),738)</f>
        <v>738</v>
      </c>
      <c r="C739" t="str">
        <f ca="1">IFERROR(__xludf.DUMMYFUNCTION("""COMPUTED_VALUE"""),"Zander Lombard")</f>
        <v>Zander Lombard</v>
      </c>
      <c r="D739" s="4">
        <f ca="1">IFERROR(__xludf.DUMMYFUNCTION("""COMPUTED_VALUE"""),44494)</f>
        <v>44494</v>
      </c>
    </row>
    <row r="740" spans="1:4" ht="12.75">
      <c r="A740">
        <f ca="1">IFERROR(__xludf.DUMMYFUNCTION("""COMPUTED_VALUE"""),739)</f>
        <v>739</v>
      </c>
      <c r="B740">
        <f ca="1">IFERROR(__xludf.DUMMYFUNCTION("""COMPUTED_VALUE"""),739)</f>
        <v>739</v>
      </c>
      <c r="C740" t="str">
        <f ca="1">IFERROR(__xludf.DUMMYFUNCTION("""COMPUTED_VALUE"""),"Wonjoon Lee")</f>
        <v>Wonjoon Lee</v>
      </c>
      <c r="D740" s="4">
        <f ca="1">IFERROR(__xludf.DUMMYFUNCTION("""COMPUTED_VALUE"""),44383)</f>
        <v>44383</v>
      </c>
    </row>
    <row r="741" spans="1:4" ht="12.75">
      <c r="A741">
        <f ca="1">IFERROR(__xludf.DUMMYFUNCTION("""COMPUTED_VALUE"""),740)</f>
        <v>740</v>
      </c>
      <c r="B741">
        <f ca="1">IFERROR(__xludf.DUMMYFUNCTION("""COMPUTED_VALUE"""),740)</f>
        <v>740</v>
      </c>
      <c r="C741" t="str">
        <f ca="1">IFERROR(__xludf.DUMMYFUNCTION("""COMPUTED_VALUE"""),"Derek Gillespie")</f>
        <v>Derek Gillespie</v>
      </c>
      <c r="D741" s="4">
        <f ca="1">IFERROR(__xludf.DUMMYFUNCTION("""COMPUTED_VALUE"""),43504)</f>
        <v>43504</v>
      </c>
    </row>
    <row r="742" spans="1:4" ht="12.75">
      <c r="A742">
        <f ca="1">IFERROR(__xludf.DUMMYFUNCTION("""COMPUTED_VALUE"""),741)</f>
        <v>741</v>
      </c>
      <c r="B742">
        <f ca="1">IFERROR(__xludf.DUMMYFUNCTION("""COMPUTED_VALUE"""),741)</f>
        <v>741</v>
      </c>
      <c r="C742" t="str">
        <f ca="1">IFERROR(__xludf.DUMMYFUNCTION("""COMPUTED_VALUE"""),"Yosuke Asaji")</f>
        <v>Yosuke Asaji</v>
      </c>
      <c r="D742" s="4">
        <f ca="1">IFERROR(__xludf.DUMMYFUNCTION("""COMPUTED_VALUE"""),43418)</f>
        <v>43418</v>
      </c>
    </row>
    <row r="743" spans="1:4" ht="12.75">
      <c r="A743">
        <f ca="1">IFERROR(__xludf.DUMMYFUNCTION("""COMPUTED_VALUE"""),742)</f>
        <v>742</v>
      </c>
      <c r="B743">
        <f ca="1">IFERROR(__xludf.DUMMYFUNCTION("""COMPUTED_VALUE"""),742)</f>
        <v>742</v>
      </c>
      <c r="C743" t="str">
        <f ca="1">IFERROR(__xludf.DUMMYFUNCTION("""COMPUTED_VALUE"""),"Calum Hill")</f>
        <v>Calum Hill</v>
      </c>
      <c r="D743" s="4">
        <f ca="1">IFERROR(__xludf.DUMMYFUNCTION("""COMPUTED_VALUE"""),42949)</f>
        <v>42949</v>
      </c>
    </row>
    <row r="744" spans="1:4" ht="12.75">
      <c r="A744">
        <f ca="1">IFERROR(__xludf.DUMMYFUNCTION("""COMPUTED_VALUE"""),743)</f>
        <v>743</v>
      </c>
      <c r="B744">
        <f ca="1">IFERROR(__xludf.DUMMYFUNCTION("""COMPUTED_VALUE"""),743)</f>
        <v>743</v>
      </c>
      <c r="C744" t="str">
        <f ca="1">IFERROR(__xludf.DUMMYFUNCTION("""COMPUTED_VALUE"""),"Matthew Borchert")</f>
        <v>Matthew Borchert</v>
      </c>
      <c r="D744" s="4">
        <f ca="1">IFERROR(__xludf.DUMMYFUNCTION("""COMPUTED_VALUE"""),42764)</f>
        <v>42764</v>
      </c>
    </row>
    <row r="745" spans="1:4" ht="12.75">
      <c r="A745">
        <f ca="1">IFERROR(__xludf.DUMMYFUNCTION("""COMPUTED_VALUE"""),744)</f>
        <v>744</v>
      </c>
      <c r="B745">
        <f ca="1">IFERROR(__xludf.DUMMYFUNCTION("""COMPUTED_VALUE"""),744)</f>
        <v>744</v>
      </c>
      <c r="C745" t="str">
        <f ca="1">IFERROR(__xludf.DUMMYFUNCTION("""COMPUTED_VALUE"""),"Masahiro Kawamura")</f>
        <v>Masahiro Kawamura</v>
      </c>
      <c r="D745" s="4">
        <f ca="1">IFERROR(__xludf.DUMMYFUNCTION("""COMPUTED_VALUE"""),41375)</f>
        <v>41375</v>
      </c>
    </row>
    <row r="746" spans="1:4" ht="12.75">
      <c r="A746">
        <f ca="1">IFERROR(__xludf.DUMMYFUNCTION("""COMPUTED_VALUE"""),745)</f>
        <v>745</v>
      </c>
      <c r="B746">
        <f ca="1">IFERROR(__xludf.DUMMYFUNCTION("""COMPUTED_VALUE"""),745)</f>
        <v>745</v>
      </c>
      <c r="C746" t="str">
        <f ca="1">IFERROR(__xludf.DUMMYFUNCTION("""COMPUTED_VALUE"""),"Michael Block")</f>
        <v>Michael Block</v>
      </c>
      <c r="D746" s="4">
        <f ca="1">IFERROR(__xludf.DUMMYFUNCTION("""COMPUTED_VALUE"""),38038)</f>
        <v>38038</v>
      </c>
    </row>
    <row r="747" spans="1:4" ht="12.75">
      <c r="A747">
        <f ca="1">IFERROR(__xludf.DUMMYFUNCTION("""COMPUTED_VALUE"""),746)</f>
        <v>746</v>
      </c>
      <c r="B747">
        <f ca="1">IFERROR(__xludf.DUMMYFUNCTION("""COMPUTED_VALUE"""),746)</f>
        <v>746</v>
      </c>
      <c r="C747" t="str">
        <f ca="1">IFERROR(__xludf.DUMMYFUNCTION("""COMPUTED_VALUE"""),"Benjamin Hebert")</f>
        <v>Benjamin Hebert</v>
      </c>
      <c r="D747" s="4">
        <f ca="1">IFERROR(__xludf.DUMMYFUNCTION("""COMPUTED_VALUE"""),36925)</f>
        <v>36925</v>
      </c>
    </row>
    <row r="748" spans="1:4" ht="12.75">
      <c r="A748">
        <f ca="1">IFERROR(__xludf.DUMMYFUNCTION("""COMPUTED_VALUE"""),747)</f>
        <v>747</v>
      </c>
      <c r="B748">
        <f ca="1">IFERROR(__xludf.DUMMYFUNCTION("""COMPUTED_VALUE"""),747)</f>
        <v>747</v>
      </c>
      <c r="C748" t="str">
        <f ca="1">IFERROR(__xludf.DUMMYFUNCTION("""COMPUTED_VALUE"""),"Rob Labritz")</f>
        <v>Rob Labritz</v>
      </c>
      <c r="D748" s="4">
        <f ca="1">IFERROR(__xludf.DUMMYFUNCTION("""COMPUTED_VALUE"""),35450)</f>
        <v>35450</v>
      </c>
    </row>
    <row r="749" spans="1:4" ht="12.75">
      <c r="A749">
        <f ca="1">IFERROR(__xludf.DUMMYFUNCTION("""COMPUTED_VALUE"""),748)</f>
        <v>748</v>
      </c>
      <c r="B749">
        <f ca="1">IFERROR(__xludf.DUMMYFUNCTION("""COMPUTED_VALUE"""),748)</f>
        <v>748</v>
      </c>
      <c r="C749" t="str">
        <f ca="1">IFERROR(__xludf.DUMMYFUNCTION("""COMPUTED_VALUE"""),"Jeongwoo Ham")</f>
        <v>Jeongwoo Ham</v>
      </c>
      <c r="D749" s="4">
        <f ca="1">IFERROR(__xludf.DUMMYFUNCTION("""COMPUTED_VALUE"""),34613)</f>
        <v>34613</v>
      </c>
    </row>
    <row r="750" spans="1:4" ht="12.75">
      <c r="A750">
        <f ca="1">IFERROR(__xludf.DUMMYFUNCTION("""COMPUTED_VALUE"""),749)</f>
        <v>749</v>
      </c>
      <c r="B750">
        <f ca="1">IFERROR(__xludf.DUMMYFUNCTION("""COMPUTED_VALUE"""),749)</f>
        <v>749</v>
      </c>
      <c r="C750" t="str">
        <f ca="1">IFERROR(__xludf.DUMMYFUNCTION("""COMPUTED_VALUE"""),"Steve Lewton")</f>
        <v>Steve Lewton</v>
      </c>
      <c r="D750" s="4">
        <f ca="1">IFERROR(__xludf.DUMMYFUNCTION("""COMPUTED_VALUE"""),33964)</f>
        <v>33964</v>
      </c>
    </row>
    <row r="751" spans="1:4" ht="12.75">
      <c r="A751">
        <f ca="1">IFERROR(__xludf.DUMMYFUNCTION("""COMPUTED_VALUE"""),750)</f>
        <v>750</v>
      </c>
      <c r="B751">
        <f ca="1">IFERROR(__xludf.DUMMYFUNCTION("""COMPUTED_VALUE"""),750)</f>
        <v>750</v>
      </c>
      <c r="C751" t="str">
        <f ca="1">IFERROR(__xludf.DUMMYFUNCTION("""COMPUTED_VALUE"""),"Eric Dugas")</f>
        <v>Eric Dugas</v>
      </c>
      <c r="D751" s="4">
        <f ca="1">IFERROR(__xludf.DUMMYFUNCTION("""COMPUTED_VALUE"""),31208)</f>
        <v>31208</v>
      </c>
    </row>
    <row r="752" spans="1:4" ht="12.75">
      <c r="A752">
        <f ca="1">IFERROR(__xludf.DUMMYFUNCTION("""COMPUTED_VALUE"""),751)</f>
        <v>751</v>
      </c>
      <c r="B752">
        <f ca="1">IFERROR(__xludf.DUMMYFUNCTION("""COMPUTED_VALUE"""),751)</f>
        <v>751</v>
      </c>
      <c r="C752" t="str">
        <f ca="1">IFERROR(__xludf.DUMMYFUNCTION("""COMPUTED_VALUE"""),"Stephen Stallings Jr.")</f>
        <v>Stephen Stallings Jr.</v>
      </c>
      <c r="D752" s="4">
        <f ca="1">IFERROR(__xludf.DUMMYFUNCTION("""COMPUTED_VALUE"""),30084)</f>
        <v>30084</v>
      </c>
    </row>
    <row r="753" spans="1:4" ht="12.75">
      <c r="A753">
        <f ca="1">IFERROR(__xludf.DUMMYFUNCTION("""COMPUTED_VALUE"""),752)</f>
        <v>752</v>
      </c>
      <c r="B753" t="str">
        <f ca="1">IFERROR(__xludf.DUMMYFUNCTION("""COMPUTED_VALUE"""),"")</f>
        <v/>
      </c>
      <c r="C753" t="str">
        <f ca="1">IFERROR(__xludf.DUMMYFUNCTION("""COMPUTED_VALUE"""),"Erik Barnes")</f>
        <v>Erik Barnes</v>
      </c>
      <c r="D753" s="4">
        <f ca="1">IFERROR(__xludf.DUMMYFUNCTION("""COMPUTED_VALUE"""),29750)</f>
        <v>29750</v>
      </c>
    </row>
    <row r="754" spans="1:4" ht="12.75">
      <c r="A754" t="str">
        <f ca="1">IFERROR(__xludf.DUMMYFUNCTION("""COMPUTED_VALUE"""),"T753")</f>
        <v>T753</v>
      </c>
      <c r="B754" t="str">
        <f ca="1">IFERROR(__xludf.DUMMYFUNCTION("""COMPUTED_VALUE"""),"T752")</f>
        <v>T752</v>
      </c>
      <c r="C754" t="str">
        <f ca="1">IFERROR(__xludf.DUMMYFUNCTION("""COMPUTED_VALUE"""),"Brad Kennedy")</f>
        <v>Brad Kennedy</v>
      </c>
      <c r="D754" s="4">
        <f ca="1">IFERROR(__xludf.DUMMYFUNCTION("""COMPUTED_VALUE"""),26880)</f>
        <v>26880</v>
      </c>
    </row>
    <row r="755" spans="1:4" ht="12.75">
      <c r="A755" t="str">
        <f ca="1">IFERROR(__xludf.DUMMYFUNCTION("""COMPUTED_VALUE"""),"T753")</f>
        <v>T753</v>
      </c>
      <c r="B755" t="str">
        <f ca="1">IFERROR(__xludf.DUMMYFUNCTION("""COMPUTED_VALUE"""),"T752")</f>
        <v>T752</v>
      </c>
      <c r="C755" t="str">
        <f ca="1">IFERROR(__xludf.DUMMYFUNCTION("""COMPUTED_VALUE"""),"Takumi Kanaya")</f>
        <v>Takumi Kanaya</v>
      </c>
      <c r="D755" s="4">
        <f ca="1">IFERROR(__xludf.DUMMYFUNCTION("""COMPUTED_VALUE"""),26880)</f>
        <v>26880</v>
      </c>
    </row>
    <row r="756" spans="1:4" ht="12.75">
      <c r="A756">
        <f ca="1">IFERROR(__xludf.DUMMYFUNCTION("""COMPUTED_VALUE"""),755)</f>
        <v>755</v>
      </c>
      <c r="B756">
        <f ca="1">IFERROR(__xludf.DUMMYFUNCTION("""COMPUTED_VALUE"""),754)</f>
        <v>754</v>
      </c>
      <c r="C756" t="str">
        <f ca="1">IFERROR(__xludf.DUMMYFUNCTION("""COMPUTED_VALUE"""),"Andrea Pavan")</f>
        <v>Andrea Pavan</v>
      </c>
      <c r="D756" s="4">
        <f ca="1">IFERROR(__xludf.DUMMYFUNCTION("""COMPUTED_VALUE"""),26717)</f>
        <v>26717</v>
      </c>
    </row>
    <row r="757" spans="1:4" ht="12.75">
      <c r="A757">
        <f ca="1">IFERROR(__xludf.DUMMYFUNCTION("""COMPUTED_VALUE"""),756)</f>
        <v>756</v>
      </c>
      <c r="B757">
        <f ca="1">IFERROR(__xludf.DUMMYFUNCTION("""COMPUTED_VALUE"""),755)</f>
        <v>755</v>
      </c>
      <c r="C757" t="str">
        <f ca="1">IFERROR(__xludf.DUMMYFUNCTION("""COMPUTED_VALUE"""),"Rich Berberian, Jr.")</f>
        <v>Rich Berberian, Jr.</v>
      </c>
      <c r="D757" s="4">
        <f ca="1">IFERROR(__xludf.DUMMYFUNCTION("""COMPUTED_VALUE"""),26284)</f>
        <v>26284</v>
      </c>
    </row>
    <row r="758" spans="1:4" ht="12.75">
      <c r="A758">
        <f ca="1">IFERROR(__xludf.DUMMYFUNCTION("""COMPUTED_VALUE"""),757)</f>
        <v>757</v>
      </c>
      <c r="B758">
        <f ca="1">IFERROR(__xludf.DUMMYFUNCTION("""COMPUTED_VALUE"""),756)</f>
        <v>756</v>
      </c>
      <c r="C758" t="str">
        <f ca="1">IFERROR(__xludf.DUMMYFUNCTION("""COMPUTED_VALUE"""),"Laurie Hammer")</f>
        <v>Laurie Hammer</v>
      </c>
      <c r="D758" s="4">
        <f ca="1">IFERROR(__xludf.DUMMYFUNCTION("""COMPUTED_VALUE"""),25992)</f>
        <v>25992</v>
      </c>
    </row>
    <row r="759" spans="1:4" ht="12.75">
      <c r="A759">
        <f ca="1">IFERROR(__xludf.DUMMYFUNCTION("""COMPUTED_VALUE"""),758)</f>
        <v>758</v>
      </c>
      <c r="B759">
        <f ca="1">IFERROR(__xludf.DUMMYFUNCTION("""COMPUTED_VALUE"""),757)</f>
        <v>757</v>
      </c>
      <c r="C759" t="str">
        <f ca="1">IFERROR(__xludf.DUMMYFUNCTION("""COMPUTED_VALUE"""),"Tomoharu Otsuki")</f>
        <v>Tomoharu Otsuki</v>
      </c>
      <c r="D759" s="4">
        <f ca="1">IFERROR(__xludf.DUMMYFUNCTION("""COMPUTED_VALUE"""),24687)</f>
        <v>24687</v>
      </c>
    </row>
    <row r="760" spans="1:4" ht="12.75">
      <c r="A760">
        <f ca="1">IFERROR(__xludf.DUMMYFUNCTION("""COMPUTED_VALUE"""),759)</f>
        <v>759</v>
      </c>
      <c r="B760">
        <f ca="1">IFERROR(__xludf.DUMMYFUNCTION("""COMPUTED_VALUE"""),758)</f>
        <v>758</v>
      </c>
      <c r="C760" t="str">
        <f ca="1">IFERROR(__xludf.DUMMYFUNCTION("""COMPUTED_VALUE"""),"Ryan Vermeer")</f>
        <v>Ryan Vermeer</v>
      </c>
      <c r="D760" s="4">
        <f ca="1">IFERROR(__xludf.DUMMYFUNCTION("""COMPUTED_VALUE"""),24520)</f>
        <v>24520</v>
      </c>
    </row>
    <row r="761" spans="1:4" ht="12.75">
      <c r="A761">
        <f ca="1">IFERROR(__xludf.DUMMYFUNCTION("""COMPUTED_VALUE"""),760)</f>
        <v>760</v>
      </c>
      <c r="B761">
        <f ca="1">IFERROR(__xludf.DUMMYFUNCTION("""COMPUTED_VALUE"""),759)</f>
        <v>759</v>
      </c>
      <c r="C761" t="str">
        <f ca="1">IFERROR(__xludf.DUMMYFUNCTION("""COMPUTED_VALUE"""),"Jimmy Stanger")</f>
        <v>Jimmy Stanger</v>
      </c>
      <c r="D761" s="4">
        <f ca="1">IFERROR(__xludf.DUMMYFUNCTION("""COMPUTED_VALUE"""),24480)</f>
        <v>24480</v>
      </c>
    </row>
    <row r="762" spans="1:4" ht="12.75">
      <c r="A762">
        <f ca="1">IFERROR(__xludf.DUMMYFUNCTION("""COMPUTED_VALUE"""),761)</f>
        <v>761</v>
      </c>
      <c r="B762">
        <f ca="1">IFERROR(__xludf.DUMMYFUNCTION("""COMPUTED_VALUE"""),760)</f>
        <v>760</v>
      </c>
      <c r="C762" t="str">
        <f ca="1">IFERROR(__xludf.DUMMYFUNCTION("""COMPUTED_VALUE"""),"Al Johnston")</f>
        <v>Al Johnston</v>
      </c>
      <c r="D762" s="4">
        <f ca="1">IFERROR(__xludf.DUMMYFUNCTION("""COMPUTED_VALUE"""),24099)</f>
        <v>24099</v>
      </c>
    </row>
    <row r="763" spans="1:4" ht="12.75">
      <c r="A763">
        <f ca="1">IFERROR(__xludf.DUMMYFUNCTION("""COMPUTED_VALUE"""),762)</f>
        <v>762</v>
      </c>
      <c r="B763">
        <f ca="1">IFERROR(__xludf.DUMMYFUNCTION("""COMPUTED_VALUE"""),761)</f>
        <v>761</v>
      </c>
      <c r="C763" t="str">
        <f ca="1">IFERROR(__xludf.DUMMYFUNCTION("""COMPUTED_VALUE"""),"Hayden Buckley")</f>
        <v>Hayden Buckley</v>
      </c>
      <c r="D763" s="4">
        <f ca="1">IFERROR(__xludf.DUMMYFUNCTION("""COMPUTED_VALUE"""),23730)</f>
        <v>23730</v>
      </c>
    </row>
    <row r="764" spans="1:4" ht="12.75">
      <c r="A764">
        <f ca="1">IFERROR(__xludf.DUMMYFUNCTION("""COMPUTED_VALUE"""),763)</f>
        <v>763</v>
      </c>
      <c r="B764">
        <f ca="1">IFERROR(__xludf.DUMMYFUNCTION("""COMPUTED_VALUE"""),762)</f>
        <v>762</v>
      </c>
      <c r="C764" t="str">
        <f ca="1">IFERROR(__xludf.DUMMYFUNCTION("""COMPUTED_VALUE"""),"Hanbyeol Kim")</f>
        <v>Hanbyeol Kim</v>
      </c>
      <c r="D764" s="4">
        <f ca="1">IFERROR(__xludf.DUMMYFUNCTION("""COMPUTED_VALUE"""),23205)</f>
        <v>23205</v>
      </c>
    </row>
    <row r="765" spans="1:4" ht="12.75">
      <c r="A765">
        <f ca="1">IFERROR(__xludf.DUMMYFUNCTION("""COMPUTED_VALUE"""),764)</f>
        <v>764</v>
      </c>
      <c r="B765">
        <f ca="1">IFERROR(__xludf.DUMMYFUNCTION("""COMPUTED_VALUE"""),763)</f>
        <v>763</v>
      </c>
      <c r="C765" t="str">
        <f ca="1">IFERROR(__xludf.DUMMYFUNCTION("""COMPUTED_VALUE"""),"Kyongjun Moon")</f>
        <v>Kyongjun Moon</v>
      </c>
      <c r="D765" s="4">
        <f ca="1">IFERROR(__xludf.DUMMYFUNCTION("""COMPUTED_VALUE"""),22718)</f>
        <v>22718</v>
      </c>
    </row>
    <row r="766" spans="1:4" ht="12.75">
      <c r="A766">
        <f ca="1">IFERROR(__xludf.DUMMYFUNCTION("""COMPUTED_VALUE"""),765)</f>
        <v>765</v>
      </c>
      <c r="B766">
        <f ca="1">IFERROR(__xludf.DUMMYFUNCTION("""COMPUTED_VALUE"""),764)</f>
        <v>764</v>
      </c>
      <c r="C766" t="str">
        <f ca="1">IFERROR(__xludf.DUMMYFUNCTION("""COMPUTED_VALUE"""),"Seonghyeon Kim")</f>
        <v>Seonghyeon Kim</v>
      </c>
      <c r="D766" s="4">
        <f ca="1">IFERROR(__xludf.DUMMYFUNCTION("""COMPUTED_VALUE"""),20169)</f>
        <v>20169</v>
      </c>
    </row>
    <row r="767" spans="1:4" ht="12.75">
      <c r="A767">
        <f ca="1">IFERROR(__xludf.DUMMYFUNCTION("""COMPUTED_VALUE"""),766)</f>
        <v>766</v>
      </c>
      <c r="B767">
        <f ca="1">IFERROR(__xludf.DUMMYFUNCTION("""COMPUTED_VALUE"""),765)</f>
        <v>765</v>
      </c>
      <c r="C767" t="str">
        <f ca="1">IFERROR(__xludf.DUMMYFUNCTION("""COMPUTED_VALUE"""),"Adrian Otaegui")</f>
        <v>Adrian Otaegui</v>
      </c>
      <c r="D767" s="4">
        <f ca="1">IFERROR(__xludf.DUMMYFUNCTION("""COMPUTED_VALUE"""),20100)</f>
        <v>20100</v>
      </c>
    </row>
    <row r="768" spans="1:4" ht="12.75">
      <c r="A768">
        <f ca="1">IFERROR(__xludf.DUMMYFUNCTION("""COMPUTED_VALUE"""),767)</f>
        <v>767</v>
      </c>
      <c r="B768">
        <f ca="1">IFERROR(__xludf.DUMMYFUNCTION("""COMPUTED_VALUE"""),766)</f>
        <v>766</v>
      </c>
      <c r="C768" t="str">
        <f ca="1">IFERROR(__xludf.DUMMYFUNCTION("""COMPUTED_VALUE"""),"Matthew Millar")</f>
        <v>Matthew Millar</v>
      </c>
      <c r="D768" s="4">
        <f ca="1">IFERROR(__xludf.DUMMYFUNCTION("""COMPUTED_VALUE"""),19845)</f>
        <v>19845</v>
      </c>
    </row>
    <row r="769" spans="1:4" ht="12.75">
      <c r="A769">
        <f ca="1">IFERROR(__xludf.DUMMYFUNCTION("""COMPUTED_VALUE"""),768)</f>
        <v>768</v>
      </c>
      <c r="B769">
        <f ca="1">IFERROR(__xludf.DUMMYFUNCTION("""COMPUTED_VALUE"""),767)</f>
        <v>767</v>
      </c>
      <c r="C769" t="str">
        <f ca="1">IFERROR(__xludf.DUMMYFUNCTION("""COMPUTED_VALUE"""),"Jinichiro Kozuma")</f>
        <v>Jinichiro Kozuma</v>
      </c>
      <c r="D769" s="4">
        <f ca="1">IFERROR(__xludf.DUMMYFUNCTION("""COMPUTED_VALUE"""),19598)</f>
        <v>19598</v>
      </c>
    </row>
    <row r="770" spans="1:4" ht="12.75">
      <c r="A770">
        <f ca="1">IFERROR(__xludf.DUMMYFUNCTION("""COMPUTED_VALUE"""),769)</f>
        <v>769</v>
      </c>
      <c r="B770">
        <f ca="1">IFERROR(__xludf.DUMMYFUNCTION("""COMPUTED_VALUE"""),768)</f>
        <v>768</v>
      </c>
      <c r="C770" t="str">
        <f ca="1">IFERROR(__xludf.DUMMYFUNCTION("""COMPUTED_VALUE"""),"Jaekyeong Lee")</f>
        <v>Jaekyeong Lee</v>
      </c>
      <c r="D770" s="4">
        <f ca="1">IFERROR(__xludf.DUMMYFUNCTION("""COMPUTED_VALUE"""),19208)</f>
        <v>19208</v>
      </c>
    </row>
    <row r="771" spans="1:4" ht="12.75">
      <c r="A771">
        <f ca="1">IFERROR(__xludf.DUMMYFUNCTION("""COMPUTED_VALUE"""),770)</f>
        <v>770</v>
      </c>
      <c r="B771">
        <f ca="1">IFERROR(__xludf.DUMMYFUNCTION("""COMPUTED_VALUE"""),769)</f>
        <v>769</v>
      </c>
      <c r="C771" t="str">
        <f ca="1">IFERROR(__xludf.DUMMYFUNCTION("""COMPUTED_VALUE"""),"Vince Covello")</f>
        <v>Vince Covello</v>
      </c>
      <c r="D771" s="4">
        <f ca="1">IFERROR(__xludf.DUMMYFUNCTION("""COMPUTED_VALUE"""),19035)</f>
        <v>19035</v>
      </c>
    </row>
    <row r="772" spans="1:4" ht="12.75">
      <c r="A772">
        <f ca="1">IFERROR(__xludf.DUMMYFUNCTION("""COMPUTED_VALUE"""),771)</f>
        <v>771</v>
      </c>
      <c r="B772">
        <f ca="1">IFERROR(__xludf.DUMMYFUNCTION("""COMPUTED_VALUE"""),770)</f>
        <v>770</v>
      </c>
      <c r="C772" t="str">
        <f ca="1">IFERROR(__xludf.DUMMYFUNCTION("""COMPUTED_VALUE"""),"Rasmus Hojgaard")</f>
        <v>Rasmus Hojgaard</v>
      </c>
      <c r="D772" s="4">
        <f ca="1">IFERROR(__xludf.DUMMYFUNCTION("""COMPUTED_VALUE"""),19000)</f>
        <v>19000</v>
      </c>
    </row>
    <row r="773" spans="1:4" ht="12.75">
      <c r="A773">
        <f ca="1">IFERROR(__xludf.DUMMYFUNCTION("""COMPUTED_VALUE"""),772)</f>
        <v>772</v>
      </c>
      <c r="B773">
        <f ca="1">IFERROR(__xludf.DUMMYFUNCTION("""COMPUTED_VALUE"""),771)</f>
        <v>771</v>
      </c>
      <c r="C773" t="str">
        <f ca="1">IFERROR(__xludf.DUMMYFUNCTION("""COMPUTED_VALUE"""),"Marty Jertson")</f>
        <v>Marty Jertson</v>
      </c>
      <c r="D773" s="4">
        <f ca="1">IFERROR(__xludf.DUMMYFUNCTION("""COMPUTED_VALUE"""),18400)</f>
        <v>18400</v>
      </c>
    </row>
    <row r="774" spans="1:4" ht="12.75">
      <c r="A774">
        <f ca="1">IFERROR(__xludf.DUMMYFUNCTION("""COMPUTED_VALUE"""),773)</f>
        <v>773</v>
      </c>
      <c r="B774">
        <f ca="1">IFERROR(__xludf.DUMMYFUNCTION("""COMPUTED_VALUE"""),772)</f>
        <v>772</v>
      </c>
      <c r="C774" t="str">
        <f ca="1">IFERROR(__xludf.DUMMYFUNCTION("""COMPUTED_VALUE"""),"Braden Bailey")</f>
        <v>Braden Bailey</v>
      </c>
      <c r="D774" s="4">
        <f ca="1">IFERROR(__xludf.DUMMYFUNCTION("""COMPUTED_VALUE"""),18263)</f>
        <v>18263</v>
      </c>
    </row>
    <row r="775" spans="1:4" ht="12.75">
      <c r="A775">
        <f ca="1">IFERROR(__xludf.DUMMYFUNCTION("""COMPUTED_VALUE"""),774)</f>
        <v>774</v>
      </c>
      <c r="B775">
        <f ca="1">IFERROR(__xludf.DUMMYFUNCTION("""COMPUTED_VALUE"""),773)</f>
        <v>773</v>
      </c>
      <c r="C775" t="str">
        <f ca="1">IFERROR(__xludf.DUMMYFUNCTION("""COMPUTED_VALUE"""),"Alvaro Ortiz")</f>
        <v>Alvaro Ortiz</v>
      </c>
      <c r="D775" s="4">
        <f ca="1">IFERROR(__xludf.DUMMYFUNCTION("""COMPUTED_VALUE"""),18257)</f>
        <v>18257</v>
      </c>
    </row>
    <row r="776" spans="1:4" ht="12.75">
      <c r="A776">
        <f ca="1">IFERROR(__xludf.DUMMYFUNCTION("""COMPUTED_VALUE"""),775)</f>
        <v>775</v>
      </c>
      <c r="B776">
        <f ca="1">IFERROR(__xludf.DUMMYFUNCTION("""COMPUTED_VALUE"""),774)</f>
        <v>774</v>
      </c>
      <c r="C776" t="str">
        <f ca="1">IFERROR(__xludf.DUMMYFUNCTION("""COMPUTED_VALUE"""),"Braden Thornberry")</f>
        <v>Braden Thornberry</v>
      </c>
      <c r="D776" s="4">
        <f ca="1">IFERROR(__xludf.DUMMYFUNCTION("""COMPUTED_VALUE"""),16557)</f>
        <v>16557</v>
      </c>
    </row>
    <row r="777" spans="1:4" ht="12.75">
      <c r="A777">
        <f ca="1">IFERROR(__xludf.DUMMYFUNCTION("""COMPUTED_VALUE"""),776)</f>
        <v>776</v>
      </c>
      <c r="B777">
        <f ca="1">IFERROR(__xludf.DUMMYFUNCTION("""COMPUTED_VALUE"""),775)</f>
        <v>775</v>
      </c>
      <c r="C777" t="str">
        <f ca="1">IFERROR(__xludf.DUMMYFUNCTION("""COMPUTED_VALUE"""),"Gunn Charoenkul")</f>
        <v>Gunn Charoenkul</v>
      </c>
      <c r="D777" s="4">
        <f ca="1">IFERROR(__xludf.DUMMYFUNCTION("""COMPUTED_VALUE"""),16480)</f>
        <v>16480</v>
      </c>
    </row>
    <row r="778" spans="1:4" ht="12.75">
      <c r="A778">
        <f ca="1">IFERROR(__xludf.DUMMYFUNCTION("""COMPUTED_VALUE"""),777)</f>
        <v>777</v>
      </c>
      <c r="B778">
        <f ca="1">IFERROR(__xludf.DUMMYFUNCTION("""COMPUTED_VALUE"""),776)</f>
        <v>776</v>
      </c>
      <c r="C778" t="str">
        <f ca="1">IFERROR(__xludf.DUMMYFUNCTION("""COMPUTED_VALUE"""),"Jeremy Gandon")</f>
        <v>Jeremy Gandon</v>
      </c>
      <c r="D778" s="4">
        <f ca="1">IFERROR(__xludf.DUMMYFUNCTION("""COMPUTED_VALUE"""),15900)</f>
        <v>15900</v>
      </c>
    </row>
    <row r="779" spans="1:4" ht="12.75">
      <c r="A779">
        <f ca="1">IFERROR(__xludf.DUMMYFUNCTION("""COMPUTED_VALUE"""),778)</f>
        <v>778</v>
      </c>
      <c r="B779">
        <f ca="1">IFERROR(__xludf.DUMMYFUNCTION("""COMPUTED_VALUE"""),777)</f>
        <v>777</v>
      </c>
      <c r="C779" t="str">
        <f ca="1">IFERROR(__xludf.DUMMYFUNCTION("""COMPUTED_VALUE"""),"Chandler Phillips")</f>
        <v>Chandler Phillips</v>
      </c>
      <c r="D779" s="4">
        <f ca="1">IFERROR(__xludf.DUMMYFUNCTION("""COMPUTED_VALUE"""),15375)</f>
        <v>15375</v>
      </c>
    </row>
    <row r="780" spans="1:4" ht="12.75">
      <c r="A780">
        <f ca="1">IFERROR(__xludf.DUMMYFUNCTION("""COMPUTED_VALUE"""),779)</f>
        <v>779</v>
      </c>
      <c r="B780">
        <f ca="1">IFERROR(__xludf.DUMMYFUNCTION("""COMPUTED_VALUE"""),778)</f>
        <v>778</v>
      </c>
      <c r="C780" t="str">
        <f ca="1">IFERROR(__xludf.DUMMYFUNCTION("""COMPUTED_VALUE"""),"Greyson Sigg")</f>
        <v>Greyson Sigg</v>
      </c>
      <c r="D780" s="4">
        <f ca="1">IFERROR(__xludf.DUMMYFUNCTION("""COMPUTED_VALUE"""),15302)</f>
        <v>15302</v>
      </c>
    </row>
    <row r="781" spans="1:4" ht="12.75">
      <c r="A781">
        <f ca="1">IFERROR(__xludf.DUMMYFUNCTION("""COMPUTED_VALUE"""),780)</f>
        <v>780</v>
      </c>
      <c r="B781">
        <f ca="1">IFERROR(__xludf.DUMMYFUNCTION("""COMPUTED_VALUE"""),779)</f>
        <v>779</v>
      </c>
      <c r="C781" t="str">
        <f ca="1">IFERROR(__xludf.DUMMYFUNCTION("""COMPUTED_VALUE"""),"George Markham")</f>
        <v>George Markham</v>
      </c>
      <c r="D781" s="4">
        <f ca="1">IFERROR(__xludf.DUMMYFUNCTION("""COMPUTED_VALUE"""),15120)</f>
        <v>15120</v>
      </c>
    </row>
    <row r="782" spans="1:4" ht="12.75">
      <c r="A782">
        <f ca="1">IFERROR(__xludf.DUMMYFUNCTION("""COMPUTED_VALUE"""),781)</f>
        <v>781</v>
      </c>
      <c r="B782">
        <f ca="1">IFERROR(__xludf.DUMMYFUNCTION("""COMPUTED_VALUE"""),780)</f>
        <v>780</v>
      </c>
      <c r="C782" t="str">
        <f ca="1">IFERROR(__xludf.DUMMYFUNCTION("""COMPUTED_VALUE"""),"Lee Hodges")</f>
        <v>Lee Hodges</v>
      </c>
      <c r="D782" s="4">
        <f ca="1">IFERROR(__xludf.DUMMYFUNCTION("""COMPUTED_VALUE"""),14592)</f>
        <v>14592</v>
      </c>
    </row>
    <row r="783" spans="1:4" ht="12.75">
      <c r="A783">
        <f ca="1">IFERROR(__xludf.DUMMYFUNCTION("""COMPUTED_VALUE"""),782)</f>
        <v>782</v>
      </c>
      <c r="B783">
        <f ca="1">IFERROR(__xludf.DUMMYFUNCTION("""COMPUTED_VALUE"""),781)</f>
        <v>781</v>
      </c>
      <c r="C783" t="str">
        <f ca="1">IFERROR(__xludf.DUMMYFUNCTION("""COMPUTED_VALUE"""),"Shintaro Ban")</f>
        <v>Shintaro Ban</v>
      </c>
      <c r="D783" s="4">
        <f ca="1">IFERROR(__xludf.DUMMYFUNCTION("""COMPUTED_VALUE"""),14112)</f>
        <v>14112</v>
      </c>
    </row>
    <row r="784" spans="1:4" ht="12.75">
      <c r="A784">
        <f ca="1">IFERROR(__xludf.DUMMYFUNCTION("""COMPUTED_VALUE"""),783)</f>
        <v>783</v>
      </c>
      <c r="B784">
        <f ca="1">IFERROR(__xludf.DUMMYFUNCTION("""COMPUTED_VALUE"""),782)</f>
        <v>782</v>
      </c>
      <c r="C784" t="str">
        <f ca="1">IFERROR(__xludf.DUMMYFUNCTION("""COMPUTED_VALUE"""),"Naoki Sekito")</f>
        <v>Naoki Sekito</v>
      </c>
      <c r="D784" s="4">
        <f ca="1">IFERROR(__xludf.DUMMYFUNCTION("""COMPUTED_VALUE"""),13280)</f>
        <v>13280</v>
      </c>
    </row>
    <row r="785" spans="1:4" ht="12.75">
      <c r="A785">
        <f ca="1">IFERROR(__xludf.DUMMYFUNCTION("""COMPUTED_VALUE"""),784)</f>
        <v>784</v>
      </c>
      <c r="B785">
        <f ca="1">IFERROR(__xludf.DUMMYFUNCTION("""COMPUTED_VALUE"""),783)</f>
        <v>783</v>
      </c>
      <c r="C785" t="str">
        <f ca="1">IFERROR(__xludf.DUMMYFUNCTION("""COMPUTED_VALUE"""),"Brinson Paolini")</f>
        <v>Brinson Paolini</v>
      </c>
      <c r="D785" s="4">
        <f ca="1">IFERROR(__xludf.DUMMYFUNCTION("""COMPUTED_VALUE"""),13120)</f>
        <v>13120</v>
      </c>
    </row>
    <row r="786" spans="1:4" ht="12.75">
      <c r="A786">
        <f ca="1">IFERROR(__xludf.DUMMYFUNCTION("""COMPUTED_VALUE"""),785)</f>
        <v>785</v>
      </c>
      <c r="B786">
        <f ca="1">IFERROR(__xludf.DUMMYFUNCTION("""COMPUTED_VALUE"""),784)</f>
        <v>784</v>
      </c>
      <c r="C786" t="str">
        <f ca="1">IFERROR(__xludf.DUMMYFUNCTION("""COMPUTED_VALUE"""),"Jared Sawada")</f>
        <v>Jared Sawada</v>
      </c>
      <c r="D786" s="4">
        <f ca="1">IFERROR(__xludf.DUMMYFUNCTION("""COMPUTED_VALUE"""),12000)</f>
        <v>12000</v>
      </c>
    </row>
    <row r="787" spans="1:4" ht="12.75">
      <c r="A787">
        <f ca="1">IFERROR(__xludf.DUMMYFUNCTION("""COMPUTED_VALUE"""),786)</f>
        <v>786</v>
      </c>
      <c r="B787">
        <f ca="1">IFERROR(__xludf.DUMMYFUNCTION("""COMPUTED_VALUE"""),785)</f>
        <v>785</v>
      </c>
      <c r="C787" t="str">
        <f ca="1">IFERROR(__xludf.DUMMYFUNCTION("""COMPUTED_VALUE"""),"Julio Santos")</f>
        <v>Julio Santos</v>
      </c>
      <c r="D787" s="4">
        <f ca="1">IFERROR(__xludf.DUMMYFUNCTION("""COMPUTED_VALUE"""),11730)</f>
        <v>11730</v>
      </c>
    </row>
    <row r="788" spans="1:4" ht="12.75">
      <c r="A788">
        <f ca="1">IFERROR(__xludf.DUMMYFUNCTION("""COMPUTED_VALUE"""),787)</f>
        <v>787</v>
      </c>
      <c r="B788">
        <f ca="1">IFERROR(__xludf.DUMMYFUNCTION("""COMPUTED_VALUE"""),786)</f>
        <v>786</v>
      </c>
      <c r="C788" t="str">
        <f ca="1">IFERROR(__xludf.DUMMYFUNCTION("""COMPUTED_VALUE"""),"Patrick Fishburn")</f>
        <v>Patrick Fishburn</v>
      </c>
      <c r="D788" s="4">
        <f ca="1">IFERROR(__xludf.DUMMYFUNCTION("""COMPUTED_VALUE"""),10650)</f>
        <v>10650</v>
      </c>
    </row>
    <row r="789" spans="1:4" ht="12.75">
      <c r="A789">
        <f ca="1">IFERROR(__xludf.DUMMYFUNCTION("""COMPUTED_VALUE"""),788)</f>
        <v>788</v>
      </c>
      <c r="B789">
        <f ca="1">IFERROR(__xludf.DUMMYFUNCTION("""COMPUTED_VALUE"""),787)</f>
        <v>787</v>
      </c>
      <c r="C789" t="str">
        <f ca="1">IFERROR(__xludf.DUMMYFUNCTION("""COMPUTED_VALUE"""),"Michael Miller")</f>
        <v>Michael Miller</v>
      </c>
      <c r="D789" s="4">
        <f ca="1">IFERROR(__xludf.DUMMYFUNCTION("""COMPUTED_VALUE"""),10180)</f>
        <v>10180</v>
      </c>
    </row>
    <row r="790" spans="1:4" ht="12.75">
      <c r="A790">
        <f ca="1">IFERROR(__xludf.DUMMYFUNCTION("""COMPUTED_VALUE"""),789)</f>
        <v>789</v>
      </c>
      <c r="B790">
        <f ca="1">IFERROR(__xludf.DUMMYFUNCTION("""COMPUTED_VALUE"""),788)</f>
        <v>788</v>
      </c>
      <c r="C790" t="str">
        <f ca="1">IFERROR(__xludf.DUMMYFUNCTION("""COMPUTED_VALUE"""),"Willy Pumarol")</f>
        <v>Willy Pumarol</v>
      </c>
      <c r="D790" s="4">
        <f ca="1">IFERROR(__xludf.DUMMYFUNCTION("""COMPUTED_VALUE"""),8440)</f>
        <v>8440</v>
      </c>
    </row>
    <row r="791" spans="1:4" ht="12.75">
      <c r="A791">
        <f ca="1">IFERROR(__xludf.DUMMYFUNCTION("""COMPUTED_VALUE"""),790)</f>
        <v>790</v>
      </c>
      <c r="B791">
        <f ca="1">IFERROR(__xludf.DUMMYFUNCTION("""COMPUTED_VALUE"""),789)</f>
        <v>789</v>
      </c>
      <c r="C791" t="str">
        <f ca="1">IFERROR(__xludf.DUMMYFUNCTION("""COMPUTED_VALUE"""),"Sebastián Vázquez")</f>
        <v>Sebastián Vázquez</v>
      </c>
      <c r="D791" s="4">
        <f ca="1">IFERROR(__xludf.DUMMYFUNCTION("""COMPUTED_VALUE"""),7700)</f>
        <v>7700</v>
      </c>
    </row>
    <row r="792" spans="1:4" ht="12.75">
      <c r="A792">
        <f ca="1">IFERROR(__xludf.DUMMYFUNCTION("""COMPUTED_VALUE"""),791)</f>
        <v>791</v>
      </c>
      <c r="B792">
        <f ca="1">IFERROR(__xludf.DUMMYFUNCTION("""COMPUTED_VALUE"""),790)</f>
        <v>790</v>
      </c>
      <c r="C792" t="str">
        <f ca="1">IFERROR(__xludf.DUMMYFUNCTION("""COMPUTED_VALUE"""),"Peter Kuest")</f>
        <v>Peter Kuest</v>
      </c>
      <c r="D792" s="4">
        <f ca="1">IFERROR(__xludf.DUMMYFUNCTION("""COMPUTED_VALUE"""),7525)</f>
        <v>7525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999"/>
  <sheetViews>
    <sheetView workbookViewId="0"/>
  </sheetViews>
  <sheetFormatPr defaultColWidth="14.42578125" defaultRowHeight="15.75" customHeight="1"/>
  <sheetData>
    <row r="1" spans="1:9" ht="15.75" customHeight="1">
      <c r="A1" s="3" t="str">
        <f ca="1">IFERROR(__xludf.DUMMYFUNCTION("importhtml(""http://www.pgatour.com/stats/stat.186.html"",""table"", 2)"),"RANK THIS WEEK")</f>
        <v>RANK THIS WEEK</v>
      </c>
      <c r="B1" t="str">
        <f ca="1">IFERROR(__xludf.DUMMYFUNCTION("""COMPUTED_VALUE"""),"RANK LAST WEEK")</f>
        <v>RANK LAST WEEK</v>
      </c>
      <c r="C1" t="str">
        <f ca="1">IFERROR(__xludf.DUMMYFUNCTION("""COMPUTED_VALUE"""),"PLAYER NAME")</f>
        <v>PLAYER NAME</v>
      </c>
      <c r="D1" t="str">
        <f ca="1">IFERROR(__xludf.DUMMYFUNCTION("""COMPUTED_VALUE"""),"EVENTS")</f>
        <v>EVENTS</v>
      </c>
      <c r="E1" t="str">
        <f ca="1">IFERROR(__xludf.DUMMYFUNCTION("""COMPUTED_VALUE"""),"AVG POINTS")</f>
        <v>AVG POINTS</v>
      </c>
      <c r="F1" t="str">
        <f ca="1">IFERROR(__xludf.DUMMYFUNCTION("""COMPUTED_VALUE"""),"TOTAL POINTS")</f>
        <v>TOTAL POINTS</v>
      </c>
      <c r="G1" t="str">
        <f ca="1">IFERROR(__xludf.DUMMYFUNCTION("""COMPUTED_VALUE"""),"POINTS LOST")</f>
        <v>POINTS LOST</v>
      </c>
      <c r="H1" t="str">
        <f ca="1">IFERROR(__xludf.DUMMYFUNCTION("""COMPUTED_VALUE"""),"POINTS GAINED")</f>
        <v>POINTS GAINED</v>
      </c>
      <c r="I1" t="str">
        <f ca="1">IFERROR(__xludf.DUMMYFUNCTION("""COMPUTED_VALUE"""),"COUNTRY")</f>
        <v>COUNTRY</v>
      </c>
    </row>
    <row r="2" spans="1:9" ht="15.75" customHeight="1">
      <c r="A2">
        <f ca="1">IFERROR(__xludf.DUMMYFUNCTION("""COMPUTED_VALUE"""),1)</f>
        <v>1</v>
      </c>
      <c r="B2">
        <f ca="1">IFERROR(__xludf.DUMMYFUNCTION("""COMPUTED_VALUE"""),1)</f>
        <v>1</v>
      </c>
      <c r="C2" t="str">
        <f ca="1">IFERROR(__xludf.DUMMYFUNCTION("""COMPUTED_VALUE"""),"Dustin Johnson")</f>
        <v>Dustin Johnson</v>
      </c>
      <c r="D2">
        <f ca="1">IFERROR(__xludf.DUMMYFUNCTION("""COMPUTED_VALUE"""),43)</f>
        <v>43</v>
      </c>
      <c r="E2">
        <f ca="1">IFERROR(__xludf.DUMMYFUNCTION("""COMPUTED_VALUE"""),10.58)</f>
        <v>10.58</v>
      </c>
      <c r="F2">
        <f ca="1">IFERROR(__xludf.DUMMYFUNCTION("""COMPUTED_VALUE"""),454.75)</f>
        <v>454.75</v>
      </c>
      <c r="G2">
        <f ca="1">IFERROR(__xludf.DUMMYFUNCTION("""COMPUTED_VALUE"""),-199.58)</f>
        <v>-199.58</v>
      </c>
      <c r="H2">
        <f ca="1">IFERROR(__xludf.DUMMYFUNCTION("""COMPUTED_VALUE"""),363.54)</f>
        <v>363.54</v>
      </c>
      <c r="I2" t="str">
        <f ca="1">IFERROR(__xludf.DUMMYFUNCTION("""COMPUTED_VALUE"""),"")</f>
        <v/>
      </c>
    </row>
    <row r="3" spans="1:9" ht="15.75" customHeight="1">
      <c r="A3">
        <f ca="1">IFERROR(__xludf.DUMMYFUNCTION("""COMPUTED_VALUE"""),2)</f>
        <v>2</v>
      </c>
      <c r="B3">
        <f ca="1">IFERROR(__xludf.DUMMYFUNCTION("""COMPUTED_VALUE"""),2)</f>
        <v>2</v>
      </c>
      <c r="C3" t="str">
        <f ca="1">IFERROR(__xludf.DUMMYFUNCTION("""COMPUTED_VALUE"""),"Jon Rahm")</f>
        <v>Jon Rahm</v>
      </c>
      <c r="D3">
        <f ca="1">IFERROR(__xludf.DUMMYFUNCTION("""COMPUTED_VALUE"""),50)</f>
        <v>50</v>
      </c>
      <c r="E3">
        <f ca="1">IFERROR(__xludf.DUMMYFUNCTION("""COMPUTED_VALUE"""),10.1)</f>
        <v>10.1</v>
      </c>
      <c r="F3">
        <f ca="1">IFERROR(__xludf.DUMMYFUNCTION("""COMPUTED_VALUE"""),505.13)</f>
        <v>505.13</v>
      </c>
      <c r="G3">
        <f ca="1">IFERROR(__xludf.DUMMYFUNCTION("""COMPUTED_VALUE"""),-203.72)</f>
        <v>-203.72</v>
      </c>
      <c r="H3">
        <f ca="1">IFERROR(__xludf.DUMMYFUNCTION("""COMPUTED_VALUE"""),312.39)</f>
        <v>312.39</v>
      </c>
      <c r="I3" t="str">
        <f ca="1">IFERROR(__xludf.DUMMYFUNCTION("""COMPUTED_VALUE"""),"")</f>
        <v/>
      </c>
    </row>
    <row r="4" spans="1:9" ht="15.75" customHeight="1">
      <c r="A4">
        <f ca="1">IFERROR(__xludf.DUMMYFUNCTION("""COMPUTED_VALUE"""),3)</f>
        <v>3</v>
      </c>
      <c r="B4">
        <f ca="1">IFERROR(__xludf.DUMMYFUNCTION("""COMPUTED_VALUE"""),3)</f>
        <v>3</v>
      </c>
      <c r="C4" t="str">
        <f ca="1">IFERROR(__xludf.DUMMYFUNCTION("""COMPUTED_VALUE"""),"Justin Thomas")</f>
        <v>Justin Thomas</v>
      </c>
      <c r="D4">
        <f ca="1">IFERROR(__xludf.DUMMYFUNCTION("""COMPUTED_VALUE"""),48)</f>
        <v>48</v>
      </c>
      <c r="E4">
        <f ca="1">IFERROR(__xludf.DUMMYFUNCTION("""COMPUTED_VALUE"""),8.99)</f>
        <v>8.99</v>
      </c>
      <c r="F4">
        <f ca="1">IFERROR(__xludf.DUMMYFUNCTION("""COMPUTED_VALUE"""),431.37)</f>
        <v>431.37</v>
      </c>
      <c r="G4">
        <f ca="1">IFERROR(__xludf.DUMMYFUNCTION("""COMPUTED_VALUE"""),-201.12)</f>
        <v>-201.12</v>
      </c>
      <c r="H4">
        <f ca="1">IFERROR(__xludf.DUMMYFUNCTION("""COMPUTED_VALUE"""),299.82)</f>
        <v>299.82</v>
      </c>
      <c r="I4" t="str">
        <f ca="1">IFERROR(__xludf.DUMMYFUNCTION("""COMPUTED_VALUE"""),"")</f>
        <v/>
      </c>
    </row>
    <row r="5" spans="1:9" ht="15.75" customHeight="1">
      <c r="A5">
        <f ca="1">IFERROR(__xludf.DUMMYFUNCTION("""COMPUTED_VALUE"""),4)</f>
        <v>4</v>
      </c>
      <c r="B5">
        <f ca="1">IFERROR(__xludf.DUMMYFUNCTION("""COMPUTED_VALUE"""),4)</f>
        <v>4</v>
      </c>
      <c r="C5" t="str">
        <f ca="1">IFERROR(__xludf.DUMMYFUNCTION("""COMPUTED_VALUE"""),"Collin Morikawa")</f>
        <v>Collin Morikawa</v>
      </c>
      <c r="D5">
        <f ca="1">IFERROR(__xludf.DUMMYFUNCTION("""COMPUTED_VALUE"""),40)</f>
        <v>40</v>
      </c>
      <c r="E5">
        <f ca="1">IFERROR(__xludf.DUMMYFUNCTION("""COMPUTED_VALUE"""),7.43)</f>
        <v>7.43</v>
      </c>
      <c r="F5">
        <f ca="1">IFERROR(__xludf.DUMMYFUNCTION("""COMPUTED_VALUE"""),297.14)</f>
        <v>297.14</v>
      </c>
      <c r="G5">
        <f ca="1">IFERROR(__xludf.DUMMYFUNCTION("""COMPUTED_VALUE"""),-44.42)</f>
        <v>-44.42</v>
      </c>
      <c r="H5">
        <f ca="1">IFERROR(__xludf.DUMMYFUNCTION("""COMPUTED_VALUE"""),263.95)</f>
        <v>263.95</v>
      </c>
      <c r="I5" t="str">
        <f ca="1">IFERROR(__xludf.DUMMYFUNCTION("""COMPUTED_VALUE"""),"")</f>
        <v/>
      </c>
    </row>
    <row r="6" spans="1:9" ht="15.75" customHeight="1">
      <c r="A6">
        <f ca="1">IFERROR(__xludf.DUMMYFUNCTION("""COMPUTED_VALUE"""),5)</f>
        <v>5</v>
      </c>
      <c r="B6">
        <f ca="1">IFERROR(__xludf.DUMMYFUNCTION("""COMPUTED_VALUE"""),5)</f>
        <v>5</v>
      </c>
      <c r="C6" t="str">
        <f ca="1">IFERROR(__xludf.DUMMYFUNCTION("""COMPUTED_VALUE"""),"Rory McIlroy")</f>
        <v>Rory McIlroy</v>
      </c>
      <c r="D6">
        <f ca="1">IFERROR(__xludf.DUMMYFUNCTION("""COMPUTED_VALUE"""),47)</f>
        <v>47</v>
      </c>
      <c r="E6">
        <f ca="1">IFERROR(__xludf.DUMMYFUNCTION("""COMPUTED_VALUE"""),7.37)</f>
        <v>7.37</v>
      </c>
      <c r="F6">
        <f ca="1">IFERROR(__xludf.DUMMYFUNCTION("""COMPUTED_VALUE"""),346.37)</f>
        <v>346.37</v>
      </c>
      <c r="G6">
        <f ca="1">IFERROR(__xludf.DUMMYFUNCTION("""COMPUTED_VALUE"""),-242.58)</f>
        <v>-242.58</v>
      </c>
      <c r="H6">
        <f ca="1">IFERROR(__xludf.DUMMYFUNCTION("""COMPUTED_VALUE"""),121.43)</f>
        <v>121.43</v>
      </c>
      <c r="I6" t="str">
        <f ca="1">IFERROR(__xludf.DUMMYFUNCTION("""COMPUTED_VALUE"""),"")</f>
        <v/>
      </c>
    </row>
    <row r="7" spans="1:9" ht="15.75" customHeight="1">
      <c r="A7">
        <f ca="1">IFERROR(__xludf.DUMMYFUNCTION("""COMPUTED_VALUE"""),6)</f>
        <v>6</v>
      </c>
      <c r="B7">
        <f ca="1">IFERROR(__xludf.DUMMYFUNCTION("""COMPUTED_VALUE"""),6)</f>
        <v>6</v>
      </c>
      <c r="C7" t="str">
        <f ca="1">IFERROR(__xludf.DUMMYFUNCTION("""COMPUTED_VALUE"""),"Bryson DeChambeau")</f>
        <v>Bryson DeChambeau</v>
      </c>
      <c r="D7">
        <f ca="1">IFERROR(__xludf.DUMMYFUNCTION("""COMPUTED_VALUE"""),50)</f>
        <v>50</v>
      </c>
      <c r="E7">
        <f ca="1">IFERROR(__xludf.DUMMYFUNCTION("""COMPUTED_VALUE"""),7.33)</f>
        <v>7.33</v>
      </c>
      <c r="F7">
        <f ca="1">IFERROR(__xludf.DUMMYFUNCTION("""COMPUTED_VALUE"""),366.38)</f>
        <v>366.38</v>
      </c>
      <c r="G7">
        <f ca="1">IFERROR(__xludf.DUMMYFUNCTION("""COMPUTED_VALUE"""),-188.56)</f>
        <v>-188.56</v>
      </c>
      <c r="H7">
        <f ca="1">IFERROR(__xludf.DUMMYFUNCTION("""COMPUTED_VALUE"""),310.03)</f>
        <v>310.02999999999997</v>
      </c>
      <c r="I7" t="str">
        <f ca="1">IFERROR(__xludf.DUMMYFUNCTION("""COMPUTED_VALUE"""),"")</f>
        <v/>
      </c>
    </row>
    <row r="8" spans="1:9" ht="15.75" customHeight="1">
      <c r="A8">
        <f ca="1">IFERROR(__xludf.DUMMYFUNCTION("""COMPUTED_VALUE"""),7)</f>
        <v>7</v>
      </c>
      <c r="B8">
        <f ca="1">IFERROR(__xludf.DUMMYFUNCTION("""COMPUTED_VALUE"""),8)</f>
        <v>8</v>
      </c>
      <c r="C8" t="str">
        <f ca="1">IFERROR(__xludf.DUMMYFUNCTION("""COMPUTED_VALUE"""),"Webb Simpson")</f>
        <v>Webb Simpson</v>
      </c>
      <c r="D8">
        <f ca="1">IFERROR(__xludf.DUMMYFUNCTION("""COMPUTED_VALUE"""),43)</f>
        <v>43</v>
      </c>
      <c r="E8">
        <f ca="1">IFERROR(__xludf.DUMMYFUNCTION("""COMPUTED_VALUE"""),7.11)</f>
        <v>7.11</v>
      </c>
      <c r="F8">
        <f ca="1">IFERROR(__xludf.DUMMYFUNCTION("""COMPUTED_VALUE"""),305.9)</f>
        <v>305.89999999999998</v>
      </c>
      <c r="G8">
        <f ca="1">IFERROR(__xludf.DUMMYFUNCTION("""COMPUTED_VALUE"""),-148.18)</f>
        <v>-148.18</v>
      </c>
      <c r="H8">
        <f ca="1">IFERROR(__xludf.DUMMYFUNCTION("""COMPUTED_VALUE"""),220.2)</f>
        <v>220.2</v>
      </c>
      <c r="I8" t="str">
        <f ca="1">IFERROR(__xludf.DUMMYFUNCTION("""COMPUTED_VALUE"""),"")</f>
        <v/>
      </c>
    </row>
    <row r="9" spans="1:9" ht="15.75" customHeight="1">
      <c r="A9">
        <f ca="1">IFERROR(__xludf.DUMMYFUNCTION("""COMPUTED_VALUE"""),8)</f>
        <v>8</v>
      </c>
      <c r="B9">
        <f ca="1">IFERROR(__xludf.DUMMYFUNCTION("""COMPUTED_VALUE"""),7)</f>
        <v>7</v>
      </c>
      <c r="C9" t="str">
        <f ca="1">IFERROR(__xludf.DUMMYFUNCTION("""COMPUTED_VALUE"""),"Xander Schauffele")</f>
        <v>Xander Schauffele</v>
      </c>
      <c r="D9">
        <f ca="1">IFERROR(__xludf.DUMMYFUNCTION("""COMPUTED_VALUE"""),50)</f>
        <v>50</v>
      </c>
      <c r="E9">
        <f ca="1">IFERROR(__xludf.DUMMYFUNCTION("""COMPUTED_VALUE"""),7.1)</f>
        <v>7.1</v>
      </c>
      <c r="F9">
        <f ca="1">IFERROR(__xludf.DUMMYFUNCTION("""COMPUTED_VALUE"""),355.12)</f>
        <v>355.12</v>
      </c>
      <c r="G9">
        <f ca="1">IFERROR(__xludf.DUMMYFUNCTION("""COMPUTED_VALUE"""),-174.25)</f>
        <v>-174.25</v>
      </c>
      <c r="H9">
        <f ca="1">IFERROR(__xludf.DUMMYFUNCTION("""COMPUTED_VALUE"""),239.73)</f>
        <v>239.73</v>
      </c>
      <c r="I9" t="str">
        <f ca="1">IFERROR(__xludf.DUMMYFUNCTION("""COMPUTED_VALUE"""),"")</f>
        <v/>
      </c>
    </row>
    <row r="10" spans="1:9" ht="15.75" customHeight="1">
      <c r="A10">
        <f ca="1">IFERROR(__xludf.DUMMYFUNCTION("""COMPUTED_VALUE"""),9)</f>
        <v>9</v>
      </c>
      <c r="B10">
        <f ca="1">IFERROR(__xludf.DUMMYFUNCTION("""COMPUTED_VALUE"""),10)</f>
        <v>10</v>
      </c>
      <c r="C10" t="str">
        <f ca="1">IFERROR(__xludf.DUMMYFUNCTION("""COMPUTED_VALUE"""),"Tyrrell Hatton")</f>
        <v>Tyrrell Hatton</v>
      </c>
      <c r="D10">
        <f ca="1">IFERROR(__xludf.DUMMYFUNCTION("""COMPUTED_VALUE"""),48)</f>
        <v>48</v>
      </c>
      <c r="E10">
        <f ca="1">IFERROR(__xludf.DUMMYFUNCTION("""COMPUTED_VALUE"""),6.28)</f>
        <v>6.28</v>
      </c>
      <c r="F10">
        <f ca="1">IFERROR(__xludf.DUMMYFUNCTION("""COMPUTED_VALUE"""),301.61)</f>
        <v>301.61</v>
      </c>
      <c r="G10">
        <f ca="1">IFERROR(__xludf.DUMMYFUNCTION("""COMPUTED_VALUE"""),-93.34)</f>
        <v>-93.34</v>
      </c>
      <c r="H10">
        <f ca="1">IFERROR(__xludf.DUMMYFUNCTION("""COMPUTED_VALUE"""),237.18)</f>
        <v>237.18</v>
      </c>
      <c r="I10" t="str">
        <f ca="1">IFERROR(__xludf.DUMMYFUNCTION("""COMPUTED_VALUE"""),"")</f>
        <v/>
      </c>
    </row>
    <row r="11" spans="1:9" ht="15.75" customHeight="1">
      <c r="A11">
        <f ca="1">IFERROR(__xludf.DUMMYFUNCTION("""COMPUTED_VALUE"""),10)</f>
        <v>10</v>
      </c>
      <c r="B11">
        <f ca="1">IFERROR(__xludf.DUMMYFUNCTION("""COMPUTED_VALUE"""),9)</f>
        <v>9</v>
      </c>
      <c r="C11" t="str">
        <f ca="1">IFERROR(__xludf.DUMMYFUNCTION("""COMPUTED_VALUE"""),"Patrick Cantlay")</f>
        <v>Patrick Cantlay</v>
      </c>
      <c r="D11">
        <f ca="1">IFERROR(__xludf.DUMMYFUNCTION("""COMPUTED_VALUE"""),43)</f>
        <v>43</v>
      </c>
      <c r="E11">
        <f ca="1">IFERROR(__xludf.DUMMYFUNCTION("""COMPUTED_VALUE"""),6.27)</f>
        <v>6.27</v>
      </c>
      <c r="F11">
        <f ca="1">IFERROR(__xludf.DUMMYFUNCTION("""COMPUTED_VALUE"""),269.5)</f>
        <v>269.5</v>
      </c>
      <c r="G11">
        <f ca="1">IFERROR(__xludf.DUMMYFUNCTION("""COMPUTED_VALUE"""),-147.81)</f>
        <v>-147.81</v>
      </c>
      <c r="H11">
        <f ca="1">IFERROR(__xludf.DUMMYFUNCTION("""COMPUTED_VALUE"""),140.96)</f>
        <v>140.96</v>
      </c>
      <c r="I11" t="str">
        <f ca="1">IFERROR(__xludf.DUMMYFUNCTION("""COMPUTED_VALUE"""),"")</f>
        <v/>
      </c>
    </row>
    <row r="12" spans="1:9" ht="15.75" customHeight="1">
      <c r="A12">
        <f ca="1">IFERROR(__xludf.DUMMYFUNCTION("""COMPUTED_VALUE"""),11)</f>
        <v>11</v>
      </c>
      <c r="B12">
        <f ca="1">IFERROR(__xludf.DUMMYFUNCTION("""COMPUTED_VALUE"""),11)</f>
        <v>11</v>
      </c>
      <c r="C12" t="str">
        <f ca="1">IFERROR(__xludf.DUMMYFUNCTION("""COMPUTED_VALUE"""),"Patrick Reed")</f>
        <v>Patrick Reed</v>
      </c>
      <c r="D12">
        <f ca="1">IFERROR(__xludf.DUMMYFUNCTION("""COMPUTED_VALUE"""),52)</f>
        <v>52</v>
      </c>
      <c r="E12">
        <f ca="1">IFERROR(__xludf.DUMMYFUNCTION("""COMPUTED_VALUE"""),5.88)</f>
        <v>5.88</v>
      </c>
      <c r="F12">
        <f ca="1">IFERROR(__xludf.DUMMYFUNCTION("""COMPUTED_VALUE"""),305.76)</f>
        <v>305.76</v>
      </c>
      <c r="G12">
        <f ca="1">IFERROR(__xludf.DUMMYFUNCTION("""COMPUTED_VALUE"""),-152.84)</f>
        <v>-152.84</v>
      </c>
      <c r="H12">
        <f ca="1">IFERROR(__xludf.DUMMYFUNCTION("""COMPUTED_VALUE"""),209.01)</f>
        <v>209.01</v>
      </c>
      <c r="I12" t="str">
        <f ca="1">IFERROR(__xludf.DUMMYFUNCTION("""COMPUTED_VALUE"""),"")</f>
        <v/>
      </c>
    </row>
    <row r="13" spans="1:9" ht="15.75" customHeight="1">
      <c r="A13">
        <f ca="1">IFERROR(__xludf.DUMMYFUNCTION("""COMPUTED_VALUE"""),12)</f>
        <v>12</v>
      </c>
      <c r="B13">
        <f ca="1">IFERROR(__xludf.DUMMYFUNCTION("""COMPUTED_VALUE"""),12)</f>
        <v>12</v>
      </c>
      <c r="C13" t="str">
        <f ca="1">IFERROR(__xludf.DUMMYFUNCTION("""COMPUTED_VALUE"""),"Brooks Koepka")</f>
        <v>Brooks Koepka</v>
      </c>
      <c r="D13">
        <f ca="1">IFERROR(__xludf.DUMMYFUNCTION("""COMPUTED_VALUE"""),45)</f>
        <v>45</v>
      </c>
      <c r="E13">
        <f ca="1">IFERROR(__xludf.DUMMYFUNCTION("""COMPUTED_VALUE"""),5.49)</f>
        <v>5.49</v>
      </c>
      <c r="F13">
        <f ca="1">IFERROR(__xludf.DUMMYFUNCTION("""COMPUTED_VALUE"""),246.96)</f>
        <v>246.96</v>
      </c>
      <c r="G13">
        <f ca="1">IFERROR(__xludf.DUMMYFUNCTION("""COMPUTED_VALUE"""),-253.61)</f>
        <v>-253.61</v>
      </c>
      <c r="H13">
        <f ca="1">IFERROR(__xludf.DUMMYFUNCTION("""COMPUTED_VALUE"""),72.96)</f>
        <v>72.959999999999994</v>
      </c>
      <c r="I13" t="str">
        <f ca="1">IFERROR(__xludf.DUMMYFUNCTION("""COMPUTED_VALUE"""),"")</f>
        <v/>
      </c>
    </row>
    <row r="14" spans="1:9" ht="15.75" customHeight="1">
      <c r="A14">
        <f ca="1">IFERROR(__xludf.DUMMYFUNCTION("""COMPUTED_VALUE"""),13)</f>
        <v>13</v>
      </c>
      <c r="B14">
        <f ca="1">IFERROR(__xludf.DUMMYFUNCTION("""COMPUTED_VALUE"""),13)</f>
        <v>13</v>
      </c>
      <c r="C14" t="str">
        <f ca="1">IFERROR(__xludf.DUMMYFUNCTION("""COMPUTED_VALUE"""),"Daniel Berger")</f>
        <v>Daniel Berger</v>
      </c>
      <c r="D14">
        <f ca="1">IFERROR(__xludf.DUMMYFUNCTION("""COMPUTED_VALUE"""),43)</f>
        <v>43</v>
      </c>
      <c r="E14">
        <f ca="1">IFERROR(__xludf.DUMMYFUNCTION("""COMPUTED_VALUE"""),5.07)</f>
        <v>5.07</v>
      </c>
      <c r="F14">
        <f ca="1">IFERROR(__xludf.DUMMYFUNCTION("""COMPUTED_VALUE"""),218.16)</f>
        <v>218.16</v>
      </c>
      <c r="G14">
        <f ca="1">IFERROR(__xludf.DUMMYFUNCTION("""COMPUTED_VALUE"""),-43.59)</f>
        <v>-43.59</v>
      </c>
      <c r="H14">
        <f ca="1">IFERROR(__xludf.DUMMYFUNCTION("""COMPUTED_VALUE"""),214.68)</f>
        <v>214.68</v>
      </c>
      <c r="I14" t="str">
        <f ca="1">IFERROR(__xludf.DUMMYFUNCTION("""COMPUTED_VALUE"""),"")</f>
        <v/>
      </c>
    </row>
    <row r="15" spans="1:9" ht="15.75" customHeight="1">
      <c r="A15">
        <f ca="1">IFERROR(__xludf.DUMMYFUNCTION("""COMPUTED_VALUE"""),14)</f>
        <v>14</v>
      </c>
      <c r="B15">
        <f ca="1">IFERROR(__xludf.DUMMYFUNCTION("""COMPUTED_VALUE"""),14)</f>
        <v>14</v>
      </c>
      <c r="C15" t="str">
        <f ca="1">IFERROR(__xludf.DUMMYFUNCTION("""COMPUTED_VALUE"""),"Matthew Wolff")</f>
        <v>Matthew Wolff</v>
      </c>
      <c r="D15">
        <f ca="1">IFERROR(__xludf.DUMMYFUNCTION("""COMPUTED_VALUE"""),40)</f>
        <v>40</v>
      </c>
      <c r="E15">
        <f ca="1">IFERROR(__xludf.DUMMYFUNCTION("""COMPUTED_VALUE"""),4.91)</f>
        <v>4.91</v>
      </c>
      <c r="F15">
        <f ca="1">IFERROR(__xludf.DUMMYFUNCTION("""COMPUTED_VALUE"""),196.34)</f>
        <v>196.34</v>
      </c>
      <c r="G15">
        <f ca="1">IFERROR(__xludf.DUMMYFUNCTION("""COMPUTED_VALUE"""),-26.6)</f>
        <v>-26.6</v>
      </c>
      <c r="H15">
        <f ca="1">IFERROR(__xludf.DUMMYFUNCTION("""COMPUTED_VALUE"""),168.51)</f>
        <v>168.51</v>
      </c>
      <c r="I15" t="str">
        <f ca="1">IFERROR(__xludf.DUMMYFUNCTION("""COMPUTED_VALUE"""),"")</f>
        <v/>
      </c>
    </row>
    <row r="16" spans="1:9" ht="15.75" customHeight="1">
      <c r="A16">
        <f ca="1">IFERROR(__xludf.DUMMYFUNCTION("""COMPUTED_VALUE"""),15)</f>
        <v>15</v>
      </c>
      <c r="B16">
        <f ca="1">IFERROR(__xludf.DUMMYFUNCTION("""COMPUTED_VALUE"""),15)</f>
        <v>15</v>
      </c>
      <c r="C16" t="str">
        <f ca="1">IFERROR(__xludf.DUMMYFUNCTION("""COMPUTED_VALUE"""),"Adam Scott")</f>
        <v>Adam Scott</v>
      </c>
      <c r="D16">
        <f ca="1">IFERROR(__xludf.DUMMYFUNCTION("""COMPUTED_VALUE"""),40)</f>
        <v>40</v>
      </c>
      <c r="E16">
        <f ca="1">IFERROR(__xludf.DUMMYFUNCTION("""COMPUTED_VALUE"""),4.57)</f>
        <v>4.57</v>
      </c>
      <c r="F16">
        <f ca="1">IFERROR(__xludf.DUMMYFUNCTION("""COMPUTED_VALUE"""),182.75)</f>
        <v>182.75</v>
      </c>
      <c r="G16">
        <f ca="1">IFERROR(__xludf.DUMMYFUNCTION("""COMPUTED_VALUE"""),-120.06)</f>
        <v>-120.06</v>
      </c>
      <c r="H16">
        <f ca="1">IFERROR(__xludf.DUMMYFUNCTION("""COMPUTED_VALUE"""),89.02)</f>
        <v>89.02</v>
      </c>
      <c r="I16" t="str">
        <f ca="1">IFERROR(__xludf.DUMMYFUNCTION("""COMPUTED_VALUE"""),"")</f>
        <v/>
      </c>
    </row>
    <row r="17" spans="1:9" ht="15.75" customHeight="1">
      <c r="A17">
        <f ca="1">IFERROR(__xludf.DUMMYFUNCTION("""COMPUTED_VALUE"""),16)</f>
        <v>16</v>
      </c>
      <c r="B17">
        <f ca="1">IFERROR(__xludf.DUMMYFUNCTION("""COMPUTED_VALUE"""),16)</f>
        <v>16</v>
      </c>
      <c r="C17" t="str">
        <f ca="1">IFERROR(__xludf.DUMMYFUNCTION("""COMPUTED_VALUE"""),"Tommy Fleetwood")</f>
        <v>Tommy Fleetwood</v>
      </c>
      <c r="D17">
        <f ca="1">IFERROR(__xludf.DUMMYFUNCTION("""COMPUTED_VALUE"""),52)</f>
        <v>52</v>
      </c>
      <c r="E17">
        <f ca="1">IFERROR(__xludf.DUMMYFUNCTION("""COMPUTED_VALUE"""),4.48)</f>
        <v>4.4800000000000004</v>
      </c>
      <c r="F17">
        <f ca="1">IFERROR(__xludf.DUMMYFUNCTION("""COMPUTED_VALUE"""),232.97)</f>
        <v>232.97</v>
      </c>
      <c r="G17">
        <f ca="1">IFERROR(__xludf.DUMMYFUNCTION("""COMPUTED_VALUE"""),-158.84)</f>
        <v>-158.84</v>
      </c>
      <c r="H17">
        <f ca="1">IFERROR(__xludf.DUMMYFUNCTION("""COMPUTED_VALUE"""),97.23)</f>
        <v>97.23</v>
      </c>
      <c r="I17" t="str">
        <f ca="1">IFERROR(__xludf.DUMMYFUNCTION("""COMPUTED_VALUE"""),"")</f>
        <v/>
      </c>
    </row>
    <row r="18" spans="1:9" ht="15.75" customHeight="1">
      <c r="A18">
        <f ca="1">IFERROR(__xludf.DUMMYFUNCTION("""COMPUTED_VALUE"""),17)</f>
        <v>17</v>
      </c>
      <c r="B18">
        <f ca="1">IFERROR(__xludf.DUMMYFUNCTION("""COMPUTED_VALUE"""),17)</f>
        <v>17</v>
      </c>
      <c r="C18" t="str">
        <f ca="1">IFERROR(__xludf.DUMMYFUNCTION("""COMPUTED_VALUE"""),"Tony Finau")</f>
        <v>Tony Finau</v>
      </c>
      <c r="D18">
        <f ca="1">IFERROR(__xludf.DUMMYFUNCTION("""COMPUTED_VALUE"""),52)</f>
        <v>52</v>
      </c>
      <c r="E18">
        <f ca="1">IFERROR(__xludf.DUMMYFUNCTION("""COMPUTED_VALUE"""),4.48)</f>
        <v>4.4800000000000004</v>
      </c>
      <c r="F18">
        <f ca="1">IFERROR(__xludf.DUMMYFUNCTION("""COMPUTED_VALUE"""),232.88)</f>
        <v>232.88</v>
      </c>
      <c r="G18">
        <f ca="1">IFERROR(__xludf.DUMMYFUNCTION("""COMPUTED_VALUE"""),-155)</f>
        <v>-155</v>
      </c>
      <c r="H18">
        <f ca="1">IFERROR(__xludf.DUMMYFUNCTION("""COMPUTED_VALUE"""),147.95)</f>
        <v>147.94999999999999</v>
      </c>
      <c r="I18" t="str">
        <f ca="1">IFERROR(__xludf.DUMMYFUNCTION("""COMPUTED_VALUE"""),"")</f>
        <v/>
      </c>
    </row>
    <row r="19" spans="1:9" ht="15.75" customHeight="1">
      <c r="A19">
        <f ca="1">IFERROR(__xludf.DUMMYFUNCTION("""COMPUTED_VALUE"""),18)</f>
        <v>18</v>
      </c>
      <c r="B19">
        <f ca="1">IFERROR(__xludf.DUMMYFUNCTION("""COMPUTED_VALUE"""),20)</f>
        <v>20</v>
      </c>
      <c r="C19" t="str">
        <f ca="1">IFERROR(__xludf.DUMMYFUNCTION("""COMPUTED_VALUE"""),"Hideki Matsuyama")</f>
        <v>Hideki Matsuyama</v>
      </c>
      <c r="D19">
        <f ca="1">IFERROR(__xludf.DUMMYFUNCTION("""COMPUTED_VALUE"""),52)</f>
        <v>52</v>
      </c>
      <c r="E19">
        <f ca="1">IFERROR(__xludf.DUMMYFUNCTION("""COMPUTED_VALUE"""),4.34)</f>
        <v>4.34</v>
      </c>
      <c r="F19">
        <f ca="1">IFERROR(__xludf.DUMMYFUNCTION("""COMPUTED_VALUE"""),225.9)</f>
        <v>225.9</v>
      </c>
      <c r="G19">
        <f ca="1">IFERROR(__xludf.DUMMYFUNCTION("""COMPUTED_VALUE"""),-110.68)</f>
        <v>-110.68</v>
      </c>
      <c r="H19">
        <f ca="1">IFERROR(__xludf.DUMMYFUNCTION("""COMPUTED_VALUE"""),124.19)</f>
        <v>124.19</v>
      </c>
      <c r="I19" t="str">
        <f ca="1">IFERROR(__xludf.DUMMYFUNCTION("""COMPUTED_VALUE"""),"")</f>
        <v/>
      </c>
    </row>
    <row r="20" spans="1:9" ht="15.75" customHeight="1">
      <c r="A20">
        <f ca="1">IFERROR(__xludf.DUMMYFUNCTION("""COMPUTED_VALUE"""),19)</f>
        <v>19</v>
      </c>
      <c r="B20">
        <f ca="1">IFERROR(__xludf.DUMMYFUNCTION("""COMPUTED_VALUE"""),18)</f>
        <v>18</v>
      </c>
      <c r="C20" t="str">
        <f ca="1">IFERROR(__xludf.DUMMYFUNCTION("""COMPUTED_VALUE"""),"Louis Oosthuizen")</f>
        <v>Louis Oosthuizen</v>
      </c>
      <c r="D20">
        <f ca="1">IFERROR(__xludf.DUMMYFUNCTION("""COMPUTED_VALUE"""),49)</f>
        <v>49</v>
      </c>
      <c r="E20">
        <f ca="1">IFERROR(__xludf.DUMMYFUNCTION("""COMPUTED_VALUE"""),4.16)</f>
        <v>4.16</v>
      </c>
      <c r="F20">
        <f ca="1">IFERROR(__xludf.DUMMYFUNCTION("""COMPUTED_VALUE"""),203.77)</f>
        <v>203.77</v>
      </c>
      <c r="G20">
        <f ca="1">IFERROR(__xludf.DUMMYFUNCTION("""COMPUTED_VALUE"""),-105.62)</f>
        <v>-105.62</v>
      </c>
      <c r="H20">
        <f ca="1">IFERROR(__xludf.DUMMYFUNCTION("""COMPUTED_VALUE"""),112.24)</f>
        <v>112.24</v>
      </c>
      <c r="I20" t="str">
        <f ca="1">IFERROR(__xludf.DUMMYFUNCTION("""COMPUTED_VALUE"""),"")</f>
        <v/>
      </c>
    </row>
    <row r="21" spans="1:9" ht="15.75" customHeight="1">
      <c r="A21">
        <f ca="1">IFERROR(__xludf.DUMMYFUNCTION("""COMPUTED_VALUE"""),20)</f>
        <v>20</v>
      </c>
      <c r="B21">
        <f ca="1">IFERROR(__xludf.DUMMYFUNCTION("""COMPUTED_VALUE"""),19)</f>
        <v>19</v>
      </c>
      <c r="C21" t="str">
        <f ca="1">IFERROR(__xludf.DUMMYFUNCTION("""COMPUTED_VALUE"""),"Matthew Fitzpatrick")</f>
        <v>Matthew Fitzpatrick</v>
      </c>
      <c r="D21">
        <f ca="1">IFERROR(__xludf.DUMMYFUNCTION("""COMPUTED_VALUE"""),52)</f>
        <v>52</v>
      </c>
      <c r="E21">
        <f ca="1">IFERROR(__xludf.DUMMYFUNCTION("""COMPUTED_VALUE"""),4.11)</f>
        <v>4.1100000000000003</v>
      </c>
      <c r="F21">
        <f ca="1">IFERROR(__xludf.DUMMYFUNCTION("""COMPUTED_VALUE"""),213.6)</f>
        <v>213.6</v>
      </c>
      <c r="G21">
        <f ca="1">IFERROR(__xludf.DUMMYFUNCTION("""COMPUTED_VALUE"""),-106.06)</f>
        <v>-106.06</v>
      </c>
      <c r="H21">
        <f ca="1">IFERROR(__xludf.DUMMYFUNCTION("""COMPUTED_VALUE"""),126.97)</f>
        <v>126.97</v>
      </c>
      <c r="I21" t="str">
        <f ca="1">IFERROR(__xludf.DUMMYFUNCTION("""COMPUTED_VALUE"""),"")</f>
        <v/>
      </c>
    </row>
    <row r="22" spans="1:9" ht="15.75" customHeight="1">
      <c r="A22">
        <f ca="1">IFERROR(__xludf.DUMMYFUNCTION("""COMPUTED_VALUE"""),21)</f>
        <v>21</v>
      </c>
      <c r="B22">
        <f ca="1">IFERROR(__xludf.DUMMYFUNCTION("""COMPUTED_VALUE"""),22)</f>
        <v>22</v>
      </c>
      <c r="C22" t="str">
        <f ca="1">IFERROR(__xludf.DUMMYFUNCTION("""COMPUTED_VALUE"""),"Abraham Ancer")</f>
        <v>Abraham Ancer</v>
      </c>
      <c r="D22">
        <f ca="1">IFERROR(__xludf.DUMMYFUNCTION("""COMPUTED_VALUE"""),52)</f>
        <v>52</v>
      </c>
      <c r="E22">
        <f ca="1">IFERROR(__xludf.DUMMYFUNCTION("""COMPUTED_VALUE"""),3.82)</f>
        <v>3.82</v>
      </c>
      <c r="F22">
        <f ca="1">IFERROR(__xludf.DUMMYFUNCTION("""COMPUTED_VALUE"""),198.59)</f>
        <v>198.59</v>
      </c>
      <c r="G22">
        <f ca="1">IFERROR(__xludf.DUMMYFUNCTION("""COMPUTED_VALUE"""),-88.17)</f>
        <v>-88.17</v>
      </c>
      <c r="H22">
        <f ca="1">IFERROR(__xludf.DUMMYFUNCTION("""COMPUTED_VALUE"""),143.67)</f>
        <v>143.66999999999999</v>
      </c>
      <c r="I22" t="str">
        <f ca="1">IFERROR(__xludf.DUMMYFUNCTION("""COMPUTED_VALUE"""),"")</f>
        <v/>
      </c>
    </row>
    <row r="23" spans="1:9" ht="15.75" customHeight="1">
      <c r="A23">
        <f ca="1">IFERROR(__xludf.DUMMYFUNCTION("""COMPUTED_VALUE"""),22)</f>
        <v>22</v>
      </c>
      <c r="B23">
        <f ca="1">IFERROR(__xludf.DUMMYFUNCTION("""COMPUTED_VALUE"""),21)</f>
        <v>21</v>
      </c>
      <c r="C23" t="str">
        <f ca="1">IFERROR(__xludf.DUMMYFUNCTION("""COMPUTED_VALUE"""),"Paul Casey")</f>
        <v>Paul Casey</v>
      </c>
      <c r="D23">
        <f ca="1">IFERROR(__xludf.DUMMYFUNCTION("""COMPUTED_VALUE"""),51)</f>
        <v>51</v>
      </c>
      <c r="E23">
        <f ca="1">IFERROR(__xludf.DUMMYFUNCTION("""COMPUTED_VALUE"""),3.81)</f>
        <v>3.81</v>
      </c>
      <c r="F23">
        <f ca="1">IFERROR(__xludf.DUMMYFUNCTION("""COMPUTED_VALUE"""),194.52)</f>
        <v>194.52</v>
      </c>
      <c r="G23">
        <f ca="1">IFERROR(__xludf.DUMMYFUNCTION("""COMPUTED_VALUE"""),-125.06)</f>
        <v>-125.06</v>
      </c>
      <c r="H23">
        <f ca="1">IFERROR(__xludf.DUMMYFUNCTION("""COMPUTED_VALUE"""),89.49)</f>
        <v>89.49</v>
      </c>
      <c r="I23" t="str">
        <f ca="1">IFERROR(__xludf.DUMMYFUNCTION("""COMPUTED_VALUE"""),"")</f>
        <v/>
      </c>
    </row>
    <row r="24" spans="1:9" ht="15.75" customHeight="1">
      <c r="A24">
        <f ca="1">IFERROR(__xludf.DUMMYFUNCTION("""COMPUTED_VALUE"""),23)</f>
        <v>23</v>
      </c>
      <c r="B24">
        <f ca="1">IFERROR(__xludf.DUMMYFUNCTION("""COMPUTED_VALUE"""),24)</f>
        <v>24</v>
      </c>
      <c r="C24" t="str">
        <f ca="1">IFERROR(__xludf.DUMMYFUNCTION("""COMPUTED_VALUE"""),"Viktor Hovland")</f>
        <v>Viktor Hovland</v>
      </c>
      <c r="D24">
        <f ca="1">IFERROR(__xludf.DUMMYFUNCTION("""COMPUTED_VALUE"""),40)</f>
        <v>40</v>
      </c>
      <c r="E24">
        <f ca="1">IFERROR(__xludf.DUMMYFUNCTION("""COMPUTED_VALUE"""),3.65)</f>
        <v>3.65</v>
      </c>
      <c r="F24">
        <f ca="1">IFERROR(__xludf.DUMMYFUNCTION("""COMPUTED_VALUE"""),146.11)</f>
        <v>146.11000000000001</v>
      </c>
      <c r="G24">
        <f ca="1">IFERROR(__xludf.DUMMYFUNCTION("""COMPUTED_VALUE"""),-32.96)</f>
        <v>-32.96</v>
      </c>
      <c r="H24">
        <f ca="1">IFERROR(__xludf.DUMMYFUNCTION("""COMPUTED_VALUE"""),116.7)</f>
        <v>116.7</v>
      </c>
      <c r="I24" t="str">
        <f ca="1">IFERROR(__xludf.DUMMYFUNCTION("""COMPUTED_VALUE"""),"")</f>
        <v/>
      </c>
    </row>
    <row r="25" spans="1:9" ht="15.75" customHeight="1">
      <c r="A25">
        <f ca="1">IFERROR(__xludf.DUMMYFUNCTION("""COMPUTED_VALUE"""),24)</f>
        <v>24</v>
      </c>
      <c r="B25">
        <f ca="1">IFERROR(__xludf.DUMMYFUNCTION("""COMPUTED_VALUE"""),25)</f>
        <v>25</v>
      </c>
      <c r="C25" t="str">
        <f ca="1">IFERROR(__xludf.DUMMYFUNCTION("""COMPUTED_VALUE"""),"Jason Kokrak")</f>
        <v>Jason Kokrak</v>
      </c>
      <c r="D25">
        <f ca="1">IFERROR(__xludf.DUMMYFUNCTION("""COMPUTED_VALUE"""),50)</f>
        <v>50</v>
      </c>
      <c r="E25">
        <f ca="1">IFERROR(__xludf.DUMMYFUNCTION("""COMPUTED_VALUE"""),3.62)</f>
        <v>3.62</v>
      </c>
      <c r="F25">
        <f ca="1">IFERROR(__xludf.DUMMYFUNCTION("""COMPUTED_VALUE"""),180.95)</f>
        <v>180.95</v>
      </c>
      <c r="G25">
        <f ca="1">IFERROR(__xludf.DUMMYFUNCTION("""COMPUTED_VALUE"""),-57.02)</f>
        <v>-57.02</v>
      </c>
      <c r="H25">
        <f ca="1">IFERROR(__xludf.DUMMYFUNCTION("""COMPUTED_VALUE"""),136.92)</f>
        <v>136.91999999999999</v>
      </c>
      <c r="I25" t="str">
        <f ca="1">IFERROR(__xludf.DUMMYFUNCTION("""COMPUTED_VALUE"""),"")</f>
        <v/>
      </c>
    </row>
    <row r="26" spans="1:9" ht="15.75" customHeight="1">
      <c r="A26">
        <f ca="1">IFERROR(__xludf.DUMMYFUNCTION("""COMPUTED_VALUE"""),25)</f>
        <v>25</v>
      </c>
      <c r="B26">
        <f ca="1">IFERROR(__xludf.DUMMYFUNCTION("""COMPUTED_VALUE"""),23)</f>
        <v>23</v>
      </c>
      <c r="C26" t="str">
        <f ca="1">IFERROR(__xludf.DUMMYFUNCTION("""COMPUTED_VALUE"""),"Sungjae Im")</f>
        <v>Sungjae Im</v>
      </c>
      <c r="D26">
        <f ca="1">IFERROR(__xludf.DUMMYFUNCTION("""COMPUTED_VALUE"""),52)</f>
        <v>52</v>
      </c>
      <c r="E26">
        <f ca="1">IFERROR(__xludf.DUMMYFUNCTION("""COMPUTED_VALUE"""),3.61)</f>
        <v>3.61</v>
      </c>
      <c r="F26">
        <f ca="1">IFERROR(__xludf.DUMMYFUNCTION("""COMPUTED_VALUE"""),187.52)</f>
        <v>187.52</v>
      </c>
      <c r="G26">
        <f ca="1">IFERROR(__xludf.DUMMYFUNCTION("""COMPUTED_VALUE"""),-87.61)</f>
        <v>-87.61</v>
      </c>
      <c r="H26">
        <f ca="1">IFERROR(__xludf.DUMMYFUNCTION("""COMPUTED_VALUE"""),131.55)</f>
        <v>131.55000000000001</v>
      </c>
      <c r="I26" t="str">
        <f ca="1">IFERROR(__xludf.DUMMYFUNCTION("""COMPUTED_VALUE"""),"")</f>
        <v/>
      </c>
    </row>
    <row r="27" spans="1:9" ht="15.75" customHeight="1">
      <c r="A27">
        <f ca="1">IFERROR(__xludf.DUMMYFUNCTION("""COMPUTED_VALUE"""),26)</f>
        <v>26</v>
      </c>
      <c r="B27">
        <f ca="1">IFERROR(__xludf.DUMMYFUNCTION("""COMPUTED_VALUE"""),26)</f>
        <v>26</v>
      </c>
      <c r="C27" t="str">
        <f ca="1">IFERROR(__xludf.DUMMYFUNCTION("""COMPUTED_VALUE"""),"Marc Leishman")</f>
        <v>Marc Leishman</v>
      </c>
      <c r="D27">
        <f ca="1">IFERROR(__xludf.DUMMYFUNCTION("""COMPUTED_VALUE"""),48)</f>
        <v>48</v>
      </c>
      <c r="E27">
        <f ca="1">IFERROR(__xludf.DUMMYFUNCTION("""COMPUTED_VALUE"""),3.39)</f>
        <v>3.39</v>
      </c>
      <c r="F27">
        <f ca="1">IFERROR(__xludf.DUMMYFUNCTION("""COMPUTED_VALUE"""),162.86)</f>
        <v>162.86000000000001</v>
      </c>
      <c r="G27">
        <f ca="1">IFERROR(__xludf.DUMMYFUNCTION("""COMPUTED_VALUE"""),-109.95)</f>
        <v>-109.95</v>
      </c>
      <c r="H27">
        <f ca="1">IFERROR(__xludf.DUMMYFUNCTION("""COMPUTED_VALUE"""),108.21)</f>
        <v>108.21</v>
      </c>
      <c r="I27" t="str">
        <f ca="1">IFERROR(__xludf.DUMMYFUNCTION("""COMPUTED_VALUE"""),"")</f>
        <v/>
      </c>
    </row>
    <row r="28" spans="1:9" ht="15.75" customHeight="1">
      <c r="A28">
        <f ca="1">IFERROR(__xludf.DUMMYFUNCTION("""COMPUTED_VALUE"""),27)</f>
        <v>27</v>
      </c>
      <c r="B28">
        <f ca="1">IFERROR(__xludf.DUMMYFUNCTION("""COMPUTED_VALUE"""),29)</f>
        <v>29</v>
      </c>
      <c r="C28" t="str">
        <f ca="1">IFERROR(__xludf.DUMMYFUNCTION("""COMPUTED_VALUE"""),"Shane Lowry")</f>
        <v>Shane Lowry</v>
      </c>
      <c r="D28">
        <f ca="1">IFERROR(__xludf.DUMMYFUNCTION("""COMPUTED_VALUE"""),51)</f>
        <v>51</v>
      </c>
      <c r="E28">
        <f ca="1">IFERROR(__xludf.DUMMYFUNCTION("""COMPUTED_VALUE"""),3.39)</f>
        <v>3.39</v>
      </c>
      <c r="F28">
        <f ca="1">IFERROR(__xludf.DUMMYFUNCTION("""COMPUTED_VALUE"""),172.7)</f>
        <v>172.7</v>
      </c>
      <c r="G28">
        <f ca="1">IFERROR(__xludf.DUMMYFUNCTION("""COMPUTED_VALUE"""),-114.15)</f>
        <v>-114.15</v>
      </c>
      <c r="H28">
        <f ca="1">IFERROR(__xludf.DUMMYFUNCTION("""COMPUTED_VALUE"""),63.98)</f>
        <v>63.98</v>
      </c>
      <c r="I28" t="str">
        <f ca="1">IFERROR(__xludf.DUMMYFUNCTION("""COMPUTED_VALUE"""),"")</f>
        <v/>
      </c>
    </row>
    <row r="29" spans="1:9" ht="15.75" customHeight="1">
      <c r="A29">
        <f ca="1">IFERROR(__xludf.DUMMYFUNCTION("""COMPUTED_VALUE"""),28)</f>
        <v>28</v>
      </c>
      <c r="B29">
        <f ca="1">IFERROR(__xludf.DUMMYFUNCTION("""COMPUTED_VALUE"""),27)</f>
        <v>27</v>
      </c>
      <c r="C29" t="str">
        <f ca="1">IFERROR(__xludf.DUMMYFUNCTION("""COMPUTED_VALUE"""),"Justin Rose")</f>
        <v>Justin Rose</v>
      </c>
      <c r="D29">
        <f ca="1">IFERROR(__xludf.DUMMYFUNCTION("""COMPUTED_VALUE"""),50)</f>
        <v>50</v>
      </c>
      <c r="E29">
        <f ca="1">IFERROR(__xludf.DUMMYFUNCTION("""COMPUTED_VALUE"""),3.37)</f>
        <v>3.37</v>
      </c>
      <c r="F29">
        <f ca="1">IFERROR(__xludf.DUMMYFUNCTION("""COMPUTED_VALUE"""),168.3)</f>
        <v>168.3</v>
      </c>
      <c r="G29">
        <f ca="1">IFERROR(__xludf.DUMMYFUNCTION("""COMPUTED_VALUE"""),-190.97)</f>
        <v>-190.97</v>
      </c>
      <c r="H29">
        <f ca="1">IFERROR(__xludf.DUMMYFUNCTION("""COMPUTED_VALUE"""),71.53)</f>
        <v>71.53</v>
      </c>
      <c r="I29" t="str">
        <f ca="1">IFERROR(__xludf.DUMMYFUNCTION("""COMPUTED_VALUE"""),"")</f>
        <v/>
      </c>
    </row>
    <row r="30" spans="1:9" ht="15.75" customHeight="1">
      <c r="A30">
        <f ca="1">IFERROR(__xludf.DUMMYFUNCTION("""COMPUTED_VALUE"""),29)</f>
        <v>29</v>
      </c>
      <c r="B30">
        <f ca="1">IFERROR(__xludf.DUMMYFUNCTION("""COMPUTED_VALUE"""),28)</f>
        <v>28</v>
      </c>
      <c r="C30" t="str">
        <f ca="1">IFERROR(__xludf.DUMMYFUNCTION("""COMPUTED_VALUE"""),"Matt Kuchar")</f>
        <v>Matt Kuchar</v>
      </c>
      <c r="D30">
        <f ca="1">IFERROR(__xludf.DUMMYFUNCTION("""COMPUTED_VALUE"""),50)</f>
        <v>50</v>
      </c>
      <c r="E30">
        <f ca="1">IFERROR(__xludf.DUMMYFUNCTION("""COMPUTED_VALUE"""),3.33)</f>
        <v>3.33</v>
      </c>
      <c r="F30">
        <f ca="1">IFERROR(__xludf.DUMMYFUNCTION("""COMPUTED_VALUE"""),166.34)</f>
        <v>166.34</v>
      </c>
      <c r="G30">
        <f ca="1">IFERROR(__xludf.DUMMYFUNCTION("""COMPUTED_VALUE"""),-125.46)</f>
        <v>-125.46</v>
      </c>
      <c r="H30">
        <f ca="1">IFERROR(__xludf.DUMMYFUNCTION("""COMPUTED_VALUE"""),90.97)</f>
        <v>90.97</v>
      </c>
      <c r="I30" t="str">
        <f ca="1">IFERROR(__xludf.DUMMYFUNCTION("""COMPUTED_VALUE"""),"")</f>
        <v/>
      </c>
    </row>
    <row r="31" spans="1:9" ht="12.75">
      <c r="A31">
        <f ca="1">IFERROR(__xludf.DUMMYFUNCTION("""COMPUTED_VALUE"""),30)</f>
        <v>30</v>
      </c>
      <c r="B31">
        <f ca="1">IFERROR(__xludf.DUMMYFUNCTION("""COMPUTED_VALUE"""),30)</f>
        <v>30</v>
      </c>
      <c r="C31" t="str">
        <f ca="1">IFERROR(__xludf.DUMMYFUNCTION("""COMPUTED_VALUE"""),"Scottie Scheffler")</f>
        <v>Scottie Scheffler</v>
      </c>
      <c r="D31">
        <f ca="1">IFERROR(__xludf.DUMMYFUNCTION("""COMPUTED_VALUE"""),52)</f>
        <v>52</v>
      </c>
      <c r="E31">
        <f ca="1">IFERROR(__xludf.DUMMYFUNCTION("""COMPUTED_VALUE"""),3.26)</f>
        <v>3.26</v>
      </c>
      <c r="F31">
        <f ca="1">IFERROR(__xludf.DUMMYFUNCTION("""COMPUTED_VALUE"""),169.57)</f>
        <v>169.57</v>
      </c>
      <c r="G31">
        <f ca="1">IFERROR(__xludf.DUMMYFUNCTION("""COMPUTED_VALUE"""),-37.4)</f>
        <v>-37.4</v>
      </c>
      <c r="H31">
        <f ca="1">IFERROR(__xludf.DUMMYFUNCTION("""COMPUTED_VALUE"""),129.46)</f>
        <v>129.46</v>
      </c>
      <c r="I31" t="str">
        <f ca="1">IFERROR(__xludf.DUMMYFUNCTION("""COMPUTED_VALUE"""),"")</f>
        <v/>
      </c>
    </row>
    <row r="32" spans="1:9" ht="12.75">
      <c r="A32">
        <f ca="1">IFERROR(__xludf.DUMMYFUNCTION("""COMPUTED_VALUE"""),31)</f>
        <v>31</v>
      </c>
      <c r="B32">
        <f ca="1">IFERROR(__xludf.DUMMYFUNCTION("""COMPUTED_VALUE"""),33)</f>
        <v>33</v>
      </c>
      <c r="C32" t="str">
        <f ca="1">IFERROR(__xludf.DUMMYFUNCTION("""COMPUTED_VALUE"""),"Ryan Palmer")</f>
        <v>Ryan Palmer</v>
      </c>
      <c r="D32">
        <f ca="1">IFERROR(__xludf.DUMMYFUNCTION("""COMPUTED_VALUE"""),46)</f>
        <v>46</v>
      </c>
      <c r="E32">
        <f ca="1">IFERROR(__xludf.DUMMYFUNCTION("""COMPUTED_VALUE"""),3.24)</f>
        <v>3.24</v>
      </c>
      <c r="F32">
        <f ca="1">IFERROR(__xludf.DUMMYFUNCTION("""COMPUTED_VALUE"""),148.86)</f>
        <v>148.86000000000001</v>
      </c>
      <c r="G32">
        <f ca="1">IFERROR(__xludf.DUMMYFUNCTION("""COMPUTED_VALUE"""),-47.87)</f>
        <v>-47.87</v>
      </c>
      <c r="H32">
        <f ca="1">IFERROR(__xludf.DUMMYFUNCTION("""COMPUTED_VALUE"""),126.5)</f>
        <v>126.5</v>
      </c>
      <c r="I32" t="str">
        <f ca="1">IFERROR(__xludf.DUMMYFUNCTION("""COMPUTED_VALUE"""),"")</f>
        <v/>
      </c>
    </row>
    <row r="33" spans="1:9" ht="12.75">
      <c r="A33">
        <f ca="1">IFERROR(__xludf.DUMMYFUNCTION("""COMPUTED_VALUE"""),32)</f>
        <v>32</v>
      </c>
      <c r="B33">
        <f ca="1">IFERROR(__xludf.DUMMYFUNCTION("""COMPUTED_VALUE"""),31)</f>
        <v>31</v>
      </c>
      <c r="C33" t="str">
        <f ca="1">IFERROR(__xludf.DUMMYFUNCTION("""COMPUTED_VALUE"""),"Gary Woodland")</f>
        <v>Gary Woodland</v>
      </c>
      <c r="D33">
        <f ca="1">IFERROR(__xludf.DUMMYFUNCTION("""COMPUTED_VALUE"""),51)</f>
        <v>51</v>
      </c>
      <c r="E33">
        <f ca="1">IFERROR(__xludf.DUMMYFUNCTION("""COMPUTED_VALUE"""),3.23)</f>
        <v>3.23</v>
      </c>
      <c r="F33">
        <f ca="1">IFERROR(__xludf.DUMMYFUNCTION("""COMPUTED_VALUE"""),164.96)</f>
        <v>164.96</v>
      </c>
      <c r="G33">
        <f ca="1">IFERROR(__xludf.DUMMYFUNCTION("""COMPUTED_VALUE"""),-132.11)</f>
        <v>-132.11000000000001</v>
      </c>
      <c r="H33">
        <f ca="1">IFERROR(__xludf.DUMMYFUNCTION("""COMPUTED_VALUE"""),58.51)</f>
        <v>58.51</v>
      </c>
      <c r="I33" t="str">
        <f ca="1">IFERROR(__xludf.DUMMYFUNCTION("""COMPUTED_VALUE"""),"")</f>
        <v/>
      </c>
    </row>
    <row r="34" spans="1:9" ht="12.75">
      <c r="A34">
        <f ca="1">IFERROR(__xludf.DUMMYFUNCTION("""COMPUTED_VALUE"""),33)</f>
        <v>33</v>
      </c>
      <c r="B34">
        <f ca="1">IFERROR(__xludf.DUMMYFUNCTION("""COMPUTED_VALUE"""),32)</f>
        <v>32</v>
      </c>
      <c r="C34" t="str">
        <f ca="1">IFERROR(__xludf.DUMMYFUNCTION("""COMPUTED_VALUE"""),"Tiger Woods")</f>
        <v>Tiger Woods</v>
      </c>
      <c r="D34">
        <f ca="1">IFERROR(__xludf.DUMMYFUNCTION("""COMPUTED_VALUE"""),40)</f>
        <v>40</v>
      </c>
      <c r="E34">
        <f ca="1">IFERROR(__xludf.DUMMYFUNCTION("""COMPUTED_VALUE"""),3.21)</f>
        <v>3.21</v>
      </c>
      <c r="F34">
        <f ca="1">IFERROR(__xludf.DUMMYFUNCTION("""COMPUTED_VALUE"""),128.45)</f>
        <v>128.44999999999999</v>
      </c>
      <c r="G34">
        <f ca="1">IFERROR(__xludf.DUMMYFUNCTION("""COMPUTED_VALUE"""),-150.29)</f>
        <v>-150.29</v>
      </c>
      <c r="H34">
        <f ca="1">IFERROR(__xludf.DUMMYFUNCTION("""COMPUTED_VALUE"""),15.63)</f>
        <v>15.63</v>
      </c>
      <c r="I34" t="str">
        <f ca="1">IFERROR(__xludf.DUMMYFUNCTION("""COMPUTED_VALUE"""),"")</f>
        <v/>
      </c>
    </row>
    <row r="35" spans="1:9" ht="12.75">
      <c r="A35">
        <f ca="1">IFERROR(__xludf.DUMMYFUNCTION("""COMPUTED_VALUE"""),34)</f>
        <v>34</v>
      </c>
      <c r="B35">
        <f ca="1">IFERROR(__xludf.DUMMYFUNCTION("""COMPUTED_VALUE"""),34)</f>
        <v>34</v>
      </c>
      <c r="C35" t="str">
        <f ca="1">IFERROR(__xludf.DUMMYFUNCTION("""COMPUTED_VALUE"""),"Kevin Kisner")</f>
        <v>Kevin Kisner</v>
      </c>
      <c r="D35">
        <f ca="1">IFERROR(__xludf.DUMMYFUNCTION("""COMPUTED_VALUE"""),52)</f>
        <v>52</v>
      </c>
      <c r="E35">
        <f ca="1">IFERROR(__xludf.DUMMYFUNCTION("""COMPUTED_VALUE"""),3.21)</f>
        <v>3.21</v>
      </c>
      <c r="F35">
        <f ca="1">IFERROR(__xludf.DUMMYFUNCTION("""COMPUTED_VALUE"""),166.73)</f>
        <v>166.73</v>
      </c>
      <c r="G35">
        <f ca="1">IFERROR(__xludf.DUMMYFUNCTION("""COMPUTED_VALUE"""),-89.31)</f>
        <v>-89.31</v>
      </c>
      <c r="H35">
        <f ca="1">IFERROR(__xludf.DUMMYFUNCTION("""COMPUTED_VALUE"""),105.67)</f>
        <v>105.67</v>
      </c>
      <c r="I35" t="str">
        <f ca="1">IFERROR(__xludf.DUMMYFUNCTION("""COMPUTED_VALUE"""),"")</f>
        <v/>
      </c>
    </row>
    <row r="36" spans="1:9" ht="12.75">
      <c r="A36">
        <f ca="1">IFERROR(__xludf.DUMMYFUNCTION("""COMPUTED_VALUE"""),35)</f>
        <v>35</v>
      </c>
      <c r="B36">
        <f ca="1">IFERROR(__xludf.DUMMYFUNCTION("""COMPUTED_VALUE"""),35)</f>
        <v>35</v>
      </c>
      <c r="C36" t="str">
        <f ca="1">IFERROR(__xludf.DUMMYFUNCTION("""COMPUTED_VALUE"""),"Harris English")</f>
        <v>Harris English</v>
      </c>
      <c r="D36">
        <f ca="1">IFERROR(__xludf.DUMMYFUNCTION("""COMPUTED_VALUE"""),52)</f>
        <v>52</v>
      </c>
      <c r="E36">
        <f ca="1">IFERROR(__xludf.DUMMYFUNCTION("""COMPUTED_VALUE"""),3.11)</f>
        <v>3.11</v>
      </c>
      <c r="F36">
        <f ca="1">IFERROR(__xludf.DUMMYFUNCTION("""COMPUTED_VALUE"""),161.49)</f>
        <v>161.49</v>
      </c>
      <c r="G36">
        <f ca="1">IFERROR(__xludf.DUMMYFUNCTION("""COMPUTED_VALUE"""),-24.34)</f>
        <v>-24.34</v>
      </c>
      <c r="H36">
        <f ca="1">IFERROR(__xludf.DUMMYFUNCTION("""COMPUTED_VALUE"""),138.51)</f>
        <v>138.51</v>
      </c>
      <c r="I36" t="str">
        <f ca="1">IFERROR(__xludf.DUMMYFUNCTION("""COMPUTED_VALUE"""),"")</f>
        <v/>
      </c>
    </row>
    <row r="37" spans="1:9" ht="12.75">
      <c r="A37">
        <f ca="1">IFERROR(__xludf.DUMMYFUNCTION("""COMPUTED_VALUE"""),36)</f>
        <v>36</v>
      </c>
      <c r="B37">
        <f ca="1">IFERROR(__xludf.DUMMYFUNCTION("""COMPUTED_VALUE"""),36)</f>
        <v>36</v>
      </c>
      <c r="C37" t="str">
        <f ca="1">IFERROR(__xludf.DUMMYFUNCTION("""COMPUTED_VALUE"""),"Victor Perez")</f>
        <v>Victor Perez</v>
      </c>
      <c r="D37">
        <f ca="1">IFERROR(__xludf.DUMMYFUNCTION("""COMPUTED_VALUE"""),46)</f>
        <v>46</v>
      </c>
      <c r="E37">
        <f ca="1">IFERROR(__xludf.DUMMYFUNCTION("""COMPUTED_VALUE"""),2.96)</f>
        <v>2.96</v>
      </c>
      <c r="F37">
        <f ca="1">IFERROR(__xludf.DUMMYFUNCTION("""COMPUTED_VALUE"""),135.93)</f>
        <v>135.93</v>
      </c>
      <c r="G37">
        <f ca="1">IFERROR(__xludf.DUMMYFUNCTION("""COMPUTED_VALUE"""),-57.79)</f>
        <v>-57.79</v>
      </c>
      <c r="H37">
        <f ca="1">IFERROR(__xludf.DUMMYFUNCTION("""COMPUTED_VALUE"""),75.37)</f>
        <v>75.37</v>
      </c>
      <c r="I37" t="str">
        <f ca="1">IFERROR(__xludf.DUMMYFUNCTION("""COMPUTED_VALUE"""),"")</f>
        <v/>
      </c>
    </row>
    <row r="38" spans="1:9" ht="12.75">
      <c r="A38">
        <f ca="1">IFERROR(__xludf.DUMMYFUNCTION("""COMPUTED_VALUE"""),37)</f>
        <v>37</v>
      </c>
      <c r="B38">
        <f ca="1">IFERROR(__xludf.DUMMYFUNCTION("""COMPUTED_VALUE"""),37)</f>
        <v>37</v>
      </c>
      <c r="C38" t="str">
        <f ca="1">IFERROR(__xludf.DUMMYFUNCTION("""COMPUTED_VALUE"""),"Bernd Wiesberger")</f>
        <v>Bernd Wiesberger</v>
      </c>
      <c r="D38">
        <f ca="1">IFERROR(__xludf.DUMMYFUNCTION("""COMPUTED_VALUE"""),43)</f>
        <v>43</v>
      </c>
      <c r="E38">
        <f ca="1">IFERROR(__xludf.DUMMYFUNCTION("""COMPUTED_VALUE"""),2.86)</f>
        <v>2.86</v>
      </c>
      <c r="F38">
        <f ca="1">IFERROR(__xludf.DUMMYFUNCTION("""COMPUTED_VALUE"""),123.1)</f>
        <v>123.1</v>
      </c>
      <c r="G38">
        <f ca="1">IFERROR(__xludf.DUMMYFUNCTION("""COMPUTED_VALUE"""),-66.09)</f>
        <v>-66.09</v>
      </c>
      <c r="H38">
        <f ca="1">IFERROR(__xludf.DUMMYFUNCTION("""COMPUTED_VALUE"""),26.72)</f>
        <v>26.72</v>
      </c>
      <c r="I38" t="str">
        <f ca="1">IFERROR(__xludf.DUMMYFUNCTION("""COMPUTED_VALUE"""),"")</f>
        <v/>
      </c>
    </row>
    <row r="39" spans="1:9" ht="12.75">
      <c r="A39">
        <f ca="1">IFERROR(__xludf.DUMMYFUNCTION("""COMPUTED_VALUE"""),38)</f>
        <v>38</v>
      </c>
      <c r="B39">
        <f ca="1">IFERROR(__xludf.DUMMYFUNCTION("""COMPUTED_VALUE"""),38)</f>
        <v>38</v>
      </c>
      <c r="C39" t="str">
        <f ca="1">IFERROR(__xludf.DUMMYFUNCTION("""COMPUTED_VALUE"""),"Kevin Na")</f>
        <v>Kevin Na</v>
      </c>
      <c r="D39">
        <f ca="1">IFERROR(__xludf.DUMMYFUNCTION("""COMPUTED_VALUE"""),49)</f>
        <v>49</v>
      </c>
      <c r="E39">
        <f ca="1">IFERROR(__xludf.DUMMYFUNCTION("""COMPUTED_VALUE"""),2.81)</f>
        <v>2.81</v>
      </c>
      <c r="F39">
        <f ca="1">IFERROR(__xludf.DUMMYFUNCTION("""COMPUTED_VALUE"""),137.92)</f>
        <v>137.91999999999999</v>
      </c>
      <c r="G39">
        <f ca="1">IFERROR(__xludf.DUMMYFUNCTION("""COMPUTED_VALUE"""),-90.98)</f>
        <v>-90.98</v>
      </c>
      <c r="H39">
        <f ca="1">IFERROR(__xludf.DUMMYFUNCTION("""COMPUTED_VALUE"""),65.68)</f>
        <v>65.680000000000007</v>
      </c>
      <c r="I39" t="str">
        <f ca="1">IFERROR(__xludf.DUMMYFUNCTION("""COMPUTED_VALUE"""),"")</f>
        <v/>
      </c>
    </row>
    <row r="40" spans="1:9" ht="12.75">
      <c r="A40">
        <f ca="1">IFERROR(__xludf.DUMMYFUNCTION("""COMPUTED_VALUE"""),39)</f>
        <v>39</v>
      </c>
      <c r="B40">
        <f ca="1">IFERROR(__xludf.DUMMYFUNCTION("""COMPUTED_VALUE"""),39)</f>
        <v>39</v>
      </c>
      <c r="C40" t="str">
        <f ca="1">IFERROR(__xludf.DUMMYFUNCTION("""COMPUTED_VALUE"""),"Billy Horschel")</f>
        <v>Billy Horschel</v>
      </c>
      <c r="D40">
        <f ca="1">IFERROR(__xludf.DUMMYFUNCTION("""COMPUTED_VALUE"""),52)</f>
        <v>52</v>
      </c>
      <c r="E40">
        <f ca="1">IFERROR(__xludf.DUMMYFUNCTION("""COMPUTED_VALUE"""),2.8)</f>
        <v>2.8</v>
      </c>
      <c r="F40">
        <f ca="1">IFERROR(__xludf.DUMMYFUNCTION("""COMPUTED_VALUE"""),145.67)</f>
        <v>145.66999999999999</v>
      </c>
      <c r="G40">
        <f ca="1">IFERROR(__xludf.DUMMYFUNCTION("""COMPUTED_VALUE"""),-93.31)</f>
        <v>-93.31</v>
      </c>
      <c r="H40">
        <f ca="1">IFERROR(__xludf.DUMMYFUNCTION("""COMPUTED_VALUE"""),87.49)</f>
        <v>87.49</v>
      </c>
      <c r="I40" t="str">
        <f ca="1">IFERROR(__xludf.DUMMYFUNCTION("""COMPUTED_VALUE"""),"")</f>
        <v/>
      </c>
    </row>
    <row r="41" spans="1:9" ht="12.75">
      <c r="A41">
        <f ca="1">IFERROR(__xludf.DUMMYFUNCTION("""COMPUTED_VALUE"""),40)</f>
        <v>40</v>
      </c>
      <c r="B41">
        <f ca="1">IFERROR(__xludf.DUMMYFUNCTION("""COMPUTED_VALUE"""),40)</f>
        <v>40</v>
      </c>
      <c r="C41" t="str">
        <f ca="1">IFERROR(__xludf.DUMMYFUNCTION("""COMPUTED_VALUE"""),"Sergio Garcia")</f>
        <v>Sergio Garcia</v>
      </c>
      <c r="D41">
        <f ca="1">IFERROR(__xludf.DUMMYFUNCTION("""COMPUTED_VALUE"""),50)</f>
        <v>50</v>
      </c>
      <c r="E41">
        <f ca="1">IFERROR(__xludf.DUMMYFUNCTION("""COMPUTED_VALUE"""),2.77)</f>
        <v>2.77</v>
      </c>
      <c r="F41">
        <f ca="1">IFERROR(__xludf.DUMMYFUNCTION("""COMPUTED_VALUE"""),138.56)</f>
        <v>138.56</v>
      </c>
      <c r="G41">
        <f ca="1">IFERROR(__xludf.DUMMYFUNCTION("""COMPUTED_VALUE"""),-80.17)</f>
        <v>-80.17</v>
      </c>
      <c r="H41">
        <f ca="1">IFERROR(__xludf.DUMMYFUNCTION("""COMPUTED_VALUE"""),82.69)</f>
        <v>82.69</v>
      </c>
      <c r="I41" t="str">
        <f ca="1">IFERROR(__xludf.DUMMYFUNCTION("""COMPUTED_VALUE"""),"")</f>
        <v/>
      </c>
    </row>
    <row r="42" spans="1:9" ht="12.75">
      <c r="A42">
        <f ca="1">IFERROR(__xludf.DUMMYFUNCTION("""COMPUTED_VALUE"""),41)</f>
        <v>41</v>
      </c>
      <c r="B42">
        <f ca="1">IFERROR(__xludf.DUMMYFUNCTION("""COMPUTED_VALUE"""),43)</f>
        <v>43</v>
      </c>
      <c r="C42" t="str">
        <f ca="1">IFERROR(__xludf.DUMMYFUNCTION("""COMPUTED_VALUE"""),"Jason Day")</f>
        <v>Jason Day</v>
      </c>
      <c r="D42">
        <f ca="1">IFERROR(__xludf.DUMMYFUNCTION("""COMPUTED_VALUE"""),47)</f>
        <v>47</v>
      </c>
      <c r="E42">
        <f ca="1">IFERROR(__xludf.DUMMYFUNCTION("""COMPUTED_VALUE"""),2.68)</f>
        <v>2.68</v>
      </c>
      <c r="F42">
        <f ca="1">IFERROR(__xludf.DUMMYFUNCTION("""COMPUTED_VALUE"""),126.06)</f>
        <v>126.06</v>
      </c>
      <c r="G42">
        <f ca="1">IFERROR(__xludf.DUMMYFUNCTION("""COMPUTED_VALUE"""),-82.1)</f>
        <v>-82.1</v>
      </c>
      <c r="H42">
        <f ca="1">IFERROR(__xludf.DUMMYFUNCTION("""COMPUTED_VALUE"""),93.08)</f>
        <v>93.08</v>
      </c>
      <c r="I42" t="str">
        <f ca="1">IFERROR(__xludf.DUMMYFUNCTION("""COMPUTED_VALUE"""),"")</f>
        <v/>
      </c>
    </row>
    <row r="43" spans="1:9" ht="12.75">
      <c r="A43">
        <f ca="1">IFERROR(__xludf.DUMMYFUNCTION("""COMPUTED_VALUE"""),42)</f>
        <v>42</v>
      </c>
      <c r="B43">
        <f ca="1">IFERROR(__xludf.DUMMYFUNCTION("""COMPUTED_VALUE"""),41)</f>
        <v>41</v>
      </c>
      <c r="C43" t="str">
        <f ca="1">IFERROR(__xludf.DUMMYFUNCTION("""COMPUTED_VALUE"""),"Joaquin Niemann")</f>
        <v>Joaquin Niemann</v>
      </c>
      <c r="D43">
        <f ca="1">IFERROR(__xludf.DUMMYFUNCTION("""COMPUTED_VALUE"""),52)</f>
        <v>52</v>
      </c>
      <c r="E43">
        <f ca="1">IFERROR(__xludf.DUMMYFUNCTION("""COMPUTED_VALUE"""),2.64)</f>
        <v>2.64</v>
      </c>
      <c r="F43">
        <f ca="1">IFERROR(__xludf.DUMMYFUNCTION("""COMPUTED_VALUE"""),137.16)</f>
        <v>137.16</v>
      </c>
      <c r="G43">
        <f ca="1">IFERROR(__xludf.DUMMYFUNCTION("""COMPUTED_VALUE"""),-50.84)</f>
        <v>-50.84</v>
      </c>
      <c r="H43">
        <f ca="1">IFERROR(__xludf.DUMMYFUNCTION("""COMPUTED_VALUE"""),92.04)</f>
        <v>92.04</v>
      </c>
      <c r="I43" t="str">
        <f ca="1">IFERROR(__xludf.DUMMYFUNCTION("""COMPUTED_VALUE"""),"")</f>
        <v/>
      </c>
    </row>
    <row r="44" spans="1:9" ht="12.75">
      <c r="A44">
        <f ca="1">IFERROR(__xludf.DUMMYFUNCTION("""COMPUTED_VALUE"""),43)</f>
        <v>43</v>
      </c>
      <c r="B44">
        <f ca="1">IFERROR(__xludf.DUMMYFUNCTION("""COMPUTED_VALUE"""),42)</f>
        <v>42</v>
      </c>
      <c r="C44" t="str">
        <f ca="1">IFERROR(__xludf.DUMMYFUNCTION("""COMPUTED_VALUE"""),"Brendon Todd")</f>
        <v>Brendon Todd</v>
      </c>
      <c r="D44">
        <f ca="1">IFERROR(__xludf.DUMMYFUNCTION("""COMPUTED_VALUE"""),43)</f>
        <v>43</v>
      </c>
      <c r="E44">
        <f ca="1">IFERROR(__xludf.DUMMYFUNCTION("""COMPUTED_VALUE"""),2.63)</f>
        <v>2.63</v>
      </c>
      <c r="F44">
        <f ca="1">IFERROR(__xludf.DUMMYFUNCTION("""COMPUTED_VALUE"""),113.17)</f>
        <v>113.17</v>
      </c>
      <c r="G44">
        <f ca="1">IFERROR(__xludf.DUMMYFUNCTION("""COMPUTED_VALUE"""),-28.34)</f>
        <v>-28.34</v>
      </c>
      <c r="H44">
        <f ca="1">IFERROR(__xludf.DUMMYFUNCTION("""COMPUTED_VALUE"""),62.88)</f>
        <v>62.88</v>
      </c>
      <c r="I44" t="str">
        <f ca="1">IFERROR(__xludf.DUMMYFUNCTION("""COMPUTED_VALUE"""),"")</f>
        <v/>
      </c>
    </row>
    <row r="45" spans="1:9" ht="12.75">
      <c r="A45">
        <f ca="1">IFERROR(__xludf.DUMMYFUNCTION("""COMPUTED_VALUE"""),44)</f>
        <v>44</v>
      </c>
      <c r="B45">
        <f ca="1">IFERROR(__xludf.DUMMYFUNCTION("""COMPUTED_VALUE"""),44)</f>
        <v>44</v>
      </c>
      <c r="C45" t="str">
        <f ca="1">IFERROR(__xludf.DUMMYFUNCTION("""COMPUTED_VALUE"""),"Bubba Watson")</f>
        <v>Bubba Watson</v>
      </c>
      <c r="D45">
        <f ca="1">IFERROR(__xludf.DUMMYFUNCTION("""COMPUTED_VALUE"""),47)</f>
        <v>47</v>
      </c>
      <c r="E45">
        <f ca="1">IFERROR(__xludf.DUMMYFUNCTION("""COMPUTED_VALUE"""),2.56)</f>
        <v>2.56</v>
      </c>
      <c r="F45">
        <f ca="1">IFERROR(__xludf.DUMMYFUNCTION("""COMPUTED_VALUE"""),120.27)</f>
        <v>120.27</v>
      </c>
      <c r="G45">
        <f ca="1">IFERROR(__xludf.DUMMYFUNCTION("""COMPUTED_VALUE"""),-81.25)</f>
        <v>-81.25</v>
      </c>
      <c r="H45">
        <f ca="1">IFERROR(__xludf.DUMMYFUNCTION("""COMPUTED_VALUE"""),96.59)</f>
        <v>96.59</v>
      </c>
      <c r="I45" t="str">
        <f ca="1">IFERROR(__xludf.DUMMYFUNCTION("""COMPUTED_VALUE"""),"")</f>
        <v/>
      </c>
    </row>
    <row r="46" spans="1:9" ht="12.75">
      <c r="A46">
        <f ca="1">IFERROR(__xludf.DUMMYFUNCTION("""COMPUTED_VALUE"""),45)</f>
        <v>45</v>
      </c>
      <c r="B46">
        <f ca="1">IFERROR(__xludf.DUMMYFUNCTION("""COMPUTED_VALUE"""),45)</f>
        <v>45</v>
      </c>
      <c r="C46" t="str">
        <f ca="1">IFERROR(__xludf.DUMMYFUNCTION("""COMPUTED_VALUE"""),"Cameron Smith")</f>
        <v>Cameron Smith</v>
      </c>
      <c r="D46">
        <f ca="1">IFERROR(__xludf.DUMMYFUNCTION("""COMPUTED_VALUE"""),52)</f>
        <v>52</v>
      </c>
      <c r="E46">
        <f ca="1">IFERROR(__xludf.DUMMYFUNCTION("""COMPUTED_VALUE"""),2.52)</f>
        <v>2.52</v>
      </c>
      <c r="F46">
        <f ca="1">IFERROR(__xludf.DUMMYFUNCTION("""COMPUTED_VALUE"""),131.14)</f>
        <v>131.13999999999999</v>
      </c>
      <c r="G46">
        <f ca="1">IFERROR(__xludf.DUMMYFUNCTION("""COMPUTED_VALUE"""),-82.73)</f>
        <v>-82.73</v>
      </c>
      <c r="H46">
        <f ca="1">IFERROR(__xludf.DUMMYFUNCTION("""COMPUTED_VALUE"""),98.12)</f>
        <v>98.12</v>
      </c>
      <c r="I46" t="str">
        <f ca="1">IFERROR(__xludf.DUMMYFUNCTION("""COMPUTED_VALUE"""),"")</f>
        <v/>
      </c>
    </row>
    <row r="47" spans="1:9" ht="12.75">
      <c r="A47">
        <f ca="1">IFERROR(__xludf.DUMMYFUNCTION("""COMPUTED_VALUE"""),46)</f>
        <v>46</v>
      </c>
      <c r="B47">
        <f ca="1">IFERROR(__xludf.DUMMYFUNCTION("""COMPUTED_VALUE"""),47)</f>
        <v>47</v>
      </c>
      <c r="C47" t="str">
        <f ca="1">IFERROR(__xludf.DUMMYFUNCTION("""COMPUTED_VALUE"""),"Rickie Fowler")</f>
        <v>Rickie Fowler</v>
      </c>
      <c r="D47">
        <f ca="1">IFERROR(__xludf.DUMMYFUNCTION("""COMPUTED_VALUE"""),43)</f>
        <v>43</v>
      </c>
      <c r="E47">
        <f ca="1">IFERROR(__xludf.DUMMYFUNCTION("""COMPUTED_VALUE"""),2.48)</f>
        <v>2.48</v>
      </c>
      <c r="F47">
        <f ca="1">IFERROR(__xludf.DUMMYFUNCTION("""COMPUTED_VALUE"""),106.71)</f>
        <v>106.71</v>
      </c>
      <c r="G47">
        <f ca="1">IFERROR(__xludf.DUMMYFUNCTION("""COMPUTED_VALUE"""),-106.26)</f>
        <v>-106.26</v>
      </c>
      <c r="H47">
        <f ca="1">IFERROR(__xludf.DUMMYFUNCTION("""COMPUTED_VALUE"""),44.72)</f>
        <v>44.72</v>
      </c>
      <c r="I47" t="str">
        <f ca="1">IFERROR(__xludf.DUMMYFUNCTION("""COMPUTED_VALUE"""),"")</f>
        <v/>
      </c>
    </row>
    <row r="48" spans="1:9" ht="12.75">
      <c r="A48">
        <f ca="1">IFERROR(__xludf.DUMMYFUNCTION("""COMPUTED_VALUE"""),47)</f>
        <v>47</v>
      </c>
      <c r="B48">
        <f ca="1">IFERROR(__xludf.DUMMYFUNCTION("""COMPUTED_VALUE"""),46)</f>
        <v>46</v>
      </c>
      <c r="C48" t="str">
        <f ca="1">IFERROR(__xludf.DUMMYFUNCTION("""COMPUTED_VALUE"""),"Lee Westwood")</f>
        <v>Lee Westwood</v>
      </c>
      <c r="D48">
        <f ca="1">IFERROR(__xludf.DUMMYFUNCTION("""COMPUTED_VALUE"""),47)</f>
        <v>47</v>
      </c>
      <c r="E48">
        <f ca="1">IFERROR(__xludf.DUMMYFUNCTION("""COMPUTED_VALUE"""),2.46)</f>
        <v>2.46</v>
      </c>
      <c r="F48">
        <f ca="1">IFERROR(__xludf.DUMMYFUNCTION("""COMPUTED_VALUE"""),115.84)</f>
        <v>115.84</v>
      </c>
      <c r="G48">
        <f ca="1">IFERROR(__xludf.DUMMYFUNCTION("""COMPUTED_VALUE"""),-59.16)</f>
        <v>-59.16</v>
      </c>
      <c r="H48">
        <f ca="1">IFERROR(__xludf.DUMMYFUNCTION("""COMPUTED_VALUE"""),89.87)</f>
        <v>89.87</v>
      </c>
      <c r="I48" t="str">
        <f ca="1">IFERROR(__xludf.DUMMYFUNCTION("""COMPUTED_VALUE"""),"")</f>
        <v/>
      </c>
    </row>
    <row r="49" spans="1:9" ht="12.75">
      <c r="A49">
        <f ca="1">IFERROR(__xludf.DUMMYFUNCTION("""COMPUTED_VALUE"""),48)</f>
        <v>48</v>
      </c>
      <c r="B49">
        <f ca="1">IFERROR(__xludf.DUMMYFUNCTION("""COMPUTED_VALUE"""),53)</f>
        <v>53</v>
      </c>
      <c r="C49" t="str">
        <f ca="1">IFERROR(__xludf.DUMMYFUNCTION("""COMPUTED_VALUE"""),"Mackenzie Hughes")</f>
        <v>Mackenzie Hughes</v>
      </c>
      <c r="D49">
        <f ca="1">IFERROR(__xludf.DUMMYFUNCTION("""COMPUTED_VALUE"""),51)</f>
        <v>51</v>
      </c>
      <c r="E49">
        <f ca="1">IFERROR(__xludf.DUMMYFUNCTION("""COMPUTED_VALUE"""),2.46)</f>
        <v>2.46</v>
      </c>
      <c r="F49">
        <f ca="1">IFERROR(__xludf.DUMMYFUNCTION("""COMPUTED_VALUE"""),125.52)</f>
        <v>125.52</v>
      </c>
      <c r="G49">
        <f ca="1">IFERROR(__xludf.DUMMYFUNCTION("""COMPUTED_VALUE"""),-24.89)</f>
        <v>-24.89</v>
      </c>
      <c r="H49">
        <f ca="1">IFERROR(__xludf.DUMMYFUNCTION("""COMPUTED_VALUE"""),116.49)</f>
        <v>116.49</v>
      </c>
      <c r="I49" t="str">
        <f ca="1">IFERROR(__xludf.DUMMYFUNCTION("""COMPUTED_VALUE"""),"")</f>
        <v/>
      </c>
    </row>
    <row r="50" spans="1:9" ht="12.75">
      <c r="A50">
        <f ca="1">IFERROR(__xludf.DUMMYFUNCTION("""COMPUTED_VALUE"""),49)</f>
        <v>49</v>
      </c>
      <c r="B50">
        <f ca="1">IFERROR(__xludf.DUMMYFUNCTION("""COMPUTED_VALUE"""),48)</f>
        <v>48</v>
      </c>
      <c r="C50" t="str">
        <f ca="1">IFERROR(__xludf.DUMMYFUNCTION("""COMPUTED_VALUE"""),"Ian Poulter")</f>
        <v>Ian Poulter</v>
      </c>
      <c r="D50">
        <f ca="1">IFERROR(__xludf.DUMMYFUNCTION("""COMPUTED_VALUE"""),50)</f>
        <v>50</v>
      </c>
      <c r="E50">
        <f ca="1">IFERROR(__xludf.DUMMYFUNCTION("""COMPUTED_VALUE"""),2.42)</f>
        <v>2.42</v>
      </c>
      <c r="F50">
        <f ca="1">IFERROR(__xludf.DUMMYFUNCTION("""COMPUTED_VALUE"""),121.04)</f>
        <v>121.04</v>
      </c>
      <c r="G50">
        <f ca="1">IFERROR(__xludf.DUMMYFUNCTION("""COMPUTED_VALUE"""),-78.66)</f>
        <v>-78.66</v>
      </c>
      <c r="H50">
        <f ca="1">IFERROR(__xludf.DUMMYFUNCTION("""COMPUTED_VALUE"""),72.67)</f>
        <v>72.67</v>
      </c>
      <c r="I50" t="str">
        <f ca="1">IFERROR(__xludf.DUMMYFUNCTION("""COMPUTED_VALUE"""),"")</f>
        <v/>
      </c>
    </row>
    <row r="51" spans="1:9" ht="12.75">
      <c r="A51">
        <f ca="1">IFERROR(__xludf.DUMMYFUNCTION("""COMPUTED_VALUE"""),50)</f>
        <v>50</v>
      </c>
      <c r="B51">
        <f ca="1">IFERROR(__xludf.DUMMYFUNCTION("""COMPUTED_VALUE"""),52)</f>
        <v>52</v>
      </c>
      <c r="C51" t="str">
        <f ca="1">IFERROR(__xludf.DUMMYFUNCTION("""COMPUTED_VALUE"""),"Erik van Rooyen")</f>
        <v>Erik van Rooyen</v>
      </c>
      <c r="D51">
        <f ca="1">IFERROR(__xludf.DUMMYFUNCTION("""COMPUTED_VALUE"""),52)</f>
        <v>52</v>
      </c>
      <c r="E51">
        <f ca="1">IFERROR(__xludf.DUMMYFUNCTION("""COMPUTED_VALUE"""),2.38)</f>
        <v>2.38</v>
      </c>
      <c r="F51">
        <f ca="1">IFERROR(__xludf.DUMMYFUNCTION("""COMPUTED_VALUE"""),124)</f>
        <v>124</v>
      </c>
      <c r="G51">
        <f ca="1">IFERROR(__xludf.DUMMYFUNCTION("""COMPUTED_VALUE"""),-61.64)</f>
        <v>-61.64</v>
      </c>
      <c r="H51">
        <f ca="1">IFERROR(__xludf.DUMMYFUNCTION("""COMPUTED_VALUE"""),65.7)</f>
        <v>65.7</v>
      </c>
      <c r="I51" t="str">
        <f ca="1">IFERROR(__xludf.DUMMYFUNCTION("""COMPUTED_VALUE"""),"")</f>
        <v/>
      </c>
    </row>
    <row r="52" spans="1:9" ht="12.75">
      <c r="A52">
        <f ca="1">IFERROR(__xludf.DUMMYFUNCTION("""COMPUTED_VALUE"""),51)</f>
        <v>51</v>
      </c>
      <c r="B52">
        <f ca="1">IFERROR(__xludf.DUMMYFUNCTION("""COMPUTED_VALUE"""),49)</f>
        <v>49</v>
      </c>
      <c r="C52" t="str">
        <f ca="1">IFERROR(__xludf.DUMMYFUNCTION("""COMPUTED_VALUE"""),"Kevin Streelman")</f>
        <v>Kevin Streelman</v>
      </c>
      <c r="D52">
        <f ca="1">IFERROR(__xludf.DUMMYFUNCTION("""COMPUTED_VALUE"""),52)</f>
        <v>52</v>
      </c>
      <c r="E52">
        <f ca="1">IFERROR(__xludf.DUMMYFUNCTION("""COMPUTED_VALUE"""),2.38)</f>
        <v>2.38</v>
      </c>
      <c r="F52">
        <f ca="1">IFERROR(__xludf.DUMMYFUNCTION("""COMPUTED_VALUE"""),123.96)</f>
        <v>123.96</v>
      </c>
      <c r="G52">
        <f ca="1">IFERROR(__xludf.DUMMYFUNCTION("""COMPUTED_VALUE"""),-42.84)</f>
        <v>-42.84</v>
      </c>
      <c r="H52">
        <f ca="1">IFERROR(__xludf.DUMMYFUNCTION("""COMPUTED_VALUE"""),99.17)</f>
        <v>99.17</v>
      </c>
      <c r="I52" t="str">
        <f ca="1">IFERROR(__xludf.DUMMYFUNCTION("""COMPUTED_VALUE"""),"")</f>
        <v/>
      </c>
    </row>
    <row r="53" spans="1:9" ht="12.75">
      <c r="A53">
        <f ca="1">IFERROR(__xludf.DUMMYFUNCTION("""COMPUTED_VALUE"""),52)</f>
        <v>52</v>
      </c>
      <c r="B53">
        <f ca="1">IFERROR(__xludf.DUMMYFUNCTION("""COMPUTED_VALUE"""),50)</f>
        <v>50</v>
      </c>
      <c r="C53" t="str">
        <f ca="1">IFERROR(__xludf.DUMMYFUNCTION("""COMPUTED_VALUE"""),"Chez Reavie")</f>
        <v>Chez Reavie</v>
      </c>
      <c r="D53">
        <f ca="1">IFERROR(__xludf.DUMMYFUNCTION("""COMPUTED_VALUE"""),52)</f>
        <v>52</v>
      </c>
      <c r="E53">
        <f ca="1">IFERROR(__xludf.DUMMYFUNCTION("""COMPUTED_VALUE"""),2.34)</f>
        <v>2.34</v>
      </c>
      <c r="F53">
        <f ca="1">IFERROR(__xludf.DUMMYFUNCTION("""COMPUTED_VALUE"""),121.49)</f>
        <v>121.49</v>
      </c>
      <c r="G53">
        <f ca="1">IFERROR(__xludf.DUMMYFUNCTION("""COMPUTED_VALUE"""),-79.85)</f>
        <v>-79.849999999999994</v>
      </c>
      <c r="H53">
        <f ca="1">IFERROR(__xludf.DUMMYFUNCTION("""COMPUTED_VALUE"""),49.49)</f>
        <v>49.49</v>
      </c>
      <c r="I53" t="str">
        <f ca="1">IFERROR(__xludf.DUMMYFUNCTION("""COMPUTED_VALUE"""),"")</f>
        <v/>
      </c>
    </row>
    <row r="54" spans="1:9" ht="12.75">
      <c r="A54">
        <f ca="1">IFERROR(__xludf.DUMMYFUNCTION("""COMPUTED_VALUE"""),52)</f>
        <v>52</v>
      </c>
      <c r="B54">
        <f ca="1">IFERROR(__xludf.DUMMYFUNCTION("""COMPUTED_VALUE"""),51)</f>
        <v>51</v>
      </c>
      <c r="C54" t="str">
        <f ca="1">IFERROR(__xludf.DUMMYFUNCTION("""COMPUTED_VALUE"""),"Matt Wallace")</f>
        <v>Matt Wallace</v>
      </c>
      <c r="D54">
        <f ca="1">IFERROR(__xludf.DUMMYFUNCTION("""COMPUTED_VALUE"""),52)</f>
        <v>52</v>
      </c>
      <c r="E54">
        <f ca="1">IFERROR(__xludf.DUMMYFUNCTION("""COMPUTED_VALUE"""),2.34)</f>
        <v>2.34</v>
      </c>
      <c r="F54">
        <f ca="1">IFERROR(__xludf.DUMMYFUNCTION("""COMPUTED_VALUE"""),121.49)</f>
        <v>121.49</v>
      </c>
      <c r="G54">
        <f ca="1">IFERROR(__xludf.DUMMYFUNCTION("""COMPUTED_VALUE"""),-94.1)</f>
        <v>-94.1</v>
      </c>
      <c r="H54">
        <f ca="1">IFERROR(__xludf.DUMMYFUNCTION("""COMPUTED_VALUE"""),59.31)</f>
        <v>59.31</v>
      </c>
      <c r="I54" t="str">
        <f ca="1">IFERROR(__xludf.DUMMYFUNCTION("""COMPUTED_VALUE"""),"")</f>
        <v/>
      </c>
    </row>
    <row r="55" spans="1:9" ht="12.75">
      <c r="A55">
        <f ca="1">IFERROR(__xludf.DUMMYFUNCTION("""COMPUTED_VALUE"""),54)</f>
        <v>54</v>
      </c>
      <c r="B55">
        <f ca="1">IFERROR(__xludf.DUMMYFUNCTION("""COMPUTED_VALUE"""),54)</f>
        <v>54</v>
      </c>
      <c r="C55" t="str">
        <f ca="1">IFERROR(__xludf.DUMMYFUNCTION("""COMPUTED_VALUE"""),"Henrik Stenson")</f>
        <v>Henrik Stenson</v>
      </c>
      <c r="D55">
        <f ca="1">IFERROR(__xludf.DUMMYFUNCTION("""COMPUTED_VALUE"""),41)</f>
        <v>41</v>
      </c>
      <c r="E55">
        <f ca="1">IFERROR(__xludf.DUMMYFUNCTION("""COMPUTED_VALUE"""),2.22)</f>
        <v>2.2200000000000002</v>
      </c>
      <c r="F55">
        <f ca="1">IFERROR(__xludf.DUMMYFUNCTION("""COMPUTED_VALUE"""),91.15)</f>
        <v>91.15</v>
      </c>
      <c r="G55">
        <f ca="1">IFERROR(__xludf.DUMMYFUNCTION("""COMPUTED_VALUE"""),-73.54)</f>
        <v>-73.540000000000006</v>
      </c>
      <c r="H55">
        <f ca="1">IFERROR(__xludf.DUMMYFUNCTION("""COMPUTED_VALUE"""),8.62)</f>
        <v>8.6199999999999992</v>
      </c>
      <c r="I55" t="str">
        <f ca="1">IFERROR(__xludf.DUMMYFUNCTION("""COMPUTED_VALUE"""),"")</f>
        <v/>
      </c>
    </row>
    <row r="56" spans="1:9" ht="12.75">
      <c r="A56">
        <f ca="1">IFERROR(__xludf.DUMMYFUNCTION("""COMPUTED_VALUE"""),55)</f>
        <v>55</v>
      </c>
      <c r="B56">
        <f ca="1">IFERROR(__xludf.DUMMYFUNCTION("""COMPUTED_VALUE"""),55)</f>
        <v>55</v>
      </c>
      <c r="C56" t="str">
        <f ca="1">IFERROR(__xludf.DUMMYFUNCTION("""COMPUTED_VALUE"""),"Lanto Griffin")</f>
        <v>Lanto Griffin</v>
      </c>
      <c r="D56">
        <f ca="1">IFERROR(__xludf.DUMMYFUNCTION("""COMPUTED_VALUE"""),52)</f>
        <v>52</v>
      </c>
      <c r="E56">
        <f ca="1">IFERROR(__xludf.DUMMYFUNCTION("""COMPUTED_VALUE"""),2.2)</f>
        <v>2.2000000000000002</v>
      </c>
      <c r="F56">
        <f ca="1">IFERROR(__xludf.DUMMYFUNCTION("""COMPUTED_VALUE"""),114.17)</f>
        <v>114.17</v>
      </c>
      <c r="G56">
        <f ca="1">IFERROR(__xludf.DUMMYFUNCTION("""COMPUTED_VALUE"""),-35.07)</f>
        <v>-35.07</v>
      </c>
      <c r="H56">
        <f ca="1">IFERROR(__xludf.DUMMYFUNCTION("""COMPUTED_VALUE"""),80.42)</f>
        <v>80.42</v>
      </c>
      <c r="I56" t="str">
        <f ca="1">IFERROR(__xludf.DUMMYFUNCTION("""COMPUTED_VALUE"""),"")</f>
        <v/>
      </c>
    </row>
    <row r="57" spans="1:9" ht="12.75">
      <c r="A57">
        <f ca="1">IFERROR(__xludf.DUMMYFUNCTION("""COMPUTED_VALUE"""),56)</f>
        <v>56</v>
      </c>
      <c r="B57">
        <f ca="1">IFERROR(__xludf.DUMMYFUNCTION("""COMPUTED_VALUE"""),57)</f>
        <v>57</v>
      </c>
      <c r="C57" t="str">
        <f ca="1">IFERROR(__xludf.DUMMYFUNCTION("""COMPUTED_VALUE"""),"Will Zalatoris")</f>
        <v>Will Zalatoris</v>
      </c>
      <c r="D57">
        <f ca="1">IFERROR(__xludf.DUMMYFUNCTION("""COMPUTED_VALUE"""),40)</f>
        <v>40</v>
      </c>
      <c r="E57">
        <f ca="1">IFERROR(__xludf.DUMMYFUNCTION("""COMPUTED_VALUE"""),2.16)</f>
        <v>2.16</v>
      </c>
      <c r="F57">
        <f ca="1">IFERROR(__xludf.DUMMYFUNCTION("""COMPUTED_VALUE"""),86.44)</f>
        <v>86.44</v>
      </c>
      <c r="G57">
        <f ca="1">IFERROR(__xludf.DUMMYFUNCTION("""COMPUTED_VALUE"""),-6.94)</f>
        <v>-6.94</v>
      </c>
      <c r="H57">
        <f ca="1">IFERROR(__xludf.DUMMYFUNCTION("""COMPUTED_VALUE"""),84.41)</f>
        <v>84.41</v>
      </c>
      <c r="I57" t="str">
        <f ca="1">IFERROR(__xludf.DUMMYFUNCTION("""COMPUTED_VALUE"""),"")</f>
        <v/>
      </c>
    </row>
    <row r="58" spans="1:9" ht="12.75">
      <c r="A58">
        <f ca="1">IFERROR(__xludf.DUMMYFUNCTION("""COMPUTED_VALUE"""),57)</f>
        <v>57</v>
      </c>
      <c r="B58">
        <f ca="1">IFERROR(__xludf.DUMMYFUNCTION("""COMPUTED_VALUE"""),56)</f>
        <v>56</v>
      </c>
      <c r="C58" t="str">
        <f ca="1">IFERROR(__xludf.DUMMYFUNCTION("""COMPUTED_VALUE"""),"Danny Willett")</f>
        <v>Danny Willett</v>
      </c>
      <c r="D58">
        <f ca="1">IFERROR(__xludf.DUMMYFUNCTION("""COMPUTED_VALUE"""),52)</f>
        <v>52</v>
      </c>
      <c r="E58">
        <f ca="1">IFERROR(__xludf.DUMMYFUNCTION("""COMPUTED_VALUE"""),2.14)</f>
        <v>2.14</v>
      </c>
      <c r="F58">
        <f ca="1">IFERROR(__xludf.DUMMYFUNCTION("""COMPUTED_VALUE"""),111.24)</f>
        <v>111.24</v>
      </c>
      <c r="G58">
        <f ca="1">IFERROR(__xludf.DUMMYFUNCTION("""COMPUTED_VALUE"""),-80.05)</f>
        <v>-80.05</v>
      </c>
      <c r="H58">
        <f ca="1">IFERROR(__xludf.DUMMYFUNCTION("""COMPUTED_VALUE"""),24.88)</f>
        <v>24.88</v>
      </c>
      <c r="I58" t="str">
        <f ca="1">IFERROR(__xludf.DUMMYFUNCTION("""COMPUTED_VALUE"""),"")</f>
        <v/>
      </c>
    </row>
    <row r="59" spans="1:9" ht="12.75">
      <c r="A59">
        <f ca="1">IFERROR(__xludf.DUMMYFUNCTION("""COMPUTED_VALUE"""),58)</f>
        <v>58</v>
      </c>
      <c r="B59">
        <f ca="1">IFERROR(__xludf.DUMMYFUNCTION("""COMPUTED_VALUE"""),61)</f>
        <v>61</v>
      </c>
      <c r="C59" t="str">
        <f ca="1">IFERROR(__xludf.DUMMYFUNCTION("""COMPUTED_VALUE"""),"Russell Henley")</f>
        <v>Russell Henley</v>
      </c>
      <c r="D59">
        <f ca="1">IFERROR(__xludf.DUMMYFUNCTION("""COMPUTED_VALUE"""),50)</f>
        <v>50</v>
      </c>
      <c r="E59">
        <f ca="1">IFERROR(__xludf.DUMMYFUNCTION("""COMPUTED_VALUE"""),2.12)</f>
        <v>2.12</v>
      </c>
      <c r="F59">
        <f ca="1">IFERROR(__xludf.DUMMYFUNCTION("""COMPUTED_VALUE"""),106.18)</f>
        <v>106.18</v>
      </c>
      <c r="G59">
        <f ca="1">IFERROR(__xludf.DUMMYFUNCTION("""COMPUTED_VALUE"""),-25.88)</f>
        <v>-25.88</v>
      </c>
      <c r="H59">
        <f ca="1">IFERROR(__xludf.DUMMYFUNCTION("""COMPUTED_VALUE"""),93.19)</f>
        <v>93.19</v>
      </c>
      <c r="I59" t="str">
        <f ca="1">IFERROR(__xludf.DUMMYFUNCTION("""COMPUTED_VALUE"""),"")</f>
        <v/>
      </c>
    </row>
    <row r="60" spans="1:9" ht="12.75">
      <c r="A60">
        <f ca="1">IFERROR(__xludf.DUMMYFUNCTION("""COMPUTED_VALUE"""),59)</f>
        <v>59</v>
      </c>
      <c r="B60">
        <f ca="1">IFERROR(__xludf.DUMMYFUNCTION("""COMPUTED_VALUE"""),58)</f>
        <v>58</v>
      </c>
      <c r="C60" t="str">
        <f ca="1">IFERROR(__xludf.DUMMYFUNCTION("""COMPUTED_VALUE"""),"Christiaan Bezuidenhout")</f>
        <v>Christiaan Bezuidenhout</v>
      </c>
      <c r="D60">
        <f ca="1">IFERROR(__xludf.DUMMYFUNCTION("""COMPUTED_VALUE"""),52)</f>
        <v>52</v>
      </c>
      <c r="E60">
        <f ca="1">IFERROR(__xludf.DUMMYFUNCTION("""COMPUTED_VALUE"""),2.1)</f>
        <v>2.1</v>
      </c>
      <c r="F60">
        <f ca="1">IFERROR(__xludf.DUMMYFUNCTION("""COMPUTED_VALUE"""),109.12)</f>
        <v>109.12</v>
      </c>
      <c r="G60">
        <f ca="1">IFERROR(__xludf.DUMMYFUNCTION("""COMPUTED_VALUE"""),-45.32)</f>
        <v>-45.32</v>
      </c>
      <c r="H60">
        <f ca="1">IFERROR(__xludf.DUMMYFUNCTION("""COMPUTED_VALUE"""),69.83)</f>
        <v>69.83</v>
      </c>
      <c r="I60" t="str">
        <f ca="1">IFERROR(__xludf.DUMMYFUNCTION("""COMPUTED_VALUE"""),"")</f>
        <v/>
      </c>
    </row>
    <row r="61" spans="1:9" ht="12.75">
      <c r="A61">
        <f ca="1">IFERROR(__xludf.DUMMYFUNCTION("""COMPUTED_VALUE"""),60)</f>
        <v>60</v>
      </c>
      <c r="B61">
        <f ca="1">IFERROR(__xludf.DUMMYFUNCTION("""COMPUTED_VALUE"""),59)</f>
        <v>59</v>
      </c>
      <c r="C61" t="str">
        <f ca="1">IFERROR(__xludf.DUMMYFUNCTION("""COMPUTED_VALUE"""),"Joel Dahmen")</f>
        <v>Joel Dahmen</v>
      </c>
      <c r="D61">
        <f ca="1">IFERROR(__xludf.DUMMYFUNCTION("""COMPUTED_VALUE"""),52)</f>
        <v>52</v>
      </c>
      <c r="E61">
        <f ca="1">IFERROR(__xludf.DUMMYFUNCTION("""COMPUTED_VALUE"""),2.1)</f>
        <v>2.1</v>
      </c>
      <c r="F61">
        <f ca="1">IFERROR(__xludf.DUMMYFUNCTION("""COMPUTED_VALUE"""),109.08)</f>
        <v>109.08</v>
      </c>
      <c r="G61">
        <f ca="1">IFERROR(__xludf.DUMMYFUNCTION("""COMPUTED_VALUE"""),-47.85)</f>
        <v>-47.85</v>
      </c>
      <c r="H61">
        <f ca="1">IFERROR(__xludf.DUMMYFUNCTION("""COMPUTED_VALUE"""),79.93)</f>
        <v>79.930000000000007</v>
      </c>
      <c r="I61" t="str">
        <f ca="1">IFERROR(__xludf.DUMMYFUNCTION("""COMPUTED_VALUE"""),"")</f>
        <v/>
      </c>
    </row>
    <row r="62" spans="1:9" ht="12.75">
      <c r="A62">
        <f ca="1">IFERROR(__xludf.DUMMYFUNCTION("""COMPUTED_VALUE"""),61)</f>
        <v>61</v>
      </c>
      <c r="B62">
        <f ca="1">IFERROR(__xludf.DUMMYFUNCTION("""COMPUTED_VALUE"""),62)</f>
        <v>62</v>
      </c>
      <c r="C62" t="str">
        <f ca="1">IFERROR(__xludf.DUMMYFUNCTION("""COMPUTED_VALUE"""),"Sebastián Muñoz")</f>
        <v>Sebastián Muñoz</v>
      </c>
      <c r="D62">
        <f ca="1">IFERROR(__xludf.DUMMYFUNCTION("""COMPUTED_VALUE"""),52)</f>
        <v>52</v>
      </c>
      <c r="E62">
        <f ca="1">IFERROR(__xludf.DUMMYFUNCTION("""COMPUTED_VALUE"""),2.07)</f>
        <v>2.0699999999999998</v>
      </c>
      <c r="F62">
        <f ca="1">IFERROR(__xludf.DUMMYFUNCTION("""COMPUTED_VALUE"""),107.72)</f>
        <v>107.72</v>
      </c>
      <c r="G62">
        <f ca="1">IFERROR(__xludf.DUMMYFUNCTION("""COMPUTED_VALUE"""),-37.17)</f>
        <v>-37.17</v>
      </c>
      <c r="H62">
        <f ca="1">IFERROR(__xludf.DUMMYFUNCTION("""COMPUTED_VALUE"""),70.23)</f>
        <v>70.23</v>
      </c>
      <c r="I62" t="str">
        <f ca="1">IFERROR(__xludf.DUMMYFUNCTION("""COMPUTED_VALUE"""),"")</f>
        <v/>
      </c>
    </row>
    <row r="63" spans="1:9" ht="12.75">
      <c r="A63">
        <f ca="1">IFERROR(__xludf.DUMMYFUNCTION("""COMPUTED_VALUE"""),62)</f>
        <v>62</v>
      </c>
      <c r="B63">
        <f ca="1">IFERROR(__xludf.DUMMYFUNCTION("""COMPUTED_VALUE"""),91)</f>
        <v>91</v>
      </c>
      <c r="C63" t="str">
        <f ca="1">IFERROR(__xludf.DUMMYFUNCTION("""COMPUTED_VALUE"""),"Robert MacIntyre")</f>
        <v>Robert MacIntyre</v>
      </c>
      <c r="D63">
        <f ca="1">IFERROR(__xludf.DUMMYFUNCTION("""COMPUTED_VALUE"""),52)</f>
        <v>52</v>
      </c>
      <c r="E63">
        <f ca="1">IFERROR(__xludf.DUMMYFUNCTION("""COMPUTED_VALUE"""),2.04)</f>
        <v>2.04</v>
      </c>
      <c r="F63">
        <f ca="1">IFERROR(__xludf.DUMMYFUNCTION("""COMPUTED_VALUE"""),105.92)</f>
        <v>105.92</v>
      </c>
      <c r="G63">
        <f ca="1">IFERROR(__xludf.DUMMYFUNCTION("""COMPUTED_VALUE"""),-45.46)</f>
        <v>-45.46</v>
      </c>
      <c r="H63">
        <f ca="1">IFERROR(__xludf.DUMMYFUNCTION("""COMPUTED_VALUE"""),49.89)</f>
        <v>49.89</v>
      </c>
      <c r="I63" t="str">
        <f ca="1">IFERROR(__xludf.DUMMYFUNCTION("""COMPUTED_VALUE"""),"")</f>
        <v/>
      </c>
    </row>
    <row r="64" spans="1:9" ht="12.75">
      <c r="A64">
        <f ca="1">IFERROR(__xludf.DUMMYFUNCTION("""COMPUTED_VALUE"""),63)</f>
        <v>63</v>
      </c>
      <c r="B64">
        <f ca="1">IFERROR(__xludf.DUMMYFUNCTION("""COMPUTED_VALUE"""),64)</f>
        <v>64</v>
      </c>
      <c r="C64" t="str">
        <f ca="1">IFERROR(__xludf.DUMMYFUNCTION("""COMPUTED_VALUE"""),"J.T. Poston")</f>
        <v>J.T. Poston</v>
      </c>
      <c r="D64">
        <f ca="1">IFERROR(__xludf.DUMMYFUNCTION("""COMPUTED_VALUE"""),52)</f>
        <v>52</v>
      </c>
      <c r="E64">
        <f ca="1">IFERROR(__xludf.DUMMYFUNCTION("""COMPUTED_VALUE"""),2.03)</f>
        <v>2.0299999999999998</v>
      </c>
      <c r="F64">
        <f ca="1">IFERROR(__xludf.DUMMYFUNCTION("""COMPUTED_VALUE"""),105.55)</f>
        <v>105.55</v>
      </c>
      <c r="G64">
        <f ca="1">IFERROR(__xludf.DUMMYFUNCTION("""COMPUTED_VALUE"""),-47.78)</f>
        <v>-47.78</v>
      </c>
      <c r="H64">
        <f ca="1">IFERROR(__xludf.DUMMYFUNCTION("""COMPUTED_VALUE"""),59.49)</f>
        <v>59.49</v>
      </c>
      <c r="I64" t="str">
        <f ca="1">IFERROR(__xludf.DUMMYFUNCTION("""COMPUTED_VALUE"""),"")</f>
        <v/>
      </c>
    </row>
    <row r="65" spans="1:9" ht="12.75">
      <c r="A65">
        <f ca="1">IFERROR(__xludf.DUMMYFUNCTION("""COMPUTED_VALUE"""),64)</f>
        <v>64</v>
      </c>
      <c r="B65">
        <f ca="1">IFERROR(__xludf.DUMMYFUNCTION("""COMPUTED_VALUE"""),60)</f>
        <v>60</v>
      </c>
      <c r="C65" t="str">
        <f ca="1">IFERROR(__xludf.DUMMYFUNCTION("""COMPUTED_VALUE"""),"Phil Mickelson")</f>
        <v>Phil Mickelson</v>
      </c>
      <c r="D65">
        <f ca="1">IFERROR(__xludf.DUMMYFUNCTION("""COMPUTED_VALUE"""),45)</f>
        <v>45</v>
      </c>
      <c r="E65">
        <f ca="1">IFERROR(__xludf.DUMMYFUNCTION("""COMPUTED_VALUE"""),2.01)</f>
        <v>2.0099999999999998</v>
      </c>
      <c r="F65">
        <f ca="1">IFERROR(__xludf.DUMMYFUNCTION("""COMPUTED_VALUE"""),90.64)</f>
        <v>90.64</v>
      </c>
      <c r="G65">
        <f ca="1">IFERROR(__xludf.DUMMYFUNCTION("""COMPUTED_VALUE"""),-66.26)</f>
        <v>-66.260000000000005</v>
      </c>
      <c r="H65">
        <f ca="1">IFERROR(__xludf.DUMMYFUNCTION("""COMPUTED_VALUE"""),67.44)</f>
        <v>67.44</v>
      </c>
      <c r="I65" t="str">
        <f ca="1">IFERROR(__xludf.DUMMYFUNCTION("""COMPUTED_VALUE"""),"")</f>
        <v/>
      </c>
    </row>
    <row r="66" spans="1:9" ht="12.75">
      <c r="A66">
        <f ca="1">IFERROR(__xludf.DUMMYFUNCTION("""COMPUTED_VALUE"""),65)</f>
        <v>65</v>
      </c>
      <c r="B66">
        <f ca="1">IFERROR(__xludf.DUMMYFUNCTION("""COMPUTED_VALUE"""),160)</f>
        <v>160</v>
      </c>
      <c r="C66" t="str">
        <f ca="1">IFERROR(__xludf.DUMMYFUNCTION("""COMPUTED_VALUE"""),"Carlos Ortiz")</f>
        <v>Carlos Ortiz</v>
      </c>
      <c r="D66">
        <f ca="1">IFERROR(__xludf.DUMMYFUNCTION("""COMPUTED_VALUE"""),52)</f>
        <v>52</v>
      </c>
      <c r="E66">
        <f ca="1">IFERROR(__xludf.DUMMYFUNCTION("""COMPUTED_VALUE"""),2.01)</f>
        <v>2.0099999999999998</v>
      </c>
      <c r="F66">
        <f ca="1">IFERROR(__xludf.DUMMYFUNCTION("""COMPUTED_VALUE"""),104.67)</f>
        <v>104.67</v>
      </c>
      <c r="G66">
        <f ca="1">IFERROR(__xludf.DUMMYFUNCTION("""COMPUTED_VALUE"""),-28.2)</f>
        <v>-28.2</v>
      </c>
      <c r="H66">
        <f ca="1">IFERROR(__xludf.DUMMYFUNCTION("""COMPUTED_VALUE"""),74.48)</f>
        <v>74.48</v>
      </c>
      <c r="I66" t="str">
        <f ca="1">IFERROR(__xludf.DUMMYFUNCTION("""COMPUTED_VALUE"""),"")</f>
        <v/>
      </c>
    </row>
    <row r="67" spans="1:9" ht="12.75">
      <c r="A67">
        <f ca="1">IFERROR(__xludf.DUMMYFUNCTION("""COMPUTED_VALUE"""),66)</f>
        <v>66</v>
      </c>
      <c r="B67">
        <f ca="1">IFERROR(__xludf.DUMMYFUNCTION("""COMPUTED_VALUE"""),65)</f>
        <v>65</v>
      </c>
      <c r="C67" t="str">
        <f ca="1">IFERROR(__xludf.DUMMYFUNCTION("""COMPUTED_VALUE"""),"Graeme McDowell")</f>
        <v>Graeme McDowell</v>
      </c>
      <c r="D67">
        <f ca="1">IFERROR(__xludf.DUMMYFUNCTION("""COMPUTED_VALUE"""),47)</f>
        <v>47</v>
      </c>
      <c r="E67">
        <f ca="1">IFERROR(__xludf.DUMMYFUNCTION("""COMPUTED_VALUE"""),1.99)</f>
        <v>1.99</v>
      </c>
      <c r="F67">
        <f ca="1">IFERROR(__xludf.DUMMYFUNCTION("""COMPUTED_VALUE"""),93.6)</f>
        <v>93.6</v>
      </c>
      <c r="G67">
        <f ca="1">IFERROR(__xludf.DUMMYFUNCTION("""COMPUTED_VALUE"""),-45.27)</f>
        <v>-45.27</v>
      </c>
      <c r="H67">
        <f ca="1">IFERROR(__xludf.DUMMYFUNCTION("""COMPUTED_VALUE"""),74.88)</f>
        <v>74.88</v>
      </c>
      <c r="I67" t="str">
        <f ca="1">IFERROR(__xludf.DUMMYFUNCTION("""COMPUTED_VALUE"""),"")</f>
        <v/>
      </c>
    </row>
    <row r="68" spans="1:9" ht="12.75">
      <c r="A68">
        <f ca="1">IFERROR(__xludf.DUMMYFUNCTION("""COMPUTED_VALUE"""),67)</f>
        <v>67</v>
      </c>
      <c r="B68">
        <f ca="1">IFERROR(__xludf.DUMMYFUNCTION("""COMPUTED_VALUE"""),63)</f>
        <v>63</v>
      </c>
      <c r="C68" t="str">
        <f ca="1">IFERROR(__xludf.DUMMYFUNCTION("""COMPUTED_VALUE"""),"Byeong Hun An")</f>
        <v>Byeong Hun An</v>
      </c>
      <c r="D68">
        <f ca="1">IFERROR(__xludf.DUMMYFUNCTION("""COMPUTED_VALUE"""),52)</f>
        <v>52</v>
      </c>
      <c r="E68">
        <f ca="1">IFERROR(__xludf.DUMMYFUNCTION("""COMPUTED_VALUE"""),1.99)</f>
        <v>1.99</v>
      </c>
      <c r="F68">
        <f ca="1">IFERROR(__xludf.DUMMYFUNCTION("""COMPUTED_VALUE"""),103.38)</f>
        <v>103.38</v>
      </c>
      <c r="G68">
        <f ca="1">IFERROR(__xludf.DUMMYFUNCTION("""COMPUTED_VALUE"""),-74.43)</f>
        <v>-74.430000000000007</v>
      </c>
      <c r="H68">
        <f ca="1">IFERROR(__xludf.DUMMYFUNCTION("""COMPUTED_VALUE"""),49.03)</f>
        <v>49.03</v>
      </c>
      <c r="I68" t="str">
        <f ca="1">IFERROR(__xludf.DUMMYFUNCTION("""COMPUTED_VALUE"""),"")</f>
        <v/>
      </c>
    </row>
    <row r="69" spans="1:9" ht="12.75">
      <c r="A69">
        <f ca="1">IFERROR(__xludf.DUMMYFUNCTION("""COMPUTED_VALUE"""),68)</f>
        <v>68</v>
      </c>
      <c r="B69">
        <f ca="1">IFERROR(__xludf.DUMMYFUNCTION("""COMPUTED_VALUE"""),69)</f>
        <v>69</v>
      </c>
      <c r="C69" t="str">
        <f ca="1">IFERROR(__xludf.DUMMYFUNCTION("""COMPUTED_VALUE"""),"Corey Conners")</f>
        <v>Corey Conners</v>
      </c>
      <c r="D69">
        <f ca="1">IFERROR(__xludf.DUMMYFUNCTION("""COMPUTED_VALUE"""),52)</f>
        <v>52</v>
      </c>
      <c r="E69">
        <f ca="1">IFERROR(__xludf.DUMMYFUNCTION("""COMPUTED_VALUE"""),1.95)</f>
        <v>1.95</v>
      </c>
      <c r="F69">
        <f ca="1">IFERROR(__xludf.DUMMYFUNCTION("""COMPUTED_VALUE"""),101.24)</f>
        <v>101.24</v>
      </c>
      <c r="G69">
        <f ca="1">IFERROR(__xludf.DUMMYFUNCTION("""COMPUTED_VALUE"""),-53.79)</f>
        <v>-53.79</v>
      </c>
      <c r="H69">
        <f ca="1">IFERROR(__xludf.DUMMYFUNCTION("""COMPUTED_VALUE"""),50.77)</f>
        <v>50.77</v>
      </c>
      <c r="I69" t="str">
        <f ca="1">IFERROR(__xludf.DUMMYFUNCTION("""COMPUTED_VALUE"""),"")</f>
        <v/>
      </c>
    </row>
    <row r="70" spans="1:9" ht="12.75">
      <c r="A70">
        <f ca="1">IFERROR(__xludf.DUMMYFUNCTION("""COMPUTED_VALUE"""),69)</f>
        <v>69</v>
      </c>
      <c r="B70">
        <f ca="1">IFERROR(__xludf.DUMMYFUNCTION("""COMPUTED_VALUE"""),66)</f>
        <v>66</v>
      </c>
      <c r="C70" t="str">
        <f ca="1">IFERROR(__xludf.DUMMYFUNCTION("""COMPUTED_VALUE"""),"Tom Lewis")</f>
        <v>Tom Lewis</v>
      </c>
      <c r="D70">
        <f ca="1">IFERROR(__xludf.DUMMYFUNCTION("""COMPUTED_VALUE"""),52)</f>
        <v>52</v>
      </c>
      <c r="E70">
        <f ca="1">IFERROR(__xludf.DUMMYFUNCTION("""COMPUTED_VALUE"""),1.93)</f>
        <v>1.93</v>
      </c>
      <c r="F70">
        <f ca="1">IFERROR(__xludf.DUMMYFUNCTION("""COMPUTED_VALUE"""),100.21)</f>
        <v>100.21</v>
      </c>
      <c r="G70">
        <f ca="1">IFERROR(__xludf.DUMMYFUNCTION("""COMPUTED_VALUE"""),-64.12)</f>
        <v>-64.12</v>
      </c>
      <c r="H70">
        <f ca="1">IFERROR(__xludf.DUMMYFUNCTION("""COMPUTED_VALUE"""),54.14)</f>
        <v>54.14</v>
      </c>
      <c r="I70" t="str">
        <f ca="1">IFERROR(__xludf.DUMMYFUNCTION("""COMPUTED_VALUE"""),"")</f>
        <v/>
      </c>
    </row>
    <row r="71" spans="1:9" ht="12.75">
      <c r="A71">
        <f ca="1">IFERROR(__xludf.DUMMYFUNCTION("""COMPUTED_VALUE"""),70)</f>
        <v>70</v>
      </c>
      <c r="B71">
        <f ca="1">IFERROR(__xludf.DUMMYFUNCTION("""COMPUTED_VALUE"""),72)</f>
        <v>72</v>
      </c>
      <c r="C71" t="str">
        <f ca="1">IFERROR(__xludf.DUMMYFUNCTION("""COMPUTED_VALUE"""),"Lucas Herbert")</f>
        <v>Lucas Herbert</v>
      </c>
      <c r="D71">
        <f ca="1">IFERROR(__xludf.DUMMYFUNCTION("""COMPUTED_VALUE"""),44)</f>
        <v>44</v>
      </c>
      <c r="E71">
        <f ca="1">IFERROR(__xludf.DUMMYFUNCTION("""COMPUTED_VALUE"""),1.9)</f>
        <v>1.9</v>
      </c>
      <c r="F71">
        <f ca="1">IFERROR(__xludf.DUMMYFUNCTION("""COMPUTED_VALUE"""),83.68)</f>
        <v>83.68</v>
      </c>
      <c r="G71">
        <f ca="1">IFERROR(__xludf.DUMMYFUNCTION("""COMPUTED_VALUE"""),-36.6)</f>
        <v>-36.6</v>
      </c>
      <c r="H71">
        <f ca="1">IFERROR(__xludf.DUMMYFUNCTION("""COMPUTED_VALUE"""),82.32)</f>
        <v>82.32</v>
      </c>
      <c r="I71" t="str">
        <f ca="1">IFERROR(__xludf.DUMMYFUNCTION("""COMPUTED_VALUE"""),"")</f>
        <v/>
      </c>
    </row>
    <row r="72" spans="1:9" ht="12.75">
      <c r="A72">
        <f ca="1">IFERROR(__xludf.DUMMYFUNCTION("""COMPUTED_VALUE"""),71)</f>
        <v>71</v>
      </c>
      <c r="B72">
        <f ca="1">IFERROR(__xludf.DUMMYFUNCTION("""COMPUTED_VALUE"""),70)</f>
        <v>70</v>
      </c>
      <c r="C72" t="str">
        <f ca="1">IFERROR(__xludf.DUMMYFUNCTION("""COMPUTED_VALUE"""),"Andy Sullivan")</f>
        <v>Andy Sullivan</v>
      </c>
      <c r="D72">
        <f ca="1">IFERROR(__xludf.DUMMYFUNCTION("""COMPUTED_VALUE"""),49)</f>
        <v>49</v>
      </c>
      <c r="E72">
        <f ca="1">IFERROR(__xludf.DUMMYFUNCTION("""COMPUTED_VALUE"""),1.9)</f>
        <v>1.9</v>
      </c>
      <c r="F72">
        <f ca="1">IFERROR(__xludf.DUMMYFUNCTION("""COMPUTED_VALUE"""),93.13)</f>
        <v>93.13</v>
      </c>
      <c r="G72">
        <f ca="1">IFERROR(__xludf.DUMMYFUNCTION("""COMPUTED_VALUE"""),-34.37)</f>
        <v>-34.369999999999997</v>
      </c>
      <c r="H72">
        <f ca="1">IFERROR(__xludf.DUMMYFUNCTION("""COMPUTED_VALUE"""),68.83)</f>
        <v>68.83</v>
      </c>
      <c r="I72" t="str">
        <f ca="1">IFERROR(__xludf.DUMMYFUNCTION("""COMPUTED_VALUE"""),"")</f>
        <v/>
      </c>
    </row>
    <row r="73" spans="1:9" ht="12.75">
      <c r="A73">
        <f ca="1">IFERROR(__xludf.DUMMYFUNCTION("""COMPUTED_VALUE"""),72)</f>
        <v>72</v>
      </c>
      <c r="B73">
        <f ca="1">IFERROR(__xludf.DUMMYFUNCTION("""COMPUTED_VALUE"""),67)</f>
        <v>67</v>
      </c>
      <c r="C73" t="str">
        <f ca="1">IFERROR(__xludf.DUMMYFUNCTION("""COMPUTED_VALUE"""),"Adam Hadwin")</f>
        <v>Adam Hadwin</v>
      </c>
      <c r="D73">
        <f ca="1">IFERROR(__xludf.DUMMYFUNCTION("""COMPUTED_VALUE"""),47)</f>
        <v>47</v>
      </c>
      <c r="E73">
        <f ca="1">IFERROR(__xludf.DUMMYFUNCTION("""COMPUTED_VALUE"""),1.9)</f>
        <v>1.9</v>
      </c>
      <c r="F73">
        <f ca="1">IFERROR(__xludf.DUMMYFUNCTION("""COMPUTED_VALUE"""),89.27)</f>
        <v>89.27</v>
      </c>
      <c r="G73">
        <f ca="1">IFERROR(__xludf.DUMMYFUNCTION("""COMPUTED_VALUE"""),-61.44)</f>
        <v>-61.44</v>
      </c>
      <c r="H73">
        <f ca="1">IFERROR(__xludf.DUMMYFUNCTION("""COMPUTED_VALUE"""),35.22)</f>
        <v>35.22</v>
      </c>
      <c r="I73" t="str">
        <f ca="1">IFERROR(__xludf.DUMMYFUNCTION("""COMPUTED_VALUE"""),"")</f>
        <v/>
      </c>
    </row>
    <row r="74" spans="1:9" ht="12.75">
      <c r="A74">
        <f ca="1">IFERROR(__xludf.DUMMYFUNCTION("""COMPUTED_VALUE"""),73)</f>
        <v>73</v>
      </c>
      <c r="B74">
        <f ca="1">IFERROR(__xludf.DUMMYFUNCTION("""COMPUTED_VALUE"""),68)</f>
        <v>68</v>
      </c>
      <c r="C74" t="str">
        <f ca="1">IFERROR(__xludf.DUMMYFUNCTION("""COMPUTED_VALUE"""),"Jazz Janewattananond")</f>
        <v>Jazz Janewattananond</v>
      </c>
      <c r="D74">
        <f ca="1">IFERROR(__xludf.DUMMYFUNCTION("""COMPUTED_VALUE"""),52)</f>
        <v>52</v>
      </c>
      <c r="E74">
        <f ca="1">IFERROR(__xludf.DUMMYFUNCTION("""COMPUTED_VALUE"""),1.9)</f>
        <v>1.9</v>
      </c>
      <c r="F74">
        <f ca="1">IFERROR(__xludf.DUMMYFUNCTION("""COMPUTED_VALUE"""),98.58)</f>
        <v>98.58</v>
      </c>
      <c r="G74">
        <f ca="1">IFERROR(__xludf.DUMMYFUNCTION("""COMPUTED_VALUE"""),-68.57)</f>
        <v>-68.569999999999993</v>
      </c>
      <c r="H74">
        <f ca="1">IFERROR(__xludf.DUMMYFUNCTION("""COMPUTED_VALUE"""),27.41)</f>
        <v>27.41</v>
      </c>
      <c r="I74" t="str">
        <f ca="1">IFERROR(__xludf.DUMMYFUNCTION("""COMPUTED_VALUE"""),"")</f>
        <v/>
      </c>
    </row>
    <row r="75" spans="1:9" ht="12.75">
      <c r="A75">
        <f ca="1">IFERROR(__xludf.DUMMYFUNCTION("""COMPUTED_VALUE"""),74)</f>
        <v>74</v>
      </c>
      <c r="B75">
        <f ca="1">IFERROR(__xludf.DUMMYFUNCTION("""COMPUTED_VALUE"""),71)</f>
        <v>71</v>
      </c>
      <c r="C75" t="str">
        <f ca="1">IFERROR(__xludf.DUMMYFUNCTION("""COMPUTED_VALUE"""),"Cameron Champ")</f>
        <v>Cameron Champ</v>
      </c>
      <c r="D75">
        <f ca="1">IFERROR(__xludf.DUMMYFUNCTION("""COMPUTED_VALUE"""),52)</f>
        <v>52</v>
      </c>
      <c r="E75">
        <f ca="1">IFERROR(__xludf.DUMMYFUNCTION("""COMPUTED_VALUE"""),1.87)</f>
        <v>1.87</v>
      </c>
      <c r="F75">
        <f ca="1">IFERROR(__xludf.DUMMYFUNCTION("""COMPUTED_VALUE"""),97.06)</f>
        <v>97.06</v>
      </c>
      <c r="G75">
        <f ca="1">IFERROR(__xludf.DUMMYFUNCTION("""COMPUTED_VALUE"""),-50.2)</f>
        <v>-50.2</v>
      </c>
      <c r="H75">
        <f ca="1">IFERROR(__xludf.DUMMYFUNCTION("""COMPUTED_VALUE"""),54.81)</f>
        <v>54.81</v>
      </c>
      <c r="I75" t="str">
        <f ca="1">IFERROR(__xludf.DUMMYFUNCTION("""COMPUTED_VALUE"""),"")</f>
        <v/>
      </c>
    </row>
    <row r="76" spans="1:9" ht="12.75">
      <c r="A76">
        <f ca="1">IFERROR(__xludf.DUMMYFUNCTION("""COMPUTED_VALUE"""),75)</f>
        <v>75</v>
      </c>
      <c r="B76">
        <f ca="1">IFERROR(__xludf.DUMMYFUNCTION("""COMPUTED_VALUE"""),73)</f>
        <v>73</v>
      </c>
      <c r="C76" t="str">
        <f ca="1">IFERROR(__xludf.DUMMYFUNCTION("""COMPUTED_VALUE"""),"Shugo Imahira")</f>
        <v>Shugo Imahira</v>
      </c>
      <c r="D76">
        <f ca="1">IFERROR(__xludf.DUMMYFUNCTION("""COMPUTED_VALUE"""),52)</f>
        <v>52</v>
      </c>
      <c r="E76">
        <f ca="1">IFERROR(__xludf.DUMMYFUNCTION("""COMPUTED_VALUE"""),1.83)</f>
        <v>1.83</v>
      </c>
      <c r="F76">
        <f ca="1">IFERROR(__xludf.DUMMYFUNCTION("""COMPUTED_VALUE"""),95.07)</f>
        <v>95.07</v>
      </c>
      <c r="G76">
        <f ca="1">IFERROR(__xludf.DUMMYFUNCTION("""COMPUTED_VALUE"""),-73.88)</f>
        <v>-73.88</v>
      </c>
      <c r="H76">
        <f ca="1">IFERROR(__xludf.DUMMYFUNCTION("""COMPUTED_VALUE"""),9.18)</f>
        <v>9.18</v>
      </c>
      <c r="I76" t="str">
        <f ca="1">IFERROR(__xludf.DUMMYFUNCTION("""COMPUTED_VALUE"""),"")</f>
        <v/>
      </c>
    </row>
    <row r="77" spans="1:9" ht="12.75">
      <c r="A77">
        <f ca="1">IFERROR(__xludf.DUMMYFUNCTION("""COMPUTED_VALUE"""),76)</f>
        <v>76</v>
      </c>
      <c r="B77">
        <f ca="1">IFERROR(__xludf.DUMMYFUNCTION("""COMPUTED_VALUE"""),79)</f>
        <v>79</v>
      </c>
      <c r="C77" t="str">
        <f ca="1">IFERROR(__xludf.DUMMYFUNCTION("""COMPUTED_VALUE"""),"Adam Long")</f>
        <v>Adam Long</v>
      </c>
      <c r="D77">
        <f ca="1">IFERROR(__xludf.DUMMYFUNCTION("""COMPUTED_VALUE"""),52)</f>
        <v>52</v>
      </c>
      <c r="E77">
        <f ca="1">IFERROR(__xludf.DUMMYFUNCTION("""COMPUTED_VALUE"""),1.82)</f>
        <v>1.82</v>
      </c>
      <c r="F77">
        <f ca="1">IFERROR(__xludf.DUMMYFUNCTION("""COMPUTED_VALUE"""),94.48)</f>
        <v>94.48</v>
      </c>
      <c r="G77">
        <f ca="1">IFERROR(__xludf.DUMMYFUNCTION("""COMPUTED_VALUE"""),-40.04)</f>
        <v>-40.04</v>
      </c>
      <c r="H77">
        <f ca="1">IFERROR(__xludf.DUMMYFUNCTION("""COMPUTED_VALUE"""),72.69)</f>
        <v>72.69</v>
      </c>
      <c r="I77" t="str">
        <f ca="1">IFERROR(__xludf.DUMMYFUNCTION("""COMPUTED_VALUE"""),"")</f>
        <v/>
      </c>
    </row>
    <row r="78" spans="1:9" ht="12.75">
      <c r="A78">
        <f ca="1">IFERROR(__xludf.DUMMYFUNCTION("""COMPUTED_VALUE"""),77)</f>
        <v>77</v>
      </c>
      <c r="B78">
        <f ca="1">IFERROR(__xludf.DUMMYFUNCTION("""COMPUTED_VALUE"""),74)</f>
        <v>74</v>
      </c>
      <c r="C78" t="str">
        <f ca="1">IFERROR(__xludf.DUMMYFUNCTION("""COMPUTED_VALUE"""),"Rasmus Hojgaard")</f>
        <v>Rasmus Hojgaard</v>
      </c>
      <c r="D78">
        <f ca="1">IFERROR(__xludf.DUMMYFUNCTION("""COMPUTED_VALUE"""),44)</f>
        <v>44</v>
      </c>
      <c r="E78">
        <f ca="1">IFERROR(__xludf.DUMMYFUNCTION("""COMPUTED_VALUE"""),1.77)</f>
        <v>1.77</v>
      </c>
      <c r="F78">
        <f ca="1">IFERROR(__xludf.DUMMYFUNCTION("""COMPUTED_VALUE"""),77.92)</f>
        <v>77.92</v>
      </c>
      <c r="G78">
        <f ca="1">IFERROR(__xludf.DUMMYFUNCTION("""COMPUTED_VALUE"""),-12.69)</f>
        <v>-12.69</v>
      </c>
      <c r="H78">
        <f ca="1">IFERROR(__xludf.DUMMYFUNCTION("""COMPUTED_VALUE"""),56.28)</f>
        <v>56.28</v>
      </c>
      <c r="I78" t="str">
        <f ca="1">IFERROR(__xludf.DUMMYFUNCTION("""COMPUTED_VALUE"""),"")</f>
        <v/>
      </c>
    </row>
    <row r="79" spans="1:9" ht="12.75">
      <c r="A79">
        <f ca="1">IFERROR(__xludf.DUMMYFUNCTION("""COMPUTED_VALUE"""),77)</f>
        <v>77</v>
      </c>
      <c r="B79">
        <f ca="1">IFERROR(__xludf.DUMMYFUNCTION("""COMPUTED_VALUE"""),82)</f>
        <v>82</v>
      </c>
      <c r="C79" t="str">
        <f ca="1">IFERROR(__xludf.DUMMYFUNCTION("""COMPUTED_VALUE"""),"Thomas Detry")</f>
        <v>Thomas Detry</v>
      </c>
      <c r="D79">
        <f ca="1">IFERROR(__xludf.DUMMYFUNCTION("""COMPUTED_VALUE"""),52)</f>
        <v>52</v>
      </c>
      <c r="E79">
        <f ca="1">IFERROR(__xludf.DUMMYFUNCTION("""COMPUTED_VALUE"""),1.77)</f>
        <v>1.77</v>
      </c>
      <c r="F79">
        <f ca="1">IFERROR(__xludf.DUMMYFUNCTION("""COMPUTED_VALUE"""),92.09)</f>
        <v>92.09</v>
      </c>
      <c r="G79">
        <f ca="1">IFERROR(__xludf.DUMMYFUNCTION("""COMPUTED_VALUE"""),-37.17)</f>
        <v>-37.17</v>
      </c>
      <c r="H79">
        <f ca="1">IFERROR(__xludf.DUMMYFUNCTION("""COMPUTED_VALUE"""),59.14)</f>
        <v>59.14</v>
      </c>
      <c r="I79" t="str">
        <f ca="1">IFERROR(__xludf.DUMMYFUNCTION("""COMPUTED_VALUE"""),"")</f>
        <v/>
      </c>
    </row>
    <row r="80" spans="1:9" ht="12.75">
      <c r="A80">
        <f ca="1">IFERROR(__xludf.DUMMYFUNCTION("""COMPUTED_VALUE"""),79)</f>
        <v>79</v>
      </c>
      <c r="B80">
        <f ca="1">IFERROR(__xludf.DUMMYFUNCTION("""COMPUTED_VALUE"""),76)</f>
        <v>76</v>
      </c>
      <c r="C80" t="str">
        <f ca="1">IFERROR(__xludf.DUMMYFUNCTION("""COMPUTED_VALUE"""),"Doc Redman")</f>
        <v>Doc Redman</v>
      </c>
      <c r="D80">
        <f ca="1">IFERROR(__xludf.DUMMYFUNCTION("""COMPUTED_VALUE"""),42)</f>
        <v>42</v>
      </c>
      <c r="E80">
        <f ca="1">IFERROR(__xludf.DUMMYFUNCTION("""COMPUTED_VALUE"""),1.75)</f>
        <v>1.75</v>
      </c>
      <c r="F80">
        <f ca="1">IFERROR(__xludf.DUMMYFUNCTION("""COMPUTED_VALUE"""),73.53)</f>
        <v>73.53</v>
      </c>
      <c r="G80">
        <f ca="1">IFERROR(__xludf.DUMMYFUNCTION("""COMPUTED_VALUE"""),-19.3)</f>
        <v>-19.3</v>
      </c>
      <c r="H80">
        <f ca="1">IFERROR(__xludf.DUMMYFUNCTION("""COMPUTED_VALUE"""),51.43)</f>
        <v>51.43</v>
      </c>
      <c r="I80" t="str">
        <f ca="1">IFERROR(__xludf.DUMMYFUNCTION("""COMPUTED_VALUE"""),"")</f>
        <v/>
      </c>
    </row>
    <row r="81" spans="1:9" ht="12.75">
      <c r="A81">
        <f ca="1">IFERROR(__xludf.DUMMYFUNCTION("""COMPUTED_VALUE"""),80)</f>
        <v>80</v>
      </c>
      <c r="B81">
        <f ca="1">IFERROR(__xludf.DUMMYFUNCTION("""COMPUTED_VALUE"""),75)</f>
        <v>75</v>
      </c>
      <c r="C81" t="str">
        <f ca="1">IFERROR(__xludf.DUMMYFUNCTION("""COMPUTED_VALUE"""),"Jordan Spieth")</f>
        <v>Jordan Spieth</v>
      </c>
      <c r="D81">
        <f ca="1">IFERROR(__xludf.DUMMYFUNCTION("""COMPUTED_VALUE"""),49)</f>
        <v>49</v>
      </c>
      <c r="E81">
        <f ca="1">IFERROR(__xludf.DUMMYFUNCTION("""COMPUTED_VALUE"""),1.75)</f>
        <v>1.75</v>
      </c>
      <c r="F81">
        <f ca="1">IFERROR(__xludf.DUMMYFUNCTION("""COMPUTED_VALUE"""),85.76)</f>
        <v>85.76</v>
      </c>
      <c r="G81">
        <f ca="1">IFERROR(__xludf.DUMMYFUNCTION("""COMPUTED_VALUE"""),-67.54)</f>
        <v>-67.540000000000006</v>
      </c>
      <c r="H81">
        <f ca="1">IFERROR(__xludf.DUMMYFUNCTION("""COMPUTED_VALUE"""),34.31)</f>
        <v>34.31</v>
      </c>
      <c r="I81" t="str">
        <f ca="1">IFERROR(__xludf.DUMMYFUNCTION("""COMPUTED_VALUE"""),"")</f>
        <v/>
      </c>
    </row>
    <row r="82" spans="1:9" ht="12.75">
      <c r="A82">
        <f ca="1">IFERROR(__xludf.DUMMYFUNCTION("""COMPUTED_VALUE"""),81)</f>
        <v>81</v>
      </c>
      <c r="B82">
        <f ca="1">IFERROR(__xludf.DUMMYFUNCTION("""COMPUTED_VALUE"""),77)</f>
        <v>77</v>
      </c>
      <c r="C82" t="str">
        <f ca="1">IFERROR(__xludf.DUMMYFUNCTION("""COMPUTED_VALUE"""),"Sung Kang")</f>
        <v>Sung Kang</v>
      </c>
      <c r="D82">
        <f ca="1">IFERROR(__xludf.DUMMYFUNCTION("""COMPUTED_VALUE"""),52)</f>
        <v>52</v>
      </c>
      <c r="E82">
        <f ca="1">IFERROR(__xludf.DUMMYFUNCTION("""COMPUTED_VALUE"""),1.72)</f>
        <v>1.72</v>
      </c>
      <c r="F82">
        <f ca="1">IFERROR(__xludf.DUMMYFUNCTION("""COMPUTED_VALUE"""),89.54)</f>
        <v>89.54</v>
      </c>
      <c r="G82">
        <f ca="1">IFERROR(__xludf.DUMMYFUNCTION("""COMPUTED_VALUE"""),-50.92)</f>
        <v>-50.92</v>
      </c>
      <c r="H82">
        <f ca="1">IFERROR(__xludf.DUMMYFUNCTION("""COMPUTED_VALUE"""),54.39)</f>
        <v>54.39</v>
      </c>
      <c r="I82" t="str">
        <f ca="1">IFERROR(__xludf.DUMMYFUNCTION("""COMPUTED_VALUE"""),"")</f>
        <v/>
      </c>
    </row>
    <row r="83" spans="1:9" ht="12.75">
      <c r="A83">
        <f ca="1">IFERROR(__xludf.DUMMYFUNCTION("""COMPUTED_VALUE"""),82)</f>
        <v>82</v>
      </c>
      <c r="B83">
        <f ca="1">IFERROR(__xludf.DUMMYFUNCTION("""COMPUTED_VALUE"""),78)</f>
        <v>78</v>
      </c>
      <c r="C83" t="str">
        <f ca="1">IFERROR(__xludf.DUMMYFUNCTION("""COMPUTED_VALUE"""),"Thomas Pieters")</f>
        <v>Thomas Pieters</v>
      </c>
      <c r="D83">
        <f ca="1">IFERROR(__xludf.DUMMYFUNCTION("""COMPUTED_VALUE"""),44)</f>
        <v>44</v>
      </c>
      <c r="E83">
        <f ca="1">IFERROR(__xludf.DUMMYFUNCTION("""COMPUTED_VALUE"""),1.7)</f>
        <v>1.7</v>
      </c>
      <c r="F83">
        <f ca="1">IFERROR(__xludf.DUMMYFUNCTION("""COMPUTED_VALUE"""),74.81)</f>
        <v>74.81</v>
      </c>
      <c r="G83">
        <f ca="1">IFERROR(__xludf.DUMMYFUNCTION("""COMPUTED_VALUE"""),-50.5)</f>
        <v>-50.5</v>
      </c>
      <c r="H83">
        <f ca="1">IFERROR(__xludf.DUMMYFUNCTION("""COMPUTED_VALUE"""),34.98)</f>
        <v>34.979999999999997</v>
      </c>
      <c r="I83" t="str">
        <f ca="1">IFERROR(__xludf.DUMMYFUNCTION("""COMPUTED_VALUE"""),"")</f>
        <v/>
      </c>
    </row>
    <row r="84" spans="1:9" ht="12.75">
      <c r="A84">
        <f ca="1">IFERROR(__xludf.DUMMYFUNCTION("""COMPUTED_VALUE"""),83)</f>
        <v>83</v>
      </c>
      <c r="B84">
        <f ca="1">IFERROR(__xludf.DUMMYFUNCTION("""COMPUTED_VALUE"""),80)</f>
        <v>80</v>
      </c>
      <c r="C84" t="str">
        <f ca="1">IFERROR(__xludf.DUMMYFUNCTION("""COMPUTED_VALUE"""),"Aaron Rai")</f>
        <v>Aaron Rai</v>
      </c>
      <c r="D84">
        <f ca="1">IFERROR(__xludf.DUMMYFUNCTION("""COMPUTED_VALUE"""),52)</f>
        <v>52</v>
      </c>
      <c r="E84">
        <f ca="1">IFERROR(__xludf.DUMMYFUNCTION("""COMPUTED_VALUE"""),1.7)</f>
        <v>1.7</v>
      </c>
      <c r="F84">
        <f ca="1">IFERROR(__xludf.DUMMYFUNCTION("""COMPUTED_VALUE"""),88.4)</f>
        <v>88.4</v>
      </c>
      <c r="G84">
        <f ca="1">IFERROR(__xludf.DUMMYFUNCTION("""COMPUTED_VALUE"""),-29.17)</f>
        <v>-29.17</v>
      </c>
      <c r="H84">
        <f ca="1">IFERROR(__xludf.DUMMYFUNCTION("""COMPUTED_VALUE"""),68.58)</f>
        <v>68.58</v>
      </c>
      <c r="I84" t="str">
        <f ca="1">IFERROR(__xludf.DUMMYFUNCTION("""COMPUTED_VALUE"""),"")</f>
        <v/>
      </c>
    </row>
    <row r="85" spans="1:9" ht="12.75">
      <c r="A85">
        <f ca="1">IFERROR(__xludf.DUMMYFUNCTION("""COMPUTED_VALUE"""),84)</f>
        <v>84</v>
      </c>
      <c r="B85">
        <f ca="1">IFERROR(__xludf.DUMMYFUNCTION("""COMPUTED_VALUE"""),83)</f>
        <v>83</v>
      </c>
      <c r="C85" t="str">
        <f ca="1">IFERROR(__xludf.DUMMYFUNCTION("""COMPUTED_VALUE"""),"Martin Kaymer")</f>
        <v>Martin Kaymer</v>
      </c>
      <c r="D85">
        <f ca="1">IFERROR(__xludf.DUMMYFUNCTION("""COMPUTED_VALUE"""),49)</f>
        <v>49</v>
      </c>
      <c r="E85">
        <f ca="1">IFERROR(__xludf.DUMMYFUNCTION("""COMPUTED_VALUE"""),1.7)</f>
        <v>1.7</v>
      </c>
      <c r="F85">
        <f ca="1">IFERROR(__xludf.DUMMYFUNCTION("""COMPUTED_VALUE"""),83.11)</f>
        <v>83.11</v>
      </c>
      <c r="G85">
        <f ca="1">IFERROR(__xludf.DUMMYFUNCTION("""COMPUTED_VALUE"""),-37.48)</f>
        <v>-37.479999999999997</v>
      </c>
      <c r="H85">
        <f ca="1">IFERROR(__xludf.DUMMYFUNCTION("""COMPUTED_VALUE"""),53.78)</f>
        <v>53.78</v>
      </c>
      <c r="I85" t="str">
        <f ca="1">IFERROR(__xludf.DUMMYFUNCTION("""COMPUTED_VALUE"""),"")</f>
        <v/>
      </c>
    </row>
    <row r="86" spans="1:9" ht="12.75">
      <c r="A86">
        <f ca="1">IFERROR(__xludf.DUMMYFUNCTION("""COMPUTED_VALUE"""),85)</f>
        <v>85</v>
      </c>
      <c r="B86">
        <f ca="1">IFERROR(__xludf.DUMMYFUNCTION("""COMPUTED_VALUE"""),87)</f>
        <v>87</v>
      </c>
      <c r="C86" t="str">
        <f ca="1">IFERROR(__xludf.DUMMYFUNCTION("""COMPUTED_VALUE"""),"Francesco Molinari")</f>
        <v>Francesco Molinari</v>
      </c>
      <c r="D86">
        <f ca="1">IFERROR(__xludf.DUMMYFUNCTION("""COMPUTED_VALUE"""),40)</f>
        <v>40</v>
      </c>
      <c r="E86">
        <f ca="1">IFERROR(__xludf.DUMMYFUNCTION("""COMPUTED_VALUE"""),1.69)</f>
        <v>1.69</v>
      </c>
      <c r="F86">
        <f ca="1">IFERROR(__xludf.DUMMYFUNCTION("""COMPUTED_VALUE"""),67.7)</f>
        <v>67.7</v>
      </c>
      <c r="G86">
        <f ca="1">IFERROR(__xludf.DUMMYFUNCTION("""COMPUTED_VALUE"""),-139.69)</f>
        <v>-139.69</v>
      </c>
      <c r="H86">
        <f ca="1">IFERROR(__xludf.DUMMYFUNCTION("""COMPUTED_VALUE"""),5.66)</f>
        <v>5.66</v>
      </c>
      <c r="I86" t="str">
        <f ca="1">IFERROR(__xludf.DUMMYFUNCTION("""COMPUTED_VALUE"""),"")</f>
        <v/>
      </c>
    </row>
    <row r="87" spans="1:9" ht="12.75">
      <c r="A87">
        <f ca="1">IFERROR(__xludf.DUMMYFUNCTION("""COMPUTED_VALUE"""),86)</f>
        <v>86</v>
      </c>
      <c r="B87">
        <f ca="1">IFERROR(__xludf.DUMMYFUNCTION("""COMPUTED_VALUE"""),108)</f>
        <v>108</v>
      </c>
      <c r="C87" t="str">
        <f ca="1">IFERROR(__xludf.DUMMYFUNCTION("""COMPUTED_VALUE"""),"Talor Gooch")</f>
        <v>Talor Gooch</v>
      </c>
      <c r="D87">
        <f ca="1">IFERROR(__xludf.DUMMYFUNCTION("""COMPUTED_VALUE"""),52)</f>
        <v>52</v>
      </c>
      <c r="E87">
        <f ca="1">IFERROR(__xludf.DUMMYFUNCTION("""COMPUTED_VALUE"""),1.69)</f>
        <v>1.69</v>
      </c>
      <c r="F87">
        <f ca="1">IFERROR(__xludf.DUMMYFUNCTION("""COMPUTED_VALUE"""),87.72)</f>
        <v>87.72</v>
      </c>
      <c r="G87">
        <f ca="1">IFERROR(__xludf.DUMMYFUNCTION("""COMPUTED_VALUE"""),-25.7)</f>
        <v>-25.7</v>
      </c>
      <c r="H87">
        <f ca="1">IFERROR(__xludf.DUMMYFUNCTION("""COMPUTED_VALUE"""),73.74)</f>
        <v>73.739999999999995</v>
      </c>
      <c r="I87" t="str">
        <f ca="1">IFERROR(__xludf.DUMMYFUNCTION("""COMPUTED_VALUE"""),"")</f>
        <v/>
      </c>
    </row>
    <row r="88" spans="1:9" ht="12.75">
      <c r="A88">
        <f ca="1">IFERROR(__xludf.DUMMYFUNCTION("""COMPUTED_VALUE"""),87)</f>
        <v>87</v>
      </c>
      <c r="B88">
        <f ca="1">IFERROR(__xludf.DUMMYFUNCTION("""COMPUTED_VALUE"""),86)</f>
        <v>86</v>
      </c>
      <c r="C88" t="str">
        <f ca="1">IFERROR(__xludf.DUMMYFUNCTION("""COMPUTED_VALUE"""),"Sami Valimaki")</f>
        <v>Sami Valimaki</v>
      </c>
      <c r="D88">
        <f ca="1">IFERROR(__xludf.DUMMYFUNCTION("""COMPUTED_VALUE"""),40)</f>
        <v>40</v>
      </c>
      <c r="E88">
        <f ca="1">IFERROR(__xludf.DUMMYFUNCTION("""COMPUTED_VALUE"""),1.68)</f>
        <v>1.68</v>
      </c>
      <c r="F88">
        <f ca="1">IFERROR(__xludf.DUMMYFUNCTION("""COMPUTED_VALUE"""),67.26)</f>
        <v>67.260000000000005</v>
      </c>
      <c r="G88">
        <f ca="1">IFERROR(__xludf.DUMMYFUNCTION("""COMPUTED_VALUE"""),-10.8)</f>
        <v>-10.8</v>
      </c>
      <c r="H88">
        <f ca="1">IFERROR(__xludf.DUMMYFUNCTION("""COMPUTED_VALUE"""),60.66)</f>
        <v>60.66</v>
      </c>
      <c r="I88" t="str">
        <f ca="1">IFERROR(__xludf.DUMMYFUNCTION("""COMPUTED_VALUE"""),"")</f>
        <v/>
      </c>
    </row>
    <row r="89" spans="1:9" ht="12.75">
      <c r="A89">
        <f ca="1">IFERROR(__xludf.DUMMYFUNCTION("""COMPUTED_VALUE"""),88)</f>
        <v>88</v>
      </c>
      <c r="B89">
        <f ca="1">IFERROR(__xludf.DUMMYFUNCTION("""COMPUTED_VALUE"""),81)</f>
        <v>81</v>
      </c>
      <c r="C89" t="str">
        <f ca="1">IFERROR(__xludf.DUMMYFUNCTION("""COMPUTED_VALUE"""),"Rafa Cabrera Bello")</f>
        <v>Rafa Cabrera Bello</v>
      </c>
      <c r="D89">
        <f ca="1">IFERROR(__xludf.DUMMYFUNCTION("""COMPUTED_VALUE"""),52)</f>
        <v>52</v>
      </c>
      <c r="E89">
        <f ca="1">IFERROR(__xludf.DUMMYFUNCTION("""COMPUTED_VALUE"""),1.66)</f>
        <v>1.66</v>
      </c>
      <c r="F89">
        <f ca="1">IFERROR(__xludf.DUMMYFUNCTION("""COMPUTED_VALUE"""),86.33)</f>
        <v>86.33</v>
      </c>
      <c r="G89">
        <f ca="1">IFERROR(__xludf.DUMMYFUNCTION("""COMPUTED_VALUE"""),-83.49)</f>
        <v>-83.49</v>
      </c>
      <c r="H89">
        <f ca="1">IFERROR(__xludf.DUMMYFUNCTION("""COMPUTED_VALUE"""),31.14)</f>
        <v>31.14</v>
      </c>
      <c r="I89" t="str">
        <f ca="1">IFERROR(__xludf.DUMMYFUNCTION("""COMPUTED_VALUE"""),"")</f>
        <v/>
      </c>
    </row>
    <row r="90" spans="1:9" ht="12.75">
      <c r="A90">
        <f ca="1">IFERROR(__xludf.DUMMYFUNCTION("""COMPUTED_VALUE"""),89)</f>
        <v>89</v>
      </c>
      <c r="B90">
        <f ca="1">IFERROR(__xludf.DUMMYFUNCTION("""COMPUTED_VALUE"""),84)</f>
        <v>84</v>
      </c>
      <c r="C90" t="str">
        <f ca="1">IFERROR(__xludf.DUMMYFUNCTION("""COMPUTED_VALUE"""),"Brandt Snedeker")</f>
        <v>Brandt Snedeker</v>
      </c>
      <c r="D90">
        <f ca="1">IFERROR(__xludf.DUMMYFUNCTION("""COMPUTED_VALUE"""),51)</f>
        <v>51</v>
      </c>
      <c r="E90">
        <f ca="1">IFERROR(__xludf.DUMMYFUNCTION("""COMPUTED_VALUE"""),1.65)</f>
        <v>1.65</v>
      </c>
      <c r="F90">
        <f ca="1">IFERROR(__xludf.DUMMYFUNCTION("""COMPUTED_VALUE"""),84.33)</f>
        <v>84.33</v>
      </c>
      <c r="G90">
        <f ca="1">IFERROR(__xludf.DUMMYFUNCTION("""COMPUTED_VALUE"""),-75.69)</f>
        <v>-75.69</v>
      </c>
      <c r="H90">
        <f ca="1">IFERROR(__xludf.DUMMYFUNCTION("""COMPUTED_VALUE"""),38.04)</f>
        <v>38.04</v>
      </c>
      <c r="I90" t="str">
        <f ca="1">IFERROR(__xludf.DUMMYFUNCTION("""COMPUTED_VALUE"""),"")</f>
        <v/>
      </c>
    </row>
    <row r="91" spans="1:9" ht="12.75">
      <c r="A91">
        <f ca="1">IFERROR(__xludf.DUMMYFUNCTION("""COMPUTED_VALUE"""),90)</f>
        <v>90</v>
      </c>
      <c r="B91">
        <f ca="1">IFERROR(__xludf.DUMMYFUNCTION("""COMPUTED_VALUE"""),85)</f>
        <v>85</v>
      </c>
      <c r="C91" t="str">
        <f ca="1">IFERROR(__xludf.DUMMYFUNCTION("""COMPUTED_VALUE"""),"Martin Laird")</f>
        <v>Martin Laird</v>
      </c>
      <c r="D91">
        <f ca="1">IFERROR(__xludf.DUMMYFUNCTION("""COMPUTED_VALUE"""),44)</f>
        <v>44</v>
      </c>
      <c r="E91">
        <f ca="1">IFERROR(__xludf.DUMMYFUNCTION("""COMPUTED_VALUE"""),1.65)</f>
        <v>1.65</v>
      </c>
      <c r="F91">
        <f ca="1">IFERROR(__xludf.DUMMYFUNCTION("""COMPUTED_VALUE"""),72.39)</f>
        <v>72.39</v>
      </c>
      <c r="G91">
        <f ca="1">IFERROR(__xludf.DUMMYFUNCTION("""COMPUTED_VALUE"""),-15.87)</f>
        <v>-15.87</v>
      </c>
      <c r="H91">
        <f ca="1">IFERROR(__xludf.DUMMYFUNCTION("""COMPUTED_VALUE"""),61.84)</f>
        <v>61.84</v>
      </c>
      <c r="I91" t="str">
        <f ca="1">IFERROR(__xludf.DUMMYFUNCTION("""COMPUTED_VALUE"""),"")</f>
        <v/>
      </c>
    </row>
    <row r="92" spans="1:9" ht="12.75">
      <c r="A92">
        <f ca="1">IFERROR(__xludf.DUMMYFUNCTION("""COMPUTED_VALUE"""),91)</f>
        <v>91</v>
      </c>
      <c r="B92">
        <f ca="1">IFERROR(__xludf.DUMMYFUNCTION("""COMPUTED_VALUE"""),92)</f>
        <v>92</v>
      </c>
      <c r="C92" t="str">
        <f ca="1">IFERROR(__xludf.DUMMYFUNCTION("""COMPUTED_VALUE"""),"Brian Harman")</f>
        <v>Brian Harman</v>
      </c>
      <c r="D92">
        <f ca="1">IFERROR(__xludf.DUMMYFUNCTION("""COMPUTED_VALUE"""),52)</f>
        <v>52</v>
      </c>
      <c r="E92">
        <f ca="1">IFERROR(__xludf.DUMMYFUNCTION("""COMPUTED_VALUE"""),1.63)</f>
        <v>1.63</v>
      </c>
      <c r="F92">
        <f ca="1">IFERROR(__xludf.DUMMYFUNCTION("""COMPUTED_VALUE"""),84.93)</f>
        <v>84.93</v>
      </c>
      <c r="G92">
        <f ca="1">IFERROR(__xludf.DUMMYFUNCTION("""COMPUTED_VALUE"""),-37.36)</f>
        <v>-37.36</v>
      </c>
      <c r="H92">
        <f ca="1">IFERROR(__xludf.DUMMYFUNCTION("""COMPUTED_VALUE"""),55.27)</f>
        <v>55.27</v>
      </c>
      <c r="I92" t="str">
        <f ca="1">IFERROR(__xludf.DUMMYFUNCTION("""COMPUTED_VALUE"""),"")</f>
        <v/>
      </c>
    </row>
    <row r="93" spans="1:9" ht="12.75">
      <c r="A93">
        <f ca="1">IFERROR(__xludf.DUMMYFUNCTION("""COMPUTED_VALUE"""),92)</f>
        <v>92</v>
      </c>
      <c r="B93">
        <f ca="1">IFERROR(__xludf.DUMMYFUNCTION("""COMPUTED_VALUE"""),89)</f>
        <v>89</v>
      </c>
      <c r="C93" t="str">
        <f ca="1">IFERROR(__xludf.DUMMYFUNCTION("""COMPUTED_VALUE"""),"George Coetzee")</f>
        <v>George Coetzee</v>
      </c>
      <c r="D93">
        <f ca="1">IFERROR(__xludf.DUMMYFUNCTION("""COMPUTED_VALUE"""),52)</f>
        <v>52</v>
      </c>
      <c r="E93">
        <f ca="1">IFERROR(__xludf.DUMMYFUNCTION("""COMPUTED_VALUE"""),1.61)</f>
        <v>1.61</v>
      </c>
      <c r="F93">
        <f ca="1">IFERROR(__xludf.DUMMYFUNCTION("""COMPUTED_VALUE"""),83.67)</f>
        <v>83.67</v>
      </c>
      <c r="G93">
        <f ca="1">IFERROR(__xludf.DUMMYFUNCTION("""COMPUTED_VALUE"""),-24.71)</f>
        <v>-24.71</v>
      </c>
      <c r="H93">
        <f ca="1">IFERROR(__xludf.DUMMYFUNCTION("""COMPUTED_VALUE"""),63.21)</f>
        <v>63.21</v>
      </c>
      <c r="I93" t="str">
        <f ca="1">IFERROR(__xludf.DUMMYFUNCTION("""COMPUTED_VALUE"""),"")</f>
        <v/>
      </c>
    </row>
    <row r="94" spans="1:9" ht="12.75">
      <c r="A94">
        <f ca="1">IFERROR(__xludf.DUMMYFUNCTION("""COMPUTED_VALUE"""),93)</f>
        <v>93</v>
      </c>
      <c r="B94">
        <f ca="1">IFERROR(__xludf.DUMMYFUNCTION("""COMPUTED_VALUE"""),88)</f>
        <v>88</v>
      </c>
      <c r="C94" t="str">
        <f ca="1">IFERROR(__xludf.DUMMYFUNCTION("""COMPUTED_VALUE"""),"Si Woo Kim")</f>
        <v>Si Woo Kim</v>
      </c>
      <c r="D94">
        <f ca="1">IFERROR(__xludf.DUMMYFUNCTION("""COMPUTED_VALUE"""),52)</f>
        <v>52</v>
      </c>
      <c r="E94">
        <f ca="1">IFERROR(__xludf.DUMMYFUNCTION("""COMPUTED_VALUE"""),1.6)</f>
        <v>1.6</v>
      </c>
      <c r="F94">
        <f ca="1">IFERROR(__xludf.DUMMYFUNCTION("""COMPUTED_VALUE"""),83.16)</f>
        <v>83.16</v>
      </c>
      <c r="G94">
        <f ca="1">IFERROR(__xludf.DUMMYFUNCTION("""COMPUTED_VALUE"""),-50.4)</f>
        <v>-50.4</v>
      </c>
      <c r="H94">
        <f ca="1">IFERROR(__xludf.DUMMYFUNCTION("""COMPUTED_VALUE"""),54.23)</f>
        <v>54.23</v>
      </c>
      <c r="I94" t="str">
        <f ca="1">IFERROR(__xludf.DUMMYFUNCTION("""COMPUTED_VALUE"""),"")</f>
        <v/>
      </c>
    </row>
    <row r="95" spans="1:9" ht="12.75">
      <c r="A95">
        <f ca="1">IFERROR(__xludf.DUMMYFUNCTION("""COMPUTED_VALUE"""),94)</f>
        <v>94</v>
      </c>
      <c r="B95">
        <f ca="1">IFERROR(__xludf.DUMMYFUNCTION("""COMPUTED_VALUE"""),90)</f>
        <v>90</v>
      </c>
      <c r="C95" t="str">
        <f ca="1">IFERROR(__xludf.DUMMYFUNCTION("""COMPUTED_VALUE"""),"Alex Noren")</f>
        <v>Alex Noren</v>
      </c>
      <c r="D95">
        <f ca="1">IFERROR(__xludf.DUMMYFUNCTION("""COMPUTED_VALUE"""),52)</f>
        <v>52</v>
      </c>
      <c r="E95">
        <f ca="1">IFERROR(__xludf.DUMMYFUNCTION("""COMPUTED_VALUE"""),1.6)</f>
        <v>1.6</v>
      </c>
      <c r="F95">
        <f ca="1">IFERROR(__xludf.DUMMYFUNCTION("""COMPUTED_VALUE"""),83.13)</f>
        <v>83.13</v>
      </c>
      <c r="G95">
        <f ca="1">IFERROR(__xludf.DUMMYFUNCTION("""COMPUTED_VALUE"""),-64.39)</f>
        <v>-64.39</v>
      </c>
      <c r="H95">
        <f ca="1">IFERROR(__xludf.DUMMYFUNCTION("""COMPUTED_VALUE"""),54.01)</f>
        <v>54.01</v>
      </c>
      <c r="I95" t="str">
        <f ca="1">IFERROR(__xludf.DUMMYFUNCTION("""COMPUTED_VALUE"""),"")</f>
        <v/>
      </c>
    </row>
    <row r="96" spans="1:9" ht="12.75">
      <c r="A96">
        <f ca="1">IFERROR(__xludf.DUMMYFUNCTION("""COMPUTED_VALUE"""),95)</f>
        <v>95</v>
      </c>
      <c r="B96">
        <f ca="1">IFERROR(__xludf.DUMMYFUNCTION("""COMPUTED_VALUE"""),93)</f>
        <v>93</v>
      </c>
      <c r="C96" t="str">
        <f ca="1">IFERROR(__xludf.DUMMYFUNCTION("""COMPUTED_VALUE"""),"John Catlin")</f>
        <v>John Catlin</v>
      </c>
      <c r="D96">
        <f ca="1">IFERROR(__xludf.DUMMYFUNCTION("""COMPUTED_VALUE"""),52)</f>
        <v>52</v>
      </c>
      <c r="E96">
        <f ca="1">IFERROR(__xludf.DUMMYFUNCTION("""COMPUTED_VALUE"""),1.58)</f>
        <v>1.58</v>
      </c>
      <c r="F96">
        <f ca="1">IFERROR(__xludf.DUMMYFUNCTION("""COMPUTED_VALUE"""),82.24)</f>
        <v>82.24</v>
      </c>
      <c r="G96">
        <f ca="1">IFERROR(__xludf.DUMMYFUNCTION("""COMPUTED_VALUE"""),-28.52)</f>
        <v>-28.52</v>
      </c>
      <c r="H96">
        <f ca="1">IFERROR(__xludf.DUMMYFUNCTION("""COMPUTED_VALUE"""),66.65)</f>
        <v>66.650000000000006</v>
      </c>
      <c r="I96" t="str">
        <f ca="1">IFERROR(__xludf.DUMMYFUNCTION("""COMPUTED_VALUE"""),"")</f>
        <v/>
      </c>
    </row>
    <row r="97" spans="1:9" ht="12.75">
      <c r="A97">
        <f ca="1">IFERROR(__xludf.DUMMYFUNCTION("""COMPUTED_VALUE"""),96)</f>
        <v>96</v>
      </c>
      <c r="B97">
        <f ca="1">IFERROR(__xludf.DUMMYFUNCTION("""COMPUTED_VALUE"""),94)</f>
        <v>94</v>
      </c>
      <c r="C97" t="str">
        <f ca="1">IFERROR(__xludf.DUMMYFUNCTION("""COMPUTED_VALUE"""),"Garrick Higgo")</f>
        <v>Garrick Higgo</v>
      </c>
      <c r="D97">
        <f ca="1">IFERROR(__xludf.DUMMYFUNCTION("""COMPUTED_VALUE"""),40)</f>
        <v>40</v>
      </c>
      <c r="E97">
        <f ca="1">IFERROR(__xludf.DUMMYFUNCTION("""COMPUTED_VALUE"""),1.55)</f>
        <v>1.55</v>
      </c>
      <c r="F97">
        <f ca="1">IFERROR(__xludf.DUMMYFUNCTION("""COMPUTED_VALUE"""),61.83)</f>
        <v>61.83</v>
      </c>
      <c r="G97">
        <f ca="1">IFERROR(__xludf.DUMMYFUNCTION("""COMPUTED_VALUE"""),-9.94)</f>
        <v>-9.94</v>
      </c>
      <c r="H97">
        <f ca="1">IFERROR(__xludf.DUMMYFUNCTION("""COMPUTED_VALUE"""),57.35)</f>
        <v>57.35</v>
      </c>
      <c r="I97" t="str">
        <f ca="1">IFERROR(__xludf.DUMMYFUNCTION("""COMPUTED_VALUE"""),"")</f>
        <v/>
      </c>
    </row>
    <row r="98" spans="1:9" ht="12.75">
      <c r="A98">
        <f ca="1">IFERROR(__xludf.DUMMYFUNCTION("""COMPUTED_VALUE"""),97)</f>
        <v>97</v>
      </c>
      <c r="B98">
        <f ca="1">IFERROR(__xludf.DUMMYFUNCTION("""COMPUTED_VALUE"""),96)</f>
        <v>96</v>
      </c>
      <c r="C98" t="str">
        <f ca="1">IFERROR(__xludf.DUMMYFUNCTION("""COMPUTED_VALUE"""),"Max Homa")</f>
        <v>Max Homa</v>
      </c>
      <c r="D98">
        <f ca="1">IFERROR(__xludf.DUMMYFUNCTION("""COMPUTED_VALUE"""),52)</f>
        <v>52</v>
      </c>
      <c r="E98">
        <f ca="1">IFERROR(__xludf.DUMMYFUNCTION("""COMPUTED_VALUE"""),1.54)</f>
        <v>1.54</v>
      </c>
      <c r="F98">
        <f ca="1">IFERROR(__xludf.DUMMYFUNCTION("""COMPUTED_VALUE"""),80.29)</f>
        <v>80.290000000000006</v>
      </c>
      <c r="G98">
        <f ca="1">IFERROR(__xludf.DUMMYFUNCTION("""COMPUTED_VALUE"""),-38.37)</f>
        <v>-38.369999999999997</v>
      </c>
      <c r="H98">
        <f ca="1">IFERROR(__xludf.DUMMYFUNCTION("""COMPUTED_VALUE"""),52.91)</f>
        <v>52.91</v>
      </c>
      <c r="I98" t="str">
        <f ca="1">IFERROR(__xludf.DUMMYFUNCTION("""COMPUTED_VALUE"""),"")</f>
        <v/>
      </c>
    </row>
    <row r="99" spans="1:9" ht="12.75">
      <c r="A99">
        <f ca="1">IFERROR(__xludf.DUMMYFUNCTION("""COMPUTED_VALUE"""),98)</f>
        <v>98</v>
      </c>
      <c r="B99">
        <f ca="1">IFERROR(__xludf.DUMMYFUNCTION("""COMPUTED_VALUE"""),95)</f>
        <v>95</v>
      </c>
      <c r="C99" t="str">
        <f ca="1">IFERROR(__xludf.DUMMYFUNCTION("""COMPUTED_VALUE"""),"Sam Horsfield")</f>
        <v>Sam Horsfield</v>
      </c>
      <c r="D99">
        <f ca="1">IFERROR(__xludf.DUMMYFUNCTION("""COMPUTED_VALUE"""),49)</f>
        <v>49</v>
      </c>
      <c r="E99">
        <f ca="1">IFERROR(__xludf.DUMMYFUNCTION("""COMPUTED_VALUE"""),1.53)</f>
        <v>1.53</v>
      </c>
      <c r="F99">
        <f ca="1">IFERROR(__xludf.DUMMYFUNCTION("""COMPUTED_VALUE"""),75.08)</f>
        <v>75.08</v>
      </c>
      <c r="G99">
        <f ca="1">IFERROR(__xludf.DUMMYFUNCTION("""COMPUTED_VALUE"""),-24.41)</f>
        <v>-24.41</v>
      </c>
      <c r="H99">
        <f ca="1">IFERROR(__xludf.DUMMYFUNCTION("""COMPUTED_VALUE"""),59.19)</f>
        <v>59.19</v>
      </c>
      <c r="I99" t="str">
        <f ca="1">IFERROR(__xludf.DUMMYFUNCTION("""COMPUTED_VALUE"""),"")</f>
        <v/>
      </c>
    </row>
    <row r="100" spans="1:9" ht="12.75">
      <c r="A100">
        <f ca="1">IFERROR(__xludf.DUMMYFUNCTION("""COMPUTED_VALUE"""),99)</f>
        <v>99</v>
      </c>
      <c r="B100">
        <f ca="1">IFERROR(__xludf.DUMMYFUNCTION("""COMPUTED_VALUE"""),115)</f>
        <v>115</v>
      </c>
      <c r="C100" t="str">
        <f ca="1">IFERROR(__xludf.DUMMYFUNCTION("""COMPUTED_VALUE"""),"Jorge Campillo")</f>
        <v>Jorge Campillo</v>
      </c>
      <c r="D100">
        <f ca="1">IFERROR(__xludf.DUMMYFUNCTION("""COMPUTED_VALUE"""),52)</f>
        <v>52</v>
      </c>
      <c r="E100">
        <f ca="1">IFERROR(__xludf.DUMMYFUNCTION("""COMPUTED_VALUE"""),1.53)</f>
        <v>1.53</v>
      </c>
      <c r="F100">
        <f ca="1">IFERROR(__xludf.DUMMYFUNCTION("""COMPUTED_VALUE"""),79.53)</f>
        <v>79.53</v>
      </c>
      <c r="G100">
        <f ca="1">IFERROR(__xludf.DUMMYFUNCTION("""COMPUTED_VALUE"""),-46.81)</f>
        <v>-46.81</v>
      </c>
      <c r="H100">
        <f ca="1">IFERROR(__xludf.DUMMYFUNCTION("""COMPUTED_VALUE"""),47.64)</f>
        <v>47.64</v>
      </c>
      <c r="I100" t="str">
        <f ca="1">IFERROR(__xludf.DUMMYFUNCTION("""COMPUTED_VALUE"""),"")</f>
        <v/>
      </c>
    </row>
    <row r="101" spans="1:9" ht="12.75">
      <c r="A101">
        <f ca="1">IFERROR(__xludf.DUMMYFUNCTION("""COMPUTED_VALUE"""),100)</f>
        <v>100</v>
      </c>
      <c r="B101">
        <f ca="1">IFERROR(__xludf.DUMMYFUNCTION("""COMPUTED_VALUE"""),97)</f>
        <v>97</v>
      </c>
      <c r="C101" t="str">
        <f ca="1">IFERROR(__xludf.DUMMYFUNCTION("""COMPUTED_VALUE"""),"Dylan Frittelli")</f>
        <v>Dylan Frittelli</v>
      </c>
      <c r="D101">
        <f ca="1">IFERROR(__xludf.DUMMYFUNCTION("""COMPUTED_VALUE"""),52)</f>
        <v>52</v>
      </c>
      <c r="E101">
        <f ca="1">IFERROR(__xludf.DUMMYFUNCTION("""COMPUTED_VALUE"""),1.49)</f>
        <v>1.49</v>
      </c>
      <c r="F101">
        <f ca="1">IFERROR(__xludf.DUMMYFUNCTION("""COMPUTED_VALUE"""),77.44)</f>
        <v>77.44</v>
      </c>
      <c r="G101">
        <f ca="1">IFERROR(__xludf.DUMMYFUNCTION("""COMPUTED_VALUE"""),-41.89)</f>
        <v>-41.89</v>
      </c>
      <c r="H101">
        <f ca="1">IFERROR(__xludf.DUMMYFUNCTION("""COMPUTED_VALUE"""),43.33)</f>
        <v>43.33</v>
      </c>
      <c r="I101" t="str">
        <f ca="1">IFERROR(__xludf.DUMMYFUNCTION("""COMPUTED_VALUE"""),"")</f>
        <v/>
      </c>
    </row>
    <row r="102" spans="1:9" ht="12.75">
      <c r="A102">
        <f ca="1">IFERROR(__xludf.DUMMYFUNCTION("""COMPUTED_VALUE"""),101)</f>
        <v>101</v>
      </c>
      <c r="B102">
        <f ca="1">IFERROR(__xludf.DUMMYFUNCTION("""COMPUTED_VALUE"""),98)</f>
        <v>98</v>
      </c>
      <c r="C102" t="str">
        <f ca="1">IFERROR(__xludf.DUMMYFUNCTION("""COMPUTED_VALUE"""),"Matt Jones")</f>
        <v>Matt Jones</v>
      </c>
      <c r="D102">
        <f ca="1">IFERROR(__xludf.DUMMYFUNCTION("""COMPUTED_VALUE"""),52)</f>
        <v>52</v>
      </c>
      <c r="E102">
        <f ca="1">IFERROR(__xludf.DUMMYFUNCTION("""COMPUTED_VALUE"""),1.49)</f>
        <v>1.49</v>
      </c>
      <c r="F102">
        <f ca="1">IFERROR(__xludf.DUMMYFUNCTION("""COMPUTED_VALUE"""),77.28)</f>
        <v>77.28</v>
      </c>
      <c r="G102">
        <f ca="1">IFERROR(__xludf.DUMMYFUNCTION("""COMPUTED_VALUE"""),-35.39)</f>
        <v>-35.39</v>
      </c>
      <c r="H102">
        <f ca="1">IFERROR(__xludf.DUMMYFUNCTION("""COMPUTED_VALUE"""),34.36)</f>
        <v>34.36</v>
      </c>
      <c r="I102" t="str">
        <f ca="1">IFERROR(__xludf.DUMMYFUNCTION("""COMPUTED_VALUE"""),"")</f>
        <v/>
      </c>
    </row>
    <row r="103" spans="1:9" ht="12.75">
      <c r="A103">
        <f ca="1">IFERROR(__xludf.DUMMYFUNCTION("""COMPUTED_VALUE"""),102)</f>
        <v>102</v>
      </c>
      <c r="B103">
        <f ca="1">IFERROR(__xludf.DUMMYFUNCTION("""COMPUTED_VALUE"""),100)</f>
        <v>100</v>
      </c>
      <c r="C103" t="str">
        <f ca="1">IFERROR(__xludf.DUMMYFUNCTION("""COMPUTED_VALUE"""),"Harry Higgs")</f>
        <v>Harry Higgs</v>
      </c>
      <c r="D103">
        <f ca="1">IFERROR(__xludf.DUMMYFUNCTION("""COMPUTED_VALUE"""),52)</f>
        <v>52</v>
      </c>
      <c r="E103">
        <f ca="1">IFERROR(__xludf.DUMMYFUNCTION("""COMPUTED_VALUE"""),1.48)</f>
        <v>1.48</v>
      </c>
      <c r="F103">
        <f ca="1">IFERROR(__xludf.DUMMYFUNCTION("""COMPUTED_VALUE"""),76.76)</f>
        <v>76.760000000000005</v>
      </c>
      <c r="G103">
        <f ca="1">IFERROR(__xludf.DUMMYFUNCTION("""COMPUTED_VALUE"""),-26.69)</f>
        <v>-26.69</v>
      </c>
      <c r="H103">
        <f ca="1">IFERROR(__xludf.DUMMYFUNCTION("""COMPUTED_VALUE"""),49.74)</f>
        <v>49.74</v>
      </c>
      <c r="I103" t="str">
        <f ca="1">IFERROR(__xludf.DUMMYFUNCTION("""COMPUTED_VALUE"""),"")</f>
        <v/>
      </c>
    </row>
    <row r="104" spans="1:9" ht="12.75">
      <c r="A104">
        <f ca="1">IFERROR(__xludf.DUMMYFUNCTION("""COMPUTED_VALUE"""),103)</f>
        <v>103</v>
      </c>
      <c r="B104">
        <f ca="1">IFERROR(__xludf.DUMMYFUNCTION("""COMPUTED_VALUE"""),99)</f>
        <v>99</v>
      </c>
      <c r="C104" t="str">
        <f ca="1">IFERROR(__xludf.DUMMYFUNCTION("""COMPUTED_VALUE"""),"Charles Howell III")</f>
        <v>Charles Howell III</v>
      </c>
      <c r="D104">
        <f ca="1">IFERROR(__xludf.DUMMYFUNCTION("""COMPUTED_VALUE"""),52)</f>
        <v>52</v>
      </c>
      <c r="E104">
        <f ca="1">IFERROR(__xludf.DUMMYFUNCTION("""COMPUTED_VALUE"""),1.47)</f>
        <v>1.47</v>
      </c>
      <c r="F104">
        <f ca="1">IFERROR(__xludf.DUMMYFUNCTION("""COMPUTED_VALUE"""),76.29)</f>
        <v>76.290000000000006</v>
      </c>
      <c r="G104">
        <f ca="1">IFERROR(__xludf.DUMMYFUNCTION("""COMPUTED_VALUE"""),-61.61)</f>
        <v>-61.61</v>
      </c>
      <c r="H104">
        <f ca="1">IFERROR(__xludf.DUMMYFUNCTION("""COMPUTED_VALUE"""),27.8)</f>
        <v>27.8</v>
      </c>
      <c r="I104" t="str">
        <f ca="1">IFERROR(__xludf.DUMMYFUNCTION("""COMPUTED_VALUE"""),"")</f>
        <v/>
      </c>
    </row>
    <row r="105" spans="1:9" ht="12.75">
      <c r="A105">
        <f ca="1">IFERROR(__xludf.DUMMYFUNCTION("""COMPUTED_VALUE"""),104)</f>
        <v>104</v>
      </c>
      <c r="B105">
        <f ca="1">IFERROR(__xludf.DUMMYFUNCTION("""COMPUTED_VALUE"""),101)</f>
        <v>101</v>
      </c>
      <c r="C105" t="str">
        <f ca="1">IFERROR(__xludf.DUMMYFUNCTION("""COMPUTED_VALUE"""),"Ryo Ishikawa")</f>
        <v>Ryo Ishikawa</v>
      </c>
      <c r="D105">
        <f ca="1">IFERROR(__xludf.DUMMYFUNCTION("""COMPUTED_VALUE"""),42)</f>
        <v>42</v>
      </c>
      <c r="E105">
        <f ca="1">IFERROR(__xludf.DUMMYFUNCTION("""COMPUTED_VALUE"""),1.47)</f>
        <v>1.47</v>
      </c>
      <c r="F105">
        <f ca="1">IFERROR(__xludf.DUMMYFUNCTION("""COMPUTED_VALUE"""),61.61)</f>
        <v>61.61</v>
      </c>
      <c r="G105">
        <f ca="1">IFERROR(__xludf.DUMMYFUNCTION("""COMPUTED_VALUE"""),-34.22)</f>
        <v>-34.22</v>
      </c>
      <c r="H105">
        <f ca="1">IFERROR(__xludf.DUMMYFUNCTION("""COMPUTED_VALUE"""),14.85)</f>
        <v>14.85</v>
      </c>
      <c r="I105" t="str">
        <f ca="1">IFERROR(__xludf.DUMMYFUNCTION("""COMPUTED_VALUE"""),"")</f>
        <v/>
      </c>
    </row>
    <row r="106" spans="1:9" ht="12.75">
      <c r="A106">
        <f ca="1">IFERROR(__xludf.DUMMYFUNCTION("""COMPUTED_VALUE"""),105)</f>
        <v>105</v>
      </c>
      <c r="B106">
        <f ca="1">IFERROR(__xludf.DUMMYFUNCTION("""COMPUTED_VALUE"""),105)</f>
        <v>105</v>
      </c>
      <c r="C106" t="str">
        <f ca="1">IFERROR(__xludf.DUMMYFUNCTION("""COMPUTED_VALUE"""),"Jim Herman")</f>
        <v>Jim Herman</v>
      </c>
      <c r="D106">
        <f ca="1">IFERROR(__xludf.DUMMYFUNCTION("""COMPUTED_VALUE"""),50)</f>
        <v>50</v>
      </c>
      <c r="E106">
        <f ca="1">IFERROR(__xludf.DUMMYFUNCTION("""COMPUTED_VALUE"""),1.45)</f>
        <v>1.45</v>
      </c>
      <c r="F106">
        <f ca="1">IFERROR(__xludf.DUMMYFUNCTION("""COMPUTED_VALUE"""),72.56)</f>
        <v>72.56</v>
      </c>
      <c r="G106">
        <f ca="1">IFERROR(__xludf.DUMMYFUNCTION("""COMPUTED_VALUE"""),-10.67)</f>
        <v>-10.67</v>
      </c>
      <c r="H106">
        <f ca="1">IFERROR(__xludf.DUMMYFUNCTION("""COMPUTED_VALUE"""),60.48)</f>
        <v>60.48</v>
      </c>
      <c r="I106" t="str">
        <f ca="1">IFERROR(__xludf.DUMMYFUNCTION("""COMPUTED_VALUE"""),"")</f>
        <v/>
      </c>
    </row>
    <row r="107" spans="1:9" ht="12.75">
      <c r="A107">
        <f ca="1">IFERROR(__xludf.DUMMYFUNCTION("""COMPUTED_VALUE"""),106)</f>
        <v>106</v>
      </c>
      <c r="B107">
        <f ca="1">IFERROR(__xludf.DUMMYFUNCTION("""COMPUTED_VALUE"""),102)</f>
        <v>102</v>
      </c>
      <c r="C107" t="str">
        <f ca="1">IFERROR(__xludf.DUMMYFUNCTION("""COMPUTED_VALUE"""),"Matthias Schwab")</f>
        <v>Matthias Schwab</v>
      </c>
      <c r="D107">
        <f ca="1">IFERROR(__xludf.DUMMYFUNCTION("""COMPUTED_VALUE"""),52)</f>
        <v>52</v>
      </c>
      <c r="E107">
        <f ca="1">IFERROR(__xludf.DUMMYFUNCTION("""COMPUTED_VALUE"""),1.44)</f>
        <v>1.44</v>
      </c>
      <c r="F107">
        <f ca="1">IFERROR(__xludf.DUMMYFUNCTION("""COMPUTED_VALUE"""),74.92)</f>
        <v>74.92</v>
      </c>
      <c r="G107">
        <f ca="1">IFERROR(__xludf.DUMMYFUNCTION("""COMPUTED_VALUE"""),-41.16)</f>
        <v>-41.16</v>
      </c>
      <c r="H107">
        <f ca="1">IFERROR(__xludf.DUMMYFUNCTION("""COMPUTED_VALUE"""),23.97)</f>
        <v>23.97</v>
      </c>
      <c r="I107" t="str">
        <f ca="1">IFERROR(__xludf.DUMMYFUNCTION("""COMPUTED_VALUE"""),"")</f>
        <v/>
      </c>
    </row>
    <row r="108" spans="1:9" ht="12.75">
      <c r="A108">
        <f ca="1">IFERROR(__xludf.DUMMYFUNCTION("""COMPUTED_VALUE"""),107)</f>
        <v>107</v>
      </c>
      <c r="B108">
        <f ca="1">IFERROR(__xludf.DUMMYFUNCTION("""COMPUTED_VALUE"""),104)</f>
        <v>104</v>
      </c>
      <c r="C108" t="str">
        <f ca="1">IFERROR(__xludf.DUMMYFUNCTION("""COMPUTED_VALUE"""),"Shaun Norris")</f>
        <v>Shaun Norris</v>
      </c>
      <c r="D108">
        <f ca="1">IFERROR(__xludf.DUMMYFUNCTION("""COMPUTED_VALUE"""),52)</f>
        <v>52</v>
      </c>
      <c r="E108">
        <f ca="1">IFERROR(__xludf.DUMMYFUNCTION("""COMPUTED_VALUE"""),1.43)</f>
        <v>1.43</v>
      </c>
      <c r="F108">
        <f ca="1">IFERROR(__xludf.DUMMYFUNCTION("""COMPUTED_VALUE"""),74.27)</f>
        <v>74.27</v>
      </c>
      <c r="G108">
        <f ca="1">IFERROR(__xludf.DUMMYFUNCTION("""COMPUTED_VALUE"""),-52.46)</f>
        <v>-52.46</v>
      </c>
      <c r="H108">
        <f ca="1">IFERROR(__xludf.DUMMYFUNCTION("""COMPUTED_VALUE"""),17.92)</f>
        <v>17.920000000000002</v>
      </c>
      <c r="I108" t="str">
        <f ca="1">IFERROR(__xludf.DUMMYFUNCTION("""COMPUTED_VALUE"""),"")</f>
        <v/>
      </c>
    </row>
    <row r="109" spans="1:9" ht="12.75">
      <c r="A109">
        <f ca="1">IFERROR(__xludf.DUMMYFUNCTION("""COMPUTED_VALUE"""),108)</f>
        <v>108</v>
      </c>
      <c r="B109">
        <f ca="1">IFERROR(__xludf.DUMMYFUNCTION("""COMPUTED_VALUE"""),103)</f>
        <v>103</v>
      </c>
      <c r="C109" t="str">
        <f ca="1">IFERROR(__xludf.DUMMYFUNCTION("""COMPUTED_VALUE"""),"Eddie Pepperell")</f>
        <v>Eddie Pepperell</v>
      </c>
      <c r="D109">
        <f ca="1">IFERROR(__xludf.DUMMYFUNCTION("""COMPUTED_VALUE"""),42)</f>
        <v>42</v>
      </c>
      <c r="E109">
        <f ca="1">IFERROR(__xludf.DUMMYFUNCTION("""COMPUTED_VALUE"""),1.43)</f>
        <v>1.43</v>
      </c>
      <c r="F109">
        <f ca="1">IFERROR(__xludf.DUMMYFUNCTION("""COMPUTED_VALUE"""),59.89)</f>
        <v>59.89</v>
      </c>
      <c r="G109">
        <f ca="1">IFERROR(__xludf.DUMMYFUNCTION("""COMPUTED_VALUE"""),-66.2)</f>
        <v>-66.2</v>
      </c>
      <c r="H109">
        <f ca="1">IFERROR(__xludf.DUMMYFUNCTION("""COMPUTED_VALUE"""),24.51)</f>
        <v>24.51</v>
      </c>
      <c r="I109" t="str">
        <f ca="1">IFERROR(__xludf.DUMMYFUNCTION("""COMPUTED_VALUE"""),"")</f>
        <v/>
      </c>
    </row>
    <row r="110" spans="1:9" ht="12.75">
      <c r="A110">
        <f ca="1">IFERROR(__xludf.DUMMYFUNCTION("""COMPUTED_VALUE"""),109)</f>
        <v>109</v>
      </c>
      <c r="B110">
        <f ca="1">IFERROR(__xludf.DUMMYFUNCTION("""COMPUTED_VALUE"""),109)</f>
        <v>109</v>
      </c>
      <c r="C110" t="str">
        <f ca="1">IFERROR(__xludf.DUMMYFUNCTION("""COMPUTED_VALUE"""),"Brendan Steele")</f>
        <v>Brendan Steele</v>
      </c>
      <c r="D110">
        <f ca="1">IFERROR(__xludf.DUMMYFUNCTION("""COMPUTED_VALUE"""),49)</f>
        <v>49</v>
      </c>
      <c r="E110">
        <f ca="1">IFERROR(__xludf.DUMMYFUNCTION("""COMPUTED_VALUE"""),1.42)</f>
        <v>1.42</v>
      </c>
      <c r="F110">
        <f ca="1">IFERROR(__xludf.DUMMYFUNCTION("""COMPUTED_VALUE"""),69.82)</f>
        <v>69.819999999999993</v>
      </c>
      <c r="G110">
        <f ca="1">IFERROR(__xludf.DUMMYFUNCTION("""COMPUTED_VALUE"""),-21.07)</f>
        <v>-21.07</v>
      </c>
      <c r="H110">
        <f ca="1">IFERROR(__xludf.DUMMYFUNCTION("""COMPUTED_VALUE"""),70.86)</f>
        <v>70.86</v>
      </c>
      <c r="I110" t="str">
        <f ca="1">IFERROR(__xludf.DUMMYFUNCTION("""COMPUTED_VALUE"""),"")</f>
        <v/>
      </c>
    </row>
    <row r="111" spans="1:9" ht="12.75">
      <c r="A111">
        <f ca="1">IFERROR(__xludf.DUMMYFUNCTION("""COMPUTED_VALUE"""),110)</f>
        <v>110</v>
      </c>
      <c r="B111">
        <f ca="1">IFERROR(__xludf.DUMMYFUNCTION("""COMPUTED_VALUE"""),117)</f>
        <v>117</v>
      </c>
      <c r="C111" t="str">
        <f ca="1">IFERROR(__xludf.DUMMYFUNCTION("""COMPUTED_VALUE"""),"Michael Thompson")</f>
        <v>Michael Thompson</v>
      </c>
      <c r="D111">
        <f ca="1">IFERROR(__xludf.DUMMYFUNCTION("""COMPUTED_VALUE"""),51)</f>
        <v>51</v>
      </c>
      <c r="E111">
        <f ca="1">IFERROR(__xludf.DUMMYFUNCTION("""COMPUTED_VALUE"""),1.42)</f>
        <v>1.42</v>
      </c>
      <c r="F111">
        <f ca="1">IFERROR(__xludf.DUMMYFUNCTION("""COMPUTED_VALUE"""),72.63)</f>
        <v>72.63</v>
      </c>
      <c r="G111">
        <f ca="1">IFERROR(__xludf.DUMMYFUNCTION("""COMPUTED_VALUE"""),-25.64)</f>
        <v>-25.64</v>
      </c>
      <c r="H111">
        <f ca="1">IFERROR(__xludf.DUMMYFUNCTION("""COMPUTED_VALUE"""),59.31)</f>
        <v>59.31</v>
      </c>
      <c r="I111" t="str">
        <f ca="1">IFERROR(__xludf.DUMMYFUNCTION("""COMPUTED_VALUE"""),"")</f>
        <v/>
      </c>
    </row>
    <row r="112" spans="1:9" ht="12.75">
      <c r="A112">
        <f ca="1">IFERROR(__xludf.DUMMYFUNCTION("""COMPUTED_VALUE"""),111)</f>
        <v>111</v>
      </c>
      <c r="B112">
        <f ca="1">IFERROR(__xludf.DUMMYFUNCTION("""COMPUTED_VALUE"""),111)</f>
        <v>111</v>
      </c>
      <c r="C112" t="str">
        <f ca="1">IFERROR(__xludf.DUMMYFUNCTION("""COMPUTED_VALUE"""),"Marcus Kinhult")</f>
        <v>Marcus Kinhult</v>
      </c>
      <c r="D112">
        <f ca="1">IFERROR(__xludf.DUMMYFUNCTION("""COMPUTED_VALUE"""),49)</f>
        <v>49</v>
      </c>
      <c r="E112">
        <f ca="1">IFERROR(__xludf.DUMMYFUNCTION("""COMPUTED_VALUE"""),1.42)</f>
        <v>1.42</v>
      </c>
      <c r="F112">
        <f ca="1">IFERROR(__xludf.DUMMYFUNCTION("""COMPUTED_VALUE"""),69.44)</f>
        <v>69.44</v>
      </c>
      <c r="G112">
        <f ca="1">IFERROR(__xludf.DUMMYFUNCTION("""COMPUTED_VALUE"""),-38.4)</f>
        <v>-38.4</v>
      </c>
      <c r="H112">
        <f ca="1">IFERROR(__xludf.DUMMYFUNCTION("""COMPUTED_VALUE"""),24.47)</f>
        <v>24.47</v>
      </c>
      <c r="I112" t="str">
        <f ca="1">IFERROR(__xludf.DUMMYFUNCTION("""COMPUTED_VALUE"""),"")</f>
        <v/>
      </c>
    </row>
    <row r="113" spans="1:9" ht="12.75">
      <c r="A113">
        <f ca="1">IFERROR(__xludf.DUMMYFUNCTION("""COMPUTED_VALUE"""),112)</f>
        <v>112</v>
      </c>
      <c r="B113">
        <f ca="1">IFERROR(__xludf.DUMMYFUNCTION("""COMPUTED_VALUE"""),121)</f>
        <v>121</v>
      </c>
      <c r="C113" t="str">
        <f ca="1">IFERROR(__xludf.DUMMYFUNCTION("""COMPUTED_VALUE"""),"Harold Varner III")</f>
        <v>Harold Varner III</v>
      </c>
      <c r="D113">
        <f ca="1">IFERROR(__xludf.DUMMYFUNCTION("""COMPUTED_VALUE"""),52)</f>
        <v>52</v>
      </c>
      <c r="E113">
        <f ca="1">IFERROR(__xludf.DUMMYFUNCTION("""COMPUTED_VALUE"""),1.41)</f>
        <v>1.41</v>
      </c>
      <c r="F113">
        <f ca="1">IFERROR(__xludf.DUMMYFUNCTION("""COMPUTED_VALUE"""),73.13)</f>
        <v>73.13</v>
      </c>
      <c r="G113">
        <f ca="1">IFERROR(__xludf.DUMMYFUNCTION("""COMPUTED_VALUE"""),-37.28)</f>
        <v>-37.28</v>
      </c>
      <c r="H113">
        <f ca="1">IFERROR(__xludf.DUMMYFUNCTION("""COMPUTED_VALUE"""),43.82)</f>
        <v>43.82</v>
      </c>
      <c r="I113" t="str">
        <f ca="1">IFERROR(__xludf.DUMMYFUNCTION("""COMPUTED_VALUE"""),"")</f>
        <v/>
      </c>
    </row>
    <row r="114" spans="1:9" ht="12.75">
      <c r="A114">
        <f ca="1">IFERROR(__xludf.DUMMYFUNCTION("""COMPUTED_VALUE"""),113)</f>
        <v>113</v>
      </c>
      <c r="B114">
        <f ca="1">IFERROR(__xludf.DUMMYFUNCTION("""COMPUTED_VALUE"""),113)</f>
        <v>113</v>
      </c>
      <c r="C114" t="str">
        <f ca="1">IFERROR(__xludf.DUMMYFUNCTION("""COMPUTED_VALUE"""),"Romain Langasque")</f>
        <v>Romain Langasque</v>
      </c>
      <c r="D114">
        <f ca="1">IFERROR(__xludf.DUMMYFUNCTION("""COMPUTED_VALUE"""),52)</f>
        <v>52</v>
      </c>
      <c r="E114">
        <f ca="1">IFERROR(__xludf.DUMMYFUNCTION("""COMPUTED_VALUE"""),1.39)</f>
        <v>1.39</v>
      </c>
      <c r="F114">
        <f ca="1">IFERROR(__xludf.DUMMYFUNCTION("""COMPUTED_VALUE"""),72.46)</f>
        <v>72.459999999999994</v>
      </c>
      <c r="G114">
        <f ca="1">IFERROR(__xludf.DUMMYFUNCTION("""COMPUTED_VALUE"""),-37.61)</f>
        <v>-37.61</v>
      </c>
      <c r="H114">
        <f ca="1">IFERROR(__xludf.DUMMYFUNCTION("""COMPUTED_VALUE"""),36.29)</f>
        <v>36.29</v>
      </c>
      <c r="I114" t="str">
        <f ca="1">IFERROR(__xludf.DUMMYFUNCTION("""COMPUTED_VALUE"""),"")</f>
        <v/>
      </c>
    </row>
    <row r="115" spans="1:9" ht="12.75">
      <c r="A115">
        <f ca="1">IFERROR(__xludf.DUMMYFUNCTION("""COMPUTED_VALUE"""),114)</f>
        <v>114</v>
      </c>
      <c r="B115">
        <f ca="1">IFERROR(__xludf.DUMMYFUNCTION("""COMPUTED_VALUE"""),106)</f>
        <v>106</v>
      </c>
      <c r="C115" t="str">
        <f ca="1">IFERROR(__xludf.DUMMYFUNCTION("""COMPUTED_VALUE"""),"Rikuya Hoshino")</f>
        <v>Rikuya Hoshino</v>
      </c>
      <c r="D115">
        <f ca="1">IFERROR(__xludf.DUMMYFUNCTION("""COMPUTED_VALUE"""),46)</f>
        <v>46</v>
      </c>
      <c r="E115">
        <f ca="1">IFERROR(__xludf.DUMMYFUNCTION("""COMPUTED_VALUE"""),1.39)</f>
        <v>1.39</v>
      </c>
      <c r="F115">
        <f ca="1">IFERROR(__xludf.DUMMYFUNCTION("""COMPUTED_VALUE"""),64.1)</f>
        <v>64.099999999999994</v>
      </c>
      <c r="G115">
        <f ca="1">IFERROR(__xludf.DUMMYFUNCTION("""COMPUTED_VALUE"""),-39.63)</f>
        <v>-39.630000000000003</v>
      </c>
      <c r="H115">
        <f ca="1">IFERROR(__xludf.DUMMYFUNCTION("""COMPUTED_VALUE"""),28.95)</f>
        <v>28.95</v>
      </c>
      <c r="I115" t="str">
        <f ca="1">IFERROR(__xludf.DUMMYFUNCTION("""COMPUTED_VALUE"""),"")</f>
        <v/>
      </c>
    </row>
    <row r="116" spans="1:9" ht="12.75">
      <c r="A116">
        <f ca="1">IFERROR(__xludf.DUMMYFUNCTION("""COMPUTED_VALUE"""),115)</f>
        <v>115</v>
      </c>
      <c r="B116">
        <f ca="1">IFERROR(__xludf.DUMMYFUNCTION("""COMPUTED_VALUE"""),107)</f>
        <v>107</v>
      </c>
      <c r="C116" t="str">
        <f ca="1">IFERROR(__xludf.DUMMYFUNCTION("""COMPUTED_VALUE"""),"Rory Sabbatini")</f>
        <v>Rory Sabbatini</v>
      </c>
      <c r="D116">
        <f ca="1">IFERROR(__xludf.DUMMYFUNCTION("""COMPUTED_VALUE"""),52)</f>
        <v>52</v>
      </c>
      <c r="E116">
        <f ca="1">IFERROR(__xludf.DUMMYFUNCTION("""COMPUTED_VALUE"""),1.39)</f>
        <v>1.39</v>
      </c>
      <c r="F116">
        <f ca="1">IFERROR(__xludf.DUMMYFUNCTION("""COMPUTED_VALUE"""),72.43)</f>
        <v>72.430000000000007</v>
      </c>
      <c r="G116">
        <f ca="1">IFERROR(__xludf.DUMMYFUNCTION("""COMPUTED_VALUE"""),-44.25)</f>
        <v>-44.25</v>
      </c>
      <c r="H116">
        <f ca="1">IFERROR(__xludf.DUMMYFUNCTION("""COMPUTED_VALUE"""),28.66)</f>
        <v>28.66</v>
      </c>
      <c r="I116" t="str">
        <f ca="1">IFERROR(__xludf.DUMMYFUNCTION("""COMPUTED_VALUE"""),"")</f>
        <v/>
      </c>
    </row>
    <row r="117" spans="1:9" ht="12.75">
      <c r="A117">
        <f ca="1">IFERROR(__xludf.DUMMYFUNCTION("""COMPUTED_VALUE"""),116)</f>
        <v>116</v>
      </c>
      <c r="B117">
        <f ca="1">IFERROR(__xludf.DUMMYFUNCTION("""COMPUTED_VALUE"""),112)</f>
        <v>112</v>
      </c>
      <c r="C117" t="str">
        <f ca="1">IFERROR(__xludf.DUMMYFUNCTION("""COMPUTED_VALUE"""),"Nate Lashley")</f>
        <v>Nate Lashley</v>
      </c>
      <c r="D117">
        <f ca="1">IFERROR(__xludf.DUMMYFUNCTION("""COMPUTED_VALUE"""),50)</f>
        <v>50</v>
      </c>
      <c r="E117">
        <f ca="1">IFERROR(__xludf.DUMMYFUNCTION("""COMPUTED_VALUE"""),1.39)</f>
        <v>1.39</v>
      </c>
      <c r="F117">
        <f ca="1">IFERROR(__xludf.DUMMYFUNCTION("""COMPUTED_VALUE"""),69.51)</f>
        <v>69.510000000000005</v>
      </c>
      <c r="G117">
        <f ca="1">IFERROR(__xludf.DUMMYFUNCTION("""COMPUTED_VALUE"""),-35.63)</f>
        <v>-35.630000000000003</v>
      </c>
      <c r="H117">
        <f ca="1">IFERROR(__xludf.DUMMYFUNCTION("""COMPUTED_VALUE"""),33.85)</f>
        <v>33.85</v>
      </c>
      <c r="I117" t="str">
        <f ca="1">IFERROR(__xludf.DUMMYFUNCTION("""COMPUTED_VALUE"""),"")</f>
        <v/>
      </c>
    </row>
    <row r="118" spans="1:9" ht="12.75">
      <c r="A118">
        <f ca="1">IFERROR(__xludf.DUMMYFUNCTION("""COMPUTED_VALUE"""),117)</f>
        <v>117</v>
      </c>
      <c r="B118">
        <f ca="1">IFERROR(__xludf.DUMMYFUNCTION("""COMPUTED_VALUE"""),110)</f>
        <v>110</v>
      </c>
      <c r="C118" t="str">
        <f ca="1">IFERROR(__xludf.DUMMYFUNCTION("""COMPUTED_VALUE"""),"Michael Lorenzo-Vera")</f>
        <v>Michael Lorenzo-Vera</v>
      </c>
      <c r="D118">
        <f ca="1">IFERROR(__xludf.DUMMYFUNCTION("""COMPUTED_VALUE"""),40)</f>
        <v>40</v>
      </c>
      <c r="E118">
        <f ca="1">IFERROR(__xludf.DUMMYFUNCTION("""COMPUTED_VALUE"""),1.39)</f>
        <v>1.39</v>
      </c>
      <c r="F118">
        <f ca="1">IFERROR(__xludf.DUMMYFUNCTION("""COMPUTED_VALUE"""),55.41)</f>
        <v>55.41</v>
      </c>
      <c r="G118">
        <f ca="1">IFERROR(__xludf.DUMMYFUNCTION("""COMPUTED_VALUE"""),-43.05)</f>
        <v>-43.05</v>
      </c>
      <c r="H118">
        <f ca="1">IFERROR(__xludf.DUMMYFUNCTION("""COMPUTED_VALUE"""),11.96)</f>
        <v>11.96</v>
      </c>
      <c r="I118" t="str">
        <f ca="1">IFERROR(__xludf.DUMMYFUNCTION("""COMPUTED_VALUE"""),"")</f>
        <v/>
      </c>
    </row>
    <row r="119" spans="1:9" ht="12.75">
      <c r="A119">
        <f ca="1">IFERROR(__xludf.DUMMYFUNCTION("""COMPUTED_VALUE"""),118)</f>
        <v>118</v>
      </c>
      <c r="B119">
        <f ca="1">IFERROR(__xludf.DUMMYFUNCTION("""COMPUTED_VALUE"""),116)</f>
        <v>116</v>
      </c>
      <c r="C119" t="str">
        <f ca="1">IFERROR(__xludf.DUMMYFUNCTION("""COMPUTED_VALUE"""),"Taylor Pendrith")</f>
        <v>Taylor Pendrith</v>
      </c>
      <c r="D119">
        <f ca="1">IFERROR(__xludf.DUMMYFUNCTION("""COMPUTED_VALUE"""),40)</f>
        <v>40</v>
      </c>
      <c r="E119">
        <f ca="1">IFERROR(__xludf.DUMMYFUNCTION("""COMPUTED_VALUE"""),1.35)</f>
        <v>1.35</v>
      </c>
      <c r="F119">
        <f ca="1">IFERROR(__xludf.DUMMYFUNCTION("""COMPUTED_VALUE"""),54.13)</f>
        <v>54.13</v>
      </c>
      <c r="G119">
        <f ca="1">IFERROR(__xludf.DUMMYFUNCTION("""COMPUTED_VALUE"""),-8.43)</f>
        <v>-8.43</v>
      </c>
      <c r="H119">
        <f ca="1">IFERROR(__xludf.DUMMYFUNCTION("""COMPUTED_VALUE"""),45.02)</f>
        <v>45.02</v>
      </c>
      <c r="I119" t="str">
        <f ca="1">IFERROR(__xludf.DUMMYFUNCTION("""COMPUTED_VALUE"""),"")</f>
        <v/>
      </c>
    </row>
    <row r="120" spans="1:9" ht="12.75">
      <c r="A120">
        <f ca="1">IFERROR(__xludf.DUMMYFUNCTION("""COMPUTED_VALUE"""),119)</f>
        <v>119</v>
      </c>
      <c r="B120">
        <f ca="1">IFERROR(__xludf.DUMMYFUNCTION("""COMPUTED_VALUE"""),114)</f>
        <v>114</v>
      </c>
      <c r="C120" t="str">
        <f ca="1">IFERROR(__xludf.DUMMYFUNCTION("""COMPUTED_VALUE"""),"Lucas Glover")</f>
        <v>Lucas Glover</v>
      </c>
      <c r="D120">
        <f ca="1">IFERROR(__xludf.DUMMYFUNCTION("""COMPUTED_VALUE"""),52)</f>
        <v>52</v>
      </c>
      <c r="E120">
        <f ca="1">IFERROR(__xludf.DUMMYFUNCTION("""COMPUTED_VALUE"""),1.34)</f>
        <v>1.34</v>
      </c>
      <c r="F120">
        <f ca="1">IFERROR(__xludf.DUMMYFUNCTION("""COMPUTED_VALUE"""),69.7)</f>
        <v>69.7</v>
      </c>
      <c r="G120">
        <f ca="1">IFERROR(__xludf.DUMMYFUNCTION("""COMPUTED_VALUE"""),-47.26)</f>
        <v>-47.26</v>
      </c>
      <c r="H120">
        <f ca="1">IFERROR(__xludf.DUMMYFUNCTION("""COMPUTED_VALUE"""),26.35)</f>
        <v>26.35</v>
      </c>
      <c r="I120" t="str">
        <f ca="1">IFERROR(__xludf.DUMMYFUNCTION("""COMPUTED_VALUE"""),"")</f>
        <v/>
      </c>
    </row>
    <row r="121" spans="1:9" ht="12.75">
      <c r="A121">
        <f ca="1">IFERROR(__xludf.DUMMYFUNCTION("""COMPUTED_VALUE"""),120)</f>
        <v>120</v>
      </c>
      <c r="B121">
        <f ca="1">IFERROR(__xludf.DUMMYFUNCTION("""COMPUTED_VALUE"""),118)</f>
        <v>118</v>
      </c>
      <c r="C121" t="str">
        <f ca="1">IFERROR(__xludf.DUMMYFUNCTION("""COMPUTED_VALUE"""),"Danny Lee")</f>
        <v>Danny Lee</v>
      </c>
      <c r="D121">
        <f ca="1">IFERROR(__xludf.DUMMYFUNCTION("""COMPUTED_VALUE"""),52)</f>
        <v>52</v>
      </c>
      <c r="E121">
        <f ca="1">IFERROR(__xludf.DUMMYFUNCTION("""COMPUTED_VALUE"""),1.33)</f>
        <v>1.33</v>
      </c>
      <c r="F121">
        <f ca="1">IFERROR(__xludf.DUMMYFUNCTION("""COMPUTED_VALUE"""),69.26)</f>
        <v>69.260000000000005</v>
      </c>
      <c r="G121">
        <f ca="1">IFERROR(__xludf.DUMMYFUNCTION("""COMPUTED_VALUE"""),-45.52)</f>
        <v>-45.52</v>
      </c>
      <c r="H121">
        <f ca="1">IFERROR(__xludf.DUMMYFUNCTION("""COMPUTED_VALUE"""),31.55)</f>
        <v>31.55</v>
      </c>
      <c r="I121" t="str">
        <f ca="1">IFERROR(__xludf.DUMMYFUNCTION("""COMPUTED_VALUE"""),"")</f>
        <v/>
      </c>
    </row>
    <row r="122" spans="1:9" ht="12.75">
      <c r="A122">
        <f ca="1">IFERROR(__xludf.DUMMYFUNCTION("""COMPUTED_VALUE"""),121)</f>
        <v>121</v>
      </c>
      <c r="B122">
        <f ca="1">IFERROR(__xludf.DUMMYFUNCTION("""COMPUTED_VALUE"""),119)</f>
        <v>119</v>
      </c>
      <c r="C122" t="str">
        <f ca="1">IFERROR(__xludf.DUMMYFUNCTION("""COMPUTED_VALUE"""),"Chan Kim")</f>
        <v>Chan Kim</v>
      </c>
      <c r="D122">
        <f ca="1">IFERROR(__xludf.DUMMYFUNCTION("""COMPUTED_VALUE"""),40)</f>
        <v>40</v>
      </c>
      <c r="E122">
        <f ca="1">IFERROR(__xludf.DUMMYFUNCTION("""COMPUTED_VALUE"""),1.33)</f>
        <v>1.33</v>
      </c>
      <c r="F122">
        <f ca="1">IFERROR(__xludf.DUMMYFUNCTION("""COMPUTED_VALUE"""),53.09)</f>
        <v>53.09</v>
      </c>
      <c r="G122">
        <f ca="1">IFERROR(__xludf.DUMMYFUNCTION("""COMPUTED_VALUE"""),-29.59)</f>
        <v>-29.59</v>
      </c>
      <c r="H122">
        <f ca="1">IFERROR(__xludf.DUMMYFUNCTION("""COMPUTED_VALUE"""),2.55)</f>
        <v>2.5499999999999998</v>
      </c>
      <c r="I122" t="str">
        <f ca="1">IFERROR(__xludf.DUMMYFUNCTION("""COMPUTED_VALUE"""),"")</f>
        <v/>
      </c>
    </row>
    <row r="123" spans="1:9" ht="12.75">
      <c r="A123">
        <f ca="1">IFERROR(__xludf.DUMMYFUNCTION("""COMPUTED_VALUE"""),122)</f>
        <v>122</v>
      </c>
      <c r="B123">
        <f ca="1">IFERROR(__xludf.DUMMYFUNCTION("""COMPUTED_VALUE"""),120)</f>
        <v>120</v>
      </c>
      <c r="C123" t="str">
        <f ca="1">IFERROR(__xludf.DUMMYFUNCTION("""COMPUTED_VALUE"""),"Kurt Kitayama")</f>
        <v>Kurt Kitayama</v>
      </c>
      <c r="D123">
        <f ca="1">IFERROR(__xludf.DUMMYFUNCTION("""COMPUTED_VALUE"""),49)</f>
        <v>49</v>
      </c>
      <c r="E123">
        <f ca="1">IFERROR(__xludf.DUMMYFUNCTION("""COMPUTED_VALUE"""),1.32)</f>
        <v>1.32</v>
      </c>
      <c r="F123">
        <f ca="1">IFERROR(__xludf.DUMMYFUNCTION("""COMPUTED_VALUE"""),64.7)</f>
        <v>64.7</v>
      </c>
      <c r="G123">
        <f ca="1">IFERROR(__xludf.DUMMYFUNCTION("""COMPUTED_VALUE"""),-43.68)</f>
        <v>-43.68</v>
      </c>
      <c r="H123">
        <f ca="1">IFERROR(__xludf.DUMMYFUNCTION("""COMPUTED_VALUE"""),18.54)</f>
        <v>18.54</v>
      </c>
      <c r="I123" t="str">
        <f ca="1">IFERROR(__xludf.DUMMYFUNCTION("""COMPUTED_VALUE"""),"")</f>
        <v/>
      </c>
    </row>
    <row r="124" spans="1:9" ht="12.75">
      <c r="A124">
        <f ca="1">IFERROR(__xludf.DUMMYFUNCTION("""COMPUTED_VALUE"""),123)</f>
        <v>123</v>
      </c>
      <c r="B124">
        <f ca="1">IFERROR(__xludf.DUMMYFUNCTION("""COMPUTED_VALUE"""),122)</f>
        <v>122</v>
      </c>
      <c r="C124" t="str">
        <f ca="1">IFERROR(__xludf.DUMMYFUNCTION("""COMPUTED_VALUE"""),"Keegan Bradley")</f>
        <v>Keegan Bradley</v>
      </c>
      <c r="D124">
        <f ca="1">IFERROR(__xludf.DUMMYFUNCTION("""COMPUTED_VALUE"""),52)</f>
        <v>52</v>
      </c>
      <c r="E124">
        <f ca="1">IFERROR(__xludf.DUMMYFUNCTION("""COMPUTED_VALUE"""),1.31)</f>
        <v>1.31</v>
      </c>
      <c r="F124">
        <f ca="1">IFERROR(__xludf.DUMMYFUNCTION("""COMPUTED_VALUE"""),68.13)</f>
        <v>68.13</v>
      </c>
      <c r="G124">
        <f ca="1">IFERROR(__xludf.DUMMYFUNCTION("""COMPUTED_VALUE"""),-80.92)</f>
        <v>-80.92</v>
      </c>
      <c r="H124">
        <f ca="1">IFERROR(__xludf.DUMMYFUNCTION("""COMPUTED_VALUE"""),33.16)</f>
        <v>33.159999999999997</v>
      </c>
      <c r="I124" t="str">
        <f ca="1">IFERROR(__xludf.DUMMYFUNCTION("""COMPUTED_VALUE"""),"")</f>
        <v/>
      </c>
    </row>
    <row r="125" spans="1:9" ht="12.75">
      <c r="A125">
        <f ca="1">IFERROR(__xludf.DUMMYFUNCTION("""COMPUTED_VALUE"""),124)</f>
        <v>124</v>
      </c>
      <c r="B125">
        <f ca="1">IFERROR(__xludf.DUMMYFUNCTION("""COMPUTED_VALUE"""),126)</f>
        <v>126</v>
      </c>
      <c r="C125" t="str">
        <f ca="1">IFERROR(__xludf.DUMMYFUNCTION("""COMPUTED_VALUE"""),"Mark Hubbard")</f>
        <v>Mark Hubbard</v>
      </c>
      <c r="D125">
        <f ca="1">IFERROR(__xludf.DUMMYFUNCTION("""COMPUTED_VALUE"""),52)</f>
        <v>52</v>
      </c>
      <c r="E125">
        <f ca="1">IFERROR(__xludf.DUMMYFUNCTION("""COMPUTED_VALUE"""),1.3)</f>
        <v>1.3</v>
      </c>
      <c r="F125">
        <f ca="1">IFERROR(__xludf.DUMMYFUNCTION("""COMPUTED_VALUE"""),67.54)</f>
        <v>67.540000000000006</v>
      </c>
      <c r="G125">
        <f ca="1">IFERROR(__xludf.DUMMYFUNCTION("""COMPUTED_VALUE"""),-22.51)</f>
        <v>-22.51</v>
      </c>
      <c r="H125">
        <f ca="1">IFERROR(__xludf.DUMMYFUNCTION("""COMPUTED_VALUE"""),44.21)</f>
        <v>44.21</v>
      </c>
      <c r="I125" t="str">
        <f ca="1">IFERROR(__xludf.DUMMYFUNCTION("""COMPUTED_VALUE"""),"")</f>
        <v/>
      </c>
    </row>
    <row r="126" spans="1:9" ht="12.75">
      <c r="A126">
        <f ca="1">IFERROR(__xludf.DUMMYFUNCTION("""COMPUTED_VALUE"""),125)</f>
        <v>125</v>
      </c>
      <c r="B126">
        <f ca="1">IFERROR(__xludf.DUMMYFUNCTION("""COMPUTED_VALUE"""),123)</f>
        <v>123</v>
      </c>
      <c r="C126" t="str">
        <f ca="1">IFERROR(__xludf.DUMMYFUNCTION("""COMPUTED_VALUE"""),"Zach Johnson")</f>
        <v>Zach Johnson</v>
      </c>
      <c r="D126">
        <f ca="1">IFERROR(__xludf.DUMMYFUNCTION("""COMPUTED_VALUE"""),44)</f>
        <v>44</v>
      </c>
      <c r="E126">
        <f ca="1">IFERROR(__xludf.DUMMYFUNCTION("""COMPUTED_VALUE"""),1.29)</f>
        <v>1.29</v>
      </c>
      <c r="F126">
        <f ca="1">IFERROR(__xludf.DUMMYFUNCTION("""COMPUTED_VALUE"""),56.89)</f>
        <v>56.89</v>
      </c>
      <c r="G126">
        <f ca="1">IFERROR(__xludf.DUMMYFUNCTION("""COMPUTED_VALUE"""),-28.14)</f>
        <v>-28.14</v>
      </c>
      <c r="H126">
        <f ca="1">IFERROR(__xludf.DUMMYFUNCTION("""COMPUTED_VALUE"""),48.07)</f>
        <v>48.07</v>
      </c>
      <c r="I126" t="str">
        <f ca="1">IFERROR(__xludf.DUMMYFUNCTION("""COMPUTED_VALUE"""),"")</f>
        <v/>
      </c>
    </row>
    <row r="127" spans="1:9" ht="12.75">
      <c r="A127">
        <f ca="1">IFERROR(__xludf.DUMMYFUNCTION("""COMPUTED_VALUE"""),126)</f>
        <v>126</v>
      </c>
      <c r="B127">
        <f ca="1">IFERROR(__xludf.DUMMYFUNCTION("""COMPUTED_VALUE"""),125)</f>
        <v>125</v>
      </c>
      <c r="C127" t="str">
        <f ca="1">IFERROR(__xludf.DUMMYFUNCTION("""COMPUTED_VALUE"""),"Benjamin Hebert")</f>
        <v>Benjamin Hebert</v>
      </c>
      <c r="D127">
        <f ca="1">IFERROR(__xludf.DUMMYFUNCTION("""COMPUTED_VALUE"""),50)</f>
        <v>50</v>
      </c>
      <c r="E127">
        <f ca="1">IFERROR(__xludf.DUMMYFUNCTION("""COMPUTED_VALUE"""),1.27)</f>
        <v>1.27</v>
      </c>
      <c r="F127">
        <f ca="1">IFERROR(__xludf.DUMMYFUNCTION("""COMPUTED_VALUE"""),63.61)</f>
        <v>63.61</v>
      </c>
      <c r="G127">
        <f ca="1">IFERROR(__xludf.DUMMYFUNCTION("""COMPUTED_VALUE"""),-38.13)</f>
        <v>-38.130000000000003</v>
      </c>
      <c r="H127">
        <f ca="1">IFERROR(__xludf.DUMMYFUNCTION("""COMPUTED_VALUE"""),21.01)</f>
        <v>21.01</v>
      </c>
      <c r="I127" t="str">
        <f ca="1">IFERROR(__xludf.DUMMYFUNCTION("""COMPUTED_VALUE"""),"")</f>
        <v/>
      </c>
    </row>
    <row r="128" spans="1:9" ht="12.75">
      <c r="A128">
        <f ca="1">IFERROR(__xludf.DUMMYFUNCTION("""COMPUTED_VALUE"""),127)</f>
        <v>127</v>
      </c>
      <c r="B128">
        <f ca="1">IFERROR(__xludf.DUMMYFUNCTION("""COMPUTED_VALUE"""),127)</f>
        <v>127</v>
      </c>
      <c r="C128" t="str">
        <f ca="1">IFERROR(__xludf.DUMMYFUNCTION("""COMPUTED_VALUE"""),"Joohyung Kim")</f>
        <v>Joohyung Kim</v>
      </c>
      <c r="D128">
        <f ca="1">IFERROR(__xludf.DUMMYFUNCTION("""COMPUTED_VALUE"""),40)</f>
        <v>40</v>
      </c>
      <c r="E128">
        <f ca="1">IFERROR(__xludf.DUMMYFUNCTION("""COMPUTED_VALUE"""),1.27)</f>
        <v>1.27</v>
      </c>
      <c r="F128">
        <f ca="1">IFERROR(__xludf.DUMMYFUNCTION("""COMPUTED_VALUE"""),50.68)</f>
        <v>50.68</v>
      </c>
      <c r="G128">
        <f ca="1">IFERROR(__xludf.DUMMYFUNCTION("""COMPUTED_VALUE"""),-18.39)</f>
        <v>-18.39</v>
      </c>
      <c r="H128">
        <f ca="1">IFERROR(__xludf.DUMMYFUNCTION("""COMPUTED_VALUE"""),28.15)</f>
        <v>28.15</v>
      </c>
      <c r="I128" t="str">
        <f ca="1">IFERROR(__xludf.DUMMYFUNCTION("""COMPUTED_VALUE"""),"")</f>
        <v/>
      </c>
    </row>
    <row r="129" spans="1:9" ht="12.75">
      <c r="A129">
        <f ca="1">IFERROR(__xludf.DUMMYFUNCTION("""COMPUTED_VALUE"""),128)</f>
        <v>128</v>
      </c>
      <c r="B129">
        <f ca="1">IFERROR(__xludf.DUMMYFUNCTION("""COMPUTED_VALUE"""),124)</f>
        <v>124</v>
      </c>
      <c r="C129" t="str">
        <f ca="1">IFERROR(__xludf.DUMMYFUNCTION("""COMPUTED_VALUE"""),"Branden Grace")</f>
        <v>Branden Grace</v>
      </c>
      <c r="D129">
        <f ca="1">IFERROR(__xludf.DUMMYFUNCTION("""COMPUTED_VALUE"""),52)</f>
        <v>52</v>
      </c>
      <c r="E129">
        <f ca="1">IFERROR(__xludf.DUMMYFUNCTION("""COMPUTED_VALUE"""),1.26)</f>
        <v>1.26</v>
      </c>
      <c r="F129">
        <f ca="1">IFERROR(__xludf.DUMMYFUNCTION("""COMPUTED_VALUE"""),65.7)</f>
        <v>65.7</v>
      </c>
      <c r="G129">
        <f ca="1">IFERROR(__xludf.DUMMYFUNCTION("""COMPUTED_VALUE"""),-50.62)</f>
        <v>-50.62</v>
      </c>
      <c r="H129">
        <f ca="1">IFERROR(__xludf.DUMMYFUNCTION("""COMPUTED_VALUE"""),50.6)</f>
        <v>50.6</v>
      </c>
      <c r="I129" t="str">
        <f ca="1">IFERROR(__xludf.DUMMYFUNCTION("""COMPUTED_VALUE"""),"")</f>
        <v/>
      </c>
    </row>
    <row r="130" spans="1:9" ht="12.75">
      <c r="A130">
        <f ca="1">IFERROR(__xludf.DUMMYFUNCTION("""COMPUTED_VALUE"""),129)</f>
        <v>129</v>
      </c>
      <c r="B130">
        <f ca="1">IFERROR(__xludf.DUMMYFUNCTION("""COMPUTED_VALUE"""),164)</f>
        <v>164</v>
      </c>
      <c r="C130" t="str">
        <f ca="1">IFERROR(__xludf.DUMMYFUNCTION("""COMPUTED_VALUE"""),"Sepp Straka")</f>
        <v>Sepp Straka</v>
      </c>
      <c r="D130">
        <f ca="1">IFERROR(__xludf.DUMMYFUNCTION("""COMPUTED_VALUE"""),52)</f>
        <v>52</v>
      </c>
      <c r="E130">
        <f ca="1">IFERROR(__xludf.DUMMYFUNCTION("""COMPUTED_VALUE"""),1.25)</f>
        <v>1.25</v>
      </c>
      <c r="F130">
        <f ca="1">IFERROR(__xludf.DUMMYFUNCTION("""COMPUTED_VALUE"""),64.94)</f>
        <v>64.94</v>
      </c>
      <c r="G130">
        <f ca="1">IFERROR(__xludf.DUMMYFUNCTION("""COMPUTED_VALUE"""),-25.63)</f>
        <v>-25.63</v>
      </c>
      <c r="H130">
        <f ca="1">IFERROR(__xludf.DUMMYFUNCTION("""COMPUTED_VALUE"""),48.69)</f>
        <v>48.69</v>
      </c>
      <c r="I130" t="str">
        <f ca="1">IFERROR(__xludf.DUMMYFUNCTION("""COMPUTED_VALUE"""),"")</f>
        <v/>
      </c>
    </row>
    <row r="131" spans="1:9" ht="12.75">
      <c r="A131">
        <f ca="1">IFERROR(__xludf.DUMMYFUNCTION("""COMPUTED_VALUE"""),130)</f>
        <v>130</v>
      </c>
      <c r="B131">
        <f ca="1">IFERROR(__xludf.DUMMYFUNCTION("""COMPUTED_VALUE"""),132)</f>
        <v>132</v>
      </c>
      <c r="C131" t="str">
        <f ca="1">IFERROR(__xludf.DUMMYFUNCTION("""COMPUTED_VALUE"""),"Nick Taylor")</f>
        <v>Nick Taylor</v>
      </c>
      <c r="D131">
        <f ca="1">IFERROR(__xludf.DUMMYFUNCTION("""COMPUTED_VALUE"""),51)</f>
        <v>51</v>
      </c>
      <c r="E131">
        <f ca="1">IFERROR(__xludf.DUMMYFUNCTION("""COMPUTED_VALUE"""),1.24)</f>
        <v>1.24</v>
      </c>
      <c r="F131">
        <f ca="1">IFERROR(__xludf.DUMMYFUNCTION("""COMPUTED_VALUE"""),63.35)</f>
        <v>63.35</v>
      </c>
      <c r="G131">
        <f ca="1">IFERROR(__xludf.DUMMYFUNCTION("""COMPUTED_VALUE"""),-27.29)</f>
        <v>-27.29</v>
      </c>
      <c r="H131">
        <f ca="1">IFERROR(__xludf.DUMMYFUNCTION("""COMPUTED_VALUE"""),52.29)</f>
        <v>52.29</v>
      </c>
      <c r="I131" t="str">
        <f ca="1">IFERROR(__xludf.DUMMYFUNCTION("""COMPUTED_VALUE"""),"")</f>
        <v/>
      </c>
    </row>
    <row r="132" spans="1:9" ht="12.75">
      <c r="A132">
        <f ca="1">IFERROR(__xludf.DUMMYFUNCTION("""COMPUTED_VALUE"""),131)</f>
        <v>131</v>
      </c>
      <c r="B132">
        <f ca="1">IFERROR(__xludf.DUMMYFUNCTION("""COMPUTED_VALUE"""),131)</f>
        <v>131</v>
      </c>
      <c r="C132" t="str">
        <f ca="1">IFERROR(__xludf.DUMMYFUNCTION("""COMPUTED_VALUE"""),"Richy Werenski")</f>
        <v>Richy Werenski</v>
      </c>
      <c r="D132">
        <f ca="1">IFERROR(__xludf.DUMMYFUNCTION("""COMPUTED_VALUE"""),52)</f>
        <v>52</v>
      </c>
      <c r="E132">
        <f ca="1">IFERROR(__xludf.DUMMYFUNCTION("""COMPUTED_VALUE"""),1.24)</f>
        <v>1.24</v>
      </c>
      <c r="F132">
        <f ca="1">IFERROR(__xludf.DUMMYFUNCTION("""COMPUTED_VALUE"""),64.27)</f>
        <v>64.27</v>
      </c>
      <c r="G132">
        <f ca="1">IFERROR(__xludf.DUMMYFUNCTION("""COMPUTED_VALUE"""),-24.48)</f>
        <v>-24.48</v>
      </c>
      <c r="H132">
        <f ca="1">IFERROR(__xludf.DUMMYFUNCTION("""COMPUTED_VALUE"""),51.98)</f>
        <v>51.98</v>
      </c>
      <c r="I132" t="str">
        <f ca="1">IFERROR(__xludf.DUMMYFUNCTION("""COMPUTED_VALUE"""),"")</f>
        <v/>
      </c>
    </row>
    <row r="133" spans="1:9" ht="12.75">
      <c r="A133">
        <f ca="1">IFERROR(__xludf.DUMMYFUNCTION("""COMPUTED_VALUE"""),132)</f>
        <v>132</v>
      </c>
      <c r="B133">
        <f ca="1">IFERROR(__xludf.DUMMYFUNCTION("""COMPUTED_VALUE"""),128)</f>
        <v>128</v>
      </c>
      <c r="C133" t="str">
        <f ca="1">IFERROR(__xludf.DUMMYFUNCTION("""COMPUTED_VALUE"""),"Paul Waring")</f>
        <v>Paul Waring</v>
      </c>
      <c r="D133">
        <f ca="1">IFERROR(__xludf.DUMMYFUNCTION("""COMPUTED_VALUE"""),43)</f>
        <v>43</v>
      </c>
      <c r="E133">
        <f ca="1">IFERROR(__xludf.DUMMYFUNCTION("""COMPUTED_VALUE"""),1.23)</f>
        <v>1.23</v>
      </c>
      <c r="F133">
        <f ca="1">IFERROR(__xludf.DUMMYFUNCTION("""COMPUTED_VALUE"""),53.07)</f>
        <v>53.07</v>
      </c>
      <c r="G133">
        <f ca="1">IFERROR(__xludf.DUMMYFUNCTION("""COMPUTED_VALUE"""),-41.25)</f>
        <v>-41.25</v>
      </c>
      <c r="H133">
        <f ca="1">IFERROR(__xludf.DUMMYFUNCTION("""COMPUTED_VALUE"""),10.5)</f>
        <v>10.5</v>
      </c>
      <c r="I133" t="str">
        <f ca="1">IFERROR(__xludf.DUMMYFUNCTION("""COMPUTED_VALUE"""),"")</f>
        <v/>
      </c>
    </row>
    <row r="134" spans="1:9" ht="12.75">
      <c r="A134">
        <f ca="1">IFERROR(__xludf.DUMMYFUNCTION("""COMPUTED_VALUE"""),133)</f>
        <v>133</v>
      </c>
      <c r="B134">
        <f ca="1">IFERROR(__xludf.DUMMYFUNCTION("""COMPUTED_VALUE"""),137)</f>
        <v>137</v>
      </c>
      <c r="C134" t="str">
        <f ca="1">IFERROR(__xludf.DUMMYFUNCTION("""COMPUTED_VALUE"""),"Justin Harding")</f>
        <v>Justin Harding</v>
      </c>
      <c r="D134">
        <f ca="1">IFERROR(__xludf.DUMMYFUNCTION("""COMPUTED_VALUE"""),52)</f>
        <v>52</v>
      </c>
      <c r="E134">
        <f ca="1">IFERROR(__xludf.DUMMYFUNCTION("""COMPUTED_VALUE"""),1.22)</f>
        <v>1.22</v>
      </c>
      <c r="F134">
        <f ca="1">IFERROR(__xludf.DUMMYFUNCTION("""COMPUTED_VALUE"""),63.35)</f>
        <v>63.35</v>
      </c>
      <c r="G134">
        <f ca="1">IFERROR(__xludf.DUMMYFUNCTION("""COMPUTED_VALUE"""),-61.17)</f>
        <v>-61.17</v>
      </c>
      <c r="H134">
        <f ca="1">IFERROR(__xludf.DUMMYFUNCTION("""COMPUTED_VALUE"""),27.61)</f>
        <v>27.61</v>
      </c>
      <c r="I134" t="str">
        <f ca="1">IFERROR(__xludf.DUMMYFUNCTION("""COMPUTED_VALUE"""),"")</f>
        <v/>
      </c>
    </row>
    <row r="135" spans="1:9" ht="12.75">
      <c r="A135">
        <f ca="1">IFERROR(__xludf.DUMMYFUNCTION("""COMPUTED_VALUE"""),134)</f>
        <v>134</v>
      </c>
      <c r="B135">
        <f ca="1">IFERROR(__xludf.DUMMYFUNCTION("""COMPUTED_VALUE"""),140)</f>
        <v>140</v>
      </c>
      <c r="C135" t="str">
        <f ca="1">IFERROR(__xludf.DUMMYFUNCTION("""COMPUTED_VALUE"""),"Troy Merritt")</f>
        <v>Troy Merritt</v>
      </c>
      <c r="D135">
        <f ca="1">IFERROR(__xludf.DUMMYFUNCTION("""COMPUTED_VALUE"""),52)</f>
        <v>52</v>
      </c>
      <c r="E135">
        <f ca="1">IFERROR(__xludf.DUMMYFUNCTION("""COMPUTED_VALUE"""),1.22)</f>
        <v>1.22</v>
      </c>
      <c r="F135">
        <f ca="1">IFERROR(__xludf.DUMMYFUNCTION("""COMPUTED_VALUE"""),63.33)</f>
        <v>63.33</v>
      </c>
      <c r="G135">
        <f ca="1">IFERROR(__xludf.DUMMYFUNCTION("""COMPUTED_VALUE"""),-33.66)</f>
        <v>-33.659999999999997</v>
      </c>
      <c r="H135">
        <f ca="1">IFERROR(__xludf.DUMMYFUNCTION("""COMPUTED_VALUE"""),38.55)</f>
        <v>38.549999999999997</v>
      </c>
      <c r="I135" t="str">
        <f ca="1">IFERROR(__xludf.DUMMYFUNCTION("""COMPUTED_VALUE"""),"")</f>
        <v/>
      </c>
    </row>
    <row r="136" spans="1:9" ht="12.75">
      <c r="A136">
        <f ca="1">IFERROR(__xludf.DUMMYFUNCTION("""COMPUTED_VALUE"""),135)</f>
        <v>135</v>
      </c>
      <c r="B136">
        <f ca="1">IFERROR(__xludf.DUMMYFUNCTION("""COMPUTED_VALUE"""),129)</f>
        <v>129</v>
      </c>
      <c r="C136" t="str">
        <f ca="1">IFERROR(__xludf.DUMMYFUNCTION("""COMPUTED_VALUE"""),"Andrew Landry")</f>
        <v>Andrew Landry</v>
      </c>
      <c r="D136">
        <f ca="1">IFERROR(__xludf.DUMMYFUNCTION("""COMPUTED_VALUE"""),52)</f>
        <v>52</v>
      </c>
      <c r="E136">
        <f ca="1">IFERROR(__xludf.DUMMYFUNCTION("""COMPUTED_VALUE"""),1.22)</f>
        <v>1.22</v>
      </c>
      <c r="F136">
        <f ca="1">IFERROR(__xludf.DUMMYFUNCTION("""COMPUTED_VALUE"""),63.32)</f>
        <v>63.32</v>
      </c>
      <c r="G136">
        <f ca="1">IFERROR(__xludf.DUMMYFUNCTION("""COMPUTED_VALUE"""),-32.97)</f>
        <v>-32.97</v>
      </c>
      <c r="H136">
        <f ca="1">IFERROR(__xludf.DUMMYFUNCTION("""COMPUTED_VALUE"""),57.41)</f>
        <v>57.41</v>
      </c>
      <c r="I136" t="str">
        <f ca="1">IFERROR(__xludf.DUMMYFUNCTION("""COMPUTED_VALUE"""),"")</f>
        <v/>
      </c>
    </row>
    <row r="137" spans="1:9" ht="12.75">
      <c r="A137">
        <f ca="1">IFERROR(__xludf.DUMMYFUNCTION("""COMPUTED_VALUE"""),136)</f>
        <v>136</v>
      </c>
      <c r="B137">
        <f ca="1">IFERROR(__xludf.DUMMYFUNCTION("""COMPUTED_VALUE"""),130)</f>
        <v>130</v>
      </c>
      <c r="C137" t="str">
        <f ca="1">IFERROR(__xludf.DUMMYFUNCTION("""COMPUTED_VALUE"""),"Stewart Cink")</f>
        <v>Stewart Cink</v>
      </c>
      <c r="D137">
        <f ca="1">IFERROR(__xludf.DUMMYFUNCTION("""COMPUTED_VALUE"""),41)</f>
        <v>41</v>
      </c>
      <c r="E137">
        <f ca="1">IFERROR(__xludf.DUMMYFUNCTION("""COMPUTED_VALUE"""),1.22)</f>
        <v>1.22</v>
      </c>
      <c r="F137">
        <f ca="1">IFERROR(__xludf.DUMMYFUNCTION("""COMPUTED_VALUE"""),49.84)</f>
        <v>49.84</v>
      </c>
      <c r="G137">
        <f ca="1">IFERROR(__xludf.DUMMYFUNCTION("""COMPUTED_VALUE"""),-29.14)</f>
        <v>-29.14</v>
      </c>
      <c r="H137">
        <f ca="1">IFERROR(__xludf.DUMMYFUNCTION("""COMPUTED_VALUE"""),42.32)</f>
        <v>42.32</v>
      </c>
      <c r="I137" t="str">
        <f ca="1">IFERROR(__xludf.DUMMYFUNCTION("""COMPUTED_VALUE"""),"")</f>
        <v/>
      </c>
    </row>
    <row r="138" spans="1:9" ht="12.75">
      <c r="A138">
        <f ca="1">IFERROR(__xludf.DUMMYFUNCTION("""COMPUTED_VALUE"""),137)</f>
        <v>137</v>
      </c>
      <c r="B138">
        <f ca="1">IFERROR(__xludf.DUMMYFUNCTION("""COMPUTED_VALUE"""),135)</f>
        <v>135</v>
      </c>
      <c r="C138" t="str">
        <f ca="1">IFERROR(__xludf.DUMMYFUNCTION("""COMPUTED_VALUE"""),"Tom Hoge")</f>
        <v>Tom Hoge</v>
      </c>
      <c r="D138">
        <f ca="1">IFERROR(__xludf.DUMMYFUNCTION("""COMPUTED_VALUE"""),52)</f>
        <v>52</v>
      </c>
      <c r="E138">
        <f ca="1">IFERROR(__xludf.DUMMYFUNCTION("""COMPUTED_VALUE"""),1.21)</f>
        <v>1.21</v>
      </c>
      <c r="F138">
        <f ca="1">IFERROR(__xludf.DUMMYFUNCTION("""COMPUTED_VALUE"""),62.76)</f>
        <v>62.76</v>
      </c>
      <c r="G138">
        <f ca="1">IFERROR(__xludf.DUMMYFUNCTION("""COMPUTED_VALUE"""),-24)</f>
        <v>-24</v>
      </c>
      <c r="H138">
        <f ca="1">IFERROR(__xludf.DUMMYFUNCTION("""COMPUTED_VALUE"""),48.75)</f>
        <v>48.75</v>
      </c>
      <c r="I138" t="str">
        <f ca="1">IFERROR(__xludf.DUMMYFUNCTION("""COMPUTED_VALUE"""),"")</f>
        <v/>
      </c>
    </row>
    <row r="139" spans="1:9" ht="12.75">
      <c r="A139">
        <f ca="1">IFERROR(__xludf.DUMMYFUNCTION("""COMPUTED_VALUE"""),138)</f>
        <v>138</v>
      </c>
      <c r="B139">
        <f ca="1">IFERROR(__xludf.DUMMYFUNCTION("""COMPUTED_VALUE"""),133)</f>
        <v>133</v>
      </c>
      <c r="C139" t="str">
        <f ca="1">IFERROR(__xludf.DUMMYFUNCTION("""COMPUTED_VALUE"""),"Brad Kennedy")</f>
        <v>Brad Kennedy</v>
      </c>
      <c r="D139">
        <f ca="1">IFERROR(__xludf.DUMMYFUNCTION("""COMPUTED_VALUE"""),40)</f>
        <v>40</v>
      </c>
      <c r="E139">
        <f ca="1">IFERROR(__xludf.DUMMYFUNCTION("""COMPUTED_VALUE"""),1.21)</f>
        <v>1.21</v>
      </c>
      <c r="F139">
        <f ca="1">IFERROR(__xludf.DUMMYFUNCTION("""COMPUTED_VALUE"""),48.23)</f>
        <v>48.23</v>
      </c>
      <c r="G139">
        <f ca="1">IFERROR(__xludf.DUMMYFUNCTION("""COMPUTED_VALUE"""),-28.88)</f>
        <v>-28.88</v>
      </c>
      <c r="H139">
        <f ca="1">IFERROR(__xludf.DUMMYFUNCTION("""COMPUTED_VALUE"""),21.66)</f>
        <v>21.66</v>
      </c>
      <c r="I139" t="str">
        <f ca="1">IFERROR(__xludf.DUMMYFUNCTION("""COMPUTED_VALUE"""),"")</f>
        <v/>
      </c>
    </row>
    <row r="140" spans="1:9" ht="12.75">
      <c r="A140">
        <f ca="1">IFERROR(__xludf.DUMMYFUNCTION("""COMPUTED_VALUE"""),139)</f>
        <v>139</v>
      </c>
      <c r="B140">
        <f ca="1">IFERROR(__xludf.DUMMYFUNCTION("""COMPUTED_VALUE"""),143)</f>
        <v>143</v>
      </c>
      <c r="C140" t="str">
        <f ca="1">IFERROR(__xludf.DUMMYFUNCTION("""COMPUTED_VALUE"""),"Scott Piercy")</f>
        <v>Scott Piercy</v>
      </c>
      <c r="D140">
        <f ca="1">IFERROR(__xludf.DUMMYFUNCTION("""COMPUTED_VALUE"""),50)</f>
        <v>50</v>
      </c>
      <c r="E140">
        <f ca="1">IFERROR(__xludf.DUMMYFUNCTION("""COMPUTED_VALUE"""),1.2)</f>
        <v>1.2</v>
      </c>
      <c r="F140">
        <f ca="1">IFERROR(__xludf.DUMMYFUNCTION("""COMPUTED_VALUE"""),60)</f>
        <v>60</v>
      </c>
      <c r="G140">
        <f ca="1">IFERROR(__xludf.DUMMYFUNCTION("""COMPUTED_VALUE"""),-43.71)</f>
        <v>-43.71</v>
      </c>
      <c r="H140">
        <f ca="1">IFERROR(__xludf.DUMMYFUNCTION("""COMPUTED_VALUE"""),30.46)</f>
        <v>30.46</v>
      </c>
      <c r="I140" t="str">
        <f ca="1">IFERROR(__xludf.DUMMYFUNCTION("""COMPUTED_VALUE"""),"")</f>
        <v/>
      </c>
    </row>
    <row r="141" spans="1:9" ht="12.75">
      <c r="A141">
        <f ca="1">IFERROR(__xludf.DUMMYFUNCTION("""COMPUTED_VALUE"""),140)</f>
        <v>140</v>
      </c>
      <c r="B141">
        <f ca="1">IFERROR(__xludf.DUMMYFUNCTION("""COMPUTED_VALUE"""),138)</f>
        <v>138</v>
      </c>
      <c r="C141" t="str">
        <f ca="1">IFERROR(__xludf.DUMMYFUNCTION("""COMPUTED_VALUE"""),"Renato Paratore")</f>
        <v>Renato Paratore</v>
      </c>
      <c r="D141">
        <f ca="1">IFERROR(__xludf.DUMMYFUNCTION("""COMPUTED_VALUE"""),52)</f>
        <v>52</v>
      </c>
      <c r="E141">
        <f ca="1">IFERROR(__xludf.DUMMYFUNCTION("""COMPUTED_VALUE"""),1.19)</f>
        <v>1.19</v>
      </c>
      <c r="F141">
        <f ca="1">IFERROR(__xludf.DUMMYFUNCTION("""COMPUTED_VALUE"""),62.08)</f>
        <v>62.08</v>
      </c>
      <c r="G141">
        <f ca="1">IFERROR(__xludf.DUMMYFUNCTION("""COMPUTED_VALUE"""),-18.12)</f>
        <v>-18.12</v>
      </c>
      <c r="H141">
        <f ca="1">IFERROR(__xludf.DUMMYFUNCTION("""COMPUTED_VALUE"""),46.37)</f>
        <v>46.37</v>
      </c>
      <c r="I141" t="str">
        <f ca="1">IFERROR(__xludf.DUMMYFUNCTION("""COMPUTED_VALUE"""),"")</f>
        <v/>
      </c>
    </row>
    <row r="142" spans="1:9" ht="12.75">
      <c r="A142">
        <f ca="1">IFERROR(__xludf.DUMMYFUNCTION("""COMPUTED_VALUE"""),141)</f>
        <v>141</v>
      </c>
      <c r="B142">
        <f ca="1">IFERROR(__xludf.DUMMYFUNCTION("""COMPUTED_VALUE"""),142)</f>
        <v>142</v>
      </c>
      <c r="C142" t="str">
        <f ca="1">IFERROR(__xludf.DUMMYFUNCTION("""COMPUTED_VALUE"""),"Charley Hoffman")</f>
        <v>Charley Hoffman</v>
      </c>
      <c r="D142">
        <f ca="1">IFERROR(__xludf.DUMMYFUNCTION("""COMPUTED_VALUE"""),51)</f>
        <v>51</v>
      </c>
      <c r="E142">
        <f ca="1">IFERROR(__xludf.DUMMYFUNCTION("""COMPUTED_VALUE"""),1.19)</f>
        <v>1.19</v>
      </c>
      <c r="F142">
        <f ca="1">IFERROR(__xludf.DUMMYFUNCTION("""COMPUTED_VALUE"""),60.73)</f>
        <v>60.73</v>
      </c>
      <c r="G142">
        <f ca="1">IFERROR(__xludf.DUMMYFUNCTION("""COMPUTED_VALUE"""),-35.17)</f>
        <v>-35.17</v>
      </c>
      <c r="H142">
        <f ca="1">IFERROR(__xludf.DUMMYFUNCTION("""COMPUTED_VALUE"""),44.03)</f>
        <v>44.03</v>
      </c>
      <c r="I142" t="str">
        <f ca="1">IFERROR(__xludf.DUMMYFUNCTION("""COMPUTED_VALUE"""),"")</f>
        <v/>
      </c>
    </row>
    <row r="143" spans="1:9" ht="12.75">
      <c r="A143">
        <f ca="1">IFERROR(__xludf.DUMMYFUNCTION("""COMPUTED_VALUE"""),142)</f>
        <v>142</v>
      </c>
      <c r="B143">
        <f ca="1">IFERROR(__xludf.DUMMYFUNCTION("""COMPUTED_VALUE"""),139)</f>
        <v>139</v>
      </c>
      <c r="C143" t="str">
        <f ca="1">IFERROR(__xludf.DUMMYFUNCTION("""COMPUTED_VALUE"""),"Wyndham Clark")</f>
        <v>Wyndham Clark</v>
      </c>
      <c r="D143">
        <f ca="1">IFERROR(__xludf.DUMMYFUNCTION("""COMPUTED_VALUE"""),52)</f>
        <v>52</v>
      </c>
      <c r="E143">
        <f ca="1">IFERROR(__xludf.DUMMYFUNCTION("""COMPUTED_VALUE"""),1.19)</f>
        <v>1.19</v>
      </c>
      <c r="F143">
        <f ca="1">IFERROR(__xludf.DUMMYFUNCTION("""COMPUTED_VALUE"""),61.77)</f>
        <v>61.77</v>
      </c>
      <c r="G143">
        <f ca="1">IFERROR(__xludf.DUMMYFUNCTION("""COMPUTED_VALUE"""),-27.2)</f>
        <v>-27.2</v>
      </c>
      <c r="H143">
        <f ca="1">IFERROR(__xludf.DUMMYFUNCTION("""COMPUTED_VALUE"""),37.57)</f>
        <v>37.57</v>
      </c>
      <c r="I143" t="str">
        <f ca="1">IFERROR(__xludf.DUMMYFUNCTION("""COMPUTED_VALUE"""),"")</f>
        <v/>
      </c>
    </row>
    <row r="144" spans="1:9" ht="12.75">
      <c r="A144">
        <f ca="1">IFERROR(__xludf.DUMMYFUNCTION("""COMPUTED_VALUE"""),143)</f>
        <v>143</v>
      </c>
      <c r="B144">
        <f ca="1">IFERROR(__xludf.DUMMYFUNCTION("""COMPUTED_VALUE"""),136)</f>
        <v>136</v>
      </c>
      <c r="C144" t="str">
        <f ca="1">IFERROR(__xludf.DUMMYFUNCTION("""COMPUTED_VALUE"""),"Tyler Duncan")</f>
        <v>Tyler Duncan</v>
      </c>
      <c r="D144">
        <f ca="1">IFERROR(__xludf.DUMMYFUNCTION("""COMPUTED_VALUE"""),52)</f>
        <v>52</v>
      </c>
      <c r="E144">
        <f ca="1">IFERROR(__xludf.DUMMYFUNCTION("""COMPUTED_VALUE"""),1.19)</f>
        <v>1.19</v>
      </c>
      <c r="F144">
        <f ca="1">IFERROR(__xludf.DUMMYFUNCTION("""COMPUTED_VALUE"""),61.77)</f>
        <v>61.77</v>
      </c>
      <c r="G144">
        <f ca="1">IFERROR(__xludf.DUMMYFUNCTION("""COMPUTED_VALUE"""),-21.56)</f>
        <v>-21.56</v>
      </c>
      <c r="H144">
        <f ca="1">IFERROR(__xludf.DUMMYFUNCTION("""COMPUTED_VALUE"""),33.91)</f>
        <v>33.909999999999997</v>
      </c>
      <c r="I144" t="str">
        <f ca="1">IFERROR(__xludf.DUMMYFUNCTION("""COMPUTED_VALUE"""),"")</f>
        <v/>
      </c>
    </row>
    <row r="145" spans="1:9" ht="12.75">
      <c r="A145">
        <f ca="1">IFERROR(__xludf.DUMMYFUNCTION("""COMPUTED_VALUE"""),144)</f>
        <v>144</v>
      </c>
      <c r="B145">
        <f ca="1">IFERROR(__xludf.DUMMYFUNCTION("""COMPUTED_VALUE"""),141)</f>
        <v>141</v>
      </c>
      <c r="C145" t="str">
        <f ca="1">IFERROR(__xludf.DUMMYFUNCTION("""COMPUTED_VALUE"""),"Adri Arnaus")</f>
        <v>Adri Arnaus</v>
      </c>
      <c r="D145">
        <f ca="1">IFERROR(__xludf.DUMMYFUNCTION("""COMPUTED_VALUE"""),52)</f>
        <v>52</v>
      </c>
      <c r="E145">
        <f ca="1">IFERROR(__xludf.DUMMYFUNCTION("""COMPUTED_VALUE"""),1.17)</f>
        <v>1.17</v>
      </c>
      <c r="F145">
        <f ca="1">IFERROR(__xludf.DUMMYFUNCTION("""COMPUTED_VALUE"""),61.04)</f>
        <v>61.04</v>
      </c>
      <c r="G145">
        <f ca="1">IFERROR(__xludf.DUMMYFUNCTION("""COMPUTED_VALUE"""),-41.26)</f>
        <v>-41.26</v>
      </c>
      <c r="H145">
        <f ca="1">IFERROR(__xludf.DUMMYFUNCTION("""COMPUTED_VALUE"""),30.79)</f>
        <v>30.79</v>
      </c>
      <c r="I145" t="str">
        <f ca="1">IFERROR(__xludf.DUMMYFUNCTION("""COMPUTED_VALUE"""),"")</f>
        <v/>
      </c>
    </row>
    <row r="146" spans="1:9" ht="12.75">
      <c r="A146">
        <f ca="1">IFERROR(__xludf.DUMMYFUNCTION("""COMPUTED_VALUE"""),145)</f>
        <v>145</v>
      </c>
      <c r="B146">
        <f ca="1">IFERROR(__xludf.DUMMYFUNCTION("""COMPUTED_VALUE"""),134)</f>
        <v>134</v>
      </c>
      <c r="C146" t="str">
        <f ca="1">IFERROR(__xludf.DUMMYFUNCTION("""COMPUTED_VALUE"""),"Haotong Li")</f>
        <v>Haotong Li</v>
      </c>
      <c r="D146">
        <f ca="1">IFERROR(__xludf.DUMMYFUNCTION("""COMPUTED_VALUE"""),52)</f>
        <v>52</v>
      </c>
      <c r="E146">
        <f ca="1">IFERROR(__xludf.DUMMYFUNCTION("""COMPUTED_VALUE"""),1.17)</f>
        <v>1.17</v>
      </c>
      <c r="F146">
        <f ca="1">IFERROR(__xludf.DUMMYFUNCTION("""COMPUTED_VALUE"""),60.89)</f>
        <v>60.89</v>
      </c>
      <c r="G146">
        <f ca="1">IFERROR(__xludf.DUMMYFUNCTION("""COMPUTED_VALUE"""),-61.68)</f>
        <v>-61.68</v>
      </c>
      <c r="H146">
        <f ca="1">IFERROR(__xludf.DUMMYFUNCTION("""COMPUTED_VALUE"""),20.66)</f>
        <v>20.66</v>
      </c>
      <c r="I146" t="str">
        <f ca="1">IFERROR(__xludf.DUMMYFUNCTION("""COMPUTED_VALUE"""),"")</f>
        <v/>
      </c>
    </row>
    <row r="147" spans="1:9" ht="12.75">
      <c r="A147">
        <f ca="1">IFERROR(__xludf.DUMMYFUNCTION("""COMPUTED_VALUE"""),146)</f>
        <v>146</v>
      </c>
      <c r="B147">
        <f ca="1">IFERROR(__xludf.DUMMYFUNCTION("""COMPUTED_VALUE"""),146)</f>
        <v>146</v>
      </c>
      <c r="C147" t="str">
        <f ca="1">IFERROR(__xludf.DUMMYFUNCTION("""COMPUTED_VALUE"""),"Ryan Moore")</f>
        <v>Ryan Moore</v>
      </c>
      <c r="D147">
        <f ca="1">IFERROR(__xludf.DUMMYFUNCTION("""COMPUTED_VALUE"""),40)</f>
        <v>40</v>
      </c>
      <c r="E147">
        <f ca="1">IFERROR(__xludf.DUMMYFUNCTION("""COMPUTED_VALUE"""),1.16)</f>
        <v>1.1599999999999999</v>
      </c>
      <c r="F147">
        <f ca="1">IFERROR(__xludf.DUMMYFUNCTION("""COMPUTED_VALUE"""),46.4)</f>
        <v>46.4</v>
      </c>
      <c r="G147">
        <f ca="1">IFERROR(__xludf.DUMMYFUNCTION("""COMPUTED_VALUE"""),-42.77)</f>
        <v>-42.77</v>
      </c>
      <c r="H147">
        <f ca="1">IFERROR(__xludf.DUMMYFUNCTION("""COMPUTED_VALUE"""),20.09)</f>
        <v>20.09</v>
      </c>
      <c r="I147" t="str">
        <f ca="1">IFERROR(__xludf.DUMMYFUNCTION("""COMPUTED_VALUE"""),"")</f>
        <v/>
      </c>
    </row>
    <row r="148" spans="1:9" ht="12.75">
      <c r="A148">
        <f ca="1">IFERROR(__xludf.DUMMYFUNCTION("""COMPUTED_VALUE"""),147)</f>
        <v>147</v>
      </c>
      <c r="B148">
        <f ca="1">IFERROR(__xludf.DUMMYFUNCTION("""COMPUTED_VALUE"""),144)</f>
        <v>144</v>
      </c>
      <c r="C148" t="str">
        <f ca="1">IFERROR(__xludf.DUMMYFUNCTION("""COMPUTED_VALUE"""),"Joost Luiten")</f>
        <v>Joost Luiten</v>
      </c>
      <c r="D148">
        <f ca="1">IFERROR(__xludf.DUMMYFUNCTION("""COMPUTED_VALUE"""),48)</f>
        <v>48</v>
      </c>
      <c r="E148">
        <f ca="1">IFERROR(__xludf.DUMMYFUNCTION("""COMPUTED_VALUE"""),1.16)</f>
        <v>1.1599999999999999</v>
      </c>
      <c r="F148">
        <f ca="1">IFERROR(__xludf.DUMMYFUNCTION("""COMPUTED_VALUE"""),55.5)</f>
        <v>55.5</v>
      </c>
      <c r="G148">
        <f ca="1">IFERROR(__xludf.DUMMYFUNCTION("""COMPUTED_VALUE"""),-34.69)</f>
        <v>-34.69</v>
      </c>
      <c r="H148">
        <f ca="1">IFERROR(__xludf.DUMMYFUNCTION("""COMPUTED_VALUE"""),22.75)</f>
        <v>22.75</v>
      </c>
      <c r="I148" t="str">
        <f ca="1">IFERROR(__xludf.DUMMYFUNCTION("""COMPUTED_VALUE"""),"")</f>
        <v/>
      </c>
    </row>
    <row r="149" spans="1:9" ht="12.75">
      <c r="A149">
        <f ca="1">IFERROR(__xludf.DUMMYFUNCTION("""COMPUTED_VALUE"""),148)</f>
        <v>148</v>
      </c>
      <c r="B149">
        <f ca="1">IFERROR(__xludf.DUMMYFUNCTION("""COMPUTED_VALUE"""),147)</f>
        <v>147</v>
      </c>
      <c r="C149" t="str">
        <f ca="1">IFERROR(__xludf.DUMMYFUNCTION("""COMPUTED_VALUE"""),"Danie van Tonder")</f>
        <v>Danie van Tonder</v>
      </c>
      <c r="D149">
        <f ca="1">IFERROR(__xludf.DUMMYFUNCTION("""COMPUTED_VALUE"""),45)</f>
        <v>45</v>
      </c>
      <c r="E149">
        <f ca="1">IFERROR(__xludf.DUMMYFUNCTION("""COMPUTED_VALUE"""),1.15)</f>
        <v>1.1499999999999999</v>
      </c>
      <c r="F149">
        <f ca="1">IFERROR(__xludf.DUMMYFUNCTION("""COMPUTED_VALUE"""),51.96)</f>
        <v>51.96</v>
      </c>
      <c r="G149">
        <f ca="1">IFERROR(__xludf.DUMMYFUNCTION("""COMPUTED_VALUE"""),-16.79)</f>
        <v>-16.79</v>
      </c>
      <c r="H149">
        <f ca="1">IFERROR(__xludf.DUMMYFUNCTION("""COMPUTED_VALUE"""),40.81)</f>
        <v>40.81</v>
      </c>
      <c r="I149" t="str">
        <f ca="1">IFERROR(__xludf.DUMMYFUNCTION("""COMPUTED_VALUE"""),"")</f>
        <v/>
      </c>
    </row>
    <row r="150" spans="1:9" ht="12.75">
      <c r="A150">
        <f ca="1">IFERROR(__xludf.DUMMYFUNCTION("""COMPUTED_VALUE"""),149)</f>
        <v>149</v>
      </c>
      <c r="B150">
        <f ca="1">IFERROR(__xludf.DUMMYFUNCTION("""COMPUTED_VALUE"""),145)</f>
        <v>145</v>
      </c>
      <c r="C150" t="str">
        <f ca="1">IFERROR(__xludf.DUMMYFUNCTION("""COMPUTED_VALUE"""),"Jung-gon Hwang")</f>
        <v>Jung-gon Hwang</v>
      </c>
      <c r="D150">
        <f ca="1">IFERROR(__xludf.DUMMYFUNCTION("""COMPUTED_VALUE"""),40)</f>
        <v>40</v>
      </c>
      <c r="E150">
        <f ca="1">IFERROR(__xludf.DUMMYFUNCTION("""COMPUTED_VALUE"""),1.14)</f>
        <v>1.1399999999999999</v>
      </c>
      <c r="F150">
        <f ca="1">IFERROR(__xludf.DUMMYFUNCTION("""COMPUTED_VALUE"""),45.43)</f>
        <v>45.43</v>
      </c>
      <c r="G150">
        <f ca="1">IFERROR(__xludf.DUMMYFUNCTION("""COMPUTED_VALUE"""),-35.08)</f>
        <v>-35.08</v>
      </c>
      <c r="H150">
        <f ca="1">IFERROR(__xludf.DUMMYFUNCTION("""COMPUTED_VALUE"""),0)</f>
        <v>0</v>
      </c>
      <c r="I150" t="str">
        <f ca="1">IFERROR(__xludf.DUMMYFUNCTION("""COMPUTED_VALUE"""),"")</f>
        <v/>
      </c>
    </row>
    <row r="151" spans="1:9" ht="12.75">
      <c r="A151">
        <f ca="1">IFERROR(__xludf.DUMMYFUNCTION("""COMPUTED_VALUE"""),150)</f>
        <v>150</v>
      </c>
      <c r="B151">
        <f ca="1">IFERROR(__xludf.DUMMYFUNCTION("""COMPUTED_VALUE"""),168)</f>
        <v>168</v>
      </c>
      <c r="C151" t="str">
        <f ca="1">IFERROR(__xludf.DUMMYFUNCTION("""COMPUTED_VALUE"""),"Callum Shinkwin")</f>
        <v>Callum Shinkwin</v>
      </c>
      <c r="D151">
        <f ca="1">IFERROR(__xludf.DUMMYFUNCTION("""COMPUTED_VALUE"""),45)</f>
        <v>45</v>
      </c>
      <c r="E151">
        <f ca="1">IFERROR(__xludf.DUMMYFUNCTION("""COMPUTED_VALUE"""),1.14)</f>
        <v>1.1399999999999999</v>
      </c>
      <c r="F151">
        <f ca="1">IFERROR(__xludf.DUMMYFUNCTION("""COMPUTED_VALUE"""),51.09)</f>
        <v>51.09</v>
      </c>
      <c r="G151">
        <f ca="1">IFERROR(__xludf.DUMMYFUNCTION("""COMPUTED_VALUE"""),-12.36)</f>
        <v>-12.36</v>
      </c>
      <c r="H151">
        <f ca="1">IFERROR(__xludf.DUMMYFUNCTION("""COMPUTED_VALUE"""),38.68)</f>
        <v>38.68</v>
      </c>
      <c r="I151" t="str">
        <f ca="1">IFERROR(__xludf.DUMMYFUNCTION("""COMPUTED_VALUE"""),"")</f>
        <v/>
      </c>
    </row>
    <row r="152" spans="1:9" ht="12.75">
      <c r="A152">
        <f ca="1">IFERROR(__xludf.DUMMYFUNCTION("""COMPUTED_VALUE"""),151)</f>
        <v>151</v>
      </c>
      <c r="B152">
        <f ca="1">IFERROR(__xludf.DUMMYFUNCTION("""COMPUTED_VALUE"""),148)</f>
        <v>148</v>
      </c>
      <c r="C152" t="str">
        <f ca="1">IFERROR(__xludf.DUMMYFUNCTION("""COMPUTED_VALUE"""),"Kristoffer Ventura")</f>
        <v>Kristoffer Ventura</v>
      </c>
      <c r="D152">
        <f ca="1">IFERROR(__xludf.DUMMYFUNCTION("""COMPUTED_VALUE"""),40)</f>
        <v>40</v>
      </c>
      <c r="E152">
        <f ca="1">IFERROR(__xludf.DUMMYFUNCTION("""COMPUTED_VALUE"""),1.12)</f>
        <v>1.1200000000000001</v>
      </c>
      <c r="F152">
        <f ca="1">IFERROR(__xludf.DUMMYFUNCTION("""COMPUTED_VALUE"""),44.87)</f>
        <v>44.87</v>
      </c>
      <c r="G152">
        <f ca="1">IFERROR(__xludf.DUMMYFUNCTION("""COMPUTED_VALUE"""),-17.33)</f>
        <v>-17.329999999999998</v>
      </c>
      <c r="H152">
        <f ca="1">IFERROR(__xludf.DUMMYFUNCTION("""COMPUTED_VALUE"""),23.87)</f>
        <v>23.87</v>
      </c>
      <c r="I152" t="str">
        <f ca="1">IFERROR(__xludf.DUMMYFUNCTION("""COMPUTED_VALUE"""),"")</f>
        <v/>
      </c>
    </row>
    <row r="153" spans="1:9" ht="12.75">
      <c r="A153">
        <f ca="1">IFERROR(__xludf.DUMMYFUNCTION("""COMPUTED_VALUE"""),152)</f>
        <v>152</v>
      </c>
      <c r="B153">
        <f ca="1">IFERROR(__xludf.DUMMYFUNCTION("""COMPUTED_VALUE"""),179)</f>
        <v>179</v>
      </c>
      <c r="C153" t="str">
        <f ca="1">IFERROR(__xludf.DUMMYFUNCTION("""COMPUTED_VALUE"""),"Sam Burns")</f>
        <v>Sam Burns</v>
      </c>
      <c r="D153">
        <f ca="1">IFERROR(__xludf.DUMMYFUNCTION("""COMPUTED_VALUE"""),52)</f>
        <v>52</v>
      </c>
      <c r="E153">
        <f ca="1">IFERROR(__xludf.DUMMYFUNCTION("""COMPUTED_VALUE"""),1.11)</f>
        <v>1.1100000000000001</v>
      </c>
      <c r="F153">
        <f ca="1">IFERROR(__xludf.DUMMYFUNCTION("""COMPUTED_VALUE"""),57.9)</f>
        <v>57.9</v>
      </c>
      <c r="G153">
        <f ca="1">IFERROR(__xludf.DUMMYFUNCTION("""COMPUTED_VALUE"""),-29.53)</f>
        <v>-29.53</v>
      </c>
      <c r="H153">
        <f ca="1">IFERROR(__xludf.DUMMYFUNCTION("""COMPUTED_VALUE"""),45.52)</f>
        <v>45.52</v>
      </c>
      <c r="I153" t="str">
        <f ca="1">IFERROR(__xludf.DUMMYFUNCTION("""COMPUTED_VALUE"""),"")</f>
        <v/>
      </c>
    </row>
    <row r="154" spans="1:9" ht="12.75">
      <c r="A154">
        <f ca="1">IFERROR(__xludf.DUMMYFUNCTION("""COMPUTED_VALUE"""),153)</f>
        <v>153</v>
      </c>
      <c r="B154">
        <f ca="1">IFERROR(__xludf.DUMMYFUNCTION("""COMPUTED_VALUE"""),150)</f>
        <v>150</v>
      </c>
      <c r="C154" t="str">
        <f ca="1">IFERROR(__xludf.DUMMYFUNCTION("""COMPUTED_VALUE"""),"Henrik Norlander")</f>
        <v>Henrik Norlander</v>
      </c>
      <c r="D154">
        <f ca="1">IFERROR(__xludf.DUMMYFUNCTION("""COMPUTED_VALUE"""),52)</f>
        <v>52</v>
      </c>
      <c r="E154">
        <f ca="1">IFERROR(__xludf.DUMMYFUNCTION("""COMPUTED_VALUE"""),1.11)</f>
        <v>1.1100000000000001</v>
      </c>
      <c r="F154">
        <f ca="1">IFERROR(__xludf.DUMMYFUNCTION("""COMPUTED_VALUE"""),57.84)</f>
        <v>57.84</v>
      </c>
      <c r="G154">
        <f ca="1">IFERROR(__xludf.DUMMYFUNCTION("""COMPUTED_VALUE"""),-20.5)</f>
        <v>-20.5</v>
      </c>
      <c r="H154">
        <f ca="1">IFERROR(__xludf.DUMMYFUNCTION("""COMPUTED_VALUE"""),42.35)</f>
        <v>42.35</v>
      </c>
      <c r="I154" t="str">
        <f ca="1">IFERROR(__xludf.DUMMYFUNCTION("""COMPUTED_VALUE"""),"")</f>
        <v/>
      </c>
    </row>
    <row r="155" spans="1:9" ht="12.75">
      <c r="A155">
        <f ca="1">IFERROR(__xludf.DUMMYFUNCTION("""COMPUTED_VALUE"""),154)</f>
        <v>154</v>
      </c>
      <c r="B155">
        <f ca="1">IFERROR(__xludf.DUMMYFUNCTION("""COMPUTED_VALUE"""),154)</f>
        <v>154</v>
      </c>
      <c r="C155" t="str">
        <f ca="1">IFERROR(__xludf.DUMMYFUNCTION("""COMPUTED_VALUE"""),"Adrian Otaegui")</f>
        <v>Adrian Otaegui</v>
      </c>
      <c r="D155">
        <f ca="1">IFERROR(__xludf.DUMMYFUNCTION("""COMPUTED_VALUE"""),52)</f>
        <v>52</v>
      </c>
      <c r="E155">
        <f ca="1">IFERROR(__xludf.DUMMYFUNCTION("""COMPUTED_VALUE"""),1.11)</f>
        <v>1.1100000000000001</v>
      </c>
      <c r="F155">
        <f ca="1">IFERROR(__xludf.DUMMYFUNCTION("""COMPUTED_VALUE"""),57.51)</f>
        <v>57.51</v>
      </c>
      <c r="G155">
        <f ca="1">IFERROR(__xludf.DUMMYFUNCTION("""COMPUTED_VALUE"""),-33.93)</f>
        <v>-33.93</v>
      </c>
      <c r="H155">
        <f ca="1">IFERROR(__xludf.DUMMYFUNCTION("""COMPUTED_VALUE"""),46.36)</f>
        <v>46.36</v>
      </c>
      <c r="I155" t="str">
        <f ca="1">IFERROR(__xludf.DUMMYFUNCTION("""COMPUTED_VALUE"""),"")</f>
        <v/>
      </c>
    </row>
    <row r="156" spans="1:9" ht="12.75">
      <c r="A156">
        <f ca="1">IFERROR(__xludf.DUMMYFUNCTION("""COMPUTED_VALUE"""),155)</f>
        <v>155</v>
      </c>
      <c r="B156">
        <f ca="1">IFERROR(__xludf.DUMMYFUNCTION("""COMPUTED_VALUE"""),153)</f>
        <v>153</v>
      </c>
      <c r="C156" t="str">
        <f ca="1">IFERROR(__xludf.DUMMYFUNCTION("""COMPUTED_VALUE"""),"Min Woo Lee")</f>
        <v>Min Woo Lee</v>
      </c>
      <c r="D156">
        <f ca="1">IFERROR(__xludf.DUMMYFUNCTION("""COMPUTED_VALUE"""),40)</f>
        <v>40</v>
      </c>
      <c r="E156">
        <f ca="1">IFERROR(__xludf.DUMMYFUNCTION("""COMPUTED_VALUE"""),1.1)</f>
        <v>1.1000000000000001</v>
      </c>
      <c r="F156">
        <f ca="1">IFERROR(__xludf.DUMMYFUNCTION("""COMPUTED_VALUE"""),44.14)</f>
        <v>44.14</v>
      </c>
      <c r="G156">
        <f ca="1">IFERROR(__xludf.DUMMYFUNCTION("""COMPUTED_VALUE"""),-16.03)</f>
        <v>-16.03</v>
      </c>
      <c r="H156">
        <f ca="1">IFERROR(__xludf.DUMMYFUNCTION("""COMPUTED_VALUE"""),31.41)</f>
        <v>31.41</v>
      </c>
      <c r="I156" t="str">
        <f ca="1">IFERROR(__xludf.DUMMYFUNCTION("""COMPUTED_VALUE"""),"")</f>
        <v/>
      </c>
    </row>
    <row r="157" spans="1:9" ht="12.75">
      <c r="A157">
        <f ca="1">IFERROR(__xludf.DUMMYFUNCTION("""COMPUTED_VALUE"""),156)</f>
        <v>156</v>
      </c>
      <c r="B157">
        <f ca="1">IFERROR(__xludf.DUMMYFUNCTION("""COMPUTED_VALUE"""),151)</f>
        <v>151</v>
      </c>
      <c r="C157" t="str">
        <f ca="1">IFERROR(__xludf.DUMMYFUNCTION("""COMPUTED_VALUE"""),"Luke List")</f>
        <v>Luke List</v>
      </c>
      <c r="D157">
        <f ca="1">IFERROR(__xludf.DUMMYFUNCTION("""COMPUTED_VALUE"""),52)</f>
        <v>52</v>
      </c>
      <c r="E157">
        <f ca="1">IFERROR(__xludf.DUMMYFUNCTION("""COMPUTED_VALUE"""),1.1)</f>
        <v>1.1000000000000001</v>
      </c>
      <c r="F157">
        <f ca="1">IFERROR(__xludf.DUMMYFUNCTION("""COMPUTED_VALUE"""),57.33)</f>
        <v>57.33</v>
      </c>
      <c r="G157">
        <f ca="1">IFERROR(__xludf.DUMMYFUNCTION("""COMPUTED_VALUE"""),-42.45)</f>
        <v>-42.45</v>
      </c>
      <c r="H157">
        <f ca="1">IFERROR(__xludf.DUMMYFUNCTION("""COMPUTED_VALUE"""),41.05)</f>
        <v>41.05</v>
      </c>
      <c r="I157" t="str">
        <f ca="1">IFERROR(__xludf.DUMMYFUNCTION("""COMPUTED_VALUE"""),"")</f>
        <v/>
      </c>
    </row>
    <row r="158" spans="1:9" ht="12.75">
      <c r="A158">
        <f ca="1">IFERROR(__xludf.DUMMYFUNCTION("""COMPUTED_VALUE"""),157)</f>
        <v>157</v>
      </c>
      <c r="B158">
        <f ca="1">IFERROR(__xludf.DUMMYFUNCTION("""COMPUTED_VALUE"""),152)</f>
        <v>152</v>
      </c>
      <c r="C158" t="str">
        <f ca="1">IFERROR(__xludf.DUMMYFUNCTION("""COMPUTED_VALUE"""),"Keith Mitchell")</f>
        <v>Keith Mitchell</v>
      </c>
      <c r="D158">
        <f ca="1">IFERROR(__xludf.DUMMYFUNCTION("""COMPUTED_VALUE"""),52)</f>
        <v>52</v>
      </c>
      <c r="E158">
        <f ca="1">IFERROR(__xludf.DUMMYFUNCTION("""COMPUTED_VALUE"""),1.09)</f>
        <v>1.0900000000000001</v>
      </c>
      <c r="F158">
        <f ca="1">IFERROR(__xludf.DUMMYFUNCTION("""COMPUTED_VALUE"""),56.85)</f>
        <v>56.85</v>
      </c>
      <c r="G158">
        <f ca="1">IFERROR(__xludf.DUMMYFUNCTION("""COMPUTED_VALUE"""),-48.73)</f>
        <v>-48.73</v>
      </c>
      <c r="H158">
        <f ca="1">IFERROR(__xludf.DUMMYFUNCTION("""COMPUTED_VALUE"""),27.2)</f>
        <v>27.2</v>
      </c>
      <c r="I158" t="str">
        <f ca="1">IFERROR(__xludf.DUMMYFUNCTION("""COMPUTED_VALUE"""),"")</f>
        <v/>
      </c>
    </row>
    <row r="159" spans="1:9" ht="12.75">
      <c r="A159">
        <f ca="1">IFERROR(__xludf.DUMMYFUNCTION("""COMPUTED_VALUE"""),158)</f>
        <v>158</v>
      </c>
      <c r="B159">
        <f ca="1">IFERROR(__xludf.DUMMYFUNCTION("""COMPUTED_VALUE"""),155)</f>
        <v>155</v>
      </c>
      <c r="C159" t="str">
        <f ca="1">IFERROR(__xludf.DUMMYFUNCTION("""COMPUTED_VALUE"""),"Xinjun Zhang")</f>
        <v>Xinjun Zhang</v>
      </c>
      <c r="D159">
        <f ca="1">IFERROR(__xludf.DUMMYFUNCTION("""COMPUTED_VALUE"""),52)</f>
        <v>52</v>
      </c>
      <c r="E159">
        <f ca="1">IFERROR(__xludf.DUMMYFUNCTION("""COMPUTED_VALUE"""),1.09)</f>
        <v>1.0900000000000001</v>
      </c>
      <c r="F159">
        <f ca="1">IFERROR(__xludf.DUMMYFUNCTION("""COMPUTED_VALUE"""),56.6)</f>
        <v>56.6</v>
      </c>
      <c r="G159">
        <f ca="1">IFERROR(__xludf.DUMMYFUNCTION("""COMPUTED_VALUE"""),-31.24)</f>
        <v>-31.24</v>
      </c>
      <c r="H159">
        <f ca="1">IFERROR(__xludf.DUMMYFUNCTION("""COMPUTED_VALUE"""),24.71)</f>
        <v>24.71</v>
      </c>
      <c r="I159" t="str">
        <f ca="1">IFERROR(__xludf.DUMMYFUNCTION("""COMPUTED_VALUE"""),"")</f>
        <v/>
      </c>
    </row>
    <row r="160" spans="1:9" ht="12.75">
      <c r="A160">
        <f ca="1">IFERROR(__xludf.DUMMYFUNCTION("""COMPUTED_VALUE"""),159)</f>
        <v>159</v>
      </c>
      <c r="B160">
        <f ca="1">IFERROR(__xludf.DUMMYFUNCTION("""COMPUTED_VALUE"""),156)</f>
        <v>156</v>
      </c>
      <c r="C160" t="str">
        <f ca="1">IFERROR(__xludf.DUMMYFUNCTION("""COMPUTED_VALUE"""),"Robby Shelton")</f>
        <v>Robby Shelton</v>
      </c>
      <c r="D160">
        <f ca="1">IFERROR(__xludf.DUMMYFUNCTION("""COMPUTED_VALUE"""),52)</f>
        <v>52</v>
      </c>
      <c r="E160">
        <f ca="1">IFERROR(__xludf.DUMMYFUNCTION("""COMPUTED_VALUE"""),1.09)</f>
        <v>1.0900000000000001</v>
      </c>
      <c r="F160">
        <f ca="1">IFERROR(__xludf.DUMMYFUNCTION("""COMPUTED_VALUE"""),56.59)</f>
        <v>56.59</v>
      </c>
      <c r="G160">
        <f ca="1">IFERROR(__xludf.DUMMYFUNCTION("""COMPUTED_VALUE"""),-25.34)</f>
        <v>-25.34</v>
      </c>
      <c r="H160">
        <f ca="1">IFERROR(__xludf.DUMMYFUNCTION("""COMPUTED_VALUE"""),29.2)</f>
        <v>29.2</v>
      </c>
      <c r="I160" t="str">
        <f ca="1">IFERROR(__xludf.DUMMYFUNCTION("""COMPUTED_VALUE"""),"")</f>
        <v/>
      </c>
    </row>
    <row r="161" spans="1:9" ht="12.75">
      <c r="A161">
        <f ca="1">IFERROR(__xludf.DUMMYFUNCTION("""COMPUTED_VALUE"""),160)</f>
        <v>160</v>
      </c>
      <c r="B161">
        <f ca="1">IFERROR(__xludf.DUMMYFUNCTION("""COMPUTED_VALUE"""),157)</f>
        <v>157</v>
      </c>
      <c r="C161" t="str">
        <f ca="1">IFERROR(__xludf.DUMMYFUNCTION("""COMPUTED_VALUE"""),"Bud Cauley")</f>
        <v>Bud Cauley</v>
      </c>
      <c r="D161">
        <f ca="1">IFERROR(__xludf.DUMMYFUNCTION("""COMPUTED_VALUE"""),46)</f>
        <v>46</v>
      </c>
      <c r="E161">
        <f ca="1">IFERROR(__xludf.DUMMYFUNCTION("""COMPUTED_VALUE"""),1.08)</f>
        <v>1.08</v>
      </c>
      <c r="F161">
        <f ca="1">IFERROR(__xludf.DUMMYFUNCTION("""COMPUTED_VALUE"""),49.74)</f>
        <v>49.74</v>
      </c>
      <c r="G161">
        <f ca="1">IFERROR(__xludf.DUMMYFUNCTION("""COMPUTED_VALUE"""),-23.41)</f>
        <v>-23.41</v>
      </c>
      <c r="H161">
        <f ca="1">IFERROR(__xludf.DUMMYFUNCTION("""COMPUTED_VALUE"""),34.43)</f>
        <v>34.43</v>
      </c>
      <c r="I161" t="str">
        <f ca="1">IFERROR(__xludf.DUMMYFUNCTION("""COMPUTED_VALUE"""),"")</f>
        <v/>
      </c>
    </row>
    <row r="162" spans="1:9" ht="12.75">
      <c r="A162">
        <f ca="1">IFERROR(__xludf.DUMMYFUNCTION("""COMPUTED_VALUE"""),161)</f>
        <v>161</v>
      </c>
      <c r="B162">
        <f ca="1">IFERROR(__xludf.DUMMYFUNCTION("""COMPUTED_VALUE"""),149)</f>
        <v>149</v>
      </c>
      <c r="C162" t="str">
        <f ca="1">IFERROR(__xludf.DUMMYFUNCTION("""COMPUTED_VALUE"""),"Andrew Putnam")</f>
        <v>Andrew Putnam</v>
      </c>
      <c r="D162">
        <f ca="1">IFERROR(__xludf.DUMMYFUNCTION("""COMPUTED_VALUE"""),50)</f>
        <v>50</v>
      </c>
      <c r="E162">
        <f ca="1">IFERROR(__xludf.DUMMYFUNCTION("""COMPUTED_VALUE"""),1.08)</f>
        <v>1.08</v>
      </c>
      <c r="F162">
        <f ca="1">IFERROR(__xludf.DUMMYFUNCTION("""COMPUTED_VALUE"""),53.87)</f>
        <v>53.87</v>
      </c>
      <c r="G162">
        <f ca="1">IFERROR(__xludf.DUMMYFUNCTION("""COMPUTED_VALUE"""),-71.16)</f>
        <v>-71.16</v>
      </c>
      <c r="H162">
        <f ca="1">IFERROR(__xludf.DUMMYFUNCTION("""COMPUTED_VALUE"""),6.41)</f>
        <v>6.41</v>
      </c>
      <c r="I162" t="str">
        <f ca="1">IFERROR(__xludf.DUMMYFUNCTION("""COMPUTED_VALUE"""),"")</f>
        <v/>
      </c>
    </row>
    <row r="163" spans="1:9" ht="12.75">
      <c r="A163">
        <f ca="1">IFERROR(__xludf.DUMMYFUNCTION("""COMPUTED_VALUE"""),162)</f>
        <v>162</v>
      </c>
      <c r="B163">
        <f ca="1">IFERROR(__xludf.DUMMYFUNCTION("""COMPUTED_VALUE"""),159)</f>
        <v>159</v>
      </c>
      <c r="C163" t="str">
        <f ca="1">IFERROR(__xludf.DUMMYFUNCTION("""COMPUTED_VALUE"""),"Vaughn Taylor")</f>
        <v>Vaughn Taylor</v>
      </c>
      <c r="D163">
        <f ca="1">IFERROR(__xludf.DUMMYFUNCTION("""COMPUTED_VALUE"""),51)</f>
        <v>51</v>
      </c>
      <c r="E163">
        <f ca="1">IFERROR(__xludf.DUMMYFUNCTION("""COMPUTED_VALUE"""),1.07)</f>
        <v>1.07</v>
      </c>
      <c r="F163">
        <f ca="1">IFERROR(__xludf.DUMMYFUNCTION("""COMPUTED_VALUE"""),54.45)</f>
        <v>54.45</v>
      </c>
      <c r="G163">
        <f ca="1">IFERROR(__xludf.DUMMYFUNCTION("""COMPUTED_VALUE"""),-37.01)</f>
        <v>-37.01</v>
      </c>
      <c r="H163">
        <f ca="1">IFERROR(__xludf.DUMMYFUNCTION("""COMPUTED_VALUE"""),15.26)</f>
        <v>15.26</v>
      </c>
      <c r="I163" t="str">
        <f ca="1">IFERROR(__xludf.DUMMYFUNCTION("""COMPUTED_VALUE"""),"")</f>
        <v/>
      </c>
    </row>
    <row r="164" spans="1:9" ht="12.75">
      <c r="A164">
        <f ca="1">IFERROR(__xludf.DUMMYFUNCTION("""COMPUTED_VALUE"""),163)</f>
        <v>163</v>
      </c>
      <c r="B164">
        <f ca="1">IFERROR(__xludf.DUMMYFUNCTION("""COMPUTED_VALUE"""),158)</f>
        <v>158</v>
      </c>
      <c r="C164" t="str">
        <f ca="1">IFERROR(__xludf.DUMMYFUNCTION("""COMPUTED_VALUE"""),"Jim Furyk")</f>
        <v>Jim Furyk</v>
      </c>
      <c r="D164">
        <f ca="1">IFERROR(__xludf.DUMMYFUNCTION("""COMPUTED_VALUE"""),40)</f>
        <v>40</v>
      </c>
      <c r="E164">
        <f ca="1">IFERROR(__xludf.DUMMYFUNCTION("""COMPUTED_VALUE"""),1.07)</f>
        <v>1.07</v>
      </c>
      <c r="F164">
        <f ca="1">IFERROR(__xludf.DUMMYFUNCTION("""COMPUTED_VALUE"""),42.63)</f>
        <v>42.63</v>
      </c>
      <c r="G164">
        <f ca="1">IFERROR(__xludf.DUMMYFUNCTION("""COMPUTED_VALUE"""),-44.65)</f>
        <v>-44.65</v>
      </c>
      <c r="H164">
        <f ca="1">IFERROR(__xludf.DUMMYFUNCTION("""COMPUTED_VALUE"""),4.92)</f>
        <v>4.92</v>
      </c>
      <c r="I164" t="str">
        <f ca="1">IFERROR(__xludf.DUMMYFUNCTION("""COMPUTED_VALUE"""),"")</f>
        <v/>
      </c>
    </row>
    <row r="165" spans="1:9" ht="12.75">
      <c r="A165">
        <f ca="1">IFERROR(__xludf.DUMMYFUNCTION("""COMPUTED_VALUE"""),164)</f>
        <v>164</v>
      </c>
      <c r="B165">
        <f ca="1">IFERROR(__xludf.DUMMYFUNCTION("""COMPUTED_VALUE"""),163)</f>
        <v>163</v>
      </c>
      <c r="C165" t="str">
        <f ca="1">IFERROR(__xludf.DUMMYFUNCTION("""COMPUTED_VALUE"""),"Brian Stuard")</f>
        <v>Brian Stuard</v>
      </c>
      <c r="D165">
        <f ca="1">IFERROR(__xludf.DUMMYFUNCTION("""COMPUTED_VALUE"""),52)</f>
        <v>52</v>
      </c>
      <c r="E165">
        <f ca="1">IFERROR(__xludf.DUMMYFUNCTION("""COMPUTED_VALUE"""),1.06)</f>
        <v>1.06</v>
      </c>
      <c r="F165">
        <f ca="1">IFERROR(__xludf.DUMMYFUNCTION("""COMPUTED_VALUE"""),55.17)</f>
        <v>55.17</v>
      </c>
      <c r="G165">
        <f ca="1">IFERROR(__xludf.DUMMYFUNCTION("""COMPUTED_VALUE"""),-32.08)</f>
        <v>-32.08</v>
      </c>
      <c r="H165">
        <f ca="1">IFERROR(__xludf.DUMMYFUNCTION("""COMPUTED_VALUE"""),23.61)</f>
        <v>23.61</v>
      </c>
      <c r="I165" t="str">
        <f ca="1">IFERROR(__xludf.DUMMYFUNCTION("""COMPUTED_VALUE"""),"")</f>
        <v/>
      </c>
    </row>
    <row r="166" spans="1:9" ht="12.75">
      <c r="A166">
        <f ca="1">IFERROR(__xludf.DUMMYFUNCTION("""COMPUTED_VALUE"""),165)</f>
        <v>165</v>
      </c>
      <c r="B166">
        <f ca="1">IFERROR(__xludf.DUMMYFUNCTION("""COMPUTED_VALUE"""),166)</f>
        <v>166</v>
      </c>
      <c r="C166" t="str">
        <f ca="1">IFERROR(__xludf.DUMMYFUNCTION("""COMPUTED_VALUE"""),"Brandon Wu")</f>
        <v>Brandon Wu</v>
      </c>
      <c r="D166">
        <f ca="1">IFERROR(__xludf.DUMMYFUNCTION("""COMPUTED_VALUE"""),40)</f>
        <v>40</v>
      </c>
      <c r="E166">
        <f ca="1">IFERROR(__xludf.DUMMYFUNCTION("""COMPUTED_VALUE"""),1.04)</f>
        <v>1.04</v>
      </c>
      <c r="F166">
        <f ca="1">IFERROR(__xludf.DUMMYFUNCTION("""COMPUTED_VALUE"""),41.69)</f>
        <v>41.69</v>
      </c>
      <c r="G166">
        <f ca="1">IFERROR(__xludf.DUMMYFUNCTION("""COMPUTED_VALUE"""),-2.23)</f>
        <v>-2.23</v>
      </c>
      <c r="H166">
        <f ca="1">IFERROR(__xludf.DUMMYFUNCTION("""COMPUTED_VALUE"""),39.05)</f>
        <v>39.049999999999997</v>
      </c>
      <c r="I166" t="str">
        <f ca="1">IFERROR(__xludf.DUMMYFUNCTION("""COMPUTED_VALUE"""),"")</f>
        <v/>
      </c>
    </row>
    <row r="167" spans="1:9" ht="12.75">
      <c r="A167">
        <f ca="1">IFERROR(__xludf.DUMMYFUNCTION("""COMPUTED_VALUE"""),166)</f>
        <v>166</v>
      </c>
      <c r="B167">
        <f ca="1">IFERROR(__xludf.DUMMYFUNCTION("""COMPUTED_VALUE"""),162)</f>
        <v>162</v>
      </c>
      <c r="C167" t="str">
        <f ca="1">IFERROR(__xludf.DUMMYFUNCTION("""COMPUTED_VALUE"""),"Gunn Charoenkul")</f>
        <v>Gunn Charoenkul</v>
      </c>
      <c r="D167">
        <f ca="1">IFERROR(__xludf.DUMMYFUNCTION("""COMPUTED_VALUE"""),47)</f>
        <v>47</v>
      </c>
      <c r="E167">
        <f ca="1">IFERROR(__xludf.DUMMYFUNCTION("""COMPUTED_VALUE"""),1.04)</f>
        <v>1.04</v>
      </c>
      <c r="F167">
        <f ca="1">IFERROR(__xludf.DUMMYFUNCTION("""COMPUTED_VALUE"""),48.95)</f>
        <v>48.95</v>
      </c>
      <c r="G167">
        <f ca="1">IFERROR(__xludf.DUMMYFUNCTION("""COMPUTED_VALUE"""),-24.13)</f>
        <v>-24.13</v>
      </c>
      <c r="H167">
        <f ca="1">IFERROR(__xludf.DUMMYFUNCTION("""COMPUTED_VALUE"""),16.87)</f>
        <v>16.87</v>
      </c>
      <c r="I167" t="str">
        <f ca="1">IFERROR(__xludf.DUMMYFUNCTION("""COMPUTED_VALUE"""),"")</f>
        <v/>
      </c>
    </row>
    <row r="168" spans="1:9" ht="12.75">
      <c r="A168">
        <f ca="1">IFERROR(__xludf.DUMMYFUNCTION("""COMPUTED_VALUE"""),167)</f>
        <v>167</v>
      </c>
      <c r="B168">
        <f ca="1">IFERROR(__xludf.DUMMYFUNCTION("""COMPUTED_VALUE"""),161)</f>
        <v>161</v>
      </c>
      <c r="C168" t="str">
        <f ca="1">IFERROR(__xludf.DUMMYFUNCTION("""COMPUTED_VALUE"""),"Emiliano Grillo")</f>
        <v>Emiliano Grillo</v>
      </c>
      <c r="D168">
        <f ca="1">IFERROR(__xludf.DUMMYFUNCTION("""COMPUTED_VALUE"""),52)</f>
        <v>52</v>
      </c>
      <c r="E168">
        <f ca="1">IFERROR(__xludf.DUMMYFUNCTION("""COMPUTED_VALUE"""),1.04)</f>
        <v>1.04</v>
      </c>
      <c r="F168">
        <f ca="1">IFERROR(__xludf.DUMMYFUNCTION("""COMPUTED_VALUE"""),54.07)</f>
        <v>54.07</v>
      </c>
      <c r="G168">
        <f ca="1">IFERROR(__xludf.DUMMYFUNCTION("""COMPUTED_VALUE"""),-51.53)</f>
        <v>-51.53</v>
      </c>
      <c r="H168">
        <f ca="1">IFERROR(__xludf.DUMMYFUNCTION("""COMPUTED_VALUE"""),32.56)</f>
        <v>32.56</v>
      </c>
      <c r="I168" t="str">
        <f ca="1">IFERROR(__xludf.DUMMYFUNCTION("""COMPUTED_VALUE"""),"")</f>
        <v/>
      </c>
    </row>
    <row r="169" spans="1:9" ht="12.75">
      <c r="A169">
        <f ca="1">IFERROR(__xludf.DUMMYFUNCTION("""COMPUTED_VALUE"""),168)</f>
        <v>168</v>
      </c>
      <c r="B169">
        <f ca="1">IFERROR(__xludf.DUMMYFUNCTION("""COMPUTED_VALUE"""),167)</f>
        <v>167</v>
      </c>
      <c r="C169" t="str">
        <f ca="1">IFERROR(__xludf.DUMMYFUNCTION("""COMPUTED_VALUE"""),"Peter Malnati")</f>
        <v>Peter Malnati</v>
      </c>
      <c r="D169">
        <f ca="1">IFERROR(__xludf.DUMMYFUNCTION("""COMPUTED_VALUE"""),52)</f>
        <v>52</v>
      </c>
      <c r="E169">
        <f ca="1">IFERROR(__xludf.DUMMYFUNCTION("""COMPUTED_VALUE"""),1.03)</f>
        <v>1.03</v>
      </c>
      <c r="F169">
        <f ca="1">IFERROR(__xludf.DUMMYFUNCTION("""COMPUTED_VALUE"""),53.72)</f>
        <v>53.72</v>
      </c>
      <c r="G169">
        <f ca="1">IFERROR(__xludf.DUMMYFUNCTION("""COMPUTED_VALUE"""),-21.24)</f>
        <v>-21.24</v>
      </c>
      <c r="H169">
        <f ca="1">IFERROR(__xludf.DUMMYFUNCTION("""COMPUTED_VALUE"""),43.08)</f>
        <v>43.08</v>
      </c>
      <c r="I169" t="str">
        <f ca="1">IFERROR(__xludf.DUMMYFUNCTION("""COMPUTED_VALUE"""),"")</f>
        <v/>
      </c>
    </row>
    <row r="170" spans="1:9" ht="12.75">
      <c r="A170">
        <f ca="1">IFERROR(__xludf.DUMMYFUNCTION("""COMPUTED_VALUE"""),169)</f>
        <v>169</v>
      </c>
      <c r="B170">
        <f ca="1">IFERROR(__xludf.DUMMYFUNCTION("""COMPUTED_VALUE"""),165)</f>
        <v>165</v>
      </c>
      <c r="C170" t="str">
        <f ca="1">IFERROR(__xludf.DUMMYFUNCTION("""COMPUTED_VALUE"""),"Kalle Samooja")</f>
        <v>Kalle Samooja</v>
      </c>
      <c r="D170">
        <f ca="1">IFERROR(__xludf.DUMMYFUNCTION("""COMPUTED_VALUE"""),51)</f>
        <v>51</v>
      </c>
      <c r="E170">
        <f ca="1">IFERROR(__xludf.DUMMYFUNCTION("""COMPUTED_VALUE"""),1.02)</f>
        <v>1.02</v>
      </c>
      <c r="F170">
        <f ca="1">IFERROR(__xludf.DUMMYFUNCTION("""COMPUTED_VALUE"""),51.77)</f>
        <v>51.77</v>
      </c>
      <c r="G170">
        <f ca="1">IFERROR(__xludf.DUMMYFUNCTION("""COMPUTED_VALUE"""),-24.59)</f>
        <v>-24.59</v>
      </c>
      <c r="H170">
        <f ca="1">IFERROR(__xludf.DUMMYFUNCTION("""COMPUTED_VALUE"""),30.47)</f>
        <v>30.47</v>
      </c>
      <c r="I170" t="str">
        <f ca="1">IFERROR(__xludf.DUMMYFUNCTION("""COMPUTED_VALUE"""),"")</f>
        <v/>
      </c>
    </row>
    <row r="171" spans="1:9" ht="12.75">
      <c r="A171">
        <f ca="1">IFERROR(__xludf.DUMMYFUNCTION("""COMPUTED_VALUE"""),170)</f>
        <v>170</v>
      </c>
      <c r="B171">
        <f ca="1">IFERROR(__xludf.DUMMYFUNCTION("""COMPUTED_VALUE"""),231)</f>
        <v>231</v>
      </c>
      <c r="C171" t="str">
        <f ca="1">IFERROR(__xludf.DUMMYFUNCTION("""COMPUTED_VALUE"""),"Masahiro Kawamura")</f>
        <v>Masahiro Kawamura</v>
      </c>
      <c r="D171">
        <f ca="1">IFERROR(__xludf.DUMMYFUNCTION("""COMPUTED_VALUE"""),52)</f>
        <v>52</v>
      </c>
      <c r="E171">
        <f ca="1">IFERROR(__xludf.DUMMYFUNCTION("""COMPUTED_VALUE"""),1)</f>
        <v>1</v>
      </c>
      <c r="F171">
        <f ca="1">IFERROR(__xludf.DUMMYFUNCTION("""COMPUTED_VALUE"""),52.22)</f>
        <v>52.22</v>
      </c>
      <c r="G171">
        <f ca="1">IFERROR(__xludf.DUMMYFUNCTION("""COMPUTED_VALUE"""),-27.9)</f>
        <v>-27.9</v>
      </c>
      <c r="H171">
        <f ca="1">IFERROR(__xludf.DUMMYFUNCTION("""COMPUTED_VALUE"""),33.79)</f>
        <v>33.79</v>
      </c>
      <c r="I171" t="str">
        <f ca="1">IFERROR(__xludf.DUMMYFUNCTION("""COMPUTED_VALUE"""),"")</f>
        <v/>
      </c>
    </row>
    <row r="172" spans="1:9" ht="12.75">
      <c r="A172">
        <f ca="1">IFERROR(__xludf.DUMMYFUNCTION("""COMPUTED_VALUE"""),171)</f>
        <v>171</v>
      </c>
      <c r="B172">
        <f ca="1">IFERROR(__xludf.DUMMYFUNCTION("""COMPUTED_VALUE"""),186)</f>
        <v>186</v>
      </c>
      <c r="C172" t="str">
        <f ca="1">IFERROR(__xludf.DUMMYFUNCTION("""COMPUTED_VALUE"""),"Gavin Kyle Green")</f>
        <v>Gavin Kyle Green</v>
      </c>
      <c r="D172">
        <f ca="1">IFERROR(__xludf.DUMMYFUNCTION("""COMPUTED_VALUE"""),52)</f>
        <v>52</v>
      </c>
      <c r="E172">
        <f ca="1">IFERROR(__xludf.DUMMYFUNCTION("""COMPUTED_VALUE"""),1)</f>
        <v>1</v>
      </c>
      <c r="F172">
        <f ca="1">IFERROR(__xludf.DUMMYFUNCTION("""COMPUTED_VALUE"""),51.98)</f>
        <v>51.98</v>
      </c>
      <c r="G172">
        <f ca="1">IFERROR(__xludf.DUMMYFUNCTION("""COMPUTED_VALUE"""),-25.79)</f>
        <v>-25.79</v>
      </c>
      <c r="H172">
        <f ca="1">IFERROR(__xludf.DUMMYFUNCTION("""COMPUTED_VALUE"""),38.33)</f>
        <v>38.33</v>
      </c>
      <c r="I172" t="str">
        <f ca="1">IFERROR(__xludf.DUMMYFUNCTION("""COMPUTED_VALUE"""),"")</f>
        <v/>
      </c>
    </row>
    <row r="173" spans="1:9" ht="12.75">
      <c r="A173">
        <f ca="1">IFERROR(__xludf.DUMMYFUNCTION("""COMPUTED_VALUE"""),172)</f>
        <v>172</v>
      </c>
      <c r="B173">
        <f ca="1">IFERROR(__xludf.DUMMYFUNCTION("""COMPUTED_VALUE"""),172)</f>
        <v>172</v>
      </c>
      <c r="C173" t="str">
        <f ca="1">IFERROR(__xludf.DUMMYFUNCTION("""COMPUTED_VALUE"""),"Guido Migliozzi")</f>
        <v>Guido Migliozzi</v>
      </c>
      <c r="D173">
        <f ca="1">IFERROR(__xludf.DUMMYFUNCTION("""COMPUTED_VALUE"""),45)</f>
        <v>45</v>
      </c>
      <c r="E173">
        <f ca="1">IFERROR(__xludf.DUMMYFUNCTION("""COMPUTED_VALUE"""),1)</f>
        <v>1</v>
      </c>
      <c r="F173">
        <f ca="1">IFERROR(__xludf.DUMMYFUNCTION("""COMPUTED_VALUE"""),44.94)</f>
        <v>44.94</v>
      </c>
      <c r="G173">
        <f ca="1">IFERROR(__xludf.DUMMYFUNCTION("""COMPUTED_VALUE"""),-28.94)</f>
        <v>-28.94</v>
      </c>
      <c r="H173">
        <f ca="1">IFERROR(__xludf.DUMMYFUNCTION("""COMPUTED_VALUE"""),12.33)</f>
        <v>12.33</v>
      </c>
      <c r="I173" t="str">
        <f ca="1">IFERROR(__xludf.DUMMYFUNCTION("""COMPUTED_VALUE"""),"")</f>
        <v/>
      </c>
    </row>
    <row r="174" spans="1:9" ht="12.75">
      <c r="A174">
        <f ca="1">IFERROR(__xludf.DUMMYFUNCTION("""COMPUTED_VALUE"""),173)</f>
        <v>173</v>
      </c>
      <c r="B174">
        <f ca="1">IFERROR(__xludf.DUMMYFUNCTION("""COMPUTED_VALUE"""),184)</f>
        <v>184</v>
      </c>
      <c r="C174" t="str">
        <f ca="1">IFERROR(__xludf.DUMMYFUNCTION("""COMPUTED_VALUE"""),"Maverick McNealy")</f>
        <v>Maverick McNealy</v>
      </c>
      <c r="D174">
        <f ca="1">IFERROR(__xludf.DUMMYFUNCTION("""COMPUTED_VALUE"""),52)</f>
        <v>52</v>
      </c>
      <c r="E174">
        <f ca="1">IFERROR(__xludf.DUMMYFUNCTION("""COMPUTED_VALUE"""),1)</f>
        <v>1</v>
      </c>
      <c r="F174">
        <f ca="1">IFERROR(__xludf.DUMMYFUNCTION("""COMPUTED_VALUE"""),51.78)</f>
        <v>51.78</v>
      </c>
      <c r="G174">
        <f ca="1">IFERROR(__xludf.DUMMYFUNCTION("""COMPUTED_VALUE"""),-15.05)</f>
        <v>-15.05</v>
      </c>
      <c r="H174">
        <f ca="1">IFERROR(__xludf.DUMMYFUNCTION("""COMPUTED_VALUE"""),45.26)</f>
        <v>45.26</v>
      </c>
      <c r="I174" t="str">
        <f ca="1">IFERROR(__xludf.DUMMYFUNCTION("""COMPUTED_VALUE"""),"")</f>
        <v/>
      </c>
    </row>
    <row r="175" spans="1:9" ht="12.75">
      <c r="A175">
        <f ca="1">IFERROR(__xludf.DUMMYFUNCTION("""COMPUTED_VALUE"""),174)</f>
        <v>174</v>
      </c>
      <c r="B175">
        <f ca="1">IFERROR(__xludf.DUMMYFUNCTION("""COMPUTED_VALUE"""),178)</f>
        <v>178</v>
      </c>
      <c r="C175" t="str">
        <f ca="1">IFERROR(__xludf.DUMMYFUNCTION("""COMPUTED_VALUE"""),"Laurie Canter")</f>
        <v>Laurie Canter</v>
      </c>
      <c r="D175">
        <f ca="1">IFERROR(__xludf.DUMMYFUNCTION("""COMPUTED_VALUE"""),47)</f>
        <v>47</v>
      </c>
      <c r="E175">
        <f ca="1">IFERROR(__xludf.DUMMYFUNCTION("""COMPUTED_VALUE"""),1)</f>
        <v>1</v>
      </c>
      <c r="F175">
        <f ca="1">IFERROR(__xludf.DUMMYFUNCTION("""COMPUTED_VALUE"""),46.79)</f>
        <v>46.79</v>
      </c>
      <c r="G175">
        <f ca="1">IFERROR(__xludf.DUMMYFUNCTION("""COMPUTED_VALUE"""),-7.24)</f>
        <v>-7.24</v>
      </c>
      <c r="H175">
        <f ca="1">IFERROR(__xludf.DUMMYFUNCTION("""COMPUTED_VALUE"""),38.74)</f>
        <v>38.74</v>
      </c>
      <c r="I175" t="str">
        <f ca="1">IFERROR(__xludf.DUMMYFUNCTION("""COMPUTED_VALUE"""),"")</f>
        <v/>
      </c>
    </row>
    <row r="176" spans="1:9" ht="12.75">
      <c r="A176">
        <f ca="1">IFERROR(__xludf.DUMMYFUNCTION("""COMPUTED_VALUE"""),175)</f>
        <v>175</v>
      </c>
      <c r="B176">
        <f ca="1">IFERROR(__xludf.DUMMYFUNCTION("""COMPUTED_VALUE"""),183)</f>
        <v>183</v>
      </c>
      <c r="C176" t="str">
        <f ca="1">IFERROR(__xludf.DUMMYFUNCTION("""COMPUTED_VALUE"""),"Cameron Tringale")</f>
        <v>Cameron Tringale</v>
      </c>
      <c r="D176">
        <f ca="1">IFERROR(__xludf.DUMMYFUNCTION("""COMPUTED_VALUE"""),48)</f>
        <v>48</v>
      </c>
      <c r="E176">
        <f ca="1">IFERROR(__xludf.DUMMYFUNCTION("""COMPUTED_VALUE"""),0.99)</f>
        <v>0.99</v>
      </c>
      <c r="F176">
        <f ca="1">IFERROR(__xludf.DUMMYFUNCTION("""COMPUTED_VALUE"""),47.54)</f>
        <v>47.54</v>
      </c>
      <c r="G176">
        <f ca="1">IFERROR(__xludf.DUMMYFUNCTION("""COMPUTED_VALUE"""),-18.46)</f>
        <v>-18.46</v>
      </c>
      <c r="H176">
        <f ca="1">IFERROR(__xludf.DUMMYFUNCTION("""COMPUTED_VALUE"""),26.46)</f>
        <v>26.46</v>
      </c>
      <c r="I176" t="str">
        <f ca="1">IFERROR(__xludf.DUMMYFUNCTION("""COMPUTED_VALUE"""),"")</f>
        <v/>
      </c>
    </row>
    <row r="177" spans="1:9" ht="12.75">
      <c r="A177">
        <f ca="1">IFERROR(__xludf.DUMMYFUNCTION("""COMPUTED_VALUE"""),176)</f>
        <v>176</v>
      </c>
      <c r="B177">
        <f ca="1">IFERROR(__xludf.DUMMYFUNCTION("""COMPUTED_VALUE"""),169)</f>
        <v>169</v>
      </c>
      <c r="C177" t="str">
        <f ca="1">IFERROR(__xludf.DUMMYFUNCTION("""COMPUTED_VALUE"""),"C.T. Pan")</f>
        <v>C.T. Pan</v>
      </c>
      <c r="D177">
        <f ca="1">IFERROR(__xludf.DUMMYFUNCTION("""COMPUTED_VALUE"""),52)</f>
        <v>52</v>
      </c>
      <c r="E177">
        <f ca="1">IFERROR(__xludf.DUMMYFUNCTION("""COMPUTED_VALUE"""),0.99)</f>
        <v>0.99</v>
      </c>
      <c r="F177">
        <f ca="1">IFERROR(__xludf.DUMMYFUNCTION("""COMPUTED_VALUE"""),51.31)</f>
        <v>51.31</v>
      </c>
      <c r="G177">
        <f ca="1">IFERROR(__xludf.DUMMYFUNCTION("""COMPUTED_VALUE"""),-57.7)</f>
        <v>-57.7</v>
      </c>
      <c r="H177">
        <f ca="1">IFERROR(__xludf.DUMMYFUNCTION("""COMPUTED_VALUE"""),9.6)</f>
        <v>9.6</v>
      </c>
      <c r="I177" t="str">
        <f ca="1">IFERROR(__xludf.DUMMYFUNCTION("""COMPUTED_VALUE"""),"")</f>
        <v/>
      </c>
    </row>
    <row r="178" spans="1:9" ht="12.75">
      <c r="A178">
        <f ca="1">IFERROR(__xludf.DUMMYFUNCTION("""COMPUTED_VALUE"""),177)</f>
        <v>177</v>
      </c>
      <c r="B178">
        <f ca="1">IFERROR(__xludf.DUMMYFUNCTION("""COMPUTED_VALUE"""),171)</f>
        <v>171</v>
      </c>
      <c r="C178" t="str">
        <f ca="1">IFERROR(__xludf.DUMMYFUNCTION("""COMPUTED_VALUE"""),"Yuki Inamori")</f>
        <v>Yuki Inamori</v>
      </c>
      <c r="D178">
        <f ca="1">IFERROR(__xludf.DUMMYFUNCTION("""COMPUTED_VALUE"""),43)</f>
        <v>43</v>
      </c>
      <c r="E178">
        <f ca="1">IFERROR(__xludf.DUMMYFUNCTION("""COMPUTED_VALUE"""),0.98)</f>
        <v>0.98</v>
      </c>
      <c r="F178">
        <f ca="1">IFERROR(__xludf.DUMMYFUNCTION("""COMPUTED_VALUE"""),42.35)</f>
        <v>42.35</v>
      </c>
      <c r="G178">
        <f ca="1">IFERROR(__xludf.DUMMYFUNCTION("""COMPUTED_VALUE"""),-22.68)</f>
        <v>-22.68</v>
      </c>
      <c r="H178">
        <f ca="1">IFERROR(__xludf.DUMMYFUNCTION("""COMPUTED_VALUE"""),33.82)</f>
        <v>33.82</v>
      </c>
      <c r="I178" t="str">
        <f ca="1">IFERROR(__xludf.DUMMYFUNCTION("""COMPUTED_VALUE"""),"")</f>
        <v/>
      </c>
    </row>
    <row r="179" spans="1:9" ht="12.75">
      <c r="A179">
        <f ca="1">IFERROR(__xludf.DUMMYFUNCTION("""COMPUTED_VALUE"""),178)</f>
        <v>178</v>
      </c>
      <c r="B179">
        <f ca="1">IFERROR(__xludf.DUMMYFUNCTION("""COMPUTED_VALUE"""),182)</f>
        <v>182</v>
      </c>
      <c r="C179" t="str">
        <f ca="1">IFERROR(__xludf.DUMMYFUNCTION("""COMPUTED_VALUE"""),"Denny McCarthy")</f>
        <v>Denny McCarthy</v>
      </c>
      <c r="D179">
        <f ca="1">IFERROR(__xludf.DUMMYFUNCTION("""COMPUTED_VALUE"""),52)</f>
        <v>52</v>
      </c>
      <c r="E179">
        <f ca="1">IFERROR(__xludf.DUMMYFUNCTION("""COMPUTED_VALUE"""),0.98)</f>
        <v>0.98</v>
      </c>
      <c r="F179">
        <f ca="1">IFERROR(__xludf.DUMMYFUNCTION("""COMPUTED_VALUE"""),50.9)</f>
        <v>50.9</v>
      </c>
      <c r="G179">
        <f ca="1">IFERROR(__xludf.DUMMYFUNCTION("""COMPUTED_VALUE"""),-32.51)</f>
        <v>-32.51</v>
      </c>
      <c r="H179">
        <f ca="1">IFERROR(__xludf.DUMMYFUNCTION("""COMPUTED_VALUE"""),27.22)</f>
        <v>27.22</v>
      </c>
      <c r="I179" t="str">
        <f ca="1">IFERROR(__xludf.DUMMYFUNCTION("""COMPUTED_VALUE"""),"")</f>
        <v/>
      </c>
    </row>
    <row r="180" spans="1:9" ht="12.75">
      <c r="A180">
        <f ca="1">IFERROR(__xludf.DUMMYFUNCTION("""COMPUTED_VALUE"""),179)</f>
        <v>179</v>
      </c>
      <c r="B180">
        <f ca="1">IFERROR(__xludf.DUMMYFUNCTION("""COMPUTED_VALUE"""),176)</f>
        <v>176</v>
      </c>
      <c r="C180" t="str">
        <f ca="1">IFERROR(__xludf.DUMMYFUNCTION("""COMPUTED_VALUE"""),"Hudson Swafford")</f>
        <v>Hudson Swafford</v>
      </c>
      <c r="D180">
        <f ca="1">IFERROR(__xludf.DUMMYFUNCTION("""COMPUTED_VALUE"""),40)</f>
        <v>40</v>
      </c>
      <c r="E180">
        <f ca="1">IFERROR(__xludf.DUMMYFUNCTION("""COMPUTED_VALUE"""),0.97)</f>
        <v>0.97</v>
      </c>
      <c r="F180">
        <f ca="1">IFERROR(__xludf.DUMMYFUNCTION("""COMPUTED_VALUE"""),38.89)</f>
        <v>38.89</v>
      </c>
      <c r="G180">
        <f ca="1">IFERROR(__xludf.DUMMYFUNCTION("""COMPUTED_VALUE"""),-12.18)</f>
        <v>-12.18</v>
      </c>
      <c r="H180">
        <f ca="1">IFERROR(__xludf.DUMMYFUNCTION("""COMPUTED_VALUE"""),35.14)</f>
        <v>35.14</v>
      </c>
      <c r="I180" t="str">
        <f ca="1">IFERROR(__xludf.DUMMYFUNCTION("""COMPUTED_VALUE"""),"")</f>
        <v/>
      </c>
    </row>
    <row r="181" spans="1:9" ht="12.75">
      <c r="A181">
        <f ca="1">IFERROR(__xludf.DUMMYFUNCTION("""COMPUTED_VALUE"""),180)</f>
        <v>180</v>
      </c>
      <c r="B181">
        <f ca="1">IFERROR(__xludf.DUMMYFUNCTION("""COMPUTED_VALUE"""),170)</f>
        <v>170</v>
      </c>
      <c r="C181" t="str">
        <f ca="1">IFERROR(__xludf.DUMMYFUNCTION("""COMPUTED_VALUE"""),"J.B. Holmes")</f>
        <v>J.B. Holmes</v>
      </c>
      <c r="D181">
        <f ca="1">IFERROR(__xludf.DUMMYFUNCTION("""COMPUTED_VALUE"""),40)</f>
        <v>40</v>
      </c>
      <c r="E181">
        <f ca="1">IFERROR(__xludf.DUMMYFUNCTION("""COMPUTED_VALUE"""),0.97)</f>
        <v>0.97</v>
      </c>
      <c r="F181">
        <f ca="1">IFERROR(__xludf.DUMMYFUNCTION("""COMPUTED_VALUE"""),38.84)</f>
        <v>38.840000000000003</v>
      </c>
      <c r="G181">
        <f ca="1">IFERROR(__xludf.DUMMYFUNCTION("""COMPUTED_VALUE"""),-49.26)</f>
        <v>-49.26</v>
      </c>
      <c r="H181">
        <f ca="1">IFERROR(__xludf.DUMMYFUNCTION("""COMPUTED_VALUE"""),15.76)</f>
        <v>15.76</v>
      </c>
      <c r="I181" t="str">
        <f ca="1">IFERROR(__xludf.DUMMYFUNCTION("""COMPUTED_VALUE"""),"")</f>
        <v/>
      </c>
    </row>
    <row r="182" spans="1:9" ht="12.75">
      <c r="A182">
        <f ca="1">IFERROR(__xludf.DUMMYFUNCTION("""COMPUTED_VALUE"""),181)</f>
        <v>181</v>
      </c>
      <c r="B182">
        <f ca="1">IFERROR(__xludf.DUMMYFUNCTION("""COMPUTED_VALUE"""),173)</f>
        <v>173</v>
      </c>
      <c r="C182" t="str">
        <f ca="1">IFERROR(__xludf.DUMMYFUNCTION("""COMPUTED_VALUE"""),"JC Ritchie")</f>
        <v>JC Ritchie</v>
      </c>
      <c r="D182">
        <f ca="1">IFERROR(__xludf.DUMMYFUNCTION("""COMPUTED_VALUE"""),40)</f>
        <v>40</v>
      </c>
      <c r="E182">
        <f ca="1">IFERROR(__xludf.DUMMYFUNCTION("""COMPUTED_VALUE"""),0.97)</f>
        <v>0.97</v>
      </c>
      <c r="F182">
        <f ca="1">IFERROR(__xludf.DUMMYFUNCTION("""COMPUTED_VALUE"""),38.81)</f>
        <v>38.81</v>
      </c>
      <c r="G182">
        <f ca="1">IFERROR(__xludf.DUMMYFUNCTION("""COMPUTED_VALUE"""),-25.97)</f>
        <v>-25.97</v>
      </c>
      <c r="H182">
        <f ca="1">IFERROR(__xludf.DUMMYFUNCTION("""COMPUTED_VALUE"""),26.98)</f>
        <v>26.98</v>
      </c>
      <c r="I182" t="str">
        <f ca="1">IFERROR(__xludf.DUMMYFUNCTION("""COMPUTED_VALUE"""),"")</f>
        <v/>
      </c>
    </row>
    <row r="183" spans="1:9" ht="12.75">
      <c r="A183">
        <f ca="1">IFERROR(__xludf.DUMMYFUNCTION("""COMPUTED_VALUE"""),182)</f>
        <v>182</v>
      </c>
      <c r="B183">
        <f ca="1">IFERROR(__xludf.DUMMYFUNCTION("""COMPUTED_VALUE"""),175)</f>
        <v>175</v>
      </c>
      <c r="C183" t="str">
        <f ca="1">IFERROR(__xludf.DUMMYFUNCTION("""COMPUTED_VALUE"""),"Jordan L Smith")</f>
        <v>Jordan L Smith</v>
      </c>
      <c r="D183">
        <f ca="1">IFERROR(__xludf.DUMMYFUNCTION("""COMPUTED_VALUE"""),52)</f>
        <v>52</v>
      </c>
      <c r="E183">
        <f ca="1">IFERROR(__xludf.DUMMYFUNCTION("""COMPUTED_VALUE"""),0.96)</f>
        <v>0.96</v>
      </c>
      <c r="F183">
        <f ca="1">IFERROR(__xludf.DUMMYFUNCTION("""COMPUTED_VALUE"""),50.08)</f>
        <v>50.08</v>
      </c>
      <c r="G183">
        <f ca="1">IFERROR(__xludf.DUMMYFUNCTION("""COMPUTED_VALUE"""),-33.32)</f>
        <v>-33.32</v>
      </c>
      <c r="H183">
        <f ca="1">IFERROR(__xludf.DUMMYFUNCTION("""COMPUTED_VALUE"""),26.26)</f>
        <v>26.26</v>
      </c>
      <c r="I183" t="str">
        <f ca="1">IFERROR(__xludf.DUMMYFUNCTION("""COMPUTED_VALUE"""),"")</f>
        <v/>
      </c>
    </row>
    <row r="184" spans="1:9" ht="12.75">
      <c r="A184">
        <f ca="1">IFERROR(__xludf.DUMMYFUNCTION("""COMPUTED_VALUE"""),183)</f>
        <v>183</v>
      </c>
      <c r="B184">
        <f ca="1">IFERROR(__xludf.DUMMYFUNCTION("""COMPUTED_VALUE"""),177)</f>
        <v>177</v>
      </c>
      <c r="C184" t="str">
        <f ca="1">IFERROR(__xludf.DUMMYFUNCTION("""COMPUTED_VALUE"""),"David Lipsky")</f>
        <v>David Lipsky</v>
      </c>
      <c r="D184">
        <f ca="1">IFERROR(__xludf.DUMMYFUNCTION("""COMPUTED_VALUE"""),52)</f>
        <v>52</v>
      </c>
      <c r="E184">
        <f ca="1">IFERROR(__xludf.DUMMYFUNCTION("""COMPUTED_VALUE"""),0.96)</f>
        <v>0.96</v>
      </c>
      <c r="F184">
        <f ca="1">IFERROR(__xludf.DUMMYFUNCTION("""COMPUTED_VALUE"""),49.95)</f>
        <v>49.95</v>
      </c>
      <c r="G184">
        <f ca="1">IFERROR(__xludf.DUMMYFUNCTION("""COMPUTED_VALUE"""),-28.03)</f>
        <v>-28.03</v>
      </c>
      <c r="H184">
        <f ca="1">IFERROR(__xludf.DUMMYFUNCTION("""COMPUTED_VALUE"""),33.38)</f>
        <v>33.380000000000003</v>
      </c>
      <c r="I184" t="str">
        <f ca="1">IFERROR(__xludf.DUMMYFUNCTION("""COMPUTED_VALUE"""),"")</f>
        <v/>
      </c>
    </row>
    <row r="185" spans="1:9" ht="12.75">
      <c r="A185">
        <f ca="1">IFERROR(__xludf.DUMMYFUNCTION("""COMPUTED_VALUE"""),184)</f>
        <v>184</v>
      </c>
      <c r="B185">
        <f ca="1">IFERROR(__xludf.DUMMYFUNCTION("""COMPUTED_VALUE"""),194)</f>
        <v>194</v>
      </c>
      <c r="C185" t="str">
        <f ca="1">IFERROR(__xludf.DUMMYFUNCTION("""COMPUTED_VALUE"""),"Matthew Jordan")</f>
        <v>Matthew Jordan</v>
      </c>
      <c r="D185">
        <f ca="1">IFERROR(__xludf.DUMMYFUNCTION("""COMPUTED_VALUE"""),47)</f>
        <v>47</v>
      </c>
      <c r="E185">
        <f ca="1">IFERROR(__xludf.DUMMYFUNCTION("""COMPUTED_VALUE"""),0.96)</f>
        <v>0.96</v>
      </c>
      <c r="F185">
        <f ca="1">IFERROR(__xludf.DUMMYFUNCTION("""COMPUTED_VALUE"""),45.13)</f>
        <v>45.13</v>
      </c>
      <c r="G185">
        <f ca="1">IFERROR(__xludf.DUMMYFUNCTION("""COMPUTED_VALUE"""),-15.51)</f>
        <v>-15.51</v>
      </c>
      <c r="H185">
        <f ca="1">IFERROR(__xludf.DUMMYFUNCTION("""COMPUTED_VALUE"""),23.71)</f>
        <v>23.71</v>
      </c>
      <c r="I185" t="str">
        <f ca="1">IFERROR(__xludf.DUMMYFUNCTION("""COMPUTED_VALUE"""),"")</f>
        <v/>
      </c>
    </row>
    <row r="186" spans="1:9" ht="12.75">
      <c r="A186">
        <f ca="1">IFERROR(__xludf.DUMMYFUNCTION("""COMPUTED_VALUE"""),185)</f>
        <v>185</v>
      </c>
      <c r="B186">
        <f ca="1">IFERROR(__xludf.DUMMYFUNCTION("""COMPUTED_VALUE"""),181)</f>
        <v>181</v>
      </c>
      <c r="C186" t="str">
        <f ca="1">IFERROR(__xludf.DUMMYFUNCTION("""COMPUTED_VALUE"""),"Brian Gay")</f>
        <v>Brian Gay</v>
      </c>
      <c r="D186">
        <f ca="1">IFERROR(__xludf.DUMMYFUNCTION("""COMPUTED_VALUE"""),52)</f>
        <v>52</v>
      </c>
      <c r="E186">
        <f ca="1">IFERROR(__xludf.DUMMYFUNCTION("""COMPUTED_VALUE"""),0.95)</f>
        <v>0.95</v>
      </c>
      <c r="F186">
        <f ca="1">IFERROR(__xludf.DUMMYFUNCTION("""COMPUTED_VALUE"""),49.64)</f>
        <v>49.64</v>
      </c>
      <c r="G186">
        <f ca="1">IFERROR(__xludf.DUMMYFUNCTION("""COMPUTED_VALUE"""),-28.43)</f>
        <v>-28.43</v>
      </c>
      <c r="H186">
        <f ca="1">IFERROR(__xludf.DUMMYFUNCTION("""COMPUTED_VALUE"""),28.28)</f>
        <v>28.28</v>
      </c>
      <c r="I186" t="str">
        <f ca="1">IFERROR(__xludf.DUMMYFUNCTION("""COMPUTED_VALUE"""),"")</f>
        <v/>
      </c>
    </row>
    <row r="187" spans="1:9" ht="12.75">
      <c r="A187">
        <f ca="1">IFERROR(__xludf.DUMMYFUNCTION("""COMPUTED_VALUE"""),186)</f>
        <v>186</v>
      </c>
      <c r="B187">
        <f ca="1">IFERROR(__xludf.DUMMYFUNCTION("""COMPUTED_VALUE"""),192)</f>
        <v>192</v>
      </c>
      <c r="C187" t="str">
        <f ca="1">IFERROR(__xludf.DUMMYFUNCTION("""COMPUTED_VALUE"""),"Austin Cook")</f>
        <v>Austin Cook</v>
      </c>
      <c r="D187">
        <f ca="1">IFERROR(__xludf.DUMMYFUNCTION("""COMPUTED_VALUE"""),49)</f>
        <v>49</v>
      </c>
      <c r="E187">
        <f ca="1">IFERROR(__xludf.DUMMYFUNCTION("""COMPUTED_VALUE"""),0.95)</f>
        <v>0.95</v>
      </c>
      <c r="F187">
        <f ca="1">IFERROR(__xludf.DUMMYFUNCTION("""COMPUTED_VALUE"""),46.71)</f>
        <v>46.71</v>
      </c>
      <c r="G187">
        <f ca="1">IFERROR(__xludf.DUMMYFUNCTION("""COMPUTED_VALUE"""),-21.63)</f>
        <v>-21.63</v>
      </c>
      <c r="H187">
        <f ca="1">IFERROR(__xludf.DUMMYFUNCTION("""COMPUTED_VALUE"""),34.52)</f>
        <v>34.520000000000003</v>
      </c>
      <c r="I187" t="str">
        <f ca="1">IFERROR(__xludf.DUMMYFUNCTION("""COMPUTED_VALUE"""),"")</f>
        <v/>
      </c>
    </row>
    <row r="188" spans="1:9" ht="12.75">
      <c r="A188">
        <f ca="1">IFERROR(__xludf.DUMMYFUNCTION("""COMPUTED_VALUE"""),187)</f>
        <v>187</v>
      </c>
      <c r="B188">
        <f ca="1">IFERROR(__xludf.DUMMYFUNCTION("""COMPUTED_VALUE"""),180)</f>
        <v>180</v>
      </c>
      <c r="C188" t="str">
        <f ca="1">IFERROR(__xludf.DUMMYFUNCTION("""COMPUTED_VALUE"""),"Ryan Fox")</f>
        <v>Ryan Fox</v>
      </c>
      <c r="D188">
        <f ca="1">IFERROR(__xludf.DUMMYFUNCTION("""COMPUTED_VALUE"""),52)</f>
        <v>52</v>
      </c>
      <c r="E188">
        <f ca="1">IFERROR(__xludf.DUMMYFUNCTION("""COMPUTED_VALUE"""),0.95)</f>
        <v>0.95</v>
      </c>
      <c r="F188">
        <f ca="1">IFERROR(__xludf.DUMMYFUNCTION("""COMPUTED_VALUE"""),49.34)</f>
        <v>49.34</v>
      </c>
      <c r="G188">
        <f ca="1">IFERROR(__xludf.DUMMYFUNCTION("""COMPUTED_VALUE"""),-40.45)</f>
        <v>-40.450000000000003</v>
      </c>
      <c r="H188">
        <f ca="1">IFERROR(__xludf.DUMMYFUNCTION("""COMPUTED_VALUE"""),32.37)</f>
        <v>32.369999999999997</v>
      </c>
      <c r="I188" t="str">
        <f ca="1">IFERROR(__xludf.DUMMYFUNCTION("""COMPUTED_VALUE"""),"")</f>
        <v/>
      </c>
    </row>
    <row r="189" spans="1:9" ht="12.75">
      <c r="A189">
        <f ca="1">IFERROR(__xludf.DUMMYFUNCTION("""COMPUTED_VALUE"""),188)</f>
        <v>188</v>
      </c>
      <c r="B189">
        <f ca="1">IFERROR(__xludf.DUMMYFUNCTION("""COMPUTED_VALUE"""),174)</f>
        <v>174</v>
      </c>
      <c r="C189" t="str">
        <f ca="1">IFERROR(__xludf.DUMMYFUNCTION("""COMPUTED_VALUE"""),"Pat Perez")</f>
        <v>Pat Perez</v>
      </c>
      <c r="D189">
        <f ca="1">IFERROR(__xludf.DUMMYFUNCTION("""COMPUTED_VALUE"""),47)</f>
        <v>47</v>
      </c>
      <c r="E189">
        <f ca="1">IFERROR(__xludf.DUMMYFUNCTION("""COMPUTED_VALUE"""),0.94)</f>
        <v>0.94</v>
      </c>
      <c r="F189">
        <f ca="1">IFERROR(__xludf.DUMMYFUNCTION("""COMPUTED_VALUE"""),44.31)</f>
        <v>44.31</v>
      </c>
      <c r="G189">
        <f ca="1">IFERROR(__xludf.DUMMYFUNCTION("""COMPUTED_VALUE"""),-31.26)</f>
        <v>-31.26</v>
      </c>
      <c r="H189">
        <f ca="1">IFERROR(__xludf.DUMMYFUNCTION("""COMPUTED_VALUE"""),16.9)</f>
        <v>16.899999999999999</v>
      </c>
      <c r="I189" t="str">
        <f ca="1">IFERROR(__xludf.DUMMYFUNCTION("""COMPUTED_VALUE"""),"")</f>
        <v/>
      </c>
    </row>
    <row r="190" spans="1:9" ht="12.75">
      <c r="A190">
        <f ca="1">IFERROR(__xludf.DUMMYFUNCTION("""COMPUTED_VALUE"""),189)</f>
        <v>189</v>
      </c>
      <c r="B190">
        <f ca="1">IFERROR(__xludf.DUMMYFUNCTION("""COMPUTED_VALUE"""),193)</f>
        <v>193</v>
      </c>
      <c r="C190" t="str">
        <f ca="1">IFERROR(__xludf.DUMMYFUNCTION("""COMPUTED_VALUE"""),"Wil Besseling")</f>
        <v>Wil Besseling</v>
      </c>
      <c r="D190">
        <f ca="1">IFERROR(__xludf.DUMMYFUNCTION("""COMPUTED_VALUE"""),42)</f>
        <v>42</v>
      </c>
      <c r="E190">
        <f ca="1">IFERROR(__xludf.DUMMYFUNCTION("""COMPUTED_VALUE"""),0.94)</f>
        <v>0.94</v>
      </c>
      <c r="F190">
        <f ca="1">IFERROR(__xludf.DUMMYFUNCTION("""COMPUTED_VALUE"""),39.44)</f>
        <v>39.44</v>
      </c>
      <c r="G190">
        <f ca="1">IFERROR(__xludf.DUMMYFUNCTION("""COMPUTED_VALUE"""),-11.82)</f>
        <v>-11.82</v>
      </c>
      <c r="H190">
        <f ca="1">IFERROR(__xludf.DUMMYFUNCTION("""COMPUTED_VALUE"""),23.19)</f>
        <v>23.19</v>
      </c>
      <c r="I190" t="str">
        <f ca="1">IFERROR(__xludf.DUMMYFUNCTION("""COMPUTED_VALUE"""),"")</f>
        <v/>
      </c>
    </row>
    <row r="191" spans="1:9" ht="12.75">
      <c r="A191">
        <f ca="1">IFERROR(__xludf.DUMMYFUNCTION("""COMPUTED_VALUE"""),190)</f>
        <v>190</v>
      </c>
      <c r="B191">
        <f ca="1">IFERROR(__xludf.DUMMYFUNCTION("""COMPUTED_VALUE"""),185)</f>
        <v>185</v>
      </c>
      <c r="C191" t="str">
        <f ca="1">IFERROR(__xludf.DUMMYFUNCTION("""COMPUTED_VALUE"""),"Sebastian Heisele")</f>
        <v>Sebastian Heisele</v>
      </c>
      <c r="D191">
        <f ca="1">IFERROR(__xludf.DUMMYFUNCTION("""COMPUTED_VALUE"""),40)</f>
        <v>40</v>
      </c>
      <c r="E191">
        <f ca="1">IFERROR(__xludf.DUMMYFUNCTION("""COMPUTED_VALUE"""),0.93)</f>
        <v>0.93</v>
      </c>
      <c r="F191">
        <f ca="1">IFERROR(__xludf.DUMMYFUNCTION("""COMPUTED_VALUE"""),37.26)</f>
        <v>37.26</v>
      </c>
      <c r="G191">
        <f ca="1">IFERROR(__xludf.DUMMYFUNCTION("""COMPUTED_VALUE"""),-14.46)</f>
        <v>-14.46</v>
      </c>
      <c r="H191">
        <f ca="1">IFERROR(__xludf.DUMMYFUNCTION("""COMPUTED_VALUE"""),15.2)</f>
        <v>15.2</v>
      </c>
      <c r="I191" t="str">
        <f ca="1">IFERROR(__xludf.DUMMYFUNCTION("""COMPUTED_VALUE"""),"")</f>
        <v/>
      </c>
    </row>
    <row r="192" spans="1:9" ht="12.75">
      <c r="A192">
        <f ca="1">IFERROR(__xludf.DUMMYFUNCTION("""COMPUTED_VALUE"""),191)</f>
        <v>191</v>
      </c>
      <c r="B192">
        <f ca="1">IFERROR(__xludf.DUMMYFUNCTION("""COMPUTED_VALUE"""),188)</f>
        <v>188</v>
      </c>
      <c r="C192" t="str">
        <f ca="1">IFERROR(__xludf.DUMMYFUNCTION("""COMPUTED_VALUE"""),"Paul Barjon")</f>
        <v>Paul Barjon</v>
      </c>
      <c r="D192">
        <f ca="1">IFERROR(__xludf.DUMMYFUNCTION("""COMPUTED_VALUE"""),40)</f>
        <v>40</v>
      </c>
      <c r="E192">
        <f ca="1">IFERROR(__xludf.DUMMYFUNCTION("""COMPUTED_VALUE"""),0.92)</f>
        <v>0.92</v>
      </c>
      <c r="F192">
        <f ca="1">IFERROR(__xludf.DUMMYFUNCTION("""COMPUTED_VALUE"""),36.85)</f>
        <v>36.85</v>
      </c>
      <c r="G192">
        <f ca="1">IFERROR(__xludf.DUMMYFUNCTION("""COMPUTED_VALUE"""),-10.17)</f>
        <v>-10.17</v>
      </c>
      <c r="H192">
        <f ca="1">IFERROR(__xludf.DUMMYFUNCTION("""COMPUTED_VALUE"""),27.59)</f>
        <v>27.59</v>
      </c>
      <c r="I192" t="str">
        <f ca="1">IFERROR(__xludf.DUMMYFUNCTION("""COMPUTED_VALUE"""),"")</f>
        <v/>
      </c>
    </row>
    <row r="193" spans="1:9" ht="12.75">
      <c r="A193">
        <f ca="1">IFERROR(__xludf.DUMMYFUNCTION("""COMPUTED_VALUE"""),191)</f>
        <v>191</v>
      </c>
      <c r="B193">
        <f ca="1">IFERROR(__xludf.DUMMYFUNCTION("""COMPUTED_VALUE"""),187)</f>
        <v>187</v>
      </c>
      <c r="C193" t="str">
        <f ca="1">IFERROR(__xludf.DUMMYFUNCTION("""COMPUTED_VALUE"""),"Jason Scrivener")</f>
        <v>Jason Scrivener</v>
      </c>
      <c r="D193">
        <f ca="1">IFERROR(__xludf.DUMMYFUNCTION("""COMPUTED_VALUE"""),52)</f>
        <v>52</v>
      </c>
      <c r="E193">
        <f ca="1">IFERROR(__xludf.DUMMYFUNCTION("""COMPUTED_VALUE"""),0.92)</f>
        <v>0.92</v>
      </c>
      <c r="F193">
        <f ca="1">IFERROR(__xludf.DUMMYFUNCTION("""COMPUTED_VALUE"""),47.91)</f>
        <v>47.91</v>
      </c>
      <c r="G193">
        <f ca="1">IFERROR(__xludf.DUMMYFUNCTION("""COMPUTED_VALUE"""),-28.11)</f>
        <v>-28.11</v>
      </c>
      <c r="H193">
        <f ca="1">IFERROR(__xludf.DUMMYFUNCTION("""COMPUTED_VALUE"""),18.62)</f>
        <v>18.62</v>
      </c>
      <c r="I193" t="str">
        <f ca="1">IFERROR(__xludf.DUMMYFUNCTION("""COMPUTED_VALUE"""),"")</f>
        <v/>
      </c>
    </row>
    <row r="194" spans="1:9" ht="12.75">
      <c r="A194">
        <f ca="1">IFERROR(__xludf.DUMMYFUNCTION("""COMPUTED_VALUE"""),193)</f>
        <v>193</v>
      </c>
      <c r="B194">
        <f ca="1">IFERROR(__xludf.DUMMYFUNCTION("""COMPUTED_VALUE"""),189)</f>
        <v>189</v>
      </c>
      <c r="C194" t="str">
        <f ca="1">IFERROR(__xludf.DUMMYFUNCTION("""COMPUTED_VALUE"""),"Sebastian Soderberg")</f>
        <v>Sebastian Soderberg</v>
      </c>
      <c r="D194">
        <f ca="1">IFERROR(__xludf.DUMMYFUNCTION("""COMPUTED_VALUE"""),52)</f>
        <v>52</v>
      </c>
      <c r="E194">
        <f ca="1">IFERROR(__xludf.DUMMYFUNCTION("""COMPUTED_VALUE"""),0.92)</f>
        <v>0.92</v>
      </c>
      <c r="F194">
        <f ca="1">IFERROR(__xludf.DUMMYFUNCTION("""COMPUTED_VALUE"""),47.86)</f>
        <v>47.86</v>
      </c>
      <c r="G194">
        <f ca="1">IFERROR(__xludf.DUMMYFUNCTION("""COMPUTED_VALUE"""),-30.31)</f>
        <v>-30.31</v>
      </c>
      <c r="H194">
        <f ca="1">IFERROR(__xludf.DUMMYFUNCTION("""COMPUTED_VALUE"""),15.75)</f>
        <v>15.75</v>
      </c>
      <c r="I194" t="str">
        <f ca="1">IFERROR(__xludf.DUMMYFUNCTION("""COMPUTED_VALUE"""),"")</f>
        <v/>
      </c>
    </row>
    <row r="195" spans="1:9" ht="12.75">
      <c r="A195">
        <f ca="1">IFERROR(__xludf.DUMMYFUNCTION("""COMPUTED_VALUE"""),194)</f>
        <v>194</v>
      </c>
      <c r="B195">
        <f ca="1">IFERROR(__xludf.DUMMYFUNCTION("""COMPUTED_VALUE"""),190)</f>
        <v>190</v>
      </c>
      <c r="C195" t="str">
        <f ca="1">IFERROR(__xludf.DUMMYFUNCTION("""COMPUTED_VALUE"""),"Andrew Johnston")</f>
        <v>Andrew Johnston</v>
      </c>
      <c r="D195">
        <f ca="1">IFERROR(__xludf.DUMMYFUNCTION("""COMPUTED_VALUE"""),40)</f>
        <v>40</v>
      </c>
      <c r="E195">
        <f ca="1">IFERROR(__xludf.DUMMYFUNCTION("""COMPUTED_VALUE"""),0.92)</f>
        <v>0.92</v>
      </c>
      <c r="F195">
        <f ca="1">IFERROR(__xludf.DUMMYFUNCTION("""COMPUTED_VALUE"""),36.75)</f>
        <v>36.75</v>
      </c>
      <c r="G195">
        <f ca="1">IFERROR(__xludf.DUMMYFUNCTION("""COMPUTED_VALUE"""),-19.94)</f>
        <v>-19.940000000000001</v>
      </c>
      <c r="H195">
        <f ca="1">IFERROR(__xludf.DUMMYFUNCTION("""COMPUTED_VALUE"""),13.98)</f>
        <v>13.98</v>
      </c>
      <c r="I195" t="str">
        <f ca="1">IFERROR(__xludf.DUMMYFUNCTION("""COMPUTED_VALUE"""),"")</f>
        <v/>
      </c>
    </row>
    <row r="196" spans="1:9" ht="12.75">
      <c r="A196">
        <f ca="1">IFERROR(__xludf.DUMMYFUNCTION("""COMPUTED_VALUE"""),195)</f>
        <v>195</v>
      </c>
      <c r="B196">
        <f ca="1">IFERROR(__xludf.DUMMYFUNCTION("""COMPUTED_VALUE"""),191)</f>
        <v>191</v>
      </c>
      <c r="C196" t="str">
        <f ca="1">IFERROR(__xludf.DUMMYFUNCTION("""COMPUTED_VALUE"""),"Francesco Laporta")</f>
        <v>Francesco Laporta</v>
      </c>
      <c r="D196">
        <f ca="1">IFERROR(__xludf.DUMMYFUNCTION("""COMPUTED_VALUE"""),45)</f>
        <v>45</v>
      </c>
      <c r="E196">
        <f ca="1">IFERROR(__xludf.DUMMYFUNCTION("""COMPUTED_VALUE"""),0.91)</f>
        <v>0.91</v>
      </c>
      <c r="F196">
        <f ca="1">IFERROR(__xludf.DUMMYFUNCTION("""COMPUTED_VALUE"""),41.15)</f>
        <v>41.15</v>
      </c>
      <c r="G196">
        <f ca="1">IFERROR(__xludf.DUMMYFUNCTION("""COMPUTED_VALUE"""),-24.23)</f>
        <v>-24.23</v>
      </c>
      <c r="H196">
        <f ca="1">IFERROR(__xludf.DUMMYFUNCTION("""COMPUTED_VALUE"""),5.21)</f>
        <v>5.21</v>
      </c>
      <c r="I196" t="str">
        <f ca="1">IFERROR(__xludf.DUMMYFUNCTION("""COMPUTED_VALUE"""),"")</f>
        <v/>
      </c>
    </row>
    <row r="197" spans="1:9" ht="12.75">
      <c r="A197">
        <f ca="1">IFERROR(__xludf.DUMMYFUNCTION("""COMPUTED_VALUE"""),196)</f>
        <v>196</v>
      </c>
      <c r="B197">
        <f ca="1">IFERROR(__xludf.DUMMYFUNCTION("""COMPUTED_VALUE"""),195)</f>
        <v>195</v>
      </c>
      <c r="C197" t="str">
        <f ca="1">IFERROR(__xludf.DUMMYFUNCTION("""COMPUTED_VALUE"""),"Matthew NeSmith")</f>
        <v>Matthew NeSmith</v>
      </c>
      <c r="D197">
        <f ca="1">IFERROR(__xludf.DUMMYFUNCTION("""COMPUTED_VALUE"""),52)</f>
        <v>52</v>
      </c>
      <c r="E197">
        <f ca="1">IFERROR(__xludf.DUMMYFUNCTION("""COMPUTED_VALUE"""),0.9)</f>
        <v>0.9</v>
      </c>
      <c r="F197">
        <f ca="1">IFERROR(__xludf.DUMMYFUNCTION("""COMPUTED_VALUE"""),46.89)</f>
        <v>46.89</v>
      </c>
      <c r="G197">
        <f ca="1">IFERROR(__xludf.DUMMYFUNCTION("""COMPUTED_VALUE"""),-14.33)</f>
        <v>-14.33</v>
      </c>
      <c r="H197">
        <f ca="1">IFERROR(__xludf.DUMMYFUNCTION("""COMPUTED_VALUE"""),33.95)</f>
        <v>33.950000000000003</v>
      </c>
      <c r="I197" t="str">
        <f ca="1">IFERROR(__xludf.DUMMYFUNCTION("""COMPUTED_VALUE"""),"")</f>
        <v/>
      </c>
    </row>
    <row r="198" spans="1:9" ht="12.75">
      <c r="A198">
        <f ca="1">IFERROR(__xludf.DUMMYFUNCTION("""COMPUTED_VALUE"""),197)</f>
        <v>197</v>
      </c>
      <c r="B198">
        <f ca="1">IFERROR(__xludf.DUMMYFUNCTION("""COMPUTED_VALUE"""),196)</f>
        <v>196</v>
      </c>
      <c r="C198" t="str">
        <f ca="1">IFERROR(__xludf.DUMMYFUNCTION("""COMPUTED_VALUE"""),"Wade Ormsby")</f>
        <v>Wade Ormsby</v>
      </c>
      <c r="D198">
        <f ca="1">IFERROR(__xludf.DUMMYFUNCTION("""COMPUTED_VALUE"""),50)</f>
        <v>50</v>
      </c>
      <c r="E198">
        <f ca="1">IFERROR(__xludf.DUMMYFUNCTION("""COMPUTED_VALUE"""),0.89)</f>
        <v>0.89</v>
      </c>
      <c r="F198">
        <f ca="1">IFERROR(__xludf.DUMMYFUNCTION("""COMPUTED_VALUE"""),44.44)</f>
        <v>44.44</v>
      </c>
      <c r="G198">
        <f ca="1">IFERROR(__xludf.DUMMYFUNCTION("""COMPUTED_VALUE"""),-22.77)</f>
        <v>-22.77</v>
      </c>
      <c r="H198">
        <f ca="1">IFERROR(__xludf.DUMMYFUNCTION("""COMPUTED_VALUE"""),30.35)</f>
        <v>30.35</v>
      </c>
      <c r="I198" t="str">
        <f ca="1">IFERROR(__xludf.DUMMYFUNCTION("""COMPUTED_VALUE"""),"")</f>
        <v/>
      </c>
    </row>
    <row r="199" spans="1:9" ht="12.75">
      <c r="A199">
        <f ca="1">IFERROR(__xludf.DUMMYFUNCTION("""COMPUTED_VALUE"""),198)</f>
        <v>198</v>
      </c>
      <c r="B199">
        <f ca="1">IFERROR(__xludf.DUMMYFUNCTION("""COMPUTED_VALUE"""),197)</f>
        <v>197</v>
      </c>
      <c r="C199" t="str">
        <f ca="1">IFERROR(__xludf.DUMMYFUNCTION("""COMPUTED_VALUE"""),"Mikumu Horikawa")</f>
        <v>Mikumu Horikawa</v>
      </c>
      <c r="D199">
        <f ca="1">IFERROR(__xludf.DUMMYFUNCTION("""COMPUTED_VALUE"""),52)</f>
        <v>52</v>
      </c>
      <c r="E199">
        <f ca="1">IFERROR(__xludf.DUMMYFUNCTION("""COMPUTED_VALUE"""),0.89)</f>
        <v>0.89</v>
      </c>
      <c r="F199">
        <f ca="1">IFERROR(__xludf.DUMMYFUNCTION("""COMPUTED_VALUE"""),46.07)</f>
        <v>46.07</v>
      </c>
      <c r="G199">
        <f ca="1">IFERROR(__xludf.DUMMYFUNCTION("""COMPUTED_VALUE"""),-29.9)</f>
        <v>-29.9</v>
      </c>
      <c r="H199">
        <f ca="1">IFERROR(__xludf.DUMMYFUNCTION("""COMPUTED_VALUE"""),12.62)</f>
        <v>12.62</v>
      </c>
      <c r="I199" t="str">
        <f ca="1">IFERROR(__xludf.DUMMYFUNCTION("""COMPUTED_VALUE"""),"")</f>
        <v/>
      </c>
    </row>
    <row r="200" spans="1:9" ht="12.75">
      <c r="A200">
        <f ca="1">IFERROR(__xludf.DUMMYFUNCTION("""COMPUTED_VALUE"""),199)</f>
        <v>199</v>
      </c>
      <c r="B200">
        <f ca="1">IFERROR(__xludf.DUMMYFUNCTION("""COMPUTED_VALUE"""),198)</f>
        <v>198</v>
      </c>
      <c r="C200" t="str">
        <f ca="1">IFERROR(__xludf.DUMMYFUNCTION("""COMPUTED_VALUE"""),"Davis Riley")</f>
        <v>Davis Riley</v>
      </c>
      <c r="D200">
        <f ca="1">IFERROR(__xludf.DUMMYFUNCTION("""COMPUTED_VALUE"""),42)</f>
        <v>42</v>
      </c>
      <c r="E200">
        <f ca="1">IFERROR(__xludf.DUMMYFUNCTION("""COMPUTED_VALUE"""),0.88)</f>
        <v>0.88</v>
      </c>
      <c r="F200">
        <f ca="1">IFERROR(__xludf.DUMMYFUNCTION("""COMPUTED_VALUE"""),37.12)</f>
        <v>37.119999999999997</v>
      </c>
      <c r="G200">
        <f ca="1">IFERROR(__xludf.DUMMYFUNCTION("""COMPUTED_VALUE"""),-6.37)</f>
        <v>-6.37</v>
      </c>
      <c r="H200">
        <f ca="1">IFERROR(__xludf.DUMMYFUNCTION("""COMPUTED_VALUE"""),38.3)</f>
        <v>38.299999999999997</v>
      </c>
      <c r="I200" t="str">
        <f ca="1">IFERROR(__xludf.DUMMYFUNCTION("""COMPUTED_VALUE"""),"")</f>
        <v/>
      </c>
    </row>
    <row r="201" spans="1:9" ht="12.75">
      <c r="A201">
        <f ca="1">IFERROR(__xludf.DUMMYFUNCTION("""COMPUTED_VALUE"""),200)</f>
        <v>200</v>
      </c>
      <c r="B201">
        <f ca="1">IFERROR(__xludf.DUMMYFUNCTION("""COMPUTED_VALUE"""),200)</f>
        <v>200</v>
      </c>
      <c r="C201" t="str">
        <f ca="1">IFERROR(__xludf.DUMMYFUNCTION("""COMPUTED_VALUE"""),"Antoine Rozner")</f>
        <v>Antoine Rozner</v>
      </c>
      <c r="D201">
        <f ca="1">IFERROR(__xludf.DUMMYFUNCTION("""COMPUTED_VALUE"""),52)</f>
        <v>52</v>
      </c>
      <c r="E201">
        <f ca="1">IFERROR(__xludf.DUMMYFUNCTION("""COMPUTED_VALUE"""),0.87)</f>
        <v>0.87</v>
      </c>
      <c r="F201">
        <f ca="1">IFERROR(__xludf.DUMMYFUNCTION("""COMPUTED_VALUE"""),45.34)</f>
        <v>45.34</v>
      </c>
      <c r="G201">
        <f ca="1">IFERROR(__xludf.DUMMYFUNCTION("""COMPUTED_VALUE"""),-20.99)</f>
        <v>-20.99</v>
      </c>
      <c r="H201">
        <f ca="1">IFERROR(__xludf.DUMMYFUNCTION("""COMPUTED_VALUE"""),19.81)</f>
        <v>19.809999999999999</v>
      </c>
      <c r="I201" t="str">
        <f ca="1">IFERROR(__xludf.DUMMYFUNCTION("""COMPUTED_VALUE"""),"")</f>
        <v/>
      </c>
    </row>
    <row r="202" spans="1:9" ht="12.75">
      <c r="A202">
        <f ca="1">IFERROR(__xludf.DUMMYFUNCTION("""COMPUTED_VALUE"""),201)</f>
        <v>201</v>
      </c>
      <c r="B202">
        <f ca="1">IFERROR(__xludf.DUMMYFUNCTION("""COMPUTED_VALUE"""),206)</f>
        <v>206</v>
      </c>
      <c r="C202" t="str">
        <f ca="1">IFERROR(__xludf.DUMMYFUNCTION("""COMPUTED_VALUE"""),"Jhonattan Vegas")</f>
        <v>Jhonattan Vegas</v>
      </c>
      <c r="D202">
        <f ca="1">IFERROR(__xludf.DUMMYFUNCTION("""COMPUTED_VALUE"""),48)</f>
        <v>48</v>
      </c>
      <c r="E202">
        <f ca="1">IFERROR(__xludf.DUMMYFUNCTION("""COMPUTED_VALUE"""),0.87)</f>
        <v>0.87</v>
      </c>
      <c r="F202">
        <f ca="1">IFERROR(__xludf.DUMMYFUNCTION("""COMPUTED_VALUE"""),41.82)</f>
        <v>41.82</v>
      </c>
      <c r="G202">
        <f ca="1">IFERROR(__xludf.DUMMYFUNCTION("""COMPUTED_VALUE"""),-33.15)</f>
        <v>-33.15</v>
      </c>
      <c r="H202">
        <f ca="1">IFERROR(__xludf.DUMMYFUNCTION("""COMPUTED_VALUE"""),21.62)</f>
        <v>21.62</v>
      </c>
      <c r="I202" t="str">
        <f ca="1">IFERROR(__xludf.DUMMYFUNCTION("""COMPUTED_VALUE"""),"")</f>
        <v/>
      </c>
    </row>
    <row r="203" spans="1:9" ht="12.75">
      <c r="A203">
        <f ca="1">IFERROR(__xludf.DUMMYFUNCTION("""COMPUTED_VALUE"""),202)</f>
        <v>202</v>
      </c>
      <c r="B203">
        <f ca="1">IFERROR(__xludf.DUMMYFUNCTION("""COMPUTED_VALUE"""),199)</f>
        <v>199</v>
      </c>
      <c r="C203" t="str">
        <f ca="1">IFERROR(__xludf.DUMMYFUNCTION("""COMPUTED_VALUE"""),"Dean Burmester")</f>
        <v>Dean Burmester</v>
      </c>
      <c r="D203">
        <f ca="1">IFERROR(__xludf.DUMMYFUNCTION("""COMPUTED_VALUE"""),52)</f>
        <v>52</v>
      </c>
      <c r="E203">
        <f ca="1">IFERROR(__xludf.DUMMYFUNCTION("""COMPUTED_VALUE"""),0.86)</f>
        <v>0.86</v>
      </c>
      <c r="F203">
        <f ca="1">IFERROR(__xludf.DUMMYFUNCTION("""COMPUTED_VALUE"""),44.97)</f>
        <v>44.97</v>
      </c>
      <c r="G203">
        <f ca="1">IFERROR(__xludf.DUMMYFUNCTION("""COMPUTED_VALUE"""),-26.85)</f>
        <v>-26.85</v>
      </c>
      <c r="H203">
        <f ca="1">IFERROR(__xludf.DUMMYFUNCTION("""COMPUTED_VALUE"""),34)</f>
        <v>34</v>
      </c>
      <c r="I203" t="str">
        <f ca="1">IFERROR(__xludf.DUMMYFUNCTION("""COMPUTED_VALUE"""),"")</f>
        <v/>
      </c>
    </row>
    <row r="204" spans="1:9" ht="12.75">
      <c r="A204">
        <f ca="1">IFERROR(__xludf.DUMMYFUNCTION("""COMPUTED_VALUE"""),203)</f>
        <v>203</v>
      </c>
      <c r="B204">
        <f ca="1">IFERROR(__xludf.DUMMYFUNCTION("""COMPUTED_VALUE"""),209)</f>
        <v>209</v>
      </c>
      <c r="C204" t="str">
        <f ca="1">IFERROR(__xludf.DUMMYFUNCTION("""COMPUTED_VALUE"""),"Jared Wolfe")</f>
        <v>Jared Wolfe</v>
      </c>
      <c r="D204">
        <f ca="1">IFERROR(__xludf.DUMMYFUNCTION("""COMPUTED_VALUE"""),46)</f>
        <v>46</v>
      </c>
      <c r="E204">
        <f ca="1">IFERROR(__xludf.DUMMYFUNCTION("""COMPUTED_VALUE"""),0.86)</f>
        <v>0.86</v>
      </c>
      <c r="F204">
        <f ca="1">IFERROR(__xludf.DUMMYFUNCTION("""COMPUTED_VALUE"""),39.54)</f>
        <v>39.54</v>
      </c>
      <c r="G204">
        <f ca="1">IFERROR(__xludf.DUMMYFUNCTION("""COMPUTED_VALUE"""),-11.19)</f>
        <v>-11.19</v>
      </c>
      <c r="H204">
        <f ca="1">IFERROR(__xludf.DUMMYFUNCTION("""COMPUTED_VALUE"""),33.44)</f>
        <v>33.44</v>
      </c>
      <c r="I204" t="str">
        <f ca="1">IFERROR(__xludf.DUMMYFUNCTION("""COMPUTED_VALUE"""),"")</f>
        <v/>
      </c>
    </row>
    <row r="205" spans="1:9" ht="12.75">
      <c r="A205">
        <f ca="1">IFERROR(__xludf.DUMMYFUNCTION("""COMPUTED_VALUE"""),204)</f>
        <v>204</v>
      </c>
      <c r="B205">
        <f ca="1">IFERROR(__xludf.DUMMYFUNCTION("""COMPUTED_VALUE"""),222)</f>
        <v>222</v>
      </c>
      <c r="C205" t="str">
        <f ca="1">IFERROR(__xludf.DUMMYFUNCTION("""COMPUTED_VALUE"""),"Russell Knox")</f>
        <v>Russell Knox</v>
      </c>
      <c r="D205">
        <f ca="1">IFERROR(__xludf.DUMMYFUNCTION("""COMPUTED_VALUE"""),52)</f>
        <v>52</v>
      </c>
      <c r="E205">
        <f ca="1">IFERROR(__xludf.DUMMYFUNCTION("""COMPUTED_VALUE"""),0.86)</f>
        <v>0.86</v>
      </c>
      <c r="F205">
        <f ca="1">IFERROR(__xludf.DUMMYFUNCTION("""COMPUTED_VALUE"""),44.61)</f>
        <v>44.61</v>
      </c>
      <c r="G205">
        <f ca="1">IFERROR(__xludf.DUMMYFUNCTION("""COMPUTED_VALUE"""),-50.77)</f>
        <v>-50.77</v>
      </c>
      <c r="H205">
        <f ca="1">IFERROR(__xludf.DUMMYFUNCTION("""COMPUTED_VALUE"""),20.85)</f>
        <v>20.85</v>
      </c>
      <c r="I205" t="str">
        <f ca="1">IFERROR(__xludf.DUMMYFUNCTION("""COMPUTED_VALUE"""),"")</f>
        <v/>
      </c>
    </row>
    <row r="206" spans="1:9" ht="12.75">
      <c r="A206">
        <f ca="1">IFERROR(__xludf.DUMMYFUNCTION("""COMPUTED_VALUE"""),205)</f>
        <v>205</v>
      </c>
      <c r="B206">
        <f ca="1">IFERROR(__xludf.DUMMYFUNCTION("""COMPUTED_VALUE"""),203)</f>
        <v>203</v>
      </c>
      <c r="C206" t="str">
        <f ca="1">IFERROR(__xludf.DUMMYFUNCTION("""COMPUTED_VALUE"""),"Matthew Southgate")</f>
        <v>Matthew Southgate</v>
      </c>
      <c r="D206">
        <f ca="1">IFERROR(__xludf.DUMMYFUNCTION("""COMPUTED_VALUE"""),52)</f>
        <v>52</v>
      </c>
      <c r="E206">
        <f ca="1">IFERROR(__xludf.DUMMYFUNCTION("""COMPUTED_VALUE"""),0.86)</f>
        <v>0.86</v>
      </c>
      <c r="F206">
        <f ca="1">IFERROR(__xludf.DUMMYFUNCTION("""COMPUTED_VALUE"""),44.6)</f>
        <v>44.6</v>
      </c>
      <c r="G206">
        <f ca="1">IFERROR(__xludf.DUMMYFUNCTION("""COMPUTED_VALUE"""),-27.9)</f>
        <v>-27.9</v>
      </c>
      <c r="H206">
        <f ca="1">IFERROR(__xludf.DUMMYFUNCTION("""COMPUTED_VALUE"""),13.89)</f>
        <v>13.89</v>
      </c>
      <c r="I206" t="str">
        <f ca="1">IFERROR(__xludf.DUMMYFUNCTION("""COMPUTED_VALUE"""),"")</f>
        <v/>
      </c>
    </row>
    <row r="207" spans="1:9" ht="12.75">
      <c r="A207">
        <f ca="1">IFERROR(__xludf.DUMMYFUNCTION("""COMPUTED_VALUE"""),206)</f>
        <v>206</v>
      </c>
      <c r="B207">
        <f ca="1">IFERROR(__xludf.DUMMYFUNCTION("""COMPUTED_VALUE"""),202)</f>
        <v>202</v>
      </c>
      <c r="C207" t="str">
        <f ca="1">IFERROR(__xludf.DUMMYFUNCTION("""COMPUTED_VALUE"""),"Nicolas Colsaerts")</f>
        <v>Nicolas Colsaerts</v>
      </c>
      <c r="D207">
        <f ca="1">IFERROR(__xludf.DUMMYFUNCTION("""COMPUTED_VALUE"""),52)</f>
        <v>52</v>
      </c>
      <c r="E207">
        <f ca="1">IFERROR(__xludf.DUMMYFUNCTION("""COMPUTED_VALUE"""),0.86)</f>
        <v>0.86</v>
      </c>
      <c r="F207">
        <f ca="1">IFERROR(__xludf.DUMMYFUNCTION("""COMPUTED_VALUE"""),44.51)</f>
        <v>44.51</v>
      </c>
      <c r="G207">
        <f ca="1">IFERROR(__xludf.DUMMYFUNCTION("""COMPUTED_VALUE"""),-22.93)</f>
        <v>-22.93</v>
      </c>
      <c r="H207">
        <f ca="1">IFERROR(__xludf.DUMMYFUNCTION("""COMPUTED_VALUE"""),20.9)</f>
        <v>20.9</v>
      </c>
      <c r="I207" t="str">
        <f ca="1">IFERROR(__xludf.DUMMYFUNCTION("""COMPUTED_VALUE"""),"")</f>
        <v/>
      </c>
    </row>
    <row r="208" spans="1:9" ht="12.75">
      <c r="A208">
        <f ca="1">IFERROR(__xludf.DUMMYFUNCTION("""COMPUTED_VALUE"""),207)</f>
        <v>207</v>
      </c>
      <c r="B208">
        <f ca="1">IFERROR(__xludf.DUMMYFUNCTION("""COMPUTED_VALUE"""),201)</f>
        <v>201</v>
      </c>
      <c r="C208" t="str">
        <f ca="1">IFERROR(__xludf.DUMMYFUNCTION("""COMPUTED_VALUE"""),"Andrea Pavan")</f>
        <v>Andrea Pavan</v>
      </c>
      <c r="D208">
        <f ca="1">IFERROR(__xludf.DUMMYFUNCTION("""COMPUTED_VALUE"""),52)</f>
        <v>52</v>
      </c>
      <c r="E208">
        <f ca="1">IFERROR(__xludf.DUMMYFUNCTION("""COMPUTED_VALUE"""),0.85)</f>
        <v>0.85</v>
      </c>
      <c r="F208">
        <f ca="1">IFERROR(__xludf.DUMMYFUNCTION("""COMPUTED_VALUE"""),44.44)</f>
        <v>44.44</v>
      </c>
      <c r="G208">
        <f ca="1">IFERROR(__xludf.DUMMYFUNCTION("""COMPUTED_VALUE"""),-52.02)</f>
        <v>-52.02</v>
      </c>
      <c r="H208">
        <f ca="1">IFERROR(__xludf.DUMMYFUNCTION("""COMPUTED_VALUE"""),0)</f>
        <v>0</v>
      </c>
      <c r="I208" t="str">
        <f ca="1">IFERROR(__xludf.DUMMYFUNCTION("""COMPUTED_VALUE"""),"")</f>
        <v/>
      </c>
    </row>
    <row r="209" spans="1:9" ht="12.75">
      <c r="A209">
        <f ca="1">IFERROR(__xludf.DUMMYFUNCTION("""COMPUTED_VALUE"""),208)</f>
        <v>208</v>
      </c>
      <c r="B209">
        <f ca="1">IFERROR(__xludf.DUMMYFUNCTION("""COMPUTED_VALUE"""),205)</f>
        <v>205</v>
      </c>
      <c r="C209" t="str">
        <f ca="1">IFERROR(__xludf.DUMMYFUNCTION("""COMPUTED_VALUE"""),"Joakim Lagergren")</f>
        <v>Joakim Lagergren</v>
      </c>
      <c r="D209">
        <f ca="1">IFERROR(__xludf.DUMMYFUNCTION("""COMPUTED_VALUE"""),51)</f>
        <v>51</v>
      </c>
      <c r="E209">
        <f ca="1">IFERROR(__xludf.DUMMYFUNCTION("""COMPUTED_VALUE"""),0.85)</f>
        <v>0.85</v>
      </c>
      <c r="F209">
        <f ca="1">IFERROR(__xludf.DUMMYFUNCTION("""COMPUTED_VALUE"""),43.56)</f>
        <v>43.56</v>
      </c>
      <c r="G209">
        <f ca="1">IFERROR(__xludf.DUMMYFUNCTION("""COMPUTED_VALUE"""),-23.42)</f>
        <v>-23.42</v>
      </c>
      <c r="H209">
        <f ca="1">IFERROR(__xludf.DUMMYFUNCTION("""COMPUTED_VALUE"""),21.46)</f>
        <v>21.46</v>
      </c>
      <c r="I209" t="str">
        <f ca="1">IFERROR(__xludf.DUMMYFUNCTION("""COMPUTED_VALUE"""),"")</f>
        <v/>
      </c>
    </row>
    <row r="210" spans="1:9" ht="12.75">
      <c r="A210">
        <f ca="1">IFERROR(__xludf.DUMMYFUNCTION("""COMPUTED_VALUE"""),209)</f>
        <v>209</v>
      </c>
      <c r="B210">
        <f ca="1">IFERROR(__xludf.DUMMYFUNCTION("""COMPUTED_VALUE"""),204)</f>
        <v>204</v>
      </c>
      <c r="C210" t="str">
        <f ca="1">IFERROR(__xludf.DUMMYFUNCTION("""COMPUTED_VALUE"""),"Cameron Davis")</f>
        <v>Cameron Davis</v>
      </c>
      <c r="D210">
        <f ca="1">IFERROR(__xludf.DUMMYFUNCTION("""COMPUTED_VALUE"""),52)</f>
        <v>52</v>
      </c>
      <c r="E210">
        <f ca="1">IFERROR(__xludf.DUMMYFUNCTION("""COMPUTED_VALUE"""),0.85)</f>
        <v>0.85</v>
      </c>
      <c r="F210">
        <f ca="1">IFERROR(__xludf.DUMMYFUNCTION("""COMPUTED_VALUE"""),44.36)</f>
        <v>44.36</v>
      </c>
      <c r="G210">
        <f ca="1">IFERROR(__xludf.DUMMYFUNCTION("""COMPUTED_VALUE"""),-22.07)</f>
        <v>-22.07</v>
      </c>
      <c r="H210">
        <f ca="1">IFERROR(__xludf.DUMMYFUNCTION("""COMPUTED_VALUE"""),36.69)</f>
        <v>36.69</v>
      </c>
      <c r="I210" t="str">
        <f ca="1">IFERROR(__xludf.DUMMYFUNCTION("""COMPUTED_VALUE"""),"")</f>
        <v/>
      </c>
    </row>
    <row r="211" spans="1:9" ht="12.75">
      <c r="A211">
        <f ca="1">IFERROR(__xludf.DUMMYFUNCTION("""COMPUTED_VALUE"""),210)</f>
        <v>210</v>
      </c>
      <c r="B211">
        <f ca="1">IFERROR(__xludf.DUMMYFUNCTION("""COMPUTED_VALUE"""),219)</f>
        <v>219</v>
      </c>
      <c r="C211" t="str">
        <f ca="1">IFERROR(__xludf.DUMMYFUNCTION("""COMPUTED_VALUE"""),"Will Gordon")</f>
        <v>Will Gordon</v>
      </c>
      <c r="D211">
        <f ca="1">IFERROR(__xludf.DUMMYFUNCTION("""COMPUTED_VALUE"""),40)</f>
        <v>40</v>
      </c>
      <c r="E211">
        <f ca="1">IFERROR(__xludf.DUMMYFUNCTION("""COMPUTED_VALUE"""),0.85)</f>
        <v>0.85</v>
      </c>
      <c r="F211">
        <f ca="1">IFERROR(__xludf.DUMMYFUNCTION("""COMPUTED_VALUE"""),34.07)</f>
        <v>34.07</v>
      </c>
      <c r="G211">
        <f ca="1">IFERROR(__xludf.DUMMYFUNCTION("""COMPUTED_VALUE"""),-4.75)</f>
        <v>-4.75</v>
      </c>
      <c r="H211">
        <f ca="1">IFERROR(__xludf.DUMMYFUNCTION("""COMPUTED_VALUE"""),32.25)</f>
        <v>32.25</v>
      </c>
      <c r="I211" t="str">
        <f ca="1">IFERROR(__xludf.DUMMYFUNCTION("""COMPUTED_VALUE"""),"")</f>
        <v/>
      </c>
    </row>
    <row r="212" spans="1:9" ht="12.75">
      <c r="A212">
        <f ca="1">IFERROR(__xludf.DUMMYFUNCTION("""COMPUTED_VALUE"""),211)</f>
        <v>211</v>
      </c>
      <c r="B212">
        <f ca="1">IFERROR(__xludf.DUMMYFUNCTION("""COMPUTED_VALUE"""),207)</f>
        <v>207</v>
      </c>
      <c r="C212" t="str">
        <f ca="1">IFERROR(__xludf.DUMMYFUNCTION("""COMPUTED_VALUE"""),"Ryan Armour")</f>
        <v>Ryan Armour</v>
      </c>
      <c r="D212">
        <f ca="1">IFERROR(__xludf.DUMMYFUNCTION("""COMPUTED_VALUE"""),52)</f>
        <v>52</v>
      </c>
      <c r="E212">
        <f ca="1">IFERROR(__xludf.DUMMYFUNCTION("""COMPUTED_VALUE"""),0.85)</f>
        <v>0.85</v>
      </c>
      <c r="F212">
        <f ca="1">IFERROR(__xludf.DUMMYFUNCTION("""COMPUTED_VALUE"""),44.04)</f>
        <v>44.04</v>
      </c>
      <c r="G212">
        <f ca="1">IFERROR(__xludf.DUMMYFUNCTION("""COMPUTED_VALUE"""),-29.76)</f>
        <v>-29.76</v>
      </c>
      <c r="H212">
        <f ca="1">IFERROR(__xludf.DUMMYFUNCTION("""COMPUTED_VALUE"""),28.58)</f>
        <v>28.58</v>
      </c>
      <c r="I212" t="str">
        <f ca="1">IFERROR(__xludf.DUMMYFUNCTION("""COMPUTED_VALUE"""),"")</f>
        <v/>
      </c>
    </row>
    <row r="213" spans="1:9" ht="12.75">
      <c r="A213">
        <f ca="1">IFERROR(__xludf.DUMMYFUNCTION("""COMPUTED_VALUE"""),212)</f>
        <v>212</v>
      </c>
      <c r="B213">
        <f ca="1">IFERROR(__xludf.DUMMYFUNCTION("""COMPUTED_VALUE"""),208)</f>
        <v>208</v>
      </c>
      <c r="C213" t="str">
        <f ca="1">IFERROR(__xludf.DUMMYFUNCTION("""COMPUTED_VALUE"""),"Calum Hill")</f>
        <v>Calum Hill</v>
      </c>
      <c r="D213">
        <f ca="1">IFERROR(__xludf.DUMMYFUNCTION("""COMPUTED_VALUE"""),47)</f>
        <v>47</v>
      </c>
      <c r="E213">
        <f ca="1">IFERROR(__xludf.DUMMYFUNCTION("""COMPUTED_VALUE"""),0.84)</f>
        <v>0.84</v>
      </c>
      <c r="F213">
        <f ca="1">IFERROR(__xludf.DUMMYFUNCTION("""COMPUTED_VALUE"""),39.61)</f>
        <v>39.61</v>
      </c>
      <c r="G213">
        <f ca="1">IFERROR(__xludf.DUMMYFUNCTION("""COMPUTED_VALUE"""),-25.36)</f>
        <v>-25.36</v>
      </c>
      <c r="H213">
        <f ca="1">IFERROR(__xludf.DUMMYFUNCTION("""COMPUTED_VALUE"""),9.04)</f>
        <v>9.0399999999999991</v>
      </c>
      <c r="I213" t="str">
        <f ca="1">IFERROR(__xludf.DUMMYFUNCTION("""COMPUTED_VALUE"""),"")</f>
        <v/>
      </c>
    </row>
    <row r="214" spans="1:9" ht="12.75">
      <c r="A214">
        <f ca="1">IFERROR(__xludf.DUMMYFUNCTION("""COMPUTED_VALUE"""),213)</f>
        <v>213</v>
      </c>
      <c r="B214">
        <f ca="1">IFERROR(__xludf.DUMMYFUNCTION("""COMPUTED_VALUE"""),221)</f>
        <v>221</v>
      </c>
      <c r="C214" t="str">
        <f ca="1">IFERROR(__xludf.DUMMYFUNCTION("""COMPUTED_VALUE"""),"Scott Brown")</f>
        <v>Scott Brown</v>
      </c>
      <c r="D214">
        <f ca="1">IFERROR(__xludf.DUMMYFUNCTION("""COMPUTED_VALUE"""),52)</f>
        <v>52</v>
      </c>
      <c r="E214">
        <f ca="1">IFERROR(__xludf.DUMMYFUNCTION("""COMPUTED_VALUE"""),0.83)</f>
        <v>0.83</v>
      </c>
      <c r="F214">
        <f ca="1">IFERROR(__xludf.DUMMYFUNCTION("""COMPUTED_VALUE"""),43.39)</f>
        <v>43.39</v>
      </c>
      <c r="G214">
        <f ca="1">IFERROR(__xludf.DUMMYFUNCTION("""COMPUTED_VALUE"""),-19.82)</f>
        <v>-19.82</v>
      </c>
      <c r="H214">
        <f ca="1">IFERROR(__xludf.DUMMYFUNCTION("""COMPUTED_VALUE"""),35.6)</f>
        <v>35.6</v>
      </c>
      <c r="I214" t="str">
        <f ca="1">IFERROR(__xludf.DUMMYFUNCTION("""COMPUTED_VALUE"""),"")</f>
        <v/>
      </c>
    </row>
    <row r="215" spans="1:9" ht="12.75">
      <c r="A215">
        <f ca="1">IFERROR(__xludf.DUMMYFUNCTION("""COMPUTED_VALUE"""),214)</f>
        <v>214</v>
      </c>
      <c r="B215">
        <f ca="1">IFERROR(__xludf.DUMMYFUNCTION("""COMPUTED_VALUE"""),210)</f>
        <v>210</v>
      </c>
      <c r="C215" t="str">
        <f ca="1">IFERROR(__xludf.DUMMYFUNCTION("""COMPUTED_VALUE"""),"Patrick Rodgers")</f>
        <v>Patrick Rodgers</v>
      </c>
      <c r="D215">
        <f ca="1">IFERROR(__xludf.DUMMYFUNCTION("""COMPUTED_VALUE"""),51)</f>
        <v>51</v>
      </c>
      <c r="E215">
        <f ca="1">IFERROR(__xludf.DUMMYFUNCTION("""COMPUTED_VALUE"""),0.82)</f>
        <v>0.82</v>
      </c>
      <c r="F215">
        <f ca="1">IFERROR(__xludf.DUMMYFUNCTION("""COMPUTED_VALUE"""),41.82)</f>
        <v>41.82</v>
      </c>
      <c r="G215">
        <f ca="1">IFERROR(__xludf.DUMMYFUNCTION("""COMPUTED_VALUE"""),-21.86)</f>
        <v>-21.86</v>
      </c>
      <c r="H215">
        <f ca="1">IFERROR(__xludf.DUMMYFUNCTION("""COMPUTED_VALUE"""),40.39)</f>
        <v>40.39</v>
      </c>
      <c r="I215" t="str">
        <f ca="1">IFERROR(__xludf.DUMMYFUNCTION("""COMPUTED_VALUE"""),"")</f>
        <v/>
      </c>
    </row>
    <row r="216" spans="1:9" ht="12.75">
      <c r="A216">
        <f ca="1">IFERROR(__xludf.DUMMYFUNCTION("""COMPUTED_VALUE"""),215)</f>
        <v>215</v>
      </c>
      <c r="B216">
        <f ca="1">IFERROR(__xludf.DUMMYFUNCTION("""COMPUTED_VALUE"""),212)</f>
        <v>212</v>
      </c>
      <c r="C216" t="str">
        <f ca="1">IFERROR(__xludf.DUMMYFUNCTION("""COMPUTED_VALUE"""),"Takumi Kanaya")</f>
        <v>Takumi Kanaya</v>
      </c>
      <c r="D216">
        <f ca="1">IFERROR(__xludf.DUMMYFUNCTION("""COMPUTED_VALUE"""),40)</f>
        <v>40</v>
      </c>
      <c r="E216">
        <f ca="1">IFERROR(__xludf.DUMMYFUNCTION("""COMPUTED_VALUE"""),0.82)</f>
        <v>0.82</v>
      </c>
      <c r="F216">
        <f ca="1">IFERROR(__xludf.DUMMYFUNCTION("""COMPUTED_VALUE"""),32.78)</f>
        <v>32.78</v>
      </c>
      <c r="G216">
        <f ca="1">IFERROR(__xludf.DUMMYFUNCTION("""COMPUTED_VALUE"""),-10.22)</f>
        <v>-10.220000000000001</v>
      </c>
      <c r="H216">
        <f ca="1">IFERROR(__xludf.DUMMYFUNCTION("""COMPUTED_VALUE"""),11.49)</f>
        <v>11.49</v>
      </c>
      <c r="I216" t="str">
        <f ca="1">IFERROR(__xludf.DUMMYFUNCTION("""COMPUTED_VALUE"""),"")</f>
        <v/>
      </c>
    </row>
    <row r="217" spans="1:9" ht="12.75">
      <c r="A217">
        <f ca="1">IFERROR(__xludf.DUMMYFUNCTION("""COMPUTED_VALUE"""),216)</f>
        <v>216</v>
      </c>
      <c r="B217">
        <f ca="1">IFERROR(__xludf.DUMMYFUNCTION("""COMPUTED_VALUE"""),216)</f>
        <v>216</v>
      </c>
      <c r="C217" t="str">
        <f ca="1">IFERROR(__xludf.DUMMYFUNCTION("""COMPUTED_VALUE"""),"Greyson Sigg")</f>
        <v>Greyson Sigg</v>
      </c>
      <c r="D217">
        <f ca="1">IFERROR(__xludf.DUMMYFUNCTION("""COMPUTED_VALUE"""),40)</f>
        <v>40</v>
      </c>
      <c r="E217">
        <f ca="1">IFERROR(__xludf.DUMMYFUNCTION("""COMPUTED_VALUE"""),0.82)</f>
        <v>0.82</v>
      </c>
      <c r="F217">
        <f ca="1">IFERROR(__xludf.DUMMYFUNCTION("""COMPUTED_VALUE"""),32.69)</f>
        <v>32.69</v>
      </c>
      <c r="G217">
        <f ca="1">IFERROR(__xludf.DUMMYFUNCTION("""COMPUTED_VALUE"""),-3.52)</f>
        <v>-3.52</v>
      </c>
      <c r="H217">
        <f ca="1">IFERROR(__xludf.DUMMYFUNCTION("""COMPUTED_VALUE"""),31.7)</f>
        <v>31.7</v>
      </c>
      <c r="I217" t="str">
        <f ca="1">IFERROR(__xludf.DUMMYFUNCTION("""COMPUTED_VALUE"""),"")</f>
        <v/>
      </c>
    </row>
    <row r="218" spans="1:9" ht="12.75">
      <c r="A218">
        <f ca="1">IFERROR(__xludf.DUMMYFUNCTION("""COMPUTED_VALUE"""),217)</f>
        <v>217</v>
      </c>
      <c r="B218">
        <f ca="1">IFERROR(__xludf.DUMMYFUNCTION("""COMPUTED_VALUE"""),213)</f>
        <v>213</v>
      </c>
      <c r="C218" t="str">
        <f ca="1">IFERROR(__xludf.DUMMYFUNCTION("""COMPUTED_VALUE"""),"Charl Schwartzel")</f>
        <v>Charl Schwartzel</v>
      </c>
      <c r="D218">
        <f ca="1">IFERROR(__xludf.DUMMYFUNCTION("""COMPUTED_VALUE"""),40)</f>
        <v>40</v>
      </c>
      <c r="E218">
        <f ca="1">IFERROR(__xludf.DUMMYFUNCTION("""COMPUTED_VALUE"""),0.81)</f>
        <v>0.81</v>
      </c>
      <c r="F218">
        <f ca="1">IFERROR(__xludf.DUMMYFUNCTION("""COMPUTED_VALUE"""),32.51)</f>
        <v>32.51</v>
      </c>
      <c r="G218">
        <f ca="1">IFERROR(__xludf.DUMMYFUNCTION("""COMPUTED_VALUE"""),-24.09)</f>
        <v>-24.09</v>
      </c>
      <c r="H218">
        <f ca="1">IFERROR(__xludf.DUMMYFUNCTION("""COMPUTED_VALUE"""),26.19)</f>
        <v>26.19</v>
      </c>
      <c r="I218" t="str">
        <f ca="1">IFERROR(__xludf.DUMMYFUNCTION("""COMPUTED_VALUE"""),"")</f>
        <v/>
      </c>
    </row>
    <row r="219" spans="1:9" ht="12.75">
      <c r="A219">
        <f ca="1">IFERROR(__xludf.DUMMYFUNCTION("""COMPUTED_VALUE"""),218)</f>
        <v>218</v>
      </c>
      <c r="B219">
        <f ca="1">IFERROR(__xludf.DUMMYFUNCTION("""COMPUTED_VALUE"""),215)</f>
        <v>215</v>
      </c>
      <c r="C219" t="str">
        <f ca="1">IFERROR(__xludf.DUMMYFUNCTION("""COMPUTED_VALUE"""),"Scott Vincent")</f>
        <v>Scott Vincent</v>
      </c>
      <c r="D219">
        <f ca="1">IFERROR(__xludf.DUMMYFUNCTION("""COMPUTED_VALUE"""),52)</f>
        <v>52</v>
      </c>
      <c r="E219">
        <f ca="1">IFERROR(__xludf.DUMMYFUNCTION("""COMPUTED_VALUE"""),0.81)</f>
        <v>0.81</v>
      </c>
      <c r="F219">
        <f ca="1">IFERROR(__xludf.DUMMYFUNCTION("""COMPUTED_VALUE"""),42.08)</f>
        <v>42.08</v>
      </c>
      <c r="G219">
        <f ca="1">IFERROR(__xludf.DUMMYFUNCTION("""COMPUTED_VALUE"""),-33.55)</f>
        <v>-33.549999999999997</v>
      </c>
      <c r="H219">
        <f ca="1">IFERROR(__xludf.DUMMYFUNCTION("""COMPUTED_VALUE"""),8.98)</f>
        <v>8.98</v>
      </c>
      <c r="I219" t="str">
        <f ca="1">IFERROR(__xludf.DUMMYFUNCTION("""COMPUTED_VALUE"""),"")</f>
        <v/>
      </c>
    </row>
    <row r="220" spans="1:9" ht="12.75">
      <c r="A220">
        <f ca="1">IFERROR(__xludf.DUMMYFUNCTION("""COMPUTED_VALUE"""),219)</f>
        <v>219</v>
      </c>
      <c r="B220">
        <f ca="1">IFERROR(__xludf.DUMMYFUNCTION("""COMPUTED_VALUE"""),217)</f>
        <v>217</v>
      </c>
      <c r="C220" t="str">
        <f ca="1">IFERROR(__xludf.DUMMYFUNCTION("""COMPUTED_VALUE"""),"Adam Schenk")</f>
        <v>Adam Schenk</v>
      </c>
      <c r="D220">
        <f ca="1">IFERROR(__xludf.DUMMYFUNCTION("""COMPUTED_VALUE"""),52)</f>
        <v>52</v>
      </c>
      <c r="E220">
        <f ca="1">IFERROR(__xludf.DUMMYFUNCTION("""COMPUTED_VALUE"""),0.81)</f>
        <v>0.81</v>
      </c>
      <c r="F220">
        <f ca="1">IFERROR(__xludf.DUMMYFUNCTION("""COMPUTED_VALUE"""),42.05)</f>
        <v>42.05</v>
      </c>
      <c r="G220">
        <f ca="1">IFERROR(__xludf.DUMMYFUNCTION("""COMPUTED_VALUE"""),-23.13)</f>
        <v>-23.13</v>
      </c>
      <c r="H220">
        <f ca="1">IFERROR(__xludf.DUMMYFUNCTION("""COMPUTED_VALUE"""),26.25)</f>
        <v>26.25</v>
      </c>
      <c r="I220" t="str">
        <f ca="1">IFERROR(__xludf.DUMMYFUNCTION("""COMPUTED_VALUE"""),"")</f>
        <v/>
      </c>
    </row>
    <row r="221" spans="1:9" ht="12.75">
      <c r="A221">
        <f ca="1">IFERROR(__xludf.DUMMYFUNCTION("""COMPUTED_VALUE"""),220)</f>
        <v>220</v>
      </c>
      <c r="B221">
        <f ca="1">IFERROR(__xludf.DUMMYFUNCTION("""COMPUTED_VALUE"""),218)</f>
        <v>218</v>
      </c>
      <c r="C221" t="str">
        <f ca="1">IFERROR(__xludf.DUMMYFUNCTION("""COMPUTED_VALUE"""),"Brandon Stone")</f>
        <v>Brandon Stone</v>
      </c>
      <c r="D221">
        <f ca="1">IFERROR(__xludf.DUMMYFUNCTION("""COMPUTED_VALUE"""),52)</f>
        <v>52</v>
      </c>
      <c r="E221">
        <f ca="1">IFERROR(__xludf.DUMMYFUNCTION("""COMPUTED_VALUE"""),0.81)</f>
        <v>0.81</v>
      </c>
      <c r="F221">
        <f ca="1">IFERROR(__xludf.DUMMYFUNCTION("""COMPUTED_VALUE"""),41.95)</f>
        <v>41.95</v>
      </c>
      <c r="G221">
        <f ca="1">IFERROR(__xludf.DUMMYFUNCTION("""COMPUTED_VALUE"""),-32.74)</f>
        <v>-32.74</v>
      </c>
      <c r="H221">
        <f ca="1">IFERROR(__xludf.DUMMYFUNCTION("""COMPUTED_VALUE"""),30.35)</f>
        <v>30.35</v>
      </c>
      <c r="I221" t="str">
        <f ca="1">IFERROR(__xludf.DUMMYFUNCTION("""COMPUTED_VALUE"""),"")</f>
        <v/>
      </c>
    </row>
    <row r="222" spans="1:9" ht="12.75">
      <c r="A222">
        <f ca="1">IFERROR(__xludf.DUMMYFUNCTION("""COMPUTED_VALUE"""),221)</f>
        <v>221</v>
      </c>
      <c r="B222">
        <f ca="1">IFERROR(__xludf.DUMMYFUNCTION("""COMPUTED_VALUE"""),220)</f>
        <v>220</v>
      </c>
      <c r="C222" t="str">
        <f ca="1">IFERROR(__xludf.DUMMYFUNCTION("""COMPUTED_VALUE"""),"Scott Stallings")</f>
        <v>Scott Stallings</v>
      </c>
      <c r="D222">
        <f ca="1">IFERROR(__xludf.DUMMYFUNCTION("""COMPUTED_VALUE"""),52)</f>
        <v>52</v>
      </c>
      <c r="E222">
        <f ca="1">IFERROR(__xludf.DUMMYFUNCTION("""COMPUTED_VALUE"""),0.8)</f>
        <v>0.8</v>
      </c>
      <c r="F222">
        <f ca="1">IFERROR(__xludf.DUMMYFUNCTION("""COMPUTED_VALUE"""),41.43)</f>
        <v>41.43</v>
      </c>
      <c r="G222">
        <f ca="1">IFERROR(__xludf.DUMMYFUNCTION("""COMPUTED_VALUE"""),-22.95)</f>
        <v>-22.95</v>
      </c>
      <c r="H222">
        <f ca="1">IFERROR(__xludf.DUMMYFUNCTION("""COMPUTED_VALUE"""),28.75)</f>
        <v>28.75</v>
      </c>
      <c r="I222" t="str">
        <f ca="1">IFERROR(__xludf.DUMMYFUNCTION("""COMPUTED_VALUE"""),"")</f>
        <v/>
      </c>
    </row>
    <row r="223" spans="1:9" ht="12.75">
      <c r="A223">
        <f ca="1">IFERROR(__xludf.DUMMYFUNCTION("""COMPUTED_VALUE"""),222)</f>
        <v>222</v>
      </c>
      <c r="B223">
        <f ca="1">IFERROR(__xludf.DUMMYFUNCTION("""COMPUTED_VALUE"""),233)</f>
        <v>233</v>
      </c>
      <c r="C223" t="str">
        <f ca="1">IFERROR(__xludf.DUMMYFUNCTION("""COMPUTED_VALUE"""),"Marcus Armitage")</f>
        <v>Marcus Armitage</v>
      </c>
      <c r="D223">
        <f ca="1">IFERROR(__xludf.DUMMYFUNCTION("""COMPUTED_VALUE"""),45)</f>
        <v>45</v>
      </c>
      <c r="E223">
        <f ca="1">IFERROR(__xludf.DUMMYFUNCTION("""COMPUTED_VALUE"""),0.8)</f>
        <v>0.8</v>
      </c>
      <c r="F223">
        <f ca="1">IFERROR(__xludf.DUMMYFUNCTION("""COMPUTED_VALUE"""),35.79)</f>
        <v>35.79</v>
      </c>
      <c r="G223">
        <f ca="1">IFERROR(__xludf.DUMMYFUNCTION("""COMPUTED_VALUE"""),-4.62)</f>
        <v>-4.62</v>
      </c>
      <c r="H223">
        <f ca="1">IFERROR(__xludf.DUMMYFUNCTION("""COMPUTED_VALUE"""),38.24)</f>
        <v>38.24</v>
      </c>
      <c r="I223" t="str">
        <f ca="1">IFERROR(__xludf.DUMMYFUNCTION("""COMPUTED_VALUE"""),"")</f>
        <v/>
      </c>
    </row>
    <row r="224" spans="1:9" ht="12.75">
      <c r="A224">
        <f ca="1">IFERROR(__xludf.DUMMYFUNCTION("""COMPUTED_VALUE"""),223)</f>
        <v>223</v>
      </c>
      <c r="B224">
        <f ca="1">IFERROR(__xludf.DUMMYFUNCTION("""COMPUTED_VALUE"""),211)</f>
        <v>211</v>
      </c>
      <c r="C224" t="str">
        <f ca="1">IFERROR(__xludf.DUMMYFUNCTION("""COMPUTED_VALUE"""),"Mikko Korhonen")</f>
        <v>Mikko Korhonen</v>
      </c>
      <c r="D224">
        <f ca="1">IFERROR(__xludf.DUMMYFUNCTION("""COMPUTED_VALUE"""),45)</f>
        <v>45</v>
      </c>
      <c r="E224">
        <f ca="1">IFERROR(__xludf.DUMMYFUNCTION("""COMPUTED_VALUE"""),0.79)</f>
        <v>0.79</v>
      </c>
      <c r="F224">
        <f ca="1">IFERROR(__xludf.DUMMYFUNCTION("""COMPUTED_VALUE"""),35.69)</f>
        <v>35.69</v>
      </c>
      <c r="G224">
        <f ca="1">IFERROR(__xludf.DUMMYFUNCTION("""COMPUTED_VALUE"""),-34.63)</f>
        <v>-34.630000000000003</v>
      </c>
      <c r="H224">
        <f ca="1">IFERROR(__xludf.DUMMYFUNCTION("""COMPUTED_VALUE"""),14.62)</f>
        <v>14.62</v>
      </c>
      <c r="I224" t="str">
        <f ca="1">IFERROR(__xludf.DUMMYFUNCTION("""COMPUTED_VALUE"""),"")</f>
        <v/>
      </c>
    </row>
    <row r="225" spans="1:9" ht="12.75">
      <c r="A225">
        <f ca="1">IFERROR(__xludf.DUMMYFUNCTION("""COMPUTED_VALUE"""),224)</f>
        <v>224</v>
      </c>
      <c r="B225">
        <f ca="1">IFERROR(__xludf.DUMMYFUNCTION("""COMPUTED_VALUE"""),214)</f>
        <v>214</v>
      </c>
      <c r="C225" t="str">
        <f ca="1">IFERROR(__xludf.DUMMYFUNCTION("""COMPUTED_VALUE"""),"Ross Fisher")</f>
        <v>Ross Fisher</v>
      </c>
      <c r="D225">
        <f ca="1">IFERROR(__xludf.DUMMYFUNCTION("""COMPUTED_VALUE"""),47)</f>
        <v>47</v>
      </c>
      <c r="E225">
        <f ca="1">IFERROR(__xludf.DUMMYFUNCTION("""COMPUTED_VALUE"""),0.79)</f>
        <v>0.79</v>
      </c>
      <c r="F225">
        <f ca="1">IFERROR(__xludf.DUMMYFUNCTION("""COMPUTED_VALUE"""),37.24)</f>
        <v>37.24</v>
      </c>
      <c r="G225">
        <f ca="1">IFERROR(__xludf.DUMMYFUNCTION("""COMPUTED_VALUE"""),-25.44)</f>
        <v>-25.44</v>
      </c>
      <c r="H225">
        <f ca="1">IFERROR(__xludf.DUMMYFUNCTION("""COMPUTED_VALUE"""),26.65)</f>
        <v>26.65</v>
      </c>
      <c r="I225" t="str">
        <f ca="1">IFERROR(__xludf.DUMMYFUNCTION("""COMPUTED_VALUE"""),"")</f>
        <v/>
      </c>
    </row>
    <row r="226" spans="1:9" ht="12.75">
      <c r="A226">
        <f ca="1">IFERROR(__xludf.DUMMYFUNCTION("""COMPUTED_VALUE"""),225)</f>
        <v>225</v>
      </c>
      <c r="B226">
        <f ca="1">IFERROR(__xludf.DUMMYFUNCTION("""COMPUTED_VALUE"""),223)</f>
        <v>223</v>
      </c>
      <c r="C226" t="str">
        <f ca="1">IFERROR(__xludf.DUMMYFUNCTION("""COMPUTED_VALUE"""),"Pablo Larrazabal")</f>
        <v>Pablo Larrazabal</v>
      </c>
      <c r="D226">
        <f ca="1">IFERROR(__xludf.DUMMYFUNCTION("""COMPUTED_VALUE"""),52)</f>
        <v>52</v>
      </c>
      <c r="E226">
        <f ca="1">IFERROR(__xludf.DUMMYFUNCTION("""COMPUTED_VALUE"""),0.78)</f>
        <v>0.78</v>
      </c>
      <c r="F226">
        <f ca="1">IFERROR(__xludf.DUMMYFUNCTION("""COMPUTED_VALUE"""),40.51)</f>
        <v>40.51</v>
      </c>
      <c r="G226">
        <f ca="1">IFERROR(__xludf.DUMMYFUNCTION("""COMPUTED_VALUE"""),-23.47)</f>
        <v>-23.47</v>
      </c>
      <c r="H226">
        <f ca="1">IFERROR(__xludf.DUMMYFUNCTION("""COMPUTED_VALUE"""),15.26)</f>
        <v>15.26</v>
      </c>
      <c r="I226" t="str">
        <f ca="1">IFERROR(__xludf.DUMMYFUNCTION("""COMPUTED_VALUE"""),"")</f>
        <v/>
      </c>
    </row>
    <row r="227" spans="1:9" ht="12.75">
      <c r="A227">
        <f ca="1">IFERROR(__xludf.DUMMYFUNCTION("""COMPUTED_VALUE"""),226)</f>
        <v>226</v>
      </c>
      <c r="B227">
        <f ca="1">IFERROR(__xludf.DUMMYFUNCTION("""COMPUTED_VALUE"""),228)</f>
        <v>228</v>
      </c>
      <c r="C227" t="str">
        <f ca="1">IFERROR(__xludf.DUMMYFUNCTION("""COMPUTED_VALUE"""),"Robert Rock")</f>
        <v>Robert Rock</v>
      </c>
      <c r="D227">
        <f ca="1">IFERROR(__xludf.DUMMYFUNCTION("""COMPUTED_VALUE"""),42)</f>
        <v>42</v>
      </c>
      <c r="E227">
        <f ca="1">IFERROR(__xludf.DUMMYFUNCTION("""COMPUTED_VALUE"""),0.78)</f>
        <v>0.78</v>
      </c>
      <c r="F227">
        <f ca="1">IFERROR(__xludf.DUMMYFUNCTION("""COMPUTED_VALUE"""),32.64)</f>
        <v>32.64</v>
      </c>
      <c r="G227">
        <f ca="1">IFERROR(__xludf.DUMMYFUNCTION("""COMPUTED_VALUE"""),-14.32)</f>
        <v>-14.32</v>
      </c>
      <c r="H227">
        <f ca="1">IFERROR(__xludf.DUMMYFUNCTION("""COMPUTED_VALUE"""),25.05)</f>
        <v>25.05</v>
      </c>
      <c r="I227" t="str">
        <f ca="1">IFERROR(__xludf.DUMMYFUNCTION("""COMPUTED_VALUE"""),"")</f>
        <v/>
      </c>
    </row>
    <row r="228" spans="1:9" ht="12.75">
      <c r="A228">
        <f ca="1">IFERROR(__xludf.DUMMYFUNCTION("""COMPUTED_VALUE"""),227)</f>
        <v>227</v>
      </c>
      <c r="B228">
        <f ca="1">IFERROR(__xludf.DUMMYFUNCTION("""COMPUTED_VALUE"""),246)</f>
        <v>246</v>
      </c>
      <c r="C228" t="str">
        <f ca="1">IFERROR(__xludf.DUMMYFUNCTION("""COMPUTED_VALUE"""),"Aaron Wise")</f>
        <v>Aaron Wise</v>
      </c>
      <c r="D228">
        <f ca="1">IFERROR(__xludf.DUMMYFUNCTION("""COMPUTED_VALUE"""),48)</f>
        <v>48</v>
      </c>
      <c r="E228">
        <f ca="1">IFERROR(__xludf.DUMMYFUNCTION("""COMPUTED_VALUE"""),0.78)</f>
        <v>0.78</v>
      </c>
      <c r="F228">
        <f ca="1">IFERROR(__xludf.DUMMYFUNCTION("""COMPUTED_VALUE"""),37.3)</f>
        <v>37.299999999999997</v>
      </c>
      <c r="G228">
        <f ca="1">IFERROR(__xludf.DUMMYFUNCTION("""COMPUTED_VALUE"""),-47.53)</f>
        <v>-47.53</v>
      </c>
      <c r="H228">
        <f ca="1">IFERROR(__xludf.DUMMYFUNCTION("""COMPUTED_VALUE"""),16.5)</f>
        <v>16.5</v>
      </c>
      <c r="I228" t="str">
        <f ca="1">IFERROR(__xludf.DUMMYFUNCTION("""COMPUTED_VALUE"""),"")</f>
        <v/>
      </c>
    </row>
    <row r="229" spans="1:9" ht="12.75">
      <c r="A229">
        <f ca="1">IFERROR(__xludf.DUMMYFUNCTION("""COMPUTED_VALUE"""),228)</f>
        <v>228</v>
      </c>
      <c r="B229">
        <f ca="1">IFERROR(__xludf.DUMMYFUNCTION("""COMPUTED_VALUE"""),227)</f>
        <v>227</v>
      </c>
      <c r="C229" t="str">
        <f ca="1">IFERROR(__xludf.DUMMYFUNCTION("""COMPUTED_VALUE"""),"Stephan Jaeger")</f>
        <v>Stephan Jaeger</v>
      </c>
      <c r="D229">
        <f ca="1">IFERROR(__xludf.DUMMYFUNCTION("""COMPUTED_VALUE"""),52)</f>
        <v>52</v>
      </c>
      <c r="E229">
        <f ca="1">IFERROR(__xludf.DUMMYFUNCTION("""COMPUTED_VALUE"""),0.77)</f>
        <v>0.77</v>
      </c>
      <c r="F229">
        <f ca="1">IFERROR(__xludf.DUMMYFUNCTION("""COMPUTED_VALUE"""),40.12)</f>
        <v>40.119999999999997</v>
      </c>
      <c r="G229">
        <f ca="1">IFERROR(__xludf.DUMMYFUNCTION("""COMPUTED_VALUE"""),-14.09)</f>
        <v>-14.09</v>
      </c>
      <c r="H229">
        <f ca="1">IFERROR(__xludf.DUMMYFUNCTION("""COMPUTED_VALUE"""),33.6)</f>
        <v>33.6</v>
      </c>
      <c r="I229" t="str">
        <f ca="1">IFERROR(__xludf.DUMMYFUNCTION("""COMPUTED_VALUE"""),"")</f>
        <v/>
      </c>
    </row>
    <row r="230" spans="1:9" ht="12.75">
      <c r="A230">
        <f ca="1">IFERROR(__xludf.DUMMYFUNCTION("""COMPUTED_VALUE"""),229)</f>
        <v>229</v>
      </c>
      <c r="B230">
        <f ca="1">IFERROR(__xludf.DUMMYFUNCTION("""COMPUTED_VALUE"""),225)</f>
        <v>225</v>
      </c>
      <c r="C230" t="str">
        <f ca="1">IFERROR(__xludf.DUMMYFUNCTION("""COMPUTED_VALUE"""),"Joachim B Hansen")</f>
        <v>Joachim B Hansen</v>
      </c>
      <c r="D230">
        <f ca="1">IFERROR(__xludf.DUMMYFUNCTION("""COMPUTED_VALUE"""),52)</f>
        <v>52</v>
      </c>
      <c r="E230">
        <f ca="1">IFERROR(__xludf.DUMMYFUNCTION("""COMPUTED_VALUE"""),0.77)</f>
        <v>0.77</v>
      </c>
      <c r="F230">
        <f ca="1">IFERROR(__xludf.DUMMYFUNCTION("""COMPUTED_VALUE"""),40)</f>
        <v>40</v>
      </c>
      <c r="G230">
        <f ca="1">IFERROR(__xludf.DUMMYFUNCTION("""COMPUTED_VALUE"""),-31.44)</f>
        <v>-31.44</v>
      </c>
      <c r="H230">
        <f ca="1">IFERROR(__xludf.DUMMYFUNCTION("""COMPUTED_VALUE"""),13.39)</f>
        <v>13.39</v>
      </c>
      <c r="I230" t="str">
        <f ca="1">IFERROR(__xludf.DUMMYFUNCTION("""COMPUTED_VALUE"""),"")</f>
        <v/>
      </c>
    </row>
    <row r="231" spans="1:9" ht="12.75">
      <c r="A231">
        <f ca="1">IFERROR(__xludf.DUMMYFUNCTION("""COMPUTED_VALUE"""),230)</f>
        <v>230</v>
      </c>
      <c r="B231">
        <f ca="1">IFERROR(__xludf.DUMMYFUNCTION("""COMPUTED_VALUE"""),226)</f>
        <v>226</v>
      </c>
      <c r="C231" t="str">
        <f ca="1">IFERROR(__xludf.DUMMYFUNCTION("""COMPUTED_VALUE"""),"Jack Senior")</f>
        <v>Jack Senior</v>
      </c>
      <c r="D231">
        <f ca="1">IFERROR(__xludf.DUMMYFUNCTION("""COMPUTED_VALUE"""),52)</f>
        <v>52</v>
      </c>
      <c r="E231">
        <f ca="1">IFERROR(__xludf.DUMMYFUNCTION("""COMPUTED_VALUE"""),0.77)</f>
        <v>0.77</v>
      </c>
      <c r="F231">
        <f ca="1">IFERROR(__xludf.DUMMYFUNCTION("""COMPUTED_VALUE"""),39.81)</f>
        <v>39.81</v>
      </c>
      <c r="G231">
        <f ca="1">IFERROR(__xludf.DUMMYFUNCTION("""COMPUTED_VALUE"""),-20.12)</f>
        <v>-20.12</v>
      </c>
      <c r="H231">
        <f ca="1">IFERROR(__xludf.DUMMYFUNCTION("""COMPUTED_VALUE"""),21.02)</f>
        <v>21.02</v>
      </c>
      <c r="I231" t="str">
        <f ca="1">IFERROR(__xludf.DUMMYFUNCTION("""COMPUTED_VALUE"""),"")</f>
        <v/>
      </c>
    </row>
    <row r="232" spans="1:9" ht="12.75">
      <c r="A232">
        <f ca="1">IFERROR(__xludf.DUMMYFUNCTION("""COMPUTED_VALUE"""),231)</f>
        <v>231</v>
      </c>
      <c r="B232">
        <f ca="1">IFERROR(__xludf.DUMMYFUNCTION("""COMPUTED_VALUE"""),224)</f>
        <v>224</v>
      </c>
      <c r="C232" t="str">
        <f ca="1">IFERROR(__xludf.DUMMYFUNCTION("""COMPUTED_VALUE"""),"Ryuko Tokimatsu")</f>
        <v>Ryuko Tokimatsu</v>
      </c>
      <c r="D232">
        <f ca="1">IFERROR(__xludf.DUMMYFUNCTION("""COMPUTED_VALUE"""),43)</f>
        <v>43</v>
      </c>
      <c r="E232">
        <f ca="1">IFERROR(__xludf.DUMMYFUNCTION("""COMPUTED_VALUE"""),0.76)</f>
        <v>0.76</v>
      </c>
      <c r="F232">
        <f ca="1">IFERROR(__xludf.DUMMYFUNCTION("""COMPUTED_VALUE"""),32.88)</f>
        <v>32.880000000000003</v>
      </c>
      <c r="G232">
        <f ca="1">IFERROR(__xludf.DUMMYFUNCTION("""COMPUTED_VALUE"""),-29.62)</f>
        <v>-29.62</v>
      </c>
      <c r="H232">
        <f ca="1">IFERROR(__xludf.DUMMYFUNCTION("""COMPUTED_VALUE"""),5.6)</f>
        <v>5.6</v>
      </c>
      <c r="I232" t="str">
        <f ca="1">IFERROR(__xludf.DUMMYFUNCTION("""COMPUTED_VALUE"""),"")</f>
        <v/>
      </c>
    </row>
    <row r="233" spans="1:9" ht="12.75">
      <c r="A233">
        <f ca="1">IFERROR(__xludf.DUMMYFUNCTION("""COMPUTED_VALUE"""),232)</f>
        <v>232</v>
      </c>
      <c r="B233">
        <f ca="1">IFERROR(__xludf.DUMMYFUNCTION("""COMPUTED_VALUE"""),249)</f>
        <v>249</v>
      </c>
      <c r="C233" t="str">
        <f ca="1">IFERROR(__xludf.DUMMYFUNCTION("""COMPUTED_VALUE"""),"Sanghyun Park")</f>
        <v>Sanghyun Park</v>
      </c>
      <c r="D233">
        <f ca="1">IFERROR(__xludf.DUMMYFUNCTION("""COMPUTED_VALUE"""),52)</f>
        <v>52</v>
      </c>
      <c r="E233">
        <f ca="1">IFERROR(__xludf.DUMMYFUNCTION("""COMPUTED_VALUE"""),0.76)</f>
        <v>0.76</v>
      </c>
      <c r="F233">
        <f ca="1">IFERROR(__xludf.DUMMYFUNCTION("""COMPUTED_VALUE"""),39.49)</f>
        <v>39.49</v>
      </c>
      <c r="G233">
        <f ca="1">IFERROR(__xludf.DUMMYFUNCTION("""COMPUTED_VALUE"""),-36.42)</f>
        <v>-36.42</v>
      </c>
      <c r="H233">
        <f ca="1">IFERROR(__xludf.DUMMYFUNCTION("""COMPUTED_VALUE"""),11.1)</f>
        <v>11.1</v>
      </c>
      <c r="I233" t="str">
        <f ca="1">IFERROR(__xludf.DUMMYFUNCTION("""COMPUTED_VALUE"""),"")</f>
        <v/>
      </c>
    </row>
    <row r="234" spans="1:9" ht="12.75">
      <c r="A234">
        <f ca="1">IFERROR(__xludf.DUMMYFUNCTION("""COMPUTED_VALUE"""),233)</f>
        <v>233</v>
      </c>
      <c r="B234">
        <f ca="1">IFERROR(__xludf.DUMMYFUNCTION("""COMPUTED_VALUE"""),230)</f>
        <v>230</v>
      </c>
      <c r="C234" t="str">
        <f ca="1">IFERROR(__xludf.DUMMYFUNCTION("""COMPUTED_VALUE"""),"Connor Syme")</f>
        <v>Connor Syme</v>
      </c>
      <c r="D234">
        <f ca="1">IFERROR(__xludf.DUMMYFUNCTION("""COMPUTED_VALUE"""),52)</f>
        <v>52</v>
      </c>
      <c r="E234">
        <f ca="1">IFERROR(__xludf.DUMMYFUNCTION("""COMPUTED_VALUE"""),0.75)</f>
        <v>0.75</v>
      </c>
      <c r="F234">
        <f ca="1">IFERROR(__xludf.DUMMYFUNCTION("""COMPUTED_VALUE"""),39.02)</f>
        <v>39.020000000000003</v>
      </c>
      <c r="G234">
        <f ca="1">IFERROR(__xludf.DUMMYFUNCTION("""COMPUTED_VALUE"""),-16.97)</f>
        <v>-16.97</v>
      </c>
      <c r="H234">
        <f ca="1">IFERROR(__xludf.DUMMYFUNCTION("""COMPUTED_VALUE"""),24.37)</f>
        <v>24.37</v>
      </c>
      <c r="I234" t="str">
        <f ca="1">IFERROR(__xludf.DUMMYFUNCTION("""COMPUTED_VALUE"""),"")</f>
        <v/>
      </c>
    </row>
    <row r="235" spans="1:9" ht="12.75">
      <c r="A235">
        <f ca="1">IFERROR(__xludf.DUMMYFUNCTION("""COMPUTED_VALUE"""),234)</f>
        <v>234</v>
      </c>
      <c r="B235">
        <f ca="1">IFERROR(__xludf.DUMMYFUNCTION("""COMPUTED_VALUE"""),229)</f>
        <v>229</v>
      </c>
      <c r="C235" t="str">
        <f ca="1">IFERROR(__xludf.DUMMYFUNCTION("""COMPUTED_VALUE"""),"Kiradech Aphibarnrat")</f>
        <v>Kiradech Aphibarnrat</v>
      </c>
      <c r="D235">
        <f ca="1">IFERROR(__xludf.DUMMYFUNCTION("""COMPUTED_VALUE"""),49)</f>
        <v>49</v>
      </c>
      <c r="E235">
        <f ca="1">IFERROR(__xludf.DUMMYFUNCTION("""COMPUTED_VALUE"""),0.74)</f>
        <v>0.74</v>
      </c>
      <c r="F235">
        <f ca="1">IFERROR(__xludf.DUMMYFUNCTION("""COMPUTED_VALUE"""),36.36)</f>
        <v>36.36</v>
      </c>
      <c r="G235">
        <f ca="1">IFERROR(__xludf.DUMMYFUNCTION("""COMPUTED_VALUE"""),-49.51)</f>
        <v>-49.51</v>
      </c>
      <c r="H235">
        <f ca="1">IFERROR(__xludf.DUMMYFUNCTION("""COMPUTED_VALUE"""),7.68)</f>
        <v>7.68</v>
      </c>
      <c r="I235" t="str">
        <f ca="1">IFERROR(__xludf.DUMMYFUNCTION("""COMPUTED_VALUE"""),"")</f>
        <v/>
      </c>
    </row>
    <row r="236" spans="1:9" ht="12.75">
      <c r="A236">
        <f ca="1">IFERROR(__xludf.DUMMYFUNCTION("""COMPUTED_VALUE"""),235)</f>
        <v>235</v>
      </c>
      <c r="B236">
        <f ca="1">IFERROR(__xludf.DUMMYFUNCTION("""COMPUTED_VALUE"""),238)</f>
        <v>238</v>
      </c>
      <c r="C236" t="str">
        <f ca="1">IFERROR(__xludf.DUMMYFUNCTION("""COMPUTED_VALUE"""),"James Hahn")</f>
        <v>James Hahn</v>
      </c>
      <c r="D236">
        <f ca="1">IFERROR(__xludf.DUMMYFUNCTION("""COMPUTED_VALUE"""),40)</f>
        <v>40</v>
      </c>
      <c r="E236">
        <f ca="1">IFERROR(__xludf.DUMMYFUNCTION("""COMPUTED_VALUE"""),0.74)</f>
        <v>0.74</v>
      </c>
      <c r="F236">
        <f ca="1">IFERROR(__xludf.DUMMYFUNCTION("""COMPUTED_VALUE"""),29.61)</f>
        <v>29.61</v>
      </c>
      <c r="G236">
        <f ca="1">IFERROR(__xludf.DUMMYFUNCTION("""COMPUTED_VALUE"""),-7.05)</f>
        <v>-7.05</v>
      </c>
      <c r="H236">
        <f ca="1">IFERROR(__xludf.DUMMYFUNCTION("""COMPUTED_VALUE"""),29.77)</f>
        <v>29.77</v>
      </c>
      <c r="I236" t="str">
        <f ca="1">IFERROR(__xludf.DUMMYFUNCTION("""COMPUTED_VALUE"""),"")</f>
        <v/>
      </c>
    </row>
    <row r="237" spans="1:9" ht="12.75">
      <c r="A237">
        <f ca="1">IFERROR(__xludf.DUMMYFUNCTION("""COMPUTED_VALUE"""),236)</f>
        <v>236</v>
      </c>
      <c r="B237">
        <f ca="1">IFERROR(__xludf.DUMMYFUNCTION("""COMPUTED_VALUE"""),281)</f>
        <v>281</v>
      </c>
      <c r="C237" t="str">
        <f ca="1">IFERROR(__xludf.DUMMYFUNCTION("""COMPUTED_VALUE"""),"Seungsu Han")</f>
        <v>Seungsu Han</v>
      </c>
      <c r="D237">
        <f ca="1">IFERROR(__xludf.DUMMYFUNCTION("""COMPUTED_VALUE"""),52)</f>
        <v>52</v>
      </c>
      <c r="E237">
        <f ca="1">IFERROR(__xludf.DUMMYFUNCTION("""COMPUTED_VALUE"""),0.74)</f>
        <v>0.74</v>
      </c>
      <c r="F237">
        <f ca="1">IFERROR(__xludf.DUMMYFUNCTION("""COMPUTED_VALUE"""),38.45)</f>
        <v>38.450000000000003</v>
      </c>
      <c r="G237">
        <f ca="1">IFERROR(__xludf.DUMMYFUNCTION("""COMPUTED_VALUE"""),-20.77)</f>
        <v>-20.77</v>
      </c>
      <c r="H237">
        <f ca="1">IFERROR(__xludf.DUMMYFUNCTION("""COMPUTED_VALUE"""),15.15)</f>
        <v>15.15</v>
      </c>
      <c r="I237" t="str">
        <f ca="1">IFERROR(__xludf.DUMMYFUNCTION("""COMPUTED_VALUE"""),"")</f>
        <v/>
      </c>
    </row>
    <row r="238" spans="1:9" ht="12.75">
      <c r="A238">
        <f ca="1">IFERROR(__xludf.DUMMYFUNCTION("""COMPUTED_VALUE"""),237)</f>
        <v>237</v>
      </c>
      <c r="B238">
        <f ca="1">IFERROR(__xludf.DUMMYFUNCTION("""COMPUTED_VALUE"""),248)</f>
        <v>248</v>
      </c>
      <c r="C238" t="str">
        <f ca="1">IFERROR(__xludf.DUMMYFUNCTION("""COMPUTED_VALUE"""),"Steven Brown")</f>
        <v>Steven Brown</v>
      </c>
      <c r="D238">
        <f ca="1">IFERROR(__xludf.DUMMYFUNCTION("""COMPUTED_VALUE"""),52)</f>
        <v>52</v>
      </c>
      <c r="E238">
        <f ca="1">IFERROR(__xludf.DUMMYFUNCTION("""COMPUTED_VALUE"""),0.73)</f>
        <v>0.73</v>
      </c>
      <c r="F238">
        <f ca="1">IFERROR(__xludf.DUMMYFUNCTION("""COMPUTED_VALUE"""),37.78)</f>
        <v>37.78</v>
      </c>
      <c r="G238">
        <f ca="1">IFERROR(__xludf.DUMMYFUNCTION("""COMPUTED_VALUE"""),-17.64)</f>
        <v>-17.64</v>
      </c>
      <c r="H238">
        <f ca="1">IFERROR(__xludf.DUMMYFUNCTION("""COMPUTED_VALUE"""),17.78)</f>
        <v>17.78</v>
      </c>
      <c r="I238" t="str">
        <f ca="1">IFERROR(__xludf.DUMMYFUNCTION("""COMPUTED_VALUE"""),"")</f>
        <v/>
      </c>
    </row>
    <row r="239" spans="1:9" ht="12.75">
      <c r="A239">
        <f ca="1">IFERROR(__xludf.DUMMYFUNCTION("""COMPUTED_VALUE"""),238)</f>
        <v>238</v>
      </c>
      <c r="B239">
        <f ca="1">IFERROR(__xludf.DUMMYFUNCTION("""COMPUTED_VALUE"""),235)</f>
        <v>235</v>
      </c>
      <c r="C239" t="str">
        <f ca="1">IFERROR(__xludf.DUMMYFUNCTION("""COMPUTED_VALUE"""),"Kazuki Higa")</f>
        <v>Kazuki Higa</v>
      </c>
      <c r="D239">
        <f ca="1">IFERROR(__xludf.DUMMYFUNCTION("""COMPUTED_VALUE"""),47)</f>
        <v>47</v>
      </c>
      <c r="E239">
        <f ca="1">IFERROR(__xludf.DUMMYFUNCTION("""COMPUTED_VALUE"""),0.73)</f>
        <v>0.73</v>
      </c>
      <c r="F239">
        <f ca="1">IFERROR(__xludf.DUMMYFUNCTION("""COMPUTED_VALUE"""),34.08)</f>
        <v>34.08</v>
      </c>
      <c r="G239">
        <f ca="1">IFERROR(__xludf.DUMMYFUNCTION("""COMPUTED_VALUE"""),-23.75)</f>
        <v>-23.75</v>
      </c>
      <c r="H239">
        <f ca="1">IFERROR(__xludf.DUMMYFUNCTION("""COMPUTED_VALUE"""),6.66)</f>
        <v>6.66</v>
      </c>
      <c r="I239" t="str">
        <f ca="1">IFERROR(__xludf.DUMMYFUNCTION("""COMPUTED_VALUE"""),"")</f>
        <v/>
      </c>
    </row>
    <row r="240" spans="1:9" ht="12.75">
      <c r="A240">
        <f ca="1">IFERROR(__xludf.DUMMYFUNCTION("""COMPUTED_VALUE"""),239)</f>
        <v>239</v>
      </c>
      <c r="B240">
        <f ca="1">IFERROR(__xludf.DUMMYFUNCTION("""COMPUTED_VALUE"""),232)</f>
        <v>232</v>
      </c>
      <c r="C240" t="str">
        <f ca="1">IFERROR(__xludf.DUMMYFUNCTION("""COMPUTED_VALUE"""),"Jaco Ahlers")</f>
        <v>Jaco Ahlers</v>
      </c>
      <c r="D240">
        <f ca="1">IFERROR(__xludf.DUMMYFUNCTION("""COMPUTED_VALUE"""),43)</f>
        <v>43</v>
      </c>
      <c r="E240">
        <f ca="1">IFERROR(__xludf.DUMMYFUNCTION("""COMPUTED_VALUE"""),0.72)</f>
        <v>0.72</v>
      </c>
      <c r="F240">
        <f ca="1">IFERROR(__xludf.DUMMYFUNCTION("""COMPUTED_VALUE"""),30.88)</f>
        <v>30.88</v>
      </c>
      <c r="G240">
        <f ca="1">IFERROR(__xludf.DUMMYFUNCTION("""COMPUTED_VALUE"""),-18.63)</f>
        <v>-18.63</v>
      </c>
      <c r="H240">
        <f ca="1">IFERROR(__xludf.DUMMYFUNCTION("""COMPUTED_VALUE"""),17.48)</f>
        <v>17.48</v>
      </c>
      <c r="I240" t="str">
        <f ca="1">IFERROR(__xludf.DUMMYFUNCTION("""COMPUTED_VALUE"""),"")</f>
        <v/>
      </c>
    </row>
    <row r="241" spans="1:9" ht="12.75">
      <c r="A241">
        <f ca="1">IFERROR(__xludf.DUMMYFUNCTION("""COMPUTED_VALUE"""),240)</f>
        <v>240</v>
      </c>
      <c r="B241">
        <f ca="1">IFERROR(__xludf.DUMMYFUNCTION("""COMPUTED_VALUE"""),234)</f>
        <v>234</v>
      </c>
      <c r="C241" t="str">
        <f ca="1">IFERROR(__xludf.DUMMYFUNCTION("""COMPUTED_VALUE"""),"Chesson Hadley")</f>
        <v>Chesson Hadley</v>
      </c>
      <c r="D241">
        <f ca="1">IFERROR(__xludf.DUMMYFUNCTION("""COMPUTED_VALUE"""),52)</f>
        <v>52</v>
      </c>
      <c r="E241">
        <f ca="1">IFERROR(__xludf.DUMMYFUNCTION("""COMPUTED_VALUE"""),0.71)</f>
        <v>0.71</v>
      </c>
      <c r="F241">
        <f ca="1">IFERROR(__xludf.DUMMYFUNCTION("""COMPUTED_VALUE"""),37.04)</f>
        <v>37.04</v>
      </c>
      <c r="G241">
        <f ca="1">IFERROR(__xludf.DUMMYFUNCTION("""COMPUTED_VALUE"""),-32.63)</f>
        <v>-32.630000000000003</v>
      </c>
      <c r="H241">
        <f ca="1">IFERROR(__xludf.DUMMYFUNCTION("""COMPUTED_VALUE"""),20.39)</f>
        <v>20.39</v>
      </c>
      <c r="I241" t="str">
        <f ca="1">IFERROR(__xludf.DUMMYFUNCTION("""COMPUTED_VALUE"""),"")</f>
        <v/>
      </c>
    </row>
    <row r="242" spans="1:9" ht="12.75">
      <c r="A242">
        <f ca="1">IFERROR(__xludf.DUMMYFUNCTION("""COMPUTED_VALUE"""),241)</f>
        <v>241</v>
      </c>
      <c r="B242">
        <f ca="1">IFERROR(__xludf.DUMMYFUNCTION("""COMPUTED_VALUE"""),318)</f>
        <v>318</v>
      </c>
      <c r="C242" t="str">
        <f ca="1">IFERROR(__xludf.DUMMYFUNCTION("""COMPUTED_VALUE"""),"Richard Mansell")</f>
        <v>Richard Mansell</v>
      </c>
      <c r="D242">
        <f ca="1">IFERROR(__xludf.DUMMYFUNCTION("""COMPUTED_VALUE"""),40)</f>
        <v>40</v>
      </c>
      <c r="E242">
        <f ca="1">IFERROR(__xludf.DUMMYFUNCTION("""COMPUTED_VALUE"""),0.71)</f>
        <v>0.71</v>
      </c>
      <c r="F242">
        <f ca="1">IFERROR(__xludf.DUMMYFUNCTION("""COMPUTED_VALUE"""),28.31)</f>
        <v>28.31</v>
      </c>
      <c r="G242">
        <f ca="1">IFERROR(__xludf.DUMMYFUNCTION("""COMPUTED_VALUE"""),-8.18)</f>
        <v>-8.18</v>
      </c>
      <c r="H242">
        <f ca="1">IFERROR(__xludf.DUMMYFUNCTION("""COMPUTED_VALUE"""),19.2)</f>
        <v>19.2</v>
      </c>
      <c r="I242" t="str">
        <f ca="1">IFERROR(__xludf.DUMMYFUNCTION("""COMPUTED_VALUE"""),"")</f>
        <v/>
      </c>
    </row>
    <row r="243" spans="1:9" ht="12.75">
      <c r="A243">
        <f ca="1">IFERROR(__xludf.DUMMYFUNCTION("""COMPUTED_VALUE"""),242)</f>
        <v>242</v>
      </c>
      <c r="B243">
        <f ca="1">IFERROR(__xludf.DUMMYFUNCTION("""COMPUTED_VALUE"""),236)</f>
        <v>236</v>
      </c>
      <c r="C243" t="str">
        <f ca="1">IFERROR(__xludf.DUMMYFUNCTION("""COMPUTED_VALUE"""),"Max McGreevy")</f>
        <v>Max McGreevy</v>
      </c>
      <c r="D243">
        <f ca="1">IFERROR(__xludf.DUMMYFUNCTION("""COMPUTED_VALUE"""),40)</f>
        <v>40</v>
      </c>
      <c r="E243">
        <f ca="1">IFERROR(__xludf.DUMMYFUNCTION("""COMPUTED_VALUE"""),0.71)</f>
        <v>0.71</v>
      </c>
      <c r="F243">
        <f ca="1">IFERROR(__xludf.DUMMYFUNCTION("""COMPUTED_VALUE"""),28.24)</f>
        <v>28.24</v>
      </c>
      <c r="G243">
        <f ca="1">IFERROR(__xludf.DUMMYFUNCTION("""COMPUTED_VALUE"""),-7.23)</f>
        <v>-7.23</v>
      </c>
      <c r="H243">
        <f ca="1">IFERROR(__xludf.DUMMYFUNCTION("""COMPUTED_VALUE"""),22.29)</f>
        <v>22.29</v>
      </c>
      <c r="I243" t="str">
        <f ca="1">IFERROR(__xludf.DUMMYFUNCTION("""COMPUTED_VALUE"""),"")</f>
        <v/>
      </c>
    </row>
    <row r="244" spans="1:9" ht="12.75">
      <c r="A244">
        <f ca="1">IFERROR(__xludf.DUMMYFUNCTION("""COMPUTED_VALUE"""),243)</f>
        <v>243</v>
      </c>
      <c r="B244">
        <f ca="1">IFERROR(__xludf.DUMMYFUNCTION("""COMPUTED_VALUE"""),241)</f>
        <v>241</v>
      </c>
      <c r="C244" t="str">
        <f ca="1">IFERROR(__xludf.DUMMYFUNCTION("""COMPUTED_VALUE"""),"Darren Fichardt")</f>
        <v>Darren Fichardt</v>
      </c>
      <c r="D244">
        <f ca="1">IFERROR(__xludf.DUMMYFUNCTION("""COMPUTED_VALUE"""),49)</f>
        <v>49</v>
      </c>
      <c r="E244">
        <f ca="1">IFERROR(__xludf.DUMMYFUNCTION("""COMPUTED_VALUE"""),0.7)</f>
        <v>0.7</v>
      </c>
      <c r="F244">
        <f ca="1">IFERROR(__xludf.DUMMYFUNCTION("""COMPUTED_VALUE"""),34.51)</f>
        <v>34.51</v>
      </c>
      <c r="G244">
        <f ca="1">IFERROR(__xludf.DUMMYFUNCTION("""COMPUTED_VALUE"""),-19.34)</f>
        <v>-19.34</v>
      </c>
      <c r="H244">
        <f ca="1">IFERROR(__xludf.DUMMYFUNCTION("""COMPUTED_VALUE"""),32.11)</f>
        <v>32.11</v>
      </c>
      <c r="I244" t="str">
        <f ca="1">IFERROR(__xludf.DUMMYFUNCTION("""COMPUTED_VALUE"""),"")</f>
        <v/>
      </c>
    </row>
    <row r="245" spans="1:9" ht="12.75">
      <c r="A245">
        <f ca="1">IFERROR(__xludf.DUMMYFUNCTION("""COMPUTED_VALUE"""),244)</f>
        <v>244</v>
      </c>
      <c r="B245">
        <f ca="1">IFERROR(__xludf.DUMMYFUNCTION("""COMPUTED_VALUE"""),251)</f>
        <v>251</v>
      </c>
      <c r="C245" t="str">
        <f ca="1">IFERROR(__xludf.DUMMYFUNCTION("""COMPUTED_VALUE"""),"Jamie Donaldson")</f>
        <v>Jamie Donaldson</v>
      </c>
      <c r="D245">
        <f ca="1">IFERROR(__xludf.DUMMYFUNCTION("""COMPUTED_VALUE"""),40)</f>
        <v>40</v>
      </c>
      <c r="E245">
        <f ca="1">IFERROR(__xludf.DUMMYFUNCTION("""COMPUTED_VALUE"""),0.7)</f>
        <v>0.7</v>
      </c>
      <c r="F245">
        <f ca="1">IFERROR(__xludf.DUMMYFUNCTION("""COMPUTED_VALUE"""),28.16)</f>
        <v>28.16</v>
      </c>
      <c r="G245">
        <f ca="1">IFERROR(__xludf.DUMMYFUNCTION("""COMPUTED_VALUE"""),-5.83)</f>
        <v>-5.83</v>
      </c>
      <c r="H245">
        <f ca="1">IFERROR(__xludf.DUMMYFUNCTION("""COMPUTED_VALUE"""),19.21)</f>
        <v>19.21</v>
      </c>
      <c r="I245" t="str">
        <f ca="1">IFERROR(__xludf.DUMMYFUNCTION("""COMPUTED_VALUE"""),"")</f>
        <v/>
      </c>
    </row>
    <row r="246" spans="1:9" ht="12.75">
      <c r="A246">
        <f ca="1">IFERROR(__xludf.DUMMYFUNCTION("""COMPUTED_VALUE"""),245)</f>
        <v>245</v>
      </c>
      <c r="B246">
        <f ca="1">IFERROR(__xludf.DUMMYFUNCTION("""COMPUTED_VALUE"""),237)</f>
        <v>237</v>
      </c>
      <c r="C246" t="str">
        <f ca="1">IFERROR(__xludf.DUMMYFUNCTION("""COMPUTED_VALUE"""),"Kyoung-Hoon Lee")</f>
        <v>Kyoung-Hoon Lee</v>
      </c>
      <c r="D246">
        <f ca="1">IFERROR(__xludf.DUMMYFUNCTION("""COMPUTED_VALUE"""),52)</f>
        <v>52</v>
      </c>
      <c r="E246">
        <f ca="1">IFERROR(__xludf.DUMMYFUNCTION("""COMPUTED_VALUE"""),0.7)</f>
        <v>0.7</v>
      </c>
      <c r="F246">
        <f ca="1">IFERROR(__xludf.DUMMYFUNCTION("""COMPUTED_VALUE"""),36.6)</f>
        <v>36.6</v>
      </c>
      <c r="G246">
        <f ca="1">IFERROR(__xludf.DUMMYFUNCTION("""COMPUTED_VALUE"""),-20.61)</f>
        <v>-20.61</v>
      </c>
      <c r="H246">
        <f ca="1">IFERROR(__xludf.DUMMYFUNCTION("""COMPUTED_VALUE"""),23.12)</f>
        <v>23.12</v>
      </c>
      <c r="I246" t="str">
        <f ca="1">IFERROR(__xludf.DUMMYFUNCTION("""COMPUTED_VALUE"""),"")</f>
        <v/>
      </c>
    </row>
    <row r="247" spans="1:9" ht="12.75">
      <c r="A247">
        <f ca="1">IFERROR(__xludf.DUMMYFUNCTION("""COMPUTED_VALUE"""),246)</f>
        <v>246</v>
      </c>
      <c r="B247">
        <f ca="1">IFERROR(__xludf.DUMMYFUNCTION("""COMPUTED_VALUE"""),247)</f>
        <v>247</v>
      </c>
      <c r="C247" t="str">
        <f ca="1">IFERROR(__xludf.DUMMYFUNCTION("""COMPUTED_VALUE"""),"Marc Warren")</f>
        <v>Marc Warren</v>
      </c>
      <c r="D247">
        <f ca="1">IFERROR(__xludf.DUMMYFUNCTION("""COMPUTED_VALUE"""),41)</f>
        <v>41</v>
      </c>
      <c r="E247">
        <f ca="1">IFERROR(__xludf.DUMMYFUNCTION("""COMPUTED_VALUE"""),0.7)</f>
        <v>0.7</v>
      </c>
      <c r="F247">
        <f ca="1">IFERROR(__xludf.DUMMYFUNCTION("""COMPUTED_VALUE"""),28.64)</f>
        <v>28.64</v>
      </c>
      <c r="G247">
        <f ca="1">IFERROR(__xludf.DUMMYFUNCTION("""COMPUTED_VALUE"""),-4.96)</f>
        <v>-4.96</v>
      </c>
      <c r="H247">
        <f ca="1">IFERROR(__xludf.DUMMYFUNCTION("""COMPUTED_VALUE"""),28.95)</f>
        <v>28.95</v>
      </c>
      <c r="I247" t="str">
        <f ca="1">IFERROR(__xludf.DUMMYFUNCTION("""COMPUTED_VALUE"""),"")</f>
        <v/>
      </c>
    </row>
    <row r="248" spans="1:9" ht="12.75">
      <c r="A248">
        <f ca="1">IFERROR(__xludf.DUMMYFUNCTION("""COMPUTED_VALUE"""),247)</f>
        <v>247</v>
      </c>
      <c r="B248">
        <f ca="1">IFERROR(__xludf.DUMMYFUNCTION("""COMPUTED_VALUE"""),239)</f>
        <v>239</v>
      </c>
      <c r="C248" t="str">
        <f ca="1">IFERROR(__xludf.DUMMYFUNCTION("""COMPUTED_VALUE"""),"Maverick Antcliff")</f>
        <v>Maverick Antcliff</v>
      </c>
      <c r="D248">
        <f ca="1">IFERROR(__xludf.DUMMYFUNCTION("""COMPUTED_VALUE"""),49)</f>
        <v>49</v>
      </c>
      <c r="E248">
        <f ca="1">IFERROR(__xludf.DUMMYFUNCTION("""COMPUTED_VALUE"""),0.7)</f>
        <v>0.7</v>
      </c>
      <c r="F248">
        <f ca="1">IFERROR(__xludf.DUMMYFUNCTION("""COMPUTED_VALUE"""),34.17)</f>
        <v>34.17</v>
      </c>
      <c r="G248">
        <f ca="1">IFERROR(__xludf.DUMMYFUNCTION("""COMPUTED_VALUE"""),-16.65)</f>
        <v>-16.649999999999999</v>
      </c>
      <c r="H248">
        <f ca="1">IFERROR(__xludf.DUMMYFUNCTION("""COMPUTED_VALUE"""),15.68)</f>
        <v>15.68</v>
      </c>
      <c r="I248" t="str">
        <f ca="1">IFERROR(__xludf.DUMMYFUNCTION("""COMPUTED_VALUE"""),"")</f>
        <v/>
      </c>
    </row>
    <row r="249" spans="1:9" ht="12.75">
      <c r="A249">
        <f ca="1">IFERROR(__xludf.DUMMYFUNCTION("""COMPUTED_VALUE"""),248)</f>
        <v>248</v>
      </c>
      <c r="B249">
        <f ca="1">IFERROR(__xludf.DUMMYFUNCTION("""COMPUTED_VALUE"""),243)</f>
        <v>243</v>
      </c>
      <c r="C249" t="str">
        <f ca="1">IFERROR(__xludf.DUMMYFUNCTION("""COMPUTED_VALUE"""),"Ross McGowan")</f>
        <v>Ross McGowan</v>
      </c>
      <c r="D249">
        <f ca="1">IFERROR(__xludf.DUMMYFUNCTION("""COMPUTED_VALUE"""),52)</f>
        <v>52</v>
      </c>
      <c r="E249">
        <f ca="1">IFERROR(__xludf.DUMMYFUNCTION("""COMPUTED_VALUE"""),0.69)</f>
        <v>0.69</v>
      </c>
      <c r="F249">
        <f ca="1">IFERROR(__xludf.DUMMYFUNCTION("""COMPUTED_VALUE"""),36.06)</f>
        <v>36.06</v>
      </c>
      <c r="G249">
        <f ca="1">IFERROR(__xludf.DUMMYFUNCTION("""COMPUTED_VALUE"""),-12.92)</f>
        <v>-12.92</v>
      </c>
      <c r="H249">
        <f ca="1">IFERROR(__xludf.DUMMYFUNCTION("""COMPUTED_VALUE"""),26.6)</f>
        <v>26.6</v>
      </c>
      <c r="I249" t="str">
        <f ca="1">IFERROR(__xludf.DUMMYFUNCTION("""COMPUTED_VALUE"""),"")</f>
        <v/>
      </c>
    </row>
    <row r="250" spans="1:9" ht="12.75">
      <c r="A250">
        <f ca="1">IFERROR(__xludf.DUMMYFUNCTION("""COMPUTED_VALUE"""),249)</f>
        <v>249</v>
      </c>
      <c r="B250">
        <f ca="1">IFERROR(__xludf.DUMMYFUNCTION("""COMPUTED_VALUE"""),240)</f>
        <v>240</v>
      </c>
      <c r="C250" t="str">
        <f ca="1">IFERROR(__xludf.DUMMYFUNCTION("""COMPUTED_VALUE"""),"Chris Paisley")</f>
        <v>Chris Paisley</v>
      </c>
      <c r="D250">
        <f ca="1">IFERROR(__xludf.DUMMYFUNCTION("""COMPUTED_VALUE"""),52)</f>
        <v>52</v>
      </c>
      <c r="E250">
        <f ca="1">IFERROR(__xludf.DUMMYFUNCTION("""COMPUTED_VALUE"""),0.69)</f>
        <v>0.69</v>
      </c>
      <c r="F250">
        <f ca="1">IFERROR(__xludf.DUMMYFUNCTION("""COMPUTED_VALUE"""),35.99)</f>
        <v>35.99</v>
      </c>
      <c r="G250">
        <f ca="1">IFERROR(__xludf.DUMMYFUNCTION("""COMPUTED_VALUE"""),-18.39)</f>
        <v>-18.39</v>
      </c>
      <c r="H250">
        <f ca="1">IFERROR(__xludf.DUMMYFUNCTION("""COMPUTED_VALUE"""),20.35)</f>
        <v>20.350000000000001</v>
      </c>
      <c r="I250" t="str">
        <f ca="1">IFERROR(__xludf.DUMMYFUNCTION("""COMPUTED_VALUE"""),"")</f>
        <v/>
      </c>
    </row>
    <row r="251" spans="1:9" ht="12.75">
      <c r="A251">
        <f ca="1">IFERROR(__xludf.DUMMYFUNCTION("""COMPUTED_VALUE"""),250)</f>
        <v>250</v>
      </c>
      <c r="B251">
        <f ca="1">IFERROR(__xludf.DUMMYFUNCTION("""COMPUTED_VALUE"""),242)</f>
        <v>242</v>
      </c>
      <c r="C251" t="str">
        <f ca="1">IFERROR(__xludf.DUMMYFUNCTION("""COMPUTED_VALUE"""),"Chase Seiffert")</f>
        <v>Chase Seiffert</v>
      </c>
      <c r="D251">
        <f ca="1">IFERROR(__xludf.DUMMYFUNCTION("""COMPUTED_VALUE"""),50)</f>
        <v>50</v>
      </c>
      <c r="E251">
        <f ca="1">IFERROR(__xludf.DUMMYFUNCTION("""COMPUTED_VALUE"""),0.69)</f>
        <v>0.69</v>
      </c>
      <c r="F251">
        <f ca="1">IFERROR(__xludf.DUMMYFUNCTION("""COMPUTED_VALUE"""),34.49)</f>
        <v>34.49</v>
      </c>
      <c r="G251">
        <f ca="1">IFERROR(__xludf.DUMMYFUNCTION("""COMPUTED_VALUE"""),-14.06)</f>
        <v>-14.06</v>
      </c>
      <c r="H251">
        <f ca="1">IFERROR(__xludf.DUMMYFUNCTION("""COMPUTED_VALUE"""),24.56)</f>
        <v>24.56</v>
      </c>
      <c r="I251" t="str">
        <f ca="1">IFERROR(__xludf.DUMMYFUNCTION("""COMPUTED_VALUE"""),"")</f>
        <v/>
      </c>
    </row>
    <row r="252" spans="1:9" ht="12.75">
      <c r="A252">
        <f ca="1">IFERROR(__xludf.DUMMYFUNCTION("""COMPUTED_VALUE"""),251)</f>
        <v>251</v>
      </c>
      <c r="B252">
        <f ca="1">IFERROR(__xludf.DUMMYFUNCTION("""COMPUTED_VALUE"""),245)</f>
        <v>245</v>
      </c>
      <c r="C252" t="str">
        <f ca="1">IFERROR(__xludf.DUMMYFUNCTION("""COMPUTED_VALUE"""),"Alexander Björk")</f>
        <v>Alexander Björk</v>
      </c>
      <c r="D252">
        <f ca="1">IFERROR(__xludf.DUMMYFUNCTION("""COMPUTED_VALUE"""),46)</f>
        <v>46</v>
      </c>
      <c r="E252">
        <f ca="1">IFERROR(__xludf.DUMMYFUNCTION("""COMPUTED_VALUE"""),0.68)</f>
        <v>0.68</v>
      </c>
      <c r="F252">
        <f ca="1">IFERROR(__xludf.DUMMYFUNCTION("""COMPUTED_VALUE"""),31.06)</f>
        <v>31.06</v>
      </c>
      <c r="G252">
        <f ca="1">IFERROR(__xludf.DUMMYFUNCTION("""COMPUTED_VALUE"""),-33.94)</f>
        <v>-33.94</v>
      </c>
      <c r="H252">
        <f ca="1">IFERROR(__xludf.DUMMYFUNCTION("""COMPUTED_VALUE"""),20.49)</f>
        <v>20.49</v>
      </c>
      <c r="I252" t="str">
        <f ca="1">IFERROR(__xludf.DUMMYFUNCTION("""COMPUTED_VALUE"""),"")</f>
        <v/>
      </c>
    </row>
    <row r="253" spans="1:9" ht="12.75">
      <c r="A253">
        <f ca="1">IFERROR(__xludf.DUMMYFUNCTION("""COMPUTED_VALUE"""),252)</f>
        <v>252</v>
      </c>
      <c r="B253">
        <f ca="1">IFERROR(__xludf.DUMMYFUNCTION("""COMPUTED_VALUE"""),303)</f>
        <v>303</v>
      </c>
      <c r="C253" t="str">
        <f ca="1">IFERROR(__xludf.DUMMYFUNCTION("""COMPUTED_VALUE"""),"Johannes Veerman")</f>
        <v>Johannes Veerman</v>
      </c>
      <c r="D253">
        <f ca="1">IFERROR(__xludf.DUMMYFUNCTION("""COMPUTED_VALUE"""),41)</f>
        <v>41</v>
      </c>
      <c r="E253">
        <f ca="1">IFERROR(__xludf.DUMMYFUNCTION("""COMPUTED_VALUE"""),0.67)</f>
        <v>0.67</v>
      </c>
      <c r="F253">
        <f ca="1">IFERROR(__xludf.DUMMYFUNCTION("""COMPUTED_VALUE"""),27.66)</f>
        <v>27.66</v>
      </c>
      <c r="G253">
        <f ca="1">IFERROR(__xludf.DUMMYFUNCTION("""COMPUTED_VALUE"""),-13.99)</f>
        <v>-13.99</v>
      </c>
      <c r="H253">
        <f ca="1">IFERROR(__xludf.DUMMYFUNCTION("""COMPUTED_VALUE"""),18.42)</f>
        <v>18.420000000000002</v>
      </c>
      <c r="I253" t="str">
        <f ca="1">IFERROR(__xludf.DUMMYFUNCTION("""COMPUTED_VALUE"""),"")</f>
        <v/>
      </c>
    </row>
    <row r="254" spans="1:9" ht="12.75">
      <c r="A254">
        <f ca="1">IFERROR(__xludf.DUMMYFUNCTION("""COMPUTED_VALUE"""),253)</f>
        <v>253</v>
      </c>
      <c r="B254">
        <f ca="1">IFERROR(__xludf.DUMMYFUNCTION("""COMPUTED_VALUE"""),244)</f>
        <v>244</v>
      </c>
      <c r="C254" t="str">
        <f ca="1">IFERROR(__xludf.DUMMYFUNCTION("""COMPUTED_VALUE"""),"Adrian Meronk")</f>
        <v>Adrian Meronk</v>
      </c>
      <c r="D254">
        <f ca="1">IFERROR(__xludf.DUMMYFUNCTION("""COMPUTED_VALUE"""),49)</f>
        <v>49</v>
      </c>
      <c r="E254">
        <f ca="1">IFERROR(__xludf.DUMMYFUNCTION("""COMPUTED_VALUE"""),0.67)</f>
        <v>0.67</v>
      </c>
      <c r="F254">
        <f ca="1">IFERROR(__xludf.DUMMYFUNCTION("""COMPUTED_VALUE"""),32.88)</f>
        <v>32.880000000000003</v>
      </c>
      <c r="G254">
        <f ca="1">IFERROR(__xludf.DUMMYFUNCTION("""COMPUTED_VALUE"""),-15.37)</f>
        <v>-15.37</v>
      </c>
      <c r="H254">
        <f ca="1">IFERROR(__xludf.DUMMYFUNCTION("""COMPUTED_VALUE"""),12.27)</f>
        <v>12.27</v>
      </c>
      <c r="I254" t="str">
        <f ca="1">IFERROR(__xludf.DUMMYFUNCTION("""COMPUTED_VALUE"""),"")</f>
        <v/>
      </c>
    </row>
    <row r="255" spans="1:9" ht="12.75">
      <c r="A255">
        <f ca="1">IFERROR(__xludf.DUMMYFUNCTION("""COMPUTED_VALUE"""),254)</f>
        <v>254</v>
      </c>
      <c r="B255">
        <f ca="1">IFERROR(__xludf.DUMMYFUNCTION("""COMPUTED_VALUE"""),250)</f>
        <v>250</v>
      </c>
      <c r="C255" t="str">
        <f ca="1">IFERROR(__xludf.DUMMYFUNCTION("""COMPUTED_VALUE"""),"Scott Jamieson")</f>
        <v>Scott Jamieson</v>
      </c>
      <c r="D255">
        <f ca="1">IFERROR(__xludf.DUMMYFUNCTION("""COMPUTED_VALUE"""),45)</f>
        <v>45</v>
      </c>
      <c r="E255">
        <f ca="1">IFERROR(__xludf.DUMMYFUNCTION("""COMPUTED_VALUE"""),0.67)</f>
        <v>0.67</v>
      </c>
      <c r="F255">
        <f ca="1">IFERROR(__xludf.DUMMYFUNCTION("""COMPUTED_VALUE"""),30.18)</f>
        <v>30.18</v>
      </c>
      <c r="G255">
        <f ca="1">IFERROR(__xludf.DUMMYFUNCTION("""COMPUTED_VALUE"""),-18.63)</f>
        <v>-18.63</v>
      </c>
      <c r="H255">
        <f ca="1">IFERROR(__xludf.DUMMYFUNCTION("""COMPUTED_VALUE"""),19)</f>
        <v>19</v>
      </c>
      <c r="I255" t="str">
        <f ca="1">IFERROR(__xludf.DUMMYFUNCTION("""COMPUTED_VALUE"""),"")</f>
        <v/>
      </c>
    </row>
    <row r="256" spans="1:9" ht="12.75">
      <c r="A256">
        <f ca="1">IFERROR(__xludf.DUMMYFUNCTION("""COMPUTED_VALUE"""),255)</f>
        <v>255</v>
      </c>
      <c r="B256">
        <f ca="1">IFERROR(__xludf.DUMMYFUNCTION("""COMPUTED_VALUE"""),253)</f>
        <v>253</v>
      </c>
      <c r="C256" t="str">
        <f ca="1">IFERROR(__xludf.DUMMYFUNCTION("""COMPUTED_VALUE"""),"Mikael Lindberg")</f>
        <v>Mikael Lindberg</v>
      </c>
      <c r="D256">
        <f ca="1">IFERROR(__xludf.DUMMYFUNCTION("""COMPUTED_VALUE"""),43)</f>
        <v>43</v>
      </c>
      <c r="E256">
        <f ca="1">IFERROR(__xludf.DUMMYFUNCTION("""COMPUTED_VALUE"""),0.67)</f>
        <v>0.67</v>
      </c>
      <c r="F256">
        <f ca="1">IFERROR(__xludf.DUMMYFUNCTION("""COMPUTED_VALUE"""),28.69)</f>
        <v>28.69</v>
      </c>
      <c r="G256">
        <f ca="1">IFERROR(__xludf.DUMMYFUNCTION("""COMPUTED_VALUE"""),-5.06)</f>
        <v>-5.0599999999999996</v>
      </c>
      <c r="H256">
        <f ca="1">IFERROR(__xludf.DUMMYFUNCTION("""COMPUTED_VALUE"""),25.8)</f>
        <v>25.8</v>
      </c>
      <c r="I256" t="str">
        <f ca="1">IFERROR(__xludf.DUMMYFUNCTION("""COMPUTED_VALUE"""),"")</f>
        <v/>
      </c>
    </row>
    <row r="257" spans="1:9" ht="12.75">
      <c r="A257">
        <f ca="1">IFERROR(__xludf.DUMMYFUNCTION("""COMPUTED_VALUE"""),256)</f>
        <v>256</v>
      </c>
      <c r="B257">
        <f ca="1">IFERROR(__xludf.DUMMYFUNCTION("""COMPUTED_VALUE"""),254)</f>
        <v>254</v>
      </c>
      <c r="C257" t="str">
        <f ca="1">IFERROR(__xludf.DUMMYFUNCTION("""COMPUTED_VALUE"""),"Hideto Tanihara")</f>
        <v>Hideto Tanihara</v>
      </c>
      <c r="D257">
        <f ca="1">IFERROR(__xludf.DUMMYFUNCTION("""COMPUTED_VALUE"""),40)</f>
        <v>40</v>
      </c>
      <c r="E257">
        <f ca="1">IFERROR(__xludf.DUMMYFUNCTION("""COMPUTED_VALUE"""),0.66)</f>
        <v>0.66</v>
      </c>
      <c r="F257">
        <f ca="1">IFERROR(__xludf.DUMMYFUNCTION("""COMPUTED_VALUE"""),26.52)</f>
        <v>26.52</v>
      </c>
      <c r="G257">
        <f ca="1">IFERROR(__xludf.DUMMYFUNCTION("""COMPUTED_VALUE"""),-13.1)</f>
        <v>-13.1</v>
      </c>
      <c r="H257">
        <f ca="1">IFERROR(__xludf.DUMMYFUNCTION("""COMPUTED_VALUE"""),20.4)</f>
        <v>20.399999999999999</v>
      </c>
      <c r="I257" t="str">
        <f ca="1">IFERROR(__xludf.DUMMYFUNCTION("""COMPUTED_VALUE"""),"")</f>
        <v/>
      </c>
    </row>
    <row r="258" spans="1:9" ht="12.75">
      <c r="A258">
        <f ca="1">IFERROR(__xludf.DUMMYFUNCTION("""COMPUTED_VALUE"""),257)</f>
        <v>257</v>
      </c>
      <c r="B258">
        <f ca="1">IFERROR(__xludf.DUMMYFUNCTION("""COMPUTED_VALUE"""),255)</f>
        <v>255</v>
      </c>
      <c r="C258" t="str">
        <f ca="1">IFERROR(__xludf.DUMMYFUNCTION("""COMPUTED_VALUE"""),"Brice Garnett")</f>
        <v>Brice Garnett</v>
      </c>
      <c r="D258">
        <f ca="1">IFERROR(__xludf.DUMMYFUNCTION("""COMPUTED_VALUE"""),52)</f>
        <v>52</v>
      </c>
      <c r="E258">
        <f ca="1">IFERROR(__xludf.DUMMYFUNCTION("""COMPUTED_VALUE"""),0.66)</f>
        <v>0.66</v>
      </c>
      <c r="F258">
        <f ca="1">IFERROR(__xludf.DUMMYFUNCTION("""COMPUTED_VALUE"""),34.38)</f>
        <v>34.380000000000003</v>
      </c>
      <c r="G258">
        <f ca="1">IFERROR(__xludf.DUMMYFUNCTION("""COMPUTED_VALUE"""),-27.09)</f>
        <v>-27.09</v>
      </c>
      <c r="H258">
        <f ca="1">IFERROR(__xludf.DUMMYFUNCTION("""COMPUTED_VALUE"""),18.89)</f>
        <v>18.89</v>
      </c>
      <c r="I258" t="str">
        <f ca="1">IFERROR(__xludf.DUMMYFUNCTION("""COMPUTED_VALUE"""),"")</f>
        <v/>
      </c>
    </row>
    <row r="259" spans="1:9" ht="12.75">
      <c r="A259">
        <f ca="1">IFERROR(__xludf.DUMMYFUNCTION("""COMPUTED_VALUE"""),258)</f>
        <v>258</v>
      </c>
      <c r="B259">
        <f ca="1">IFERROR(__xludf.DUMMYFUNCTION("""COMPUTED_VALUE"""),256)</f>
        <v>256</v>
      </c>
      <c r="C259" t="str">
        <f ca="1">IFERROR(__xludf.DUMMYFUNCTION("""COMPUTED_VALUE"""),"Lee Hodges")</f>
        <v>Lee Hodges</v>
      </c>
      <c r="D259">
        <f ca="1">IFERROR(__xludf.DUMMYFUNCTION("""COMPUTED_VALUE"""),48)</f>
        <v>48</v>
      </c>
      <c r="E259">
        <f ca="1">IFERROR(__xludf.DUMMYFUNCTION("""COMPUTED_VALUE"""),0.66)</f>
        <v>0.66</v>
      </c>
      <c r="F259">
        <f ca="1">IFERROR(__xludf.DUMMYFUNCTION("""COMPUTED_VALUE"""),31.48)</f>
        <v>31.48</v>
      </c>
      <c r="G259">
        <f ca="1">IFERROR(__xludf.DUMMYFUNCTION("""COMPUTED_VALUE"""),-6.65)</f>
        <v>-6.65</v>
      </c>
      <c r="H259">
        <f ca="1">IFERROR(__xludf.DUMMYFUNCTION("""COMPUTED_VALUE"""),29.07)</f>
        <v>29.07</v>
      </c>
      <c r="I259" t="str">
        <f ca="1">IFERROR(__xludf.DUMMYFUNCTION("""COMPUTED_VALUE"""),"")</f>
        <v/>
      </c>
    </row>
    <row r="260" spans="1:9" ht="12.75">
      <c r="A260">
        <f ca="1">IFERROR(__xludf.DUMMYFUNCTION("""COMPUTED_VALUE"""),259)</f>
        <v>259</v>
      </c>
      <c r="B260">
        <f ca="1">IFERROR(__xludf.DUMMYFUNCTION("""COMPUTED_VALUE"""),258)</f>
        <v>258</v>
      </c>
      <c r="C260" t="str">
        <f ca="1">IFERROR(__xludf.DUMMYFUNCTION("""COMPUTED_VALUE"""),"Chad Ramey")</f>
        <v>Chad Ramey</v>
      </c>
      <c r="D260">
        <f ca="1">IFERROR(__xludf.DUMMYFUNCTION("""COMPUTED_VALUE"""),49)</f>
        <v>49</v>
      </c>
      <c r="E260">
        <f ca="1">IFERROR(__xludf.DUMMYFUNCTION("""COMPUTED_VALUE"""),0.65)</f>
        <v>0.65</v>
      </c>
      <c r="F260">
        <f ca="1">IFERROR(__xludf.DUMMYFUNCTION("""COMPUTED_VALUE"""),31.71)</f>
        <v>31.71</v>
      </c>
      <c r="G260">
        <f ca="1">IFERROR(__xludf.DUMMYFUNCTION("""COMPUTED_VALUE"""),-7.04)</f>
        <v>-7.04</v>
      </c>
      <c r="H260">
        <f ca="1">IFERROR(__xludf.DUMMYFUNCTION("""COMPUTED_VALUE"""),27.55)</f>
        <v>27.55</v>
      </c>
      <c r="I260" t="str">
        <f ca="1">IFERROR(__xludf.DUMMYFUNCTION("""COMPUTED_VALUE"""),"")</f>
        <v/>
      </c>
    </row>
    <row r="261" spans="1:9" ht="12.75">
      <c r="A261">
        <f ca="1">IFERROR(__xludf.DUMMYFUNCTION("""COMPUTED_VALUE"""),259)</f>
        <v>259</v>
      </c>
      <c r="B261">
        <f ca="1">IFERROR(__xludf.DUMMYFUNCTION("""COMPUTED_VALUE"""),252)</f>
        <v>252</v>
      </c>
      <c r="C261" t="str">
        <f ca="1">IFERROR(__xludf.DUMMYFUNCTION("""COMPUTED_VALUE"""),"Rashid Khan")</f>
        <v>Rashid Khan</v>
      </c>
      <c r="D261">
        <f ca="1">IFERROR(__xludf.DUMMYFUNCTION("""COMPUTED_VALUE"""),40)</f>
        <v>40</v>
      </c>
      <c r="E261">
        <f ca="1">IFERROR(__xludf.DUMMYFUNCTION("""COMPUTED_VALUE"""),0.65)</f>
        <v>0.65</v>
      </c>
      <c r="F261">
        <f ca="1">IFERROR(__xludf.DUMMYFUNCTION("""COMPUTED_VALUE"""),25.88)</f>
        <v>25.88</v>
      </c>
      <c r="G261">
        <f ca="1">IFERROR(__xludf.DUMMYFUNCTION("""COMPUTED_VALUE"""),-15.9)</f>
        <v>-15.9</v>
      </c>
      <c r="H261">
        <f ca="1">IFERROR(__xludf.DUMMYFUNCTION("""COMPUTED_VALUE"""),9.12)</f>
        <v>9.1199999999999992</v>
      </c>
      <c r="I261" t="str">
        <f ca="1">IFERROR(__xludf.DUMMYFUNCTION("""COMPUTED_VALUE"""),"")</f>
        <v/>
      </c>
    </row>
    <row r="262" spans="1:9" ht="12.75">
      <c r="A262">
        <f ca="1">IFERROR(__xludf.DUMMYFUNCTION("""COMPUTED_VALUE"""),261)</f>
        <v>261</v>
      </c>
      <c r="B262">
        <f ca="1">IFERROR(__xludf.DUMMYFUNCTION("""COMPUTED_VALUE"""),260)</f>
        <v>260</v>
      </c>
      <c r="C262" t="str">
        <f ca="1">IFERROR(__xludf.DUMMYFUNCTION("""COMPUTED_VALUE"""),"P. Tangkamolpraser")</f>
        <v>P. Tangkamolpraser</v>
      </c>
      <c r="D262">
        <f ca="1">IFERROR(__xludf.DUMMYFUNCTION("""COMPUTED_VALUE"""),46)</f>
        <v>46</v>
      </c>
      <c r="E262">
        <f ca="1">IFERROR(__xludf.DUMMYFUNCTION("""COMPUTED_VALUE"""),0.64)</f>
        <v>0.64</v>
      </c>
      <c r="F262">
        <f ca="1">IFERROR(__xludf.DUMMYFUNCTION("""COMPUTED_VALUE"""),29.39)</f>
        <v>29.39</v>
      </c>
      <c r="G262">
        <f ca="1">IFERROR(__xludf.DUMMYFUNCTION("""COMPUTED_VALUE"""),-17.3)</f>
        <v>-17.3</v>
      </c>
      <c r="H262">
        <f ca="1">IFERROR(__xludf.DUMMYFUNCTION("""COMPUTED_VALUE"""),8.96)</f>
        <v>8.9600000000000009</v>
      </c>
      <c r="I262" t="str">
        <f ca="1">IFERROR(__xludf.DUMMYFUNCTION("""COMPUTED_VALUE"""),"")</f>
        <v/>
      </c>
    </row>
    <row r="263" spans="1:9" ht="12.75">
      <c r="A263">
        <f ca="1">IFERROR(__xludf.DUMMYFUNCTION("""COMPUTED_VALUE"""),262)</f>
        <v>262</v>
      </c>
      <c r="B263">
        <f ca="1">IFERROR(__xludf.DUMMYFUNCTION("""COMPUTED_VALUE"""),257)</f>
        <v>257</v>
      </c>
      <c r="C263" t="str">
        <f ca="1">IFERROR(__xludf.DUMMYFUNCTION("""COMPUTED_VALUE"""),"Beau Hossler")</f>
        <v>Beau Hossler</v>
      </c>
      <c r="D263">
        <f ca="1">IFERROR(__xludf.DUMMYFUNCTION("""COMPUTED_VALUE"""),52)</f>
        <v>52</v>
      </c>
      <c r="E263">
        <f ca="1">IFERROR(__xludf.DUMMYFUNCTION("""COMPUTED_VALUE"""),0.63)</f>
        <v>0.63</v>
      </c>
      <c r="F263">
        <f ca="1">IFERROR(__xludf.DUMMYFUNCTION("""COMPUTED_VALUE"""),32.98)</f>
        <v>32.979999999999997</v>
      </c>
      <c r="G263">
        <f ca="1">IFERROR(__xludf.DUMMYFUNCTION("""COMPUTED_VALUE"""),-33.05)</f>
        <v>-33.049999999999997</v>
      </c>
      <c r="H263">
        <f ca="1">IFERROR(__xludf.DUMMYFUNCTION("""COMPUTED_VALUE"""),20.67)</f>
        <v>20.67</v>
      </c>
      <c r="I263" t="str">
        <f ca="1">IFERROR(__xludf.DUMMYFUNCTION("""COMPUTED_VALUE"""),"")</f>
        <v/>
      </c>
    </row>
    <row r="264" spans="1:9" ht="12.75">
      <c r="A264">
        <f ca="1">IFERROR(__xludf.DUMMYFUNCTION("""COMPUTED_VALUE"""),263)</f>
        <v>263</v>
      </c>
      <c r="B264">
        <f ca="1">IFERROR(__xludf.DUMMYFUNCTION("""COMPUTED_VALUE"""),261)</f>
        <v>261</v>
      </c>
      <c r="C264" t="str">
        <f ca="1">IFERROR(__xludf.DUMMYFUNCTION("""COMPUTED_VALUE"""),"Justin Walters")</f>
        <v>Justin Walters</v>
      </c>
      <c r="D264">
        <f ca="1">IFERROR(__xludf.DUMMYFUNCTION("""COMPUTED_VALUE"""),52)</f>
        <v>52</v>
      </c>
      <c r="E264">
        <f ca="1">IFERROR(__xludf.DUMMYFUNCTION("""COMPUTED_VALUE"""),0.63)</f>
        <v>0.63</v>
      </c>
      <c r="F264">
        <f ca="1">IFERROR(__xludf.DUMMYFUNCTION("""COMPUTED_VALUE"""),32.72)</f>
        <v>32.72</v>
      </c>
      <c r="G264">
        <f ca="1">IFERROR(__xludf.DUMMYFUNCTION("""COMPUTED_VALUE"""),-16.22)</f>
        <v>-16.22</v>
      </c>
      <c r="H264">
        <f ca="1">IFERROR(__xludf.DUMMYFUNCTION("""COMPUTED_VALUE"""),16.1)</f>
        <v>16.100000000000001</v>
      </c>
      <c r="I264" t="str">
        <f ca="1">IFERROR(__xludf.DUMMYFUNCTION("""COMPUTED_VALUE"""),"")</f>
        <v/>
      </c>
    </row>
    <row r="265" spans="1:9" ht="12.75">
      <c r="A265">
        <f ca="1">IFERROR(__xludf.DUMMYFUNCTION("""COMPUTED_VALUE"""),264)</f>
        <v>264</v>
      </c>
      <c r="B265">
        <f ca="1">IFERROR(__xludf.DUMMYFUNCTION("""COMPUTED_VALUE"""),259)</f>
        <v>259</v>
      </c>
      <c r="C265" t="str">
        <f ca="1">IFERROR(__xludf.DUMMYFUNCTION("""COMPUTED_VALUE"""),"Oliver Farr")</f>
        <v>Oliver Farr</v>
      </c>
      <c r="D265">
        <f ca="1">IFERROR(__xludf.DUMMYFUNCTION("""COMPUTED_VALUE"""),43)</f>
        <v>43</v>
      </c>
      <c r="E265">
        <f ca="1">IFERROR(__xludf.DUMMYFUNCTION("""COMPUTED_VALUE"""),0.63)</f>
        <v>0.63</v>
      </c>
      <c r="F265">
        <f ca="1">IFERROR(__xludf.DUMMYFUNCTION("""COMPUTED_VALUE"""),27.03)</f>
        <v>27.03</v>
      </c>
      <c r="G265">
        <f ca="1">IFERROR(__xludf.DUMMYFUNCTION("""COMPUTED_VALUE"""),-13.08)</f>
        <v>-13.08</v>
      </c>
      <c r="H265">
        <f ca="1">IFERROR(__xludf.DUMMYFUNCTION("""COMPUTED_VALUE"""),12.04)</f>
        <v>12.04</v>
      </c>
      <c r="I265" t="str">
        <f ca="1">IFERROR(__xludf.DUMMYFUNCTION("""COMPUTED_VALUE"""),"")</f>
        <v/>
      </c>
    </row>
    <row r="266" spans="1:9" ht="12.75">
      <c r="A266">
        <f ca="1">IFERROR(__xludf.DUMMYFUNCTION("""COMPUTED_VALUE"""),265)</f>
        <v>265</v>
      </c>
      <c r="B266">
        <f ca="1">IFERROR(__xludf.DUMMYFUNCTION("""COMPUTED_VALUE"""),279)</f>
        <v>279</v>
      </c>
      <c r="C266" t="str">
        <f ca="1">IFERROR(__xludf.DUMMYFUNCTION("""COMPUTED_VALUE"""),"Fabián Gómez")</f>
        <v>Fabián Gómez</v>
      </c>
      <c r="D266">
        <f ca="1">IFERROR(__xludf.DUMMYFUNCTION("""COMPUTED_VALUE"""),52)</f>
        <v>52</v>
      </c>
      <c r="E266">
        <f ca="1">IFERROR(__xludf.DUMMYFUNCTION("""COMPUTED_VALUE"""),0.63)</f>
        <v>0.63</v>
      </c>
      <c r="F266">
        <f ca="1">IFERROR(__xludf.DUMMYFUNCTION("""COMPUTED_VALUE"""),32.61)</f>
        <v>32.61</v>
      </c>
      <c r="G266">
        <f ca="1">IFERROR(__xludf.DUMMYFUNCTION("""COMPUTED_VALUE"""),-18.08)</f>
        <v>-18.079999999999998</v>
      </c>
      <c r="H266">
        <f ca="1">IFERROR(__xludf.DUMMYFUNCTION("""COMPUTED_VALUE"""),12.4)</f>
        <v>12.4</v>
      </c>
      <c r="I266" t="str">
        <f ca="1">IFERROR(__xludf.DUMMYFUNCTION("""COMPUTED_VALUE"""),"")</f>
        <v/>
      </c>
    </row>
    <row r="267" spans="1:9" ht="12.75">
      <c r="A267">
        <f ca="1">IFERROR(__xludf.DUMMYFUNCTION("""COMPUTED_VALUE"""),266)</f>
        <v>266</v>
      </c>
      <c r="B267">
        <f ca="1">IFERROR(__xludf.DUMMYFUNCTION("""COMPUTED_VALUE"""),316)</f>
        <v>316</v>
      </c>
      <c r="C267" t="str">
        <f ca="1">IFERROR(__xludf.DUMMYFUNCTION("""COMPUTED_VALUE"""),"Patton Kizzire")</f>
        <v>Patton Kizzire</v>
      </c>
      <c r="D267">
        <f ca="1">IFERROR(__xludf.DUMMYFUNCTION("""COMPUTED_VALUE"""),52)</f>
        <v>52</v>
      </c>
      <c r="E267">
        <f ca="1">IFERROR(__xludf.DUMMYFUNCTION("""COMPUTED_VALUE"""),0.63)</f>
        <v>0.63</v>
      </c>
      <c r="F267">
        <f ca="1">IFERROR(__xludf.DUMMYFUNCTION("""COMPUTED_VALUE"""),32.52)</f>
        <v>32.520000000000003</v>
      </c>
      <c r="G267">
        <f ca="1">IFERROR(__xludf.DUMMYFUNCTION("""COMPUTED_VALUE"""),-19.25)</f>
        <v>-19.25</v>
      </c>
      <c r="H267">
        <f ca="1">IFERROR(__xludf.DUMMYFUNCTION("""COMPUTED_VALUE"""),21.15)</f>
        <v>21.15</v>
      </c>
      <c r="I267" t="str">
        <f ca="1">IFERROR(__xludf.DUMMYFUNCTION("""COMPUTED_VALUE"""),"")</f>
        <v/>
      </c>
    </row>
    <row r="268" spans="1:9" ht="12.75">
      <c r="A268">
        <f ca="1">IFERROR(__xludf.DUMMYFUNCTION("""COMPUTED_VALUE"""),267)</f>
        <v>267</v>
      </c>
      <c r="B268">
        <f ca="1">IFERROR(__xludf.DUMMYFUNCTION("""COMPUTED_VALUE"""),265)</f>
        <v>265</v>
      </c>
      <c r="C268" t="str">
        <f ca="1">IFERROR(__xludf.DUMMYFUNCTION("""COMPUTED_VALUE"""),"Joseph Bramlett")</f>
        <v>Joseph Bramlett</v>
      </c>
      <c r="D268">
        <f ca="1">IFERROR(__xludf.DUMMYFUNCTION("""COMPUTED_VALUE"""),52)</f>
        <v>52</v>
      </c>
      <c r="E268">
        <f ca="1">IFERROR(__xludf.DUMMYFUNCTION("""COMPUTED_VALUE"""),0.62)</f>
        <v>0.62</v>
      </c>
      <c r="F268">
        <f ca="1">IFERROR(__xludf.DUMMYFUNCTION("""COMPUTED_VALUE"""),32.17)</f>
        <v>32.17</v>
      </c>
      <c r="G268">
        <f ca="1">IFERROR(__xludf.DUMMYFUNCTION("""COMPUTED_VALUE"""),-13.23)</f>
        <v>-13.23</v>
      </c>
      <c r="H268">
        <f ca="1">IFERROR(__xludf.DUMMYFUNCTION("""COMPUTED_VALUE"""),28.34)</f>
        <v>28.34</v>
      </c>
      <c r="I268" t="str">
        <f ca="1">IFERROR(__xludf.DUMMYFUNCTION("""COMPUTED_VALUE"""),"")</f>
        <v/>
      </c>
    </row>
    <row r="269" spans="1:9" ht="12.75">
      <c r="A269">
        <f ca="1">IFERROR(__xludf.DUMMYFUNCTION("""COMPUTED_VALUE"""),268)</f>
        <v>268</v>
      </c>
      <c r="B269">
        <f ca="1">IFERROR(__xludf.DUMMYFUNCTION("""COMPUTED_VALUE"""),268)</f>
        <v>268</v>
      </c>
      <c r="C269" t="str">
        <f ca="1">IFERROR(__xludf.DUMMYFUNCTION("""COMPUTED_VALUE"""),"Hanbyeol Kim")</f>
        <v>Hanbyeol Kim</v>
      </c>
      <c r="D269">
        <f ca="1">IFERROR(__xludf.DUMMYFUNCTION("""COMPUTED_VALUE"""),40)</f>
        <v>40</v>
      </c>
      <c r="E269">
        <f ca="1">IFERROR(__xludf.DUMMYFUNCTION("""COMPUTED_VALUE"""),0.62)</f>
        <v>0.62</v>
      </c>
      <c r="F269">
        <f ca="1">IFERROR(__xludf.DUMMYFUNCTION("""COMPUTED_VALUE"""),24.73)</f>
        <v>24.73</v>
      </c>
      <c r="G269">
        <f ca="1">IFERROR(__xludf.DUMMYFUNCTION("""COMPUTED_VALUE"""),-0.71)</f>
        <v>-0.71</v>
      </c>
      <c r="H269">
        <f ca="1">IFERROR(__xludf.DUMMYFUNCTION("""COMPUTED_VALUE"""),24.27)</f>
        <v>24.27</v>
      </c>
      <c r="I269" t="str">
        <f ca="1">IFERROR(__xludf.DUMMYFUNCTION("""COMPUTED_VALUE"""),"")</f>
        <v/>
      </c>
    </row>
    <row r="270" spans="1:9" ht="12.75">
      <c r="A270">
        <f ca="1">IFERROR(__xludf.DUMMYFUNCTION("""COMPUTED_VALUE"""),269)</f>
        <v>269</v>
      </c>
      <c r="B270">
        <f ca="1">IFERROR(__xludf.DUMMYFUNCTION("""COMPUTED_VALUE"""),263)</f>
        <v>263</v>
      </c>
      <c r="C270" t="str">
        <f ca="1">IFERROR(__xludf.DUMMYFUNCTION("""COMPUTED_VALUE"""),"Richard Sterne")</f>
        <v>Richard Sterne</v>
      </c>
      <c r="D270">
        <f ca="1">IFERROR(__xludf.DUMMYFUNCTION("""COMPUTED_VALUE"""),40)</f>
        <v>40</v>
      </c>
      <c r="E270">
        <f ca="1">IFERROR(__xludf.DUMMYFUNCTION("""COMPUTED_VALUE"""),0.62)</f>
        <v>0.62</v>
      </c>
      <c r="F270">
        <f ca="1">IFERROR(__xludf.DUMMYFUNCTION("""COMPUTED_VALUE"""),24.68)</f>
        <v>24.68</v>
      </c>
      <c r="G270">
        <f ca="1">IFERROR(__xludf.DUMMYFUNCTION("""COMPUTED_VALUE"""),-25.3)</f>
        <v>-25.3</v>
      </c>
      <c r="H270">
        <f ca="1">IFERROR(__xludf.DUMMYFUNCTION("""COMPUTED_VALUE"""),5.2)</f>
        <v>5.2</v>
      </c>
      <c r="I270" t="str">
        <f ca="1">IFERROR(__xludf.DUMMYFUNCTION("""COMPUTED_VALUE"""),"")</f>
        <v/>
      </c>
    </row>
    <row r="271" spans="1:9" ht="12.75">
      <c r="A271">
        <f ca="1">IFERROR(__xludf.DUMMYFUNCTION("""COMPUTED_VALUE"""),270)</f>
        <v>270</v>
      </c>
      <c r="B271">
        <f ca="1">IFERROR(__xludf.DUMMYFUNCTION("""COMPUTED_VALUE"""),264)</f>
        <v>264</v>
      </c>
      <c r="C271" t="str">
        <f ca="1">IFERROR(__xludf.DUMMYFUNCTION("""COMPUTED_VALUE"""),"Kyle Stanley")</f>
        <v>Kyle Stanley</v>
      </c>
      <c r="D271">
        <f ca="1">IFERROR(__xludf.DUMMYFUNCTION("""COMPUTED_VALUE"""),52)</f>
        <v>52</v>
      </c>
      <c r="E271">
        <f ca="1">IFERROR(__xludf.DUMMYFUNCTION("""COMPUTED_VALUE"""),0.61)</f>
        <v>0.61</v>
      </c>
      <c r="F271">
        <f ca="1">IFERROR(__xludf.DUMMYFUNCTION("""COMPUTED_VALUE"""),31.93)</f>
        <v>31.93</v>
      </c>
      <c r="G271">
        <f ca="1">IFERROR(__xludf.DUMMYFUNCTION("""COMPUTED_VALUE"""),-55.26)</f>
        <v>-55.26</v>
      </c>
      <c r="H271">
        <f ca="1">IFERROR(__xludf.DUMMYFUNCTION("""COMPUTED_VALUE"""),14.83)</f>
        <v>14.83</v>
      </c>
      <c r="I271" t="str">
        <f ca="1">IFERROR(__xludf.DUMMYFUNCTION("""COMPUTED_VALUE"""),"")</f>
        <v/>
      </c>
    </row>
    <row r="272" spans="1:9" ht="12.75">
      <c r="A272">
        <f ca="1">IFERROR(__xludf.DUMMYFUNCTION("""COMPUTED_VALUE"""),271)</f>
        <v>271</v>
      </c>
      <c r="B272">
        <f ca="1">IFERROR(__xludf.DUMMYFUNCTION("""COMPUTED_VALUE"""),282)</f>
        <v>282</v>
      </c>
      <c r="C272" t="str">
        <f ca="1">IFERROR(__xludf.DUMMYFUNCTION("""COMPUTED_VALUE"""),"Kim Tae-hoon")</f>
        <v>Kim Tae-hoon</v>
      </c>
      <c r="D272">
        <f ca="1">IFERROR(__xludf.DUMMYFUNCTION("""COMPUTED_VALUE"""),40)</f>
        <v>40</v>
      </c>
      <c r="E272">
        <f ca="1">IFERROR(__xludf.DUMMYFUNCTION("""COMPUTED_VALUE"""),0.61)</f>
        <v>0.61</v>
      </c>
      <c r="F272">
        <f ca="1">IFERROR(__xludf.DUMMYFUNCTION("""COMPUTED_VALUE"""),24.53)</f>
        <v>24.53</v>
      </c>
      <c r="G272">
        <f ca="1">IFERROR(__xludf.DUMMYFUNCTION("""COMPUTED_VALUE"""),-7.13)</f>
        <v>-7.13</v>
      </c>
      <c r="H272">
        <f ca="1">IFERROR(__xludf.DUMMYFUNCTION("""COMPUTED_VALUE"""),20.11)</f>
        <v>20.11</v>
      </c>
      <c r="I272" t="str">
        <f ca="1">IFERROR(__xludf.DUMMYFUNCTION("""COMPUTED_VALUE"""),"")</f>
        <v/>
      </c>
    </row>
    <row r="273" spans="1:9" ht="12.75">
      <c r="A273">
        <f ca="1">IFERROR(__xludf.DUMMYFUNCTION("""COMPUTED_VALUE"""),272)</f>
        <v>272</v>
      </c>
      <c r="B273">
        <f ca="1">IFERROR(__xludf.DUMMYFUNCTION("""COMPUTED_VALUE"""),267)</f>
        <v>267</v>
      </c>
      <c r="C273" t="str">
        <f ca="1">IFERROR(__xludf.DUMMYFUNCTION("""COMPUTED_VALUE"""),"Jeff Winther")</f>
        <v>Jeff Winther</v>
      </c>
      <c r="D273">
        <f ca="1">IFERROR(__xludf.DUMMYFUNCTION("""COMPUTED_VALUE"""),46)</f>
        <v>46</v>
      </c>
      <c r="E273">
        <f ca="1">IFERROR(__xludf.DUMMYFUNCTION("""COMPUTED_VALUE"""),0.61)</f>
        <v>0.61</v>
      </c>
      <c r="F273">
        <f ca="1">IFERROR(__xludf.DUMMYFUNCTION("""COMPUTED_VALUE"""),28.17)</f>
        <v>28.17</v>
      </c>
      <c r="G273">
        <f ca="1">IFERROR(__xludf.DUMMYFUNCTION("""COMPUTED_VALUE"""),-15.1)</f>
        <v>-15.1</v>
      </c>
      <c r="H273">
        <f ca="1">IFERROR(__xludf.DUMMYFUNCTION("""COMPUTED_VALUE"""),17.63)</f>
        <v>17.63</v>
      </c>
      <c r="I273" t="str">
        <f ca="1">IFERROR(__xludf.DUMMYFUNCTION("""COMPUTED_VALUE"""),"")</f>
        <v/>
      </c>
    </row>
    <row r="274" spans="1:9" ht="12.75">
      <c r="A274">
        <f ca="1">IFERROR(__xludf.DUMMYFUNCTION("""COMPUTED_VALUE"""),273)</f>
        <v>273</v>
      </c>
      <c r="B274">
        <f ca="1">IFERROR(__xludf.DUMMYFUNCTION("""COMPUTED_VALUE"""),277)</f>
        <v>277</v>
      </c>
      <c r="C274" t="str">
        <f ca="1">IFERROR(__xludf.DUMMYFUNCTION("""COMPUTED_VALUE"""),"Sebi Garcia")</f>
        <v>Sebi Garcia</v>
      </c>
      <c r="D274">
        <f ca="1">IFERROR(__xludf.DUMMYFUNCTION("""COMPUTED_VALUE"""),50)</f>
        <v>50</v>
      </c>
      <c r="E274">
        <f ca="1">IFERROR(__xludf.DUMMYFUNCTION("""COMPUTED_VALUE"""),0.61)</f>
        <v>0.61</v>
      </c>
      <c r="F274">
        <f ca="1">IFERROR(__xludf.DUMMYFUNCTION("""COMPUTED_VALUE"""),30.56)</f>
        <v>30.56</v>
      </c>
      <c r="G274">
        <f ca="1">IFERROR(__xludf.DUMMYFUNCTION("""COMPUTED_VALUE"""),-12.31)</f>
        <v>-12.31</v>
      </c>
      <c r="H274">
        <f ca="1">IFERROR(__xludf.DUMMYFUNCTION("""COMPUTED_VALUE"""),14.3)</f>
        <v>14.3</v>
      </c>
      <c r="I274" t="str">
        <f ca="1">IFERROR(__xludf.DUMMYFUNCTION("""COMPUTED_VALUE"""),"")</f>
        <v/>
      </c>
    </row>
    <row r="275" spans="1:9" ht="12.75">
      <c r="A275">
        <f ca="1">IFERROR(__xludf.DUMMYFUNCTION("""COMPUTED_VALUE"""),274)</f>
        <v>274</v>
      </c>
      <c r="B275">
        <f ca="1">IFERROR(__xludf.DUMMYFUNCTION("""COMPUTED_VALUE"""),287)</f>
        <v>287</v>
      </c>
      <c r="C275" t="str">
        <f ca="1">IFERROR(__xludf.DUMMYFUNCTION("""COMPUTED_VALUE"""),"Richard Bland")</f>
        <v>Richard Bland</v>
      </c>
      <c r="D275">
        <f ca="1">IFERROR(__xludf.DUMMYFUNCTION("""COMPUTED_VALUE"""),50)</f>
        <v>50</v>
      </c>
      <c r="E275">
        <f ca="1">IFERROR(__xludf.DUMMYFUNCTION("""COMPUTED_VALUE"""),0.61)</f>
        <v>0.61</v>
      </c>
      <c r="F275">
        <f ca="1">IFERROR(__xludf.DUMMYFUNCTION("""COMPUTED_VALUE"""),30.48)</f>
        <v>30.48</v>
      </c>
      <c r="G275">
        <f ca="1">IFERROR(__xludf.DUMMYFUNCTION("""COMPUTED_VALUE"""),-14.38)</f>
        <v>-14.38</v>
      </c>
      <c r="H275">
        <f ca="1">IFERROR(__xludf.DUMMYFUNCTION("""COMPUTED_VALUE"""),11.76)</f>
        <v>11.76</v>
      </c>
      <c r="I275" t="str">
        <f ca="1">IFERROR(__xludf.DUMMYFUNCTION("""COMPUTED_VALUE"""),"")</f>
        <v/>
      </c>
    </row>
    <row r="276" spans="1:9" ht="12.75">
      <c r="A276">
        <f ca="1">IFERROR(__xludf.DUMMYFUNCTION("""COMPUTED_VALUE"""),275)</f>
        <v>275</v>
      </c>
      <c r="B276">
        <f ca="1">IFERROR(__xludf.DUMMYFUNCTION("""COMPUTED_VALUE"""),290)</f>
        <v>290</v>
      </c>
      <c r="C276" t="str">
        <f ca="1">IFERROR(__xludf.DUMMYFUNCTION("""COMPUTED_VALUE"""),"Udayan Mane")</f>
        <v>Udayan Mane</v>
      </c>
      <c r="D276">
        <f ca="1">IFERROR(__xludf.DUMMYFUNCTION("""COMPUTED_VALUE"""),40)</f>
        <v>40</v>
      </c>
      <c r="E276">
        <f ca="1">IFERROR(__xludf.DUMMYFUNCTION("""COMPUTED_VALUE"""),0.61)</f>
        <v>0.61</v>
      </c>
      <c r="F276">
        <f ca="1">IFERROR(__xludf.DUMMYFUNCTION("""COMPUTED_VALUE"""),24.35)</f>
        <v>24.35</v>
      </c>
      <c r="G276">
        <f ca="1">IFERROR(__xludf.DUMMYFUNCTION("""COMPUTED_VALUE"""),-9.28)</f>
        <v>-9.2799999999999994</v>
      </c>
      <c r="H276">
        <f ca="1">IFERROR(__xludf.DUMMYFUNCTION("""COMPUTED_VALUE"""),16.8)</f>
        <v>16.8</v>
      </c>
      <c r="I276" t="str">
        <f ca="1">IFERROR(__xludf.DUMMYFUNCTION("""COMPUTED_VALUE"""),"")</f>
        <v/>
      </c>
    </row>
    <row r="277" spans="1:9" ht="12.75">
      <c r="A277">
        <f ca="1">IFERROR(__xludf.DUMMYFUNCTION("""COMPUTED_VALUE"""),276)</f>
        <v>276</v>
      </c>
      <c r="B277">
        <f ca="1">IFERROR(__xludf.DUMMYFUNCTION("""COMPUTED_VALUE"""),276)</f>
        <v>276</v>
      </c>
      <c r="C277" t="str">
        <f ca="1">IFERROR(__xludf.DUMMYFUNCTION("""COMPUTED_VALUE"""),"Tyler McCumber")</f>
        <v>Tyler McCumber</v>
      </c>
      <c r="D277">
        <f ca="1">IFERROR(__xludf.DUMMYFUNCTION("""COMPUTED_VALUE"""),49)</f>
        <v>49</v>
      </c>
      <c r="E277">
        <f ca="1">IFERROR(__xludf.DUMMYFUNCTION("""COMPUTED_VALUE"""),0.61)</f>
        <v>0.61</v>
      </c>
      <c r="F277">
        <f ca="1">IFERROR(__xludf.DUMMYFUNCTION("""COMPUTED_VALUE"""),29.75)</f>
        <v>29.75</v>
      </c>
      <c r="G277">
        <f ca="1">IFERROR(__xludf.DUMMYFUNCTION("""COMPUTED_VALUE"""),-15.26)</f>
        <v>-15.26</v>
      </c>
      <c r="H277">
        <f ca="1">IFERROR(__xludf.DUMMYFUNCTION("""COMPUTED_VALUE"""),25.26)</f>
        <v>25.26</v>
      </c>
      <c r="I277" t="str">
        <f ca="1">IFERROR(__xludf.DUMMYFUNCTION("""COMPUTED_VALUE"""),"")</f>
        <v/>
      </c>
    </row>
    <row r="278" spans="1:9" ht="12.75">
      <c r="A278">
        <f ca="1">IFERROR(__xludf.DUMMYFUNCTION("""COMPUTED_VALUE"""),277)</f>
        <v>277</v>
      </c>
      <c r="B278">
        <f ca="1">IFERROR(__xludf.DUMMYFUNCTION("""COMPUTED_VALUE"""),262)</f>
        <v>262</v>
      </c>
      <c r="C278" t="str">
        <f ca="1">IFERROR(__xludf.DUMMYFUNCTION("""COMPUTED_VALUE"""),"Lucas Bjerregaard")</f>
        <v>Lucas Bjerregaard</v>
      </c>
      <c r="D278">
        <f ca="1">IFERROR(__xludf.DUMMYFUNCTION("""COMPUTED_VALUE"""),52)</f>
        <v>52</v>
      </c>
      <c r="E278">
        <f ca="1">IFERROR(__xludf.DUMMYFUNCTION("""COMPUTED_VALUE"""),0.61)</f>
        <v>0.61</v>
      </c>
      <c r="F278">
        <f ca="1">IFERROR(__xludf.DUMMYFUNCTION("""COMPUTED_VALUE"""),31.57)</f>
        <v>31.57</v>
      </c>
      <c r="G278">
        <f ca="1">IFERROR(__xludf.DUMMYFUNCTION("""COMPUTED_VALUE"""),-60.62)</f>
        <v>-60.62</v>
      </c>
      <c r="H278">
        <f ca="1">IFERROR(__xludf.DUMMYFUNCTION("""COMPUTED_VALUE"""),1.2)</f>
        <v>1.2</v>
      </c>
      <c r="I278" t="str">
        <f ca="1">IFERROR(__xludf.DUMMYFUNCTION("""COMPUTED_VALUE"""),"")</f>
        <v/>
      </c>
    </row>
    <row r="279" spans="1:9" ht="12.75">
      <c r="A279">
        <f ca="1">IFERROR(__xludf.DUMMYFUNCTION("""COMPUTED_VALUE"""),278)</f>
        <v>278</v>
      </c>
      <c r="B279">
        <f ca="1">IFERROR(__xludf.DUMMYFUNCTION("""COMPUTED_VALUE"""),269)</f>
        <v>269</v>
      </c>
      <c r="C279" t="str">
        <f ca="1">IFERROR(__xludf.DUMMYFUNCTION("""COMPUTED_VALUE"""),"Darius Van Driel")</f>
        <v>Darius Van Driel</v>
      </c>
      <c r="D279">
        <f ca="1">IFERROR(__xludf.DUMMYFUNCTION("""COMPUTED_VALUE"""),46)</f>
        <v>46</v>
      </c>
      <c r="E279">
        <f ca="1">IFERROR(__xludf.DUMMYFUNCTION("""COMPUTED_VALUE"""),0.6)</f>
        <v>0.6</v>
      </c>
      <c r="F279">
        <f ca="1">IFERROR(__xludf.DUMMYFUNCTION("""COMPUTED_VALUE"""),27.78)</f>
        <v>27.78</v>
      </c>
      <c r="G279">
        <f ca="1">IFERROR(__xludf.DUMMYFUNCTION("""COMPUTED_VALUE"""),-19.78)</f>
        <v>-19.78</v>
      </c>
      <c r="H279">
        <f ca="1">IFERROR(__xludf.DUMMYFUNCTION("""COMPUTED_VALUE"""),7.14)</f>
        <v>7.14</v>
      </c>
      <c r="I279" t="str">
        <f ca="1">IFERROR(__xludf.DUMMYFUNCTION("""COMPUTED_VALUE"""),"")</f>
        <v/>
      </c>
    </row>
    <row r="280" spans="1:9" ht="12.75">
      <c r="A280">
        <f ca="1">IFERROR(__xludf.DUMMYFUNCTION("""COMPUTED_VALUE"""),279)</f>
        <v>279</v>
      </c>
      <c r="B280">
        <f ca="1">IFERROR(__xludf.DUMMYFUNCTION("""COMPUTED_VALUE"""),270)</f>
        <v>270</v>
      </c>
      <c r="C280" t="str">
        <f ca="1">IFERROR(__xludf.DUMMYFUNCTION("""COMPUTED_VALUE"""),"Zac Blair")</f>
        <v>Zac Blair</v>
      </c>
      <c r="D280">
        <f ca="1">IFERROR(__xludf.DUMMYFUNCTION("""COMPUTED_VALUE"""),52)</f>
        <v>52</v>
      </c>
      <c r="E280">
        <f ca="1">IFERROR(__xludf.DUMMYFUNCTION("""COMPUTED_VALUE"""),0.6)</f>
        <v>0.6</v>
      </c>
      <c r="F280">
        <f ca="1">IFERROR(__xludf.DUMMYFUNCTION("""COMPUTED_VALUE"""),31.38)</f>
        <v>31.38</v>
      </c>
      <c r="G280">
        <f ca="1">IFERROR(__xludf.DUMMYFUNCTION("""COMPUTED_VALUE"""),-18.08)</f>
        <v>-18.079999999999998</v>
      </c>
      <c r="H280">
        <f ca="1">IFERROR(__xludf.DUMMYFUNCTION("""COMPUTED_VALUE"""),9.5)</f>
        <v>9.5</v>
      </c>
      <c r="I280" t="str">
        <f ca="1">IFERROR(__xludf.DUMMYFUNCTION("""COMPUTED_VALUE"""),"")</f>
        <v/>
      </c>
    </row>
    <row r="281" spans="1:9" ht="12.75">
      <c r="A281">
        <f ca="1">IFERROR(__xludf.DUMMYFUNCTION("""COMPUTED_VALUE"""),280)</f>
        <v>280</v>
      </c>
      <c r="B281">
        <f ca="1">IFERROR(__xludf.DUMMYFUNCTION("""COMPUTED_VALUE"""),285)</f>
        <v>285</v>
      </c>
      <c r="C281" t="str">
        <f ca="1">IFERROR(__xludf.DUMMYFUNCTION("""COMPUTED_VALUE"""),"Joel Stalter")</f>
        <v>Joel Stalter</v>
      </c>
      <c r="D281">
        <f ca="1">IFERROR(__xludf.DUMMYFUNCTION("""COMPUTED_VALUE"""),40)</f>
        <v>40</v>
      </c>
      <c r="E281">
        <f ca="1">IFERROR(__xludf.DUMMYFUNCTION("""COMPUTED_VALUE"""),0.6)</f>
        <v>0.6</v>
      </c>
      <c r="F281">
        <f ca="1">IFERROR(__xludf.DUMMYFUNCTION("""COMPUTED_VALUE"""),24.11)</f>
        <v>24.11</v>
      </c>
      <c r="G281">
        <f ca="1">IFERROR(__xludf.DUMMYFUNCTION("""COMPUTED_VALUE"""),-2.76)</f>
        <v>-2.76</v>
      </c>
      <c r="H281">
        <f ca="1">IFERROR(__xludf.DUMMYFUNCTION("""COMPUTED_VALUE"""),22.16)</f>
        <v>22.16</v>
      </c>
      <c r="I281" t="str">
        <f ca="1">IFERROR(__xludf.DUMMYFUNCTION("""COMPUTED_VALUE"""),"")</f>
        <v/>
      </c>
    </row>
    <row r="282" spans="1:9" ht="12.75">
      <c r="A282">
        <f ca="1">IFERROR(__xludf.DUMMYFUNCTION("""COMPUTED_VALUE"""),281)</f>
        <v>281</v>
      </c>
      <c r="B282">
        <f ca="1">IFERROR(__xludf.DUMMYFUNCTION("""COMPUTED_VALUE"""),272)</f>
        <v>272</v>
      </c>
      <c r="C282" t="str">
        <f ca="1">IFERROR(__xludf.DUMMYFUNCTION("""COMPUTED_VALUE"""),"Dale Whitnell")</f>
        <v>Dale Whitnell</v>
      </c>
      <c r="D282">
        <f ca="1">IFERROR(__xludf.DUMMYFUNCTION("""COMPUTED_VALUE"""),40)</f>
        <v>40</v>
      </c>
      <c r="E282">
        <f ca="1">IFERROR(__xludf.DUMMYFUNCTION("""COMPUTED_VALUE"""),0.6)</f>
        <v>0.6</v>
      </c>
      <c r="F282">
        <f ca="1">IFERROR(__xludf.DUMMYFUNCTION("""COMPUTED_VALUE"""),24.09)</f>
        <v>24.09</v>
      </c>
      <c r="G282">
        <f ca="1">IFERROR(__xludf.DUMMYFUNCTION("""COMPUTED_VALUE"""),-6.67)</f>
        <v>-6.67</v>
      </c>
      <c r="H282">
        <f ca="1">IFERROR(__xludf.DUMMYFUNCTION("""COMPUTED_VALUE"""),14.02)</f>
        <v>14.02</v>
      </c>
      <c r="I282" t="str">
        <f ca="1">IFERROR(__xludf.DUMMYFUNCTION("""COMPUTED_VALUE"""),"")</f>
        <v/>
      </c>
    </row>
    <row r="283" spans="1:9" ht="12.75">
      <c r="A283">
        <f ca="1">IFERROR(__xludf.DUMMYFUNCTION("""COMPUTED_VALUE"""),282)</f>
        <v>282</v>
      </c>
      <c r="B283">
        <f ca="1">IFERROR(__xludf.DUMMYFUNCTION("""COMPUTED_VALUE"""),266)</f>
        <v>266</v>
      </c>
      <c r="C283" t="str">
        <f ca="1">IFERROR(__xludf.DUMMYFUNCTION("""COMPUTED_VALUE"""),"Sam Ryder")</f>
        <v>Sam Ryder</v>
      </c>
      <c r="D283">
        <f ca="1">IFERROR(__xludf.DUMMYFUNCTION("""COMPUTED_VALUE"""),52)</f>
        <v>52</v>
      </c>
      <c r="E283">
        <f ca="1">IFERROR(__xludf.DUMMYFUNCTION("""COMPUTED_VALUE"""),0.6)</f>
        <v>0.6</v>
      </c>
      <c r="F283">
        <f ca="1">IFERROR(__xludf.DUMMYFUNCTION("""COMPUTED_VALUE"""),31.28)</f>
        <v>31.28</v>
      </c>
      <c r="G283">
        <f ca="1">IFERROR(__xludf.DUMMYFUNCTION("""COMPUTED_VALUE"""),-25.37)</f>
        <v>-25.37</v>
      </c>
      <c r="H283">
        <f ca="1">IFERROR(__xludf.DUMMYFUNCTION("""COMPUTED_VALUE"""),23.76)</f>
        <v>23.76</v>
      </c>
      <c r="I283" t="str">
        <f ca="1">IFERROR(__xludf.DUMMYFUNCTION("""COMPUTED_VALUE"""),"")</f>
        <v/>
      </c>
    </row>
    <row r="284" spans="1:9" ht="12.75">
      <c r="A284">
        <f ca="1">IFERROR(__xludf.DUMMYFUNCTION("""COMPUTED_VALUE"""),283)</f>
        <v>283</v>
      </c>
      <c r="B284">
        <f ca="1">IFERROR(__xludf.DUMMYFUNCTION("""COMPUTED_VALUE"""),271)</f>
        <v>271</v>
      </c>
      <c r="C284" t="str">
        <f ca="1">IFERROR(__xludf.DUMMYFUNCTION("""COMPUTED_VALUE"""),"Andrew Dodt")</f>
        <v>Andrew Dodt</v>
      </c>
      <c r="D284">
        <f ca="1">IFERROR(__xludf.DUMMYFUNCTION("""COMPUTED_VALUE"""),40)</f>
        <v>40</v>
      </c>
      <c r="E284">
        <f ca="1">IFERROR(__xludf.DUMMYFUNCTION("""COMPUTED_VALUE"""),0.6)</f>
        <v>0.6</v>
      </c>
      <c r="F284">
        <f ca="1">IFERROR(__xludf.DUMMYFUNCTION("""COMPUTED_VALUE"""),23.99)</f>
        <v>23.99</v>
      </c>
      <c r="G284">
        <f ca="1">IFERROR(__xludf.DUMMYFUNCTION("""COMPUTED_VALUE"""),-12.36)</f>
        <v>-12.36</v>
      </c>
      <c r="H284">
        <f ca="1">IFERROR(__xludf.DUMMYFUNCTION("""COMPUTED_VALUE"""),8.22)</f>
        <v>8.2200000000000006</v>
      </c>
      <c r="I284" t="str">
        <f ca="1">IFERROR(__xludf.DUMMYFUNCTION("""COMPUTED_VALUE"""),"")</f>
        <v/>
      </c>
    </row>
    <row r="285" spans="1:9" ht="12.75">
      <c r="A285">
        <f ca="1">IFERROR(__xludf.DUMMYFUNCTION("""COMPUTED_VALUE"""),284)</f>
        <v>284</v>
      </c>
      <c r="B285">
        <f ca="1">IFERROR(__xludf.DUMMYFUNCTION("""COMPUTED_VALUE"""),304)</f>
        <v>304</v>
      </c>
      <c r="C285" t="str">
        <f ca="1">IFERROR(__xludf.DUMMYFUNCTION("""COMPUTED_VALUE"""),"Louis de Jager")</f>
        <v>Louis de Jager</v>
      </c>
      <c r="D285">
        <f ca="1">IFERROR(__xludf.DUMMYFUNCTION("""COMPUTED_VALUE"""),52)</f>
        <v>52</v>
      </c>
      <c r="E285">
        <f ca="1">IFERROR(__xludf.DUMMYFUNCTION("""COMPUTED_VALUE"""),0.6)</f>
        <v>0.6</v>
      </c>
      <c r="F285">
        <f ca="1">IFERROR(__xludf.DUMMYFUNCTION("""COMPUTED_VALUE"""),31.14)</f>
        <v>31.14</v>
      </c>
      <c r="G285">
        <f ca="1">IFERROR(__xludf.DUMMYFUNCTION("""COMPUTED_VALUE"""),-20.75)</f>
        <v>-20.75</v>
      </c>
      <c r="H285">
        <f ca="1">IFERROR(__xludf.DUMMYFUNCTION("""COMPUTED_VALUE"""),16.85)</f>
        <v>16.850000000000001</v>
      </c>
      <c r="I285" t="str">
        <f ca="1">IFERROR(__xludf.DUMMYFUNCTION("""COMPUTED_VALUE"""),"")</f>
        <v/>
      </c>
    </row>
    <row r="286" spans="1:9" ht="12.75">
      <c r="A286">
        <f ca="1">IFERROR(__xludf.DUMMYFUNCTION("""COMPUTED_VALUE"""),285)</f>
        <v>285</v>
      </c>
      <c r="B286">
        <f ca="1">IFERROR(__xludf.DUMMYFUNCTION("""COMPUTED_VALUE"""),273)</f>
        <v>273</v>
      </c>
      <c r="C286" t="str">
        <f ca="1">IFERROR(__xludf.DUMMYFUNCTION("""COMPUTED_VALUE"""),"Richie Ramsay")</f>
        <v>Richie Ramsay</v>
      </c>
      <c r="D286">
        <f ca="1">IFERROR(__xludf.DUMMYFUNCTION("""COMPUTED_VALUE"""),51)</f>
        <v>51</v>
      </c>
      <c r="E286">
        <f ca="1">IFERROR(__xludf.DUMMYFUNCTION("""COMPUTED_VALUE"""),0.6)</f>
        <v>0.6</v>
      </c>
      <c r="F286">
        <f ca="1">IFERROR(__xludf.DUMMYFUNCTION("""COMPUTED_VALUE"""),30.38)</f>
        <v>30.38</v>
      </c>
      <c r="G286">
        <f ca="1">IFERROR(__xludf.DUMMYFUNCTION("""COMPUTED_VALUE"""),-17.14)</f>
        <v>-17.14</v>
      </c>
      <c r="H286">
        <f ca="1">IFERROR(__xludf.DUMMYFUNCTION("""COMPUTED_VALUE"""),9.59)</f>
        <v>9.59</v>
      </c>
      <c r="I286" t="str">
        <f ca="1">IFERROR(__xludf.DUMMYFUNCTION("""COMPUTED_VALUE"""),"")</f>
        <v/>
      </c>
    </row>
    <row r="287" spans="1:9" ht="12.75">
      <c r="A287">
        <f ca="1">IFERROR(__xludf.DUMMYFUNCTION("""COMPUTED_VALUE"""),286)</f>
        <v>286</v>
      </c>
      <c r="B287">
        <f ca="1">IFERROR(__xludf.DUMMYFUNCTION("""COMPUTED_VALUE"""),278)</f>
        <v>278</v>
      </c>
      <c r="C287" t="str">
        <f ca="1">IFERROR(__xludf.DUMMYFUNCTION("""COMPUTED_VALUE"""),"Trey Mullinax")</f>
        <v>Trey Mullinax</v>
      </c>
      <c r="D287">
        <f ca="1">IFERROR(__xludf.DUMMYFUNCTION("""COMPUTED_VALUE"""),40)</f>
        <v>40</v>
      </c>
      <c r="E287">
        <f ca="1">IFERROR(__xludf.DUMMYFUNCTION("""COMPUTED_VALUE"""),0.59)</f>
        <v>0.59</v>
      </c>
      <c r="F287">
        <f ca="1">IFERROR(__xludf.DUMMYFUNCTION("""COMPUTED_VALUE"""),23.77)</f>
        <v>23.77</v>
      </c>
      <c r="G287">
        <f ca="1">IFERROR(__xludf.DUMMYFUNCTION("""COMPUTED_VALUE"""),-13.74)</f>
        <v>-13.74</v>
      </c>
      <c r="H287">
        <f ca="1">IFERROR(__xludf.DUMMYFUNCTION("""COMPUTED_VALUE"""),17.87)</f>
        <v>17.87</v>
      </c>
      <c r="I287" t="str">
        <f ca="1">IFERROR(__xludf.DUMMYFUNCTION("""COMPUTED_VALUE"""),"")</f>
        <v/>
      </c>
    </row>
    <row r="288" spans="1:9" ht="12.75">
      <c r="A288">
        <f ca="1">IFERROR(__xludf.DUMMYFUNCTION("""COMPUTED_VALUE"""),287)</f>
        <v>287</v>
      </c>
      <c r="B288">
        <f ca="1">IFERROR(__xludf.DUMMYFUNCTION("""COMPUTED_VALUE"""),274)</f>
        <v>274</v>
      </c>
      <c r="C288" t="str">
        <f ca="1">IFERROR(__xludf.DUMMYFUNCTION("""COMPUTED_VALUE"""),"Scott Hend")</f>
        <v>Scott Hend</v>
      </c>
      <c r="D288">
        <f ca="1">IFERROR(__xludf.DUMMYFUNCTION("""COMPUTED_VALUE"""),52)</f>
        <v>52</v>
      </c>
      <c r="E288">
        <f ca="1">IFERROR(__xludf.DUMMYFUNCTION("""COMPUTED_VALUE"""),0.59)</f>
        <v>0.59</v>
      </c>
      <c r="F288">
        <f ca="1">IFERROR(__xludf.DUMMYFUNCTION("""COMPUTED_VALUE"""),30.88)</f>
        <v>30.88</v>
      </c>
      <c r="G288">
        <f ca="1">IFERROR(__xludf.DUMMYFUNCTION("""COMPUTED_VALUE"""),-21.83)</f>
        <v>-21.83</v>
      </c>
      <c r="H288">
        <f ca="1">IFERROR(__xludf.DUMMYFUNCTION("""COMPUTED_VALUE"""),15.08)</f>
        <v>15.08</v>
      </c>
      <c r="I288" t="str">
        <f ca="1">IFERROR(__xludf.DUMMYFUNCTION("""COMPUTED_VALUE"""),"")</f>
        <v/>
      </c>
    </row>
    <row r="289" spans="1:9" ht="12.75">
      <c r="A289">
        <f ca="1">IFERROR(__xludf.DUMMYFUNCTION("""COMPUTED_VALUE"""),288)</f>
        <v>288</v>
      </c>
      <c r="B289">
        <f ca="1">IFERROR(__xludf.DUMMYFUNCTION("""COMPUTED_VALUE"""),275)</f>
        <v>275</v>
      </c>
      <c r="C289" t="str">
        <f ca="1">IFERROR(__xludf.DUMMYFUNCTION("""COMPUTED_VALUE"""),"Zack Sucher")</f>
        <v>Zack Sucher</v>
      </c>
      <c r="D289">
        <f ca="1">IFERROR(__xludf.DUMMYFUNCTION("""COMPUTED_VALUE"""),42)</f>
        <v>42</v>
      </c>
      <c r="E289">
        <f ca="1">IFERROR(__xludf.DUMMYFUNCTION("""COMPUTED_VALUE"""),0.59)</f>
        <v>0.59</v>
      </c>
      <c r="F289">
        <f ca="1">IFERROR(__xludf.DUMMYFUNCTION("""COMPUTED_VALUE"""),24.77)</f>
        <v>24.77</v>
      </c>
      <c r="G289">
        <f ca="1">IFERROR(__xludf.DUMMYFUNCTION("""COMPUTED_VALUE"""),-17.31)</f>
        <v>-17.309999999999999</v>
      </c>
      <c r="H289">
        <f ca="1">IFERROR(__xludf.DUMMYFUNCTION("""COMPUTED_VALUE"""),3.09)</f>
        <v>3.09</v>
      </c>
      <c r="I289" t="str">
        <f ca="1">IFERROR(__xludf.DUMMYFUNCTION("""COMPUTED_VALUE"""),"")</f>
        <v/>
      </c>
    </row>
    <row r="290" spans="1:9" ht="12.75">
      <c r="A290">
        <f ca="1">IFERROR(__xludf.DUMMYFUNCTION("""COMPUTED_VALUE"""),289)</f>
        <v>289</v>
      </c>
      <c r="B290">
        <f ca="1">IFERROR(__xludf.DUMMYFUNCTION("""COMPUTED_VALUE"""),289)</f>
        <v>289</v>
      </c>
      <c r="C290" t="str">
        <f ca="1">IFERROR(__xludf.DUMMYFUNCTION("""COMPUTED_VALUE"""),"Mito Pereira")</f>
        <v>Mito Pereira</v>
      </c>
      <c r="D290">
        <f ca="1">IFERROR(__xludf.DUMMYFUNCTION("""COMPUTED_VALUE"""),41)</f>
        <v>41</v>
      </c>
      <c r="E290">
        <f ca="1">IFERROR(__xludf.DUMMYFUNCTION("""COMPUTED_VALUE"""),0.58)</f>
        <v>0.57999999999999996</v>
      </c>
      <c r="F290">
        <f ca="1">IFERROR(__xludf.DUMMYFUNCTION("""COMPUTED_VALUE"""),23.87)</f>
        <v>23.87</v>
      </c>
      <c r="G290">
        <f ca="1">IFERROR(__xludf.DUMMYFUNCTION("""COMPUTED_VALUE"""),-5.97)</f>
        <v>-5.97</v>
      </c>
      <c r="H290">
        <f ca="1">IFERROR(__xludf.DUMMYFUNCTION("""COMPUTED_VALUE"""),24.75)</f>
        <v>24.75</v>
      </c>
      <c r="I290" t="str">
        <f ca="1">IFERROR(__xludf.DUMMYFUNCTION("""COMPUTED_VALUE"""),"")</f>
        <v/>
      </c>
    </row>
    <row r="291" spans="1:9" ht="12.75">
      <c r="A291">
        <f ca="1">IFERROR(__xludf.DUMMYFUNCTION("""COMPUTED_VALUE"""),290)</f>
        <v>290</v>
      </c>
      <c r="B291">
        <f ca="1">IFERROR(__xludf.DUMMYFUNCTION("""COMPUTED_VALUE"""),280)</f>
        <v>280</v>
      </c>
      <c r="C291" t="str">
        <f ca="1">IFERROR(__xludf.DUMMYFUNCTION("""COMPUTED_VALUE"""),"Jeongwoo Ham")</f>
        <v>Jeongwoo Ham</v>
      </c>
      <c r="D291">
        <f ca="1">IFERROR(__xludf.DUMMYFUNCTION("""COMPUTED_VALUE"""),40)</f>
        <v>40</v>
      </c>
      <c r="E291">
        <f ca="1">IFERROR(__xludf.DUMMYFUNCTION("""COMPUTED_VALUE"""),0.58)</f>
        <v>0.57999999999999996</v>
      </c>
      <c r="F291">
        <f ca="1">IFERROR(__xludf.DUMMYFUNCTION("""COMPUTED_VALUE"""),23.26)</f>
        <v>23.26</v>
      </c>
      <c r="G291">
        <f ca="1">IFERROR(__xludf.DUMMYFUNCTION("""COMPUTED_VALUE"""),-10.14)</f>
        <v>-10.14</v>
      </c>
      <c r="H291">
        <f ca="1">IFERROR(__xludf.DUMMYFUNCTION("""COMPUTED_VALUE"""),10.53)</f>
        <v>10.53</v>
      </c>
      <c r="I291" t="str">
        <f ca="1">IFERROR(__xludf.DUMMYFUNCTION("""COMPUTED_VALUE"""),"")</f>
        <v/>
      </c>
    </row>
    <row r="292" spans="1:9" ht="12.75">
      <c r="A292">
        <f ca="1">IFERROR(__xludf.DUMMYFUNCTION("""COMPUTED_VALUE"""),291)</f>
        <v>291</v>
      </c>
      <c r="B292">
        <f ca="1">IFERROR(__xludf.DUMMYFUNCTION("""COMPUTED_VALUE"""),305)</f>
        <v>305</v>
      </c>
      <c r="C292" t="str">
        <f ca="1">IFERROR(__xludf.DUMMYFUNCTION("""COMPUTED_VALUE"""),"Jaekyeong Lee")</f>
        <v>Jaekyeong Lee</v>
      </c>
      <c r="D292">
        <f ca="1">IFERROR(__xludf.DUMMYFUNCTION("""COMPUTED_VALUE"""),40)</f>
        <v>40</v>
      </c>
      <c r="E292">
        <f ca="1">IFERROR(__xludf.DUMMYFUNCTION("""COMPUTED_VALUE"""),0.58)</f>
        <v>0.57999999999999996</v>
      </c>
      <c r="F292">
        <f ca="1">IFERROR(__xludf.DUMMYFUNCTION("""COMPUTED_VALUE"""),23.07)</f>
        <v>23.07</v>
      </c>
      <c r="G292">
        <f ca="1">IFERROR(__xludf.DUMMYFUNCTION("""COMPUTED_VALUE"""),-3.28)</f>
        <v>-3.28</v>
      </c>
      <c r="H292">
        <f ca="1">IFERROR(__xludf.DUMMYFUNCTION("""COMPUTED_VALUE"""),17.84)</f>
        <v>17.84</v>
      </c>
      <c r="I292" t="str">
        <f ca="1">IFERROR(__xludf.DUMMYFUNCTION("""COMPUTED_VALUE"""),"")</f>
        <v/>
      </c>
    </row>
    <row r="293" spans="1:9" ht="12.75">
      <c r="A293">
        <f ca="1">IFERROR(__xludf.DUMMYFUNCTION("""COMPUTED_VALUE"""),292)</f>
        <v>292</v>
      </c>
      <c r="B293">
        <f ca="1">IFERROR(__xludf.DUMMYFUNCTION("""COMPUTED_VALUE"""),284)</f>
        <v>284</v>
      </c>
      <c r="C293" t="str">
        <f ca="1">IFERROR(__xludf.DUMMYFUNCTION("""COMPUTED_VALUE"""),"Wilco Nienaber")</f>
        <v>Wilco Nienaber</v>
      </c>
      <c r="D293">
        <f ca="1">IFERROR(__xludf.DUMMYFUNCTION("""COMPUTED_VALUE"""),40)</f>
        <v>40</v>
      </c>
      <c r="E293">
        <f ca="1">IFERROR(__xludf.DUMMYFUNCTION("""COMPUTED_VALUE"""),0.58)</f>
        <v>0.57999999999999996</v>
      </c>
      <c r="F293">
        <f ca="1">IFERROR(__xludf.DUMMYFUNCTION("""COMPUTED_VALUE"""),23.04)</f>
        <v>23.04</v>
      </c>
      <c r="G293">
        <f ca="1">IFERROR(__xludf.DUMMYFUNCTION("""COMPUTED_VALUE"""),-2.11)</f>
        <v>-2.11</v>
      </c>
      <c r="H293">
        <f ca="1">IFERROR(__xludf.DUMMYFUNCTION("""COMPUTED_VALUE"""),24)</f>
        <v>24</v>
      </c>
      <c r="I293" t="str">
        <f ca="1">IFERROR(__xludf.DUMMYFUNCTION("""COMPUTED_VALUE"""),"")</f>
        <v/>
      </c>
    </row>
    <row r="294" spans="1:9" ht="12.75">
      <c r="A294">
        <f ca="1">IFERROR(__xludf.DUMMYFUNCTION("""COMPUTED_VALUE"""),293)</f>
        <v>293</v>
      </c>
      <c r="B294">
        <f ca="1">IFERROR(__xludf.DUMMYFUNCTION("""COMPUTED_VALUE"""),306)</f>
        <v>306</v>
      </c>
      <c r="C294" t="str">
        <f ca="1">IFERROR(__xludf.DUMMYFUNCTION("""COMPUTED_VALUE"""),"Chris Kirk")</f>
        <v>Chris Kirk</v>
      </c>
      <c r="D294">
        <f ca="1">IFERROR(__xludf.DUMMYFUNCTION("""COMPUTED_VALUE"""),40)</f>
        <v>40</v>
      </c>
      <c r="E294">
        <f ca="1">IFERROR(__xludf.DUMMYFUNCTION("""COMPUTED_VALUE"""),0.57)</f>
        <v>0.56999999999999995</v>
      </c>
      <c r="F294">
        <f ca="1">IFERROR(__xludf.DUMMYFUNCTION("""COMPUTED_VALUE"""),22.92)</f>
        <v>22.92</v>
      </c>
      <c r="G294">
        <f ca="1">IFERROR(__xludf.DUMMYFUNCTION("""COMPUTED_VALUE"""),-16.59)</f>
        <v>-16.59</v>
      </c>
      <c r="H294">
        <f ca="1">IFERROR(__xludf.DUMMYFUNCTION("""COMPUTED_VALUE"""),20.52)</f>
        <v>20.52</v>
      </c>
      <c r="I294" t="str">
        <f ca="1">IFERROR(__xludf.DUMMYFUNCTION("""COMPUTED_VALUE"""),"")</f>
        <v/>
      </c>
    </row>
    <row r="295" spans="1:9" ht="12.75">
      <c r="A295">
        <f ca="1">IFERROR(__xludf.DUMMYFUNCTION("""COMPUTED_VALUE"""),294)</f>
        <v>294</v>
      </c>
      <c r="B295">
        <f ca="1">IFERROR(__xludf.DUMMYFUNCTION("""COMPUTED_VALUE"""),283)</f>
        <v>283</v>
      </c>
      <c r="C295" t="str">
        <f ca="1">IFERROR(__xludf.DUMMYFUNCTION("""COMPUTED_VALUE"""),"Sean Crocker")</f>
        <v>Sean Crocker</v>
      </c>
      <c r="D295">
        <f ca="1">IFERROR(__xludf.DUMMYFUNCTION("""COMPUTED_VALUE"""),48)</f>
        <v>48</v>
      </c>
      <c r="E295">
        <f ca="1">IFERROR(__xludf.DUMMYFUNCTION("""COMPUTED_VALUE"""),0.57)</f>
        <v>0.56999999999999995</v>
      </c>
      <c r="F295">
        <f ca="1">IFERROR(__xludf.DUMMYFUNCTION("""COMPUTED_VALUE"""),27.31)</f>
        <v>27.31</v>
      </c>
      <c r="G295">
        <f ca="1">IFERROR(__xludf.DUMMYFUNCTION("""COMPUTED_VALUE"""),-19.72)</f>
        <v>-19.72</v>
      </c>
      <c r="H295">
        <f ca="1">IFERROR(__xludf.DUMMYFUNCTION("""COMPUTED_VALUE"""),15.82)</f>
        <v>15.82</v>
      </c>
      <c r="I295" t="str">
        <f ca="1">IFERROR(__xludf.DUMMYFUNCTION("""COMPUTED_VALUE"""),"")</f>
        <v/>
      </c>
    </row>
    <row r="296" spans="1:9" ht="12.75">
      <c r="A296">
        <f ca="1">IFERROR(__xludf.DUMMYFUNCTION("""COMPUTED_VALUE"""),295)</f>
        <v>295</v>
      </c>
      <c r="B296">
        <f ca="1">IFERROR(__xludf.DUMMYFUNCTION("""COMPUTED_VALUE"""),321)</f>
        <v>321</v>
      </c>
      <c r="C296" t="str">
        <f ca="1">IFERROR(__xludf.DUMMYFUNCTION("""COMPUTED_VALUE"""),"Padraig Harrington")</f>
        <v>Padraig Harrington</v>
      </c>
      <c r="D296">
        <f ca="1">IFERROR(__xludf.DUMMYFUNCTION("""COMPUTED_VALUE"""),42)</f>
        <v>42</v>
      </c>
      <c r="E296">
        <f ca="1">IFERROR(__xludf.DUMMYFUNCTION("""COMPUTED_VALUE"""),0.57)</f>
        <v>0.56999999999999995</v>
      </c>
      <c r="F296">
        <f ca="1">IFERROR(__xludf.DUMMYFUNCTION("""COMPUTED_VALUE"""),23.76)</f>
        <v>23.76</v>
      </c>
      <c r="G296">
        <f ca="1">IFERROR(__xludf.DUMMYFUNCTION("""COMPUTED_VALUE"""),-17.13)</f>
        <v>-17.13</v>
      </c>
      <c r="H296">
        <f ca="1">IFERROR(__xludf.DUMMYFUNCTION("""COMPUTED_VALUE"""),13.6)</f>
        <v>13.6</v>
      </c>
      <c r="I296" t="str">
        <f ca="1">IFERROR(__xludf.DUMMYFUNCTION("""COMPUTED_VALUE"""),"")</f>
        <v/>
      </c>
    </row>
    <row r="297" spans="1:9" ht="12.75">
      <c r="A297">
        <f ca="1">IFERROR(__xludf.DUMMYFUNCTION("""COMPUTED_VALUE"""),296)</f>
        <v>296</v>
      </c>
      <c r="B297">
        <f ca="1">IFERROR(__xludf.DUMMYFUNCTION("""COMPUTED_VALUE"""),288)</f>
        <v>288</v>
      </c>
      <c r="C297" t="str">
        <f ca="1">IFERROR(__xludf.DUMMYFUNCTION("""COMPUTED_VALUE"""),"Thriston Lawrence")</f>
        <v>Thriston Lawrence</v>
      </c>
      <c r="D297">
        <f ca="1">IFERROR(__xludf.DUMMYFUNCTION("""COMPUTED_VALUE"""),44)</f>
        <v>44</v>
      </c>
      <c r="E297">
        <f ca="1">IFERROR(__xludf.DUMMYFUNCTION("""COMPUTED_VALUE"""),0.56)</f>
        <v>0.56000000000000005</v>
      </c>
      <c r="F297">
        <f ca="1">IFERROR(__xludf.DUMMYFUNCTION("""COMPUTED_VALUE"""),24.83)</f>
        <v>24.83</v>
      </c>
      <c r="G297">
        <f ca="1">IFERROR(__xludf.DUMMYFUNCTION("""COMPUTED_VALUE"""),-15.47)</f>
        <v>-15.47</v>
      </c>
      <c r="H297">
        <f ca="1">IFERROR(__xludf.DUMMYFUNCTION("""COMPUTED_VALUE"""),12.64)</f>
        <v>12.64</v>
      </c>
      <c r="I297" t="str">
        <f ca="1">IFERROR(__xludf.DUMMYFUNCTION("""COMPUTED_VALUE"""),"")</f>
        <v/>
      </c>
    </row>
    <row r="298" spans="1:9" ht="12.75">
      <c r="A298">
        <f ca="1">IFERROR(__xludf.DUMMYFUNCTION("""COMPUTED_VALUE"""),297)</f>
        <v>297</v>
      </c>
      <c r="B298">
        <f ca="1">IFERROR(__xludf.DUMMYFUNCTION("""COMPUTED_VALUE"""),301)</f>
        <v>301</v>
      </c>
      <c r="C298" t="str">
        <f ca="1">IFERROR(__xludf.DUMMYFUNCTION("""COMPUTED_VALUE"""),"Dylan Wu")</f>
        <v>Dylan Wu</v>
      </c>
      <c r="D298">
        <f ca="1">IFERROR(__xludf.DUMMYFUNCTION("""COMPUTED_VALUE"""),41)</f>
        <v>41</v>
      </c>
      <c r="E298">
        <f ca="1">IFERROR(__xludf.DUMMYFUNCTION("""COMPUTED_VALUE"""),0.56)</f>
        <v>0.56000000000000005</v>
      </c>
      <c r="F298">
        <f ca="1">IFERROR(__xludf.DUMMYFUNCTION("""COMPUTED_VALUE"""),23.01)</f>
        <v>23.01</v>
      </c>
      <c r="G298">
        <f ca="1">IFERROR(__xludf.DUMMYFUNCTION("""COMPUTED_VALUE"""),-7.18)</f>
        <v>-7.18</v>
      </c>
      <c r="H298">
        <f ca="1">IFERROR(__xludf.DUMMYFUNCTION("""COMPUTED_VALUE"""),20.42)</f>
        <v>20.420000000000002</v>
      </c>
      <c r="I298" t="str">
        <f ca="1">IFERROR(__xludf.DUMMYFUNCTION("""COMPUTED_VALUE"""),"")</f>
        <v/>
      </c>
    </row>
    <row r="299" spans="1:9" ht="12.75">
      <c r="A299">
        <f ca="1">IFERROR(__xludf.DUMMYFUNCTION("""COMPUTED_VALUE"""),298)</f>
        <v>298</v>
      </c>
      <c r="B299">
        <f ca="1">IFERROR(__xludf.DUMMYFUNCTION("""COMPUTED_VALUE"""),293)</f>
        <v>293</v>
      </c>
      <c r="C299" t="str">
        <f ca="1">IFERROR(__xludf.DUMMYFUNCTION("""COMPUTED_VALUE"""),"Adrien Saddier")</f>
        <v>Adrien Saddier</v>
      </c>
      <c r="D299">
        <f ca="1">IFERROR(__xludf.DUMMYFUNCTION("""COMPUTED_VALUE"""),48)</f>
        <v>48</v>
      </c>
      <c r="E299">
        <f ca="1">IFERROR(__xludf.DUMMYFUNCTION("""COMPUTED_VALUE"""),0.56)</f>
        <v>0.56000000000000005</v>
      </c>
      <c r="F299">
        <f ca="1">IFERROR(__xludf.DUMMYFUNCTION("""COMPUTED_VALUE"""),26.88)</f>
        <v>26.88</v>
      </c>
      <c r="G299">
        <f ca="1">IFERROR(__xludf.DUMMYFUNCTION("""COMPUTED_VALUE"""),-8.04)</f>
        <v>-8.0399999999999991</v>
      </c>
      <c r="H299">
        <f ca="1">IFERROR(__xludf.DUMMYFUNCTION("""COMPUTED_VALUE"""),21.76)</f>
        <v>21.76</v>
      </c>
      <c r="I299" t="str">
        <f ca="1">IFERROR(__xludf.DUMMYFUNCTION("""COMPUTED_VALUE"""),"")</f>
        <v/>
      </c>
    </row>
    <row r="300" spans="1:9" ht="12.75">
      <c r="A300">
        <f ca="1">IFERROR(__xludf.DUMMYFUNCTION("""COMPUTED_VALUE"""),299)</f>
        <v>299</v>
      </c>
      <c r="B300">
        <f ca="1">IFERROR(__xludf.DUMMYFUNCTION("""COMPUTED_VALUE"""),286)</f>
        <v>286</v>
      </c>
      <c r="C300" t="str">
        <f ca="1">IFERROR(__xludf.DUMMYFUNCTION("""COMPUTED_VALUE"""),"Brendan Jones")</f>
        <v>Brendan Jones</v>
      </c>
      <c r="D300">
        <f ca="1">IFERROR(__xludf.DUMMYFUNCTION("""COMPUTED_VALUE"""),40)</f>
        <v>40</v>
      </c>
      <c r="E300">
        <f ca="1">IFERROR(__xludf.DUMMYFUNCTION("""COMPUTED_VALUE"""),0.56)</f>
        <v>0.56000000000000005</v>
      </c>
      <c r="F300">
        <f ca="1">IFERROR(__xludf.DUMMYFUNCTION("""COMPUTED_VALUE"""),22.38)</f>
        <v>22.38</v>
      </c>
      <c r="G300">
        <f ca="1">IFERROR(__xludf.DUMMYFUNCTION("""COMPUTED_VALUE"""),-26.84)</f>
        <v>-26.84</v>
      </c>
      <c r="H300">
        <f ca="1">IFERROR(__xludf.DUMMYFUNCTION("""COMPUTED_VALUE"""),0)</f>
        <v>0</v>
      </c>
      <c r="I300" t="str">
        <f ca="1">IFERROR(__xludf.DUMMYFUNCTION("""COMPUTED_VALUE"""),"")</f>
        <v/>
      </c>
    </row>
    <row r="301" spans="1:9" ht="12.75">
      <c r="A301">
        <f ca="1">IFERROR(__xludf.DUMMYFUNCTION("""COMPUTED_VALUE"""),300)</f>
        <v>300</v>
      </c>
      <c r="B301">
        <f ca="1">IFERROR(__xludf.DUMMYFUNCTION("""COMPUTED_VALUE"""),293)</f>
        <v>293</v>
      </c>
      <c r="C301" t="str">
        <f ca="1">IFERROR(__xludf.DUMMYFUNCTION("""COMPUTED_VALUE"""),"Scott Harrington")</f>
        <v>Scott Harrington</v>
      </c>
      <c r="D301">
        <f ca="1">IFERROR(__xludf.DUMMYFUNCTION("""COMPUTED_VALUE"""),51)</f>
        <v>51</v>
      </c>
      <c r="E301">
        <f ca="1">IFERROR(__xludf.DUMMYFUNCTION("""COMPUTED_VALUE"""),0.56)</f>
        <v>0.56000000000000005</v>
      </c>
      <c r="F301">
        <f ca="1">IFERROR(__xludf.DUMMYFUNCTION("""COMPUTED_VALUE"""),28.42)</f>
        <v>28.42</v>
      </c>
      <c r="G301">
        <f ca="1">IFERROR(__xludf.DUMMYFUNCTION("""COMPUTED_VALUE"""),-13.89)</f>
        <v>-13.89</v>
      </c>
      <c r="H301">
        <f ca="1">IFERROR(__xludf.DUMMYFUNCTION("""COMPUTED_VALUE"""),7.91)</f>
        <v>7.91</v>
      </c>
      <c r="I301" t="str">
        <f ca="1">IFERROR(__xludf.DUMMYFUNCTION("""COMPUTED_VALUE"""),"")</f>
        <v/>
      </c>
    </row>
    <row r="302" spans="1:9" ht="12.75">
      <c r="A302">
        <f ca="1">IFERROR(__xludf.DUMMYFUNCTION("""COMPUTED_VALUE"""),301)</f>
        <v>301</v>
      </c>
      <c r="B302">
        <f ca="1">IFERROR(__xludf.DUMMYFUNCTION("""COMPUTED_VALUE"""),554)</f>
        <v>554</v>
      </c>
      <c r="C302" t="str">
        <f ca="1">IFERROR(__xludf.DUMMYFUNCTION("""COMPUTED_VALUE"""),"Ondrej Lieser")</f>
        <v>Ondrej Lieser</v>
      </c>
      <c r="D302">
        <f ca="1">IFERROR(__xludf.DUMMYFUNCTION("""COMPUTED_VALUE"""),40)</f>
        <v>40</v>
      </c>
      <c r="E302">
        <f ca="1">IFERROR(__xludf.DUMMYFUNCTION("""COMPUTED_VALUE"""),0.56)</f>
        <v>0.56000000000000005</v>
      </c>
      <c r="F302">
        <f ca="1">IFERROR(__xludf.DUMMYFUNCTION("""COMPUTED_VALUE"""),22.25)</f>
        <v>22.25</v>
      </c>
      <c r="G302">
        <f ca="1">IFERROR(__xludf.DUMMYFUNCTION("""COMPUTED_VALUE"""),-7.16)</f>
        <v>-7.16</v>
      </c>
      <c r="H302">
        <f ca="1">IFERROR(__xludf.DUMMYFUNCTION("""COMPUTED_VALUE"""),16.49)</f>
        <v>16.489999999999998</v>
      </c>
      <c r="I302" t="str">
        <f ca="1">IFERROR(__xludf.DUMMYFUNCTION("""COMPUTED_VALUE"""),"")</f>
        <v/>
      </c>
    </row>
    <row r="303" spans="1:9" ht="12.75">
      <c r="A303">
        <f ca="1">IFERROR(__xludf.DUMMYFUNCTION("""COMPUTED_VALUE"""),302)</f>
        <v>302</v>
      </c>
      <c r="B303">
        <f ca="1">IFERROR(__xludf.DUMMYFUNCTION("""COMPUTED_VALUE"""),297)</f>
        <v>297</v>
      </c>
      <c r="C303" t="str">
        <f ca="1">IFERROR(__xludf.DUMMYFUNCTION("""COMPUTED_VALUE"""),"Ollie Schniederjans")</f>
        <v>Ollie Schniederjans</v>
      </c>
      <c r="D303">
        <f ca="1">IFERROR(__xludf.DUMMYFUNCTION("""COMPUTED_VALUE"""),52)</f>
        <v>52</v>
      </c>
      <c r="E303">
        <f ca="1">IFERROR(__xludf.DUMMYFUNCTION("""COMPUTED_VALUE"""),0.55)</f>
        <v>0.55000000000000004</v>
      </c>
      <c r="F303">
        <f ca="1">IFERROR(__xludf.DUMMYFUNCTION("""COMPUTED_VALUE"""),28.85)</f>
        <v>28.85</v>
      </c>
      <c r="G303">
        <f ca="1">IFERROR(__xludf.DUMMYFUNCTION("""COMPUTED_VALUE"""),-11.18)</f>
        <v>-11.18</v>
      </c>
      <c r="H303">
        <f ca="1">IFERROR(__xludf.DUMMYFUNCTION("""COMPUTED_VALUE"""),25.4)</f>
        <v>25.4</v>
      </c>
      <c r="I303" t="str">
        <f ca="1">IFERROR(__xludf.DUMMYFUNCTION("""COMPUTED_VALUE"""),"")</f>
        <v/>
      </c>
    </row>
    <row r="304" spans="1:9" ht="12.75">
      <c r="A304">
        <f ca="1">IFERROR(__xludf.DUMMYFUNCTION("""COMPUTED_VALUE"""),303)</f>
        <v>303</v>
      </c>
      <c r="B304">
        <f ca="1">IFERROR(__xludf.DUMMYFUNCTION("""COMPUTED_VALUE"""),296)</f>
        <v>296</v>
      </c>
      <c r="C304" t="str">
        <f ca="1">IFERROR(__xludf.DUMMYFUNCTION("""COMPUTED_VALUE"""),"Kousuke Hamamoto")</f>
        <v>Kousuke Hamamoto</v>
      </c>
      <c r="D304">
        <f ca="1">IFERROR(__xludf.DUMMYFUNCTION("""COMPUTED_VALUE"""),40)</f>
        <v>40</v>
      </c>
      <c r="E304">
        <f ca="1">IFERROR(__xludf.DUMMYFUNCTION("""COMPUTED_VALUE"""),0.55)</f>
        <v>0.55000000000000004</v>
      </c>
      <c r="F304">
        <f ca="1">IFERROR(__xludf.DUMMYFUNCTION("""COMPUTED_VALUE"""),22.1)</f>
        <v>22.1</v>
      </c>
      <c r="G304">
        <f ca="1">IFERROR(__xludf.DUMMYFUNCTION("""COMPUTED_VALUE"""),-10.07)</f>
        <v>-10.07</v>
      </c>
      <c r="H304">
        <f ca="1">IFERROR(__xludf.DUMMYFUNCTION("""COMPUTED_VALUE"""),11.42)</f>
        <v>11.42</v>
      </c>
      <c r="I304" t="str">
        <f ca="1">IFERROR(__xludf.DUMMYFUNCTION("""COMPUTED_VALUE"""),"")</f>
        <v/>
      </c>
    </row>
    <row r="305" spans="1:9" ht="12.75">
      <c r="A305">
        <f ca="1">IFERROR(__xludf.DUMMYFUNCTION("""COMPUTED_VALUE"""),304)</f>
        <v>304</v>
      </c>
      <c r="B305">
        <f ca="1">IFERROR(__xludf.DUMMYFUNCTION("""COMPUTED_VALUE"""),291)</f>
        <v>291</v>
      </c>
      <c r="C305" t="str">
        <f ca="1">IFERROR(__xludf.DUMMYFUNCTION("""COMPUTED_VALUE"""),"Yuta Ikeda")</f>
        <v>Yuta Ikeda</v>
      </c>
      <c r="D305">
        <f ca="1">IFERROR(__xludf.DUMMYFUNCTION("""COMPUTED_VALUE"""),43)</f>
        <v>43</v>
      </c>
      <c r="E305">
        <f ca="1">IFERROR(__xludf.DUMMYFUNCTION("""COMPUTED_VALUE"""),0.55)</f>
        <v>0.55000000000000004</v>
      </c>
      <c r="F305">
        <f ca="1">IFERROR(__xludf.DUMMYFUNCTION("""COMPUTED_VALUE"""),23.74)</f>
        <v>23.74</v>
      </c>
      <c r="G305">
        <f ca="1">IFERROR(__xludf.DUMMYFUNCTION("""COMPUTED_VALUE"""),-29.51)</f>
        <v>-29.51</v>
      </c>
      <c r="H305">
        <f ca="1">IFERROR(__xludf.DUMMYFUNCTION("""COMPUTED_VALUE"""),2.28)</f>
        <v>2.2799999999999998</v>
      </c>
      <c r="I305" t="str">
        <f ca="1">IFERROR(__xludf.DUMMYFUNCTION("""COMPUTED_VALUE"""),"")</f>
        <v/>
      </c>
    </row>
    <row r="306" spans="1:9" ht="12.75">
      <c r="A306">
        <f ca="1">IFERROR(__xludf.DUMMYFUNCTION("""COMPUTED_VALUE"""),305)</f>
        <v>305</v>
      </c>
      <c r="B306">
        <f ca="1">IFERROR(__xludf.DUMMYFUNCTION("""COMPUTED_VALUE"""),311)</f>
        <v>311</v>
      </c>
      <c r="C306" t="str">
        <f ca="1">IFERROR(__xludf.DUMMYFUNCTION("""COMPUTED_VALUE"""),"David Horsey")</f>
        <v>David Horsey</v>
      </c>
      <c r="D306">
        <f ca="1">IFERROR(__xludf.DUMMYFUNCTION("""COMPUTED_VALUE"""),48)</f>
        <v>48</v>
      </c>
      <c r="E306">
        <f ca="1">IFERROR(__xludf.DUMMYFUNCTION("""COMPUTED_VALUE"""),0.55)</f>
        <v>0.55000000000000004</v>
      </c>
      <c r="F306">
        <f ca="1">IFERROR(__xludf.DUMMYFUNCTION("""COMPUTED_VALUE"""),26.45)</f>
        <v>26.45</v>
      </c>
      <c r="G306">
        <f ca="1">IFERROR(__xludf.DUMMYFUNCTION("""COMPUTED_VALUE"""),-8.64)</f>
        <v>-8.64</v>
      </c>
      <c r="H306">
        <f ca="1">IFERROR(__xludf.DUMMYFUNCTION("""COMPUTED_VALUE"""),19.74)</f>
        <v>19.739999999999998</v>
      </c>
      <c r="I306" t="str">
        <f ca="1">IFERROR(__xludf.DUMMYFUNCTION("""COMPUTED_VALUE"""),"")</f>
        <v/>
      </c>
    </row>
    <row r="307" spans="1:9" ht="12.75">
      <c r="A307">
        <f ca="1">IFERROR(__xludf.DUMMYFUNCTION("""COMPUTED_VALUE"""),306)</f>
        <v>306</v>
      </c>
      <c r="B307">
        <f ca="1">IFERROR(__xludf.DUMMYFUNCTION("""COMPUTED_VALUE"""),295)</f>
        <v>295</v>
      </c>
      <c r="C307" t="str">
        <f ca="1">IFERROR(__xludf.DUMMYFUNCTION("""COMPUTED_VALUE"""),"Soomin Lee")</f>
        <v>Soomin Lee</v>
      </c>
      <c r="D307">
        <f ca="1">IFERROR(__xludf.DUMMYFUNCTION("""COMPUTED_VALUE"""),48)</f>
        <v>48</v>
      </c>
      <c r="E307">
        <f ca="1">IFERROR(__xludf.DUMMYFUNCTION("""COMPUTED_VALUE"""),0.55)</f>
        <v>0.55000000000000004</v>
      </c>
      <c r="F307">
        <f ca="1">IFERROR(__xludf.DUMMYFUNCTION("""COMPUTED_VALUE"""),26.43)</f>
        <v>26.43</v>
      </c>
      <c r="G307">
        <f ca="1">IFERROR(__xludf.DUMMYFUNCTION("""COMPUTED_VALUE"""),-15.35)</f>
        <v>-15.35</v>
      </c>
      <c r="H307">
        <f ca="1">IFERROR(__xludf.DUMMYFUNCTION("""COMPUTED_VALUE"""),10.62)</f>
        <v>10.62</v>
      </c>
      <c r="I307" t="str">
        <f ca="1">IFERROR(__xludf.DUMMYFUNCTION("""COMPUTED_VALUE"""),"")</f>
        <v/>
      </c>
    </row>
    <row r="308" spans="1:9" ht="12.75">
      <c r="A308">
        <f ca="1">IFERROR(__xludf.DUMMYFUNCTION("""COMPUTED_VALUE"""),307)</f>
        <v>307</v>
      </c>
      <c r="B308">
        <f ca="1">IFERROR(__xludf.DUMMYFUNCTION("""COMPUTED_VALUE"""),292)</f>
        <v>292</v>
      </c>
      <c r="C308" t="str">
        <f ca="1">IFERROR(__xludf.DUMMYFUNCTION("""COMPUTED_VALUE"""),"Kevin Tway")</f>
        <v>Kevin Tway</v>
      </c>
      <c r="D308">
        <f ca="1">IFERROR(__xludf.DUMMYFUNCTION("""COMPUTED_VALUE"""),52)</f>
        <v>52</v>
      </c>
      <c r="E308">
        <f ca="1">IFERROR(__xludf.DUMMYFUNCTION("""COMPUTED_VALUE"""),0.55)</f>
        <v>0.55000000000000004</v>
      </c>
      <c r="F308">
        <f ca="1">IFERROR(__xludf.DUMMYFUNCTION("""COMPUTED_VALUE"""),28.58)</f>
        <v>28.58</v>
      </c>
      <c r="G308">
        <f ca="1">IFERROR(__xludf.DUMMYFUNCTION("""COMPUTED_VALUE"""),-41.61)</f>
        <v>-41.61</v>
      </c>
      <c r="H308">
        <f ca="1">IFERROR(__xludf.DUMMYFUNCTION("""COMPUTED_VALUE"""),4.3)</f>
        <v>4.3</v>
      </c>
      <c r="I308" t="str">
        <f ca="1">IFERROR(__xludf.DUMMYFUNCTION("""COMPUTED_VALUE"""),"")</f>
        <v/>
      </c>
    </row>
    <row r="309" spans="1:9" ht="12.75">
      <c r="A309">
        <f ca="1">IFERROR(__xludf.DUMMYFUNCTION("""COMPUTED_VALUE"""),308)</f>
        <v>308</v>
      </c>
      <c r="B309">
        <f ca="1">IFERROR(__xludf.DUMMYFUNCTION("""COMPUTED_VALUE"""),298)</f>
        <v>298</v>
      </c>
      <c r="C309" t="str">
        <f ca="1">IFERROR(__xludf.DUMMYFUNCTION("""COMPUTED_VALUE"""),"Anthony Quayle")</f>
        <v>Anthony Quayle</v>
      </c>
      <c r="D309">
        <f ca="1">IFERROR(__xludf.DUMMYFUNCTION("""COMPUTED_VALUE"""),42)</f>
        <v>42</v>
      </c>
      <c r="E309">
        <f ca="1">IFERROR(__xludf.DUMMYFUNCTION("""COMPUTED_VALUE"""),0.55)</f>
        <v>0.55000000000000004</v>
      </c>
      <c r="F309">
        <f ca="1">IFERROR(__xludf.DUMMYFUNCTION("""COMPUTED_VALUE"""),23)</f>
        <v>23</v>
      </c>
      <c r="G309">
        <f ca="1">IFERROR(__xludf.DUMMYFUNCTION("""COMPUTED_VALUE"""),-14.48)</f>
        <v>-14.48</v>
      </c>
      <c r="H309">
        <f ca="1">IFERROR(__xludf.DUMMYFUNCTION("""COMPUTED_VALUE"""),9.92)</f>
        <v>9.92</v>
      </c>
      <c r="I309" t="str">
        <f ca="1">IFERROR(__xludf.DUMMYFUNCTION("""COMPUTED_VALUE"""),"")</f>
        <v/>
      </c>
    </row>
    <row r="310" spans="1:9" ht="12.75">
      <c r="A310">
        <f ca="1">IFERROR(__xludf.DUMMYFUNCTION("""COMPUTED_VALUE"""),309)</f>
        <v>309</v>
      </c>
      <c r="B310">
        <f ca="1">IFERROR(__xludf.DUMMYFUNCTION("""COMPUTED_VALUE"""),300)</f>
        <v>300</v>
      </c>
      <c r="C310" t="str">
        <f ca="1">IFERROR(__xludf.DUMMYFUNCTION("""COMPUTED_VALUE"""),"David Kocher")</f>
        <v>David Kocher</v>
      </c>
      <c r="D310">
        <f ca="1">IFERROR(__xludf.DUMMYFUNCTION("""COMPUTED_VALUE"""),40)</f>
        <v>40</v>
      </c>
      <c r="E310">
        <f ca="1">IFERROR(__xludf.DUMMYFUNCTION("""COMPUTED_VALUE"""),0.55)</f>
        <v>0.55000000000000004</v>
      </c>
      <c r="F310">
        <f ca="1">IFERROR(__xludf.DUMMYFUNCTION("""COMPUTED_VALUE"""),21.9)</f>
        <v>21.9</v>
      </c>
      <c r="G310">
        <f ca="1">IFERROR(__xludf.DUMMYFUNCTION("""COMPUTED_VALUE"""),-7.21)</f>
        <v>-7.21</v>
      </c>
      <c r="H310">
        <f ca="1">IFERROR(__xludf.DUMMYFUNCTION("""COMPUTED_VALUE"""),18.68)</f>
        <v>18.68</v>
      </c>
      <c r="I310" t="str">
        <f ca="1">IFERROR(__xludf.DUMMYFUNCTION("""COMPUTED_VALUE"""),"")</f>
        <v/>
      </c>
    </row>
    <row r="311" spans="1:9" ht="12.75">
      <c r="A311">
        <f ca="1">IFERROR(__xludf.DUMMYFUNCTION("""COMPUTED_VALUE"""),310)</f>
        <v>310</v>
      </c>
      <c r="B311">
        <f ca="1">IFERROR(__xludf.DUMMYFUNCTION("""COMPUTED_VALUE"""),298)</f>
        <v>298</v>
      </c>
      <c r="C311" t="str">
        <f ca="1">IFERROR(__xludf.DUMMYFUNCTION("""COMPUTED_VALUE"""),"Prom Meesawat")</f>
        <v>Prom Meesawat</v>
      </c>
      <c r="D311">
        <f ca="1">IFERROR(__xludf.DUMMYFUNCTION("""COMPUTED_VALUE"""),40)</f>
        <v>40</v>
      </c>
      <c r="E311">
        <f ca="1">IFERROR(__xludf.DUMMYFUNCTION("""COMPUTED_VALUE"""),0.55)</f>
        <v>0.55000000000000004</v>
      </c>
      <c r="F311">
        <f ca="1">IFERROR(__xludf.DUMMYFUNCTION("""COMPUTED_VALUE"""),21.87)</f>
        <v>21.87</v>
      </c>
      <c r="G311">
        <f ca="1">IFERROR(__xludf.DUMMYFUNCTION("""COMPUTED_VALUE"""),-14.17)</f>
        <v>-14.17</v>
      </c>
      <c r="H311">
        <f ca="1">IFERROR(__xludf.DUMMYFUNCTION("""COMPUTED_VALUE"""),9.77)</f>
        <v>9.77</v>
      </c>
      <c r="I311" t="str">
        <f ca="1">IFERROR(__xludf.DUMMYFUNCTION("""COMPUTED_VALUE"""),"")</f>
        <v/>
      </c>
    </row>
    <row r="312" spans="1:9" ht="12.75">
      <c r="A312">
        <f ca="1">IFERROR(__xludf.DUMMYFUNCTION("""COMPUTED_VALUE"""),311)</f>
        <v>311</v>
      </c>
      <c r="B312">
        <f ca="1">IFERROR(__xludf.DUMMYFUNCTION("""COMPUTED_VALUE"""),314)</f>
        <v>314</v>
      </c>
      <c r="C312" t="str">
        <f ca="1">IFERROR(__xludf.DUMMYFUNCTION("""COMPUTED_VALUE"""),"Ben Kohles")</f>
        <v>Ben Kohles</v>
      </c>
      <c r="D312">
        <f ca="1">IFERROR(__xludf.DUMMYFUNCTION("""COMPUTED_VALUE"""),47)</f>
        <v>47</v>
      </c>
      <c r="E312">
        <f ca="1">IFERROR(__xludf.DUMMYFUNCTION("""COMPUTED_VALUE"""),0.54)</f>
        <v>0.54</v>
      </c>
      <c r="F312">
        <f ca="1">IFERROR(__xludf.DUMMYFUNCTION("""COMPUTED_VALUE"""),25.57)</f>
        <v>25.57</v>
      </c>
      <c r="G312">
        <f ca="1">IFERROR(__xludf.DUMMYFUNCTION("""COMPUTED_VALUE"""),-8.55)</f>
        <v>-8.5500000000000007</v>
      </c>
      <c r="H312">
        <f ca="1">IFERROR(__xludf.DUMMYFUNCTION("""COMPUTED_VALUE"""),25.8)</f>
        <v>25.8</v>
      </c>
      <c r="I312" t="str">
        <f ca="1">IFERROR(__xludf.DUMMYFUNCTION("""COMPUTED_VALUE"""),"")</f>
        <v/>
      </c>
    </row>
    <row r="313" spans="1:9" ht="12.75">
      <c r="A313">
        <f ca="1">IFERROR(__xludf.DUMMYFUNCTION("""COMPUTED_VALUE"""),312)</f>
        <v>312</v>
      </c>
      <c r="B313">
        <f ca="1">IFERROR(__xludf.DUMMYFUNCTION("""COMPUTED_VALUE"""),310)</f>
        <v>310</v>
      </c>
      <c r="C313" t="str">
        <f ca="1">IFERROR(__xludf.DUMMYFUNCTION("""COMPUTED_VALUE"""),"Phachara Khongwatmai")</f>
        <v>Phachara Khongwatmai</v>
      </c>
      <c r="D313">
        <f ca="1">IFERROR(__xludf.DUMMYFUNCTION("""COMPUTED_VALUE"""),45)</f>
        <v>45</v>
      </c>
      <c r="E313">
        <f ca="1">IFERROR(__xludf.DUMMYFUNCTION("""COMPUTED_VALUE"""),0.54)</f>
        <v>0.54</v>
      </c>
      <c r="F313">
        <f ca="1">IFERROR(__xludf.DUMMYFUNCTION("""COMPUTED_VALUE"""),24.41)</f>
        <v>24.41</v>
      </c>
      <c r="G313">
        <f ca="1">IFERROR(__xludf.DUMMYFUNCTION("""COMPUTED_VALUE"""),-13.36)</f>
        <v>-13.36</v>
      </c>
      <c r="H313">
        <f ca="1">IFERROR(__xludf.DUMMYFUNCTION("""COMPUTED_VALUE"""),8.49)</f>
        <v>8.49</v>
      </c>
      <c r="I313" t="str">
        <f ca="1">IFERROR(__xludf.DUMMYFUNCTION("""COMPUTED_VALUE"""),"")</f>
        <v/>
      </c>
    </row>
    <row r="314" spans="1:9" ht="12.75">
      <c r="A314">
        <f ca="1">IFERROR(__xludf.DUMMYFUNCTION("""COMPUTED_VALUE"""),313)</f>
        <v>313</v>
      </c>
      <c r="B314">
        <f ca="1">IFERROR(__xludf.DUMMYFUNCTION("""COMPUTED_VALUE"""),302)</f>
        <v>302</v>
      </c>
      <c r="C314" t="str">
        <f ca="1">IFERROR(__xludf.DUMMYFUNCTION("""COMPUTED_VALUE"""),"Zander Lombard")</f>
        <v>Zander Lombard</v>
      </c>
      <c r="D314">
        <f ca="1">IFERROR(__xludf.DUMMYFUNCTION("""COMPUTED_VALUE"""),52)</f>
        <v>52</v>
      </c>
      <c r="E314">
        <f ca="1">IFERROR(__xludf.DUMMYFUNCTION("""COMPUTED_VALUE"""),0.54)</f>
        <v>0.54</v>
      </c>
      <c r="F314">
        <f ca="1">IFERROR(__xludf.DUMMYFUNCTION("""COMPUTED_VALUE"""),28.19)</f>
        <v>28.19</v>
      </c>
      <c r="G314">
        <f ca="1">IFERROR(__xludf.DUMMYFUNCTION("""COMPUTED_VALUE"""),-23.33)</f>
        <v>-23.33</v>
      </c>
      <c r="H314">
        <f ca="1">IFERROR(__xludf.DUMMYFUNCTION("""COMPUTED_VALUE"""),6.63)</f>
        <v>6.63</v>
      </c>
      <c r="I314" t="str">
        <f ca="1">IFERROR(__xludf.DUMMYFUNCTION("""COMPUTED_VALUE"""),"")</f>
        <v/>
      </c>
    </row>
    <row r="315" spans="1:9" ht="12.75">
      <c r="A315">
        <f ca="1">IFERROR(__xludf.DUMMYFUNCTION("""COMPUTED_VALUE"""),314)</f>
        <v>314</v>
      </c>
      <c r="B315">
        <f ca="1">IFERROR(__xludf.DUMMYFUNCTION("""COMPUTED_VALUE"""),315)</f>
        <v>315</v>
      </c>
      <c r="C315" t="str">
        <f ca="1">IFERROR(__xludf.DUMMYFUNCTION("""COMPUTED_VALUE"""),"Cameron Percy")</f>
        <v>Cameron Percy</v>
      </c>
      <c r="D315">
        <f ca="1">IFERROR(__xludf.DUMMYFUNCTION("""COMPUTED_VALUE"""),40)</f>
        <v>40</v>
      </c>
      <c r="E315">
        <f ca="1">IFERROR(__xludf.DUMMYFUNCTION("""COMPUTED_VALUE"""),0.54)</f>
        <v>0.54</v>
      </c>
      <c r="F315">
        <f ca="1">IFERROR(__xludf.DUMMYFUNCTION("""COMPUTED_VALUE"""),21.68)</f>
        <v>21.68</v>
      </c>
      <c r="G315">
        <f ca="1">IFERROR(__xludf.DUMMYFUNCTION("""COMPUTED_VALUE"""),-14.38)</f>
        <v>-14.38</v>
      </c>
      <c r="H315">
        <f ca="1">IFERROR(__xludf.DUMMYFUNCTION("""COMPUTED_VALUE"""),9.31)</f>
        <v>9.31</v>
      </c>
      <c r="I315" t="str">
        <f ca="1">IFERROR(__xludf.DUMMYFUNCTION("""COMPUTED_VALUE"""),"")</f>
        <v/>
      </c>
    </row>
    <row r="316" spans="1:9" ht="12.75">
      <c r="A316">
        <f ca="1">IFERROR(__xludf.DUMMYFUNCTION("""COMPUTED_VALUE"""),315)</f>
        <v>315</v>
      </c>
      <c r="B316">
        <f ca="1">IFERROR(__xludf.DUMMYFUNCTION("""COMPUTED_VALUE"""),309)</f>
        <v>309</v>
      </c>
      <c r="C316" t="str">
        <f ca="1">IFERROR(__xludf.DUMMYFUNCTION("""COMPUTED_VALUE"""),"Richard Lee")</f>
        <v>Richard Lee</v>
      </c>
      <c r="D316">
        <f ca="1">IFERROR(__xludf.DUMMYFUNCTION("""COMPUTED_VALUE"""),44)</f>
        <v>44</v>
      </c>
      <c r="E316">
        <f ca="1">IFERROR(__xludf.DUMMYFUNCTION("""COMPUTED_VALUE"""),0.53)</f>
        <v>0.53</v>
      </c>
      <c r="F316">
        <f ca="1">IFERROR(__xludf.DUMMYFUNCTION("""COMPUTED_VALUE"""),23.53)</f>
        <v>23.53</v>
      </c>
      <c r="G316">
        <f ca="1">IFERROR(__xludf.DUMMYFUNCTION("""COMPUTED_VALUE"""),-10.12)</f>
        <v>-10.119999999999999</v>
      </c>
      <c r="H316">
        <f ca="1">IFERROR(__xludf.DUMMYFUNCTION("""COMPUTED_VALUE"""),13.46)</f>
        <v>13.46</v>
      </c>
      <c r="I316" t="str">
        <f ca="1">IFERROR(__xludf.DUMMYFUNCTION("""COMPUTED_VALUE"""),"")</f>
        <v/>
      </c>
    </row>
    <row r="317" spans="1:9" ht="12.75">
      <c r="A317">
        <f ca="1">IFERROR(__xludf.DUMMYFUNCTION("""COMPUTED_VALUE"""),316)</f>
        <v>316</v>
      </c>
      <c r="B317">
        <f ca="1">IFERROR(__xludf.DUMMYFUNCTION("""COMPUTED_VALUE"""),322)</f>
        <v>322</v>
      </c>
      <c r="C317" t="str">
        <f ca="1">IFERROR(__xludf.DUMMYFUNCTION("""COMPUTED_VALUE"""),"Zecheng Dou")</f>
        <v>Zecheng Dou</v>
      </c>
      <c r="D317">
        <f ca="1">IFERROR(__xludf.DUMMYFUNCTION("""COMPUTED_VALUE"""),46)</f>
        <v>46</v>
      </c>
      <c r="E317">
        <f ca="1">IFERROR(__xludf.DUMMYFUNCTION("""COMPUTED_VALUE"""),0.53)</f>
        <v>0.53</v>
      </c>
      <c r="F317">
        <f ca="1">IFERROR(__xludf.DUMMYFUNCTION("""COMPUTED_VALUE"""),24.53)</f>
        <v>24.53</v>
      </c>
      <c r="G317">
        <f ca="1">IFERROR(__xludf.DUMMYFUNCTION("""COMPUTED_VALUE"""),-9.76)</f>
        <v>-9.76</v>
      </c>
      <c r="H317">
        <f ca="1">IFERROR(__xludf.DUMMYFUNCTION("""COMPUTED_VALUE"""),12.54)</f>
        <v>12.54</v>
      </c>
      <c r="I317" t="str">
        <f ca="1">IFERROR(__xludf.DUMMYFUNCTION("""COMPUTED_VALUE"""),"")</f>
        <v/>
      </c>
    </row>
    <row r="318" spans="1:9" ht="12.75">
      <c r="A318">
        <f ca="1">IFERROR(__xludf.DUMMYFUNCTION("""COMPUTED_VALUE"""),317)</f>
        <v>317</v>
      </c>
      <c r="B318">
        <f ca="1">IFERROR(__xludf.DUMMYFUNCTION("""COMPUTED_VALUE"""),312)</f>
        <v>312</v>
      </c>
      <c r="C318" t="str">
        <f ca="1">IFERROR(__xludf.DUMMYFUNCTION("""COMPUTED_VALUE"""),"Victor Dubuisson")</f>
        <v>Victor Dubuisson</v>
      </c>
      <c r="D318">
        <f ca="1">IFERROR(__xludf.DUMMYFUNCTION("""COMPUTED_VALUE"""),40)</f>
        <v>40</v>
      </c>
      <c r="E318">
        <f ca="1">IFERROR(__xludf.DUMMYFUNCTION("""COMPUTED_VALUE"""),0.53)</f>
        <v>0.53</v>
      </c>
      <c r="F318">
        <f ca="1">IFERROR(__xludf.DUMMYFUNCTION("""COMPUTED_VALUE"""),21.32)</f>
        <v>21.32</v>
      </c>
      <c r="G318">
        <f ca="1">IFERROR(__xludf.DUMMYFUNCTION("""COMPUTED_VALUE"""),-8.17)</f>
        <v>-8.17</v>
      </c>
      <c r="H318">
        <f ca="1">IFERROR(__xludf.DUMMYFUNCTION("""COMPUTED_VALUE"""),15.27)</f>
        <v>15.27</v>
      </c>
      <c r="I318" t="str">
        <f ca="1">IFERROR(__xludf.DUMMYFUNCTION("""COMPUTED_VALUE"""),"")</f>
        <v/>
      </c>
    </row>
    <row r="319" spans="1:9" ht="12.75">
      <c r="A319">
        <f ca="1">IFERROR(__xludf.DUMMYFUNCTION("""COMPUTED_VALUE"""),318)</f>
        <v>318</v>
      </c>
      <c r="B319">
        <f ca="1">IFERROR(__xludf.DUMMYFUNCTION("""COMPUTED_VALUE"""),313)</f>
        <v>313</v>
      </c>
      <c r="C319" t="str">
        <f ca="1">IFERROR(__xludf.DUMMYFUNCTION("""COMPUTED_VALUE"""),"Robin Sciot-Siegrist")</f>
        <v>Robin Sciot-Siegrist</v>
      </c>
      <c r="D319">
        <f ca="1">IFERROR(__xludf.DUMMYFUNCTION("""COMPUTED_VALUE"""),48)</f>
        <v>48</v>
      </c>
      <c r="E319">
        <f ca="1">IFERROR(__xludf.DUMMYFUNCTION("""COMPUTED_VALUE"""),0.53)</f>
        <v>0.53</v>
      </c>
      <c r="F319">
        <f ca="1">IFERROR(__xludf.DUMMYFUNCTION("""COMPUTED_VALUE"""),25.56)</f>
        <v>25.56</v>
      </c>
      <c r="G319">
        <f ca="1">IFERROR(__xludf.DUMMYFUNCTION("""COMPUTED_VALUE"""),-10.57)</f>
        <v>-10.57</v>
      </c>
      <c r="H319">
        <f ca="1">IFERROR(__xludf.DUMMYFUNCTION("""COMPUTED_VALUE"""),13.6)</f>
        <v>13.6</v>
      </c>
      <c r="I319" t="str">
        <f ca="1">IFERROR(__xludf.DUMMYFUNCTION("""COMPUTED_VALUE"""),"")</f>
        <v/>
      </c>
    </row>
    <row r="320" spans="1:9" ht="12.75">
      <c r="A320">
        <f ca="1">IFERROR(__xludf.DUMMYFUNCTION("""COMPUTED_VALUE"""),319)</f>
        <v>319</v>
      </c>
      <c r="B320">
        <f ca="1">IFERROR(__xludf.DUMMYFUNCTION("""COMPUTED_VALUE"""),308)</f>
        <v>308</v>
      </c>
      <c r="C320" t="str">
        <f ca="1">IFERROR(__xludf.DUMMYFUNCTION("""COMPUTED_VALUE"""),"Robin Roussel")</f>
        <v>Robin Roussel</v>
      </c>
      <c r="D320">
        <f ca="1">IFERROR(__xludf.DUMMYFUNCTION("""COMPUTED_VALUE"""),47)</f>
        <v>47</v>
      </c>
      <c r="E320">
        <f ca="1">IFERROR(__xludf.DUMMYFUNCTION("""COMPUTED_VALUE"""),0.53)</f>
        <v>0.53</v>
      </c>
      <c r="F320">
        <f ca="1">IFERROR(__xludf.DUMMYFUNCTION("""COMPUTED_VALUE"""),24.99)</f>
        <v>24.99</v>
      </c>
      <c r="G320">
        <f ca="1">IFERROR(__xludf.DUMMYFUNCTION("""COMPUTED_VALUE"""),-16.44)</f>
        <v>-16.440000000000001</v>
      </c>
      <c r="H320">
        <f ca="1">IFERROR(__xludf.DUMMYFUNCTION("""COMPUTED_VALUE"""),4.2)</f>
        <v>4.2</v>
      </c>
      <c r="I320" t="str">
        <f ca="1">IFERROR(__xludf.DUMMYFUNCTION("""COMPUTED_VALUE"""),"")</f>
        <v/>
      </c>
    </row>
    <row r="321" spans="1:9" ht="12.75">
      <c r="A321">
        <f ca="1">IFERROR(__xludf.DUMMYFUNCTION("""COMPUTED_VALUE"""),320)</f>
        <v>320</v>
      </c>
      <c r="B321">
        <f ca="1">IFERROR(__xludf.DUMMYFUNCTION("""COMPUTED_VALUE"""),307)</f>
        <v>307</v>
      </c>
      <c r="C321" t="str">
        <f ca="1">IFERROR(__xludf.DUMMYFUNCTION("""COMPUTED_VALUE"""),"Oscar Lengden")</f>
        <v>Oscar Lengden</v>
      </c>
      <c r="D321">
        <f ca="1">IFERROR(__xludf.DUMMYFUNCTION("""COMPUTED_VALUE"""),47)</f>
        <v>47</v>
      </c>
      <c r="E321">
        <f ca="1">IFERROR(__xludf.DUMMYFUNCTION("""COMPUTED_VALUE"""),0.53)</f>
        <v>0.53</v>
      </c>
      <c r="F321">
        <f ca="1">IFERROR(__xludf.DUMMYFUNCTION("""COMPUTED_VALUE"""),24.79)</f>
        <v>24.79</v>
      </c>
      <c r="G321">
        <f ca="1">IFERROR(__xludf.DUMMYFUNCTION("""COMPUTED_VALUE"""),-10.22)</f>
        <v>-10.220000000000001</v>
      </c>
      <c r="H321">
        <f ca="1">IFERROR(__xludf.DUMMYFUNCTION("""COMPUTED_VALUE"""),16.06)</f>
        <v>16.059999999999999</v>
      </c>
      <c r="I321" t="str">
        <f ca="1">IFERROR(__xludf.DUMMYFUNCTION("""COMPUTED_VALUE"""),"")</f>
        <v/>
      </c>
    </row>
    <row r="322" spans="1:9" ht="12.75">
      <c r="A322">
        <f ca="1">IFERROR(__xludf.DUMMYFUNCTION("""COMPUTED_VALUE"""),321)</f>
        <v>321</v>
      </c>
      <c r="B322">
        <f ca="1">IFERROR(__xludf.DUMMYFUNCTION("""COMPUTED_VALUE"""),317)</f>
        <v>317</v>
      </c>
      <c r="C322" t="str">
        <f ca="1">IFERROR(__xludf.DUMMYFUNCTION("""COMPUTED_VALUE"""),"Tomoharu Otsuki")</f>
        <v>Tomoharu Otsuki</v>
      </c>
      <c r="D322">
        <f ca="1">IFERROR(__xludf.DUMMYFUNCTION("""COMPUTED_VALUE"""),50)</f>
        <v>50</v>
      </c>
      <c r="E322">
        <f ca="1">IFERROR(__xludf.DUMMYFUNCTION("""COMPUTED_VALUE"""),0.53)</f>
        <v>0.53</v>
      </c>
      <c r="F322">
        <f ca="1">IFERROR(__xludf.DUMMYFUNCTION("""COMPUTED_VALUE"""),26.28)</f>
        <v>26.28</v>
      </c>
      <c r="G322">
        <f ca="1">IFERROR(__xludf.DUMMYFUNCTION("""COMPUTED_VALUE"""),-16.72)</f>
        <v>-16.72</v>
      </c>
      <c r="H322">
        <f ca="1">IFERROR(__xludf.DUMMYFUNCTION("""COMPUTED_VALUE"""),9.71)</f>
        <v>9.7100000000000009</v>
      </c>
      <c r="I322" t="str">
        <f ca="1">IFERROR(__xludf.DUMMYFUNCTION("""COMPUTED_VALUE"""),"")</f>
        <v/>
      </c>
    </row>
    <row r="323" spans="1:9" ht="12.75">
      <c r="A323">
        <f ca="1">IFERROR(__xludf.DUMMYFUNCTION("""COMPUTED_VALUE"""),322)</f>
        <v>322</v>
      </c>
      <c r="B323">
        <f ca="1">IFERROR(__xludf.DUMMYFUNCTION("""COMPUTED_VALUE"""),319)</f>
        <v>319</v>
      </c>
      <c r="C323" t="str">
        <f ca="1">IFERROR(__xludf.DUMMYFUNCTION("""COMPUTED_VALUE"""),"Matthieu Pavon")</f>
        <v>Matthieu Pavon</v>
      </c>
      <c r="D323">
        <f ca="1">IFERROR(__xludf.DUMMYFUNCTION("""COMPUTED_VALUE"""),52)</f>
        <v>52</v>
      </c>
      <c r="E323">
        <f ca="1">IFERROR(__xludf.DUMMYFUNCTION("""COMPUTED_VALUE"""),0.53)</f>
        <v>0.53</v>
      </c>
      <c r="F323">
        <f ca="1">IFERROR(__xludf.DUMMYFUNCTION("""COMPUTED_VALUE"""),27.3)</f>
        <v>27.3</v>
      </c>
      <c r="G323">
        <f ca="1">IFERROR(__xludf.DUMMYFUNCTION("""COMPUTED_VALUE"""),-14.34)</f>
        <v>-14.34</v>
      </c>
      <c r="H323">
        <f ca="1">IFERROR(__xludf.DUMMYFUNCTION("""COMPUTED_VALUE"""),21.02)</f>
        <v>21.02</v>
      </c>
      <c r="I323" t="str">
        <f ca="1">IFERROR(__xludf.DUMMYFUNCTION("""COMPUTED_VALUE"""),"")</f>
        <v/>
      </c>
    </row>
    <row r="324" spans="1:9" ht="12.75">
      <c r="A324">
        <f ca="1">IFERROR(__xludf.DUMMYFUNCTION("""COMPUTED_VALUE"""),323)</f>
        <v>323</v>
      </c>
      <c r="B324">
        <f ca="1">IFERROR(__xludf.DUMMYFUNCTION("""COMPUTED_VALUE"""),328)</f>
        <v>328</v>
      </c>
      <c r="C324" t="str">
        <f ca="1">IFERROR(__xludf.DUMMYFUNCTION("""COMPUTED_VALUE"""),"Nick Watney")</f>
        <v>Nick Watney</v>
      </c>
      <c r="D324">
        <f ca="1">IFERROR(__xludf.DUMMYFUNCTION("""COMPUTED_VALUE"""),48)</f>
        <v>48</v>
      </c>
      <c r="E324">
        <f ca="1">IFERROR(__xludf.DUMMYFUNCTION("""COMPUTED_VALUE"""),0.52)</f>
        <v>0.52</v>
      </c>
      <c r="F324">
        <f ca="1">IFERROR(__xludf.DUMMYFUNCTION("""COMPUTED_VALUE"""),24.92)</f>
        <v>24.92</v>
      </c>
      <c r="G324">
        <f ca="1">IFERROR(__xludf.DUMMYFUNCTION("""COMPUTED_VALUE"""),-28.71)</f>
        <v>-28.71</v>
      </c>
      <c r="H324">
        <f ca="1">IFERROR(__xludf.DUMMYFUNCTION("""COMPUTED_VALUE"""),7.57)</f>
        <v>7.57</v>
      </c>
      <c r="I324" t="str">
        <f ca="1">IFERROR(__xludf.DUMMYFUNCTION("""COMPUTED_VALUE"""),"")</f>
        <v/>
      </c>
    </row>
    <row r="325" spans="1:9" ht="12.75">
      <c r="A325">
        <f ca="1">IFERROR(__xludf.DUMMYFUNCTION("""COMPUTED_VALUE"""),324)</f>
        <v>324</v>
      </c>
      <c r="B325">
        <f ca="1">IFERROR(__xludf.DUMMYFUNCTION("""COMPUTED_VALUE"""),323)</f>
        <v>323</v>
      </c>
      <c r="C325" t="str">
        <f ca="1">IFERROR(__xludf.DUMMYFUNCTION("""COMPUTED_VALUE"""),"Hiroyuki Fujita")</f>
        <v>Hiroyuki Fujita</v>
      </c>
      <c r="D325">
        <f ca="1">IFERROR(__xludf.DUMMYFUNCTION("""COMPUTED_VALUE"""),40)</f>
        <v>40</v>
      </c>
      <c r="E325">
        <f ca="1">IFERROR(__xludf.DUMMYFUNCTION("""COMPUTED_VALUE"""),0.52)</f>
        <v>0.52</v>
      </c>
      <c r="F325">
        <f ca="1">IFERROR(__xludf.DUMMYFUNCTION("""COMPUTED_VALUE"""),20.72)</f>
        <v>20.72</v>
      </c>
      <c r="G325">
        <f ca="1">IFERROR(__xludf.DUMMYFUNCTION("""COMPUTED_VALUE"""),-13.41)</f>
        <v>-13.41</v>
      </c>
      <c r="H325">
        <f ca="1">IFERROR(__xludf.DUMMYFUNCTION("""COMPUTED_VALUE"""),3.07)</f>
        <v>3.07</v>
      </c>
      <c r="I325" t="str">
        <f ca="1">IFERROR(__xludf.DUMMYFUNCTION("""COMPUTED_VALUE"""),"")</f>
        <v/>
      </c>
    </row>
    <row r="326" spans="1:9" ht="12.75">
      <c r="A326">
        <f ca="1">IFERROR(__xludf.DUMMYFUNCTION("""COMPUTED_VALUE"""),325)</f>
        <v>325</v>
      </c>
      <c r="B326">
        <f ca="1">IFERROR(__xludf.DUMMYFUNCTION("""COMPUTED_VALUE"""),332)</f>
        <v>332</v>
      </c>
      <c r="C326" t="str">
        <f ca="1">IFERROR(__xludf.DUMMYFUNCTION("""COMPUTED_VALUE"""),"Curtis Thompson")</f>
        <v>Curtis Thompson</v>
      </c>
      <c r="D326">
        <f ca="1">IFERROR(__xludf.DUMMYFUNCTION("""COMPUTED_VALUE"""),40)</f>
        <v>40</v>
      </c>
      <c r="E326">
        <f ca="1">IFERROR(__xludf.DUMMYFUNCTION("""COMPUTED_VALUE"""),0.52)</f>
        <v>0.52</v>
      </c>
      <c r="F326">
        <f ca="1">IFERROR(__xludf.DUMMYFUNCTION("""COMPUTED_VALUE"""),20.71)</f>
        <v>20.71</v>
      </c>
      <c r="G326">
        <f ca="1">IFERROR(__xludf.DUMMYFUNCTION("""COMPUTED_VALUE"""),-1.1)</f>
        <v>-1.1000000000000001</v>
      </c>
      <c r="H326">
        <f ca="1">IFERROR(__xludf.DUMMYFUNCTION("""COMPUTED_VALUE"""),21.82)</f>
        <v>21.82</v>
      </c>
      <c r="I326" t="str">
        <f ca="1">IFERROR(__xludf.DUMMYFUNCTION("""COMPUTED_VALUE"""),"")</f>
        <v/>
      </c>
    </row>
    <row r="327" spans="1:9" ht="12.75">
      <c r="A327">
        <f ca="1">IFERROR(__xludf.DUMMYFUNCTION("""COMPUTED_VALUE"""),326)</f>
        <v>326</v>
      </c>
      <c r="B327">
        <f ca="1">IFERROR(__xludf.DUMMYFUNCTION("""COMPUTED_VALUE"""),320)</f>
        <v>320</v>
      </c>
      <c r="C327" t="str">
        <f ca="1">IFERROR(__xludf.DUMMYFUNCTION("""COMPUTED_VALUE"""),"Bo Hoag")</f>
        <v>Bo Hoag</v>
      </c>
      <c r="D327">
        <f ca="1">IFERROR(__xludf.DUMMYFUNCTION("""COMPUTED_VALUE"""),52)</f>
        <v>52</v>
      </c>
      <c r="E327">
        <f ca="1">IFERROR(__xludf.DUMMYFUNCTION("""COMPUTED_VALUE"""),0.52)</f>
        <v>0.52</v>
      </c>
      <c r="F327">
        <f ca="1">IFERROR(__xludf.DUMMYFUNCTION("""COMPUTED_VALUE"""),26.89)</f>
        <v>26.89</v>
      </c>
      <c r="G327">
        <f ca="1">IFERROR(__xludf.DUMMYFUNCTION("""COMPUTED_VALUE"""),-12.88)</f>
        <v>-12.88</v>
      </c>
      <c r="H327">
        <f ca="1">IFERROR(__xludf.DUMMYFUNCTION("""COMPUTED_VALUE"""),12.9)</f>
        <v>12.9</v>
      </c>
      <c r="I327" t="str">
        <f ca="1">IFERROR(__xludf.DUMMYFUNCTION("""COMPUTED_VALUE"""),"")</f>
        <v/>
      </c>
    </row>
    <row r="328" spans="1:9" ht="12.75">
      <c r="A328">
        <f ca="1">IFERROR(__xludf.DUMMYFUNCTION("""COMPUTED_VALUE"""),327)</f>
        <v>327</v>
      </c>
      <c r="B328">
        <f ca="1">IFERROR(__xludf.DUMMYFUNCTION("""COMPUTED_VALUE"""),329)</f>
        <v>329</v>
      </c>
      <c r="C328" t="str">
        <f ca="1">IFERROR(__xludf.DUMMYFUNCTION("""COMPUTED_VALUE"""),"Hurly Long")</f>
        <v>Hurly Long</v>
      </c>
      <c r="D328">
        <f ca="1">IFERROR(__xludf.DUMMYFUNCTION("""COMPUTED_VALUE"""),40)</f>
        <v>40</v>
      </c>
      <c r="E328">
        <f ca="1">IFERROR(__xludf.DUMMYFUNCTION("""COMPUTED_VALUE"""),0.52)</f>
        <v>0.52</v>
      </c>
      <c r="F328">
        <f ca="1">IFERROR(__xludf.DUMMYFUNCTION("""COMPUTED_VALUE"""),20.65)</f>
        <v>20.65</v>
      </c>
      <c r="G328">
        <f ca="1">IFERROR(__xludf.DUMMYFUNCTION("""COMPUTED_VALUE"""),-5.64)</f>
        <v>-5.64</v>
      </c>
      <c r="H328">
        <f ca="1">IFERROR(__xludf.DUMMYFUNCTION("""COMPUTED_VALUE"""),13.86)</f>
        <v>13.86</v>
      </c>
      <c r="I328" t="str">
        <f ca="1">IFERROR(__xludf.DUMMYFUNCTION("""COMPUTED_VALUE"""),"")</f>
        <v/>
      </c>
    </row>
    <row r="329" spans="1:9" ht="12.75">
      <c r="A329">
        <f ca="1">IFERROR(__xludf.DUMMYFUNCTION("""COMPUTED_VALUE"""),328)</f>
        <v>328</v>
      </c>
      <c r="B329">
        <f ca="1">IFERROR(__xludf.DUMMYFUNCTION("""COMPUTED_VALUE"""),324)</f>
        <v>324</v>
      </c>
      <c r="C329" t="str">
        <f ca="1">IFERROR(__xludf.DUMMYFUNCTION("""COMPUTED_VALUE"""),"Jason Dufner")</f>
        <v>Jason Dufner</v>
      </c>
      <c r="D329">
        <f ca="1">IFERROR(__xludf.DUMMYFUNCTION("""COMPUTED_VALUE"""),50)</f>
        <v>50</v>
      </c>
      <c r="E329">
        <f ca="1">IFERROR(__xludf.DUMMYFUNCTION("""COMPUTED_VALUE"""),0.52)</f>
        <v>0.52</v>
      </c>
      <c r="F329">
        <f ca="1">IFERROR(__xludf.DUMMYFUNCTION("""COMPUTED_VALUE"""),25.79)</f>
        <v>25.79</v>
      </c>
      <c r="G329">
        <f ca="1">IFERROR(__xludf.DUMMYFUNCTION("""COMPUTED_VALUE"""),-20.14)</f>
        <v>-20.14</v>
      </c>
      <c r="H329">
        <f ca="1">IFERROR(__xludf.DUMMYFUNCTION("""COMPUTED_VALUE"""),13.19)</f>
        <v>13.19</v>
      </c>
      <c r="I329" t="str">
        <f ca="1">IFERROR(__xludf.DUMMYFUNCTION("""COMPUTED_VALUE"""),"")</f>
        <v/>
      </c>
    </row>
    <row r="330" spans="1:9" ht="12.75">
      <c r="A330">
        <f ca="1">IFERROR(__xludf.DUMMYFUNCTION("""COMPUTED_VALUE"""),329)</f>
        <v>329</v>
      </c>
      <c r="B330">
        <f ca="1">IFERROR(__xludf.DUMMYFUNCTION("""COMPUTED_VALUE"""),327)</f>
        <v>327</v>
      </c>
      <c r="C330" t="str">
        <f ca="1">IFERROR(__xludf.DUMMYFUNCTION("""COMPUTED_VALUE"""),"Hank Lebioda")</f>
        <v>Hank Lebioda</v>
      </c>
      <c r="D330">
        <f ca="1">IFERROR(__xludf.DUMMYFUNCTION("""COMPUTED_VALUE"""),52)</f>
        <v>52</v>
      </c>
      <c r="E330">
        <f ca="1">IFERROR(__xludf.DUMMYFUNCTION("""COMPUTED_VALUE"""),0.51)</f>
        <v>0.51</v>
      </c>
      <c r="F330">
        <f ca="1">IFERROR(__xludf.DUMMYFUNCTION("""COMPUTED_VALUE"""),26.74)</f>
        <v>26.74</v>
      </c>
      <c r="G330">
        <f ca="1">IFERROR(__xludf.DUMMYFUNCTION("""COMPUTED_VALUE"""),-15.28)</f>
        <v>-15.28</v>
      </c>
      <c r="H330">
        <f ca="1">IFERROR(__xludf.DUMMYFUNCTION("""COMPUTED_VALUE"""),11.81)</f>
        <v>11.81</v>
      </c>
      <c r="I330" t="str">
        <f ca="1">IFERROR(__xludf.DUMMYFUNCTION("""COMPUTED_VALUE"""),"")</f>
        <v/>
      </c>
    </row>
    <row r="331" spans="1:9" ht="12.75">
      <c r="A331">
        <f ca="1">IFERROR(__xludf.DUMMYFUNCTION("""COMPUTED_VALUE"""),330)</f>
        <v>330</v>
      </c>
      <c r="B331">
        <f ca="1">IFERROR(__xludf.DUMMYFUNCTION("""COMPUTED_VALUE"""),325)</f>
        <v>325</v>
      </c>
      <c r="C331" t="str">
        <f ca="1">IFERROR(__xludf.DUMMYFUNCTION("""COMPUTED_VALUE"""),"Yosuke Asaji")</f>
        <v>Yosuke Asaji</v>
      </c>
      <c r="D331">
        <f ca="1">IFERROR(__xludf.DUMMYFUNCTION("""COMPUTED_VALUE"""),45)</f>
        <v>45</v>
      </c>
      <c r="E331">
        <f ca="1">IFERROR(__xludf.DUMMYFUNCTION("""COMPUTED_VALUE"""),0.51)</f>
        <v>0.51</v>
      </c>
      <c r="F331">
        <f ca="1">IFERROR(__xludf.DUMMYFUNCTION("""COMPUTED_VALUE"""),23.1)</f>
        <v>23.1</v>
      </c>
      <c r="G331">
        <f ca="1">IFERROR(__xludf.DUMMYFUNCTION("""COMPUTED_VALUE"""),-17.9)</f>
        <v>-17.899999999999999</v>
      </c>
      <c r="H331">
        <f ca="1">IFERROR(__xludf.DUMMYFUNCTION("""COMPUTED_VALUE"""),0)</f>
        <v>0</v>
      </c>
      <c r="I331" t="str">
        <f ca="1">IFERROR(__xludf.DUMMYFUNCTION("""COMPUTED_VALUE"""),"")</f>
        <v/>
      </c>
    </row>
    <row r="332" spans="1:9" ht="12.75">
      <c r="A332">
        <f ca="1">IFERROR(__xludf.DUMMYFUNCTION("""COMPUTED_VALUE"""),331)</f>
        <v>331</v>
      </c>
      <c r="B332">
        <f ca="1">IFERROR(__xludf.DUMMYFUNCTION("""COMPUTED_VALUE"""),326)</f>
        <v>326</v>
      </c>
      <c r="C332" t="str">
        <f ca="1">IFERROR(__xludf.DUMMYFUNCTION("""COMPUTED_VALUE"""),"Yi Keun Chang")</f>
        <v>Yi Keun Chang</v>
      </c>
      <c r="D332">
        <f ca="1">IFERROR(__xludf.DUMMYFUNCTION("""COMPUTED_VALUE"""),40)</f>
        <v>40</v>
      </c>
      <c r="E332">
        <f ca="1">IFERROR(__xludf.DUMMYFUNCTION("""COMPUTED_VALUE"""),0.51)</f>
        <v>0.51</v>
      </c>
      <c r="F332">
        <f ca="1">IFERROR(__xludf.DUMMYFUNCTION("""COMPUTED_VALUE"""),20.46)</f>
        <v>20.46</v>
      </c>
      <c r="G332">
        <f ca="1">IFERROR(__xludf.DUMMYFUNCTION("""COMPUTED_VALUE"""),-15.28)</f>
        <v>-15.28</v>
      </c>
      <c r="H332">
        <f ca="1">IFERROR(__xludf.DUMMYFUNCTION("""COMPUTED_VALUE"""),1.92)</f>
        <v>1.92</v>
      </c>
      <c r="I332" t="str">
        <f ca="1">IFERROR(__xludf.DUMMYFUNCTION("""COMPUTED_VALUE"""),"")</f>
        <v/>
      </c>
    </row>
    <row r="333" spans="1:9" ht="12.75">
      <c r="A333">
        <f ca="1">IFERROR(__xludf.DUMMYFUNCTION("""COMPUTED_VALUE"""),332)</f>
        <v>332</v>
      </c>
      <c r="B333">
        <f ca="1">IFERROR(__xludf.DUMMYFUNCTION("""COMPUTED_VALUE"""),331)</f>
        <v>331</v>
      </c>
      <c r="C333" t="str">
        <f ca="1">IFERROR(__xludf.DUMMYFUNCTION("""COMPUTED_VALUE"""),"Josh Teater")</f>
        <v>Josh Teater</v>
      </c>
      <c r="D333">
        <f ca="1">IFERROR(__xludf.DUMMYFUNCTION("""COMPUTED_VALUE"""),52)</f>
        <v>52</v>
      </c>
      <c r="E333">
        <f ca="1">IFERROR(__xludf.DUMMYFUNCTION("""COMPUTED_VALUE"""),0.51)</f>
        <v>0.51</v>
      </c>
      <c r="F333">
        <f ca="1">IFERROR(__xludf.DUMMYFUNCTION("""COMPUTED_VALUE"""),26.57)</f>
        <v>26.57</v>
      </c>
      <c r="G333">
        <f ca="1">IFERROR(__xludf.DUMMYFUNCTION("""COMPUTED_VALUE"""),-18)</f>
        <v>-18</v>
      </c>
      <c r="H333">
        <f ca="1">IFERROR(__xludf.DUMMYFUNCTION("""COMPUTED_VALUE"""),14.4)</f>
        <v>14.4</v>
      </c>
      <c r="I333" t="str">
        <f ca="1">IFERROR(__xludf.DUMMYFUNCTION("""COMPUTED_VALUE"""),"")</f>
        <v/>
      </c>
    </row>
    <row r="334" spans="1:9" ht="12.75">
      <c r="A334">
        <f ca="1">IFERROR(__xludf.DUMMYFUNCTION("""COMPUTED_VALUE"""),333)</f>
        <v>333</v>
      </c>
      <c r="B334">
        <f ca="1">IFERROR(__xludf.DUMMYFUNCTION("""COMPUTED_VALUE"""),330)</f>
        <v>330</v>
      </c>
      <c r="C334" t="str">
        <f ca="1">IFERROR(__xludf.DUMMYFUNCTION("""COMPUTED_VALUE"""),"Naoki Sekito")</f>
        <v>Naoki Sekito</v>
      </c>
      <c r="D334">
        <f ca="1">IFERROR(__xludf.DUMMYFUNCTION("""COMPUTED_VALUE"""),40)</f>
        <v>40</v>
      </c>
      <c r="E334">
        <f ca="1">IFERROR(__xludf.DUMMYFUNCTION("""COMPUTED_VALUE"""),0.51)</f>
        <v>0.51</v>
      </c>
      <c r="F334">
        <f ca="1">IFERROR(__xludf.DUMMYFUNCTION("""COMPUTED_VALUE"""),20.42)</f>
        <v>20.420000000000002</v>
      </c>
      <c r="G334">
        <f ca="1">IFERROR(__xludf.DUMMYFUNCTION("""COMPUTED_VALUE"""),-11.72)</f>
        <v>-11.72</v>
      </c>
      <c r="H334">
        <f ca="1">IFERROR(__xludf.DUMMYFUNCTION("""COMPUTED_VALUE"""),7.22)</f>
        <v>7.22</v>
      </c>
      <c r="I334" t="str">
        <f ca="1">IFERROR(__xludf.DUMMYFUNCTION("""COMPUTED_VALUE"""),"")</f>
        <v/>
      </c>
    </row>
    <row r="335" spans="1:9" ht="12.75">
      <c r="A335">
        <f ca="1">IFERROR(__xludf.DUMMYFUNCTION("""COMPUTED_VALUE"""),334)</f>
        <v>334</v>
      </c>
      <c r="B335">
        <f ca="1">IFERROR(__xludf.DUMMYFUNCTION("""COMPUTED_VALUE"""),333)</f>
        <v>333</v>
      </c>
      <c r="C335" t="str">
        <f ca="1">IFERROR(__xludf.DUMMYFUNCTION("""COMPUTED_VALUE"""),"Seonghyeon Kim")</f>
        <v>Seonghyeon Kim</v>
      </c>
      <c r="D335">
        <f ca="1">IFERROR(__xludf.DUMMYFUNCTION("""COMPUTED_VALUE"""),40)</f>
        <v>40</v>
      </c>
      <c r="E335">
        <f ca="1">IFERROR(__xludf.DUMMYFUNCTION("""COMPUTED_VALUE"""),0.5)</f>
        <v>0.5</v>
      </c>
      <c r="F335">
        <f ca="1">IFERROR(__xludf.DUMMYFUNCTION("""COMPUTED_VALUE"""),20.16)</f>
        <v>20.16</v>
      </c>
      <c r="G335">
        <f ca="1">IFERROR(__xludf.DUMMYFUNCTION("""COMPUTED_VALUE"""),-5.11)</f>
        <v>-5.1100000000000003</v>
      </c>
      <c r="H335">
        <f ca="1">IFERROR(__xludf.DUMMYFUNCTION("""COMPUTED_VALUE"""),12.8)</f>
        <v>12.8</v>
      </c>
      <c r="I335" t="str">
        <f ca="1">IFERROR(__xludf.DUMMYFUNCTION("""COMPUTED_VALUE"""),"")</f>
        <v/>
      </c>
    </row>
    <row r="336" spans="1:9" ht="12.75">
      <c r="A336">
        <f ca="1">IFERROR(__xludf.DUMMYFUNCTION("""COMPUTED_VALUE"""),335)</f>
        <v>335</v>
      </c>
      <c r="B336">
        <f ca="1">IFERROR(__xludf.DUMMYFUNCTION("""COMPUTED_VALUE"""),370)</f>
        <v>370</v>
      </c>
      <c r="C336" t="str">
        <f ca="1">IFERROR(__xludf.DUMMYFUNCTION("""COMPUTED_VALUE"""),"Kyongjun Moon")</f>
        <v>Kyongjun Moon</v>
      </c>
      <c r="D336">
        <f ca="1">IFERROR(__xludf.DUMMYFUNCTION("""COMPUTED_VALUE"""),44)</f>
        <v>44</v>
      </c>
      <c r="E336">
        <f ca="1">IFERROR(__xludf.DUMMYFUNCTION("""COMPUTED_VALUE"""),0.5)</f>
        <v>0.5</v>
      </c>
      <c r="F336">
        <f ca="1">IFERROR(__xludf.DUMMYFUNCTION("""COMPUTED_VALUE"""),22.04)</f>
        <v>22.04</v>
      </c>
      <c r="G336">
        <f ca="1">IFERROR(__xludf.DUMMYFUNCTION("""COMPUTED_VALUE"""),-10.01)</f>
        <v>-10.01</v>
      </c>
      <c r="H336">
        <f ca="1">IFERROR(__xludf.DUMMYFUNCTION("""COMPUTED_VALUE"""),11.73)</f>
        <v>11.73</v>
      </c>
      <c r="I336" t="str">
        <f ca="1">IFERROR(__xludf.DUMMYFUNCTION("""COMPUTED_VALUE"""),"")</f>
        <v/>
      </c>
    </row>
    <row r="337" spans="1:9" ht="12.75">
      <c r="A337">
        <f ca="1">IFERROR(__xludf.DUMMYFUNCTION("""COMPUTED_VALUE"""),336)</f>
        <v>336</v>
      </c>
      <c r="B337">
        <f ca="1">IFERROR(__xludf.DUMMYFUNCTION("""COMPUTED_VALUE"""),354)</f>
        <v>354</v>
      </c>
      <c r="C337" t="str">
        <f ca="1">IFERROR(__xludf.DUMMYFUNCTION("""COMPUTED_VALUE"""),"Julien Brun")</f>
        <v>Julien Brun</v>
      </c>
      <c r="D337">
        <f ca="1">IFERROR(__xludf.DUMMYFUNCTION("""COMPUTED_VALUE"""),40)</f>
        <v>40</v>
      </c>
      <c r="E337">
        <f ca="1">IFERROR(__xludf.DUMMYFUNCTION("""COMPUTED_VALUE"""),0.5)</f>
        <v>0.5</v>
      </c>
      <c r="F337">
        <f ca="1">IFERROR(__xludf.DUMMYFUNCTION("""COMPUTED_VALUE"""),20.01)</f>
        <v>20.010000000000002</v>
      </c>
      <c r="G337">
        <f ca="1">IFERROR(__xludf.DUMMYFUNCTION("""COMPUTED_VALUE"""),-1.41)</f>
        <v>-1.41</v>
      </c>
      <c r="H337">
        <f ca="1">IFERROR(__xludf.DUMMYFUNCTION("""COMPUTED_VALUE"""),20.82)</f>
        <v>20.82</v>
      </c>
      <c r="I337" t="str">
        <f ca="1">IFERROR(__xludf.DUMMYFUNCTION("""COMPUTED_VALUE"""),"")</f>
        <v/>
      </c>
    </row>
    <row r="338" spans="1:9" ht="12.75">
      <c r="A338">
        <f ca="1">IFERROR(__xludf.DUMMYFUNCTION("""COMPUTED_VALUE"""),337)</f>
        <v>337</v>
      </c>
      <c r="B338">
        <f ca="1">IFERROR(__xludf.DUMMYFUNCTION("""COMPUTED_VALUE"""),335)</f>
        <v>335</v>
      </c>
      <c r="C338" t="str">
        <f ca="1">IFERROR(__xludf.DUMMYFUNCTION("""COMPUTED_VALUE"""),"Travis Smyth")</f>
        <v>Travis Smyth</v>
      </c>
      <c r="D338">
        <f ca="1">IFERROR(__xludf.DUMMYFUNCTION("""COMPUTED_VALUE"""),40)</f>
        <v>40</v>
      </c>
      <c r="E338">
        <f ca="1">IFERROR(__xludf.DUMMYFUNCTION("""COMPUTED_VALUE"""),0.5)</f>
        <v>0.5</v>
      </c>
      <c r="F338">
        <f ca="1">IFERROR(__xludf.DUMMYFUNCTION("""COMPUTED_VALUE"""),20)</f>
        <v>20</v>
      </c>
      <c r="G338">
        <f ca="1">IFERROR(__xludf.DUMMYFUNCTION("""COMPUTED_VALUE"""),-8.7)</f>
        <v>-8.6999999999999993</v>
      </c>
      <c r="H338">
        <f ca="1">IFERROR(__xludf.DUMMYFUNCTION("""COMPUTED_VALUE"""),11.31)</f>
        <v>11.31</v>
      </c>
      <c r="I338" t="str">
        <f ca="1">IFERROR(__xludf.DUMMYFUNCTION("""COMPUTED_VALUE"""),"")</f>
        <v/>
      </c>
    </row>
    <row r="339" spans="1:9" ht="12.75">
      <c r="A339">
        <f ca="1">IFERROR(__xludf.DUMMYFUNCTION("""COMPUTED_VALUE"""),338)</f>
        <v>338</v>
      </c>
      <c r="B339">
        <f ca="1">IFERROR(__xludf.DUMMYFUNCTION("""COMPUTED_VALUE"""),334)</f>
        <v>334</v>
      </c>
      <c r="C339" t="str">
        <f ca="1">IFERROR(__xludf.DUMMYFUNCTION("""COMPUTED_VALUE"""),"Adilson da Silva")</f>
        <v>Adilson da Silva</v>
      </c>
      <c r="D339">
        <f ca="1">IFERROR(__xludf.DUMMYFUNCTION("""COMPUTED_VALUE"""),43)</f>
        <v>43</v>
      </c>
      <c r="E339">
        <f ca="1">IFERROR(__xludf.DUMMYFUNCTION("""COMPUTED_VALUE"""),0.5)</f>
        <v>0.5</v>
      </c>
      <c r="F339">
        <f ca="1">IFERROR(__xludf.DUMMYFUNCTION("""COMPUTED_VALUE"""),21.48)</f>
        <v>21.48</v>
      </c>
      <c r="G339">
        <f ca="1">IFERROR(__xludf.DUMMYFUNCTION("""COMPUTED_VALUE"""),-14.6)</f>
        <v>-14.6</v>
      </c>
      <c r="H339">
        <f ca="1">IFERROR(__xludf.DUMMYFUNCTION("""COMPUTED_VALUE"""),13.07)</f>
        <v>13.07</v>
      </c>
      <c r="I339" t="str">
        <f ca="1">IFERROR(__xludf.DUMMYFUNCTION("""COMPUTED_VALUE"""),"")</f>
        <v/>
      </c>
    </row>
    <row r="340" spans="1:9" ht="12.75">
      <c r="A340">
        <f ca="1">IFERROR(__xludf.DUMMYFUNCTION("""COMPUTED_VALUE"""),339)</f>
        <v>339</v>
      </c>
      <c r="B340">
        <f ca="1">IFERROR(__xludf.DUMMYFUNCTION("""COMPUTED_VALUE"""),356)</f>
        <v>356</v>
      </c>
      <c r="C340" t="str">
        <f ca="1">IFERROR(__xludf.DUMMYFUNCTION("""COMPUTED_VALUE"""),"Jonathan Caldwell")</f>
        <v>Jonathan Caldwell</v>
      </c>
      <c r="D340">
        <f ca="1">IFERROR(__xludf.DUMMYFUNCTION("""COMPUTED_VALUE"""),41)</f>
        <v>41</v>
      </c>
      <c r="E340">
        <f ca="1">IFERROR(__xludf.DUMMYFUNCTION("""COMPUTED_VALUE"""),0.5)</f>
        <v>0.5</v>
      </c>
      <c r="F340">
        <f ca="1">IFERROR(__xludf.DUMMYFUNCTION("""COMPUTED_VALUE"""),20.44)</f>
        <v>20.440000000000001</v>
      </c>
      <c r="G340">
        <f ca="1">IFERROR(__xludf.DUMMYFUNCTION("""COMPUTED_VALUE"""),-5.42)</f>
        <v>-5.42</v>
      </c>
      <c r="H340">
        <f ca="1">IFERROR(__xludf.DUMMYFUNCTION("""COMPUTED_VALUE"""),14.36)</f>
        <v>14.36</v>
      </c>
      <c r="I340" t="str">
        <f ca="1">IFERROR(__xludf.DUMMYFUNCTION("""COMPUTED_VALUE"""),"")</f>
        <v/>
      </c>
    </row>
    <row r="341" spans="1:9" ht="12.75">
      <c r="A341">
        <f ca="1">IFERROR(__xludf.DUMMYFUNCTION("""COMPUTED_VALUE"""),340)</f>
        <v>340</v>
      </c>
      <c r="B341">
        <f ca="1">IFERROR(__xludf.DUMMYFUNCTION("""COMPUTED_VALUE"""),337)</f>
        <v>337</v>
      </c>
      <c r="C341" t="str">
        <f ca="1">IFERROR(__xludf.DUMMYFUNCTION("""COMPUTED_VALUE"""),"Kramer Hickok")</f>
        <v>Kramer Hickok</v>
      </c>
      <c r="D341">
        <f ca="1">IFERROR(__xludf.DUMMYFUNCTION("""COMPUTED_VALUE"""),52)</f>
        <v>52</v>
      </c>
      <c r="E341">
        <f ca="1">IFERROR(__xludf.DUMMYFUNCTION("""COMPUTED_VALUE"""),0.5)</f>
        <v>0.5</v>
      </c>
      <c r="F341">
        <f ca="1">IFERROR(__xludf.DUMMYFUNCTION("""COMPUTED_VALUE"""),25.81)</f>
        <v>25.81</v>
      </c>
      <c r="G341">
        <f ca="1">IFERROR(__xludf.DUMMYFUNCTION("""COMPUTED_VALUE"""),-24.57)</f>
        <v>-24.57</v>
      </c>
      <c r="H341">
        <f ca="1">IFERROR(__xludf.DUMMYFUNCTION("""COMPUTED_VALUE"""),11.28)</f>
        <v>11.28</v>
      </c>
      <c r="I341" t="str">
        <f ca="1">IFERROR(__xludf.DUMMYFUNCTION("""COMPUTED_VALUE"""),"")</f>
        <v/>
      </c>
    </row>
    <row r="342" spans="1:9" ht="12.75">
      <c r="A342">
        <f ca="1">IFERROR(__xludf.DUMMYFUNCTION("""COMPUTED_VALUE"""),341)</f>
        <v>341</v>
      </c>
      <c r="B342">
        <f ca="1">IFERROR(__xludf.DUMMYFUNCTION("""COMPUTED_VALUE"""),348)</f>
        <v>348</v>
      </c>
      <c r="C342" t="str">
        <f ca="1">IFERROR(__xludf.DUMMYFUNCTION("""COMPUTED_VALUE"""),"Shubhankar Sharma")</f>
        <v>Shubhankar Sharma</v>
      </c>
      <c r="D342">
        <f ca="1">IFERROR(__xludf.DUMMYFUNCTION("""COMPUTED_VALUE"""),52)</f>
        <v>52</v>
      </c>
      <c r="E342">
        <f ca="1">IFERROR(__xludf.DUMMYFUNCTION("""COMPUTED_VALUE"""),0.49)</f>
        <v>0.49</v>
      </c>
      <c r="F342">
        <f ca="1">IFERROR(__xludf.DUMMYFUNCTION("""COMPUTED_VALUE"""),25.55)</f>
        <v>25.55</v>
      </c>
      <c r="G342">
        <f ca="1">IFERROR(__xludf.DUMMYFUNCTION("""COMPUTED_VALUE"""),-21.56)</f>
        <v>-21.56</v>
      </c>
      <c r="H342">
        <f ca="1">IFERROR(__xludf.DUMMYFUNCTION("""COMPUTED_VALUE"""),7.13)</f>
        <v>7.13</v>
      </c>
      <c r="I342" t="str">
        <f ca="1">IFERROR(__xludf.DUMMYFUNCTION("""COMPUTED_VALUE"""),"")</f>
        <v/>
      </c>
    </row>
    <row r="343" spans="1:9" ht="12.75">
      <c r="A343">
        <f ca="1">IFERROR(__xludf.DUMMYFUNCTION("""COMPUTED_VALUE"""),342)</f>
        <v>342</v>
      </c>
      <c r="B343">
        <f ca="1">IFERROR(__xludf.DUMMYFUNCTION("""COMPUTED_VALUE"""),369)</f>
        <v>369</v>
      </c>
      <c r="C343" t="str">
        <f ca="1">IFERROR(__xludf.DUMMYFUNCTION("""COMPUTED_VALUE"""),"Niklas Lemke")</f>
        <v>Niklas Lemke</v>
      </c>
      <c r="D343">
        <f ca="1">IFERROR(__xludf.DUMMYFUNCTION("""COMPUTED_VALUE"""),50)</f>
        <v>50</v>
      </c>
      <c r="E343">
        <f ca="1">IFERROR(__xludf.DUMMYFUNCTION("""COMPUTED_VALUE"""),0.49)</f>
        <v>0.49</v>
      </c>
      <c r="F343">
        <f ca="1">IFERROR(__xludf.DUMMYFUNCTION("""COMPUTED_VALUE"""),24.48)</f>
        <v>24.48</v>
      </c>
      <c r="G343">
        <f ca="1">IFERROR(__xludf.DUMMYFUNCTION("""COMPUTED_VALUE"""),-12.67)</f>
        <v>-12.67</v>
      </c>
      <c r="H343">
        <f ca="1">IFERROR(__xludf.DUMMYFUNCTION("""COMPUTED_VALUE"""),17.4)</f>
        <v>17.399999999999999</v>
      </c>
      <c r="I343" t="str">
        <f ca="1">IFERROR(__xludf.DUMMYFUNCTION("""COMPUTED_VALUE"""),"")</f>
        <v/>
      </c>
    </row>
    <row r="344" spans="1:9" ht="12.75">
      <c r="A344">
        <f ca="1">IFERROR(__xludf.DUMMYFUNCTION("""COMPUTED_VALUE"""),343)</f>
        <v>343</v>
      </c>
      <c r="B344">
        <f ca="1">IFERROR(__xludf.DUMMYFUNCTION("""COMPUTED_VALUE"""),341)</f>
        <v>341</v>
      </c>
      <c r="C344" t="str">
        <f ca="1">IFERROR(__xludf.DUMMYFUNCTION("""COMPUTED_VALUE"""),"Chris Stroud")</f>
        <v>Chris Stroud</v>
      </c>
      <c r="D344">
        <f ca="1">IFERROR(__xludf.DUMMYFUNCTION("""COMPUTED_VALUE"""),46)</f>
        <v>46</v>
      </c>
      <c r="E344">
        <f ca="1">IFERROR(__xludf.DUMMYFUNCTION("""COMPUTED_VALUE"""),0.49)</f>
        <v>0.49</v>
      </c>
      <c r="F344">
        <f ca="1">IFERROR(__xludf.DUMMYFUNCTION("""COMPUTED_VALUE"""),22.51)</f>
        <v>22.51</v>
      </c>
      <c r="G344">
        <f ca="1">IFERROR(__xludf.DUMMYFUNCTION("""COMPUTED_VALUE"""),-18.98)</f>
        <v>-18.98</v>
      </c>
      <c r="H344">
        <f ca="1">IFERROR(__xludf.DUMMYFUNCTION("""COMPUTED_VALUE"""),6.81)</f>
        <v>6.81</v>
      </c>
      <c r="I344" t="str">
        <f ca="1">IFERROR(__xludf.DUMMYFUNCTION("""COMPUTED_VALUE"""),"")</f>
        <v/>
      </c>
    </row>
    <row r="345" spans="1:9" ht="12.75">
      <c r="A345">
        <f ca="1">IFERROR(__xludf.DUMMYFUNCTION("""COMPUTED_VALUE"""),344)</f>
        <v>344</v>
      </c>
      <c r="B345">
        <f ca="1">IFERROR(__xludf.DUMMYFUNCTION("""COMPUTED_VALUE"""),340)</f>
        <v>340</v>
      </c>
      <c r="C345" t="str">
        <f ca="1">IFERROR(__xludf.DUMMYFUNCTION("""COMPUTED_VALUE"""),"Evan Harmeling")</f>
        <v>Evan Harmeling</v>
      </c>
      <c r="D345">
        <f ca="1">IFERROR(__xludf.DUMMYFUNCTION("""COMPUTED_VALUE"""),44)</f>
        <v>44</v>
      </c>
      <c r="E345">
        <f ca="1">IFERROR(__xludf.DUMMYFUNCTION("""COMPUTED_VALUE"""),0.49)</f>
        <v>0.49</v>
      </c>
      <c r="F345">
        <f ca="1">IFERROR(__xludf.DUMMYFUNCTION("""COMPUTED_VALUE"""),21.53)</f>
        <v>21.53</v>
      </c>
      <c r="G345">
        <f ca="1">IFERROR(__xludf.DUMMYFUNCTION("""COMPUTED_VALUE"""),-6.25)</f>
        <v>-6.25</v>
      </c>
      <c r="H345">
        <f ca="1">IFERROR(__xludf.DUMMYFUNCTION("""COMPUTED_VALUE"""),15.25)</f>
        <v>15.25</v>
      </c>
      <c r="I345" t="str">
        <f ca="1">IFERROR(__xludf.DUMMYFUNCTION("""COMPUTED_VALUE"""),"")</f>
        <v/>
      </c>
    </row>
    <row r="346" spans="1:9" ht="12.75">
      <c r="A346">
        <f ca="1">IFERROR(__xludf.DUMMYFUNCTION("""COMPUTED_VALUE"""),345)</f>
        <v>345</v>
      </c>
      <c r="B346">
        <f ca="1">IFERROR(__xludf.DUMMYFUNCTION("""COMPUTED_VALUE"""),336)</f>
        <v>336</v>
      </c>
      <c r="C346" t="str">
        <f ca="1">IFERROR(__xludf.DUMMYFUNCTION("""COMPUTED_VALUE"""),"Thorbjørn Olesen")</f>
        <v>Thorbjørn Olesen</v>
      </c>
      <c r="D346">
        <f ca="1">IFERROR(__xludf.DUMMYFUNCTION("""COMPUTED_VALUE"""),40)</f>
        <v>40</v>
      </c>
      <c r="E346">
        <f ca="1">IFERROR(__xludf.DUMMYFUNCTION("""COMPUTED_VALUE"""),0.49)</f>
        <v>0.49</v>
      </c>
      <c r="F346">
        <f ca="1">IFERROR(__xludf.DUMMYFUNCTION("""COMPUTED_VALUE"""),19.56)</f>
        <v>19.559999999999999</v>
      </c>
      <c r="G346">
        <f ca="1">IFERROR(__xludf.DUMMYFUNCTION("""COMPUTED_VALUE"""),-48.53)</f>
        <v>-48.53</v>
      </c>
      <c r="H346">
        <f ca="1">IFERROR(__xludf.DUMMYFUNCTION("""COMPUTED_VALUE"""),4.96)</f>
        <v>4.96</v>
      </c>
      <c r="I346" t="str">
        <f ca="1">IFERROR(__xludf.DUMMYFUNCTION("""COMPUTED_VALUE"""),"")</f>
        <v/>
      </c>
    </row>
    <row r="347" spans="1:9" ht="12.75">
      <c r="A347">
        <f ca="1">IFERROR(__xludf.DUMMYFUNCTION("""COMPUTED_VALUE"""),346)</f>
        <v>346</v>
      </c>
      <c r="B347">
        <f ca="1">IFERROR(__xludf.DUMMYFUNCTION("""COMPUTED_VALUE"""),339)</f>
        <v>339</v>
      </c>
      <c r="C347" t="str">
        <f ca="1">IFERROR(__xludf.DUMMYFUNCTION("""COMPUTED_VALUE"""),"Roberto Díaz")</f>
        <v>Roberto Díaz</v>
      </c>
      <c r="D347">
        <f ca="1">IFERROR(__xludf.DUMMYFUNCTION("""COMPUTED_VALUE"""),52)</f>
        <v>52</v>
      </c>
      <c r="E347">
        <f ca="1">IFERROR(__xludf.DUMMYFUNCTION("""COMPUTED_VALUE"""),0.49)</f>
        <v>0.49</v>
      </c>
      <c r="F347">
        <f ca="1">IFERROR(__xludf.DUMMYFUNCTION("""COMPUTED_VALUE"""),25.36)</f>
        <v>25.36</v>
      </c>
      <c r="G347">
        <f ca="1">IFERROR(__xludf.DUMMYFUNCTION("""COMPUTED_VALUE"""),-12.01)</f>
        <v>-12.01</v>
      </c>
      <c r="H347">
        <f ca="1">IFERROR(__xludf.DUMMYFUNCTION("""COMPUTED_VALUE"""),18.89)</f>
        <v>18.89</v>
      </c>
      <c r="I347" t="str">
        <f ca="1">IFERROR(__xludf.DUMMYFUNCTION("""COMPUTED_VALUE"""),"")</f>
        <v/>
      </c>
    </row>
    <row r="348" spans="1:9" ht="12.75">
      <c r="A348">
        <f ca="1">IFERROR(__xludf.DUMMYFUNCTION("""COMPUTED_VALUE"""),347)</f>
        <v>347</v>
      </c>
      <c r="B348">
        <f ca="1">IFERROR(__xludf.DUMMYFUNCTION("""COMPUTED_VALUE"""),341)</f>
        <v>341</v>
      </c>
      <c r="C348" t="str">
        <f ca="1">IFERROR(__xludf.DUMMYFUNCTION("""COMPUTED_VALUE"""),"Thomas Roseenmoller")</f>
        <v>Thomas Roseenmoller</v>
      </c>
      <c r="D348">
        <f ca="1">IFERROR(__xludf.DUMMYFUNCTION("""COMPUTED_VALUE"""),40)</f>
        <v>40</v>
      </c>
      <c r="E348">
        <f ca="1">IFERROR(__xludf.DUMMYFUNCTION("""COMPUTED_VALUE"""),0.49)</f>
        <v>0.49</v>
      </c>
      <c r="F348">
        <f ca="1">IFERROR(__xludf.DUMMYFUNCTION("""COMPUTED_VALUE"""),19.49)</f>
        <v>19.489999999999998</v>
      </c>
      <c r="G348">
        <f ca="1">IFERROR(__xludf.DUMMYFUNCTION("""COMPUTED_VALUE"""),-2.16)</f>
        <v>-2.16</v>
      </c>
      <c r="H348">
        <f ca="1">IFERROR(__xludf.DUMMYFUNCTION("""COMPUTED_VALUE"""),18.31)</f>
        <v>18.309999999999999</v>
      </c>
      <c r="I348" t="str">
        <f ca="1">IFERROR(__xludf.DUMMYFUNCTION("""COMPUTED_VALUE"""),"")</f>
        <v/>
      </c>
    </row>
    <row r="349" spans="1:9" ht="12.75">
      <c r="A349">
        <f ca="1">IFERROR(__xludf.DUMMYFUNCTION("""COMPUTED_VALUE"""),348)</f>
        <v>348</v>
      </c>
      <c r="B349">
        <f ca="1">IFERROR(__xludf.DUMMYFUNCTION("""COMPUTED_VALUE"""),338)</f>
        <v>338</v>
      </c>
      <c r="C349" t="str">
        <f ca="1">IFERROR(__xludf.DUMMYFUNCTION("""COMPUTED_VALUE"""),"K.T. Kim")</f>
        <v>K.T. Kim</v>
      </c>
      <c r="D349">
        <f ca="1">IFERROR(__xludf.DUMMYFUNCTION("""COMPUTED_VALUE"""),46)</f>
        <v>46</v>
      </c>
      <c r="E349">
        <f ca="1">IFERROR(__xludf.DUMMYFUNCTION("""COMPUTED_VALUE"""),0.48)</f>
        <v>0.48</v>
      </c>
      <c r="F349">
        <f ca="1">IFERROR(__xludf.DUMMYFUNCTION("""COMPUTED_VALUE"""),22.09)</f>
        <v>22.09</v>
      </c>
      <c r="G349">
        <f ca="1">IFERROR(__xludf.DUMMYFUNCTION("""COMPUTED_VALUE"""),-14.38)</f>
        <v>-14.38</v>
      </c>
      <c r="H349">
        <f ca="1">IFERROR(__xludf.DUMMYFUNCTION("""COMPUTED_VALUE"""),0)</f>
        <v>0</v>
      </c>
      <c r="I349" t="str">
        <f ca="1">IFERROR(__xludf.DUMMYFUNCTION("""COMPUTED_VALUE"""),"")</f>
        <v/>
      </c>
    </row>
    <row r="350" spans="1:9" ht="12.75">
      <c r="A350">
        <f ca="1">IFERROR(__xludf.DUMMYFUNCTION("""COMPUTED_VALUE"""),349)</f>
        <v>349</v>
      </c>
      <c r="B350">
        <f ca="1">IFERROR(__xludf.DUMMYFUNCTION("""COMPUTED_VALUE"""),343)</f>
        <v>343</v>
      </c>
      <c r="C350" t="str">
        <f ca="1">IFERROR(__xludf.DUMMYFUNCTION("""COMPUTED_VALUE"""),"Roger Sloan")</f>
        <v>Roger Sloan</v>
      </c>
      <c r="D350">
        <f ca="1">IFERROR(__xludf.DUMMYFUNCTION("""COMPUTED_VALUE"""),52)</f>
        <v>52</v>
      </c>
      <c r="E350">
        <f ca="1">IFERROR(__xludf.DUMMYFUNCTION("""COMPUTED_VALUE"""),0.48)</f>
        <v>0.48</v>
      </c>
      <c r="F350">
        <f ca="1">IFERROR(__xludf.DUMMYFUNCTION("""COMPUTED_VALUE"""),24.96)</f>
        <v>24.96</v>
      </c>
      <c r="G350">
        <f ca="1">IFERROR(__xludf.DUMMYFUNCTION("""COMPUTED_VALUE"""),-19.81)</f>
        <v>-19.809999999999999</v>
      </c>
      <c r="H350">
        <f ca="1">IFERROR(__xludf.DUMMYFUNCTION("""COMPUTED_VALUE"""),8.2)</f>
        <v>8.1999999999999993</v>
      </c>
      <c r="I350" t="str">
        <f ca="1">IFERROR(__xludf.DUMMYFUNCTION("""COMPUTED_VALUE"""),"")</f>
        <v/>
      </c>
    </row>
    <row r="351" spans="1:9" ht="12.75">
      <c r="A351">
        <f ca="1">IFERROR(__xludf.DUMMYFUNCTION("""COMPUTED_VALUE"""),349)</f>
        <v>349</v>
      </c>
      <c r="B351">
        <f ca="1">IFERROR(__xludf.DUMMYFUNCTION("""COMPUTED_VALUE"""),345)</f>
        <v>345</v>
      </c>
      <c r="C351" t="str">
        <f ca="1">IFERROR(__xludf.DUMMYFUNCTION("""COMPUTED_VALUE"""),"Jeunghun Wang")</f>
        <v>Jeunghun Wang</v>
      </c>
      <c r="D351">
        <f ca="1">IFERROR(__xludf.DUMMYFUNCTION("""COMPUTED_VALUE"""),52)</f>
        <v>52</v>
      </c>
      <c r="E351">
        <f ca="1">IFERROR(__xludf.DUMMYFUNCTION("""COMPUTED_VALUE"""),0.48)</f>
        <v>0.48</v>
      </c>
      <c r="F351">
        <f ca="1">IFERROR(__xludf.DUMMYFUNCTION("""COMPUTED_VALUE"""),24.95)</f>
        <v>24.95</v>
      </c>
      <c r="G351">
        <f ca="1">IFERROR(__xludf.DUMMYFUNCTION("""COMPUTED_VALUE"""),-12.33)</f>
        <v>-12.33</v>
      </c>
      <c r="H351">
        <f ca="1">IFERROR(__xludf.DUMMYFUNCTION("""COMPUTED_VALUE"""),9.3)</f>
        <v>9.3000000000000007</v>
      </c>
      <c r="I351" t="str">
        <f ca="1">IFERROR(__xludf.DUMMYFUNCTION("""COMPUTED_VALUE"""),"")</f>
        <v/>
      </c>
    </row>
    <row r="352" spans="1:9" ht="12.75">
      <c r="A352">
        <f ca="1">IFERROR(__xludf.DUMMYFUNCTION("""COMPUTED_VALUE"""),351)</f>
        <v>351</v>
      </c>
      <c r="B352">
        <f ca="1">IFERROR(__xludf.DUMMYFUNCTION("""COMPUTED_VALUE"""),344)</f>
        <v>344</v>
      </c>
      <c r="C352" t="str">
        <f ca="1">IFERROR(__xludf.DUMMYFUNCTION("""COMPUTED_VALUE"""),"Ho Sung Choi")</f>
        <v>Ho Sung Choi</v>
      </c>
      <c r="D352">
        <f ca="1">IFERROR(__xludf.DUMMYFUNCTION("""COMPUTED_VALUE"""),52)</f>
        <v>52</v>
      </c>
      <c r="E352">
        <f ca="1">IFERROR(__xludf.DUMMYFUNCTION("""COMPUTED_VALUE"""),0.47)</f>
        <v>0.47</v>
      </c>
      <c r="F352">
        <f ca="1">IFERROR(__xludf.DUMMYFUNCTION("""COMPUTED_VALUE"""),24.63)</f>
        <v>24.63</v>
      </c>
      <c r="G352">
        <f ca="1">IFERROR(__xludf.DUMMYFUNCTION("""COMPUTED_VALUE"""),-25.1)</f>
        <v>-25.1</v>
      </c>
      <c r="H352">
        <f ca="1">IFERROR(__xludf.DUMMYFUNCTION("""COMPUTED_VALUE"""),0)</f>
        <v>0</v>
      </c>
      <c r="I352" t="str">
        <f ca="1">IFERROR(__xludf.DUMMYFUNCTION("""COMPUTED_VALUE"""),"")</f>
        <v/>
      </c>
    </row>
    <row r="353" spans="1:9" ht="12.75">
      <c r="A353">
        <f ca="1">IFERROR(__xludf.DUMMYFUNCTION("""COMPUTED_VALUE"""),352)</f>
        <v>352</v>
      </c>
      <c r="B353">
        <f ca="1">IFERROR(__xludf.DUMMYFUNCTION("""COMPUTED_VALUE"""),347)</f>
        <v>347</v>
      </c>
      <c r="C353" t="str">
        <f ca="1">IFERROR(__xludf.DUMMYFUNCTION("""COMPUTED_VALUE"""),"Joel Sjöholm")</f>
        <v>Joel Sjöholm</v>
      </c>
      <c r="D353">
        <f ca="1">IFERROR(__xludf.DUMMYFUNCTION("""COMPUTED_VALUE"""),45)</f>
        <v>45</v>
      </c>
      <c r="E353">
        <f ca="1">IFERROR(__xludf.DUMMYFUNCTION("""COMPUTED_VALUE"""),0.47)</f>
        <v>0.47</v>
      </c>
      <c r="F353">
        <f ca="1">IFERROR(__xludf.DUMMYFUNCTION("""COMPUTED_VALUE"""),20.97)</f>
        <v>20.97</v>
      </c>
      <c r="G353">
        <f ca="1">IFERROR(__xludf.DUMMYFUNCTION("""COMPUTED_VALUE"""),-12.34)</f>
        <v>-12.34</v>
      </c>
      <c r="H353">
        <f ca="1">IFERROR(__xludf.DUMMYFUNCTION("""COMPUTED_VALUE"""),2.61)</f>
        <v>2.61</v>
      </c>
      <c r="I353" t="str">
        <f ca="1">IFERROR(__xludf.DUMMYFUNCTION("""COMPUTED_VALUE"""),"")</f>
        <v/>
      </c>
    </row>
    <row r="354" spans="1:9" ht="12.75">
      <c r="A354">
        <f ca="1">IFERROR(__xludf.DUMMYFUNCTION("""COMPUTED_VALUE"""),353)</f>
        <v>353</v>
      </c>
      <c r="B354">
        <f ca="1">IFERROR(__xludf.DUMMYFUNCTION("""COMPUTED_VALUE"""),346)</f>
        <v>346</v>
      </c>
      <c r="C354" t="str">
        <f ca="1">IFERROR(__xludf.DUMMYFUNCTION("""COMPUTED_VALUE"""),"Lorenzo Gagli")</f>
        <v>Lorenzo Gagli</v>
      </c>
      <c r="D354">
        <f ca="1">IFERROR(__xludf.DUMMYFUNCTION("""COMPUTED_VALUE"""),52)</f>
        <v>52</v>
      </c>
      <c r="E354">
        <f ca="1">IFERROR(__xludf.DUMMYFUNCTION("""COMPUTED_VALUE"""),0.47)</f>
        <v>0.47</v>
      </c>
      <c r="F354">
        <f ca="1">IFERROR(__xludf.DUMMYFUNCTION("""COMPUTED_VALUE"""),24.2)</f>
        <v>24.2</v>
      </c>
      <c r="G354">
        <f ca="1">IFERROR(__xludf.DUMMYFUNCTION("""COMPUTED_VALUE"""),-13.97)</f>
        <v>-13.97</v>
      </c>
      <c r="H354">
        <f ca="1">IFERROR(__xludf.DUMMYFUNCTION("""COMPUTED_VALUE"""),13.87)</f>
        <v>13.87</v>
      </c>
      <c r="I354" t="str">
        <f ca="1">IFERROR(__xludf.DUMMYFUNCTION("""COMPUTED_VALUE"""),"")</f>
        <v/>
      </c>
    </row>
    <row r="355" spans="1:9" ht="12.75">
      <c r="A355">
        <f ca="1">IFERROR(__xludf.DUMMYFUNCTION("""COMPUTED_VALUE"""),354)</f>
        <v>354</v>
      </c>
      <c r="B355">
        <f ca="1">IFERROR(__xludf.DUMMYFUNCTION("""COMPUTED_VALUE"""),352)</f>
        <v>352</v>
      </c>
      <c r="C355" t="str">
        <f ca="1">IFERROR(__xludf.DUMMYFUNCTION("""COMPUTED_VALUE"""),"Mathinus Viljoen")</f>
        <v>Mathinus Viljoen</v>
      </c>
      <c r="D355">
        <f ca="1">IFERROR(__xludf.DUMMYFUNCTION("""COMPUTED_VALUE"""),41)</f>
        <v>41</v>
      </c>
      <c r="E355">
        <f ca="1">IFERROR(__xludf.DUMMYFUNCTION("""COMPUTED_VALUE"""),0.46)</f>
        <v>0.46</v>
      </c>
      <c r="F355">
        <f ca="1">IFERROR(__xludf.DUMMYFUNCTION("""COMPUTED_VALUE"""),18.88)</f>
        <v>18.88</v>
      </c>
      <c r="G355">
        <f ca="1">IFERROR(__xludf.DUMMYFUNCTION("""COMPUTED_VALUE"""),-4.52)</f>
        <v>-4.5199999999999996</v>
      </c>
      <c r="H355">
        <f ca="1">IFERROR(__xludf.DUMMYFUNCTION("""COMPUTED_VALUE"""),12.55)</f>
        <v>12.55</v>
      </c>
      <c r="I355" t="str">
        <f ca="1">IFERROR(__xludf.DUMMYFUNCTION("""COMPUTED_VALUE"""),"")</f>
        <v/>
      </c>
    </row>
    <row r="356" spans="1:9" ht="12.75">
      <c r="A356">
        <f ca="1">IFERROR(__xludf.DUMMYFUNCTION("""COMPUTED_VALUE"""),355)</f>
        <v>355</v>
      </c>
      <c r="B356">
        <f ca="1">IFERROR(__xludf.DUMMYFUNCTION("""COMPUTED_VALUE"""),350)</f>
        <v>350</v>
      </c>
      <c r="C356" t="str">
        <f ca="1">IFERROR(__xludf.DUMMYFUNCTION("""COMPUTED_VALUE"""),"Grant Forrest")</f>
        <v>Grant Forrest</v>
      </c>
      <c r="D356">
        <f ca="1">IFERROR(__xludf.DUMMYFUNCTION("""COMPUTED_VALUE"""),52)</f>
        <v>52</v>
      </c>
      <c r="E356">
        <f ca="1">IFERROR(__xludf.DUMMYFUNCTION("""COMPUTED_VALUE"""),0.46)</f>
        <v>0.46</v>
      </c>
      <c r="F356">
        <f ca="1">IFERROR(__xludf.DUMMYFUNCTION("""COMPUTED_VALUE"""),23.89)</f>
        <v>23.89</v>
      </c>
      <c r="G356">
        <f ca="1">IFERROR(__xludf.DUMMYFUNCTION("""COMPUTED_VALUE"""),-18.97)</f>
        <v>-18.97</v>
      </c>
      <c r="H356">
        <f ca="1">IFERROR(__xludf.DUMMYFUNCTION("""COMPUTED_VALUE"""),15.03)</f>
        <v>15.03</v>
      </c>
      <c r="I356" t="str">
        <f ca="1">IFERROR(__xludf.DUMMYFUNCTION("""COMPUTED_VALUE"""),"")</f>
        <v/>
      </c>
    </row>
    <row r="357" spans="1:9" ht="12.75">
      <c r="A357">
        <f ca="1">IFERROR(__xludf.DUMMYFUNCTION("""COMPUTED_VALUE"""),356)</f>
        <v>356</v>
      </c>
      <c r="B357">
        <f ca="1">IFERROR(__xludf.DUMMYFUNCTION("""COMPUTED_VALUE"""),349)</f>
        <v>349</v>
      </c>
      <c r="C357" t="str">
        <f ca="1">IFERROR(__xludf.DUMMYFUNCTION("""COMPUTED_VALUE"""),"Suradit Yongcharoenchai")</f>
        <v>Suradit Yongcharoenchai</v>
      </c>
      <c r="D357">
        <f ca="1">IFERROR(__xludf.DUMMYFUNCTION("""COMPUTED_VALUE"""),47)</f>
        <v>47</v>
      </c>
      <c r="E357">
        <f ca="1">IFERROR(__xludf.DUMMYFUNCTION("""COMPUTED_VALUE"""),0.46)</f>
        <v>0.46</v>
      </c>
      <c r="F357">
        <f ca="1">IFERROR(__xludf.DUMMYFUNCTION("""COMPUTED_VALUE"""),21.58)</f>
        <v>21.58</v>
      </c>
      <c r="G357">
        <f ca="1">IFERROR(__xludf.DUMMYFUNCTION("""COMPUTED_VALUE"""),-16.7)</f>
        <v>-16.7</v>
      </c>
      <c r="H357">
        <f ca="1">IFERROR(__xludf.DUMMYFUNCTION("""COMPUTED_VALUE"""),1.21)</f>
        <v>1.21</v>
      </c>
      <c r="I357" t="str">
        <f ca="1">IFERROR(__xludf.DUMMYFUNCTION("""COMPUTED_VALUE"""),"")</f>
        <v/>
      </c>
    </row>
    <row r="358" spans="1:9" ht="12.75">
      <c r="A358">
        <f ca="1">IFERROR(__xludf.DUMMYFUNCTION("""COMPUTED_VALUE"""),357)</f>
        <v>357</v>
      </c>
      <c r="B358">
        <f ca="1">IFERROR(__xludf.DUMMYFUNCTION("""COMPUTED_VALUE"""),355)</f>
        <v>355</v>
      </c>
      <c r="C358" t="str">
        <f ca="1">IFERROR(__xludf.DUMMYFUNCTION("""COMPUTED_VALUE"""),"Augusto Núñez")</f>
        <v>Augusto Núñez</v>
      </c>
      <c r="D358">
        <f ca="1">IFERROR(__xludf.DUMMYFUNCTION("""COMPUTED_VALUE"""),46)</f>
        <v>46</v>
      </c>
      <c r="E358">
        <f ca="1">IFERROR(__xludf.DUMMYFUNCTION("""COMPUTED_VALUE"""),0.46)</f>
        <v>0.46</v>
      </c>
      <c r="F358">
        <f ca="1">IFERROR(__xludf.DUMMYFUNCTION("""COMPUTED_VALUE"""),20.99)</f>
        <v>20.99</v>
      </c>
      <c r="G358">
        <f ca="1">IFERROR(__xludf.DUMMYFUNCTION("""COMPUTED_VALUE"""),-9.24)</f>
        <v>-9.24</v>
      </c>
      <c r="H358">
        <f ca="1">IFERROR(__xludf.DUMMYFUNCTION("""COMPUTED_VALUE"""),8.38)</f>
        <v>8.3800000000000008</v>
      </c>
      <c r="I358" t="str">
        <f ca="1">IFERROR(__xludf.DUMMYFUNCTION("""COMPUTED_VALUE"""),"")</f>
        <v/>
      </c>
    </row>
    <row r="359" spans="1:9" ht="12.75">
      <c r="A359">
        <f ca="1">IFERROR(__xludf.DUMMYFUNCTION("""COMPUTED_VALUE"""),358)</f>
        <v>358</v>
      </c>
      <c r="B359">
        <f ca="1">IFERROR(__xludf.DUMMYFUNCTION("""COMPUTED_VALUE"""),360)</f>
        <v>360</v>
      </c>
      <c r="C359" t="str">
        <f ca="1">IFERROR(__xludf.DUMMYFUNCTION("""COMPUTED_VALUE"""),"Dan McCarthy")</f>
        <v>Dan McCarthy</v>
      </c>
      <c r="D359">
        <f ca="1">IFERROR(__xludf.DUMMYFUNCTION("""COMPUTED_VALUE"""),48)</f>
        <v>48</v>
      </c>
      <c r="E359">
        <f ca="1">IFERROR(__xludf.DUMMYFUNCTION("""COMPUTED_VALUE"""),0.45)</f>
        <v>0.45</v>
      </c>
      <c r="F359">
        <f ca="1">IFERROR(__xludf.DUMMYFUNCTION("""COMPUTED_VALUE"""),21.76)</f>
        <v>21.76</v>
      </c>
      <c r="G359">
        <f ca="1">IFERROR(__xludf.DUMMYFUNCTION("""COMPUTED_VALUE"""),-6.64)</f>
        <v>-6.64</v>
      </c>
      <c r="H359">
        <f ca="1">IFERROR(__xludf.DUMMYFUNCTION("""COMPUTED_VALUE"""),17.22)</f>
        <v>17.22</v>
      </c>
      <c r="I359" t="str">
        <f ca="1">IFERROR(__xludf.DUMMYFUNCTION("""COMPUTED_VALUE"""),"")</f>
        <v/>
      </c>
    </row>
    <row r="360" spans="1:9" ht="12.75">
      <c r="A360">
        <f ca="1">IFERROR(__xludf.DUMMYFUNCTION("""COMPUTED_VALUE"""),359)</f>
        <v>359</v>
      </c>
      <c r="B360">
        <f ca="1">IFERROR(__xludf.DUMMYFUNCTION("""COMPUTED_VALUE"""),368)</f>
        <v>368</v>
      </c>
      <c r="C360" t="str">
        <f ca="1">IFERROR(__xludf.DUMMYFUNCTION("""COMPUTED_VALUE"""),"Ashun Wu")</f>
        <v>Ashun Wu</v>
      </c>
      <c r="D360">
        <f ca="1">IFERROR(__xludf.DUMMYFUNCTION("""COMPUTED_VALUE"""),50)</f>
        <v>50</v>
      </c>
      <c r="E360">
        <f ca="1">IFERROR(__xludf.DUMMYFUNCTION("""COMPUTED_VALUE"""),0.45)</f>
        <v>0.45</v>
      </c>
      <c r="F360">
        <f ca="1">IFERROR(__xludf.DUMMYFUNCTION("""COMPUTED_VALUE"""),22.49)</f>
        <v>22.49</v>
      </c>
      <c r="G360">
        <f ca="1">IFERROR(__xludf.DUMMYFUNCTION("""COMPUTED_VALUE"""),-20.42)</f>
        <v>-20.420000000000002</v>
      </c>
      <c r="H360">
        <f ca="1">IFERROR(__xludf.DUMMYFUNCTION("""COMPUTED_VALUE"""),16.8)</f>
        <v>16.8</v>
      </c>
      <c r="I360" t="str">
        <f ca="1">IFERROR(__xludf.DUMMYFUNCTION("""COMPUTED_VALUE"""),"")</f>
        <v/>
      </c>
    </row>
    <row r="361" spans="1:9" ht="12.75">
      <c r="A361">
        <f ca="1">IFERROR(__xludf.DUMMYFUNCTION("""COMPUTED_VALUE"""),360)</f>
        <v>360</v>
      </c>
      <c r="B361">
        <f ca="1">IFERROR(__xludf.DUMMYFUNCTION("""COMPUTED_VALUE"""),351)</f>
        <v>351</v>
      </c>
      <c r="C361" t="str">
        <f ca="1">IFERROR(__xludf.DUMMYFUNCTION("""COMPUTED_VALUE"""),"Wonjoon Lee")</f>
        <v>Wonjoon Lee</v>
      </c>
      <c r="D361">
        <f ca="1">IFERROR(__xludf.DUMMYFUNCTION("""COMPUTED_VALUE"""),48)</f>
        <v>48</v>
      </c>
      <c r="E361">
        <f ca="1">IFERROR(__xludf.DUMMYFUNCTION("""COMPUTED_VALUE"""),0.45)</f>
        <v>0.45</v>
      </c>
      <c r="F361">
        <f ca="1">IFERROR(__xludf.DUMMYFUNCTION("""COMPUTED_VALUE"""),21.58)</f>
        <v>21.58</v>
      </c>
      <c r="G361">
        <f ca="1">IFERROR(__xludf.DUMMYFUNCTION("""COMPUTED_VALUE"""),-12.34)</f>
        <v>-12.34</v>
      </c>
      <c r="H361">
        <f ca="1">IFERROR(__xludf.DUMMYFUNCTION("""COMPUTED_VALUE"""),13.05)</f>
        <v>13.05</v>
      </c>
      <c r="I361" t="str">
        <f ca="1">IFERROR(__xludf.DUMMYFUNCTION("""COMPUTED_VALUE"""),"")</f>
        <v/>
      </c>
    </row>
    <row r="362" spans="1:9" ht="12.75">
      <c r="A362">
        <f ca="1">IFERROR(__xludf.DUMMYFUNCTION("""COMPUTED_VALUE"""),361)</f>
        <v>361</v>
      </c>
      <c r="B362">
        <f ca="1">IFERROR(__xludf.DUMMYFUNCTION("""COMPUTED_VALUE"""),353)</f>
        <v>353</v>
      </c>
      <c r="C362" t="str">
        <f ca="1">IFERROR(__xludf.DUMMYFUNCTION("""COMPUTED_VALUE"""),"Bronson Burgoon")</f>
        <v>Bronson Burgoon</v>
      </c>
      <c r="D362">
        <f ca="1">IFERROR(__xludf.DUMMYFUNCTION("""COMPUTED_VALUE"""),47)</f>
        <v>47</v>
      </c>
      <c r="E362">
        <f ca="1">IFERROR(__xludf.DUMMYFUNCTION("""COMPUTED_VALUE"""),0.45)</f>
        <v>0.45</v>
      </c>
      <c r="F362">
        <f ca="1">IFERROR(__xludf.DUMMYFUNCTION("""COMPUTED_VALUE"""),21.05)</f>
        <v>21.05</v>
      </c>
      <c r="G362">
        <f ca="1">IFERROR(__xludf.DUMMYFUNCTION("""COMPUTED_VALUE"""),-26.87)</f>
        <v>-26.87</v>
      </c>
      <c r="H362">
        <f ca="1">IFERROR(__xludf.DUMMYFUNCTION("""COMPUTED_VALUE"""),4.98)</f>
        <v>4.9800000000000004</v>
      </c>
      <c r="I362" t="str">
        <f ca="1">IFERROR(__xludf.DUMMYFUNCTION("""COMPUTED_VALUE"""),"")</f>
        <v/>
      </c>
    </row>
    <row r="363" spans="1:9" ht="12.75">
      <c r="A363">
        <f ca="1">IFERROR(__xludf.DUMMYFUNCTION("""COMPUTED_VALUE"""),362)</f>
        <v>362</v>
      </c>
      <c r="B363">
        <f ca="1">IFERROR(__xludf.DUMMYFUNCTION("""COMPUTED_VALUE"""),359)</f>
        <v>359</v>
      </c>
      <c r="C363" t="str">
        <f ca="1">IFERROR(__xludf.DUMMYFUNCTION("""COMPUTED_VALUE"""),"Marcel Schneider")</f>
        <v>Marcel Schneider</v>
      </c>
      <c r="D363">
        <f ca="1">IFERROR(__xludf.DUMMYFUNCTION("""COMPUTED_VALUE"""),50)</f>
        <v>50</v>
      </c>
      <c r="E363">
        <f ca="1">IFERROR(__xludf.DUMMYFUNCTION("""COMPUTED_VALUE"""),0.44)</f>
        <v>0.44</v>
      </c>
      <c r="F363">
        <f ca="1">IFERROR(__xludf.DUMMYFUNCTION("""COMPUTED_VALUE"""),22.14)</f>
        <v>22.14</v>
      </c>
      <c r="G363">
        <f ca="1">IFERROR(__xludf.DUMMYFUNCTION("""COMPUTED_VALUE"""),-10.36)</f>
        <v>-10.36</v>
      </c>
      <c r="H363">
        <f ca="1">IFERROR(__xludf.DUMMYFUNCTION("""COMPUTED_VALUE"""),16.8)</f>
        <v>16.8</v>
      </c>
      <c r="I363" t="str">
        <f ca="1">IFERROR(__xludf.DUMMYFUNCTION("""COMPUTED_VALUE"""),"")</f>
        <v/>
      </c>
    </row>
    <row r="364" spans="1:9" ht="12.75">
      <c r="A364">
        <f ca="1">IFERROR(__xludf.DUMMYFUNCTION("""COMPUTED_VALUE"""),363)</f>
        <v>363</v>
      </c>
      <c r="B364">
        <f ca="1">IFERROR(__xludf.DUMMYFUNCTION("""COMPUTED_VALUE"""),358)</f>
        <v>358</v>
      </c>
      <c r="C364" t="str">
        <f ca="1">IFERROR(__xludf.DUMMYFUNCTION("""COMPUTED_VALUE"""),"Josh Younger")</f>
        <v>Josh Younger</v>
      </c>
      <c r="D364">
        <f ca="1">IFERROR(__xludf.DUMMYFUNCTION("""COMPUTED_VALUE"""),40)</f>
        <v>40</v>
      </c>
      <c r="E364">
        <f ca="1">IFERROR(__xludf.DUMMYFUNCTION("""COMPUTED_VALUE"""),0.44)</f>
        <v>0.44</v>
      </c>
      <c r="F364">
        <f ca="1">IFERROR(__xludf.DUMMYFUNCTION("""COMPUTED_VALUE"""),17.65)</f>
        <v>17.649999999999999</v>
      </c>
      <c r="G364">
        <f ca="1">IFERROR(__xludf.DUMMYFUNCTION("""COMPUTED_VALUE"""),-9.83)</f>
        <v>-9.83</v>
      </c>
      <c r="H364">
        <f ca="1">IFERROR(__xludf.DUMMYFUNCTION("""COMPUTED_VALUE"""),0)</f>
        <v>0</v>
      </c>
      <c r="I364" t="str">
        <f ca="1">IFERROR(__xludf.DUMMYFUNCTION("""COMPUTED_VALUE"""),"")</f>
        <v/>
      </c>
    </row>
    <row r="365" spans="1:9" ht="12.75">
      <c r="A365">
        <f ca="1">IFERROR(__xludf.DUMMYFUNCTION("""COMPUTED_VALUE"""),364)</f>
        <v>364</v>
      </c>
      <c r="B365">
        <f ca="1">IFERROR(__xludf.DUMMYFUNCTION("""COMPUTED_VALUE"""),357)</f>
        <v>357</v>
      </c>
      <c r="C365" t="str">
        <f ca="1">IFERROR(__xludf.DUMMYFUNCTION("""COMPUTED_VALUE"""),"Wes Roach")</f>
        <v>Wes Roach</v>
      </c>
      <c r="D365">
        <f ca="1">IFERROR(__xludf.DUMMYFUNCTION("""COMPUTED_VALUE"""),52)</f>
        <v>52</v>
      </c>
      <c r="E365">
        <f ca="1">IFERROR(__xludf.DUMMYFUNCTION("""COMPUTED_VALUE"""),0.44)</f>
        <v>0.44</v>
      </c>
      <c r="F365">
        <f ca="1">IFERROR(__xludf.DUMMYFUNCTION("""COMPUTED_VALUE"""),22.91)</f>
        <v>22.91</v>
      </c>
      <c r="G365">
        <f ca="1">IFERROR(__xludf.DUMMYFUNCTION("""COMPUTED_VALUE"""),-17.33)</f>
        <v>-17.329999999999998</v>
      </c>
      <c r="H365">
        <f ca="1">IFERROR(__xludf.DUMMYFUNCTION("""COMPUTED_VALUE"""),8.23)</f>
        <v>8.23</v>
      </c>
      <c r="I365" t="str">
        <f ca="1">IFERROR(__xludf.DUMMYFUNCTION("""COMPUTED_VALUE"""),"")</f>
        <v/>
      </c>
    </row>
    <row r="366" spans="1:9" ht="12.75">
      <c r="A366">
        <f ca="1">IFERROR(__xludf.DUMMYFUNCTION("""COMPUTED_VALUE"""),365)</f>
        <v>365</v>
      </c>
      <c r="B366">
        <f ca="1">IFERROR(__xludf.DUMMYFUNCTION("""COMPUTED_VALUE"""),365)</f>
        <v>365</v>
      </c>
      <c r="C366" t="str">
        <f ca="1">IFERROR(__xludf.DUMMYFUNCTION("""COMPUTED_VALUE"""),"Aaron Baddeley")</f>
        <v>Aaron Baddeley</v>
      </c>
      <c r="D366">
        <f ca="1">IFERROR(__xludf.DUMMYFUNCTION("""COMPUTED_VALUE"""),43)</f>
        <v>43</v>
      </c>
      <c r="E366">
        <f ca="1">IFERROR(__xludf.DUMMYFUNCTION("""COMPUTED_VALUE"""),0.44)</f>
        <v>0.44</v>
      </c>
      <c r="F366">
        <f ca="1">IFERROR(__xludf.DUMMYFUNCTION("""COMPUTED_VALUE"""),18.85)</f>
        <v>18.850000000000001</v>
      </c>
      <c r="G366">
        <f ca="1">IFERROR(__xludf.DUMMYFUNCTION("""COMPUTED_VALUE"""),-19.82)</f>
        <v>-19.82</v>
      </c>
      <c r="H366">
        <f ca="1">IFERROR(__xludf.DUMMYFUNCTION("""COMPUTED_VALUE"""),5.94)</f>
        <v>5.94</v>
      </c>
      <c r="I366" t="str">
        <f ca="1">IFERROR(__xludf.DUMMYFUNCTION("""COMPUTED_VALUE"""),"")</f>
        <v/>
      </c>
    </row>
    <row r="367" spans="1:9" ht="12.75">
      <c r="A367">
        <f ca="1">IFERROR(__xludf.DUMMYFUNCTION("""COMPUTED_VALUE"""),366)</f>
        <v>366</v>
      </c>
      <c r="B367">
        <f ca="1">IFERROR(__xludf.DUMMYFUNCTION("""COMPUTED_VALUE"""),361)</f>
        <v>361</v>
      </c>
      <c r="C367" t="str">
        <f ca="1">IFERROR(__xludf.DUMMYFUNCTION("""COMPUTED_VALUE"""),"Daijiro Izumida")</f>
        <v>Daijiro Izumida</v>
      </c>
      <c r="D367">
        <f ca="1">IFERROR(__xludf.DUMMYFUNCTION("""COMPUTED_VALUE"""),40)</f>
        <v>40</v>
      </c>
      <c r="E367">
        <f ca="1">IFERROR(__xludf.DUMMYFUNCTION("""COMPUTED_VALUE"""),0.44)</f>
        <v>0.44</v>
      </c>
      <c r="F367">
        <f ca="1">IFERROR(__xludf.DUMMYFUNCTION("""COMPUTED_VALUE"""),17.41)</f>
        <v>17.41</v>
      </c>
      <c r="G367">
        <f ca="1">IFERROR(__xludf.DUMMYFUNCTION("""COMPUTED_VALUE"""),-12.92)</f>
        <v>-12.92</v>
      </c>
      <c r="H367">
        <f ca="1">IFERROR(__xludf.DUMMYFUNCTION("""COMPUTED_VALUE"""),5.98)</f>
        <v>5.98</v>
      </c>
      <c r="I367" t="str">
        <f ca="1">IFERROR(__xludf.DUMMYFUNCTION("""COMPUTED_VALUE"""),"")</f>
        <v/>
      </c>
    </row>
    <row r="368" spans="1:9" ht="12.75">
      <c r="A368">
        <f ca="1">IFERROR(__xludf.DUMMYFUNCTION("""COMPUTED_VALUE"""),367)</f>
        <v>367</v>
      </c>
      <c r="B368">
        <f ca="1">IFERROR(__xludf.DUMMYFUNCTION("""COMPUTED_VALUE"""),362)</f>
        <v>362</v>
      </c>
      <c r="C368" t="str">
        <f ca="1">IFERROR(__xludf.DUMMYFUNCTION("""COMPUTED_VALUE"""),"Shota Akiyoshi")</f>
        <v>Shota Akiyoshi</v>
      </c>
      <c r="D368">
        <f ca="1">IFERROR(__xludf.DUMMYFUNCTION("""COMPUTED_VALUE"""),41)</f>
        <v>41</v>
      </c>
      <c r="E368">
        <f ca="1">IFERROR(__xludf.DUMMYFUNCTION("""COMPUTED_VALUE"""),0.43)</f>
        <v>0.43</v>
      </c>
      <c r="F368">
        <f ca="1">IFERROR(__xludf.DUMMYFUNCTION("""COMPUTED_VALUE"""),17.82)</f>
        <v>17.82</v>
      </c>
      <c r="G368">
        <f ca="1">IFERROR(__xludf.DUMMYFUNCTION("""COMPUTED_VALUE"""),-24.02)</f>
        <v>-24.02</v>
      </c>
      <c r="H368">
        <f ca="1">IFERROR(__xludf.DUMMYFUNCTION("""COMPUTED_VALUE"""),0)</f>
        <v>0</v>
      </c>
      <c r="I368" t="str">
        <f ca="1">IFERROR(__xludf.DUMMYFUNCTION("""COMPUTED_VALUE"""),"")</f>
        <v/>
      </c>
    </row>
    <row r="369" spans="1:9" ht="12.75">
      <c r="A369">
        <f ca="1">IFERROR(__xludf.DUMMYFUNCTION("""COMPUTED_VALUE"""),368)</f>
        <v>368</v>
      </c>
      <c r="B369">
        <f ca="1">IFERROR(__xludf.DUMMYFUNCTION("""COMPUTED_VALUE"""),392)</f>
        <v>392</v>
      </c>
      <c r="C369" t="str">
        <f ca="1">IFERROR(__xludf.DUMMYFUNCTION("""COMPUTED_VALUE"""),"Satoshi Kodaira")</f>
        <v>Satoshi Kodaira</v>
      </c>
      <c r="D369">
        <f ca="1">IFERROR(__xludf.DUMMYFUNCTION("""COMPUTED_VALUE"""),48)</f>
        <v>48</v>
      </c>
      <c r="E369">
        <f ca="1">IFERROR(__xludf.DUMMYFUNCTION("""COMPUTED_VALUE"""),0.43)</f>
        <v>0.43</v>
      </c>
      <c r="F369">
        <f ca="1">IFERROR(__xludf.DUMMYFUNCTION("""COMPUTED_VALUE"""),20.85)</f>
        <v>20.85</v>
      </c>
      <c r="G369">
        <f ca="1">IFERROR(__xludf.DUMMYFUNCTION("""COMPUTED_VALUE"""),-29.38)</f>
        <v>-29.38</v>
      </c>
      <c r="H369">
        <f ca="1">IFERROR(__xludf.DUMMYFUNCTION("""COMPUTED_VALUE"""),4.36)</f>
        <v>4.3600000000000003</v>
      </c>
      <c r="I369" t="str">
        <f ca="1">IFERROR(__xludf.DUMMYFUNCTION("""COMPUTED_VALUE"""),"")</f>
        <v/>
      </c>
    </row>
    <row r="370" spans="1:9" ht="12.75">
      <c r="A370">
        <f ca="1">IFERROR(__xludf.DUMMYFUNCTION("""COMPUTED_VALUE"""),368)</f>
        <v>368</v>
      </c>
      <c r="B370">
        <f ca="1">IFERROR(__xludf.DUMMYFUNCTION("""COMPUTED_VALUE"""),363)</f>
        <v>363</v>
      </c>
      <c r="C370" t="str">
        <f ca="1">IFERROR(__xludf.DUMMYFUNCTION("""COMPUTED_VALUE"""),"Ewen Ferguson")</f>
        <v>Ewen Ferguson</v>
      </c>
      <c r="D370">
        <f ca="1">IFERROR(__xludf.DUMMYFUNCTION("""COMPUTED_VALUE"""),51)</f>
        <v>51</v>
      </c>
      <c r="E370">
        <f ca="1">IFERROR(__xludf.DUMMYFUNCTION("""COMPUTED_VALUE"""),0.43)</f>
        <v>0.43</v>
      </c>
      <c r="F370">
        <f ca="1">IFERROR(__xludf.DUMMYFUNCTION("""COMPUTED_VALUE"""),22.15)</f>
        <v>22.15</v>
      </c>
      <c r="G370">
        <f ca="1">IFERROR(__xludf.DUMMYFUNCTION("""COMPUTED_VALUE"""),-14.71)</f>
        <v>-14.71</v>
      </c>
      <c r="H370">
        <f ca="1">IFERROR(__xludf.DUMMYFUNCTION("""COMPUTED_VALUE"""),7.96)</f>
        <v>7.96</v>
      </c>
      <c r="I370" t="str">
        <f ca="1">IFERROR(__xludf.DUMMYFUNCTION("""COMPUTED_VALUE"""),"")</f>
        <v/>
      </c>
    </row>
    <row r="371" spans="1:9" ht="12.75">
      <c r="A371">
        <f ca="1">IFERROR(__xludf.DUMMYFUNCTION("""COMPUTED_VALUE"""),370)</f>
        <v>370</v>
      </c>
      <c r="B371">
        <f ca="1">IFERROR(__xludf.DUMMYFUNCTION("""COMPUTED_VALUE"""),366)</f>
        <v>366</v>
      </c>
      <c r="C371" t="str">
        <f ca="1">IFERROR(__xludf.DUMMYFUNCTION("""COMPUTED_VALUE"""),"Trevor Simsby")</f>
        <v>Trevor Simsby</v>
      </c>
      <c r="D371">
        <f ca="1">IFERROR(__xludf.DUMMYFUNCTION("""COMPUTED_VALUE"""),40)</f>
        <v>40</v>
      </c>
      <c r="E371">
        <f ca="1">IFERROR(__xludf.DUMMYFUNCTION("""COMPUTED_VALUE"""),0.43)</f>
        <v>0.43</v>
      </c>
      <c r="F371">
        <f ca="1">IFERROR(__xludf.DUMMYFUNCTION("""COMPUTED_VALUE"""),17.34)</f>
        <v>17.34</v>
      </c>
      <c r="G371">
        <f ca="1">IFERROR(__xludf.DUMMYFUNCTION("""COMPUTED_VALUE"""),-5.42)</f>
        <v>-5.42</v>
      </c>
      <c r="H371">
        <f ca="1">IFERROR(__xludf.DUMMYFUNCTION("""COMPUTED_VALUE"""),14)</f>
        <v>14</v>
      </c>
      <c r="I371" t="str">
        <f ca="1">IFERROR(__xludf.DUMMYFUNCTION("""COMPUTED_VALUE"""),"")</f>
        <v/>
      </c>
    </row>
    <row r="372" spans="1:9" ht="12.75">
      <c r="A372">
        <f ca="1">IFERROR(__xludf.DUMMYFUNCTION("""COMPUTED_VALUE"""),371)</f>
        <v>371</v>
      </c>
      <c r="B372">
        <f ca="1">IFERROR(__xludf.DUMMYFUNCTION("""COMPUTED_VALUE"""),367)</f>
        <v>367</v>
      </c>
      <c r="C372" t="str">
        <f ca="1">IFERROR(__xludf.DUMMYFUNCTION("""COMPUTED_VALUE"""),"Robert Streb")</f>
        <v>Robert Streb</v>
      </c>
      <c r="D372">
        <f ca="1">IFERROR(__xludf.DUMMYFUNCTION("""COMPUTED_VALUE"""),52)</f>
        <v>52</v>
      </c>
      <c r="E372">
        <f ca="1">IFERROR(__xludf.DUMMYFUNCTION("""COMPUTED_VALUE"""),0.43)</f>
        <v>0.43</v>
      </c>
      <c r="F372">
        <f ca="1">IFERROR(__xludf.DUMMYFUNCTION("""COMPUTED_VALUE"""),22.37)</f>
        <v>22.37</v>
      </c>
      <c r="G372">
        <f ca="1">IFERROR(__xludf.DUMMYFUNCTION("""COMPUTED_VALUE"""),-22.3)</f>
        <v>-22.3</v>
      </c>
      <c r="H372">
        <f ca="1">IFERROR(__xludf.DUMMYFUNCTION("""COMPUTED_VALUE"""),7.83)</f>
        <v>7.83</v>
      </c>
      <c r="I372" t="str">
        <f ca="1">IFERROR(__xludf.DUMMYFUNCTION("""COMPUTED_VALUE"""),"")</f>
        <v/>
      </c>
    </row>
    <row r="373" spans="1:9" ht="12.75">
      <c r="A373">
        <f ca="1">IFERROR(__xludf.DUMMYFUNCTION("""COMPUTED_VALUE"""),372)</f>
        <v>372</v>
      </c>
      <c r="B373">
        <f ca="1">IFERROR(__xludf.DUMMYFUNCTION("""COMPUTED_VALUE"""),364)</f>
        <v>364</v>
      </c>
      <c r="C373" t="str">
        <f ca="1">IFERROR(__xludf.DUMMYFUNCTION("""COMPUTED_VALUE"""),"David Drysdale")</f>
        <v>David Drysdale</v>
      </c>
      <c r="D373">
        <f ca="1">IFERROR(__xludf.DUMMYFUNCTION("""COMPUTED_VALUE"""),52)</f>
        <v>52</v>
      </c>
      <c r="E373">
        <f ca="1">IFERROR(__xludf.DUMMYFUNCTION("""COMPUTED_VALUE"""),0.43)</f>
        <v>0.43</v>
      </c>
      <c r="F373">
        <f ca="1">IFERROR(__xludf.DUMMYFUNCTION("""COMPUTED_VALUE"""),22.29)</f>
        <v>22.29</v>
      </c>
      <c r="G373">
        <f ca="1">IFERROR(__xludf.DUMMYFUNCTION("""COMPUTED_VALUE"""),-17.16)</f>
        <v>-17.16</v>
      </c>
      <c r="H373">
        <f ca="1">IFERROR(__xludf.DUMMYFUNCTION("""COMPUTED_VALUE"""),17.64)</f>
        <v>17.64</v>
      </c>
      <c r="I373" t="str">
        <f ca="1">IFERROR(__xludf.DUMMYFUNCTION("""COMPUTED_VALUE"""),"")</f>
        <v/>
      </c>
    </row>
    <row r="374" spans="1:9" ht="12.75">
      <c r="A374">
        <f ca="1">IFERROR(__xludf.DUMMYFUNCTION("""COMPUTED_VALUE"""),373)</f>
        <v>373</v>
      </c>
      <c r="B374">
        <f ca="1">IFERROR(__xludf.DUMMYFUNCTION("""COMPUTED_VALUE"""),372)</f>
        <v>372</v>
      </c>
      <c r="C374" t="str">
        <f ca="1">IFERROR(__xludf.DUMMYFUNCTION("""COMPUTED_VALUE"""),"Bryce Easton")</f>
        <v>Bryce Easton</v>
      </c>
      <c r="D374">
        <f ca="1">IFERROR(__xludf.DUMMYFUNCTION("""COMPUTED_VALUE"""),52)</f>
        <v>52</v>
      </c>
      <c r="E374">
        <f ca="1">IFERROR(__xludf.DUMMYFUNCTION("""COMPUTED_VALUE"""),0.43)</f>
        <v>0.43</v>
      </c>
      <c r="F374">
        <f ca="1">IFERROR(__xludf.DUMMYFUNCTION("""COMPUTED_VALUE"""),22.17)</f>
        <v>22.17</v>
      </c>
      <c r="G374">
        <f ca="1">IFERROR(__xludf.DUMMYFUNCTION("""COMPUTED_VALUE"""),-14.62)</f>
        <v>-14.62</v>
      </c>
      <c r="H374">
        <f ca="1">IFERROR(__xludf.DUMMYFUNCTION("""COMPUTED_VALUE"""),6.48)</f>
        <v>6.48</v>
      </c>
      <c r="I374" t="str">
        <f ca="1">IFERROR(__xludf.DUMMYFUNCTION("""COMPUTED_VALUE"""),"")</f>
        <v/>
      </c>
    </row>
    <row r="375" spans="1:9" ht="12.75">
      <c r="A375">
        <f ca="1">IFERROR(__xludf.DUMMYFUNCTION("""COMPUTED_VALUE"""),374)</f>
        <v>374</v>
      </c>
      <c r="B375">
        <f ca="1">IFERROR(__xludf.DUMMYFUNCTION("""COMPUTED_VALUE"""),371)</f>
        <v>371</v>
      </c>
      <c r="C375" t="str">
        <f ca="1">IFERROR(__xludf.DUMMYFUNCTION("""COMPUTED_VALUE"""),"Toshinori Muto")</f>
        <v>Toshinori Muto</v>
      </c>
      <c r="D375">
        <f ca="1">IFERROR(__xludf.DUMMYFUNCTION("""COMPUTED_VALUE"""),42)</f>
        <v>42</v>
      </c>
      <c r="E375">
        <f ca="1">IFERROR(__xludf.DUMMYFUNCTION("""COMPUTED_VALUE"""),0.43)</f>
        <v>0.43</v>
      </c>
      <c r="F375">
        <f ca="1">IFERROR(__xludf.DUMMYFUNCTION("""COMPUTED_VALUE"""),17.85)</f>
        <v>17.850000000000001</v>
      </c>
      <c r="G375">
        <f ca="1">IFERROR(__xludf.DUMMYFUNCTION("""COMPUTED_VALUE"""),-14.81)</f>
        <v>-14.81</v>
      </c>
      <c r="H375">
        <f ca="1">IFERROR(__xludf.DUMMYFUNCTION("""COMPUTED_VALUE"""),0)</f>
        <v>0</v>
      </c>
      <c r="I375" t="str">
        <f ca="1">IFERROR(__xludf.DUMMYFUNCTION("""COMPUTED_VALUE"""),"")</f>
        <v/>
      </c>
    </row>
    <row r="376" spans="1:9" ht="12.75">
      <c r="A376">
        <f ca="1">IFERROR(__xludf.DUMMYFUNCTION("""COMPUTED_VALUE"""),375)</f>
        <v>375</v>
      </c>
      <c r="B376">
        <f ca="1">IFERROR(__xludf.DUMMYFUNCTION("""COMPUTED_VALUE"""),373)</f>
        <v>373</v>
      </c>
      <c r="C376" t="str">
        <f ca="1">IFERROR(__xludf.DUMMYFUNCTION("""COMPUTED_VALUE"""),"Mike Hendry")</f>
        <v>Mike Hendry</v>
      </c>
      <c r="D376">
        <f ca="1">IFERROR(__xludf.DUMMYFUNCTION("""COMPUTED_VALUE"""),40)</f>
        <v>40</v>
      </c>
      <c r="E376">
        <f ca="1">IFERROR(__xludf.DUMMYFUNCTION("""COMPUTED_VALUE"""),0.42)</f>
        <v>0.42</v>
      </c>
      <c r="F376">
        <f ca="1">IFERROR(__xludf.DUMMYFUNCTION("""COMPUTED_VALUE"""),16.98)</f>
        <v>16.98</v>
      </c>
      <c r="G376">
        <f ca="1">IFERROR(__xludf.DUMMYFUNCTION("""COMPUTED_VALUE"""),-7.65)</f>
        <v>-7.65</v>
      </c>
      <c r="H376">
        <f ca="1">IFERROR(__xludf.DUMMYFUNCTION("""COMPUTED_VALUE"""),5.3)</f>
        <v>5.3</v>
      </c>
      <c r="I376" t="str">
        <f ca="1">IFERROR(__xludf.DUMMYFUNCTION("""COMPUTED_VALUE"""),"")</f>
        <v/>
      </c>
    </row>
    <row r="377" spans="1:9" ht="12.75">
      <c r="A377">
        <f ca="1">IFERROR(__xludf.DUMMYFUNCTION("""COMPUTED_VALUE"""),376)</f>
        <v>376</v>
      </c>
      <c r="B377">
        <f ca="1">IFERROR(__xludf.DUMMYFUNCTION("""COMPUTED_VALUE"""),396)</f>
        <v>396</v>
      </c>
      <c r="C377" t="str">
        <f ca="1">IFERROR(__xludf.DUMMYFUNCTION("""COMPUTED_VALUE"""),"Kyung-Nam Kang")</f>
        <v>Kyung-Nam Kang</v>
      </c>
      <c r="D377">
        <f ca="1">IFERROR(__xludf.DUMMYFUNCTION("""COMPUTED_VALUE"""),49)</f>
        <v>49</v>
      </c>
      <c r="E377">
        <f ca="1">IFERROR(__xludf.DUMMYFUNCTION("""COMPUTED_VALUE"""),0.42)</f>
        <v>0.42</v>
      </c>
      <c r="F377">
        <f ca="1">IFERROR(__xludf.DUMMYFUNCTION("""COMPUTED_VALUE"""),20.8)</f>
        <v>20.8</v>
      </c>
      <c r="G377">
        <f ca="1">IFERROR(__xludf.DUMMYFUNCTION("""COMPUTED_VALUE"""),-10.62)</f>
        <v>-10.62</v>
      </c>
      <c r="H377">
        <f ca="1">IFERROR(__xludf.DUMMYFUNCTION("""COMPUTED_VALUE"""),8.27)</f>
        <v>8.27</v>
      </c>
      <c r="I377" t="str">
        <f ca="1">IFERROR(__xludf.DUMMYFUNCTION("""COMPUTED_VALUE"""),"")</f>
        <v/>
      </c>
    </row>
    <row r="378" spans="1:9" ht="12.75">
      <c r="A378">
        <f ca="1">IFERROR(__xludf.DUMMYFUNCTION("""COMPUTED_VALUE"""),377)</f>
        <v>377</v>
      </c>
      <c r="B378">
        <f ca="1">IFERROR(__xludf.DUMMYFUNCTION("""COMPUTED_VALUE"""),376)</f>
        <v>376</v>
      </c>
      <c r="C378" t="str">
        <f ca="1">IFERROR(__xludf.DUMMYFUNCTION("""COMPUTED_VALUE"""),"Taylor Montgomery")</f>
        <v>Taylor Montgomery</v>
      </c>
      <c r="D378">
        <f ca="1">IFERROR(__xludf.DUMMYFUNCTION("""COMPUTED_VALUE"""),40)</f>
        <v>40</v>
      </c>
      <c r="E378">
        <f ca="1">IFERROR(__xludf.DUMMYFUNCTION("""COMPUTED_VALUE"""),0.42)</f>
        <v>0.42</v>
      </c>
      <c r="F378">
        <f ca="1">IFERROR(__xludf.DUMMYFUNCTION("""COMPUTED_VALUE"""),16.94)</f>
        <v>16.940000000000001</v>
      </c>
      <c r="G378">
        <f ca="1">IFERROR(__xludf.DUMMYFUNCTION("""COMPUTED_VALUE"""),-1.38)</f>
        <v>-1.38</v>
      </c>
      <c r="H378">
        <f ca="1">IFERROR(__xludf.DUMMYFUNCTION("""COMPUTED_VALUE"""),17.87)</f>
        <v>17.87</v>
      </c>
      <c r="I378" t="str">
        <f ca="1">IFERROR(__xludf.DUMMYFUNCTION("""COMPUTED_VALUE"""),"")</f>
        <v/>
      </c>
    </row>
    <row r="379" spans="1:9" ht="12.75">
      <c r="A379">
        <f ca="1">IFERROR(__xludf.DUMMYFUNCTION("""COMPUTED_VALUE"""),378)</f>
        <v>378</v>
      </c>
      <c r="B379">
        <f ca="1">IFERROR(__xludf.DUMMYFUNCTION("""COMPUTED_VALUE"""),385)</f>
        <v>385</v>
      </c>
      <c r="C379" t="str">
        <f ca="1">IFERROR(__xludf.DUMMYFUNCTION("""COMPUTED_VALUE"""),"Brett Drewitt")</f>
        <v>Brett Drewitt</v>
      </c>
      <c r="D379">
        <f ca="1">IFERROR(__xludf.DUMMYFUNCTION("""COMPUTED_VALUE"""),51)</f>
        <v>51</v>
      </c>
      <c r="E379">
        <f ca="1">IFERROR(__xludf.DUMMYFUNCTION("""COMPUTED_VALUE"""),0.42)</f>
        <v>0.42</v>
      </c>
      <c r="F379">
        <f ca="1">IFERROR(__xludf.DUMMYFUNCTION("""COMPUTED_VALUE"""),21.53)</f>
        <v>21.53</v>
      </c>
      <c r="G379">
        <f ca="1">IFERROR(__xludf.DUMMYFUNCTION("""COMPUTED_VALUE"""),-2.51)</f>
        <v>-2.5099999999999998</v>
      </c>
      <c r="H379">
        <f ca="1">IFERROR(__xludf.DUMMYFUNCTION("""COMPUTED_VALUE"""),21.7)</f>
        <v>21.7</v>
      </c>
      <c r="I379" t="str">
        <f ca="1">IFERROR(__xludf.DUMMYFUNCTION("""COMPUTED_VALUE"""),"")</f>
        <v/>
      </c>
    </row>
    <row r="380" spans="1:9" ht="12.75">
      <c r="A380">
        <f ca="1">IFERROR(__xludf.DUMMYFUNCTION("""COMPUTED_VALUE"""),379)</f>
        <v>379</v>
      </c>
      <c r="B380">
        <f ca="1">IFERROR(__xludf.DUMMYFUNCTION("""COMPUTED_VALUE"""),400)</f>
        <v>400</v>
      </c>
      <c r="C380" t="str">
        <f ca="1">IFERROR(__xludf.DUMMYFUNCTION("""COMPUTED_VALUE"""),"Martin Rohwer")</f>
        <v>Martin Rohwer</v>
      </c>
      <c r="D380">
        <f ca="1">IFERROR(__xludf.DUMMYFUNCTION("""COMPUTED_VALUE"""),40)</f>
        <v>40</v>
      </c>
      <c r="E380">
        <f ca="1">IFERROR(__xludf.DUMMYFUNCTION("""COMPUTED_VALUE"""),0.42)</f>
        <v>0.42</v>
      </c>
      <c r="F380">
        <f ca="1">IFERROR(__xludf.DUMMYFUNCTION("""COMPUTED_VALUE"""),16.83)</f>
        <v>16.829999999999998</v>
      </c>
      <c r="G380">
        <f ca="1">IFERROR(__xludf.DUMMYFUNCTION("""COMPUTED_VALUE"""),-9.33)</f>
        <v>-9.33</v>
      </c>
      <c r="H380">
        <f ca="1">IFERROR(__xludf.DUMMYFUNCTION("""COMPUTED_VALUE"""),10.11)</f>
        <v>10.11</v>
      </c>
      <c r="I380" t="str">
        <f ca="1">IFERROR(__xludf.DUMMYFUNCTION("""COMPUTED_VALUE"""),"")</f>
        <v/>
      </c>
    </row>
    <row r="381" spans="1:9" ht="12.75">
      <c r="A381">
        <f ca="1">IFERROR(__xludf.DUMMYFUNCTION("""COMPUTED_VALUE"""),380)</f>
        <v>380</v>
      </c>
      <c r="B381">
        <f ca="1">IFERROR(__xludf.DUMMYFUNCTION("""COMPUTED_VALUE"""),382)</f>
        <v>382</v>
      </c>
      <c r="C381" t="str">
        <f ca="1">IFERROR(__xludf.DUMMYFUNCTION("""COMPUTED_VALUE"""),"John Chin")</f>
        <v>John Chin</v>
      </c>
      <c r="D381">
        <f ca="1">IFERROR(__xludf.DUMMYFUNCTION("""COMPUTED_VALUE"""),47)</f>
        <v>47</v>
      </c>
      <c r="E381">
        <f ca="1">IFERROR(__xludf.DUMMYFUNCTION("""COMPUTED_VALUE"""),0.42)</f>
        <v>0.42</v>
      </c>
      <c r="F381">
        <f ca="1">IFERROR(__xludf.DUMMYFUNCTION("""COMPUTED_VALUE"""),19.73)</f>
        <v>19.73</v>
      </c>
      <c r="G381">
        <f ca="1">IFERROR(__xludf.DUMMYFUNCTION("""COMPUTED_VALUE"""),-10.4)</f>
        <v>-10.4</v>
      </c>
      <c r="H381">
        <f ca="1">IFERROR(__xludf.DUMMYFUNCTION("""COMPUTED_VALUE"""),17.17)</f>
        <v>17.170000000000002</v>
      </c>
      <c r="I381" t="str">
        <f ca="1">IFERROR(__xludf.DUMMYFUNCTION("""COMPUTED_VALUE"""),"")</f>
        <v/>
      </c>
    </row>
    <row r="382" spans="1:9" ht="12.75">
      <c r="A382">
        <f ca="1">IFERROR(__xludf.DUMMYFUNCTION("""COMPUTED_VALUE"""),381)</f>
        <v>381</v>
      </c>
      <c r="B382">
        <f ca="1">IFERROR(__xludf.DUMMYFUNCTION("""COMPUTED_VALUE"""),375)</f>
        <v>375</v>
      </c>
      <c r="C382" t="str">
        <f ca="1">IFERROR(__xludf.DUMMYFUNCTION("""COMPUTED_VALUE"""),"Carl Yuan")</f>
        <v>Carl Yuan</v>
      </c>
      <c r="D382">
        <f ca="1">IFERROR(__xludf.DUMMYFUNCTION("""COMPUTED_VALUE"""),52)</f>
        <v>52</v>
      </c>
      <c r="E382">
        <f ca="1">IFERROR(__xludf.DUMMYFUNCTION("""COMPUTED_VALUE"""),0.42)</f>
        <v>0.42</v>
      </c>
      <c r="F382">
        <f ca="1">IFERROR(__xludf.DUMMYFUNCTION("""COMPUTED_VALUE"""),21.81)</f>
        <v>21.81</v>
      </c>
      <c r="G382">
        <f ca="1">IFERROR(__xludf.DUMMYFUNCTION("""COMPUTED_VALUE"""),-12.23)</f>
        <v>-12.23</v>
      </c>
      <c r="H382">
        <f ca="1">IFERROR(__xludf.DUMMYFUNCTION("""COMPUTED_VALUE"""),10.26)</f>
        <v>10.26</v>
      </c>
      <c r="I382" t="str">
        <f ca="1">IFERROR(__xludf.DUMMYFUNCTION("""COMPUTED_VALUE"""),"")</f>
        <v/>
      </c>
    </row>
    <row r="383" spans="1:9" ht="12.75">
      <c r="A383">
        <f ca="1">IFERROR(__xludf.DUMMYFUNCTION("""COMPUTED_VALUE"""),382)</f>
        <v>382</v>
      </c>
      <c r="B383">
        <f ca="1">IFERROR(__xludf.DUMMYFUNCTION("""COMPUTED_VALUE"""),386)</f>
        <v>386</v>
      </c>
      <c r="C383" t="str">
        <f ca="1">IFERROR(__xludf.DUMMYFUNCTION("""COMPUTED_VALUE"""),"Curtis Luck")</f>
        <v>Curtis Luck</v>
      </c>
      <c r="D383">
        <f ca="1">IFERROR(__xludf.DUMMYFUNCTION("""COMPUTED_VALUE"""),47)</f>
        <v>47</v>
      </c>
      <c r="E383">
        <f ca="1">IFERROR(__xludf.DUMMYFUNCTION("""COMPUTED_VALUE"""),0.42)</f>
        <v>0.42</v>
      </c>
      <c r="F383">
        <f ca="1">IFERROR(__xludf.DUMMYFUNCTION("""COMPUTED_VALUE"""),19.7)</f>
        <v>19.7</v>
      </c>
      <c r="G383">
        <f ca="1">IFERROR(__xludf.DUMMYFUNCTION("""COMPUTED_VALUE"""),-7.72)</f>
        <v>-7.72</v>
      </c>
      <c r="H383">
        <f ca="1">IFERROR(__xludf.DUMMYFUNCTION("""COMPUTED_VALUE"""),15.21)</f>
        <v>15.21</v>
      </c>
      <c r="I383" t="str">
        <f ca="1">IFERROR(__xludf.DUMMYFUNCTION("""COMPUTED_VALUE"""),"")</f>
        <v/>
      </c>
    </row>
    <row r="384" spans="1:9" ht="12.75">
      <c r="A384">
        <f ca="1">IFERROR(__xludf.DUMMYFUNCTION("""COMPUTED_VALUE"""),383)</f>
        <v>383</v>
      </c>
      <c r="B384">
        <f ca="1">IFERROR(__xludf.DUMMYFUNCTION("""COMPUTED_VALUE"""),374)</f>
        <v>374</v>
      </c>
      <c r="C384" t="str">
        <f ca="1">IFERROR(__xludf.DUMMYFUNCTION("""COMPUTED_VALUE"""),"Ryosuke Kinoshita")</f>
        <v>Ryosuke Kinoshita</v>
      </c>
      <c r="D384">
        <f ca="1">IFERROR(__xludf.DUMMYFUNCTION("""COMPUTED_VALUE"""),40)</f>
        <v>40</v>
      </c>
      <c r="E384">
        <f ca="1">IFERROR(__xludf.DUMMYFUNCTION("""COMPUTED_VALUE"""),0.42)</f>
        <v>0.42</v>
      </c>
      <c r="F384">
        <f ca="1">IFERROR(__xludf.DUMMYFUNCTION("""COMPUTED_VALUE"""),16.73)</f>
        <v>16.73</v>
      </c>
      <c r="G384">
        <f ca="1">IFERROR(__xludf.DUMMYFUNCTION("""COMPUTED_VALUE"""),-10.7)</f>
        <v>-10.7</v>
      </c>
      <c r="H384">
        <f ca="1">IFERROR(__xludf.DUMMYFUNCTION("""COMPUTED_VALUE"""),7.12)</f>
        <v>7.12</v>
      </c>
      <c r="I384" t="str">
        <f ca="1">IFERROR(__xludf.DUMMYFUNCTION("""COMPUTED_VALUE"""),"")</f>
        <v/>
      </c>
    </row>
    <row r="385" spans="1:9" ht="12.75">
      <c r="A385">
        <f ca="1">IFERROR(__xludf.DUMMYFUNCTION("""COMPUTED_VALUE"""),384)</f>
        <v>384</v>
      </c>
      <c r="B385">
        <f ca="1">IFERROR(__xludf.DUMMYFUNCTION("""COMPUTED_VALUE"""),391)</f>
        <v>391</v>
      </c>
      <c r="C385" t="str">
        <f ca="1">IFERROR(__xludf.DUMMYFUNCTION("""COMPUTED_VALUE"""),"Jimmy Stanger")</f>
        <v>Jimmy Stanger</v>
      </c>
      <c r="D385">
        <f ca="1">IFERROR(__xludf.DUMMYFUNCTION("""COMPUTED_VALUE"""),44)</f>
        <v>44</v>
      </c>
      <c r="E385">
        <f ca="1">IFERROR(__xludf.DUMMYFUNCTION("""COMPUTED_VALUE"""),0.42)</f>
        <v>0.42</v>
      </c>
      <c r="F385">
        <f ca="1">IFERROR(__xludf.DUMMYFUNCTION("""COMPUTED_VALUE"""),18.39)</f>
        <v>18.39</v>
      </c>
      <c r="G385">
        <f ca="1">IFERROR(__xludf.DUMMYFUNCTION("""COMPUTED_VALUE"""),-5.27)</f>
        <v>-5.27</v>
      </c>
      <c r="H385">
        <f ca="1">IFERROR(__xludf.DUMMYFUNCTION("""COMPUTED_VALUE"""),15.38)</f>
        <v>15.38</v>
      </c>
      <c r="I385" t="str">
        <f ca="1">IFERROR(__xludf.DUMMYFUNCTION("""COMPUTED_VALUE"""),"")</f>
        <v/>
      </c>
    </row>
    <row r="386" spans="1:9" ht="12.75">
      <c r="A386">
        <f ca="1">IFERROR(__xludf.DUMMYFUNCTION("""COMPUTED_VALUE"""),385)</f>
        <v>385</v>
      </c>
      <c r="B386">
        <f ca="1">IFERROR(__xludf.DUMMYFUNCTION("""COMPUTED_VALUE"""),383)</f>
        <v>383</v>
      </c>
      <c r="C386" t="str">
        <f ca="1">IFERROR(__xludf.DUMMYFUNCTION("""COMPUTED_VALUE"""),"Ryan Brehm")</f>
        <v>Ryan Brehm</v>
      </c>
      <c r="D386">
        <f ca="1">IFERROR(__xludf.DUMMYFUNCTION("""COMPUTED_VALUE"""),48)</f>
        <v>48</v>
      </c>
      <c r="E386">
        <f ca="1">IFERROR(__xludf.DUMMYFUNCTION("""COMPUTED_VALUE"""),0.42)</f>
        <v>0.42</v>
      </c>
      <c r="F386">
        <f ca="1">IFERROR(__xludf.DUMMYFUNCTION("""COMPUTED_VALUE"""),20.04)</f>
        <v>20.04</v>
      </c>
      <c r="G386">
        <f ca="1">IFERROR(__xludf.DUMMYFUNCTION("""COMPUTED_VALUE"""),-12.25)</f>
        <v>-12.25</v>
      </c>
      <c r="H386">
        <f ca="1">IFERROR(__xludf.DUMMYFUNCTION("""COMPUTED_VALUE"""),4.57)</f>
        <v>4.57</v>
      </c>
      <c r="I386" t="str">
        <f ca="1">IFERROR(__xludf.DUMMYFUNCTION("""COMPUTED_VALUE"""),"")</f>
        <v/>
      </c>
    </row>
    <row r="387" spans="1:9" ht="12.75">
      <c r="A387">
        <f ca="1">IFERROR(__xludf.DUMMYFUNCTION("""COMPUTED_VALUE"""),386)</f>
        <v>386</v>
      </c>
      <c r="B387">
        <f ca="1">IFERROR(__xludf.DUMMYFUNCTION("""COMPUTED_VALUE"""),389)</f>
        <v>389</v>
      </c>
      <c r="C387" t="str">
        <f ca="1">IFERROR(__xludf.DUMMYFUNCTION("""COMPUTED_VALUE"""),"Justin Lower")</f>
        <v>Justin Lower</v>
      </c>
      <c r="D387">
        <f ca="1">IFERROR(__xludf.DUMMYFUNCTION("""COMPUTED_VALUE"""),46)</f>
        <v>46</v>
      </c>
      <c r="E387">
        <f ca="1">IFERROR(__xludf.DUMMYFUNCTION("""COMPUTED_VALUE"""),0.42)</f>
        <v>0.42</v>
      </c>
      <c r="F387">
        <f ca="1">IFERROR(__xludf.DUMMYFUNCTION("""COMPUTED_VALUE"""),19.14)</f>
        <v>19.14</v>
      </c>
      <c r="G387">
        <f ca="1">IFERROR(__xludf.DUMMYFUNCTION("""COMPUTED_VALUE"""),-7.36)</f>
        <v>-7.36</v>
      </c>
      <c r="H387">
        <f ca="1">IFERROR(__xludf.DUMMYFUNCTION("""COMPUTED_VALUE"""),16.79)</f>
        <v>16.79</v>
      </c>
      <c r="I387" t="str">
        <f ca="1">IFERROR(__xludf.DUMMYFUNCTION("""COMPUTED_VALUE"""),"")</f>
        <v/>
      </c>
    </row>
    <row r="388" spans="1:9" ht="12.75">
      <c r="A388">
        <f ca="1">IFERROR(__xludf.DUMMYFUNCTION("""COMPUTED_VALUE"""),387)</f>
        <v>387</v>
      </c>
      <c r="B388">
        <f ca="1">IFERROR(__xludf.DUMMYFUNCTION("""COMPUTED_VALUE"""),388)</f>
        <v>388</v>
      </c>
      <c r="C388" t="str">
        <f ca="1">IFERROR(__xludf.DUMMYFUNCTION("""COMPUTED_VALUE"""),"Sebastian Cappelen")</f>
        <v>Sebastian Cappelen</v>
      </c>
      <c r="D388">
        <f ca="1">IFERROR(__xludf.DUMMYFUNCTION("""COMPUTED_VALUE"""),50)</f>
        <v>50</v>
      </c>
      <c r="E388">
        <f ca="1">IFERROR(__xludf.DUMMYFUNCTION("""COMPUTED_VALUE"""),0.42)</f>
        <v>0.42</v>
      </c>
      <c r="F388">
        <f ca="1">IFERROR(__xludf.DUMMYFUNCTION("""COMPUTED_VALUE"""),20.76)</f>
        <v>20.76</v>
      </c>
      <c r="G388">
        <f ca="1">IFERROR(__xludf.DUMMYFUNCTION("""COMPUTED_VALUE"""),-13.08)</f>
        <v>-13.08</v>
      </c>
      <c r="H388">
        <f ca="1">IFERROR(__xludf.DUMMYFUNCTION("""COMPUTED_VALUE"""),12.72)</f>
        <v>12.72</v>
      </c>
      <c r="I388" t="str">
        <f ca="1">IFERROR(__xludf.DUMMYFUNCTION("""COMPUTED_VALUE"""),"")</f>
        <v/>
      </c>
    </row>
    <row r="389" spans="1:9" ht="12.75">
      <c r="A389">
        <f ca="1">IFERROR(__xludf.DUMMYFUNCTION("""COMPUTED_VALUE"""),388)</f>
        <v>388</v>
      </c>
      <c r="B389">
        <f ca="1">IFERROR(__xludf.DUMMYFUNCTION("""COMPUTED_VALUE"""),379)</f>
        <v>379</v>
      </c>
      <c r="C389" t="str">
        <f ca="1">IFERROR(__xludf.DUMMYFUNCTION("""COMPUTED_VALUE"""),"Neil Schietekat")</f>
        <v>Neil Schietekat</v>
      </c>
      <c r="D389">
        <f ca="1">IFERROR(__xludf.DUMMYFUNCTION("""COMPUTED_VALUE"""),47)</f>
        <v>47</v>
      </c>
      <c r="E389">
        <f ca="1">IFERROR(__xludf.DUMMYFUNCTION("""COMPUTED_VALUE"""),0.42)</f>
        <v>0.42</v>
      </c>
      <c r="F389">
        <f ca="1">IFERROR(__xludf.DUMMYFUNCTION("""COMPUTED_VALUE"""),19.51)</f>
        <v>19.510000000000002</v>
      </c>
      <c r="G389">
        <f ca="1">IFERROR(__xludf.DUMMYFUNCTION("""COMPUTED_VALUE"""),-14.12)</f>
        <v>-14.12</v>
      </c>
      <c r="H389">
        <f ca="1">IFERROR(__xludf.DUMMYFUNCTION("""COMPUTED_VALUE"""),13.06)</f>
        <v>13.06</v>
      </c>
      <c r="I389" t="str">
        <f ca="1">IFERROR(__xludf.DUMMYFUNCTION("""COMPUTED_VALUE"""),"")</f>
        <v/>
      </c>
    </row>
    <row r="390" spans="1:9" ht="12.75">
      <c r="A390">
        <f ca="1">IFERROR(__xludf.DUMMYFUNCTION("""COMPUTED_VALUE"""),389)</f>
        <v>389</v>
      </c>
      <c r="B390">
        <f ca="1">IFERROR(__xludf.DUMMYFUNCTION("""COMPUTED_VALUE"""),377)</f>
        <v>377</v>
      </c>
      <c r="C390" t="str">
        <f ca="1">IFERROR(__xludf.DUMMYFUNCTION("""COMPUTED_VALUE"""),"Miguel Tabuena")</f>
        <v>Miguel Tabuena</v>
      </c>
      <c r="D390">
        <f ca="1">IFERROR(__xludf.DUMMYFUNCTION("""COMPUTED_VALUE"""),40)</f>
        <v>40</v>
      </c>
      <c r="E390">
        <f ca="1">IFERROR(__xludf.DUMMYFUNCTION("""COMPUTED_VALUE"""),0.41)</f>
        <v>0.41</v>
      </c>
      <c r="F390">
        <f ca="1">IFERROR(__xludf.DUMMYFUNCTION("""COMPUTED_VALUE"""),16.56)</f>
        <v>16.559999999999999</v>
      </c>
      <c r="G390">
        <f ca="1">IFERROR(__xludf.DUMMYFUNCTION("""COMPUTED_VALUE"""),-15.06)</f>
        <v>-15.06</v>
      </c>
      <c r="H390">
        <f ca="1">IFERROR(__xludf.DUMMYFUNCTION("""COMPUTED_VALUE"""),5.1)</f>
        <v>5.0999999999999996</v>
      </c>
      <c r="I390" t="str">
        <f ca="1">IFERROR(__xludf.DUMMYFUNCTION("""COMPUTED_VALUE"""),"")</f>
        <v/>
      </c>
    </row>
    <row r="391" spans="1:9" ht="12.75">
      <c r="A391">
        <f ca="1">IFERROR(__xludf.DUMMYFUNCTION("""COMPUTED_VALUE"""),390)</f>
        <v>390</v>
      </c>
      <c r="B391">
        <f ca="1">IFERROR(__xludf.DUMMYFUNCTION("""COMPUTED_VALUE"""),381)</f>
        <v>381</v>
      </c>
      <c r="C391" t="str">
        <f ca="1">IFERROR(__xludf.DUMMYFUNCTION("""COMPUTED_VALUE"""),"Ben Stow")</f>
        <v>Ben Stow</v>
      </c>
      <c r="D391">
        <f ca="1">IFERROR(__xludf.DUMMYFUNCTION("""COMPUTED_VALUE"""),46)</f>
        <v>46</v>
      </c>
      <c r="E391">
        <f ca="1">IFERROR(__xludf.DUMMYFUNCTION("""COMPUTED_VALUE"""),0.41)</f>
        <v>0.41</v>
      </c>
      <c r="F391">
        <f ca="1">IFERROR(__xludf.DUMMYFUNCTION("""COMPUTED_VALUE"""),18.99)</f>
        <v>18.989999999999998</v>
      </c>
      <c r="G391">
        <f ca="1">IFERROR(__xludf.DUMMYFUNCTION("""COMPUTED_VALUE"""),-11.58)</f>
        <v>-11.58</v>
      </c>
      <c r="H391">
        <f ca="1">IFERROR(__xludf.DUMMYFUNCTION("""COMPUTED_VALUE"""),9.09)</f>
        <v>9.09</v>
      </c>
      <c r="I391" t="str">
        <f ca="1">IFERROR(__xludf.DUMMYFUNCTION("""COMPUTED_VALUE"""),"")</f>
        <v/>
      </c>
    </row>
    <row r="392" spans="1:9" ht="12.75">
      <c r="A392">
        <f ca="1">IFERROR(__xludf.DUMMYFUNCTION("""COMPUTED_VALUE"""),391)</f>
        <v>391</v>
      </c>
      <c r="B392">
        <f ca="1">IFERROR(__xludf.DUMMYFUNCTION("""COMPUTED_VALUE"""),380)</f>
        <v>380</v>
      </c>
      <c r="C392" t="str">
        <f ca="1">IFERROR(__xludf.DUMMYFUNCTION("""COMPUTED_VALUE"""),"Cormac Sharvin")</f>
        <v>Cormac Sharvin</v>
      </c>
      <c r="D392">
        <f ca="1">IFERROR(__xludf.DUMMYFUNCTION("""COMPUTED_VALUE"""),44)</f>
        <v>44</v>
      </c>
      <c r="E392">
        <f ca="1">IFERROR(__xludf.DUMMYFUNCTION("""COMPUTED_VALUE"""),0.41)</f>
        <v>0.41</v>
      </c>
      <c r="F392">
        <f ca="1">IFERROR(__xludf.DUMMYFUNCTION("""COMPUTED_VALUE"""),18.15)</f>
        <v>18.149999999999999</v>
      </c>
      <c r="G392">
        <f ca="1">IFERROR(__xludf.DUMMYFUNCTION("""COMPUTED_VALUE"""),-13.16)</f>
        <v>-13.16</v>
      </c>
      <c r="H392">
        <f ca="1">IFERROR(__xludf.DUMMYFUNCTION("""COMPUTED_VALUE"""),1.5)</f>
        <v>1.5</v>
      </c>
      <c r="I392" t="str">
        <f ca="1">IFERROR(__xludf.DUMMYFUNCTION("""COMPUTED_VALUE"""),"")</f>
        <v/>
      </c>
    </row>
    <row r="393" spans="1:9" ht="12.75">
      <c r="A393">
        <f ca="1">IFERROR(__xludf.DUMMYFUNCTION("""COMPUTED_VALUE"""),392)</f>
        <v>392</v>
      </c>
      <c r="B393">
        <f ca="1">IFERROR(__xludf.DUMMYFUNCTION("""COMPUTED_VALUE"""),384)</f>
        <v>384</v>
      </c>
      <c r="C393" t="str">
        <f ca="1">IFERROR(__xludf.DUMMYFUNCTION("""COMPUTED_VALUE"""),"Paul Haley II")</f>
        <v>Paul Haley II</v>
      </c>
      <c r="D393">
        <f ca="1">IFERROR(__xludf.DUMMYFUNCTION("""COMPUTED_VALUE"""),40)</f>
        <v>40</v>
      </c>
      <c r="E393">
        <f ca="1">IFERROR(__xludf.DUMMYFUNCTION("""COMPUTED_VALUE"""),0.41)</f>
        <v>0.41</v>
      </c>
      <c r="F393">
        <f ca="1">IFERROR(__xludf.DUMMYFUNCTION("""COMPUTED_VALUE"""),16.44)</f>
        <v>16.440000000000001</v>
      </c>
      <c r="G393">
        <f ca="1">IFERROR(__xludf.DUMMYFUNCTION("""COMPUTED_VALUE"""),-3.1)</f>
        <v>-3.1</v>
      </c>
      <c r="H393">
        <f ca="1">IFERROR(__xludf.DUMMYFUNCTION("""COMPUTED_VALUE"""),14.56)</f>
        <v>14.56</v>
      </c>
      <c r="I393" t="str">
        <f ca="1">IFERROR(__xludf.DUMMYFUNCTION("""COMPUTED_VALUE"""),"")</f>
        <v/>
      </c>
    </row>
    <row r="394" spans="1:9" ht="12.75">
      <c r="A394">
        <f ca="1">IFERROR(__xludf.DUMMYFUNCTION("""COMPUTED_VALUE"""),393)</f>
        <v>393</v>
      </c>
      <c r="B394">
        <f ca="1">IFERROR(__xludf.DUMMYFUNCTION("""COMPUTED_VALUE"""),377)</f>
        <v>377</v>
      </c>
      <c r="C394" t="str">
        <f ca="1">IFERROR(__xludf.DUMMYFUNCTION("""COMPUTED_VALUE"""),"Hiroshi Iwata")</f>
        <v>Hiroshi Iwata</v>
      </c>
      <c r="D394">
        <f ca="1">IFERROR(__xludf.DUMMYFUNCTION("""COMPUTED_VALUE"""),40)</f>
        <v>40</v>
      </c>
      <c r="E394">
        <f ca="1">IFERROR(__xludf.DUMMYFUNCTION("""COMPUTED_VALUE"""),0.41)</f>
        <v>0.41</v>
      </c>
      <c r="F394">
        <f ca="1">IFERROR(__xludf.DUMMYFUNCTION("""COMPUTED_VALUE"""),16.42)</f>
        <v>16.420000000000002</v>
      </c>
      <c r="G394">
        <f ca="1">IFERROR(__xludf.DUMMYFUNCTION("""COMPUTED_VALUE"""),-18.32)</f>
        <v>-18.32</v>
      </c>
      <c r="H394">
        <f ca="1">IFERROR(__xludf.DUMMYFUNCTION("""COMPUTED_VALUE"""),1.21)</f>
        <v>1.21</v>
      </c>
      <c r="I394" t="str">
        <f ca="1">IFERROR(__xludf.DUMMYFUNCTION("""COMPUTED_VALUE"""),"")</f>
        <v/>
      </c>
    </row>
    <row r="395" spans="1:9" ht="12.75">
      <c r="A395">
        <f ca="1">IFERROR(__xludf.DUMMYFUNCTION("""COMPUTED_VALUE"""),394)</f>
        <v>394</v>
      </c>
      <c r="B395">
        <f ca="1">IFERROR(__xludf.DUMMYFUNCTION("""COMPUTED_VALUE"""),387)</f>
        <v>387</v>
      </c>
      <c r="C395" t="str">
        <f ca="1">IFERROR(__xludf.DUMMYFUNCTION("""COMPUTED_VALUE"""),"Seth Reeves")</f>
        <v>Seth Reeves</v>
      </c>
      <c r="D395">
        <f ca="1">IFERROR(__xludf.DUMMYFUNCTION("""COMPUTED_VALUE"""),52)</f>
        <v>52</v>
      </c>
      <c r="E395">
        <f ca="1">IFERROR(__xludf.DUMMYFUNCTION("""COMPUTED_VALUE"""),0.41)</f>
        <v>0.41</v>
      </c>
      <c r="F395">
        <f ca="1">IFERROR(__xludf.DUMMYFUNCTION("""COMPUTED_VALUE"""),21.25)</f>
        <v>21.25</v>
      </c>
      <c r="G395">
        <f ca="1">IFERROR(__xludf.DUMMYFUNCTION("""COMPUTED_VALUE"""),-7.21)</f>
        <v>-7.21</v>
      </c>
      <c r="H395">
        <f ca="1">IFERROR(__xludf.DUMMYFUNCTION("""COMPUTED_VALUE"""),20.27)</f>
        <v>20.27</v>
      </c>
      <c r="I395" t="str">
        <f ca="1">IFERROR(__xludf.DUMMYFUNCTION("""COMPUTED_VALUE"""),"")</f>
        <v/>
      </c>
    </row>
    <row r="396" spans="1:9" ht="12.75">
      <c r="A396">
        <f ca="1">IFERROR(__xludf.DUMMYFUNCTION("""COMPUTED_VALUE"""),395)</f>
        <v>395</v>
      </c>
      <c r="B396">
        <f ca="1">IFERROR(__xludf.DUMMYFUNCTION("""COMPUTED_VALUE"""),393)</f>
        <v>393</v>
      </c>
      <c r="C396" t="str">
        <f ca="1">IFERROR(__xludf.DUMMYFUNCTION("""COMPUTED_VALUE"""),"Harry Hall")</f>
        <v>Harry Hall</v>
      </c>
      <c r="D396">
        <f ca="1">IFERROR(__xludf.DUMMYFUNCTION("""COMPUTED_VALUE"""),40)</f>
        <v>40</v>
      </c>
      <c r="E396">
        <f ca="1">IFERROR(__xludf.DUMMYFUNCTION("""COMPUTED_VALUE"""),0.41)</f>
        <v>0.41</v>
      </c>
      <c r="F396">
        <f ca="1">IFERROR(__xludf.DUMMYFUNCTION("""COMPUTED_VALUE"""),16.25)</f>
        <v>16.25</v>
      </c>
      <c r="G396">
        <f ca="1">IFERROR(__xludf.DUMMYFUNCTION("""COMPUTED_VALUE"""),-2.18)</f>
        <v>-2.1800000000000002</v>
      </c>
      <c r="H396">
        <f ca="1">IFERROR(__xludf.DUMMYFUNCTION("""COMPUTED_VALUE"""),14.6)</f>
        <v>14.6</v>
      </c>
      <c r="I396" t="str">
        <f ca="1">IFERROR(__xludf.DUMMYFUNCTION("""COMPUTED_VALUE"""),"")</f>
        <v/>
      </c>
    </row>
    <row r="397" spans="1:9" ht="12.75">
      <c r="A397">
        <f ca="1">IFERROR(__xludf.DUMMYFUNCTION("""COMPUTED_VALUE"""),396)</f>
        <v>396</v>
      </c>
      <c r="B397">
        <f ca="1">IFERROR(__xludf.DUMMYFUNCTION("""COMPUTED_VALUE"""),390)</f>
        <v>390</v>
      </c>
      <c r="C397" t="str">
        <f ca="1">IFERROR(__xludf.DUMMYFUNCTION("""COMPUTED_VALUE"""),"Kelly Kraft")</f>
        <v>Kelly Kraft</v>
      </c>
      <c r="D397">
        <f ca="1">IFERROR(__xludf.DUMMYFUNCTION("""COMPUTED_VALUE"""),40)</f>
        <v>40</v>
      </c>
      <c r="E397">
        <f ca="1">IFERROR(__xludf.DUMMYFUNCTION("""COMPUTED_VALUE"""),0.4)</f>
        <v>0.4</v>
      </c>
      <c r="F397">
        <f ca="1">IFERROR(__xludf.DUMMYFUNCTION("""COMPUTED_VALUE"""),16.1)</f>
        <v>16.100000000000001</v>
      </c>
      <c r="G397">
        <f ca="1">IFERROR(__xludf.DUMMYFUNCTION("""COMPUTED_VALUE"""),-22.34)</f>
        <v>-22.34</v>
      </c>
      <c r="H397">
        <f ca="1">IFERROR(__xludf.DUMMYFUNCTION("""COMPUTED_VALUE"""),2.04)</f>
        <v>2.04</v>
      </c>
      <c r="I397" t="str">
        <f ca="1">IFERROR(__xludf.DUMMYFUNCTION("""COMPUTED_VALUE"""),"")</f>
        <v/>
      </c>
    </row>
    <row r="398" spans="1:9" ht="12.75">
      <c r="A398">
        <f ca="1">IFERROR(__xludf.DUMMYFUNCTION("""COMPUTED_VALUE"""),397)</f>
        <v>397</v>
      </c>
      <c r="B398">
        <f ca="1">IFERROR(__xludf.DUMMYFUNCTION("""COMPUTED_VALUE"""),395)</f>
        <v>395</v>
      </c>
      <c r="C398" t="str">
        <f ca="1">IFERROR(__xludf.DUMMYFUNCTION("""COMPUTED_VALUE"""),"Brandon Hagy")</f>
        <v>Brandon Hagy</v>
      </c>
      <c r="D398">
        <f ca="1">IFERROR(__xludf.DUMMYFUNCTION("""COMPUTED_VALUE"""),40)</f>
        <v>40</v>
      </c>
      <c r="E398">
        <f ca="1">IFERROR(__xludf.DUMMYFUNCTION("""COMPUTED_VALUE"""),0.4)</f>
        <v>0.4</v>
      </c>
      <c r="F398">
        <f ca="1">IFERROR(__xludf.DUMMYFUNCTION("""COMPUTED_VALUE"""),15.99)</f>
        <v>15.99</v>
      </c>
      <c r="G398">
        <f ca="1">IFERROR(__xludf.DUMMYFUNCTION("""COMPUTED_VALUE"""),-8.2)</f>
        <v>-8.1999999999999993</v>
      </c>
      <c r="H398">
        <f ca="1">IFERROR(__xludf.DUMMYFUNCTION("""COMPUTED_VALUE"""),10.56)</f>
        <v>10.56</v>
      </c>
      <c r="I398" t="str">
        <f ca="1">IFERROR(__xludf.DUMMYFUNCTION("""COMPUTED_VALUE"""),"")</f>
        <v/>
      </c>
    </row>
    <row r="399" spans="1:9" ht="12.75">
      <c r="A399">
        <f ca="1">IFERROR(__xludf.DUMMYFUNCTION("""COMPUTED_VALUE"""),398)</f>
        <v>398</v>
      </c>
      <c r="B399">
        <f ca="1">IFERROR(__xludf.DUMMYFUNCTION("""COMPUTED_VALUE"""),464)</f>
        <v>464</v>
      </c>
      <c r="C399" t="str">
        <f ca="1">IFERROR(__xludf.DUMMYFUNCTION("""COMPUTED_VALUE"""),"Alexander Levy")</f>
        <v>Alexander Levy</v>
      </c>
      <c r="D399">
        <f ca="1">IFERROR(__xludf.DUMMYFUNCTION("""COMPUTED_VALUE"""),47)</f>
        <v>47</v>
      </c>
      <c r="E399">
        <f ca="1">IFERROR(__xludf.DUMMYFUNCTION("""COMPUTED_VALUE"""),0.4)</f>
        <v>0.4</v>
      </c>
      <c r="F399">
        <f ca="1">IFERROR(__xludf.DUMMYFUNCTION("""COMPUTED_VALUE"""),18.73)</f>
        <v>18.73</v>
      </c>
      <c r="G399">
        <f ca="1">IFERROR(__xludf.DUMMYFUNCTION("""COMPUTED_VALUE"""),-20.26)</f>
        <v>-20.260000000000002</v>
      </c>
      <c r="H399">
        <f ca="1">IFERROR(__xludf.DUMMYFUNCTION("""COMPUTED_VALUE"""),9.01)</f>
        <v>9.01</v>
      </c>
      <c r="I399" t="str">
        <f ca="1">IFERROR(__xludf.DUMMYFUNCTION("""COMPUTED_VALUE"""),"")</f>
        <v/>
      </c>
    </row>
    <row r="400" spans="1:9" ht="12.75">
      <c r="A400">
        <f ca="1">IFERROR(__xludf.DUMMYFUNCTION("""COMPUTED_VALUE"""),399)</f>
        <v>399</v>
      </c>
      <c r="B400">
        <f ca="1">IFERROR(__xludf.DUMMYFUNCTION("""COMPUTED_VALUE"""),398)</f>
        <v>398</v>
      </c>
      <c r="C400" t="str">
        <f ca="1">IFERROR(__xludf.DUMMYFUNCTION("""COMPUTED_VALUE"""),"Nino Bertasio")</f>
        <v>Nino Bertasio</v>
      </c>
      <c r="D400">
        <f ca="1">IFERROR(__xludf.DUMMYFUNCTION("""COMPUTED_VALUE"""),47)</f>
        <v>47</v>
      </c>
      <c r="E400">
        <f ca="1">IFERROR(__xludf.DUMMYFUNCTION("""COMPUTED_VALUE"""),0.4)</f>
        <v>0.4</v>
      </c>
      <c r="F400">
        <f ca="1">IFERROR(__xludf.DUMMYFUNCTION("""COMPUTED_VALUE"""),18.72)</f>
        <v>18.72</v>
      </c>
      <c r="G400">
        <f ca="1">IFERROR(__xludf.DUMMYFUNCTION("""COMPUTED_VALUE"""),-13.35)</f>
        <v>-13.35</v>
      </c>
      <c r="H400">
        <f ca="1">IFERROR(__xludf.DUMMYFUNCTION("""COMPUTED_VALUE"""),6.21)</f>
        <v>6.21</v>
      </c>
      <c r="I400" t="str">
        <f ca="1">IFERROR(__xludf.DUMMYFUNCTION("""COMPUTED_VALUE"""),"")</f>
        <v/>
      </c>
    </row>
    <row r="401" spans="1:9" ht="12.75">
      <c r="A401">
        <f ca="1">IFERROR(__xludf.DUMMYFUNCTION("""COMPUTED_VALUE"""),400)</f>
        <v>400</v>
      </c>
      <c r="B401">
        <f ca="1">IFERROR(__xludf.DUMMYFUNCTION("""COMPUTED_VALUE"""),394)</f>
        <v>394</v>
      </c>
      <c r="C401" t="str">
        <f ca="1">IFERROR(__xludf.DUMMYFUNCTION("""COMPUTED_VALUE"""),"Fabrizio Zanotti")</f>
        <v>Fabrizio Zanotti</v>
      </c>
      <c r="D401">
        <f ca="1">IFERROR(__xludf.DUMMYFUNCTION("""COMPUTED_VALUE"""),40)</f>
        <v>40</v>
      </c>
      <c r="E401">
        <f ca="1">IFERROR(__xludf.DUMMYFUNCTION("""COMPUTED_VALUE"""),0.4)</f>
        <v>0.4</v>
      </c>
      <c r="F401">
        <f ca="1">IFERROR(__xludf.DUMMYFUNCTION("""COMPUTED_VALUE"""),15.91)</f>
        <v>15.91</v>
      </c>
      <c r="G401">
        <f ca="1">IFERROR(__xludf.DUMMYFUNCTION("""COMPUTED_VALUE"""),-13.82)</f>
        <v>-13.82</v>
      </c>
      <c r="H401">
        <f ca="1">IFERROR(__xludf.DUMMYFUNCTION("""COMPUTED_VALUE"""),5.15)</f>
        <v>5.15</v>
      </c>
      <c r="I401" t="str">
        <f ca="1">IFERROR(__xludf.DUMMYFUNCTION("""COMPUTED_VALUE"""),"")</f>
        <v/>
      </c>
    </row>
    <row r="402" spans="1:9" ht="12.75">
      <c r="A402">
        <f ca="1">IFERROR(__xludf.DUMMYFUNCTION("""COMPUTED_VALUE"""),401)</f>
        <v>401</v>
      </c>
      <c r="B402">
        <f ca="1">IFERROR(__xludf.DUMMYFUNCTION("""COMPUTED_VALUE"""),399)</f>
        <v>399</v>
      </c>
      <c r="C402" t="str">
        <f ca="1">IFERROR(__xludf.DUMMYFUNCTION("""COMPUTED_VALUE"""),"Niklas Norgaard Moller")</f>
        <v>Niklas Norgaard Moller</v>
      </c>
      <c r="D402">
        <f ca="1">IFERROR(__xludf.DUMMYFUNCTION("""COMPUTED_VALUE"""),40)</f>
        <v>40</v>
      </c>
      <c r="E402">
        <f ca="1">IFERROR(__xludf.DUMMYFUNCTION("""COMPUTED_VALUE"""),0.39)</f>
        <v>0.39</v>
      </c>
      <c r="F402">
        <f ca="1">IFERROR(__xludf.DUMMYFUNCTION("""COMPUTED_VALUE"""),15.6)</f>
        <v>15.6</v>
      </c>
      <c r="G402">
        <f ca="1">IFERROR(__xludf.DUMMYFUNCTION("""COMPUTED_VALUE"""),-6.82)</f>
        <v>-6.82</v>
      </c>
      <c r="H402">
        <f ca="1">IFERROR(__xludf.DUMMYFUNCTION("""COMPUTED_VALUE"""),5.28)</f>
        <v>5.28</v>
      </c>
      <c r="I402" t="str">
        <f ca="1">IFERROR(__xludf.DUMMYFUNCTION("""COMPUTED_VALUE"""),"")</f>
        <v/>
      </c>
    </row>
    <row r="403" spans="1:9" ht="12.75">
      <c r="A403">
        <f ca="1">IFERROR(__xludf.DUMMYFUNCTION("""COMPUTED_VALUE"""),402)</f>
        <v>402</v>
      </c>
      <c r="B403">
        <f ca="1">IFERROR(__xludf.DUMMYFUNCTION("""COMPUTED_VALUE"""),403)</f>
        <v>403</v>
      </c>
      <c r="C403" t="str">
        <f ca="1">IFERROR(__xludf.DUMMYFUNCTION("""COMPUTED_VALUE"""),"Andrew Wilson")</f>
        <v>Andrew Wilson</v>
      </c>
      <c r="D403">
        <f ca="1">IFERROR(__xludf.DUMMYFUNCTION("""COMPUTED_VALUE"""),40)</f>
        <v>40</v>
      </c>
      <c r="E403">
        <f ca="1">IFERROR(__xludf.DUMMYFUNCTION("""COMPUTED_VALUE"""),0.39)</f>
        <v>0.39</v>
      </c>
      <c r="F403">
        <f ca="1">IFERROR(__xludf.DUMMYFUNCTION("""COMPUTED_VALUE"""),15.58)</f>
        <v>15.58</v>
      </c>
      <c r="G403">
        <f ca="1">IFERROR(__xludf.DUMMYFUNCTION("""COMPUTED_VALUE"""),-3.69)</f>
        <v>-3.69</v>
      </c>
      <c r="H403">
        <f ca="1">IFERROR(__xludf.DUMMYFUNCTION("""COMPUTED_VALUE"""),10.5)</f>
        <v>10.5</v>
      </c>
      <c r="I403" t="str">
        <f ca="1">IFERROR(__xludf.DUMMYFUNCTION("""COMPUTED_VALUE"""),"")</f>
        <v/>
      </c>
    </row>
    <row r="404" spans="1:9" ht="12.75">
      <c r="A404">
        <f ca="1">IFERROR(__xludf.DUMMYFUNCTION("""COMPUTED_VALUE"""),403)</f>
        <v>403</v>
      </c>
      <c r="B404">
        <f ca="1">IFERROR(__xludf.DUMMYFUNCTION("""COMPUTED_VALUE"""),406)</f>
        <v>406</v>
      </c>
      <c r="C404" t="str">
        <f ca="1">IFERROR(__xludf.DUMMYFUNCTION("""COMPUTED_VALUE"""),"Seamus Power")</f>
        <v>Seamus Power</v>
      </c>
      <c r="D404">
        <f ca="1">IFERROR(__xludf.DUMMYFUNCTION("""COMPUTED_VALUE"""),48)</f>
        <v>48</v>
      </c>
      <c r="E404">
        <f ca="1">IFERROR(__xludf.DUMMYFUNCTION("""COMPUTED_VALUE"""),0.39)</f>
        <v>0.39</v>
      </c>
      <c r="F404">
        <f ca="1">IFERROR(__xludf.DUMMYFUNCTION("""COMPUTED_VALUE"""),18.65)</f>
        <v>18.649999999999999</v>
      </c>
      <c r="G404">
        <f ca="1">IFERROR(__xludf.DUMMYFUNCTION("""COMPUTED_VALUE"""),-12.52)</f>
        <v>-12.52</v>
      </c>
      <c r="H404">
        <f ca="1">IFERROR(__xludf.DUMMYFUNCTION("""COMPUTED_VALUE"""),11.47)</f>
        <v>11.47</v>
      </c>
      <c r="I404" t="str">
        <f ca="1">IFERROR(__xludf.DUMMYFUNCTION("""COMPUTED_VALUE"""),"")</f>
        <v/>
      </c>
    </row>
    <row r="405" spans="1:9" ht="12.75">
      <c r="A405">
        <f ca="1">IFERROR(__xludf.DUMMYFUNCTION("""COMPUTED_VALUE"""),404)</f>
        <v>404</v>
      </c>
      <c r="B405">
        <f ca="1">IFERROR(__xludf.DUMMYFUNCTION("""COMPUTED_VALUE"""),523)</f>
        <v>523</v>
      </c>
      <c r="C405" t="str">
        <f ca="1">IFERROR(__xludf.DUMMYFUNCTION("""COMPUTED_VALUE"""),"Matt Ford")</f>
        <v>Matt Ford</v>
      </c>
      <c r="D405">
        <f ca="1">IFERROR(__xludf.DUMMYFUNCTION("""COMPUTED_VALUE"""),40)</f>
        <v>40</v>
      </c>
      <c r="E405">
        <f ca="1">IFERROR(__xludf.DUMMYFUNCTION("""COMPUTED_VALUE"""),0.39)</f>
        <v>0.39</v>
      </c>
      <c r="F405">
        <f ca="1">IFERROR(__xludf.DUMMYFUNCTION("""COMPUTED_VALUE"""),15.49)</f>
        <v>15.49</v>
      </c>
      <c r="G405">
        <f ca="1">IFERROR(__xludf.DUMMYFUNCTION("""COMPUTED_VALUE"""),-4.37)</f>
        <v>-4.37</v>
      </c>
      <c r="H405">
        <f ca="1">IFERROR(__xludf.DUMMYFUNCTION("""COMPUTED_VALUE"""),12.77)</f>
        <v>12.77</v>
      </c>
      <c r="I405" t="str">
        <f ca="1">IFERROR(__xludf.DUMMYFUNCTION("""COMPUTED_VALUE"""),"")</f>
        <v/>
      </c>
    </row>
    <row r="406" spans="1:9" ht="12.75">
      <c r="A406">
        <f ca="1">IFERROR(__xludf.DUMMYFUNCTION("""COMPUTED_VALUE"""),405)</f>
        <v>405</v>
      </c>
      <c r="B406">
        <f ca="1">IFERROR(__xludf.DUMMYFUNCTION("""COMPUTED_VALUE"""),401)</f>
        <v>401</v>
      </c>
      <c r="C406" t="str">
        <f ca="1">IFERROR(__xludf.DUMMYFUNCTION("""COMPUTED_VALUE"""),"Suteepat Prateeptienchai")</f>
        <v>Suteepat Prateeptienchai</v>
      </c>
      <c r="D406">
        <f ca="1">IFERROR(__xludf.DUMMYFUNCTION("""COMPUTED_VALUE"""),40)</f>
        <v>40</v>
      </c>
      <c r="E406">
        <f ca="1">IFERROR(__xludf.DUMMYFUNCTION("""COMPUTED_VALUE"""),0.39)</f>
        <v>0.39</v>
      </c>
      <c r="F406">
        <f ca="1">IFERROR(__xludf.DUMMYFUNCTION("""COMPUTED_VALUE"""),15.47)</f>
        <v>15.47</v>
      </c>
      <c r="G406">
        <f ca="1">IFERROR(__xludf.DUMMYFUNCTION("""COMPUTED_VALUE"""),-8)</f>
        <v>-8</v>
      </c>
      <c r="H406">
        <f ca="1">IFERROR(__xludf.DUMMYFUNCTION("""COMPUTED_VALUE"""),1.32)</f>
        <v>1.32</v>
      </c>
      <c r="I406" t="str">
        <f ca="1">IFERROR(__xludf.DUMMYFUNCTION("""COMPUTED_VALUE"""),"")</f>
        <v/>
      </c>
    </row>
    <row r="407" spans="1:9" ht="12.75">
      <c r="A407">
        <f ca="1">IFERROR(__xludf.DUMMYFUNCTION("""COMPUTED_VALUE"""),406)</f>
        <v>406</v>
      </c>
      <c r="B407">
        <f ca="1">IFERROR(__xludf.DUMMYFUNCTION("""COMPUTED_VALUE"""),402)</f>
        <v>402</v>
      </c>
      <c r="C407" t="str">
        <f ca="1">IFERROR(__xludf.DUMMYFUNCTION("""COMPUTED_VALUE"""),"D.J. Trahan")</f>
        <v>D.J. Trahan</v>
      </c>
      <c r="D407">
        <f ca="1">IFERROR(__xludf.DUMMYFUNCTION("""COMPUTED_VALUE"""),40)</f>
        <v>40</v>
      </c>
      <c r="E407">
        <f ca="1">IFERROR(__xludf.DUMMYFUNCTION("""COMPUTED_VALUE"""),0.39)</f>
        <v>0.39</v>
      </c>
      <c r="F407">
        <f ca="1">IFERROR(__xludf.DUMMYFUNCTION("""COMPUTED_VALUE"""),15.41)</f>
        <v>15.41</v>
      </c>
      <c r="G407">
        <f ca="1">IFERROR(__xludf.DUMMYFUNCTION("""COMPUTED_VALUE"""),-10.01)</f>
        <v>-10.01</v>
      </c>
      <c r="H407">
        <f ca="1">IFERROR(__xludf.DUMMYFUNCTION("""COMPUTED_VALUE"""),4.19)</f>
        <v>4.1900000000000004</v>
      </c>
      <c r="I407" t="str">
        <f ca="1">IFERROR(__xludf.DUMMYFUNCTION("""COMPUTED_VALUE"""),"")</f>
        <v/>
      </c>
    </row>
    <row r="408" spans="1:9" ht="12.75">
      <c r="A408">
        <f ca="1">IFERROR(__xludf.DUMMYFUNCTION("""COMPUTED_VALUE"""),407)</f>
        <v>407</v>
      </c>
      <c r="B408">
        <f ca="1">IFERROR(__xludf.DUMMYFUNCTION("""COMPUTED_VALUE"""),397)</f>
        <v>397</v>
      </c>
      <c r="C408" t="str">
        <f ca="1">IFERROR(__xludf.DUMMYFUNCTION("""COMPUTED_VALUE"""),"Jimmy Walker")</f>
        <v>Jimmy Walker</v>
      </c>
      <c r="D408">
        <f ca="1">IFERROR(__xludf.DUMMYFUNCTION("""COMPUTED_VALUE"""),45)</f>
        <v>45</v>
      </c>
      <c r="E408">
        <f ca="1">IFERROR(__xludf.DUMMYFUNCTION("""COMPUTED_VALUE"""),0.39)</f>
        <v>0.39</v>
      </c>
      <c r="F408">
        <f ca="1">IFERROR(__xludf.DUMMYFUNCTION("""COMPUTED_VALUE"""),17.33)</f>
        <v>17.329999999999998</v>
      </c>
      <c r="G408">
        <f ca="1">IFERROR(__xludf.DUMMYFUNCTION("""COMPUTED_VALUE"""),-26.1)</f>
        <v>-26.1</v>
      </c>
      <c r="H408">
        <f ca="1">IFERROR(__xludf.DUMMYFUNCTION("""COMPUTED_VALUE"""),9.46)</f>
        <v>9.4600000000000009</v>
      </c>
      <c r="I408" t="str">
        <f ca="1">IFERROR(__xludf.DUMMYFUNCTION("""COMPUTED_VALUE"""),"")</f>
        <v/>
      </c>
    </row>
    <row r="409" spans="1:9" ht="12.75">
      <c r="A409">
        <f ca="1">IFERROR(__xludf.DUMMYFUNCTION("""COMPUTED_VALUE"""),408)</f>
        <v>408</v>
      </c>
      <c r="B409">
        <f ca="1">IFERROR(__xludf.DUMMYFUNCTION("""COMPUTED_VALUE"""),408)</f>
        <v>408</v>
      </c>
      <c r="C409" t="str">
        <f ca="1">IFERROR(__xludf.DUMMYFUNCTION("""COMPUTED_VALUE"""),"Jack Singh Brar")</f>
        <v>Jack Singh Brar</v>
      </c>
      <c r="D409">
        <f ca="1">IFERROR(__xludf.DUMMYFUNCTION("""COMPUTED_VALUE"""),45)</f>
        <v>45</v>
      </c>
      <c r="E409">
        <f ca="1">IFERROR(__xludf.DUMMYFUNCTION("""COMPUTED_VALUE"""),0.38)</f>
        <v>0.38</v>
      </c>
      <c r="F409">
        <f ca="1">IFERROR(__xludf.DUMMYFUNCTION("""COMPUTED_VALUE"""),17.2)</f>
        <v>17.2</v>
      </c>
      <c r="G409">
        <f ca="1">IFERROR(__xludf.DUMMYFUNCTION("""COMPUTED_VALUE"""),-17.39)</f>
        <v>-17.39</v>
      </c>
      <c r="H409">
        <f ca="1">IFERROR(__xludf.DUMMYFUNCTION("""COMPUTED_VALUE"""),10.61)</f>
        <v>10.61</v>
      </c>
      <c r="I409" t="str">
        <f ca="1">IFERROR(__xludf.DUMMYFUNCTION("""COMPUTED_VALUE"""),"")</f>
        <v/>
      </c>
    </row>
    <row r="410" spans="1:9" ht="12.75">
      <c r="A410">
        <f ca="1">IFERROR(__xludf.DUMMYFUNCTION("""COMPUTED_VALUE"""),409)</f>
        <v>409</v>
      </c>
      <c r="B410">
        <f ca="1">IFERROR(__xludf.DUMMYFUNCTION("""COMPUTED_VALUE"""),412)</f>
        <v>412</v>
      </c>
      <c r="C410" t="str">
        <f ca="1">IFERROR(__xludf.DUMMYFUNCTION("""COMPUTED_VALUE"""),"Tim Wilkinson")</f>
        <v>Tim Wilkinson</v>
      </c>
      <c r="D410">
        <f ca="1">IFERROR(__xludf.DUMMYFUNCTION("""COMPUTED_VALUE"""),46)</f>
        <v>46</v>
      </c>
      <c r="E410">
        <f ca="1">IFERROR(__xludf.DUMMYFUNCTION("""COMPUTED_VALUE"""),0.38)</f>
        <v>0.38</v>
      </c>
      <c r="F410">
        <f ca="1">IFERROR(__xludf.DUMMYFUNCTION("""COMPUTED_VALUE"""),17.49)</f>
        <v>17.489999999999998</v>
      </c>
      <c r="G410">
        <f ca="1">IFERROR(__xludf.DUMMYFUNCTION("""COMPUTED_VALUE"""),-10.28)</f>
        <v>-10.28</v>
      </c>
      <c r="H410">
        <f ca="1">IFERROR(__xludf.DUMMYFUNCTION("""COMPUTED_VALUE"""),10.17)</f>
        <v>10.17</v>
      </c>
      <c r="I410" t="str">
        <f ca="1">IFERROR(__xludf.DUMMYFUNCTION("""COMPUTED_VALUE"""),"")</f>
        <v/>
      </c>
    </row>
    <row r="411" spans="1:9" ht="12.75">
      <c r="A411">
        <f ca="1">IFERROR(__xludf.DUMMYFUNCTION("""COMPUTED_VALUE"""),410)</f>
        <v>410</v>
      </c>
      <c r="B411">
        <f ca="1">IFERROR(__xludf.DUMMYFUNCTION("""COMPUTED_VALUE"""),404)</f>
        <v>404</v>
      </c>
      <c r="C411" t="str">
        <f ca="1">IFERROR(__xludf.DUMMYFUNCTION("""COMPUTED_VALUE"""),"Julian Suri")</f>
        <v>Julian Suri</v>
      </c>
      <c r="D411">
        <f ca="1">IFERROR(__xludf.DUMMYFUNCTION("""COMPUTED_VALUE"""),40)</f>
        <v>40</v>
      </c>
      <c r="E411">
        <f ca="1">IFERROR(__xludf.DUMMYFUNCTION("""COMPUTED_VALUE"""),0.38)</f>
        <v>0.38</v>
      </c>
      <c r="F411">
        <f ca="1">IFERROR(__xludf.DUMMYFUNCTION("""COMPUTED_VALUE"""),15.19)</f>
        <v>15.19</v>
      </c>
      <c r="G411">
        <f ca="1">IFERROR(__xludf.DUMMYFUNCTION("""COMPUTED_VALUE"""),-26.15)</f>
        <v>-26.15</v>
      </c>
      <c r="H411">
        <f ca="1">IFERROR(__xludf.DUMMYFUNCTION("""COMPUTED_VALUE"""),2.67)</f>
        <v>2.67</v>
      </c>
      <c r="I411" t="str">
        <f ca="1">IFERROR(__xludf.DUMMYFUNCTION("""COMPUTED_VALUE"""),"")</f>
        <v/>
      </c>
    </row>
    <row r="412" spans="1:9" ht="12.75">
      <c r="A412">
        <f ca="1">IFERROR(__xludf.DUMMYFUNCTION("""COMPUTED_VALUE"""),411)</f>
        <v>411</v>
      </c>
      <c r="B412">
        <f ca="1">IFERROR(__xludf.DUMMYFUNCTION("""COMPUTED_VALUE"""),405)</f>
        <v>405</v>
      </c>
      <c r="C412" t="str">
        <f ca="1">IFERROR(__xludf.DUMMYFUNCTION("""COMPUTED_VALUE"""),"Sadom Kaewkanjana")</f>
        <v>Sadom Kaewkanjana</v>
      </c>
      <c r="D412">
        <f ca="1">IFERROR(__xludf.DUMMYFUNCTION("""COMPUTED_VALUE"""),40)</f>
        <v>40</v>
      </c>
      <c r="E412">
        <f ca="1">IFERROR(__xludf.DUMMYFUNCTION("""COMPUTED_VALUE"""),0.38)</f>
        <v>0.38</v>
      </c>
      <c r="F412">
        <f ca="1">IFERROR(__xludf.DUMMYFUNCTION("""COMPUTED_VALUE"""),15.17)</f>
        <v>15.17</v>
      </c>
      <c r="G412">
        <f ca="1">IFERROR(__xludf.DUMMYFUNCTION("""COMPUTED_VALUE"""),-11.85)</f>
        <v>-11.85</v>
      </c>
      <c r="H412">
        <f ca="1">IFERROR(__xludf.DUMMYFUNCTION("""COMPUTED_VALUE"""),4.82)</f>
        <v>4.82</v>
      </c>
      <c r="I412" t="str">
        <f ca="1">IFERROR(__xludf.DUMMYFUNCTION("""COMPUTED_VALUE"""),"")</f>
        <v/>
      </c>
    </row>
    <row r="413" spans="1:9" ht="12.75">
      <c r="A413">
        <f ca="1">IFERROR(__xludf.DUMMYFUNCTION("""COMPUTED_VALUE"""),412)</f>
        <v>412</v>
      </c>
      <c r="B413">
        <f ca="1">IFERROR(__xludf.DUMMYFUNCTION("""COMPUTED_VALUE"""),409)</f>
        <v>409</v>
      </c>
      <c r="C413" t="str">
        <f ca="1">IFERROR(__xludf.DUMMYFUNCTION("""COMPUTED_VALUE"""),"Shiv Kapur")</f>
        <v>Shiv Kapur</v>
      </c>
      <c r="D413">
        <f ca="1">IFERROR(__xludf.DUMMYFUNCTION("""COMPUTED_VALUE"""),40)</f>
        <v>40</v>
      </c>
      <c r="E413">
        <f ca="1">IFERROR(__xludf.DUMMYFUNCTION("""COMPUTED_VALUE"""),0.38)</f>
        <v>0.38</v>
      </c>
      <c r="F413">
        <f ca="1">IFERROR(__xludf.DUMMYFUNCTION("""COMPUTED_VALUE"""),15.05)</f>
        <v>15.05</v>
      </c>
      <c r="G413">
        <f ca="1">IFERROR(__xludf.DUMMYFUNCTION("""COMPUTED_VALUE"""),-11.29)</f>
        <v>-11.29</v>
      </c>
      <c r="H413">
        <f ca="1">IFERROR(__xludf.DUMMYFUNCTION("""COMPUTED_VALUE"""),1.45)</f>
        <v>1.45</v>
      </c>
      <c r="I413" t="str">
        <f ca="1">IFERROR(__xludf.DUMMYFUNCTION("""COMPUTED_VALUE"""),"")</f>
        <v/>
      </c>
    </row>
    <row r="414" spans="1:9" ht="12.75">
      <c r="A414">
        <f ca="1">IFERROR(__xludf.DUMMYFUNCTION("""COMPUTED_VALUE"""),413)</f>
        <v>413</v>
      </c>
      <c r="B414">
        <f ca="1">IFERROR(__xludf.DUMMYFUNCTION("""COMPUTED_VALUE"""),417)</f>
        <v>417</v>
      </c>
      <c r="C414" t="str">
        <f ca="1">IFERROR(__xludf.DUMMYFUNCTION("""COMPUTED_VALUE"""),"Brett Coletta")</f>
        <v>Brett Coletta</v>
      </c>
      <c r="D414">
        <f ca="1">IFERROR(__xludf.DUMMYFUNCTION("""COMPUTED_VALUE"""),42)</f>
        <v>42</v>
      </c>
      <c r="E414">
        <f ca="1">IFERROR(__xludf.DUMMYFUNCTION("""COMPUTED_VALUE"""),0.38)</f>
        <v>0.38</v>
      </c>
      <c r="F414">
        <f ca="1">IFERROR(__xludf.DUMMYFUNCTION("""COMPUTED_VALUE"""),15.79)</f>
        <v>15.79</v>
      </c>
      <c r="G414">
        <f ca="1">IFERROR(__xludf.DUMMYFUNCTION("""COMPUTED_VALUE"""),-8.61)</f>
        <v>-8.61</v>
      </c>
      <c r="H414">
        <f ca="1">IFERROR(__xludf.DUMMYFUNCTION("""COMPUTED_VALUE"""),7.49)</f>
        <v>7.49</v>
      </c>
      <c r="I414" t="str">
        <f ca="1">IFERROR(__xludf.DUMMYFUNCTION("""COMPUTED_VALUE"""),"")</f>
        <v/>
      </c>
    </row>
    <row r="415" spans="1:9" ht="12.75">
      <c r="A415">
        <f ca="1">IFERROR(__xludf.DUMMYFUNCTION("""COMPUTED_VALUE"""),414)</f>
        <v>414</v>
      </c>
      <c r="B415">
        <f ca="1">IFERROR(__xludf.DUMMYFUNCTION("""COMPUTED_VALUE"""),416)</f>
        <v>416</v>
      </c>
      <c r="C415" t="str">
        <f ca="1">IFERROR(__xludf.DUMMYFUNCTION("""COMPUTED_VALUE"""),"Chris Baker")</f>
        <v>Chris Baker</v>
      </c>
      <c r="D415">
        <f ca="1">IFERROR(__xludf.DUMMYFUNCTION("""COMPUTED_VALUE"""),49)</f>
        <v>49</v>
      </c>
      <c r="E415">
        <f ca="1">IFERROR(__xludf.DUMMYFUNCTION("""COMPUTED_VALUE"""),0.38)</f>
        <v>0.38</v>
      </c>
      <c r="F415">
        <f ca="1">IFERROR(__xludf.DUMMYFUNCTION("""COMPUTED_VALUE"""),18.41)</f>
        <v>18.41</v>
      </c>
      <c r="G415">
        <f ca="1">IFERROR(__xludf.DUMMYFUNCTION("""COMPUTED_VALUE"""),-9.28)</f>
        <v>-9.2799999999999994</v>
      </c>
      <c r="H415">
        <f ca="1">IFERROR(__xludf.DUMMYFUNCTION("""COMPUTED_VALUE"""),8.55)</f>
        <v>8.5500000000000007</v>
      </c>
      <c r="I415" t="str">
        <f ca="1">IFERROR(__xludf.DUMMYFUNCTION("""COMPUTED_VALUE"""),"")</f>
        <v/>
      </c>
    </row>
    <row r="416" spans="1:9" ht="12.75">
      <c r="A416">
        <f ca="1">IFERROR(__xludf.DUMMYFUNCTION("""COMPUTED_VALUE"""),415)</f>
        <v>415</v>
      </c>
      <c r="B416">
        <f ca="1">IFERROR(__xludf.DUMMYFUNCTION("""COMPUTED_VALUE"""),418)</f>
        <v>418</v>
      </c>
      <c r="C416" t="str">
        <f ca="1">IFERROR(__xludf.DUMMYFUNCTION("""COMPUTED_VALUE"""),"Michael Gligic")</f>
        <v>Michael Gligic</v>
      </c>
      <c r="D416">
        <f ca="1">IFERROR(__xludf.DUMMYFUNCTION("""COMPUTED_VALUE"""),51)</f>
        <v>51</v>
      </c>
      <c r="E416">
        <f ca="1">IFERROR(__xludf.DUMMYFUNCTION("""COMPUTED_VALUE"""),0.37)</f>
        <v>0.37</v>
      </c>
      <c r="F416">
        <f ca="1">IFERROR(__xludf.DUMMYFUNCTION("""COMPUTED_VALUE"""),19.11)</f>
        <v>19.11</v>
      </c>
      <c r="G416">
        <f ca="1">IFERROR(__xludf.DUMMYFUNCTION("""COMPUTED_VALUE"""),-9.68)</f>
        <v>-9.68</v>
      </c>
      <c r="H416">
        <f ca="1">IFERROR(__xludf.DUMMYFUNCTION("""COMPUTED_VALUE"""),12.68)</f>
        <v>12.68</v>
      </c>
      <c r="I416" t="str">
        <f ca="1">IFERROR(__xludf.DUMMYFUNCTION("""COMPUTED_VALUE"""),"")</f>
        <v/>
      </c>
    </row>
    <row r="417" spans="1:9" ht="12.75">
      <c r="A417">
        <f ca="1">IFERROR(__xludf.DUMMYFUNCTION("""COMPUTED_VALUE"""),416)</f>
        <v>416</v>
      </c>
      <c r="B417">
        <f ca="1">IFERROR(__xludf.DUMMYFUNCTION("""COMPUTED_VALUE"""),411)</f>
        <v>411</v>
      </c>
      <c r="C417" t="str">
        <f ca="1">IFERROR(__xludf.DUMMYFUNCTION("""COMPUTED_VALUE"""),"Mark Anderson")</f>
        <v>Mark Anderson</v>
      </c>
      <c r="D417">
        <f ca="1">IFERROR(__xludf.DUMMYFUNCTION("""COMPUTED_VALUE"""),41)</f>
        <v>41</v>
      </c>
      <c r="E417">
        <f ca="1">IFERROR(__xludf.DUMMYFUNCTION("""COMPUTED_VALUE"""),0.37)</f>
        <v>0.37</v>
      </c>
      <c r="F417">
        <f ca="1">IFERROR(__xludf.DUMMYFUNCTION("""COMPUTED_VALUE"""),15.26)</f>
        <v>15.26</v>
      </c>
      <c r="G417">
        <f ca="1">IFERROR(__xludf.DUMMYFUNCTION("""COMPUTED_VALUE"""),-12.61)</f>
        <v>-12.61</v>
      </c>
      <c r="H417">
        <f ca="1">IFERROR(__xludf.DUMMYFUNCTION("""COMPUTED_VALUE"""),7.3)</f>
        <v>7.3</v>
      </c>
      <c r="I417" t="str">
        <f ca="1">IFERROR(__xludf.DUMMYFUNCTION("""COMPUTED_VALUE"""),"")</f>
        <v/>
      </c>
    </row>
    <row r="418" spans="1:9" ht="12.75">
      <c r="A418">
        <f ca="1">IFERROR(__xludf.DUMMYFUNCTION("""COMPUTED_VALUE"""),417)</f>
        <v>417</v>
      </c>
      <c r="B418">
        <f ca="1">IFERROR(__xludf.DUMMYFUNCTION("""COMPUTED_VALUE"""),407)</f>
        <v>407</v>
      </c>
      <c r="C418" t="str">
        <f ca="1">IFERROR(__xludf.DUMMYFUNCTION("""COMPUTED_VALUE"""),"Ted Potter, Jr.")</f>
        <v>Ted Potter, Jr.</v>
      </c>
      <c r="D418">
        <f ca="1">IFERROR(__xludf.DUMMYFUNCTION("""COMPUTED_VALUE"""),49)</f>
        <v>49</v>
      </c>
      <c r="E418">
        <f ca="1">IFERROR(__xludf.DUMMYFUNCTION("""COMPUTED_VALUE"""),0.37)</f>
        <v>0.37</v>
      </c>
      <c r="F418">
        <f ca="1">IFERROR(__xludf.DUMMYFUNCTION("""COMPUTED_VALUE"""),18.07)</f>
        <v>18.07</v>
      </c>
      <c r="G418">
        <f ca="1">IFERROR(__xludf.DUMMYFUNCTION("""COMPUTED_VALUE"""),-19.88)</f>
        <v>-19.88</v>
      </c>
      <c r="H418">
        <f ca="1">IFERROR(__xludf.DUMMYFUNCTION("""COMPUTED_VALUE"""),13.56)</f>
        <v>13.56</v>
      </c>
      <c r="I418" t="str">
        <f ca="1">IFERROR(__xludf.DUMMYFUNCTION("""COMPUTED_VALUE"""),"")</f>
        <v/>
      </c>
    </row>
    <row r="419" spans="1:9" ht="12.75">
      <c r="A419">
        <f ca="1">IFERROR(__xludf.DUMMYFUNCTION("""COMPUTED_VALUE"""),418)</f>
        <v>418</v>
      </c>
      <c r="B419">
        <f ca="1">IFERROR(__xludf.DUMMYFUNCTION("""COMPUTED_VALUE"""),420)</f>
        <v>420</v>
      </c>
      <c r="C419" t="str">
        <f ca="1">IFERROR(__xludf.DUMMYFUNCTION("""COMPUTED_VALUE"""),"Pep Angles")</f>
        <v>Pep Angles</v>
      </c>
      <c r="D419">
        <f ca="1">IFERROR(__xludf.DUMMYFUNCTION("""COMPUTED_VALUE"""),40)</f>
        <v>40</v>
      </c>
      <c r="E419">
        <f ca="1">IFERROR(__xludf.DUMMYFUNCTION("""COMPUTED_VALUE"""),0.37)</f>
        <v>0.37</v>
      </c>
      <c r="F419">
        <f ca="1">IFERROR(__xludf.DUMMYFUNCTION("""COMPUTED_VALUE"""),14.72)</f>
        <v>14.72</v>
      </c>
      <c r="G419">
        <f ca="1">IFERROR(__xludf.DUMMYFUNCTION("""COMPUTED_VALUE"""),-4.09)</f>
        <v>-4.09</v>
      </c>
      <c r="H419">
        <f ca="1">IFERROR(__xludf.DUMMYFUNCTION("""COMPUTED_VALUE"""),12.16)</f>
        <v>12.16</v>
      </c>
      <c r="I419" t="str">
        <f ca="1">IFERROR(__xludf.DUMMYFUNCTION("""COMPUTED_VALUE"""),"")</f>
        <v/>
      </c>
    </row>
    <row r="420" spans="1:9" ht="12.75">
      <c r="A420">
        <f ca="1">IFERROR(__xludf.DUMMYFUNCTION("""COMPUTED_VALUE"""),419)</f>
        <v>419</v>
      </c>
      <c r="B420">
        <f ca="1">IFERROR(__xludf.DUMMYFUNCTION("""COMPUTED_VALUE"""),414)</f>
        <v>414</v>
      </c>
      <c r="C420" t="str">
        <f ca="1">IFERROR(__xludf.DUMMYFUNCTION("""COMPUTED_VALUE"""),"Bio Kim")</f>
        <v>Bio Kim</v>
      </c>
      <c r="D420">
        <f ca="1">IFERROR(__xludf.DUMMYFUNCTION("""COMPUTED_VALUE"""),40)</f>
        <v>40</v>
      </c>
      <c r="E420">
        <f ca="1">IFERROR(__xludf.DUMMYFUNCTION("""COMPUTED_VALUE"""),0.37)</f>
        <v>0.37</v>
      </c>
      <c r="F420">
        <f ca="1">IFERROR(__xludf.DUMMYFUNCTION("""COMPUTED_VALUE"""),14.7)</f>
        <v>14.7</v>
      </c>
      <c r="G420">
        <f ca="1">IFERROR(__xludf.DUMMYFUNCTION("""COMPUTED_VALUE"""),-9.86)</f>
        <v>-9.86</v>
      </c>
      <c r="H420">
        <f ca="1">IFERROR(__xludf.DUMMYFUNCTION("""COMPUTED_VALUE"""),2.49)</f>
        <v>2.4900000000000002</v>
      </c>
      <c r="I420" t="str">
        <f ca="1">IFERROR(__xludf.DUMMYFUNCTION("""COMPUTED_VALUE"""),"")</f>
        <v/>
      </c>
    </row>
    <row r="421" spans="1:9" ht="12.75">
      <c r="A421">
        <f ca="1">IFERROR(__xludf.DUMMYFUNCTION("""COMPUTED_VALUE"""),420)</f>
        <v>420</v>
      </c>
      <c r="B421">
        <f ca="1">IFERROR(__xludf.DUMMYFUNCTION("""COMPUTED_VALUE"""),422)</f>
        <v>422</v>
      </c>
      <c r="C421" t="str">
        <f ca="1">IFERROR(__xludf.DUMMYFUNCTION("""COMPUTED_VALUE"""),"Nick Hardy")</f>
        <v>Nick Hardy</v>
      </c>
      <c r="D421">
        <f ca="1">IFERROR(__xludf.DUMMYFUNCTION("""COMPUTED_VALUE"""),40)</f>
        <v>40</v>
      </c>
      <c r="E421">
        <f ca="1">IFERROR(__xludf.DUMMYFUNCTION("""COMPUTED_VALUE"""),0.37)</f>
        <v>0.37</v>
      </c>
      <c r="F421">
        <f ca="1">IFERROR(__xludf.DUMMYFUNCTION("""COMPUTED_VALUE"""),14.68)</f>
        <v>14.68</v>
      </c>
      <c r="G421">
        <f ca="1">IFERROR(__xludf.DUMMYFUNCTION("""COMPUTED_VALUE"""),-1.51)</f>
        <v>-1.51</v>
      </c>
      <c r="H421">
        <f ca="1">IFERROR(__xludf.DUMMYFUNCTION("""COMPUTED_VALUE"""),16.19)</f>
        <v>16.190000000000001</v>
      </c>
      <c r="I421" t="str">
        <f ca="1">IFERROR(__xludf.DUMMYFUNCTION("""COMPUTED_VALUE"""),"")</f>
        <v/>
      </c>
    </row>
    <row r="422" spans="1:9" ht="12.75">
      <c r="A422">
        <f ca="1">IFERROR(__xludf.DUMMYFUNCTION("""COMPUTED_VALUE"""),421)</f>
        <v>421</v>
      </c>
      <c r="B422">
        <f ca="1">IFERROR(__xludf.DUMMYFUNCTION("""COMPUTED_VALUE"""),410)</f>
        <v>410</v>
      </c>
      <c r="C422" t="str">
        <f ca="1">IFERROR(__xludf.DUMMYFUNCTION("""COMPUTED_VALUE"""),"Anton Karlsson")</f>
        <v>Anton Karlsson</v>
      </c>
      <c r="D422">
        <f ca="1">IFERROR(__xludf.DUMMYFUNCTION("""COMPUTED_VALUE"""),44)</f>
        <v>44</v>
      </c>
      <c r="E422">
        <f ca="1">IFERROR(__xludf.DUMMYFUNCTION("""COMPUTED_VALUE"""),0.37)</f>
        <v>0.37</v>
      </c>
      <c r="F422">
        <f ca="1">IFERROR(__xludf.DUMMYFUNCTION("""COMPUTED_VALUE"""),16.12)</f>
        <v>16.12</v>
      </c>
      <c r="G422">
        <f ca="1">IFERROR(__xludf.DUMMYFUNCTION("""COMPUTED_VALUE"""),-11.84)</f>
        <v>-11.84</v>
      </c>
      <c r="H422">
        <f ca="1">IFERROR(__xludf.DUMMYFUNCTION("""COMPUTED_VALUE"""),13)</f>
        <v>13</v>
      </c>
      <c r="I422" t="str">
        <f ca="1">IFERROR(__xludf.DUMMYFUNCTION("""COMPUTED_VALUE"""),"")</f>
        <v/>
      </c>
    </row>
    <row r="423" spans="1:9" ht="12.75">
      <c r="A423">
        <f ca="1">IFERROR(__xludf.DUMMYFUNCTION("""COMPUTED_VALUE"""),422)</f>
        <v>422</v>
      </c>
      <c r="B423">
        <f ca="1">IFERROR(__xludf.DUMMYFUNCTION("""COMPUTED_VALUE"""),419)</f>
        <v>419</v>
      </c>
      <c r="C423" t="str">
        <f ca="1">IFERROR(__xludf.DUMMYFUNCTION("""COMPUTED_VALUE"""),"Todd Clements")</f>
        <v>Todd Clements</v>
      </c>
      <c r="D423">
        <f ca="1">IFERROR(__xludf.DUMMYFUNCTION("""COMPUTED_VALUE"""),40)</f>
        <v>40</v>
      </c>
      <c r="E423">
        <f ca="1">IFERROR(__xludf.DUMMYFUNCTION("""COMPUTED_VALUE"""),0.37)</f>
        <v>0.37</v>
      </c>
      <c r="F423">
        <f ca="1">IFERROR(__xludf.DUMMYFUNCTION("""COMPUTED_VALUE"""),14.65)</f>
        <v>14.65</v>
      </c>
      <c r="G423">
        <f ca="1">IFERROR(__xludf.DUMMYFUNCTION("""COMPUTED_VALUE"""),-6.63)</f>
        <v>-6.63</v>
      </c>
      <c r="H423">
        <f ca="1">IFERROR(__xludf.DUMMYFUNCTION("""COMPUTED_VALUE"""),3.78)</f>
        <v>3.78</v>
      </c>
      <c r="I423" t="str">
        <f ca="1">IFERROR(__xludf.DUMMYFUNCTION("""COMPUTED_VALUE"""),"")</f>
        <v/>
      </c>
    </row>
    <row r="424" spans="1:9" ht="12.75">
      <c r="A424">
        <f ca="1">IFERROR(__xludf.DUMMYFUNCTION("""COMPUTED_VALUE"""),423)</f>
        <v>423</v>
      </c>
      <c r="B424">
        <f ca="1">IFERROR(__xludf.DUMMYFUNCTION("""COMPUTED_VALUE"""),414)</f>
        <v>414</v>
      </c>
      <c r="C424" t="str">
        <f ca="1">IFERROR(__xludf.DUMMYFUNCTION("""COMPUTED_VALUE"""),"Ricardo Santos")</f>
        <v>Ricardo Santos</v>
      </c>
      <c r="D424">
        <f ca="1">IFERROR(__xludf.DUMMYFUNCTION("""COMPUTED_VALUE"""),40)</f>
        <v>40</v>
      </c>
      <c r="E424">
        <f ca="1">IFERROR(__xludf.DUMMYFUNCTION("""COMPUTED_VALUE"""),0.37)</f>
        <v>0.37</v>
      </c>
      <c r="F424">
        <f ca="1">IFERROR(__xludf.DUMMYFUNCTION("""COMPUTED_VALUE"""),14.64)</f>
        <v>14.64</v>
      </c>
      <c r="G424">
        <f ca="1">IFERROR(__xludf.DUMMYFUNCTION("""COMPUTED_VALUE"""),-12.41)</f>
        <v>-12.41</v>
      </c>
      <c r="H424">
        <f ca="1">IFERROR(__xludf.DUMMYFUNCTION("""COMPUTED_VALUE"""),0)</f>
        <v>0</v>
      </c>
      <c r="I424" t="str">
        <f ca="1">IFERROR(__xludf.DUMMYFUNCTION("""COMPUTED_VALUE"""),"")</f>
        <v/>
      </c>
    </row>
    <row r="425" spans="1:9" ht="12.75">
      <c r="A425">
        <f ca="1">IFERROR(__xludf.DUMMYFUNCTION("""COMPUTED_VALUE"""),424)</f>
        <v>424</v>
      </c>
      <c r="B425">
        <f ca="1">IFERROR(__xludf.DUMMYFUNCTION("""COMPUTED_VALUE"""),459)</f>
        <v>459</v>
      </c>
      <c r="C425" t="str">
        <f ca="1">IFERROR(__xludf.DUMMYFUNCTION("""COMPUTED_VALUE"""),"Chikkarangappa S.")</f>
        <v>Chikkarangappa S.</v>
      </c>
      <c r="D425">
        <f ca="1">IFERROR(__xludf.DUMMYFUNCTION("""COMPUTED_VALUE"""),40)</f>
        <v>40</v>
      </c>
      <c r="E425">
        <f ca="1">IFERROR(__xludf.DUMMYFUNCTION("""COMPUTED_VALUE"""),0.37)</f>
        <v>0.37</v>
      </c>
      <c r="F425">
        <f ca="1">IFERROR(__xludf.DUMMYFUNCTION("""COMPUTED_VALUE"""),14.63)</f>
        <v>14.63</v>
      </c>
      <c r="G425">
        <f ca="1">IFERROR(__xludf.DUMMYFUNCTION("""COMPUTED_VALUE"""),-12.79)</f>
        <v>-12.79</v>
      </c>
      <c r="H425">
        <f ca="1">IFERROR(__xludf.DUMMYFUNCTION("""COMPUTED_VALUE"""),4.81)</f>
        <v>4.8099999999999996</v>
      </c>
      <c r="I425" t="str">
        <f ca="1">IFERROR(__xludf.DUMMYFUNCTION("""COMPUTED_VALUE"""),"")</f>
        <v/>
      </c>
    </row>
    <row r="426" spans="1:9" ht="12.75">
      <c r="A426">
        <f ca="1">IFERROR(__xludf.DUMMYFUNCTION("""COMPUTED_VALUE"""),425)</f>
        <v>425</v>
      </c>
      <c r="B426">
        <f ca="1">IFERROR(__xludf.DUMMYFUNCTION("""COMPUTED_VALUE"""),413)</f>
        <v>413</v>
      </c>
      <c r="C426" t="str">
        <f ca="1">IFERROR(__xludf.DUMMYFUNCTION("""COMPUTED_VALUE"""),"J.J. Spaun")</f>
        <v>J.J. Spaun</v>
      </c>
      <c r="D426">
        <f ca="1">IFERROR(__xludf.DUMMYFUNCTION("""COMPUTED_VALUE"""),51)</f>
        <v>51</v>
      </c>
      <c r="E426">
        <f ca="1">IFERROR(__xludf.DUMMYFUNCTION("""COMPUTED_VALUE"""),0.37)</f>
        <v>0.37</v>
      </c>
      <c r="F426">
        <f ca="1">IFERROR(__xludf.DUMMYFUNCTION("""COMPUTED_VALUE"""),18.65)</f>
        <v>18.649999999999999</v>
      </c>
      <c r="G426">
        <f ca="1">IFERROR(__xludf.DUMMYFUNCTION("""COMPUTED_VALUE"""),-23.86)</f>
        <v>-23.86</v>
      </c>
      <c r="H426">
        <f ca="1">IFERROR(__xludf.DUMMYFUNCTION("""COMPUTED_VALUE"""),10.47)</f>
        <v>10.47</v>
      </c>
      <c r="I426" t="str">
        <f ca="1">IFERROR(__xludf.DUMMYFUNCTION("""COMPUTED_VALUE"""),"")</f>
        <v/>
      </c>
    </row>
    <row r="427" spans="1:9" ht="12.75">
      <c r="A427">
        <f ca="1">IFERROR(__xludf.DUMMYFUNCTION("""COMPUTED_VALUE"""),425)</f>
        <v>425</v>
      </c>
      <c r="B427">
        <f ca="1">IFERROR(__xludf.DUMMYFUNCTION("""COMPUTED_VALUE"""),423)</f>
        <v>423</v>
      </c>
      <c r="C427" t="str">
        <f ca="1">IFERROR(__xludf.DUMMYFUNCTION("""COMPUTED_VALUE"""),"Austen Truslow")</f>
        <v>Austen Truslow</v>
      </c>
      <c r="D427">
        <f ca="1">IFERROR(__xludf.DUMMYFUNCTION("""COMPUTED_VALUE"""),40)</f>
        <v>40</v>
      </c>
      <c r="E427">
        <f ca="1">IFERROR(__xludf.DUMMYFUNCTION("""COMPUTED_VALUE"""),0.37)</f>
        <v>0.37</v>
      </c>
      <c r="F427">
        <f ca="1">IFERROR(__xludf.DUMMYFUNCTION("""COMPUTED_VALUE"""),14.63)</f>
        <v>14.63</v>
      </c>
      <c r="G427">
        <f ca="1">IFERROR(__xludf.DUMMYFUNCTION("""COMPUTED_VALUE"""),-2.38)</f>
        <v>-2.38</v>
      </c>
      <c r="H427">
        <f ca="1">IFERROR(__xludf.DUMMYFUNCTION("""COMPUTED_VALUE"""),12.49)</f>
        <v>12.49</v>
      </c>
      <c r="I427" t="str">
        <f ca="1">IFERROR(__xludf.DUMMYFUNCTION("""COMPUTED_VALUE"""),"")</f>
        <v/>
      </c>
    </row>
    <row r="428" spans="1:9" ht="12.75">
      <c r="A428">
        <f ca="1">IFERROR(__xludf.DUMMYFUNCTION("""COMPUTED_VALUE"""),427)</f>
        <v>427</v>
      </c>
      <c r="B428">
        <f ca="1">IFERROR(__xludf.DUMMYFUNCTION("""COMPUTED_VALUE"""),426)</f>
        <v>426</v>
      </c>
      <c r="C428" t="str">
        <f ca="1">IFERROR(__xludf.DUMMYFUNCTION("""COMPUTED_VALUE"""),"Hirotaro Naito")</f>
        <v>Hirotaro Naito</v>
      </c>
      <c r="D428">
        <f ca="1">IFERROR(__xludf.DUMMYFUNCTION("""COMPUTED_VALUE"""),40)</f>
        <v>40</v>
      </c>
      <c r="E428">
        <f ca="1">IFERROR(__xludf.DUMMYFUNCTION("""COMPUTED_VALUE"""),0.37)</f>
        <v>0.37</v>
      </c>
      <c r="F428">
        <f ca="1">IFERROR(__xludf.DUMMYFUNCTION("""COMPUTED_VALUE"""),14.61)</f>
        <v>14.61</v>
      </c>
      <c r="G428">
        <f ca="1">IFERROR(__xludf.DUMMYFUNCTION("""COMPUTED_VALUE"""),-0.97)</f>
        <v>-0.97</v>
      </c>
      <c r="H428">
        <f ca="1">IFERROR(__xludf.DUMMYFUNCTION("""COMPUTED_VALUE"""),14.08)</f>
        <v>14.08</v>
      </c>
      <c r="I428" t="str">
        <f ca="1">IFERROR(__xludf.DUMMYFUNCTION("""COMPUTED_VALUE"""),"")</f>
        <v/>
      </c>
    </row>
    <row r="429" spans="1:9" ht="12.75">
      <c r="A429">
        <f ca="1">IFERROR(__xludf.DUMMYFUNCTION("""COMPUTED_VALUE"""),427)</f>
        <v>427</v>
      </c>
      <c r="B429">
        <f ca="1">IFERROR(__xludf.DUMMYFUNCTION("""COMPUTED_VALUE"""),424)</f>
        <v>424</v>
      </c>
      <c r="C429" t="str">
        <f ca="1">IFERROR(__xludf.DUMMYFUNCTION("""COMPUTED_VALUE"""),"Matt Every")</f>
        <v>Matt Every</v>
      </c>
      <c r="D429">
        <f ca="1">IFERROR(__xludf.DUMMYFUNCTION("""COMPUTED_VALUE"""),45)</f>
        <v>45</v>
      </c>
      <c r="E429">
        <f ca="1">IFERROR(__xludf.DUMMYFUNCTION("""COMPUTED_VALUE"""),0.37)</f>
        <v>0.37</v>
      </c>
      <c r="F429">
        <f ca="1">IFERROR(__xludf.DUMMYFUNCTION("""COMPUTED_VALUE"""),16.44)</f>
        <v>16.440000000000001</v>
      </c>
      <c r="G429">
        <f ca="1">IFERROR(__xludf.DUMMYFUNCTION("""COMPUTED_VALUE"""),-16.32)</f>
        <v>-16.32</v>
      </c>
      <c r="H429">
        <f ca="1">IFERROR(__xludf.DUMMYFUNCTION("""COMPUTED_VALUE"""),1.7)</f>
        <v>1.7</v>
      </c>
      <c r="I429" t="str">
        <f ca="1">IFERROR(__xludf.DUMMYFUNCTION("""COMPUTED_VALUE"""),"")</f>
        <v/>
      </c>
    </row>
    <row r="430" spans="1:9" ht="12.75">
      <c r="A430">
        <f ca="1">IFERROR(__xludf.DUMMYFUNCTION("""COMPUTED_VALUE"""),429)</f>
        <v>429</v>
      </c>
      <c r="B430">
        <f ca="1">IFERROR(__xludf.DUMMYFUNCTION("""COMPUTED_VALUE"""),420)</f>
        <v>420</v>
      </c>
      <c r="C430" t="str">
        <f ca="1">IFERROR(__xludf.DUMMYFUNCTION("""COMPUTED_VALUE"""),"Sung -Kug Park")</f>
        <v>Sung -Kug Park</v>
      </c>
      <c r="D430">
        <f ca="1">IFERROR(__xludf.DUMMYFUNCTION("""COMPUTED_VALUE"""),40)</f>
        <v>40</v>
      </c>
      <c r="E430">
        <f ca="1">IFERROR(__xludf.DUMMYFUNCTION("""COMPUTED_VALUE"""),0.36)</f>
        <v>0.36</v>
      </c>
      <c r="F430">
        <f ca="1">IFERROR(__xludf.DUMMYFUNCTION("""COMPUTED_VALUE"""),14.58)</f>
        <v>14.58</v>
      </c>
      <c r="G430">
        <f ca="1">IFERROR(__xludf.DUMMYFUNCTION("""COMPUTED_VALUE"""),-8.57)</f>
        <v>-8.57</v>
      </c>
      <c r="H430">
        <f ca="1">IFERROR(__xludf.DUMMYFUNCTION("""COMPUTED_VALUE"""),7.23)</f>
        <v>7.23</v>
      </c>
      <c r="I430" t="str">
        <f ca="1">IFERROR(__xludf.DUMMYFUNCTION("""COMPUTED_VALUE"""),"")</f>
        <v/>
      </c>
    </row>
    <row r="431" spans="1:9" ht="12.75">
      <c r="A431">
        <f ca="1">IFERROR(__xludf.DUMMYFUNCTION("""COMPUTED_VALUE"""),430)</f>
        <v>430</v>
      </c>
      <c r="B431">
        <f ca="1">IFERROR(__xludf.DUMMYFUNCTION("""COMPUTED_VALUE"""),427)</f>
        <v>427</v>
      </c>
      <c r="C431" t="str">
        <f ca="1">IFERROR(__xludf.DUMMYFUNCTION("""COMPUTED_VALUE"""),"Lee Chang-woo")</f>
        <v>Lee Chang-woo</v>
      </c>
      <c r="D431">
        <f ca="1">IFERROR(__xludf.DUMMYFUNCTION("""COMPUTED_VALUE"""),40)</f>
        <v>40</v>
      </c>
      <c r="E431">
        <f ca="1">IFERROR(__xludf.DUMMYFUNCTION("""COMPUTED_VALUE"""),0.36)</f>
        <v>0.36</v>
      </c>
      <c r="F431">
        <f ca="1">IFERROR(__xludf.DUMMYFUNCTION("""COMPUTED_VALUE"""),14.51)</f>
        <v>14.51</v>
      </c>
      <c r="G431">
        <f ca="1">IFERROR(__xludf.DUMMYFUNCTION("""COMPUTED_VALUE"""),-0.32)</f>
        <v>-0.32</v>
      </c>
      <c r="H431">
        <f ca="1">IFERROR(__xludf.DUMMYFUNCTION("""COMPUTED_VALUE"""),14.83)</f>
        <v>14.83</v>
      </c>
      <c r="I431" t="str">
        <f ca="1">IFERROR(__xludf.DUMMYFUNCTION("""COMPUTED_VALUE"""),"")</f>
        <v/>
      </c>
    </row>
    <row r="432" spans="1:9" ht="12.75">
      <c r="A432">
        <f ca="1">IFERROR(__xludf.DUMMYFUNCTION("""COMPUTED_VALUE"""),431)</f>
        <v>431</v>
      </c>
      <c r="B432">
        <f ca="1">IFERROR(__xludf.DUMMYFUNCTION("""COMPUTED_VALUE"""),425)</f>
        <v>425</v>
      </c>
      <c r="C432" t="str">
        <f ca="1">IFERROR(__xludf.DUMMYFUNCTION("""COMPUTED_VALUE"""),"Rob Oppenheim")</f>
        <v>Rob Oppenheim</v>
      </c>
      <c r="D432">
        <f ca="1">IFERROR(__xludf.DUMMYFUNCTION("""COMPUTED_VALUE"""),52)</f>
        <v>52</v>
      </c>
      <c r="E432">
        <f ca="1">IFERROR(__xludf.DUMMYFUNCTION("""COMPUTED_VALUE"""),0.36)</f>
        <v>0.36</v>
      </c>
      <c r="F432">
        <f ca="1">IFERROR(__xludf.DUMMYFUNCTION("""COMPUTED_VALUE"""),18.84)</f>
        <v>18.84</v>
      </c>
      <c r="G432">
        <f ca="1">IFERROR(__xludf.DUMMYFUNCTION("""COMPUTED_VALUE"""),-7.23)</f>
        <v>-7.23</v>
      </c>
      <c r="H432">
        <f ca="1">IFERROR(__xludf.DUMMYFUNCTION("""COMPUTED_VALUE"""),13.77)</f>
        <v>13.77</v>
      </c>
      <c r="I432" t="str">
        <f ca="1">IFERROR(__xludf.DUMMYFUNCTION("""COMPUTED_VALUE"""),"")</f>
        <v/>
      </c>
    </row>
    <row r="433" spans="1:9" ht="12.75">
      <c r="A433">
        <f ca="1">IFERROR(__xludf.DUMMYFUNCTION("""COMPUTED_VALUE"""),432)</f>
        <v>432</v>
      </c>
      <c r="B433">
        <f ca="1">IFERROR(__xludf.DUMMYFUNCTION("""COMPUTED_VALUE"""),509)</f>
        <v>509</v>
      </c>
      <c r="C433" t="str">
        <f ca="1">IFERROR(__xludf.DUMMYFUNCTION("""COMPUTED_VALUE"""),"Bernard Ritthammer")</f>
        <v>Bernard Ritthammer</v>
      </c>
      <c r="D433">
        <f ca="1">IFERROR(__xludf.DUMMYFUNCTION("""COMPUTED_VALUE"""),42)</f>
        <v>42</v>
      </c>
      <c r="E433">
        <f ca="1">IFERROR(__xludf.DUMMYFUNCTION("""COMPUTED_VALUE"""),0.36)</f>
        <v>0.36</v>
      </c>
      <c r="F433">
        <f ca="1">IFERROR(__xludf.DUMMYFUNCTION("""COMPUTED_VALUE"""),15.2)</f>
        <v>15.2</v>
      </c>
      <c r="G433">
        <f ca="1">IFERROR(__xludf.DUMMYFUNCTION("""COMPUTED_VALUE"""),-7.64)</f>
        <v>-7.64</v>
      </c>
      <c r="H433">
        <f ca="1">IFERROR(__xludf.DUMMYFUNCTION("""COMPUTED_VALUE"""),5.79)</f>
        <v>5.79</v>
      </c>
      <c r="I433" t="str">
        <f ca="1">IFERROR(__xludf.DUMMYFUNCTION("""COMPUTED_VALUE"""),"")</f>
        <v/>
      </c>
    </row>
    <row r="434" spans="1:9" ht="12.75">
      <c r="A434">
        <f ca="1">IFERROR(__xludf.DUMMYFUNCTION("""COMPUTED_VALUE"""),433)</f>
        <v>433</v>
      </c>
      <c r="B434">
        <f ca="1">IFERROR(__xludf.DUMMYFUNCTION("""COMPUTED_VALUE"""),428)</f>
        <v>428</v>
      </c>
      <c r="C434" t="str">
        <f ca="1">IFERROR(__xludf.DUMMYFUNCTION("""COMPUTED_VALUE"""),"Tommy Gainey")</f>
        <v>Tommy Gainey</v>
      </c>
      <c r="D434">
        <f ca="1">IFERROR(__xludf.DUMMYFUNCTION("""COMPUTED_VALUE"""),40)</f>
        <v>40</v>
      </c>
      <c r="E434">
        <f ca="1">IFERROR(__xludf.DUMMYFUNCTION("""COMPUTED_VALUE"""),0.36)</f>
        <v>0.36</v>
      </c>
      <c r="F434">
        <f ca="1">IFERROR(__xludf.DUMMYFUNCTION("""COMPUTED_VALUE"""),14.4)</f>
        <v>14.4</v>
      </c>
      <c r="G434">
        <f ca="1">IFERROR(__xludf.DUMMYFUNCTION("""COMPUTED_VALUE"""),-3.36)</f>
        <v>-3.36</v>
      </c>
      <c r="H434">
        <f ca="1">IFERROR(__xludf.DUMMYFUNCTION("""COMPUTED_VALUE"""),16.54)</f>
        <v>16.54</v>
      </c>
      <c r="I434" t="str">
        <f ca="1">IFERROR(__xludf.DUMMYFUNCTION("""COMPUTED_VALUE"""),"")</f>
        <v/>
      </c>
    </row>
    <row r="435" spans="1:9" ht="12.75">
      <c r="A435">
        <f ca="1">IFERROR(__xludf.DUMMYFUNCTION("""COMPUTED_VALUE"""),434)</f>
        <v>434</v>
      </c>
      <c r="B435">
        <f ca="1">IFERROR(__xludf.DUMMYFUNCTION("""COMPUTED_VALUE"""),448)</f>
        <v>448</v>
      </c>
      <c r="C435" t="str">
        <f ca="1">IFERROR(__xludf.DUMMYFUNCTION("""COMPUTED_VALUE"""),"Ignacio Elvira Mijares")</f>
        <v>Ignacio Elvira Mijares</v>
      </c>
      <c r="D435">
        <f ca="1">IFERROR(__xludf.DUMMYFUNCTION("""COMPUTED_VALUE"""),52)</f>
        <v>52</v>
      </c>
      <c r="E435">
        <f ca="1">IFERROR(__xludf.DUMMYFUNCTION("""COMPUTED_VALUE"""),0.36)</f>
        <v>0.36</v>
      </c>
      <c r="F435">
        <f ca="1">IFERROR(__xludf.DUMMYFUNCTION("""COMPUTED_VALUE"""),18.69)</f>
        <v>18.690000000000001</v>
      </c>
      <c r="G435">
        <f ca="1">IFERROR(__xludf.DUMMYFUNCTION("""COMPUTED_VALUE"""),-20.7)</f>
        <v>-20.7</v>
      </c>
      <c r="H435">
        <f ca="1">IFERROR(__xludf.DUMMYFUNCTION("""COMPUTED_VALUE"""),6.4)</f>
        <v>6.4</v>
      </c>
      <c r="I435" t="str">
        <f ca="1">IFERROR(__xludf.DUMMYFUNCTION("""COMPUTED_VALUE"""),"")</f>
        <v/>
      </c>
    </row>
    <row r="436" spans="1:9" ht="12.75">
      <c r="A436">
        <f ca="1">IFERROR(__xludf.DUMMYFUNCTION("""COMPUTED_VALUE"""),435)</f>
        <v>435</v>
      </c>
      <c r="B436">
        <f ca="1">IFERROR(__xludf.DUMMYFUNCTION("""COMPUTED_VALUE"""),432)</f>
        <v>432</v>
      </c>
      <c r="C436" t="str">
        <f ca="1">IFERROR(__xludf.DUMMYFUNCTION("""COMPUTED_VALUE"""),"Kwanchai Tannin")</f>
        <v>Kwanchai Tannin</v>
      </c>
      <c r="D436">
        <f ca="1">IFERROR(__xludf.DUMMYFUNCTION("""COMPUTED_VALUE"""),40)</f>
        <v>40</v>
      </c>
      <c r="E436">
        <f ca="1">IFERROR(__xludf.DUMMYFUNCTION("""COMPUTED_VALUE"""),0.36)</f>
        <v>0.36</v>
      </c>
      <c r="F436">
        <f ca="1">IFERROR(__xludf.DUMMYFUNCTION("""COMPUTED_VALUE"""),14.37)</f>
        <v>14.37</v>
      </c>
      <c r="G436">
        <f ca="1">IFERROR(__xludf.DUMMYFUNCTION("""COMPUTED_VALUE"""),-10.02)</f>
        <v>-10.02</v>
      </c>
      <c r="H436">
        <f ca="1">IFERROR(__xludf.DUMMYFUNCTION("""COMPUTED_VALUE"""),2)</f>
        <v>2</v>
      </c>
      <c r="I436" t="str">
        <f ca="1">IFERROR(__xludf.DUMMYFUNCTION("""COMPUTED_VALUE"""),"")</f>
        <v/>
      </c>
    </row>
    <row r="437" spans="1:9" ht="12.75">
      <c r="A437">
        <f ca="1">IFERROR(__xludf.DUMMYFUNCTION("""COMPUTED_VALUE"""),436)</f>
        <v>436</v>
      </c>
      <c r="B437">
        <f ca="1">IFERROR(__xludf.DUMMYFUNCTION("""COMPUTED_VALUE"""),440)</f>
        <v>440</v>
      </c>
      <c r="C437" t="str">
        <f ca="1">IFERROR(__xludf.DUMMYFUNCTION("""COMPUTED_VALUE"""),"Brad Hopfinger")</f>
        <v>Brad Hopfinger</v>
      </c>
      <c r="D437">
        <f ca="1">IFERROR(__xludf.DUMMYFUNCTION("""COMPUTED_VALUE"""),48)</f>
        <v>48</v>
      </c>
      <c r="E437">
        <f ca="1">IFERROR(__xludf.DUMMYFUNCTION("""COMPUTED_VALUE"""),0.36)</f>
        <v>0.36</v>
      </c>
      <c r="F437">
        <f ca="1">IFERROR(__xludf.DUMMYFUNCTION("""COMPUTED_VALUE"""),17.08)</f>
        <v>17.079999999999998</v>
      </c>
      <c r="G437">
        <f ca="1">IFERROR(__xludf.DUMMYFUNCTION("""COMPUTED_VALUE"""),-2.35)</f>
        <v>-2.35</v>
      </c>
      <c r="H437">
        <f ca="1">IFERROR(__xludf.DUMMYFUNCTION("""COMPUTED_VALUE"""),16.23)</f>
        <v>16.23</v>
      </c>
      <c r="I437" t="str">
        <f ca="1">IFERROR(__xludf.DUMMYFUNCTION("""COMPUTED_VALUE"""),"")</f>
        <v/>
      </c>
    </row>
    <row r="438" spans="1:9" ht="12.75">
      <c r="A438">
        <f ca="1">IFERROR(__xludf.DUMMYFUNCTION("""COMPUTED_VALUE"""),437)</f>
        <v>437</v>
      </c>
      <c r="B438">
        <f ca="1">IFERROR(__xludf.DUMMYFUNCTION("""COMPUTED_VALUE"""),429)</f>
        <v>429</v>
      </c>
      <c r="C438" t="str">
        <f ca="1">IFERROR(__xludf.DUMMYFUNCTION("""COMPUTED_VALUE"""),"Ajeetesh Sandhu")</f>
        <v>Ajeetesh Sandhu</v>
      </c>
      <c r="D438">
        <f ca="1">IFERROR(__xludf.DUMMYFUNCTION("""COMPUTED_VALUE"""),40)</f>
        <v>40</v>
      </c>
      <c r="E438">
        <f ca="1">IFERROR(__xludf.DUMMYFUNCTION("""COMPUTED_VALUE"""),0.36)</f>
        <v>0.36</v>
      </c>
      <c r="F438">
        <f ca="1">IFERROR(__xludf.DUMMYFUNCTION("""COMPUTED_VALUE"""),14.22)</f>
        <v>14.22</v>
      </c>
      <c r="G438">
        <f ca="1">IFERROR(__xludf.DUMMYFUNCTION("""COMPUTED_VALUE"""),-11.2)</f>
        <v>-11.2</v>
      </c>
      <c r="H438">
        <f ca="1">IFERROR(__xludf.DUMMYFUNCTION("""COMPUTED_VALUE"""),0)</f>
        <v>0</v>
      </c>
      <c r="I438" t="str">
        <f ca="1">IFERROR(__xludf.DUMMYFUNCTION("""COMPUTED_VALUE"""),"")</f>
        <v/>
      </c>
    </row>
    <row r="439" spans="1:9" ht="12.75">
      <c r="A439">
        <f ca="1">IFERROR(__xludf.DUMMYFUNCTION("""COMPUTED_VALUE"""),438)</f>
        <v>438</v>
      </c>
      <c r="B439">
        <f ca="1">IFERROR(__xludf.DUMMYFUNCTION("""COMPUTED_VALUE"""),431)</f>
        <v>431</v>
      </c>
      <c r="C439" t="str">
        <f ca="1">IFERROR(__xludf.DUMMYFUNCTION("""COMPUTED_VALUE"""),"Brandon Harkins")</f>
        <v>Brandon Harkins</v>
      </c>
      <c r="D439">
        <f ca="1">IFERROR(__xludf.DUMMYFUNCTION("""COMPUTED_VALUE"""),52)</f>
        <v>52</v>
      </c>
      <c r="E439">
        <f ca="1">IFERROR(__xludf.DUMMYFUNCTION("""COMPUTED_VALUE"""),0.36)</f>
        <v>0.36</v>
      </c>
      <c r="F439">
        <f ca="1">IFERROR(__xludf.DUMMYFUNCTION("""COMPUTED_VALUE"""),18.46)</f>
        <v>18.46</v>
      </c>
      <c r="G439">
        <f ca="1">IFERROR(__xludf.DUMMYFUNCTION("""COMPUTED_VALUE"""),-10.61)</f>
        <v>-10.61</v>
      </c>
      <c r="H439">
        <f ca="1">IFERROR(__xludf.DUMMYFUNCTION("""COMPUTED_VALUE"""),16.8)</f>
        <v>16.8</v>
      </c>
      <c r="I439" t="str">
        <f ca="1">IFERROR(__xludf.DUMMYFUNCTION("""COMPUTED_VALUE"""),"")</f>
        <v/>
      </c>
    </row>
    <row r="440" spans="1:9" ht="12.75">
      <c r="A440">
        <f ca="1">IFERROR(__xludf.DUMMYFUNCTION("""COMPUTED_VALUE"""),438)</f>
        <v>438</v>
      </c>
      <c r="B440">
        <f ca="1">IFERROR(__xludf.DUMMYFUNCTION("""COMPUTED_VALUE"""),432)</f>
        <v>432</v>
      </c>
      <c r="C440" t="str">
        <f ca="1">IFERROR(__xludf.DUMMYFUNCTION("""COMPUTED_VALUE"""),"Thanapath Pichaikul")</f>
        <v>Thanapath Pichaikul</v>
      </c>
      <c r="D440">
        <f ca="1">IFERROR(__xludf.DUMMYFUNCTION("""COMPUTED_VALUE"""),40)</f>
        <v>40</v>
      </c>
      <c r="E440">
        <f ca="1">IFERROR(__xludf.DUMMYFUNCTION("""COMPUTED_VALUE"""),0.36)</f>
        <v>0.36</v>
      </c>
      <c r="F440">
        <f ca="1">IFERROR(__xludf.DUMMYFUNCTION("""COMPUTED_VALUE"""),14.2)</f>
        <v>14.2</v>
      </c>
      <c r="G440">
        <f ca="1">IFERROR(__xludf.DUMMYFUNCTION("""COMPUTED_VALUE"""),-3.29)</f>
        <v>-3.29</v>
      </c>
      <c r="H440">
        <f ca="1">IFERROR(__xludf.DUMMYFUNCTION("""COMPUTED_VALUE"""),9.9)</f>
        <v>9.9</v>
      </c>
      <c r="I440" t="str">
        <f ca="1">IFERROR(__xludf.DUMMYFUNCTION("""COMPUTED_VALUE"""),"")</f>
        <v/>
      </c>
    </row>
    <row r="441" spans="1:9" ht="12.75">
      <c r="A441">
        <f ca="1">IFERROR(__xludf.DUMMYFUNCTION("""COMPUTED_VALUE"""),440)</f>
        <v>440</v>
      </c>
      <c r="B441">
        <f ca="1">IFERROR(__xludf.DUMMYFUNCTION("""COMPUTED_VALUE"""),475)</f>
        <v>475</v>
      </c>
      <c r="C441" t="str">
        <f ca="1">IFERROR(__xludf.DUMMYFUNCTION("""COMPUTED_VALUE"""),"James Morrison")</f>
        <v>James Morrison</v>
      </c>
      <c r="D441">
        <f ca="1">IFERROR(__xludf.DUMMYFUNCTION("""COMPUTED_VALUE"""),52)</f>
        <v>52</v>
      </c>
      <c r="E441">
        <f ca="1">IFERROR(__xludf.DUMMYFUNCTION("""COMPUTED_VALUE"""),0.35)</f>
        <v>0.35</v>
      </c>
      <c r="F441">
        <f ca="1">IFERROR(__xludf.DUMMYFUNCTION("""COMPUTED_VALUE"""),18.45)</f>
        <v>18.45</v>
      </c>
      <c r="G441">
        <f ca="1">IFERROR(__xludf.DUMMYFUNCTION("""COMPUTED_VALUE"""),-7.1)</f>
        <v>-7.1</v>
      </c>
      <c r="H441">
        <f ca="1">IFERROR(__xludf.DUMMYFUNCTION("""COMPUTED_VALUE"""),11.12)</f>
        <v>11.12</v>
      </c>
      <c r="I441" t="str">
        <f ca="1">IFERROR(__xludf.DUMMYFUNCTION("""COMPUTED_VALUE"""),"")</f>
        <v/>
      </c>
    </row>
    <row r="442" spans="1:9" ht="12.75">
      <c r="A442">
        <f ca="1">IFERROR(__xludf.DUMMYFUNCTION("""COMPUTED_VALUE"""),441)</f>
        <v>441</v>
      </c>
      <c r="B442">
        <f ca="1">IFERROR(__xludf.DUMMYFUNCTION("""COMPUTED_VALUE"""),430)</f>
        <v>430</v>
      </c>
      <c r="C442" t="str">
        <f ca="1">IFERROR(__xludf.DUMMYFUNCTION("""COMPUTED_VALUE"""),"Richard Jung")</f>
        <v>Richard Jung</v>
      </c>
      <c r="D442">
        <f ca="1">IFERROR(__xludf.DUMMYFUNCTION("""COMPUTED_VALUE"""),40)</f>
        <v>40</v>
      </c>
      <c r="E442">
        <f ca="1">IFERROR(__xludf.DUMMYFUNCTION("""COMPUTED_VALUE"""),0.35)</f>
        <v>0.35</v>
      </c>
      <c r="F442">
        <f ca="1">IFERROR(__xludf.DUMMYFUNCTION("""COMPUTED_VALUE"""),14.17)</f>
        <v>14.17</v>
      </c>
      <c r="G442">
        <f ca="1">IFERROR(__xludf.DUMMYFUNCTION("""COMPUTED_VALUE"""),-10.52)</f>
        <v>-10.52</v>
      </c>
      <c r="H442">
        <f ca="1">IFERROR(__xludf.DUMMYFUNCTION("""COMPUTED_VALUE"""),1.21)</f>
        <v>1.21</v>
      </c>
      <c r="I442" t="str">
        <f ca="1">IFERROR(__xludf.DUMMYFUNCTION("""COMPUTED_VALUE"""),"")</f>
        <v/>
      </c>
    </row>
    <row r="443" spans="1:9" ht="12.75">
      <c r="A443">
        <f ca="1">IFERROR(__xludf.DUMMYFUNCTION("""COMPUTED_VALUE"""),442)</f>
        <v>442</v>
      </c>
      <c r="B443">
        <f ca="1">IFERROR(__xludf.DUMMYFUNCTION("""COMPUTED_VALUE"""),463)</f>
        <v>463</v>
      </c>
      <c r="C443" t="str">
        <f ca="1">IFERROR(__xludf.DUMMYFUNCTION("""COMPUTED_VALUE"""),"Seunghyuk Kim")</f>
        <v>Seunghyuk Kim</v>
      </c>
      <c r="D443">
        <f ca="1">IFERROR(__xludf.DUMMYFUNCTION("""COMPUTED_VALUE"""),49)</f>
        <v>49</v>
      </c>
      <c r="E443">
        <f ca="1">IFERROR(__xludf.DUMMYFUNCTION("""COMPUTED_VALUE"""),0.35)</f>
        <v>0.35</v>
      </c>
      <c r="F443">
        <f ca="1">IFERROR(__xludf.DUMMYFUNCTION("""COMPUTED_VALUE"""),17.21)</f>
        <v>17.21</v>
      </c>
      <c r="G443">
        <f ca="1">IFERROR(__xludf.DUMMYFUNCTION("""COMPUTED_VALUE"""),-10.25)</f>
        <v>-10.25</v>
      </c>
      <c r="H443">
        <f ca="1">IFERROR(__xludf.DUMMYFUNCTION("""COMPUTED_VALUE"""),11.26)</f>
        <v>11.26</v>
      </c>
      <c r="I443" t="str">
        <f ca="1">IFERROR(__xludf.DUMMYFUNCTION("""COMPUTED_VALUE"""),"")</f>
        <v/>
      </c>
    </row>
    <row r="444" spans="1:9" ht="12.75">
      <c r="A444">
        <f ca="1">IFERROR(__xludf.DUMMYFUNCTION("""COMPUTED_VALUE"""),443)</f>
        <v>443</v>
      </c>
      <c r="B444">
        <f ca="1">IFERROR(__xludf.DUMMYFUNCTION("""COMPUTED_VALUE"""),436)</f>
        <v>436</v>
      </c>
      <c r="C444" t="str">
        <f ca="1">IFERROR(__xludf.DUMMYFUNCTION("""COMPUTED_VALUE"""),"Justin Suh")</f>
        <v>Justin Suh</v>
      </c>
      <c r="D444">
        <f ca="1">IFERROR(__xludf.DUMMYFUNCTION("""COMPUTED_VALUE"""),40)</f>
        <v>40</v>
      </c>
      <c r="E444">
        <f ca="1">IFERROR(__xludf.DUMMYFUNCTION("""COMPUTED_VALUE"""),0.35)</f>
        <v>0.35</v>
      </c>
      <c r="F444">
        <f ca="1">IFERROR(__xludf.DUMMYFUNCTION("""COMPUTED_VALUE"""),13.99)</f>
        <v>13.99</v>
      </c>
      <c r="G444">
        <f ca="1">IFERROR(__xludf.DUMMYFUNCTION("""COMPUTED_VALUE"""),-1.45)</f>
        <v>-1.45</v>
      </c>
      <c r="H444">
        <f ca="1">IFERROR(__xludf.DUMMYFUNCTION("""COMPUTED_VALUE"""),11.04)</f>
        <v>11.04</v>
      </c>
      <c r="I444" t="str">
        <f ca="1">IFERROR(__xludf.DUMMYFUNCTION("""COMPUTED_VALUE"""),"")</f>
        <v/>
      </c>
    </row>
    <row r="445" spans="1:9" ht="12.75">
      <c r="A445">
        <f ca="1">IFERROR(__xludf.DUMMYFUNCTION("""COMPUTED_VALUE"""),443)</f>
        <v>443</v>
      </c>
      <c r="B445">
        <f ca="1">IFERROR(__xludf.DUMMYFUNCTION("""COMPUTED_VALUE"""),434)</f>
        <v>434</v>
      </c>
      <c r="C445" t="str">
        <f ca="1">IFERROR(__xludf.DUMMYFUNCTION("""COMPUTED_VALUE"""),"Rikard Karlberg")</f>
        <v>Rikard Karlberg</v>
      </c>
      <c r="D445">
        <f ca="1">IFERROR(__xludf.DUMMYFUNCTION("""COMPUTED_VALUE"""),40)</f>
        <v>40</v>
      </c>
      <c r="E445">
        <f ca="1">IFERROR(__xludf.DUMMYFUNCTION("""COMPUTED_VALUE"""),0.35)</f>
        <v>0.35</v>
      </c>
      <c r="F445">
        <f ca="1">IFERROR(__xludf.DUMMYFUNCTION("""COMPUTED_VALUE"""),13.99)</f>
        <v>13.99</v>
      </c>
      <c r="G445">
        <f ca="1">IFERROR(__xludf.DUMMYFUNCTION("""COMPUTED_VALUE"""),-5.26)</f>
        <v>-5.26</v>
      </c>
      <c r="H445">
        <f ca="1">IFERROR(__xludf.DUMMYFUNCTION("""COMPUTED_VALUE"""),6.26)</f>
        <v>6.26</v>
      </c>
      <c r="I445" t="str">
        <f ca="1">IFERROR(__xludf.DUMMYFUNCTION("""COMPUTED_VALUE"""),"")</f>
        <v/>
      </c>
    </row>
    <row r="446" spans="1:9" ht="12.75">
      <c r="A446">
        <f ca="1">IFERROR(__xludf.DUMMYFUNCTION("""COMPUTED_VALUE"""),445)</f>
        <v>445</v>
      </c>
      <c r="B446">
        <f ca="1">IFERROR(__xludf.DUMMYFUNCTION("""COMPUTED_VALUE"""),442)</f>
        <v>442</v>
      </c>
      <c r="C446" t="str">
        <f ca="1">IFERROR(__xludf.DUMMYFUNCTION("""COMPUTED_VALUE"""),"Andrew Novak")</f>
        <v>Andrew Novak</v>
      </c>
      <c r="D446">
        <f ca="1">IFERROR(__xludf.DUMMYFUNCTION("""COMPUTED_VALUE"""),48)</f>
        <v>48</v>
      </c>
      <c r="E446">
        <f ca="1">IFERROR(__xludf.DUMMYFUNCTION("""COMPUTED_VALUE"""),0.35)</f>
        <v>0.35</v>
      </c>
      <c r="F446">
        <f ca="1">IFERROR(__xludf.DUMMYFUNCTION("""COMPUTED_VALUE"""),16.71)</f>
        <v>16.71</v>
      </c>
      <c r="G446">
        <f ca="1">IFERROR(__xludf.DUMMYFUNCTION("""COMPUTED_VALUE"""),-5.27)</f>
        <v>-5.27</v>
      </c>
      <c r="H446">
        <f ca="1">IFERROR(__xludf.DUMMYFUNCTION("""COMPUTED_VALUE"""),17.31)</f>
        <v>17.309999999999999</v>
      </c>
      <c r="I446" t="str">
        <f ca="1">IFERROR(__xludf.DUMMYFUNCTION("""COMPUTED_VALUE"""),"")</f>
        <v/>
      </c>
    </row>
    <row r="447" spans="1:9" ht="12.75">
      <c r="A447">
        <f ca="1">IFERROR(__xludf.DUMMYFUNCTION("""COMPUTED_VALUE"""),446)</f>
        <v>446</v>
      </c>
      <c r="B447">
        <f ca="1">IFERROR(__xludf.DUMMYFUNCTION("""COMPUTED_VALUE"""),443)</f>
        <v>443</v>
      </c>
      <c r="C447" t="str">
        <f ca="1">IFERROR(__xludf.DUMMYFUNCTION("""COMPUTED_VALUE"""),"Jacques Kruyswijk")</f>
        <v>Jacques Kruyswijk</v>
      </c>
      <c r="D447">
        <f ca="1">IFERROR(__xludf.DUMMYFUNCTION("""COMPUTED_VALUE"""),49)</f>
        <v>49</v>
      </c>
      <c r="E447">
        <f ca="1">IFERROR(__xludf.DUMMYFUNCTION("""COMPUTED_VALUE"""),0.35)</f>
        <v>0.35</v>
      </c>
      <c r="F447">
        <f ca="1">IFERROR(__xludf.DUMMYFUNCTION("""COMPUTED_VALUE"""),17.01)</f>
        <v>17.010000000000002</v>
      </c>
      <c r="G447">
        <f ca="1">IFERROR(__xludf.DUMMYFUNCTION("""COMPUTED_VALUE"""),-10.19)</f>
        <v>-10.19</v>
      </c>
      <c r="H447">
        <f ca="1">IFERROR(__xludf.DUMMYFUNCTION("""COMPUTED_VALUE"""),14.73)</f>
        <v>14.73</v>
      </c>
      <c r="I447" t="str">
        <f ca="1">IFERROR(__xludf.DUMMYFUNCTION("""COMPUTED_VALUE"""),"")</f>
        <v/>
      </c>
    </row>
    <row r="448" spans="1:9" ht="12.75">
      <c r="A448">
        <f ca="1">IFERROR(__xludf.DUMMYFUNCTION("""COMPUTED_VALUE"""),447)</f>
        <v>447</v>
      </c>
      <c r="B448">
        <f ca="1">IFERROR(__xludf.DUMMYFUNCTION("""COMPUTED_VALUE"""),435)</f>
        <v>435</v>
      </c>
      <c r="C448" t="str">
        <f ca="1">IFERROR(__xludf.DUMMYFUNCTION("""COMPUTED_VALUE"""),"Bobby Bai")</f>
        <v>Bobby Bai</v>
      </c>
      <c r="D448">
        <f ca="1">IFERROR(__xludf.DUMMYFUNCTION("""COMPUTED_VALUE"""),40)</f>
        <v>40</v>
      </c>
      <c r="E448">
        <f ca="1">IFERROR(__xludf.DUMMYFUNCTION("""COMPUTED_VALUE"""),0.35)</f>
        <v>0.35</v>
      </c>
      <c r="F448">
        <f ca="1">IFERROR(__xludf.DUMMYFUNCTION("""COMPUTED_VALUE"""),13.82)</f>
        <v>13.82</v>
      </c>
      <c r="G448">
        <f ca="1">IFERROR(__xludf.DUMMYFUNCTION("""COMPUTED_VALUE"""),-7.68)</f>
        <v>-7.68</v>
      </c>
      <c r="H448">
        <f ca="1">IFERROR(__xludf.DUMMYFUNCTION("""COMPUTED_VALUE"""),0)</f>
        <v>0</v>
      </c>
      <c r="I448" t="str">
        <f ca="1">IFERROR(__xludf.DUMMYFUNCTION("""COMPUTED_VALUE"""),"")</f>
        <v/>
      </c>
    </row>
    <row r="449" spans="1:9" ht="12.75">
      <c r="A449">
        <f ca="1">IFERROR(__xludf.DUMMYFUNCTION("""COMPUTED_VALUE"""),448)</f>
        <v>448</v>
      </c>
      <c r="B449">
        <f ca="1">IFERROR(__xludf.DUMMYFUNCTION("""COMPUTED_VALUE"""),470)</f>
        <v>470</v>
      </c>
      <c r="C449" t="str">
        <f ca="1">IFERROR(__xludf.DUMMYFUNCTION("""COMPUTED_VALUE"""),"Philip Eriksson")</f>
        <v>Philip Eriksson</v>
      </c>
      <c r="D449">
        <f ca="1">IFERROR(__xludf.DUMMYFUNCTION("""COMPUTED_VALUE"""),40)</f>
        <v>40</v>
      </c>
      <c r="E449">
        <f ca="1">IFERROR(__xludf.DUMMYFUNCTION("""COMPUTED_VALUE"""),0.34)</f>
        <v>0.34</v>
      </c>
      <c r="F449">
        <f ca="1">IFERROR(__xludf.DUMMYFUNCTION("""COMPUTED_VALUE"""),13.79)</f>
        <v>13.79</v>
      </c>
      <c r="G449">
        <f ca="1">IFERROR(__xludf.DUMMYFUNCTION("""COMPUTED_VALUE"""),-9.37)</f>
        <v>-9.3699999999999992</v>
      </c>
      <c r="H449">
        <f ca="1">IFERROR(__xludf.DUMMYFUNCTION("""COMPUTED_VALUE"""),7.42)</f>
        <v>7.42</v>
      </c>
      <c r="I449" t="str">
        <f ca="1">IFERROR(__xludf.DUMMYFUNCTION("""COMPUTED_VALUE"""),"")</f>
        <v/>
      </c>
    </row>
    <row r="450" spans="1:9" ht="12.75">
      <c r="A450">
        <f ca="1">IFERROR(__xludf.DUMMYFUNCTION("""COMPUTED_VALUE"""),449)</f>
        <v>449</v>
      </c>
      <c r="B450">
        <f ca="1">IFERROR(__xludf.DUMMYFUNCTION("""COMPUTED_VALUE"""),439)</f>
        <v>439</v>
      </c>
      <c r="C450" t="str">
        <f ca="1">IFERROR(__xludf.DUMMYFUNCTION("""COMPUTED_VALUE"""),"Aaron Pike")</f>
        <v>Aaron Pike</v>
      </c>
      <c r="D450">
        <f ca="1">IFERROR(__xludf.DUMMYFUNCTION("""COMPUTED_VALUE"""),40)</f>
        <v>40</v>
      </c>
      <c r="E450">
        <f ca="1">IFERROR(__xludf.DUMMYFUNCTION("""COMPUTED_VALUE"""),0.34)</f>
        <v>0.34</v>
      </c>
      <c r="F450">
        <f ca="1">IFERROR(__xludf.DUMMYFUNCTION("""COMPUTED_VALUE"""),13.77)</f>
        <v>13.77</v>
      </c>
      <c r="G450">
        <f ca="1">IFERROR(__xludf.DUMMYFUNCTION("""COMPUTED_VALUE"""),-7.35)</f>
        <v>-7.35</v>
      </c>
      <c r="H450">
        <f ca="1">IFERROR(__xludf.DUMMYFUNCTION("""COMPUTED_VALUE"""),4)</f>
        <v>4</v>
      </c>
      <c r="I450" t="str">
        <f ca="1">IFERROR(__xludf.DUMMYFUNCTION("""COMPUTED_VALUE"""),"")</f>
        <v/>
      </c>
    </row>
    <row r="451" spans="1:9" ht="12.75">
      <c r="A451">
        <f ca="1">IFERROR(__xludf.DUMMYFUNCTION("""COMPUTED_VALUE"""),450)</f>
        <v>450</v>
      </c>
      <c r="B451">
        <f ca="1">IFERROR(__xludf.DUMMYFUNCTION("""COMPUTED_VALUE"""),437)</f>
        <v>437</v>
      </c>
      <c r="C451" t="str">
        <f ca="1">IFERROR(__xludf.DUMMYFUNCTION("""COMPUTED_VALUE"""),"Peter Uihlein")</f>
        <v>Peter Uihlein</v>
      </c>
      <c r="D451">
        <f ca="1">IFERROR(__xludf.DUMMYFUNCTION("""COMPUTED_VALUE"""),52)</f>
        <v>52</v>
      </c>
      <c r="E451">
        <f ca="1">IFERROR(__xludf.DUMMYFUNCTION("""COMPUTED_VALUE"""),0.34)</f>
        <v>0.34</v>
      </c>
      <c r="F451">
        <f ca="1">IFERROR(__xludf.DUMMYFUNCTION("""COMPUTED_VALUE"""),17.88)</f>
        <v>17.88</v>
      </c>
      <c r="G451">
        <f ca="1">IFERROR(__xludf.DUMMYFUNCTION("""COMPUTED_VALUE"""),-24.61)</f>
        <v>-24.61</v>
      </c>
      <c r="H451">
        <f ca="1">IFERROR(__xludf.DUMMYFUNCTION("""COMPUTED_VALUE"""),7.75)</f>
        <v>7.75</v>
      </c>
      <c r="I451" t="str">
        <f ca="1">IFERROR(__xludf.DUMMYFUNCTION("""COMPUTED_VALUE"""),"")</f>
        <v/>
      </c>
    </row>
    <row r="452" spans="1:9" ht="12.75">
      <c r="A452">
        <f ca="1">IFERROR(__xludf.DUMMYFUNCTION("""COMPUTED_VALUE"""),451)</f>
        <v>451</v>
      </c>
      <c r="B452">
        <f ca="1">IFERROR(__xludf.DUMMYFUNCTION("""COMPUTED_VALUE"""),445)</f>
        <v>445</v>
      </c>
      <c r="C452" t="str">
        <f ca="1">IFERROR(__xludf.DUMMYFUNCTION("""COMPUTED_VALUE"""),"Miguel Angel Carballo")</f>
        <v>Miguel Angel Carballo</v>
      </c>
      <c r="D452">
        <f ca="1">IFERROR(__xludf.DUMMYFUNCTION("""COMPUTED_VALUE"""),41)</f>
        <v>41</v>
      </c>
      <c r="E452">
        <f ca="1">IFERROR(__xludf.DUMMYFUNCTION("""COMPUTED_VALUE"""),0.34)</f>
        <v>0.34</v>
      </c>
      <c r="F452">
        <f ca="1">IFERROR(__xludf.DUMMYFUNCTION("""COMPUTED_VALUE"""),14.07)</f>
        <v>14.07</v>
      </c>
      <c r="G452">
        <f ca="1">IFERROR(__xludf.DUMMYFUNCTION("""COMPUTED_VALUE"""),-14.93)</f>
        <v>-14.93</v>
      </c>
      <c r="H452">
        <f ca="1">IFERROR(__xludf.DUMMYFUNCTION("""COMPUTED_VALUE"""),1.43)</f>
        <v>1.43</v>
      </c>
      <c r="I452" t="str">
        <f ca="1">IFERROR(__xludf.DUMMYFUNCTION("""COMPUTED_VALUE"""),"")</f>
        <v/>
      </c>
    </row>
    <row r="453" spans="1:9" ht="12.75">
      <c r="A453">
        <f ca="1">IFERROR(__xludf.DUMMYFUNCTION("""COMPUTED_VALUE"""),452)</f>
        <v>452</v>
      </c>
      <c r="B453">
        <f ca="1">IFERROR(__xludf.DUMMYFUNCTION("""COMPUTED_VALUE"""),438)</f>
        <v>438</v>
      </c>
      <c r="C453" t="str">
        <f ca="1">IFERROR(__xludf.DUMMYFUNCTION("""COMPUTED_VALUE"""),"Katsumasa Miyamoto")</f>
        <v>Katsumasa Miyamoto</v>
      </c>
      <c r="D453">
        <f ca="1">IFERROR(__xludf.DUMMYFUNCTION("""COMPUTED_VALUE"""),40)</f>
        <v>40</v>
      </c>
      <c r="E453">
        <f ca="1">IFERROR(__xludf.DUMMYFUNCTION("""COMPUTED_VALUE"""),0.34)</f>
        <v>0.34</v>
      </c>
      <c r="F453">
        <f ca="1">IFERROR(__xludf.DUMMYFUNCTION("""COMPUTED_VALUE"""),13.72)</f>
        <v>13.72</v>
      </c>
      <c r="G453">
        <f ca="1">IFERROR(__xludf.DUMMYFUNCTION("""COMPUTED_VALUE"""),-10.51)</f>
        <v>-10.51</v>
      </c>
      <c r="H453">
        <f ca="1">IFERROR(__xludf.DUMMYFUNCTION("""COMPUTED_VALUE"""),0)</f>
        <v>0</v>
      </c>
      <c r="I453" t="str">
        <f ca="1">IFERROR(__xludf.DUMMYFUNCTION("""COMPUTED_VALUE"""),"")</f>
        <v/>
      </c>
    </row>
    <row r="454" spans="1:9" ht="12.75">
      <c r="A454">
        <f ca="1">IFERROR(__xludf.DUMMYFUNCTION("""COMPUTED_VALUE"""),453)</f>
        <v>453</v>
      </c>
      <c r="B454">
        <f ca="1">IFERROR(__xludf.DUMMYFUNCTION("""COMPUTED_VALUE"""),447)</f>
        <v>447</v>
      </c>
      <c r="C454" t="str">
        <f ca="1">IFERROR(__xludf.DUMMYFUNCTION("""COMPUTED_VALUE"""),"Doug Ghim")</f>
        <v>Doug Ghim</v>
      </c>
      <c r="D454">
        <f ca="1">IFERROR(__xludf.DUMMYFUNCTION("""COMPUTED_VALUE"""),51)</f>
        <v>51</v>
      </c>
      <c r="E454">
        <f ca="1">IFERROR(__xludf.DUMMYFUNCTION("""COMPUTED_VALUE"""),0.34)</f>
        <v>0.34</v>
      </c>
      <c r="F454">
        <f ca="1">IFERROR(__xludf.DUMMYFUNCTION("""COMPUTED_VALUE"""),17.45)</f>
        <v>17.45</v>
      </c>
      <c r="G454">
        <f ca="1">IFERROR(__xludf.DUMMYFUNCTION("""COMPUTED_VALUE"""),-10.29)</f>
        <v>-10.29</v>
      </c>
      <c r="H454">
        <f ca="1">IFERROR(__xludf.DUMMYFUNCTION("""COMPUTED_VALUE"""),10.13)</f>
        <v>10.130000000000001</v>
      </c>
      <c r="I454" t="str">
        <f ca="1">IFERROR(__xludf.DUMMYFUNCTION("""COMPUTED_VALUE"""),"")</f>
        <v/>
      </c>
    </row>
    <row r="455" spans="1:9" ht="12.75">
      <c r="A455">
        <f ca="1">IFERROR(__xludf.DUMMYFUNCTION("""COMPUTED_VALUE"""),454)</f>
        <v>454</v>
      </c>
      <c r="B455">
        <f ca="1">IFERROR(__xludf.DUMMYFUNCTION("""COMPUTED_VALUE"""),441)</f>
        <v>441</v>
      </c>
      <c r="C455" t="str">
        <f ca="1">IFERROR(__xludf.DUMMYFUNCTION("""COMPUTED_VALUE"""),"Maximilian Kieffer")</f>
        <v>Maximilian Kieffer</v>
      </c>
      <c r="D455">
        <f ca="1">IFERROR(__xludf.DUMMYFUNCTION("""COMPUTED_VALUE"""),49)</f>
        <v>49</v>
      </c>
      <c r="E455">
        <f ca="1">IFERROR(__xludf.DUMMYFUNCTION("""COMPUTED_VALUE"""),0.34)</f>
        <v>0.34</v>
      </c>
      <c r="F455">
        <f ca="1">IFERROR(__xludf.DUMMYFUNCTION("""COMPUTED_VALUE"""),16.73)</f>
        <v>16.73</v>
      </c>
      <c r="G455">
        <f ca="1">IFERROR(__xludf.DUMMYFUNCTION("""COMPUTED_VALUE"""),-14.69)</f>
        <v>-14.69</v>
      </c>
      <c r="H455">
        <f ca="1">IFERROR(__xludf.DUMMYFUNCTION("""COMPUTED_VALUE"""),9.67)</f>
        <v>9.67</v>
      </c>
      <c r="I455" t="str">
        <f ca="1">IFERROR(__xludf.DUMMYFUNCTION("""COMPUTED_VALUE"""),"")</f>
        <v/>
      </c>
    </row>
    <row r="456" spans="1:9" ht="12.75">
      <c r="A456">
        <f ca="1">IFERROR(__xludf.DUMMYFUNCTION("""COMPUTED_VALUE"""),455)</f>
        <v>455</v>
      </c>
      <c r="B456">
        <f ca="1">IFERROR(__xludf.DUMMYFUNCTION("""COMPUTED_VALUE"""),497)</f>
        <v>497</v>
      </c>
      <c r="C456" t="str">
        <f ca="1">IFERROR(__xludf.DUMMYFUNCTION("""COMPUTED_VALUE"""),"Christofer Blomstrand")</f>
        <v>Christofer Blomstrand</v>
      </c>
      <c r="D456">
        <f ca="1">IFERROR(__xludf.DUMMYFUNCTION("""COMPUTED_VALUE"""),40)</f>
        <v>40</v>
      </c>
      <c r="E456">
        <f ca="1">IFERROR(__xludf.DUMMYFUNCTION("""COMPUTED_VALUE"""),0.34)</f>
        <v>0.34</v>
      </c>
      <c r="F456">
        <f ca="1">IFERROR(__xludf.DUMMYFUNCTION("""COMPUTED_VALUE"""),13.58)</f>
        <v>13.58</v>
      </c>
      <c r="G456">
        <f ca="1">IFERROR(__xludf.DUMMYFUNCTION("""COMPUTED_VALUE"""),-7.62)</f>
        <v>-7.62</v>
      </c>
      <c r="H456">
        <f ca="1">IFERROR(__xludf.DUMMYFUNCTION("""COMPUTED_VALUE"""),9)</f>
        <v>9</v>
      </c>
      <c r="I456" t="str">
        <f ca="1">IFERROR(__xludf.DUMMYFUNCTION("""COMPUTED_VALUE"""),"")</f>
        <v/>
      </c>
    </row>
    <row r="457" spans="1:9" ht="12.75">
      <c r="A457">
        <f ca="1">IFERROR(__xludf.DUMMYFUNCTION("""COMPUTED_VALUE"""),456)</f>
        <v>456</v>
      </c>
      <c r="B457">
        <f ca="1">IFERROR(__xludf.DUMMYFUNCTION("""COMPUTED_VALUE"""),446)</f>
        <v>446</v>
      </c>
      <c r="C457" t="str">
        <f ca="1">IFERROR(__xludf.DUMMYFUNCTION("""COMPUTED_VALUE"""),"David Hearn")</f>
        <v>David Hearn</v>
      </c>
      <c r="D457">
        <f ca="1">IFERROR(__xludf.DUMMYFUNCTION("""COMPUTED_VALUE"""),50)</f>
        <v>50</v>
      </c>
      <c r="E457">
        <f ca="1">IFERROR(__xludf.DUMMYFUNCTION("""COMPUTED_VALUE"""),0.34)</f>
        <v>0.34</v>
      </c>
      <c r="F457">
        <f ca="1">IFERROR(__xludf.DUMMYFUNCTION("""COMPUTED_VALUE"""),16.81)</f>
        <v>16.809999999999999</v>
      </c>
      <c r="G457">
        <f ca="1">IFERROR(__xludf.DUMMYFUNCTION("""COMPUTED_VALUE"""),-10.7)</f>
        <v>-10.7</v>
      </c>
      <c r="H457">
        <f ca="1">IFERROR(__xludf.DUMMYFUNCTION("""COMPUTED_VALUE"""),7.1)</f>
        <v>7.1</v>
      </c>
      <c r="I457" t="str">
        <f ca="1">IFERROR(__xludf.DUMMYFUNCTION("""COMPUTED_VALUE"""),"")</f>
        <v/>
      </c>
    </row>
    <row r="458" spans="1:9" ht="12.75">
      <c r="A458">
        <f ca="1">IFERROR(__xludf.DUMMYFUNCTION("""COMPUTED_VALUE"""),457)</f>
        <v>457</v>
      </c>
      <c r="B458">
        <f ca="1">IFERROR(__xludf.DUMMYFUNCTION("""COMPUTED_VALUE"""),449)</f>
        <v>449</v>
      </c>
      <c r="C458" t="str">
        <f ca="1">IFERROR(__xludf.DUMMYFUNCTION("""COMPUTED_VALUE"""),"Tae Hee Lee")</f>
        <v>Tae Hee Lee</v>
      </c>
      <c r="D458">
        <f ca="1">IFERROR(__xludf.DUMMYFUNCTION("""COMPUTED_VALUE"""),48)</f>
        <v>48</v>
      </c>
      <c r="E458">
        <f ca="1">IFERROR(__xludf.DUMMYFUNCTION("""COMPUTED_VALUE"""),0.34)</f>
        <v>0.34</v>
      </c>
      <c r="F458">
        <f ca="1">IFERROR(__xludf.DUMMYFUNCTION("""COMPUTED_VALUE"""),16.1)</f>
        <v>16.100000000000001</v>
      </c>
      <c r="G458">
        <f ca="1">IFERROR(__xludf.DUMMYFUNCTION("""COMPUTED_VALUE"""),-9.22)</f>
        <v>-9.2200000000000006</v>
      </c>
      <c r="H458">
        <f ca="1">IFERROR(__xludf.DUMMYFUNCTION("""COMPUTED_VALUE"""),9.44)</f>
        <v>9.44</v>
      </c>
      <c r="I458" t="str">
        <f ca="1">IFERROR(__xludf.DUMMYFUNCTION("""COMPUTED_VALUE"""),"")</f>
        <v/>
      </c>
    </row>
    <row r="459" spans="1:9" ht="12.75">
      <c r="A459">
        <f ca="1">IFERROR(__xludf.DUMMYFUNCTION("""COMPUTED_VALUE"""),458)</f>
        <v>458</v>
      </c>
      <c r="B459">
        <f ca="1">IFERROR(__xludf.DUMMYFUNCTION("""COMPUTED_VALUE"""),444)</f>
        <v>444</v>
      </c>
      <c r="C459" t="str">
        <f ca="1">IFERROR(__xludf.DUMMYFUNCTION("""COMPUTED_VALUE"""),"Matthew Griffin")</f>
        <v>Matthew Griffin</v>
      </c>
      <c r="D459">
        <f ca="1">IFERROR(__xludf.DUMMYFUNCTION("""COMPUTED_VALUE"""),40)</f>
        <v>40</v>
      </c>
      <c r="E459">
        <f ca="1">IFERROR(__xludf.DUMMYFUNCTION("""COMPUTED_VALUE"""),0.33)</f>
        <v>0.33</v>
      </c>
      <c r="F459">
        <f ca="1">IFERROR(__xludf.DUMMYFUNCTION("""COMPUTED_VALUE"""),13.36)</f>
        <v>13.36</v>
      </c>
      <c r="G459">
        <f ca="1">IFERROR(__xludf.DUMMYFUNCTION("""COMPUTED_VALUE"""),-15.38)</f>
        <v>-15.38</v>
      </c>
      <c r="H459">
        <f ca="1">IFERROR(__xludf.DUMMYFUNCTION("""COMPUTED_VALUE"""),0)</f>
        <v>0</v>
      </c>
      <c r="I459" t="str">
        <f ca="1">IFERROR(__xludf.DUMMYFUNCTION("""COMPUTED_VALUE"""),"")</f>
        <v/>
      </c>
    </row>
    <row r="460" spans="1:9" ht="12.75">
      <c r="A460">
        <f ca="1">IFERROR(__xludf.DUMMYFUNCTION("""COMPUTED_VALUE"""),459)</f>
        <v>459</v>
      </c>
      <c r="B460">
        <f ca="1">IFERROR(__xludf.DUMMYFUNCTION("""COMPUTED_VALUE"""),451)</f>
        <v>451</v>
      </c>
      <c r="C460" t="str">
        <f ca="1">IFERROR(__xludf.DUMMYFUNCTION("""COMPUTED_VALUE"""),"Vincent Whaley")</f>
        <v>Vincent Whaley</v>
      </c>
      <c r="D460">
        <f ca="1">IFERROR(__xludf.DUMMYFUNCTION("""COMPUTED_VALUE"""),46)</f>
        <v>46</v>
      </c>
      <c r="E460">
        <f ca="1">IFERROR(__xludf.DUMMYFUNCTION("""COMPUTED_VALUE"""),0.33)</f>
        <v>0.33</v>
      </c>
      <c r="F460">
        <f ca="1">IFERROR(__xludf.DUMMYFUNCTION("""COMPUTED_VALUE"""),15.24)</f>
        <v>15.24</v>
      </c>
      <c r="G460">
        <f ca="1">IFERROR(__xludf.DUMMYFUNCTION("""COMPUTED_VALUE"""),-6.96)</f>
        <v>-6.96</v>
      </c>
      <c r="H460">
        <f ca="1">IFERROR(__xludf.DUMMYFUNCTION("""COMPUTED_VALUE"""),10.54)</f>
        <v>10.54</v>
      </c>
      <c r="I460" t="str">
        <f ca="1">IFERROR(__xludf.DUMMYFUNCTION("""COMPUTED_VALUE"""),"")</f>
        <v/>
      </c>
    </row>
    <row r="461" spans="1:9" ht="12.75">
      <c r="A461">
        <f ca="1">IFERROR(__xludf.DUMMYFUNCTION("""COMPUTED_VALUE"""),460)</f>
        <v>460</v>
      </c>
      <c r="B461">
        <f ca="1">IFERROR(__xludf.DUMMYFUNCTION("""COMPUTED_VALUE"""),462)</f>
        <v>462</v>
      </c>
      <c r="C461" t="str">
        <f ca="1">IFERROR(__xludf.DUMMYFUNCTION("""COMPUTED_VALUE"""),"Damien Perrier")</f>
        <v>Damien Perrier</v>
      </c>
      <c r="D461">
        <f ca="1">IFERROR(__xludf.DUMMYFUNCTION("""COMPUTED_VALUE"""),48)</f>
        <v>48</v>
      </c>
      <c r="E461">
        <f ca="1">IFERROR(__xludf.DUMMYFUNCTION("""COMPUTED_VALUE"""),0.33)</f>
        <v>0.33</v>
      </c>
      <c r="F461">
        <f ca="1">IFERROR(__xludf.DUMMYFUNCTION("""COMPUTED_VALUE"""),15.87)</f>
        <v>15.87</v>
      </c>
      <c r="G461">
        <f ca="1">IFERROR(__xludf.DUMMYFUNCTION("""COMPUTED_VALUE"""),-7.36)</f>
        <v>-7.36</v>
      </c>
      <c r="H461">
        <f ca="1">IFERROR(__xludf.DUMMYFUNCTION("""COMPUTED_VALUE"""),8.82)</f>
        <v>8.82</v>
      </c>
      <c r="I461" t="str">
        <f ca="1">IFERROR(__xludf.DUMMYFUNCTION("""COMPUTED_VALUE"""),"")</f>
        <v/>
      </c>
    </row>
    <row r="462" spans="1:9" ht="12.75">
      <c r="A462">
        <f ca="1">IFERROR(__xludf.DUMMYFUNCTION("""COMPUTED_VALUE"""),461)</f>
        <v>461</v>
      </c>
      <c r="B462">
        <f ca="1">IFERROR(__xludf.DUMMYFUNCTION("""COMPUTED_VALUE"""),464)</f>
        <v>464</v>
      </c>
      <c r="C462" t="str">
        <f ca="1">IFERROR(__xludf.DUMMYFUNCTION("""COMPUTED_VALUE"""),"Nicholas Lindheim")</f>
        <v>Nicholas Lindheim</v>
      </c>
      <c r="D462">
        <f ca="1">IFERROR(__xludf.DUMMYFUNCTION("""COMPUTED_VALUE"""),42)</f>
        <v>42</v>
      </c>
      <c r="E462">
        <f ca="1">IFERROR(__xludf.DUMMYFUNCTION("""COMPUTED_VALUE"""),0.33)</f>
        <v>0.33</v>
      </c>
      <c r="F462">
        <f ca="1">IFERROR(__xludf.DUMMYFUNCTION("""COMPUTED_VALUE"""),13.88)</f>
        <v>13.88</v>
      </c>
      <c r="G462">
        <f ca="1">IFERROR(__xludf.DUMMYFUNCTION("""COMPUTED_VALUE"""),-6.45)</f>
        <v>-6.45</v>
      </c>
      <c r="H462">
        <f ca="1">IFERROR(__xludf.DUMMYFUNCTION("""COMPUTED_VALUE"""),11.81)</f>
        <v>11.81</v>
      </c>
      <c r="I462" t="str">
        <f ca="1">IFERROR(__xludf.DUMMYFUNCTION("""COMPUTED_VALUE"""),"")</f>
        <v/>
      </c>
    </row>
    <row r="463" spans="1:9" ht="12.75">
      <c r="A463">
        <f ca="1">IFERROR(__xludf.DUMMYFUNCTION("""COMPUTED_VALUE"""),462)</f>
        <v>462</v>
      </c>
      <c r="B463">
        <f ca="1">IFERROR(__xludf.DUMMYFUNCTION("""COMPUTED_VALUE"""),450)</f>
        <v>450</v>
      </c>
      <c r="C463" t="str">
        <f ca="1">IFERROR(__xludf.DUMMYFUNCTION("""COMPUTED_VALUE"""),"Edoardo Molinari")</f>
        <v>Edoardo Molinari</v>
      </c>
      <c r="D463">
        <f ca="1">IFERROR(__xludf.DUMMYFUNCTION("""COMPUTED_VALUE"""),52)</f>
        <v>52</v>
      </c>
      <c r="E463">
        <f ca="1">IFERROR(__xludf.DUMMYFUNCTION("""COMPUTED_VALUE"""),0.33)</f>
        <v>0.33</v>
      </c>
      <c r="F463">
        <f ca="1">IFERROR(__xludf.DUMMYFUNCTION("""COMPUTED_VALUE"""),17.17)</f>
        <v>17.170000000000002</v>
      </c>
      <c r="G463">
        <f ca="1">IFERROR(__xludf.DUMMYFUNCTION("""COMPUTED_VALUE"""),-13.66)</f>
        <v>-13.66</v>
      </c>
      <c r="H463">
        <f ca="1">IFERROR(__xludf.DUMMYFUNCTION("""COMPUTED_VALUE"""),3.92)</f>
        <v>3.92</v>
      </c>
      <c r="I463" t="str">
        <f ca="1">IFERROR(__xludf.DUMMYFUNCTION("""COMPUTED_VALUE"""),"")</f>
        <v/>
      </c>
    </row>
    <row r="464" spans="1:9" ht="12.75">
      <c r="A464">
        <f ca="1">IFERROR(__xludf.DUMMYFUNCTION("""COMPUTED_VALUE"""),463)</f>
        <v>463</v>
      </c>
      <c r="B464">
        <f ca="1">IFERROR(__xludf.DUMMYFUNCTION("""COMPUTED_VALUE"""),458)</f>
        <v>458</v>
      </c>
      <c r="C464" t="str">
        <f ca="1">IFERROR(__xludf.DUMMYFUNCTION("""COMPUTED_VALUE"""),"Craig Howie")</f>
        <v>Craig Howie</v>
      </c>
      <c r="D464">
        <f ca="1">IFERROR(__xludf.DUMMYFUNCTION("""COMPUTED_VALUE"""),40)</f>
        <v>40</v>
      </c>
      <c r="E464">
        <f ca="1">IFERROR(__xludf.DUMMYFUNCTION("""COMPUTED_VALUE"""),0.33)</f>
        <v>0.33</v>
      </c>
      <c r="F464">
        <f ca="1">IFERROR(__xludf.DUMMYFUNCTION("""COMPUTED_VALUE"""),13.17)</f>
        <v>13.17</v>
      </c>
      <c r="G464">
        <f ca="1">IFERROR(__xludf.DUMMYFUNCTION("""COMPUTED_VALUE"""),-3.65)</f>
        <v>-3.65</v>
      </c>
      <c r="H464">
        <f ca="1">IFERROR(__xludf.DUMMYFUNCTION("""COMPUTED_VALUE"""),13.68)</f>
        <v>13.68</v>
      </c>
      <c r="I464" t="str">
        <f ca="1">IFERROR(__xludf.DUMMYFUNCTION("""COMPUTED_VALUE"""),"")</f>
        <v/>
      </c>
    </row>
    <row r="465" spans="1:9" ht="12.75">
      <c r="A465">
        <f ca="1">IFERROR(__xludf.DUMMYFUNCTION("""COMPUTED_VALUE"""),464)</f>
        <v>464</v>
      </c>
      <c r="B465">
        <f ca="1">IFERROR(__xludf.DUMMYFUNCTION("""COMPUTED_VALUE"""),455)</f>
        <v>455</v>
      </c>
      <c r="C465" t="str">
        <f ca="1">IFERROR(__xludf.DUMMYFUNCTION("""COMPUTED_VALUE"""),"Ben Martin")</f>
        <v>Ben Martin</v>
      </c>
      <c r="D465">
        <f ca="1">IFERROR(__xludf.DUMMYFUNCTION("""COMPUTED_VALUE"""),40)</f>
        <v>40</v>
      </c>
      <c r="E465">
        <f ca="1">IFERROR(__xludf.DUMMYFUNCTION("""COMPUTED_VALUE"""),0.33)</f>
        <v>0.33</v>
      </c>
      <c r="F465">
        <f ca="1">IFERROR(__xludf.DUMMYFUNCTION("""COMPUTED_VALUE"""),13.16)</f>
        <v>13.16</v>
      </c>
      <c r="G465">
        <f ca="1">IFERROR(__xludf.DUMMYFUNCTION("""COMPUTED_VALUE"""),-4)</f>
        <v>-4</v>
      </c>
      <c r="H465">
        <f ca="1">IFERROR(__xludf.DUMMYFUNCTION("""COMPUTED_VALUE"""),12.26)</f>
        <v>12.26</v>
      </c>
      <c r="I465" t="str">
        <f ca="1">IFERROR(__xludf.DUMMYFUNCTION("""COMPUTED_VALUE"""),"")</f>
        <v/>
      </c>
    </row>
    <row r="466" spans="1:9" ht="12.75">
      <c r="A466">
        <f ca="1">IFERROR(__xludf.DUMMYFUNCTION("""COMPUTED_VALUE"""),465)</f>
        <v>465</v>
      </c>
      <c r="B466">
        <f ca="1">IFERROR(__xludf.DUMMYFUNCTION("""COMPUTED_VALUE"""),453)</f>
        <v>453</v>
      </c>
      <c r="C466" t="str">
        <f ca="1">IFERROR(__xludf.DUMMYFUNCTION("""COMPUTED_VALUE"""),"Luke Donald")</f>
        <v>Luke Donald</v>
      </c>
      <c r="D466">
        <f ca="1">IFERROR(__xludf.DUMMYFUNCTION("""COMPUTED_VALUE"""),40)</f>
        <v>40</v>
      </c>
      <c r="E466">
        <f ca="1">IFERROR(__xludf.DUMMYFUNCTION("""COMPUTED_VALUE"""),0.33)</f>
        <v>0.33</v>
      </c>
      <c r="F466">
        <f ca="1">IFERROR(__xludf.DUMMYFUNCTION("""COMPUTED_VALUE"""),13.07)</f>
        <v>13.07</v>
      </c>
      <c r="G466">
        <f ca="1">IFERROR(__xludf.DUMMYFUNCTION("""COMPUTED_VALUE"""),-7.62)</f>
        <v>-7.62</v>
      </c>
      <c r="H466">
        <f ca="1">IFERROR(__xludf.DUMMYFUNCTION("""COMPUTED_VALUE"""),4.95)</f>
        <v>4.95</v>
      </c>
      <c r="I466" t="str">
        <f ca="1">IFERROR(__xludf.DUMMYFUNCTION("""COMPUTED_VALUE"""),"")</f>
        <v/>
      </c>
    </row>
    <row r="467" spans="1:9" ht="12.75">
      <c r="A467">
        <f ca="1">IFERROR(__xludf.DUMMYFUNCTION("""COMPUTED_VALUE"""),466)</f>
        <v>466</v>
      </c>
      <c r="B467">
        <f ca="1">IFERROR(__xludf.DUMMYFUNCTION("""COMPUTED_VALUE"""),453)</f>
        <v>453</v>
      </c>
      <c r="C467" t="str">
        <f ca="1">IFERROR(__xludf.DUMMYFUNCTION("""COMPUTED_VALUE"""),"Nelson Ledesma")</f>
        <v>Nelson Ledesma</v>
      </c>
      <c r="D467">
        <f ca="1">IFERROR(__xludf.DUMMYFUNCTION("""COMPUTED_VALUE"""),52)</f>
        <v>52</v>
      </c>
      <c r="E467">
        <f ca="1">IFERROR(__xludf.DUMMYFUNCTION("""COMPUTED_VALUE"""),0.33)</f>
        <v>0.33</v>
      </c>
      <c r="F467">
        <f ca="1">IFERROR(__xludf.DUMMYFUNCTION("""COMPUTED_VALUE"""),16.97)</f>
        <v>16.97</v>
      </c>
      <c r="G467">
        <f ca="1">IFERROR(__xludf.DUMMYFUNCTION("""COMPUTED_VALUE"""),-16.12)</f>
        <v>-16.12</v>
      </c>
      <c r="H467">
        <f ca="1">IFERROR(__xludf.DUMMYFUNCTION("""COMPUTED_VALUE"""),2.58)</f>
        <v>2.58</v>
      </c>
      <c r="I467" t="str">
        <f ca="1">IFERROR(__xludf.DUMMYFUNCTION("""COMPUTED_VALUE"""),"")</f>
        <v/>
      </c>
    </row>
    <row r="468" spans="1:9" ht="12.75">
      <c r="A468">
        <f ca="1">IFERROR(__xludf.DUMMYFUNCTION("""COMPUTED_VALUE"""),467)</f>
        <v>467</v>
      </c>
      <c r="B468">
        <f ca="1">IFERROR(__xludf.DUMMYFUNCTION("""COMPUTED_VALUE"""),456)</f>
        <v>456</v>
      </c>
      <c r="C468" t="str">
        <f ca="1">IFERROR(__xludf.DUMMYFUNCTION("""COMPUTED_VALUE"""),"Kyle Jones")</f>
        <v>Kyle Jones</v>
      </c>
      <c r="D468">
        <f ca="1">IFERROR(__xludf.DUMMYFUNCTION("""COMPUTED_VALUE"""),52)</f>
        <v>52</v>
      </c>
      <c r="E468">
        <f ca="1">IFERROR(__xludf.DUMMYFUNCTION("""COMPUTED_VALUE"""),0.33)</f>
        <v>0.33</v>
      </c>
      <c r="F468">
        <f ca="1">IFERROR(__xludf.DUMMYFUNCTION("""COMPUTED_VALUE"""),16.96)</f>
        <v>16.96</v>
      </c>
      <c r="G468">
        <f ca="1">IFERROR(__xludf.DUMMYFUNCTION("""COMPUTED_VALUE"""),-11.18)</f>
        <v>-11.18</v>
      </c>
      <c r="H468">
        <f ca="1">IFERROR(__xludf.DUMMYFUNCTION("""COMPUTED_VALUE"""),15.21)</f>
        <v>15.21</v>
      </c>
      <c r="I468" t="str">
        <f ca="1">IFERROR(__xludf.DUMMYFUNCTION("""COMPUTED_VALUE"""),"")</f>
        <v/>
      </c>
    </row>
    <row r="469" spans="1:9" ht="12.75">
      <c r="A469">
        <f ca="1">IFERROR(__xludf.DUMMYFUNCTION("""COMPUTED_VALUE"""),468)</f>
        <v>468</v>
      </c>
      <c r="B469">
        <f ca="1">IFERROR(__xludf.DUMMYFUNCTION("""COMPUTED_VALUE"""),457)</f>
        <v>457</v>
      </c>
      <c r="C469" t="str">
        <f ca="1">IFERROR(__xludf.DUMMYFUNCTION("""COMPUTED_VALUE"""),"Rhein Gibson")</f>
        <v>Rhein Gibson</v>
      </c>
      <c r="D469">
        <f ca="1">IFERROR(__xludf.DUMMYFUNCTION("""COMPUTED_VALUE"""),52)</f>
        <v>52</v>
      </c>
      <c r="E469">
        <f ca="1">IFERROR(__xludf.DUMMYFUNCTION("""COMPUTED_VALUE"""),0.32)</f>
        <v>0.32</v>
      </c>
      <c r="F469">
        <f ca="1">IFERROR(__xludf.DUMMYFUNCTION("""COMPUTED_VALUE"""),16.85)</f>
        <v>16.850000000000001</v>
      </c>
      <c r="G469">
        <f ca="1">IFERROR(__xludf.DUMMYFUNCTION("""COMPUTED_VALUE"""),-13.7)</f>
        <v>-13.7</v>
      </c>
      <c r="H469">
        <f ca="1">IFERROR(__xludf.DUMMYFUNCTION("""COMPUTED_VALUE"""),3.84)</f>
        <v>3.84</v>
      </c>
      <c r="I469" t="str">
        <f ca="1">IFERROR(__xludf.DUMMYFUNCTION("""COMPUTED_VALUE"""),"")</f>
        <v/>
      </c>
    </row>
    <row r="470" spans="1:9" ht="12.75">
      <c r="A470">
        <f ca="1">IFERROR(__xludf.DUMMYFUNCTION("""COMPUTED_VALUE"""),469)</f>
        <v>469</v>
      </c>
      <c r="B470">
        <f ca="1">IFERROR(__xludf.DUMMYFUNCTION("""COMPUTED_VALUE"""),452)</f>
        <v>452</v>
      </c>
      <c r="C470" t="str">
        <f ca="1">IFERROR(__xludf.DUMMYFUNCTION("""COMPUTED_VALUE"""),"Kodai Ichihara")</f>
        <v>Kodai Ichihara</v>
      </c>
      <c r="D470">
        <f ca="1">IFERROR(__xludf.DUMMYFUNCTION("""COMPUTED_VALUE"""),43)</f>
        <v>43</v>
      </c>
      <c r="E470">
        <f ca="1">IFERROR(__xludf.DUMMYFUNCTION("""COMPUTED_VALUE"""),0.32)</f>
        <v>0.32</v>
      </c>
      <c r="F470">
        <f ca="1">IFERROR(__xludf.DUMMYFUNCTION("""COMPUTED_VALUE"""),13.93)</f>
        <v>13.93</v>
      </c>
      <c r="G470">
        <f ca="1">IFERROR(__xludf.DUMMYFUNCTION("""COMPUTED_VALUE"""),-19.95)</f>
        <v>-19.95</v>
      </c>
      <c r="H470">
        <f ca="1">IFERROR(__xludf.DUMMYFUNCTION("""COMPUTED_VALUE"""),3.21)</f>
        <v>3.21</v>
      </c>
      <c r="I470" t="str">
        <f ca="1">IFERROR(__xludf.DUMMYFUNCTION("""COMPUTED_VALUE"""),"")</f>
        <v/>
      </c>
    </row>
    <row r="471" spans="1:9" ht="12.75">
      <c r="A471">
        <f ca="1">IFERROR(__xludf.DUMMYFUNCTION("""COMPUTED_VALUE"""),470)</f>
        <v>470</v>
      </c>
      <c r="B471">
        <f ca="1">IFERROR(__xludf.DUMMYFUNCTION("""COMPUTED_VALUE"""),459)</f>
        <v>459</v>
      </c>
      <c r="C471" t="str">
        <f ca="1">IFERROR(__xludf.DUMMYFUNCTION("""COMPUTED_VALUE"""),"Rhys Enoch")</f>
        <v>Rhys Enoch</v>
      </c>
      <c r="D471">
        <f ca="1">IFERROR(__xludf.DUMMYFUNCTION("""COMPUTED_VALUE"""),52)</f>
        <v>52</v>
      </c>
      <c r="E471">
        <f ca="1">IFERROR(__xludf.DUMMYFUNCTION("""COMPUTED_VALUE"""),0.32)</f>
        <v>0.32</v>
      </c>
      <c r="F471">
        <f ca="1">IFERROR(__xludf.DUMMYFUNCTION("""COMPUTED_VALUE"""),16.76)</f>
        <v>16.760000000000002</v>
      </c>
      <c r="G471">
        <f ca="1">IFERROR(__xludf.DUMMYFUNCTION("""COMPUTED_VALUE"""),-15.66)</f>
        <v>-15.66</v>
      </c>
      <c r="H471">
        <f ca="1">IFERROR(__xludf.DUMMYFUNCTION("""COMPUTED_VALUE"""),2.56)</f>
        <v>2.56</v>
      </c>
      <c r="I471" t="str">
        <f ca="1">IFERROR(__xludf.DUMMYFUNCTION("""COMPUTED_VALUE"""),"")</f>
        <v/>
      </c>
    </row>
    <row r="472" spans="1:9" ht="12.75">
      <c r="A472">
        <f ca="1">IFERROR(__xludf.DUMMYFUNCTION("""COMPUTED_VALUE"""),471)</f>
        <v>471</v>
      </c>
      <c r="B472">
        <f ca="1">IFERROR(__xludf.DUMMYFUNCTION("""COMPUTED_VALUE"""),461)</f>
        <v>461</v>
      </c>
      <c r="C472" t="str">
        <f ca="1">IFERROR(__xludf.DUMMYFUNCTION("""COMPUTED_VALUE"""),"Jonas Blixt")</f>
        <v>Jonas Blixt</v>
      </c>
      <c r="D472">
        <f ca="1">IFERROR(__xludf.DUMMYFUNCTION("""COMPUTED_VALUE"""),40)</f>
        <v>40</v>
      </c>
      <c r="E472">
        <f ca="1">IFERROR(__xludf.DUMMYFUNCTION("""COMPUTED_VALUE"""),0.32)</f>
        <v>0.32</v>
      </c>
      <c r="F472">
        <f ca="1">IFERROR(__xludf.DUMMYFUNCTION("""COMPUTED_VALUE"""),12.8)</f>
        <v>12.8</v>
      </c>
      <c r="G472">
        <f ca="1">IFERROR(__xludf.DUMMYFUNCTION("""COMPUTED_VALUE"""),-14.17)</f>
        <v>-14.17</v>
      </c>
      <c r="H472">
        <f ca="1">IFERROR(__xludf.DUMMYFUNCTION("""COMPUTED_VALUE"""),0)</f>
        <v>0</v>
      </c>
      <c r="I472" t="str">
        <f ca="1">IFERROR(__xludf.DUMMYFUNCTION("""COMPUTED_VALUE"""),"")</f>
        <v/>
      </c>
    </row>
    <row r="473" spans="1:9" ht="12.75">
      <c r="A473">
        <f ca="1">IFERROR(__xludf.DUMMYFUNCTION("""COMPUTED_VALUE"""),472)</f>
        <v>472</v>
      </c>
      <c r="B473">
        <f ca="1">IFERROR(__xludf.DUMMYFUNCTION("""COMPUTED_VALUE"""),495)</f>
        <v>495</v>
      </c>
      <c r="C473" t="str">
        <f ca="1">IFERROR(__xludf.DUMMYFUNCTION("""COMPUTED_VALUE"""),"Emilio Cuartero Blanco")</f>
        <v>Emilio Cuartero Blanco</v>
      </c>
      <c r="D473">
        <f ca="1">IFERROR(__xludf.DUMMYFUNCTION("""COMPUTED_VALUE"""),45)</f>
        <v>45</v>
      </c>
      <c r="E473">
        <f ca="1">IFERROR(__xludf.DUMMYFUNCTION("""COMPUTED_VALUE"""),0.32)</f>
        <v>0.32</v>
      </c>
      <c r="F473">
        <f ca="1">IFERROR(__xludf.DUMMYFUNCTION("""COMPUTED_VALUE"""),14.36)</f>
        <v>14.36</v>
      </c>
      <c r="G473">
        <f ca="1">IFERROR(__xludf.DUMMYFUNCTION("""COMPUTED_VALUE"""),-8.28)</f>
        <v>-8.2799999999999994</v>
      </c>
      <c r="H473">
        <f ca="1">IFERROR(__xludf.DUMMYFUNCTION("""COMPUTED_VALUE"""),4.86)</f>
        <v>4.8600000000000003</v>
      </c>
      <c r="I473" t="str">
        <f ca="1">IFERROR(__xludf.DUMMYFUNCTION("""COMPUTED_VALUE"""),"")</f>
        <v/>
      </c>
    </row>
    <row r="474" spans="1:9" ht="12.75">
      <c r="A474">
        <f ca="1">IFERROR(__xludf.DUMMYFUNCTION("""COMPUTED_VALUE"""),473)</f>
        <v>473</v>
      </c>
      <c r="B474">
        <f ca="1">IFERROR(__xludf.DUMMYFUNCTION("""COMPUTED_VALUE"""),466)</f>
        <v>466</v>
      </c>
      <c r="C474" t="str">
        <f ca="1">IFERROR(__xludf.DUMMYFUNCTION("""COMPUTED_VALUE"""),"Steve Surry")</f>
        <v>Steve Surry</v>
      </c>
      <c r="D474">
        <f ca="1">IFERROR(__xludf.DUMMYFUNCTION("""COMPUTED_VALUE"""),40)</f>
        <v>40</v>
      </c>
      <c r="E474">
        <f ca="1">IFERROR(__xludf.DUMMYFUNCTION("""COMPUTED_VALUE"""),0.32)</f>
        <v>0.32</v>
      </c>
      <c r="F474">
        <f ca="1">IFERROR(__xludf.DUMMYFUNCTION("""COMPUTED_VALUE"""),12.69)</f>
        <v>12.69</v>
      </c>
      <c r="G474">
        <f ca="1">IFERROR(__xludf.DUMMYFUNCTION("""COMPUTED_VALUE"""),-12.84)</f>
        <v>-12.84</v>
      </c>
      <c r="H474">
        <f ca="1">IFERROR(__xludf.DUMMYFUNCTION("""COMPUTED_VALUE"""),3.03)</f>
        <v>3.03</v>
      </c>
      <c r="I474" t="str">
        <f ca="1">IFERROR(__xludf.DUMMYFUNCTION("""COMPUTED_VALUE"""),"")</f>
        <v/>
      </c>
    </row>
    <row r="475" spans="1:9" ht="12.75">
      <c r="A475">
        <f ca="1">IFERROR(__xludf.DUMMYFUNCTION("""COMPUTED_VALUE"""),473)</f>
        <v>473</v>
      </c>
      <c r="B475">
        <f ca="1">IFERROR(__xludf.DUMMYFUNCTION("""COMPUTED_VALUE"""),473)</f>
        <v>473</v>
      </c>
      <c r="C475" t="str">
        <f ca="1">IFERROR(__xludf.DUMMYFUNCTION("""COMPUTED_VALUE"""),"Kevin Dougherty")</f>
        <v>Kevin Dougherty</v>
      </c>
      <c r="D475">
        <f ca="1">IFERROR(__xludf.DUMMYFUNCTION("""COMPUTED_VALUE"""),47)</f>
        <v>47</v>
      </c>
      <c r="E475">
        <f ca="1">IFERROR(__xludf.DUMMYFUNCTION("""COMPUTED_VALUE"""),0.32)</f>
        <v>0.32</v>
      </c>
      <c r="F475">
        <f ca="1">IFERROR(__xludf.DUMMYFUNCTION("""COMPUTED_VALUE"""),14.92)</f>
        <v>14.92</v>
      </c>
      <c r="G475">
        <f ca="1">IFERROR(__xludf.DUMMYFUNCTION("""COMPUTED_VALUE"""),-8.81)</f>
        <v>-8.81</v>
      </c>
      <c r="H475">
        <f ca="1">IFERROR(__xludf.DUMMYFUNCTION("""COMPUTED_VALUE"""),8.4)</f>
        <v>8.4</v>
      </c>
      <c r="I475" t="str">
        <f ca="1">IFERROR(__xludf.DUMMYFUNCTION("""COMPUTED_VALUE"""),"")</f>
        <v/>
      </c>
    </row>
    <row r="476" spans="1:9" ht="12.75">
      <c r="A476">
        <f ca="1">IFERROR(__xludf.DUMMYFUNCTION("""COMPUTED_VALUE"""),473)</f>
        <v>473</v>
      </c>
      <c r="B476">
        <f ca="1">IFERROR(__xludf.DUMMYFUNCTION("""COMPUTED_VALUE"""),467)</f>
        <v>467</v>
      </c>
      <c r="C476" t="str">
        <f ca="1">IFERROR(__xludf.DUMMYFUNCTION("""COMPUTED_VALUE"""),"Josh Geary")</f>
        <v>Josh Geary</v>
      </c>
      <c r="D476">
        <f ca="1">IFERROR(__xludf.DUMMYFUNCTION("""COMPUTED_VALUE"""),40)</f>
        <v>40</v>
      </c>
      <c r="E476">
        <f ca="1">IFERROR(__xludf.DUMMYFUNCTION("""COMPUTED_VALUE"""),0.32)</f>
        <v>0.32</v>
      </c>
      <c r="F476">
        <f ca="1">IFERROR(__xludf.DUMMYFUNCTION("""COMPUTED_VALUE"""),12.7)</f>
        <v>12.7</v>
      </c>
      <c r="G476">
        <f ca="1">IFERROR(__xludf.DUMMYFUNCTION("""COMPUTED_VALUE"""),-11.16)</f>
        <v>-11.16</v>
      </c>
      <c r="H476">
        <f ca="1">IFERROR(__xludf.DUMMYFUNCTION("""COMPUTED_VALUE"""),0)</f>
        <v>0</v>
      </c>
      <c r="I476" t="str">
        <f ca="1">IFERROR(__xludf.DUMMYFUNCTION("""COMPUTED_VALUE"""),"")</f>
        <v/>
      </c>
    </row>
    <row r="477" spans="1:9" ht="12.75">
      <c r="A477">
        <f ca="1">IFERROR(__xludf.DUMMYFUNCTION("""COMPUTED_VALUE"""),476)</f>
        <v>476</v>
      </c>
      <c r="B477">
        <f ca="1">IFERROR(__xludf.DUMMYFUNCTION("""COMPUTED_VALUE"""),468)</f>
        <v>468</v>
      </c>
      <c r="C477" t="str">
        <f ca="1">IFERROR(__xludf.DUMMYFUNCTION("""COMPUTED_VALUE"""),"Jose-Filipe Lima")</f>
        <v>Jose-Filipe Lima</v>
      </c>
      <c r="D477">
        <f ca="1">IFERROR(__xludf.DUMMYFUNCTION("""COMPUTED_VALUE"""),40)</f>
        <v>40</v>
      </c>
      <c r="E477">
        <f ca="1">IFERROR(__xludf.DUMMYFUNCTION("""COMPUTED_VALUE"""),0.32)</f>
        <v>0.32</v>
      </c>
      <c r="F477">
        <f ca="1">IFERROR(__xludf.DUMMYFUNCTION("""COMPUTED_VALUE"""),12.68)</f>
        <v>12.68</v>
      </c>
      <c r="G477">
        <f ca="1">IFERROR(__xludf.DUMMYFUNCTION("""COMPUTED_VALUE"""),-13.49)</f>
        <v>-13.49</v>
      </c>
      <c r="H477">
        <f ca="1">IFERROR(__xludf.DUMMYFUNCTION("""COMPUTED_VALUE"""),0)</f>
        <v>0</v>
      </c>
      <c r="I477" t="str">
        <f ca="1">IFERROR(__xludf.DUMMYFUNCTION("""COMPUTED_VALUE"""),"")</f>
        <v/>
      </c>
    </row>
    <row r="478" spans="1:9" ht="12.75">
      <c r="A478">
        <f ca="1">IFERROR(__xludf.DUMMYFUNCTION("""COMPUTED_VALUE"""),477)</f>
        <v>477</v>
      </c>
      <c r="B478">
        <f ca="1">IFERROR(__xludf.DUMMYFUNCTION("""COMPUTED_VALUE"""),524)</f>
        <v>524</v>
      </c>
      <c r="C478" t="str">
        <f ca="1">IFERROR(__xludf.DUMMYFUNCTION("""COMPUTED_VALUE"""),"Bjorn Hellgren")</f>
        <v>Bjorn Hellgren</v>
      </c>
      <c r="D478">
        <f ca="1">IFERROR(__xludf.DUMMYFUNCTION("""COMPUTED_VALUE"""),40)</f>
        <v>40</v>
      </c>
      <c r="E478">
        <f ca="1">IFERROR(__xludf.DUMMYFUNCTION("""COMPUTED_VALUE"""),0.32)</f>
        <v>0.32</v>
      </c>
      <c r="F478">
        <f ca="1">IFERROR(__xludf.DUMMYFUNCTION("""COMPUTED_VALUE"""),12.63)</f>
        <v>12.63</v>
      </c>
      <c r="G478">
        <f ca="1">IFERROR(__xludf.DUMMYFUNCTION("""COMPUTED_VALUE"""),-1.33)</f>
        <v>-1.33</v>
      </c>
      <c r="H478">
        <f ca="1">IFERROR(__xludf.DUMMYFUNCTION("""COMPUTED_VALUE"""),10.76)</f>
        <v>10.76</v>
      </c>
      <c r="I478" t="str">
        <f ca="1">IFERROR(__xludf.DUMMYFUNCTION("""COMPUTED_VALUE"""),"")</f>
        <v/>
      </c>
    </row>
    <row r="479" spans="1:9" ht="12.75">
      <c r="A479">
        <f ca="1">IFERROR(__xludf.DUMMYFUNCTION("""COMPUTED_VALUE"""),478)</f>
        <v>478</v>
      </c>
      <c r="B479">
        <f ca="1">IFERROR(__xludf.DUMMYFUNCTION("""COMPUTED_VALUE"""),469)</f>
        <v>469</v>
      </c>
      <c r="C479" t="str">
        <f ca="1">IFERROR(__xludf.DUMMYFUNCTION("""COMPUTED_VALUE"""),"Koumei Oda")</f>
        <v>Koumei Oda</v>
      </c>
      <c r="D479">
        <f ca="1">IFERROR(__xludf.DUMMYFUNCTION("""COMPUTED_VALUE"""),40)</f>
        <v>40</v>
      </c>
      <c r="E479">
        <f ca="1">IFERROR(__xludf.DUMMYFUNCTION("""COMPUTED_VALUE"""),0.32)</f>
        <v>0.32</v>
      </c>
      <c r="F479">
        <f ca="1">IFERROR(__xludf.DUMMYFUNCTION("""COMPUTED_VALUE"""),12.63)</f>
        <v>12.63</v>
      </c>
      <c r="G479">
        <f ca="1">IFERROR(__xludf.DUMMYFUNCTION("""COMPUTED_VALUE"""),-10.1)</f>
        <v>-10.1</v>
      </c>
      <c r="H479">
        <f ca="1">IFERROR(__xludf.DUMMYFUNCTION("""COMPUTED_VALUE"""),3.77)</f>
        <v>3.77</v>
      </c>
      <c r="I479" t="str">
        <f ca="1">IFERROR(__xludf.DUMMYFUNCTION("""COMPUTED_VALUE"""),"")</f>
        <v/>
      </c>
    </row>
    <row r="480" spans="1:9" ht="12.75">
      <c r="A480">
        <f ca="1">IFERROR(__xludf.DUMMYFUNCTION("""COMPUTED_VALUE"""),479)</f>
        <v>479</v>
      </c>
      <c r="B480">
        <f ca="1">IFERROR(__xludf.DUMMYFUNCTION("""COMPUTED_VALUE"""),471)</f>
        <v>471</v>
      </c>
      <c r="C480" t="str">
        <f ca="1">IFERROR(__xludf.DUMMYFUNCTION("""COMPUTED_VALUE"""),"Aaron Cockerill")</f>
        <v>Aaron Cockerill</v>
      </c>
      <c r="D480">
        <f ca="1">IFERROR(__xludf.DUMMYFUNCTION("""COMPUTED_VALUE"""),41)</f>
        <v>41</v>
      </c>
      <c r="E480">
        <f ca="1">IFERROR(__xludf.DUMMYFUNCTION("""COMPUTED_VALUE"""),0.31)</f>
        <v>0.31</v>
      </c>
      <c r="F480">
        <f ca="1">IFERROR(__xludf.DUMMYFUNCTION("""COMPUTED_VALUE"""),12.88)</f>
        <v>12.88</v>
      </c>
      <c r="G480">
        <f ca="1">IFERROR(__xludf.DUMMYFUNCTION("""COMPUTED_VALUE"""),-2.9)</f>
        <v>-2.9</v>
      </c>
      <c r="H480">
        <f ca="1">IFERROR(__xludf.DUMMYFUNCTION("""COMPUTED_VALUE"""),8.29)</f>
        <v>8.2899999999999991</v>
      </c>
      <c r="I480" t="str">
        <f ca="1">IFERROR(__xludf.DUMMYFUNCTION("""COMPUTED_VALUE"""),"")</f>
        <v/>
      </c>
    </row>
    <row r="481" spans="1:9" ht="12.75">
      <c r="A481">
        <f ca="1">IFERROR(__xludf.DUMMYFUNCTION("""COMPUTED_VALUE"""),480)</f>
        <v>480</v>
      </c>
      <c r="B481">
        <f ca="1">IFERROR(__xludf.DUMMYFUNCTION("""COMPUTED_VALUE"""),507)</f>
        <v>507</v>
      </c>
      <c r="C481" t="str">
        <f ca="1">IFERROR(__xludf.DUMMYFUNCTION("""COMPUTED_VALUE"""),"Jacques Blaauw")</f>
        <v>Jacques Blaauw</v>
      </c>
      <c r="D481">
        <f ca="1">IFERROR(__xludf.DUMMYFUNCTION("""COMPUTED_VALUE"""),43)</f>
        <v>43</v>
      </c>
      <c r="E481">
        <f ca="1">IFERROR(__xludf.DUMMYFUNCTION("""COMPUTED_VALUE"""),0.31)</f>
        <v>0.31</v>
      </c>
      <c r="F481">
        <f ca="1">IFERROR(__xludf.DUMMYFUNCTION("""COMPUTED_VALUE"""),13.45)</f>
        <v>13.45</v>
      </c>
      <c r="G481">
        <f ca="1">IFERROR(__xludf.DUMMYFUNCTION("""COMPUTED_VALUE"""),-6.53)</f>
        <v>-6.53</v>
      </c>
      <c r="H481">
        <f ca="1">IFERROR(__xludf.DUMMYFUNCTION("""COMPUTED_VALUE"""),9.87)</f>
        <v>9.8699999999999992</v>
      </c>
      <c r="I481" t="str">
        <f ca="1">IFERROR(__xludf.DUMMYFUNCTION("""COMPUTED_VALUE"""),"")</f>
        <v/>
      </c>
    </row>
    <row r="482" spans="1:9" ht="12.75">
      <c r="A482">
        <f ca="1">IFERROR(__xludf.DUMMYFUNCTION("""COMPUTED_VALUE"""),481)</f>
        <v>481</v>
      </c>
      <c r="B482">
        <f ca="1">IFERROR(__xludf.DUMMYFUNCTION("""COMPUTED_VALUE"""),485)</f>
        <v>485</v>
      </c>
      <c r="C482" t="str">
        <f ca="1">IFERROR(__xludf.DUMMYFUNCTION("""COMPUTED_VALUE"""),"Minkyu Kim")</f>
        <v>Minkyu Kim</v>
      </c>
      <c r="D482">
        <f ca="1">IFERROR(__xludf.DUMMYFUNCTION("""COMPUTED_VALUE"""),40)</f>
        <v>40</v>
      </c>
      <c r="E482">
        <f ca="1">IFERROR(__xludf.DUMMYFUNCTION("""COMPUTED_VALUE"""),0.31)</f>
        <v>0.31</v>
      </c>
      <c r="F482">
        <f ca="1">IFERROR(__xludf.DUMMYFUNCTION("""COMPUTED_VALUE"""),12.41)</f>
        <v>12.41</v>
      </c>
      <c r="G482">
        <f ca="1">IFERROR(__xludf.DUMMYFUNCTION("""COMPUTED_VALUE"""),-6.6)</f>
        <v>-6.6</v>
      </c>
      <c r="H482">
        <f ca="1">IFERROR(__xludf.DUMMYFUNCTION("""COMPUTED_VALUE"""),9.9)</f>
        <v>9.9</v>
      </c>
      <c r="I482" t="str">
        <f ca="1">IFERROR(__xludf.DUMMYFUNCTION("""COMPUTED_VALUE"""),"")</f>
        <v/>
      </c>
    </row>
    <row r="483" spans="1:9" ht="12.75">
      <c r="A483">
        <f ca="1">IFERROR(__xludf.DUMMYFUNCTION("""COMPUTED_VALUE"""),482)</f>
        <v>482</v>
      </c>
      <c r="B483">
        <f ca="1">IFERROR(__xludf.DUMMYFUNCTION("""COMPUTED_VALUE"""),472)</f>
        <v>472</v>
      </c>
      <c r="C483" t="str">
        <f ca="1">IFERROR(__xludf.DUMMYFUNCTION("""COMPUTED_VALUE"""),"Nick Flanagan")</f>
        <v>Nick Flanagan</v>
      </c>
      <c r="D483">
        <f ca="1">IFERROR(__xludf.DUMMYFUNCTION("""COMPUTED_VALUE"""),40)</f>
        <v>40</v>
      </c>
      <c r="E483">
        <f ca="1">IFERROR(__xludf.DUMMYFUNCTION("""COMPUTED_VALUE"""),0.31)</f>
        <v>0.31</v>
      </c>
      <c r="F483">
        <f ca="1">IFERROR(__xludf.DUMMYFUNCTION("""COMPUTED_VALUE"""),12.4)</f>
        <v>12.4</v>
      </c>
      <c r="G483">
        <f ca="1">IFERROR(__xludf.DUMMYFUNCTION("""COMPUTED_VALUE"""),-4.74)</f>
        <v>-4.74</v>
      </c>
      <c r="H483">
        <f ca="1">IFERROR(__xludf.DUMMYFUNCTION("""COMPUTED_VALUE"""),8.2)</f>
        <v>8.1999999999999993</v>
      </c>
      <c r="I483" t="str">
        <f ca="1">IFERROR(__xludf.DUMMYFUNCTION("""COMPUTED_VALUE"""),"")</f>
        <v/>
      </c>
    </row>
    <row r="484" spans="1:9" ht="12.75">
      <c r="A484">
        <f ca="1">IFERROR(__xludf.DUMMYFUNCTION("""COMPUTED_VALUE"""),483)</f>
        <v>483</v>
      </c>
      <c r="B484">
        <f ca="1">IFERROR(__xludf.DUMMYFUNCTION("""COMPUTED_VALUE"""),476)</f>
        <v>476</v>
      </c>
      <c r="C484" t="str">
        <f ca="1">IFERROR(__xludf.DUMMYFUNCTION("""COMPUTED_VALUE"""),"Nicolai Hojgaard")</f>
        <v>Nicolai Hojgaard</v>
      </c>
      <c r="D484">
        <f ca="1">IFERROR(__xludf.DUMMYFUNCTION("""COMPUTED_VALUE"""),43)</f>
        <v>43</v>
      </c>
      <c r="E484">
        <f ca="1">IFERROR(__xludf.DUMMYFUNCTION("""COMPUTED_VALUE"""),0.31)</f>
        <v>0.31</v>
      </c>
      <c r="F484">
        <f ca="1">IFERROR(__xludf.DUMMYFUNCTION("""COMPUTED_VALUE"""),13.31)</f>
        <v>13.31</v>
      </c>
      <c r="G484">
        <f ca="1">IFERROR(__xludf.DUMMYFUNCTION("""COMPUTED_VALUE"""),-7.22)</f>
        <v>-7.22</v>
      </c>
      <c r="H484">
        <f ca="1">IFERROR(__xludf.DUMMYFUNCTION("""COMPUTED_VALUE"""),3.07)</f>
        <v>3.07</v>
      </c>
      <c r="I484" t="str">
        <f ca="1">IFERROR(__xludf.DUMMYFUNCTION("""COMPUTED_VALUE"""),"")</f>
        <v/>
      </c>
    </row>
    <row r="485" spans="1:9" ht="12.75">
      <c r="A485">
        <f ca="1">IFERROR(__xludf.DUMMYFUNCTION("""COMPUTED_VALUE"""),484)</f>
        <v>484</v>
      </c>
      <c r="B485">
        <f ca="1">IFERROR(__xludf.DUMMYFUNCTION("""COMPUTED_VALUE"""),478)</f>
        <v>478</v>
      </c>
      <c r="C485" t="str">
        <f ca="1">IFERROR(__xludf.DUMMYFUNCTION("""COMPUTED_VALUE"""),"Patrick Fishburn")</f>
        <v>Patrick Fishburn</v>
      </c>
      <c r="D485">
        <f ca="1">IFERROR(__xludf.DUMMYFUNCTION("""COMPUTED_VALUE"""),40)</f>
        <v>40</v>
      </c>
      <c r="E485">
        <f ca="1">IFERROR(__xludf.DUMMYFUNCTION("""COMPUTED_VALUE"""),0.31)</f>
        <v>0.31</v>
      </c>
      <c r="F485">
        <f ca="1">IFERROR(__xludf.DUMMYFUNCTION("""COMPUTED_VALUE"""),12.38)</f>
        <v>12.38</v>
      </c>
      <c r="G485">
        <f ca="1">IFERROR(__xludf.DUMMYFUNCTION("""COMPUTED_VALUE"""),-5.19)</f>
        <v>-5.19</v>
      </c>
      <c r="H485">
        <f ca="1">IFERROR(__xludf.DUMMYFUNCTION("""COMPUTED_VALUE"""),6.67)</f>
        <v>6.67</v>
      </c>
      <c r="I485" t="str">
        <f ca="1">IFERROR(__xludf.DUMMYFUNCTION("""COMPUTED_VALUE"""),"")</f>
        <v/>
      </c>
    </row>
    <row r="486" spans="1:9" ht="12.75">
      <c r="A486">
        <f ca="1">IFERROR(__xludf.DUMMYFUNCTION("""COMPUTED_VALUE"""),485)</f>
        <v>485</v>
      </c>
      <c r="B486">
        <f ca="1">IFERROR(__xludf.DUMMYFUNCTION("""COMPUTED_VALUE"""),477)</f>
        <v>477</v>
      </c>
      <c r="C486" t="str">
        <f ca="1">IFERROR(__xludf.DUMMYFUNCTION("""COMPUTED_VALUE"""),"Hendrik Du Plessis")</f>
        <v>Hendrik Du Plessis</v>
      </c>
      <c r="D486">
        <f ca="1">IFERROR(__xludf.DUMMYFUNCTION("""COMPUTED_VALUE"""),40)</f>
        <v>40</v>
      </c>
      <c r="E486">
        <f ca="1">IFERROR(__xludf.DUMMYFUNCTION("""COMPUTED_VALUE"""),0.31)</f>
        <v>0.31</v>
      </c>
      <c r="F486">
        <f ca="1">IFERROR(__xludf.DUMMYFUNCTION("""COMPUTED_VALUE"""),12.29)</f>
        <v>12.29</v>
      </c>
      <c r="G486">
        <f ca="1">IFERROR(__xludf.DUMMYFUNCTION("""COMPUTED_VALUE"""),-7.48)</f>
        <v>-7.48</v>
      </c>
      <c r="H486">
        <f ca="1">IFERROR(__xludf.DUMMYFUNCTION("""COMPUTED_VALUE"""),9.67)</f>
        <v>9.67</v>
      </c>
      <c r="I486" t="str">
        <f ca="1">IFERROR(__xludf.DUMMYFUNCTION("""COMPUTED_VALUE"""),"")</f>
        <v/>
      </c>
    </row>
    <row r="487" spans="1:9" ht="12.75">
      <c r="A487">
        <f ca="1">IFERROR(__xludf.DUMMYFUNCTION("""COMPUTED_VALUE"""),486)</f>
        <v>486</v>
      </c>
      <c r="B487">
        <f ca="1">IFERROR(__xludf.DUMMYFUNCTION("""COMPUTED_VALUE"""),479)</f>
        <v>479</v>
      </c>
      <c r="C487" t="str">
        <f ca="1">IFERROR(__xludf.DUMMYFUNCTION("""COMPUTED_VALUE"""),"Aman Raj")</f>
        <v>Aman Raj</v>
      </c>
      <c r="D487">
        <f ca="1">IFERROR(__xludf.DUMMYFUNCTION("""COMPUTED_VALUE"""),40)</f>
        <v>40</v>
      </c>
      <c r="E487">
        <f ca="1">IFERROR(__xludf.DUMMYFUNCTION("""COMPUTED_VALUE"""),0.31)</f>
        <v>0.31</v>
      </c>
      <c r="F487">
        <f ca="1">IFERROR(__xludf.DUMMYFUNCTION("""COMPUTED_VALUE"""),12.27)</f>
        <v>12.27</v>
      </c>
      <c r="G487">
        <f ca="1">IFERROR(__xludf.DUMMYFUNCTION("""COMPUTED_VALUE"""),-6.79)</f>
        <v>-6.79</v>
      </c>
      <c r="H487">
        <f ca="1">IFERROR(__xludf.DUMMYFUNCTION("""COMPUTED_VALUE"""),3.5)</f>
        <v>3.5</v>
      </c>
      <c r="I487" t="str">
        <f ca="1">IFERROR(__xludf.DUMMYFUNCTION("""COMPUTED_VALUE"""),"")</f>
        <v/>
      </c>
    </row>
    <row r="488" spans="1:9" ht="12.75">
      <c r="A488">
        <f ca="1">IFERROR(__xludf.DUMMYFUNCTION("""COMPUTED_VALUE"""),487)</f>
        <v>487</v>
      </c>
      <c r="B488">
        <f ca="1">IFERROR(__xludf.DUMMYFUNCTION("""COMPUTED_VALUE"""),484)</f>
        <v>484</v>
      </c>
      <c r="C488" t="str">
        <f ca="1">IFERROR(__xludf.DUMMYFUNCTION("""COMPUTED_VALUE"""),"David Coupland")</f>
        <v>David Coupland</v>
      </c>
      <c r="D488">
        <f ca="1">IFERROR(__xludf.DUMMYFUNCTION("""COMPUTED_VALUE"""),41)</f>
        <v>41</v>
      </c>
      <c r="E488">
        <f ca="1">IFERROR(__xludf.DUMMYFUNCTION("""COMPUTED_VALUE"""),0.3)</f>
        <v>0.3</v>
      </c>
      <c r="F488">
        <f ca="1">IFERROR(__xludf.DUMMYFUNCTION("""COMPUTED_VALUE"""),12.48)</f>
        <v>12.48</v>
      </c>
      <c r="G488">
        <f ca="1">IFERROR(__xludf.DUMMYFUNCTION("""COMPUTED_VALUE"""),-8.05)</f>
        <v>-8.0500000000000007</v>
      </c>
      <c r="H488">
        <f ca="1">IFERROR(__xludf.DUMMYFUNCTION("""COMPUTED_VALUE"""),7.63)</f>
        <v>7.63</v>
      </c>
      <c r="I488" t="str">
        <f ca="1">IFERROR(__xludf.DUMMYFUNCTION("""COMPUTED_VALUE"""),"")</f>
        <v/>
      </c>
    </row>
    <row r="489" spans="1:9" ht="12.75">
      <c r="A489">
        <f ca="1">IFERROR(__xludf.DUMMYFUNCTION("""COMPUTED_VALUE"""),488)</f>
        <v>488</v>
      </c>
      <c r="B489">
        <f ca="1">IFERROR(__xludf.DUMMYFUNCTION("""COMPUTED_VALUE"""),482)</f>
        <v>482</v>
      </c>
      <c r="C489" t="str">
        <f ca="1">IFERROR(__xludf.DUMMYFUNCTION("""COMPUTED_VALUE"""),"Todd Baek")</f>
        <v>Todd Baek</v>
      </c>
      <c r="D489">
        <f ca="1">IFERROR(__xludf.DUMMYFUNCTION("""COMPUTED_VALUE"""),40)</f>
        <v>40</v>
      </c>
      <c r="E489">
        <f ca="1">IFERROR(__xludf.DUMMYFUNCTION("""COMPUTED_VALUE"""),0.3)</f>
        <v>0.3</v>
      </c>
      <c r="F489">
        <f ca="1">IFERROR(__xludf.DUMMYFUNCTION("""COMPUTED_VALUE"""),12.14)</f>
        <v>12.14</v>
      </c>
      <c r="G489">
        <f ca="1">IFERROR(__xludf.DUMMYFUNCTION("""COMPUTED_VALUE"""),-9.73)</f>
        <v>-9.73</v>
      </c>
      <c r="H489">
        <f ca="1">IFERROR(__xludf.DUMMYFUNCTION("""COMPUTED_VALUE"""),0)</f>
        <v>0</v>
      </c>
      <c r="I489" t="str">
        <f ca="1">IFERROR(__xludf.DUMMYFUNCTION("""COMPUTED_VALUE"""),"")</f>
        <v/>
      </c>
    </row>
    <row r="490" spans="1:9" ht="12.75">
      <c r="A490">
        <f ca="1">IFERROR(__xludf.DUMMYFUNCTION("""COMPUTED_VALUE"""),489)</f>
        <v>489</v>
      </c>
      <c r="B490">
        <f ca="1">IFERROR(__xludf.DUMMYFUNCTION("""COMPUTED_VALUE"""),486)</f>
        <v>486</v>
      </c>
      <c r="C490" t="str">
        <f ca="1">IFERROR(__xludf.DUMMYFUNCTION("""COMPUTED_VALUE"""),"Anirban Lahiri")</f>
        <v>Anirban Lahiri</v>
      </c>
      <c r="D490">
        <f ca="1">IFERROR(__xludf.DUMMYFUNCTION("""COMPUTED_VALUE"""),46)</f>
        <v>46</v>
      </c>
      <c r="E490">
        <f ca="1">IFERROR(__xludf.DUMMYFUNCTION("""COMPUTED_VALUE"""),0.3)</f>
        <v>0.3</v>
      </c>
      <c r="F490">
        <f ca="1">IFERROR(__xludf.DUMMYFUNCTION("""COMPUTED_VALUE"""),13.95)</f>
        <v>13.95</v>
      </c>
      <c r="G490">
        <f ca="1">IFERROR(__xludf.DUMMYFUNCTION("""COMPUTED_VALUE"""),-15.58)</f>
        <v>-15.58</v>
      </c>
      <c r="H490">
        <f ca="1">IFERROR(__xludf.DUMMYFUNCTION("""COMPUTED_VALUE"""),7.44)</f>
        <v>7.44</v>
      </c>
      <c r="I490" t="str">
        <f ca="1">IFERROR(__xludf.DUMMYFUNCTION("""COMPUTED_VALUE"""),"")</f>
        <v/>
      </c>
    </row>
    <row r="491" spans="1:9" ht="12.75">
      <c r="A491">
        <f ca="1">IFERROR(__xludf.DUMMYFUNCTION("""COMPUTED_VALUE"""),490)</f>
        <v>490</v>
      </c>
      <c r="B491">
        <f ca="1">IFERROR(__xludf.DUMMYFUNCTION("""COMPUTED_VALUE"""),483)</f>
        <v>483</v>
      </c>
      <c r="C491" t="str">
        <f ca="1">IFERROR(__xludf.DUMMYFUNCTION("""COMPUTED_VALUE"""),"Jarin Todd")</f>
        <v>Jarin Todd</v>
      </c>
      <c r="D491">
        <f ca="1">IFERROR(__xludf.DUMMYFUNCTION("""COMPUTED_VALUE"""),40)</f>
        <v>40</v>
      </c>
      <c r="E491">
        <f ca="1">IFERROR(__xludf.DUMMYFUNCTION("""COMPUTED_VALUE"""),0.3)</f>
        <v>0.3</v>
      </c>
      <c r="F491">
        <f ca="1">IFERROR(__xludf.DUMMYFUNCTION("""COMPUTED_VALUE"""),12.12)</f>
        <v>12.12</v>
      </c>
      <c r="G491">
        <f ca="1">IFERROR(__xludf.DUMMYFUNCTION("""COMPUTED_VALUE"""),-6.43)</f>
        <v>-6.43</v>
      </c>
      <c r="H491">
        <f ca="1">IFERROR(__xludf.DUMMYFUNCTION("""COMPUTED_VALUE"""),8.73)</f>
        <v>8.73</v>
      </c>
      <c r="I491" t="str">
        <f ca="1">IFERROR(__xludf.DUMMYFUNCTION("""COMPUTED_VALUE"""),"")</f>
        <v/>
      </c>
    </row>
    <row r="492" spans="1:9" ht="12.75">
      <c r="A492">
        <f ca="1">IFERROR(__xludf.DUMMYFUNCTION("""COMPUTED_VALUE"""),491)</f>
        <v>491</v>
      </c>
      <c r="B492">
        <f ca="1">IFERROR(__xludf.DUMMYFUNCTION("""COMPUTED_VALUE"""),490)</f>
        <v>490</v>
      </c>
      <c r="C492" t="str">
        <f ca="1">IFERROR(__xludf.DUMMYFUNCTION("""COMPUTED_VALUE"""),"Cameron Young")</f>
        <v>Cameron Young</v>
      </c>
      <c r="D492">
        <f ca="1">IFERROR(__xludf.DUMMYFUNCTION("""COMPUTED_VALUE"""),40)</f>
        <v>40</v>
      </c>
      <c r="E492">
        <f ca="1">IFERROR(__xludf.DUMMYFUNCTION("""COMPUTED_VALUE"""),0.3)</f>
        <v>0.3</v>
      </c>
      <c r="F492">
        <f ca="1">IFERROR(__xludf.DUMMYFUNCTION("""COMPUTED_VALUE"""),12.11)</f>
        <v>12.11</v>
      </c>
      <c r="G492">
        <f ca="1">IFERROR(__xludf.DUMMYFUNCTION("""COMPUTED_VALUE"""),-0.51)</f>
        <v>-0.51</v>
      </c>
      <c r="H492">
        <f ca="1">IFERROR(__xludf.DUMMYFUNCTION("""COMPUTED_VALUE"""),11.14)</f>
        <v>11.14</v>
      </c>
      <c r="I492" t="str">
        <f ca="1">IFERROR(__xludf.DUMMYFUNCTION("""COMPUTED_VALUE"""),"")</f>
        <v/>
      </c>
    </row>
    <row r="493" spans="1:9" ht="12.75">
      <c r="A493">
        <f ca="1">IFERROR(__xludf.DUMMYFUNCTION("""COMPUTED_VALUE"""),492)</f>
        <v>492</v>
      </c>
      <c r="B493">
        <f ca="1">IFERROR(__xludf.DUMMYFUNCTION("""COMPUTED_VALUE"""),493)</f>
        <v>493</v>
      </c>
      <c r="C493" t="str">
        <f ca="1">IFERROR(__xludf.DUMMYFUNCTION("""COMPUTED_VALUE"""),"José de Jesús Rodríguez")</f>
        <v>José de Jesús Rodríguez</v>
      </c>
      <c r="D493">
        <f ca="1">IFERROR(__xludf.DUMMYFUNCTION("""COMPUTED_VALUE"""),51)</f>
        <v>51</v>
      </c>
      <c r="E493">
        <f ca="1">IFERROR(__xludf.DUMMYFUNCTION("""COMPUTED_VALUE"""),0.3)</f>
        <v>0.3</v>
      </c>
      <c r="F493">
        <f ca="1">IFERROR(__xludf.DUMMYFUNCTION("""COMPUTED_VALUE"""),15.42)</f>
        <v>15.42</v>
      </c>
      <c r="G493">
        <f ca="1">IFERROR(__xludf.DUMMYFUNCTION("""COMPUTED_VALUE"""),-8.64)</f>
        <v>-8.64</v>
      </c>
      <c r="H493">
        <f ca="1">IFERROR(__xludf.DUMMYFUNCTION("""COMPUTED_VALUE"""),11.62)</f>
        <v>11.62</v>
      </c>
      <c r="I493" t="str">
        <f ca="1">IFERROR(__xludf.DUMMYFUNCTION("""COMPUTED_VALUE"""),"")</f>
        <v/>
      </c>
    </row>
    <row r="494" spans="1:9" ht="12.75">
      <c r="A494">
        <f ca="1">IFERROR(__xludf.DUMMYFUNCTION("""COMPUTED_VALUE"""),493)</f>
        <v>493</v>
      </c>
      <c r="B494">
        <f ca="1">IFERROR(__xludf.DUMMYFUNCTION("""COMPUTED_VALUE"""),488)</f>
        <v>488</v>
      </c>
      <c r="C494" t="str">
        <f ca="1">IFERROR(__xludf.DUMMYFUNCTION("""COMPUTED_VALUE"""),"Kristoffer Reitan")</f>
        <v>Kristoffer Reitan</v>
      </c>
      <c r="D494">
        <f ca="1">IFERROR(__xludf.DUMMYFUNCTION("""COMPUTED_VALUE"""),40)</f>
        <v>40</v>
      </c>
      <c r="E494">
        <f ca="1">IFERROR(__xludf.DUMMYFUNCTION("""COMPUTED_VALUE"""),0.3)</f>
        <v>0.3</v>
      </c>
      <c r="F494">
        <f ca="1">IFERROR(__xludf.DUMMYFUNCTION("""COMPUTED_VALUE"""),12.06)</f>
        <v>12.06</v>
      </c>
      <c r="G494">
        <f ca="1">IFERROR(__xludf.DUMMYFUNCTION("""COMPUTED_VALUE"""),-5.09)</f>
        <v>-5.09</v>
      </c>
      <c r="H494">
        <f ca="1">IFERROR(__xludf.DUMMYFUNCTION("""COMPUTED_VALUE"""),5.66)</f>
        <v>5.66</v>
      </c>
      <c r="I494" t="str">
        <f ca="1">IFERROR(__xludf.DUMMYFUNCTION("""COMPUTED_VALUE"""),"")</f>
        <v/>
      </c>
    </row>
    <row r="495" spans="1:9" ht="12.75">
      <c r="A495">
        <f ca="1">IFERROR(__xludf.DUMMYFUNCTION("""COMPUTED_VALUE"""),494)</f>
        <v>494</v>
      </c>
      <c r="B495">
        <f ca="1">IFERROR(__xludf.DUMMYFUNCTION("""COMPUTED_VALUE"""),480)</f>
        <v>480</v>
      </c>
      <c r="C495" t="str">
        <f ca="1">IFERROR(__xludf.DUMMYFUNCTION("""COMPUTED_VALUE"""),"Jake McLeod")</f>
        <v>Jake McLeod</v>
      </c>
      <c r="D495">
        <f ca="1">IFERROR(__xludf.DUMMYFUNCTION("""COMPUTED_VALUE"""),46)</f>
        <v>46</v>
      </c>
      <c r="E495">
        <f ca="1">IFERROR(__xludf.DUMMYFUNCTION("""COMPUTED_VALUE"""),0.3)</f>
        <v>0.3</v>
      </c>
      <c r="F495">
        <f ca="1">IFERROR(__xludf.DUMMYFUNCTION("""COMPUTED_VALUE"""),13.85)</f>
        <v>13.85</v>
      </c>
      <c r="G495">
        <f ca="1">IFERROR(__xludf.DUMMYFUNCTION("""COMPUTED_VALUE"""),-18.34)</f>
        <v>-18.34</v>
      </c>
      <c r="H495">
        <f ca="1">IFERROR(__xludf.DUMMYFUNCTION("""COMPUTED_VALUE"""),5.98)</f>
        <v>5.98</v>
      </c>
      <c r="I495" t="str">
        <f ca="1">IFERROR(__xludf.DUMMYFUNCTION("""COMPUTED_VALUE"""),"")</f>
        <v/>
      </c>
    </row>
    <row r="496" spans="1:9" ht="12.75">
      <c r="A496">
        <f ca="1">IFERROR(__xludf.DUMMYFUNCTION("""COMPUTED_VALUE"""),495)</f>
        <v>495</v>
      </c>
      <c r="B496">
        <f ca="1">IFERROR(__xludf.DUMMYFUNCTION("""COMPUTED_VALUE"""),481)</f>
        <v>481</v>
      </c>
      <c r="C496" t="str">
        <f ca="1">IFERROR(__xludf.DUMMYFUNCTION("""COMPUTED_VALUE"""),"Sang-hee Lee")</f>
        <v>Sang-hee Lee</v>
      </c>
      <c r="D496">
        <f ca="1">IFERROR(__xludf.DUMMYFUNCTION("""COMPUTED_VALUE"""),40)</f>
        <v>40</v>
      </c>
      <c r="E496">
        <f ca="1">IFERROR(__xludf.DUMMYFUNCTION("""COMPUTED_VALUE"""),0.3)</f>
        <v>0.3</v>
      </c>
      <c r="F496">
        <f ca="1">IFERROR(__xludf.DUMMYFUNCTION("""COMPUTED_VALUE"""),12.04)</f>
        <v>12.04</v>
      </c>
      <c r="G496">
        <f ca="1">IFERROR(__xludf.DUMMYFUNCTION("""COMPUTED_VALUE"""),-15.4)</f>
        <v>-15.4</v>
      </c>
      <c r="H496">
        <f ca="1">IFERROR(__xludf.DUMMYFUNCTION("""COMPUTED_VALUE"""),0)</f>
        <v>0</v>
      </c>
      <c r="I496" t="str">
        <f ca="1">IFERROR(__xludf.DUMMYFUNCTION("""COMPUTED_VALUE"""),"")</f>
        <v/>
      </c>
    </row>
    <row r="497" spans="1:9" ht="12.75">
      <c r="A497">
        <f ca="1">IFERROR(__xludf.DUMMYFUNCTION("""COMPUTED_VALUE"""),496)</f>
        <v>496</v>
      </c>
      <c r="B497">
        <f ca="1">IFERROR(__xludf.DUMMYFUNCTION("""COMPUTED_VALUE"""),474)</f>
        <v>474</v>
      </c>
      <c r="C497" t="str">
        <f ca="1">IFERROR(__xludf.DUMMYFUNCTION("""COMPUTED_VALUE"""),"Alvaro Quiros")</f>
        <v>Alvaro Quiros</v>
      </c>
      <c r="D497">
        <f ca="1">IFERROR(__xludf.DUMMYFUNCTION("""COMPUTED_VALUE"""),47)</f>
        <v>47</v>
      </c>
      <c r="E497">
        <f ca="1">IFERROR(__xludf.DUMMYFUNCTION("""COMPUTED_VALUE"""),0.3)</f>
        <v>0.3</v>
      </c>
      <c r="F497">
        <f ca="1">IFERROR(__xludf.DUMMYFUNCTION("""COMPUTED_VALUE"""),14.12)</f>
        <v>14.12</v>
      </c>
      <c r="G497">
        <f ca="1">IFERROR(__xludf.DUMMYFUNCTION("""COMPUTED_VALUE"""),-14.28)</f>
        <v>-14.28</v>
      </c>
      <c r="H497">
        <f ca="1">IFERROR(__xludf.DUMMYFUNCTION("""COMPUTED_VALUE"""),1.69)</f>
        <v>1.69</v>
      </c>
      <c r="I497" t="str">
        <f ca="1">IFERROR(__xludf.DUMMYFUNCTION("""COMPUTED_VALUE"""),"")</f>
        <v/>
      </c>
    </row>
    <row r="498" spans="1:9" ht="12.75">
      <c r="A498">
        <f ca="1">IFERROR(__xludf.DUMMYFUNCTION("""COMPUTED_VALUE"""),497)</f>
        <v>497</v>
      </c>
      <c r="B498">
        <f ca="1">IFERROR(__xludf.DUMMYFUNCTION("""COMPUTED_VALUE"""),496)</f>
        <v>496</v>
      </c>
      <c r="C498" t="str">
        <f ca="1">IFERROR(__xludf.DUMMYFUNCTION("""COMPUTED_VALUE"""),"Tyler Koivisto")</f>
        <v>Tyler Koivisto</v>
      </c>
      <c r="D498">
        <f ca="1">IFERROR(__xludf.DUMMYFUNCTION("""COMPUTED_VALUE"""),40)</f>
        <v>40</v>
      </c>
      <c r="E498">
        <f ca="1">IFERROR(__xludf.DUMMYFUNCTION("""COMPUTED_VALUE"""),0.3)</f>
        <v>0.3</v>
      </c>
      <c r="F498">
        <f ca="1">IFERROR(__xludf.DUMMYFUNCTION("""COMPUTED_VALUE"""),12)</f>
        <v>12</v>
      </c>
      <c r="G498" t="str">
        <f ca="1">IFERROR(__xludf.DUMMYFUNCTION("""COMPUTED_VALUE"""),"")</f>
        <v/>
      </c>
      <c r="H498">
        <f ca="1">IFERROR(__xludf.DUMMYFUNCTION("""COMPUTED_VALUE"""),12)</f>
        <v>12</v>
      </c>
      <c r="I498" t="str">
        <f ca="1">IFERROR(__xludf.DUMMYFUNCTION("""COMPUTED_VALUE"""),"")</f>
        <v/>
      </c>
    </row>
    <row r="499" spans="1:9" ht="12.75">
      <c r="A499">
        <f ca="1">IFERROR(__xludf.DUMMYFUNCTION("""COMPUTED_VALUE"""),498)</f>
        <v>498</v>
      </c>
      <c r="B499">
        <f ca="1">IFERROR(__xludf.DUMMYFUNCTION("""COMPUTED_VALUE"""),494)</f>
        <v>494</v>
      </c>
      <c r="C499" t="str">
        <f ca="1">IFERROR(__xludf.DUMMYFUNCTION("""COMPUTED_VALUE"""),"Theo Humphrey")</f>
        <v>Theo Humphrey</v>
      </c>
      <c r="D499">
        <f ca="1">IFERROR(__xludf.DUMMYFUNCTION("""COMPUTED_VALUE"""),40)</f>
        <v>40</v>
      </c>
      <c r="E499">
        <f ca="1">IFERROR(__xludf.DUMMYFUNCTION("""COMPUTED_VALUE"""),0.3)</f>
        <v>0.3</v>
      </c>
      <c r="F499">
        <f ca="1">IFERROR(__xludf.DUMMYFUNCTION("""COMPUTED_VALUE"""),11.98)</f>
        <v>11.98</v>
      </c>
      <c r="G499">
        <f ca="1">IFERROR(__xludf.DUMMYFUNCTION("""COMPUTED_VALUE"""),-1.22)</f>
        <v>-1.22</v>
      </c>
      <c r="H499">
        <f ca="1">IFERROR(__xludf.DUMMYFUNCTION("""COMPUTED_VALUE"""),12.35)</f>
        <v>12.35</v>
      </c>
      <c r="I499" t="str">
        <f ca="1">IFERROR(__xludf.DUMMYFUNCTION("""COMPUTED_VALUE"""),"")</f>
        <v/>
      </c>
    </row>
    <row r="500" spans="1:9" ht="12.75">
      <c r="A500">
        <f ca="1">IFERROR(__xludf.DUMMYFUNCTION("""COMPUTED_VALUE"""),499)</f>
        <v>499</v>
      </c>
      <c r="B500">
        <f ca="1">IFERROR(__xludf.DUMMYFUNCTION("""COMPUTED_VALUE"""),488)</f>
        <v>488</v>
      </c>
      <c r="C500" t="str">
        <f ca="1">IFERROR(__xludf.DUMMYFUNCTION("""COMPUTED_VALUE"""),"Hugo León")</f>
        <v>Hugo León</v>
      </c>
      <c r="D500">
        <f ca="1">IFERROR(__xludf.DUMMYFUNCTION("""COMPUTED_VALUE"""),40)</f>
        <v>40</v>
      </c>
      <c r="E500">
        <f ca="1">IFERROR(__xludf.DUMMYFUNCTION("""COMPUTED_VALUE"""),0.3)</f>
        <v>0.3</v>
      </c>
      <c r="F500">
        <f ca="1">IFERROR(__xludf.DUMMYFUNCTION("""COMPUTED_VALUE"""),11.9)</f>
        <v>11.9</v>
      </c>
      <c r="G500">
        <f ca="1">IFERROR(__xludf.DUMMYFUNCTION("""COMPUTED_VALUE"""),-10.85)</f>
        <v>-10.85</v>
      </c>
      <c r="H500">
        <f ca="1">IFERROR(__xludf.DUMMYFUNCTION("""COMPUTED_VALUE"""),0)</f>
        <v>0</v>
      </c>
      <c r="I500" t="str">
        <f ca="1">IFERROR(__xludf.DUMMYFUNCTION("""COMPUTED_VALUE"""),"")</f>
        <v/>
      </c>
    </row>
    <row r="501" spans="1:9" ht="12.75">
      <c r="A501">
        <f ca="1">IFERROR(__xludf.DUMMYFUNCTION("""COMPUTED_VALUE"""),500)</f>
        <v>500</v>
      </c>
      <c r="B501">
        <f ca="1">IFERROR(__xludf.DUMMYFUNCTION("""COMPUTED_VALUE"""),491)</f>
        <v>491</v>
      </c>
      <c r="C501" t="str">
        <f ca="1">IFERROR(__xludf.DUMMYFUNCTION("""COMPUTED_VALUE"""),"Adam Svensson")</f>
        <v>Adam Svensson</v>
      </c>
      <c r="D501">
        <f ca="1">IFERROR(__xludf.DUMMYFUNCTION("""COMPUTED_VALUE"""),52)</f>
        <v>52</v>
      </c>
      <c r="E501">
        <f ca="1">IFERROR(__xludf.DUMMYFUNCTION("""COMPUTED_VALUE"""),0.3)</f>
        <v>0.3</v>
      </c>
      <c r="F501">
        <f ca="1">IFERROR(__xludf.DUMMYFUNCTION("""COMPUTED_VALUE"""),15.45)</f>
        <v>15.45</v>
      </c>
      <c r="G501">
        <f ca="1">IFERROR(__xludf.DUMMYFUNCTION("""COMPUTED_VALUE"""),-9.13)</f>
        <v>-9.1300000000000008</v>
      </c>
      <c r="H501">
        <f ca="1">IFERROR(__xludf.DUMMYFUNCTION("""COMPUTED_VALUE"""),9.48)</f>
        <v>9.48</v>
      </c>
      <c r="I501" t="str">
        <f ca="1">IFERROR(__xludf.DUMMYFUNCTION("""COMPUTED_VALUE"""),"")</f>
        <v/>
      </c>
    </row>
    <row r="502" spans="1:9" ht="12.75">
      <c r="A502">
        <f ca="1">IFERROR(__xludf.DUMMYFUNCTION("""COMPUTED_VALUE"""),501)</f>
        <v>501</v>
      </c>
      <c r="B502">
        <f ca="1">IFERROR(__xludf.DUMMYFUNCTION("""COMPUTED_VALUE"""),487)</f>
        <v>487</v>
      </c>
      <c r="C502" t="str">
        <f ca="1">IFERROR(__xludf.DUMMYFUNCTION("""COMPUTED_VALUE"""),"Angelo Que")</f>
        <v>Angelo Que</v>
      </c>
      <c r="D502">
        <f ca="1">IFERROR(__xludf.DUMMYFUNCTION("""COMPUTED_VALUE"""),40)</f>
        <v>40</v>
      </c>
      <c r="E502">
        <f ca="1">IFERROR(__xludf.DUMMYFUNCTION("""COMPUTED_VALUE"""),0.3)</f>
        <v>0.3</v>
      </c>
      <c r="F502">
        <f ca="1">IFERROR(__xludf.DUMMYFUNCTION("""COMPUTED_VALUE"""),11.8)</f>
        <v>11.8</v>
      </c>
      <c r="G502">
        <f ca="1">IFERROR(__xludf.DUMMYFUNCTION("""COMPUTED_VALUE"""),-16.89)</f>
        <v>-16.89</v>
      </c>
      <c r="H502">
        <f ca="1">IFERROR(__xludf.DUMMYFUNCTION("""COMPUTED_VALUE"""),2.8)</f>
        <v>2.8</v>
      </c>
      <c r="I502" t="str">
        <f ca="1">IFERROR(__xludf.DUMMYFUNCTION("""COMPUTED_VALUE"""),"")</f>
        <v/>
      </c>
    </row>
    <row r="503" spans="1:9" ht="12.75">
      <c r="A503">
        <f ca="1">IFERROR(__xludf.DUMMYFUNCTION("""COMPUTED_VALUE"""),502)</f>
        <v>502</v>
      </c>
      <c r="B503">
        <f ca="1">IFERROR(__xludf.DUMMYFUNCTION("""COMPUTED_VALUE"""),492)</f>
        <v>492</v>
      </c>
      <c r="C503" t="str">
        <f ca="1">IFERROR(__xludf.DUMMYFUNCTION("""COMPUTED_VALUE"""),"Sihwan Kim")</f>
        <v>Sihwan Kim</v>
      </c>
      <c r="D503">
        <f ca="1">IFERROR(__xludf.DUMMYFUNCTION("""COMPUTED_VALUE"""),46)</f>
        <v>46</v>
      </c>
      <c r="E503">
        <f ca="1">IFERROR(__xludf.DUMMYFUNCTION("""COMPUTED_VALUE"""),0.29)</f>
        <v>0.28999999999999998</v>
      </c>
      <c r="F503">
        <f ca="1">IFERROR(__xludf.DUMMYFUNCTION("""COMPUTED_VALUE"""),13.48)</f>
        <v>13.48</v>
      </c>
      <c r="G503">
        <f ca="1">IFERROR(__xludf.DUMMYFUNCTION("""COMPUTED_VALUE"""),-18.66)</f>
        <v>-18.66</v>
      </c>
      <c r="H503">
        <f ca="1">IFERROR(__xludf.DUMMYFUNCTION("""COMPUTED_VALUE"""),1.2)</f>
        <v>1.2</v>
      </c>
      <c r="I503" t="str">
        <f ca="1">IFERROR(__xludf.DUMMYFUNCTION("""COMPUTED_VALUE"""),"")</f>
        <v/>
      </c>
    </row>
    <row r="504" spans="1:9" ht="12.75">
      <c r="A504">
        <f ca="1">IFERROR(__xludf.DUMMYFUNCTION("""COMPUTED_VALUE"""),503)</f>
        <v>503</v>
      </c>
      <c r="B504">
        <f ca="1">IFERROR(__xludf.DUMMYFUNCTION("""COMPUTED_VALUE"""),501)</f>
        <v>501</v>
      </c>
      <c r="C504" t="str">
        <f ca="1">IFERROR(__xludf.DUMMYFUNCTION("""COMPUTED_VALUE"""),"Michael Sim")</f>
        <v>Michael Sim</v>
      </c>
      <c r="D504">
        <f ca="1">IFERROR(__xludf.DUMMYFUNCTION("""COMPUTED_VALUE"""),40)</f>
        <v>40</v>
      </c>
      <c r="E504">
        <f ca="1">IFERROR(__xludf.DUMMYFUNCTION("""COMPUTED_VALUE"""),0.29)</f>
        <v>0.28999999999999998</v>
      </c>
      <c r="F504">
        <f ca="1">IFERROR(__xludf.DUMMYFUNCTION("""COMPUTED_VALUE"""),11.72)</f>
        <v>11.72</v>
      </c>
      <c r="G504">
        <f ca="1">IFERROR(__xludf.DUMMYFUNCTION("""COMPUTED_VALUE"""),-3.2)</f>
        <v>-3.2</v>
      </c>
      <c r="H504">
        <f ca="1">IFERROR(__xludf.DUMMYFUNCTION("""COMPUTED_VALUE"""),9.4)</f>
        <v>9.4</v>
      </c>
      <c r="I504" t="str">
        <f ca="1">IFERROR(__xludf.DUMMYFUNCTION("""COMPUTED_VALUE"""),"")</f>
        <v/>
      </c>
    </row>
    <row r="505" spans="1:9" ht="12.75">
      <c r="A505">
        <f ca="1">IFERROR(__xludf.DUMMYFUNCTION("""COMPUTED_VALUE"""),504)</f>
        <v>504</v>
      </c>
      <c r="B505">
        <f ca="1">IFERROR(__xludf.DUMMYFUNCTION("""COMPUTED_VALUE"""),499)</f>
        <v>499</v>
      </c>
      <c r="C505" t="str">
        <f ca="1">IFERROR(__xludf.DUMMYFUNCTION("""COMPUTED_VALUE"""),"Wang Wei Lun")</f>
        <v>Wang Wei Lun</v>
      </c>
      <c r="D505">
        <f ca="1">IFERROR(__xludf.DUMMYFUNCTION("""COMPUTED_VALUE"""),40)</f>
        <v>40</v>
      </c>
      <c r="E505">
        <f ca="1">IFERROR(__xludf.DUMMYFUNCTION("""COMPUTED_VALUE"""),0.29)</f>
        <v>0.28999999999999998</v>
      </c>
      <c r="F505">
        <f ca="1">IFERROR(__xludf.DUMMYFUNCTION("""COMPUTED_VALUE"""),11.68)</f>
        <v>11.68</v>
      </c>
      <c r="G505">
        <f ca="1">IFERROR(__xludf.DUMMYFUNCTION("""COMPUTED_VALUE"""),-6.47)</f>
        <v>-6.47</v>
      </c>
      <c r="H505">
        <f ca="1">IFERROR(__xludf.DUMMYFUNCTION("""COMPUTED_VALUE"""),0)</f>
        <v>0</v>
      </c>
      <c r="I505" t="str">
        <f ca="1">IFERROR(__xludf.DUMMYFUNCTION("""COMPUTED_VALUE"""),"")</f>
        <v/>
      </c>
    </row>
    <row r="506" spans="1:9" ht="12.75">
      <c r="A506">
        <f ca="1">IFERROR(__xludf.DUMMYFUNCTION("""COMPUTED_VALUE"""),505)</f>
        <v>505</v>
      </c>
      <c r="B506">
        <f ca="1">IFERROR(__xludf.DUMMYFUNCTION("""COMPUTED_VALUE"""),513)</f>
        <v>513</v>
      </c>
      <c r="C506" t="str">
        <f ca="1">IFERROR(__xludf.DUMMYFUNCTION("""COMPUTED_VALUE"""),"Joey Garber")</f>
        <v>Joey Garber</v>
      </c>
      <c r="D506">
        <f ca="1">IFERROR(__xludf.DUMMYFUNCTION("""COMPUTED_VALUE"""),48)</f>
        <v>48</v>
      </c>
      <c r="E506">
        <f ca="1">IFERROR(__xludf.DUMMYFUNCTION("""COMPUTED_VALUE"""),0.29)</f>
        <v>0.28999999999999998</v>
      </c>
      <c r="F506">
        <f ca="1">IFERROR(__xludf.DUMMYFUNCTION("""COMPUTED_VALUE"""),14.01)</f>
        <v>14.01</v>
      </c>
      <c r="G506">
        <f ca="1">IFERROR(__xludf.DUMMYFUNCTION("""COMPUTED_VALUE"""),-10.39)</f>
        <v>-10.39</v>
      </c>
      <c r="H506">
        <f ca="1">IFERROR(__xludf.DUMMYFUNCTION("""COMPUTED_VALUE"""),6.52)</f>
        <v>6.52</v>
      </c>
      <c r="I506" t="str">
        <f ca="1">IFERROR(__xludf.DUMMYFUNCTION("""COMPUTED_VALUE"""),"")</f>
        <v/>
      </c>
    </row>
    <row r="507" spans="1:9" ht="12.75">
      <c r="A507">
        <f ca="1">IFERROR(__xludf.DUMMYFUNCTION("""COMPUTED_VALUE"""),506)</f>
        <v>506</v>
      </c>
      <c r="B507">
        <f ca="1">IFERROR(__xludf.DUMMYFUNCTION("""COMPUTED_VALUE"""),503)</f>
        <v>503</v>
      </c>
      <c r="C507" t="str">
        <f ca="1">IFERROR(__xludf.DUMMYFUNCTION("""COMPUTED_VALUE"""),"Denzel Ieremia")</f>
        <v>Denzel Ieremia</v>
      </c>
      <c r="D507">
        <f ca="1">IFERROR(__xludf.DUMMYFUNCTION("""COMPUTED_VALUE"""),40)</f>
        <v>40</v>
      </c>
      <c r="E507">
        <f ca="1">IFERROR(__xludf.DUMMYFUNCTION("""COMPUTED_VALUE"""),0.29)</f>
        <v>0.28999999999999998</v>
      </c>
      <c r="F507">
        <f ca="1">IFERROR(__xludf.DUMMYFUNCTION("""COMPUTED_VALUE"""),11.65)</f>
        <v>11.65</v>
      </c>
      <c r="G507">
        <f ca="1">IFERROR(__xludf.DUMMYFUNCTION("""COMPUTED_VALUE"""),-5.07)</f>
        <v>-5.07</v>
      </c>
      <c r="H507">
        <f ca="1">IFERROR(__xludf.DUMMYFUNCTION("""COMPUTED_VALUE"""),1.22)</f>
        <v>1.22</v>
      </c>
      <c r="I507" t="str">
        <f ca="1">IFERROR(__xludf.DUMMYFUNCTION("""COMPUTED_VALUE"""),"")</f>
        <v/>
      </c>
    </row>
    <row r="508" spans="1:9" ht="12.75">
      <c r="A508">
        <f ca="1">IFERROR(__xludf.DUMMYFUNCTION("""COMPUTED_VALUE"""),507)</f>
        <v>507</v>
      </c>
      <c r="B508">
        <f ca="1">IFERROR(__xludf.DUMMYFUNCTION("""COMPUTED_VALUE"""),505)</f>
        <v>505</v>
      </c>
      <c r="C508" t="str">
        <f ca="1">IFERROR(__xludf.DUMMYFUNCTION("""COMPUTED_VALUE"""),"Jarryd Felton")</f>
        <v>Jarryd Felton</v>
      </c>
      <c r="D508">
        <f ca="1">IFERROR(__xludf.DUMMYFUNCTION("""COMPUTED_VALUE"""),40)</f>
        <v>40</v>
      </c>
      <c r="E508">
        <f ca="1">IFERROR(__xludf.DUMMYFUNCTION("""COMPUTED_VALUE"""),0.29)</f>
        <v>0.28999999999999998</v>
      </c>
      <c r="F508">
        <f ca="1">IFERROR(__xludf.DUMMYFUNCTION("""COMPUTED_VALUE"""),11.63)</f>
        <v>11.63</v>
      </c>
      <c r="G508">
        <f ca="1">IFERROR(__xludf.DUMMYFUNCTION("""COMPUTED_VALUE"""),-6.84)</f>
        <v>-6.84</v>
      </c>
      <c r="H508">
        <f ca="1">IFERROR(__xludf.DUMMYFUNCTION("""COMPUTED_VALUE"""),6.93)</f>
        <v>6.93</v>
      </c>
      <c r="I508" t="str">
        <f ca="1">IFERROR(__xludf.DUMMYFUNCTION("""COMPUTED_VALUE"""),"")</f>
        <v/>
      </c>
    </row>
    <row r="509" spans="1:9" ht="12.75">
      <c r="A509">
        <f ca="1">IFERROR(__xludf.DUMMYFUNCTION("""COMPUTED_VALUE"""),508)</f>
        <v>508</v>
      </c>
      <c r="B509">
        <f ca="1">IFERROR(__xludf.DUMMYFUNCTION("""COMPUTED_VALUE"""),508)</f>
        <v>508</v>
      </c>
      <c r="C509" t="str">
        <f ca="1">IFERROR(__xludf.DUMMYFUNCTION("""COMPUTED_VALUE"""),"Julien Guerrier")</f>
        <v>Julien Guerrier</v>
      </c>
      <c r="D509">
        <f ca="1">IFERROR(__xludf.DUMMYFUNCTION("""COMPUTED_VALUE"""),40)</f>
        <v>40</v>
      </c>
      <c r="E509">
        <f ca="1">IFERROR(__xludf.DUMMYFUNCTION("""COMPUTED_VALUE"""),0.29)</f>
        <v>0.28999999999999998</v>
      </c>
      <c r="F509">
        <f ca="1">IFERROR(__xludf.DUMMYFUNCTION("""COMPUTED_VALUE"""),11.58)</f>
        <v>11.58</v>
      </c>
      <c r="G509">
        <f ca="1">IFERROR(__xludf.DUMMYFUNCTION("""COMPUTED_VALUE"""),-6.88)</f>
        <v>-6.88</v>
      </c>
      <c r="H509">
        <f ca="1">IFERROR(__xludf.DUMMYFUNCTION("""COMPUTED_VALUE"""),9.02)</f>
        <v>9.02</v>
      </c>
      <c r="I509" t="str">
        <f ca="1">IFERROR(__xludf.DUMMYFUNCTION("""COMPUTED_VALUE"""),"")</f>
        <v/>
      </c>
    </row>
    <row r="510" spans="1:9" ht="12.75">
      <c r="A510">
        <f ca="1">IFERROR(__xludf.DUMMYFUNCTION("""COMPUTED_VALUE"""),509)</f>
        <v>509</v>
      </c>
      <c r="B510">
        <f ca="1">IFERROR(__xludf.DUMMYFUNCTION("""COMPUTED_VALUE"""),502)</f>
        <v>502</v>
      </c>
      <c r="C510" t="str">
        <f ca="1">IFERROR(__xludf.DUMMYFUNCTION("""COMPUTED_VALUE"""),"Marcus Fraser")</f>
        <v>Marcus Fraser</v>
      </c>
      <c r="D510">
        <f ca="1">IFERROR(__xludf.DUMMYFUNCTION("""COMPUTED_VALUE"""),40)</f>
        <v>40</v>
      </c>
      <c r="E510">
        <f ca="1">IFERROR(__xludf.DUMMYFUNCTION("""COMPUTED_VALUE"""),0.29)</f>
        <v>0.28999999999999998</v>
      </c>
      <c r="F510">
        <f ca="1">IFERROR(__xludf.DUMMYFUNCTION("""COMPUTED_VALUE"""),11.56)</f>
        <v>11.56</v>
      </c>
      <c r="G510">
        <f ca="1">IFERROR(__xludf.DUMMYFUNCTION("""COMPUTED_VALUE"""),-9.35)</f>
        <v>-9.35</v>
      </c>
      <c r="H510">
        <f ca="1">IFERROR(__xludf.DUMMYFUNCTION("""COMPUTED_VALUE"""),6.27)</f>
        <v>6.27</v>
      </c>
      <c r="I510" t="str">
        <f ca="1">IFERROR(__xludf.DUMMYFUNCTION("""COMPUTED_VALUE"""),"")</f>
        <v/>
      </c>
    </row>
    <row r="511" spans="1:9" ht="12.75">
      <c r="A511">
        <f ca="1">IFERROR(__xludf.DUMMYFUNCTION("""COMPUTED_VALUE"""),510)</f>
        <v>510</v>
      </c>
      <c r="B511">
        <f ca="1">IFERROR(__xludf.DUMMYFUNCTION("""COMPUTED_VALUE"""),517)</f>
        <v>517</v>
      </c>
      <c r="C511" t="str">
        <f ca="1">IFERROR(__xludf.DUMMYFUNCTION("""COMPUTED_VALUE"""),"Joakim Wikstrom")</f>
        <v>Joakim Wikstrom</v>
      </c>
      <c r="D511">
        <f ca="1">IFERROR(__xludf.DUMMYFUNCTION("""COMPUTED_VALUE"""),40)</f>
        <v>40</v>
      </c>
      <c r="E511">
        <f ca="1">IFERROR(__xludf.DUMMYFUNCTION("""COMPUTED_VALUE"""),0.29)</f>
        <v>0.28999999999999998</v>
      </c>
      <c r="F511">
        <f ca="1">IFERROR(__xludf.DUMMYFUNCTION("""COMPUTED_VALUE"""),11.55)</f>
        <v>11.55</v>
      </c>
      <c r="G511">
        <f ca="1">IFERROR(__xludf.DUMMYFUNCTION("""COMPUTED_VALUE"""),-0.05)</f>
        <v>-0.05</v>
      </c>
      <c r="H511">
        <f ca="1">IFERROR(__xludf.DUMMYFUNCTION("""COMPUTED_VALUE"""),11.6)</f>
        <v>11.6</v>
      </c>
      <c r="I511" t="str">
        <f ca="1">IFERROR(__xludf.DUMMYFUNCTION("""COMPUTED_VALUE"""),"")</f>
        <v/>
      </c>
    </row>
    <row r="512" spans="1:9" ht="12.75">
      <c r="A512">
        <f ca="1">IFERROR(__xludf.DUMMYFUNCTION("""COMPUTED_VALUE"""),511)</f>
        <v>511</v>
      </c>
      <c r="B512">
        <f ca="1">IFERROR(__xludf.DUMMYFUNCTION("""COMPUTED_VALUE"""),506)</f>
        <v>506</v>
      </c>
      <c r="C512" t="str">
        <f ca="1">IFERROR(__xludf.DUMMYFUNCTION("""COMPUTED_VALUE"""),"Jonathan Byrd")</f>
        <v>Jonathan Byrd</v>
      </c>
      <c r="D512">
        <f ca="1">IFERROR(__xludf.DUMMYFUNCTION("""COMPUTED_VALUE"""),40)</f>
        <v>40</v>
      </c>
      <c r="E512">
        <f ca="1">IFERROR(__xludf.DUMMYFUNCTION("""COMPUTED_VALUE"""),0.29)</f>
        <v>0.28999999999999998</v>
      </c>
      <c r="F512">
        <f ca="1">IFERROR(__xludf.DUMMYFUNCTION("""COMPUTED_VALUE"""),11.51)</f>
        <v>11.51</v>
      </c>
      <c r="G512">
        <f ca="1">IFERROR(__xludf.DUMMYFUNCTION("""COMPUTED_VALUE"""),-8.79)</f>
        <v>-8.7899999999999991</v>
      </c>
      <c r="H512">
        <f ca="1">IFERROR(__xludf.DUMMYFUNCTION("""COMPUTED_VALUE"""),4.4)</f>
        <v>4.4000000000000004</v>
      </c>
      <c r="I512" t="str">
        <f ca="1">IFERROR(__xludf.DUMMYFUNCTION("""COMPUTED_VALUE"""),"")</f>
        <v/>
      </c>
    </row>
    <row r="513" spans="1:9" ht="12.75">
      <c r="A513">
        <f ca="1">IFERROR(__xludf.DUMMYFUNCTION("""COMPUTED_VALUE"""),512)</f>
        <v>512</v>
      </c>
      <c r="B513">
        <f ca="1">IFERROR(__xludf.DUMMYFUNCTION("""COMPUTED_VALUE"""),504)</f>
        <v>504</v>
      </c>
      <c r="C513" t="str">
        <f ca="1">IFERROR(__xludf.DUMMYFUNCTION("""COMPUTED_VALUE"""),"Tapio Pulkkanen")</f>
        <v>Tapio Pulkkanen</v>
      </c>
      <c r="D513">
        <f ca="1">IFERROR(__xludf.DUMMYFUNCTION("""COMPUTED_VALUE"""),52)</f>
        <v>52</v>
      </c>
      <c r="E513">
        <f ca="1">IFERROR(__xludf.DUMMYFUNCTION("""COMPUTED_VALUE"""),0.29)</f>
        <v>0.28999999999999998</v>
      </c>
      <c r="F513">
        <f ca="1">IFERROR(__xludf.DUMMYFUNCTION("""COMPUTED_VALUE"""),14.94)</f>
        <v>14.94</v>
      </c>
      <c r="G513">
        <f ca="1">IFERROR(__xludf.DUMMYFUNCTION("""COMPUTED_VALUE"""),-14.23)</f>
        <v>-14.23</v>
      </c>
      <c r="H513">
        <f ca="1">IFERROR(__xludf.DUMMYFUNCTION("""COMPUTED_VALUE"""),5.81)</f>
        <v>5.81</v>
      </c>
      <c r="I513" t="str">
        <f ca="1">IFERROR(__xludf.DUMMYFUNCTION("""COMPUTED_VALUE"""),"")</f>
        <v/>
      </c>
    </row>
    <row r="514" spans="1:9" ht="12.75">
      <c r="A514">
        <f ca="1">IFERROR(__xludf.DUMMYFUNCTION("""COMPUTED_VALUE"""),512)</f>
        <v>512</v>
      </c>
      <c r="B514">
        <f ca="1">IFERROR(__xludf.DUMMYFUNCTION("""COMPUTED_VALUE"""),601)</f>
        <v>601</v>
      </c>
      <c r="C514" t="str">
        <f ca="1">IFERROR(__xludf.DUMMYFUNCTION("""COMPUTED_VALUE"""),"Dawie van der Walt")</f>
        <v>Dawie van der Walt</v>
      </c>
      <c r="D514">
        <f ca="1">IFERROR(__xludf.DUMMYFUNCTION("""COMPUTED_VALUE"""),50)</f>
        <v>50</v>
      </c>
      <c r="E514">
        <f ca="1">IFERROR(__xludf.DUMMYFUNCTION("""COMPUTED_VALUE"""),0.29)</f>
        <v>0.28999999999999998</v>
      </c>
      <c r="F514">
        <f ca="1">IFERROR(__xludf.DUMMYFUNCTION("""COMPUTED_VALUE"""),14.36)</f>
        <v>14.36</v>
      </c>
      <c r="G514">
        <f ca="1">IFERROR(__xludf.DUMMYFUNCTION("""COMPUTED_VALUE"""),-4.64)</f>
        <v>-4.6399999999999997</v>
      </c>
      <c r="H514">
        <f ca="1">IFERROR(__xludf.DUMMYFUNCTION("""COMPUTED_VALUE"""),9.98)</f>
        <v>9.98</v>
      </c>
      <c r="I514" t="str">
        <f ca="1">IFERROR(__xludf.DUMMYFUNCTION("""COMPUTED_VALUE"""),"")</f>
        <v/>
      </c>
    </row>
    <row r="515" spans="1:9" ht="12.75">
      <c r="A515">
        <f ca="1">IFERROR(__xludf.DUMMYFUNCTION("""COMPUTED_VALUE"""),514)</f>
        <v>514</v>
      </c>
      <c r="B515">
        <f ca="1">IFERROR(__xludf.DUMMYFUNCTION("""COMPUTED_VALUE"""),515)</f>
        <v>515</v>
      </c>
      <c r="C515" t="str">
        <f ca="1">IFERROR(__xludf.DUMMYFUNCTION("""COMPUTED_VALUE"""),"Shawn Stefani")</f>
        <v>Shawn Stefani</v>
      </c>
      <c r="D515">
        <f ca="1">IFERROR(__xludf.DUMMYFUNCTION("""COMPUTED_VALUE"""),48)</f>
        <v>48</v>
      </c>
      <c r="E515">
        <f ca="1">IFERROR(__xludf.DUMMYFUNCTION("""COMPUTED_VALUE"""),0.29)</f>
        <v>0.28999999999999998</v>
      </c>
      <c r="F515">
        <f ca="1">IFERROR(__xludf.DUMMYFUNCTION("""COMPUTED_VALUE"""),13.77)</f>
        <v>13.77</v>
      </c>
      <c r="G515">
        <f ca="1">IFERROR(__xludf.DUMMYFUNCTION("""COMPUTED_VALUE"""),-15.51)</f>
        <v>-15.51</v>
      </c>
      <c r="H515">
        <f ca="1">IFERROR(__xludf.DUMMYFUNCTION("""COMPUTED_VALUE"""),2.1)</f>
        <v>2.1</v>
      </c>
      <c r="I515" t="str">
        <f ca="1">IFERROR(__xludf.DUMMYFUNCTION("""COMPUTED_VALUE"""),"")</f>
        <v/>
      </c>
    </row>
    <row r="516" spans="1:9" ht="12.75">
      <c r="A516">
        <f ca="1">IFERROR(__xludf.DUMMYFUNCTION("""COMPUTED_VALUE"""),514)</f>
        <v>514</v>
      </c>
      <c r="B516">
        <f ca="1">IFERROR(__xludf.DUMMYFUNCTION("""COMPUTED_VALUE"""),512)</f>
        <v>512</v>
      </c>
      <c r="C516" t="str">
        <f ca="1">IFERROR(__xludf.DUMMYFUNCTION("""COMPUTED_VALUE"""),"Charlie Saxon")</f>
        <v>Charlie Saxon</v>
      </c>
      <c r="D516">
        <f ca="1">IFERROR(__xludf.DUMMYFUNCTION("""COMPUTED_VALUE"""),52)</f>
        <v>52</v>
      </c>
      <c r="E516">
        <f ca="1">IFERROR(__xludf.DUMMYFUNCTION("""COMPUTED_VALUE"""),0.29)</f>
        <v>0.28999999999999998</v>
      </c>
      <c r="F516">
        <f ca="1">IFERROR(__xludf.DUMMYFUNCTION("""COMPUTED_VALUE"""),14.92)</f>
        <v>14.92</v>
      </c>
      <c r="G516">
        <f ca="1">IFERROR(__xludf.DUMMYFUNCTION("""COMPUTED_VALUE"""),-11.16)</f>
        <v>-11.16</v>
      </c>
      <c r="H516">
        <f ca="1">IFERROR(__xludf.DUMMYFUNCTION("""COMPUTED_VALUE"""),10.27)</f>
        <v>10.27</v>
      </c>
      <c r="I516" t="str">
        <f ca="1">IFERROR(__xludf.DUMMYFUNCTION("""COMPUTED_VALUE"""),"")</f>
        <v/>
      </c>
    </row>
    <row r="517" spans="1:9" ht="12.75">
      <c r="A517">
        <f ca="1">IFERROR(__xludf.DUMMYFUNCTION("""COMPUTED_VALUE"""),516)</f>
        <v>516</v>
      </c>
      <c r="B517">
        <f ca="1">IFERROR(__xludf.DUMMYFUNCTION("""COMPUTED_VALUE"""),498)</f>
        <v>498</v>
      </c>
      <c r="C517" t="str">
        <f ca="1">IFERROR(__xludf.DUMMYFUNCTION("""COMPUTED_VALUE"""),"Oliver Fisher")</f>
        <v>Oliver Fisher</v>
      </c>
      <c r="D517">
        <f ca="1">IFERROR(__xludf.DUMMYFUNCTION("""COMPUTED_VALUE"""),52)</f>
        <v>52</v>
      </c>
      <c r="E517">
        <f ca="1">IFERROR(__xludf.DUMMYFUNCTION("""COMPUTED_VALUE"""),0.29)</f>
        <v>0.28999999999999998</v>
      </c>
      <c r="F517">
        <f ca="1">IFERROR(__xludf.DUMMYFUNCTION("""COMPUTED_VALUE"""),14.91)</f>
        <v>14.91</v>
      </c>
      <c r="G517">
        <f ca="1">IFERROR(__xludf.DUMMYFUNCTION("""COMPUTED_VALUE"""),-12.28)</f>
        <v>-12.28</v>
      </c>
      <c r="H517">
        <f ca="1">IFERROR(__xludf.DUMMYFUNCTION("""COMPUTED_VALUE"""),6.98)</f>
        <v>6.98</v>
      </c>
      <c r="I517" t="str">
        <f ca="1">IFERROR(__xludf.DUMMYFUNCTION("""COMPUTED_VALUE"""),"")</f>
        <v/>
      </c>
    </row>
    <row r="518" spans="1:9" ht="12.75">
      <c r="A518">
        <f ca="1">IFERROR(__xludf.DUMMYFUNCTION("""COMPUTED_VALUE"""),517)</f>
        <v>517</v>
      </c>
      <c r="B518">
        <f ca="1">IFERROR(__xludf.DUMMYFUNCTION("""COMPUTED_VALUE"""),511)</f>
        <v>511</v>
      </c>
      <c r="C518" t="str">
        <f ca="1">IFERROR(__xludf.DUMMYFUNCTION("""COMPUTED_VALUE"""),"Andres Romero")</f>
        <v>Andres Romero</v>
      </c>
      <c r="D518">
        <f ca="1">IFERROR(__xludf.DUMMYFUNCTION("""COMPUTED_VALUE"""),40)</f>
        <v>40</v>
      </c>
      <c r="E518">
        <f ca="1">IFERROR(__xludf.DUMMYFUNCTION("""COMPUTED_VALUE"""),0.29)</f>
        <v>0.28999999999999998</v>
      </c>
      <c r="F518">
        <f ca="1">IFERROR(__xludf.DUMMYFUNCTION("""COMPUTED_VALUE"""),11.41)</f>
        <v>11.41</v>
      </c>
      <c r="G518">
        <f ca="1">IFERROR(__xludf.DUMMYFUNCTION("""COMPUTED_VALUE"""),-10.05)</f>
        <v>-10.050000000000001</v>
      </c>
      <c r="H518">
        <f ca="1">IFERROR(__xludf.DUMMYFUNCTION("""COMPUTED_VALUE"""),0)</f>
        <v>0</v>
      </c>
      <c r="I518" t="str">
        <f ca="1">IFERROR(__xludf.DUMMYFUNCTION("""COMPUTED_VALUE"""),"")</f>
        <v/>
      </c>
    </row>
    <row r="519" spans="1:9" ht="12.75">
      <c r="A519">
        <f ca="1">IFERROR(__xludf.DUMMYFUNCTION("""COMPUTED_VALUE"""),518)</f>
        <v>518</v>
      </c>
      <c r="B519">
        <f ca="1">IFERROR(__xludf.DUMMYFUNCTION("""COMPUTED_VALUE"""),500)</f>
        <v>500</v>
      </c>
      <c r="C519" t="str">
        <f ca="1">IFERROR(__xludf.DUMMYFUNCTION("""COMPUTED_VALUE"""),"Yoshinori Fujimoto")</f>
        <v>Yoshinori Fujimoto</v>
      </c>
      <c r="D519">
        <f ca="1">IFERROR(__xludf.DUMMYFUNCTION("""COMPUTED_VALUE"""),40)</f>
        <v>40</v>
      </c>
      <c r="E519">
        <f ca="1">IFERROR(__xludf.DUMMYFUNCTION("""COMPUTED_VALUE"""),0.28)</f>
        <v>0.28000000000000003</v>
      </c>
      <c r="F519">
        <f ca="1">IFERROR(__xludf.DUMMYFUNCTION("""COMPUTED_VALUE"""),11.39)</f>
        <v>11.39</v>
      </c>
      <c r="G519">
        <f ca="1">IFERROR(__xludf.DUMMYFUNCTION("""COMPUTED_VALUE"""),-19.24)</f>
        <v>-19.239999999999998</v>
      </c>
      <c r="H519">
        <f ca="1">IFERROR(__xludf.DUMMYFUNCTION("""COMPUTED_VALUE"""),0)</f>
        <v>0</v>
      </c>
      <c r="I519" t="str">
        <f ca="1">IFERROR(__xludf.DUMMYFUNCTION("""COMPUTED_VALUE"""),"")</f>
        <v/>
      </c>
    </row>
    <row r="520" spans="1:9" ht="12.75">
      <c r="A520">
        <f ca="1">IFERROR(__xludf.DUMMYFUNCTION("""COMPUTED_VALUE"""),519)</f>
        <v>519</v>
      </c>
      <c r="B520">
        <f ca="1">IFERROR(__xludf.DUMMYFUNCTION("""COMPUTED_VALUE"""),514)</f>
        <v>514</v>
      </c>
      <c r="C520" t="str">
        <f ca="1">IFERROR(__xludf.DUMMYFUNCTION("""COMPUTED_VALUE"""),"Lars Van Meijel")</f>
        <v>Lars Van Meijel</v>
      </c>
      <c r="D520">
        <f ca="1">IFERROR(__xludf.DUMMYFUNCTION("""COMPUTED_VALUE"""),48)</f>
        <v>48</v>
      </c>
      <c r="E520">
        <f ca="1">IFERROR(__xludf.DUMMYFUNCTION("""COMPUTED_VALUE"""),0.28)</f>
        <v>0.28000000000000003</v>
      </c>
      <c r="F520">
        <f ca="1">IFERROR(__xludf.DUMMYFUNCTION("""COMPUTED_VALUE"""),13.66)</f>
        <v>13.66</v>
      </c>
      <c r="G520">
        <f ca="1">IFERROR(__xludf.DUMMYFUNCTION("""COMPUTED_VALUE"""),-9.06)</f>
        <v>-9.06</v>
      </c>
      <c r="H520">
        <f ca="1">IFERROR(__xludf.DUMMYFUNCTION("""COMPUTED_VALUE"""),0)</f>
        <v>0</v>
      </c>
      <c r="I520" t="str">
        <f ca="1">IFERROR(__xludf.DUMMYFUNCTION("""COMPUTED_VALUE"""),"")</f>
        <v/>
      </c>
    </row>
    <row r="521" spans="1:9" ht="12.75">
      <c r="A521">
        <f ca="1">IFERROR(__xludf.DUMMYFUNCTION("""COMPUTED_VALUE"""),520)</f>
        <v>520</v>
      </c>
      <c r="B521">
        <f ca="1">IFERROR(__xludf.DUMMYFUNCTION("""COMPUTED_VALUE"""),529)</f>
        <v>529</v>
      </c>
      <c r="C521" t="str">
        <f ca="1">IFERROR(__xludf.DUMMYFUNCTION("""COMPUTED_VALUE"""),"Vince India")</f>
        <v>Vince India</v>
      </c>
      <c r="D521">
        <f ca="1">IFERROR(__xludf.DUMMYFUNCTION("""COMPUTED_VALUE"""),48)</f>
        <v>48</v>
      </c>
      <c r="E521">
        <f ca="1">IFERROR(__xludf.DUMMYFUNCTION("""COMPUTED_VALUE"""),0.28)</f>
        <v>0.28000000000000003</v>
      </c>
      <c r="F521">
        <f ca="1">IFERROR(__xludf.DUMMYFUNCTION("""COMPUTED_VALUE"""),13.63)</f>
        <v>13.63</v>
      </c>
      <c r="G521">
        <f ca="1">IFERROR(__xludf.DUMMYFUNCTION("""COMPUTED_VALUE"""),-1.99)</f>
        <v>-1.99</v>
      </c>
      <c r="H521">
        <f ca="1">IFERROR(__xludf.DUMMYFUNCTION("""COMPUTED_VALUE"""),11.78)</f>
        <v>11.78</v>
      </c>
      <c r="I521" t="str">
        <f ca="1">IFERROR(__xludf.DUMMYFUNCTION("""COMPUTED_VALUE"""),"")</f>
        <v/>
      </c>
    </row>
    <row r="522" spans="1:9" ht="12.75">
      <c r="A522">
        <f ca="1">IFERROR(__xludf.DUMMYFUNCTION("""COMPUTED_VALUE"""),521)</f>
        <v>521</v>
      </c>
      <c r="B522">
        <f ca="1">IFERROR(__xludf.DUMMYFUNCTION("""COMPUTED_VALUE"""),515)</f>
        <v>515</v>
      </c>
      <c r="C522" t="str">
        <f ca="1">IFERROR(__xludf.DUMMYFUNCTION("""COMPUTED_VALUE"""),"Ockert Strydom")</f>
        <v>Ockert Strydom</v>
      </c>
      <c r="D522">
        <f ca="1">IFERROR(__xludf.DUMMYFUNCTION("""COMPUTED_VALUE"""),46)</f>
        <v>46</v>
      </c>
      <c r="E522">
        <f ca="1">IFERROR(__xludf.DUMMYFUNCTION("""COMPUTED_VALUE"""),0.28)</f>
        <v>0.28000000000000003</v>
      </c>
      <c r="F522">
        <f ca="1">IFERROR(__xludf.DUMMYFUNCTION("""COMPUTED_VALUE"""),13.06)</f>
        <v>13.06</v>
      </c>
      <c r="G522">
        <f ca="1">IFERROR(__xludf.DUMMYFUNCTION("""COMPUTED_VALUE"""),-8.37)</f>
        <v>-8.3699999999999992</v>
      </c>
      <c r="H522">
        <f ca="1">IFERROR(__xludf.DUMMYFUNCTION("""COMPUTED_VALUE"""),4.2)</f>
        <v>4.2</v>
      </c>
      <c r="I522" t="str">
        <f ca="1">IFERROR(__xludf.DUMMYFUNCTION("""COMPUTED_VALUE"""),"")</f>
        <v/>
      </c>
    </row>
    <row r="523" spans="1:9" ht="12.75">
      <c r="A523">
        <f ca="1">IFERROR(__xludf.DUMMYFUNCTION("""COMPUTED_VALUE"""),522)</f>
        <v>522</v>
      </c>
      <c r="B523">
        <f ca="1">IFERROR(__xludf.DUMMYFUNCTION("""COMPUTED_VALUE"""),518)</f>
        <v>518</v>
      </c>
      <c r="C523" t="str">
        <f ca="1">IFERROR(__xludf.DUMMYFUNCTION("""COMPUTED_VALUE"""),"Grayson Murray")</f>
        <v>Grayson Murray</v>
      </c>
      <c r="D523">
        <f ca="1">IFERROR(__xludf.DUMMYFUNCTION("""COMPUTED_VALUE"""),40)</f>
        <v>40</v>
      </c>
      <c r="E523">
        <f ca="1">IFERROR(__xludf.DUMMYFUNCTION("""COMPUTED_VALUE"""),0.28)</f>
        <v>0.28000000000000003</v>
      </c>
      <c r="F523">
        <f ca="1">IFERROR(__xludf.DUMMYFUNCTION("""COMPUTED_VALUE"""),11.34)</f>
        <v>11.34</v>
      </c>
      <c r="G523">
        <f ca="1">IFERROR(__xludf.DUMMYFUNCTION("""COMPUTED_VALUE"""),-9.48)</f>
        <v>-9.48</v>
      </c>
      <c r="H523">
        <f ca="1">IFERROR(__xludf.DUMMYFUNCTION("""COMPUTED_VALUE"""),5)</f>
        <v>5</v>
      </c>
      <c r="I523" t="str">
        <f ca="1">IFERROR(__xludf.DUMMYFUNCTION("""COMPUTED_VALUE"""),"")</f>
        <v/>
      </c>
    </row>
    <row r="524" spans="1:9" ht="12.75">
      <c r="A524">
        <f ca="1">IFERROR(__xludf.DUMMYFUNCTION("""COMPUTED_VALUE"""),523)</f>
        <v>523</v>
      </c>
      <c r="B524">
        <f ca="1">IFERROR(__xludf.DUMMYFUNCTION("""COMPUTED_VALUE"""),519)</f>
        <v>519</v>
      </c>
      <c r="C524" t="str">
        <f ca="1">IFERROR(__xludf.DUMMYFUNCTION("""COMPUTED_VALUE"""),"Daan Huizing")</f>
        <v>Daan Huizing</v>
      </c>
      <c r="D524">
        <f ca="1">IFERROR(__xludf.DUMMYFUNCTION("""COMPUTED_VALUE"""),48)</f>
        <v>48</v>
      </c>
      <c r="E524">
        <f ca="1">IFERROR(__xludf.DUMMYFUNCTION("""COMPUTED_VALUE"""),0.28)</f>
        <v>0.28000000000000003</v>
      </c>
      <c r="F524">
        <f ca="1">IFERROR(__xludf.DUMMYFUNCTION("""COMPUTED_VALUE"""),13.58)</f>
        <v>13.58</v>
      </c>
      <c r="G524">
        <f ca="1">IFERROR(__xludf.DUMMYFUNCTION("""COMPUTED_VALUE"""),-11.37)</f>
        <v>-11.37</v>
      </c>
      <c r="H524">
        <f ca="1">IFERROR(__xludf.DUMMYFUNCTION("""COMPUTED_VALUE"""),4.72)</f>
        <v>4.72</v>
      </c>
      <c r="I524" t="str">
        <f ca="1">IFERROR(__xludf.DUMMYFUNCTION("""COMPUTED_VALUE"""),"")</f>
        <v/>
      </c>
    </row>
    <row r="525" spans="1:9" ht="12.75">
      <c r="A525">
        <f ca="1">IFERROR(__xludf.DUMMYFUNCTION("""COMPUTED_VALUE"""),523)</f>
        <v>523</v>
      </c>
      <c r="B525">
        <f ca="1">IFERROR(__xludf.DUMMYFUNCTION("""COMPUTED_VALUE"""),522)</f>
        <v>522</v>
      </c>
      <c r="C525" t="str">
        <f ca="1">IFERROR(__xludf.DUMMYFUNCTION("""COMPUTED_VALUE"""),"Shad Tuten")</f>
        <v>Shad Tuten</v>
      </c>
      <c r="D525">
        <f ca="1">IFERROR(__xludf.DUMMYFUNCTION("""COMPUTED_VALUE"""),40)</f>
        <v>40</v>
      </c>
      <c r="E525">
        <f ca="1">IFERROR(__xludf.DUMMYFUNCTION("""COMPUTED_VALUE"""),0.28)</f>
        <v>0.28000000000000003</v>
      </c>
      <c r="F525">
        <f ca="1">IFERROR(__xludf.DUMMYFUNCTION("""COMPUTED_VALUE"""),11.32)</f>
        <v>11.32</v>
      </c>
      <c r="G525">
        <f ca="1">IFERROR(__xludf.DUMMYFUNCTION("""COMPUTED_VALUE"""),-2.84)</f>
        <v>-2.84</v>
      </c>
      <c r="H525">
        <f ca="1">IFERROR(__xludf.DUMMYFUNCTION("""COMPUTED_VALUE"""),8.22)</f>
        <v>8.2200000000000006</v>
      </c>
      <c r="I525" t="str">
        <f ca="1">IFERROR(__xludf.DUMMYFUNCTION("""COMPUTED_VALUE"""),"")</f>
        <v/>
      </c>
    </row>
    <row r="526" spans="1:9" ht="12.75">
      <c r="A526">
        <f ca="1">IFERROR(__xludf.DUMMYFUNCTION("""COMPUTED_VALUE"""),525)</f>
        <v>525</v>
      </c>
      <c r="B526">
        <f ca="1">IFERROR(__xludf.DUMMYFUNCTION("""COMPUTED_VALUE"""),510)</f>
        <v>510</v>
      </c>
      <c r="C526" t="str">
        <f ca="1">IFERROR(__xludf.DUMMYFUNCTION("""COMPUTED_VALUE"""),"Garrick Porteous")</f>
        <v>Garrick Porteous</v>
      </c>
      <c r="D526">
        <f ca="1">IFERROR(__xludf.DUMMYFUNCTION("""COMPUTED_VALUE"""),41)</f>
        <v>41</v>
      </c>
      <c r="E526">
        <f ca="1">IFERROR(__xludf.DUMMYFUNCTION("""COMPUTED_VALUE"""),0.28)</f>
        <v>0.28000000000000003</v>
      </c>
      <c r="F526">
        <f ca="1">IFERROR(__xludf.DUMMYFUNCTION("""COMPUTED_VALUE"""),11.57)</f>
        <v>11.57</v>
      </c>
      <c r="G526">
        <f ca="1">IFERROR(__xludf.DUMMYFUNCTION("""COMPUTED_VALUE"""),-3.45)</f>
        <v>-3.45</v>
      </c>
      <c r="H526">
        <f ca="1">IFERROR(__xludf.DUMMYFUNCTION("""COMPUTED_VALUE"""),7.8)</f>
        <v>7.8</v>
      </c>
      <c r="I526" t="str">
        <f ca="1">IFERROR(__xludf.DUMMYFUNCTION("""COMPUTED_VALUE"""),"")</f>
        <v/>
      </c>
    </row>
    <row r="527" spans="1:9" ht="12.75">
      <c r="A527">
        <f ca="1">IFERROR(__xludf.DUMMYFUNCTION("""COMPUTED_VALUE"""),526)</f>
        <v>526</v>
      </c>
      <c r="B527">
        <f ca="1">IFERROR(__xludf.DUMMYFUNCTION("""COMPUTED_VALUE"""),520)</f>
        <v>520</v>
      </c>
      <c r="C527" t="str">
        <f ca="1">IFERROR(__xludf.DUMMYFUNCTION("""COMPUTED_VALUE"""),"Jbe' Kruger")</f>
        <v>Jbe' Kruger</v>
      </c>
      <c r="D527">
        <f ca="1">IFERROR(__xludf.DUMMYFUNCTION("""COMPUTED_VALUE"""),52)</f>
        <v>52</v>
      </c>
      <c r="E527">
        <f ca="1">IFERROR(__xludf.DUMMYFUNCTION("""COMPUTED_VALUE"""),0.28)</f>
        <v>0.28000000000000003</v>
      </c>
      <c r="F527">
        <f ca="1">IFERROR(__xludf.DUMMYFUNCTION("""COMPUTED_VALUE"""),14.66)</f>
        <v>14.66</v>
      </c>
      <c r="G527">
        <f ca="1">IFERROR(__xludf.DUMMYFUNCTION("""COMPUTED_VALUE"""),-12.44)</f>
        <v>-12.44</v>
      </c>
      <c r="H527">
        <f ca="1">IFERROR(__xludf.DUMMYFUNCTION("""COMPUTED_VALUE"""),1.27)</f>
        <v>1.27</v>
      </c>
      <c r="I527" t="str">
        <f ca="1">IFERROR(__xludf.DUMMYFUNCTION("""COMPUTED_VALUE"""),"")</f>
        <v/>
      </c>
    </row>
    <row r="528" spans="1:9" ht="12.75">
      <c r="A528">
        <f ca="1">IFERROR(__xludf.DUMMYFUNCTION("""COMPUTED_VALUE"""),527)</f>
        <v>527</v>
      </c>
      <c r="B528">
        <f ca="1">IFERROR(__xludf.DUMMYFUNCTION("""COMPUTED_VALUE"""),521)</f>
        <v>521</v>
      </c>
      <c r="C528" t="str">
        <f ca="1">IFERROR(__xludf.DUMMYFUNCTION("""COMPUTED_VALUE"""),"Grégory Havret")</f>
        <v>Grégory Havret</v>
      </c>
      <c r="D528">
        <f ca="1">IFERROR(__xludf.DUMMYFUNCTION("""COMPUTED_VALUE"""),44)</f>
        <v>44</v>
      </c>
      <c r="E528">
        <f ca="1">IFERROR(__xludf.DUMMYFUNCTION("""COMPUTED_VALUE"""),0.28)</f>
        <v>0.28000000000000003</v>
      </c>
      <c r="F528">
        <f ca="1">IFERROR(__xludf.DUMMYFUNCTION("""COMPUTED_VALUE"""),12.36)</f>
        <v>12.36</v>
      </c>
      <c r="G528">
        <f ca="1">IFERROR(__xludf.DUMMYFUNCTION("""COMPUTED_VALUE"""),-9.92)</f>
        <v>-9.92</v>
      </c>
      <c r="H528">
        <f ca="1">IFERROR(__xludf.DUMMYFUNCTION("""COMPUTED_VALUE"""),1.35)</f>
        <v>1.35</v>
      </c>
      <c r="I528" t="str">
        <f ca="1">IFERROR(__xludf.DUMMYFUNCTION("""COMPUTED_VALUE"""),"")</f>
        <v/>
      </c>
    </row>
    <row r="529" spans="1:9" ht="12.75">
      <c r="A529">
        <f ca="1">IFERROR(__xludf.DUMMYFUNCTION("""COMPUTED_VALUE"""),528)</f>
        <v>528</v>
      </c>
      <c r="B529">
        <f ca="1">IFERROR(__xludf.DUMMYFUNCTION("""COMPUTED_VALUE"""),526)</f>
        <v>526</v>
      </c>
      <c r="C529" t="str">
        <f ca="1">IFERROR(__xludf.DUMMYFUNCTION("""COMPUTED_VALUE"""),"Alex Chiarella")</f>
        <v>Alex Chiarella</v>
      </c>
      <c r="D529">
        <f ca="1">IFERROR(__xludf.DUMMYFUNCTION("""COMPUTED_VALUE"""),40)</f>
        <v>40</v>
      </c>
      <c r="E529">
        <f ca="1">IFERROR(__xludf.DUMMYFUNCTION("""COMPUTED_VALUE"""),0.28)</f>
        <v>0.28000000000000003</v>
      </c>
      <c r="F529">
        <f ca="1">IFERROR(__xludf.DUMMYFUNCTION("""COMPUTED_VALUE"""),11.21)</f>
        <v>11.21</v>
      </c>
      <c r="G529">
        <f ca="1">IFERROR(__xludf.DUMMYFUNCTION("""COMPUTED_VALUE"""),-2.41)</f>
        <v>-2.41</v>
      </c>
      <c r="H529">
        <f ca="1">IFERROR(__xludf.DUMMYFUNCTION("""COMPUTED_VALUE"""),8.6)</f>
        <v>8.6</v>
      </c>
      <c r="I529" t="str">
        <f ca="1">IFERROR(__xludf.DUMMYFUNCTION("""COMPUTED_VALUE"""),"")</f>
        <v/>
      </c>
    </row>
    <row r="530" spans="1:9" ht="12.75">
      <c r="A530">
        <f ca="1">IFERROR(__xludf.DUMMYFUNCTION("""COMPUTED_VALUE"""),529)</f>
        <v>529</v>
      </c>
      <c r="B530">
        <f ca="1">IFERROR(__xludf.DUMMYFUNCTION("""COMPUTED_VALUE"""),527)</f>
        <v>527</v>
      </c>
      <c r="C530" t="str">
        <f ca="1">IFERROR(__xludf.DUMMYFUNCTION("""COMPUTED_VALUE"""),"Jeremy Freiburghaus")</f>
        <v>Jeremy Freiburghaus</v>
      </c>
      <c r="D530">
        <f ca="1">IFERROR(__xludf.DUMMYFUNCTION("""COMPUTED_VALUE"""),40)</f>
        <v>40</v>
      </c>
      <c r="E530">
        <f ca="1">IFERROR(__xludf.DUMMYFUNCTION("""COMPUTED_VALUE"""),0.28)</f>
        <v>0.28000000000000003</v>
      </c>
      <c r="F530">
        <f ca="1">IFERROR(__xludf.DUMMYFUNCTION("""COMPUTED_VALUE"""),11.19)</f>
        <v>11.19</v>
      </c>
      <c r="G530">
        <f ca="1">IFERROR(__xludf.DUMMYFUNCTION("""COMPUTED_VALUE"""),-0.49)</f>
        <v>-0.49</v>
      </c>
      <c r="H530">
        <f ca="1">IFERROR(__xludf.DUMMYFUNCTION("""COMPUTED_VALUE"""),11.68)</f>
        <v>11.68</v>
      </c>
      <c r="I530" t="str">
        <f ca="1">IFERROR(__xludf.DUMMYFUNCTION("""COMPUTED_VALUE"""),"")</f>
        <v/>
      </c>
    </row>
    <row r="531" spans="1:9" ht="12.75">
      <c r="A531">
        <f ca="1">IFERROR(__xludf.DUMMYFUNCTION("""COMPUTED_VALUE"""),530)</f>
        <v>530</v>
      </c>
      <c r="B531">
        <f ca="1">IFERROR(__xludf.DUMMYFUNCTION("""COMPUTED_VALUE"""),525)</f>
        <v>525</v>
      </c>
      <c r="C531" t="str">
        <f ca="1">IFERROR(__xludf.DUMMYFUNCTION("""COMPUTED_VALUE"""),"Ryan Ruffels")</f>
        <v>Ryan Ruffels</v>
      </c>
      <c r="D531">
        <f ca="1">IFERROR(__xludf.DUMMYFUNCTION("""COMPUTED_VALUE"""),46)</f>
        <v>46</v>
      </c>
      <c r="E531">
        <f ca="1">IFERROR(__xludf.DUMMYFUNCTION("""COMPUTED_VALUE"""),0.28)</f>
        <v>0.28000000000000003</v>
      </c>
      <c r="F531">
        <f ca="1">IFERROR(__xludf.DUMMYFUNCTION("""COMPUTED_VALUE"""),12.82)</f>
        <v>12.82</v>
      </c>
      <c r="G531">
        <f ca="1">IFERROR(__xludf.DUMMYFUNCTION("""COMPUTED_VALUE"""),-5.08)</f>
        <v>-5.08</v>
      </c>
      <c r="H531">
        <f ca="1">IFERROR(__xludf.DUMMYFUNCTION("""COMPUTED_VALUE"""),7.66)</f>
        <v>7.66</v>
      </c>
      <c r="I531" t="str">
        <f ca="1">IFERROR(__xludf.DUMMYFUNCTION("""COMPUTED_VALUE"""),"")</f>
        <v/>
      </c>
    </row>
    <row r="532" spans="1:9" ht="12.75">
      <c r="A532">
        <f ca="1">IFERROR(__xludf.DUMMYFUNCTION("""COMPUTED_VALUE"""),531)</f>
        <v>531</v>
      </c>
      <c r="B532">
        <f ca="1">IFERROR(__xludf.DUMMYFUNCTION("""COMPUTED_VALUE"""),528)</f>
        <v>528</v>
      </c>
      <c r="C532" t="str">
        <f ca="1">IFERROR(__xludf.DUMMYFUNCTION("""COMPUTED_VALUE"""),"Merrick Bremner")</f>
        <v>Merrick Bremner</v>
      </c>
      <c r="D532">
        <f ca="1">IFERROR(__xludf.DUMMYFUNCTION("""COMPUTED_VALUE"""),44)</f>
        <v>44</v>
      </c>
      <c r="E532">
        <f ca="1">IFERROR(__xludf.DUMMYFUNCTION("""COMPUTED_VALUE"""),0.28)</f>
        <v>0.28000000000000003</v>
      </c>
      <c r="F532">
        <f ca="1">IFERROR(__xludf.DUMMYFUNCTION("""COMPUTED_VALUE"""),12.18)</f>
        <v>12.18</v>
      </c>
      <c r="G532">
        <f ca="1">IFERROR(__xludf.DUMMYFUNCTION("""COMPUTED_VALUE"""),-8.94)</f>
        <v>-8.94</v>
      </c>
      <c r="H532">
        <f ca="1">IFERROR(__xludf.DUMMYFUNCTION("""COMPUTED_VALUE"""),5.28)</f>
        <v>5.28</v>
      </c>
      <c r="I532" t="str">
        <f ca="1">IFERROR(__xludf.DUMMYFUNCTION("""COMPUTED_VALUE"""),"")</f>
        <v/>
      </c>
    </row>
    <row r="533" spans="1:9" ht="12.75">
      <c r="A533">
        <f ca="1">IFERROR(__xludf.DUMMYFUNCTION("""COMPUTED_VALUE"""),531)</f>
        <v>531</v>
      </c>
      <c r="B533">
        <f ca="1">IFERROR(__xludf.DUMMYFUNCTION("""COMPUTED_VALUE"""),529)</f>
        <v>529</v>
      </c>
      <c r="C533" t="str">
        <f ca="1">IFERROR(__xludf.DUMMYFUNCTION("""COMPUTED_VALUE"""),"Taihei Sato")</f>
        <v>Taihei Sato</v>
      </c>
      <c r="D533">
        <f ca="1">IFERROR(__xludf.DUMMYFUNCTION("""COMPUTED_VALUE"""),40)</f>
        <v>40</v>
      </c>
      <c r="E533">
        <f ca="1">IFERROR(__xludf.DUMMYFUNCTION("""COMPUTED_VALUE"""),0.28)</f>
        <v>0.28000000000000003</v>
      </c>
      <c r="F533">
        <f ca="1">IFERROR(__xludf.DUMMYFUNCTION("""COMPUTED_VALUE"""),11.08)</f>
        <v>11.08</v>
      </c>
      <c r="G533">
        <f ca="1">IFERROR(__xludf.DUMMYFUNCTION("""COMPUTED_VALUE"""),-5.54)</f>
        <v>-5.54</v>
      </c>
      <c r="H533">
        <f ca="1">IFERROR(__xludf.DUMMYFUNCTION("""COMPUTED_VALUE"""),5.6)</f>
        <v>5.6</v>
      </c>
      <c r="I533" t="str">
        <f ca="1">IFERROR(__xludf.DUMMYFUNCTION("""COMPUTED_VALUE"""),"")</f>
        <v/>
      </c>
    </row>
    <row r="534" spans="1:9" ht="12.75">
      <c r="A534">
        <f ca="1">IFERROR(__xludf.DUMMYFUNCTION("""COMPUTED_VALUE"""),533)</f>
        <v>533</v>
      </c>
      <c r="B534">
        <f ca="1">IFERROR(__xludf.DUMMYFUNCTION("""COMPUTED_VALUE"""),538)</f>
        <v>538</v>
      </c>
      <c r="C534" t="str">
        <f ca="1">IFERROR(__xludf.DUMMYFUNCTION("""COMPUTED_VALUE"""),"Anders Albertson")</f>
        <v>Anders Albertson</v>
      </c>
      <c r="D534">
        <f ca="1">IFERROR(__xludf.DUMMYFUNCTION("""COMPUTED_VALUE"""),49)</f>
        <v>49</v>
      </c>
      <c r="E534">
        <f ca="1">IFERROR(__xludf.DUMMYFUNCTION("""COMPUTED_VALUE"""),0.28)</f>
        <v>0.28000000000000003</v>
      </c>
      <c r="F534">
        <f ca="1">IFERROR(__xludf.DUMMYFUNCTION("""COMPUTED_VALUE"""),13.5)</f>
        <v>13.5</v>
      </c>
      <c r="G534">
        <f ca="1">IFERROR(__xludf.DUMMYFUNCTION("""COMPUTED_VALUE"""),-13.82)</f>
        <v>-13.82</v>
      </c>
      <c r="H534">
        <f ca="1">IFERROR(__xludf.DUMMYFUNCTION("""COMPUTED_VALUE"""),10.92)</f>
        <v>10.92</v>
      </c>
      <c r="I534" t="str">
        <f ca="1">IFERROR(__xludf.DUMMYFUNCTION("""COMPUTED_VALUE"""),"")</f>
        <v/>
      </c>
    </row>
    <row r="535" spans="1:9" ht="12.75">
      <c r="A535">
        <f ca="1">IFERROR(__xludf.DUMMYFUNCTION("""COMPUTED_VALUE"""),534)</f>
        <v>534</v>
      </c>
      <c r="B535">
        <f ca="1">IFERROR(__xludf.DUMMYFUNCTION("""COMPUTED_VALUE"""),532)</f>
        <v>532</v>
      </c>
      <c r="C535" t="str">
        <f ca="1">IFERROR(__xludf.DUMMYFUNCTION("""COMPUTED_VALUE"""),"Matthew Baldwin")</f>
        <v>Matthew Baldwin</v>
      </c>
      <c r="D535">
        <f ca="1">IFERROR(__xludf.DUMMYFUNCTION("""COMPUTED_VALUE"""),51)</f>
        <v>51</v>
      </c>
      <c r="E535">
        <f ca="1">IFERROR(__xludf.DUMMYFUNCTION("""COMPUTED_VALUE"""),0.27)</f>
        <v>0.27</v>
      </c>
      <c r="F535">
        <f ca="1">IFERROR(__xludf.DUMMYFUNCTION("""COMPUTED_VALUE"""),14.01)</f>
        <v>14.01</v>
      </c>
      <c r="G535">
        <f ca="1">IFERROR(__xludf.DUMMYFUNCTION("""COMPUTED_VALUE"""),-8.19)</f>
        <v>-8.19</v>
      </c>
      <c r="H535">
        <f ca="1">IFERROR(__xludf.DUMMYFUNCTION("""COMPUTED_VALUE"""),7.09)</f>
        <v>7.09</v>
      </c>
      <c r="I535" t="str">
        <f ca="1">IFERROR(__xludf.DUMMYFUNCTION("""COMPUTED_VALUE"""),"")</f>
        <v/>
      </c>
    </row>
    <row r="536" spans="1:9" ht="12.75">
      <c r="A536">
        <f ca="1">IFERROR(__xludf.DUMMYFUNCTION("""COMPUTED_VALUE"""),535)</f>
        <v>535</v>
      </c>
      <c r="B536">
        <f ca="1">IFERROR(__xludf.DUMMYFUNCTION("""COMPUTED_VALUE"""),533)</f>
        <v>533</v>
      </c>
      <c r="C536" t="str">
        <f ca="1">IFERROR(__xludf.DUMMYFUNCTION("""COMPUTED_VALUE"""),"Keith Horne")</f>
        <v>Keith Horne</v>
      </c>
      <c r="D536">
        <f ca="1">IFERROR(__xludf.DUMMYFUNCTION("""COMPUTED_VALUE"""),51)</f>
        <v>51</v>
      </c>
      <c r="E536">
        <f ca="1">IFERROR(__xludf.DUMMYFUNCTION("""COMPUTED_VALUE"""),0.27)</f>
        <v>0.27</v>
      </c>
      <c r="F536">
        <f ca="1">IFERROR(__xludf.DUMMYFUNCTION("""COMPUTED_VALUE"""),14.01)</f>
        <v>14.01</v>
      </c>
      <c r="G536">
        <f ca="1">IFERROR(__xludf.DUMMYFUNCTION("""COMPUTED_VALUE"""),-8.11)</f>
        <v>-8.11</v>
      </c>
      <c r="H536">
        <f ca="1">IFERROR(__xludf.DUMMYFUNCTION("""COMPUTED_VALUE"""),7.96)</f>
        <v>7.96</v>
      </c>
      <c r="I536" t="str">
        <f ca="1">IFERROR(__xludf.DUMMYFUNCTION("""COMPUTED_VALUE"""),"")</f>
        <v/>
      </c>
    </row>
    <row r="537" spans="1:9" ht="12.75">
      <c r="A537">
        <f ca="1">IFERROR(__xludf.DUMMYFUNCTION("""COMPUTED_VALUE"""),536)</f>
        <v>536</v>
      </c>
      <c r="B537">
        <f ca="1">IFERROR(__xludf.DUMMYFUNCTION("""COMPUTED_VALUE"""),534)</f>
        <v>534</v>
      </c>
      <c r="C537" t="str">
        <f ca="1">IFERROR(__xludf.DUMMYFUNCTION("""COMPUTED_VALUE"""),"Veer Ahlawat")</f>
        <v>Veer Ahlawat</v>
      </c>
      <c r="D537">
        <f ca="1">IFERROR(__xludf.DUMMYFUNCTION("""COMPUTED_VALUE"""),40)</f>
        <v>40</v>
      </c>
      <c r="E537">
        <f ca="1">IFERROR(__xludf.DUMMYFUNCTION("""COMPUTED_VALUE"""),0.27)</f>
        <v>0.27</v>
      </c>
      <c r="F537">
        <f ca="1">IFERROR(__xludf.DUMMYFUNCTION("""COMPUTED_VALUE"""),10.92)</f>
        <v>10.92</v>
      </c>
      <c r="G537">
        <f ca="1">IFERROR(__xludf.DUMMYFUNCTION("""COMPUTED_VALUE"""),-4.31)</f>
        <v>-4.3099999999999996</v>
      </c>
      <c r="H537">
        <f ca="1">IFERROR(__xludf.DUMMYFUNCTION("""COMPUTED_VALUE"""),5.1)</f>
        <v>5.0999999999999996</v>
      </c>
      <c r="I537" t="str">
        <f ca="1">IFERROR(__xludf.DUMMYFUNCTION("""COMPUTED_VALUE"""),"")</f>
        <v/>
      </c>
    </row>
    <row r="538" spans="1:9" ht="12.75">
      <c r="A538">
        <f ca="1">IFERROR(__xludf.DUMMYFUNCTION("""COMPUTED_VALUE"""),537)</f>
        <v>537</v>
      </c>
      <c r="B538">
        <f ca="1">IFERROR(__xludf.DUMMYFUNCTION("""COMPUTED_VALUE"""),543)</f>
        <v>543</v>
      </c>
      <c r="C538" t="str">
        <f ca="1">IFERROR(__xludf.DUMMYFUNCTION("""COMPUTED_VALUE"""),"Jaco Van Zyl")</f>
        <v>Jaco Van Zyl</v>
      </c>
      <c r="D538">
        <f ca="1">IFERROR(__xludf.DUMMYFUNCTION("""COMPUTED_VALUE"""),44)</f>
        <v>44</v>
      </c>
      <c r="E538">
        <f ca="1">IFERROR(__xludf.DUMMYFUNCTION("""COMPUTED_VALUE"""),0.27)</f>
        <v>0.27</v>
      </c>
      <c r="F538">
        <f ca="1">IFERROR(__xludf.DUMMYFUNCTION("""COMPUTED_VALUE"""),11.96)</f>
        <v>11.96</v>
      </c>
      <c r="G538">
        <f ca="1">IFERROR(__xludf.DUMMYFUNCTION("""COMPUTED_VALUE"""),-6.25)</f>
        <v>-6.25</v>
      </c>
      <c r="H538">
        <f ca="1">IFERROR(__xludf.DUMMYFUNCTION("""COMPUTED_VALUE"""),5.28)</f>
        <v>5.28</v>
      </c>
      <c r="I538" t="str">
        <f ca="1">IFERROR(__xludf.DUMMYFUNCTION("""COMPUTED_VALUE"""),"")</f>
        <v/>
      </c>
    </row>
    <row r="539" spans="1:9" ht="12.75">
      <c r="A539">
        <f ca="1">IFERROR(__xludf.DUMMYFUNCTION("""COMPUTED_VALUE"""),538)</f>
        <v>538</v>
      </c>
      <c r="B539">
        <f ca="1">IFERROR(__xludf.DUMMYFUNCTION("""COMPUTED_VALUE"""),536)</f>
        <v>536</v>
      </c>
      <c r="C539" t="str">
        <f ca="1">IFERROR(__xludf.DUMMYFUNCTION("""COMPUTED_VALUE"""),"Sarit Suwannarut")</f>
        <v>Sarit Suwannarut</v>
      </c>
      <c r="D539">
        <f ca="1">IFERROR(__xludf.DUMMYFUNCTION("""COMPUTED_VALUE"""),40)</f>
        <v>40</v>
      </c>
      <c r="E539">
        <f ca="1">IFERROR(__xludf.DUMMYFUNCTION("""COMPUTED_VALUE"""),0.27)</f>
        <v>0.27</v>
      </c>
      <c r="F539">
        <f ca="1">IFERROR(__xludf.DUMMYFUNCTION("""COMPUTED_VALUE"""),10.86)</f>
        <v>10.86</v>
      </c>
      <c r="G539">
        <f ca="1">IFERROR(__xludf.DUMMYFUNCTION("""COMPUTED_VALUE"""),-7.55)</f>
        <v>-7.55</v>
      </c>
      <c r="H539">
        <f ca="1">IFERROR(__xludf.DUMMYFUNCTION("""COMPUTED_VALUE"""),4.49)</f>
        <v>4.49</v>
      </c>
      <c r="I539" t="str">
        <f ca="1">IFERROR(__xludf.DUMMYFUNCTION("""COMPUTED_VALUE"""),"")</f>
        <v/>
      </c>
    </row>
    <row r="540" spans="1:9" ht="12.75">
      <c r="A540">
        <f ca="1">IFERROR(__xludf.DUMMYFUNCTION("""COMPUTED_VALUE"""),539)</f>
        <v>539</v>
      </c>
      <c r="B540">
        <f ca="1">IFERROR(__xludf.DUMMYFUNCTION("""COMPUTED_VALUE"""),531)</f>
        <v>531</v>
      </c>
      <c r="C540" t="str">
        <f ca="1">IFERROR(__xludf.DUMMYFUNCTION("""COMPUTED_VALUE"""),"Y.E. Yang")</f>
        <v>Y.E. Yang</v>
      </c>
      <c r="D540">
        <f ca="1">IFERROR(__xludf.DUMMYFUNCTION("""COMPUTED_VALUE"""),49)</f>
        <v>49</v>
      </c>
      <c r="E540">
        <f ca="1">IFERROR(__xludf.DUMMYFUNCTION("""COMPUTED_VALUE"""),0.27)</f>
        <v>0.27</v>
      </c>
      <c r="F540">
        <f ca="1">IFERROR(__xludf.DUMMYFUNCTION("""COMPUTED_VALUE"""),13.27)</f>
        <v>13.27</v>
      </c>
      <c r="G540">
        <f ca="1">IFERROR(__xludf.DUMMYFUNCTION("""COMPUTED_VALUE"""),-17.32)</f>
        <v>-17.32</v>
      </c>
      <c r="H540">
        <f ca="1">IFERROR(__xludf.DUMMYFUNCTION("""COMPUTED_VALUE"""),1.31)</f>
        <v>1.31</v>
      </c>
      <c r="I540" t="str">
        <f ca="1">IFERROR(__xludf.DUMMYFUNCTION("""COMPUTED_VALUE"""),"")</f>
        <v/>
      </c>
    </row>
    <row r="541" spans="1:9" ht="12.75">
      <c r="A541">
        <f ca="1">IFERROR(__xludf.DUMMYFUNCTION("""COMPUTED_VALUE"""),540)</f>
        <v>540</v>
      </c>
      <c r="B541">
        <f ca="1">IFERROR(__xludf.DUMMYFUNCTION("""COMPUTED_VALUE"""),540)</f>
        <v>540</v>
      </c>
      <c r="C541" t="str">
        <f ca="1">IFERROR(__xludf.DUMMYFUNCTION("""COMPUTED_VALUE"""),"Chandler Blanchet")</f>
        <v>Chandler Blanchet</v>
      </c>
      <c r="D541">
        <f ca="1">IFERROR(__xludf.DUMMYFUNCTION("""COMPUTED_VALUE"""),40)</f>
        <v>40</v>
      </c>
      <c r="E541">
        <f ca="1">IFERROR(__xludf.DUMMYFUNCTION("""COMPUTED_VALUE"""),0.27)</f>
        <v>0.27</v>
      </c>
      <c r="F541">
        <f ca="1">IFERROR(__xludf.DUMMYFUNCTION("""COMPUTED_VALUE"""),10.78)</f>
        <v>10.78</v>
      </c>
      <c r="G541">
        <f ca="1">IFERROR(__xludf.DUMMYFUNCTION("""COMPUTED_VALUE"""),-2.73)</f>
        <v>-2.73</v>
      </c>
      <c r="H541">
        <f ca="1">IFERROR(__xludf.DUMMYFUNCTION("""COMPUTED_VALUE"""),7.65)</f>
        <v>7.65</v>
      </c>
      <c r="I541" t="str">
        <f ca="1">IFERROR(__xludf.DUMMYFUNCTION("""COMPUTED_VALUE"""),"")</f>
        <v/>
      </c>
    </row>
    <row r="542" spans="1:9" ht="12.75">
      <c r="A542">
        <f ca="1">IFERROR(__xludf.DUMMYFUNCTION("""COMPUTED_VALUE"""),541)</f>
        <v>541</v>
      </c>
      <c r="B542">
        <f ca="1">IFERROR(__xludf.DUMMYFUNCTION("""COMPUTED_VALUE"""),542)</f>
        <v>542</v>
      </c>
      <c r="C542" t="str">
        <f ca="1">IFERROR(__xludf.DUMMYFUNCTION("""COMPUTED_VALUE"""),"Itthipat Buranatanya")</f>
        <v>Itthipat Buranatanya</v>
      </c>
      <c r="D542">
        <f ca="1">IFERROR(__xludf.DUMMYFUNCTION("""COMPUTED_VALUE"""),43)</f>
        <v>43</v>
      </c>
      <c r="E542">
        <f ca="1">IFERROR(__xludf.DUMMYFUNCTION("""COMPUTED_VALUE"""),0.27)</f>
        <v>0.27</v>
      </c>
      <c r="F542">
        <f ca="1">IFERROR(__xludf.DUMMYFUNCTION("""COMPUTED_VALUE"""),11.58)</f>
        <v>11.58</v>
      </c>
      <c r="G542">
        <f ca="1">IFERROR(__xludf.DUMMYFUNCTION("""COMPUTED_VALUE"""),-10.32)</f>
        <v>-10.32</v>
      </c>
      <c r="H542">
        <f ca="1">IFERROR(__xludf.DUMMYFUNCTION("""COMPUTED_VALUE"""),3.98)</f>
        <v>3.98</v>
      </c>
      <c r="I542" t="str">
        <f ca="1">IFERROR(__xludf.DUMMYFUNCTION("""COMPUTED_VALUE"""),"")</f>
        <v/>
      </c>
    </row>
    <row r="543" spans="1:9" ht="12.75">
      <c r="A543">
        <f ca="1">IFERROR(__xludf.DUMMYFUNCTION("""COMPUTED_VALUE"""),542)</f>
        <v>542</v>
      </c>
      <c r="B543">
        <f ca="1">IFERROR(__xludf.DUMMYFUNCTION("""COMPUTED_VALUE"""),537)</f>
        <v>537</v>
      </c>
      <c r="C543" t="str">
        <f ca="1">IFERROR(__xludf.DUMMYFUNCTION("""COMPUTED_VALUE"""),"Clément Sordet")</f>
        <v>Clément Sordet</v>
      </c>
      <c r="D543">
        <f ca="1">IFERROR(__xludf.DUMMYFUNCTION("""COMPUTED_VALUE"""),48)</f>
        <v>48</v>
      </c>
      <c r="E543">
        <f ca="1">IFERROR(__xludf.DUMMYFUNCTION("""COMPUTED_VALUE"""),0.27)</f>
        <v>0.27</v>
      </c>
      <c r="F543">
        <f ca="1">IFERROR(__xludf.DUMMYFUNCTION("""COMPUTED_VALUE"""),12.89)</f>
        <v>12.89</v>
      </c>
      <c r="G543">
        <f ca="1">IFERROR(__xludf.DUMMYFUNCTION("""COMPUTED_VALUE"""),-10.3)</f>
        <v>-10.3</v>
      </c>
      <c r="H543">
        <f ca="1">IFERROR(__xludf.DUMMYFUNCTION("""COMPUTED_VALUE"""),7.25)</f>
        <v>7.25</v>
      </c>
      <c r="I543" t="str">
        <f ca="1">IFERROR(__xludf.DUMMYFUNCTION("""COMPUTED_VALUE"""),"")</f>
        <v/>
      </c>
    </row>
    <row r="544" spans="1:9" ht="12.75">
      <c r="A544">
        <f ca="1">IFERROR(__xludf.DUMMYFUNCTION("""COMPUTED_VALUE"""),543)</f>
        <v>543</v>
      </c>
      <c r="B544">
        <f ca="1">IFERROR(__xludf.DUMMYFUNCTION("""COMPUTED_VALUE"""),535)</f>
        <v>535</v>
      </c>
      <c r="C544" t="str">
        <f ca="1">IFERROR(__xludf.DUMMYFUNCTION("""COMPUTED_VALUE"""),"Hyungjoon Lee")</f>
        <v>Hyungjoon Lee</v>
      </c>
      <c r="D544">
        <f ca="1">IFERROR(__xludf.DUMMYFUNCTION("""COMPUTED_VALUE"""),40)</f>
        <v>40</v>
      </c>
      <c r="E544">
        <f ca="1">IFERROR(__xludf.DUMMYFUNCTION("""COMPUTED_VALUE"""),0.27)</f>
        <v>0.27</v>
      </c>
      <c r="F544">
        <f ca="1">IFERROR(__xludf.DUMMYFUNCTION("""COMPUTED_VALUE"""),10.71)</f>
        <v>10.71</v>
      </c>
      <c r="G544">
        <f ca="1">IFERROR(__xludf.DUMMYFUNCTION("""COMPUTED_VALUE"""),-14.33)</f>
        <v>-14.33</v>
      </c>
      <c r="H544">
        <f ca="1">IFERROR(__xludf.DUMMYFUNCTION("""COMPUTED_VALUE"""),0)</f>
        <v>0</v>
      </c>
      <c r="I544" t="str">
        <f ca="1">IFERROR(__xludf.DUMMYFUNCTION("""COMPUTED_VALUE"""),"")</f>
        <v/>
      </c>
    </row>
    <row r="545" spans="1:9" ht="12.75">
      <c r="A545">
        <f ca="1">IFERROR(__xludf.DUMMYFUNCTION("""COMPUTED_VALUE"""),543)</f>
        <v>543</v>
      </c>
      <c r="B545">
        <f ca="1">IFERROR(__xludf.DUMMYFUNCTION("""COMPUTED_VALUE"""),545)</f>
        <v>545</v>
      </c>
      <c r="C545" t="str">
        <f ca="1">IFERROR(__xludf.DUMMYFUNCTION("""COMPUTED_VALUE"""),"Wesley Bryan")</f>
        <v>Wesley Bryan</v>
      </c>
      <c r="D545">
        <f ca="1">IFERROR(__xludf.DUMMYFUNCTION("""COMPUTED_VALUE"""),40)</f>
        <v>40</v>
      </c>
      <c r="E545">
        <f ca="1">IFERROR(__xludf.DUMMYFUNCTION("""COMPUTED_VALUE"""),0.27)</f>
        <v>0.27</v>
      </c>
      <c r="F545">
        <f ca="1">IFERROR(__xludf.DUMMYFUNCTION("""COMPUTED_VALUE"""),10.71)</f>
        <v>10.71</v>
      </c>
      <c r="G545">
        <f ca="1">IFERROR(__xludf.DUMMYFUNCTION("""COMPUTED_VALUE"""),-2.87)</f>
        <v>-2.87</v>
      </c>
      <c r="H545">
        <f ca="1">IFERROR(__xludf.DUMMYFUNCTION("""COMPUTED_VALUE"""),11.14)</f>
        <v>11.14</v>
      </c>
      <c r="I545" t="str">
        <f ca="1">IFERROR(__xludf.DUMMYFUNCTION("""COMPUTED_VALUE"""),"")</f>
        <v/>
      </c>
    </row>
    <row r="546" spans="1:9" ht="12.75">
      <c r="A546">
        <f ca="1">IFERROR(__xludf.DUMMYFUNCTION("""COMPUTED_VALUE"""),545)</f>
        <v>545</v>
      </c>
      <c r="B546">
        <f ca="1">IFERROR(__xludf.DUMMYFUNCTION("""COMPUTED_VALUE"""),567)</f>
        <v>567</v>
      </c>
      <c r="C546" t="str">
        <f ca="1">IFERROR(__xludf.DUMMYFUNCTION("""COMPUTED_VALUE"""),"Keenan Davidse")</f>
        <v>Keenan Davidse</v>
      </c>
      <c r="D546">
        <f ca="1">IFERROR(__xludf.DUMMYFUNCTION("""COMPUTED_VALUE"""),45)</f>
        <v>45</v>
      </c>
      <c r="E546">
        <f ca="1">IFERROR(__xludf.DUMMYFUNCTION("""COMPUTED_VALUE"""),0.27)</f>
        <v>0.27</v>
      </c>
      <c r="F546">
        <f ca="1">IFERROR(__xludf.DUMMYFUNCTION("""COMPUTED_VALUE"""),12.05)</f>
        <v>12.05</v>
      </c>
      <c r="G546">
        <f ca="1">IFERROR(__xludf.DUMMYFUNCTION("""COMPUTED_VALUE"""),-5.68)</f>
        <v>-5.68</v>
      </c>
      <c r="H546">
        <f ca="1">IFERROR(__xludf.DUMMYFUNCTION("""COMPUTED_VALUE"""),7.2)</f>
        <v>7.2</v>
      </c>
      <c r="I546" t="str">
        <f ca="1">IFERROR(__xludf.DUMMYFUNCTION("""COMPUTED_VALUE"""),"")</f>
        <v/>
      </c>
    </row>
    <row r="547" spans="1:9" ht="12.75">
      <c r="A547">
        <f ca="1">IFERROR(__xludf.DUMMYFUNCTION("""COMPUTED_VALUE"""),546)</f>
        <v>546</v>
      </c>
      <c r="B547">
        <f ca="1">IFERROR(__xludf.DUMMYFUNCTION("""COMPUTED_VALUE"""),539)</f>
        <v>539</v>
      </c>
      <c r="C547" t="str">
        <f ca="1">IFERROR(__xludf.DUMMYFUNCTION("""COMPUTED_VALUE"""),"Oliver Wilson")</f>
        <v>Oliver Wilson</v>
      </c>
      <c r="D547">
        <f ca="1">IFERROR(__xludf.DUMMYFUNCTION("""COMPUTED_VALUE"""),51)</f>
        <v>51</v>
      </c>
      <c r="E547">
        <f ca="1">IFERROR(__xludf.DUMMYFUNCTION("""COMPUTED_VALUE"""),0.26)</f>
        <v>0.26</v>
      </c>
      <c r="F547">
        <f ca="1">IFERROR(__xludf.DUMMYFUNCTION("""COMPUTED_VALUE"""),13.48)</f>
        <v>13.48</v>
      </c>
      <c r="G547">
        <f ca="1">IFERROR(__xludf.DUMMYFUNCTION("""COMPUTED_VALUE"""),-22.63)</f>
        <v>-22.63</v>
      </c>
      <c r="H547">
        <f ca="1">IFERROR(__xludf.DUMMYFUNCTION("""COMPUTED_VALUE"""),0)</f>
        <v>0</v>
      </c>
      <c r="I547" t="str">
        <f ca="1">IFERROR(__xludf.DUMMYFUNCTION("""COMPUTED_VALUE"""),"")</f>
        <v/>
      </c>
    </row>
    <row r="548" spans="1:9" ht="12.75">
      <c r="A548">
        <f ca="1">IFERROR(__xludf.DUMMYFUNCTION("""COMPUTED_VALUE"""),547)</f>
        <v>547</v>
      </c>
      <c r="B548">
        <f ca="1">IFERROR(__xludf.DUMMYFUNCTION("""COMPUTED_VALUE"""),544)</f>
        <v>544</v>
      </c>
      <c r="C548" t="str">
        <f ca="1">IFERROR(__xludf.DUMMYFUNCTION("""COMPUTED_VALUE"""),"Danthai Boonma")</f>
        <v>Danthai Boonma</v>
      </c>
      <c r="D548">
        <f ca="1">IFERROR(__xludf.DUMMYFUNCTION("""COMPUTED_VALUE"""),52)</f>
        <v>52</v>
      </c>
      <c r="E548">
        <f ca="1">IFERROR(__xludf.DUMMYFUNCTION("""COMPUTED_VALUE"""),0.26)</f>
        <v>0.26</v>
      </c>
      <c r="F548">
        <f ca="1">IFERROR(__xludf.DUMMYFUNCTION("""COMPUTED_VALUE"""),13.74)</f>
        <v>13.74</v>
      </c>
      <c r="G548">
        <f ca="1">IFERROR(__xludf.DUMMYFUNCTION("""COMPUTED_VALUE"""),-13.19)</f>
        <v>-13.19</v>
      </c>
      <c r="H548">
        <f ca="1">IFERROR(__xludf.DUMMYFUNCTION("""COMPUTED_VALUE"""),4.56)</f>
        <v>4.5599999999999996</v>
      </c>
      <c r="I548" t="str">
        <f ca="1">IFERROR(__xludf.DUMMYFUNCTION("""COMPUTED_VALUE"""),"")</f>
        <v/>
      </c>
    </row>
    <row r="549" spans="1:9" ht="12.75">
      <c r="A549">
        <f ca="1">IFERROR(__xludf.DUMMYFUNCTION("""COMPUTED_VALUE"""),547)</f>
        <v>547</v>
      </c>
      <c r="B549">
        <f ca="1">IFERROR(__xludf.DUMMYFUNCTION("""COMPUTED_VALUE"""),541)</f>
        <v>541</v>
      </c>
      <c r="C549" t="str">
        <f ca="1">IFERROR(__xludf.DUMMYFUNCTION("""COMPUTED_VALUE"""),"Ashley Chesters")</f>
        <v>Ashley Chesters</v>
      </c>
      <c r="D549">
        <f ca="1">IFERROR(__xludf.DUMMYFUNCTION("""COMPUTED_VALUE"""),52)</f>
        <v>52</v>
      </c>
      <c r="E549">
        <f ca="1">IFERROR(__xludf.DUMMYFUNCTION("""COMPUTED_VALUE"""),0.26)</f>
        <v>0.26</v>
      </c>
      <c r="F549">
        <f ca="1">IFERROR(__xludf.DUMMYFUNCTION("""COMPUTED_VALUE"""),13.74)</f>
        <v>13.74</v>
      </c>
      <c r="G549">
        <f ca="1">IFERROR(__xludf.DUMMYFUNCTION("""COMPUTED_VALUE"""),-15.53)</f>
        <v>-15.53</v>
      </c>
      <c r="H549">
        <f ca="1">IFERROR(__xludf.DUMMYFUNCTION("""COMPUTED_VALUE"""),3.74)</f>
        <v>3.74</v>
      </c>
      <c r="I549" t="str">
        <f ca="1">IFERROR(__xludf.DUMMYFUNCTION("""COMPUTED_VALUE"""),"")</f>
        <v/>
      </c>
    </row>
    <row r="550" spans="1:9" ht="12.75">
      <c r="A550">
        <f ca="1">IFERROR(__xludf.DUMMYFUNCTION("""COMPUTED_VALUE"""),549)</f>
        <v>549</v>
      </c>
      <c r="B550">
        <f ca="1">IFERROR(__xludf.DUMMYFUNCTION("""COMPUTED_VALUE"""),548)</f>
        <v>548</v>
      </c>
      <c r="C550" t="str">
        <f ca="1">IFERROR(__xludf.DUMMYFUNCTION("""COMPUTED_VALUE"""),"Gudmundur Kristjansson")</f>
        <v>Gudmundur Kristjansson</v>
      </c>
      <c r="D550">
        <f ca="1">IFERROR(__xludf.DUMMYFUNCTION("""COMPUTED_VALUE"""),40)</f>
        <v>40</v>
      </c>
      <c r="E550">
        <f ca="1">IFERROR(__xludf.DUMMYFUNCTION("""COMPUTED_VALUE"""),0.26)</f>
        <v>0.26</v>
      </c>
      <c r="F550">
        <f ca="1">IFERROR(__xludf.DUMMYFUNCTION("""COMPUTED_VALUE"""),10.49)</f>
        <v>10.49</v>
      </c>
      <c r="G550">
        <f ca="1">IFERROR(__xludf.DUMMYFUNCTION("""COMPUTED_VALUE"""),-5.5)</f>
        <v>-5.5</v>
      </c>
      <c r="H550">
        <f ca="1">IFERROR(__xludf.DUMMYFUNCTION("""COMPUTED_VALUE"""),3.92)</f>
        <v>3.92</v>
      </c>
      <c r="I550" t="str">
        <f ca="1">IFERROR(__xludf.DUMMYFUNCTION("""COMPUTED_VALUE"""),"")</f>
        <v/>
      </c>
    </row>
    <row r="551" spans="1:9" ht="12.75">
      <c r="A551">
        <f ca="1">IFERROR(__xludf.DUMMYFUNCTION("""COMPUTED_VALUE"""),550)</f>
        <v>550</v>
      </c>
      <c r="B551">
        <f ca="1">IFERROR(__xludf.DUMMYFUNCTION("""COMPUTED_VALUE"""),547)</f>
        <v>547</v>
      </c>
      <c r="C551" t="str">
        <f ca="1">IFERROR(__xludf.DUMMYFUNCTION("""COMPUTED_VALUE"""),"K.J. Choi")</f>
        <v>K.J. Choi</v>
      </c>
      <c r="D551">
        <f ca="1">IFERROR(__xludf.DUMMYFUNCTION("""COMPUTED_VALUE"""),40)</f>
        <v>40</v>
      </c>
      <c r="E551">
        <f ca="1">IFERROR(__xludf.DUMMYFUNCTION("""COMPUTED_VALUE"""),0.26)</f>
        <v>0.26</v>
      </c>
      <c r="F551">
        <f ca="1">IFERROR(__xludf.DUMMYFUNCTION("""COMPUTED_VALUE"""),10.48)</f>
        <v>10.48</v>
      </c>
      <c r="G551">
        <f ca="1">IFERROR(__xludf.DUMMYFUNCTION("""COMPUTED_VALUE"""),-7.11)</f>
        <v>-7.11</v>
      </c>
      <c r="H551">
        <f ca="1">IFERROR(__xludf.DUMMYFUNCTION("""COMPUTED_VALUE"""),1.2)</f>
        <v>1.2</v>
      </c>
      <c r="I551" t="str">
        <f ca="1">IFERROR(__xludf.DUMMYFUNCTION("""COMPUTED_VALUE"""),"")</f>
        <v/>
      </c>
    </row>
    <row r="552" spans="1:9" ht="12.75">
      <c r="A552">
        <f ca="1">IFERROR(__xludf.DUMMYFUNCTION("""COMPUTED_VALUE"""),551)</f>
        <v>551</v>
      </c>
      <c r="B552">
        <f ca="1">IFERROR(__xludf.DUMMYFUNCTION("""COMPUTED_VALUE"""),623)</f>
        <v>623</v>
      </c>
      <c r="C552" t="str">
        <f ca="1">IFERROR(__xludf.DUMMYFUNCTION("""COMPUTED_VALUE"""),"Martin Simonsen")</f>
        <v>Martin Simonsen</v>
      </c>
      <c r="D552">
        <f ca="1">IFERROR(__xludf.DUMMYFUNCTION("""COMPUTED_VALUE"""),46)</f>
        <v>46</v>
      </c>
      <c r="E552">
        <f ca="1">IFERROR(__xludf.DUMMYFUNCTION("""COMPUTED_VALUE"""),0.26)</f>
        <v>0.26</v>
      </c>
      <c r="F552">
        <f ca="1">IFERROR(__xludf.DUMMYFUNCTION("""COMPUTED_VALUE"""),12.01)</f>
        <v>12.01</v>
      </c>
      <c r="G552">
        <f ca="1">IFERROR(__xludf.DUMMYFUNCTION("""COMPUTED_VALUE"""),-6.57)</f>
        <v>-6.57</v>
      </c>
      <c r="H552">
        <f ca="1">IFERROR(__xludf.DUMMYFUNCTION("""COMPUTED_VALUE"""),7.42)</f>
        <v>7.42</v>
      </c>
      <c r="I552" t="str">
        <f ca="1">IFERROR(__xludf.DUMMYFUNCTION("""COMPUTED_VALUE"""),"")</f>
        <v/>
      </c>
    </row>
    <row r="553" spans="1:9" ht="12.75">
      <c r="A553">
        <f ca="1">IFERROR(__xludf.DUMMYFUNCTION("""COMPUTED_VALUE"""),552)</f>
        <v>552</v>
      </c>
      <c r="B553">
        <f ca="1">IFERROR(__xludf.DUMMYFUNCTION("""COMPUTED_VALUE"""),549)</f>
        <v>549</v>
      </c>
      <c r="C553" t="str">
        <f ca="1">IFERROR(__xludf.DUMMYFUNCTION("""COMPUTED_VALUE"""),"Haydn Porteous")</f>
        <v>Haydn Porteous</v>
      </c>
      <c r="D553">
        <f ca="1">IFERROR(__xludf.DUMMYFUNCTION("""COMPUTED_VALUE"""),52)</f>
        <v>52</v>
      </c>
      <c r="E553">
        <f ca="1">IFERROR(__xludf.DUMMYFUNCTION("""COMPUTED_VALUE"""),0.26)</f>
        <v>0.26</v>
      </c>
      <c r="F553">
        <f ca="1">IFERROR(__xludf.DUMMYFUNCTION("""COMPUTED_VALUE"""),13.56)</f>
        <v>13.56</v>
      </c>
      <c r="G553">
        <f ca="1">IFERROR(__xludf.DUMMYFUNCTION("""COMPUTED_VALUE"""),-10.5)</f>
        <v>-10.5</v>
      </c>
      <c r="H553">
        <f ca="1">IFERROR(__xludf.DUMMYFUNCTION("""COMPUTED_VALUE"""),8.4)</f>
        <v>8.4</v>
      </c>
      <c r="I553" t="str">
        <f ca="1">IFERROR(__xludf.DUMMYFUNCTION("""COMPUTED_VALUE"""),"")</f>
        <v/>
      </c>
    </row>
    <row r="554" spans="1:9" ht="12.75">
      <c r="A554">
        <f ca="1">IFERROR(__xludf.DUMMYFUNCTION("""COMPUTED_VALUE"""),553)</f>
        <v>553</v>
      </c>
      <c r="B554">
        <f ca="1">IFERROR(__xludf.DUMMYFUNCTION("""COMPUTED_VALUE"""),550)</f>
        <v>550</v>
      </c>
      <c r="C554" t="str">
        <f ca="1">IFERROR(__xludf.DUMMYFUNCTION("""COMPUTED_VALUE"""),"Dimi Papadatos")</f>
        <v>Dimi Papadatos</v>
      </c>
      <c r="D554">
        <f ca="1">IFERROR(__xludf.DUMMYFUNCTION("""COMPUTED_VALUE"""),40)</f>
        <v>40</v>
      </c>
      <c r="E554">
        <f ca="1">IFERROR(__xludf.DUMMYFUNCTION("""COMPUTED_VALUE"""),0.26)</f>
        <v>0.26</v>
      </c>
      <c r="F554">
        <f ca="1">IFERROR(__xludf.DUMMYFUNCTION("""COMPUTED_VALUE"""),10.42)</f>
        <v>10.42</v>
      </c>
      <c r="G554">
        <f ca="1">IFERROR(__xludf.DUMMYFUNCTION("""COMPUTED_VALUE"""),-18.14)</f>
        <v>-18.14</v>
      </c>
      <c r="H554">
        <f ca="1">IFERROR(__xludf.DUMMYFUNCTION("""COMPUTED_VALUE"""),3.39)</f>
        <v>3.39</v>
      </c>
      <c r="I554" t="str">
        <f ca="1">IFERROR(__xludf.DUMMYFUNCTION("""COMPUTED_VALUE"""),"")</f>
        <v/>
      </c>
    </row>
    <row r="555" spans="1:9" ht="12.75">
      <c r="A555">
        <f ca="1">IFERROR(__xludf.DUMMYFUNCTION("""COMPUTED_VALUE"""),553)</f>
        <v>553</v>
      </c>
      <c r="B555">
        <f ca="1">IFERROR(__xludf.DUMMYFUNCTION("""COMPUTED_VALUE"""),546)</f>
        <v>546</v>
      </c>
      <c r="C555" t="str">
        <f ca="1">IFERROR(__xludf.DUMMYFUNCTION("""COMPUTED_VALUE"""),"Zach Murray")</f>
        <v>Zach Murray</v>
      </c>
      <c r="D555">
        <f ca="1">IFERROR(__xludf.DUMMYFUNCTION("""COMPUTED_VALUE"""),40)</f>
        <v>40</v>
      </c>
      <c r="E555">
        <f ca="1">IFERROR(__xludf.DUMMYFUNCTION("""COMPUTED_VALUE"""),0.26)</f>
        <v>0.26</v>
      </c>
      <c r="F555">
        <f ca="1">IFERROR(__xludf.DUMMYFUNCTION("""COMPUTED_VALUE"""),10.42)</f>
        <v>10.42</v>
      </c>
      <c r="G555">
        <f ca="1">IFERROR(__xludf.DUMMYFUNCTION("""COMPUTED_VALUE"""),-8.6)</f>
        <v>-8.6</v>
      </c>
      <c r="H555">
        <f ca="1">IFERROR(__xludf.DUMMYFUNCTION("""COMPUTED_VALUE"""),6.28)</f>
        <v>6.28</v>
      </c>
      <c r="I555" t="str">
        <f ca="1">IFERROR(__xludf.DUMMYFUNCTION("""COMPUTED_VALUE"""),"")</f>
        <v/>
      </c>
    </row>
    <row r="556" spans="1:9" ht="12.75">
      <c r="A556">
        <f ca="1">IFERROR(__xludf.DUMMYFUNCTION("""COMPUTED_VALUE"""),555)</f>
        <v>555</v>
      </c>
      <c r="B556">
        <f ca="1">IFERROR(__xludf.DUMMYFUNCTION("""COMPUTED_VALUE"""),609)</f>
        <v>609</v>
      </c>
      <c r="C556" t="str">
        <f ca="1">IFERROR(__xludf.DUMMYFUNCTION("""COMPUTED_VALUE"""),"Erik Barnes")</f>
        <v>Erik Barnes</v>
      </c>
      <c r="D556">
        <f ca="1">IFERROR(__xludf.DUMMYFUNCTION("""COMPUTED_VALUE"""),44)</f>
        <v>44</v>
      </c>
      <c r="E556">
        <f ca="1">IFERROR(__xludf.DUMMYFUNCTION("""COMPUTED_VALUE"""),0.26)</f>
        <v>0.26</v>
      </c>
      <c r="F556">
        <f ca="1">IFERROR(__xludf.DUMMYFUNCTION("""COMPUTED_VALUE"""),11.43)</f>
        <v>11.43</v>
      </c>
      <c r="G556">
        <f ca="1">IFERROR(__xludf.DUMMYFUNCTION("""COMPUTED_VALUE"""),-5.75)</f>
        <v>-5.75</v>
      </c>
      <c r="H556">
        <f ca="1">IFERROR(__xludf.DUMMYFUNCTION("""COMPUTED_VALUE"""),8.68)</f>
        <v>8.68</v>
      </c>
      <c r="I556" t="str">
        <f ca="1">IFERROR(__xludf.DUMMYFUNCTION("""COMPUTED_VALUE"""),"")</f>
        <v/>
      </c>
    </row>
    <row r="557" spans="1:9" ht="12.75">
      <c r="A557">
        <f ca="1">IFERROR(__xludf.DUMMYFUNCTION("""COMPUTED_VALUE"""),556)</f>
        <v>556</v>
      </c>
      <c r="B557">
        <f ca="1">IFERROR(__xludf.DUMMYFUNCTION("""COMPUTED_VALUE"""),551)</f>
        <v>551</v>
      </c>
      <c r="C557" t="str">
        <f ca="1">IFERROR(__xludf.DUMMYFUNCTION("""COMPUTED_VALUE"""),"Ludvig Aberg")</f>
        <v>Ludvig Aberg</v>
      </c>
      <c r="D557">
        <f ca="1">IFERROR(__xludf.DUMMYFUNCTION("""COMPUTED_VALUE"""),40)</f>
        <v>40</v>
      </c>
      <c r="E557">
        <f ca="1">IFERROR(__xludf.DUMMYFUNCTION("""COMPUTED_VALUE"""),0.26)</f>
        <v>0.26</v>
      </c>
      <c r="F557">
        <f ca="1">IFERROR(__xludf.DUMMYFUNCTION("""COMPUTED_VALUE"""),10.37)</f>
        <v>10.37</v>
      </c>
      <c r="G557">
        <f ca="1">IFERROR(__xludf.DUMMYFUNCTION("""COMPUTED_VALUE"""),-0.63)</f>
        <v>-0.63</v>
      </c>
      <c r="H557">
        <f ca="1">IFERROR(__xludf.DUMMYFUNCTION("""COMPUTED_VALUE"""),11)</f>
        <v>11</v>
      </c>
      <c r="I557" t="str">
        <f ca="1">IFERROR(__xludf.DUMMYFUNCTION("""COMPUTED_VALUE"""),"")</f>
        <v/>
      </c>
    </row>
    <row r="558" spans="1:9" ht="12.75">
      <c r="A558">
        <f ca="1">IFERROR(__xludf.DUMMYFUNCTION("""COMPUTED_VALUE"""),557)</f>
        <v>557</v>
      </c>
      <c r="B558">
        <f ca="1">IFERROR(__xludf.DUMMYFUNCTION("""COMPUTED_VALUE"""),554)</f>
        <v>554</v>
      </c>
      <c r="C558" t="str">
        <f ca="1">IFERROR(__xludf.DUMMYFUNCTION("""COMPUTED_VALUE"""),"Bryson Nimmer")</f>
        <v>Bryson Nimmer</v>
      </c>
      <c r="D558">
        <f ca="1">IFERROR(__xludf.DUMMYFUNCTION("""COMPUTED_VALUE"""),40)</f>
        <v>40</v>
      </c>
      <c r="E558">
        <f ca="1">IFERROR(__xludf.DUMMYFUNCTION("""COMPUTED_VALUE"""),0.26)</f>
        <v>0.26</v>
      </c>
      <c r="F558">
        <f ca="1">IFERROR(__xludf.DUMMYFUNCTION("""COMPUTED_VALUE"""),10.36)</f>
        <v>10.36</v>
      </c>
      <c r="G558">
        <f ca="1">IFERROR(__xludf.DUMMYFUNCTION("""COMPUTED_VALUE"""),-0.04)</f>
        <v>-0.04</v>
      </c>
      <c r="H558">
        <f ca="1">IFERROR(__xludf.DUMMYFUNCTION("""COMPUTED_VALUE"""),10.4)</f>
        <v>10.4</v>
      </c>
      <c r="I558" t="str">
        <f ca="1">IFERROR(__xludf.DUMMYFUNCTION("""COMPUTED_VALUE"""),"")</f>
        <v/>
      </c>
    </row>
    <row r="559" spans="1:9" ht="12.75">
      <c r="A559">
        <f ca="1">IFERROR(__xludf.DUMMYFUNCTION("""COMPUTED_VALUE"""),558)</f>
        <v>558</v>
      </c>
      <c r="B559">
        <f ca="1">IFERROR(__xludf.DUMMYFUNCTION("""COMPUTED_VALUE"""),553)</f>
        <v>553</v>
      </c>
      <c r="C559" t="str">
        <f ca="1">IFERROR(__xludf.DUMMYFUNCTION("""COMPUTED_VALUE"""),"Hayden Buckley")</f>
        <v>Hayden Buckley</v>
      </c>
      <c r="D559">
        <f ca="1">IFERROR(__xludf.DUMMYFUNCTION("""COMPUTED_VALUE"""),40)</f>
        <v>40</v>
      </c>
      <c r="E559">
        <f ca="1">IFERROR(__xludf.DUMMYFUNCTION("""COMPUTED_VALUE"""),0.26)</f>
        <v>0.26</v>
      </c>
      <c r="F559">
        <f ca="1">IFERROR(__xludf.DUMMYFUNCTION("""COMPUTED_VALUE"""),10.29)</f>
        <v>10.29</v>
      </c>
      <c r="G559">
        <f ca="1">IFERROR(__xludf.DUMMYFUNCTION("""COMPUTED_VALUE"""),-3.26)</f>
        <v>-3.26</v>
      </c>
      <c r="H559">
        <f ca="1">IFERROR(__xludf.DUMMYFUNCTION("""COMPUTED_VALUE"""),5.49)</f>
        <v>5.49</v>
      </c>
      <c r="I559" t="str">
        <f ca="1">IFERROR(__xludf.DUMMYFUNCTION("""COMPUTED_VALUE"""),"")</f>
        <v/>
      </c>
    </row>
    <row r="560" spans="1:9" ht="12.75">
      <c r="A560">
        <f ca="1">IFERROR(__xludf.DUMMYFUNCTION("""COMPUTED_VALUE"""),559)</f>
        <v>559</v>
      </c>
      <c r="B560">
        <f ca="1">IFERROR(__xludf.DUMMYFUNCTION("""COMPUTED_VALUE"""),556)</f>
        <v>556</v>
      </c>
      <c r="C560" t="str">
        <f ca="1">IFERROR(__xludf.DUMMYFUNCTION("""COMPUTED_VALUE"""),"Naoto Nakanishi")</f>
        <v>Naoto Nakanishi</v>
      </c>
      <c r="D560">
        <f ca="1">IFERROR(__xludf.DUMMYFUNCTION("""COMPUTED_VALUE"""),40)</f>
        <v>40</v>
      </c>
      <c r="E560">
        <f ca="1">IFERROR(__xludf.DUMMYFUNCTION("""COMPUTED_VALUE"""),0.26)</f>
        <v>0.26</v>
      </c>
      <c r="F560">
        <f ca="1">IFERROR(__xludf.DUMMYFUNCTION("""COMPUTED_VALUE"""),10.27)</f>
        <v>10.27</v>
      </c>
      <c r="G560">
        <f ca="1">IFERROR(__xludf.DUMMYFUNCTION("""COMPUTED_VALUE"""),-4.11)</f>
        <v>-4.1100000000000003</v>
      </c>
      <c r="H560">
        <f ca="1">IFERROR(__xludf.DUMMYFUNCTION("""COMPUTED_VALUE"""),5.53)</f>
        <v>5.53</v>
      </c>
      <c r="I560" t="str">
        <f ca="1">IFERROR(__xludf.DUMMYFUNCTION("""COMPUTED_VALUE"""),"")</f>
        <v/>
      </c>
    </row>
    <row r="561" spans="1:9" ht="12.75">
      <c r="A561">
        <f ca="1">IFERROR(__xludf.DUMMYFUNCTION("""COMPUTED_VALUE"""),560)</f>
        <v>560</v>
      </c>
      <c r="B561">
        <f ca="1">IFERROR(__xludf.DUMMYFUNCTION("""COMPUTED_VALUE"""),552)</f>
        <v>552</v>
      </c>
      <c r="C561" t="str">
        <f ca="1">IFERROR(__xludf.DUMMYFUNCTION("""COMPUTED_VALUE"""),"Jake Knapp")</f>
        <v>Jake Knapp</v>
      </c>
      <c r="D561">
        <f ca="1">IFERROR(__xludf.DUMMYFUNCTION("""COMPUTED_VALUE"""),40)</f>
        <v>40</v>
      </c>
      <c r="E561">
        <f ca="1">IFERROR(__xludf.DUMMYFUNCTION("""COMPUTED_VALUE"""),0.26)</f>
        <v>0.26</v>
      </c>
      <c r="F561">
        <f ca="1">IFERROR(__xludf.DUMMYFUNCTION("""COMPUTED_VALUE"""),10.22)</f>
        <v>10.220000000000001</v>
      </c>
      <c r="G561">
        <f ca="1">IFERROR(__xludf.DUMMYFUNCTION("""COMPUTED_VALUE"""),-6.71)</f>
        <v>-6.71</v>
      </c>
      <c r="H561">
        <f ca="1">IFERROR(__xludf.DUMMYFUNCTION("""COMPUTED_VALUE"""),1.96)</f>
        <v>1.96</v>
      </c>
      <c r="I561" t="str">
        <f ca="1">IFERROR(__xludf.DUMMYFUNCTION("""COMPUTED_VALUE"""),"")</f>
        <v/>
      </c>
    </row>
    <row r="562" spans="1:9" ht="12.75">
      <c r="A562">
        <f ca="1">IFERROR(__xludf.DUMMYFUNCTION("""COMPUTED_VALUE"""),561)</f>
        <v>561</v>
      </c>
      <c r="B562">
        <f ca="1">IFERROR(__xludf.DUMMYFUNCTION("""COMPUTED_VALUE"""),558)</f>
        <v>558</v>
      </c>
      <c r="C562" t="str">
        <f ca="1">IFERROR(__xludf.DUMMYFUNCTION("""COMPUTED_VALUE"""),"David Dixon")</f>
        <v>David Dixon</v>
      </c>
      <c r="D562">
        <f ca="1">IFERROR(__xludf.DUMMYFUNCTION("""COMPUTED_VALUE"""),40)</f>
        <v>40</v>
      </c>
      <c r="E562">
        <f ca="1">IFERROR(__xludf.DUMMYFUNCTION("""COMPUTED_VALUE"""),0.25)</f>
        <v>0.25</v>
      </c>
      <c r="F562">
        <f ca="1">IFERROR(__xludf.DUMMYFUNCTION("""COMPUTED_VALUE"""),10.18)</f>
        <v>10.18</v>
      </c>
      <c r="G562">
        <f ca="1">IFERROR(__xludf.DUMMYFUNCTION("""COMPUTED_VALUE"""),-1.43)</f>
        <v>-1.43</v>
      </c>
      <c r="H562">
        <f ca="1">IFERROR(__xludf.DUMMYFUNCTION("""COMPUTED_VALUE"""),8.4)</f>
        <v>8.4</v>
      </c>
      <c r="I562" t="str">
        <f ca="1">IFERROR(__xludf.DUMMYFUNCTION("""COMPUTED_VALUE"""),"")</f>
        <v/>
      </c>
    </row>
    <row r="563" spans="1:9" ht="12.75">
      <c r="A563">
        <f ca="1">IFERROR(__xludf.DUMMYFUNCTION("""COMPUTED_VALUE"""),562)</f>
        <v>562</v>
      </c>
      <c r="B563">
        <f ca="1">IFERROR(__xludf.DUMMYFUNCTION("""COMPUTED_VALUE"""),610)</f>
        <v>610</v>
      </c>
      <c r="C563" t="str">
        <f ca="1">IFERROR(__xludf.DUMMYFUNCTION("""COMPUTED_VALUE"""),"Lukas Nemecz")</f>
        <v>Lukas Nemecz</v>
      </c>
      <c r="D563">
        <f ca="1">IFERROR(__xludf.DUMMYFUNCTION("""COMPUTED_VALUE"""),40)</f>
        <v>40</v>
      </c>
      <c r="E563">
        <f ca="1">IFERROR(__xludf.DUMMYFUNCTION("""COMPUTED_VALUE"""),0.25)</f>
        <v>0.25</v>
      </c>
      <c r="F563">
        <f ca="1">IFERROR(__xludf.DUMMYFUNCTION("""COMPUTED_VALUE"""),10.15)</f>
        <v>10.15</v>
      </c>
      <c r="G563">
        <f ca="1">IFERROR(__xludf.DUMMYFUNCTION("""COMPUTED_VALUE"""),-3.36)</f>
        <v>-3.36</v>
      </c>
      <c r="H563">
        <f ca="1">IFERROR(__xludf.DUMMYFUNCTION("""COMPUTED_VALUE"""),6.52)</f>
        <v>6.52</v>
      </c>
      <c r="I563" t="str">
        <f ca="1">IFERROR(__xludf.DUMMYFUNCTION("""COMPUTED_VALUE"""),"")</f>
        <v/>
      </c>
    </row>
    <row r="564" spans="1:9" ht="12.75">
      <c r="A564">
        <f ca="1">IFERROR(__xludf.DUMMYFUNCTION("""COMPUTED_VALUE"""),563)</f>
        <v>563</v>
      </c>
      <c r="B564">
        <f ca="1">IFERROR(__xludf.DUMMYFUNCTION("""COMPUTED_VALUE"""),557)</f>
        <v>557</v>
      </c>
      <c r="C564" t="str">
        <f ca="1">IFERROR(__xludf.DUMMYFUNCTION("""COMPUTED_VALUE"""),"Danny Masrin")</f>
        <v>Danny Masrin</v>
      </c>
      <c r="D564">
        <f ca="1">IFERROR(__xludf.DUMMYFUNCTION("""COMPUTED_VALUE"""),40)</f>
        <v>40</v>
      </c>
      <c r="E564">
        <f ca="1">IFERROR(__xludf.DUMMYFUNCTION("""COMPUTED_VALUE"""),0.25)</f>
        <v>0.25</v>
      </c>
      <c r="F564">
        <f ca="1">IFERROR(__xludf.DUMMYFUNCTION("""COMPUTED_VALUE"""),10.14)</f>
        <v>10.14</v>
      </c>
      <c r="G564">
        <f ca="1">IFERROR(__xludf.DUMMYFUNCTION("""COMPUTED_VALUE"""),-4.73)</f>
        <v>-4.7300000000000004</v>
      </c>
      <c r="H564">
        <f ca="1">IFERROR(__xludf.DUMMYFUNCTION("""COMPUTED_VALUE"""),5.33)</f>
        <v>5.33</v>
      </c>
      <c r="I564" t="str">
        <f ca="1">IFERROR(__xludf.DUMMYFUNCTION("""COMPUTED_VALUE"""),"")</f>
        <v/>
      </c>
    </row>
    <row r="565" spans="1:9" ht="12.75">
      <c r="A565">
        <f ca="1">IFERROR(__xludf.DUMMYFUNCTION("""COMPUTED_VALUE"""),564)</f>
        <v>564</v>
      </c>
      <c r="B565" t="str">
        <f ca="1">IFERROR(__xludf.DUMMYFUNCTION("""COMPUTED_VALUE"""),"")</f>
        <v/>
      </c>
      <c r="C565" t="str">
        <f ca="1">IFERROR(__xludf.DUMMYFUNCTION("""COMPUTED_VALUE"""),"Ruan Korb")</f>
        <v>Ruan Korb</v>
      </c>
      <c r="D565">
        <f ca="1">IFERROR(__xludf.DUMMYFUNCTION("""COMPUTED_VALUE"""),40)</f>
        <v>40</v>
      </c>
      <c r="E565">
        <f ca="1">IFERROR(__xludf.DUMMYFUNCTION("""COMPUTED_VALUE"""),0.25)</f>
        <v>0.25</v>
      </c>
      <c r="F565">
        <f ca="1">IFERROR(__xludf.DUMMYFUNCTION("""COMPUTED_VALUE"""),10.12)</f>
        <v>10.119999999999999</v>
      </c>
      <c r="G565">
        <f ca="1">IFERROR(__xludf.DUMMYFUNCTION("""COMPUTED_VALUE"""),-1.3)</f>
        <v>-1.3</v>
      </c>
      <c r="H565">
        <f ca="1">IFERROR(__xludf.DUMMYFUNCTION("""COMPUTED_VALUE"""),9.19)</f>
        <v>9.19</v>
      </c>
      <c r="I565" t="str">
        <f ca="1">IFERROR(__xludf.DUMMYFUNCTION("""COMPUTED_VALUE"""),"")</f>
        <v/>
      </c>
    </row>
    <row r="566" spans="1:9" ht="12.75">
      <c r="A566">
        <f ca="1">IFERROR(__xludf.DUMMYFUNCTION("""COMPUTED_VALUE"""),565)</f>
        <v>565</v>
      </c>
      <c r="B566">
        <f ca="1">IFERROR(__xludf.DUMMYFUNCTION("""COMPUTED_VALUE"""),560)</f>
        <v>560</v>
      </c>
      <c r="C566" t="str">
        <f ca="1">IFERROR(__xludf.DUMMYFUNCTION("""COMPUTED_VALUE"""),"Bill Haas")</f>
        <v>Bill Haas</v>
      </c>
      <c r="D566">
        <f ca="1">IFERROR(__xludf.DUMMYFUNCTION("""COMPUTED_VALUE"""),41)</f>
        <v>41</v>
      </c>
      <c r="E566">
        <f ca="1">IFERROR(__xludf.DUMMYFUNCTION("""COMPUTED_VALUE"""),0.25)</f>
        <v>0.25</v>
      </c>
      <c r="F566">
        <f ca="1">IFERROR(__xludf.DUMMYFUNCTION("""COMPUTED_VALUE"""),10.36)</f>
        <v>10.36</v>
      </c>
      <c r="G566">
        <f ca="1">IFERROR(__xludf.DUMMYFUNCTION("""COMPUTED_VALUE"""),-11.36)</f>
        <v>-11.36</v>
      </c>
      <c r="H566">
        <f ca="1">IFERROR(__xludf.DUMMYFUNCTION("""COMPUTED_VALUE"""),4.24)</f>
        <v>4.24</v>
      </c>
      <c r="I566" t="str">
        <f ca="1">IFERROR(__xludf.DUMMYFUNCTION("""COMPUTED_VALUE"""),"")</f>
        <v/>
      </c>
    </row>
    <row r="567" spans="1:9" ht="12.75">
      <c r="A567">
        <f ca="1">IFERROR(__xludf.DUMMYFUNCTION("""COMPUTED_VALUE"""),566)</f>
        <v>566</v>
      </c>
      <c r="B567">
        <f ca="1">IFERROR(__xludf.DUMMYFUNCTION("""COMPUTED_VALUE"""),561)</f>
        <v>561</v>
      </c>
      <c r="C567" t="str">
        <f ca="1">IFERROR(__xludf.DUMMYFUNCTION("""COMPUTED_VALUE"""),"Kristian Johannessen")</f>
        <v>Kristian Johannessen</v>
      </c>
      <c r="D567">
        <f ca="1">IFERROR(__xludf.DUMMYFUNCTION("""COMPUTED_VALUE"""),40)</f>
        <v>40</v>
      </c>
      <c r="E567">
        <f ca="1">IFERROR(__xludf.DUMMYFUNCTION("""COMPUTED_VALUE"""),0.25)</f>
        <v>0.25</v>
      </c>
      <c r="F567">
        <f ca="1">IFERROR(__xludf.DUMMYFUNCTION("""COMPUTED_VALUE"""),10.07)</f>
        <v>10.07</v>
      </c>
      <c r="G567">
        <f ca="1">IFERROR(__xludf.DUMMYFUNCTION("""COMPUTED_VALUE"""),-3.79)</f>
        <v>-3.79</v>
      </c>
      <c r="H567">
        <f ca="1">IFERROR(__xludf.DUMMYFUNCTION("""COMPUTED_VALUE"""),9.96)</f>
        <v>9.9600000000000009</v>
      </c>
      <c r="I567" t="str">
        <f ca="1">IFERROR(__xludf.DUMMYFUNCTION("""COMPUTED_VALUE"""),"")</f>
        <v/>
      </c>
    </row>
    <row r="568" spans="1:9" ht="12.75">
      <c r="A568">
        <f ca="1">IFERROR(__xludf.DUMMYFUNCTION("""COMPUTED_VALUE"""),567)</f>
        <v>567</v>
      </c>
      <c r="B568">
        <f ca="1">IFERROR(__xludf.DUMMYFUNCTION("""COMPUTED_VALUE"""),593)</f>
        <v>593</v>
      </c>
      <c r="C568" t="str">
        <f ca="1">IFERROR(__xludf.DUMMYFUNCTION("""COMPUTED_VALUE"""),"Nicolai Dellingshausen")</f>
        <v>Nicolai Dellingshausen</v>
      </c>
      <c r="D568">
        <f ca="1">IFERROR(__xludf.DUMMYFUNCTION("""COMPUTED_VALUE"""),43)</f>
        <v>43</v>
      </c>
      <c r="E568">
        <f ca="1">IFERROR(__xludf.DUMMYFUNCTION("""COMPUTED_VALUE"""),0.25)</f>
        <v>0.25</v>
      </c>
      <c r="F568">
        <f ca="1">IFERROR(__xludf.DUMMYFUNCTION("""COMPUTED_VALUE"""),10.82)</f>
        <v>10.82</v>
      </c>
      <c r="G568">
        <f ca="1">IFERROR(__xludf.DUMMYFUNCTION("""COMPUTED_VALUE"""),-6.68)</f>
        <v>-6.68</v>
      </c>
      <c r="H568">
        <f ca="1">IFERROR(__xludf.DUMMYFUNCTION("""COMPUTED_VALUE"""),4.62)</f>
        <v>4.62</v>
      </c>
      <c r="I568" t="str">
        <f ca="1">IFERROR(__xludf.DUMMYFUNCTION("""COMPUTED_VALUE"""),"")</f>
        <v/>
      </c>
    </row>
    <row r="569" spans="1:9" ht="12.75">
      <c r="A569">
        <f ca="1">IFERROR(__xludf.DUMMYFUNCTION("""COMPUTED_VALUE"""),568)</f>
        <v>568</v>
      </c>
      <c r="B569">
        <f ca="1">IFERROR(__xludf.DUMMYFUNCTION("""COMPUTED_VALUE"""),604)</f>
        <v>604</v>
      </c>
      <c r="C569" t="str">
        <f ca="1">IFERROR(__xludf.DUMMYFUNCTION("""COMPUTED_VALUE"""),"Huilin Zhang")</f>
        <v>Huilin Zhang</v>
      </c>
      <c r="D569">
        <f ca="1">IFERROR(__xludf.DUMMYFUNCTION("""COMPUTED_VALUE"""),40)</f>
        <v>40</v>
      </c>
      <c r="E569">
        <f ca="1">IFERROR(__xludf.DUMMYFUNCTION("""COMPUTED_VALUE"""),0.25)</f>
        <v>0.25</v>
      </c>
      <c r="F569">
        <f ca="1">IFERROR(__xludf.DUMMYFUNCTION("""COMPUTED_VALUE"""),10.06)</f>
        <v>10.06</v>
      </c>
      <c r="G569">
        <f ca="1">IFERROR(__xludf.DUMMYFUNCTION("""COMPUTED_VALUE"""),-6.92)</f>
        <v>-6.92</v>
      </c>
      <c r="H569">
        <f ca="1">IFERROR(__xludf.DUMMYFUNCTION("""COMPUTED_VALUE"""),1.2)</f>
        <v>1.2</v>
      </c>
      <c r="I569" t="str">
        <f ca="1">IFERROR(__xludf.DUMMYFUNCTION("""COMPUTED_VALUE"""),"")</f>
        <v/>
      </c>
    </row>
    <row r="570" spans="1:9" ht="12.75">
      <c r="A570">
        <f ca="1">IFERROR(__xludf.DUMMYFUNCTION("""COMPUTED_VALUE"""),569)</f>
        <v>569</v>
      </c>
      <c r="B570">
        <f ca="1">IFERROR(__xludf.DUMMYFUNCTION("""COMPUTED_VALUE"""),564)</f>
        <v>564</v>
      </c>
      <c r="C570" t="str">
        <f ca="1">IFERROR(__xludf.DUMMYFUNCTION("""COMPUTED_VALUE"""),"Brandon Crick")</f>
        <v>Brandon Crick</v>
      </c>
      <c r="D570">
        <f ca="1">IFERROR(__xludf.DUMMYFUNCTION("""COMPUTED_VALUE"""),41)</f>
        <v>41</v>
      </c>
      <c r="E570">
        <f ca="1">IFERROR(__xludf.DUMMYFUNCTION("""COMPUTED_VALUE"""),0.25)</f>
        <v>0.25</v>
      </c>
      <c r="F570">
        <f ca="1">IFERROR(__xludf.DUMMYFUNCTION("""COMPUTED_VALUE"""),10.26)</f>
        <v>10.26</v>
      </c>
      <c r="G570">
        <f ca="1">IFERROR(__xludf.DUMMYFUNCTION("""COMPUTED_VALUE"""),-4.66)</f>
        <v>-4.66</v>
      </c>
      <c r="H570">
        <f ca="1">IFERROR(__xludf.DUMMYFUNCTION("""COMPUTED_VALUE"""),4.38)</f>
        <v>4.38</v>
      </c>
      <c r="I570" t="str">
        <f ca="1">IFERROR(__xludf.DUMMYFUNCTION("""COMPUTED_VALUE"""),"")</f>
        <v/>
      </c>
    </row>
    <row r="571" spans="1:9" ht="12.75">
      <c r="A571">
        <f ca="1">IFERROR(__xludf.DUMMYFUNCTION("""COMPUTED_VALUE"""),570)</f>
        <v>570</v>
      </c>
      <c r="B571">
        <f ca="1">IFERROR(__xludf.DUMMYFUNCTION("""COMPUTED_VALUE"""),569)</f>
        <v>569</v>
      </c>
      <c r="C571" t="str">
        <f ca="1">IFERROR(__xludf.DUMMYFUNCTION("""COMPUTED_VALUE"""),"Dawson Armstrong")</f>
        <v>Dawson Armstrong</v>
      </c>
      <c r="D571">
        <f ca="1">IFERROR(__xludf.DUMMYFUNCTION("""COMPUTED_VALUE"""),44)</f>
        <v>44</v>
      </c>
      <c r="E571">
        <f ca="1">IFERROR(__xludf.DUMMYFUNCTION("""COMPUTED_VALUE"""),0.25)</f>
        <v>0.25</v>
      </c>
      <c r="F571">
        <f ca="1">IFERROR(__xludf.DUMMYFUNCTION("""COMPUTED_VALUE"""),10.98)</f>
        <v>10.98</v>
      </c>
      <c r="G571">
        <f ca="1">IFERROR(__xludf.DUMMYFUNCTION("""COMPUTED_VALUE"""),-2.47)</f>
        <v>-2.4700000000000002</v>
      </c>
      <c r="H571">
        <f ca="1">IFERROR(__xludf.DUMMYFUNCTION("""COMPUTED_VALUE"""),7.98)</f>
        <v>7.98</v>
      </c>
      <c r="I571" t="str">
        <f ca="1">IFERROR(__xludf.DUMMYFUNCTION("""COMPUTED_VALUE"""),"")</f>
        <v/>
      </c>
    </row>
    <row r="572" spans="1:9" ht="12.75">
      <c r="A572">
        <f ca="1">IFERROR(__xludf.DUMMYFUNCTION("""COMPUTED_VALUE"""),571)</f>
        <v>571</v>
      </c>
      <c r="B572">
        <f ca="1">IFERROR(__xludf.DUMMYFUNCTION("""COMPUTED_VALUE"""),559)</f>
        <v>559</v>
      </c>
      <c r="C572" t="str">
        <f ca="1">IFERROR(__xludf.DUMMYFUNCTION("""COMPUTED_VALUE"""),"Micah Shin")</f>
        <v>Micah Shin</v>
      </c>
      <c r="D572">
        <f ca="1">IFERROR(__xludf.DUMMYFUNCTION("""COMPUTED_VALUE"""),40)</f>
        <v>40</v>
      </c>
      <c r="E572">
        <f ca="1">IFERROR(__xludf.DUMMYFUNCTION("""COMPUTED_VALUE"""),0.25)</f>
        <v>0.25</v>
      </c>
      <c r="F572">
        <f ca="1">IFERROR(__xludf.DUMMYFUNCTION("""COMPUTED_VALUE"""),9.94)</f>
        <v>9.94</v>
      </c>
      <c r="G572">
        <f ca="1">IFERROR(__xludf.DUMMYFUNCTION("""COMPUTED_VALUE"""),-7.75)</f>
        <v>-7.75</v>
      </c>
      <c r="H572">
        <f ca="1">IFERROR(__xludf.DUMMYFUNCTION("""COMPUTED_VALUE"""),0)</f>
        <v>0</v>
      </c>
      <c r="I572" t="str">
        <f ca="1">IFERROR(__xludf.DUMMYFUNCTION("""COMPUTED_VALUE"""),"")</f>
        <v/>
      </c>
    </row>
    <row r="573" spans="1:9" ht="12.75">
      <c r="A573">
        <f ca="1">IFERROR(__xludf.DUMMYFUNCTION("""COMPUTED_VALUE"""),572)</f>
        <v>572</v>
      </c>
      <c r="B573">
        <f ca="1">IFERROR(__xludf.DUMMYFUNCTION("""COMPUTED_VALUE"""),669)</f>
        <v>669</v>
      </c>
      <c r="C573" t="str">
        <f ca="1">IFERROR(__xludf.DUMMYFUNCTION("""COMPUTED_VALUE"""),"Deon Germishuy")</f>
        <v>Deon Germishuy</v>
      </c>
      <c r="D573">
        <f ca="1">IFERROR(__xludf.DUMMYFUNCTION("""COMPUTED_VALUE"""),40)</f>
        <v>40</v>
      </c>
      <c r="E573">
        <f ca="1">IFERROR(__xludf.DUMMYFUNCTION("""COMPUTED_VALUE"""),0.25)</f>
        <v>0.25</v>
      </c>
      <c r="F573">
        <f ca="1">IFERROR(__xludf.DUMMYFUNCTION("""COMPUTED_VALUE"""),9.92)</f>
        <v>9.92</v>
      </c>
      <c r="G573">
        <f ca="1">IFERROR(__xludf.DUMMYFUNCTION("""COMPUTED_VALUE"""),-1.64)</f>
        <v>-1.64</v>
      </c>
      <c r="H573">
        <f ca="1">IFERROR(__xludf.DUMMYFUNCTION("""COMPUTED_VALUE"""),7.47)</f>
        <v>7.47</v>
      </c>
      <c r="I573" t="str">
        <f ca="1">IFERROR(__xludf.DUMMYFUNCTION("""COMPUTED_VALUE"""),"")</f>
        <v/>
      </c>
    </row>
    <row r="574" spans="1:9" ht="12.75">
      <c r="A574">
        <f ca="1">IFERROR(__xludf.DUMMYFUNCTION("""COMPUTED_VALUE"""),573)</f>
        <v>573</v>
      </c>
      <c r="B574">
        <f ca="1">IFERROR(__xludf.DUMMYFUNCTION("""COMPUTED_VALUE"""),562)</f>
        <v>562</v>
      </c>
      <c r="C574" t="str">
        <f ca="1">IFERROR(__xludf.DUMMYFUNCTION("""COMPUTED_VALUE"""),"Ryan McCormick")</f>
        <v>Ryan McCormick</v>
      </c>
      <c r="D574">
        <f ca="1">IFERROR(__xludf.DUMMYFUNCTION("""COMPUTED_VALUE"""),40)</f>
        <v>40</v>
      </c>
      <c r="E574">
        <f ca="1">IFERROR(__xludf.DUMMYFUNCTION("""COMPUTED_VALUE"""),0.25)</f>
        <v>0.25</v>
      </c>
      <c r="F574">
        <f ca="1">IFERROR(__xludf.DUMMYFUNCTION("""COMPUTED_VALUE"""),9.89)</f>
        <v>9.89</v>
      </c>
      <c r="G574">
        <f ca="1">IFERROR(__xludf.DUMMYFUNCTION("""COMPUTED_VALUE"""),-1.55)</f>
        <v>-1.55</v>
      </c>
      <c r="H574">
        <f ca="1">IFERROR(__xludf.DUMMYFUNCTION("""COMPUTED_VALUE"""),10.48)</f>
        <v>10.48</v>
      </c>
      <c r="I574" t="str">
        <f ca="1">IFERROR(__xludf.DUMMYFUNCTION("""COMPUTED_VALUE"""),"")</f>
        <v/>
      </c>
    </row>
    <row r="575" spans="1:9" ht="12.75">
      <c r="A575">
        <f ca="1">IFERROR(__xludf.DUMMYFUNCTION("""COMPUTED_VALUE"""),574)</f>
        <v>574</v>
      </c>
      <c r="B575">
        <f ca="1">IFERROR(__xludf.DUMMYFUNCTION("""COMPUTED_VALUE"""),563)</f>
        <v>563</v>
      </c>
      <c r="C575" t="str">
        <f ca="1">IFERROR(__xludf.DUMMYFUNCTION("""COMPUTED_VALUE"""),"Steve Stricker")</f>
        <v>Steve Stricker</v>
      </c>
      <c r="D575">
        <f ca="1">IFERROR(__xludf.DUMMYFUNCTION("""COMPUTED_VALUE"""),40)</f>
        <v>40</v>
      </c>
      <c r="E575">
        <f ca="1">IFERROR(__xludf.DUMMYFUNCTION("""COMPUTED_VALUE"""),0.25)</f>
        <v>0.25</v>
      </c>
      <c r="F575">
        <f ca="1">IFERROR(__xludf.DUMMYFUNCTION("""COMPUTED_VALUE"""),9.84)</f>
        <v>9.84</v>
      </c>
      <c r="G575">
        <f ca="1">IFERROR(__xludf.DUMMYFUNCTION("""COMPUTED_VALUE"""),-6.48)</f>
        <v>-6.48</v>
      </c>
      <c r="H575">
        <f ca="1">IFERROR(__xludf.DUMMYFUNCTION("""COMPUTED_VALUE"""),8.82)</f>
        <v>8.82</v>
      </c>
      <c r="I575" t="str">
        <f ca="1">IFERROR(__xludf.DUMMYFUNCTION("""COMPUTED_VALUE"""),"")</f>
        <v/>
      </c>
    </row>
    <row r="576" spans="1:9" ht="12.75">
      <c r="A576">
        <f ca="1">IFERROR(__xludf.DUMMYFUNCTION("""COMPUTED_VALUE"""),575)</f>
        <v>575</v>
      </c>
      <c r="B576">
        <f ca="1">IFERROR(__xludf.DUMMYFUNCTION("""COMPUTED_VALUE"""),566)</f>
        <v>566</v>
      </c>
      <c r="C576" t="str">
        <f ca="1">IFERROR(__xludf.DUMMYFUNCTION("""COMPUTED_VALUE"""),"Stephen Gallacher")</f>
        <v>Stephen Gallacher</v>
      </c>
      <c r="D576">
        <f ca="1">IFERROR(__xludf.DUMMYFUNCTION("""COMPUTED_VALUE"""),44)</f>
        <v>44</v>
      </c>
      <c r="E576">
        <f ca="1">IFERROR(__xludf.DUMMYFUNCTION("""COMPUTED_VALUE"""),0.25)</f>
        <v>0.25</v>
      </c>
      <c r="F576">
        <f ca="1">IFERROR(__xludf.DUMMYFUNCTION("""COMPUTED_VALUE"""),10.78)</f>
        <v>10.78</v>
      </c>
      <c r="G576">
        <f ca="1">IFERROR(__xludf.DUMMYFUNCTION("""COMPUTED_VALUE"""),-14.76)</f>
        <v>-14.76</v>
      </c>
      <c r="H576">
        <f ca="1">IFERROR(__xludf.DUMMYFUNCTION("""COMPUTED_VALUE"""),2.76)</f>
        <v>2.76</v>
      </c>
      <c r="I576" t="str">
        <f ca="1">IFERROR(__xludf.DUMMYFUNCTION("""COMPUTED_VALUE"""),"")</f>
        <v/>
      </c>
    </row>
    <row r="577" spans="1:9" ht="12.75">
      <c r="A577">
        <f ca="1">IFERROR(__xludf.DUMMYFUNCTION("""COMPUTED_VALUE"""),576)</f>
        <v>576</v>
      </c>
      <c r="B577">
        <f ca="1">IFERROR(__xludf.DUMMYFUNCTION("""COMPUTED_VALUE"""),573)</f>
        <v>573</v>
      </c>
      <c r="C577" t="str">
        <f ca="1">IFERROR(__xludf.DUMMYFUNCTION("""COMPUTED_VALUE"""),"Michael Gellerman")</f>
        <v>Michael Gellerman</v>
      </c>
      <c r="D577">
        <f ca="1">IFERROR(__xludf.DUMMYFUNCTION("""COMPUTED_VALUE"""),44)</f>
        <v>44</v>
      </c>
      <c r="E577">
        <f ca="1">IFERROR(__xludf.DUMMYFUNCTION("""COMPUTED_VALUE"""),0.24)</f>
        <v>0.24</v>
      </c>
      <c r="F577">
        <f ca="1">IFERROR(__xludf.DUMMYFUNCTION("""COMPUTED_VALUE"""),10.71)</f>
        <v>10.71</v>
      </c>
      <c r="G577">
        <f ca="1">IFERROR(__xludf.DUMMYFUNCTION("""COMPUTED_VALUE"""),-10.46)</f>
        <v>-10.46</v>
      </c>
      <c r="H577">
        <f ca="1">IFERROR(__xludf.DUMMYFUNCTION("""COMPUTED_VALUE"""),2.86)</f>
        <v>2.86</v>
      </c>
      <c r="I577" t="str">
        <f ca="1">IFERROR(__xludf.DUMMYFUNCTION("""COMPUTED_VALUE"""),"")</f>
        <v/>
      </c>
    </row>
    <row r="578" spans="1:9" ht="12.75">
      <c r="A578">
        <f ca="1">IFERROR(__xludf.DUMMYFUNCTION("""COMPUTED_VALUE"""),577)</f>
        <v>577</v>
      </c>
      <c r="B578">
        <f ca="1">IFERROR(__xludf.DUMMYFUNCTION("""COMPUTED_VALUE"""),572)</f>
        <v>572</v>
      </c>
      <c r="C578" t="str">
        <f ca="1">IFERROR(__xludf.DUMMYFUNCTION("""COMPUTED_VALUE"""),"Søren Kjeldsen")</f>
        <v>Søren Kjeldsen</v>
      </c>
      <c r="D578">
        <f ca="1">IFERROR(__xludf.DUMMYFUNCTION("""COMPUTED_VALUE"""),48)</f>
        <v>48</v>
      </c>
      <c r="E578">
        <f ca="1">IFERROR(__xludf.DUMMYFUNCTION("""COMPUTED_VALUE"""),0.24)</f>
        <v>0.24</v>
      </c>
      <c r="F578">
        <f ca="1">IFERROR(__xludf.DUMMYFUNCTION("""COMPUTED_VALUE"""),11.61)</f>
        <v>11.61</v>
      </c>
      <c r="G578">
        <f ca="1">IFERROR(__xludf.DUMMYFUNCTION("""COMPUTED_VALUE"""),-14.84)</f>
        <v>-14.84</v>
      </c>
      <c r="H578">
        <f ca="1">IFERROR(__xludf.DUMMYFUNCTION("""COMPUTED_VALUE"""),4.56)</f>
        <v>4.5599999999999996</v>
      </c>
      <c r="I578" t="str">
        <f ca="1">IFERROR(__xludf.DUMMYFUNCTION("""COMPUTED_VALUE"""),"")</f>
        <v/>
      </c>
    </row>
    <row r="579" spans="1:9" ht="12.75">
      <c r="A579">
        <f ca="1">IFERROR(__xludf.DUMMYFUNCTION("""COMPUTED_VALUE"""),578)</f>
        <v>578</v>
      </c>
      <c r="B579">
        <f ca="1">IFERROR(__xludf.DUMMYFUNCTION("""COMPUTED_VALUE"""),568)</f>
        <v>568</v>
      </c>
      <c r="C579" t="str">
        <f ca="1">IFERROR(__xludf.DUMMYFUNCTION("""COMPUTED_VALUE"""),"Doyeob Mun")</f>
        <v>Doyeob Mun</v>
      </c>
      <c r="D579">
        <f ca="1">IFERROR(__xludf.DUMMYFUNCTION("""COMPUTED_VALUE"""),45)</f>
        <v>45</v>
      </c>
      <c r="E579">
        <f ca="1">IFERROR(__xludf.DUMMYFUNCTION("""COMPUTED_VALUE"""),0.24)</f>
        <v>0.24</v>
      </c>
      <c r="F579">
        <f ca="1">IFERROR(__xludf.DUMMYFUNCTION("""COMPUTED_VALUE"""),10.87)</f>
        <v>10.87</v>
      </c>
      <c r="G579">
        <f ca="1">IFERROR(__xludf.DUMMYFUNCTION("""COMPUTED_VALUE"""),-10.72)</f>
        <v>-10.72</v>
      </c>
      <c r="H579">
        <f ca="1">IFERROR(__xludf.DUMMYFUNCTION("""COMPUTED_VALUE"""),3.97)</f>
        <v>3.97</v>
      </c>
      <c r="I579" t="str">
        <f ca="1">IFERROR(__xludf.DUMMYFUNCTION("""COMPUTED_VALUE"""),"")</f>
        <v/>
      </c>
    </row>
    <row r="580" spans="1:9" ht="12.75">
      <c r="A580">
        <f ca="1">IFERROR(__xludf.DUMMYFUNCTION("""COMPUTED_VALUE"""),579)</f>
        <v>579</v>
      </c>
      <c r="B580">
        <f ca="1">IFERROR(__xludf.DUMMYFUNCTION("""COMPUTED_VALUE"""),575)</f>
        <v>575</v>
      </c>
      <c r="C580" t="str">
        <f ca="1">IFERROR(__xludf.DUMMYFUNCTION("""COMPUTED_VALUE"""),"Taiga Sugihara")</f>
        <v>Taiga Sugihara</v>
      </c>
      <c r="D580">
        <f ca="1">IFERROR(__xludf.DUMMYFUNCTION("""COMPUTED_VALUE"""),40)</f>
        <v>40</v>
      </c>
      <c r="E580">
        <f ca="1">IFERROR(__xludf.DUMMYFUNCTION("""COMPUTED_VALUE"""),0.24)</f>
        <v>0.24</v>
      </c>
      <c r="F580">
        <f ca="1">IFERROR(__xludf.DUMMYFUNCTION("""COMPUTED_VALUE"""),9.65)</f>
        <v>9.65</v>
      </c>
      <c r="G580">
        <f ca="1">IFERROR(__xludf.DUMMYFUNCTION("""COMPUTED_VALUE"""),-1.39)</f>
        <v>-1.39</v>
      </c>
      <c r="H580">
        <f ca="1">IFERROR(__xludf.DUMMYFUNCTION("""COMPUTED_VALUE"""),7.04)</f>
        <v>7.04</v>
      </c>
      <c r="I580" t="str">
        <f ca="1">IFERROR(__xludf.DUMMYFUNCTION("""COMPUTED_VALUE"""),"")</f>
        <v/>
      </c>
    </row>
    <row r="581" spans="1:9" ht="12.75">
      <c r="A581">
        <f ca="1">IFERROR(__xludf.DUMMYFUNCTION("""COMPUTED_VALUE"""),580)</f>
        <v>580</v>
      </c>
      <c r="B581">
        <f ca="1">IFERROR(__xludf.DUMMYFUNCTION("""COMPUTED_VALUE"""),565)</f>
        <v>565</v>
      </c>
      <c r="C581" t="str">
        <f ca="1">IFERROR(__xludf.DUMMYFUNCTION("""COMPUTED_VALUE"""),"Jean-Paul Strydom")</f>
        <v>Jean-Paul Strydom</v>
      </c>
      <c r="D581">
        <f ca="1">IFERROR(__xludf.DUMMYFUNCTION("""COMPUTED_VALUE"""),40)</f>
        <v>40</v>
      </c>
      <c r="E581">
        <f ca="1">IFERROR(__xludf.DUMMYFUNCTION("""COMPUTED_VALUE"""),0.24)</f>
        <v>0.24</v>
      </c>
      <c r="F581">
        <f ca="1">IFERROR(__xludf.DUMMYFUNCTION("""COMPUTED_VALUE"""),9.62)</f>
        <v>9.6199999999999992</v>
      </c>
      <c r="G581">
        <f ca="1">IFERROR(__xludf.DUMMYFUNCTION("""COMPUTED_VALUE"""),-9.94)</f>
        <v>-9.94</v>
      </c>
      <c r="H581">
        <f ca="1">IFERROR(__xludf.DUMMYFUNCTION("""COMPUTED_VALUE"""),1.61)</f>
        <v>1.61</v>
      </c>
      <c r="I581" t="str">
        <f ca="1">IFERROR(__xludf.DUMMYFUNCTION("""COMPUTED_VALUE"""),"")</f>
        <v/>
      </c>
    </row>
    <row r="582" spans="1:9" ht="12.75">
      <c r="A582">
        <f ca="1">IFERROR(__xludf.DUMMYFUNCTION("""COMPUTED_VALUE"""),581)</f>
        <v>581</v>
      </c>
      <c r="B582">
        <f ca="1">IFERROR(__xludf.DUMMYFUNCTION("""COMPUTED_VALUE"""),574)</f>
        <v>574</v>
      </c>
      <c r="C582" t="str">
        <f ca="1">IFERROR(__xludf.DUMMYFUNCTION("""COMPUTED_VALUE"""),"Mikiya Akutsu")</f>
        <v>Mikiya Akutsu</v>
      </c>
      <c r="D582">
        <f ca="1">IFERROR(__xludf.DUMMYFUNCTION("""COMPUTED_VALUE"""),40)</f>
        <v>40</v>
      </c>
      <c r="E582">
        <f ca="1">IFERROR(__xludf.DUMMYFUNCTION("""COMPUTED_VALUE"""),0.24)</f>
        <v>0.24</v>
      </c>
      <c r="F582">
        <f ca="1">IFERROR(__xludf.DUMMYFUNCTION("""COMPUTED_VALUE"""),9.59)</f>
        <v>9.59</v>
      </c>
      <c r="G582">
        <f ca="1">IFERROR(__xludf.DUMMYFUNCTION("""COMPUTED_VALUE"""),-5.53)</f>
        <v>-5.53</v>
      </c>
      <c r="H582">
        <f ca="1">IFERROR(__xludf.DUMMYFUNCTION("""COMPUTED_VALUE"""),3.77)</f>
        <v>3.77</v>
      </c>
      <c r="I582" t="str">
        <f ca="1">IFERROR(__xludf.DUMMYFUNCTION("""COMPUTED_VALUE"""),"")</f>
        <v/>
      </c>
    </row>
    <row r="583" spans="1:9" ht="12.75">
      <c r="A583">
        <f ca="1">IFERROR(__xludf.DUMMYFUNCTION("""COMPUTED_VALUE"""),582)</f>
        <v>582</v>
      </c>
      <c r="B583">
        <f ca="1">IFERROR(__xludf.DUMMYFUNCTION("""COMPUTED_VALUE"""),632)</f>
        <v>632</v>
      </c>
      <c r="C583" t="str">
        <f ca="1">IFERROR(__xludf.DUMMYFUNCTION("""COMPUTED_VALUE"""),"Cho Min-jun")</f>
        <v>Cho Min-jun</v>
      </c>
      <c r="D583">
        <f ca="1">IFERROR(__xludf.DUMMYFUNCTION("""COMPUTED_VALUE"""),45)</f>
        <v>45</v>
      </c>
      <c r="E583">
        <f ca="1">IFERROR(__xludf.DUMMYFUNCTION("""COMPUTED_VALUE"""),0.24)</f>
        <v>0.24</v>
      </c>
      <c r="F583">
        <f ca="1">IFERROR(__xludf.DUMMYFUNCTION("""COMPUTED_VALUE"""),10.78)</f>
        <v>10.78</v>
      </c>
      <c r="G583">
        <f ca="1">IFERROR(__xludf.DUMMYFUNCTION("""COMPUTED_VALUE"""),-5.22)</f>
        <v>-5.22</v>
      </c>
      <c r="H583">
        <f ca="1">IFERROR(__xludf.DUMMYFUNCTION("""COMPUTED_VALUE"""),6.36)</f>
        <v>6.36</v>
      </c>
      <c r="I583" t="str">
        <f ca="1">IFERROR(__xludf.DUMMYFUNCTION("""COMPUTED_VALUE"""),"")</f>
        <v/>
      </c>
    </row>
    <row r="584" spans="1:9" ht="12.75">
      <c r="A584">
        <f ca="1">IFERROR(__xludf.DUMMYFUNCTION("""COMPUTED_VALUE"""),583)</f>
        <v>583</v>
      </c>
      <c r="B584">
        <f ca="1">IFERROR(__xludf.DUMMYFUNCTION("""COMPUTED_VALUE"""),570)</f>
        <v>570</v>
      </c>
      <c r="C584" t="str">
        <f ca="1">IFERROR(__xludf.DUMMYFUNCTION("""COMPUTED_VALUE"""),"Peter Karmis")</f>
        <v>Peter Karmis</v>
      </c>
      <c r="D584">
        <f ca="1">IFERROR(__xludf.DUMMYFUNCTION("""COMPUTED_VALUE"""),47)</f>
        <v>47</v>
      </c>
      <c r="E584">
        <f ca="1">IFERROR(__xludf.DUMMYFUNCTION("""COMPUTED_VALUE"""),0.24)</f>
        <v>0.24</v>
      </c>
      <c r="F584">
        <f ca="1">IFERROR(__xludf.DUMMYFUNCTION("""COMPUTED_VALUE"""),11.24)</f>
        <v>11.24</v>
      </c>
      <c r="G584">
        <f ca="1">IFERROR(__xludf.DUMMYFUNCTION("""COMPUTED_VALUE"""),-11.94)</f>
        <v>-11.94</v>
      </c>
      <c r="H584">
        <f ca="1">IFERROR(__xludf.DUMMYFUNCTION("""COMPUTED_VALUE"""),4.85)</f>
        <v>4.8499999999999996</v>
      </c>
      <c r="I584" t="str">
        <f ca="1">IFERROR(__xludf.DUMMYFUNCTION("""COMPUTED_VALUE"""),"")</f>
        <v/>
      </c>
    </row>
    <row r="585" spans="1:9" ht="12.75">
      <c r="A585">
        <f ca="1">IFERROR(__xludf.DUMMYFUNCTION("""COMPUTED_VALUE"""),584)</f>
        <v>584</v>
      </c>
      <c r="B585">
        <f ca="1">IFERROR(__xludf.DUMMYFUNCTION("""COMPUTED_VALUE"""),577)</f>
        <v>577</v>
      </c>
      <c r="C585" t="str">
        <f ca="1">IFERROR(__xludf.DUMMYFUNCTION("""COMPUTED_VALUE"""),"Santiago Tarrio")</f>
        <v>Santiago Tarrio</v>
      </c>
      <c r="D585">
        <f ca="1">IFERROR(__xludf.DUMMYFUNCTION("""COMPUTED_VALUE"""),40)</f>
        <v>40</v>
      </c>
      <c r="E585">
        <f ca="1">IFERROR(__xludf.DUMMYFUNCTION("""COMPUTED_VALUE"""),0.24)</f>
        <v>0.24</v>
      </c>
      <c r="F585">
        <f ca="1">IFERROR(__xludf.DUMMYFUNCTION("""COMPUTED_VALUE"""),9.55)</f>
        <v>9.5500000000000007</v>
      </c>
      <c r="G585">
        <f ca="1">IFERROR(__xludf.DUMMYFUNCTION("""COMPUTED_VALUE"""),-6.91)</f>
        <v>-6.91</v>
      </c>
      <c r="H585">
        <f ca="1">IFERROR(__xludf.DUMMYFUNCTION("""COMPUTED_VALUE"""),7.14)</f>
        <v>7.14</v>
      </c>
      <c r="I585" t="str">
        <f ca="1">IFERROR(__xludf.DUMMYFUNCTION("""COMPUTED_VALUE"""),"")</f>
        <v/>
      </c>
    </row>
    <row r="586" spans="1:9" ht="12.75">
      <c r="A586">
        <f ca="1">IFERROR(__xludf.DUMMYFUNCTION("""COMPUTED_VALUE"""),585)</f>
        <v>585</v>
      </c>
      <c r="B586">
        <f ca="1">IFERROR(__xludf.DUMMYFUNCTION("""COMPUTED_VALUE"""),578)</f>
        <v>578</v>
      </c>
      <c r="C586" t="str">
        <f ca="1">IFERROR(__xludf.DUMMYFUNCTION("""COMPUTED_VALUE"""),"Hur In-hoi")</f>
        <v>Hur In-hoi</v>
      </c>
      <c r="D586">
        <f ca="1">IFERROR(__xludf.DUMMYFUNCTION("""COMPUTED_VALUE"""),41)</f>
        <v>41</v>
      </c>
      <c r="E586">
        <f ca="1">IFERROR(__xludf.DUMMYFUNCTION("""COMPUTED_VALUE"""),0.24)</f>
        <v>0.24</v>
      </c>
      <c r="F586">
        <f ca="1">IFERROR(__xludf.DUMMYFUNCTION("""COMPUTED_VALUE"""),9.75)</f>
        <v>9.75</v>
      </c>
      <c r="G586">
        <f ca="1">IFERROR(__xludf.DUMMYFUNCTION("""COMPUTED_VALUE"""),-3.36)</f>
        <v>-3.36</v>
      </c>
      <c r="H586">
        <f ca="1">IFERROR(__xludf.DUMMYFUNCTION("""COMPUTED_VALUE"""),4.8)</f>
        <v>4.8</v>
      </c>
      <c r="I586" t="str">
        <f ca="1">IFERROR(__xludf.DUMMYFUNCTION("""COMPUTED_VALUE"""),"")</f>
        <v/>
      </c>
    </row>
    <row r="587" spans="1:9" ht="12.75">
      <c r="A587">
        <f ca="1">IFERROR(__xludf.DUMMYFUNCTION("""COMPUTED_VALUE"""),586)</f>
        <v>586</v>
      </c>
      <c r="B587">
        <f ca="1">IFERROR(__xludf.DUMMYFUNCTION("""COMPUTED_VALUE"""),576)</f>
        <v>576</v>
      </c>
      <c r="C587" t="str">
        <f ca="1">IFERROR(__xludf.DUMMYFUNCTION("""COMPUTED_VALUE"""),"Christopher Sahlstrom")</f>
        <v>Christopher Sahlstrom</v>
      </c>
      <c r="D587">
        <f ca="1">IFERROR(__xludf.DUMMYFUNCTION("""COMPUTED_VALUE"""),40)</f>
        <v>40</v>
      </c>
      <c r="E587">
        <f ca="1">IFERROR(__xludf.DUMMYFUNCTION("""COMPUTED_VALUE"""),0.24)</f>
        <v>0.24</v>
      </c>
      <c r="F587">
        <f ca="1">IFERROR(__xludf.DUMMYFUNCTION("""COMPUTED_VALUE"""),9.46)</f>
        <v>9.4600000000000009</v>
      </c>
      <c r="G587">
        <f ca="1">IFERROR(__xludf.DUMMYFUNCTION("""COMPUTED_VALUE"""),-6.67)</f>
        <v>-6.67</v>
      </c>
      <c r="H587">
        <f ca="1">IFERROR(__xludf.DUMMYFUNCTION("""COMPUTED_VALUE"""),0)</f>
        <v>0</v>
      </c>
      <c r="I587" t="str">
        <f ca="1">IFERROR(__xludf.DUMMYFUNCTION("""COMPUTED_VALUE"""),"")</f>
        <v/>
      </c>
    </row>
    <row r="588" spans="1:9" ht="12.75">
      <c r="A588">
        <f ca="1">IFERROR(__xludf.DUMMYFUNCTION("""COMPUTED_VALUE"""),586)</f>
        <v>586</v>
      </c>
      <c r="B588">
        <f ca="1">IFERROR(__xludf.DUMMYFUNCTION("""COMPUTED_VALUE"""),729)</f>
        <v>729</v>
      </c>
      <c r="C588" t="str">
        <f ca="1">IFERROR(__xludf.DUMMYFUNCTION("""COMPUTED_VALUE"""),"Karandeep Kochhar")</f>
        <v>Karandeep Kochhar</v>
      </c>
      <c r="D588">
        <f ca="1">IFERROR(__xludf.DUMMYFUNCTION("""COMPUTED_VALUE"""),40)</f>
        <v>40</v>
      </c>
      <c r="E588">
        <f ca="1">IFERROR(__xludf.DUMMYFUNCTION("""COMPUTED_VALUE"""),0.24)</f>
        <v>0.24</v>
      </c>
      <c r="F588">
        <f ca="1">IFERROR(__xludf.DUMMYFUNCTION("""COMPUTED_VALUE"""),9.47)</f>
        <v>9.4700000000000006</v>
      </c>
      <c r="G588">
        <f ca="1">IFERROR(__xludf.DUMMYFUNCTION("""COMPUTED_VALUE"""),-5.13)</f>
        <v>-5.13</v>
      </c>
      <c r="H588">
        <f ca="1">IFERROR(__xludf.DUMMYFUNCTION("""COMPUTED_VALUE"""),3)</f>
        <v>3</v>
      </c>
      <c r="I588" t="str">
        <f ca="1">IFERROR(__xludf.DUMMYFUNCTION("""COMPUTED_VALUE"""),"")</f>
        <v/>
      </c>
    </row>
    <row r="589" spans="1:9" ht="12.75">
      <c r="A589">
        <f ca="1">IFERROR(__xludf.DUMMYFUNCTION("""COMPUTED_VALUE"""),588)</f>
        <v>588</v>
      </c>
      <c r="B589">
        <f ca="1">IFERROR(__xludf.DUMMYFUNCTION("""COMPUTED_VALUE"""),583)</f>
        <v>583</v>
      </c>
      <c r="C589" t="str">
        <f ca="1">IFERROR(__xludf.DUMMYFUNCTION("""COMPUTED_VALUE"""),"Jamie Arnold")</f>
        <v>Jamie Arnold</v>
      </c>
      <c r="D589">
        <f ca="1">IFERROR(__xludf.DUMMYFUNCTION("""COMPUTED_VALUE"""),50)</f>
        <v>50</v>
      </c>
      <c r="E589">
        <f ca="1">IFERROR(__xludf.DUMMYFUNCTION("""COMPUTED_VALUE"""),0.24)</f>
        <v>0.24</v>
      </c>
      <c r="F589">
        <f ca="1">IFERROR(__xludf.DUMMYFUNCTION("""COMPUTED_VALUE"""),11.81)</f>
        <v>11.81</v>
      </c>
      <c r="G589">
        <f ca="1">IFERROR(__xludf.DUMMYFUNCTION("""COMPUTED_VALUE"""),-8.16)</f>
        <v>-8.16</v>
      </c>
      <c r="H589">
        <f ca="1">IFERROR(__xludf.DUMMYFUNCTION("""COMPUTED_VALUE"""),1.49)</f>
        <v>1.49</v>
      </c>
      <c r="I589" t="str">
        <f ca="1">IFERROR(__xludf.DUMMYFUNCTION("""COMPUTED_VALUE"""),"")</f>
        <v/>
      </c>
    </row>
    <row r="590" spans="1:9" ht="12.75">
      <c r="A590">
        <f ca="1">IFERROR(__xludf.DUMMYFUNCTION("""COMPUTED_VALUE"""),589)</f>
        <v>589</v>
      </c>
      <c r="B590">
        <f ca="1">IFERROR(__xludf.DUMMYFUNCTION("""COMPUTED_VALUE"""),586)</f>
        <v>586</v>
      </c>
      <c r="C590" t="str">
        <f ca="1">IFERROR(__xludf.DUMMYFUNCTION("""COMPUTED_VALUE"""),"George Cunningham")</f>
        <v>George Cunningham</v>
      </c>
      <c r="D590">
        <f ca="1">IFERROR(__xludf.DUMMYFUNCTION("""COMPUTED_VALUE"""),51)</f>
        <v>51</v>
      </c>
      <c r="E590">
        <f ca="1">IFERROR(__xludf.DUMMYFUNCTION("""COMPUTED_VALUE"""),0.24)</f>
        <v>0.24</v>
      </c>
      <c r="F590">
        <f ca="1">IFERROR(__xludf.DUMMYFUNCTION("""COMPUTED_VALUE"""),12)</f>
        <v>12</v>
      </c>
      <c r="G590">
        <f ca="1">IFERROR(__xludf.DUMMYFUNCTION("""COMPUTED_VALUE"""),-9.63)</f>
        <v>-9.6300000000000008</v>
      </c>
      <c r="H590">
        <f ca="1">IFERROR(__xludf.DUMMYFUNCTION("""COMPUTED_VALUE"""),9.44)</f>
        <v>9.44</v>
      </c>
      <c r="I590" t="str">
        <f ca="1">IFERROR(__xludf.DUMMYFUNCTION("""COMPUTED_VALUE"""),"")</f>
        <v/>
      </c>
    </row>
    <row r="591" spans="1:9" ht="12.75">
      <c r="A591">
        <f ca="1">IFERROR(__xludf.DUMMYFUNCTION("""COMPUTED_VALUE"""),590)</f>
        <v>590</v>
      </c>
      <c r="B591">
        <f ca="1">IFERROR(__xludf.DUMMYFUNCTION("""COMPUTED_VALUE"""),571)</f>
        <v>571</v>
      </c>
      <c r="C591" t="str">
        <f ca="1">IFERROR(__xludf.DUMMYFUNCTION("""COMPUTED_VALUE"""),"Poom Saksansin")</f>
        <v>Poom Saksansin</v>
      </c>
      <c r="D591">
        <f ca="1">IFERROR(__xludf.DUMMYFUNCTION("""COMPUTED_VALUE"""),44)</f>
        <v>44</v>
      </c>
      <c r="E591">
        <f ca="1">IFERROR(__xludf.DUMMYFUNCTION("""COMPUTED_VALUE"""),0.24)</f>
        <v>0.24</v>
      </c>
      <c r="F591">
        <f ca="1">IFERROR(__xludf.DUMMYFUNCTION("""COMPUTED_VALUE"""),10.34)</f>
        <v>10.34</v>
      </c>
      <c r="G591">
        <f ca="1">IFERROR(__xludf.DUMMYFUNCTION("""COMPUTED_VALUE"""),-17.93)</f>
        <v>-17.93</v>
      </c>
      <c r="H591">
        <f ca="1">IFERROR(__xludf.DUMMYFUNCTION("""COMPUTED_VALUE"""),4.94)</f>
        <v>4.9400000000000004</v>
      </c>
      <c r="I591" t="str">
        <f ca="1">IFERROR(__xludf.DUMMYFUNCTION("""COMPUTED_VALUE"""),"")</f>
        <v/>
      </c>
    </row>
    <row r="592" spans="1:9" ht="12.75">
      <c r="A592">
        <f ca="1">IFERROR(__xludf.DUMMYFUNCTION("""COMPUTED_VALUE"""),591)</f>
        <v>591</v>
      </c>
      <c r="B592">
        <f ca="1">IFERROR(__xludf.DUMMYFUNCTION("""COMPUTED_VALUE"""),580)</f>
        <v>580</v>
      </c>
      <c r="C592" t="str">
        <f ca="1">IFERROR(__xludf.DUMMYFUNCTION("""COMPUTED_VALUE"""),"Darren Beck")</f>
        <v>Darren Beck</v>
      </c>
      <c r="D592">
        <f ca="1">IFERROR(__xludf.DUMMYFUNCTION("""COMPUTED_VALUE"""),40)</f>
        <v>40</v>
      </c>
      <c r="E592">
        <f ca="1">IFERROR(__xludf.DUMMYFUNCTION("""COMPUTED_VALUE"""),0.23)</f>
        <v>0.23</v>
      </c>
      <c r="F592">
        <f ca="1">IFERROR(__xludf.DUMMYFUNCTION("""COMPUTED_VALUE"""),9.36)</f>
        <v>9.36</v>
      </c>
      <c r="G592">
        <f ca="1">IFERROR(__xludf.DUMMYFUNCTION("""COMPUTED_VALUE"""),-4.84)</f>
        <v>-4.84</v>
      </c>
      <c r="H592">
        <f ca="1">IFERROR(__xludf.DUMMYFUNCTION("""COMPUTED_VALUE"""),3.04)</f>
        <v>3.04</v>
      </c>
      <c r="I592" t="str">
        <f ca="1">IFERROR(__xludf.DUMMYFUNCTION("""COMPUTED_VALUE"""),"")</f>
        <v/>
      </c>
    </row>
    <row r="593" spans="1:9" ht="12.75">
      <c r="A593">
        <f ca="1">IFERROR(__xludf.DUMMYFUNCTION("""COMPUTED_VALUE"""),592)</f>
        <v>592</v>
      </c>
      <c r="B593">
        <f ca="1">IFERROR(__xludf.DUMMYFUNCTION("""COMPUTED_VALUE"""),579)</f>
        <v>579</v>
      </c>
      <c r="C593" t="str">
        <f ca="1">IFERROR(__xludf.DUMMYFUNCTION("""COMPUTED_VALUE"""),"Jean Hugo")</f>
        <v>Jean Hugo</v>
      </c>
      <c r="D593">
        <f ca="1">IFERROR(__xludf.DUMMYFUNCTION("""COMPUTED_VALUE"""),40)</f>
        <v>40</v>
      </c>
      <c r="E593">
        <f ca="1">IFERROR(__xludf.DUMMYFUNCTION("""COMPUTED_VALUE"""),0.23)</f>
        <v>0.23</v>
      </c>
      <c r="F593">
        <f ca="1">IFERROR(__xludf.DUMMYFUNCTION("""COMPUTED_VALUE"""),9.35)</f>
        <v>9.35</v>
      </c>
      <c r="G593">
        <f ca="1">IFERROR(__xludf.DUMMYFUNCTION("""COMPUTED_VALUE"""),-8.28)</f>
        <v>-8.2799999999999994</v>
      </c>
      <c r="H593">
        <f ca="1">IFERROR(__xludf.DUMMYFUNCTION("""COMPUTED_VALUE"""),1.76)</f>
        <v>1.76</v>
      </c>
      <c r="I593" t="str">
        <f ca="1">IFERROR(__xludf.DUMMYFUNCTION("""COMPUTED_VALUE"""),"")</f>
        <v/>
      </c>
    </row>
    <row r="594" spans="1:9" ht="12.75">
      <c r="A594">
        <f ca="1">IFERROR(__xludf.DUMMYFUNCTION("""COMPUTED_VALUE"""),593)</f>
        <v>593</v>
      </c>
      <c r="B594">
        <f ca="1">IFERROR(__xludf.DUMMYFUNCTION("""COMPUTED_VALUE"""),581)</f>
        <v>581</v>
      </c>
      <c r="C594" t="str">
        <f ca="1">IFERROR(__xludf.DUMMYFUNCTION("""COMPUTED_VALUE"""),"Yoseop Seo")</f>
        <v>Yoseop Seo</v>
      </c>
      <c r="D594">
        <f ca="1">IFERROR(__xludf.DUMMYFUNCTION("""COMPUTED_VALUE"""),40)</f>
        <v>40</v>
      </c>
      <c r="E594">
        <f ca="1">IFERROR(__xludf.DUMMYFUNCTION("""COMPUTED_VALUE"""),0.23)</f>
        <v>0.23</v>
      </c>
      <c r="F594">
        <f ca="1">IFERROR(__xludf.DUMMYFUNCTION("""COMPUTED_VALUE"""),9.3)</f>
        <v>9.3000000000000007</v>
      </c>
      <c r="G594">
        <f ca="1">IFERROR(__xludf.DUMMYFUNCTION("""COMPUTED_VALUE"""),-5.25)</f>
        <v>-5.25</v>
      </c>
      <c r="H594">
        <f ca="1">IFERROR(__xludf.DUMMYFUNCTION("""COMPUTED_VALUE"""),2.71)</f>
        <v>2.71</v>
      </c>
      <c r="I594" t="str">
        <f ca="1">IFERROR(__xludf.DUMMYFUNCTION("""COMPUTED_VALUE"""),"")</f>
        <v/>
      </c>
    </row>
    <row r="595" spans="1:9" ht="12.75">
      <c r="A595">
        <f ca="1">IFERROR(__xludf.DUMMYFUNCTION("""COMPUTED_VALUE"""),594)</f>
        <v>594</v>
      </c>
      <c r="B595">
        <f ca="1">IFERROR(__xludf.DUMMYFUNCTION("""COMPUTED_VALUE"""),590)</f>
        <v>590</v>
      </c>
      <c r="C595" t="str">
        <f ca="1">IFERROR(__xludf.DUMMYFUNCTION("""COMPUTED_VALUE"""),"Benjamin Henry Poke")</f>
        <v>Benjamin Henry Poke</v>
      </c>
      <c r="D595">
        <f ca="1">IFERROR(__xludf.DUMMYFUNCTION("""COMPUTED_VALUE"""),46)</f>
        <v>46</v>
      </c>
      <c r="E595">
        <f ca="1">IFERROR(__xludf.DUMMYFUNCTION("""COMPUTED_VALUE"""),0.23)</f>
        <v>0.23</v>
      </c>
      <c r="F595">
        <f ca="1">IFERROR(__xludf.DUMMYFUNCTION("""COMPUTED_VALUE"""),10.69)</f>
        <v>10.69</v>
      </c>
      <c r="G595">
        <f ca="1">IFERROR(__xludf.DUMMYFUNCTION("""COMPUTED_VALUE"""),-7.78)</f>
        <v>-7.78</v>
      </c>
      <c r="H595">
        <f ca="1">IFERROR(__xludf.DUMMYFUNCTION("""COMPUTED_VALUE"""),3.06)</f>
        <v>3.06</v>
      </c>
      <c r="I595" t="str">
        <f ca="1">IFERROR(__xludf.DUMMYFUNCTION("""COMPUTED_VALUE"""),"")</f>
        <v/>
      </c>
    </row>
    <row r="596" spans="1:9" ht="12.75">
      <c r="A596">
        <f ca="1">IFERROR(__xludf.DUMMYFUNCTION("""COMPUTED_VALUE"""),595)</f>
        <v>595</v>
      </c>
      <c r="B596">
        <f ca="1">IFERROR(__xludf.DUMMYFUNCTION("""COMPUTED_VALUE"""),582)</f>
        <v>582</v>
      </c>
      <c r="C596" t="str">
        <f ca="1">IFERROR(__xludf.DUMMYFUNCTION("""COMPUTED_VALUE"""),"Lorenzo Scalise")</f>
        <v>Lorenzo Scalise</v>
      </c>
      <c r="D596">
        <f ca="1">IFERROR(__xludf.DUMMYFUNCTION("""COMPUTED_VALUE"""),45)</f>
        <v>45</v>
      </c>
      <c r="E596">
        <f ca="1">IFERROR(__xludf.DUMMYFUNCTION("""COMPUTED_VALUE"""),0.23)</f>
        <v>0.23</v>
      </c>
      <c r="F596">
        <f ca="1">IFERROR(__xludf.DUMMYFUNCTION("""COMPUTED_VALUE"""),10.44)</f>
        <v>10.44</v>
      </c>
      <c r="G596">
        <f ca="1">IFERROR(__xludf.DUMMYFUNCTION("""COMPUTED_VALUE"""),-6.51)</f>
        <v>-6.51</v>
      </c>
      <c r="H596">
        <f ca="1">IFERROR(__xludf.DUMMYFUNCTION("""COMPUTED_VALUE"""),3.76)</f>
        <v>3.76</v>
      </c>
      <c r="I596" t="str">
        <f ca="1">IFERROR(__xludf.DUMMYFUNCTION("""COMPUTED_VALUE"""),"")</f>
        <v/>
      </c>
    </row>
    <row r="597" spans="1:9" ht="12.75">
      <c r="A597">
        <f ca="1">IFERROR(__xludf.DUMMYFUNCTION("""COMPUTED_VALUE"""),596)</f>
        <v>596</v>
      </c>
      <c r="B597">
        <f ca="1">IFERROR(__xludf.DUMMYFUNCTION("""COMPUTED_VALUE"""),585)</f>
        <v>585</v>
      </c>
      <c r="C597" t="str">
        <f ca="1">IFERROR(__xludf.DUMMYFUNCTION("""COMPUTED_VALUE"""),"Tomoyo Ikemura")</f>
        <v>Tomoyo Ikemura</v>
      </c>
      <c r="D597">
        <f ca="1">IFERROR(__xludf.DUMMYFUNCTION("""COMPUTED_VALUE"""),40)</f>
        <v>40</v>
      </c>
      <c r="E597">
        <f ca="1">IFERROR(__xludf.DUMMYFUNCTION("""COMPUTED_VALUE"""),0.23)</f>
        <v>0.23</v>
      </c>
      <c r="F597">
        <f ca="1">IFERROR(__xludf.DUMMYFUNCTION("""COMPUTED_VALUE"""),9.28)</f>
        <v>9.2799999999999994</v>
      </c>
      <c r="G597">
        <f ca="1">IFERROR(__xludf.DUMMYFUNCTION("""COMPUTED_VALUE"""),-6.01)</f>
        <v>-6.01</v>
      </c>
      <c r="H597">
        <f ca="1">IFERROR(__xludf.DUMMYFUNCTION("""COMPUTED_VALUE"""),5.63)</f>
        <v>5.63</v>
      </c>
      <c r="I597" t="str">
        <f ca="1">IFERROR(__xludf.DUMMYFUNCTION("""COMPUTED_VALUE"""),"")</f>
        <v/>
      </c>
    </row>
    <row r="598" spans="1:9" ht="12.75">
      <c r="A598">
        <f ca="1">IFERROR(__xludf.DUMMYFUNCTION("""COMPUTED_VALUE"""),597)</f>
        <v>597</v>
      </c>
      <c r="B598">
        <f ca="1">IFERROR(__xludf.DUMMYFUNCTION("""COMPUTED_VALUE"""),584)</f>
        <v>584</v>
      </c>
      <c r="C598" t="str">
        <f ca="1">IFERROR(__xludf.DUMMYFUNCTION("""COMPUTED_VALUE"""),"Callum Tarren")</f>
        <v>Callum Tarren</v>
      </c>
      <c r="D598">
        <f ca="1">IFERROR(__xludf.DUMMYFUNCTION("""COMPUTED_VALUE"""),52)</f>
        <v>52</v>
      </c>
      <c r="E598">
        <f ca="1">IFERROR(__xludf.DUMMYFUNCTION("""COMPUTED_VALUE"""),0.23)</f>
        <v>0.23</v>
      </c>
      <c r="F598">
        <f ca="1">IFERROR(__xludf.DUMMYFUNCTION("""COMPUTED_VALUE"""),12.05)</f>
        <v>12.05</v>
      </c>
      <c r="G598">
        <f ca="1">IFERROR(__xludf.DUMMYFUNCTION("""COMPUTED_VALUE"""),-6.94)</f>
        <v>-6.94</v>
      </c>
      <c r="H598">
        <f ca="1">IFERROR(__xludf.DUMMYFUNCTION("""COMPUTED_VALUE"""),11.75)</f>
        <v>11.75</v>
      </c>
      <c r="I598" t="str">
        <f ca="1">IFERROR(__xludf.DUMMYFUNCTION("""COMPUTED_VALUE"""),"")</f>
        <v/>
      </c>
    </row>
    <row r="599" spans="1:9" ht="12.75">
      <c r="A599">
        <f ca="1">IFERROR(__xludf.DUMMYFUNCTION("""COMPUTED_VALUE"""),598)</f>
        <v>598</v>
      </c>
      <c r="B599">
        <f ca="1">IFERROR(__xludf.DUMMYFUNCTION("""COMPUTED_VALUE"""),589)</f>
        <v>589</v>
      </c>
      <c r="C599" t="str">
        <f ca="1">IFERROR(__xludf.DUMMYFUNCTION("""COMPUTED_VALUE"""),"Nick Voke")</f>
        <v>Nick Voke</v>
      </c>
      <c r="D599">
        <f ca="1">IFERROR(__xludf.DUMMYFUNCTION("""COMPUTED_VALUE"""),44)</f>
        <v>44</v>
      </c>
      <c r="E599">
        <f ca="1">IFERROR(__xludf.DUMMYFUNCTION("""COMPUTED_VALUE"""),0.23)</f>
        <v>0.23</v>
      </c>
      <c r="F599">
        <f ca="1">IFERROR(__xludf.DUMMYFUNCTION("""COMPUTED_VALUE"""),10.14)</f>
        <v>10.14</v>
      </c>
      <c r="G599">
        <f ca="1">IFERROR(__xludf.DUMMYFUNCTION("""COMPUTED_VALUE"""),-10.49)</f>
        <v>-10.49</v>
      </c>
      <c r="H599">
        <f ca="1">IFERROR(__xludf.DUMMYFUNCTION("""COMPUTED_VALUE"""),8.32)</f>
        <v>8.32</v>
      </c>
      <c r="I599" t="str">
        <f ca="1">IFERROR(__xludf.DUMMYFUNCTION("""COMPUTED_VALUE"""),"")</f>
        <v/>
      </c>
    </row>
    <row r="600" spans="1:9" ht="12.75">
      <c r="A600">
        <f ca="1">IFERROR(__xludf.DUMMYFUNCTION("""COMPUTED_VALUE"""),599)</f>
        <v>599</v>
      </c>
      <c r="B600">
        <f ca="1">IFERROR(__xludf.DUMMYFUNCTION("""COMPUTED_VALUE"""),647)</f>
        <v>647</v>
      </c>
      <c r="C600" t="str">
        <f ca="1">IFERROR(__xludf.DUMMYFUNCTION("""COMPUTED_VALUE"""),"John Huh")</f>
        <v>John Huh</v>
      </c>
      <c r="D600">
        <f ca="1">IFERROR(__xludf.DUMMYFUNCTION("""COMPUTED_VALUE"""),40)</f>
        <v>40</v>
      </c>
      <c r="E600">
        <f ca="1">IFERROR(__xludf.DUMMYFUNCTION("""COMPUTED_VALUE"""),0.23)</f>
        <v>0.23</v>
      </c>
      <c r="F600">
        <f ca="1">IFERROR(__xludf.DUMMYFUNCTION("""COMPUTED_VALUE"""),9.21)</f>
        <v>9.2100000000000009</v>
      </c>
      <c r="G600">
        <f ca="1">IFERROR(__xludf.DUMMYFUNCTION("""COMPUTED_VALUE"""),-6.13)</f>
        <v>-6.13</v>
      </c>
      <c r="H600">
        <f ca="1">IFERROR(__xludf.DUMMYFUNCTION("""COMPUTED_VALUE"""),8.2)</f>
        <v>8.1999999999999993</v>
      </c>
      <c r="I600" t="str">
        <f ca="1">IFERROR(__xludf.DUMMYFUNCTION("""COMPUTED_VALUE"""),"")</f>
        <v/>
      </c>
    </row>
    <row r="601" spans="1:9" ht="12.75">
      <c r="A601">
        <f ca="1">IFERROR(__xludf.DUMMYFUNCTION("""COMPUTED_VALUE"""),600)</f>
        <v>600</v>
      </c>
      <c r="B601">
        <f ca="1">IFERROR(__xludf.DUMMYFUNCTION("""COMPUTED_VALUE"""),588)</f>
        <v>588</v>
      </c>
      <c r="C601" t="str">
        <f ca="1">IFERROR(__xludf.DUMMYFUNCTION("""COMPUTED_VALUE"""),"Matias Calderon")</f>
        <v>Matias Calderon</v>
      </c>
      <c r="D601">
        <f ca="1">IFERROR(__xludf.DUMMYFUNCTION("""COMPUTED_VALUE"""),40)</f>
        <v>40</v>
      </c>
      <c r="E601">
        <f ca="1">IFERROR(__xludf.DUMMYFUNCTION("""COMPUTED_VALUE"""),0.23)</f>
        <v>0.23</v>
      </c>
      <c r="F601">
        <f ca="1">IFERROR(__xludf.DUMMYFUNCTION("""COMPUTED_VALUE"""),9.2)</f>
        <v>9.1999999999999993</v>
      </c>
      <c r="G601">
        <f ca="1">IFERROR(__xludf.DUMMYFUNCTION("""COMPUTED_VALUE"""),-5.12)</f>
        <v>-5.12</v>
      </c>
      <c r="H601">
        <f ca="1">IFERROR(__xludf.DUMMYFUNCTION("""COMPUTED_VALUE"""),9.73)</f>
        <v>9.73</v>
      </c>
      <c r="I601" t="str">
        <f ca="1">IFERROR(__xludf.DUMMYFUNCTION("""COMPUTED_VALUE"""),"")</f>
        <v/>
      </c>
    </row>
    <row r="602" spans="1:9" ht="12.75">
      <c r="A602">
        <f ca="1">IFERROR(__xludf.DUMMYFUNCTION("""COMPUTED_VALUE"""),601)</f>
        <v>601</v>
      </c>
      <c r="B602">
        <f ca="1">IFERROR(__xludf.DUMMYFUNCTION("""COMPUTED_VALUE"""),587)</f>
        <v>587</v>
      </c>
      <c r="C602" t="str">
        <f ca="1">IFERROR(__xludf.DUMMYFUNCTION("""COMPUTED_VALUE"""),"Jinichiro Kozuma")</f>
        <v>Jinichiro Kozuma</v>
      </c>
      <c r="D602">
        <f ca="1">IFERROR(__xludf.DUMMYFUNCTION("""COMPUTED_VALUE"""),41)</f>
        <v>41</v>
      </c>
      <c r="E602">
        <f ca="1">IFERROR(__xludf.DUMMYFUNCTION("""COMPUTED_VALUE"""),0.23)</f>
        <v>0.23</v>
      </c>
      <c r="F602">
        <f ca="1">IFERROR(__xludf.DUMMYFUNCTION("""COMPUTED_VALUE"""),9.41)</f>
        <v>9.41</v>
      </c>
      <c r="G602">
        <f ca="1">IFERROR(__xludf.DUMMYFUNCTION("""COMPUTED_VALUE"""),-6.99)</f>
        <v>-6.99</v>
      </c>
      <c r="H602">
        <f ca="1">IFERROR(__xludf.DUMMYFUNCTION("""COMPUTED_VALUE"""),1.42)</f>
        <v>1.42</v>
      </c>
      <c r="I602" t="str">
        <f ca="1">IFERROR(__xludf.DUMMYFUNCTION("""COMPUTED_VALUE"""),"")</f>
        <v/>
      </c>
    </row>
    <row r="603" spans="1:9" ht="12.75">
      <c r="A603">
        <f ca="1">IFERROR(__xludf.DUMMYFUNCTION("""COMPUTED_VALUE"""),602)</f>
        <v>602</v>
      </c>
      <c r="B603">
        <f ca="1">IFERROR(__xludf.DUMMYFUNCTION("""COMPUTED_VALUE"""),594)</f>
        <v>594</v>
      </c>
      <c r="C603" t="str">
        <f ca="1">IFERROR(__xludf.DUMMYFUNCTION("""COMPUTED_VALUE"""),"Jarand Ekeland Arnoy")</f>
        <v>Jarand Ekeland Arnoy</v>
      </c>
      <c r="D603">
        <f ca="1">IFERROR(__xludf.DUMMYFUNCTION("""COMPUTED_VALUE"""),40)</f>
        <v>40</v>
      </c>
      <c r="E603">
        <f ca="1">IFERROR(__xludf.DUMMYFUNCTION("""COMPUTED_VALUE"""),0.23)</f>
        <v>0.23</v>
      </c>
      <c r="F603">
        <f ca="1">IFERROR(__xludf.DUMMYFUNCTION("""COMPUTED_VALUE"""),9.1)</f>
        <v>9.1</v>
      </c>
      <c r="G603">
        <f ca="1">IFERROR(__xludf.DUMMYFUNCTION("""COMPUTED_VALUE"""),-2.73)</f>
        <v>-2.73</v>
      </c>
      <c r="H603">
        <f ca="1">IFERROR(__xludf.DUMMYFUNCTION("""COMPUTED_VALUE"""),6)</f>
        <v>6</v>
      </c>
      <c r="I603" t="str">
        <f ca="1">IFERROR(__xludf.DUMMYFUNCTION("""COMPUTED_VALUE"""),"")</f>
        <v/>
      </c>
    </row>
    <row r="604" spans="1:9" ht="12.75">
      <c r="A604">
        <f ca="1">IFERROR(__xludf.DUMMYFUNCTION("""COMPUTED_VALUE"""),603)</f>
        <v>603</v>
      </c>
      <c r="B604">
        <f ca="1">IFERROR(__xludf.DUMMYFUNCTION("""COMPUTED_VALUE"""),592)</f>
        <v>592</v>
      </c>
      <c r="C604" t="str">
        <f ca="1">IFERROR(__xludf.DUMMYFUNCTION("""COMPUTED_VALUE"""),"Rory Hie")</f>
        <v>Rory Hie</v>
      </c>
      <c r="D604">
        <f ca="1">IFERROR(__xludf.DUMMYFUNCTION("""COMPUTED_VALUE"""),40)</f>
        <v>40</v>
      </c>
      <c r="E604">
        <f ca="1">IFERROR(__xludf.DUMMYFUNCTION("""COMPUTED_VALUE"""),0.23)</f>
        <v>0.23</v>
      </c>
      <c r="F604">
        <f ca="1">IFERROR(__xludf.DUMMYFUNCTION("""COMPUTED_VALUE"""),9.1)</f>
        <v>9.1</v>
      </c>
      <c r="G604">
        <f ca="1">IFERROR(__xludf.DUMMYFUNCTION("""COMPUTED_VALUE"""),-5.05)</f>
        <v>-5.05</v>
      </c>
      <c r="H604">
        <f ca="1">IFERROR(__xludf.DUMMYFUNCTION("""COMPUTED_VALUE"""),0)</f>
        <v>0</v>
      </c>
      <c r="I604" t="str">
        <f ca="1">IFERROR(__xludf.DUMMYFUNCTION("""COMPUTED_VALUE"""),"")</f>
        <v/>
      </c>
    </row>
    <row r="605" spans="1:9" ht="12.75">
      <c r="A605">
        <f ca="1">IFERROR(__xludf.DUMMYFUNCTION("""COMPUTED_VALUE"""),604)</f>
        <v>604</v>
      </c>
      <c r="B605">
        <f ca="1">IFERROR(__xludf.DUMMYFUNCTION("""COMPUTED_VALUE"""),591)</f>
        <v>591</v>
      </c>
      <c r="C605" t="str">
        <f ca="1">IFERROR(__xludf.DUMMYFUNCTION("""COMPUTED_VALUE"""),"Eirik Tage Johansen")</f>
        <v>Eirik Tage Johansen</v>
      </c>
      <c r="D605">
        <f ca="1">IFERROR(__xludf.DUMMYFUNCTION("""COMPUTED_VALUE"""),40)</f>
        <v>40</v>
      </c>
      <c r="E605">
        <f ca="1">IFERROR(__xludf.DUMMYFUNCTION("""COMPUTED_VALUE"""),0.23)</f>
        <v>0.23</v>
      </c>
      <c r="F605">
        <f ca="1">IFERROR(__xludf.DUMMYFUNCTION("""COMPUTED_VALUE"""),9.08)</f>
        <v>9.08</v>
      </c>
      <c r="G605">
        <f ca="1">IFERROR(__xludf.DUMMYFUNCTION("""COMPUTED_VALUE"""),-9.2)</f>
        <v>-9.1999999999999993</v>
      </c>
      <c r="H605">
        <f ca="1">IFERROR(__xludf.DUMMYFUNCTION("""COMPUTED_VALUE"""),1.23)</f>
        <v>1.23</v>
      </c>
      <c r="I605" t="str">
        <f ca="1">IFERROR(__xludf.DUMMYFUNCTION("""COMPUTED_VALUE"""),"")</f>
        <v/>
      </c>
    </row>
    <row r="606" spans="1:9" ht="12.75">
      <c r="A606">
        <f ca="1">IFERROR(__xludf.DUMMYFUNCTION("""COMPUTED_VALUE"""),605)</f>
        <v>605</v>
      </c>
      <c r="B606">
        <f ca="1">IFERROR(__xludf.DUMMYFUNCTION("""COMPUTED_VALUE"""),596)</f>
        <v>596</v>
      </c>
      <c r="C606" t="str">
        <f ca="1">IFERROR(__xludf.DUMMYFUNCTION("""COMPUTED_VALUE"""),"Chase Johnson")</f>
        <v>Chase Johnson</v>
      </c>
      <c r="D606">
        <f ca="1">IFERROR(__xludf.DUMMYFUNCTION("""COMPUTED_VALUE"""),40)</f>
        <v>40</v>
      </c>
      <c r="E606">
        <f ca="1">IFERROR(__xludf.DUMMYFUNCTION("""COMPUTED_VALUE"""),0.23)</f>
        <v>0.23</v>
      </c>
      <c r="F606">
        <f ca="1">IFERROR(__xludf.DUMMYFUNCTION("""COMPUTED_VALUE"""),9.06)</f>
        <v>9.06</v>
      </c>
      <c r="G606">
        <f ca="1">IFERROR(__xludf.DUMMYFUNCTION("""COMPUTED_VALUE"""),-0.55)</f>
        <v>-0.55000000000000004</v>
      </c>
      <c r="H606">
        <f ca="1">IFERROR(__xludf.DUMMYFUNCTION("""COMPUTED_VALUE"""),9.61)</f>
        <v>9.61</v>
      </c>
      <c r="I606" t="str">
        <f ca="1">IFERROR(__xludf.DUMMYFUNCTION("""COMPUTED_VALUE"""),"")</f>
        <v/>
      </c>
    </row>
    <row r="607" spans="1:9" ht="12.75">
      <c r="A607">
        <f ca="1">IFERROR(__xludf.DUMMYFUNCTION("""COMPUTED_VALUE"""),606)</f>
        <v>606</v>
      </c>
      <c r="B607">
        <f ca="1">IFERROR(__xludf.DUMMYFUNCTION("""COMPUTED_VALUE"""),597)</f>
        <v>597</v>
      </c>
      <c r="C607" t="str">
        <f ca="1">IFERROR(__xludf.DUMMYFUNCTION("""COMPUTED_VALUE"""),"Tomoyasu Sugiyama")</f>
        <v>Tomoyasu Sugiyama</v>
      </c>
      <c r="D607">
        <f ca="1">IFERROR(__xludf.DUMMYFUNCTION("""COMPUTED_VALUE"""),40)</f>
        <v>40</v>
      </c>
      <c r="E607">
        <f ca="1">IFERROR(__xludf.DUMMYFUNCTION("""COMPUTED_VALUE"""),0.23)</f>
        <v>0.23</v>
      </c>
      <c r="F607">
        <f ca="1">IFERROR(__xludf.DUMMYFUNCTION("""COMPUTED_VALUE"""),9.04)</f>
        <v>9.0399999999999991</v>
      </c>
      <c r="G607">
        <f ca="1">IFERROR(__xludf.DUMMYFUNCTION("""COMPUTED_VALUE"""),-3.67)</f>
        <v>-3.67</v>
      </c>
      <c r="H607">
        <f ca="1">IFERROR(__xludf.DUMMYFUNCTION("""COMPUTED_VALUE"""),4.57)</f>
        <v>4.57</v>
      </c>
      <c r="I607" t="str">
        <f ca="1">IFERROR(__xludf.DUMMYFUNCTION("""COMPUTED_VALUE"""),"")</f>
        <v/>
      </c>
    </row>
    <row r="608" spans="1:9" ht="12.75">
      <c r="A608">
        <f ca="1">IFERROR(__xludf.DUMMYFUNCTION("""COMPUTED_VALUE"""),607)</f>
        <v>607</v>
      </c>
      <c r="B608">
        <f ca="1">IFERROR(__xludf.DUMMYFUNCTION("""COMPUTED_VALUE"""),597)</f>
        <v>597</v>
      </c>
      <c r="C608" t="str">
        <f ca="1">IFERROR(__xludf.DUMMYFUNCTION("""COMPUTED_VALUE"""),"Tyson Alexander")</f>
        <v>Tyson Alexander</v>
      </c>
      <c r="D608">
        <f ca="1">IFERROR(__xludf.DUMMYFUNCTION("""COMPUTED_VALUE"""),49)</f>
        <v>49</v>
      </c>
      <c r="E608">
        <f ca="1">IFERROR(__xludf.DUMMYFUNCTION("""COMPUTED_VALUE"""),0.23)</f>
        <v>0.23</v>
      </c>
      <c r="F608">
        <f ca="1">IFERROR(__xludf.DUMMYFUNCTION("""COMPUTED_VALUE"""),11.04)</f>
        <v>11.04</v>
      </c>
      <c r="G608">
        <f ca="1">IFERROR(__xludf.DUMMYFUNCTION("""COMPUTED_VALUE"""),-5.27)</f>
        <v>-5.27</v>
      </c>
      <c r="H608">
        <f ca="1">IFERROR(__xludf.DUMMYFUNCTION("""COMPUTED_VALUE"""),6.97)</f>
        <v>6.97</v>
      </c>
      <c r="I608" t="str">
        <f ca="1">IFERROR(__xludf.DUMMYFUNCTION("""COMPUTED_VALUE"""),"")</f>
        <v/>
      </c>
    </row>
    <row r="609" spans="1:9" ht="12.75">
      <c r="A609">
        <f ca="1">IFERROR(__xludf.DUMMYFUNCTION("""COMPUTED_VALUE"""),608)</f>
        <v>608</v>
      </c>
      <c r="B609">
        <f ca="1">IFERROR(__xludf.DUMMYFUNCTION("""COMPUTED_VALUE"""),595)</f>
        <v>595</v>
      </c>
      <c r="C609" t="str">
        <f ca="1">IFERROR(__xludf.DUMMYFUNCTION("""COMPUTED_VALUE"""),"Edoardo Raffael Lipparelli")</f>
        <v>Edoardo Raffael Lipparelli</v>
      </c>
      <c r="D609">
        <f ca="1">IFERROR(__xludf.DUMMYFUNCTION("""COMPUTED_VALUE"""),40)</f>
        <v>40</v>
      </c>
      <c r="E609">
        <f ca="1">IFERROR(__xludf.DUMMYFUNCTION("""COMPUTED_VALUE"""),0.22)</f>
        <v>0.22</v>
      </c>
      <c r="F609">
        <f ca="1">IFERROR(__xludf.DUMMYFUNCTION("""COMPUTED_VALUE"""),8.96)</f>
        <v>8.9600000000000009</v>
      </c>
      <c r="G609">
        <f ca="1">IFERROR(__xludf.DUMMYFUNCTION("""COMPUTED_VALUE"""),-6.59)</f>
        <v>-6.59</v>
      </c>
      <c r="H609">
        <f ca="1">IFERROR(__xludf.DUMMYFUNCTION("""COMPUTED_VALUE"""),0)</f>
        <v>0</v>
      </c>
      <c r="I609" t="str">
        <f ca="1">IFERROR(__xludf.DUMMYFUNCTION("""COMPUTED_VALUE"""),"")</f>
        <v/>
      </c>
    </row>
    <row r="610" spans="1:9" ht="12.75">
      <c r="A610">
        <f ca="1">IFERROR(__xludf.DUMMYFUNCTION("""COMPUTED_VALUE"""),609)</f>
        <v>609</v>
      </c>
      <c r="B610">
        <f ca="1">IFERROR(__xludf.DUMMYFUNCTION("""COMPUTED_VALUE"""),614)</f>
        <v>614</v>
      </c>
      <c r="C610" t="str">
        <f ca="1">IFERROR(__xludf.DUMMYFUNCTION("""COMPUTED_VALUE"""),"Grant Hirschman")</f>
        <v>Grant Hirschman</v>
      </c>
      <c r="D610">
        <f ca="1">IFERROR(__xludf.DUMMYFUNCTION("""COMPUTED_VALUE"""),41)</f>
        <v>41</v>
      </c>
      <c r="E610">
        <f ca="1">IFERROR(__xludf.DUMMYFUNCTION("""COMPUTED_VALUE"""),0.22)</f>
        <v>0.22</v>
      </c>
      <c r="F610">
        <f ca="1">IFERROR(__xludf.DUMMYFUNCTION("""COMPUTED_VALUE"""),9.12)</f>
        <v>9.1199999999999992</v>
      </c>
      <c r="G610">
        <f ca="1">IFERROR(__xludf.DUMMYFUNCTION("""COMPUTED_VALUE"""),-2.86)</f>
        <v>-2.86</v>
      </c>
      <c r="H610">
        <f ca="1">IFERROR(__xludf.DUMMYFUNCTION("""COMPUTED_VALUE"""),7.01)</f>
        <v>7.01</v>
      </c>
      <c r="I610" t="str">
        <f ca="1">IFERROR(__xludf.DUMMYFUNCTION("""COMPUTED_VALUE"""),"")</f>
        <v/>
      </c>
    </row>
    <row r="611" spans="1:9" ht="12.75">
      <c r="A611">
        <f ca="1">IFERROR(__xludf.DUMMYFUNCTION("""COMPUTED_VALUE"""),610)</f>
        <v>610</v>
      </c>
      <c r="B611">
        <f ca="1">IFERROR(__xludf.DUMMYFUNCTION("""COMPUTED_VALUE"""),602)</f>
        <v>602</v>
      </c>
      <c r="C611" t="str">
        <f ca="1">IFERROR(__xludf.DUMMYFUNCTION("""COMPUTED_VALUE"""),"Allen John")</f>
        <v>Allen John</v>
      </c>
      <c r="D611">
        <f ca="1">IFERROR(__xludf.DUMMYFUNCTION("""COMPUTED_VALUE"""),40)</f>
        <v>40</v>
      </c>
      <c r="E611">
        <f ca="1">IFERROR(__xludf.DUMMYFUNCTION("""COMPUTED_VALUE"""),0.22)</f>
        <v>0.22</v>
      </c>
      <c r="F611">
        <f ca="1">IFERROR(__xludf.DUMMYFUNCTION("""COMPUTED_VALUE"""),8.88)</f>
        <v>8.8800000000000008</v>
      </c>
      <c r="G611">
        <f ca="1">IFERROR(__xludf.DUMMYFUNCTION("""COMPUTED_VALUE"""),-8.98)</f>
        <v>-8.98</v>
      </c>
      <c r="H611">
        <f ca="1">IFERROR(__xludf.DUMMYFUNCTION("""COMPUTED_VALUE"""),5.75)</f>
        <v>5.75</v>
      </c>
      <c r="I611" t="str">
        <f ca="1">IFERROR(__xludf.DUMMYFUNCTION("""COMPUTED_VALUE"""),"")</f>
        <v/>
      </c>
    </row>
    <row r="612" spans="1:9" ht="12.75">
      <c r="A612">
        <f ca="1">IFERROR(__xludf.DUMMYFUNCTION("""COMPUTED_VALUE"""),611)</f>
        <v>611</v>
      </c>
      <c r="B612">
        <f ca="1">IFERROR(__xludf.DUMMYFUNCTION("""COMPUTED_VALUE"""),599)</f>
        <v>599</v>
      </c>
      <c r="C612" t="str">
        <f ca="1">IFERROR(__xludf.DUMMYFUNCTION("""COMPUTED_VALUE"""),"Johnson Wagner")</f>
        <v>Johnson Wagner</v>
      </c>
      <c r="D612">
        <f ca="1">IFERROR(__xludf.DUMMYFUNCTION("""COMPUTED_VALUE"""),40)</f>
        <v>40</v>
      </c>
      <c r="E612">
        <f ca="1">IFERROR(__xludf.DUMMYFUNCTION("""COMPUTED_VALUE"""),0.22)</f>
        <v>0.22</v>
      </c>
      <c r="F612">
        <f ca="1">IFERROR(__xludf.DUMMYFUNCTION("""COMPUTED_VALUE"""),8.87)</f>
        <v>8.8699999999999992</v>
      </c>
      <c r="G612">
        <f ca="1">IFERROR(__xludf.DUMMYFUNCTION("""COMPUTED_VALUE"""),-12.32)</f>
        <v>-12.32</v>
      </c>
      <c r="H612">
        <f ca="1">IFERROR(__xludf.DUMMYFUNCTION("""COMPUTED_VALUE"""),0)</f>
        <v>0</v>
      </c>
      <c r="I612" t="str">
        <f ca="1">IFERROR(__xludf.DUMMYFUNCTION("""COMPUTED_VALUE"""),"")</f>
        <v/>
      </c>
    </row>
    <row r="613" spans="1:9" ht="12.75">
      <c r="A613">
        <f ca="1">IFERROR(__xludf.DUMMYFUNCTION("""COMPUTED_VALUE"""),612)</f>
        <v>612</v>
      </c>
      <c r="B613">
        <f ca="1">IFERROR(__xludf.DUMMYFUNCTION("""COMPUTED_VALUE"""),604)</f>
        <v>604</v>
      </c>
      <c r="C613" t="str">
        <f ca="1">IFERROR(__xludf.DUMMYFUNCTION("""COMPUTED_VALUE"""),"Akio Sadakata")</f>
        <v>Akio Sadakata</v>
      </c>
      <c r="D613">
        <f ca="1">IFERROR(__xludf.DUMMYFUNCTION("""COMPUTED_VALUE"""),40)</f>
        <v>40</v>
      </c>
      <c r="E613">
        <f ca="1">IFERROR(__xludf.DUMMYFUNCTION("""COMPUTED_VALUE"""),0.22)</f>
        <v>0.22</v>
      </c>
      <c r="F613">
        <f ca="1">IFERROR(__xludf.DUMMYFUNCTION("""COMPUTED_VALUE"""),8.86)</f>
        <v>8.86</v>
      </c>
      <c r="G613">
        <f ca="1">IFERROR(__xludf.DUMMYFUNCTION("""COMPUTED_VALUE"""),-5.83)</f>
        <v>-5.83</v>
      </c>
      <c r="H613">
        <f ca="1">IFERROR(__xludf.DUMMYFUNCTION("""COMPUTED_VALUE"""),0)</f>
        <v>0</v>
      </c>
      <c r="I613" t="str">
        <f ca="1">IFERROR(__xludf.DUMMYFUNCTION("""COMPUTED_VALUE"""),"")</f>
        <v/>
      </c>
    </row>
    <row r="614" spans="1:9" ht="12.75">
      <c r="A614">
        <f ca="1">IFERROR(__xludf.DUMMYFUNCTION("""COMPUTED_VALUE"""),613)</f>
        <v>613</v>
      </c>
      <c r="B614">
        <f ca="1">IFERROR(__xludf.DUMMYFUNCTION("""COMPUTED_VALUE"""),600)</f>
        <v>600</v>
      </c>
      <c r="C614" t="str">
        <f ca="1">IFERROR(__xludf.DUMMYFUNCTION("""COMPUTED_VALUE"""),"Martin Trainer")</f>
        <v>Martin Trainer</v>
      </c>
      <c r="D614">
        <f ca="1">IFERROR(__xludf.DUMMYFUNCTION("""COMPUTED_VALUE"""),52)</f>
        <v>52</v>
      </c>
      <c r="E614">
        <f ca="1">IFERROR(__xludf.DUMMYFUNCTION("""COMPUTED_VALUE"""),0.22)</f>
        <v>0.22</v>
      </c>
      <c r="F614">
        <f ca="1">IFERROR(__xludf.DUMMYFUNCTION("""COMPUTED_VALUE"""),11.51)</f>
        <v>11.51</v>
      </c>
      <c r="G614">
        <f ca="1">IFERROR(__xludf.DUMMYFUNCTION("""COMPUTED_VALUE"""),-17.63)</f>
        <v>-17.63</v>
      </c>
      <c r="H614">
        <f ca="1">IFERROR(__xludf.DUMMYFUNCTION("""COMPUTED_VALUE"""),3.82)</f>
        <v>3.82</v>
      </c>
      <c r="I614" t="str">
        <f ca="1">IFERROR(__xludf.DUMMYFUNCTION("""COMPUTED_VALUE"""),"")</f>
        <v/>
      </c>
    </row>
    <row r="615" spans="1:9" ht="12.75">
      <c r="A615">
        <f ca="1">IFERROR(__xludf.DUMMYFUNCTION("""COMPUTED_VALUE"""),614)</f>
        <v>614</v>
      </c>
      <c r="B615">
        <f ca="1">IFERROR(__xludf.DUMMYFUNCTION("""COMPUTED_VALUE"""),603)</f>
        <v>603</v>
      </c>
      <c r="C615" t="str">
        <f ca="1">IFERROR(__xludf.DUMMYFUNCTION("""COMPUTED_VALUE"""),"Panuphol Pittayarat")</f>
        <v>Panuphol Pittayarat</v>
      </c>
      <c r="D615">
        <f ca="1">IFERROR(__xludf.DUMMYFUNCTION("""COMPUTED_VALUE"""),43)</f>
        <v>43</v>
      </c>
      <c r="E615">
        <f ca="1">IFERROR(__xludf.DUMMYFUNCTION("""COMPUTED_VALUE"""),0.22)</f>
        <v>0.22</v>
      </c>
      <c r="F615">
        <f ca="1">IFERROR(__xludf.DUMMYFUNCTION("""COMPUTED_VALUE"""),9.46)</f>
        <v>9.4600000000000009</v>
      </c>
      <c r="G615">
        <f ca="1">IFERROR(__xludf.DUMMYFUNCTION("""COMPUTED_VALUE"""),-12.78)</f>
        <v>-12.78</v>
      </c>
      <c r="H615">
        <f ca="1">IFERROR(__xludf.DUMMYFUNCTION("""COMPUTED_VALUE"""),1.8)</f>
        <v>1.8</v>
      </c>
      <c r="I615" t="str">
        <f ca="1">IFERROR(__xludf.DUMMYFUNCTION("""COMPUTED_VALUE"""),"")</f>
        <v/>
      </c>
    </row>
    <row r="616" spans="1:9" ht="12.75">
      <c r="A616">
        <f ca="1">IFERROR(__xludf.DUMMYFUNCTION("""COMPUTED_VALUE"""),615)</f>
        <v>615</v>
      </c>
      <c r="B616">
        <f ca="1">IFERROR(__xludf.DUMMYFUNCTION("""COMPUTED_VALUE"""),619)</f>
        <v>619</v>
      </c>
      <c r="C616" t="str">
        <f ca="1">IFERROR(__xludf.DUMMYFUNCTION("""COMPUTED_VALUE"""),"Max Greyserman")</f>
        <v>Max Greyserman</v>
      </c>
      <c r="D616">
        <f ca="1">IFERROR(__xludf.DUMMYFUNCTION("""COMPUTED_VALUE"""),40)</f>
        <v>40</v>
      </c>
      <c r="E616">
        <f ca="1">IFERROR(__xludf.DUMMYFUNCTION("""COMPUTED_VALUE"""),0.22)</f>
        <v>0.22</v>
      </c>
      <c r="F616">
        <f ca="1">IFERROR(__xludf.DUMMYFUNCTION("""COMPUTED_VALUE"""),8.77)</f>
        <v>8.77</v>
      </c>
      <c r="G616">
        <f ca="1">IFERROR(__xludf.DUMMYFUNCTION("""COMPUTED_VALUE"""),-2)</f>
        <v>-2</v>
      </c>
      <c r="H616">
        <f ca="1">IFERROR(__xludf.DUMMYFUNCTION("""COMPUTED_VALUE"""),7.07)</f>
        <v>7.07</v>
      </c>
      <c r="I616" t="str">
        <f ca="1">IFERROR(__xludf.DUMMYFUNCTION("""COMPUTED_VALUE"""),"")</f>
        <v/>
      </c>
    </row>
    <row r="617" spans="1:9" ht="12.75">
      <c r="A617">
        <f ca="1">IFERROR(__xludf.DUMMYFUNCTION("""COMPUTED_VALUE"""),616)</f>
        <v>616</v>
      </c>
      <c r="B617">
        <f ca="1">IFERROR(__xludf.DUMMYFUNCTION("""COMPUTED_VALUE"""),607)</f>
        <v>607</v>
      </c>
      <c r="C617" t="str">
        <f ca="1">IFERROR(__xludf.DUMMYFUNCTION("""COMPUTED_VALUE"""),"Tae-woo KIM")</f>
        <v>Tae-woo KIM</v>
      </c>
      <c r="D617">
        <f ca="1">IFERROR(__xludf.DUMMYFUNCTION("""COMPUTED_VALUE"""),42)</f>
        <v>42</v>
      </c>
      <c r="E617">
        <f ca="1">IFERROR(__xludf.DUMMYFUNCTION("""COMPUTED_VALUE"""),0.22)</f>
        <v>0.22</v>
      </c>
      <c r="F617">
        <f ca="1">IFERROR(__xludf.DUMMYFUNCTION("""COMPUTED_VALUE"""),9.18)</f>
        <v>9.18</v>
      </c>
      <c r="G617">
        <f ca="1">IFERROR(__xludf.DUMMYFUNCTION("""COMPUTED_VALUE"""),-7.2)</f>
        <v>-7.2</v>
      </c>
      <c r="H617">
        <f ca="1">IFERROR(__xludf.DUMMYFUNCTION("""COMPUTED_VALUE"""),3.12)</f>
        <v>3.12</v>
      </c>
      <c r="I617" t="str">
        <f ca="1">IFERROR(__xludf.DUMMYFUNCTION("""COMPUTED_VALUE"""),"")</f>
        <v/>
      </c>
    </row>
    <row r="618" spans="1:9" ht="12.75">
      <c r="A618">
        <f ca="1">IFERROR(__xludf.DUMMYFUNCTION("""COMPUTED_VALUE"""),617)</f>
        <v>617</v>
      </c>
      <c r="B618">
        <f ca="1">IFERROR(__xludf.DUMMYFUNCTION("""COMPUTED_VALUE"""),612)</f>
        <v>612</v>
      </c>
      <c r="C618" t="str">
        <f ca="1">IFERROR(__xludf.DUMMYFUNCTION("""COMPUTED_VALUE"""),"Chip McDaniel")</f>
        <v>Chip McDaniel</v>
      </c>
      <c r="D618">
        <f ca="1">IFERROR(__xludf.DUMMYFUNCTION("""COMPUTED_VALUE"""),40)</f>
        <v>40</v>
      </c>
      <c r="E618">
        <f ca="1">IFERROR(__xludf.DUMMYFUNCTION("""COMPUTED_VALUE"""),0.22)</f>
        <v>0.22</v>
      </c>
      <c r="F618">
        <f ca="1">IFERROR(__xludf.DUMMYFUNCTION("""COMPUTED_VALUE"""),8.72)</f>
        <v>8.7200000000000006</v>
      </c>
      <c r="G618">
        <f ca="1">IFERROR(__xludf.DUMMYFUNCTION("""COMPUTED_VALUE"""),-3.35)</f>
        <v>-3.35</v>
      </c>
      <c r="H618">
        <f ca="1">IFERROR(__xludf.DUMMYFUNCTION("""COMPUTED_VALUE"""),5.72)</f>
        <v>5.72</v>
      </c>
      <c r="I618" t="str">
        <f ca="1">IFERROR(__xludf.DUMMYFUNCTION("""COMPUTED_VALUE"""),"")</f>
        <v/>
      </c>
    </row>
    <row r="619" spans="1:9" ht="12.75">
      <c r="A619">
        <f ca="1">IFERROR(__xludf.DUMMYFUNCTION("""COMPUTED_VALUE"""),618)</f>
        <v>618</v>
      </c>
      <c r="B619">
        <f ca="1">IFERROR(__xludf.DUMMYFUNCTION("""COMPUTED_VALUE"""),606)</f>
        <v>606</v>
      </c>
      <c r="C619" t="str">
        <f ca="1">IFERROR(__xludf.DUMMYFUNCTION("""COMPUTED_VALUE"""),"Atomu Shigenaga")</f>
        <v>Atomu Shigenaga</v>
      </c>
      <c r="D619">
        <f ca="1">IFERROR(__xludf.DUMMYFUNCTION("""COMPUTED_VALUE"""),40)</f>
        <v>40</v>
      </c>
      <c r="E619">
        <f ca="1">IFERROR(__xludf.DUMMYFUNCTION("""COMPUTED_VALUE"""),0.22)</f>
        <v>0.22</v>
      </c>
      <c r="F619">
        <f ca="1">IFERROR(__xludf.DUMMYFUNCTION("""COMPUTED_VALUE"""),8.7)</f>
        <v>8.6999999999999993</v>
      </c>
      <c r="G619">
        <f ca="1">IFERROR(__xludf.DUMMYFUNCTION("""COMPUTED_VALUE"""),-13.08)</f>
        <v>-13.08</v>
      </c>
      <c r="H619">
        <f ca="1">IFERROR(__xludf.DUMMYFUNCTION("""COMPUTED_VALUE"""),1.42)</f>
        <v>1.42</v>
      </c>
      <c r="I619" t="str">
        <f ca="1">IFERROR(__xludf.DUMMYFUNCTION("""COMPUTED_VALUE"""),"")</f>
        <v/>
      </c>
    </row>
    <row r="620" spans="1:9" ht="12.75">
      <c r="A620">
        <f ca="1">IFERROR(__xludf.DUMMYFUNCTION("""COMPUTED_VALUE"""),619)</f>
        <v>619</v>
      </c>
      <c r="B620">
        <f ca="1">IFERROR(__xludf.DUMMYFUNCTION("""COMPUTED_VALUE"""),613)</f>
        <v>613</v>
      </c>
      <c r="C620" t="str">
        <f ca="1">IFERROR(__xludf.DUMMYFUNCTION("""COMPUTED_VALUE"""),"Ji-hoon Lee")</f>
        <v>Ji-hoon Lee</v>
      </c>
      <c r="D620">
        <f ca="1">IFERROR(__xludf.DUMMYFUNCTION("""COMPUTED_VALUE"""),40)</f>
        <v>40</v>
      </c>
      <c r="E620">
        <f ca="1">IFERROR(__xludf.DUMMYFUNCTION("""COMPUTED_VALUE"""),0.22)</f>
        <v>0.22</v>
      </c>
      <c r="F620">
        <f ca="1">IFERROR(__xludf.DUMMYFUNCTION("""COMPUTED_VALUE"""),8.69)</f>
        <v>8.69</v>
      </c>
      <c r="G620">
        <f ca="1">IFERROR(__xludf.DUMMYFUNCTION("""COMPUTED_VALUE"""),-2.27)</f>
        <v>-2.27</v>
      </c>
      <c r="H620">
        <f ca="1">IFERROR(__xludf.DUMMYFUNCTION("""COMPUTED_VALUE"""),9)</f>
        <v>9</v>
      </c>
      <c r="I620" t="str">
        <f ca="1">IFERROR(__xludf.DUMMYFUNCTION("""COMPUTED_VALUE"""),"")</f>
        <v/>
      </c>
    </row>
    <row r="621" spans="1:9" ht="12.75">
      <c r="A621">
        <f ca="1">IFERROR(__xludf.DUMMYFUNCTION("""COMPUTED_VALUE"""),620)</f>
        <v>620</v>
      </c>
      <c r="B621">
        <f ca="1">IFERROR(__xludf.DUMMYFUNCTION("""COMPUTED_VALUE"""),616)</f>
        <v>616</v>
      </c>
      <c r="C621" t="str">
        <f ca="1">IFERROR(__xludf.DUMMYFUNCTION("""COMPUTED_VALUE"""),"Alexander Knappe")</f>
        <v>Alexander Knappe</v>
      </c>
      <c r="D621">
        <f ca="1">IFERROR(__xludf.DUMMYFUNCTION("""COMPUTED_VALUE"""),40)</f>
        <v>40</v>
      </c>
      <c r="E621">
        <f ca="1">IFERROR(__xludf.DUMMYFUNCTION("""COMPUTED_VALUE"""),0.22)</f>
        <v>0.22</v>
      </c>
      <c r="F621">
        <f ca="1">IFERROR(__xludf.DUMMYFUNCTION("""COMPUTED_VALUE"""),8.62)</f>
        <v>8.6199999999999992</v>
      </c>
      <c r="G621">
        <f ca="1">IFERROR(__xludf.DUMMYFUNCTION("""COMPUTED_VALUE"""),-3.53)</f>
        <v>-3.53</v>
      </c>
      <c r="H621">
        <f ca="1">IFERROR(__xludf.DUMMYFUNCTION("""COMPUTED_VALUE"""),5.64)</f>
        <v>5.64</v>
      </c>
      <c r="I621" t="str">
        <f ca="1">IFERROR(__xludf.DUMMYFUNCTION("""COMPUTED_VALUE"""),"")</f>
        <v/>
      </c>
    </row>
    <row r="622" spans="1:9" ht="12.75">
      <c r="A622">
        <f ca="1">IFERROR(__xludf.DUMMYFUNCTION("""COMPUTED_VALUE"""),621)</f>
        <v>621</v>
      </c>
      <c r="B622">
        <f ca="1">IFERROR(__xludf.DUMMYFUNCTION("""COMPUTED_VALUE"""),608)</f>
        <v>608</v>
      </c>
      <c r="C622" t="str">
        <f ca="1">IFERROR(__xludf.DUMMYFUNCTION("""COMPUTED_VALUE"""),"Jun-won Park")</f>
        <v>Jun-won Park</v>
      </c>
      <c r="D622">
        <f ca="1">IFERROR(__xludf.DUMMYFUNCTION("""COMPUTED_VALUE"""),44)</f>
        <v>44</v>
      </c>
      <c r="E622">
        <f ca="1">IFERROR(__xludf.DUMMYFUNCTION("""COMPUTED_VALUE"""),0.21)</f>
        <v>0.21</v>
      </c>
      <c r="F622">
        <f ca="1">IFERROR(__xludf.DUMMYFUNCTION("""COMPUTED_VALUE"""),9.45)</f>
        <v>9.4499999999999993</v>
      </c>
      <c r="G622">
        <f ca="1">IFERROR(__xludf.DUMMYFUNCTION("""COMPUTED_VALUE"""),-5.55)</f>
        <v>-5.55</v>
      </c>
      <c r="H622">
        <f ca="1">IFERROR(__xludf.DUMMYFUNCTION("""COMPUTED_VALUE"""),3.6)</f>
        <v>3.6</v>
      </c>
      <c r="I622" t="str">
        <f ca="1">IFERROR(__xludf.DUMMYFUNCTION("""COMPUTED_VALUE"""),"")</f>
        <v/>
      </c>
    </row>
    <row r="623" spans="1:9" ht="12.75">
      <c r="A623">
        <f ca="1">IFERROR(__xludf.DUMMYFUNCTION("""COMPUTED_VALUE"""),622)</f>
        <v>622</v>
      </c>
      <c r="B623">
        <f ca="1">IFERROR(__xludf.DUMMYFUNCTION("""COMPUTED_VALUE"""),611)</f>
        <v>611</v>
      </c>
      <c r="C623" t="str">
        <f ca="1">IFERROR(__xludf.DUMMYFUNCTION("""COMPUTED_VALUE"""),"Ernie Els")</f>
        <v>Ernie Els</v>
      </c>
      <c r="D623">
        <f ca="1">IFERROR(__xludf.DUMMYFUNCTION("""COMPUTED_VALUE"""),40)</f>
        <v>40</v>
      </c>
      <c r="E623">
        <f ca="1">IFERROR(__xludf.DUMMYFUNCTION("""COMPUTED_VALUE"""),0.21)</f>
        <v>0.21</v>
      </c>
      <c r="F623">
        <f ca="1">IFERROR(__xludf.DUMMYFUNCTION("""COMPUTED_VALUE"""),8.58)</f>
        <v>8.58</v>
      </c>
      <c r="G623">
        <f ca="1">IFERROR(__xludf.DUMMYFUNCTION("""COMPUTED_VALUE"""),-11.1)</f>
        <v>-11.1</v>
      </c>
      <c r="H623">
        <f ca="1">IFERROR(__xludf.DUMMYFUNCTION("""COMPUTED_VALUE"""),1.84)</f>
        <v>1.84</v>
      </c>
      <c r="I623" t="str">
        <f ca="1">IFERROR(__xludf.DUMMYFUNCTION("""COMPUTED_VALUE"""),"")</f>
        <v/>
      </c>
    </row>
    <row r="624" spans="1:9" ht="12.75">
      <c r="A624">
        <f ca="1">IFERROR(__xludf.DUMMYFUNCTION("""COMPUTED_VALUE"""),623)</f>
        <v>623</v>
      </c>
      <c r="B624">
        <f ca="1">IFERROR(__xludf.DUMMYFUNCTION("""COMPUTED_VALUE"""),750)</f>
        <v>750</v>
      </c>
      <c r="C624" t="str">
        <f ca="1">IFERROR(__xludf.DUMMYFUNCTION("""COMPUTED_VALUE"""),"Oliver Lindell")</f>
        <v>Oliver Lindell</v>
      </c>
      <c r="D624">
        <f ca="1">IFERROR(__xludf.DUMMYFUNCTION("""COMPUTED_VALUE"""),40)</f>
        <v>40</v>
      </c>
      <c r="E624">
        <f ca="1">IFERROR(__xludf.DUMMYFUNCTION("""COMPUTED_VALUE"""),0.21)</f>
        <v>0.21</v>
      </c>
      <c r="F624">
        <f ca="1">IFERROR(__xludf.DUMMYFUNCTION("""COMPUTED_VALUE"""),8.57)</f>
        <v>8.57</v>
      </c>
      <c r="G624">
        <f ca="1">IFERROR(__xludf.DUMMYFUNCTION("""COMPUTED_VALUE"""),-3.03)</f>
        <v>-3.03</v>
      </c>
      <c r="H624">
        <f ca="1">IFERROR(__xludf.DUMMYFUNCTION("""COMPUTED_VALUE"""),5.29)</f>
        <v>5.29</v>
      </c>
      <c r="I624" t="str">
        <f ca="1">IFERROR(__xludf.DUMMYFUNCTION("""COMPUTED_VALUE"""),"")</f>
        <v/>
      </c>
    </row>
    <row r="625" spans="1:9" ht="12.75">
      <c r="A625">
        <f ca="1">IFERROR(__xludf.DUMMYFUNCTION("""COMPUTED_VALUE"""),624)</f>
        <v>624</v>
      </c>
      <c r="B625">
        <f ca="1">IFERROR(__xludf.DUMMYFUNCTION("""COMPUTED_VALUE"""),626)</f>
        <v>626</v>
      </c>
      <c r="C625" t="str">
        <f ca="1">IFERROR(__xludf.DUMMYFUNCTION("""COMPUTED_VALUE"""),"Martin Eriksson")</f>
        <v>Martin Eriksson</v>
      </c>
      <c r="D625">
        <f ca="1">IFERROR(__xludf.DUMMYFUNCTION("""COMPUTED_VALUE"""),45)</f>
        <v>45</v>
      </c>
      <c r="E625">
        <f ca="1">IFERROR(__xludf.DUMMYFUNCTION("""COMPUTED_VALUE"""),0.21)</f>
        <v>0.21</v>
      </c>
      <c r="F625">
        <f ca="1">IFERROR(__xludf.DUMMYFUNCTION("""COMPUTED_VALUE"""),9.62)</f>
        <v>9.6199999999999992</v>
      </c>
      <c r="G625">
        <f ca="1">IFERROR(__xludf.DUMMYFUNCTION("""COMPUTED_VALUE"""),-3.47)</f>
        <v>-3.47</v>
      </c>
      <c r="H625">
        <f ca="1">IFERROR(__xludf.DUMMYFUNCTION("""COMPUTED_VALUE"""),9.45)</f>
        <v>9.4499999999999993</v>
      </c>
      <c r="I625" t="str">
        <f ca="1">IFERROR(__xludf.DUMMYFUNCTION("""COMPUTED_VALUE"""),"")</f>
        <v/>
      </c>
    </row>
    <row r="626" spans="1:9" ht="12.75">
      <c r="A626">
        <f ca="1">IFERROR(__xludf.DUMMYFUNCTION("""COMPUTED_VALUE"""),625)</f>
        <v>625</v>
      </c>
      <c r="B626">
        <f ca="1">IFERROR(__xludf.DUMMYFUNCTION("""COMPUTED_VALUE"""),621)</f>
        <v>621</v>
      </c>
      <c r="C626" t="str">
        <f ca="1">IFERROR(__xludf.DUMMYFUNCTION("""COMPUTED_VALUE"""),"Scott Gutschewski")</f>
        <v>Scott Gutschewski</v>
      </c>
      <c r="D626">
        <f ca="1">IFERROR(__xludf.DUMMYFUNCTION("""COMPUTED_VALUE"""),40)</f>
        <v>40</v>
      </c>
      <c r="E626">
        <f ca="1">IFERROR(__xludf.DUMMYFUNCTION("""COMPUTED_VALUE"""),0.21)</f>
        <v>0.21</v>
      </c>
      <c r="F626">
        <f ca="1">IFERROR(__xludf.DUMMYFUNCTION("""COMPUTED_VALUE"""),8.53)</f>
        <v>8.5299999999999994</v>
      </c>
      <c r="G626">
        <f ca="1">IFERROR(__xludf.DUMMYFUNCTION("""COMPUTED_VALUE"""),-2.47)</f>
        <v>-2.4700000000000002</v>
      </c>
      <c r="H626">
        <f ca="1">IFERROR(__xludf.DUMMYFUNCTION("""COMPUTED_VALUE"""),6.03)</f>
        <v>6.03</v>
      </c>
      <c r="I626" t="str">
        <f ca="1">IFERROR(__xludf.DUMMYFUNCTION("""COMPUTED_VALUE"""),"")</f>
        <v/>
      </c>
    </row>
    <row r="627" spans="1:9" ht="12.75">
      <c r="A627">
        <f ca="1">IFERROR(__xludf.DUMMYFUNCTION("""COMPUTED_VALUE"""),626)</f>
        <v>626</v>
      </c>
      <c r="B627">
        <f ca="1">IFERROR(__xludf.DUMMYFUNCTION("""COMPUTED_VALUE"""),618)</f>
        <v>618</v>
      </c>
      <c r="C627" t="str">
        <f ca="1">IFERROR(__xludf.DUMMYFUNCTION("""COMPUTED_VALUE"""),"Jung Ji-ho")</f>
        <v>Jung Ji-ho</v>
      </c>
      <c r="D627">
        <f ca="1">IFERROR(__xludf.DUMMYFUNCTION("""COMPUTED_VALUE"""),40)</f>
        <v>40</v>
      </c>
      <c r="E627">
        <f ca="1">IFERROR(__xludf.DUMMYFUNCTION("""COMPUTED_VALUE"""),0.21)</f>
        <v>0.21</v>
      </c>
      <c r="F627">
        <f ca="1">IFERROR(__xludf.DUMMYFUNCTION("""COMPUTED_VALUE"""),8.51)</f>
        <v>8.51</v>
      </c>
      <c r="G627">
        <f ca="1">IFERROR(__xludf.DUMMYFUNCTION("""COMPUTED_VALUE"""),-7.11)</f>
        <v>-7.11</v>
      </c>
      <c r="H627">
        <f ca="1">IFERROR(__xludf.DUMMYFUNCTION("""COMPUTED_VALUE"""),1.71)</f>
        <v>1.71</v>
      </c>
      <c r="I627" t="str">
        <f ca="1">IFERROR(__xludf.DUMMYFUNCTION("""COMPUTED_VALUE"""),"")</f>
        <v/>
      </c>
    </row>
    <row r="628" spans="1:9" ht="12.75">
      <c r="A628">
        <f ca="1">IFERROR(__xludf.DUMMYFUNCTION("""COMPUTED_VALUE"""),627)</f>
        <v>627</v>
      </c>
      <c r="B628">
        <f ca="1">IFERROR(__xludf.DUMMYFUNCTION("""COMPUTED_VALUE"""),615)</f>
        <v>615</v>
      </c>
      <c r="C628" t="str">
        <f ca="1">IFERROR(__xludf.DUMMYFUNCTION("""COMPUTED_VALUE"""),"Jake Roos")</f>
        <v>Jake Roos</v>
      </c>
      <c r="D628">
        <f ca="1">IFERROR(__xludf.DUMMYFUNCTION("""COMPUTED_VALUE"""),42)</f>
        <v>42</v>
      </c>
      <c r="E628">
        <f ca="1">IFERROR(__xludf.DUMMYFUNCTION("""COMPUTED_VALUE"""),0.21)</f>
        <v>0.21</v>
      </c>
      <c r="F628">
        <f ca="1">IFERROR(__xludf.DUMMYFUNCTION("""COMPUTED_VALUE"""),8.94)</f>
        <v>8.94</v>
      </c>
      <c r="G628">
        <f ca="1">IFERROR(__xludf.DUMMYFUNCTION("""COMPUTED_VALUE"""),-10.93)</f>
        <v>-10.93</v>
      </c>
      <c r="H628">
        <f ca="1">IFERROR(__xludf.DUMMYFUNCTION("""COMPUTED_VALUE"""),3.09)</f>
        <v>3.09</v>
      </c>
      <c r="I628" t="str">
        <f ca="1">IFERROR(__xludf.DUMMYFUNCTION("""COMPUTED_VALUE"""),"")</f>
        <v/>
      </c>
    </row>
    <row r="629" spans="1:9" ht="12.75">
      <c r="A629">
        <f ca="1">IFERROR(__xludf.DUMMYFUNCTION("""COMPUTED_VALUE"""),627)</f>
        <v>627</v>
      </c>
      <c r="B629">
        <f ca="1">IFERROR(__xludf.DUMMYFUNCTION("""COMPUTED_VALUE"""),621)</f>
        <v>621</v>
      </c>
      <c r="C629" t="str">
        <f ca="1">IFERROR(__xludf.DUMMYFUNCTION("""COMPUTED_VALUE"""),"Marcus Helligkilde")</f>
        <v>Marcus Helligkilde</v>
      </c>
      <c r="D629">
        <f ca="1">IFERROR(__xludf.DUMMYFUNCTION("""COMPUTED_VALUE"""),40)</f>
        <v>40</v>
      </c>
      <c r="E629">
        <f ca="1">IFERROR(__xludf.DUMMYFUNCTION("""COMPUTED_VALUE"""),0.21)</f>
        <v>0.21</v>
      </c>
      <c r="F629">
        <f ca="1">IFERROR(__xludf.DUMMYFUNCTION("""COMPUTED_VALUE"""),8.51)</f>
        <v>8.51</v>
      </c>
      <c r="G629">
        <f ca="1">IFERROR(__xludf.DUMMYFUNCTION("""COMPUTED_VALUE"""),-3.13)</f>
        <v>-3.13</v>
      </c>
      <c r="H629">
        <f ca="1">IFERROR(__xludf.DUMMYFUNCTION("""COMPUTED_VALUE"""),8.8)</f>
        <v>8.8000000000000007</v>
      </c>
      <c r="I629" t="str">
        <f ca="1">IFERROR(__xludf.DUMMYFUNCTION("""COMPUTED_VALUE"""),"")</f>
        <v/>
      </c>
    </row>
    <row r="630" spans="1:9" ht="12.75">
      <c r="A630">
        <f ca="1">IFERROR(__xludf.DUMMYFUNCTION("""COMPUTED_VALUE"""),629)</f>
        <v>629</v>
      </c>
      <c r="B630">
        <f ca="1">IFERROR(__xludf.DUMMYFUNCTION("""COMPUTED_VALUE"""),620)</f>
        <v>620</v>
      </c>
      <c r="C630" t="str">
        <f ca="1">IFERROR(__xludf.DUMMYFUNCTION("""COMPUTED_VALUE"""),"Moritz Lampert")</f>
        <v>Moritz Lampert</v>
      </c>
      <c r="D630">
        <f ca="1">IFERROR(__xludf.DUMMYFUNCTION("""COMPUTED_VALUE"""),40)</f>
        <v>40</v>
      </c>
      <c r="E630">
        <f ca="1">IFERROR(__xludf.DUMMYFUNCTION("""COMPUTED_VALUE"""),0.21)</f>
        <v>0.21</v>
      </c>
      <c r="F630">
        <f ca="1">IFERROR(__xludf.DUMMYFUNCTION("""COMPUTED_VALUE"""),8.43)</f>
        <v>8.43</v>
      </c>
      <c r="G630">
        <f ca="1">IFERROR(__xludf.DUMMYFUNCTION("""COMPUTED_VALUE"""),-6.48)</f>
        <v>-6.48</v>
      </c>
      <c r="H630">
        <f ca="1">IFERROR(__xludf.DUMMYFUNCTION("""COMPUTED_VALUE"""),2)</f>
        <v>2</v>
      </c>
      <c r="I630" t="str">
        <f ca="1">IFERROR(__xludf.DUMMYFUNCTION("""COMPUTED_VALUE"""),"")</f>
        <v/>
      </c>
    </row>
    <row r="631" spans="1:9" ht="12.75">
      <c r="A631">
        <f ca="1">IFERROR(__xludf.DUMMYFUNCTION("""COMPUTED_VALUE"""),630)</f>
        <v>630</v>
      </c>
      <c r="B631">
        <f ca="1">IFERROR(__xludf.DUMMYFUNCTION("""COMPUTED_VALUE"""),705)</f>
        <v>705</v>
      </c>
      <c r="C631" t="str">
        <f ca="1">IFERROR(__xludf.DUMMYFUNCTION("""COMPUTED_VALUE"""),"Yanwei Liu")</f>
        <v>Yanwei Liu</v>
      </c>
      <c r="D631">
        <f ca="1">IFERROR(__xludf.DUMMYFUNCTION("""COMPUTED_VALUE"""),42)</f>
        <v>42</v>
      </c>
      <c r="E631">
        <f ca="1">IFERROR(__xludf.DUMMYFUNCTION("""COMPUTED_VALUE"""),0.21)</f>
        <v>0.21</v>
      </c>
      <c r="F631">
        <f ca="1">IFERROR(__xludf.DUMMYFUNCTION("""COMPUTED_VALUE"""),8.85)</f>
        <v>8.85</v>
      </c>
      <c r="G631">
        <f ca="1">IFERROR(__xludf.DUMMYFUNCTION("""COMPUTED_VALUE"""),-6.11)</f>
        <v>-6.11</v>
      </c>
      <c r="H631">
        <f ca="1">IFERROR(__xludf.DUMMYFUNCTION("""COMPUTED_VALUE"""),1.88)</f>
        <v>1.88</v>
      </c>
      <c r="I631" t="str">
        <f ca="1">IFERROR(__xludf.DUMMYFUNCTION("""COMPUTED_VALUE"""),"")</f>
        <v/>
      </c>
    </row>
    <row r="632" spans="1:9" ht="12.75">
      <c r="A632">
        <f ca="1">IFERROR(__xludf.DUMMYFUNCTION("""COMPUTED_VALUE"""),631)</f>
        <v>631</v>
      </c>
      <c r="B632">
        <f ca="1">IFERROR(__xludf.DUMMYFUNCTION("""COMPUTED_VALUE"""),617)</f>
        <v>617</v>
      </c>
      <c r="C632" t="str">
        <f ca="1">IFERROR(__xludf.DUMMYFUNCTION("""COMPUTED_VALUE"""),"Juvic Pagunsan")</f>
        <v>Juvic Pagunsan</v>
      </c>
      <c r="D632">
        <f ca="1">IFERROR(__xludf.DUMMYFUNCTION("""COMPUTED_VALUE"""),40)</f>
        <v>40</v>
      </c>
      <c r="E632">
        <f ca="1">IFERROR(__xludf.DUMMYFUNCTION("""COMPUTED_VALUE"""),0.21)</f>
        <v>0.21</v>
      </c>
      <c r="F632">
        <f ca="1">IFERROR(__xludf.DUMMYFUNCTION("""COMPUTED_VALUE"""),8.42)</f>
        <v>8.42</v>
      </c>
      <c r="G632">
        <f ca="1">IFERROR(__xludf.DUMMYFUNCTION("""COMPUTED_VALUE"""),-10.07)</f>
        <v>-10.07</v>
      </c>
      <c r="H632">
        <f ca="1">IFERROR(__xludf.DUMMYFUNCTION("""COMPUTED_VALUE"""),0)</f>
        <v>0</v>
      </c>
      <c r="I632" t="str">
        <f ca="1">IFERROR(__xludf.DUMMYFUNCTION("""COMPUTED_VALUE"""),"")</f>
        <v/>
      </c>
    </row>
    <row r="633" spans="1:9" ht="12.75">
      <c r="A633">
        <f ca="1">IFERROR(__xludf.DUMMYFUNCTION("""COMPUTED_VALUE"""),632)</f>
        <v>632</v>
      </c>
      <c r="B633">
        <f ca="1">IFERROR(__xludf.DUMMYFUNCTION("""COMPUTED_VALUE"""),624)</f>
        <v>624</v>
      </c>
      <c r="C633" t="str">
        <f ca="1">IFERROR(__xludf.DUMMYFUNCTION("""COMPUTED_VALUE"""),"Luke Jerling")</f>
        <v>Luke Jerling</v>
      </c>
      <c r="D633">
        <f ca="1">IFERROR(__xludf.DUMMYFUNCTION("""COMPUTED_VALUE"""),42)</f>
        <v>42</v>
      </c>
      <c r="E633">
        <f ca="1">IFERROR(__xludf.DUMMYFUNCTION("""COMPUTED_VALUE"""),0.21)</f>
        <v>0.21</v>
      </c>
      <c r="F633">
        <f ca="1">IFERROR(__xludf.DUMMYFUNCTION("""COMPUTED_VALUE"""),8.81)</f>
        <v>8.81</v>
      </c>
      <c r="G633">
        <f ca="1">IFERROR(__xludf.DUMMYFUNCTION("""COMPUTED_VALUE"""),-3.86)</f>
        <v>-3.86</v>
      </c>
      <c r="H633">
        <f ca="1">IFERROR(__xludf.DUMMYFUNCTION("""COMPUTED_VALUE"""),6.39)</f>
        <v>6.39</v>
      </c>
      <c r="I633" t="str">
        <f ca="1">IFERROR(__xludf.DUMMYFUNCTION("""COMPUTED_VALUE"""),"")</f>
        <v/>
      </c>
    </row>
    <row r="634" spans="1:9" ht="12.75">
      <c r="A634">
        <f ca="1">IFERROR(__xludf.DUMMYFUNCTION("""COMPUTED_VALUE"""),633)</f>
        <v>633</v>
      </c>
      <c r="B634">
        <f ca="1">IFERROR(__xludf.DUMMYFUNCTION("""COMPUTED_VALUE"""),625)</f>
        <v>625</v>
      </c>
      <c r="C634" t="str">
        <f ca="1">IFERROR(__xludf.DUMMYFUNCTION("""COMPUTED_VALUE"""),"Atiruj Winaicharoenc")</f>
        <v>Atiruj Winaicharoenc</v>
      </c>
      <c r="D634">
        <f ca="1">IFERROR(__xludf.DUMMYFUNCTION("""COMPUTED_VALUE"""),40)</f>
        <v>40</v>
      </c>
      <c r="E634">
        <f ca="1">IFERROR(__xludf.DUMMYFUNCTION("""COMPUTED_VALUE"""),0.21)</f>
        <v>0.21</v>
      </c>
      <c r="F634">
        <f ca="1">IFERROR(__xludf.DUMMYFUNCTION("""COMPUTED_VALUE"""),8.38)</f>
        <v>8.3800000000000008</v>
      </c>
      <c r="G634">
        <f ca="1">IFERROR(__xludf.DUMMYFUNCTION("""COMPUTED_VALUE"""),-3.42)</f>
        <v>-3.42</v>
      </c>
      <c r="H634">
        <f ca="1">IFERROR(__xludf.DUMMYFUNCTION("""COMPUTED_VALUE"""),3.12)</f>
        <v>3.12</v>
      </c>
      <c r="I634" t="str">
        <f ca="1">IFERROR(__xludf.DUMMYFUNCTION("""COMPUTED_VALUE"""),"")</f>
        <v/>
      </c>
    </row>
    <row r="635" spans="1:9" ht="12.75">
      <c r="A635">
        <f ca="1">IFERROR(__xludf.DUMMYFUNCTION("""COMPUTED_VALUE"""),634)</f>
        <v>634</v>
      </c>
      <c r="B635">
        <f ca="1">IFERROR(__xludf.DUMMYFUNCTION("""COMPUTED_VALUE"""),627)</f>
        <v>627</v>
      </c>
      <c r="C635" t="str">
        <f ca="1">IFERROR(__xludf.DUMMYFUNCTION("""COMPUTED_VALUE"""),"Toby Tree")</f>
        <v>Toby Tree</v>
      </c>
      <c r="D635">
        <f ca="1">IFERROR(__xludf.DUMMYFUNCTION("""COMPUTED_VALUE"""),41)</f>
        <v>41</v>
      </c>
      <c r="E635">
        <f ca="1">IFERROR(__xludf.DUMMYFUNCTION("""COMPUTED_VALUE"""),0.21)</f>
        <v>0.21</v>
      </c>
      <c r="F635">
        <f ca="1">IFERROR(__xludf.DUMMYFUNCTION("""COMPUTED_VALUE"""),8.56)</f>
        <v>8.56</v>
      </c>
      <c r="G635">
        <f ca="1">IFERROR(__xludf.DUMMYFUNCTION("""COMPUTED_VALUE"""),-3.73)</f>
        <v>-3.73</v>
      </c>
      <c r="H635">
        <f ca="1">IFERROR(__xludf.DUMMYFUNCTION("""COMPUTED_VALUE"""),8.55)</f>
        <v>8.5500000000000007</v>
      </c>
      <c r="I635" t="str">
        <f ca="1">IFERROR(__xludf.DUMMYFUNCTION("""COMPUTED_VALUE"""),"")</f>
        <v/>
      </c>
    </row>
    <row r="636" spans="1:9" ht="12.75">
      <c r="A636">
        <f ca="1">IFERROR(__xludf.DUMMYFUNCTION("""COMPUTED_VALUE"""),635)</f>
        <v>635</v>
      </c>
      <c r="B636">
        <f ca="1">IFERROR(__xludf.DUMMYFUNCTION("""COMPUTED_VALUE"""),627)</f>
        <v>627</v>
      </c>
      <c r="C636" t="str">
        <f ca="1">IFERROR(__xludf.DUMMYFUNCTION("""COMPUTED_VALUE"""),"Shamim Khan")</f>
        <v>Shamim Khan</v>
      </c>
      <c r="D636">
        <f ca="1">IFERROR(__xludf.DUMMYFUNCTION("""COMPUTED_VALUE"""),40)</f>
        <v>40</v>
      </c>
      <c r="E636">
        <f ca="1">IFERROR(__xludf.DUMMYFUNCTION("""COMPUTED_VALUE"""),0.21)</f>
        <v>0.21</v>
      </c>
      <c r="F636">
        <f ca="1">IFERROR(__xludf.DUMMYFUNCTION("""COMPUTED_VALUE"""),8.31)</f>
        <v>8.31</v>
      </c>
      <c r="G636">
        <f ca="1">IFERROR(__xludf.DUMMYFUNCTION("""COMPUTED_VALUE"""),-3.73)</f>
        <v>-3.73</v>
      </c>
      <c r="H636">
        <f ca="1">IFERROR(__xludf.DUMMYFUNCTION("""COMPUTED_VALUE"""),1.68)</f>
        <v>1.68</v>
      </c>
      <c r="I636" t="str">
        <f ca="1">IFERROR(__xludf.DUMMYFUNCTION("""COMPUTED_VALUE"""),"")</f>
        <v/>
      </c>
    </row>
    <row r="637" spans="1:9" ht="12.75">
      <c r="A637">
        <f ca="1">IFERROR(__xludf.DUMMYFUNCTION("""COMPUTED_VALUE"""),636)</f>
        <v>636</v>
      </c>
      <c r="B637">
        <f ca="1">IFERROR(__xludf.DUMMYFUNCTION("""COMPUTED_VALUE"""),633)</f>
        <v>633</v>
      </c>
      <c r="C637" t="str">
        <f ca="1">IFERROR(__xludf.DUMMYFUNCTION("""COMPUTED_VALUE"""),"John Oda")</f>
        <v>John Oda</v>
      </c>
      <c r="D637">
        <f ca="1">IFERROR(__xludf.DUMMYFUNCTION("""COMPUTED_VALUE"""),45)</f>
        <v>45</v>
      </c>
      <c r="E637">
        <f ca="1">IFERROR(__xludf.DUMMYFUNCTION("""COMPUTED_VALUE"""),0.21)</f>
        <v>0.21</v>
      </c>
      <c r="F637">
        <f ca="1">IFERROR(__xludf.DUMMYFUNCTION("""COMPUTED_VALUE"""),9.32)</f>
        <v>9.32</v>
      </c>
      <c r="G637">
        <f ca="1">IFERROR(__xludf.DUMMYFUNCTION("""COMPUTED_VALUE"""),-9.6)</f>
        <v>-9.6</v>
      </c>
      <c r="H637">
        <f ca="1">IFERROR(__xludf.DUMMYFUNCTION("""COMPUTED_VALUE"""),7)</f>
        <v>7</v>
      </c>
      <c r="I637" t="str">
        <f ca="1">IFERROR(__xludf.DUMMYFUNCTION("""COMPUTED_VALUE"""),"")</f>
        <v/>
      </c>
    </row>
    <row r="638" spans="1:9" ht="12.75">
      <c r="A638">
        <f ca="1">IFERROR(__xludf.DUMMYFUNCTION("""COMPUTED_VALUE"""),637)</f>
        <v>637</v>
      </c>
      <c r="B638">
        <f ca="1">IFERROR(__xludf.DUMMYFUNCTION("""COMPUTED_VALUE"""),631)</f>
        <v>631</v>
      </c>
      <c r="C638" t="str">
        <f ca="1">IFERROR(__xludf.DUMMYFUNCTION("""COMPUTED_VALUE"""),"Alexandre Rocha")</f>
        <v>Alexandre Rocha</v>
      </c>
      <c r="D638">
        <f ca="1">IFERROR(__xludf.DUMMYFUNCTION("""COMPUTED_VALUE"""),40)</f>
        <v>40</v>
      </c>
      <c r="E638">
        <f ca="1">IFERROR(__xludf.DUMMYFUNCTION("""COMPUTED_VALUE"""),0.21)</f>
        <v>0.21</v>
      </c>
      <c r="F638">
        <f ca="1">IFERROR(__xludf.DUMMYFUNCTION("""COMPUTED_VALUE"""),8.25)</f>
        <v>8.25</v>
      </c>
      <c r="G638">
        <f ca="1">IFERROR(__xludf.DUMMYFUNCTION("""COMPUTED_VALUE"""),-4.38)</f>
        <v>-4.38</v>
      </c>
      <c r="H638">
        <f ca="1">IFERROR(__xludf.DUMMYFUNCTION("""COMPUTED_VALUE"""),6)</f>
        <v>6</v>
      </c>
      <c r="I638" t="str">
        <f ca="1">IFERROR(__xludf.DUMMYFUNCTION("""COMPUTED_VALUE"""),"")</f>
        <v/>
      </c>
    </row>
    <row r="639" spans="1:9" ht="12.75">
      <c r="A639">
        <f ca="1">IFERROR(__xludf.DUMMYFUNCTION("""COMPUTED_VALUE"""),637)</f>
        <v>637</v>
      </c>
      <c r="B639">
        <f ca="1">IFERROR(__xludf.DUMMYFUNCTION("""COMPUTED_VALUE"""),630)</f>
        <v>630</v>
      </c>
      <c r="C639" t="str">
        <f ca="1">IFERROR(__xludf.DUMMYFUNCTION("""COMPUTED_VALUE"""),"Joshua Creel")</f>
        <v>Joshua Creel</v>
      </c>
      <c r="D639">
        <f ca="1">IFERROR(__xludf.DUMMYFUNCTION("""COMPUTED_VALUE"""),43)</f>
        <v>43</v>
      </c>
      <c r="E639">
        <f ca="1">IFERROR(__xludf.DUMMYFUNCTION("""COMPUTED_VALUE"""),0.21)</f>
        <v>0.21</v>
      </c>
      <c r="F639">
        <f ca="1">IFERROR(__xludf.DUMMYFUNCTION("""COMPUTED_VALUE"""),8.87)</f>
        <v>8.8699999999999992</v>
      </c>
      <c r="G639">
        <f ca="1">IFERROR(__xludf.DUMMYFUNCTION("""COMPUTED_VALUE"""),-5.77)</f>
        <v>-5.77</v>
      </c>
      <c r="H639">
        <f ca="1">IFERROR(__xludf.DUMMYFUNCTION("""COMPUTED_VALUE"""),1.3)</f>
        <v>1.3</v>
      </c>
      <c r="I639" t="str">
        <f ca="1">IFERROR(__xludf.DUMMYFUNCTION("""COMPUTED_VALUE"""),"")</f>
        <v/>
      </c>
    </row>
    <row r="640" spans="1:9" ht="12.75">
      <c r="A640">
        <f ca="1">IFERROR(__xludf.DUMMYFUNCTION("""COMPUTED_VALUE"""),639)</f>
        <v>639</v>
      </c>
      <c r="B640">
        <f ca="1">IFERROR(__xludf.DUMMYFUNCTION("""COMPUTED_VALUE"""),629)</f>
        <v>629</v>
      </c>
      <c r="C640" t="str">
        <f ca="1">IFERROR(__xludf.DUMMYFUNCTION("""COMPUTED_VALUE"""),"Hyung-seok Seo")</f>
        <v>Hyung-seok Seo</v>
      </c>
      <c r="D640">
        <f ca="1">IFERROR(__xludf.DUMMYFUNCTION("""COMPUTED_VALUE"""),40)</f>
        <v>40</v>
      </c>
      <c r="E640">
        <f ca="1">IFERROR(__xludf.DUMMYFUNCTION("""COMPUTED_VALUE"""),0.21)</f>
        <v>0.21</v>
      </c>
      <c r="F640">
        <f ca="1">IFERROR(__xludf.DUMMYFUNCTION("""COMPUTED_VALUE"""),8.22)</f>
        <v>8.2200000000000006</v>
      </c>
      <c r="G640">
        <f ca="1">IFERROR(__xludf.DUMMYFUNCTION("""COMPUTED_VALUE"""),-7.13)</f>
        <v>-7.13</v>
      </c>
      <c r="H640">
        <f ca="1">IFERROR(__xludf.DUMMYFUNCTION("""COMPUTED_VALUE"""),0)</f>
        <v>0</v>
      </c>
      <c r="I640" t="str">
        <f ca="1">IFERROR(__xludf.DUMMYFUNCTION("""COMPUTED_VALUE"""),"")</f>
        <v/>
      </c>
    </row>
    <row r="641" spans="1:9" ht="12.75">
      <c r="A641">
        <f ca="1">IFERROR(__xludf.DUMMYFUNCTION("""COMPUTED_VALUE"""),640)</f>
        <v>640</v>
      </c>
      <c r="B641">
        <f ca="1">IFERROR(__xludf.DUMMYFUNCTION("""COMPUTED_VALUE"""),672)</f>
        <v>672</v>
      </c>
      <c r="C641" t="str">
        <f ca="1">IFERROR(__xludf.DUMMYFUNCTION("""COMPUTED_VALUE"""),"Jang Dong-Kyu")</f>
        <v>Jang Dong-Kyu</v>
      </c>
      <c r="D641">
        <f ca="1">IFERROR(__xludf.DUMMYFUNCTION("""COMPUTED_VALUE"""),51)</f>
        <v>51</v>
      </c>
      <c r="E641">
        <f ca="1">IFERROR(__xludf.DUMMYFUNCTION("""COMPUTED_VALUE"""),0.2)</f>
        <v>0.2</v>
      </c>
      <c r="F641">
        <f ca="1">IFERROR(__xludf.DUMMYFUNCTION("""COMPUTED_VALUE"""),10.39)</f>
        <v>10.39</v>
      </c>
      <c r="G641">
        <f ca="1">IFERROR(__xludf.DUMMYFUNCTION("""COMPUTED_VALUE"""),-11.09)</f>
        <v>-11.09</v>
      </c>
      <c r="H641">
        <f ca="1">IFERROR(__xludf.DUMMYFUNCTION("""COMPUTED_VALUE"""),1.24)</f>
        <v>1.24</v>
      </c>
      <c r="I641" t="str">
        <f ca="1">IFERROR(__xludf.DUMMYFUNCTION("""COMPUTED_VALUE"""),"")</f>
        <v/>
      </c>
    </row>
    <row r="642" spans="1:9" ht="12.75">
      <c r="A642">
        <f ca="1">IFERROR(__xludf.DUMMYFUNCTION("""COMPUTED_VALUE"""),641)</f>
        <v>641</v>
      </c>
      <c r="B642">
        <f ca="1">IFERROR(__xludf.DUMMYFUNCTION("""COMPUTED_VALUE"""),960)</f>
        <v>960</v>
      </c>
      <c r="C642" t="str">
        <f ca="1">IFERROR(__xludf.DUMMYFUNCTION("""COMPUTED_VALUE"""),"Anton Haig")</f>
        <v>Anton Haig</v>
      </c>
      <c r="D642">
        <f ca="1">IFERROR(__xludf.DUMMYFUNCTION("""COMPUTED_VALUE"""),40)</f>
        <v>40</v>
      </c>
      <c r="E642">
        <f ca="1">IFERROR(__xludf.DUMMYFUNCTION("""COMPUTED_VALUE"""),0.2)</f>
        <v>0.2</v>
      </c>
      <c r="F642">
        <f ca="1">IFERROR(__xludf.DUMMYFUNCTION("""COMPUTED_VALUE"""),8.13)</f>
        <v>8.1300000000000008</v>
      </c>
      <c r="G642">
        <f ca="1">IFERROR(__xludf.DUMMYFUNCTION("""COMPUTED_VALUE"""),-0.61)</f>
        <v>-0.61</v>
      </c>
      <c r="H642">
        <f ca="1">IFERROR(__xludf.DUMMYFUNCTION("""COMPUTED_VALUE"""),8.51)</f>
        <v>8.51</v>
      </c>
      <c r="I642" t="str">
        <f ca="1">IFERROR(__xludf.DUMMYFUNCTION("""COMPUTED_VALUE"""),"")</f>
        <v/>
      </c>
    </row>
    <row r="643" spans="1:9" ht="12.75">
      <c r="A643">
        <f ca="1">IFERROR(__xludf.DUMMYFUNCTION("""COMPUTED_VALUE"""),642)</f>
        <v>642</v>
      </c>
      <c r="B643">
        <f ca="1">IFERROR(__xludf.DUMMYFUNCTION("""COMPUTED_VALUE"""),640)</f>
        <v>640</v>
      </c>
      <c r="C643" t="str">
        <f ca="1">IFERROR(__xludf.DUMMYFUNCTION("""COMPUTED_VALUE"""),"M Miller")</f>
        <v>M Miller</v>
      </c>
      <c r="D643">
        <f ca="1">IFERROR(__xludf.DUMMYFUNCTION("""COMPUTED_VALUE"""),43)</f>
        <v>43</v>
      </c>
      <c r="E643">
        <f ca="1">IFERROR(__xludf.DUMMYFUNCTION("""COMPUTED_VALUE"""),0.2)</f>
        <v>0.2</v>
      </c>
      <c r="F643">
        <f ca="1">IFERROR(__xludf.DUMMYFUNCTION("""COMPUTED_VALUE"""),8.7)</f>
        <v>8.6999999999999993</v>
      </c>
      <c r="G643">
        <f ca="1">IFERROR(__xludf.DUMMYFUNCTION("""COMPUTED_VALUE"""),-3.68)</f>
        <v>-3.68</v>
      </c>
      <c r="H643">
        <f ca="1">IFERROR(__xludf.DUMMYFUNCTION("""COMPUTED_VALUE"""),5.27)</f>
        <v>5.27</v>
      </c>
      <c r="I643" t="str">
        <f ca="1">IFERROR(__xludf.DUMMYFUNCTION("""COMPUTED_VALUE"""),"")</f>
        <v/>
      </c>
    </row>
    <row r="644" spans="1:9" ht="12.75">
      <c r="A644">
        <f ca="1">IFERROR(__xludf.DUMMYFUNCTION("""COMPUTED_VALUE"""),643)</f>
        <v>643</v>
      </c>
      <c r="B644">
        <f ca="1">IFERROR(__xludf.DUMMYFUNCTION("""COMPUTED_VALUE"""),636)</f>
        <v>636</v>
      </c>
      <c r="C644" t="str">
        <f ca="1">IFERROR(__xludf.DUMMYFUNCTION("""COMPUTED_VALUE"""),"Liam Johnston")</f>
        <v>Liam Johnston</v>
      </c>
      <c r="D644">
        <f ca="1">IFERROR(__xludf.DUMMYFUNCTION("""COMPUTED_VALUE"""),50)</f>
        <v>50</v>
      </c>
      <c r="E644">
        <f ca="1">IFERROR(__xludf.DUMMYFUNCTION("""COMPUTED_VALUE"""),0.2)</f>
        <v>0.2</v>
      </c>
      <c r="F644">
        <f ca="1">IFERROR(__xludf.DUMMYFUNCTION("""COMPUTED_VALUE"""),10.1)</f>
        <v>10.1</v>
      </c>
      <c r="G644">
        <f ca="1">IFERROR(__xludf.DUMMYFUNCTION("""COMPUTED_VALUE"""),-12.95)</f>
        <v>-12.95</v>
      </c>
      <c r="H644">
        <f ca="1">IFERROR(__xludf.DUMMYFUNCTION("""COMPUTED_VALUE"""),3.85)</f>
        <v>3.85</v>
      </c>
      <c r="I644" t="str">
        <f ca="1">IFERROR(__xludf.DUMMYFUNCTION("""COMPUTED_VALUE"""),"")</f>
        <v/>
      </c>
    </row>
    <row r="645" spans="1:9" ht="12.75">
      <c r="A645">
        <f ca="1">IFERROR(__xludf.DUMMYFUNCTION("""COMPUTED_VALUE"""),644)</f>
        <v>644</v>
      </c>
      <c r="B645">
        <f ca="1">IFERROR(__xludf.DUMMYFUNCTION("""COMPUTED_VALUE"""),634)</f>
        <v>634</v>
      </c>
      <c r="C645" t="str">
        <f ca="1">IFERROR(__xludf.DUMMYFUNCTION("""COMPUTED_VALUE"""),"Roberto Castro")</f>
        <v>Roberto Castro</v>
      </c>
      <c r="D645">
        <f ca="1">IFERROR(__xludf.DUMMYFUNCTION("""COMPUTED_VALUE"""),40)</f>
        <v>40</v>
      </c>
      <c r="E645">
        <f ca="1">IFERROR(__xludf.DUMMYFUNCTION("""COMPUTED_VALUE"""),0.2)</f>
        <v>0.2</v>
      </c>
      <c r="F645">
        <f ca="1">IFERROR(__xludf.DUMMYFUNCTION("""COMPUTED_VALUE"""),8.02)</f>
        <v>8.02</v>
      </c>
      <c r="G645">
        <f ca="1">IFERROR(__xludf.DUMMYFUNCTION("""COMPUTED_VALUE"""),-10.09)</f>
        <v>-10.09</v>
      </c>
      <c r="H645">
        <f ca="1">IFERROR(__xludf.DUMMYFUNCTION("""COMPUTED_VALUE"""),3.54)</f>
        <v>3.54</v>
      </c>
      <c r="I645" t="str">
        <f ca="1">IFERROR(__xludf.DUMMYFUNCTION("""COMPUTED_VALUE"""),"")</f>
        <v/>
      </c>
    </row>
    <row r="646" spans="1:9" ht="12.75">
      <c r="A646">
        <f ca="1">IFERROR(__xludf.DUMMYFUNCTION("""COMPUTED_VALUE"""),645)</f>
        <v>645</v>
      </c>
      <c r="B646">
        <f ca="1">IFERROR(__xludf.DUMMYFUNCTION("""COMPUTED_VALUE"""),639)</f>
        <v>639</v>
      </c>
      <c r="C646" t="str">
        <f ca="1">IFERROR(__xludf.DUMMYFUNCTION("""COMPUTED_VALUE"""),"Miguel Angel Jiménez")</f>
        <v>Miguel Angel Jiménez</v>
      </c>
      <c r="D646">
        <f ca="1">IFERROR(__xludf.DUMMYFUNCTION("""COMPUTED_VALUE"""),40)</f>
        <v>40</v>
      </c>
      <c r="E646">
        <f ca="1">IFERROR(__xludf.DUMMYFUNCTION("""COMPUTED_VALUE"""),0.2)</f>
        <v>0.2</v>
      </c>
      <c r="F646">
        <f ca="1">IFERROR(__xludf.DUMMYFUNCTION("""COMPUTED_VALUE"""),8)</f>
        <v>8</v>
      </c>
      <c r="G646">
        <f ca="1">IFERROR(__xludf.DUMMYFUNCTION("""COMPUTED_VALUE"""),-4.03)</f>
        <v>-4.03</v>
      </c>
      <c r="H646">
        <f ca="1">IFERROR(__xludf.DUMMYFUNCTION("""COMPUTED_VALUE"""),5.94)</f>
        <v>5.94</v>
      </c>
      <c r="I646" t="str">
        <f ca="1">IFERROR(__xludf.DUMMYFUNCTION("""COMPUTED_VALUE"""),"")</f>
        <v/>
      </c>
    </row>
    <row r="647" spans="1:9" ht="12.75">
      <c r="A647">
        <f ca="1">IFERROR(__xludf.DUMMYFUNCTION("""COMPUTED_VALUE"""),646)</f>
        <v>646</v>
      </c>
      <c r="B647">
        <f ca="1">IFERROR(__xludf.DUMMYFUNCTION("""COMPUTED_VALUE"""),635)</f>
        <v>635</v>
      </c>
      <c r="C647" t="str">
        <f ca="1">IFERROR(__xludf.DUMMYFUNCTION("""COMPUTED_VALUE"""),"Quincy Quek")</f>
        <v>Quincy Quek</v>
      </c>
      <c r="D647">
        <f ca="1">IFERROR(__xludf.DUMMYFUNCTION("""COMPUTED_VALUE"""),40)</f>
        <v>40</v>
      </c>
      <c r="E647">
        <f ca="1">IFERROR(__xludf.DUMMYFUNCTION("""COMPUTED_VALUE"""),0.2)</f>
        <v>0.2</v>
      </c>
      <c r="F647">
        <f ca="1">IFERROR(__xludf.DUMMYFUNCTION("""COMPUTED_VALUE"""),8)</f>
        <v>8</v>
      </c>
      <c r="G647">
        <f ca="1">IFERROR(__xludf.DUMMYFUNCTION("""COMPUTED_VALUE"""),-5.77)</f>
        <v>-5.77</v>
      </c>
      <c r="H647">
        <f ca="1">IFERROR(__xludf.DUMMYFUNCTION("""COMPUTED_VALUE"""),0)</f>
        <v>0</v>
      </c>
      <c r="I647" t="str">
        <f ca="1">IFERROR(__xludf.DUMMYFUNCTION("""COMPUTED_VALUE"""),"")</f>
        <v/>
      </c>
    </row>
    <row r="648" spans="1:9" ht="12.75">
      <c r="A648">
        <f ca="1">IFERROR(__xludf.DUMMYFUNCTION("""COMPUTED_VALUE"""),647)</f>
        <v>647</v>
      </c>
      <c r="B648">
        <f ca="1">IFERROR(__xludf.DUMMYFUNCTION("""COMPUTED_VALUE"""),637)</f>
        <v>637</v>
      </c>
      <c r="C648" t="str">
        <f ca="1">IFERROR(__xludf.DUMMYFUNCTION("""COMPUTED_VALUE"""),"Lorens Chan")</f>
        <v>Lorens Chan</v>
      </c>
      <c r="D648">
        <f ca="1">IFERROR(__xludf.DUMMYFUNCTION("""COMPUTED_VALUE"""),40)</f>
        <v>40</v>
      </c>
      <c r="E648">
        <f ca="1">IFERROR(__xludf.DUMMYFUNCTION("""COMPUTED_VALUE"""),0.2)</f>
        <v>0.2</v>
      </c>
      <c r="F648">
        <f ca="1">IFERROR(__xludf.DUMMYFUNCTION("""COMPUTED_VALUE"""),7.96)</f>
        <v>7.96</v>
      </c>
      <c r="G648">
        <f ca="1">IFERROR(__xludf.DUMMYFUNCTION("""COMPUTED_VALUE"""),-6.29)</f>
        <v>-6.29</v>
      </c>
      <c r="H648">
        <f ca="1">IFERROR(__xludf.DUMMYFUNCTION("""COMPUTED_VALUE"""),0)</f>
        <v>0</v>
      </c>
      <c r="I648" t="str">
        <f ca="1">IFERROR(__xludf.DUMMYFUNCTION("""COMPUTED_VALUE"""),"")</f>
        <v/>
      </c>
    </row>
    <row r="649" spans="1:9" ht="12.75">
      <c r="A649">
        <f ca="1">IFERROR(__xludf.DUMMYFUNCTION("""COMPUTED_VALUE"""),647)</f>
        <v>647</v>
      </c>
      <c r="B649">
        <f ca="1">IFERROR(__xludf.DUMMYFUNCTION("""COMPUTED_VALUE"""),641)</f>
        <v>641</v>
      </c>
      <c r="C649" t="str">
        <f ca="1">IFERROR(__xludf.DUMMYFUNCTION("""COMPUTED_VALUE"""),"Robin Petersson")</f>
        <v>Robin Petersson</v>
      </c>
      <c r="D649">
        <f ca="1">IFERROR(__xludf.DUMMYFUNCTION("""COMPUTED_VALUE"""),44)</f>
        <v>44</v>
      </c>
      <c r="E649">
        <f ca="1">IFERROR(__xludf.DUMMYFUNCTION("""COMPUTED_VALUE"""),0.2)</f>
        <v>0.2</v>
      </c>
      <c r="F649">
        <f ca="1">IFERROR(__xludf.DUMMYFUNCTION("""COMPUTED_VALUE"""),8.76)</f>
        <v>8.76</v>
      </c>
      <c r="G649">
        <f ca="1">IFERROR(__xludf.DUMMYFUNCTION("""COMPUTED_VALUE"""),-2.73)</f>
        <v>-2.73</v>
      </c>
      <c r="H649">
        <f ca="1">IFERROR(__xludf.DUMMYFUNCTION("""COMPUTED_VALUE"""),6.83)</f>
        <v>6.83</v>
      </c>
      <c r="I649" t="str">
        <f ca="1">IFERROR(__xludf.DUMMYFUNCTION("""COMPUTED_VALUE"""),"")</f>
        <v/>
      </c>
    </row>
    <row r="650" spans="1:9" ht="12.75">
      <c r="A650">
        <f ca="1">IFERROR(__xludf.DUMMYFUNCTION("""COMPUTED_VALUE"""),649)</f>
        <v>649</v>
      </c>
      <c r="B650">
        <f ca="1">IFERROR(__xludf.DUMMYFUNCTION("""COMPUTED_VALUE"""),644)</f>
        <v>644</v>
      </c>
      <c r="C650" t="str">
        <f ca="1">IFERROR(__xludf.DUMMYFUNCTION("""COMPUTED_VALUE"""),"Rafael Campos")</f>
        <v>Rafael Campos</v>
      </c>
      <c r="D650">
        <f ca="1">IFERROR(__xludf.DUMMYFUNCTION("""COMPUTED_VALUE"""),42)</f>
        <v>42</v>
      </c>
      <c r="E650">
        <f ca="1">IFERROR(__xludf.DUMMYFUNCTION("""COMPUTED_VALUE"""),0.2)</f>
        <v>0.2</v>
      </c>
      <c r="F650">
        <f ca="1">IFERROR(__xludf.DUMMYFUNCTION("""COMPUTED_VALUE"""),8.35)</f>
        <v>8.35</v>
      </c>
      <c r="G650">
        <f ca="1">IFERROR(__xludf.DUMMYFUNCTION("""COMPUTED_VALUE"""),-8.59)</f>
        <v>-8.59</v>
      </c>
      <c r="H650">
        <f ca="1">IFERROR(__xludf.DUMMYFUNCTION("""COMPUTED_VALUE"""),0)</f>
        <v>0</v>
      </c>
      <c r="I650" t="str">
        <f ca="1">IFERROR(__xludf.DUMMYFUNCTION("""COMPUTED_VALUE"""),"")</f>
        <v/>
      </c>
    </row>
    <row r="651" spans="1:9" ht="12.75">
      <c r="A651">
        <f ca="1">IFERROR(__xludf.DUMMYFUNCTION("""COMPUTED_VALUE"""),650)</f>
        <v>650</v>
      </c>
      <c r="B651">
        <f ca="1">IFERROR(__xludf.DUMMYFUNCTION("""COMPUTED_VALUE"""),642)</f>
        <v>642</v>
      </c>
      <c r="C651" t="str">
        <f ca="1">IFERROR(__xludf.DUMMYFUNCTION("""COMPUTED_VALUE"""),"Daniel Summerhays")</f>
        <v>Daniel Summerhays</v>
      </c>
      <c r="D651">
        <f ca="1">IFERROR(__xludf.DUMMYFUNCTION("""COMPUTED_VALUE"""),40)</f>
        <v>40</v>
      </c>
      <c r="E651">
        <f ca="1">IFERROR(__xludf.DUMMYFUNCTION("""COMPUTED_VALUE"""),0.2)</f>
        <v>0.2</v>
      </c>
      <c r="F651">
        <f ca="1">IFERROR(__xludf.DUMMYFUNCTION("""COMPUTED_VALUE"""),7.91)</f>
        <v>7.91</v>
      </c>
      <c r="G651">
        <f ca="1">IFERROR(__xludf.DUMMYFUNCTION("""COMPUTED_VALUE"""),-2.52)</f>
        <v>-2.52</v>
      </c>
      <c r="H651">
        <f ca="1">IFERROR(__xludf.DUMMYFUNCTION("""COMPUTED_VALUE"""),7)</f>
        <v>7</v>
      </c>
      <c r="I651" t="str">
        <f ca="1">IFERROR(__xludf.DUMMYFUNCTION("""COMPUTED_VALUE"""),"")</f>
        <v/>
      </c>
    </row>
    <row r="652" spans="1:9" ht="12.75">
      <c r="A652">
        <f ca="1">IFERROR(__xludf.DUMMYFUNCTION("""COMPUTED_VALUE"""),651)</f>
        <v>651</v>
      </c>
      <c r="B652">
        <f ca="1">IFERROR(__xludf.DUMMYFUNCTION("""COMPUTED_VALUE"""),649)</f>
        <v>649</v>
      </c>
      <c r="C652" t="str">
        <f ca="1">IFERROR(__xludf.DUMMYFUNCTION("""COMPUTED_VALUE"""),"Chan Shih-chang")</f>
        <v>Chan Shih-chang</v>
      </c>
      <c r="D652">
        <f ca="1">IFERROR(__xludf.DUMMYFUNCTION("""COMPUTED_VALUE"""),45)</f>
        <v>45</v>
      </c>
      <c r="E652">
        <f ca="1">IFERROR(__xludf.DUMMYFUNCTION("""COMPUTED_VALUE"""),0.2)</f>
        <v>0.2</v>
      </c>
      <c r="F652">
        <f ca="1">IFERROR(__xludf.DUMMYFUNCTION("""COMPUTED_VALUE"""),8.85)</f>
        <v>8.85</v>
      </c>
      <c r="G652">
        <f ca="1">IFERROR(__xludf.DUMMYFUNCTION("""COMPUTED_VALUE"""),-8.56)</f>
        <v>-8.56</v>
      </c>
      <c r="H652">
        <f ca="1">IFERROR(__xludf.DUMMYFUNCTION("""COMPUTED_VALUE"""),3.74)</f>
        <v>3.74</v>
      </c>
      <c r="I652" t="str">
        <f ca="1">IFERROR(__xludf.DUMMYFUNCTION("""COMPUTED_VALUE"""),"")</f>
        <v/>
      </c>
    </row>
    <row r="653" spans="1:9" ht="12.75">
      <c r="A653">
        <f ca="1">IFERROR(__xludf.DUMMYFUNCTION("""COMPUTED_VALUE"""),652)</f>
        <v>652</v>
      </c>
      <c r="B653">
        <f ca="1">IFERROR(__xludf.DUMMYFUNCTION("""COMPUTED_VALUE"""),638)</f>
        <v>638</v>
      </c>
      <c r="C653" t="str">
        <f ca="1">IFERROR(__xludf.DUMMYFUNCTION("""COMPUTED_VALUE"""),"Paul Dunne")</f>
        <v>Paul Dunne</v>
      </c>
      <c r="D653">
        <f ca="1">IFERROR(__xludf.DUMMYFUNCTION("""COMPUTED_VALUE"""),40)</f>
        <v>40</v>
      </c>
      <c r="E653">
        <f ca="1">IFERROR(__xludf.DUMMYFUNCTION("""COMPUTED_VALUE"""),0.2)</f>
        <v>0.2</v>
      </c>
      <c r="F653">
        <f ca="1">IFERROR(__xludf.DUMMYFUNCTION("""COMPUTED_VALUE"""),7.85)</f>
        <v>7.85</v>
      </c>
      <c r="G653">
        <f ca="1">IFERROR(__xludf.DUMMYFUNCTION("""COMPUTED_VALUE"""),-16.12)</f>
        <v>-16.12</v>
      </c>
      <c r="H653">
        <f ca="1">IFERROR(__xludf.DUMMYFUNCTION("""COMPUTED_VALUE"""),0)</f>
        <v>0</v>
      </c>
      <c r="I653" t="str">
        <f ca="1">IFERROR(__xludf.DUMMYFUNCTION("""COMPUTED_VALUE"""),"")</f>
        <v/>
      </c>
    </row>
    <row r="654" spans="1:9" ht="12.75">
      <c r="A654">
        <f ca="1">IFERROR(__xludf.DUMMYFUNCTION("""COMPUTED_VALUE"""),652)</f>
        <v>652</v>
      </c>
      <c r="B654">
        <f ca="1">IFERROR(__xludf.DUMMYFUNCTION("""COMPUTED_VALUE"""),645)</f>
        <v>645</v>
      </c>
      <c r="C654" t="str">
        <f ca="1">IFERROR(__xludf.DUMMYFUNCTION("""COMPUTED_VALUE"""),"Malcolm Mitchell")</f>
        <v>Malcolm Mitchell</v>
      </c>
      <c r="D654">
        <f ca="1">IFERROR(__xludf.DUMMYFUNCTION("""COMPUTED_VALUE"""),40)</f>
        <v>40</v>
      </c>
      <c r="E654">
        <f ca="1">IFERROR(__xludf.DUMMYFUNCTION("""COMPUTED_VALUE"""),0.2)</f>
        <v>0.2</v>
      </c>
      <c r="F654">
        <f ca="1">IFERROR(__xludf.DUMMYFUNCTION("""COMPUTED_VALUE"""),7.85)</f>
        <v>7.85</v>
      </c>
      <c r="G654">
        <f ca="1">IFERROR(__xludf.DUMMYFUNCTION("""COMPUTED_VALUE"""),-4.49)</f>
        <v>-4.49</v>
      </c>
      <c r="H654">
        <f ca="1">IFERROR(__xludf.DUMMYFUNCTION("""COMPUTED_VALUE"""),0)</f>
        <v>0</v>
      </c>
      <c r="I654" t="str">
        <f ca="1">IFERROR(__xludf.DUMMYFUNCTION("""COMPUTED_VALUE"""),"")</f>
        <v/>
      </c>
    </row>
    <row r="655" spans="1:9" ht="12.75">
      <c r="A655">
        <f ca="1">IFERROR(__xludf.DUMMYFUNCTION("""COMPUTED_VALUE"""),654)</f>
        <v>654</v>
      </c>
      <c r="B655">
        <f ca="1">IFERROR(__xludf.DUMMYFUNCTION("""COMPUTED_VALUE"""),651)</f>
        <v>651</v>
      </c>
      <c r="C655" t="str">
        <f ca="1">IFERROR(__xludf.DUMMYFUNCTION("""COMPUTED_VALUE"""),"John VanDerLaan")</f>
        <v>John VanDerLaan</v>
      </c>
      <c r="D655">
        <f ca="1">IFERROR(__xludf.DUMMYFUNCTION("""COMPUTED_VALUE"""),40)</f>
        <v>40</v>
      </c>
      <c r="E655">
        <f ca="1">IFERROR(__xludf.DUMMYFUNCTION("""COMPUTED_VALUE"""),0.2)</f>
        <v>0.2</v>
      </c>
      <c r="F655">
        <f ca="1">IFERROR(__xludf.DUMMYFUNCTION("""COMPUTED_VALUE"""),7.84)</f>
        <v>7.84</v>
      </c>
      <c r="G655">
        <f ca="1">IFERROR(__xludf.DUMMYFUNCTION("""COMPUTED_VALUE"""),-0.87)</f>
        <v>-0.87</v>
      </c>
      <c r="H655">
        <f ca="1">IFERROR(__xludf.DUMMYFUNCTION("""COMPUTED_VALUE"""),8.71)</f>
        <v>8.7100000000000009</v>
      </c>
      <c r="I655" t="str">
        <f ca="1">IFERROR(__xludf.DUMMYFUNCTION("""COMPUTED_VALUE"""),"")</f>
        <v/>
      </c>
    </row>
    <row r="656" spans="1:9" ht="12.75">
      <c r="A656">
        <f ca="1">IFERROR(__xludf.DUMMYFUNCTION("""COMPUTED_VALUE"""),655)</f>
        <v>655</v>
      </c>
      <c r="B656">
        <f ca="1">IFERROR(__xludf.DUMMYFUNCTION("""COMPUTED_VALUE"""),643)</f>
        <v>643</v>
      </c>
      <c r="C656" t="str">
        <f ca="1">IFERROR(__xludf.DUMMYFUNCTION("""COMPUTED_VALUE"""),"Kevin Chappell")</f>
        <v>Kevin Chappell</v>
      </c>
      <c r="D656">
        <f ca="1">IFERROR(__xludf.DUMMYFUNCTION("""COMPUTED_VALUE"""),40)</f>
        <v>40</v>
      </c>
      <c r="E656">
        <f ca="1">IFERROR(__xludf.DUMMYFUNCTION("""COMPUTED_VALUE"""),0.2)</f>
        <v>0.2</v>
      </c>
      <c r="F656">
        <f ca="1">IFERROR(__xludf.DUMMYFUNCTION("""COMPUTED_VALUE"""),7.81)</f>
        <v>7.81</v>
      </c>
      <c r="G656">
        <f ca="1">IFERROR(__xludf.DUMMYFUNCTION("""COMPUTED_VALUE"""),-16.57)</f>
        <v>-16.57</v>
      </c>
      <c r="H656">
        <f ca="1">IFERROR(__xludf.DUMMYFUNCTION("""COMPUTED_VALUE"""),6.4)</f>
        <v>6.4</v>
      </c>
      <c r="I656" t="str">
        <f ca="1">IFERROR(__xludf.DUMMYFUNCTION("""COMPUTED_VALUE"""),"")</f>
        <v/>
      </c>
    </row>
    <row r="657" spans="1:9" ht="12.75">
      <c r="A657">
        <f ca="1">IFERROR(__xludf.DUMMYFUNCTION("""COMPUTED_VALUE"""),655)</f>
        <v>655</v>
      </c>
      <c r="B657">
        <f ca="1">IFERROR(__xludf.DUMMYFUNCTION("""COMPUTED_VALUE"""),651)</f>
        <v>651</v>
      </c>
      <c r="C657" t="str">
        <f ca="1">IFERROR(__xludf.DUMMYFUNCTION("""COMPUTED_VALUE"""),"Braden Thornberry")</f>
        <v>Braden Thornberry</v>
      </c>
      <c r="D657">
        <f ca="1">IFERROR(__xludf.DUMMYFUNCTION("""COMPUTED_VALUE"""),40)</f>
        <v>40</v>
      </c>
      <c r="E657">
        <f ca="1">IFERROR(__xludf.DUMMYFUNCTION("""COMPUTED_VALUE"""),0.2)</f>
        <v>0.2</v>
      </c>
      <c r="F657">
        <f ca="1">IFERROR(__xludf.DUMMYFUNCTION("""COMPUTED_VALUE"""),7.81)</f>
        <v>7.81</v>
      </c>
      <c r="G657">
        <f ca="1">IFERROR(__xludf.DUMMYFUNCTION("""COMPUTED_VALUE"""),-2.95)</f>
        <v>-2.95</v>
      </c>
      <c r="H657">
        <f ca="1">IFERROR(__xludf.DUMMYFUNCTION("""COMPUTED_VALUE"""),5.17)</f>
        <v>5.17</v>
      </c>
      <c r="I657" t="str">
        <f ca="1">IFERROR(__xludf.DUMMYFUNCTION("""COMPUTED_VALUE"""),"")</f>
        <v/>
      </c>
    </row>
    <row r="658" spans="1:9" ht="12.75">
      <c r="A658">
        <f ca="1">IFERROR(__xludf.DUMMYFUNCTION("""COMPUTED_VALUE"""),657)</f>
        <v>657</v>
      </c>
      <c r="B658">
        <f ca="1">IFERROR(__xludf.DUMMYFUNCTION("""COMPUTED_VALUE"""),727)</f>
        <v>727</v>
      </c>
      <c r="C658" t="str">
        <f ca="1">IFERROR(__xludf.DUMMYFUNCTION("""COMPUTED_VALUE"""),"Sungyeol Kwon")</f>
        <v>Sungyeol Kwon</v>
      </c>
      <c r="D658">
        <f ca="1">IFERROR(__xludf.DUMMYFUNCTION("""COMPUTED_VALUE"""),40)</f>
        <v>40</v>
      </c>
      <c r="E658">
        <f ca="1">IFERROR(__xludf.DUMMYFUNCTION("""COMPUTED_VALUE"""),0.2)</f>
        <v>0.2</v>
      </c>
      <c r="F658">
        <f ca="1">IFERROR(__xludf.DUMMYFUNCTION("""COMPUTED_VALUE"""),7.8)</f>
        <v>7.8</v>
      </c>
      <c r="G658">
        <f ca="1">IFERROR(__xludf.DUMMYFUNCTION("""COMPUTED_VALUE"""),-4.53)</f>
        <v>-4.53</v>
      </c>
      <c r="H658">
        <f ca="1">IFERROR(__xludf.DUMMYFUNCTION("""COMPUTED_VALUE"""),4.26)</f>
        <v>4.26</v>
      </c>
      <c r="I658" t="str">
        <f ca="1">IFERROR(__xludf.DUMMYFUNCTION("""COMPUTED_VALUE"""),"")</f>
        <v/>
      </c>
    </row>
    <row r="659" spans="1:9" ht="12.75">
      <c r="A659">
        <f ca="1">IFERROR(__xludf.DUMMYFUNCTION("""COMPUTED_VALUE"""),658)</f>
        <v>658</v>
      </c>
      <c r="B659">
        <f ca="1">IFERROR(__xludf.DUMMYFUNCTION("""COMPUTED_VALUE"""),646)</f>
        <v>646</v>
      </c>
      <c r="C659" t="str">
        <f ca="1">IFERROR(__xludf.DUMMYFUNCTION("""COMPUTED_VALUE"""),"Shingo Katayama")</f>
        <v>Shingo Katayama</v>
      </c>
      <c r="D659">
        <f ca="1">IFERROR(__xludf.DUMMYFUNCTION("""COMPUTED_VALUE"""),40)</f>
        <v>40</v>
      </c>
      <c r="E659">
        <f ca="1">IFERROR(__xludf.DUMMYFUNCTION("""COMPUTED_VALUE"""),0.19)</f>
        <v>0.19</v>
      </c>
      <c r="F659">
        <f ca="1">IFERROR(__xludf.DUMMYFUNCTION("""COMPUTED_VALUE"""),7.8)</f>
        <v>7.8</v>
      </c>
      <c r="G659">
        <f ca="1">IFERROR(__xludf.DUMMYFUNCTION("""COMPUTED_VALUE"""),-7.28)</f>
        <v>-7.28</v>
      </c>
      <c r="H659">
        <f ca="1">IFERROR(__xludf.DUMMYFUNCTION("""COMPUTED_VALUE"""),0)</f>
        <v>0</v>
      </c>
      <c r="I659" t="str">
        <f ca="1">IFERROR(__xludf.DUMMYFUNCTION("""COMPUTED_VALUE"""),"")</f>
        <v/>
      </c>
    </row>
    <row r="660" spans="1:9" ht="12.75">
      <c r="A660">
        <f ca="1">IFERROR(__xludf.DUMMYFUNCTION("""COMPUTED_VALUE"""),658)</f>
        <v>658</v>
      </c>
      <c r="B660">
        <f ca="1">IFERROR(__xludf.DUMMYFUNCTION("""COMPUTED_VALUE"""),649)</f>
        <v>649</v>
      </c>
      <c r="C660" t="str">
        <f ca="1">IFERROR(__xludf.DUMMYFUNCTION("""COMPUTED_VALUE"""),"Tom Whitney")</f>
        <v>Tom Whitney</v>
      </c>
      <c r="D660">
        <f ca="1">IFERROR(__xludf.DUMMYFUNCTION("""COMPUTED_VALUE"""),40)</f>
        <v>40</v>
      </c>
      <c r="E660">
        <f ca="1">IFERROR(__xludf.DUMMYFUNCTION("""COMPUTED_VALUE"""),0.19)</f>
        <v>0.19</v>
      </c>
      <c r="F660">
        <f ca="1">IFERROR(__xludf.DUMMYFUNCTION("""COMPUTED_VALUE"""),7.8)</f>
        <v>7.8</v>
      </c>
      <c r="G660">
        <f ca="1">IFERROR(__xludf.DUMMYFUNCTION("""COMPUTED_VALUE"""),-3.92)</f>
        <v>-3.92</v>
      </c>
      <c r="H660">
        <f ca="1">IFERROR(__xludf.DUMMYFUNCTION("""COMPUTED_VALUE"""),2.21)</f>
        <v>2.21</v>
      </c>
      <c r="I660" t="str">
        <f ca="1">IFERROR(__xludf.DUMMYFUNCTION("""COMPUTED_VALUE"""),"")</f>
        <v/>
      </c>
    </row>
    <row r="661" spans="1:9" ht="12.75">
      <c r="A661">
        <f ca="1">IFERROR(__xludf.DUMMYFUNCTION("""COMPUTED_VALUE"""),660)</f>
        <v>660</v>
      </c>
      <c r="B661">
        <f ca="1">IFERROR(__xludf.DUMMYFUNCTION("""COMPUTED_VALUE"""),653)</f>
        <v>653</v>
      </c>
      <c r="C661" t="str">
        <f ca="1">IFERROR(__xludf.DUMMYFUNCTION("""COMPUTED_VALUE"""),"Ryuji Masaoka")</f>
        <v>Ryuji Masaoka</v>
      </c>
      <c r="D661">
        <f ca="1">IFERROR(__xludf.DUMMYFUNCTION("""COMPUTED_VALUE"""),40)</f>
        <v>40</v>
      </c>
      <c r="E661">
        <f ca="1">IFERROR(__xludf.DUMMYFUNCTION("""COMPUTED_VALUE"""),0.19)</f>
        <v>0.19</v>
      </c>
      <c r="F661">
        <f ca="1">IFERROR(__xludf.DUMMYFUNCTION("""COMPUTED_VALUE"""),7.71)</f>
        <v>7.71</v>
      </c>
      <c r="G661">
        <f ca="1">IFERROR(__xludf.DUMMYFUNCTION("""COMPUTED_VALUE"""),-5.96)</f>
        <v>-5.96</v>
      </c>
      <c r="H661">
        <f ca="1">IFERROR(__xludf.DUMMYFUNCTION("""COMPUTED_VALUE"""),0)</f>
        <v>0</v>
      </c>
      <c r="I661" t="str">
        <f ca="1">IFERROR(__xludf.DUMMYFUNCTION("""COMPUTED_VALUE"""),"")</f>
        <v/>
      </c>
    </row>
    <row r="662" spans="1:9" ht="12.75">
      <c r="A662">
        <f ca="1">IFERROR(__xludf.DUMMYFUNCTION("""COMPUTED_VALUE"""),661)</f>
        <v>661</v>
      </c>
      <c r="B662">
        <f ca="1">IFERROR(__xludf.DUMMYFUNCTION("""COMPUTED_VALUE"""),655)</f>
        <v>655</v>
      </c>
      <c r="C662" t="str">
        <f ca="1">IFERROR(__xludf.DUMMYFUNCTION("""COMPUTED_VALUE"""),"MJ Daffue")</f>
        <v>MJ Daffue</v>
      </c>
      <c r="D662">
        <f ca="1">IFERROR(__xludf.DUMMYFUNCTION("""COMPUTED_VALUE"""),40)</f>
        <v>40</v>
      </c>
      <c r="E662">
        <f ca="1">IFERROR(__xludf.DUMMYFUNCTION("""COMPUTED_VALUE"""),0.19)</f>
        <v>0.19</v>
      </c>
      <c r="F662">
        <f ca="1">IFERROR(__xludf.DUMMYFUNCTION("""COMPUTED_VALUE"""),7.69)</f>
        <v>7.69</v>
      </c>
      <c r="G662">
        <f ca="1">IFERROR(__xludf.DUMMYFUNCTION("""COMPUTED_VALUE"""),-1.08)</f>
        <v>-1.08</v>
      </c>
      <c r="H662">
        <f ca="1">IFERROR(__xludf.DUMMYFUNCTION("""COMPUTED_VALUE"""),6.56)</f>
        <v>6.56</v>
      </c>
      <c r="I662" t="str">
        <f ca="1">IFERROR(__xludf.DUMMYFUNCTION("""COMPUTED_VALUE"""),"")</f>
        <v/>
      </c>
    </row>
    <row r="663" spans="1:9" ht="12.75">
      <c r="A663">
        <f ca="1">IFERROR(__xludf.DUMMYFUNCTION("""COMPUTED_VALUE"""),662)</f>
        <v>662</v>
      </c>
      <c r="B663">
        <f ca="1">IFERROR(__xludf.DUMMYFUNCTION("""COMPUTED_VALUE"""),781)</f>
        <v>781</v>
      </c>
      <c r="C663" t="str">
        <f ca="1">IFERROR(__xludf.DUMMYFUNCTION("""COMPUTED_VALUE"""),"Henric Sturehed")</f>
        <v>Henric Sturehed</v>
      </c>
      <c r="D663">
        <f ca="1">IFERROR(__xludf.DUMMYFUNCTION("""COMPUTED_VALUE"""),52)</f>
        <v>52</v>
      </c>
      <c r="E663">
        <f ca="1">IFERROR(__xludf.DUMMYFUNCTION("""COMPUTED_VALUE"""),0.19)</f>
        <v>0.19</v>
      </c>
      <c r="F663">
        <f ca="1">IFERROR(__xludf.DUMMYFUNCTION("""COMPUTED_VALUE"""),9.94)</f>
        <v>9.94</v>
      </c>
      <c r="G663">
        <f ca="1">IFERROR(__xludf.DUMMYFUNCTION("""COMPUTED_VALUE"""),-5.46)</f>
        <v>-5.46</v>
      </c>
      <c r="H663">
        <f ca="1">IFERROR(__xludf.DUMMYFUNCTION("""COMPUTED_VALUE"""),4.74)</f>
        <v>4.74</v>
      </c>
      <c r="I663" t="str">
        <f ca="1">IFERROR(__xludf.DUMMYFUNCTION("""COMPUTED_VALUE"""),"")</f>
        <v/>
      </c>
    </row>
    <row r="664" spans="1:9" ht="12.75">
      <c r="A664">
        <f ca="1">IFERROR(__xludf.DUMMYFUNCTION("""COMPUTED_VALUE"""),663)</f>
        <v>663</v>
      </c>
      <c r="B664">
        <f ca="1">IFERROR(__xludf.DUMMYFUNCTION("""COMPUTED_VALUE"""),661)</f>
        <v>661</v>
      </c>
      <c r="C664" t="str">
        <f ca="1">IFERROR(__xludf.DUMMYFUNCTION("""COMPUTED_VALUE"""),"Kunihiro Kamii")</f>
        <v>Kunihiro Kamii</v>
      </c>
      <c r="D664">
        <f ca="1">IFERROR(__xludf.DUMMYFUNCTION("""COMPUTED_VALUE"""),40)</f>
        <v>40</v>
      </c>
      <c r="E664">
        <f ca="1">IFERROR(__xludf.DUMMYFUNCTION("""COMPUTED_VALUE"""),0.19)</f>
        <v>0.19</v>
      </c>
      <c r="F664">
        <f ca="1">IFERROR(__xludf.DUMMYFUNCTION("""COMPUTED_VALUE"""),7.62)</f>
        <v>7.62</v>
      </c>
      <c r="G664">
        <f ca="1">IFERROR(__xludf.DUMMYFUNCTION("""COMPUTED_VALUE"""),-4.86)</f>
        <v>-4.8600000000000003</v>
      </c>
      <c r="H664">
        <f ca="1">IFERROR(__xludf.DUMMYFUNCTION("""COMPUTED_VALUE"""),5.4)</f>
        <v>5.4</v>
      </c>
      <c r="I664" t="str">
        <f ca="1">IFERROR(__xludf.DUMMYFUNCTION("""COMPUTED_VALUE"""),"")</f>
        <v/>
      </c>
    </row>
    <row r="665" spans="1:9" ht="12.75">
      <c r="A665">
        <f ca="1">IFERROR(__xludf.DUMMYFUNCTION("""COMPUTED_VALUE"""),664)</f>
        <v>664</v>
      </c>
      <c r="B665">
        <f ca="1">IFERROR(__xludf.DUMMYFUNCTION("""COMPUTED_VALUE"""),664)</f>
        <v>664</v>
      </c>
      <c r="C665" t="str">
        <f ca="1">IFERROR(__xludf.DUMMYFUNCTION("""COMPUTED_VALUE"""),"Jordi Garcia del Mora")</f>
        <v>Jordi Garcia del Mora</v>
      </c>
      <c r="D665">
        <f ca="1">IFERROR(__xludf.DUMMYFUNCTION("""COMPUTED_VALUE"""),40)</f>
        <v>40</v>
      </c>
      <c r="E665">
        <f ca="1">IFERROR(__xludf.DUMMYFUNCTION("""COMPUTED_VALUE"""),0.19)</f>
        <v>0.19</v>
      </c>
      <c r="F665">
        <f ca="1">IFERROR(__xludf.DUMMYFUNCTION("""COMPUTED_VALUE"""),7.6)</f>
        <v>7.6</v>
      </c>
      <c r="G665" t="str">
        <f ca="1">IFERROR(__xludf.DUMMYFUNCTION("""COMPUTED_VALUE"""),"")</f>
        <v/>
      </c>
      <c r="H665">
        <f ca="1">IFERROR(__xludf.DUMMYFUNCTION("""COMPUTED_VALUE"""),7.6)</f>
        <v>7.6</v>
      </c>
      <c r="I665" t="str">
        <f ca="1">IFERROR(__xludf.DUMMYFUNCTION("""COMPUTED_VALUE"""),"")</f>
        <v/>
      </c>
    </row>
    <row r="666" spans="1:9" ht="12.75">
      <c r="A666">
        <f ca="1">IFERROR(__xludf.DUMMYFUNCTION("""COMPUTED_VALUE"""),664)</f>
        <v>664</v>
      </c>
      <c r="B666">
        <f ca="1">IFERROR(__xludf.DUMMYFUNCTION("""COMPUTED_VALUE"""),654)</f>
        <v>654</v>
      </c>
      <c r="C666" t="str">
        <f ca="1">IFERROR(__xludf.DUMMYFUNCTION("""COMPUTED_VALUE"""),"Vince Covello")</f>
        <v>Vince Covello</v>
      </c>
      <c r="D666">
        <f ca="1">IFERROR(__xludf.DUMMYFUNCTION("""COMPUTED_VALUE"""),40)</f>
        <v>40</v>
      </c>
      <c r="E666">
        <f ca="1">IFERROR(__xludf.DUMMYFUNCTION("""COMPUTED_VALUE"""),0.19)</f>
        <v>0.19</v>
      </c>
      <c r="F666">
        <f ca="1">IFERROR(__xludf.DUMMYFUNCTION("""COMPUTED_VALUE"""),7.6)</f>
        <v>7.6</v>
      </c>
      <c r="G666">
        <f ca="1">IFERROR(__xludf.DUMMYFUNCTION("""COMPUTED_VALUE"""),-8.91)</f>
        <v>-8.91</v>
      </c>
      <c r="H666">
        <f ca="1">IFERROR(__xludf.DUMMYFUNCTION("""COMPUTED_VALUE"""),0)</f>
        <v>0</v>
      </c>
      <c r="I666" t="str">
        <f ca="1">IFERROR(__xludf.DUMMYFUNCTION("""COMPUTED_VALUE"""),"")</f>
        <v/>
      </c>
    </row>
    <row r="667" spans="1:9" ht="12.75">
      <c r="A667">
        <f ca="1">IFERROR(__xludf.DUMMYFUNCTION("""COMPUTED_VALUE"""),666)</f>
        <v>666</v>
      </c>
      <c r="B667">
        <f ca="1">IFERROR(__xludf.DUMMYFUNCTION("""COMPUTED_VALUE"""),648)</f>
        <v>648</v>
      </c>
      <c r="C667" t="str">
        <f ca="1">IFERROR(__xludf.DUMMYFUNCTION("""COMPUTED_VALUE"""),"Viraj Madappa")</f>
        <v>Viraj Madappa</v>
      </c>
      <c r="D667">
        <f ca="1">IFERROR(__xludf.DUMMYFUNCTION("""COMPUTED_VALUE"""),41)</f>
        <v>41</v>
      </c>
      <c r="E667">
        <f ca="1">IFERROR(__xludf.DUMMYFUNCTION("""COMPUTED_VALUE"""),0.19)</f>
        <v>0.19</v>
      </c>
      <c r="F667">
        <f ca="1">IFERROR(__xludf.DUMMYFUNCTION("""COMPUTED_VALUE"""),7.78)</f>
        <v>7.78</v>
      </c>
      <c r="G667">
        <f ca="1">IFERROR(__xludf.DUMMYFUNCTION("""COMPUTED_VALUE"""),-9.98)</f>
        <v>-9.98</v>
      </c>
      <c r="H667">
        <f ca="1">IFERROR(__xludf.DUMMYFUNCTION("""COMPUTED_VALUE"""),5.5)</f>
        <v>5.5</v>
      </c>
      <c r="I667" t="str">
        <f ca="1">IFERROR(__xludf.DUMMYFUNCTION("""COMPUTED_VALUE"""),"")</f>
        <v/>
      </c>
    </row>
    <row r="668" spans="1:9" ht="12.75">
      <c r="A668">
        <f ca="1">IFERROR(__xludf.DUMMYFUNCTION("""COMPUTED_VALUE"""),667)</f>
        <v>667</v>
      </c>
      <c r="B668">
        <f ca="1">IFERROR(__xludf.DUMMYFUNCTION("""COMPUTED_VALUE"""),657)</f>
        <v>657</v>
      </c>
      <c r="C668" t="str">
        <f ca="1">IFERROR(__xludf.DUMMYFUNCTION("""COMPUTED_VALUE"""),"Enrico Di Nitto")</f>
        <v>Enrico Di Nitto</v>
      </c>
      <c r="D668">
        <f ca="1">IFERROR(__xludf.DUMMYFUNCTION("""COMPUTED_VALUE"""),40)</f>
        <v>40</v>
      </c>
      <c r="E668">
        <f ca="1">IFERROR(__xludf.DUMMYFUNCTION("""COMPUTED_VALUE"""),0.19)</f>
        <v>0.19</v>
      </c>
      <c r="F668">
        <f ca="1">IFERROR(__xludf.DUMMYFUNCTION("""COMPUTED_VALUE"""),7.58)</f>
        <v>7.58</v>
      </c>
      <c r="G668">
        <f ca="1">IFERROR(__xludf.DUMMYFUNCTION("""COMPUTED_VALUE"""),-4.41)</f>
        <v>-4.41</v>
      </c>
      <c r="H668">
        <f ca="1">IFERROR(__xludf.DUMMYFUNCTION("""COMPUTED_VALUE"""),1.74)</f>
        <v>1.74</v>
      </c>
      <c r="I668" t="str">
        <f ca="1">IFERROR(__xludf.DUMMYFUNCTION("""COMPUTED_VALUE"""),"")</f>
        <v/>
      </c>
    </row>
    <row r="669" spans="1:9" ht="12.75">
      <c r="A669">
        <f ca="1">IFERROR(__xludf.DUMMYFUNCTION("""COMPUTED_VALUE"""),668)</f>
        <v>668</v>
      </c>
      <c r="B669">
        <f ca="1">IFERROR(__xludf.DUMMYFUNCTION("""COMPUTED_VALUE"""),656)</f>
        <v>656</v>
      </c>
      <c r="C669" t="str">
        <f ca="1">IFERROR(__xludf.DUMMYFUNCTION("""COMPUTED_VALUE"""),"David Bransdon")</f>
        <v>David Bransdon</v>
      </c>
      <c r="D669">
        <f ca="1">IFERROR(__xludf.DUMMYFUNCTION("""COMPUTED_VALUE"""),41)</f>
        <v>41</v>
      </c>
      <c r="E669">
        <f ca="1">IFERROR(__xludf.DUMMYFUNCTION("""COMPUTED_VALUE"""),0.19)</f>
        <v>0.19</v>
      </c>
      <c r="F669">
        <f ca="1">IFERROR(__xludf.DUMMYFUNCTION("""COMPUTED_VALUE"""),7.74)</f>
        <v>7.74</v>
      </c>
      <c r="G669">
        <f ca="1">IFERROR(__xludf.DUMMYFUNCTION("""COMPUTED_VALUE"""),-7.12)</f>
        <v>-7.12</v>
      </c>
      <c r="H669">
        <f ca="1">IFERROR(__xludf.DUMMYFUNCTION("""COMPUTED_VALUE"""),0)</f>
        <v>0</v>
      </c>
      <c r="I669" t="str">
        <f ca="1">IFERROR(__xludf.DUMMYFUNCTION("""COMPUTED_VALUE"""),"")</f>
        <v/>
      </c>
    </row>
    <row r="670" spans="1:9" ht="12.75">
      <c r="A670">
        <f ca="1">IFERROR(__xludf.DUMMYFUNCTION("""COMPUTED_VALUE"""),668)</f>
        <v>668</v>
      </c>
      <c r="B670">
        <f ca="1">IFERROR(__xludf.DUMMYFUNCTION("""COMPUTED_VALUE"""),658)</f>
        <v>658</v>
      </c>
      <c r="C670" t="str">
        <f ca="1">IFERROR(__xludf.DUMMYFUNCTION("""COMPUTED_VALUE"""),"Mathieu Fenasse")</f>
        <v>Mathieu Fenasse</v>
      </c>
      <c r="D670">
        <f ca="1">IFERROR(__xludf.DUMMYFUNCTION("""COMPUTED_VALUE"""),45)</f>
        <v>45</v>
      </c>
      <c r="E670">
        <f ca="1">IFERROR(__xludf.DUMMYFUNCTION("""COMPUTED_VALUE"""),0.19)</f>
        <v>0.19</v>
      </c>
      <c r="F670">
        <f ca="1">IFERROR(__xludf.DUMMYFUNCTION("""COMPUTED_VALUE"""),8.49)</f>
        <v>8.49</v>
      </c>
      <c r="G670">
        <f ca="1">IFERROR(__xludf.DUMMYFUNCTION("""COMPUTED_VALUE"""),-9.07)</f>
        <v>-9.07</v>
      </c>
      <c r="H670">
        <f ca="1">IFERROR(__xludf.DUMMYFUNCTION("""COMPUTED_VALUE"""),1.38)</f>
        <v>1.38</v>
      </c>
      <c r="I670" t="str">
        <f ca="1">IFERROR(__xludf.DUMMYFUNCTION("""COMPUTED_VALUE"""),"")</f>
        <v/>
      </c>
    </row>
    <row r="671" spans="1:9" ht="12.75">
      <c r="A671">
        <f ca="1">IFERROR(__xludf.DUMMYFUNCTION("""COMPUTED_VALUE"""),670)</f>
        <v>670</v>
      </c>
      <c r="B671">
        <f ca="1">IFERROR(__xludf.DUMMYFUNCTION("""COMPUTED_VALUE"""),673)</f>
        <v>673</v>
      </c>
      <c r="C671" t="str">
        <f ca="1">IFERROR(__xludf.DUMMYFUNCTION("""COMPUTED_VALUE"""),"Lasse Jensen")</f>
        <v>Lasse Jensen</v>
      </c>
      <c r="D671">
        <f ca="1">IFERROR(__xludf.DUMMYFUNCTION("""COMPUTED_VALUE"""),41)</f>
        <v>41</v>
      </c>
      <c r="E671">
        <f ca="1">IFERROR(__xludf.DUMMYFUNCTION("""COMPUTED_VALUE"""),0.19)</f>
        <v>0.19</v>
      </c>
      <c r="F671">
        <f ca="1">IFERROR(__xludf.DUMMYFUNCTION("""COMPUTED_VALUE"""),7.73)</f>
        <v>7.73</v>
      </c>
      <c r="G671">
        <f ca="1">IFERROR(__xludf.DUMMYFUNCTION("""COMPUTED_VALUE"""),-1.99)</f>
        <v>-1.99</v>
      </c>
      <c r="H671">
        <f ca="1">IFERROR(__xludf.DUMMYFUNCTION("""COMPUTED_VALUE"""),7.2)</f>
        <v>7.2</v>
      </c>
      <c r="I671" t="str">
        <f ca="1">IFERROR(__xludf.DUMMYFUNCTION("""COMPUTED_VALUE"""),"")</f>
        <v/>
      </c>
    </row>
    <row r="672" spans="1:9" ht="12.75">
      <c r="A672">
        <f ca="1">IFERROR(__xludf.DUMMYFUNCTION("""COMPUTED_VALUE"""),671)</f>
        <v>671</v>
      </c>
      <c r="B672">
        <f ca="1">IFERROR(__xludf.DUMMYFUNCTION("""COMPUTED_VALUE"""),662)</f>
        <v>662</v>
      </c>
      <c r="C672" t="str">
        <f ca="1">IFERROR(__xludf.DUMMYFUNCTION("""COMPUTED_VALUE"""),"Taylor Moore")</f>
        <v>Taylor Moore</v>
      </c>
      <c r="D672">
        <f ca="1">IFERROR(__xludf.DUMMYFUNCTION("""COMPUTED_VALUE"""),40)</f>
        <v>40</v>
      </c>
      <c r="E672">
        <f ca="1">IFERROR(__xludf.DUMMYFUNCTION("""COMPUTED_VALUE"""),0.19)</f>
        <v>0.19</v>
      </c>
      <c r="F672">
        <f ca="1">IFERROR(__xludf.DUMMYFUNCTION("""COMPUTED_VALUE"""),7.53)</f>
        <v>7.53</v>
      </c>
      <c r="G672">
        <f ca="1">IFERROR(__xludf.DUMMYFUNCTION("""COMPUTED_VALUE"""),-4.76)</f>
        <v>-4.76</v>
      </c>
      <c r="H672">
        <f ca="1">IFERROR(__xludf.DUMMYFUNCTION("""COMPUTED_VALUE"""),6.94)</f>
        <v>6.94</v>
      </c>
      <c r="I672" t="str">
        <f ca="1">IFERROR(__xludf.DUMMYFUNCTION("""COMPUTED_VALUE"""),"")</f>
        <v/>
      </c>
    </row>
    <row r="673" spans="1:9" ht="12.75">
      <c r="A673">
        <f ca="1">IFERROR(__xludf.DUMMYFUNCTION("""COMPUTED_VALUE"""),672)</f>
        <v>672</v>
      </c>
      <c r="B673">
        <f ca="1">IFERROR(__xludf.DUMMYFUNCTION("""COMPUTED_VALUE"""),659)</f>
        <v>659</v>
      </c>
      <c r="C673" t="str">
        <f ca="1">IFERROR(__xludf.DUMMYFUNCTION("""COMPUTED_VALUE"""),"Austin Smotherman")</f>
        <v>Austin Smotherman</v>
      </c>
      <c r="D673">
        <f ca="1">IFERROR(__xludf.DUMMYFUNCTION("""COMPUTED_VALUE"""),52)</f>
        <v>52</v>
      </c>
      <c r="E673">
        <f ca="1">IFERROR(__xludf.DUMMYFUNCTION("""COMPUTED_VALUE"""),0.19)</f>
        <v>0.19</v>
      </c>
      <c r="F673">
        <f ca="1">IFERROR(__xludf.DUMMYFUNCTION("""COMPUTED_VALUE"""),9.77)</f>
        <v>9.77</v>
      </c>
      <c r="G673">
        <f ca="1">IFERROR(__xludf.DUMMYFUNCTION("""COMPUTED_VALUE"""),-6.18)</f>
        <v>-6.18</v>
      </c>
      <c r="H673">
        <f ca="1">IFERROR(__xludf.DUMMYFUNCTION("""COMPUTED_VALUE"""),6.85)</f>
        <v>6.85</v>
      </c>
      <c r="I673" t="str">
        <f ca="1">IFERROR(__xludf.DUMMYFUNCTION("""COMPUTED_VALUE"""),"")</f>
        <v/>
      </c>
    </row>
    <row r="674" spans="1:9" ht="12.75">
      <c r="A674">
        <f ca="1">IFERROR(__xludf.DUMMYFUNCTION("""COMPUTED_VALUE"""),673)</f>
        <v>673</v>
      </c>
      <c r="B674">
        <f ca="1">IFERROR(__xludf.DUMMYFUNCTION("""COMPUTED_VALUE"""),663)</f>
        <v>663</v>
      </c>
      <c r="C674" t="str">
        <f ca="1">IFERROR(__xludf.DUMMYFUNCTION("""COMPUTED_VALUE"""),"Leandro Marelli")</f>
        <v>Leandro Marelli</v>
      </c>
      <c r="D674">
        <f ca="1">IFERROR(__xludf.DUMMYFUNCTION("""COMPUTED_VALUE"""),40)</f>
        <v>40</v>
      </c>
      <c r="E674">
        <f ca="1">IFERROR(__xludf.DUMMYFUNCTION("""COMPUTED_VALUE"""),0.19)</f>
        <v>0.19</v>
      </c>
      <c r="F674">
        <f ca="1">IFERROR(__xludf.DUMMYFUNCTION("""COMPUTED_VALUE"""),7.49)</f>
        <v>7.49</v>
      </c>
      <c r="G674">
        <f ca="1">IFERROR(__xludf.DUMMYFUNCTION("""COMPUTED_VALUE"""),-3.91)</f>
        <v>-3.91</v>
      </c>
      <c r="H674">
        <f ca="1">IFERROR(__xludf.DUMMYFUNCTION("""COMPUTED_VALUE"""),1.2)</f>
        <v>1.2</v>
      </c>
      <c r="I674" t="str">
        <f ca="1">IFERROR(__xludf.DUMMYFUNCTION("""COMPUTED_VALUE"""),"")</f>
        <v/>
      </c>
    </row>
    <row r="675" spans="1:9" ht="12.75">
      <c r="A675">
        <f ca="1">IFERROR(__xludf.DUMMYFUNCTION("""COMPUTED_VALUE"""),674)</f>
        <v>674</v>
      </c>
      <c r="B675">
        <f ca="1">IFERROR(__xludf.DUMMYFUNCTION("""COMPUTED_VALUE"""),667)</f>
        <v>667</v>
      </c>
      <c r="C675" t="str">
        <f ca="1">IFERROR(__xludf.DUMMYFUNCTION("""COMPUTED_VALUE"""),"Jean Bekirian")</f>
        <v>Jean Bekirian</v>
      </c>
      <c r="D675">
        <f ca="1">IFERROR(__xludf.DUMMYFUNCTION("""COMPUTED_VALUE"""),40)</f>
        <v>40</v>
      </c>
      <c r="E675">
        <f ca="1">IFERROR(__xludf.DUMMYFUNCTION("""COMPUTED_VALUE"""),0.19)</f>
        <v>0.19</v>
      </c>
      <c r="F675">
        <f ca="1">IFERROR(__xludf.DUMMYFUNCTION("""COMPUTED_VALUE"""),7.48)</f>
        <v>7.48</v>
      </c>
      <c r="G675">
        <f ca="1">IFERROR(__xludf.DUMMYFUNCTION("""COMPUTED_VALUE"""),-1.6)</f>
        <v>-1.6</v>
      </c>
      <c r="H675">
        <f ca="1">IFERROR(__xludf.DUMMYFUNCTION("""COMPUTED_VALUE"""),7.28)</f>
        <v>7.28</v>
      </c>
      <c r="I675" t="str">
        <f ca="1">IFERROR(__xludf.DUMMYFUNCTION("""COMPUTED_VALUE"""),"")</f>
        <v/>
      </c>
    </row>
    <row r="676" spans="1:9" ht="12.75">
      <c r="A676">
        <f ca="1">IFERROR(__xludf.DUMMYFUNCTION("""COMPUTED_VALUE"""),675)</f>
        <v>675</v>
      </c>
      <c r="B676">
        <f ca="1">IFERROR(__xludf.DUMMYFUNCTION("""COMPUTED_VALUE"""),660)</f>
        <v>660</v>
      </c>
      <c r="C676" t="str">
        <f ca="1">IFERROR(__xludf.DUMMYFUNCTION("""COMPUTED_VALUE"""),"Jon Thomson")</f>
        <v>Jon Thomson</v>
      </c>
      <c r="D676">
        <f ca="1">IFERROR(__xludf.DUMMYFUNCTION("""COMPUTED_VALUE"""),40)</f>
        <v>40</v>
      </c>
      <c r="E676">
        <f ca="1">IFERROR(__xludf.DUMMYFUNCTION("""COMPUTED_VALUE"""),0.19)</f>
        <v>0.19</v>
      </c>
      <c r="F676">
        <f ca="1">IFERROR(__xludf.DUMMYFUNCTION("""COMPUTED_VALUE"""),7.47)</f>
        <v>7.47</v>
      </c>
      <c r="G676">
        <f ca="1">IFERROR(__xludf.DUMMYFUNCTION("""COMPUTED_VALUE"""),-6.83)</f>
        <v>-6.83</v>
      </c>
      <c r="H676">
        <f ca="1">IFERROR(__xludf.DUMMYFUNCTION("""COMPUTED_VALUE"""),4.29)</f>
        <v>4.29</v>
      </c>
      <c r="I676" t="str">
        <f ca="1">IFERROR(__xludf.DUMMYFUNCTION("""COMPUTED_VALUE"""),"")</f>
        <v/>
      </c>
    </row>
    <row r="677" spans="1:9" ht="12.75">
      <c r="A677">
        <f ca="1">IFERROR(__xludf.DUMMYFUNCTION("""COMPUTED_VALUE"""),676)</f>
        <v>676</v>
      </c>
      <c r="B677">
        <f ca="1">IFERROR(__xludf.DUMMYFUNCTION("""COMPUTED_VALUE"""),665)</f>
        <v>665</v>
      </c>
      <c r="C677" t="str">
        <f ca="1">IFERROR(__xludf.DUMMYFUNCTION("""COMPUTED_VALUE"""),"Ren Yonezaw")</f>
        <v>Ren Yonezaw</v>
      </c>
      <c r="D677">
        <f ca="1">IFERROR(__xludf.DUMMYFUNCTION("""COMPUTED_VALUE"""),40)</f>
        <v>40</v>
      </c>
      <c r="E677">
        <f ca="1">IFERROR(__xludf.DUMMYFUNCTION("""COMPUTED_VALUE"""),0.19)</f>
        <v>0.19</v>
      </c>
      <c r="F677">
        <f ca="1">IFERROR(__xludf.DUMMYFUNCTION("""COMPUTED_VALUE"""),7.45)</f>
        <v>7.45</v>
      </c>
      <c r="G677">
        <f ca="1">IFERROR(__xludf.DUMMYFUNCTION("""COMPUTED_VALUE"""),-4.67)</f>
        <v>-4.67</v>
      </c>
      <c r="H677">
        <f ca="1">IFERROR(__xludf.DUMMYFUNCTION("""COMPUTED_VALUE"""),1.42)</f>
        <v>1.42</v>
      </c>
      <c r="I677" t="str">
        <f ca="1">IFERROR(__xludf.DUMMYFUNCTION("""COMPUTED_VALUE"""),"")</f>
        <v/>
      </c>
    </row>
    <row r="678" spans="1:9" ht="12.75">
      <c r="A678">
        <f ca="1">IFERROR(__xludf.DUMMYFUNCTION("""COMPUTED_VALUE"""),677)</f>
        <v>677</v>
      </c>
      <c r="B678">
        <f ca="1">IFERROR(__xludf.DUMMYFUNCTION("""COMPUTED_VALUE"""),669)</f>
        <v>669</v>
      </c>
      <c r="C678" t="str">
        <f ca="1">IFERROR(__xludf.DUMMYFUNCTION("""COMPUTED_VALUE"""),"Rowin Caron")</f>
        <v>Rowin Caron</v>
      </c>
      <c r="D678">
        <f ca="1">IFERROR(__xludf.DUMMYFUNCTION("""COMPUTED_VALUE"""),40)</f>
        <v>40</v>
      </c>
      <c r="E678">
        <f ca="1">IFERROR(__xludf.DUMMYFUNCTION("""COMPUTED_VALUE"""),0.19)</f>
        <v>0.19</v>
      </c>
      <c r="F678">
        <f ca="1">IFERROR(__xludf.DUMMYFUNCTION("""COMPUTED_VALUE"""),7.44)</f>
        <v>7.44</v>
      </c>
      <c r="G678">
        <f ca="1">IFERROR(__xludf.DUMMYFUNCTION("""COMPUTED_VALUE"""),-2.73)</f>
        <v>-2.73</v>
      </c>
      <c r="H678">
        <f ca="1">IFERROR(__xludf.DUMMYFUNCTION("""COMPUTED_VALUE"""),4.1)</f>
        <v>4.0999999999999996</v>
      </c>
      <c r="I678" t="str">
        <f ca="1">IFERROR(__xludf.DUMMYFUNCTION("""COMPUTED_VALUE"""),"")</f>
        <v/>
      </c>
    </row>
    <row r="679" spans="1:9" ht="12.75">
      <c r="A679">
        <f ca="1">IFERROR(__xludf.DUMMYFUNCTION("""COMPUTED_VALUE"""),678)</f>
        <v>678</v>
      </c>
      <c r="B679">
        <f ca="1">IFERROR(__xludf.DUMMYFUNCTION("""COMPUTED_VALUE"""),681)</f>
        <v>681</v>
      </c>
      <c r="C679" t="str">
        <f ca="1">IFERROR(__xludf.DUMMYFUNCTION("""COMPUTED_VALUE"""),"Lauri Ruuska")</f>
        <v>Lauri Ruuska</v>
      </c>
      <c r="D679">
        <f ca="1">IFERROR(__xludf.DUMMYFUNCTION("""COMPUTED_VALUE"""),43)</f>
        <v>43</v>
      </c>
      <c r="E679">
        <f ca="1">IFERROR(__xludf.DUMMYFUNCTION("""COMPUTED_VALUE"""),0.19)</f>
        <v>0.19</v>
      </c>
      <c r="F679">
        <f ca="1">IFERROR(__xludf.DUMMYFUNCTION("""COMPUTED_VALUE"""),7.99)</f>
        <v>7.99</v>
      </c>
      <c r="G679">
        <f ca="1">IFERROR(__xludf.DUMMYFUNCTION("""COMPUTED_VALUE"""),-0.81)</f>
        <v>-0.81</v>
      </c>
      <c r="H679">
        <f ca="1">IFERROR(__xludf.DUMMYFUNCTION("""COMPUTED_VALUE"""),7.81)</f>
        <v>7.81</v>
      </c>
      <c r="I679" t="str">
        <f ca="1">IFERROR(__xludf.DUMMYFUNCTION("""COMPUTED_VALUE"""),"")</f>
        <v/>
      </c>
    </row>
    <row r="680" spans="1:9" ht="12.75">
      <c r="A680">
        <f ca="1">IFERROR(__xludf.DUMMYFUNCTION("""COMPUTED_VALUE"""),679)</f>
        <v>679</v>
      </c>
      <c r="B680">
        <f ca="1">IFERROR(__xludf.DUMMYFUNCTION("""COMPUTED_VALUE"""),666)</f>
        <v>666</v>
      </c>
      <c r="C680" t="str">
        <f ca="1">IFERROR(__xludf.DUMMYFUNCTION("""COMPUTED_VALUE"""),"Federico MacCario")</f>
        <v>Federico MacCario</v>
      </c>
      <c r="D680">
        <f ca="1">IFERROR(__xludf.DUMMYFUNCTION("""COMPUTED_VALUE"""),40)</f>
        <v>40</v>
      </c>
      <c r="E680">
        <f ca="1">IFERROR(__xludf.DUMMYFUNCTION("""COMPUTED_VALUE"""),0.19)</f>
        <v>0.19</v>
      </c>
      <c r="F680">
        <f ca="1">IFERROR(__xludf.DUMMYFUNCTION("""COMPUTED_VALUE"""),7.42)</f>
        <v>7.42</v>
      </c>
      <c r="G680">
        <f ca="1">IFERROR(__xludf.DUMMYFUNCTION("""COMPUTED_VALUE"""),-4.11)</f>
        <v>-4.1100000000000003</v>
      </c>
      <c r="H680">
        <f ca="1">IFERROR(__xludf.DUMMYFUNCTION("""COMPUTED_VALUE"""),1.28)</f>
        <v>1.28</v>
      </c>
      <c r="I680" t="str">
        <f ca="1">IFERROR(__xludf.DUMMYFUNCTION("""COMPUTED_VALUE"""),"")</f>
        <v/>
      </c>
    </row>
    <row r="681" spans="1:9" ht="12.75">
      <c r="A681">
        <f ca="1">IFERROR(__xludf.DUMMYFUNCTION("""COMPUTED_VALUE"""),680)</f>
        <v>680</v>
      </c>
      <c r="B681">
        <f ca="1">IFERROR(__xludf.DUMMYFUNCTION("""COMPUTED_VALUE"""),747)</f>
        <v>747</v>
      </c>
      <c r="C681" t="str">
        <f ca="1">IFERROR(__xludf.DUMMYFUNCTION("""COMPUTED_VALUE"""),"Jens Dantorp")</f>
        <v>Jens Dantorp</v>
      </c>
      <c r="D681">
        <f ca="1">IFERROR(__xludf.DUMMYFUNCTION("""COMPUTED_VALUE"""),52)</f>
        <v>52</v>
      </c>
      <c r="E681">
        <f ca="1">IFERROR(__xludf.DUMMYFUNCTION("""COMPUTED_VALUE"""),0.18)</f>
        <v>0.18</v>
      </c>
      <c r="F681">
        <f ca="1">IFERROR(__xludf.DUMMYFUNCTION("""COMPUTED_VALUE"""),9.55)</f>
        <v>9.5500000000000007</v>
      </c>
      <c r="G681">
        <f ca="1">IFERROR(__xludf.DUMMYFUNCTION("""COMPUTED_VALUE"""),-8.38)</f>
        <v>-8.3800000000000008</v>
      </c>
      <c r="H681">
        <f ca="1">IFERROR(__xludf.DUMMYFUNCTION("""COMPUTED_VALUE"""),7.49)</f>
        <v>7.49</v>
      </c>
      <c r="I681" t="str">
        <f ca="1">IFERROR(__xludf.DUMMYFUNCTION("""COMPUTED_VALUE"""),"")</f>
        <v/>
      </c>
    </row>
    <row r="682" spans="1:9" ht="12.75">
      <c r="A682">
        <f ca="1">IFERROR(__xludf.DUMMYFUNCTION("""COMPUTED_VALUE"""),681)</f>
        <v>681</v>
      </c>
      <c r="B682">
        <f ca="1">IFERROR(__xludf.DUMMYFUNCTION("""COMPUTED_VALUE"""),763)</f>
        <v>763</v>
      </c>
      <c r="C682" t="str">
        <f ca="1">IFERROR(__xludf.DUMMYFUNCTION("""COMPUTED_VALUE"""),"Justin Shin")</f>
        <v>Justin Shin</v>
      </c>
      <c r="D682">
        <f ca="1">IFERROR(__xludf.DUMMYFUNCTION("""COMPUTED_VALUE"""),40)</f>
        <v>40</v>
      </c>
      <c r="E682">
        <f ca="1">IFERROR(__xludf.DUMMYFUNCTION("""COMPUTED_VALUE"""),0.18)</f>
        <v>0.18</v>
      </c>
      <c r="F682">
        <f ca="1">IFERROR(__xludf.DUMMYFUNCTION("""COMPUTED_VALUE"""),7.33)</f>
        <v>7.33</v>
      </c>
      <c r="G682">
        <f ca="1">IFERROR(__xludf.DUMMYFUNCTION("""COMPUTED_VALUE"""),-4.27)</f>
        <v>-4.2699999999999996</v>
      </c>
      <c r="H682">
        <f ca="1">IFERROR(__xludf.DUMMYFUNCTION("""COMPUTED_VALUE"""),2.62)</f>
        <v>2.62</v>
      </c>
      <c r="I682" t="str">
        <f ca="1">IFERROR(__xludf.DUMMYFUNCTION("""COMPUTED_VALUE"""),"")</f>
        <v/>
      </c>
    </row>
    <row r="683" spans="1:9" ht="12.75">
      <c r="A683">
        <f ca="1">IFERROR(__xludf.DUMMYFUNCTION("""COMPUTED_VALUE"""),682)</f>
        <v>682</v>
      </c>
      <c r="B683">
        <f ca="1">IFERROR(__xludf.DUMMYFUNCTION("""COMPUTED_VALUE"""),671)</f>
        <v>671</v>
      </c>
      <c r="C683" t="str">
        <f ca="1">IFERROR(__xludf.DUMMYFUNCTION("""COMPUTED_VALUE"""),"Billy Kennerly")</f>
        <v>Billy Kennerly</v>
      </c>
      <c r="D683">
        <f ca="1">IFERROR(__xludf.DUMMYFUNCTION("""COMPUTED_VALUE"""),45)</f>
        <v>45</v>
      </c>
      <c r="E683">
        <f ca="1">IFERROR(__xludf.DUMMYFUNCTION("""COMPUTED_VALUE"""),0.18)</f>
        <v>0.18</v>
      </c>
      <c r="F683">
        <f ca="1">IFERROR(__xludf.DUMMYFUNCTION("""COMPUTED_VALUE"""),8.21)</f>
        <v>8.2100000000000009</v>
      </c>
      <c r="G683">
        <f ca="1">IFERROR(__xludf.DUMMYFUNCTION("""COMPUTED_VALUE"""),-6.37)</f>
        <v>-6.37</v>
      </c>
      <c r="H683">
        <f ca="1">IFERROR(__xludf.DUMMYFUNCTION("""COMPUTED_VALUE"""),5.72)</f>
        <v>5.72</v>
      </c>
      <c r="I683" t="str">
        <f ca="1">IFERROR(__xludf.DUMMYFUNCTION("""COMPUTED_VALUE"""),"")</f>
        <v/>
      </c>
    </row>
    <row r="684" spans="1:9" ht="12.75">
      <c r="A684">
        <f ca="1">IFERROR(__xludf.DUMMYFUNCTION("""COMPUTED_VALUE"""),683)</f>
        <v>683</v>
      </c>
      <c r="B684">
        <f ca="1">IFERROR(__xludf.DUMMYFUNCTION("""COMPUTED_VALUE"""),668)</f>
        <v>668</v>
      </c>
      <c r="C684" t="str">
        <f ca="1">IFERROR(__xludf.DUMMYFUNCTION("""COMPUTED_VALUE"""),"Berry Henson")</f>
        <v>Berry Henson</v>
      </c>
      <c r="D684">
        <f ca="1">IFERROR(__xludf.DUMMYFUNCTION("""COMPUTED_VALUE"""),40)</f>
        <v>40</v>
      </c>
      <c r="E684">
        <f ca="1">IFERROR(__xludf.DUMMYFUNCTION("""COMPUTED_VALUE"""),0.18)</f>
        <v>0.18</v>
      </c>
      <c r="F684">
        <f ca="1">IFERROR(__xludf.DUMMYFUNCTION("""COMPUTED_VALUE"""),7.29)</f>
        <v>7.29</v>
      </c>
      <c r="G684">
        <f ca="1">IFERROR(__xludf.DUMMYFUNCTION("""COMPUTED_VALUE"""),-8.91)</f>
        <v>-8.91</v>
      </c>
      <c r="H684">
        <f ca="1">IFERROR(__xludf.DUMMYFUNCTION("""COMPUTED_VALUE"""),1.21)</f>
        <v>1.21</v>
      </c>
      <c r="I684" t="str">
        <f ca="1">IFERROR(__xludf.DUMMYFUNCTION("""COMPUTED_VALUE"""),"")</f>
        <v/>
      </c>
    </row>
    <row r="685" spans="1:9" ht="12.75">
      <c r="A685">
        <f ca="1">IFERROR(__xludf.DUMMYFUNCTION("""COMPUTED_VALUE"""),684)</f>
        <v>684</v>
      </c>
      <c r="B685">
        <f ca="1">IFERROR(__xludf.DUMMYFUNCTION("""COMPUTED_VALUE"""),674)</f>
        <v>674</v>
      </c>
      <c r="C685" t="str">
        <f ca="1">IFERROR(__xludf.DUMMYFUNCTION("""COMPUTED_VALUE"""),"Alejandro Cañizares")</f>
        <v>Alejandro Cañizares</v>
      </c>
      <c r="D685">
        <f ca="1">IFERROR(__xludf.DUMMYFUNCTION("""COMPUTED_VALUE"""),48)</f>
        <v>48</v>
      </c>
      <c r="E685">
        <f ca="1">IFERROR(__xludf.DUMMYFUNCTION("""COMPUTED_VALUE"""),0.18)</f>
        <v>0.18</v>
      </c>
      <c r="F685">
        <f ca="1">IFERROR(__xludf.DUMMYFUNCTION("""COMPUTED_VALUE"""),8.68)</f>
        <v>8.68</v>
      </c>
      <c r="G685">
        <f ca="1">IFERROR(__xludf.DUMMYFUNCTION("""COMPUTED_VALUE"""),-4.5)</f>
        <v>-4.5</v>
      </c>
      <c r="H685">
        <f ca="1">IFERROR(__xludf.DUMMYFUNCTION("""COMPUTED_VALUE"""),5.84)</f>
        <v>5.84</v>
      </c>
      <c r="I685" t="str">
        <f ca="1">IFERROR(__xludf.DUMMYFUNCTION("""COMPUTED_VALUE"""),"")</f>
        <v/>
      </c>
    </row>
    <row r="686" spans="1:9" ht="12.75">
      <c r="A686">
        <f ca="1">IFERROR(__xludf.DUMMYFUNCTION("""COMPUTED_VALUE"""),684)</f>
        <v>684</v>
      </c>
      <c r="B686">
        <f ca="1">IFERROR(__xludf.DUMMYFUNCTION("""COMPUTED_VALUE"""),679)</f>
        <v>679</v>
      </c>
      <c r="C686" t="str">
        <f ca="1">IFERROR(__xludf.DUMMYFUNCTION("""COMPUTED_VALUE"""),"Seung-Yul Noh")</f>
        <v>Seung-Yul Noh</v>
      </c>
      <c r="D686">
        <f ca="1">IFERROR(__xludf.DUMMYFUNCTION("""COMPUTED_VALUE"""),40)</f>
        <v>40</v>
      </c>
      <c r="E686">
        <f ca="1">IFERROR(__xludf.DUMMYFUNCTION("""COMPUTED_VALUE"""),0.18)</f>
        <v>0.18</v>
      </c>
      <c r="F686">
        <f ca="1">IFERROR(__xludf.DUMMYFUNCTION("""COMPUTED_VALUE"""),7.23)</f>
        <v>7.23</v>
      </c>
      <c r="G686">
        <f ca="1">IFERROR(__xludf.DUMMYFUNCTION("""COMPUTED_VALUE"""),-1.07)</f>
        <v>-1.07</v>
      </c>
      <c r="H686">
        <f ca="1">IFERROR(__xludf.DUMMYFUNCTION("""COMPUTED_VALUE"""),6.69)</f>
        <v>6.69</v>
      </c>
      <c r="I686" t="str">
        <f ca="1">IFERROR(__xludf.DUMMYFUNCTION("""COMPUTED_VALUE"""),"")</f>
        <v/>
      </c>
    </row>
    <row r="687" spans="1:9" ht="12.75">
      <c r="A687">
        <f ca="1">IFERROR(__xludf.DUMMYFUNCTION("""COMPUTED_VALUE"""),686)</f>
        <v>686</v>
      </c>
      <c r="B687">
        <f ca="1">IFERROR(__xludf.DUMMYFUNCTION("""COMPUTED_VALUE"""),681)</f>
        <v>681</v>
      </c>
      <c r="C687" t="str">
        <f ca="1">IFERROR(__xludf.DUMMYFUNCTION("""COMPUTED_VALUE"""),"Christopher Mivis")</f>
        <v>Christopher Mivis</v>
      </c>
      <c r="D687">
        <f ca="1">IFERROR(__xludf.DUMMYFUNCTION("""COMPUTED_VALUE"""),40)</f>
        <v>40</v>
      </c>
      <c r="E687">
        <f ca="1">IFERROR(__xludf.DUMMYFUNCTION("""COMPUTED_VALUE"""),0.18)</f>
        <v>0.18</v>
      </c>
      <c r="F687">
        <f ca="1">IFERROR(__xludf.DUMMYFUNCTION("""COMPUTED_VALUE"""),7.21)</f>
        <v>7.21</v>
      </c>
      <c r="G687">
        <f ca="1">IFERROR(__xludf.DUMMYFUNCTION("""COMPUTED_VALUE"""),-3.91)</f>
        <v>-3.91</v>
      </c>
      <c r="H687">
        <f ca="1">IFERROR(__xludf.DUMMYFUNCTION("""COMPUTED_VALUE"""),5.71)</f>
        <v>5.71</v>
      </c>
      <c r="I687" t="str">
        <f ca="1">IFERROR(__xludf.DUMMYFUNCTION("""COMPUTED_VALUE"""),"")</f>
        <v/>
      </c>
    </row>
    <row r="688" spans="1:9" ht="12.75">
      <c r="A688">
        <f ca="1">IFERROR(__xludf.DUMMYFUNCTION("""COMPUTED_VALUE"""),687)</f>
        <v>687</v>
      </c>
      <c r="B688">
        <f ca="1">IFERROR(__xludf.DUMMYFUNCTION("""COMPUTED_VALUE"""),681)</f>
        <v>681</v>
      </c>
      <c r="C688" t="str">
        <f ca="1">IFERROR(__xludf.DUMMYFUNCTION("""COMPUTED_VALUE"""),"David Pastore")</f>
        <v>David Pastore</v>
      </c>
      <c r="D688">
        <f ca="1">IFERROR(__xludf.DUMMYFUNCTION("""COMPUTED_VALUE"""),40)</f>
        <v>40</v>
      </c>
      <c r="E688">
        <f ca="1">IFERROR(__xludf.DUMMYFUNCTION("""COMPUTED_VALUE"""),0.18)</f>
        <v>0.18</v>
      </c>
      <c r="F688">
        <f ca="1">IFERROR(__xludf.DUMMYFUNCTION("""COMPUTED_VALUE"""),7.2)</f>
        <v>7.2</v>
      </c>
      <c r="G688">
        <f ca="1">IFERROR(__xludf.DUMMYFUNCTION("""COMPUTED_VALUE"""),-3.68)</f>
        <v>-3.68</v>
      </c>
      <c r="H688">
        <f ca="1">IFERROR(__xludf.DUMMYFUNCTION("""COMPUTED_VALUE"""),2)</f>
        <v>2</v>
      </c>
      <c r="I688" t="str">
        <f ca="1">IFERROR(__xludf.DUMMYFUNCTION("""COMPUTED_VALUE"""),"")</f>
        <v/>
      </c>
    </row>
    <row r="689" spans="1:9" ht="12.75">
      <c r="A689">
        <f ca="1">IFERROR(__xludf.DUMMYFUNCTION("""COMPUTED_VALUE"""),688)</f>
        <v>688</v>
      </c>
      <c r="B689">
        <f ca="1">IFERROR(__xludf.DUMMYFUNCTION("""COMPUTED_VALUE"""),677)</f>
        <v>677</v>
      </c>
      <c r="C689" t="str">
        <f ca="1">IFERROR(__xludf.DUMMYFUNCTION("""COMPUTED_VALUE"""),"Daehyun Kim")</f>
        <v>Daehyun Kim</v>
      </c>
      <c r="D689">
        <f ca="1">IFERROR(__xludf.DUMMYFUNCTION("""COMPUTED_VALUE"""),40)</f>
        <v>40</v>
      </c>
      <c r="E689">
        <f ca="1">IFERROR(__xludf.DUMMYFUNCTION("""COMPUTED_VALUE"""),0.18)</f>
        <v>0.18</v>
      </c>
      <c r="F689">
        <f ca="1">IFERROR(__xludf.DUMMYFUNCTION("""COMPUTED_VALUE"""),7.19)</f>
        <v>7.19</v>
      </c>
      <c r="G689">
        <f ca="1">IFERROR(__xludf.DUMMYFUNCTION("""COMPUTED_VALUE"""),-5.27)</f>
        <v>-5.27</v>
      </c>
      <c r="H689">
        <f ca="1">IFERROR(__xludf.DUMMYFUNCTION("""COMPUTED_VALUE"""),0)</f>
        <v>0</v>
      </c>
      <c r="I689" t="str">
        <f ca="1">IFERROR(__xludf.DUMMYFUNCTION("""COMPUTED_VALUE"""),"")</f>
        <v/>
      </c>
    </row>
    <row r="690" spans="1:9" ht="12.75">
      <c r="A690">
        <f ca="1">IFERROR(__xludf.DUMMYFUNCTION("""COMPUTED_VALUE"""),689)</f>
        <v>689</v>
      </c>
      <c r="B690">
        <f ca="1">IFERROR(__xludf.DUMMYFUNCTION("""COMPUTED_VALUE"""),676)</f>
        <v>676</v>
      </c>
      <c r="C690" t="str">
        <f ca="1">IFERROR(__xludf.DUMMYFUNCTION("""COMPUTED_VALUE"""),"Frederic LaCroix")</f>
        <v>Frederic LaCroix</v>
      </c>
      <c r="D690">
        <f ca="1">IFERROR(__xludf.DUMMYFUNCTION("""COMPUTED_VALUE"""),40)</f>
        <v>40</v>
      </c>
      <c r="E690">
        <f ca="1">IFERROR(__xludf.DUMMYFUNCTION("""COMPUTED_VALUE"""),0.18)</f>
        <v>0.18</v>
      </c>
      <c r="F690">
        <f ca="1">IFERROR(__xludf.DUMMYFUNCTION("""COMPUTED_VALUE"""),7.18)</f>
        <v>7.18</v>
      </c>
      <c r="G690">
        <f ca="1">IFERROR(__xludf.DUMMYFUNCTION("""COMPUTED_VALUE"""),-5.84)</f>
        <v>-5.84</v>
      </c>
      <c r="H690">
        <f ca="1">IFERROR(__xludf.DUMMYFUNCTION("""COMPUTED_VALUE"""),0)</f>
        <v>0</v>
      </c>
      <c r="I690" t="str">
        <f ca="1">IFERROR(__xludf.DUMMYFUNCTION("""COMPUTED_VALUE"""),"")</f>
        <v/>
      </c>
    </row>
    <row r="691" spans="1:9" ht="12.75">
      <c r="A691">
        <f ca="1">IFERROR(__xludf.DUMMYFUNCTION("""COMPUTED_VALUE"""),690)</f>
        <v>690</v>
      </c>
      <c r="B691">
        <f ca="1">IFERROR(__xludf.DUMMYFUNCTION("""COMPUTED_VALUE"""),675)</f>
        <v>675</v>
      </c>
      <c r="C691" t="str">
        <f ca="1">IFERROR(__xludf.DUMMYFUNCTION("""COMPUTED_VALUE"""),"Gonzalo Fernandez-Castaño")</f>
        <v>Gonzalo Fernandez-Castaño</v>
      </c>
      <c r="D691">
        <f ca="1">IFERROR(__xludf.DUMMYFUNCTION("""COMPUTED_VALUE"""),46)</f>
        <v>46</v>
      </c>
      <c r="E691">
        <f ca="1">IFERROR(__xludf.DUMMYFUNCTION("""COMPUTED_VALUE"""),0.18)</f>
        <v>0.18</v>
      </c>
      <c r="F691">
        <f ca="1">IFERROR(__xludf.DUMMYFUNCTION("""COMPUTED_VALUE"""),8.26)</f>
        <v>8.26</v>
      </c>
      <c r="G691">
        <f ca="1">IFERROR(__xludf.DUMMYFUNCTION("""COMPUTED_VALUE"""),-9.38)</f>
        <v>-9.3800000000000008</v>
      </c>
      <c r="H691">
        <f ca="1">IFERROR(__xludf.DUMMYFUNCTION("""COMPUTED_VALUE"""),1.87)</f>
        <v>1.87</v>
      </c>
      <c r="I691" t="str">
        <f ca="1">IFERROR(__xludf.DUMMYFUNCTION("""COMPUTED_VALUE"""),"")</f>
        <v/>
      </c>
    </row>
    <row r="692" spans="1:9" ht="12.75">
      <c r="A692">
        <f ca="1">IFERROR(__xludf.DUMMYFUNCTION("""COMPUTED_VALUE"""),691)</f>
        <v>691</v>
      </c>
      <c r="B692">
        <f ca="1">IFERROR(__xludf.DUMMYFUNCTION("""COMPUTED_VALUE"""),679)</f>
        <v>679</v>
      </c>
      <c r="C692" t="str">
        <f ca="1">IFERROR(__xludf.DUMMYFUNCTION("""COMPUTED_VALUE"""),"Sean O'Hair")</f>
        <v>Sean O'Hair</v>
      </c>
      <c r="D692">
        <f ca="1">IFERROR(__xludf.DUMMYFUNCTION("""COMPUTED_VALUE"""),40)</f>
        <v>40</v>
      </c>
      <c r="E692">
        <f ca="1">IFERROR(__xludf.DUMMYFUNCTION("""COMPUTED_VALUE"""),0.18)</f>
        <v>0.18</v>
      </c>
      <c r="F692">
        <f ca="1">IFERROR(__xludf.DUMMYFUNCTION("""COMPUTED_VALUE"""),7.17)</f>
        <v>7.17</v>
      </c>
      <c r="G692">
        <f ca="1">IFERROR(__xludf.DUMMYFUNCTION("""COMPUTED_VALUE"""),-9.3)</f>
        <v>-9.3000000000000007</v>
      </c>
      <c r="H692">
        <f ca="1">IFERROR(__xludf.DUMMYFUNCTION("""COMPUTED_VALUE"""),6.61)</f>
        <v>6.61</v>
      </c>
      <c r="I692" t="str">
        <f ca="1">IFERROR(__xludf.DUMMYFUNCTION("""COMPUTED_VALUE"""),"")</f>
        <v/>
      </c>
    </row>
    <row r="693" spans="1:9" ht="12.75">
      <c r="A693">
        <f ca="1">IFERROR(__xludf.DUMMYFUNCTION("""COMPUTED_VALUE"""),692)</f>
        <v>692</v>
      </c>
      <c r="B693">
        <f ca="1">IFERROR(__xludf.DUMMYFUNCTION("""COMPUTED_VALUE"""),678)</f>
        <v>678</v>
      </c>
      <c r="C693" t="str">
        <f ca="1">IFERROR(__xludf.DUMMYFUNCTION("""COMPUTED_VALUE"""),"Toto Thimba")</f>
        <v>Toto Thimba</v>
      </c>
      <c r="D693">
        <f ca="1">IFERROR(__xludf.DUMMYFUNCTION("""COMPUTED_VALUE"""),43)</f>
        <v>43</v>
      </c>
      <c r="E693">
        <f ca="1">IFERROR(__xludf.DUMMYFUNCTION("""COMPUTED_VALUE"""),0.18)</f>
        <v>0.18</v>
      </c>
      <c r="F693">
        <f ca="1">IFERROR(__xludf.DUMMYFUNCTION("""COMPUTED_VALUE"""),7.7)</f>
        <v>7.7</v>
      </c>
      <c r="G693">
        <f ca="1">IFERROR(__xludf.DUMMYFUNCTION("""COMPUTED_VALUE"""),-7.48)</f>
        <v>-7.48</v>
      </c>
      <c r="H693">
        <f ca="1">IFERROR(__xludf.DUMMYFUNCTION("""COMPUTED_VALUE"""),0)</f>
        <v>0</v>
      </c>
      <c r="I693" t="str">
        <f ca="1">IFERROR(__xludf.DUMMYFUNCTION("""COMPUTED_VALUE"""),"")</f>
        <v/>
      </c>
    </row>
    <row r="694" spans="1:9" ht="12.75">
      <c r="A694">
        <f ca="1">IFERROR(__xludf.DUMMYFUNCTION("""COMPUTED_VALUE"""),693)</f>
        <v>693</v>
      </c>
      <c r="B694">
        <f ca="1">IFERROR(__xludf.DUMMYFUNCTION("""COMPUTED_VALUE"""),696)</f>
        <v>696</v>
      </c>
      <c r="C694" t="str">
        <f ca="1">IFERROR(__xludf.DUMMYFUNCTION("""COMPUTED_VALUE"""),"Jonathan Randolph")</f>
        <v>Jonathan Randolph</v>
      </c>
      <c r="D694">
        <f ca="1">IFERROR(__xludf.DUMMYFUNCTION("""COMPUTED_VALUE"""),47)</f>
        <v>47</v>
      </c>
      <c r="E694">
        <f ca="1">IFERROR(__xludf.DUMMYFUNCTION("""COMPUTED_VALUE"""),0.18)</f>
        <v>0.18</v>
      </c>
      <c r="F694">
        <f ca="1">IFERROR(__xludf.DUMMYFUNCTION("""COMPUTED_VALUE"""),8.4)</f>
        <v>8.4</v>
      </c>
      <c r="G694">
        <f ca="1">IFERROR(__xludf.DUMMYFUNCTION("""COMPUTED_VALUE"""),-4.7)</f>
        <v>-4.7</v>
      </c>
      <c r="H694">
        <f ca="1">IFERROR(__xludf.DUMMYFUNCTION("""COMPUTED_VALUE"""),3.22)</f>
        <v>3.22</v>
      </c>
      <c r="I694" t="str">
        <f ca="1">IFERROR(__xludf.DUMMYFUNCTION("""COMPUTED_VALUE"""),"")</f>
        <v/>
      </c>
    </row>
    <row r="695" spans="1:9" ht="12.75">
      <c r="A695">
        <f ca="1">IFERROR(__xludf.DUMMYFUNCTION("""COMPUTED_VALUE"""),694)</f>
        <v>694</v>
      </c>
      <c r="B695">
        <f ca="1">IFERROR(__xludf.DUMMYFUNCTION("""COMPUTED_VALUE"""),697)</f>
        <v>697</v>
      </c>
      <c r="C695" t="str">
        <f ca="1">IFERROR(__xludf.DUMMYFUNCTION("""COMPUTED_VALUE"""),"Supakorn Utaipat")</f>
        <v>Supakorn Utaipat</v>
      </c>
      <c r="D695">
        <f ca="1">IFERROR(__xludf.DUMMYFUNCTION("""COMPUTED_VALUE"""),43)</f>
        <v>43</v>
      </c>
      <c r="E695">
        <f ca="1">IFERROR(__xludf.DUMMYFUNCTION("""COMPUTED_VALUE"""),0.18)</f>
        <v>0.18</v>
      </c>
      <c r="F695">
        <f ca="1">IFERROR(__xludf.DUMMYFUNCTION("""COMPUTED_VALUE"""),7.65)</f>
        <v>7.65</v>
      </c>
      <c r="G695">
        <f ca="1">IFERROR(__xludf.DUMMYFUNCTION("""COMPUTED_VALUE"""),-5.4)</f>
        <v>-5.4</v>
      </c>
      <c r="H695">
        <f ca="1">IFERROR(__xludf.DUMMYFUNCTION("""COMPUTED_VALUE"""),0)</f>
        <v>0</v>
      </c>
      <c r="I695" t="str">
        <f ca="1">IFERROR(__xludf.DUMMYFUNCTION("""COMPUTED_VALUE"""),"")</f>
        <v/>
      </c>
    </row>
    <row r="696" spans="1:9" ht="12.75">
      <c r="A696">
        <f ca="1">IFERROR(__xludf.DUMMYFUNCTION("""COMPUTED_VALUE"""),695)</f>
        <v>695</v>
      </c>
      <c r="B696">
        <f ca="1">IFERROR(__xludf.DUMMYFUNCTION("""COMPUTED_VALUE"""),699)</f>
        <v>699</v>
      </c>
      <c r="C696" t="str">
        <f ca="1">IFERROR(__xludf.DUMMYFUNCTION("""COMPUTED_VALUE"""),"Ben Evans")</f>
        <v>Ben Evans</v>
      </c>
      <c r="D696">
        <f ca="1">IFERROR(__xludf.DUMMYFUNCTION("""COMPUTED_VALUE"""),46)</f>
        <v>46</v>
      </c>
      <c r="E696">
        <f ca="1">IFERROR(__xludf.DUMMYFUNCTION("""COMPUTED_VALUE"""),0.18)</f>
        <v>0.18</v>
      </c>
      <c r="F696">
        <f ca="1">IFERROR(__xludf.DUMMYFUNCTION("""COMPUTED_VALUE"""),8.17)</f>
        <v>8.17</v>
      </c>
      <c r="G696">
        <f ca="1">IFERROR(__xludf.DUMMYFUNCTION("""COMPUTED_VALUE"""),-5.81)</f>
        <v>-5.81</v>
      </c>
      <c r="H696">
        <f ca="1">IFERROR(__xludf.DUMMYFUNCTION("""COMPUTED_VALUE"""),4.09)</f>
        <v>4.09</v>
      </c>
      <c r="I696" t="str">
        <f ca="1">IFERROR(__xludf.DUMMYFUNCTION("""COMPUTED_VALUE"""),"")</f>
        <v/>
      </c>
    </row>
    <row r="697" spans="1:9" ht="12.75">
      <c r="A697">
        <f ca="1">IFERROR(__xludf.DUMMYFUNCTION("""COMPUTED_VALUE"""),695)</f>
        <v>695</v>
      </c>
      <c r="B697">
        <f ca="1">IFERROR(__xludf.DUMMYFUNCTION("""COMPUTED_VALUE"""),687)</f>
        <v>687</v>
      </c>
      <c r="C697" t="str">
        <f ca="1">IFERROR(__xludf.DUMMYFUNCTION("""COMPUTED_VALUE"""),"Alejandro Tosti")</f>
        <v>Alejandro Tosti</v>
      </c>
      <c r="D697">
        <f ca="1">IFERROR(__xludf.DUMMYFUNCTION("""COMPUTED_VALUE"""),40)</f>
        <v>40</v>
      </c>
      <c r="E697">
        <f ca="1">IFERROR(__xludf.DUMMYFUNCTION("""COMPUTED_VALUE"""),0.18)</f>
        <v>0.18</v>
      </c>
      <c r="F697">
        <f ca="1">IFERROR(__xludf.DUMMYFUNCTION("""COMPUTED_VALUE"""),7.11)</f>
        <v>7.11</v>
      </c>
      <c r="G697">
        <f ca="1">IFERROR(__xludf.DUMMYFUNCTION("""COMPUTED_VALUE"""),-2.06)</f>
        <v>-2.06</v>
      </c>
      <c r="H697">
        <f ca="1">IFERROR(__xludf.DUMMYFUNCTION("""COMPUTED_VALUE"""),3.17)</f>
        <v>3.17</v>
      </c>
      <c r="I697" t="str">
        <f ca="1">IFERROR(__xludf.DUMMYFUNCTION("""COMPUTED_VALUE"""),"")</f>
        <v/>
      </c>
    </row>
    <row r="698" spans="1:9" ht="12.75">
      <c r="A698">
        <f ca="1">IFERROR(__xludf.DUMMYFUNCTION("""COMPUTED_VALUE"""),697)</f>
        <v>697</v>
      </c>
      <c r="B698">
        <f ca="1">IFERROR(__xludf.DUMMYFUNCTION("""COMPUTED_VALUE"""),695)</f>
        <v>695</v>
      </c>
      <c r="C698" t="str">
        <f ca="1">IFERROR(__xludf.DUMMYFUNCTION("""COMPUTED_VALUE"""),"Jens Fahrbring")</f>
        <v>Jens Fahrbring</v>
      </c>
      <c r="D698">
        <f ca="1">IFERROR(__xludf.DUMMYFUNCTION("""COMPUTED_VALUE"""),40)</f>
        <v>40</v>
      </c>
      <c r="E698">
        <f ca="1">IFERROR(__xludf.DUMMYFUNCTION("""COMPUTED_VALUE"""),0.18)</f>
        <v>0.18</v>
      </c>
      <c r="F698">
        <f ca="1">IFERROR(__xludf.DUMMYFUNCTION("""COMPUTED_VALUE"""),7.1)</f>
        <v>7.1</v>
      </c>
      <c r="G698">
        <f ca="1">IFERROR(__xludf.DUMMYFUNCTION("""COMPUTED_VALUE"""),-1.68)</f>
        <v>-1.68</v>
      </c>
      <c r="H698">
        <f ca="1">IFERROR(__xludf.DUMMYFUNCTION("""COMPUTED_VALUE"""),7.2)</f>
        <v>7.2</v>
      </c>
      <c r="I698" t="str">
        <f ca="1">IFERROR(__xludf.DUMMYFUNCTION("""COMPUTED_VALUE"""),"")</f>
        <v/>
      </c>
    </row>
    <row r="699" spans="1:9" ht="12.75">
      <c r="A699">
        <f ca="1">IFERROR(__xludf.DUMMYFUNCTION("""COMPUTED_VALUE"""),698)</f>
        <v>698</v>
      </c>
      <c r="B699">
        <f ca="1">IFERROR(__xludf.DUMMYFUNCTION("""COMPUTED_VALUE"""),684)</f>
        <v>684</v>
      </c>
      <c r="C699" t="str">
        <f ca="1">IFERROR(__xludf.DUMMYFUNCTION("""COMPUTED_VALUE"""),"Ake Nilsson")</f>
        <v>Ake Nilsson</v>
      </c>
      <c r="D699">
        <f ca="1">IFERROR(__xludf.DUMMYFUNCTION("""COMPUTED_VALUE"""),40)</f>
        <v>40</v>
      </c>
      <c r="E699">
        <f ca="1">IFERROR(__xludf.DUMMYFUNCTION("""COMPUTED_VALUE"""),0.18)</f>
        <v>0.18</v>
      </c>
      <c r="F699">
        <f ca="1">IFERROR(__xludf.DUMMYFUNCTION("""COMPUTED_VALUE"""),7.1)</f>
        <v>7.1</v>
      </c>
      <c r="G699">
        <f ca="1">IFERROR(__xludf.DUMMYFUNCTION("""COMPUTED_VALUE"""),-4.08)</f>
        <v>-4.08</v>
      </c>
      <c r="H699">
        <f ca="1">IFERROR(__xludf.DUMMYFUNCTION("""COMPUTED_VALUE"""),4)</f>
        <v>4</v>
      </c>
      <c r="I699" t="str">
        <f ca="1">IFERROR(__xludf.DUMMYFUNCTION("""COMPUTED_VALUE"""),"")</f>
        <v/>
      </c>
    </row>
    <row r="700" spans="1:9" ht="12.75">
      <c r="A700">
        <f ca="1">IFERROR(__xludf.DUMMYFUNCTION("""COMPUTED_VALUE"""),698)</f>
        <v>698</v>
      </c>
      <c r="B700">
        <f ca="1">IFERROR(__xludf.DUMMYFUNCTION("""COMPUTED_VALUE"""),688)</f>
        <v>688</v>
      </c>
      <c r="C700" t="str">
        <f ca="1">IFERROR(__xludf.DUMMYFUNCTION("""COMPUTED_VALUE"""),"Dominic Bozzelli")</f>
        <v>Dominic Bozzelli</v>
      </c>
      <c r="D700">
        <f ca="1">IFERROR(__xludf.DUMMYFUNCTION("""COMPUTED_VALUE"""),50)</f>
        <v>50</v>
      </c>
      <c r="E700">
        <f ca="1">IFERROR(__xludf.DUMMYFUNCTION("""COMPUTED_VALUE"""),0.18)</f>
        <v>0.18</v>
      </c>
      <c r="F700">
        <f ca="1">IFERROR(__xludf.DUMMYFUNCTION("""COMPUTED_VALUE"""),8.88)</f>
        <v>8.8800000000000008</v>
      </c>
      <c r="G700">
        <f ca="1">IFERROR(__xludf.DUMMYFUNCTION("""COMPUTED_VALUE"""),-10.99)</f>
        <v>-10.99</v>
      </c>
      <c r="H700">
        <f ca="1">IFERROR(__xludf.DUMMYFUNCTION("""COMPUTED_VALUE"""),0)</f>
        <v>0</v>
      </c>
      <c r="I700" t="str">
        <f ca="1">IFERROR(__xludf.DUMMYFUNCTION("""COMPUTED_VALUE"""),"")</f>
        <v/>
      </c>
    </row>
    <row r="701" spans="1:9" ht="12.75">
      <c r="A701">
        <f ca="1">IFERROR(__xludf.DUMMYFUNCTION("""COMPUTED_VALUE"""),698)</f>
        <v>698</v>
      </c>
      <c r="B701">
        <f ca="1">IFERROR(__xludf.DUMMYFUNCTION("""COMPUTED_VALUE"""),685)</f>
        <v>685</v>
      </c>
      <c r="C701" t="str">
        <f ca="1">IFERROR(__xludf.DUMMYFUNCTION("""COMPUTED_VALUE"""),"Jacobus Prinsloo")</f>
        <v>Jacobus Prinsloo</v>
      </c>
      <c r="D701">
        <f ca="1">IFERROR(__xludf.DUMMYFUNCTION("""COMPUTED_VALUE"""),44)</f>
        <v>44</v>
      </c>
      <c r="E701">
        <f ca="1">IFERROR(__xludf.DUMMYFUNCTION("""COMPUTED_VALUE"""),0.18)</f>
        <v>0.18</v>
      </c>
      <c r="F701">
        <f ca="1">IFERROR(__xludf.DUMMYFUNCTION("""COMPUTED_VALUE"""),7.81)</f>
        <v>7.81</v>
      </c>
      <c r="G701">
        <f ca="1">IFERROR(__xludf.DUMMYFUNCTION("""COMPUTED_VALUE"""),-5.47)</f>
        <v>-5.47</v>
      </c>
      <c r="H701">
        <f ca="1">IFERROR(__xludf.DUMMYFUNCTION("""COMPUTED_VALUE"""),3.48)</f>
        <v>3.48</v>
      </c>
      <c r="I701" t="str">
        <f ca="1">IFERROR(__xludf.DUMMYFUNCTION("""COMPUTED_VALUE"""),"")</f>
        <v/>
      </c>
    </row>
    <row r="702" spans="1:9" ht="12.75">
      <c r="A702">
        <f ca="1">IFERROR(__xludf.DUMMYFUNCTION("""COMPUTED_VALUE"""),701)</f>
        <v>701</v>
      </c>
      <c r="B702">
        <f ca="1">IFERROR(__xludf.DUMMYFUNCTION("""COMPUTED_VALUE"""),691)</f>
        <v>691</v>
      </c>
      <c r="C702" t="str">
        <f ca="1">IFERROR(__xludf.DUMMYFUNCTION("""COMPUTED_VALUE"""),"Jeppe Huldahl")</f>
        <v>Jeppe Huldahl</v>
      </c>
      <c r="D702">
        <f ca="1">IFERROR(__xludf.DUMMYFUNCTION("""COMPUTED_VALUE"""),40)</f>
        <v>40</v>
      </c>
      <c r="E702">
        <f ca="1">IFERROR(__xludf.DUMMYFUNCTION("""COMPUTED_VALUE"""),0.18)</f>
        <v>0.18</v>
      </c>
      <c r="F702">
        <f ca="1">IFERROR(__xludf.DUMMYFUNCTION("""COMPUTED_VALUE"""),7.09)</f>
        <v>7.09</v>
      </c>
      <c r="G702">
        <f ca="1">IFERROR(__xludf.DUMMYFUNCTION("""COMPUTED_VALUE"""),-3.33)</f>
        <v>-3.33</v>
      </c>
      <c r="H702">
        <f ca="1">IFERROR(__xludf.DUMMYFUNCTION("""COMPUTED_VALUE"""),8)</f>
        <v>8</v>
      </c>
      <c r="I702" t="str">
        <f ca="1">IFERROR(__xludf.DUMMYFUNCTION("""COMPUTED_VALUE"""),"")</f>
        <v/>
      </c>
    </row>
    <row r="703" spans="1:9" ht="12.75">
      <c r="A703">
        <f ca="1">IFERROR(__xludf.DUMMYFUNCTION("""COMPUTED_VALUE"""),702)</f>
        <v>702</v>
      </c>
      <c r="B703">
        <f ca="1">IFERROR(__xludf.DUMMYFUNCTION("""COMPUTED_VALUE"""),690)</f>
        <v>690</v>
      </c>
      <c r="C703" t="str">
        <f ca="1">IFERROR(__xludf.DUMMYFUNCTION("""COMPUTED_VALUE"""),"Alfie Plant")</f>
        <v>Alfie Plant</v>
      </c>
      <c r="D703">
        <f ca="1">IFERROR(__xludf.DUMMYFUNCTION("""COMPUTED_VALUE"""),40)</f>
        <v>40</v>
      </c>
      <c r="E703">
        <f ca="1">IFERROR(__xludf.DUMMYFUNCTION("""COMPUTED_VALUE"""),0.18)</f>
        <v>0.18</v>
      </c>
      <c r="F703">
        <f ca="1">IFERROR(__xludf.DUMMYFUNCTION("""COMPUTED_VALUE"""),7.08)</f>
        <v>7.08</v>
      </c>
      <c r="G703">
        <f ca="1">IFERROR(__xludf.DUMMYFUNCTION("""COMPUTED_VALUE"""),-3.6)</f>
        <v>-3.6</v>
      </c>
      <c r="H703">
        <f ca="1">IFERROR(__xludf.DUMMYFUNCTION("""COMPUTED_VALUE"""),2.76)</f>
        <v>2.76</v>
      </c>
      <c r="I703" t="str">
        <f ca="1">IFERROR(__xludf.DUMMYFUNCTION("""COMPUTED_VALUE"""),"")</f>
        <v/>
      </c>
    </row>
    <row r="704" spans="1:9" ht="12.75">
      <c r="A704">
        <f ca="1">IFERROR(__xludf.DUMMYFUNCTION("""COMPUTED_VALUE"""),702)</f>
        <v>702</v>
      </c>
      <c r="B704">
        <f ca="1">IFERROR(__xludf.DUMMYFUNCTION("""COMPUTED_VALUE"""),689)</f>
        <v>689</v>
      </c>
      <c r="C704" t="str">
        <f ca="1">IFERROR(__xludf.DUMMYFUNCTION("""COMPUTED_VALUE"""),"Aadil Bedi")</f>
        <v>Aadil Bedi</v>
      </c>
      <c r="D704">
        <f ca="1">IFERROR(__xludf.DUMMYFUNCTION("""COMPUTED_VALUE"""),40)</f>
        <v>40</v>
      </c>
      <c r="E704">
        <f ca="1">IFERROR(__xludf.DUMMYFUNCTION("""COMPUTED_VALUE"""),0.18)</f>
        <v>0.18</v>
      </c>
      <c r="F704">
        <f ca="1">IFERROR(__xludf.DUMMYFUNCTION("""COMPUTED_VALUE"""),7.08)</f>
        <v>7.08</v>
      </c>
      <c r="G704">
        <f ca="1">IFERROR(__xludf.DUMMYFUNCTION("""COMPUTED_VALUE"""),-2.02)</f>
        <v>-2.02</v>
      </c>
      <c r="H704">
        <f ca="1">IFERROR(__xludf.DUMMYFUNCTION("""COMPUTED_VALUE"""),5)</f>
        <v>5</v>
      </c>
      <c r="I704" t="str">
        <f ca="1">IFERROR(__xludf.DUMMYFUNCTION("""COMPUTED_VALUE"""),"")</f>
        <v/>
      </c>
    </row>
    <row r="705" spans="1:9" ht="12.75">
      <c r="A705">
        <f ca="1">IFERROR(__xludf.DUMMYFUNCTION("""COMPUTED_VALUE"""),704)</f>
        <v>704</v>
      </c>
      <c r="B705">
        <f ca="1">IFERROR(__xludf.DUMMYFUNCTION("""COMPUTED_VALUE"""),702)</f>
        <v>702</v>
      </c>
      <c r="C705" t="str">
        <f ca="1">IFERROR(__xludf.DUMMYFUNCTION("""COMPUTED_VALUE"""),"Deyen Lawson")</f>
        <v>Deyen Lawson</v>
      </c>
      <c r="D705">
        <f ca="1">IFERROR(__xludf.DUMMYFUNCTION("""COMPUTED_VALUE"""),42)</f>
        <v>42</v>
      </c>
      <c r="E705">
        <f ca="1">IFERROR(__xludf.DUMMYFUNCTION("""COMPUTED_VALUE"""),0.18)</f>
        <v>0.18</v>
      </c>
      <c r="F705">
        <f ca="1">IFERROR(__xludf.DUMMYFUNCTION("""COMPUTED_VALUE"""),7.4)</f>
        <v>7.4</v>
      </c>
      <c r="G705">
        <f ca="1">IFERROR(__xludf.DUMMYFUNCTION("""COMPUTED_VALUE"""),-5.05)</f>
        <v>-5.05</v>
      </c>
      <c r="H705">
        <f ca="1">IFERROR(__xludf.DUMMYFUNCTION("""COMPUTED_VALUE"""),2.68)</f>
        <v>2.68</v>
      </c>
      <c r="I705" t="str">
        <f ca="1">IFERROR(__xludf.DUMMYFUNCTION("""COMPUTED_VALUE"""),"")</f>
        <v/>
      </c>
    </row>
    <row r="706" spans="1:9" ht="12.75">
      <c r="A706">
        <f ca="1">IFERROR(__xludf.DUMMYFUNCTION("""COMPUTED_VALUE"""),705)</f>
        <v>705</v>
      </c>
      <c r="B706">
        <f ca="1">IFERROR(__xludf.DUMMYFUNCTION("""COMPUTED_VALUE"""),700)</f>
        <v>700</v>
      </c>
      <c r="C706" t="str">
        <f ca="1">IFERROR(__xludf.DUMMYFUNCTION("""COMPUTED_VALUE"""),"Riki Kawamoto")</f>
        <v>Riki Kawamoto</v>
      </c>
      <c r="D706">
        <f ca="1">IFERROR(__xludf.DUMMYFUNCTION("""COMPUTED_VALUE"""),40)</f>
        <v>40</v>
      </c>
      <c r="E706">
        <f ca="1">IFERROR(__xludf.DUMMYFUNCTION("""COMPUTED_VALUE"""),0.18)</f>
        <v>0.18</v>
      </c>
      <c r="F706">
        <f ca="1">IFERROR(__xludf.DUMMYFUNCTION("""COMPUTED_VALUE"""),7.04)</f>
        <v>7.04</v>
      </c>
      <c r="G706" t="str">
        <f ca="1">IFERROR(__xludf.DUMMYFUNCTION("""COMPUTED_VALUE"""),"")</f>
        <v/>
      </c>
      <c r="H706">
        <f ca="1">IFERROR(__xludf.DUMMYFUNCTION("""COMPUTED_VALUE"""),7.04)</f>
        <v>7.04</v>
      </c>
      <c r="I706" t="str">
        <f ca="1">IFERROR(__xludf.DUMMYFUNCTION("""COMPUTED_VALUE"""),"")</f>
        <v/>
      </c>
    </row>
    <row r="707" spans="1:9" ht="12.75">
      <c r="A707">
        <f ca="1">IFERROR(__xludf.DUMMYFUNCTION("""COMPUTED_VALUE"""),706)</f>
        <v>706</v>
      </c>
      <c r="B707">
        <f ca="1">IFERROR(__xludf.DUMMYFUNCTION("""COMPUTED_VALUE"""),694)</f>
        <v>694</v>
      </c>
      <c r="C707" t="str">
        <f ca="1">IFERROR(__xludf.DUMMYFUNCTION("""COMPUTED_VALUE"""),"J.T. Griffin")</f>
        <v>J.T. Griffin</v>
      </c>
      <c r="D707">
        <f ca="1">IFERROR(__xludf.DUMMYFUNCTION("""COMPUTED_VALUE"""),40)</f>
        <v>40</v>
      </c>
      <c r="E707">
        <f ca="1">IFERROR(__xludf.DUMMYFUNCTION("""COMPUTED_VALUE"""),0.18)</f>
        <v>0.18</v>
      </c>
      <c r="F707">
        <f ca="1">IFERROR(__xludf.DUMMYFUNCTION("""COMPUTED_VALUE"""),7.03)</f>
        <v>7.03</v>
      </c>
      <c r="G707">
        <f ca="1">IFERROR(__xludf.DUMMYFUNCTION("""COMPUTED_VALUE"""),-2.56)</f>
        <v>-2.56</v>
      </c>
      <c r="H707">
        <f ca="1">IFERROR(__xludf.DUMMYFUNCTION("""COMPUTED_VALUE"""),7.05)</f>
        <v>7.05</v>
      </c>
      <c r="I707" t="str">
        <f ca="1">IFERROR(__xludf.DUMMYFUNCTION("""COMPUTED_VALUE"""),"")</f>
        <v/>
      </c>
    </row>
    <row r="708" spans="1:9" ht="12.75">
      <c r="A708">
        <f ca="1">IFERROR(__xludf.DUMMYFUNCTION("""COMPUTED_VALUE"""),707)</f>
        <v>707</v>
      </c>
      <c r="B708">
        <f ca="1">IFERROR(__xludf.DUMMYFUNCTION("""COMPUTED_VALUE"""),692)</f>
        <v>692</v>
      </c>
      <c r="C708" t="str">
        <f ca="1">IFERROR(__xludf.DUMMYFUNCTION("""COMPUTED_VALUE"""),"Innchoon Hwang")</f>
        <v>Innchoon Hwang</v>
      </c>
      <c r="D708">
        <f ca="1">IFERROR(__xludf.DUMMYFUNCTION("""COMPUTED_VALUE"""),40)</f>
        <v>40</v>
      </c>
      <c r="E708">
        <f ca="1">IFERROR(__xludf.DUMMYFUNCTION("""COMPUTED_VALUE"""),0.18)</f>
        <v>0.18</v>
      </c>
      <c r="F708">
        <f ca="1">IFERROR(__xludf.DUMMYFUNCTION("""COMPUTED_VALUE"""),7)</f>
        <v>7</v>
      </c>
      <c r="G708">
        <f ca="1">IFERROR(__xludf.DUMMYFUNCTION("""COMPUTED_VALUE"""),-5.53)</f>
        <v>-5.53</v>
      </c>
      <c r="H708">
        <f ca="1">IFERROR(__xludf.DUMMYFUNCTION("""COMPUTED_VALUE"""),1.29)</f>
        <v>1.29</v>
      </c>
      <c r="I708" t="str">
        <f ca="1">IFERROR(__xludf.DUMMYFUNCTION("""COMPUTED_VALUE"""),"")</f>
        <v/>
      </c>
    </row>
    <row r="709" spans="1:9" ht="12.75">
      <c r="A709">
        <f ca="1">IFERROR(__xludf.DUMMYFUNCTION("""COMPUTED_VALUE"""),708)</f>
        <v>708</v>
      </c>
      <c r="B709">
        <f ca="1">IFERROR(__xludf.DUMMYFUNCTION("""COMPUTED_VALUE"""),693)</f>
        <v>693</v>
      </c>
      <c r="C709" t="str">
        <f ca="1">IFERROR(__xludf.DUMMYFUNCTION("""COMPUTED_VALUE"""),"Dylan Perry")</f>
        <v>Dylan Perry</v>
      </c>
      <c r="D709">
        <f ca="1">IFERROR(__xludf.DUMMYFUNCTION("""COMPUTED_VALUE"""),40)</f>
        <v>40</v>
      </c>
      <c r="E709">
        <f ca="1">IFERROR(__xludf.DUMMYFUNCTION("""COMPUTED_VALUE"""),0.17)</f>
        <v>0.17</v>
      </c>
      <c r="F709">
        <f ca="1">IFERROR(__xludf.DUMMYFUNCTION("""COMPUTED_VALUE"""),6.99)</f>
        <v>6.99</v>
      </c>
      <c r="G709">
        <f ca="1">IFERROR(__xludf.DUMMYFUNCTION("""COMPUTED_VALUE"""),-5.16)</f>
        <v>-5.16</v>
      </c>
      <c r="H709">
        <f ca="1">IFERROR(__xludf.DUMMYFUNCTION("""COMPUTED_VALUE"""),0)</f>
        <v>0</v>
      </c>
      <c r="I709" t="str">
        <f ca="1">IFERROR(__xludf.DUMMYFUNCTION("""COMPUTED_VALUE"""),"")</f>
        <v/>
      </c>
    </row>
    <row r="710" spans="1:9" ht="12.75">
      <c r="A710">
        <f ca="1">IFERROR(__xludf.DUMMYFUNCTION("""COMPUTED_VALUE"""),709)</f>
        <v>709</v>
      </c>
      <c r="B710">
        <f ca="1">IFERROR(__xludf.DUMMYFUNCTION("""COMPUTED_VALUE"""),791)</f>
        <v>791</v>
      </c>
      <c r="C710" t="str">
        <f ca="1">IFERROR(__xludf.DUMMYFUNCTION("""COMPUTED_VALUE"""),"Greg Chalmers")</f>
        <v>Greg Chalmers</v>
      </c>
      <c r="D710">
        <f ca="1">IFERROR(__xludf.DUMMYFUNCTION("""COMPUTED_VALUE"""),40)</f>
        <v>40</v>
      </c>
      <c r="E710">
        <f ca="1">IFERROR(__xludf.DUMMYFUNCTION("""COMPUTED_VALUE"""),0.17)</f>
        <v>0.17</v>
      </c>
      <c r="F710">
        <f ca="1">IFERROR(__xludf.DUMMYFUNCTION("""COMPUTED_VALUE"""),6.94)</f>
        <v>6.94</v>
      </c>
      <c r="G710">
        <f ca="1">IFERROR(__xludf.DUMMYFUNCTION("""COMPUTED_VALUE"""),-2.97)</f>
        <v>-2.97</v>
      </c>
      <c r="H710">
        <f ca="1">IFERROR(__xludf.DUMMYFUNCTION("""COMPUTED_VALUE"""),1.21)</f>
        <v>1.21</v>
      </c>
      <c r="I710" t="str">
        <f ca="1">IFERROR(__xludf.DUMMYFUNCTION("""COMPUTED_VALUE"""),"")</f>
        <v/>
      </c>
    </row>
    <row r="711" spans="1:9" ht="12.75">
      <c r="A711">
        <f ca="1">IFERROR(__xludf.DUMMYFUNCTION("""COMPUTED_VALUE"""),710)</f>
        <v>710</v>
      </c>
      <c r="B711">
        <f ca="1">IFERROR(__xludf.DUMMYFUNCTION("""COMPUTED_VALUE"""),698)</f>
        <v>698</v>
      </c>
      <c r="C711" t="str">
        <f ca="1">IFERROR(__xludf.DUMMYFUNCTION("""COMPUTED_VALUE"""),"Romain Wattel")</f>
        <v>Romain Wattel</v>
      </c>
      <c r="D711">
        <f ca="1">IFERROR(__xludf.DUMMYFUNCTION("""COMPUTED_VALUE"""),45)</f>
        <v>45</v>
      </c>
      <c r="E711">
        <f ca="1">IFERROR(__xludf.DUMMYFUNCTION("""COMPUTED_VALUE"""),0.17)</f>
        <v>0.17</v>
      </c>
      <c r="F711">
        <f ca="1">IFERROR(__xludf.DUMMYFUNCTION("""COMPUTED_VALUE"""),7.8)</f>
        <v>7.8</v>
      </c>
      <c r="G711">
        <f ca="1">IFERROR(__xludf.DUMMYFUNCTION("""COMPUTED_VALUE"""),-8.34)</f>
        <v>-8.34</v>
      </c>
      <c r="H711">
        <f ca="1">IFERROR(__xludf.DUMMYFUNCTION("""COMPUTED_VALUE"""),1.2)</f>
        <v>1.2</v>
      </c>
      <c r="I711" t="str">
        <f ca="1">IFERROR(__xludf.DUMMYFUNCTION("""COMPUTED_VALUE"""),"")</f>
        <v/>
      </c>
    </row>
    <row r="712" spans="1:9" ht="12.75">
      <c r="A712">
        <f ca="1">IFERROR(__xludf.DUMMYFUNCTION("""COMPUTED_VALUE"""),711)</f>
        <v>711</v>
      </c>
      <c r="B712">
        <f ca="1">IFERROR(__xludf.DUMMYFUNCTION("""COMPUTED_VALUE"""),706)</f>
        <v>706</v>
      </c>
      <c r="C712" t="str">
        <f ca="1">IFERROR(__xludf.DUMMYFUNCTION("""COMPUTED_VALUE"""),"Jordan Wrisdale")</f>
        <v>Jordan Wrisdale</v>
      </c>
      <c r="D712">
        <f ca="1">IFERROR(__xludf.DUMMYFUNCTION("""COMPUTED_VALUE"""),40)</f>
        <v>40</v>
      </c>
      <c r="E712">
        <f ca="1">IFERROR(__xludf.DUMMYFUNCTION("""COMPUTED_VALUE"""),0.17)</f>
        <v>0.17</v>
      </c>
      <c r="F712">
        <f ca="1">IFERROR(__xludf.DUMMYFUNCTION("""COMPUTED_VALUE"""),6.9)</f>
        <v>6.9</v>
      </c>
      <c r="G712">
        <f ca="1">IFERROR(__xludf.DUMMYFUNCTION("""COMPUTED_VALUE"""),-3.18)</f>
        <v>-3.18</v>
      </c>
      <c r="H712">
        <f ca="1">IFERROR(__xludf.DUMMYFUNCTION("""COMPUTED_VALUE"""),5.82)</f>
        <v>5.82</v>
      </c>
      <c r="I712" t="str">
        <f ca="1">IFERROR(__xludf.DUMMYFUNCTION("""COMPUTED_VALUE"""),"")</f>
        <v/>
      </c>
    </row>
    <row r="713" spans="1:9" ht="12.75">
      <c r="A713">
        <f ca="1">IFERROR(__xludf.DUMMYFUNCTION("""COMPUTED_VALUE"""),712)</f>
        <v>712</v>
      </c>
      <c r="B713">
        <f ca="1">IFERROR(__xludf.DUMMYFUNCTION("""COMPUTED_VALUE"""),703)</f>
        <v>703</v>
      </c>
      <c r="C713" t="str">
        <f ca="1">IFERROR(__xludf.DUMMYFUNCTION("""COMPUTED_VALUE"""),"George McNeill")</f>
        <v>George McNeill</v>
      </c>
      <c r="D713">
        <f ca="1">IFERROR(__xludf.DUMMYFUNCTION("""COMPUTED_VALUE"""),40)</f>
        <v>40</v>
      </c>
      <c r="E713">
        <f ca="1">IFERROR(__xludf.DUMMYFUNCTION("""COMPUTED_VALUE"""),0.17)</f>
        <v>0.17</v>
      </c>
      <c r="F713">
        <f ca="1">IFERROR(__xludf.DUMMYFUNCTION("""COMPUTED_VALUE"""),6.88)</f>
        <v>6.88</v>
      </c>
      <c r="G713">
        <f ca="1">IFERROR(__xludf.DUMMYFUNCTION("""COMPUTED_VALUE"""),-4.52)</f>
        <v>-4.5199999999999996</v>
      </c>
      <c r="H713">
        <f ca="1">IFERROR(__xludf.DUMMYFUNCTION("""COMPUTED_VALUE"""),1.61)</f>
        <v>1.61</v>
      </c>
      <c r="I713" t="str">
        <f ca="1">IFERROR(__xludf.DUMMYFUNCTION("""COMPUTED_VALUE"""),"")</f>
        <v/>
      </c>
    </row>
    <row r="714" spans="1:9" ht="12.75">
      <c r="A714">
        <f ca="1">IFERROR(__xludf.DUMMYFUNCTION("""COMPUTED_VALUE"""),713)</f>
        <v>713</v>
      </c>
      <c r="B714">
        <f ca="1">IFERROR(__xludf.DUMMYFUNCTION("""COMPUTED_VALUE"""),686)</f>
        <v>686</v>
      </c>
      <c r="C714" t="str">
        <f ca="1">IFERROR(__xludf.DUMMYFUNCTION("""COMPUTED_VALUE"""),"Steven Tiley")</f>
        <v>Steven Tiley</v>
      </c>
      <c r="D714">
        <f ca="1">IFERROR(__xludf.DUMMYFUNCTION("""COMPUTED_VALUE"""),43)</f>
        <v>43</v>
      </c>
      <c r="E714">
        <f ca="1">IFERROR(__xludf.DUMMYFUNCTION("""COMPUTED_VALUE"""),0.17)</f>
        <v>0.17</v>
      </c>
      <c r="F714">
        <f ca="1">IFERROR(__xludf.DUMMYFUNCTION("""COMPUTED_VALUE"""),7.39)</f>
        <v>7.39</v>
      </c>
      <c r="G714">
        <f ca="1">IFERROR(__xludf.DUMMYFUNCTION("""COMPUTED_VALUE"""),-8.65)</f>
        <v>-8.65</v>
      </c>
      <c r="H714">
        <f ca="1">IFERROR(__xludf.DUMMYFUNCTION("""COMPUTED_VALUE"""),0)</f>
        <v>0</v>
      </c>
      <c r="I714" t="str">
        <f ca="1">IFERROR(__xludf.DUMMYFUNCTION("""COMPUTED_VALUE"""),"")</f>
        <v/>
      </c>
    </row>
    <row r="715" spans="1:9" ht="12.75">
      <c r="A715">
        <f ca="1">IFERROR(__xludf.DUMMYFUNCTION("""COMPUTED_VALUE"""),714)</f>
        <v>714</v>
      </c>
      <c r="B715">
        <f ca="1">IFERROR(__xludf.DUMMYFUNCTION("""COMPUTED_VALUE"""),714)</f>
        <v>714</v>
      </c>
      <c r="C715" t="str">
        <f ca="1">IFERROR(__xludf.DUMMYFUNCTION("""COMPUTED_VALUE"""),"Daichi Sato")</f>
        <v>Daichi Sato</v>
      </c>
      <c r="D715">
        <f ca="1">IFERROR(__xludf.DUMMYFUNCTION("""COMPUTED_VALUE"""),40)</f>
        <v>40</v>
      </c>
      <c r="E715">
        <f ca="1">IFERROR(__xludf.DUMMYFUNCTION("""COMPUTED_VALUE"""),0.17)</f>
        <v>0.17</v>
      </c>
      <c r="F715">
        <f ca="1">IFERROR(__xludf.DUMMYFUNCTION("""COMPUTED_VALUE"""),6.82)</f>
        <v>6.82</v>
      </c>
      <c r="G715" t="str">
        <f ca="1">IFERROR(__xludf.DUMMYFUNCTION("""COMPUTED_VALUE"""),"")</f>
        <v/>
      </c>
      <c r="H715">
        <f ca="1">IFERROR(__xludf.DUMMYFUNCTION("""COMPUTED_VALUE"""),6.82)</f>
        <v>6.82</v>
      </c>
      <c r="I715" t="str">
        <f ca="1">IFERROR(__xludf.DUMMYFUNCTION("""COMPUTED_VALUE"""),"")</f>
        <v/>
      </c>
    </row>
    <row r="716" spans="1:9" ht="12.75">
      <c r="A716">
        <f ca="1">IFERROR(__xludf.DUMMYFUNCTION("""COMPUTED_VALUE"""),715)</f>
        <v>715</v>
      </c>
      <c r="B716">
        <f ca="1">IFERROR(__xludf.DUMMYFUNCTION("""COMPUTED_VALUE"""),709)</f>
        <v>709</v>
      </c>
      <c r="C716" t="str">
        <f ca="1">IFERROR(__xludf.DUMMYFUNCTION("""COMPUTED_VALUE"""),"Oliver Hundebol Jorgensen")</f>
        <v>Oliver Hundebol Jorgensen</v>
      </c>
      <c r="D716">
        <f ca="1">IFERROR(__xludf.DUMMYFUNCTION("""COMPUTED_VALUE"""),40)</f>
        <v>40</v>
      </c>
      <c r="E716">
        <f ca="1">IFERROR(__xludf.DUMMYFUNCTION("""COMPUTED_VALUE"""),0.17)</f>
        <v>0.17</v>
      </c>
      <c r="F716">
        <f ca="1">IFERROR(__xludf.DUMMYFUNCTION("""COMPUTED_VALUE"""),6.82)</f>
        <v>6.82</v>
      </c>
      <c r="G716">
        <f ca="1">IFERROR(__xludf.DUMMYFUNCTION("""COMPUTED_VALUE"""),-3.47)</f>
        <v>-3.47</v>
      </c>
      <c r="H716">
        <f ca="1">IFERROR(__xludf.DUMMYFUNCTION("""COMPUTED_VALUE"""),2.4)</f>
        <v>2.4</v>
      </c>
      <c r="I716" t="str">
        <f ca="1">IFERROR(__xludf.DUMMYFUNCTION("""COMPUTED_VALUE"""),"")</f>
        <v/>
      </c>
    </row>
    <row r="717" spans="1:9" ht="12.75">
      <c r="A717">
        <f ca="1">IFERROR(__xludf.DUMMYFUNCTION("""COMPUTED_VALUE"""),716)</f>
        <v>716</v>
      </c>
      <c r="B717">
        <f ca="1">IFERROR(__xludf.DUMMYFUNCTION("""COMPUTED_VALUE"""),716)</f>
        <v>716</v>
      </c>
      <c r="C717" t="str">
        <f ca="1">IFERROR(__xludf.DUMMYFUNCTION("""COMPUTED_VALUE"""),"Paul Peterson")</f>
        <v>Paul Peterson</v>
      </c>
      <c r="D717">
        <f ca="1">IFERROR(__xludf.DUMMYFUNCTION("""COMPUTED_VALUE"""),45)</f>
        <v>45</v>
      </c>
      <c r="E717">
        <f ca="1">IFERROR(__xludf.DUMMYFUNCTION("""COMPUTED_VALUE"""),0.17)</f>
        <v>0.17</v>
      </c>
      <c r="F717">
        <f ca="1">IFERROR(__xludf.DUMMYFUNCTION("""COMPUTED_VALUE"""),7.66)</f>
        <v>7.66</v>
      </c>
      <c r="G717">
        <f ca="1">IFERROR(__xludf.DUMMYFUNCTION("""COMPUTED_VALUE"""),-7.69)</f>
        <v>-7.69</v>
      </c>
      <c r="H717">
        <f ca="1">IFERROR(__xludf.DUMMYFUNCTION("""COMPUTED_VALUE"""),2.41)</f>
        <v>2.41</v>
      </c>
      <c r="I717" t="str">
        <f ca="1">IFERROR(__xludf.DUMMYFUNCTION("""COMPUTED_VALUE"""),"")</f>
        <v/>
      </c>
    </row>
    <row r="718" spans="1:9" ht="12.75">
      <c r="A718">
        <f ca="1">IFERROR(__xludf.DUMMYFUNCTION("""COMPUTED_VALUE"""),717)</f>
        <v>717</v>
      </c>
      <c r="B718">
        <f ca="1">IFERROR(__xludf.DUMMYFUNCTION("""COMPUTED_VALUE"""),701)</f>
        <v>701</v>
      </c>
      <c r="C718" t="str">
        <f ca="1">IFERROR(__xludf.DUMMYFUNCTION("""COMPUTED_VALUE"""),"Siddikur Rahman")</f>
        <v>Siddikur Rahman</v>
      </c>
      <c r="D718">
        <f ca="1">IFERROR(__xludf.DUMMYFUNCTION("""COMPUTED_VALUE"""),40)</f>
        <v>40</v>
      </c>
      <c r="E718">
        <f ca="1">IFERROR(__xludf.DUMMYFUNCTION("""COMPUTED_VALUE"""),0.17)</f>
        <v>0.17</v>
      </c>
      <c r="F718">
        <f ca="1">IFERROR(__xludf.DUMMYFUNCTION("""COMPUTED_VALUE"""),6.8)</f>
        <v>6.8</v>
      </c>
      <c r="G718">
        <f ca="1">IFERROR(__xludf.DUMMYFUNCTION("""COMPUTED_VALUE"""),-7.83)</f>
        <v>-7.83</v>
      </c>
      <c r="H718">
        <f ca="1">IFERROR(__xludf.DUMMYFUNCTION("""COMPUTED_VALUE"""),0)</f>
        <v>0</v>
      </c>
      <c r="I718" t="str">
        <f ca="1">IFERROR(__xludf.DUMMYFUNCTION("""COMPUTED_VALUE"""),"")</f>
        <v/>
      </c>
    </row>
    <row r="719" spans="1:9" ht="12.75">
      <c r="A719">
        <f ca="1">IFERROR(__xludf.DUMMYFUNCTION("""COMPUTED_VALUE"""),718)</f>
        <v>718</v>
      </c>
      <c r="B719">
        <f ca="1">IFERROR(__xludf.DUMMYFUNCTION("""COMPUTED_VALUE"""),704)</f>
        <v>704</v>
      </c>
      <c r="C719" t="str">
        <f ca="1">IFERROR(__xludf.DUMMYFUNCTION("""COMPUTED_VALUE"""),"Settee Prakongvech")</f>
        <v>Settee Prakongvech</v>
      </c>
      <c r="D719">
        <f ca="1">IFERROR(__xludf.DUMMYFUNCTION("""COMPUTED_VALUE"""),40)</f>
        <v>40</v>
      </c>
      <c r="E719">
        <f ca="1">IFERROR(__xludf.DUMMYFUNCTION("""COMPUTED_VALUE"""),0.17)</f>
        <v>0.17</v>
      </c>
      <c r="F719">
        <f ca="1">IFERROR(__xludf.DUMMYFUNCTION("""COMPUTED_VALUE"""),6.78)</f>
        <v>6.78</v>
      </c>
      <c r="G719">
        <f ca="1">IFERROR(__xludf.DUMMYFUNCTION("""COMPUTED_VALUE"""),-6.57)</f>
        <v>-6.57</v>
      </c>
      <c r="H719">
        <f ca="1">IFERROR(__xludf.DUMMYFUNCTION("""COMPUTED_VALUE"""),0)</f>
        <v>0</v>
      </c>
      <c r="I719" t="str">
        <f ca="1">IFERROR(__xludf.DUMMYFUNCTION("""COMPUTED_VALUE"""),"")</f>
        <v/>
      </c>
    </row>
    <row r="720" spans="1:9" ht="12.75">
      <c r="A720">
        <f ca="1">IFERROR(__xludf.DUMMYFUNCTION("""COMPUTED_VALUE"""),719)</f>
        <v>719</v>
      </c>
      <c r="B720">
        <f ca="1">IFERROR(__xludf.DUMMYFUNCTION("""COMPUTED_VALUE"""),711)</f>
        <v>711</v>
      </c>
      <c r="C720" t="str">
        <f ca="1">IFERROR(__xludf.DUMMYFUNCTION("""COMPUTED_VALUE"""),"Ryuichi Oiwa")</f>
        <v>Ryuichi Oiwa</v>
      </c>
      <c r="D720">
        <f ca="1">IFERROR(__xludf.DUMMYFUNCTION("""COMPUTED_VALUE"""),40)</f>
        <v>40</v>
      </c>
      <c r="E720">
        <f ca="1">IFERROR(__xludf.DUMMYFUNCTION("""COMPUTED_VALUE"""),0.17)</f>
        <v>0.17</v>
      </c>
      <c r="F720">
        <f ca="1">IFERROR(__xludf.DUMMYFUNCTION("""COMPUTED_VALUE"""),6.77)</f>
        <v>6.77</v>
      </c>
      <c r="G720">
        <f ca="1">IFERROR(__xludf.DUMMYFUNCTION("""COMPUTED_VALUE"""),-4.22)</f>
        <v>-4.22</v>
      </c>
      <c r="H720">
        <f ca="1">IFERROR(__xludf.DUMMYFUNCTION("""COMPUTED_VALUE"""),0)</f>
        <v>0</v>
      </c>
      <c r="I720" t="str">
        <f ca="1">IFERROR(__xludf.DUMMYFUNCTION("""COMPUTED_VALUE"""),"")</f>
        <v/>
      </c>
    </row>
    <row r="721" spans="1:9" ht="12.75">
      <c r="A721">
        <f ca="1">IFERROR(__xludf.DUMMYFUNCTION("""COMPUTED_VALUE"""),720)</f>
        <v>720</v>
      </c>
      <c r="B721">
        <f ca="1">IFERROR(__xludf.DUMMYFUNCTION("""COMPUTED_VALUE"""),706)</f>
        <v>706</v>
      </c>
      <c r="C721" t="str">
        <f ca="1">IFERROR(__xludf.DUMMYFUNCTION("""COMPUTED_VALUE"""),"Trevor Fisher Jr")</f>
        <v>Trevor Fisher Jr</v>
      </c>
      <c r="D721">
        <f ca="1">IFERROR(__xludf.DUMMYFUNCTION("""COMPUTED_VALUE"""),40)</f>
        <v>40</v>
      </c>
      <c r="E721">
        <f ca="1">IFERROR(__xludf.DUMMYFUNCTION("""COMPUTED_VALUE"""),0.17)</f>
        <v>0.17</v>
      </c>
      <c r="F721">
        <f ca="1">IFERROR(__xludf.DUMMYFUNCTION("""COMPUTED_VALUE"""),6.76)</f>
        <v>6.76</v>
      </c>
      <c r="G721">
        <f ca="1">IFERROR(__xludf.DUMMYFUNCTION("""COMPUTED_VALUE"""),-6.96)</f>
        <v>-6.96</v>
      </c>
      <c r="H721">
        <f ca="1">IFERROR(__xludf.DUMMYFUNCTION("""COMPUTED_VALUE"""),3.13)</f>
        <v>3.13</v>
      </c>
      <c r="I721" t="str">
        <f ca="1">IFERROR(__xludf.DUMMYFUNCTION("""COMPUTED_VALUE"""),"")</f>
        <v/>
      </c>
    </row>
    <row r="722" spans="1:9" ht="12.75">
      <c r="A722">
        <f ca="1">IFERROR(__xludf.DUMMYFUNCTION("""COMPUTED_VALUE"""),720)</f>
        <v>720</v>
      </c>
      <c r="B722">
        <f ca="1">IFERROR(__xludf.DUMMYFUNCTION("""COMPUTED_VALUE"""),712)</f>
        <v>712</v>
      </c>
      <c r="C722" t="str">
        <f ca="1">IFERROR(__xludf.DUMMYFUNCTION("""COMPUTED_VALUE"""),"Ugo Coussaud")</f>
        <v>Ugo Coussaud</v>
      </c>
      <c r="D722">
        <f ca="1">IFERROR(__xludf.DUMMYFUNCTION("""COMPUTED_VALUE"""),40)</f>
        <v>40</v>
      </c>
      <c r="E722">
        <f ca="1">IFERROR(__xludf.DUMMYFUNCTION("""COMPUTED_VALUE"""),0.17)</f>
        <v>0.17</v>
      </c>
      <c r="F722">
        <f ca="1">IFERROR(__xludf.DUMMYFUNCTION("""COMPUTED_VALUE"""),6.76)</f>
        <v>6.76</v>
      </c>
      <c r="G722">
        <f ca="1">IFERROR(__xludf.DUMMYFUNCTION("""COMPUTED_VALUE"""),-5.03)</f>
        <v>-5.03</v>
      </c>
      <c r="H722">
        <f ca="1">IFERROR(__xludf.DUMMYFUNCTION("""COMPUTED_VALUE"""),1.95)</f>
        <v>1.95</v>
      </c>
      <c r="I722" t="str">
        <f ca="1">IFERROR(__xludf.DUMMYFUNCTION("""COMPUTED_VALUE"""),"")</f>
        <v/>
      </c>
    </row>
    <row r="723" spans="1:9" ht="12.75">
      <c r="A723">
        <f ca="1">IFERROR(__xludf.DUMMYFUNCTION("""COMPUTED_VALUE"""),722)</f>
        <v>722</v>
      </c>
      <c r="B723">
        <f ca="1">IFERROR(__xludf.DUMMYFUNCTION("""COMPUTED_VALUE"""),718)</f>
        <v>718</v>
      </c>
      <c r="C723" t="str">
        <f ca="1">IFERROR(__xludf.DUMMYFUNCTION("""COMPUTED_VALUE"""),"Camilo Aguado")</f>
        <v>Camilo Aguado</v>
      </c>
      <c r="D723">
        <f ca="1">IFERROR(__xludf.DUMMYFUNCTION("""COMPUTED_VALUE"""),40)</f>
        <v>40</v>
      </c>
      <c r="E723">
        <f ca="1">IFERROR(__xludf.DUMMYFUNCTION("""COMPUTED_VALUE"""),0.17)</f>
        <v>0.17</v>
      </c>
      <c r="F723">
        <f ca="1">IFERROR(__xludf.DUMMYFUNCTION("""COMPUTED_VALUE"""),6.73)</f>
        <v>6.73</v>
      </c>
      <c r="G723">
        <f ca="1">IFERROR(__xludf.DUMMYFUNCTION("""COMPUTED_VALUE"""),-1.88)</f>
        <v>-1.88</v>
      </c>
      <c r="H723">
        <f ca="1">IFERROR(__xludf.DUMMYFUNCTION("""COMPUTED_VALUE"""),3.7)</f>
        <v>3.7</v>
      </c>
      <c r="I723" t="str">
        <f ca="1">IFERROR(__xludf.DUMMYFUNCTION("""COMPUTED_VALUE"""),"")</f>
        <v/>
      </c>
    </row>
    <row r="724" spans="1:9" ht="12.75">
      <c r="A724">
        <f ca="1">IFERROR(__xludf.DUMMYFUNCTION("""COMPUTED_VALUE"""),723)</f>
        <v>723</v>
      </c>
      <c r="B724">
        <f ca="1">IFERROR(__xludf.DUMMYFUNCTION("""COMPUTED_VALUE"""),720)</f>
        <v>720</v>
      </c>
      <c r="C724" t="str">
        <f ca="1">IFERROR(__xludf.DUMMYFUNCTION("""COMPUTED_VALUE"""),"Ratchapol Juntavara")</f>
        <v>Ratchapol Juntavara</v>
      </c>
      <c r="D724">
        <f ca="1">IFERROR(__xludf.DUMMYFUNCTION("""COMPUTED_VALUE"""),40)</f>
        <v>40</v>
      </c>
      <c r="E724">
        <f ca="1">IFERROR(__xludf.DUMMYFUNCTION("""COMPUTED_VALUE"""),0.17)</f>
        <v>0.17</v>
      </c>
      <c r="F724">
        <f ca="1">IFERROR(__xludf.DUMMYFUNCTION("""COMPUTED_VALUE"""),6.73)</f>
        <v>6.73</v>
      </c>
      <c r="G724">
        <f ca="1">IFERROR(__xludf.DUMMYFUNCTION("""COMPUTED_VALUE"""),-1.08)</f>
        <v>-1.08</v>
      </c>
      <c r="H724">
        <f ca="1">IFERROR(__xludf.DUMMYFUNCTION("""COMPUTED_VALUE"""),5)</f>
        <v>5</v>
      </c>
      <c r="I724" t="str">
        <f ca="1">IFERROR(__xludf.DUMMYFUNCTION("""COMPUTED_VALUE"""),"")</f>
        <v/>
      </c>
    </row>
    <row r="725" spans="1:9" ht="12.75">
      <c r="A725">
        <f ca="1">IFERROR(__xludf.DUMMYFUNCTION("""COMPUTED_VALUE"""),724)</f>
        <v>724</v>
      </c>
      <c r="B725">
        <f ca="1">IFERROR(__xludf.DUMMYFUNCTION("""COMPUTED_VALUE"""),713)</f>
        <v>713</v>
      </c>
      <c r="C725" t="str">
        <f ca="1">IFERROR(__xludf.DUMMYFUNCTION("""COMPUTED_VALUE"""),"Terry Pilkadaris")</f>
        <v>Terry Pilkadaris</v>
      </c>
      <c r="D725">
        <f ca="1">IFERROR(__xludf.DUMMYFUNCTION("""COMPUTED_VALUE"""),40)</f>
        <v>40</v>
      </c>
      <c r="E725">
        <f ca="1">IFERROR(__xludf.DUMMYFUNCTION("""COMPUTED_VALUE"""),0.17)</f>
        <v>0.17</v>
      </c>
      <c r="F725">
        <f ca="1">IFERROR(__xludf.DUMMYFUNCTION("""COMPUTED_VALUE"""),6.71)</f>
        <v>6.71</v>
      </c>
      <c r="G725">
        <f ca="1">IFERROR(__xludf.DUMMYFUNCTION("""COMPUTED_VALUE"""),-5.36)</f>
        <v>-5.36</v>
      </c>
      <c r="H725">
        <f ca="1">IFERROR(__xludf.DUMMYFUNCTION("""COMPUTED_VALUE"""),2.93)</f>
        <v>2.93</v>
      </c>
      <c r="I725" t="str">
        <f ca="1">IFERROR(__xludf.DUMMYFUNCTION("""COMPUTED_VALUE"""),"")</f>
        <v/>
      </c>
    </row>
    <row r="726" spans="1:9" ht="12.75">
      <c r="A726">
        <f ca="1">IFERROR(__xludf.DUMMYFUNCTION("""COMPUTED_VALUE"""),725)</f>
        <v>725</v>
      </c>
      <c r="B726">
        <f ca="1">IFERROR(__xludf.DUMMYFUNCTION("""COMPUTED_VALUE"""),715)</f>
        <v>715</v>
      </c>
      <c r="C726" t="str">
        <f ca="1">IFERROR(__xludf.DUMMYFUNCTION("""COMPUTED_VALUE"""),"David Gleeson")</f>
        <v>David Gleeson</v>
      </c>
      <c r="D726">
        <f ca="1">IFERROR(__xludf.DUMMYFUNCTION("""COMPUTED_VALUE"""),40)</f>
        <v>40</v>
      </c>
      <c r="E726">
        <f ca="1">IFERROR(__xludf.DUMMYFUNCTION("""COMPUTED_VALUE"""),0.17)</f>
        <v>0.17</v>
      </c>
      <c r="F726">
        <f ca="1">IFERROR(__xludf.DUMMYFUNCTION("""COMPUTED_VALUE"""),6.7)</f>
        <v>6.7</v>
      </c>
      <c r="G726">
        <f ca="1">IFERROR(__xludf.DUMMYFUNCTION("""COMPUTED_VALUE"""),-3.75)</f>
        <v>-3.75</v>
      </c>
      <c r="H726">
        <f ca="1">IFERROR(__xludf.DUMMYFUNCTION("""COMPUTED_VALUE"""),2.93)</f>
        <v>2.93</v>
      </c>
      <c r="I726" t="str">
        <f ca="1">IFERROR(__xludf.DUMMYFUNCTION("""COMPUTED_VALUE"""),"")</f>
        <v/>
      </c>
    </row>
    <row r="727" spans="1:9" ht="12.75">
      <c r="A727">
        <f ca="1">IFERROR(__xludf.DUMMYFUNCTION("""COMPUTED_VALUE"""),725)</f>
        <v>725</v>
      </c>
      <c r="B727">
        <f ca="1">IFERROR(__xludf.DUMMYFUNCTION("""COMPUTED_VALUE"""),708)</f>
        <v>708</v>
      </c>
      <c r="C727" t="str">
        <f ca="1">IFERROR(__xludf.DUMMYFUNCTION("""COMPUTED_VALUE"""),"David Law")</f>
        <v>David Law</v>
      </c>
      <c r="D727">
        <f ca="1">IFERROR(__xludf.DUMMYFUNCTION("""COMPUTED_VALUE"""),52)</f>
        <v>52</v>
      </c>
      <c r="E727">
        <f ca="1">IFERROR(__xludf.DUMMYFUNCTION("""COMPUTED_VALUE"""),0.17)</f>
        <v>0.17</v>
      </c>
      <c r="F727">
        <f ca="1">IFERROR(__xludf.DUMMYFUNCTION("""COMPUTED_VALUE"""),8.7)</f>
        <v>8.6999999999999993</v>
      </c>
      <c r="G727">
        <f ca="1">IFERROR(__xludf.DUMMYFUNCTION("""COMPUTED_VALUE"""),-17.52)</f>
        <v>-17.52</v>
      </c>
      <c r="H727">
        <f ca="1">IFERROR(__xludf.DUMMYFUNCTION("""COMPUTED_VALUE"""),1.2)</f>
        <v>1.2</v>
      </c>
      <c r="I727" t="str">
        <f ca="1">IFERROR(__xludf.DUMMYFUNCTION("""COMPUTED_VALUE"""),"")</f>
        <v/>
      </c>
    </row>
    <row r="728" spans="1:9" ht="12.75">
      <c r="A728">
        <f ca="1">IFERROR(__xludf.DUMMYFUNCTION("""COMPUTED_VALUE"""),727)</f>
        <v>727</v>
      </c>
      <c r="B728">
        <f ca="1">IFERROR(__xludf.DUMMYFUNCTION("""COMPUTED_VALUE"""),723)</f>
        <v>723</v>
      </c>
      <c r="C728" t="str">
        <f ca="1">IFERROR(__xludf.DUMMYFUNCTION("""COMPUTED_VALUE"""),"Ren Takeuchi")</f>
        <v>Ren Takeuchi</v>
      </c>
      <c r="D728">
        <f ca="1">IFERROR(__xludf.DUMMYFUNCTION("""COMPUTED_VALUE"""),40)</f>
        <v>40</v>
      </c>
      <c r="E728">
        <f ca="1">IFERROR(__xludf.DUMMYFUNCTION("""COMPUTED_VALUE"""),0.17)</f>
        <v>0.17</v>
      </c>
      <c r="F728">
        <f ca="1">IFERROR(__xludf.DUMMYFUNCTION("""COMPUTED_VALUE"""),6.69)</f>
        <v>6.69</v>
      </c>
      <c r="G728">
        <f ca="1">IFERROR(__xludf.DUMMYFUNCTION("""COMPUTED_VALUE"""),-0.9)</f>
        <v>-0.9</v>
      </c>
      <c r="H728">
        <f ca="1">IFERROR(__xludf.DUMMYFUNCTION("""COMPUTED_VALUE"""),6)</f>
        <v>6</v>
      </c>
      <c r="I728" t="str">
        <f ca="1">IFERROR(__xludf.DUMMYFUNCTION("""COMPUTED_VALUE"""),"")</f>
        <v/>
      </c>
    </row>
    <row r="729" spans="1:9" ht="12.75">
      <c r="A729">
        <f ca="1">IFERROR(__xludf.DUMMYFUNCTION("""COMPUTED_VALUE"""),728)</f>
        <v>728</v>
      </c>
      <c r="B729">
        <f ca="1">IFERROR(__xludf.DUMMYFUNCTION("""COMPUTED_VALUE"""),719)</f>
        <v>719</v>
      </c>
      <c r="C729" t="str">
        <f ca="1">IFERROR(__xludf.DUMMYFUNCTION("""COMPUTED_VALUE"""),"Takahiro Hataji")</f>
        <v>Takahiro Hataji</v>
      </c>
      <c r="D729">
        <f ca="1">IFERROR(__xludf.DUMMYFUNCTION("""COMPUTED_VALUE"""),40)</f>
        <v>40</v>
      </c>
      <c r="E729">
        <f ca="1">IFERROR(__xludf.DUMMYFUNCTION("""COMPUTED_VALUE"""),0.17)</f>
        <v>0.17</v>
      </c>
      <c r="F729">
        <f ca="1">IFERROR(__xludf.DUMMYFUNCTION("""COMPUTED_VALUE"""),6.68)</f>
        <v>6.68</v>
      </c>
      <c r="G729">
        <f ca="1">IFERROR(__xludf.DUMMYFUNCTION("""COMPUTED_VALUE"""),-2.6)</f>
        <v>-2.6</v>
      </c>
      <c r="H729">
        <f ca="1">IFERROR(__xludf.DUMMYFUNCTION("""COMPUTED_VALUE"""),2.4)</f>
        <v>2.4</v>
      </c>
      <c r="I729" t="str">
        <f ca="1">IFERROR(__xludf.DUMMYFUNCTION("""COMPUTED_VALUE"""),"")</f>
        <v/>
      </c>
    </row>
    <row r="730" spans="1:9" ht="12.75">
      <c r="A730">
        <f ca="1">IFERROR(__xludf.DUMMYFUNCTION("""COMPUTED_VALUE"""),729)</f>
        <v>729</v>
      </c>
      <c r="B730">
        <f ca="1">IFERROR(__xludf.DUMMYFUNCTION("""COMPUTED_VALUE"""),716)</f>
        <v>716</v>
      </c>
      <c r="C730" t="str">
        <f ca="1">IFERROR(__xludf.DUMMYFUNCTION("""COMPUTED_VALUE"""),"Samuel Del Val")</f>
        <v>Samuel Del Val</v>
      </c>
      <c r="D730">
        <f ca="1">IFERROR(__xludf.DUMMYFUNCTION("""COMPUTED_VALUE"""),40)</f>
        <v>40</v>
      </c>
      <c r="E730">
        <f ca="1">IFERROR(__xludf.DUMMYFUNCTION("""COMPUTED_VALUE"""),0.17)</f>
        <v>0.17</v>
      </c>
      <c r="F730">
        <f ca="1">IFERROR(__xludf.DUMMYFUNCTION("""COMPUTED_VALUE"""),6.68)</f>
        <v>6.68</v>
      </c>
      <c r="G730">
        <f ca="1">IFERROR(__xludf.DUMMYFUNCTION("""COMPUTED_VALUE"""),-4.6)</f>
        <v>-4.5999999999999996</v>
      </c>
      <c r="H730">
        <f ca="1">IFERROR(__xludf.DUMMYFUNCTION("""COMPUTED_VALUE"""),0)</f>
        <v>0</v>
      </c>
      <c r="I730" t="str">
        <f ca="1">IFERROR(__xludf.DUMMYFUNCTION("""COMPUTED_VALUE"""),"")</f>
        <v/>
      </c>
    </row>
    <row r="731" spans="1:9" ht="12.75">
      <c r="A731">
        <f ca="1">IFERROR(__xludf.DUMMYFUNCTION("""COMPUTED_VALUE"""),730)</f>
        <v>730</v>
      </c>
      <c r="B731">
        <f ca="1">IFERROR(__xludf.DUMMYFUNCTION("""COMPUTED_VALUE"""),725)</f>
        <v>725</v>
      </c>
      <c r="C731" t="str">
        <f ca="1">IFERROR(__xludf.DUMMYFUNCTION("""COMPUTED_VALUE"""),"Keisuke Otawa")</f>
        <v>Keisuke Otawa</v>
      </c>
      <c r="D731">
        <f ca="1">IFERROR(__xludf.DUMMYFUNCTION("""COMPUTED_VALUE"""),40)</f>
        <v>40</v>
      </c>
      <c r="E731">
        <f ca="1">IFERROR(__xludf.DUMMYFUNCTION("""COMPUTED_VALUE"""),0.17)</f>
        <v>0.17</v>
      </c>
      <c r="F731">
        <f ca="1">IFERROR(__xludf.DUMMYFUNCTION("""COMPUTED_VALUE"""),6.63)</f>
        <v>6.63</v>
      </c>
      <c r="G731">
        <f ca="1">IFERROR(__xludf.DUMMYFUNCTION("""COMPUTED_VALUE"""),-1.51)</f>
        <v>-1.51</v>
      </c>
      <c r="H731">
        <f ca="1">IFERROR(__xludf.DUMMYFUNCTION("""COMPUTED_VALUE"""),4)</f>
        <v>4</v>
      </c>
      <c r="I731" t="str">
        <f ca="1">IFERROR(__xludf.DUMMYFUNCTION("""COMPUTED_VALUE"""),"")</f>
        <v/>
      </c>
    </row>
    <row r="732" spans="1:9" ht="12.75">
      <c r="A732">
        <f ca="1">IFERROR(__xludf.DUMMYFUNCTION("""COMPUTED_VALUE"""),731)</f>
        <v>731</v>
      </c>
      <c r="B732">
        <f ca="1">IFERROR(__xludf.DUMMYFUNCTION("""COMPUTED_VALUE"""),724)</f>
        <v>724</v>
      </c>
      <c r="C732" t="str">
        <f ca="1">IFERROR(__xludf.DUMMYFUNCTION("""COMPUTED_VALUE"""),"Thaworn Wiratchant")</f>
        <v>Thaworn Wiratchant</v>
      </c>
      <c r="D732">
        <f ca="1">IFERROR(__xludf.DUMMYFUNCTION("""COMPUTED_VALUE"""),40)</f>
        <v>40</v>
      </c>
      <c r="E732">
        <f ca="1">IFERROR(__xludf.DUMMYFUNCTION("""COMPUTED_VALUE"""),0.17)</f>
        <v>0.17</v>
      </c>
      <c r="F732">
        <f ca="1">IFERROR(__xludf.DUMMYFUNCTION("""COMPUTED_VALUE"""),6.62)</f>
        <v>6.62</v>
      </c>
      <c r="G732">
        <f ca="1">IFERROR(__xludf.DUMMYFUNCTION("""COMPUTED_VALUE"""),-0.38)</f>
        <v>-0.38</v>
      </c>
      <c r="H732">
        <f ca="1">IFERROR(__xludf.DUMMYFUNCTION("""COMPUTED_VALUE"""),7)</f>
        <v>7</v>
      </c>
      <c r="I732" t="str">
        <f ca="1">IFERROR(__xludf.DUMMYFUNCTION("""COMPUTED_VALUE"""),"")</f>
        <v/>
      </c>
    </row>
    <row r="733" spans="1:9" ht="12.75">
      <c r="A733">
        <f ca="1">IFERROR(__xludf.DUMMYFUNCTION("""COMPUTED_VALUE"""),732)</f>
        <v>732</v>
      </c>
      <c r="B733">
        <f ca="1">IFERROR(__xludf.DUMMYFUNCTION("""COMPUTED_VALUE"""),790)</f>
        <v>790</v>
      </c>
      <c r="C733" t="str">
        <f ca="1">IFERROR(__xludf.DUMMYFUNCTION("""COMPUTED_VALUE"""),"Oliver Bekker")</f>
        <v>Oliver Bekker</v>
      </c>
      <c r="D733">
        <f ca="1">IFERROR(__xludf.DUMMYFUNCTION("""COMPUTED_VALUE"""),52)</f>
        <v>52</v>
      </c>
      <c r="E733">
        <f ca="1">IFERROR(__xludf.DUMMYFUNCTION("""COMPUTED_VALUE"""),0.17)</f>
        <v>0.17</v>
      </c>
      <c r="F733">
        <f ca="1">IFERROR(__xludf.DUMMYFUNCTION("""COMPUTED_VALUE"""),8.59)</f>
        <v>8.59</v>
      </c>
      <c r="G733">
        <f ca="1">IFERROR(__xludf.DUMMYFUNCTION("""COMPUTED_VALUE"""),-8.36)</f>
        <v>-8.36</v>
      </c>
      <c r="H733">
        <f ca="1">IFERROR(__xludf.DUMMYFUNCTION("""COMPUTED_VALUE"""),3.41)</f>
        <v>3.41</v>
      </c>
      <c r="I733" t="str">
        <f ca="1">IFERROR(__xludf.DUMMYFUNCTION("""COMPUTED_VALUE"""),"")</f>
        <v/>
      </c>
    </row>
    <row r="734" spans="1:9" ht="12.75">
      <c r="A734">
        <f ca="1">IFERROR(__xludf.DUMMYFUNCTION("""COMPUTED_VALUE"""),733)</f>
        <v>733</v>
      </c>
      <c r="B734">
        <f ca="1">IFERROR(__xludf.DUMMYFUNCTION("""COMPUTED_VALUE"""),722)</f>
        <v>722</v>
      </c>
      <c r="C734" t="str">
        <f ca="1">IFERROR(__xludf.DUMMYFUNCTION("""COMPUTED_VALUE"""),"Julián Etulain")</f>
        <v>Julián Etulain</v>
      </c>
      <c r="D734">
        <f ca="1">IFERROR(__xludf.DUMMYFUNCTION("""COMPUTED_VALUE"""),52)</f>
        <v>52</v>
      </c>
      <c r="E734">
        <f ca="1">IFERROR(__xludf.DUMMYFUNCTION("""COMPUTED_VALUE"""),0.16)</f>
        <v>0.16</v>
      </c>
      <c r="F734">
        <f ca="1">IFERROR(__xludf.DUMMYFUNCTION("""COMPUTED_VALUE"""),8.58)</f>
        <v>8.58</v>
      </c>
      <c r="G734">
        <f ca="1">IFERROR(__xludf.DUMMYFUNCTION("""COMPUTED_VALUE"""),-8.96)</f>
        <v>-8.9600000000000009</v>
      </c>
      <c r="H734">
        <f ca="1">IFERROR(__xludf.DUMMYFUNCTION("""COMPUTED_VALUE"""),5.65)</f>
        <v>5.65</v>
      </c>
      <c r="I734" t="str">
        <f ca="1">IFERROR(__xludf.DUMMYFUNCTION("""COMPUTED_VALUE"""),"")</f>
        <v/>
      </c>
    </row>
    <row r="735" spans="1:9" ht="12.75">
      <c r="A735">
        <f ca="1">IFERROR(__xludf.DUMMYFUNCTION("""COMPUTED_VALUE"""),734)</f>
        <v>734</v>
      </c>
      <c r="B735">
        <f ca="1">IFERROR(__xludf.DUMMYFUNCTION("""COMPUTED_VALUE"""),710)</f>
        <v>710</v>
      </c>
      <c r="C735" t="str">
        <f ca="1">IFERROR(__xludf.DUMMYFUNCTION("""COMPUTED_VALUE"""),"Hyun-woo Ryu")</f>
        <v>Hyun-woo Ryu</v>
      </c>
      <c r="D735">
        <f ca="1">IFERROR(__xludf.DUMMYFUNCTION("""COMPUTED_VALUE"""),44)</f>
        <v>44</v>
      </c>
      <c r="E735">
        <f ca="1">IFERROR(__xludf.DUMMYFUNCTION("""COMPUTED_VALUE"""),0.16)</f>
        <v>0.16</v>
      </c>
      <c r="F735">
        <f ca="1">IFERROR(__xludf.DUMMYFUNCTION("""COMPUTED_VALUE"""),7.25)</f>
        <v>7.25</v>
      </c>
      <c r="G735">
        <f ca="1">IFERROR(__xludf.DUMMYFUNCTION("""COMPUTED_VALUE"""),-14.44)</f>
        <v>-14.44</v>
      </c>
      <c r="H735">
        <f ca="1">IFERROR(__xludf.DUMMYFUNCTION("""COMPUTED_VALUE"""),0)</f>
        <v>0</v>
      </c>
      <c r="I735" t="str">
        <f ca="1">IFERROR(__xludf.DUMMYFUNCTION("""COMPUTED_VALUE"""),"")</f>
        <v/>
      </c>
    </row>
    <row r="736" spans="1:9" ht="12.75">
      <c r="A736">
        <f ca="1">IFERROR(__xludf.DUMMYFUNCTION("""COMPUTED_VALUE"""),735)</f>
        <v>735</v>
      </c>
      <c r="B736">
        <f ca="1">IFERROR(__xludf.DUMMYFUNCTION("""COMPUTED_VALUE"""),721)</f>
        <v>721</v>
      </c>
      <c r="C736" t="str">
        <f ca="1">IFERROR(__xludf.DUMMYFUNCTION("""COMPUTED_VALUE"""),"Galam Jeon")</f>
        <v>Galam Jeon</v>
      </c>
      <c r="D736">
        <f ca="1">IFERROR(__xludf.DUMMYFUNCTION("""COMPUTED_VALUE"""),40)</f>
        <v>40</v>
      </c>
      <c r="E736">
        <f ca="1">IFERROR(__xludf.DUMMYFUNCTION("""COMPUTED_VALUE"""),0.16)</f>
        <v>0.16</v>
      </c>
      <c r="F736">
        <f ca="1">IFERROR(__xludf.DUMMYFUNCTION("""COMPUTED_VALUE"""),6.58)</f>
        <v>6.58</v>
      </c>
      <c r="G736">
        <f ca="1">IFERROR(__xludf.DUMMYFUNCTION("""COMPUTED_VALUE"""),-7.04)</f>
        <v>-7.04</v>
      </c>
      <c r="H736">
        <f ca="1">IFERROR(__xludf.DUMMYFUNCTION("""COMPUTED_VALUE"""),1.29)</f>
        <v>1.29</v>
      </c>
      <c r="I736" t="str">
        <f ca="1">IFERROR(__xludf.DUMMYFUNCTION("""COMPUTED_VALUE"""),"")</f>
        <v/>
      </c>
    </row>
    <row r="737" spans="1:9" ht="12.75">
      <c r="A737">
        <f ca="1">IFERROR(__xludf.DUMMYFUNCTION("""COMPUTED_VALUE"""),736)</f>
        <v>736</v>
      </c>
      <c r="B737">
        <f ca="1">IFERROR(__xludf.DUMMYFUNCTION("""COMPUTED_VALUE"""),733)</f>
        <v>733</v>
      </c>
      <c r="C737" t="str">
        <f ca="1">IFERROR(__xludf.DUMMYFUNCTION("""COMPUTED_VALUE"""),"Jeong Weon Ko")</f>
        <v>Jeong Weon Ko</v>
      </c>
      <c r="D737">
        <f ca="1">IFERROR(__xludf.DUMMYFUNCTION("""COMPUTED_VALUE"""),40)</f>
        <v>40</v>
      </c>
      <c r="E737">
        <f ca="1">IFERROR(__xludf.DUMMYFUNCTION("""COMPUTED_VALUE"""),0.16)</f>
        <v>0.16</v>
      </c>
      <c r="F737">
        <f ca="1">IFERROR(__xludf.DUMMYFUNCTION("""COMPUTED_VALUE"""),6.56)</f>
        <v>6.56</v>
      </c>
      <c r="G737">
        <f ca="1">IFERROR(__xludf.DUMMYFUNCTION("""COMPUTED_VALUE"""),-0.67)</f>
        <v>-0.67</v>
      </c>
      <c r="H737">
        <f ca="1">IFERROR(__xludf.DUMMYFUNCTION("""COMPUTED_VALUE"""),6.13)</f>
        <v>6.13</v>
      </c>
      <c r="I737" t="str">
        <f ca="1">IFERROR(__xludf.DUMMYFUNCTION("""COMPUTED_VALUE"""),"")</f>
        <v/>
      </c>
    </row>
    <row r="738" spans="1:9" ht="12.75">
      <c r="A738">
        <f ca="1">IFERROR(__xludf.DUMMYFUNCTION("""COMPUTED_VALUE"""),737)</f>
        <v>737</v>
      </c>
      <c r="B738">
        <f ca="1">IFERROR(__xludf.DUMMYFUNCTION("""COMPUTED_VALUE"""),731)</f>
        <v>731</v>
      </c>
      <c r="C738" t="str">
        <f ca="1">IFERROR(__xludf.DUMMYFUNCTION("""COMPUTED_VALUE"""),"Hayden Shieh")</f>
        <v>Hayden Shieh</v>
      </c>
      <c r="D738">
        <f ca="1">IFERROR(__xludf.DUMMYFUNCTION("""COMPUTED_VALUE"""),40)</f>
        <v>40</v>
      </c>
      <c r="E738">
        <f ca="1">IFERROR(__xludf.DUMMYFUNCTION("""COMPUTED_VALUE"""),0.16)</f>
        <v>0.16</v>
      </c>
      <c r="F738">
        <f ca="1">IFERROR(__xludf.DUMMYFUNCTION("""COMPUTED_VALUE"""),6.54)</f>
        <v>6.54</v>
      </c>
      <c r="G738">
        <f ca="1">IFERROR(__xludf.DUMMYFUNCTION("""COMPUTED_VALUE"""),-1.17)</f>
        <v>-1.17</v>
      </c>
      <c r="H738">
        <f ca="1">IFERROR(__xludf.DUMMYFUNCTION("""COMPUTED_VALUE"""),4.8)</f>
        <v>4.8</v>
      </c>
      <c r="I738" t="str">
        <f ca="1">IFERROR(__xludf.DUMMYFUNCTION("""COMPUTED_VALUE"""),"")</f>
        <v/>
      </c>
    </row>
    <row r="739" spans="1:9" ht="12.75">
      <c r="A739">
        <f ca="1">IFERROR(__xludf.DUMMYFUNCTION("""COMPUTED_VALUE"""),738)</f>
        <v>738</v>
      </c>
      <c r="B739">
        <f ca="1">IFERROR(__xludf.DUMMYFUNCTION("""COMPUTED_VALUE"""),735)</f>
        <v>735</v>
      </c>
      <c r="C739" t="str">
        <f ca="1">IFERROR(__xludf.DUMMYFUNCTION("""COMPUTED_VALUE"""),"Choi Min-Chel")</f>
        <v>Choi Min-Chel</v>
      </c>
      <c r="D739">
        <f ca="1">IFERROR(__xludf.DUMMYFUNCTION("""COMPUTED_VALUE"""),42)</f>
        <v>42</v>
      </c>
      <c r="E739">
        <f ca="1">IFERROR(__xludf.DUMMYFUNCTION("""COMPUTED_VALUE"""),0.16)</f>
        <v>0.16</v>
      </c>
      <c r="F739">
        <f ca="1">IFERROR(__xludf.DUMMYFUNCTION("""COMPUTED_VALUE"""),6.83)</f>
        <v>6.83</v>
      </c>
      <c r="G739">
        <f ca="1">IFERROR(__xludf.DUMMYFUNCTION("""COMPUTED_VALUE"""),-3.63)</f>
        <v>-3.63</v>
      </c>
      <c r="H739">
        <f ca="1">IFERROR(__xludf.DUMMYFUNCTION("""COMPUTED_VALUE"""),7.21)</f>
        <v>7.21</v>
      </c>
      <c r="I739" t="str">
        <f ca="1">IFERROR(__xludf.DUMMYFUNCTION("""COMPUTED_VALUE"""),"")</f>
        <v/>
      </c>
    </row>
    <row r="740" spans="1:9" ht="12.75">
      <c r="A740">
        <f ca="1">IFERROR(__xludf.DUMMYFUNCTION("""COMPUTED_VALUE"""),739)</f>
        <v>739</v>
      </c>
      <c r="B740">
        <f ca="1">IFERROR(__xludf.DUMMYFUNCTION("""COMPUTED_VALUE"""),736)</f>
        <v>736</v>
      </c>
      <c r="C740" t="str">
        <f ca="1">IFERROR(__xludf.DUMMYFUNCTION("""COMPUTED_VALUE"""),"Ulrich Van den Berg")</f>
        <v>Ulrich Van den Berg</v>
      </c>
      <c r="D740">
        <f ca="1">IFERROR(__xludf.DUMMYFUNCTION("""COMPUTED_VALUE"""),40)</f>
        <v>40</v>
      </c>
      <c r="E740">
        <f ca="1">IFERROR(__xludf.DUMMYFUNCTION("""COMPUTED_VALUE"""),0.16)</f>
        <v>0.16</v>
      </c>
      <c r="F740">
        <f ca="1">IFERROR(__xludf.DUMMYFUNCTION("""COMPUTED_VALUE"""),6.51)</f>
        <v>6.51</v>
      </c>
      <c r="G740">
        <f ca="1">IFERROR(__xludf.DUMMYFUNCTION("""COMPUTED_VALUE"""),-1.13)</f>
        <v>-1.1299999999999999</v>
      </c>
      <c r="H740">
        <f ca="1">IFERROR(__xludf.DUMMYFUNCTION("""COMPUTED_VALUE"""),6.77)</f>
        <v>6.77</v>
      </c>
      <c r="I740" t="str">
        <f ca="1">IFERROR(__xludf.DUMMYFUNCTION("""COMPUTED_VALUE"""),"")</f>
        <v/>
      </c>
    </row>
    <row r="741" spans="1:9" ht="12.75">
      <c r="A741">
        <f ca="1">IFERROR(__xludf.DUMMYFUNCTION("""COMPUTED_VALUE"""),739)</f>
        <v>739</v>
      </c>
      <c r="B741">
        <f ca="1">IFERROR(__xludf.DUMMYFUNCTION("""COMPUTED_VALUE"""),727)</f>
        <v>727</v>
      </c>
      <c r="C741" t="str">
        <f ca="1">IFERROR(__xludf.DUMMYFUNCTION("""COMPUTED_VALUE"""),"Haraldur Magnus")</f>
        <v>Haraldur Magnus</v>
      </c>
      <c r="D741">
        <f ca="1">IFERROR(__xludf.DUMMYFUNCTION("""COMPUTED_VALUE"""),40)</f>
        <v>40</v>
      </c>
      <c r="E741">
        <f ca="1">IFERROR(__xludf.DUMMYFUNCTION("""COMPUTED_VALUE"""),0.16)</f>
        <v>0.16</v>
      </c>
      <c r="F741">
        <f ca="1">IFERROR(__xludf.DUMMYFUNCTION("""COMPUTED_VALUE"""),6.5)</f>
        <v>6.5</v>
      </c>
      <c r="G741">
        <f ca="1">IFERROR(__xludf.DUMMYFUNCTION("""COMPUTED_VALUE"""),-4.15)</f>
        <v>-4.1500000000000004</v>
      </c>
      <c r="H741">
        <f ca="1">IFERROR(__xludf.DUMMYFUNCTION("""COMPUTED_VALUE"""),0)</f>
        <v>0</v>
      </c>
      <c r="I741" t="str">
        <f ca="1">IFERROR(__xludf.DUMMYFUNCTION("""COMPUTED_VALUE"""),"")</f>
        <v/>
      </c>
    </row>
    <row r="742" spans="1:9" ht="12.75">
      <c r="A742">
        <f ca="1">IFERROR(__xludf.DUMMYFUNCTION("""COMPUTED_VALUE"""),741)</f>
        <v>741</v>
      </c>
      <c r="B742">
        <f ca="1">IFERROR(__xludf.DUMMYFUNCTION("""COMPUTED_VALUE"""),734)</f>
        <v>734</v>
      </c>
      <c r="C742" t="str">
        <f ca="1">IFERROR(__xludf.DUMMYFUNCTION("""COMPUTED_VALUE"""),"Harry Ellis")</f>
        <v>Harry Ellis</v>
      </c>
      <c r="D742">
        <f ca="1">IFERROR(__xludf.DUMMYFUNCTION("""COMPUTED_VALUE"""),40)</f>
        <v>40</v>
      </c>
      <c r="E742">
        <f ca="1">IFERROR(__xludf.DUMMYFUNCTION("""COMPUTED_VALUE"""),0.16)</f>
        <v>0.16</v>
      </c>
      <c r="F742">
        <f ca="1">IFERROR(__xludf.DUMMYFUNCTION("""COMPUTED_VALUE"""),6.48)</f>
        <v>6.48</v>
      </c>
      <c r="G742">
        <f ca="1">IFERROR(__xludf.DUMMYFUNCTION("""COMPUTED_VALUE"""),-1.6)</f>
        <v>-1.6</v>
      </c>
      <c r="H742">
        <f ca="1">IFERROR(__xludf.DUMMYFUNCTION("""COMPUTED_VALUE"""),4.88)</f>
        <v>4.88</v>
      </c>
      <c r="I742" t="str">
        <f ca="1">IFERROR(__xludf.DUMMYFUNCTION("""COMPUTED_VALUE"""),"")</f>
        <v/>
      </c>
    </row>
    <row r="743" spans="1:9" ht="12.75">
      <c r="A743">
        <f ca="1">IFERROR(__xludf.DUMMYFUNCTION("""COMPUTED_VALUE"""),742)</f>
        <v>742</v>
      </c>
      <c r="B743">
        <f ca="1">IFERROR(__xludf.DUMMYFUNCTION("""COMPUTED_VALUE"""),726)</f>
        <v>726</v>
      </c>
      <c r="C743" t="str">
        <f ca="1">IFERROR(__xludf.DUMMYFUNCTION("""COMPUTED_VALUE"""),"Robert Karlsson")</f>
        <v>Robert Karlsson</v>
      </c>
      <c r="D743">
        <f ca="1">IFERROR(__xludf.DUMMYFUNCTION("""COMPUTED_VALUE"""),40)</f>
        <v>40</v>
      </c>
      <c r="E743">
        <f ca="1">IFERROR(__xludf.DUMMYFUNCTION("""COMPUTED_VALUE"""),0.16)</f>
        <v>0.16</v>
      </c>
      <c r="F743">
        <f ca="1">IFERROR(__xludf.DUMMYFUNCTION("""COMPUTED_VALUE"""),6.47)</f>
        <v>6.47</v>
      </c>
      <c r="G743">
        <f ca="1">IFERROR(__xludf.DUMMYFUNCTION("""COMPUTED_VALUE"""),-6.42)</f>
        <v>-6.42</v>
      </c>
      <c r="H743">
        <f ca="1">IFERROR(__xludf.DUMMYFUNCTION("""COMPUTED_VALUE"""),1.34)</f>
        <v>1.34</v>
      </c>
      <c r="I743" t="str">
        <f ca="1">IFERROR(__xludf.DUMMYFUNCTION("""COMPUTED_VALUE"""),"")</f>
        <v/>
      </c>
    </row>
    <row r="744" spans="1:9" ht="12.75">
      <c r="A744">
        <f ca="1">IFERROR(__xludf.DUMMYFUNCTION("""COMPUTED_VALUE"""),742)</f>
        <v>742</v>
      </c>
      <c r="B744">
        <f ca="1">IFERROR(__xludf.DUMMYFUNCTION("""COMPUTED_VALUE"""),825)</f>
        <v>825</v>
      </c>
      <c r="C744" t="str">
        <f ca="1">IFERROR(__xludf.DUMMYFUNCTION("""COMPUTED_VALUE"""),"Anthony Michael")</f>
        <v>Anthony Michael</v>
      </c>
      <c r="D744">
        <f ca="1">IFERROR(__xludf.DUMMYFUNCTION("""COMPUTED_VALUE"""),40)</f>
        <v>40</v>
      </c>
      <c r="E744">
        <f ca="1">IFERROR(__xludf.DUMMYFUNCTION("""COMPUTED_VALUE"""),0.16)</f>
        <v>0.16</v>
      </c>
      <c r="F744">
        <f ca="1">IFERROR(__xludf.DUMMYFUNCTION("""COMPUTED_VALUE"""),6.48)</f>
        <v>6.48</v>
      </c>
      <c r="G744">
        <f ca="1">IFERROR(__xludf.DUMMYFUNCTION("""COMPUTED_VALUE"""),-6.25)</f>
        <v>-6.25</v>
      </c>
      <c r="H744">
        <f ca="1">IFERROR(__xludf.DUMMYFUNCTION("""COMPUTED_VALUE"""),1.31)</f>
        <v>1.31</v>
      </c>
      <c r="I744" t="str">
        <f ca="1">IFERROR(__xludf.DUMMYFUNCTION("""COMPUTED_VALUE"""),"")</f>
        <v/>
      </c>
    </row>
    <row r="745" spans="1:9" ht="12.75">
      <c r="A745">
        <f ca="1">IFERROR(__xludf.DUMMYFUNCTION("""COMPUTED_VALUE"""),744)</f>
        <v>744</v>
      </c>
      <c r="B745">
        <f ca="1">IFERROR(__xludf.DUMMYFUNCTION("""COMPUTED_VALUE"""),730)</f>
        <v>730</v>
      </c>
      <c r="C745" t="str">
        <f ca="1">IFERROR(__xludf.DUMMYFUNCTION("""COMPUTED_VALUE"""),"Mukesh Kumar")</f>
        <v>Mukesh Kumar</v>
      </c>
      <c r="D745">
        <f ca="1">IFERROR(__xludf.DUMMYFUNCTION("""COMPUTED_VALUE"""),40)</f>
        <v>40</v>
      </c>
      <c r="E745">
        <f ca="1">IFERROR(__xludf.DUMMYFUNCTION("""COMPUTED_VALUE"""),0.16)</f>
        <v>0.16</v>
      </c>
      <c r="F745">
        <f ca="1">IFERROR(__xludf.DUMMYFUNCTION("""COMPUTED_VALUE"""),6.46)</f>
        <v>6.46</v>
      </c>
      <c r="G745">
        <f ca="1">IFERROR(__xludf.DUMMYFUNCTION("""COMPUTED_VALUE"""),-4.53)</f>
        <v>-4.53</v>
      </c>
      <c r="H745">
        <f ca="1">IFERROR(__xludf.DUMMYFUNCTION("""COMPUTED_VALUE"""),1.6)</f>
        <v>1.6</v>
      </c>
      <c r="I745" t="str">
        <f ca="1">IFERROR(__xludf.DUMMYFUNCTION("""COMPUTED_VALUE"""),"")</f>
        <v/>
      </c>
    </row>
    <row r="746" spans="1:9" ht="12.75">
      <c r="A746">
        <f ca="1">IFERROR(__xludf.DUMMYFUNCTION("""COMPUTED_VALUE"""),745)</f>
        <v>745</v>
      </c>
      <c r="B746">
        <f ca="1">IFERROR(__xludf.DUMMYFUNCTION("""COMPUTED_VALUE"""),731)</f>
        <v>731</v>
      </c>
      <c r="C746" t="str">
        <f ca="1">IFERROR(__xludf.DUMMYFUNCTION("""COMPUTED_VALUE"""),"Trevor Sluman")</f>
        <v>Trevor Sluman</v>
      </c>
      <c r="D746">
        <f ca="1">IFERROR(__xludf.DUMMYFUNCTION("""COMPUTED_VALUE"""),40)</f>
        <v>40</v>
      </c>
      <c r="E746">
        <f ca="1">IFERROR(__xludf.DUMMYFUNCTION("""COMPUTED_VALUE"""),0.16)</f>
        <v>0.16</v>
      </c>
      <c r="F746">
        <f ca="1">IFERROR(__xludf.DUMMYFUNCTION("""COMPUTED_VALUE"""),6.41)</f>
        <v>6.41</v>
      </c>
      <c r="G746">
        <f ca="1">IFERROR(__xludf.DUMMYFUNCTION("""COMPUTED_VALUE"""),-7.03)</f>
        <v>-7.03</v>
      </c>
      <c r="H746">
        <f ca="1">IFERROR(__xludf.DUMMYFUNCTION("""COMPUTED_VALUE"""),0)</f>
        <v>0</v>
      </c>
      <c r="I746" t="str">
        <f ca="1">IFERROR(__xludf.DUMMYFUNCTION("""COMPUTED_VALUE"""),"")</f>
        <v/>
      </c>
    </row>
    <row r="747" spans="1:9" ht="12.75">
      <c r="A747">
        <f ca="1">IFERROR(__xludf.DUMMYFUNCTION("""COMPUTED_VALUE"""),746)</f>
        <v>746</v>
      </c>
      <c r="B747">
        <f ca="1">IFERROR(__xludf.DUMMYFUNCTION("""COMPUTED_VALUE"""),746)</f>
        <v>746</v>
      </c>
      <c r="C747" t="str">
        <f ca="1">IFERROR(__xludf.DUMMYFUNCTION("""COMPUTED_VALUE"""),"Lucas Vacarisas")</f>
        <v>Lucas Vacarisas</v>
      </c>
      <c r="D747">
        <f ca="1">IFERROR(__xludf.DUMMYFUNCTION("""COMPUTED_VALUE"""),40)</f>
        <v>40</v>
      </c>
      <c r="E747">
        <f ca="1">IFERROR(__xludf.DUMMYFUNCTION("""COMPUTED_VALUE"""),0.16)</f>
        <v>0.16</v>
      </c>
      <c r="F747">
        <f ca="1">IFERROR(__xludf.DUMMYFUNCTION("""COMPUTED_VALUE"""),6.4)</f>
        <v>6.4</v>
      </c>
      <c r="G747" t="str">
        <f ca="1">IFERROR(__xludf.DUMMYFUNCTION("""COMPUTED_VALUE"""),"")</f>
        <v/>
      </c>
      <c r="H747">
        <f ca="1">IFERROR(__xludf.DUMMYFUNCTION("""COMPUTED_VALUE"""),6.4)</f>
        <v>6.4</v>
      </c>
      <c r="I747" t="str">
        <f ca="1">IFERROR(__xludf.DUMMYFUNCTION("""COMPUTED_VALUE"""),"")</f>
        <v/>
      </c>
    </row>
    <row r="748" spans="1:9" ht="12.75">
      <c r="A748">
        <f ca="1">IFERROR(__xludf.DUMMYFUNCTION("""COMPUTED_VALUE"""),747)</f>
        <v>747</v>
      </c>
      <c r="B748">
        <f ca="1">IFERROR(__xludf.DUMMYFUNCTION("""COMPUTED_VALUE"""),738)</f>
        <v>738</v>
      </c>
      <c r="C748" t="str">
        <f ca="1">IFERROR(__xludf.DUMMYFUNCTION("""COMPUTED_VALUE"""),"Hennie Otto")</f>
        <v>Hennie Otto</v>
      </c>
      <c r="D748">
        <f ca="1">IFERROR(__xludf.DUMMYFUNCTION("""COMPUTED_VALUE"""),42)</f>
        <v>42</v>
      </c>
      <c r="E748">
        <f ca="1">IFERROR(__xludf.DUMMYFUNCTION("""COMPUTED_VALUE"""),0.16)</f>
        <v>0.16</v>
      </c>
      <c r="F748">
        <f ca="1">IFERROR(__xludf.DUMMYFUNCTION("""COMPUTED_VALUE"""),6.69)</f>
        <v>6.69</v>
      </c>
      <c r="G748">
        <f ca="1">IFERROR(__xludf.DUMMYFUNCTION("""COMPUTED_VALUE"""),-4.55)</f>
        <v>-4.55</v>
      </c>
      <c r="H748">
        <f ca="1">IFERROR(__xludf.DUMMYFUNCTION("""COMPUTED_VALUE"""),1.21)</f>
        <v>1.21</v>
      </c>
      <c r="I748" t="str">
        <f ca="1">IFERROR(__xludf.DUMMYFUNCTION("""COMPUTED_VALUE"""),"")</f>
        <v/>
      </c>
    </row>
    <row r="749" spans="1:9" ht="12.75">
      <c r="A749">
        <f ca="1">IFERROR(__xludf.DUMMYFUNCTION("""COMPUTED_VALUE"""),747)</f>
        <v>747</v>
      </c>
      <c r="B749">
        <f ca="1">IFERROR(__xludf.DUMMYFUNCTION("""COMPUTED_VALUE"""),739)</f>
        <v>739</v>
      </c>
      <c r="C749" t="str">
        <f ca="1">IFERROR(__xludf.DUMMYFUNCTION("""COMPUTED_VALUE"""),"Kieran Muir")</f>
        <v>Kieran Muir</v>
      </c>
      <c r="D749">
        <f ca="1">IFERROR(__xludf.DUMMYFUNCTION("""COMPUTED_VALUE"""),40)</f>
        <v>40</v>
      </c>
      <c r="E749">
        <f ca="1">IFERROR(__xludf.DUMMYFUNCTION("""COMPUTED_VALUE"""),0.16)</f>
        <v>0.16</v>
      </c>
      <c r="F749">
        <f ca="1">IFERROR(__xludf.DUMMYFUNCTION("""COMPUTED_VALUE"""),6.37)</f>
        <v>6.37</v>
      </c>
      <c r="G749">
        <f ca="1">IFERROR(__xludf.DUMMYFUNCTION("""COMPUTED_VALUE"""),-3.43)</f>
        <v>-3.43</v>
      </c>
      <c r="H749">
        <f ca="1">IFERROR(__xludf.DUMMYFUNCTION("""COMPUTED_VALUE"""),2.18)</f>
        <v>2.1800000000000002</v>
      </c>
      <c r="I749" t="str">
        <f ca="1">IFERROR(__xludf.DUMMYFUNCTION("""COMPUTED_VALUE"""),"")</f>
        <v/>
      </c>
    </row>
    <row r="750" spans="1:9" ht="12.75">
      <c r="A750">
        <f ca="1">IFERROR(__xludf.DUMMYFUNCTION("""COMPUTED_VALUE"""),749)</f>
        <v>749</v>
      </c>
      <c r="B750">
        <f ca="1">IFERROR(__xludf.DUMMYFUNCTION("""COMPUTED_VALUE"""),737)</f>
        <v>737</v>
      </c>
      <c r="C750" t="str">
        <f ca="1">IFERROR(__xludf.DUMMYFUNCTION("""COMPUTED_VALUE"""),"Ryutaro Nagano")</f>
        <v>Ryutaro Nagano</v>
      </c>
      <c r="D750">
        <f ca="1">IFERROR(__xludf.DUMMYFUNCTION("""COMPUTED_VALUE"""),40)</f>
        <v>40</v>
      </c>
      <c r="E750">
        <f ca="1">IFERROR(__xludf.DUMMYFUNCTION("""COMPUTED_VALUE"""),0.16)</f>
        <v>0.16</v>
      </c>
      <c r="F750">
        <f ca="1">IFERROR(__xludf.DUMMYFUNCTION("""COMPUTED_VALUE"""),6.37)</f>
        <v>6.37</v>
      </c>
      <c r="G750">
        <f ca="1">IFERROR(__xludf.DUMMYFUNCTION("""COMPUTED_VALUE"""),-5.1)</f>
        <v>-5.0999999999999996</v>
      </c>
      <c r="H750">
        <f ca="1">IFERROR(__xludf.DUMMYFUNCTION("""COMPUTED_VALUE"""),0)</f>
        <v>0</v>
      </c>
      <c r="I750" t="str">
        <f ca="1">IFERROR(__xludf.DUMMYFUNCTION("""COMPUTED_VALUE"""),"")</f>
        <v/>
      </c>
    </row>
    <row r="751" spans="1:9" ht="12.75">
      <c r="A751">
        <f ca="1">IFERROR(__xludf.DUMMYFUNCTION("""COMPUTED_VALUE"""),750)</f>
        <v>750</v>
      </c>
      <c r="B751">
        <f ca="1">IFERROR(__xludf.DUMMYFUNCTION("""COMPUTED_VALUE"""),741)</f>
        <v>741</v>
      </c>
      <c r="C751" t="str">
        <f ca="1">IFERROR(__xludf.DUMMYFUNCTION("""COMPUTED_VALUE"""),"Brett Rankin")</f>
        <v>Brett Rankin</v>
      </c>
      <c r="D751">
        <f ca="1">IFERROR(__xludf.DUMMYFUNCTION("""COMPUTED_VALUE"""),40)</f>
        <v>40</v>
      </c>
      <c r="E751">
        <f ca="1">IFERROR(__xludf.DUMMYFUNCTION("""COMPUTED_VALUE"""),0.16)</f>
        <v>0.16</v>
      </c>
      <c r="F751">
        <f ca="1">IFERROR(__xludf.DUMMYFUNCTION("""COMPUTED_VALUE"""),6.34)</f>
        <v>6.34</v>
      </c>
      <c r="G751">
        <f ca="1">IFERROR(__xludf.DUMMYFUNCTION("""COMPUTED_VALUE"""),-3.64)</f>
        <v>-3.64</v>
      </c>
      <c r="H751">
        <f ca="1">IFERROR(__xludf.DUMMYFUNCTION("""COMPUTED_VALUE"""),0)</f>
        <v>0</v>
      </c>
      <c r="I751" t="str">
        <f ca="1">IFERROR(__xludf.DUMMYFUNCTION("""COMPUTED_VALUE"""),"")</f>
        <v/>
      </c>
    </row>
    <row r="752" spans="1:9" ht="12.75">
      <c r="A752">
        <f ca="1">IFERROR(__xludf.DUMMYFUNCTION("""COMPUTED_VALUE"""),751)</f>
        <v>751</v>
      </c>
      <c r="B752">
        <f ca="1">IFERROR(__xludf.DUMMYFUNCTION("""COMPUTED_VALUE"""),741)</f>
        <v>741</v>
      </c>
      <c r="C752" t="str">
        <f ca="1">IFERROR(__xludf.DUMMYFUNCTION("""COMPUTED_VALUE"""),"Patrick Flavin")</f>
        <v>Patrick Flavin</v>
      </c>
      <c r="D752">
        <f ca="1">IFERROR(__xludf.DUMMYFUNCTION("""COMPUTED_VALUE"""),40)</f>
        <v>40</v>
      </c>
      <c r="E752">
        <f ca="1">IFERROR(__xludf.DUMMYFUNCTION("""COMPUTED_VALUE"""),0.16)</f>
        <v>0.16</v>
      </c>
      <c r="F752">
        <f ca="1">IFERROR(__xludf.DUMMYFUNCTION("""COMPUTED_VALUE"""),6.34)</f>
        <v>6.34</v>
      </c>
      <c r="G752">
        <f ca="1">IFERROR(__xludf.DUMMYFUNCTION("""COMPUTED_VALUE"""),-3.85)</f>
        <v>-3.85</v>
      </c>
      <c r="H752">
        <f ca="1">IFERROR(__xludf.DUMMYFUNCTION("""COMPUTED_VALUE"""),0)</f>
        <v>0</v>
      </c>
      <c r="I752" t="str">
        <f ca="1">IFERROR(__xludf.DUMMYFUNCTION("""COMPUTED_VALUE"""),"")</f>
        <v/>
      </c>
    </row>
    <row r="753" spans="1:9" ht="12.75">
      <c r="A753">
        <f ca="1">IFERROR(__xludf.DUMMYFUNCTION("""COMPUTED_VALUE"""),752)</f>
        <v>752</v>
      </c>
      <c r="B753">
        <f ca="1">IFERROR(__xludf.DUMMYFUNCTION("""COMPUTED_VALUE"""),740)</f>
        <v>740</v>
      </c>
      <c r="C753" t="str">
        <f ca="1">IFERROR(__xludf.DUMMYFUNCTION("""COMPUTED_VALUE"""),"Thongchai Jaidee")</f>
        <v>Thongchai Jaidee</v>
      </c>
      <c r="D753">
        <f ca="1">IFERROR(__xludf.DUMMYFUNCTION("""COMPUTED_VALUE"""),40)</f>
        <v>40</v>
      </c>
      <c r="E753">
        <f ca="1">IFERROR(__xludf.DUMMYFUNCTION("""COMPUTED_VALUE"""),0.16)</f>
        <v>0.16</v>
      </c>
      <c r="F753">
        <f ca="1">IFERROR(__xludf.DUMMYFUNCTION("""COMPUTED_VALUE"""),6.33)</f>
        <v>6.33</v>
      </c>
      <c r="G753">
        <f ca="1">IFERROR(__xludf.DUMMYFUNCTION("""COMPUTED_VALUE"""),-7.48)</f>
        <v>-7.48</v>
      </c>
      <c r="H753">
        <f ca="1">IFERROR(__xludf.DUMMYFUNCTION("""COMPUTED_VALUE"""),2.2)</f>
        <v>2.2000000000000002</v>
      </c>
      <c r="I753" t="str">
        <f ca="1">IFERROR(__xludf.DUMMYFUNCTION("""COMPUTED_VALUE"""),"")</f>
        <v/>
      </c>
    </row>
    <row r="754" spans="1:9" ht="12.75">
      <c r="A754">
        <f ca="1">IFERROR(__xludf.DUMMYFUNCTION("""COMPUTED_VALUE"""),753)</f>
        <v>753</v>
      </c>
      <c r="B754">
        <f ca="1">IFERROR(__xludf.DUMMYFUNCTION("""COMPUTED_VALUE"""),744)</f>
        <v>744</v>
      </c>
      <c r="C754" t="str">
        <f ca="1">IFERROR(__xludf.DUMMYFUNCTION("""COMPUTED_VALUE"""),"Cyril Bouniol")</f>
        <v>Cyril Bouniol</v>
      </c>
      <c r="D754">
        <f ca="1">IFERROR(__xludf.DUMMYFUNCTION("""COMPUTED_VALUE"""),40)</f>
        <v>40</v>
      </c>
      <c r="E754">
        <f ca="1">IFERROR(__xludf.DUMMYFUNCTION("""COMPUTED_VALUE"""),0.16)</f>
        <v>0.16</v>
      </c>
      <c r="F754">
        <f ca="1">IFERROR(__xludf.DUMMYFUNCTION("""COMPUTED_VALUE"""),6.3)</f>
        <v>6.3</v>
      </c>
      <c r="G754">
        <f ca="1">IFERROR(__xludf.DUMMYFUNCTION("""COMPUTED_VALUE"""),-4.28)</f>
        <v>-4.28</v>
      </c>
      <c r="H754">
        <f ca="1">IFERROR(__xludf.DUMMYFUNCTION("""COMPUTED_VALUE"""),0)</f>
        <v>0</v>
      </c>
      <c r="I754" t="str">
        <f ca="1">IFERROR(__xludf.DUMMYFUNCTION("""COMPUTED_VALUE"""),"")</f>
        <v/>
      </c>
    </row>
    <row r="755" spans="1:9" ht="12.75">
      <c r="A755">
        <f ca="1">IFERROR(__xludf.DUMMYFUNCTION("""COMPUTED_VALUE"""),754)</f>
        <v>754</v>
      </c>
      <c r="B755">
        <f ca="1">IFERROR(__xludf.DUMMYFUNCTION("""COMPUTED_VALUE"""),753)</f>
        <v>753</v>
      </c>
      <c r="C755" t="str">
        <f ca="1">IFERROR(__xludf.DUMMYFUNCTION("""COMPUTED_VALUE"""),"Ben Taylor")</f>
        <v>Ben Taylor</v>
      </c>
      <c r="D755">
        <f ca="1">IFERROR(__xludf.DUMMYFUNCTION("""COMPUTED_VALUE"""),50)</f>
        <v>50</v>
      </c>
      <c r="E755">
        <f ca="1">IFERROR(__xludf.DUMMYFUNCTION("""COMPUTED_VALUE"""),0.16)</f>
        <v>0.16</v>
      </c>
      <c r="F755">
        <f ca="1">IFERROR(__xludf.DUMMYFUNCTION("""COMPUTED_VALUE"""),7.84)</f>
        <v>7.84</v>
      </c>
      <c r="G755">
        <f ca="1">IFERROR(__xludf.DUMMYFUNCTION("""COMPUTED_VALUE"""),-6.99)</f>
        <v>-6.99</v>
      </c>
      <c r="H755">
        <f ca="1">IFERROR(__xludf.DUMMYFUNCTION("""COMPUTED_VALUE"""),0)</f>
        <v>0</v>
      </c>
      <c r="I755" t="str">
        <f ca="1">IFERROR(__xludf.DUMMYFUNCTION("""COMPUTED_VALUE"""),"")</f>
        <v/>
      </c>
    </row>
    <row r="756" spans="1:9" ht="12.75">
      <c r="A756">
        <f ca="1">IFERROR(__xludf.DUMMYFUNCTION("""COMPUTED_VALUE"""),755)</f>
        <v>755</v>
      </c>
      <c r="B756">
        <f ca="1">IFERROR(__xludf.DUMMYFUNCTION("""COMPUTED_VALUE"""),743)</f>
        <v>743</v>
      </c>
      <c r="C756" t="str">
        <f ca="1">IFERROR(__xludf.DUMMYFUNCTION("""COMPUTED_VALUE"""),"Steve Lewton")</f>
        <v>Steve Lewton</v>
      </c>
      <c r="D756">
        <f ca="1">IFERROR(__xludf.DUMMYFUNCTION("""COMPUTED_VALUE"""),46)</f>
        <v>46</v>
      </c>
      <c r="E756">
        <f ca="1">IFERROR(__xludf.DUMMYFUNCTION("""COMPUTED_VALUE"""),0.16)</f>
        <v>0.16</v>
      </c>
      <c r="F756">
        <f ca="1">IFERROR(__xludf.DUMMYFUNCTION("""COMPUTED_VALUE"""),7.19)</f>
        <v>7.19</v>
      </c>
      <c r="G756">
        <f ca="1">IFERROR(__xludf.DUMMYFUNCTION("""COMPUTED_VALUE"""),-7.56)</f>
        <v>-7.56</v>
      </c>
      <c r="H756">
        <f ca="1">IFERROR(__xludf.DUMMYFUNCTION("""COMPUTED_VALUE"""),0)</f>
        <v>0</v>
      </c>
      <c r="I756" t="str">
        <f ca="1">IFERROR(__xludf.DUMMYFUNCTION("""COMPUTED_VALUE"""),"")</f>
        <v/>
      </c>
    </row>
    <row r="757" spans="1:9" ht="12.75">
      <c r="A757">
        <f ca="1">IFERROR(__xludf.DUMMYFUNCTION("""COMPUTED_VALUE"""),756)</f>
        <v>756</v>
      </c>
      <c r="B757">
        <f ca="1">IFERROR(__xludf.DUMMYFUNCTION("""COMPUTED_VALUE"""),749)</f>
        <v>749</v>
      </c>
      <c r="C757" t="str">
        <f ca="1">IFERROR(__xludf.DUMMYFUNCTION("""COMPUTED_VALUE"""),"James Marchesani")</f>
        <v>James Marchesani</v>
      </c>
      <c r="D757">
        <f ca="1">IFERROR(__xludf.DUMMYFUNCTION("""COMPUTED_VALUE"""),40)</f>
        <v>40</v>
      </c>
      <c r="E757">
        <f ca="1">IFERROR(__xludf.DUMMYFUNCTION("""COMPUTED_VALUE"""),0.16)</f>
        <v>0.16</v>
      </c>
      <c r="F757">
        <f ca="1">IFERROR(__xludf.DUMMYFUNCTION("""COMPUTED_VALUE"""),6.24)</f>
        <v>6.24</v>
      </c>
      <c r="G757">
        <f ca="1">IFERROR(__xludf.DUMMYFUNCTION("""COMPUTED_VALUE"""),-3.93)</f>
        <v>-3.93</v>
      </c>
      <c r="H757">
        <f ca="1">IFERROR(__xludf.DUMMYFUNCTION("""COMPUTED_VALUE"""),0)</f>
        <v>0</v>
      </c>
      <c r="I757" t="str">
        <f ca="1">IFERROR(__xludf.DUMMYFUNCTION("""COMPUTED_VALUE"""),"")</f>
        <v/>
      </c>
    </row>
    <row r="758" spans="1:9" ht="12.75">
      <c r="A758">
        <f ca="1">IFERROR(__xludf.DUMMYFUNCTION("""COMPUTED_VALUE"""),757)</f>
        <v>757</v>
      </c>
      <c r="B758">
        <f ca="1">IFERROR(__xludf.DUMMYFUNCTION("""COMPUTED_VALUE"""),752)</f>
        <v>752</v>
      </c>
      <c r="C758" t="str">
        <f ca="1">IFERROR(__xludf.DUMMYFUNCTION("""COMPUTED_VALUE"""),"Yuwa Kosaihira")</f>
        <v>Yuwa Kosaihira</v>
      </c>
      <c r="D758">
        <f ca="1">IFERROR(__xludf.DUMMYFUNCTION("""COMPUTED_VALUE"""),52)</f>
        <v>52</v>
      </c>
      <c r="E758">
        <f ca="1">IFERROR(__xludf.DUMMYFUNCTION("""COMPUTED_VALUE"""),0.16)</f>
        <v>0.16</v>
      </c>
      <c r="F758">
        <f ca="1">IFERROR(__xludf.DUMMYFUNCTION("""COMPUTED_VALUE"""),8.07)</f>
        <v>8.07</v>
      </c>
      <c r="G758">
        <f ca="1">IFERROR(__xludf.DUMMYFUNCTION("""COMPUTED_VALUE"""),-7.16)</f>
        <v>-7.16</v>
      </c>
      <c r="H758">
        <f ca="1">IFERROR(__xludf.DUMMYFUNCTION("""COMPUTED_VALUE"""),3.45)</f>
        <v>3.45</v>
      </c>
      <c r="I758" t="str">
        <f ca="1">IFERROR(__xludf.DUMMYFUNCTION("""COMPUTED_VALUE"""),"")</f>
        <v/>
      </c>
    </row>
    <row r="759" spans="1:9" ht="12.75">
      <c r="A759">
        <f ca="1">IFERROR(__xludf.DUMMYFUNCTION("""COMPUTED_VALUE"""),758)</f>
        <v>758</v>
      </c>
      <c r="B759">
        <f ca="1">IFERROR(__xludf.DUMMYFUNCTION("""COMPUTED_VALUE"""),747)</f>
        <v>747</v>
      </c>
      <c r="C759" t="str">
        <f ca="1">IFERROR(__xludf.DUMMYFUNCTION("""COMPUTED_VALUE"""),"Kshitij Kaul")</f>
        <v>Kshitij Kaul</v>
      </c>
      <c r="D759">
        <f ca="1">IFERROR(__xludf.DUMMYFUNCTION("""COMPUTED_VALUE"""),40)</f>
        <v>40</v>
      </c>
      <c r="E759">
        <f ca="1">IFERROR(__xludf.DUMMYFUNCTION("""COMPUTED_VALUE"""),0.16)</f>
        <v>0.16</v>
      </c>
      <c r="F759">
        <f ca="1">IFERROR(__xludf.DUMMYFUNCTION("""COMPUTED_VALUE"""),6.2)</f>
        <v>6.2</v>
      </c>
      <c r="G759">
        <f ca="1">IFERROR(__xludf.DUMMYFUNCTION("""COMPUTED_VALUE"""),-6.17)</f>
        <v>-6.17</v>
      </c>
      <c r="H759">
        <f ca="1">IFERROR(__xludf.DUMMYFUNCTION("""COMPUTED_VALUE"""),0)</f>
        <v>0</v>
      </c>
      <c r="I759" t="str">
        <f ca="1">IFERROR(__xludf.DUMMYFUNCTION("""COMPUTED_VALUE"""),"")</f>
        <v/>
      </c>
    </row>
    <row r="760" spans="1:9" ht="12.75">
      <c r="A760">
        <f ca="1">IFERROR(__xludf.DUMMYFUNCTION("""COMPUTED_VALUE"""),759)</f>
        <v>759</v>
      </c>
      <c r="B760">
        <f ca="1">IFERROR(__xludf.DUMMYFUNCTION("""COMPUTED_VALUE"""),751)</f>
        <v>751</v>
      </c>
      <c r="C760" t="str">
        <f ca="1">IFERROR(__xludf.DUMMYFUNCTION("""COMPUTED_VALUE"""),"M. Dharma")</f>
        <v>M. Dharma</v>
      </c>
      <c r="D760">
        <f ca="1">IFERROR(__xludf.DUMMYFUNCTION("""COMPUTED_VALUE"""),40)</f>
        <v>40</v>
      </c>
      <c r="E760">
        <f ca="1">IFERROR(__xludf.DUMMYFUNCTION("""COMPUTED_VALUE"""),0.15)</f>
        <v>0.15</v>
      </c>
      <c r="F760">
        <f ca="1">IFERROR(__xludf.DUMMYFUNCTION("""COMPUTED_VALUE"""),6.18)</f>
        <v>6.18</v>
      </c>
      <c r="G760">
        <f ca="1">IFERROR(__xludf.DUMMYFUNCTION("""COMPUTED_VALUE"""),-4.53)</f>
        <v>-4.53</v>
      </c>
      <c r="H760">
        <f ca="1">IFERROR(__xludf.DUMMYFUNCTION("""COMPUTED_VALUE"""),0)</f>
        <v>0</v>
      </c>
      <c r="I760" t="str">
        <f ca="1">IFERROR(__xludf.DUMMYFUNCTION("""COMPUTED_VALUE"""),"")</f>
        <v/>
      </c>
    </row>
    <row r="761" spans="1:9" ht="12.75">
      <c r="A761">
        <f ca="1">IFERROR(__xludf.DUMMYFUNCTION("""COMPUTED_VALUE"""),760)</f>
        <v>760</v>
      </c>
      <c r="B761">
        <f ca="1">IFERROR(__xludf.DUMMYFUNCTION("""COMPUTED_VALUE"""),745)</f>
        <v>745</v>
      </c>
      <c r="C761" t="str">
        <f ca="1">IFERROR(__xludf.DUMMYFUNCTION("""COMPUTED_VALUE"""),"SSP Chawrasia")</f>
        <v>SSP Chawrasia</v>
      </c>
      <c r="D761">
        <f ca="1">IFERROR(__xludf.DUMMYFUNCTION("""COMPUTED_VALUE"""),45)</f>
        <v>45</v>
      </c>
      <c r="E761">
        <f ca="1">IFERROR(__xludf.DUMMYFUNCTION("""COMPUTED_VALUE"""),0.15)</f>
        <v>0.15</v>
      </c>
      <c r="F761">
        <f ca="1">IFERROR(__xludf.DUMMYFUNCTION("""COMPUTED_VALUE"""),6.92)</f>
        <v>6.92</v>
      </c>
      <c r="G761">
        <f ca="1">IFERROR(__xludf.DUMMYFUNCTION("""COMPUTED_VALUE"""),-3.79)</f>
        <v>-3.79</v>
      </c>
      <c r="H761">
        <f ca="1">IFERROR(__xludf.DUMMYFUNCTION("""COMPUTED_VALUE"""),2.43)</f>
        <v>2.4300000000000002</v>
      </c>
      <c r="I761" t="str">
        <f ca="1">IFERROR(__xludf.DUMMYFUNCTION("""COMPUTED_VALUE"""),"")</f>
        <v/>
      </c>
    </row>
    <row r="762" spans="1:9" ht="12.75">
      <c r="A762">
        <f ca="1">IFERROR(__xludf.DUMMYFUNCTION("""COMPUTED_VALUE"""),761)</f>
        <v>761</v>
      </c>
      <c r="B762">
        <f ca="1">IFERROR(__xludf.DUMMYFUNCTION("""COMPUTED_VALUE"""),756)</f>
        <v>756</v>
      </c>
      <c r="C762" t="str">
        <f ca="1">IFERROR(__xludf.DUMMYFUNCTION("""COMPUTED_VALUE"""),"Benjamin Rusch")</f>
        <v>Benjamin Rusch</v>
      </c>
      <c r="D762">
        <f ca="1">IFERROR(__xludf.DUMMYFUNCTION("""COMPUTED_VALUE"""),43)</f>
        <v>43</v>
      </c>
      <c r="E762">
        <f ca="1">IFERROR(__xludf.DUMMYFUNCTION("""COMPUTED_VALUE"""),0.15)</f>
        <v>0.15</v>
      </c>
      <c r="F762">
        <f ca="1">IFERROR(__xludf.DUMMYFUNCTION("""COMPUTED_VALUE"""),6.6)</f>
        <v>6.6</v>
      </c>
      <c r="G762">
        <f ca="1">IFERROR(__xludf.DUMMYFUNCTION("""COMPUTED_VALUE"""),-4.76)</f>
        <v>-4.76</v>
      </c>
      <c r="H762">
        <f ca="1">IFERROR(__xludf.DUMMYFUNCTION("""COMPUTED_VALUE"""),3.12)</f>
        <v>3.12</v>
      </c>
      <c r="I762" t="str">
        <f ca="1">IFERROR(__xludf.DUMMYFUNCTION("""COMPUTED_VALUE"""),"")</f>
        <v/>
      </c>
    </row>
    <row r="763" spans="1:9" ht="12.75">
      <c r="A763">
        <f ca="1">IFERROR(__xludf.DUMMYFUNCTION("""COMPUTED_VALUE"""),762)</f>
        <v>762</v>
      </c>
      <c r="B763">
        <f ca="1">IFERROR(__xludf.DUMMYFUNCTION("""COMPUTED_VALUE"""),753)</f>
        <v>753</v>
      </c>
      <c r="C763" t="str">
        <f ca="1">IFERROR(__xludf.DUMMYFUNCTION("""COMPUTED_VALUE"""),"Donlaphatchai Niyomchon")</f>
        <v>Donlaphatchai Niyomchon</v>
      </c>
      <c r="D763">
        <f ca="1">IFERROR(__xludf.DUMMYFUNCTION("""COMPUTED_VALUE"""),40)</f>
        <v>40</v>
      </c>
      <c r="E763">
        <f ca="1">IFERROR(__xludf.DUMMYFUNCTION("""COMPUTED_VALUE"""),0.15)</f>
        <v>0.15</v>
      </c>
      <c r="F763">
        <f ca="1">IFERROR(__xludf.DUMMYFUNCTION("""COMPUTED_VALUE"""),6.12)</f>
        <v>6.12</v>
      </c>
      <c r="G763">
        <f ca="1">IFERROR(__xludf.DUMMYFUNCTION("""COMPUTED_VALUE"""),-4.78)</f>
        <v>-4.78</v>
      </c>
      <c r="H763">
        <f ca="1">IFERROR(__xludf.DUMMYFUNCTION("""COMPUTED_VALUE"""),0)</f>
        <v>0</v>
      </c>
      <c r="I763" t="str">
        <f ca="1">IFERROR(__xludf.DUMMYFUNCTION("""COMPUTED_VALUE"""),"")</f>
        <v/>
      </c>
    </row>
    <row r="764" spans="1:9" ht="12.75">
      <c r="A764">
        <f ca="1">IFERROR(__xludf.DUMMYFUNCTION("""COMPUTED_VALUE"""),763)</f>
        <v>763</v>
      </c>
      <c r="B764">
        <f ca="1">IFERROR(__xludf.DUMMYFUNCTION("""COMPUTED_VALUE"""),762)</f>
        <v>762</v>
      </c>
      <c r="C764" t="str">
        <f ca="1">IFERROR(__xludf.DUMMYFUNCTION("""COMPUTED_VALUE"""),"Alvaro Ortiz")</f>
        <v>Alvaro Ortiz</v>
      </c>
      <c r="D764">
        <f ca="1">IFERROR(__xludf.DUMMYFUNCTION("""COMPUTED_VALUE"""),40)</f>
        <v>40</v>
      </c>
      <c r="E764">
        <f ca="1">IFERROR(__xludf.DUMMYFUNCTION("""COMPUTED_VALUE"""),0.15)</f>
        <v>0.15</v>
      </c>
      <c r="F764">
        <f ca="1">IFERROR(__xludf.DUMMYFUNCTION("""COMPUTED_VALUE"""),6.1)</f>
        <v>6.1</v>
      </c>
      <c r="G764">
        <f ca="1">IFERROR(__xludf.DUMMYFUNCTION("""COMPUTED_VALUE"""),-1.72)</f>
        <v>-1.72</v>
      </c>
      <c r="H764">
        <f ca="1">IFERROR(__xludf.DUMMYFUNCTION("""COMPUTED_VALUE"""),5.2)</f>
        <v>5.2</v>
      </c>
      <c r="I764" t="str">
        <f ca="1">IFERROR(__xludf.DUMMYFUNCTION("""COMPUTED_VALUE"""),"")</f>
        <v/>
      </c>
    </row>
    <row r="765" spans="1:9" ht="12.75">
      <c r="A765">
        <f ca="1">IFERROR(__xludf.DUMMYFUNCTION("""COMPUTED_VALUE"""),764)</f>
        <v>764</v>
      </c>
      <c r="B765">
        <f ca="1">IFERROR(__xludf.DUMMYFUNCTION("""COMPUTED_VALUE"""),768)</f>
        <v>768</v>
      </c>
      <c r="C765" t="str">
        <f ca="1">IFERROR(__xludf.DUMMYFUNCTION("""COMPUTED_VALUE"""),"Ryan Lumsden")</f>
        <v>Ryan Lumsden</v>
      </c>
      <c r="D765">
        <f ca="1">IFERROR(__xludf.DUMMYFUNCTION("""COMPUTED_VALUE"""),40)</f>
        <v>40</v>
      </c>
      <c r="E765">
        <f ca="1">IFERROR(__xludf.DUMMYFUNCTION("""COMPUTED_VALUE"""),0.15)</f>
        <v>0.15</v>
      </c>
      <c r="F765">
        <f ca="1">IFERROR(__xludf.DUMMYFUNCTION("""COMPUTED_VALUE"""),6.08)</f>
        <v>6.08</v>
      </c>
      <c r="G765">
        <f ca="1">IFERROR(__xludf.DUMMYFUNCTION("""COMPUTED_VALUE"""),-0.52)</f>
        <v>-0.52</v>
      </c>
      <c r="H765">
        <f ca="1">IFERROR(__xludf.DUMMYFUNCTION("""COMPUTED_VALUE"""),6.6)</f>
        <v>6.6</v>
      </c>
      <c r="I765" t="str">
        <f ca="1">IFERROR(__xludf.DUMMYFUNCTION("""COMPUTED_VALUE"""),"")</f>
        <v/>
      </c>
    </row>
    <row r="766" spans="1:9" ht="12.75">
      <c r="A766">
        <f ca="1">IFERROR(__xludf.DUMMYFUNCTION("""COMPUTED_VALUE"""),765)</f>
        <v>765</v>
      </c>
      <c r="B766">
        <f ca="1">IFERROR(__xludf.DUMMYFUNCTION("""COMPUTED_VALUE"""),760)</f>
        <v>760</v>
      </c>
      <c r="C766" t="str">
        <f ca="1">IFERROR(__xludf.DUMMYFUNCTION("""COMPUTED_VALUE"""),"Jongheon Park")</f>
        <v>Jongheon Park</v>
      </c>
      <c r="D766">
        <f ca="1">IFERROR(__xludf.DUMMYFUNCTION("""COMPUTED_VALUE"""),40)</f>
        <v>40</v>
      </c>
      <c r="E766">
        <f ca="1">IFERROR(__xludf.DUMMYFUNCTION("""COMPUTED_VALUE"""),0.15)</f>
        <v>0.15</v>
      </c>
      <c r="F766">
        <f ca="1">IFERROR(__xludf.DUMMYFUNCTION("""COMPUTED_VALUE"""),6.07)</f>
        <v>6.07</v>
      </c>
      <c r="G766">
        <f ca="1">IFERROR(__xludf.DUMMYFUNCTION("""COMPUTED_VALUE"""),-2.89)</f>
        <v>-2.89</v>
      </c>
      <c r="H766">
        <f ca="1">IFERROR(__xludf.DUMMYFUNCTION("""COMPUTED_VALUE"""),1.86)</f>
        <v>1.86</v>
      </c>
      <c r="I766" t="str">
        <f ca="1">IFERROR(__xludf.DUMMYFUNCTION("""COMPUTED_VALUE"""),"")</f>
        <v/>
      </c>
    </row>
    <row r="767" spans="1:9" ht="12.75">
      <c r="A767">
        <f ca="1">IFERROR(__xludf.DUMMYFUNCTION("""COMPUTED_VALUE"""),766)</f>
        <v>766</v>
      </c>
      <c r="B767">
        <f ca="1">IFERROR(__xludf.DUMMYFUNCTION("""COMPUTED_VALUE"""),757)</f>
        <v>757</v>
      </c>
      <c r="C767" t="str">
        <f ca="1">IFERROR(__xludf.DUMMYFUNCTION("""COMPUTED_VALUE"""),"Jack Harrison")</f>
        <v>Jack Harrison</v>
      </c>
      <c r="D767">
        <f ca="1">IFERROR(__xludf.DUMMYFUNCTION("""COMPUTED_VALUE"""),40)</f>
        <v>40</v>
      </c>
      <c r="E767">
        <f ca="1">IFERROR(__xludf.DUMMYFUNCTION("""COMPUTED_VALUE"""),0.15)</f>
        <v>0.15</v>
      </c>
      <c r="F767">
        <f ca="1">IFERROR(__xludf.DUMMYFUNCTION("""COMPUTED_VALUE"""),6.06)</f>
        <v>6.06</v>
      </c>
      <c r="G767">
        <f ca="1">IFERROR(__xludf.DUMMYFUNCTION("""COMPUTED_VALUE"""),-7.59)</f>
        <v>-7.59</v>
      </c>
      <c r="H767">
        <f ca="1">IFERROR(__xludf.DUMMYFUNCTION("""COMPUTED_VALUE"""),1.2)</f>
        <v>1.2</v>
      </c>
      <c r="I767" t="str">
        <f ca="1">IFERROR(__xludf.DUMMYFUNCTION("""COMPUTED_VALUE"""),"")</f>
        <v/>
      </c>
    </row>
    <row r="768" spans="1:9" ht="12.75">
      <c r="A768">
        <f ca="1">IFERROR(__xludf.DUMMYFUNCTION("""COMPUTED_VALUE"""),767)</f>
        <v>767</v>
      </c>
      <c r="B768">
        <f ca="1">IFERROR(__xludf.DUMMYFUNCTION("""COMPUTED_VALUE"""),760)</f>
        <v>760</v>
      </c>
      <c r="C768" t="str">
        <f ca="1">IFERROR(__xludf.DUMMYFUNCTION("""COMPUTED_VALUE"""),"Elias Bertheussen")</f>
        <v>Elias Bertheussen</v>
      </c>
      <c r="D768">
        <f ca="1">IFERROR(__xludf.DUMMYFUNCTION("""COMPUTED_VALUE"""),40)</f>
        <v>40</v>
      </c>
      <c r="E768">
        <f ca="1">IFERROR(__xludf.DUMMYFUNCTION("""COMPUTED_VALUE"""),0.15)</f>
        <v>0.15</v>
      </c>
      <c r="F768">
        <f ca="1">IFERROR(__xludf.DUMMYFUNCTION("""COMPUTED_VALUE"""),6.05)</f>
        <v>6.05</v>
      </c>
      <c r="G768">
        <f ca="1">IFERROR(__xludf.DUMMYFUNCTION("""COMPUTED_VALUE"""),-5.21)</f>
        <v>-5.21</v>
      </c>
      <c r="H768">
        <f ca="1">IFERROR(__xludf.DUMMYFUNCTION("""COMPUTED_VALUE"""),0)</f>
        <v>0</v>
      </c>
      <c r="I768" t="str">
        <f ca="1">IFERROR(__xludf.DUMMYFUNCTION("""COMPUTED_VALUE"""),"")</f>
        <v/>
      </c>
    </row>
    <row r="769" spans="1:9" ht="12.75">
      <c r="A769">
        <f ca="1">IFERROR(__xludf.DUMMYFUNCTION("""COMPUTED_VALUE"""),768)</f>
        <v>768</v>
      </c>
      <c r="B769">
        <f ca="1">IFERROR(__xludf.DUMMYFUNCTION("""COMPUTED_VALUE"""),767)</f>
        <v>767</v>
      </c>
      <c r="C769" t="str">
        <f ca="1">IFERROR(__xludf.DUMMYFUNCTION("""COMPUTED_VALUE"""),"Witchayanon Chothirunrungru")</f>
        <v>Witchayanon Chothirunrungru</v>
      </c>
      <c r="D769">
        <f ca="1">IFERROR(__xludf.DUMMYFUNCTION("""COMPUTED_VALUE"""),40)</f>
        <v>40</v>
      </c>
      <c r="E769">
        <f ca="1">IFERROR(__xludf.DUMMYFUNCTION("""COMPUTED_VALUE"""),0.15)</f>
        <v>0.15</v>
      </c>
      <c r="F769">
        <f ca="1">IFERROR(__xludf.DUMMYFUNCTION("""COMPUTED_VALUE"""),6.05)</f>
        <v>6.05</v>
      </c>
      <c r="G769">
        <f ca="1">IFERROR(__xludf.DUMMYFUNCTION("""COMPUTED_VALUE"""),-2.9)</f>
        <v>-2.9</v>
      </c>
      <c r="H769">
        <f ca="1">IFERROR(__xludf.DUMMYFUNCTION("""COMPUTED_VALUE"""),3)</f>
        <v>3</v>
      </c>
      <c r="I769" t="str">
        <f ca="1">IFERROR(__xludf.DUMMYFUNCTION("""COMPUTED_VALUE"""),"")</f>
        <v/>
      </c>
    </row>
    <row r="770" spans="1:9" ht="12.75">
      <c r="A770">
        <f ca="1">IFERROR(__xludf.DUMMYFUNCTION("""COMPUTED_VALUE"""),769)</f>
        <v>769</v>
      </c>
      <c r="B770">
        <f ca="1">IFERROR(__xludf.DUMMYFUNCTION("""COMPUTED_VALUE"""),764)</f>
        <v>764</v>
      </c>
      <c r="C770" t="str">
        <f ca="1">IFERROR(__xludf.DUMMYFUNCTION("""COMPUTED_VALUE"""),"Sangmoon Bae")</f>
        <v>Sangmoon Bae</v>
      </c>
      <c r="D770">
        <f ca="1">IFERROR(__xludf.DUMMYFUNCTION("""COMPUTED_VALUE"""),51)</f>
        <v>51</v>
      </c>
      <c r="E770">
        <f ca="1">IFERROR(__xludf.DUMMYFUNCTION("""COMPUTED_VALUE"""),0.15)</f>
        <v>0.15</v>
      </c>
      <c r="F770">
        <f ca="1">IFERROR(__xludf.DUMMYFUNCTION("""COMPUTED_VALUE"""),7.7)</f>
        <v>7.7</v>
      </c>
      <c r="G770">
        <f ca="1">IFERROR(__xludf.DUMMYFUNCTION("""COMPUTED_VALUE"""),-9.71)</f>
        <v>-9.7100000000000009</v>
      </c>
      <c r="H770">
        <f ca="1">IFERROR(__xludf.DUMMYFUNCTION("""COMPUTED_VALUE"""),4.96)</f>
        <v>4.96</v>
      </c>
      <c r="I770" t="str">
        <f ca="1">IFERROR(__xludf.DUMMYFUNCTION("""COMPUTED_VALUE"""),"")</f>
        <v/>
      </c>
    </row>
    <row r="771" spans="1:9" ht="12.75">
      <c r="A771">
        <f ca="1">IFERROR(__xludf.DUMMYFUNCTION("""COMPUTED_VALUE"""),770)</f>
        <v>770</v>
      </c>
      <c r="B771">
        <f ca="1">IFERROR(__xludf.DUMMYFUNCTION("""COMPUTED_VALUE"""),770)</f>
        <v>770</v>
      </c>
      <c r="C771" t="str">
        <f ca="1">IFERROR(__xludf.DUMMYFUNCTION("""COMPUTED_VALUE"""),"Daniel Fox")</f>
        <v>Daniel Fox</v>
      </c>
      <c r="D771">
        <f ca="1">IFERROR(__xludf.DUMMYFUNCTION("""COMPUTED_VALUE"""),40)</f>
        <v>40</v>
      </c>
      <c r="E771">
        <f ca="1">IFERROR(__xludf.DUMMYFUNCTION("""COMPUTED_VALUE"""),0.15)</f>
        <v>0.15</v>
      </c>
      <c r="F771">
        <f ca="1">IFERROR(__xludf.DUMMYFUNCTION("""COMPUTED_VALUE"""),6.02)</f>
        <v>6.02</v>
      </c>
      <c r="G771">
        <f ca="1">IFERROR(__xludf.DUMMYFUNCTION("""COMPUTED_VALUE"""),-3.33)</f>
        <v>-3.33</v>
      </c>
      <c r="H771">
        <f ca="1">IFERROR(__xludf.DUMMYFUNCTION("""COMPUTED_VALUE"""),1.6)</f>
        <v>1.6</v>
      </c>
      <c r="I771" t="str">
        <f ca="1">IFERROR(__xludf.DUMMYFUNCTION("""COMPUTED_VALUE"""),"")</f>
        <v/>
      </c>
    </row>
    <row r="772" spans="1:9" ht="12.75">
      <c r="A772">
        <f ca="1">IFERROR(__xludf.DUMMYFUNCTION("""COMPUTED_VALUE"""),771)</f>
        <v>771</v>
      </c>
      <c r="B772">
        <f ca="1">IFERROR(__xludf.DUMMYFUNCTION("""COMPUTED_VALUE"""),765)</f>
        <v>765</v>
      </c>
      <c r="C772" t="str">
        <f ca="1">IFERROR(__xludf.DUMMYFUNCTION("""COMPUTED_VALUE"""),"Jake Higginbottom")</f>
        <v>Jake Higginbottom</v>
      </c>
      <c r="D772">
        <f ca="1">IFERROR(__xludf.DUMMYFUNCTION("""COMPUTED_VALUE"""),40)</f>
        <v>40</v>
      </c>
      <c r="E772">
        <f ca="1">IFERROR(__xludf.DUMMYFUNCTION("""COMPUTED_VALUE"""),0.15)</f>
        <v>0.15</v>
      </c>
      <c r="F772">
        <f ca="1">IFERROR(__xludf.DUMMYFUNCTION("""COMPUTED_VALUE"""),6.01)</f>
        <v>6.01</v>
      </c>
      <c r="G772">
        <f ca="1">IFERROR(__xludf.DUMMYFUNCTION("""COMPUTED_VALUE"""),-4.75)</f>
        <v>-4.75</v>
      </c>
      <c r="H772">
        <f ca="1">IFERROR(__xludf.DUMMYFUNCTION("""COMPUTED_VALUE"""),2.45)</f>
        <v>2.4500000000000002</v>
      </c>
      <c r="I772" t="str">
        <f ca="1">IFERROR(__xludf.DUMMYFUNCTION("""COMPUTED_VALUE"""),"")</f>
        <v/>
      </c>
    </row>
    <row r="773" spans="1:9" ht="12.75">
      <c r="A773">
        <f ca="1">IFERROR(__xludf.DUMMYFUNCTION("""COMPUTED_VALUE"""),772)</f>
        <v>772</v>
      </c>
      <c r="B773" t="str">
        <f ca="1">IFERROR(__xludf.DUMMYFUNCTION("""COMPUTED_VALUE"""),"")</f>
        <v/>
      </c>
      <c r="C773" t="str">
        <f ca="1">IFERROR(__xludf.DUMMYFUNCTION("""COMPUTED_VALUE"""),"Jianfeng Ye")</f>
        <v>Jianfeng Ye</v>
      </c>
      <c r="D773">
        <f ca="1">IFERROR(__xludf.DUMMYFUNCTION("""COMPUTED_VALUE"""),40)</f>
        <v>40</v>
      </c>
      <c r="E773">
        <f ca="1">IFERROR(__xludf.DUMMYFUNCTION("""COMPUTED_VALUE"""),0.15)</f>
        <v>0.15</v>
      </c>
      <c r="F773">
        <f ca="1">IFERROR(__xludf.DUMMYFUNCTION("""COMPUTED_VALUE"""),6)</f>
        <v>6</v>
      </c>
      <c r="G773" t="str">
        <f ca="1">IFERROR(__xludf.DUMMYFUNCTION("""COMPUTED_VALUE"""),"")</f>
        <v/>
      </c>
      <c r="H773">
        <f ca="1">IFERROR(__xludf.DUMMYFUNCTION("""COMPUTED_VALUE"""),6)</f>
        <v>6</v>
      </c>
      <c r="I773" t="str">
        <f ca="1">IFERROR(__xludf.DUMMYFUNCTION("""COMPUTED_VALUE"""),"")</f>
        <v/>
      </c>
    </row>
    <row r="774" spans="1:9" ht="12.75">
      <c r="A774">
        <f ca="1">IFERROR(__xludf.DUMMYFUNCTION("""COMPUTED_VALUE"""),773)</f>
        <v>773</v>
      </c>
      <c r="B774">
        <f ca="1">IFERROR(__xludf.DUMMYFUNCTION("""COMPUTED_VALUE"""),755)</f>
        <v>755</v>
      </c>
      <c r="C774" t="str">
        <f ca="1">IFERROR(__xludf.DUMMYFUNCTION("""COMPUTED_VALUE"""),"Gaganjeet Bhullar")</f>
        <v>Gaganjeet Bhullar</v>
      </c>
      <c r="D774">
        <f ca="1">IFERROR(__xludf.DUMMYFUNCTION("""COMPUTED_VALUE"""),46)</f>
        <v>46</v>
      </c>
      <c r="E774">
        <f ca="1">IFERROR(__xludf.DUMMYFUNCTION("""COMPUTED_VALUE"""),0.15)</f>
        <v>0.15</v>
      </c>
      <c r="F774">
        <f ca="1">IFERROR(__xludf.DUMMYFUNCTION("""COMPUTED_VALUE"""),6.9)</f>
        <v>6.9</v>
      </c>
      <c r="G774">
        <f ca="1">IFERROR(__xludf.DUMMYFUNCTION("""COMPUTED_VALUE"""),-20.4)</f>
        <v>-20.399999999999999</v>
      </c>
      <c r="H774">
        <f ca="1">IFERROR(__xludf.DUMMYFUNCTION("""COMPUTED_VALUE"""),1.2)</f>
        <v>1.2</v>
      </c>
      <c r="I774" t="str">
        <f ca="1">IFERROR(__xludf.DUMMYFUNCTION("""COMPUTED_VALUE"""),"")</f>
        <v/>
      </c>
    </row>
    <row r="775" spans="1:9" ht="12.75">
      <c r="A775">
        <f ca="1">IFERROR(__xludf.DUMMYFUNCTION("""COMPUTED_VALUE"""),774)</f>
        <v>774</v>
      </c>
      <c r="B775">
        <f ca="1">IFERROR(__xludf.DUMMYFUNCTION("""COMPUTED_VALUE"""),766)</f>
        <v>766</v>
      </c>
      <c r="C775" t="str">
        <f ca="1">IFERROR(__xludf.DUMMYFUNCTION("""COMPUTED_VALUE"""),"Gavin Moynihan")</f>
        <v>Gavin Moynihan</v>
      </c>
      <c r="D775">
        <f ca="1">IFERROR(__xludf.DUMMYFUNCTION("""COMPUTED_VALUE"""),49)</f>
        <v>49</v>
      </c>
      <c r="E775">
        <f ca="1">IFERROR(__xludf.DUMMYFUNCTION("""COMPUTED_VALUE"""),0.15)</f>
        <v>0.15</v>
      </c>
      <c r="F775">
        <f ca="1">IFERROR(__xludf.DUMMYFUNCTION("""COMPUTED_VALUE"""),7.33)</f>
        <v>7.33</v>
      </c>
      <c r="G775">
        <f ca="1">IFERROR(__xludf.DUMMYFUNCTION("""COMPUTED_VALUE"""),-7.41)</f>
        <v>-7.41</v>
      </c>
      <c r="H775">
        <f ca="1">IFERROR(__xludf.DUMMYFUNCTION("""COMPUTED_VALUE"""),0)</f>
        <v>0</v>
      </c>
      <c r="I775" t="str">
        <f ca="1">IFERROR(__xludf.DUMMYFUNCTION("""COMPUTED_VALUE"""),"")</f>
        <v/>
      </c>
    </row>
    <row r="776" spans="1:9" ht="12.75">
      <c r="A776">
        <f ca="1">IFERROR(__xludf.DUMMYFUNCTION("""COMPUTED_VALUE"""),775)</f>
        <v>775</v>
      </c>
      <c r="B776">
        <f ca="1">IFERROR(__xludf.DUMMYFUNCTION("""COMPUTED_VALUE"""),759)</f>
        <v>759</v>
      </c>
      <c r="C776" t="str">
        <f ca="1">IFERROR(__xludf.DUMMYFUNCTION("""COMPUTED_VALUE"""),"Terumichi Kakazu")</f>
        <v>Terumichi Kakazu</v>
      </c>
      <c r="D776">
        <f ca="1">IFERROR(__xludf.DUMMYFUNCTION("""COMPUTED_VALUE"""),40)</f>
        <v>40</v>
      </c>
      <c r="E776">
        <f ca="1">IFERROR(__xludf.DUMMYFUNCTION("""COMPUTED_VALUE"""),0.15)</f>
        <v>0.15</v>
      </c>
      <c r="F776">
        <f ca="1">IFERROR(__xludf.DUMMYFUNCTION("""COMPUTED_VALUE"""),5.97)</f>
        <v>5.97</v>
      </c>
      <c r="G776">
        <f ca="1">IFERROR(__xludf.DUMMYFUNCTION("""COMPUTED_VALUE"""),-7.89)</f>
        <v>-7.89</v>
      </c>
      <c r="H776">
        <f ca="1">IFERROR(__xludf.DUMMYFUNCTION("""COMPUTED_VALUE"""),0)</f>
        <v>0</v>
      </c>
      <c r="I776" t="str">
        <f ca="1">IFERROR(__xludf.DUMMYFUNCTION("""COMPUTED_VALUE"""),"")</f>
        <v/>
      </c>
    </row>
    <row r="777" spans="1:9" ht="12.75">
      <c r="A777">
        <f ca="1">IFERROR(__xludf.DUMMYFUNCTION("""COMPUTED_VALUE"""),776)</f>
        <v>776</v>
      </c>
      <c r="B777">
        <f ca="1">IFERROR(__xludf.DUMMYFUNCTION("""COMPUTED_VALUE"""),773)</f>
        <v>773</v>
      </c>
      <c r="C777" t="str">
        <f ca="1">IFERROR(__xludf.DUMMYFUNCTION("""COMPUTED_VALUE"""),"Whee Kim")</f>
        <v>Whee Kim</v>
      </c>
      <c r="D777">
        <f ca="1">IFERROR(__xludf.DUMMYFUNCTION("""COMPUTED_VALUE"""),52)</f>
        <v>52</v>
      </c>
      <c r="E777">
        <f ca="1">IFERROR(__xludf.DUMMYFUNCTION("""COMPUTED_VALUE"""),0.15)</f>
        <v>0.15</v>
      </c>
      <c r="F777">
        <f ca="1">IFERROR(__xludf.DUMMYFUNCTION("""COMPUTED_VALUE"""),7.76)</f>
        <v>7.76</v>
      </c>
      <c r="G777">
        <f ca="1">IFERROR(__xludf.DUMMYFUNCTION("""COMPUTED_VALUE"""),-14.29)</f>
        <v>-14.29</v>
      </c>
      <c r="H777">
        <f ca="1">IFERROR(__xludf.DUMMYFUNCTION("""COMPUTED_VALUE"""),7.1)</f>
        <v>7.1</v>
      </c>
      <c r="I777" t="str">
        <f ca="1">IFERROR(__xludf.DUMMYFUNCTION("""COMPUTED_VALUE"""),"")</f>
        <v/>
      </c>
    </row>
    <row r="778" spans="1:9" ht="12.75">
      <c r="A778">
        <f ca="1">IFERROR(__xludf.DUMMYFUNCTION("""COMPUTED_VALUE"""),776)</f>
        <v>776</v>
      </c>
      <c r="B778">
        <f ca="1">IFERROR(__xludf.DUMMYFUNCTION("""COMPUTED_VALUE"""),772)</f>
        <v>772</v>
      </c>
      <c r="C778" t="str">
        <f ca="1">IFERROR(__xludf.DUMMYFUNCTION("""COMPUTED_VALUE"""),"Koki Shiomi")</f>
        <v>Koki Shiomi</v>
      </c>
      <c r="D778">
        <f ca="1">IFERROR(__xludf.DUMMYFUNCTION("""COMPUTED_VALUE"""),40)</f>
        <v>40</v>
      </c>
      <c r="E778">
        <f ca="1">IFERROR(__xludf.DUMMYFUNCTION("""COMPUTED_VALUE"""),0.15)</f>
        <v>0.15</v>
      </c>
      <c r="F778">
        <f ca="1">IFERROR(__xludf.DUMMYFUNCTION("""COMPUTED_VALUE"""),5.97)</f>
        <v>5.97</v>
      </c>
      <c r="G778">
        <f ca="1">IFERROR(__xludf.DUMMYFUNCTION("""COMPUTED_VALUE"""),-2.37)</f>
        <v>-2.37</v>
      </c>
      <c r="H778">
        <f ca="1">IFERROR(__xludf.DUMMYFUNCTION("""COMPUTED_VALUE"""),1.37)</f>
        <v>1.37</v>
      </c>
      <c r="I778" t="str">
        <f ca="1">IFERROR(__xludf.DUMMYFUNCTION("""COMPUTED_VALUE"""),"")</f>
        <v/>
      </c>
    </row>
    <row r="779" spans="1:9" ht="12.75">
      <c r="A779">
        <f ca="1">IFERROR(__xludf.DUMMYFUNCTION("""COMPUTED_VALUE"""),778)</f>
        <v>778</v>
      </c>
      <c r="B779">
        <f ca="1">IFERROR(__xludf.DUMMYFUNCTION("""COMPUTED_VALUE"""),771)</f>
        <v>771</v>
      </c>
      <c r="C779" t="str">
        <f ca="1">IFERROR(__xludf.DUMMYFUNCTION("""COMPUTED_VALUE"""),"Yoshikazu Haku")</f>
        <v>Yoshikazu Haku</v>
      </c>
      <c r="D779">
        <f ca="1">IFERROR(__xludf.DUMMYFUNCTION("""COMPUTED_VALUE"""),40)</f>
        <v>40</v>
      </c>
      <c r="E779">
        <f ca="1">IFERROR(__xludf.DUMMYFUNCTION("""COMPUTED_VALUE"""),0.15)</f>
        <v>0.15</v>
      </c>
      <c r="F779">
        <f ca="1">IFERROR(__xludf.DUMMYFUNCTION("""COMPUTED_VALUE"""),5.96)</f>
        <v>5.96</v>
      </c>
      <c r="G779">
        <f ca="1">IFERROR(__xludf.DUMMYFUNCTION("""COMPUTED_VALUE"""),-3.99)</f>
        <v>-3.99</v>
      </c>
      <c r="H779">
        <f ca="1">IFERROR(__xludf.DUMMYFUNCTION("""COMPUTED_VALUE"""),0)</f>
        <v>0</v>
      </c>
      <c r="I779" t="str">
        <f ca="1">IFERROR(__xludf.DUMMYFUNCTION("""COMPUTED_VALUE"""),"")</f>
        <v/>
      </c>
    </row>
    <row r="780" spans="1:9" ht="12.75">
      <c r="A780">
        <f ca="1">IFERROR(__xludf.DUMMYFUNCTION("""COMPUTED_VALUE"""),778)</f>
        <v>778</v>
      </c>
      <c r="B780">
        <f ca="1">IFERROR(__xludf.DUMMYFUNCTION("""COMPUTED_VALUE"""),779)</f>
        <v>779</v>
      </c>
      <c r="C780" t="str">
        <f ca="1">IFERROR(__xludf.DUMMYFUNCTION("""COMPUTED_VALUE"""),"Jesper Svensson")</f>
        <v>Jesper Svensson</v>
      </c>
      <c r="D780">
        <f ca="1">IFERROR(__xludf.DUMMYFUNCTION("""COMPUTED_VALUE"""),40)</f>
        <v>40</v>
      </c>
      <c r="E780">
        <f ca="1">IFERROR(__xludf.DUMMYFUNCTION("""COMPUTED_VALUE"""),0.15)</f>
        <v>0.15</v>
      </c>
      <c r="F780">
        <f ca="1">IFERROR(__xludf.DUMMYFUNCTION("""COMPUTED_VALUE"""),5.96)</f>
        <v>5.96</v>
      </c>
      <c r="G780">
        <f ca="1">IFERROR(__xludf.DUMMYFUNCTION("""COMPUTED_VALUE"""),-0.14)</f>
        <v>-0.14000000000000001</v>
      </c>
      <c r="H780">
        <f ca="1">IFERROR(__xludf.DUMMYFUNCTION("""COMPUTED_VALUE"""),6.1)</f>
        <v>6.1</v>
      </c>
      <c r="I780" t="str">
        <f ca="1">IFERROR(__xludf.DUMMYFUNCTION("""COMPUTED_VALUE"""),"")</f>
        <v/>
      </c>
    </row>
    <row r="781" spans="1:9" ht="12.75">
      <c r="A781">
        <f ca="1">IFERROR(__xludf.DUMMYFUNCTION("""COMPUTED_VALUE"""),780)</f>
        <v>780</v>
      </c>
      <c r="B781">
        <f ca="1">IFERROR(__xludf.DUMMYFUNCTION("""COMPUTED_VALUE"""),757)</f>
        <v>757</v>
      </c>
      <c r="C781" t="str">
        <f ca="1">IFERROR(__xludf.DUMMYFUNCTION("""COMPUTED_VALUE"""),"Matthew Millar")</f>
        <v>Matthew Millar</v>
      </c>
      <c r="D781">
        <f ca="1">IFERROR(__xludf.DUMMYFUNCTION("""COMPUTED_VALUE"""),40)</f>
        <v>40</v>
      </c>
      <c r="E781">
        <f ca="1">IFERROR(__xludf.DUMMYFUNCTION("""COMPUTED_VALUE"""),0.15)</f>
        <v>0.15</v>
      </c>
      <c r="F781">
        <f ca="1">IFERROR(__xludf.DUMMYFUNCTION("""COMPUTED_VALUE"""),5.96)</f>
        <v>5.96</v>
      </c>
      <c r="G781">
        <f ca="1">IFERROR(__xludf.DUMMYFUNCTION("""COMPUTED_VALUE"""),-9.98)</f>
        <v>-9.98</v>
      </c>
      <c r="H781">
        <f ca="1">IFERROR(__xludf.DUMMYFUNCTION("""COMPUTED_VALUE"""),1.7)</f>
        <v>1.7</v>
      </c>
      <c r="I781" t="str">
        <f ca="1">IFERROR(__xludf.DUMMYFUNCTION("""COMPUTED_VALUE"""),"")</f>
        <v/>
      </c>
    </row>
    <row r="782" spans="1:9" ht="12.75">
      <c r="A782">
        <f ca="1">IFERROR(__xludf.DUMMYFUNCTION("""COMPUTED_VALUE"""),781)</f>
        <v>781</v>
      </c>
      <c r="B782">
        <f ca="1">IFERROR(__xludf.DUMMYFUNCTION("""COMPUTED_VALUE"""),769)</f>
        <v>769</v>
      </c>
      <c r="C782" t="str">
        <f ca="1">IFERROR(__xludf.DUMMYFUNCTION("""COMPUTED_VALUE"""),"Sam Saunders")</f>
        <v>Sam Saunders</v>
      </c>
      <c r="D782">
        <f ca="1">IFERROR(__xludf.DUMMYFUNCTION("""COMPUTED_VALUE"""),40)</f>
        <v>40</v>
      </c>
      <c r="E782">
        <f ca="1">IFERROR(__xludf.DUMMYFUNCTION("""COMPUTED_VALUE"""),0.15)</f>
        <v>0.15</v>
      </c>
      <c r="F782">
        <f ca="1">IFERROR(__xludf.DUMMYFUNCTION("""COMPUTED_VALUE"""),5.95)</f>
        <v>5.95</v>
      </c>
      <c r="G782">
        <f ca="1">IFERROR(__xludf.DUMMYFUNCTION("""COMPUTED_VALUE"""),-10.96)</f>
        <v>-10.96</v>
      </c>
      <c r="H782">
        <f ca="1">IFERROR(__xludf.DUMMYFUNCTION("""COMPUTED_VALUE"""),1.25)</f>
        <v>1.25</v>
      </c>
      <c r="I782" t="str">
        <f ca="1">IFERROR(__xludf.DUMMYFUNCTION("""COMPUTED_VALUE"""),"")</f>
        <v/>
      </c>
    </row>
    <row r="783" spans="1:9" ht="12.75">
      <c r="A783">
        <f ca="1">IFERROR(__xludf.DUMMYFUNCTION("""COMPUTED_VALUE"""),782)</f>
        <v>782</v>
      </c>
      <c r="B783">
        <f ca="1">IFERROR(__xludf.DUMMYFUNCTION("""COMPUTED_VALUE"""),777)</f>
        <v>777</v>
      </c>
      <c r="C783" t="str">
        <f ca="1">IFERROR(__xludf.DUMMYFUNCTION("""COMPUTED_VALUE"""),"Max Rottluff")</f>
        <v>Max Rottluff</v>
      </c>
      <c r="D783">
        <f ca="1">IFERROR(__xludf.DUMMYFUNCTION("""COMPUTED_VALUE"""),40)</f>
        <v>40</v>
      </c>
      <c r="E783">
        <f ca="1">IFERROR(__xludf.DUMMYFUNCTION("""COMPUTED_VALUE"""),0.15)</f>
        <v>0.15</v>
      </c>
      <c r="F783">
        <f ca="1">IFERROR(__xludf.DUMMYFUNCTION("""COMPUTED_VALUE"""),5.93)</f>
        <v>5.93</v>
      </c>
      <c r="G783">
        <f ca="1">IFERROR(__xludf.DUMMYFUNCTION("""COMPUTED_VALUE"""),-4.29)</f>
        <v>-4.29</v>
      </c>
      <c r="H783">
        <f ca="1">IFERROR(__xludf.DUMMYFUNCTION("""COMPUTED_VALUE"""),3.45)</f>
        <v>3.45</v>
      </c>
      <c r="I783" t="str">
        <f ca="1">IFERROR(__xludf.DUMMYFUNCTION("""COMPUTED_VALUE"""),"")</f>
        <v/>
      </c>
    </row>
    <row r="784" spans="1:9" ht="12.75">
      <c r="A784">
        <f ca="1">IFERROR(__xludf.DUMMYFUNCTION("""COMPUTED_VALUE"""),783)</f>
        <v>783</v>
      </c>
      <c r="B784">
        <f ca="1">IFERROR(__xludf.DUMMYFUNCTION("""COMPUTED_VALUE"""),786)</f>
        <v>786</v>
      </c>
      <c r="C784" t="str">
        <f ca="1">IFERROR(__xludf.DUMMYFUNCTION("""COMPUTED_VALUE"""),"Stefano Mazzoli")</f>
        <v>Stefano Mazzoli</v>
      </c>
      <c r="D784">
        <f ca="1">IFERROR(__xludf.DUMMYFUNCTION("""COMPUTED_VALUE"""),40)</f>
        <v>40</v>
      </c>
      <c r="E784">
        <f ca="1">IFERROR(__xludf.DUMMYFUNCTION("""COMPUTED_VALUE"""),0.15)</f>
        <v>0.15</v>
      </c>
      <c r="F784">
        <f ca="1">IFERROR(__xludf.DUMMYFUNCTION("""COMPUTED_VALUE"""),5.88)</f>
        <v>5.88</v>
      </c>
      <c r="G784">
        <f ca="1">IFERROR(__xludf.DUMMYFUNCTION("""COMPUTED_VALUE"""),-0.52)</f>
        <v>-0.52</v>
      </c>
      <c r="H784">
        <f ca="1">IFERROR(__xludf.DUMMYFUNCTION("""COMPUTED_VALUE"""),6.4)</f>
        <v>6.4</v>
      </c>
      <c r="I784" t="str">
        <f ca="1">IFERROR(__xludf.DUMMYFUNCTION("""COMPUTED_VALUE"""),"")</f>
        <v/>
      </c>
    </row>
    <row r="785" spans="1:9" ht="12.75">
      <c r="A785">
        <f ca="1">IFERROR(__xludf.DUMMYFUNCTION("""COMPUTED_VALUE"""),784)</f>
        <v>784</v>
      </c>
      <c r="B785">
        <f ca="1">IFERROR(__xludf.DUMMYFUNCTION("""COMPUTED_VALUE"""),775)</f>
        <v>775</v>
      </c>
      <c r="C785" t="str">
        <f ca="1">IFERROR(__xludf.DUMMYFUNCTION("""COMPUTED_VALUE"""),"Cheng Jin")</f>
        <v>Cheng Jin</v>
      </c>
      <c r="D785">
        <f ca="1">IFERROR(__xludf.DUMMYFUNCTION("""COMPUTED_VALUE"""),40)</f>
        <v>40</v>
      </c>
      <c r="E785">
        <f ca="1">IFERROR(__xludf.DUMMYFUNCTION("""COMPUTED_VALUE"""),0.15)</f>
        <v>0.15</v>
      </c>
      <c r="F785">
        <f ca="1">IFERROR(__xludf.DUMMYFUNCTION("""COMPUTED_VALUE"""),5.88)</f>
        <v>5.88</v>
      </c>
      <c r="G785">
        <f ca="1">IFERROR(__xludf.DUMMYFUNCTION("""COMPUTED_VALUE"""),-4.38)</f>
        <v>-4.38</v>
      </c>
      <c r="H785">
        <f ca="1">IFERROR(__xludf.DUMMYFUNCTION("""COMPUTED_VALUE"""),0)</f>
        <v>0</v>
      </c>
      <c r="I785" t="str">
        <f ca="1">IFERROR(__xludf.DUMMYFUNCTION("""COMPUTED_VALUE"""),"")</f>
        <v/>
      </c>
    </row>
    <row r="786" spans="1:9" ht="12.75">
      <c r="A786">
        <f ca="1">IFERROR(__xludf.DUMMYFUNCTION("""COMPUTED_VALUE"""),785)</f>
        <v>785</v>
      </c>
      <c r="B786">
        <f ca="1">IFERROR(__xludf.DUMMYFUNCTION("""COMPUTED_VALUE"""),784)</f>
        <v>784</v>
      </c>
      <c r="C786" t="str">
        <f ca="1">IFERROR(__xludf.DUMMYFUNCTION("""COMPUTED_VALUE"""),"Erik Compton")</f>
        <v>Erik Compton</v>
      </c>
      <c r="D786">
        <f ca="1">IFERROR(__xludf.DUMMYFUNCTION("""COMPUTED_VALUE"""),43)</f>
        <v>43</v>
      </c>
      <c r="E786">
        <f ca="1">IFERROR(__xludf.DUMMYFUNCTION("""COMPUTED_VALUE"""),0.15)</f>
        <v>0.15</v>
      </c>
      <c r="F786">
        <f ca="1">IFERROR(__xludf.DUMMYFUNCTION("""COMPUTED_VALUE"""),6.31)</f>
        <v>6.31</v>
      </c>
      <c r="G786">
        <f ca="1">IFERROR(__xludf.DUMMYFUNCTION("""COMPUTED_VALUE"""),-7.2)</f>
        <v>-7.2</v>
      </c>
      <c r="H786">
        <f ca="1">IFERROR(__xludf.DUMMYFUNCTION("""COMPUTED_VALUE"""),1.2)</f>
        <v>1.2</v>
      </c>
      <c r="I786" t="str">
        <f ca="1">IFERROR(__xludf.DUMMYFUNCTION("""COMPUTED_VALUE"""),"")</f>
        <v/>
      </c>
    </row>
    <row r="787" spans="1:9" ht="12.75">
      <c r="A787">
        <f ca="1">IFERROR(__xludf.DUMMYFUNCTION("""COMPUTED_VALUE"""),786)</f>
        <v>786</v>
      </c>
      <c r="B787">
        <f ca="1">IFERROR(__xludf.DUMMYFUNCTION("""COMPUTED_VALUE"""),781)</f>
        <v>781</v>
      </c>
      <c r="C787" t="str">
        <f ca="1">IFERROR(__xludf.DUMMYFUNCTION("""COMPUTED_VALUE"""),"Carlos Pigem")</f>
        <v>Carlos Pigem</v>
      </c>
      <c r="D787">
        <f ca="1">IFERROR(__xludf.DUMMYFUNCTION("""COMPUTED_VALUE"""),52)</f>
        <v>52</v>
      </c>
      <c r="E787">
        <f ca="1">IFERROR(__xludf.DUMMYFUNCTION("""COMPUTED_VALUE"""),0.15)</f>
        <v>0.15</v>
      </c>
      <c r="F787">
        <f ca="1">IFERROR(__xludf.DUMMYFUNCTION("""COMPUTED_VALUE"""),7.62)</f>
        <v>7.62</v>
      </c>
      <c r="G787">
        <f ca="1">IFERROR(__xludf.DUMMYFUNCTION("""COMPUTED_VALUE"""),-3.04)</f>
        <v>-3.04</v>
      </c>
      <c r="H787">
        <f ca="1">IFERROR(__xludf.DUMMYFUNCTION("""COMPUTED_VALUE"""),3.96)</f>
        <v>3.96</v>
      </c>
      <c r="I787" t="str">
        <f ca="1">IFERROR(__xludf.DUMMYFUNCTION("""COMPUTED_VALUE"""),"")</f>
        <v/>
      </c>
    </row>
    <row r="788" spans="1:9" ht="12.75">
      <c r="A788">
        <f ca="1">IFERROR(__xludf.DUMMYFUNCTION("""COMPUTED_VALUE"""),787)</f>
        <v>787</v>
      </c>
      <c r="B788">
        <f ca="1">IFERROR(__xludf.DUMMYFUNCTION("""COMPUTED_VALUE"""),780)</f>
        <v>780</v>
      </c>
      <c r="C788" t="str">
        <f ca="1">IFERROR(__xludf.DUMMYFUNCTION("""COMPUTED_VALUE"""),"Greg Yates")</f>
        <v>Greg Yates</v>
      </c>
      <c r="D788">
        <f ca="1">IFERROR(__xludf.DUMMYFUNCTION("""COMPUTED_VALUE"""),46)</f>
        <v>46</v>
      </c>
      <c r="E788">
        <f ca="1">IFERROR(__xludf.DUMMYFUNCTION("""COMPUTED_VALUE"""),0.15)</f>
        <v>0.15</v>
      </c>
      <c r="F788">
        <f ca="1">IFERROR(__xludf.DUMMYFUNCTION("""COMPUTED_VALUE"""),6.74)</f>
        <v>6.74</v>
      </c>
      <c r="G788">
        <f ca="1">IFERROR(__xludf.DUMMYFUNCTION("""COMPUTED_VALUE"""),-3.31)</f>
        <v>-3.31</v>
      </c>
      <c r="H788">
        <f ca="1">IFERROR(__xludf.DUMMYFUNCTION("""COMPUTED_VALUE"""),4)</f>
        <v>4</v>
      </c>
      <c r="I788" t="str">
        <f ca="1">IFERROR(__xludf.DUMMYFUNCTION("""COMPUTED_VALUE"""),"")</f>
        <v/>
      </c>
    </row>
    <row r="789" spans="1:9" ht="12.75">
      <c r="A789">
        <f ca="1">IFERROR(__xludf.DUMMYFUNCTION("""COMPUTED_VALUE"""),788)</f>
        <v>788</v>
      </c>
      <c r="B789">
        <f ca="1">IFERROR(__xludf.DUMMYFUNCTION("""COMPUTED_VALUE"""),781)</f>
        <v>781</v>
      </c>
      <c r="C789" t="str">
        <f ca="1">IFERROR(__xludf.DUMMYFUNCTION("""COMPUTED_VALUE"""),"Chonlatit Chuenboonngam")</f>
        <v>Chonlatit Chuenboonngam</v>
      </c>
      <c r="D789">
        <f ca="1">IFERROR(__xludf.DUMMYFUNCTION("""COMPUTED_VALUE"""),40)</f>
        <v>40</v>
      </c>
      <c r="E789">
        <f ca="1">IFERROR(__xludf.DUMMYFUNCTION("""COMPUTED_VALUE"""),0.15)</f>
        <v>0.15</v>
      </c>
      <c r="F789">
        <f ca="1">IFERROR(__xludf.DUMMYFUNCTION("""COMPUTED_VALUE"""),5.84)</f>
        <v>5.84</v>
      </c>
      <c r="G789">
        <f ca="1">IFERROR(__xludf.DUMMYFUNCTION("""COMPUTED_VALUE"""),-2.74)</f>
        <v>-2.74</v>
      </c>
      <c r="H789">
        <f ca="1">IFERROR(__xludf.DUMMYFUNCTION("""COMPUTED_VALUE"""),1.53)</f>
        <v>1.53</v>
      </c>
      <c r="I789" t="str">
        <f ca="1">IFERROR(__xludf.DUMMYFUNCTION("""COMPUTED_VALUE"""),"")</f>
        <v/>
      </c>
    </row>
    <row r="790" spans="1:9" ht="12.75">
      <c r="A790">
        <f ca="1">IFERROR(__xludf.DUMMYFUNCTION("""COMPUTED_VALUE"""),789)</f>
        <v>789</v>
      </c>
      <c r="B790">
        <f ca="1">IFERROR(__xludf.DUMMYFUNCTION("""COMPUTED_VALUE"""),774)</f>
        <v>774</v>
      </c>
      <c r="C790" t="str">
        <f ca="1">IFERROR(__xludf.DUMMYFUNCTION("""COMPUTED_VALUE"""),"Daniel Greene")</f>
        <v>Daniel Greene</v>
      </c>
      <c r="D790">
        <f ca="1">IFERROR(__xludf.DUMMYFUNCTION("""COMPUTED_VALUE"""),40)</f>
        <v>40</v>
      </c>
      <c r="E790">
        <f ca="1">IFERROR(__xludf.DUMMYFUNCTION("""COMPUTED_VALUE"""),0.15)</f>
        <v>0.15</v>
      </c>
      <c r="F790">
        <f ca="1">IFERROR(__xludf.DUMMYFUNCTION("""COMPUTED_VALUE"""),5.84)</f>
        <v>5.84</v>
      </c>
      <c r="G790">
        <f ca="1">IFERROR(__xludf.DUMMYFUNCTION("""COMPUTED_VALUE"""),-6.59)</f>
        <v>-6.59</v>
      </c>
      <c r="H790">
        <f ca="1">IFERROR(__xludf.DUMMYFUNCTION("""COMPUTED_VALUE"""),0)</f>
        <v>0</v>
      </c>
      <c r="I790" t="str">
        <f ca="1">IFERROR(__xludf.DUMMYFUNCTION("""COMPUTED_VALUE"""),"")</f>
        <v/>
      </c>
    </row>
    <row r="791" spans="1:9" ht="12.75">
      <c r="A791">
        <f ca="1">IFERROR(__xludf.DUMMYFUNCTION("""COMPUTED_VALUE"""),790)</f>
        <v>790</v>
      </c>
      <c r="B791">
        <f ca="1">IFERROR(__xludf.DUMMYFUNCTION("""COMPUTED_VALUE"""),777)</f>
        <v>777</v>
      </c>
      <c r="C791" t="str">
        <f ca="1">IFERROR(__xludf.DUMMYFUNCTION("""COMPUTED_VALUE"""),"Ben Leong")</f>
        <v>Ben Leong</v>
      </c>
      <c r="D791">
        <f ca="1">IFERROR(__xludf.DUMMYFUNCTION("""COMPUTED_VALUE"""),40)</f>
        <v>40</v>
      </c>
      <c r="E791">
        <f ca="1">IFERROR(__xludf.DUMMYFUNCTION("""COMPUTED_VALUE"""),0.15)</f>
        <v>0.15</v>
      </c>
      <c r="F791">
        <f ca="1">IFERROR(__xludf.DUMMYFUNCTION("""COMPUTED_VALUE"""),5.83)</f>
        <v>5.83</v>
      </c>
      <c r="G791">
        <f ca="1">IFERROR(__xludf.DUMMYFUNCTION("""COMPUTED_VALUE"""),-8.09)</f>
        <v>-8.09</v>
      </c>
      <c r="H791">
        <f ca="1">IFERROR(__xludf.DUMMYFUNCTION("""COMPUTED_VALUE"""),0)</f>
        <v>0</v>
      </c>
      <c r="I791" t="str">
        <f ca="1">IFERROR(__xludf.DUMMYFUNCTION("""COMPUTED_VALUE"""),"")</f>
        <v/>
      </c>
    </row>
    <row r="792" spans="1:9" ht="12.75">
      <c r="A792">
        <f ca="1">IFERROR(__xludf.DUMMYFUNCTION("""COMPUTED_VALUE"""),791)</f>
        <v>791</v>
      </c>
      <c r="B792">
        <f ca="1">IFERROR(__xludf.DUMMYFUNCTION("""COMPUTED_VALUE"""),775)</f>
        <v>775</v>
      </c>
      <c r="C792" t="str">
        <f ca="1">IFERROR(__xludf.DUMMYFUNCTION("""COMPUTED_VALUE"""),"Bradley Dredge")</f>
        <v>Bradley Dredge</v>
      </c>
      <c r="D792">
        <f ca="1">IFERROR(__xludf.DUMMYFUNCTION("""COMPUTED_VALUE"""),40)</f>
        <v>40</v>
      </c>
      <c r="E792">
        <f ca="1">IFERROR(__xludf.DUMMYFUNCTION("""COMPUTED_VALUE"""),0.15)</f>
        <v>0.15</v>
      </c>
      <c r="F792">
        <f ca="1">IFERROR(__xludf.DUMMYFUNCTION("""COMPUTED_VALUE"""),5.8)</f>
        <v>5.8</v>
      </c>
      <c r="G792">
        <f ca="1">IFERROR(__xludf.DUMMYFUNCTION("""COMPUTED_VALUE"""),-8.65)</f>
        <v>-8.65</v>
      </c>
      <c r="H792">
        <f ca="1">IFERROR(__xludf.DUMMYFUNCTION("""COMPUTED_VALUE"""),0)</f>
        <v>0</v>
      </c>
      <c r="I792" t="str">
        <f ca="1">IFERROR(__xludf.DUMMYFUNCTION("""COMPUTED_VALUE"""),"")</f>
        <v/>
      </c>
    </row>
    <row r="793" spans="1:9" ht="12.75">
      <c r="A793">
        <f ca="1">IFERROR(__xludf.DUMMYFUNCTION("""COMPUTED_VALUE"""),791)</f>
        <v>791</v>
      </c>
      <c r="B793">
        <f ca="1">IFERROR(__xludf.DUMMYFUNCTION("""COMPUTED_VALUE"""),793)</f>
        <v>793</v>
      </c>
      <c r="C793" t="str">
        <f ca="1">IFERROR(__xludf.DUMMYFUNCTION("""COMPUTED_VALUE"""),"Alex Cejka")</f>
        <v>Alex Cejka</v>
      </c>
      <c r="D793">
        <f ca="1">IFERROR(__xludf.DUMMYFUNCTION("""COMPUTED_VALUE"""),42)</f>
        <v>42</v>
      </c>
      <c r="E793">
        <f ca="1">IFERROR(__xludf.DUMMYFUNCTION("""COMPUTED_VALUE"""),0.15)</f>
        <v>0.15</v>
      </c>
      <c r="F793">
        <f ca="1">IFERROR(__xludf.DUMMYFUNCTION("""COMPUTED_VALUE"""),6.09)</f>
        <v>6.09</v>
      </c>
      <c r="G793">
        <f ca="1">IFERROR(__xludf.DUMMYFUNCTION("""COMPUTED_VALUE"""),-6.51)</f>
        <v>-6.51</v>
      </c>
      <c r="H793">
        <f ca="1">IFERROR(__xludf.DUMMYFUNCTION("""COMPUTED_VALUE"""),1.7)</f>
        <v>1.7</v>
      </c>
      <c r="I793" t="str">
        <f ca="1">IFERROR(__xludf.DUMMYFUNCTION("""COMPUTED_VALUE"""),"")</f>
        <v/>
      </c>
    </row>
    <row r="794" spans="1:9" ht="12.75">
      <c r="A794">
        <f ca="1">IFERROR(__xludf.DUMMYFUNCTION("""COMPUTED_VALUE"""),793)</f>
        <v>793</v>
      </c>
      <c r="B794" t="str">
        <f ca="1">IFERROR(__xludf.DUMMYFUNCTION("""COMPUTED_VALUE"""),"")</f>
        <v/>
      </c>
      <c r="C794" t="str">
        <f ca="1">IFERROR(__xludf.DUMMYFUNCTION("""COMPUTED_VALUE"""),"Akshay Sharma")</f>
        <v>Akshay Sharma</v>
      </c>
      <c r="D794">
        <f ca="1">IFERROR(__xludf.DUMMYFUNCTION("""COMPUTED_VALUE"""),40)</f>
        <v>40</v>
      </c>
      <c r="E794">
        <f ca="1">IFERROR(__xludf.DUMMYFUNCTION("""COMPUTED_VALUE"""),0.14)</f>
        <v>0.14000000000000001</v>
      </c>
      <c r="F794">
        <f ca="1">IFERROR(__xludf.DUMMYFUNCTION("""COMPUTED_VALUE"""),5.8)</f>
        <v>5.8</v>
      </c>
      <c r="G794">
        <f ca="1">IFERROR(__xludf.DUMMYFUNCTION("""COMPUTED_VALUE"""),-0.4)</f>
        <v>-0.4</v>
      </c>
      <c r="H794">
        <f ca="1">IFERROR(__xludf.DUMMYFUNCTION("""COMPUTED_VALUE"""),5)</f>
        <v>5</v>
      </c>
      <c r="I794" t="str">
        <f ca="1">IFERROR(__xludf.DUMMYFUNCTION("""COMPUTED_VALUE"""),"")</f>
        <v/>
      </c>
    </row>
    <row r="795" spans="1:9" ht="12.75">
      <c r="A795">
        <f ca="1">IFERROR(__xludf.DUMMYFUNCTION("""COMPUTED_VALUE"""),794)</f>
        <v>794</v>
      </c>
      <c r="B795">
        <f ca="1">IFERROR(__xludf.DUMMYFUNCTION("""COMPUTED_VALUE"""),788)</f>
        <v>788</v>
      </c>
      <c r="C795" t="str">
        <f ca="1">IFERROR(__xludf.DUMMYFUNCTION("""COMPUTED_VALUE"""),"Mikael Lundberg")</f>
        <v>Mikael Lundberg</v>
      </c>
      <c r="D795">
        <f ca="1">IFERROR(__xludf.DUMMYFUNCTION("""COMPUTED_VALUE"""),40)</f>
        <v>40</v>
      </c>
      <c r="E795">
        <f ca="1">IFERROR(__xludf.DUMMYFUNCTION("""COMPUTED_VALUE"""),0.14)</f>
        <v>0.14000000000000001</v>
      </c>
      <c r="F795">
        <f ca="1">IFERROR(__xludf.DUMMYFUNCTION("""COMPUTED_VALUE"""),5.79)</f>
        <v>5.79</v>
      </c>
      <c r="G795">
        <f ca="1">IFERROR(__xludf.DUMMYFUNCTION("""COMPUTED_VALUE"""),-2.75)</f>
        <v>-2.75</v>
      </c>
      <c r="H795">
        <f ca="1">IFERROR(__xludf.DUMMYFUNCTION("""COMPUTED_VALUE"""),1.28)</f>
        <v>1.28</v>
      </c>
      <c r="I795" t="str">
        <f ca="1">IFERROR(__xludf.DUMMYFUNCTION("""COMPUTED_VALUE"""),"")</f>
        <v/>
      </c>
    </row>
    <row r="796" spans="1:9" ht="12.75">
      <c r="A796">
        <f ca="1">IFERROR(__xludf.DUMMYFUNCTION("""COMPUTED_VALUE"""),794)</f>
        <v>794</v>
      </c>
      <c r="B796">
        <f ca="1">IFERROR(__xludf.DUMMYFUNCTION("""COMPUTED_VALUE"""),789)</f>
        <v>789</v>
      </c>
      <c r="C796" t="str">
        <f ca="1">IFERROR(__xludf.DUMMYFUNCTION("""COMPUTED_VALUE"""),"Campbell Rawson")</f>
        <v>Campbell Rawson</v>
      </c>
      <c r="D796">
        <f ca="1">IFERROR(__xludf.DUMMYFUNCTION("""COMPUTED_VALUE"""),40)</f>
        <v>40</v>
      </c>
      <c r="E796">
        <f ca="1">IFERROR(__xludf.DUMMYFUNCTION("""COMPUTED_VALUE"""),0.14)</f>
        <v>0.14000000000000001</v>
      </c>
      <c r="F796">
        <f ca="1">IFERROR(__xludf.DUMMYFUNCTION("""COMPUTED_VALUE"""),5.79)</f>
        <v>5.79</v>
      </c>
      <c r="G796">
        <f ca="1">IFERROR(__xludf.DUMMYFUNCTION("""COMPUTED_VALUE"""),-2.64)</f>
        <v>-2.64</v>
      </c>
      <c r="H796">
        <f ca="1">IFERROR(__xludf.DUMMYFUNCTION("""COMPUTED_VALUE"""),0)</f>
        <v>0</v>
      </c>
      <c r="I796" t="str">
        <f ca="1">IFERROR(__xludf.DUMMYFUNCTION("""COMPUTED_VALUE"""),"")</f>
        <v/>
      </c>
    </row>
    <row r="797" spans="1:9" ht="12.75">
      <c r="A797">
        <f ca="1">IFERROR(__xludf.DUMMYFUNCTION("""COMPUTED_VALUE"""),796)</f>
        <v>796</v>
      </c>
      <c r="B797">
        <f ca="1">IFERROR(__xludf.DUMMYFUNCTION("""COMPUTED_VALUE"""),787)</f>
        <v>787</v>
      </c>
      <c r="C797" t="str">
        <f ca="1">IFERROR(__xludf.DUMMYFUNCTION("""COMPUTED_VALUE"""),"Ruan Conradie")</f>
        <v>Ruan Conradie</v>
      </c>
      <c r="D797">
        <f ca="1">IFERROR(__xludf.DUMMYFUNCTION("""COMPUTED_VALUE"""),46)</f>
        <v>46</v>
      </c>
      <c r="E797">
        <f ca="1">IFERROR(__xludf.DUMMYFUNCTION("""COMPUTED_VALUE"""),0.14)</f>
        <v>0.14000000000000001</v>
      </c>
      <c r="F797">
        <f ca="1">IFERROR(__xludf.DUMMYFUNCTION("""COMPUTED_VALUE"""),6.62)</f>
        <v>6.62</v>
      </c>
      <c r="G797">
        <f ca="1">IFERROR(__xludf.DUMMYFUNCTION("""COMPUTED_VALUE"""),-5.41)</f>
        <v>-5.41</v>
      </c>
      <c r="H797">
        <f ca="1">IFERROR(__xludf.DUMMYFUNCTION("""COMPUTED_VALUE"""),0)</f>
        <v>0</v>
      </c>
      <c r="I797" t="str">
        <f ca="1">IFERROR(__xludf.DUMMYFUNCTION("""COMPUTED_VALUE"""),"")</f>
        <v/>
      </c>
    </row>
    <row r="798" spans="1:9" ht="12.75">
      <c r="A798">
        <f ca="1">IFERROR(__xludf.DUMMYFUNCTION("""COMPUTED_VALUE"""),797)</f>
        <v>797</v>
      </c>
      <c r="B798">
        <f ca="1">IFERROR(__xludf.DUMMYFUNCTION("""COMPUTED_VALUE"""),797)</f>
        <v>797</v>
      </c>
      <c r="C798" t="str">
        <f ca="1">IFERROR(__xludf.DUMMYFUNCTION("""COMPUTED_VALUE"""),"Kevin Roy")</f>
        <v>Kevin Roy</v>
      </c>
      <c r="D798">
        <f ca="1">IFERROR(__xludf.DUMMYFUNCTION("""COMPUTED_VALUE"""),40)</f>
        <v>40</v>
      </c>
      <c r="E798">
        <f ca="1">IFERROR(__xludf.DUMMYFUNCTION("""COMPUTED_VALUE"""),0.14)</f>
        <v>0.14000000000000001</v>
      </c>
      <c r="F798">
        <f ca="1">IFERROR(__xludf.DUMMYFUNCTION("""COMPUTED_VALUE"""),5.72)</f>
        <v>5.72</v>
      </c>
      <c r="G798">
        <f ca="1">IFERROR(__xludf.DUMMYFUNCTION("""COMPUTED_VALUE"""),-0.41)</f>
        <v>-0.41</v>
      </c>
      <c r="H798">
        <f ca="1">IFERROR(__xludf.DUMMYFUNCTION("""COMPUTED_VALUE"""),6.13)</f>
        <v>6.13</v>
      </c>
      <c r="I798" t="str">
        <f ca="1">IFERROR(__xludf.DUMMYFUNCTION("""COMPUTED_VALUE"""),"")</f>
        <v/>
      </c>
    </row>
    <row r="799" spans="1:9" ht="12.75">
      <c r="A799">
        <f ca="1">IFERROR(__xludf.DUMMYFUNCTION("""COMPUTED_VALUE"""),798)</f>
        <v>798</v>
      </c>
      <c r="B799">
        <f ca="1">IFERROR(__xludf.DUMMYFUNCTION("""COMPUTED_VALUE"""),784)</f>
        <v>784</v>
      </c>
      <c r="C799" t="str">
        <f ca="1">IFERROR(__xludf.DUMMYFUNCTION("""COMPUTED_VALUE"""),"Han Lee")</f>
        <v>Han Lee</v>
      </c>
      <c r="D799">
        <f ca="1">IFERROR(__xludf.DUMMYFUNCTION("""COMPUTED_VALUE"""),40)</f>
        <v>40</v>
      </c>
      <c r="E799">
        <f ca="1">IFERROR(__xludf.DUMMYFUNCTION("""COMPUTED_VALUE"""),0.14)</f>
        <v>0.14000000000000001</v>
      </c>
      <c r="F799">
        <f ca="1">IFERROR(__xludf.DUMMYFUNCTION("""COMPUTED_VALUE"""),5.71)</f>
        <v>5.71</v>
      </c>
      <c r="G799">
        <f ca="1">IFERROR(__xludf.DUMMYFUNCTION("""COMPUTED_VALUE"""),-6.99)</f>
        <v>-6.99</v>
      </c>
      <c r="H799">
        <f ca="1">IFERROR(__xludf.DUMMYFUNCTION("""COMPUTED_VALUE"""),0)</f>
        <v>0</v>
      </c>
      <c r="I799" t="str">
        <f ca="1">IFERROR(__xludf.DUMMYFUNCTION("""COMPUTED_VALUE"""),"")</f>
        <v/>
      </c>
    </row>
    <row r="800" spans="1:9" ht="12.75">
      <c r="A800">
        <f ca="1">IFERROR(__xludf.DUMMYFUNCTION("""COMPUTED_VALUE"""),799)</f>
        <v>799</v>
      </c>
      <c r="B800">
        <f ca="1">IFERROR(__xludf.DUMMYFUNCTION("""COMPUTED_VALUE"""),791)</f>
        <v>791</v>
      </c>
      <c r="C800" t="str">
        <f ca="1">IFERROR(__xludf.DUMMYFUNCTION("""COMPUTED_VALUE"""),"Michael Palmer")</f>
        <v>Michael Palmer</v>
      </c>
      <c r="D800">
        <f ca="1">IFERROR(__xludf.DUMMYFUNCTION("""COMPUTED_VALUE"""),40)</f>
        <v>40</v>
      </c>
      <c r="E800">
        <f ca="1">IFERROR(__xludf.DUMMYFUNCTION("""COMPUTED_VALUE"""),0.14)</f>
        <v>0.14000000000000001</v>
      </c>
      <c r="F800">
        <f ca="1">IFERROR(__xludf.DUMMYFUNCTION("""COMPUTED_VALUE"""),5.71)</f>
        <v>5.71</v>
      </c>
      <c r="G800">
        <f ca="1">IFERROR(__xludf.DUMMYFUNCTION("""COMPUTED_VALUE"""),-9.99)</f>
        <v>-9.99</v>
      </c>
      <c r="H800">
        <f ca="1">IFERROR(__xludf.DUMMYFUNCTION("""COMPUTED_VALUE"""),1.54)</f>
        <v>1.54</v>
      </c>
      <c r="I800" t="str">
        <f ca="1">IFERROR(__xludf.DUMMYFUNCTION("""COMPUTED_VALUE"""),"")</f>
        <v/>
      </c>
    </row>
    <row r="801" spans="1:9" ht="12.75">
      <c r="A801">
        <f ca="1">IFERROR(__xludf.DUMMYFUNCTION("""COMPUTED_VALUE"""),800)</f>
        <v>800</v>
      </c>
      <c r="B801">
        <f ca="1">IFERROR(__xludf.DUMMYFUNCTION("""COMPUTED_VALUE"""),799)</f>
        <v>799</v>
      </c>
      <c r="C801" t="str">
        <f ca="1">IFERROR(__xludf.DUMMYFUNCTION("""COMPUTED_VALUE"""),"Alex Prugh")</f>
        <v>Alex Prugh</v>
      </c>
      <c r="D801">
        <f ca="1">IFERROR(__xludf.DUMMYFUNCTION("""COMPUTED_VALUE"""),49)</f>
        <v>49</v>
      </c>
      <c r="E801">
        <f ca="1">IFERROR(__xludf.DUMMYFUNCTION("""COMPUTED_VALUE"""),0.14)</f>
        <v>0.14000000000000001</v>
      </c>
      <c r="F801">
        <f ca="1">IFERROR(__xludf.DUMMYFUNCTION("""COMPUTED_VALUE"""),6.97)</f>
        <v>6.97</v>
      </c>
      <c r="G801">
        <f ca="1">IFERROR(__xludf.DUMMYFUNCTION("""COMPUTED_VALUE"""),-10.53)</f>
        <v>-10.53</v>
      </c>
      <c r="H801">
        <f ca="1">IFERROR(__xludf.DUMMYFUNCTION("""COMPUTED_VALUE"""),1.35)</f>
        <v>1.35</v>
      </c>
      <c r="I801" t="str">
        <f ca="1">IFERROR(__xludf.DUMMYFUNCTION("""COMPUTED_VALUE"""),"")</f>
        <v/>
      </c>
    </row>
    <row r="802" spans="1:9" ht="12.75">
      <c r="A802">
        <f ca="1">IFERROR(__xludf.DUMMYFUNCTION("""COMPUTED_VALUE"""),801)</f>
        <v>801</v>
      </c>
      <c r="B802">
        <f ca="1">IFERROR(__xludf.DUMMYFUNCTION("""COMPUTED_VALUE"""),793)</f>
        <v>793</v>
      </c>
      <c r="C802" t="str">
        <f ca="1">IFERROR(__xludf.DUMMYFUNCTION("""COMPUTED_VALUE"""),"Andrew Martin")</f>
        <v>Andrew Martin</v>
      </c>
      <c r="D802">
        <f ca="1">IFERROR(__xludf.DUMMYFUNCTION("""COMPUTED_VALUE"""),40)</f>
        <v>40</v>
      </c>
      <c r="E802">
        <f ca="1">IFERROR(__xludf.DUMMYFUNCTION("""COMPUTED_VALUE"""),0.14)</f>
        <v>0.14000000000000001</v>
      </c>
      <c r="F802">
        <f ca="1">IFERROR(__xludf.DUMMYFUNCTION("""COMPUTED_VALUE"""),5.68)</f>
        <v>5.68</v>
      </c>
      <c r="G802">
        <f ca="1">IFERROR(__xludf.DUMMYFUNCTION("""COMPUTED_VALUE"""),-4.41)</f>
        <v>-4.41</v>
      </c>
      <c r="H802">
        <f ca="1">IFERROR(__xludf.DUMMYFUNCTION("""COMPUTED_VALUE"""),0)</f>
        <v>0</v>
      </c>
      <c r="I802" t="str">
        <f ca="1">IFERROR(__xludf.DUMMYFUNCTION("""COMPUTED_VALUE"""),"")</f>
        <v/>
      </c>
    </row>
    <row r="803" spans="1:9" ht="12.75">
      <c r="A803">
        <f ca="1">IFERROR(__xludf.DUMMYFUNCTION("""COMPUTED_VALUE"""),802)</f>
        <v>802</v>
      </c>
      <c r="B803">
        <f ca="1">IFERROR(__xludf.DUMMYFUNCTION("""COMPUTED_VALUE"""),796)</f>
        <v>796</v>
      </c>
      <c r="C803" t="str">
        <f ca="1">IFERROR(__xludf.DUMMYFUNCTION("""COMPUTED_VALUE"""),"Nirun Sae-Ueng")</f>
        <v>Nirun Sae-Ueng</v>
      </c>
      <c r="D803">
        <f ca="1">IFERROR(__xludf.DUMMYFUNCTION("""COMPUTED_VALUE"""),40)</f>
        <v>40</v>
      </c>
      <c r="E803">
        <f ca="1">IFERROR(__xludf.DUMMYFUNCTION("""COMPUTED_VALUE"""),0.14)</f>
        <v>0.14000000000000001</v>
      </c>
      <c r="F803">
        <f ca="1">IFERROR(__xludf.DUMMYFUNCTION("""COMPUTED_VALUE"""),5.63)</f>
        <v>5.63</v>
      </c>
      <c r="G803">
        <f ca="1">IFERROR(__xludf.DUMMYFUNCTION("""COMPUTED_VALUE"""),-3.55)</f>
        <v>-3.55</v>
      </c>
      <c r="H803">
        <f ca="1">IFERROR(__xludf.DUMMYFUNCTION("""COMPUTED_VALUE"""),0)</f>
        <v>0</v>
      </c>
      <c r="I803" t="str">
        <f ca="1">IFERROR(__xludf.DUMMYFUNCTION("""COMPUTED_VALUE"""),"")</f>
        <v/>
      </c>
    </row>
    <row r="804" spans="1:9" ht="12.75">
      <c r="A804">
        <f ca="1">IFERROR(__xludf.DUMMYFUNCTION("""COMPUTED_VALUE"""),803)</f>
        <v>803</v>
      </c>
      <c r="B804">
        <f ca="1">IFERROR(__xludf.DUMMYFUNCTION("""COMPUTED_VALUE"""),795)</f>
        <v>795</v>
      </c>
      <c r="C804" t="str">
        <f ca="1">IFERROR(__xludf.DUMMYFUNCTION("""COMPUTED_VALUE"""),"Stephen Ferreira")</f>
        <v>Stephen Ferreira</v>
      </c>
      <c r="D804">
        <f ca="1">IFERROR(__xludf.DUMMYFUNCTION("""COMPUTED_VALUE"""),40)</f>
        <v>40</v>
      </c>
      <c r="E804">
        <f ca="1">IFERROR(__xludf.DUMMYFUNCTION("""COMPUTED_VALUE"""),0.14)</f>
        <v>0.14000000000000001</v>
      </c>
      <c r="F804">
        <f ca="1">IFERROR(__xludf.DUMMYFUNCTION("""COMPUTED_VALUE"""),5.63)</f>
        <v>5.63</v>
      </c>
      <c r="G804">
        <f ca="1">IFERROR(__xludf.DUMMYFUNCTION("""COMPUTED_VALUE"""),-5.06)</f>
        <v>-5.0599999999999996</v>
      </c>
      <c r="H804">
        <f ca="1">IFERROR(__xludf.DUMMYFUNCTION("""COMPUTED_VALUE"""),0)</f>
        <v>0</v>
      </c>
      <c r="I804" t="str">
        <f ca="1">IFERROR(__xludf.DUMMYFUNCTION("""COMPUTED_VALUE"""),"")</f>
        <v/>
      </c>
    </row>
    <row r="805" spans="1:9" ht="12.75">
      <c r="A805">
        <f ca="1">IFERROR(__xludf.DUMMYFUNCTION("""COMPUTED_VALUE"""),804)</f>
        <v>804</v>
      </c>
      <c r="B805">
        <f ca="1">IFERROR(__xludf.DUMMYFUNCTION("""COMPUTED_VALUE"""),801)</f>
        <v>801</v>
      </c>
      <c r="C805" t="str">
        <f ca="1">IFERROR(__xludf.DUMMYFUNCTION("""COMPUTED_VALUE"""),"Jeremiah Kim")</f>
        <v>Jeremiah Kim</v>
      </c>
      <c r="D805">
        <f ca="1">IFERROR(__xludf.DUMMYFUNCTION("""COMPUTED_VALUE"""),40)</f>
        <v>40</v>
      </c>
      <c r="E805">
        <f ca="1">IFERROR(__xludf.DUMMYFUNCTION("""COMPUTED_VALUE"""),0.14)</f>
        <v>0.14000000000000001</v>
      </c>
      <c r="F805">
        <f ca="1">IFERROR(__xludf.DUMMYFUNCTION("""COMPUTED_VALUE"""),5.58)</f>
        <v>5.58</v>
      </c>
      <c r="G805">
        <f ca="1">IFERROR(__xludf.DUMMYFUNCTION("""COMPUTED_VALUE"""),-2.89)</f>
        <v>-2.89</v>
      </c>
      <c r="H805">
        <f ca="1">IFERROR(__xludf.DUMMYFUNCTION("""COMPUTED_VALUE"""),0)</f>
        <v>0</v>
      </c>
      <c r="I805" t="str">
        <f ca="1">IFERROR(__xludf.DUMMYFUNCTION("""COMPUTED_VALUE"""),"")</f>
        <v/>
      </c>
    </row>
    <row r="806" spans="1:9" ht="12.75">
      <c r="A806">
        <f ca="1">IFERROR(__xludf.DUMMYFUNCTION("""COMPUTED_VALUE"""),805)</f>
        <v>805</v>
      </c>
      <c r="B806">
        <f ca="1">IFERROR(__xludf.DUMMYFUNCTION("""COMPUTED_VALUE"""),800)</f>
        <v>800</v>
      </c>
      <c r="C806" t="str">
        <f ca="1">IFERROR(__xludf.DUMMYFUNCTION("""COMPUTED_VALUE"""),"Tatsuya Kodai")</f>
        <v>Tatsuya Kodai</v>
      </c>
      <c r="D806">
        <f ca="1">IFERROR(__xludf.DUMMYFUNCTION("""COMPUTED_VALUE"""),40)</f>
        <v>40</v>
      </c>
      <c r="E806">
        <f ca="1">IFERROR(__xludf.DUMMYFUNCTION("""COMPUTED_VALUE"""),0.14)</f>
        <v>0.14000000000000001</v>
      </c>
      <c r="F806">
        <f ca="1">IFERROR(__xludf.DUMMYFUNCTION("""COMPUTED_VALUE"""),5.58)</f>
        <v>5.58</v>
      </c>
      <c r="G806">
        <f ca="1">IFERROR(__xludf.DUMMYFUNCTION("""COMPUTED_VALUE"""),-3.94)</f>
        <v>-3.94</v>
      </c>
      <c r="H806">
        <f ca="1">IFERROR(__xludf.DUMMYFUNCTION("""COMPUTED_VALUE"""),2.4)</f>
        <v>2.4</v>
      </c>
      <c r="I806" t="str">
        <f ca="1">IFERROR(__xludf.DUMMYFUNCTION("""COMPUTED_VALUE"""),"")</f>
        <v/>
      </c>
    </row>
    <row r="807" spans="1:9" ht="12.75">
      <c r="A807">
        <f ca="1">IFERROR(__xludf.DUMMYFUNCTION("""COMPUTED_VALUE"""),806)</f>
        <v>806</v>
      </c>
      <c r="B807">
        <f ca="1">IFERROR(__xludf.DUMMYFUNCTION("""COMPUTED_VALUE"""),802)</f>
        <v>802</v>
      </c>
      <c r="C807" t="str">
        <f ca="1">IFERROR(__xludf.DUMMYFUNCTION("""COMPUTED_VALUE"""),"Julien Foret")</f>
        <v>Julien Foret</v>
      </c>
      <c r="D807">
        <f ca="1">IFERROR(__xludf.DUMMYFUNCTION("""COMPUTED_VALUE"""),40)</f>
        <v>40</v>
      </c>
      <c r="E807">
        <f ca="1">IFERROR(__xludf.DUMMYFUNCTION("""COMPUTED_VALUE"""),0.14)</f>
        <v>0.14000000000000001</v>
      </c>
      <c r="F807">
        <f ca="1">IFERROR(__xludf.DUMMYFUNCTION("""COMPUTED_VALUE"""),5.57)</f>
        <v>5.57</v>
      </c>
      <c r="G807">
        <f ca="1">IFERROR(__xludf.DUMMYFUNCTION("""COMPUTED_VALUE"""),-4.21)</f>
        <v>-4.21</v>
      </c>
      <c r="H807">
        <f ca="1">IFERROR(__xludf.DUMMYFUNCTION("""COMPUTED_VALUE"""),1.33)</f>
        <v>1.33</v>
      </c>
      <c r="I807" t="str">
        <f ca="1">IFERROR(__xludf.DUMMYFUNCTION("""COMPUTED_VALUE"""),"")</f>
        <v/>
      </c>
    </row>
    <row r="808" spans="1:9" ht="12.75">
      <c r="A808">
        <f ca="1">IFERROR(__xludf.DUMMYFUNCTION("""COMPUTED_VALUE"""),807)</f>
        <v>807</v>
      </c>
      <c r="B808">
        <f ca="1">IFERROR(__xludf.DUMMYFUNCTION("""COMPUTED_VALUE"""),806)</f>
        <v>806</v>
      </c>
      <c r="C808" t="str">
        <f ca="1">IFERROR(__xludf.DUMMYFUNCTION("""COMPUTED_VALUE"""),"Jack Maguire")</f>
        <v>Jack Maguire</v>
      </c>
      <c r="D808">
        <f ca="1">IFERROR(__xludf.DUMMYFUNCTION("""COMPUTED_VALUE"""),42)</f>
        <v>42</v>
      </c>
      <c r="E808">
        <f ca="1">IFERROR(__xludf.DUMMYFUNCTION("""COMPUTED_VALUE"""),0.14)</f>
        <v>0.14000000000000001</v>
      </c>
      <c r="F808">
        <f ca="1">IFERROR(__xludf.DUMMYFUNCTION("""COMPUTED_VALUE"""),5.82)</f>
        <v>5.82</v>
      </c>
      <c r="G808">
        <f ca="1">IFERROR(__xludf.DUMMYFUNCTION("""COMPUTED_VALUE"""),-1.84)</f>
        <v>-1.84</v>
      </c>
      <c r="H808">
        <f ca="1">IFERROR(__xludf.DUMMYFUNCTION("""COMPUTED_VALUE"""),5.8)</f>
        <v>5.8</v>
      </c>
      <c r="I808" t="str">
        <f ca="1">IFERROR(__xludf.DUMMYFUNCTION("""COMPUTED_VALUE"""),"")</f>
        <v/>
      </c>
    </row>
    <row r="809" spans="1:9" ht="12.75">
      <c r="A809">
        <f ca="1">IFERROR(__xludf.DUMMYFUNCTION("""COMPUTED_VALUE"""),808)</f>
        <v>808</v>
      </c>
      <c r="B809">
        <f ca="1">IFERROR(__xludf.DUMMYFUNCTION("""COMPUTED_VALUE"""),803)</f>
        <v>803</v>
      </c>
      <c r="C809" t="str">
        <f ca="1">IFERROR(__xludf.DUMMYFUNCTION("""COMPUTED_VALUE"""),"Jinho Choi")</f>
        <v>Jinho Choi</v>
      </c>
      <c r="D809">
        <f ca="1">IFERROR(__xludf.DUMMYFUNCTION("""COMPUTED_VALUE"""),42)</f>
        <v>42</v>
      </c>
      <c r="E809">
        <f ca="1">IFERROR(__xludf.DUMMYFUNCTION("""COMPUTED_VALUE"""),0.14)</f>
        <v>0.14000000000000001</v>
      </c>
      <c r="F809">
        <f ca="1">IFERROR(__xludf.DUMMYFUNCTION("""COMPUTED_VALUE"""),5.8)</f>
        <v>5.8</v>
      </c>
      <c r="G809">
        <f ca="1">IFERROR(__xludf.DUMMYFUNCTION("""COMPUTED_VALUE"""),-5.46)</f>
        <v>-5.46</v>
      </c>
      <c r="H809">
        <f ca="1">IFERROR(__xludf.DUMMYFUNCTION("""COMPUTED_VALUE"""),1.44)</f>
        <v>1.44</v>
      </c>
      <c r="I809" t="str">
        <f ca="1">IFERROR(__xludf.DUMMYFUNCTION("""COMPUTED_VALUE"""),"")</f>
        <v/>
      </c>
    </row>
    <row r="810" spans="1:9" ht="12.75">
      <c r="A810">
        <f ca="1">IFERROR(__xludf.DUMMYFUNCTION("""COMPUTED_VALUE"""),809)</f>
        <v>809</v>
      </c>
      <c r="B810">
        <f ca="1">IFERROR(__xludf.DUMMYFUNCTION("""COMPUTED_VALUE"""),811)</f>
        <v>811</v>
      </c>
      <c r="C810" t="str">
        <f ca="1">IFERROR(__xludf.DUMMYFUNCTION("""COMPUTED_VALUE"""),"Niclas Johansson")</f>
        <v>Niclas Johansson</v>
      </c>
      <c r="D810">
        <f ca="1">IFERROR(__xludf.DUMMYFUNCTION("""COMPUTED_VALUE"""),43)</f>
        <v>43</v>
      </c>
      <c r="E810">
        <f ca="1">IFERROR(__xludf.DUMMYFUNCTION("""COMPUTED_VALUE"""),0.14)</f>
        <v>0.14000000000000001</v>
      </c>
      <c r="F810">
        <f ca="1">IFERROR(__xludf.DUMMYFUNCTION("""COMPUTED_VALUE"""),5.94)</f>
        <v>5.94</v>
      </c>
      <c r="G810">
        <f ca="1">IFERROR(__xludf.DUMMYFUNCTION("""COMPUTED_VALUE"""),-2.93)</f>
        <v>-2.93</v>
      </c>
      <c r="H810">
        <f ca="1">IFERROR(__xludf.DUMMYFUNCTION("""COMPUTED_VALUE"""),2.4)</f>
        <v>2.4</v>
      </c>
      <c r="I810" t="str">
        <f ca="1">IFERROR(__xludf.DUMMYFUNCTION("""COMPUTED_VALUE"""),"")</f>
        <v/>
      </c>
    </row>
    <row r="811" spans="1:9" ht="12.75">
      <c r="A811">
        <f ca="1">IFERROR(__xludf.DUMMYFUNCTION("""COMPUTED_VALUE"""),809)</f>
        <v>809</v>
      </c>
      <c r="B811">
        <f ca="1">IFERROR(__xludf.DUMMYFUNCTION("""COMPUTED_VALUE"""),805)</f>
        <v>805</v>
      </c>
      <c r="C811" t="str">
        <f ca="1">IFERROR(__xludf.DUMMYFUNCTION("""COMPUTED_VALUE"""),"John Somers")</f>
        <v>John Somers</v>
      </c>
      <c r="D811">
        <f ca="1">IFERROR(__xludf.DUMMYFUNCTION("""COMPUTED_VALUE"""),40)</f>
        <v>40</v>
      </c>
      <c r="E811">
        <f ca="1">IFERROR(__xludf.DUMMYFUNCTION("""COMPUTED_VALUE"""),0.14)</f>
        <v>0.14000000000000001</v>
      </c>
      <c r="F811">
        <f ca="1">IFERROR(__xludf.DUMMYFUNCTION("""COMPUTED_VALUE"""),5.52)</f>
        <v>5.52</v>
      </c>
      <c r="G811">
        <f ca="1">IFERROR(__xludf.DUMMYFUNCTION("""COMPUTED_VALUE"""),-4.15)</f>
        <v>-4.1500000000000004</v>
      </c>
      <c r="H811">
        <f ca="1">IFERROR(__xludf.DUMMYFUNCTION("""COMPUTED_VALUE"""),0)</f>
        <v>0</v>
      </c>
      <c r="I811" t="str">
        <f ca="1">IFERROR(__xludf.DUMMYFUNCTION("""COMPUTED_VALUE"""),"")</f>
        <v/>
      </c>
    </row>
    <row r="812" spans="1:9" ht="12.75">
      <c r="A812">
        <f ca="1">IFERROR(__xludf.DUMMYFUNCTION("""COMPUTED_VALUE"""),811)</f>
        <v>811</v>
      </c>
      <c r="B812">
        <f ca="1">IFERROR(__xludf.DUMMYFUNCTION("""COMPUTED_VALUE"""),803)</f>
        <v>803</v>
      </c>
      <c r="C812" t="str">
        <f ca="1">IFERROR(__xludf.DUMMYFUNCTION("""COMPUTED_VALUE"""),"Steve Wheatcroft")</f>
        <v>Steve Wheatcroft</v>
      </c>
      <c r="D812">
        <f ca="1">IFERROR(__xludf.DUMMYFUNCTION("""COMPUTED_VALUE"""),40)</f>
        <v>40</v>
      </c>
      <c r="E812">
        <f ca="1">IFERROR(__xludf.DUMMYFUNCTION("""COMPUTED_VALUE"""),0.14)</f>
        <v>0.14000000000000001</v>
      </c>
      <c r="F812">
        <f ca="1">IFERROR(__xludf.DUMMYFUNCTION("""COMPUTED_VALUE"""),5.51)</f>
        <v>5.51</v>
      </c>
      <c r="G812">
        <f ca="1">IFERROR(__xludf.DUMMYFUNCTION("""COMPUTED_VALUE"""),-6.5)</f>
        <v>-6.5</v>
      </c>
      <c r="H812">
        <f ca="1">IFERROR(__xludf.DUMMYFUNCTION("""COMPUTED_VALUE"""),0)</f>
        <v>0</v>
      </c>
      <c r="I812" t="str">
        <f ca="1">IFERROR(__xludf.DUMMYFUNCTION("""COMPUTED_VALUE"""),"")</f>
        <v/>
      </c>
    </row>
    <row r="813" spans="1:9" ht="12.75">
      <c r="A813">
        <f ca="1">IFERROR(__xludf.DUMMYFUNCTION("""COMPUTED_VALUE"""),812)</f>
        <v>812</v>
      </c>
      <c r="B813">
        <f ca="1">IFERROR(__xludf.DUMMYFUNCTION("""COMPUTED_VALUE"""),798)</f>
        <v>798</v>
      </c>
      <c r="C813" t="str">
        <f ca="1">IFERROR(__xludf.DUMMYFUNCTION("""COMPUTED_VALUE"""),"Wen-Tang Lin")</f>
        <v>Wen-Tang Lin</v>
      </c>
      <c r="D813">
        <f ca="1">IFERROR(__xludf.DUMMYFUNCTION("""COMPUTED_VALUE"""),40)</f>
        <v>40</v>
      </c>
      <c r="E813">
        <f ca="1">IFERROR(__xludf.DUMMYFUNCTION("""COMPUTED_VALUE"""),0.14)</f>
        <v>0.14000000000000001</v>
      </c>
      <c r="F813">
        <f ca="1">IFERROR(__xludf.DUMMYFUNCTION("""COMPUTED_VALUE"""),5.51)</f>
        <v>5.51</v>
      </c>
      <c r="G813">
        <f ca="1">IFERROR(__xludf.DUMMYFUNCTION("""COMPUTED_VALUE"""),-7.19)</f>
        <v>-7.19</v>
      </c>
      <c r="H813">
        <f ca="1">IFERROR(__xludf.DUMMYFUNCTION("""COMPUTED_VALUE"""),0)</f>
        <v>0</v>
      </c>
      <c r="I813" t="str">
        <f ca="1">IFERROR(__xludf.DUMMYFUNCTION("""COMPUTED_VALUE"""),"")</f>
        <v/>
      </c>
    </row>
    <row r="814" spans="1:9" ht="12.75">
      <c r="A814">
        <f ca="1">IFERROR(__xludf.DUMMYFUNCTION("""COMPUTED_VALUE"""),812)</f>
        <v>812</v>
      </c>
      <c r="B814">
        <f ca="1">IFERROR(__xludf.DUMMYFUNCTION("""COMPUTED_VALUE"""),807)</f>
        <v>807</v>
      </c>
      <c r="C814" t="str">
        <f ca="1">IFERROR(__xludf.DUMMYFUNCTION("""COMPUTED_VALUE"""),"James Du Preez")</f>
        <v>James Du Preez</v>
      </c>
      <c r="D814">
        <f ca="1">IFERROR(__xludf.DUMMYFUNCTION("""COMPUTED_VALUE"""),40)</f>
        <v>40</v>
      </c>
      <c r="E814">
        <f ca="1">IFERROR(__xludf.DUMMYFUNCTION("""COMPUTED_VALUE"""),0.14)</f>
        <v>0.14000000000000001</v>
      </c>
      <c r="F814">
        <f ca="1">IFERROR(__xludf.DUMMYFUNCTION("""COMPUTED_VALUE"""),5.5)</f>
        <v>5.5</v>
      </c>
      <c r="G814">
        <f ca="1">IFERROR(__xludf.DUMMYFUNCTION("""COMPUTED_VALUE"""),-2.37)</f>
        <v>-2.37</v>
      </c>
      <c r="H814">
        <f ca="1">IFERROR(__xludf.DUMMYFUNCTION("""COMPUTED_VALUE"""),1.22)</f>
        <v>1.22</v>
      </c>
      <c r="I814" t="str">
        <f ca="1">IFERROR(__xludf.DUMMYFUNCTION("""COMPUTED_VALUE"""),"")</f>
        <v/>
      </c>
    </row>
    <row r="815" spans="1:9" ht="12.75">
      <c r="A815">
        <f ca="1">IFERROR(__xludf.DUMMYFUNCTION("""COMPUTED_VALUE"""),814)</f>
        <v>814</v>
      </c>
      <c r="B815">
        <f ca="1">IFERROR(__xludf.DUMMYFUNCTION("""COMPUTED_VALUE"""),812)</f>
        <v>812</v>
      </c>
      <c r="C815" t="str">
        <f ca="1">IFERROR(__xludf.DUMMYFUNCTION("""COMPUTED_VALUE"""),"T.J. Vogel")</f>
        <v>T.J. Vogel</v>
      </c>
      <c r="D815">
        <f ca="1">IFERROR(__xludf.DUMMYFUNCTION("""COMPUTED_VALUE"""),46)</f>
        <v>46</v>
      </c>
      <c r="E815">
        <f ca="1">IFERROR(__xludf.DUMMYFUNCTION("""COMPUTED_VALUE"""),0.14)</f>
        <v>0.14000000000000001</v>
      </c>
      <c r="F815">
        <f ca="1">IFERROR(__xludf.DUMMYFUNCTION("""COMPUTED_VALUE"""),6.29)</f>
        <v>6.29</v>
      </c>
      <c r="G815">
        <f ca="1">IFERROR(__xludf.DUMMYFUNCTION("""COMPUTED_VALUE"""),-4.09)</f>
        <v>-4.09</v>
      </c>
      <c r="H815">
        <f ca="1">IFERROR(__xludf.DUMMYFUNCTION("""COMPUTED_VALUE"""),2.21)</f>
        <v>2.21</v>
      </c>
      <c r="I815" t="str">
        <f ca="1">IFERROR(__xludf.DUMMYFUNCTION("""COMPUTED_VALUE"""),"")</f>
        <v/>
      </c>
    </row>
    <row r="816" spans="1:9" ht="12.75">
      <c r="A816">
        <f ca="1">IFERROR(__xludf.DUMMYFUNCTION("""COMPUTED_VALUE"""),815)</f>
        <v>815</v>
      </c>
      <c r="B816">
        <f ca="1">IFERROR(__xludf.DUMMYFUNCTION("""COMPUTED_VALUE"""),986)</f>
        <v>986</v>
      </c>
      <c r="C816" t="str">
        <f ca="1">IFERROR(__xludf.DUMMYFUNCTION("""COMPUTED_VALUE"""),"Joung-whan Park")</f>
        <v>Joung-whan Park</v>
      </c>
      <c r="D816">
        <f ca="1">IFERROR(__xludf.DUMMYFUNCTION("""COMPUTED_VALUE"""),40)</f>
        <v>40</v>
      </c>
      <c r="E816">
        <f ca="1">IFERROR(__xludf.DUMMYFUNCTION("""COMPUTED_VALUE"""),0.14)</f>
        <v>0.14000000000000001</v>
      </c>
      <c r="F816">
        <f ca="1">IFERROR(__xludf.DUMMYFUNCTION("""COMPUTED_VALUE"""),5.44)</f>
        <v>5.44</v>
      </c>
      <c r="G816">
        <f ca="1">IFERROR(__xludf.DUMMYFUNCTION("""COMPUTED_VALUE"""),-0.85)</f>
        <v>-0.85</v>
      </c>
      <c r="H816">
        <f ca="1">IFERROR(__xludf.DUMMYFUNCTION("""COMPUTED_VALUE"""),4.58)</f>
        <v>4.58</v>
      </c>
      <c r="I816" t="str">
        <f ca="1">IFERROR(__xludf.DUMMYFUNCTION("""COMPUTED_VALUE"""),"")</f>
        <v/>
      </c>
    </row>
    <row r="817" spans="1:9" ht="12.75">
      <c r="A817">
        <f ca="1">IFERROR(__xludf.DUMMYFUNCTION("""COMPUTED_VALUE"""),816)</f>
        <v>816</v>
      </c>
      <c r="B817">
        <f ca="1">IFERROR(__xludf.DUMMYFUNCTION("""COMPUTED_VALUE"""),816)</f>
        <v>816</v>
      </c>
      <c r="C817" t="str">
        <f ca="1">IFERROR(__xludf.DUMMYFUNCTION("""COMPUTED_VALUE"""),"Mateusz Gradecki")</f>
        <v>Mateusz Gradecki</v>
      </c>
      <c r="D817">
        <f ca="1">IFERROR(__xludf.DUMMYFUNCTION("""COMPUTED_VALUE"""),41)</f>
        <v>41</v>
      </c>
      <c r="E817">
        <f ca="1">IFERROR(__xludf.DUMMYFUNCTION("""COMPUTED_VALUE"""),0.14)</f>
        <v>0.14000000000000001</v>
      </c>
      <c r="F817">
        <f ca="1">IFERROR(__xludf.DUMMYFUNCTION("""COMPUTED_VALUE"""),5.54)</f>
        <v>5.54</v>
      </c>
      <c r="G817">
        <f ca="1">IFERROR(__xludf.DUMMYFUNCTION("""COMPUTED_VALUE"""),-5.27)</f>
        <v>-5.27</v>
      </c>
      <c r="H817">
        <f ca="1">IFERROR(__xludf.DUMMYFUNCTION("""COMPUTED_VALUE"""),3.2)</f>
        <v>3.2</v>
      </c>
      <c r="I817" t="str">
        <f ca="1">IFERROR(__xludf.DUMMYFUNCTION("""COMPUTED_VALUE"""),"")</f>
        <v/>
      </c>
    </row>
    <row r="818" spans="1:9" ht="12.75">
      <c r="A818">
        <f ca="1">IFERROR(__xludf.DUMMYFUNCTION("""COMPUTED_VALUE"""),817)</f>
        <v>817</v>
      </c>
      <c r="B818">
        <f ca="1">IFERROR(__xludf.DUMMYFUNCTION("""COMPUTED_VALUE"""),814)</f>
        <v>814</v>
      </c>
      <c r="C818" t="str">
        <f ca="1">IFERROR(__xludf.DUMMYFUNCTION("""COMPUTED_VALUE"""),"Charlie Wi")</f>
        <v>Charlie Wi</v>
      </c>
      <c r="D818">
        <f ca="1">IFERROR(__xludf.DUMMYFUNCTION("""COMPUTED_VALUE"""),40)</f>
        <v>40</v>
      </c>
      <c r="E818">
        <f ca="1">IFERROR(__xludf.DUMMYFUNCTION("""COMPUTED_VALUE"""),0.13)</f>
        <v>0.13</v>
      </c>
      <c r="F818">
        <f ca="1">IFERROR(__xludf.DUMMYFUNCTION("""COMPUTED_VALUE"""),5.37)</f>
        <v>5.37</v>
      </c>
      <c r="G818">
        <f ca="1">IFERROR(__xludf.DUMMYFUNCTION("""COMPUTED_VALUE"""),-1.02)</f>
        <v>-1.02</v>
      </c>
      <c r="H818">
        <f ca="1">IFERROR(__xludf.DUMMYFUNCTION("""COMPUTED_VALUE"""),6.39)</f>
        <v>6.39</v>
      </c>
      <c r="I818" t="str">
        <f ca="1">IFERROR(__xludf.DUMMYFUNCTION("""COMPUTED_VALUE"""),"")</f>
        <v/>
      </c>
    </row>
    <row r="819" spans="1:9" ht="12.75">
      <c r="A819">
        <f ca="1">IFERROR(__xludf.DUMMYFUNCTION("""COMPUTED_VALUE"""),818)</f>
        <v>818</v>
      </c>
      <c r="B819">
        <f ca="1">IFERROR(__xludf.DUMMYFUNCTION("""COMPUTED_VALUE"""),924)</f>
        <v>924</v>
      </c>
      <c r="C819" t="str">
        <f ca="1">IFERROR(__xludf.DUMMYFUNCTION("""COMPUTED_VALUE"""),"Haimeng Chao")</f>
        <v>Haimeng Chao</v>
      </c>
      <c r="D819">
        <f ca="1">IFERROR(__xludf.DUMMYFUNCTION("""COMPUTED_VALUE"""),40)</f>
        <v>40</v>
      </c>
      <c r="E819">
        <f ca="1">IFERROR(__xludf.DUMMYFUNCTION("""COMPUTED_VALUE"""),0.13)</f>
        <v>0.13</v>
      </c>
      <c r="F819">
        <f ca="1">IFERROR(__xludf.DUMMYFUNCTION("""COMPUTED_VALUE"""),5.36)</f>
        <v>5.36</v>
      </c>
      <c r="G819">
        <f ca="1">IFERROR(__xludf.DUMMYFUNCTION("""COMPUTED_VALUE"""),-2.61)</f>
        <v>-2.61</v>
      </c>
      <c r="H819">
        <f ca="1">IFERROR(__xludf.DUMMYFUNCTION("""COMPUTED_VALUE"""),1.2)</f>
        <v>1.2</v>
      </c>
      <c r="I819" t="str">
        <f ca="1">IFERROR(__xludf.DUMMYFUNCTION("""COMPUTED_VALUE"""),"")</f>
        <v/>
      </c>
    </row>
    <row r="820" spans="1:9" ht="12.75">
      <c r="A820">
        <f ca="1">IFERROR(__xludf.DUMMYFUNCTION("""COMPUTED_VALUE"""),819)</f>
        <v>819</v>
      </c>
      <c r="B820">
        <f ca="1">IFERROR(__xludf.DUMMYFUNCTION("""COMPUTED_VALUE"""),810)</f>
        <v>810</v>
      </c>
      <c r="C820" t="str">
        <f ca="1">IFERROR(__xludf.DUMMYFUNCTION("""COMPUTED_VALUE"""),"Andres Gallegos")</f>
        <v>Andres Gallegos</v>
      </c>
      <c r="D820">
        <f ca="1">IFERROR(__xludf.DUMMYFUNCTION("""COMPUTED_VALUE"""),47)</f>
        <v>47</v>
      </c>
      <c r="E820">
        <f ca="1">IFERROR(__xludf.DUMMYFUNCTION("""COMPUTED_VALUE"""),0.13)</f>
        <v>0.13</v>
      </c>
      <c r="F820">
        <f ca="1">IFERROR(__xludf.DUMMYFUNCTION("""COMPUTED_VALUE"""),6.29)</f>
        <v>6.29</v>
      </c>
      <c r="G820">
        <f ca="1">IFERROR(__xludf.DUMMYFUNCTION("""COMPUTED_VALUE"""),-6.26)</f>
        <v>-6.26</v>
      </c>
      <c r="H820">
        <f ca="1">IFERROR(__xludf.DUMMYFUNCTION("""COMPUTED_VALUE"""),0)</f>
        <v>0</v>
      </c>
      <c r="I820" t="str">
        <f ca="1">IFERROR(__xludf.DUMMYFUNCTION("""COMPUTED_VALUE"""),"")</f>
        <v/>
      </c>
    </row>
    <row r="821" spans="1:9" ht="12.75">
      <c r="A821">
        <f ca="1">IFERROR(__xludf.DUMMYFUNCTION("""COMPUTED_VALUE"""),819)</f>
        <v>819</v>
      </c>
      <c r="B821">
        <f ca="1">IFERROR(__xludf.DUMMYFUNCTION("""COMPUTED_VALUE"""),816)</f>
        <v>816</v>
      </c>
      <c r="C821" t="str">
        <f ca="1">IFERROR(__xludf.DUMMYFUNCTION("""COMPUTED_VALUE"""),"Taisei Shimizu")</f>
        <v>Taisei Shimizu</v>
      </c>
      <c r="D821">
        <f ca="1">IFERROR(__xludf.DUMMYFUNCTION("""COMPUTED_VALUE"""),40)</f>
        <v>40</v>
      </c>
      <c r="E821">
        <f ca="1">IFERROR(__xludf.DUMMYFUNCTION("""COMPUTED_VALUE"""),0.13)</f>
        <v>0.13</v>
      </c>
      <c r="F821">
        <f ca="1">IFERROR(__xludf.DUMMYFUNCTION("""COMPUTED_VALUE"""),5.36)</f>
        <v>5.36</v>
      </c>
      <c r="G821">
        <f ca="1">IFERROR(__xludf.DUMMYFUNCTION("""COMPUTED_VALUE"""),-1.84)</f>
        <v>-1.84</v>
      </c>
      <c r="H821">
        <f ca="1">IFERROR(__xludf.DUMMYFUNCTION("""COMPUTED_VALUE"""),3.07)</f>
        <v>3.07</v>
      </c>
      <c r="I821" t="str">
        <f ca="1">IFERROR(__xludf.DUMMYFUNCTION("""COMPUTED_VALUE"""),"")</f>
        <v/>
      </c>
    </row>
    <row r="822" spans="1:9" ht="12.75">
      <c r="A822">
        <f ca="1">IFERROR(__xludf.DUMMYFUNCTION("""COMPUTED_VALUE"""),821)</f>
        <v>821</v>
      </c>
      <c r="B822">
        <f ca="1">IFERROR(__xludf.DUMMYFUNCTION("""COMPUTED_VALUE"""),819)</f>
        <v>819</v>
      </c>
      <c r="C822" t="str">
        <f ca="1">IFERROR(__xludf.DUMMYFUNCTION("""COMPUTED_VALUE"""),"Nicholas Fung")</f>
        <v>Nicholas Fung</v>
      </c>
      <c r="D822">
        <f ca="1">IFERROR(__xludf.DUMMYFUNCTION("""COMPUTED_VALUE"""),42)</f>
        <v>42</v>
      </c>
      <c r="E822">
        <f ca="1">IFERROR(__xludf.DUMMYFUNCTION("""COMPUTED_VALUE"""),0.13)</f>
        <v>0.13</v>
      </c>
      <c r="F822">
        <f ca="1">IFERROR(__xludf.DUMMYFUNCTION("""COMPUTED_VALUE"""),5.61)</f>
        <v>5.61</v>
      </c>
      <c r="G822">
        <f ca="1">IFERROR(__xludf.DUMMYFUNCTION("""COMPUTED_VALUE"""),-6.63)</f>
        <v>-6.63</v>
      </c>
      <c r="H822">
        <f ca="1">IFERROR(__xludf.DUMMYFUNCTION("""COMPUTED_VALUE"""),0)</f>
        <v>0</v>
      </c>
      <c r="I822" t="str">
        <f ca="1">IFERROR(__xludf.DUMMYFUNCTION("""COMPUTED_VALUE"""),"")</f>
        <v/>
      </c>
    </row>
    <row r="823" spans="1:9" ht="12.75">
      <c r="A823">
        <f ca="1">IFERROR(__xludf.DUMMYFUNCTION("""COMPUTED_VALUE"""),822)</f>
        <v>822</v>
      </c>
      <c r="B823">
        <f ca="1">IFERROR(__xludf.DUMMYFUNCTION("""COMPUTED_VALUE"""),821)</f>
        <v>821</v>
      </c>
      <c r="C823" t="str">
        <f ca="1">IFERROR(__xludf.DUMMYFUNCTION("""COMPUTED_VALUE"""),"Yosuke Tsukada")</f>
        <v>Yosuke Tsukada</v>
      </c>
      <c r="D823">
        <f ca="1">IFERROR(__xludf.DUMMYFUNCTION("""COMPUTED_VALUE"""),40)</f>
        <v>40</v>
      </c>
      <c r="E823">
        <f ca="1">IFERROR(__xludf.DUMMYFUNCTION("""COMPUTED_VALUE"""),0.13)</f>
        <v>0.13</v>
      </c>
      <c r="F823">
        <f ca="1">IFERROR(__xludf.DUMMYFUNCTION("""COMPUTED_VALUE"""),5.34)</f>
        <v>5.34</v>
      </c>
      <c r="G823">
        <f ca="1">IFERROR(__xludf.DUMMYFUNCTION("""COMPUTED_VALUE"""),-1.61)</f>
        <v>-1.61</v>
      </c>
      <c r="H823">
        <f ca="1">IFERROR(__xludf.DUMMYFUNCTION("""COMPUTED_VALUE"""),2.4)</f>
        <v>2.4</v>
      </c>
      <c r="I823" t="str">
        <f ca="1">IFERROR(__xludf.DUMMYFUNCTION("""COMPUTED_VALUE"""),"")</f>
        <v/>
      </c>
    </row>
    <row r="824" spans="1:9" ht="12.75">
      <c r="A824">
        <f ca="1">IFERROR(__xludf.DUMMYFUNCTION("""COMPUTED_VALUE"""),822)</f>
        <v>822</v>
      </c>
      <c r="B824">
        <f ca="1">IFERROR(__xludf.DUMMYFUNCTION("""COMPUTED_VALUE"""),816)</f>
        <v>816</v>
      </c>
      <c r="C824" t="str">
        <f ca="1">IFERROR(__xludf.DUMMYFUNCTION("""COMPUTED_VALUE"""),"Daniel Young")</f>
        <v>Daniel Young</v>
      </c>
      <c r="D824">
        <f ca="1">IFERROR(__xludf.DUMMYFUNCTION("""COMPUTED_VALUE"""),40)</f>
        <v>40</v>
      </c>
      <c r="E824">
        <f ca="1">IFERROR(__xludf.DUMMYFUNCTION("""COMPUTED_VALUE"""),0.13)</f>
        <v>0.13</v>
      </c>
      <c r="F824">
        <f ca="1">IFERROR(__xludf.DUMMYFUNCTION("""COMPUTED_VALUE"""),5.34)</f>
        <v>5.34</v>
      </c>
      <c r="G824">
        <f ca="1">IFERROR(__xludf.DUMMYFUNCTION("""COMPUTED_VALUE"""),-2.13)</f>
        <v>-2.13</v>
      </c>
      <c r="H824">
        <f ca="1">IFERROR(__xludf.DUMMYFUNCTION("""COMPUTED_VALUE"""),2.85)</f>
        <v>2.85</v>
      </c>
      <c r="I824" t="str">
        <f ca="1">IFERROR(__xludf.DUMMYFUNCTION("""COMPUTED_VALUE"""),"")</f>
        <v/>
      </c>
    </row>
    <row r="825" spans="1:9" ht="12.75">
      <c r="A825">
        <f ca="1">IFERROR(__xludf.DUMMYFUNCTION("""COMPUTED_VALUE"""),822)</f>
        <v>822</v>
      </c>
      <c r="B825">
        <f ca="1">IFERROR(__xludf.DUMMYFUNCTION("""COMPUTED_VALUE"""),823)</f>
        <v>823</v>
      </c>
      <c r="C825" t="str">
        <f ca="1">IFERROR(__xludf.DUMMYFUNCTION("""COMPUTED_VALUE"""),"Stoney Crouch")</f>
        <v>Stoney Crouch</v>
      </c>
      <c r="D825">
        <f ca="1">IFERROR(__xludf.DUMMYFUNCTION("""COMPUTED_VALUE"""),40)</f>
        <v>40</v>
      </c>
      <c r="E825">
        <f ca="1">IFERROR(__xludf.DUMMYFUNCTION("""COMPUTED_VALUE"""),0.13)</f>
        <v>0.13</v>
      </c>
      <c r="F825">
        <f ca="1">IFERROR(__xludf.DUMMYFUNCTION("""COMPUTED_VALUE"""),5.34)</f>
        <v>5.34</v>
      </c>
      <c r="G825">
        <f ca="1">IFERROR(__xludf.DUMMYFUNCTION("""COMPUTED_VALUE"""),-0.87)</f>
        <v>-0.87</v>
      </c>
      <c r="H825">
        <f ca="1">IFERROR(__xludf.DUMMYFUNCTION("""COMPUTED_VALUE"""),4)</f>
        <v>4</v>
      </c>
      <c r="I825" t="str">
        <f ca="1">IFERROR(__xludf.DUMMYFUNCTION("""COMPUTED_VALUE"""),"")</f>
        <v/>
      </c>
    </row>
    <row r="826" spans="1:9" ht="12.75">
      <c r="A826">
        <f ca="1">IFERROR(__xludf.DUMMYFUNCTION("""COMPUTED_VALUE"""),825)</f>
        <v>825</v>
      </c>
      <c r="B826">
        <f ca="1">IFERROR(__xludf.DUMMYFUNCTION("""COMPUTED_VALUE"""),812)</f>
        <v>812</v>
      </c>
      <c r="C826" t="str">
        <f ca="1">IFERROR(__xludf.DUMMYFUNCTION("""COMPUTED_VALUE"""),"Alex Haindl")</f>
        <v>Alex Haindl</v>
      </c>
      <c r="D826">
        <f ca="1">IFERROR(__xludf.DUMMYFUNCTION("""COMPUTED_VALUE"""),40)</f>
        <v>40</v>
      </c>
      <c r="E826">
        <f ca="1">IFERROR(__xludf.DUMMYFUNCTION("""COMPUTED_VALUE"""),0.13)</f>
        <v>0.13</v>
      </c>
      <c r="F826">
        <f ca="1">IFERROR(__xludf.DUMMYFUNCTION("""COMPUTED_VALUE"""),5.33)</f>
        <v>5.33</v>
      </c>
      <c r="G826">
        <f ca="1">IFERROR(__xludf.DUMMYFUNCTION("""COMPUTED_VALUE"""),-8.49)</f>
        <v>-8.49</v>
      </c>
      <c r="H826">
        <f ca="1">IFERROR(__xludf.DUMMYFUNCTION("""COMPUTED_VALUE"""),3.55)</f>
        <v>3.55</v>
      </c>
      <c r="I826" t="str">
        <f ca="1">IFERROR(__xludf.DUMMYFUNCTION("""COMPUTED_VALUE"""),"")</f>
        <v/>
      </c>
    </row>
    <row r="827" spans="1:9" ht="12.75">
      <c r="A827">
        <f ca="1">IFERROR(__xludf.DUMMYFUNCTION("""COMPUTED_VALUE"""),825)</f>
        <v>825</v>
      </c>
      <c r="B827">
        <f ca="1">IFERROR(__xludf.DUMMYFUNCTION("""COMPUTED_VALUE"""),822)</f>
        <v>822</v>
      </c>
      <c r="C827" t="str">
        <f ca="1">IFERROR(__xludf.DUMMYFUNCTION("""COMPUTED_VALUE"""),"Brian Campbell")</f>
        <v>Brian Campbell</v>
      </c>
      <c r="D827">
        <f ca="1">IFERROR(__xludf.DUMMYFUNCTION("""COMPUTED_VALUE"""),44)</f>
        <v>44</v>
      </c>
      <c r="E827">
        <f ca="1">IFERROR(__xludf.DUMMYFUNCTION("""COMPUTED_VALUE"""),0.13)</f>
        <v>0.13</v>
      </c>
      <c r="F827">
        <f ca="1">IFERROR(__xludf.DUMMYFUNCTION("""COMPUTED_VALUE"""),5.86)</f>
        <v>5.86</v>
      </c>
      <c r="G827">
        <f ca="1">IFERROR(__xludf.DUMMYFUNCTION("""COMPUTED_VALUE"""),-7.63)</f>
        <v>-7.63</v>
      </c>
      <c r="H827">
        <f ca="1">IFERROR(__xludf.DUMMYFUNCTION("""COMPUTED_VALUE"""),0)</f>
        <v>0</v>
      </c>
      <c r="I827" t="str">
        <f ca="1">IFERROR(__xludf.DUMMYFUNCTION("""COMPUTED_VALUE"""),"")</f>
        <v/>
      </c>
    </row>
    <row r="828" spans="1:9" ht="12.75">
      <c r="A828">
        <f ca="1">IFERROR(__xludf.DUMMYFUNCTION("""COMPUTED_VALUE"""),827)</f>
        <v>827</v>
      </c>
      <c r="B828">
        <f ca="1">IFERROR(__xludf.DUMMYFUNCTION("""COMPUTED_VALUE"""),808)</f>
        <v>808</v>
      </c>
      <c r="C828" t="str">
        <f ca="1">IFERROR(__xludf.DUMMYFUNCTION("""COMPUTED_VALUE"""),"Eom Jae-woong")</f>
        <v>Eom Jae-woong</v>
      </c>
      <c r="D828">
        <f ca="1">IFERROR(__xludf.DUMMYFUNCTION("""COMPUTED_VALUE"""),40)</f>
        <v>40</v>
      </c>
      <c r="E828">
        <f ca="1">IFERROR(__xludf.DUMMYFUNCTION("""COMPUTED_VALUE"""),0.13)</f>
        <v>0.13</v>
      </c>
      <c r="F828">
        <f ca="1">IFERROR(__xludf.DUMMYFUNCTION("""COMPUTED_VALUE"""),5.32)</f>
        <v>5.32</v>
      </c>
      <c r="G828">
        <f ca="1">IFERROR(__xludf.DUMMYFUNCTION("""COMPUTED_VALUE"""),-8.77)</f>
        <v>-8.77</v>
      </c>
      <c r="H828">
        <f ca="1">IFERROR(__xludf.DUMMYFUNCTION("""COMPUTED_VALUE"""),1.47)</f>
        <v>1.47</v>
      </c>
      <c r="I828" t="str">
        <f ca="1">IFERROR(__xludf.DUMMYFUNCTION("""COMPUTED_VALUE"""),"")</f>
        <v/>
      </c>
    </row>
    <row r="829" spans="1:9" ht="12.75">
      <c r="A829">
        <f ca="1">IFERROR(__xludf.DUMMYFUNCTION("""COMPUTED_VALUE"""),828)</f>
        <v>828</v>
      </c>
      <c r="B829">
        <f ca="1">IFERROR(__xludf.DUMMYFUNCTION("""COMPUTED_VALUE"""),824)</f>
        <v>824</v>
      </c>
      <c r="C829" t="str">
        <f ca="1">IFERROR(__xludf.DUMMYFUNCTION("""COMPUTED_VALUE"""),"Jayden Schaper")</f>
        <v>Jayden Schaper</v>
      </c>
      <c r="D829">
        <f ca="1">IFERROR(__xludf.DUMMYFUNCTION("""COMPUTED_VALUE"""),40)</f>
        <v>40</v>
      </c>
      <c r="E829">
        <f ca="1">IFERROR(__xludf.DUMMYFUNCTION("""COMPUTED_VALUE"""),0.13)</f>
        <v>0.13</v>
      </c>
      <c r="F829">
        <f ca="1">IFERROR(__xludf.DUMMYFUNCTION("""COMPUTED_VALUE"""),5.3)</f>
        <v>5.3</v>
      </c>
      <c r="G829">
        <f ca="1">IFERROR(__xludf.DUMMYFUNCTION("""COMPUTED_VALUE"""),-1.06)</f>
        <v>-1.06</v>
      </c>
      <c r="H829">
        <f ca="1">IFERROR(__xludf.DUMMYFUNCTION("""COMPUTED_VALUE"""),6.36)</f>
        <v>6.36</v>
      </c>
      <c r="I829" t="str">
        <f ca="1">IFERROR(__xludf.DUMMYFUNCTION("""COMPUTED_VALUE"""),"")</f>
        <v/>
      </c>
    </row>
    <row r="830" spans="1:9" ht="12.75">
      <c r="A830">
        <f ca="1">IFERROR(__xludf.DUMMYFUNCTION("""COMPUTED_VALUE"""),829)</f>
        <v>829</v>
      </c>
      <c r="B830">
        <f ca="1">IFERROR(__xludf.DUMMYFUNCTION("""COMPUTED_VALUE"""),820)</f>
        <v>820</v>
      </c>
      <c r="C830" t="str">
        <f ca="1">IFERROR(__xludf.DUMMYFUNCTION("""COMPUTED_VALUE"""),"Luke Guthrie")</f>
        <v>Luke Guthrie</v>
      </c>
      <c r="D830">
        <f ca="1">IFERROR(__xludf.DUMMYFUNCTION("""COMPUTED_VALUE"""),40)</f>
        <v>40</v>
      </c>
      <c r="E830">
        <f ca="1">IFERROR(__xludf.DUMMYFUNCTION("""COMPUTED_VALUE"""),0.13)</f>
        <v>0.13</v>
      </c>
      <c r="F830">
        <f ca="1">IFERROR(__xludf.DUMMYFUNCTION("""COMPUTED_VALUE"""),5.28)</f>
        <v>5.28</v>
      </c>
      <c r="G830">
        <f ca="1">IFERROR(__xludf.DUMMYFUNCTION("""COMPUTED_VALUE"""),-4.23)</f>
        <v>-4.2300000000000004</v>
      </c>
      <c r="H830">
        <f ca="1">IFERROR(__xludf.DUMMYFUNCTION("""COMPUTED_VALUE"""),1.68)</f>
        <v>1.68</v>
      </c>
      <c r="I830" t="str">
        <f ca="1">IFERROR(__xludf.DUMMYFUNCTION("""COMPUTED_VALUE"""),"")</f>
        <v/>
      </c>
    </row>
    <row r="831" spans="1:9" ht="12.75">
      <c r="A831">
        <f ca="1">IFERROR(__xludf.DUMMYFUNCTION("""COMPUTED_VALUE"""),830)</f>
        <v>830</v>
      </c>
      <c r="B831">
        <f ca="1">IFERROR(__xludf.DUMMYFUNCTION("""COMPUTED_VALUE"""),815)</f>
        <v>815</v>
      </c>
      <c r="C831" t="str">
        <f ca="1">IFERROR(__xludf.DUMMYFUNCTION("""COMPUTED_VALUE"""),"Ryan Blaum")</f>
        <v>Ryan Blaum</v>
      </c>
      <c r="D831">
        <f ca="1">IFERROR(__xludf.DUMMYFUNCTION("""COMPUTED_VALUE"""),40)</f>
        <v>40</v>
      </c>
      <c r="E831">
        <f ca="1">IFERROR(__xludf.DUMMYFUNCTION("""COMPUTED_VALUE"""),0.13)</f>
        <v>0.13</v>
      </c>
      <c r="F831">
        <f ca="1">IFERROR(__xludf.DUMMYFUNCTION("""COMPUTED_VALUE"""),5.23)</f>
        <v>5.23</v>
      </c>
      <c r="G831">
        <f ca="1">IFERROR(__xludf.DUMMYFUNCTION("""COMPUTED_VALUE"""),-12.04)</f>
        <v>-12.04</v>
      </c>
      <c r="H831">
        <f ca="1">IFERROR(__xludf.DUMMYFUNCTION("""COMPUTED_VALUE"""),0)</f>
        <v>0</v>
      </c>
      <c r="I831" t="str">
        <f ca="1">IFERROR(__xludf.DUMMYFUNCTION("""COMPUTED_VALUE"""),"")</f>
        <v/>
      </c>
    </row>
    <row r="832" spans="1:9" ht="12.75">
      <c r="A832">
        <f ca="1">IFERROR(__xludf.DUMMYFUNCTION("""COMPUTED_VALUE"""),831)</f>
        <v>831</v>
      </c>
      <c r="B832">
        <f ca="1">IFERROR(__xludf.DUMMYFUNCTION("""COMPUTED_VALUE"""),825)</f>
        <v>825</v>
      </c>
      <c r="C832" t="str">
        <f ca="1">IFERROR(__xludf.DUMMYFUNCTION("""COMPUTED_VALUE"""),"Jae-Ho Kim")</f>
        <v>Jae-Ho Kim</v>
      </c>
      <c r="D832">
        <f ca="1">IFERROR(__xludf.DUMMYFUNCTION("""COMPUTED_VALUE"""),40)</f>
        <v>40</v>
      </c>
      <c r="E832">
        <f ca="1">IFERROR(__xludf.DUMMYFUNCTION("""COMPUTED_VALUE"""),0.13)</f>
        <v>0.13</v>
      </c>
      <c r="F832">
        <f ca="1">IFERROR(__xludf.DUMMYFUNCTION("""COMPUTED_VALUE"""),5.22)</f>
        <v>5.22</v>
      </c>
      <c r="G832">
        <f ca="1">IFERROR(__xludf.DUMMYFUNCTION("""COMPUTED_VALUE"""),-3.8)</f>
        <v>-3.8</v>
      </c>
      <c r="H832">
        <f ca="1">IFERROR(__xludf.DUMMYFUNCTION("""COMPUTED_VALUE"""),1.86)</f>
        <v>1.86</v>
      </c>
      <c r="I832" t="str">
        <f ca="1">IFERROR(__xludf.DUMMYFUNCTION("""COMPUTED_VALUE"""),"")</f>
        <v/>
      </c>
    </row>
    <row r="833" spans="1:9" ht="12.75">
      <c r="A833">
        <f ca="1">IFERROR(__xludf.DUMMYFUNCTION("""COMPUTED_VALUE"""),831)</f>
        <v>831</v>
      </c>
      <c r="B833">
        <f ca="1">IFERROR(__xludf.DUMMYFUNCTION("""COMPUTED_VALUE"""),828)</f>
        <v>828</v>
      </c>
      <c r="C833" t="str">
        <f ca="1">IFERROR(__xludf.DUMMYFUNCTION("""COMPUTED_VALUE"""),"Scott Gregory")</f>
        <v>Scott Gregory</v>
      </c>
      <c r="D833">
        <f ca="1">IFERROR(__xludf.DUMMYFUNCTION("""COMPUTED_VALUE"""),40)</f>
        <v>40</v>
      </c>
      <c r="E833">
        <f ca="1">IFERROR(__xludf.DUMMYFUNCTION("""COMPUTED_VALUE"""),0.13)</f>
        <v>0.13</v>
      </c>
      <c r="F833">
        <f ca="1">IFERROR(__xludf.DUMMYFUNCTION("""COMPUTED_VALUE"""),5.22)</f>
        <v>5.22</v>
      </c>
      <c r="G833">
        <f ca="1">IFERROR(__xludf.DUMMYFUNCTION("""COMPUTED_VALUE"""),-0.51)</f>
        <v>-0.51</v>
      </c>
      <c r="H833">
        <f ca="1">IFERROR(__xludf.DUMMYFUNCTION("""COMPUTED_VALUE"""),4.57)</f>
        <v>4.57</v>
      </c>
      <c r="I833" t="str">
        <f ca="1">IFERROR(__xludf.DUMMYFUNCTION("""COMPUTED_VALUE"""),"")</f>
        <v/>
      </c>
    </row>
    <row r="834" spans="1:9" ht="12.75">
      <c r="A834">
        <f ca="1">IFERROR(__xludf.DUMMYFUNCTION("""COMPUTED_VALUE"""),833)</f>
        <v>833</v>
      </c>
      <c r="B834">
        <f ca="1">IFERROR(__xludf.DUMMYFUNCTION("""COMPUTED_VALUE"""),831)</f>
        <v>831</v>
      </c>
      <c r="C834" t="str">
        <f ca="1">IFERROR(__xludf.DUMMYFUNCTION("""COMPUTED_VALUE"""),"Alejandro Del Ray")</f>
        <v>Alejandro Del Ray</v>
      </c>
      <c r="D834">
        <f ca="1">IFERROR(__xludf.DUMMYFUNCTION("""COMPUTED_VALUE"""),40)</f>
        <v>40</v>
      </c>
      <c r="E834">
        <f ca="1">IFERROR(__xludf.DUMMYFUNCTION("""COMPUTED_VALUE"""),0.13)</f>
        <v>0.13</v>
      </c>
      <c r="F834">
        <f ca="1">IFERROR(__xludf.DUMMYFUNCTION("""COMPUTED_VALUE"""),5.2)</f>
        <v>5.2</v>
      </c>
      <c r="G834" t="str">
        <f ca="1">IFERROR(__xludf.DUMMYFUNCTION("""COMPUTED_VALUE"""),"")</f>
        <v/>
      </c>
      <c r="H834">
        <f ca="1">IFERROR(__xludf.DUMMYFUNCTION("""COMPUTED_VALUE"""),5.2)</f>
        <v>5.2</v>
      </c>
      <c r="I834" t="str">
        <f ca="1">IFERROR(__xludf.DUMMYFUNCTION("""COMPUTED_VALUE"""),"")</f>
        <v/>
      </c>
    </row>
    <row r="835" spans="1:9" ht="12.75">
      <c r="A835">
        <f ca="1">IFERROR(__xludf.DUMMYFUNCTION("""COMPUTED_VALUE"""),834)</f>
        <v>834</v>
      </c>
      <c r="B835">
        <f ca="1">IFERROR(__xludf.DUMMYFUNCTION("""COMPUTED_VALUE"""),827)</f>
        <v>827</v>
      </c>
      <c r="C835" t="str">
        <f ca="1">IFERROR(__xludf.DUMMYFUNCTION("""COMPUTED_VALUE"""),"Ricardo Celia")</f>
        <v>Ricardo Celia</v>
      </c>
      <c r="D835">
        <f ca="1">IFERROR(__xludf.DUMMYFUNCTION("""COMPUTED_VALUE"""),40)</f>
        <v>40</v>
      </c>
      <c r="E835">
        <f ca="1">IFERROR(__xludf.DUMMYFUNCTION("""COMPUTED_VALUE"""),0.13)</f>
        <v>0.13</v>
      </c>
      <c r="F835">
        <f ca="1">IFERROR(__xludf.DUMMYFUNCTION("""COMPUTED_VALUE"""),5.19)</f>
        <v>5.19</v>
      </c>
      <c r="G835">
        <f ca="1">IFERROR(__xludf.DUMMYFUNCTION("""COMPUTED_VALUE"""),-2.29)</f>
        <v>-2.29</v>
      </c>
      <c r="H835">
        <f ca="1">IFERROR(__xludf.DUMMYFUNCTION("""COMPUTED_VALUE"""),0)</f>
        <v>0</v>
      </c>
      <c r="I835" t="str">
        <f ca="1">IFERROR(__xludf.DUMMYFUNCTION("""COMPUTED_VALUE"""),"")</f>
        <v/>
      </c>
    </row>
    <row r="836" spans="1:9" ht="12.75">
      <c r="A836">
        <f ca="1">IFERROR(__xludf.DUMMYFUNCTION("""COMPUTED_VALUE"""),834)</f>
        <v>834</v>
      </c>
      <c r="B836">
        <f ca="1">IFERROR(__xludf.DUMMYFUNCTION("""COMPUTED_VALUE"""),831)</f>
        <v>831</v>
      </c>
      <c r="C836" t="str">
        <f ca="1">IFERROR(__xludf.DUMMYFUNCTION("""COMPUTED_VALUE"""),"Carson Young")</f>
        <v>Carson Young</v>
      </c>
      <c r="D836">
        <f ca="1">IFERROR(__xludf.DUMMYFUNCTION("""COMPUTED_VALUE"""),40)</f>
        <v>40</v>
      </c>
      <c r="E836">
        <f ca="1">IFERROR(__xludf.DUMMYFUNCTION("""COMPUTED_VALUE"""),0.13)</f>
        <v>0.13</v>
      </c>
      <c r="F836">
        <f ca="1">IFERROR(__xludf.DUMMYFUNCTION("""COMPUTED_VALUE"""),5.19)</f>
        <v>5.19</v>
      </c>
      <c r="G836">
        <f ca="1">IFERROR(__xludf.DUMMYFUNCTION("""COMPUTED_VALUE"""),-0.01)</f>
        <v>-0.01</v>
      </c>
      <c r="H836">
        <f ca="1">IFERROR(__xludf.DUMMYFUNCTION("""COMPUTED_VALUE"""),5.2)</f>
        <v>5.2</v>
      </c>
      <c r="I836" t="str">
        <f ca="1">IFERROR(__xludf.DUMMYFUNCTION("""COMPUTED_VALUE"""),"")</f>
        <v/>
      </c>
    </row>
    <row r="837" spans="1:9" ht="12.75">
      <c r="A837">
        <f ca="1">IFERROR(__xludf.DUMMYFUNCTION("""COMPUTED_VALUE"""),836)</f>
        <v>836</v>
      </c>
      <c r="B837">
        <f ca="1">IFERROR(__xludf.DUMMYFUNCTION("""COMPUTED_VALUE"""),830)</f>
        <v>830</v>
      </c>
      <c r="C837" t="str">
        <f ca="1">IFERROR(__xludf.DUMMYFUNCTION("""COMPUTED_VALUE"""),"Ben Silverman")</f>
        <v>Ben Silverman</v>
      </c>
      <c r="D837">
        <f ca="1">IFERROR(__xludf.DUMMYFUNCTION("""COMPUTED_VALUE"""),49)</f>
        <v>49</v>
      </c>
      <c r="E837">
        <f ca="1">IFERROR(__xludf.DUMMYFUNCTION("""COMPUTED_VALUE"""),0.13)</f>
        <v>0.13</v>
      </c>
      <c r="F837">
        <f ca="1">IFERROR(__xludf.DUMMYFUNCTION("""COMPUTED_VALUE"""),6.35)</f>
        <v>6.35</v>
      </c>
      <c r="G837">
        <f ca="1">IFERROR(__xludf.DUMMYFUNCTION("""COMPUTED_VALUE"""),-9.55)</f>
        <v>-9.5500000000000007</v>
      </c>
      <c r="H837">
        <f ca="1">IFERROR(__xludf.DUMMYFUNCTION("""COMPUTED_VALUE"""),2.85)</f>
        <v>2.85</v>
      </c>
      <c r="I837" t="str">
        <f ca="1">IFERROR(__xludf.DUMMYFUNCTION("""COMPUTED_VALUE"""),"")</f>
        <v/>
      </c>
    </row>
    <row r="838" spans="1:9" ht="12.75">
      <c r="A838">
        <f ca="1">IFERROR(__xludf.DUMMYFUNCTION("""COMPUTED_VALUE"""),836)</f>
        <v>836</v>
      </c>
      <c r="B838">
        <f ca="1">IFERROR(__xludf.DUMMYFUNCTION("""COMPUTED_VALUE"""),809)</f>
        <v>809</v>
      </c>
      <c r="C838" t="str">
        <f ca="1">IFERROR(__xludf.DUMMYFUNCTION("""COMPUTED_VALUE"""),"Yuta Kinoshita")</f>
        <v>Yuta Kinoshita</v>
      </c>
      <c r="D838">
        <f ca="1">IFERROR(__xludf.DUMMYFUNCTION("""COMPUTED_VALUE"""),40)</f>
        <v>40</v>
      </c>
      <c r="E838">
        <f ca="1">IFERROR(__xludf.DUMMYFUNCTION("""COMPUTED_VALUE"""),0.13)</f>
        <v>0.13</v>
      </c>
      <c r="F838">
        <f ca="1">IFERROR(__xludf.DUMMYFUNCTION("""COMPUTED_VALUE"""),5.18)</f>
        <v>5.18</v>
      </c>
      <c r="G838">
        <f ca="1">IFERROR(__xludf.DUMMYFUNCTION("""COMPUTED_VALUE"""),-11.03)</f>
        <v>-11.03</v>
      </c>
      <c r="H838">
        <f ca="1">IFERROR(__xludf.DUMMYFUNCTION("""COMPUTED_VALUE"""),1.84)</f>
        <v>1.84</v>
      </c>
      <c r="I838" t="str">
        <f ca="1">IFERROR(__xludf.DUMMYFUNCTION("""COMPUTED_VALUE"""),"")</f>
        <v/>
      </c>
    </row>
    <row r="839" spans="1:9" ht="12.75">
      <c r="A839">
        <f ca="1">IFERROR(__xludf.DUMMYFUNCTION("""COMPUTED_VALUE"""),838)</f>
        <v>838</v>
      </c>
      <c r="B839">
        <f ca="1">IFERROR(__xludf.DUMMYFUNCTION("""COMPUTED_VALUE"""),839)</f>
        <v>839</v>
      </c>
      <c r="C839" t="str">
        <f ca="1">IFERROR(__xludf.DUMMYFUNCTION("""COMPUTED_VALUE"""),"Pawin Ingkhapradit")</f>
        <v>Pawin Ingkhapradit</v>
      </c>
      <c r="D839">
        <f ca="1">IFERROR(__xludf.DUMMYFUNCTION("""COMPUTED_VALUE"""),40)</f>
        <v>40</v>
      </c>
      <c r="E839">
        <f ca="1">IFERROR(__xludf.DUMMYFUNCTION("""COMPUTED_VALUE"""),0.13)</f>
        <v>0.13</v>
      </c>
      <c r="F839">
        <f ca="1">IFERROR(__xludf.DUMMYFUNCTION("""COMPUTED_VALUE"""),5.1)</f>
        <v>5.0999999999999996</v>
      </c>
      <c r="G839">
        <f ca="1">IFERROR(__xludf.DUMMYFUNCTION("""COMPUTED_VALUE"""),-1.52)</f>
        <v>-1.52</v>
      </c>
      <c r="H839">
        <f ca="1">IFERROR(__xludf.DUMMYFUNCTION("""COMPUTED_VALUE"""),5)</f>
        <v>5</v>
      </c>
      <c r="I839" t="str">
        <f ca="1">IFERROR(__xludf.DUMMYFUNCTION("""COMPUTED_VALUE"""),"")</f>
        <v/>
      </c>
    </row>
    <row r="840" spans="1:9" ht="12.75">
      <c r="A840">
        <f ca="1">IFERROR(__xludf.DUMMYFUNCTION("""COMPUTED_VALUE"""),839)</f>
        <v>839</v>
      </c>
      <c r="B840">
        <f ca="1">IFERROR(__xludf.DUMMYFUNCTION("""COMPUTED_VALUE"""),829)</f>
        <v>829</v>
      </c>
      <c r="C840" t="str">
        <f ca="1">IFERROR(__xludf.DUMMYFUNCTION("""COMPUTED_VALUE"""),"Steven Alker")</f>
        <v>Steven Alker</v>
      </c>
      <c r="D840">
        <f ca="1">IFERROR(__xludf.DUMMYFUNCTION("""COMPUTED_VALUE"""),40)</f>
        <v>40</v>
      </c>
      <c r="E840">
        <f ca="1">IFERROR(__xludf.DUMMYFUNCTION("""COMPUTED_VALUE"""),0.13)</f>
        <v>0.13</v>
      </c>
      <c r="F840">
        <f ca="1">IFERROR(__xludf.DUMMYFUNCTION("""COMPUTED_VALUE"""),5.1)</f>
        <v>5.0999999999999996</v>
      </c>
      <c r="G840">
        <f ca="1">IFERROR(__xludf.DUMMYFUNCTION("""COMPUTED_VALUE"""),-5.41)</f>
        <v>-5.41</v>
      </c>
      <c r="H840">
        <f ca="1">IFERROR(__xludf.DUMMYFUNCTION("""COMPUTED_VALUE"""),0)</f>
        <v>0</v>
      </c>
      <c r="I840" t="str">
        <f ca="1">IFERROR(__xludf.DUMMYFUNCTION("""COMPUTED_VALUE"""),"")</f>
        <v/>
      </c>
    </row>
    <row r="841" spans="1:9" ht="12.75">
      <c r="A841">
        <f ca="1">IFERROR(__xludf.DUMMYFUNCTION("""COMPUTED_VALUE"""),840)</f>
        <v>840</v>
      </c>
      <c r="B841">
        <f ca="1">IFERROR(__xludf.DUMMYFUNCTION("""COMPUTED_VALUE"""),834)</f>
        <v>834</v>
      </c>
      <c r="C841" t="str">
        <f ca="1">IFERROR(__xludf.DUMMYFUNCTION("""COMPUTED_VALUE"""),"Tom Power-Horan")</f>
        <v>Tom Power-Horan</v>
      </c>
      <c r="D841">
        <f ca="1">IFERROR(__xludf.DUMMYFUNCTION("""COMPUTED_VALUE"""),40)</f>
        <v>40</v>
      </c>
      <c r="E841">
        <f ca="1">IFERROR(__xludf.DUMMYFUNCTION("""COMPUTED_VALUE"""),0.13)</f>
        <v>0.13</v>
      </c>
      <c r="F841">
        <f ca="1">IFERROR(__xludf.DUMMYFUNCTION("""COMPUTED_VALUE"""),5.09)</f>
        <v>5.09</v>
      </c>
      <c r="G841">
        <f ca="1">IFERROR(__xludf.DUMMYFUNCTION("""COMPUTED_VALUE"""),-2.11)</f>
        <v>-2.11</v>
      </c>
      <c r="H841">
        <f ca="1">IFERROR(__xludf.DUMMYFUNCTION("""COMPUTED_VALUE"""),0)</f>
        <v>0</v>
      </c>
      <c r="I841" t="str">
        <f ca="1">IFERROR(__xludf.DUMMYFUNCTION("""COMPUTED_VALUE"""),"")</f>
        <v/>
      </c>
    </row>
    <row r="842" spans="1:9" ht="12.75">
      <c r="A842">
        <f ca="1">IFERROR(__xludf.DUMMYFUNCTION("""COMPUTED_VALUE"""),840)</f>
        <v>840</v>
      </c>
      <c r="B842">
        <f ca="1">IFERROR(__xludf.DUMMYFUNCTION("""COMPUTED_VALUE"""),841)</f>
        <v>841</v>
      </c>
      <c r="C842" t="str">
        <f ca="1">IFERROR(__xludf.DUMMYFUNCTION("""COMPUTED_VALUE"""),"Hayden Hopewel")</f>
        <v>Hayden Hopewel</v>
      </c>
      <c r="D842">
        <f ca="1">IFERROR(__xludf.DUMMYFUNCTION("""COMPUTED_VALUE"""),40)</f>
        <v>40</v>
      </c>
      <c r="E842">
        <f ca="1">IFERROR(__xludf.DUMMYFUNCTION("""COMPUTED_VALUE"""),0.13)</f>
        <v>0.13</v>
      </c>
      <c r="F842">
        <f ca="1">IFERROR(__xludf.DUMMYFUNCTION("""COMPUTED_VALUE"""),5.09)</f>
        <v>5.09</v>
      </c>
      <c r="G842">
        <f ca="1">IFERROR(__xludf.DUMMYFUNCTION("""COMPUTED_VALUE"""),-0.38)</f>
        <v>-0.38</v>
      </c>
      <c r="H842">
        <f ca="1">IFERROR(__xludf.DUMMYFUNCTION("""COMPUTED_VALUE"""),4)</f>
        <v>4</v>
      </c>
      <c r="I842" t="str">
        <f ca="1">IFERROR(__xludf.DUMMYFUNCTION("""COMPUTED_VALUE"""),"")</f>
        <v/>
      </c>
    </row>
    <row r="843" spans="1:9" ht="12.75">
      <c r="A843">
        <f ca="1">IFERROR(__xludf.DUMMYFUNCTION("""COMPUTED_VALUE"""),842)</f>
        <v>842</v>
      </c>
      <c r="B843">
        <f ca="1">IFERROR(__xludf.DUMMYFUNCTION("""COMPUTED_VALUE"""),833)</f>
        <v>833</v>
      </c>
      <c r="C843" t="str">
        <f ca="1">IFERROR(__xludf.DUMMYFUNCTION("""COMPUTED_VALUE"""),"Robbie Van West")</f>
        <v>Robbie Van West</v>
      </c>
      <c r="D843">
        <f ca="1">IFERROR(__xludf.DUMMYFUNCTION("""COMPUTED_VALUE"""),40)</f>
        <v>40</v>
      </c>
      <c r="E843">
        <f ca="1">IFERROR(__xludf.DUMMYFUNCTION("""COMPUTED_VALUE"""),0.13)</f>
        <v>0.13</v>
      </c>
      <c r="F843">
        <f ca="1">IFERROR(__xludf.DUMMYFUNCTION("""COMPUTED_VALUE"""),5.05)</f>
        <v>5.05</v>
      </c>
      <c r="G843">
        <f ca="1">IFERROR(__xludf.DUMMYFUNCTION("""COMPUTED_VALUE"""),-5.07)</f>
        <v>-5.07</v>
      </c>
      <c r="H843">
        <f ca="1">IFERROR(__xludf.DUMMYFUNCTION("""COMPUTED_VALUE"""),0)</f>
        <v>0</v>
      </c>
      <c r="I843" t="str">
        <f ca="1">IFERROR(__xludf.DUMMYFUNCTION("""COMPUTED_VALUE"""),"")</f>
        <v/>
      </c>
    </row>
    <row r="844" spans="1:9" ht="12.75">
      <c r="A844">
        <f ca="1">IFERROR(__xludf.DUMMYFUNCTION("""COMPUTED_VALUE"""),842)</f>
        <v>842</v>
      </c>
      <c r="B844">
        <f ca="1">IFERROR(__xludf.DUMMYFUNCTION("""COMPUTED_VALUE"""),836)</f>
        <v>836</v>
      </c>
      <c r="C844" t="str">
        <f ca="1">IFERROR(__xludf.DUMMYFUNCTION("""COMPUTED_VALUE"""),"Cory Crawford")</f>
        <v>Cory Crawford</v>
      </c>
      <c r="D844">
        <f ca="1">IFERROR(__xludf.DUMMYFUNCTION("""COMPUTED_VALUE"""),40)</f>
        <v>40</v>
      </c>
      <c r="E844">
        <f ca="1">IFERROR(__xludf.DUMMYFUNCTION("""COMPUTED_VALUE"""),0.13)</f>
        <v>0.13</v>
      </c>
      <c r="F844">
        <f ca="1">IFERROR(__xludf.DUMMYFUNCTION("""COMPUTED_VALUE"""),5.05)</f>
        <v>5.05</v>
      </c>
      <c r="G844">
        <f ca="1">IFERROR(__xludf.DUMMYFUNCTION("""COMPUTED_VALUE"""),-2.81)</f>
        <v>-2.81</v>
      </c>
      <c r="H844">
        <f ca="1">IFERROR(__xludf.DUMMYFUNCTION("""COMPUTED_VALUE"""),1.2)</f>
        <v>1.2</v>
      </c>
      <c r="I844" t="str">
        <f ca="1">IFERROR(__xludf.DUMMYFUNCTION("""COMPUTED_VALUE"""),"")</f>
        <v/>
      </c>
    </row>
    <row r="845" spans="1:9" ht="12.75">
      <c r="A845">
        <f ca="1">IFERROR(__xludf.DUMMYFUNCTION("""COMPUTED_VALUE"""),844)</f>
        <v>844</v>
      </c>
      <c r="B845">
        <f ca="1">IFERROR(__xludf.DUMMYFUNCTION("""COMPUTED_VALUE"""),843)</f>
        <v>843</v>
      </c>
      <c r="C845" t="str">
        <f ca="1">IFERROR(__xludf.DUMMYFUNCTION("""COMPUTED_VALUE"""),"Charlie Lindh(Am)")</f>
        <v>Charlie Lindh(Am)</v>
      </c>
      <c r="D845">
        <f ca="1">IFERROR(__xludf.DUMMYFUNCTION("""COMPUTED_VALUE"""),40)</f>
        <v>40</v>
      </c>
      <c r="E845">
        <f ca="1">IFERROR(__xludf.DUMMYFUNCTION("""COMPUTED_VALUE"""),0.13)</f>
        <v>0.13</v>
      </c>
      <c r="F845">
        <f ca="1">IFERROR(__xludf.DUMMYFUNCTION("""COMPUTED_VALUE"""),5.01)</f>
        <v>5.01</v>
      </c>
      <c r="G845">
        <f ca="1">IFERROR(__xludf.DUMMYFUNCTION("""COMPUTED_VALUE"""),-1.13)</f>
        <v>-1.1299999999999999</v>
      </c>
      <c r="H845">
        <f ca="1">IFERROR(__xludf.DUMMYFUNCTION("""COMPUTED_VALUE"""),3.8)</f>
        <v>3.8</v>
      </c>
      <c r="I845" t="str">
        <f ca="1">IFERROR(__xludf.DUMMYFUNCTION("""COMPUTED_VALUE"""),"")</f>
        <v/>
      </c>
    </row>
    <row r="846" spans="1:9" ht="12.75">
      <c r="A846">
        <f ca="1">IFERROR(__xludf.DUMMYFUNCTION("""COMPUTED_VALUE"""),845)</f>
        <v>845</v>
      </c>
      <c r="B846">
        <f ca="1">IFERROR(__xludf.DUMMYFUNCTION("""COMPUTED_VALUE"""),840)</f>
        <v>840</v>
      </c>
      <c r="C846" t="str">
        <f ca="1">IFERROR(__xludf.DUMMYFUNCTION("""COMPUTED_VALUE"""),"Ashley Hall")</f>
        <v>Ashley Hall</v>
      </c>
      <c r="D846">
        <f ca="1">IFERROR(__xludf.DUMMYFUNCTION("""COMPUTED_VALUE"""),40)</f>
        <v>40</v>
      </c>
      <c r="E846">
        <f ca="1">IFERROR(__xludf.DUMMYFUNCTION("""COMPUTED_VALUE"""),0.12)</f>
        <v>0.12</v>
      </c>
      <c r="F846">
        <f ca="1">IFERROR(__xludf.DUMMYFUNCTION("""COMPUTED_VALUE"""),4.98)</f>
        <v>4.9800000000000004</v>
      </c>
      <c r="G846">
        <f ca="1">IFERROR(__xludf.DUMMYFUNCTION("""COMPUTED_VALUE"""),-4.05)</f>
        <v>-4.05</v>
      </c>
      <c r="H846">
        <f ca="1">IFERROR(__xludf.DUMMYFUNCTION("""COMPUTED_VALUE"""),3.04)</f>
        <v>3.04</v>
      </c>
      <c r="I846" t="str">
        <f ca="1">IFERROR(__xludf.DUMMYFUNCTION("""COMPUTED_VALUE"""),"")</f>
        <v/>
      </c>
    </row>
    <row r="847" spans="1:9" ht="12.75">
      <c r="A847">
        <f ca="1">IFERROR(__xludf.DUMMYFUNCTION("""COMPUTED_VALUE"""),846)</f>
        <v>846</v>
      </c>
      <c r="B847">
        <f ca="1">IFERROR(__xludf.DUMMYFUNCTION("""COMPUTED_VALUE"""),842)</f>
        <v>842</v>
      </c>
      <c r="C847" t="str">
        <f ca="1">IFERROR(__xludf.DUMMYFUNCTION("""COMPUTED_VALUE"""),"Charlie Danielson")</f>
        <v>Charlie Danielson</v>
      </c>
      <c r="D847">
        <f ca="1">IFERROR(__xludf.DUMMYFUNCTION("""COMPUTED_VALUE"""),40)</f>
        <v>40</v>
      </c>
      <c r="E847">
        <f ca="1">IFERROR(__xludf.DUMMYFUNCTION("""COMPUTED_VALUE"""),0.12)</f>
        <v>0.12</v>
      </c>
      <c r="F847">
        <f ca="1">IFERROR(__xludf.DUMMYFUNCTION("""COMPUTED_VALUE"""),4.97)</f>
        <v>4.97</v>
      </c>
      <c r="G847">
        <f ca="1">IFERROR(__xludf.DUMMYFUNCTION("""COMPUTED_VALUE"""),-3.56)</f>
        <v>-3.56</v>
      </c>
      <c r="H847">
        <f ca="1">IFERROR(__xludf.DUMMYFUNCTION("""COMPUTED_VALUE"""),0)</f>
        <v>0</v>
      </c>
      <c r="I847" t="str">
        <f ca="1">IFERROR(__xludf.DUMMYFUNCTION("""COMPUTED_VALUE"""),"")</f>
        <v/>
      </c>
    </row>
    <row r="848" spans="1:9" ht="12.75">
      <c r="A848">
        <f ca="1">IFERROR(__xludf.DUMMYFUNCTION("""COMPUTED_VALUE"""),846)</f>
        <v>846</v>
      </c>
      <c r="B848">
        <f ca="1">IFERROR(__xludf.DUMMYFUNCTION("""COMPUTED_VALUE"""),835)</f>
        <v>835</v>
      </c>
      <c r="C848" t="str">
        <f ca="1">IFERROR(__xludf.DUMMYFUNCTION("""COMPUTED_VALUE"""),"Jamie Lovemark")</f>
        <v>Jamie Lovemark</v>
      </c>
      <c r="D848">
        <f ca="1">IFERROR(__xludf.DUMMYFUNCTION("""COMPUTED_VALUE"""),40)</f>
        <v>40</v>
      </c>
      <c r="E848">
        <f ca="1">IFERROR(__xludf.DUMMYFUNCTION("""COMPUTED_VALUE"""),0.12)</f>
        <v>0.12</v>
      </c>
      <c r="F848">
        <f ca="1">IFERROR(__xludf.DUMMYFUNCTION("""COMPUTED_VALUE"""),4.97)</f>
        <v>4.97</v>
      </c>
      <c r="G848">
        <f ca="1">IFERROR(__xludf.DUMMYFUNCTION("""COMPUTED_VALUE"""),-10.12)</f>
        <v>-10.119999999999999</v>
      </c>
      <c r="H848">
        <f ca="1">IFERROR(__xludf.DUMMYFUNCTION("""COMPUTED_VALUE"""),5.16)</f>
        <v>5.16</v>
      </c>
      <c r="I848" t="str">
        <f ca="1">IFERROR(__xludf.DUMMYFUNCTION("""COMPUTED_VALUE"""),"")</f>
        <v/>
      </c>
    </row>
    <row r="849" spans="1:9" ht="12.75">
      <c r="A849">
        <f ca="1">IFERROR(__xludf.DUMMYFUNCTION("""COMPUTED_VALUE"""),848)</f>
        <v>848</v>
      </c>
      <c r="B849">
        <f ca="1">IFERROR(__xludf.DUMMYFUNCTION("""COMPUTED_VALUE"""),836)</f>
        <v>836</v>
      </c>
      <c r="C849" t="str">
        <f ca="1">IFERROR(__xludf.DUMMYFUNCTION("""COMPUTED_VALUE"""),"Chase Wright")</f>
        <v>Chase Wright</v>
      </c>
      <c r="D849">
        <f ca="1">IFERROR(__xludf.DUMMYFUNCTION("""COMPUTED_VALUE"""),52)</f>
        <v>52</v>
      </c>
      <c r="E849">
        <f ca="1">IFERROR(__xludf.DUMMYFUNCTION("""COMPUTED_VALUE"""),0.12)</f>
        <v>0.12</v>
      </c>
      <c r="F849">
        <f ca="1">IFERROR(__xludf.DUMMYFUNCTION("""COMPUTED_VALUE"""),6.44)</f>
        <v>6.44</v>
      </c>
      <c r="G849">
        <f ca="1">IFERROR(__xludf.DUMMYFUNCTION("""COMPUTED_VALUE"""),-12.27)</f>
        <v>-12.27</v>
      </c>
      <c r="H849">
        <f ca="1">IFERROR(__xludf.DUMMYFUNCTION("""COMPUTED_VALUE"""),2.48)</f>
        <v>2.48</v>
      </c>
      <c r="I849" t="str">
        <f ca="1">IFERROR(__xludf.DUMMYFUNCTION("""COMPUTED_VALUE"""),"")</f>
        <v/>
      </c>
    </row>
    <row r="850" spans="1:9" ht="12.75">
      <c r="A850">
        <f ca="1">IFERROR(__xludf.DUMMYFUNCTION("""COMPUTED_VALUE"""),849)</f>
        <v>849</v>
      </c>
      <c r="B850">
        <f ca="1">IFERROR(__xludf.DUMMYFUNCTION("""COMPUTED_VALUE"""),838)</f>
        <v>838</v>
      </c>
      <c r="C850" t="str">
        <f ca="1">IFERROR(__xludf.DUMMYFUNCTION("""COMPUTED_VALUE"""),"Scott Langley")</f>
        <v>Scott Langley</v>
      </c>
      <c r="D850">
        <f ca="1">IFERROR(__xludf.DUMMYFUNCTION("""COMPUTED_VALUE"""),52)</f>
        <v>52</v>
      </c>
      <c r="E850">
        <f ca="1">IFERROR(__xludf.DUMMYFUNCTION("""COMPUTED_VALUE"""),0.12)</f>
        <v>0.12</v>
      </c>
      <c r="F850">
        <f ca="1">IFERROR(__xludf.DUMMYFUNCTION("""COMPUTED_VALUE"""),6.43)</f>
        <v>6.43</v>
      </c>
      <c r="G850">
        <f ca="1">IFERROR(__xludf.DUMMYFUNCTION("""COMPUTED_VALUE"""),-12.57)</f>
        <v>-12.57</v>
      </c>
      <c r="H850">
        <f ca="1">IFERROR(__xludf.DUMMYFUNCTION("""COMPUTED_VALUE"""),1.23)</f>
        <v>1.23</v>
      </c>
      <c r="I850" t="str">
        <f ca="1">IFERROR(__xludf.DUMMYFUNCTION("""COMPUTED_VALUE"""),"")</f>
        <v/>
      </c>
    </row>
    <row r="851" spans="1:9" ht="12.75">
      <c r="A851">
        <f ca="1">IFERROR(__xludf.DUMMYFUNCTION("""COMPUTED_VALUE"""),850)</f>
        <v>850</v>
      </c>
      <c r="B851">
        <f ca="1">IFERROR(__xludf.DUMMYFUNCTION("""COMPUTED_VALUE"""),844)</f>
        <v>844</v>
      </c>
      <c r="C851" t="str">
        <f ca="1">IFERROR(__xludf.DUMMYFUNCTION("""COMPUTED_VALUE"""),"Jonathan Garrick")</f>
        <v>Jonathan Garrick</v>
      </c>
      <c r="D851">
        <f ca="1">IFERROR(__xludf.DUMMYFUNCTION("""COMPUTED_VALUE"""),40)</f>
        <v>40</v>
      </c>
      <c r="E851">
        <f ca="1">IFERROR(__xludf.DUMMYFUNCTION("""COMPUTED_VALUE"""),0.12)</f>
        <v>0.12</v>
      </c>
      <c r="F851">
        <f ca="1">IFERROR(__xludf.DUMMYFUNCTION("""COMPUTED_VALUE"""),4.92)</f>
        <v>4.92</v>
      </c>
      <c r="G851">
        <f ca="1">IFERROR(__xludf.DUMMYFUNCTION("""COMPUTED_VALUE"""),-4.6)</f>
        <v>-4.5999999999999996</v>
      </c>
      <c r="H851">
        <f ca="1">IFERROR(__xludf.DUMMYFUNCTION("""COMPUTED_VALUE"""),0)</f>
        <v>0</v>
      </c>
      <c r="I851" t="str">
        <f ca="1">IFERROR(__xludf.DUMMYFUNCTION("""COMPUTED_VALUE"""),"")</f>
        <v/>
      </c>
    </row>
    <row r="852" spans="1:9" ht="12.75">
      <c r="A852">
        <f ca="1">IFERROR(__xludf.DUMMYFUNCTION("""COMPUTED_VALUE"""),851)</f>
        <v>851</v>
      </c>
      <c r="B852">
        <f ca="1">IFERROR(__xludf.DUMMYFUNCTION("""COMPUTED_VALUE"""),850)</f>
        <v>850</v>
      </c>
      <c r="C852" t="str">
        <f ca="1">IFERROR(__xludf.DUMMYFUNCTION("""COMPUTED_VALUE"""),"Will Enefer")</f>
        <v>Will Enefer</v>
      </c>
      <c r="D852">
        <f ca="1">IFERROR(__xludf.DUMMYFUNCTION("""COMPUTED_VALUE"""),40)</f>
        <v>40</v>
      </c>
      <c r="E852">
        <f ca="1">IFERROR(__xludf.DUMMYFUNCTION("""COMPUTED_VALUE"""),0.12)</f>
        <v>0.12</v>
      </c>
      <c r="F852">
        <f ca="1">IFERROR(__xludf.DUMMYFUNCTION("""COMPUTED_VALUE"""),4.9)</f>
        <v>4.9000000000000004</v>
      </c>
      <c r="G852">
        <f ca="1">IFERROR(__xludf.DUMMYFUNCTION("""COMPUTED_VALUE"""),-2.62)</f>
        <v>-2.62</v>
      </c>
      <c r="H852">
        <f ca="1">IFERROR(__xludf.DUMMYFUNCTION("""COMPUTED_VALUE"""),1.5)</f>
        <v>1.5</v>
      </c>
      <c r="I852" t="str">
        <f ca="1">IFERROR(__xludf.DUMMYFUNCTION("""COMPUTED_VALUE"""),"")</f>
        <v/>
      </c>
    </row>
    <row r="853" spans="1:9" ht="12.75">
      <c r="A853">
        <f ca="1">IFERROR(__xludf.DUMMYFUNCTION("""COMPUTED_VALUE"""),852)</f>
        <v>852</v>
      </c>
      <c r="B853">
        <f ca="1">IFERROR(__xludf.DUMMYFUNCTION("""COMPUTED_VALUE"""),846)</f>
        <v>846</v>
      </c>
      <c r="C853" t="str">
        <f ca="1">IFERROR(__xludf.DUMMYFUNCTION("""COMPUTED_VALUE"""),"Lee Slattery")</f>
        <v>Lee Slattery</v>
      </c>
      <c r="D853">
        <f ca="1">IFERROR(__xludf.DUMMYFUNCTION("""COMPUTED_VALUE"""),47)</f>
        <v>47</v>
      </c>
      <c r="E853">
        <f ca="1">IFERROR(__xludf.DUMMYFUNCTION("""COMPUTED_VALUE"""),0.12)</f>
        <v>0.12</v>
      </c>
      <c r="F853">
        <f ca="1">IFERROR(__xludf.DUMMYFUNCTION("""COMPUTED_VALUE"""),5.76)</f>
        <v>5.76</v>
      </c>
      <c r="G853">
        <f ca="1">IFERROR(__xludf.DUMMYFUNCTION("""COMPUTED_VALUE"""),-12.96)</f>
        <v>-12.96</v>
      </c>
      <c r="H853">
        <f ca="1">IFERROR(__xludf.DUMMYFUNCTION("""COMPUTED_VALUE"""),0)</f>
        <v>0</v>
      </c>
      <c r="I853" t="str">
        <f ca="1">IFERROR(__xludf.DUMMYFUNCTION("""COMPUTED_VALUE"""),"")</f>
        <v/>
      </c>
    </row>
    <row r="854" spans="1:9" ht="12.75">
      <c r="A854">
        <f ca="1">IFERROR(__xludf.DUMMYFUNCTION("""COMPUTED_VALUE"""),853)</f>
        <v>853</v>
      </c>
      <c r="B854">
        <f ca="1">IFERROR(__xludf.DUMMYFUNCTION("""COMPUTED_VALUE"""),847)</f>
        <v>847</v>
      </c>
      <c r="C854" t="str">
        <f ca="1">IFERROR(__xludf.DUMMYFUNCTION("""COMPUTED_VALUE"""),"Clinton Grobler")</f>
        <v>Clinton Grobler</v>
      </c>
      <c r="D854">
        <f ca="1">IFERROR(__xludf.DUMMYFUNCTION("""COMPUTED_VALUE"""),40)</f>
        <v>40</v>
      </c>
      <c r="E854">
        <f ca="1">IFERROR(__xludf.DUMMYFUNCTION("""COMPUTED_VALUE"""),0.12)</f>
        <v>0.12</v>
      </c>
      <c r="F854">
        <f ca="1">IFERROR(__xludf.DUMMYFUNCTION("""COMPUTED_VALUE"""),4.89)</f>
        <v>4.8899999999999997</v>
      </c>
      <c r="G854">
        <f ca="1">IFERROR(__xludf.DUMMYFUNCTION("""COMPUTED_VALUE"""),-3.26)</f>
        <v>-3.26</v>
      </c>
      <c r="H854">
        <f ca="1">IFERROR(__xludf.DUMMYFUNCTION("""COMPUTED_VALUE"""),0)</f>
        <v>0</v>
      </c>
      <c r="I854" t="str">
        <f ca="1">IFERROR(__xludf.DUMMYFUNCTION("""COMPUTED_VALUE"""),"")</f>
        <v/>
      </c>
    </row>
    <row r="855" spans="1:9" ht="12.75">
      <c r="A855">
        <f ca="1">IFERROR(__xludf.DUMMYFUNCTION("""COMPUTED_VALUE"""),853)</f>
        <v>853</v>
      </c>
      <c r="B855">
        <f ca="1">IFERROR(__xludf.DUMMYFUNCTION("""COMPUTED_VALUE"""),850)</f>
        <v>850</v>
      </c>
      <c r="C855" t="str">
        <f ca="1">IFERROR(__xludf.DUMMYFUNCTION("""COMPUTED_VALUE"""),"Dylan Ko")</f>
        <v>Dylan Ko</v>
      </c>
      <c r="D855">
        <f ca="1">IFERROR(__xludf.DUMMYFUNCTION("""COMPUTED_VALUE"""),40)</f>
        <v>40</v>
      </c>
      <c r="E855">
        <f ca="1">IFERROR(__xludf.DUMMYFUNCTION("""COMPUTED_VALUE"""),0.12)</f>
        <v>0.12</v>
      </c>
      <c r="F855">
        <f ca="1">IFERROR(__xludf.DUMMYFUNCTION("""COMPUTED_VALUE"""),4.89)</f>
        <v>4.8899999999999997</v>
      </c>
      <c r="G855">
        <f ca="1">IFERROR(__xludf.DUMMYFUNCTION("""COMPUTED_VALUE"""),-2.96)</f>
        <v>-2.96</v>
      </c>
      <c r="H855">
        <f ca="1">IFERROR(__xludf.DUMMYFUNCTION("""COMPUTED_VALUE"""),2.6)</f>
        <v>2.6</v>
      </c>
      <c r="I855" t="str">
        <f ca="1">IFERROR(__xludf.DUMMYFUNCTION("""COMPUTED_VALUE"""),"")</f>
        <v/>
      </c>
    </row>
    <row r="856" spans="1:9" ht="12.75">
      <c r="A856">
        <f ca="1">IFERROR(__xludf.DUMMYFUNCTION("""COMPUTED_VALUE"""),855)</f>
        <v>855</v>
      </c>
      <c r="B856" t="str">
        <f ca="1">IFERROR(__xludf.DUMMYFUNCTION("""COMPUTED_VALUE"""),"")</f>
        <v/>
      </c>
      <c r="C856" t="str">
        <f ca="1">IFERROR(__xludf.DUMMYFUNCTION("""COMPUTED_VALUE"""),"Jake Redman")</f>
        <v>Jake Redman</v>
      </c>
      <c r="D856">
        <f ca="1">IFERROR(__xludf.DUMMYFUNCTION("""COMPUTED_VALUE"""),43)</f>
        <v>43</v>
      </c>
      <c r="E856">
        <f ca="1">IFERROR(__xludf.DUMMYFUNCTION("""COMPUTED_VALUE"""),0.12)</f>
        <v>0.12</v>
      </c>
      <c r="F856">
        <f ca="1">IFERROR(__xludf.DUMMYFUNCTION("""COMPUTED_VALUE"""),5.25)</f>
        <v>5.25</v>
      </c>
      <c r="G856">
        <f ca="1">IFERROR(__xludf.DUMMYFUNCTION("""COMPUTED_VALUE"""),-1.7)</f>
        <v>-1.7</v>
      </c>
      <c r="H856">
        <f ca="1">IFERROR(__xludf.DUMMYFUNCTION("""COMPUTED_VALUE"""),3.82)</f>
        <v>3.82</v>
      </c>
      <c r="I856" t="str">
        <f ca="1">IFERROR(__xludf.DUMMYFUNCTION("""COMPUTED_VALUE"""),"")</f>
        <v/>
      </c>
    </row>
    <row r="857" spans="1:9" ht="12.75">
      <c r="A857">
        <f ca="1">IFERROR(__xludf.DUMMYFUNCTION("""COMPUTED_VALUE"""),856)</f>
        <v>856</v>
      </c>
      <c r="B857">
        <f ca="1">IFERROR(__xludf.DUMMYFUNCTION("""COMPUTED_VALUE"""),849)</f>
        <v>849</v>
      </c>
      <c r="C857" t="str">
        <f ca="1">IFERROR(__xludf.DUMMYFUNCTION("""COMPUTED_VALUE"""),"Martin Wiegele")</f>
        <v>Martin Wiegele</v>
      </c>
      <c r="D857">
        <f ca="1">IFERROR(__xludf.DUMMYFUNCTION("""COMPUTED_VALUE"""),40)</f>
        <v>40</v>
      </c>
      <c r="E857">
        <f ca="1">IFERROR(__xludf.DUMMYFUNCTION("""COMPUTED_VALUE"""),0.12)</f>
        <v>0.12</v>
      </c>
      <c r="F857">
        <f ca="1">IFERROR(__xludf.DUMMYFUNCTION("""COMPUTED_VALUE"""),4.88)</f>
        <v>4.88</v>
      </c>
      <c r="G857">
        <f ca="1">IFERROR(__xludf.DUMMYFUNCTION("""COMPUTED_VALUE"""),-2.97)</f>
        <v>-2.97</v>
      </c>
      <c r="H857">
        <f ca="1">IFERROR(__xludf.DUMMYFUNCTION("""COMPUTED_VALUE"""),0)</f>
        <v>0</v>
      </c>
      <c r="I857" t="str">
        <f ca="1">IFERROR(__xludf.DUMMYFUNCTION("""COMPUTED_VALUE"""),"")</f>
        <v/>
      </c>
    </row>
    <row r="858" spans="1:9" ht="12.75">
      <c r="A858">
        <f ca="1">IFERROR(__xludf.DUMMYFUNCTION("""COMPUTED_VALUE"""),857)</f>
        <v>857</v>
      </c>
      <c r="B858">
        <f ca="1">IFERROR(__xludf.DUMMYFUNCTION("""COMPUTED_VALUE"""),847)</f>
        <v>847</v>
      </c>
      <c r="C858" t="str">
        <f ca="1">IFERROR(__xludf.DUMMYFUNCTION("""COMPUTED_VALUE"""),"Roope Kakko")</f>
        <v>Roope Kakko</v>
      </c>
      <c r="D858">
        <f ca="1">IFERROR(__xludf.DUMMYFUNCTION("""COMPUTED_VALUE"""),40)</f>
        <v>40</v>
      </c>
      <c r="E858">
        <f ca="1">IFERROR(__xludf.DUMMYFUNCTION("""COMPUTED_VALUE"""),0.12)</f>
        <v>0.12</v>
      </c>
      <c r="F858">
        <f ca="1">IFERROR(__xludf.DUMMYFUNCTION("""COMPUTED_VALUE"""),4.87)</f>
        <v>4.87</v>
      </c>
      <c r="G858">
        <f ca="1">IFERROR(__xludf.DUMMYFUNCTION("""COMPUTED_VALUE"""),-3.89)</f>
        <v>-3.89</v>
      </c>
      <c r="H858">
        <f ca="1">IFERROR(__xludf.DUMMYFUNCTION("""COMPUTED_VALUE"""),0)</f>
        <v>0</v>
      </c>
      <c r="I858" t="str">
        <f ca="1">IFERROR(__xludf.DUMMYFUNCTION("""COMPUTED_VALUE"""),"")</f>
        <v/>
      </c>
    </row>
    <row r="859" spans="1:9" ht="12.75">
      <c r="A859">
        <f ca="1">IFERROR(__xludf.DUMMYFUNCTION("""COMPUTED_VALUE"""),858)</f>
        <v>858</v>
      </c>
      <c r="B859">
        <f ca="1">IFERROR(__xludf.DUMMYFUNCTION("""COMPUTED_VALUE"""),845)</f>
        <v>845</v>
      </c>
      <c r="C859" t="str">
        <f ca="1">IFERROR(__xludf.DUMMYFUNCTION("""COMPUTED_VALUE"""),"Sung-Ho Lee")</f>
        <v>Sung-Ho Lee</v>
      </c>
      <c r="D859">
        <f ca="1">IFERROR(__xludf.DUMMYFUNCTION("""COMPUTED_VALUE"""),40)</f>
        <v>40</v>
      </c>
      <c r="E859">
        <f ca="1">IFERROR(__xludf.DUMMYFUNCTION("""COMPUTED_VALUE"""),0.12)</f>
        <v>0.12</v>
      </c>
      <c r="F859">
        <f ca="1">IFERROR(__xludf.DUMMYFUNCTION("""COMPUTED_VALUE"""),4.84)</f>
        <v>4.84</v>
      </c>
      <c r="G859">
        <f ca="1">IFERROR(__xludf.DUMMYFUNCTION("""COMPUTED_VALUE"""),-7.68)</f>
        <v>-7.68</v>
      </c>
      <c r="H859">
        <f ca="1">IFERROR(__xludf.DUMMYFUNCTION("""COMPUTED_VALUE"""),0)</f>
        <v>0</v>
      </c>
      <c r="I859" t="str">
        <f ca="1">IFERROR(__xludf.DUMMYFUNCTION("""COMPUTED_VALUE"""),"")</f>
        <v/>
      </c>
    </row>
    <row r="860" spans="1:9" ht="12.75">
      <c r="A860">
        <f ca="1">IFERROR(__xludf.DUMMYFUNCTION("""COMPUTED_VALUE"""),859)</f>
        <v>859</v>
      </c>
      <c r="B860">
        <f ca="1">IFERROR(__xludf.DUMMYFUNCTION("""COMPUTED_VALUE"""),861)</f>
        <v>861</v>
      </c>
      <c r="C860" t="str">
        <f ca="1">IFERROR(__xludf.DUMMYFUNCTION("""COMPUTED_VALUE"""),"Alex Smalley")</f>
        <v>Alex Smalley</v>
      </c>
      <c r="D860">
        <f ca="1">IFERROR(__xludf.DUMMYFUNCTION("""COMPUTED_VALUE"""),40)</f>
        <v>40</v>
      </c>
      <c r="E860">
        <f ca="1">IFERROR(__xludf.DUMMYFUNCTION("""COMPUTED_VALUE"""),0.12)</f>
        <v>0.12</v>
      </c>
      <c r="F860">
        <f ca="1">IFERROR(__xludf.DUMMYFUNCTION("""COMPUTED_VALUE"""),4.82)</f>
        <v>4.82</v>
      </c>
      <c r="G860">
        <f ca="1">IFERROR(__xludf.DUMMYFUNCTION("""COMPUTED_VALUE"""),-0.02)</f>
        <v>-0.02</v>
      </c>
      <c r="H860">
        <f ca="1">IFERROR(__xludf.DUMMYFUNCTION("""COMPUTED_VALUE"""),4.84)</f>
        <v>4.84</v>
      </c>
      <c r="I860" t="str">
        <f ca="1">IFERROR(__xludf.DUMMYFUNCTION("""COMPUTED_VALUE"""),"")</f>
        <v/>
      </c>
    </row>
    <row r="861" spans="1:9" ht="12.75">
      <c r="A861">
        <f ca="1">IFERROR(__xludf.DUMMYFUNCTION("""COMPUTED_VALUE"""),859)</f>
        <v>859</v>
      </c>
      <c r="B861">
        <f ca="1">IFERROR(__xludf.DUMMYFUNCTION("""COMPUTED_VALUE"""),853)</f>
        <v>853</v>
      </c>
      <c r="C861" t="str">
        <f ca="1">IFERROR(__xludf.DUMMYFUNCTION("""COMPUTED_VALUE"""),"James Allan")</f>
        <v>James Allan</v>
      </c>
      <c r="D861">
        <f ca="1">IFERROR(__xludf.DUMMYFUNCTION("""COMPUTED_VALUE"""),40)</f>
        <v>40</v>
      </c>
      <c r="E861">
        <f ca="1">IFERROR(__xludf.DUMMYFUNCTION("""COMPUTED_VALUE"""),0.12)</f>
        <v>0.12</v>
      </c>
      <c r="F861">
        <f ca="1">IFERROR(__xludf.DUMMYFUNCTION("""COMPUTED_VALUE"""),4.82)</f>
        <v>4.82</v>
      </c>
      <c r="G861">
        <f ca="1">IFERROR(__xludf.DUMMYFUNCTION("""COMPUTED_VALUE"""),-3.11)</f>
        <v>-3.11</v>
      </c>
      <c r="H861">
        <f ca="1">IFERROR(__xludf.DUMMYFUNCTION("""COMPUTED_VALUE"""),0)</f>
        <v>0</v>
      </c>
      <c r="I861" t="str">
        <f ca="1">IFERROR(__xludf.DUMMYFUNCTION("""COMPUTED_VALUE"""),"")</f>
        <v/>
      </c>
    </row>
    <row r="862" spans="1:9" ht="12.75">
      <c r="A862">
        <f ca="1">IFERROR(__xludf.DUMMYFUNCTION("""COMPUTED_VALUE"""),859)</f>
        <v>859</v>
      </c>
      <c r="B862">
        <f ca="1">IFERROR(__xludf.DUMMYFUNCTION("""COMPUTED_VALUE"""),854)</f>
        <v>854</v>
      </c>
      <c r="C862" t="str">
        <f ca="1">IFERROR(__xludf.DUMMYFUNCTION("""COMPUTED_VALUE"""),"Adam Eineving(Am)")</f>
        <v>Adam Eineving(Am)</v>
      </c>
      <c r="D862">
        <f ca="1">IFERROR(__xludf.DUMMYFUNCTION("""COMPUTED_VALUE"""),40)</f>
        <v>40</v>
      </c>
      <c r="E862">
        <f ca="1">IFERROR(__xludf.DUMMYFUNCTION("""COMPUTED_VALUE"""),0.12)</f>
        <v>0.12</v>
      </c>
      <c r="F862">
        <f ca="1">IFERROR(__xludf.DUMMYFUNCTION("""COMPUTED_VALUE"""),4.82)</f>
        <v>4.82</v>
      </c>
      <c r="G862">
        <f ca="1">IFERROR(__xludf.DUMMYFUNCTION("""COMPUTED_VALUE"""),-1.43)</f>
        <v>-1.43</v>
      </c>
      <c r="H862">
        <f ca="1">IFERROR(__xludf.DUMMYFUNCTION("""COMPUTED_VALUE"""),3.05)</f>
        <v>3.05</v>
      </c>
      <c r="I862" t="str">
        <f ca="1">IFERROR(__xludf.DUMMYFUNCTION("""COMPUTED_VALUE"""),"")</f>
        <v/>
      </c>
    </row>
    <row r="863" spans="1:9" ht="12.75">
      <c r="A863">
        <f ca="1">IFERROR(__xludf.DUMMYFUNCTION("""COMPUTED_VALUE"""),862)</f>
        <v>862</v>
      </c>
      <c r="B863">
        <f ca="1">IFERROR(__xludf.DUMMYFUNCTION("""COMPUTED_VALUE"""),862)</f>
        <v>862</v>
      </c>
      <c r="C863" t="str">
        <f ca="1">IFERROR(__xludf.DUMMYFUNCTION("""COMPUTED_VALUE"""),"Justin Doeden")</f>
        <v>Justin Doeden</v>
      </c>
      <c r="D863">
        <f ca="1">IFERROR(__xludf.DUMMYFUNCTION("""COMPUTED_VALUE"""),40)</f>
        <v>40</v>
      </c>
      <c r="E863">
        <f ca="1">IFERROR(__xludf.DUMMYFUNCTION("""COMPUTED_VALUE"""),0.12)</f>
        <v>0.12</v>
      </c>
      <c r="F863">
        <f ca="1">IFERROR(__xludf.DUMMYFUNCTION("""COMPUTED_VALUE"""),4.82)</f>
        <v>4.82</v>
      </c>
      <c r="G863">
        <f ca="1">IFERROR(__xludf.DUMMYFUNCTION("""COMPUTED_VALUE"""),-0.61)</f>
        <v>-0.61</v>
      </c>
      <c r="H863">
        <f ca="1">IFERROR(__xludf.DUMMYFUNCTION("""COMPUTED_VALUE"""),4)</f>
        <v>4</v>
      </c>
      <c r="I863" t="str">
        <f ca="1">IFERROR(__xludf.DUMMYFUNCTION("""COMPUTED_VALUE"""),"")</f>
        <v/>
      </c>
    </row>
    <row r="864" spans="1:9" ht="12.75">
      <c r="A864">
        <f ca="1">IFERROR(__xludf.DUMMYFUNCTION("""COMPUTED_VALUE"""),863)</f>
        <v>863</v>
      </c>
      <c r="B864">
        <f ca="1">IFERROR(__xludf.DUMMYFUNCTION("""COMPUTED_VALUE"""),858)</f>
        <v>858</v>
      </c>
      <c r="C864" t="str">
        <f ca="1">IFERROR(__xludf.DUMMYFUNCTION("""COMPUTED_VALUE"""),"Richard Green")</f>
        <v>Richard Green</v>
      </c>
      <c r="D864">
        <f ca="1">IFERROR(__xludf.DUMMYFUNCTION("""COMPUTED_VALUE"""),40)</f>
        <v>40</v>
      </c>
      <c r="E864">
        <f ca="1">IFERROR(__xludf.DUMMYFUNCTION("""COMPUTED_VALUE"""),0.12)</f>
        <v>0.12</v>
      </c>
      <c r="F864">
        <f ca="1">IFERROR(__xludf.DUMMYFUNCTION("""COMPUTED_VALUE"""),4.8)</f>
        <v>4.8</v>
      </c>
      <c r="G864">
        <f ca="1">IFERROR(__xludf.DUMMYFUNCTION("""COMPUTED_VALUE"""),-1.79)</f>
        <v>-1.79</v>
      </c>
      <c r="H864">
        <f ca="1">IFERROR(__xludf.DUMMYFUNCTION("""COMPUTED_VALUE"""),2.74)</f>
        <v>2.74</v>
      </c>
      <c r="I864" t="str">
        <f ca="1">IFERROR(__xludf.DUMMYFUNCTION("""COMPUTED_VALUE"""),"")</f>
        <v/>
      </c>
    </row>
    <row r="865" spans="1:9" ht="12.75">
      <c r="A865">
        <f ca="1">IFERROR(__xludf.DUMMYFUNCTION("""COMPUTED_VALUE"""),864)</f>
        <v>864</v>
      </c>
      <c r="B865">
        <f ca="1">IFERROR(__xludf.DUMMYFUNCTION("""COMPUTED_VALUE"""),867)</f>
        <v>867</v>
      </c>
      <c r="C865" t="str">
        <f ca="1">IFERROR(__xludf.DUMMYFUNCTION("""COMPUTED_VALUE"""),"Kei Takahaski")</f>
        <v>Kei Takahaski</v>
      </c>
      <c r="D865">
        <f ca="1">IFERROR(__xludf.DUMMYFUNCTION("""COMPUTED_VALUE"""),40)</f>
        <v>40</v>
      </c>
      <c r="E865">
        <f ca="1">IFERROR(__xludf.DUMMYFUNCTION("""COMPUTED_VALUE"""),0.12)</f>
        <v>0.12</v>
      </c>
      <c r="F865">
        <f ca="1">IFERROR(__xludf.DUMMYFUNCTION("""COMPUTED_VALUE"""),4.8)</f>
        <v>4.8</v>
      </c>
      <c r="G865" t="str">
        <f ca="1">IFERROR(__xludf.DUMMYFUNCTION("""COMPUTED_VALUE"""),"")</f>
        <v/>
      </c>
      <c r="H865">
        <f ca="1">IFERROR(__xludf.DUMMYFUNCTION("""COMPUTED_VALUE"""),4.8)</f>
        <v>4.8</v>
      </c>
      <c r="I865" t="str">
        <f ca="1">IFERROR(__xludf.DUMMYFUNCTION("""COMPUTED_VALUE"""),"")</f>
        <v/>
      </c>
    </row>
    <row r="866" spans="1:9" ht="12.75">
      <c r="A866">
        <f ca="1">IFERROR(__xludf.DUMMYFUNCTION("""COMPUTED_VALUE"""),865)</f>
        <v>865</v>
      </c>
      <c r="B866">
        <f ca="1">IFERROR(__xludf.DUMMYFUNCTION("""COMPUTED_VALUE"""),863)</f>
        <v>863</v>
      </c>
      <c r="C866" t="str">
        <f ca="1">IFERROR(__xludf.DUMMYFUNCTION("""COMPUTED_VALUE"""),"Camilo Villegas")</f>
        <v>Camilo Villegas</v>
      </c>
      <c r="D866">
        <f ca="1">IFERROR(__xludf.DUMMYFUNCTION("""COMPUTED_VALUE"""),40)</f>
        <v>40</v>
      </c>
      <c r="E866">
        <f ca="1">IFERROR(__xludf.DUMMYFUNCTION("""COMPUTED_VALUE"""),0.12)</f>
        <v>0.12</v>
      </c>
      <c r="F866">
        <f ca="1">IFERROR(__xludf.DUMMYFUNCTION("""COMPUTED_VALUE"""),4.78)</f>
        <v>4.78</v>
      </c>
      <c r="G866">
        <f ca="1">IFERROR(__xludf.DUMMYFUNCTION("""COMPUTED_VALUE"""),-0.62)</f>
        <v>-0.62</v>
      </c>
      <c r="H866">
        <f ca="1">IFERROR(__xludf.DUMMYFUNCTION("""COMPUTED_VALUE"""),5.4)</f>
        <v>5.4</v>
      </c>
      <c r="I866" t="str">
        <f ca="1">IFERROR(__xludf.DUMMYFUNCTION("""COMPUTED_VALUE"""),"")</f>
        <v/>
      </c>
    </row>
    <row r="867" spans="1:9" ht="12.75">
      <c r="A867">
        <f ca="1">IFERROR(__xludf.DUMMYFUNCTION("""COMPUTED_VALUE"""),865)</f>
        <v>865</v>
      </c>
      <c r="B867">
        <f ca="1">IFERROR(__xludf.DUMMYFUNCTION("""COMPUTED_VALUE"""),854)</f>
        <v>854</v>
      </c>
      <c r="C867" t="str">
        <f ca="1">IFERROR(__xludf.DUMMYFUNCTION("""COMPUTED_VALUE"""),"Raththee Sirithanakunsak")</f>
        <v>Raththee Sirithanakunsak</v>
      </c>
      <c r="D867">
        <f ca="1">IFERROR(__xludf.DUMMYFUNCTION("""COMPUTED_VALUE"""),40)</f>
        <v>40</v>
      </c>
      <c r="E867">
        <f ca="1">IFERROR(__xludf.DUMMYFUNCTION("""COMPUTED_VALUE"""),0.12)</f>
        <v>0.12</v>
      </c>
      <c r="F867">
        <f ca="1">IFERROR(__xludf.DUMMYFUNCTION("""COMPUTED_VALUE"""),4.78)</f>
        <v>4.78</v>
      </c>
      <c r="G867">
        <f ca="1">IFERROR(__xludf.DUMMYFUNCTION("""COMPUTED_VALUE"""),-2.86)</f>
        <v>-2.86</v>
      </c>
      <c r="H867">
        <f ca="1">IFERROR(__xludf.DUMMYFUNCTION("""COMPUTED_VALUE"""),1.2)</f>
        <v>1.2</v>
      </c>
      <c r="I867" t="str">
        <f ca="1">IFERROR(__xludf.DUMMYFUNCTION("""COMPUTED_VALUE"""),"")</f>
        <v/>
      </c>
    </row>
    <row r="868" spans="1:9" ht="12.75">
      <c r="A868">
        <f ca="1">IFERROR(__xludf.DUMMYFUNCTION("""COMPUTED_VALUE"""),867)</f>
        <v>867</v>
      </c>
      <c r="B868">
        <f ca="1">IFERROR(__xludf.DUMMYFUNCTION("""COMPUTED_VALUE"""),852)</f>
        <v>852</v>
      </c>
      <c r="C868" t="str">
        <f ca="1">IFERROR(__xludf.DUMMYFUNCTION("""COMPUTED_VALUE"""),"Ben Eccles")</f>
        <v>Ben Eccles</v>
      </c>
      <c r="D868">
        <f ca="1">IFERROR(__xludf.DUMMYFUNCTION("""COMPUTED_VALUE"""),40)</f>
        <v>40</v>
      </c>
      <c r="E868">
        <f ca="1">IFERROR(__xludf.DUMMYFUNCTION("""COMPUTED_VALUE"""),0.12)</f>
        <v>0.12</v>
      </c>
      <c r="F868">
        <f ca="1">IFERROR(__xludf.DUMMYFUNCTION("""COMPUTED_VALUE"""),4.78)</f>
        <v>4.78</v>
      </c>
      <c r="G868">
        <f ca="1">IFERROR(__xludf.DUMMYFUNCTION("""COMPUTED_VALUE"""),-4.99)</f>
        <v>-4.99</v>
      </c>
      <c r="H868">
        <f ca="1">IFERROR(__xludf.DUMMYFUNCTION("""COMPUTED_VALUE"""),2.4)</f>
        <v>2.4</v>
      </c>
      <c r="I868" t="str">
        <f ca="1">IFERROR(__xludf.DUMMYFUNCTION("""COMPUTED_VALUE"""),"")</f>
        <v/>
      </c>
    </row>
    <row r="869" spans="1:9" ht="12.75">
      <c r="A869">
        <f ca="1">IFERROR(__xludf.DUMMYFUNCTION("""COMPUTED_VALUE"""),867)</f>
        <v>867</v>
      </c>
      <c r="B869">
        <f ca="1">IFERROR(__xludf.DUMMYFUNCTION("""COMPUTED_VALUE"""),857)</f>
        <v>857</v>
      </c>
      <c r="C869" t="str">
        <f ca="1">IFERROR(__xludf.DUMMYFUNCTION("""COMPUTED_VALUE"""),"Kevin Lucas")</f>
        <v>Kevin Lucas</v>
      </c>
      <c r="D869">
        <f ca="1">IFERROR(__xludf.DUMMYFUNCTION("""COMPUTED_VALUE"""),40)</f>
        <v>40</v>
      </c>
      <c r="E869">
        <f ca="1">IFERROR(__xludf.DUMMYFUNCTION("""COMPUTED_VALUE"""),0.12)</f>
        <v>0.12</v>
      </c>
      <c r="F869">
        <f ca="1">IFERROR(__xludf.DUMMYFUNCTION("""COMPUTED_VALUE"""),4.78)</f>
        <v>4.78</v>
      </c>
      <c r="G869">
        <f ca="1">IFERROR(__xludf.DUMMYFUNCTION("""COMPUTED_VALUE"""),-3.1)</f>
        <v>-3.1</v>
      </c>
      <c r="H869">
        <f ca="1">IFERROR(__xludf.DUMMYFUNCTION("""COMPUTED_VALUE"""),2.52)</f>
        <v>2.52</v>
      </c>
      <c r="I869" t="str">
        <f ca="1">IFERROR(__xludf.DUMMYFUNCTION("""COMPUTED_VALUE"""),"")</f>
        <v/>
      </c>
    </row>
    <row r="870" spans="1:9" ht="12.75">
      <c r="A870">
        <f ca="1">IFERROR(__xludf.DUMMYFUNCTION("""COMPUTED_VALUE"""),869)</f>
        <v>869</v>
      </c>
      <c r="B870">
        <f ca="1">IFERROR(__xludf.DUMMYFUNCTION("""COMPUTED_VALUE"""),878)</f>
        <v>878</v>
      </c>
      <c r="C870" t="str">
        <f ca="1">IFERROR(__xludf.DUMMYFUNCTION("""COMPUTED_VALUE"""),"Pieter Moolman")</f>
        <v>Pieter Moolman</v>
      </c>
      <c r="D870">
        <f ca="1">IFERROR(__xludf.DUMMYFUNCTION("""COMPUTED_VALUE"""),40)</f>
        <v>40</v>
      </c>
      <c r="E870">
        <f ca="1">IFERROR(__xludf.DUMMYFUNCTION("""COMPUTED_VALUE"""),0.12)</f>
        <v>0.12</v>
      </c>
      <c r="F870">
        <f ca="1">IFERROR(__xludf.DUMMYFUNCTION("""COMPUTED_VALUE"""),4.77)</f>
        <v>4.7699999999999996</v>
      </c>
      <c r="G870">
        <f ca="1">IFERROR(__xludf.DUMMYFUNCTION("""COMPUTED_VALUE"""),-4.89)</f>
        <v>-4.8899999999999997</v>
      </c>
      <c r="H870">
        <f ca="1">IFERROR(__xludf.DUMMYFUNCTION("""COMPUTED_VALUE"""),3.28)</f>
        <v>3.28</v>
      </c>
      <c r="I870" t="str">
        <f ca="1">IFERROR(__xludf.DUMMYFUNCTION("""COMPUTED_VALUE"""),"")</f>
        <v/>
      </c>
    </row>
    <row r="871" spans="1:9" ht="12.75">
      <c r="A871">
        <f ca="1">IFERROR(__xludf.DUMMYFUNCTION("""COMPUTED_VALUE"""),870)</f>
        <v>870</v>
      </c>
      <c r="B871">
        <f ca="1">IFERROR(__xludf.DUMMYFUNCTION("""COMPUTED_VALUE"""),858)</f>
        <v>858</v>
      </c>
      <c r="C871" t="str">
        <f ca="1">IFERROR(__xludf.DUMMYFUNCTION("""COMPUTED_VALUE"""),"Shintaro Kobayashi")</f>
        <v>Shintaro Kobayashi</v>
      </c>
      <c r="D871">
        <f ca="1">IFERROR(__xludf.DUMMYFUNCTION("""COMPUTED_VALUE"""),40)</f>
        <v>40</v>
      </c>
      <c r="E871">
        <f ca="1">IFERROR(__xludf.DUMMYFUNCTION("""COMPUTED_VALUE"""),0.12)</f>
        <v>0.12</v>
      </c>
      <c r="F871">
        <f ca="1">IFERROR(__xludf.DUMMYFUNCTION("""COMPUTED_VALUE"""),4.77)</f>
        <v>4.7699999999999996</v>
      </c>
      <c r="G871">
        <f ca="1">IFERROR(__xludf.DUMMYFUNCTION("""COMPUTED_VALUE"""),-3.75)</f>
        <v>-3.75</v>
      </c>
      <c r="H871">
        <f ca="1">IFERROR(__xludf.DUMMYFUNCTION("""COMPUTED_VALUE"""),0)</f>
        <v>0</v>
      </c>
      <c r="I871" t="str">
        <f ca="1">IFERROR(__xludf.DUMMYFUNCTION("""COMPUTED_VALUE"""),"")</f>
        <v/>
      </c>
    </row>
    <row r="872" spans="1:9" ht="12.75">
      <c r="A872">
        <f ca="1">IFERROR(__xludf.DUMMYFUNCTION("""COMPUTED_VALUE"""),871)</f>
        <v>871</v>
      </c>
      <c r="B872">
        <f ca="1">IFERROR(__xludf.DUMMYFUNCTION("""COMPUTED_VALUE"""),863)</f>
        <v>863</v>
      </c>
      <c r="C872" t="str">
        <f ca="1">IFERROR(__xludf.DUMMYFUNCTION("""COMPUTED_VALUE"""),"Victor Vayret")</f>
        <v>Victor Vayret</v>
      </c>
      <c r="D872">
        <f ca="1">IFERROR(__xludf.DUMMYFUNCTION("""COMPUTED_VALUE"""),40)</f>
        <v>40</v>
      </c>
      <c r="E872">
        <f ca="1">IFERROR(__xludf.DUMMYFUNCTION("""COMPUTED_VALUE"""),0.12)</f>
        <v>0.12</v>
      </c>
      <c r="F872">
        <f ca="1">IFERROR(__xludf.DUMMYFUNCTION("""COMPUTED_VALUE"""),4.76)</f>
        <v>4.76</v>
      </c>
      <c r="G872">
        <f ca="1">IFERROR(__xludf.DUMMYFUNCTION("""COMPUTED_VALUE"""),-0.97)</f>
        <v>-0.97</v>
      </c>
      <c r="H872">
        <f ca="1">IFERROR(__xludf.DUMMYFUNCTION("""COMPUTED_VALUE"""),5.73)</f>
        <v>5.73</v>
      </c>
      <c r="I872" t="str">
        <f ca="1">IFERROR(__xludf.DUMMYFUNCTION("""COMPUTED_VALUE"""),"")</f>
        <v/>
      </c>
    </row>
    <row r="873" spans="1:9" ht="12.75">
      <c r="A873">
        <f ca="1">IFERROR(__xludf.DUMMYFUNCTION("""COMPUTED_VALUE"""),872)</f>
        <v>872</v>
      </c>
      <c r="B873">
        <f ca="1">IFERROR(__xludf.DUMMYFUNCTION("""COMPUTED_VALUE"""),867)</f>
        <v>867</v>
      </c>
      <c r="C873" t="str">
        <f ca="1">IFERROR(__xludf.DUMMYFUNCTION("""COMPUTED_VALUE"""),"Drew Weaver")</f>
        <v>Drew Weaver</v>
      </c>
      <c r="D873">
        <f ca="1">IFERROR(__xludf.DUMMYFUNCTION("""COMPUTED_VALUE"""),46)</f>
        <v>46</v>
      </c>
      <c r="E873">
        <f ca="1">IFERROR(__xludf.DUMMYFUNCTION("""COMPUTED_VALUE"""),0.12)</f>
        <v>0.12</v>
      </c>
      <c r="F873">
        <f ca="1">IFERROR(__xludf.DUMMYFUNCTION("""COMPUTED_VALUE"""),5.46)</f>
        <v>5.46</v>
      </c>
      <c r="G873">
        <f ca="1">IFERROR(__xludf.DUMMYFUNCTION("""COMPUTED_VALUE"""),-6.06)</f>
        <v>-6.06</v>
      </c>
      <c r="H873">
        <f ca="1">IFERROR(__xludf.DUMMYFUNCTION("""COMPUTED_VALUE"""),2.21)</f>
        <v>2.21</v>
      </c>
      <c r="I873" t="str">
        <f ca="1">IFERROR(__xludf.DUMMYFUNCTION("""COMPUTED_VALUE"""),"")</f>
        <v/>
      </c>
    </row>
    <row r="874" spans="1:9" ht="12.75">
      <c r="A874">
        <f ca="1">IFERROR(__xludf.DUMMYFUNCTION("""COMPUTED_VALUE"""),873)</f>
        <v>873</v>
      </c>
      <c r="B874">
        <f ca="1">IFERROR(__xludf.DUMMYFUNCTION("""COMPUTED_VALUE"""),860)</f>
        <v>860</v>
      </c>
      <c r="C874" t="str">
        <f ca="1">IFERROR(__xludf.DUMMYFUNCTION("""COMPUTED_VALUE"""),"Hanmil Jung")</f>
        <v>Hanmil Jung</v>
      </c>
      <c r="D874">
        <f ca="1">IFERROR(__xludf.DUMMYFUNCTION("""COMPUTED_VALUE"""),40)</f>
        <v>40</v>
      </c>
      <c r="E874">
        <f ca="1">IFERROR(__xludf.DUMMYFUNCTION("""COMPUTED_VALUE"""),0.12)</f>
        <v>0.12</v>
      </c>
      <c r="F874">
        <f ca="1">IFERROR(__xludf.DUMMYFUNCTION("""COMPUTED_VALUE"""),4.75)</f>
        <v>4.75</v>
      </c>
      <c r="G874">
        <f ca="1">IFERROR(__xludf.DUMMYFUNCTION("""COMPUTED_VALUE"""),-4.69)</f>
        <v>-4.6900000000000004</v>
      </c>
      <c r="H874">
        <f ca="1">IFERROR(__xludf.DUMMYFUNCTION("""COMPUTED_VALUE"""),0)</f>
        <v>0</v>
      </c>
      <c r="I874" t="str">
        <f ca="1">IFERROR(__xludf.DUMMYFUNCTION("""COMPUTED_VALUE"""),"")</f>
        <v/>
      </c>
    </row>
    <row r="875" spans="1:9" ht="12.75">
      <c r="A875">
        <f ca="1">IFERROR(__xludf.DUMMYFUNCTION("""COMPUTED_VALUE"""),874)</f>
        <v>874</v>
      </c>
      <c r="B875">
        <f ca="1">IFERROR(__xludf.DUMMYFUNCTION("""COMPUTED_VALUE"""),866)</f>
        <v>866</v>
      </c>
      <c r="C875" t="str">
        <f ca="1">IFERROR(__xludf.DUMMYFUNCTION("""COMPUTED_VALUE"""),"Derek Ernst")</f>
        <v>Derek Ernst</v>
      </c>
      <c r="D875">
        <f ca="1">IFERROR(__xludf.DUMMYFUNCTION("""COMPUTED_VALUE"""),52)</f>
        <v>52</v>
      </c>
      <c r="E875">
        <f ca="1">IFERROR(__xludf.DUMMYFUNCTION("""COMPUTED_VALUE"""),0.12)</f>
        <v>0.12</v>
      </c>
      <c r="F875">
        <f ca="1">IFERROR(__xludf.DUMMYFUNCTION("""COMPUTED_VALUE"""),6.17)</f>
        <v>6.17</v>
      </c>
      <c r="G875">
        <f ca="1">IFERROR(__xludf.DUMMYFUNCTION("""COMPUTED_VALUE"""),-3.46)</f>
        <v>-3.46</v>
      </c>
      <c r="H875">
        <f ca="1">IFERROR(__xludf.DUMMYFUNCTION("""COMPUTED_VALUE"""),5.9)</f>
        <v>5.9</v>
      </c>
      <c r="I875" t="str">
        <f ca="1">IFERROR(__xludf.DUMMYFUNCTION("""COMPUTED_VALUE"""),"")</f>
        <v/>
      </c>
    </row>
    <row r="876" spans="1:9" ht="12.75">
      <c r="A876">
        <f ca="1">IFERROR(__xludf.DUMMYFUNCTION("""COMPUTED_VALUE"""),875)</f>
        <v>875</v>
      </c>
      <c r="B876">
        <f ca="1">IFERROR(__xludf.DUMMYFUNCTION("""COMPUTED_VALUE"""),872)</f>
        <v>872</v>
      </c>
      <c r="C876" t="str">
        <f ca="1">IFERROR(__xludf.DUMMYFUNCTION("""COMPUTED_VALUE"""),"Philipp Mejow")</f>
        <v>Philipp Mejow</v>
      </c>
      <c r="D876">
        <f ca="1">IFERROR(__xludf.DUMMYFUNCTION("""COMPUTED_VALUE"""),40)</f>
        <v>40</v>
      </c>
      <c r="E876">
        <f ca="1">IFERROR(__xludf.DUMMYFUNCTION("""COMPUTED_VALUE"""),0.12)</f>
        <v>0.12</v>
      </c>
      <c r="F876">
        <f ca="1">IFERROR(__xludf.DUMMYFUNCTION("""COMPUTED_VALUE"""),4.73)</f>
        <v>4.7300000000000004</v>
      </c>
      <c r="G876">
        <f ca="1">IFERROR(__xludf.DUMMYFUNCTION("""COMPUTED_VALUE"""),-1.51)</f>
        <v>-1.51</v>
      </c>
      <c r="H876">
        <f ca="1">IFERROR(__xludf.DUMMYFUNCTION("""COMPUTED_VALUE"""),4)</f>
        <v>4</v>
      </c>
      <c r="I876" t="str">
        <f ca="1">IFERROR(__xludf.DUMMYFUNCTION("""COMPUTED_VALUE"""),"")</f>
        <v/>
      </c>
    </row>
    <row r="877" spans="1:9" ht="12.75">
      <c r="A877">
        <f ca="1">IFERROR(__xludf.DUMMYFUNCTION("""COMPUTED_VALUE"""),875)</f>
        <v>875</v>
      </c>
      <c r="B877">
        <f ca="1">IFERROR(__xludf.DUMMYFUNCTION("""COMPUTED_VALUE"""),869)</f>
        <v>869</v>
      </c>
      <c r="C877" t="str">
        <f ca="1">IFERROR(__xludf.DUMMYFUNCTION("""COMPUTED_VALUE"""),"Jack Thompson")</f>
        <v>Jack Thompson</v>
      </c>
      <c r="D877">
        <f ca="1">IFERROR(__xludf.DUMMYFUNCTION("""COMPUTED_VALUE"""),40)</f>
        <v>40</v>
      </c>
      <c r="E877">
        <f ca="1">IFERROR(__xludf.DUMMYFUNCTION("""COMPUTED_VALUE"""),0.12)</f>
        <v>0.12</v>
      </c>
      <c r="F877">
        <f ca="1">IFERROR(__xludf.DUMMYFUNCTION("""COMPUTED_VALUE"""),4.73)</f>
        <v>4.7300000000000004</v>
      </c>
      <c r="G877">
        <f ca="1">IFERROR(__xludf.DUMMYFUNCTION("""COMPUTED_VALUE"""),-1.17)</f>
        <v>-1.17</v>
      </c>
      <c r="H877">
        <f ca="1">IFERROR(__xludf.DUMMYFUNCTION("""COMPUTED_VALUE"""),4.2)</f>
        <v>4.2</v>
      </c>
      <c r="I877" t="str">
        <f ca="1">IFERROR(__xludf.DUMMYFUNCTION("""COMPUTED_VALUE"""),"")</f>
        <v/>
      </c>
    </row>
    <row r="878" spans="1:9" ht="12.75">
      <c r="A878">
        <f ca="1">IFERROR(__xludf.DUMMYFUNCTION("""COMPUTED_VALUE"""),877)</f>
        <v>877</v>
      </c>
      <c r="B878">
        <f ca="1">IFERROR(__xludf.DUMMYFUNCTION("""COMPUTED_VALUE"""),875)</f>
        <v>875</v>
      </c>
      <c r="C878" t="str">
        <f ca="1">IFERROR(__xludf.DUMMYFUNCTION("""COMPUTED_VALUE"""),"Juuso Kahlos")</f>
        <v>Juuso Kahlos</v>
      </c>
      <c r="D878">
        <f ca="1">IFERROR(__xludf.DUMMYFUNCTION("""COMPUTED_VALUE"""),40)</f>
        <v>40</v>
      </c>
      <c r="E878">
        <f ca="1">IFERROR(__xludf.DUMMYFUNCTION("""COMPUTED_VALUE"""),0.12)</f>
        <v>0.12</v>
      </c>
      <c r="F878">
        <f ca="1">IFERROR(__xludf.DUMMYFUNCTION("""COMPUTED_VALUE"""),4.72)</f>
        <v>4.72</v>
      </c>
      <c r="G878">
        <f ca="1">IFERROR(__xludf.DUMMYFUNCTION("""COMPUTED_VALUE"""),-0.48)</f>
        <v>-0.48</v>
      </c>
      <c r="H878">
        <f ca="1">IFERROR(__xludf.DUMMYFUNCTION("""COMPUTED_VALUE"""),4)</f>
        <v>4</v>
      </c>
      <c r="I878" t="str">
        <f ca="1">IFERROR(__xludf.DUMMYFUNCTION("""COMPUTED_VALUE"""),"")</f>
        <v/>
      </c>
    </row>
    <row r="879" spans="1:9" ht="12.75">
      <c r="A879">
        <f ca="1">IFERROR(__xludf.DUMMYFUNCTION("""COMPUTED_VALUE"""),878)</f>
        <v>878</v>
      </c>
      <c r="B879">
        <f ca="1">IFERROR(__xludf.DUMMYFUNCTION("""COMPUTED_VALUE"""),872)</f>
        <v>872</v>
      </c>
      <c r="C879" t="str">
        <f ca="1">IFERROR(__xludf.DUMMYFUNCTION("""COMPUTED_VALUE"""),"Song-Gyu Yoo")</f>
        <v>Song-Gyu Yoo</v>
      </c>
      <c r="D879">
        <f ca="1">IFERROR(__xludf.DUMMYFUNCTION("""COMPUTED_VALUE"""),40)</f>
        <v>40</v>
      </c>
      <c r="E879">
        <f ca="1">IFERROR(__xludf.DUMMYFUNCTION("""COMPUTED_VALUE"""),0.12)</f>
        <v>0.12</v>
      </c>
      <c r="F879">
        <f ca="1">IFERROR(__xludf.DUMMYFUNCTION("""COMPUTED_VALUE"""),4.72)</f>
        <v>4.72</v>
      </c>
      <c r="G879">
        <f ca="1">IFERROR(__xludf.DUMMYFUNCTION("""COMPUTED_VALUE"""),-1.34)</f>
        <v>-1.34</v>
      </c>
      <c r="H879">
        <f ca="1">IFERROR(__xludf.DUMMYFUNCTION("""COMPUTED_VALUE"""),3.6)</f>
        <v>3.6</v>
      </c>
      <c r="I879" t="str">
        <f ca="1">IFERROR(__xludf.DUMMYFUNCTION("""COMPUTED_VALUE"""),"")</f>
        <v/>
      </c>
    </row>
    <row r="880" spans="1:9" ht="12.75">
      <c r="A880">
        <f ca="1">IFERROR(__xludf.DUMMYFUNCTION("""COMPUTED_VALUE"""),878)</f>
        <v>878</v>
      </c>
      <c r="B880">
        <f ca="1">IFERROR(__xludf.DUMMYFUNCTION("""COMPUTED_VALUE"""),856)</f>
        <v>856</v>
      </c>
      <c r="C880" t="str">
        <f ca="1">IFERROR(__xludf.DUMMYFUNCTION("""COMPUTED_VALUE"""),"Harrison Endycott")</f>
        <v>Harrison Endycott</v>
      </c>
      <c r="D880">
        <f ca="1">IFERROR(__xludf.DUMMYFUNCTION("""COMPUTED_VALUE"""),41)</f>
        <v>41</v>
      </c>
      <c r="E880">
        <f ca="1">IFERROR(__xludf.DUMMYFUNCTION("""COMPUTED_VALUE"""),0.12)</f>
        <v>0.12</v>
      </c>
      <c r="F880">
        <f ca="1">IFERROR(__xludf.DUMMYFUNCTION("""COMPUTED_VALUE"""),4.84)</f>
        <v>4.84</v>
      </c>
      <c r="G880">
        <f ca="1">IFERROR(__xludf.DUMMYFUNCTION("""COMPUTED_VALUE"""),-6.29)</f>
        <v>-6.29</v>
      </c>
      <c r="H880">
        <f ca="1">IFERROR(__xludf.DUMMYFUNCTION("""COMPUTED_VALUE"""),1.76)</f>
        <v>1.76</v>
      </c>
      <c r="I880" t="str">
        <f ca="1">IFERROR(__xludf.DUMMYFUNCTION("""COMPUTED_VALUE"""),"")</f>
        <v/>
      </c>
    </row>
    <row r="881" spans="1:9" ht="12.75">
      <c r="A881">
        <f ca="1">IFERROR(__xludf.DUMMYFUNCTION("""COMPUTED_VALUE"""),880)</f>
        <v>880</v>
      </c>
      <c r="B881">
        <f ca="1">IFERROR(__xludf.DUMMYFUNCTION("""COMPUTED_VALUE"""),871)</f>
        <v>871</v>
      </c>
      <c r="C881" t="str">
        <f ca="1">IFERROR(__xludf.DUMMYFUNCTION("""COMPUTED_VALUE"""),"Takaya Onoda")</f>
        <v>Takaya Onoda</v>
      </c>
      <c r="D881">
        <f ca="1">IFERROR(__xludf.DUMMYFUNCTION("""COMPUTED_VALUE"""),40)</f>
        <v>40</v>
      </c>
      <c r="E881">
        <f ca="1">IFERROR(__xludf.DUMMYFUNCTION("""COMPUTED_VALUE"""),0.12)</f>
        <v>0.12</v>
      </c>
      <c r="F881">
        <f ca="1">IFERROR(__xludf.DUMMYFUNCTION("""COMPUTED_VALUE"""),4.71)</f>
        <v>4.71</v>
      </c>
      <c r="G881">
        <f ca="1">IFERROR(__xludf.DUMMYFUNCTION("""COMPUTED_VALUE"""),-1.19)</f>
        <v>-1.19</v>
      </c>
      <c r="H881">
        <f ca="1">IFERROR(__xludf.DUMMYFUNCTION("""COMPUTED_VALUE"""),3.04)</f>
        <v>3.04</v>
      </c>
      <c r="I881" t="str">
        <f ca="1">IFERROR(__xludf.DUMMYFUNCTION("""COMPUTED_VALUE"""),"")</f>
        <v/>
      </c>
    </row>
    <row r="882" spans="1:9" ht="12.75">
      <c r="A882">
        <f ca="1">IFERROR(__xludf.DUMMYFUNCTION("""COMPUTED_VALUE"""),880)</f>
        <v>880</v>
      </c>
      <c r="B882">
        <f ca="1">IFERROR(__xludf.DUMMYFUNCTION("""COMPUTED_VALUE"""),876)</f>
        <v>876</v>
      </c>
      <c r="C882" t="str">
        <f ca="1">IFERROR(__xludf.DUMMYFUNCTION("""COMPUTED_VALUE"""),"Eric Cole")</f>
        <v>Eric Cole</v>
      </c>
      <c r="D882">
        <f ca="1">IFERROR(__xludf.DUMMYFUNCTION("""COMPUTED_VALUE"""),40)</f>
        <v>40</v>
      </c>
      <c r="E882">
        <f ca="1">IFERROR(__xludf.DUMMYFUNCTION("""COMPUTED_VALUE"""),0.12)</f>
        <v>0.12</v>
      </c>
      <c r="F882">
        <f ca="1">IFERROR(__xludf.DUMMYFUNCTION("""COMPUTED_VALUE"""),4.71)</f>
        <v>4.71</v>
      </c>
      <c r="G882">
        <f ca="1">IFERROR(__xludf.DUMMYFUNCTION("""COMPUTED_VALUE"""),-0.18)</f>
        <v>-0.18</v>
      </c>
      <c r="H882">
        <f ca="1">IFERROR(__xludf.DUMMYFUNCTION("""COMPUTED_VALUE"""),4.9)</f>
        <v>4.9000000000000004</v>
      </c>
      <c r="I882" t="str">
        <f ca="1">IFERROR(__xludf.DUMMYFUNCTION("""COMPUTED_VALUE"""),"")</f>
        <v/>
      </c>
    </row>
    <row r="883" spans="1:9" ht="12.75">
      <c r="A883">
        <f ca="1">IFERROR(__xludf.DUMMYFUNCTION("""COMPUTED_VALUE"""),882)</f>
        <v>882</v>
      </c>
      <c r="B883">
        <f ca="1">IFERROR(__xludf.DUMMYFUNCTION("""COMPUTED_VALUE"""),863)</f>
        <v>863</v>
      </c>
      <c r="C883" t="str">
        <f ca="1">IFERROR(__xludf.DUMMYFUNCTION("""COMPUTED_VALUE"""),"Luke Kwon")</f>
        <v>Luke Kwon</v>
      </c>
      <c r="D883">
        <f ca="1">IFERROR(__xludf.DUMMYFUNCTION("""COMPUTED_VALUE"""),40)</f>
        <v>40</v>
      </c>
      <c r="E883">
        <f ca="1">IFERROR(__xludf.DUMMYFUNCTION("""COMPUTED_VALUE"""),0.12)</f>
        <v>0.12</v>
      </c>
      <c r="F883">
        <f ca="1">IFERROR(__xludf.DUMMYFUNCTION("""COMPUTED_VALUE"""),4.7)</f>
        <v>4.7</v>
      </c>
      <c r="G883">
        <f ca="1">IFERROR(__xludf.DUMMYFUNCTION("""COMPUTED_VALUE"""),-4.13)</f>
        <v>-4.13</v>
      </c>
      <c r="H883">
        <f ca="1">IFERROR(__xludf.DUMMYFUNCTION("""COMPUTED_VALUE"""),0)</f>
        <v>0</v>
      </c>
      <c r="I883" t="str">
        <f ca="1">IFERROR(__xludf.DUMMYFUNCTION("""COMPUTED_VALUE"""),"")</f>
        <v/>
      </c>
    </row>
    <row r="884" spans="1:9" ht="12.75">
      <c r="A884">
        <f ca="1">IFERROR(__xludf.DUMMYFUNCTION("""COMPUTED_VALUE"""),883)</f>
        <v>883</v>
      </c>
      <c r="B884">
        <f ca="1">IFERROR(__xludf.DUMMYFUNCTION("""COMPUTED_VALUE"""),876)</f>
        <v>876</v>
      </c>
      <c r="C884" t="str">
        <f ca="1">IFERROR(__xludf.DUMMYFUNCTION("""COMPUTED_VALUE"""),"KK Limbhasut")</f>
        <v>KK Limbhasut</v>
      </c>
      <c r="D884">
        <f ca="1">IFERROR(__xludf.DUMMYFUNCTION("""COMPUTED_VALUE"""),40)</f>
        <v>40</v>
      </c>
      <c r="E884">
        <f ca="1">IFERROR(__xludf.DUMMYFUNCTION("""COMPUTED_VALUE"""),0.12)</f>
        <v>0.12</v>
      </c>
      <c r="F884">
        <f ca="1">IFERROR(__xludf.DUMMYFUNCTION("""COMPUTED_VALUE"""),4.69)</f>
        <v>4.6900000000000004</v>
      </c>
      <c r="G884">
        <f ca="1">IFERROR(__xludf.DUMMYFUNCTION("""COMPUTED_VALUE"""),-0.37)</f>
        <v>-0.37</v>
      </c>
      <c r="H884">
        <f ca="1">IFERROR(__xludf.DUMMYFUNCTION("""COMPUTED_VALUE"""),5.06)</f>
        <v>5.0599999999999996</v>
      </c>
      <c r="I884" t="str">
        <f ca="1">IFERROR(__xludf.DUMMYFUNCTION("""COMPUTED_VALUE"""),"")</f>
        <v/>
      </c>
    </row>
    <row r="885" spans="1:9" ht="12.75">
      <c r="A885">
        <f ca="1">IFERROR(__xludf.DUMMYFUNCTION("""COMPUTED_VALUE"""),884)</f>
        <v>884</v>
      </c>
      <c r="B885">
        <f ca="1">IFERROR(__xludf.DUMMYFUNCTION("""COMPUTED_VALUE"""),870)</f>
        <v>870</v>
      </c>
      <c r="C885" t="str">
        <f ca="1">IFERROR(__xludf.DUMMYFUNCTION("""COMPUTED_VALUE"""),"Woojin Jung")</f>
        <v>Woojin Jung</v>
      </c>
      <c r="D885">
        <f ca="1">IFERROR(__xludf.DUMMYFUNCTION("""COMPUTED_VALUE"""),40)</f>
        <v>40</v>
      </c>
      <c r="E885">
        <f ca="1">IFERROR(__xludf.DUMMYFUNCTION("""COMPUTED_VALUE"""),0.12)</f>
        <v>0.12</v>
      </c>
      <c r="F885">
        <f ca="1">IFERROR(__xludf.DUMMYFUNCTION("""COMPUTED_VALUE"""),4.68)</f>
        <v>4.68</v>
      </c>
      <c r="G885">
        <f ca="1">IFERROR(__xludf.DUMMYFUNCTION("""COMPUTED_VALUE"""),-4.33)</f>
        <v>-4.33</v>
      </c>
      <c r="H885">
        <f ca="1">IFERROR(__xludf.DUMMYFUNCTION("""COMPUTED_VALUE"""),0)</f>
        <v>0</v>
      </c>
      <c r="I885" t="str">
        <f ca="1">IFERROR(__xludf.DUMMYFUNCTION("""COMPUTED_VALUE"""),"")</f>
        <v/>
      </c>
    </row>
    <row r="886" spans="1:9" ht="12.75">
      <c r="A886">
        <f ca="1">IFERROR(__xludf.DUMMYFUNCTION("""COMPUTED_VALUE"""),885)</f>
        <v>885</v>
      </c>
      <c r="B886">
        <f ca="1">IFERROR(__xludf.DUMMYFUNCTION("""COMPUTED_VALUE"""),872)</f>
        <v>872</v>
      </c>
      <c r="C886" t="str">
        <f ca="1">IFERROR(__xludf.DUMMYFUNCTION("""COMPUTED_VALUE"""),"Desne van den Bergh")</f>
        <v>Desne van den Bergh</v>
      </c>
      <c r="D886">
        <f ca="1">IFERROR(__xludf.DUMMYFUNCTION("""COMPUTED_VALUE"""),40)</f>
        <v>40</v>
      </c>
      <c r="E886">
        <f ca="1">IFERROR(__xludf.DUMMYFUNCTION("""COMPUTED_VALUE"""),0.12)</f>
        <v>0.12</v>
      </c>
      <c r="F886">
        <f ca="1">IFERROR(__xludf.DUMMYFUNCTION("""COMPUTED_VALUE"""),4.66)</f>
        <v>4.66</v>
      </c>
      <c r="G886">
        <f ca="1">IFERROR(__xludf.DUMMYFUNCTION("""COMPUTED_VALUE"""),-2.49)</f>
        <v>-2.4900000000000002</v>
      </c>
      <c r="H886">
        <f ca="1">IFERROR(__xludf.DUMMYFUNCTION("""COMPUTED_VALUE"""),0)</f>
        <v>0</v>
      </c>
      <c r="I886" t="str">
        <f ca="1">IFERROR(__xludf.DUMMYFUNCTION("""COMPUTED_VALUE"""),"")</f>
        <v/>
      </c>
    </row>
    <row r="887" spans="1:9" ht="12.75">
      <c r="A887">
        <f ca="1">IFERROR(__xludf.DUMMYFUNCTION("""COMPUTED_VALUE"""),886)</f>
        <v>886</v>
      </c>
      <c r="B887">
        <f ca="1">IFERROR(__xludf.DUMMYFUNCTION("""COMPUTED_VALUE"""),883)</f>
        <v>883</v>
      </c>
      <c r="C887" t="str">
        <f ca="1">IFERROR(__xludf.DUMMYFUNCTION("""COMPUTED_VALUE"""),"Brett Rumford")</f>
        <v>Brett Rumford</v>
      </c>
      <c r="D887">
        <f ca="1">IFERROR(__xludf.DUMMYFUNCTION("""COMPUTED_VALUE"""),40)</f>
        <v>40</v>
      </c>
      <c r="E887">
        <f ca="1">IFERROR(__xludf.DUMMYFUNCTION("""COMPUTED_VALUE"""),0.12)</f>
        <v>0.12</v>
      </c>
      <c r="F887">
        <f ca="1">IFERROR(__xludf.DUMMYFUNCTION("""COMPUTED_VALUE"""),4.64)</f>
        <v>4.6399999999999997</v>
      </c>
      <c r="G887">
        <f ca="1">IFERROR(__xludf.DUMMYFUNCTION("""COMPUTED_VALUE"""),-2.4)</f>
        <v>-2.4</v>
      </c>
      <c r="H887">
        <f ca="1">IFERROR(__xludf.DUMMYFUNCTION("""COMPUTED_VALUE"""),2.4)</f>
        <v>2.4</v>
      </c>
      <c r="I887" t="str">
        <f ca="1">IFERROR(__xludf.DUMMYFUNCTION("""COMPUTED_VALUE"""),"")</f>
        <v/>
      </c>
    </row>
    <row r="888" spans="1:9" ht="12.75">
      <c r="A888">
        <f ca="1">IFERROR(__xludf.DUMMYFUNCTION("""COMPUTED_VALUE"""),887)</f>
        <v>887</v>
      </c>
      <c r="B888">
        <f ca="1">IFERROR(__xludf.DUMMYFUNCTION("""COMPUTED_VALUE"""),882)</f>
        <v>882</v>
      </c>
      <c r="C888" t="str">
        <f ca="1">IFERROR(__xludf.DUMMYFUNCTION("""COMPUTED_VALUE"""),"Sejun Yoon")</f>
        <v>Sejun Yoon</v>
      </c>
      <c r="D888">
        <f ca="1">IFERROR(__xludf.DUMMYFUNCTION("""COMPUTED_VALUE"""),40)</f>
        <v>40</v>
      </c>
      <c r="E888">
        <f ca="1">IFERROR(__xludf.DUMMYFUNCTION("""COMPUTED_VALUE"""),0.12)</f>
        <v>0.12</v>
      </c>
      <c r="F888">
        <f ca="1">IFERROR(__xludf.DUMMYFUNCTION("""COMPUTED_VALUE"""),4.64)</f>
        <v>4.6399999999999997</v>
      </c>
      <c r="G888">
        <f ca="1">IFERROR(__xludf.DUMMYFUNCTION("""COMPUTED_VALUE"""),-2.43)</f>
        <v>-2.4300000000000002</v>
      </c>
      <c r="H888">
        <f ca="1">IFERROR(__xludf.DUMMYFUNCTION("""COMPUTED_VALUE"""),3.33)</f>
        <v>3.33</v>
      </c>
      <c r="I888" t="str">
        <f ca="1">IFERROR(__xludf.DUMMYFUNCTION("""COMPUTED_VALUE"""),"")</f>
        <v/>
      </c>
    </row>
    <row r="889" spans="1:9" ht="12.75">
      <c r="A889">
        <f ca="1">IFERROR(__xludf.DUMMYFUNCTION("""COMPUTED_VALUE"""),888)</f>
        <v>888</v>
      </c>
      <c r="B889">
        <f ca="1">IFERROR(__xludf.DUMMYFUNCTION("""COMPUTED_VALUE"""),880)</f>
        <v>880</v>
      </c>
      <c r="C889" t="str">
        <f ca="1">IFERROR(__xludf.DUMMYFUNCTION("""COMPUTED_VALUE"""),"Scott Arnold")</f>
        <v>Scott Arnold</v>
      </c>
      <c r="D889">
        <f ca="1">IFERROR(__xludf.DUMMYFUNCTION("""COMPUTED_VALUE"""),40)</f>
        <v>40</v>
      </c>
      <c r="E889">
        <f ca="1">IFERROR(__xludf.DUMMYFUNCTION("""COMPUTED_VALUE"""),0.12)</f>
        <v>0.12</v>
      </c>
      <c r="F889">
        <f ca="1">IFERROR(__xludf.DUMMYFUNCTION("""COMPUTED_VALUE"""),4.63)</f>
        <v>4.63</v>
      </c>
      <c r="G889">
        <f ca="1">IFERROR(__xludf.DUMMYFUNCTION("""COMPUTED_VALUE"""),-1.4)</f>
        <v>-1.4</v>
      </c>
      <c r="H889">
        <f ca="1">IFERROR(__xludf.DUMMYFUNCTION("""COMPUTED_VALUE"""),4.2)</f>
        <v>4.2</v>
      </c>
      <c r="I889" t="str">
        <f ca="1">IFERROR(__xludf.DUMMYFUNCTION("""COMPUTED_VALUE"""),"")</f>
        <v/>
      </c>
    </row>
    <row r="890" spans="1:9" ht="12.75">
      <c r="A890">
        <f ca="1">IFERROR(__xludf.DUMMYFUNCTION("""COMPUTED_VALUE"""),889)</f>
        <v>889</v>
      </c>
      <c r="B890">
        <f ca="1">IFERROR(__xludf.DUMMYFUNCTION("""COMPUTED_VALUE"""),881)</f>
        <v>881</v>
      </c>
      <c r="C890" t="str">
        <f ca="1">IFERROR(__xludf.DUMMYFUNCTION("""COMPUTED_VALUE"""),"Scott Fernandez")</f>
        <v>Scott Fernandez</v>
      </c>
      <c r="D890">
        <f ca="1">IFERROR(__xludf.DUMMYFUNCTION("""COMPUTED_VALUE"""),40)</f>
        <v>40</v>
      </c>
      <c r="E890">
        <f ca="1">IFERROR(__xludf.DUMMYFUNCTION("""COMPUTED_VALUE"""),0.12)</f>
        <v>0.12</v>
      </c>
      <c r="F890">
        <f ca="1">IFERROR(__xludf.DUMMYFUNCTION("""COMPUTED_VALUE"""),4.62)</f>
        <v>4.62</v>
      </c>
      <c r="G890">
        <f ca="1">IFERROR(__xludf.DUMMYFUNCTION("""COMPUTED_VALUE"""),-3.63)</f>
        <v>-3.63</v>
      </c>
      <c r="H890">
        <f ca="1">IFERROR(__xludf.DUMMYFUNCTION("""COMPUTED_VALUE"""),3.47)</f>
        <v>3.47</v>
      </c>
      <c r="I890" t="str">
        <f ca="1">IFERROR(__xludf.DUMMYFUNCTION("""COMPUTED_VALUE"""),"")</f>
        <v/>
      </c>
    </row>
    <row r="891" spans="1:9" ht="12.75">
      <c r="A891">
        <f ca="1">IFERROR(__xludf.DUMMYFUNCTION("""COMPUTED_VALUE"""),890)</f>
        <v>890</v>
      </c>
      <c r="B891">
        <f ca="1">IFERROR(__xludf.DUMMYFUNCTION("""COMPUTED_VALUE"""),886)</f>
        <v>886</v>
      </c>
      <c r="C891" t="str">
        <f ca="1">IFERROR(__xludf.DUMMYFUNCTION("""COMPUTED_VALUE"""),"Marco Iten")</f>
        <v>Marco Iten</v>
      </c>
      <c r="D891">
        <f ca="1">IFERROR(__xludf.DUMMYFUNCTION("""COMPUTED_VALUE"""),44)</f>
        <v>44</v>
      </c>
      <c r="E891">
        <f ca="1">IFERROR(__xludf.DUMMYFUNCTION("""COMPUTED_VALUE"""),0.12)</f>
        <v>0.12</v>
      </c>
      <c r="F891">
        <f ca="1">IFERROR(__xludf.DUMMYFUNCTION("""COMPUTED_VALUE"""),5.06)</f>
        <v>5.0599999999999996</v>
      </c>
      <c r="G891">
        <f ca="1">IFERROR(__xludf.DUMMYFUNCTION("""COMPUTED_VALUE"""),-5.38)</f>
        <v>-5.38</v>
      </c>
      <c r="H891">
        <f ca="1">IFERROR(__xludf.DUMMYFUNCTION("""COMPUTED_VALUE"""),3.7)</f>
        <v>3.7</v>
      </c>
      <c r="I891" t="str">
        <f ca="1">IFERROR(__xludf.DUMMYFUNCTION("""COMPUTED_VALUE"""),"")</f>
        <v/>
      </c>
    </row>
    <row r="892" spans="1:9" ht="12.75">
      <c r="A892">
        <f ca="1">IFERROR(__xludf.DUMMYFUNCTION("""COMPUTED_VALUE"""),891)</f>
        <v>891</v>
      </c>
      <c r="B892">
        <f ca="1">IFERROR(__xludf.DUMMYFUNCTION("""COMPUTED_VALUE"""),884)</f>
        <v>884</v>
      </c>
      <c r="C892" t="str">
        <f ca="1">IFERROR(__xludf.DUMMYFUNCTION("""COMPUTED_VALUE"""),"Andreas Halvorsen")</f>
        <v>Andreas Halvorsen</v>
      </c>
      <c r="D892">
        <f ca="1">IFERROR(__xludf.DUMMYFUNCTION("""COMPUTED_VALUE"""),40)</f>
        <v>40</v>
      </c>
      <c r="E892">
        <f ca="1">IFERROR(__xludf.DUMMYFUNCTION("""COMPUTED_VALUE"""),0.11)</f>
        <v>0.11</v>
      </c>
      <c r="F892">
        <f ca="1">IFERROR(__xludf.DUMMYFUNCTION("""COMPUTED_VALUE"""),4.59)</f>
        <v>4.59</v>
      </c>
      <c r="G892">
        <f ca="1">IFERROR(__xludf.DUMMYFUNCTION("""COMPUTED_VALUE"""),-2.48)</f>
        <v>-2.48</v>
      </c>
      <c r="H892">
        <f ca="1">IFERROR(__xludf.DUMMYFUNCTION("""COMPUTED_VALUE"""),2.4)</f>
        <v>2.4</v>
      </c>
      <c r="I892" t="str">
        <f ca="1">IFERROR(__xludf.DUMMYFUNCTION("""COMPUTED_VALUE"""),"")</f>
        <v/>
      </c>
    </row>
    <row r="893" spans="1:9" ht="12.75">
      <c r="A893">
        <f ca="1">IFERROR(__xludf.DUMMYFUNCTION("""COMPUTED_VALUE"""),892)</f>
        <v>892</v>
      </c>
      <c r="B893">
        <f ca="1">IFERROR(__xludf.DUMMYFUNCTION("""COMPUTED_VALUE"""),885)</f>
        <v>885</v>
      </c>
      <c r="C893" t="str">
        <f ca="1">IFERROR(__xludf.DUMMYFUNCTION("""COMPUTED_VALUE"""),"Andrew Svoboda")</f>
        <v>Andrew Svoboda</v>
      </c>
      <c r="D893">
        <f ca="1">IFERROR(__xludf.DUMMYFUNCTION("""COMPUTED_VALUE"""),40)</f>
        <v>40</v>
      </c>
      <c r="E893">
        <f ca="1">IFERROR(__xludf.DUMMYFUNCTION("""COMPUTED_VALUE"""),0.11)</f>
        <v>0.11</v>
      </c>
      <c r="F893">
        <f ca="1">IFERROR(__xludf.DUMMYFUNCTION("""COMPUTED_VALUE"""),4.53)</f>
        <v>4.53</v>
      </c>
      <c r="G893">
        <f ca="1">IFERROR(__xludf.DUMMYFUNCTION("""COMPUTED_VALUE"""),-3.9)</f>
        <v>-3.9</v>
      </c>
      <c r="H893">
        <f ca="1">IFERROR(__xludf.DUMMYFUNCTION("""COMPUTED_VALUE"""),0)</f>
        <v>0</v>
      </c>
      <c r="I893" t="str">
        <f ca="1">IFERROR(__xludf.DUMMYFUNCTION("""COMPUTED_VALUE"""),"")</f>
        <v/>
      </c>
    </row>
    <row r="894" spans="1:9" ht="12.75">
      <c r="A894">
        <f ca="1">IFERROR(__xludf.DUMMYFUNCTION("""COMPUTED_VALUE"""),893)</f>
        <v>893</v>
      </c>
      <c r="B894">
        <f ca="1">IFERROR(__xludf.DUMMYFUNCTION("""COMPUTED_VALUE"""),888)</f>
        <v>888</v>
      </c>
      <c r="C894" t="str">
        <f ca="1">IFERROR(__xludf.DUMMYFUNCTION("""COMPUTED_VALUE"""),"Stephen Franken")</f>
        <v>Stephen Franken</v>
      </c>
      <c r="D894">
        <f ca="1">IFERROR(__xludf.DUMMYFUNCTION("""COMPUTED_VALUE"""),40)</f>
        <v>40</v>
      </c>
      <c r="E894">
        <f ca="1">IFERROR(__xludf.DUMMYFUNCTION("""COMPUTED_VALUE"""),0.11)</f>
        <v>0.11</v>
      </c>
      <c r="F894">
        <f ca="1">IFERROR(__xludf.DUMMYFUNCTION("""COMPUTED_VALUE"""),4.53)</f>
        <v>4.53</v>
      </c>
      <c r="G894">
        <f ca="1">IFERROR(__xludf.DUMMYFUNCTION("""COMPUTED_VALUE"""),-0.11)</f>
        <v>-0.11</v>
      </c>
      <c r="H894">
        <f ca="1">IFERROR(__xludf.DUMMYFUNCTION("""COMPUTED_VALUE"""),4.63)</f>
        <v>4.63</v>
      </c>
      <c r="I894" t="str">
        <f ca="1">IFERROR(__xludf.DUMMYFUNCTION("""COMPUTED_VALUE"""),"")</f>
        <v/>
      </c>
    </row>
    <row r="895" spans="1:9" ht="12.75">
      <c r="A895">
        <f ca="1">IFERROR(__xludf.DUMMYFUNCTION("""COMPUTED_VALUE"""),894)</f>
        <v>894</v>
      </c>
      <c r="B895">
        <f ca="1">IFERROR(__xludf.DUMMYFUNCTION("""COMPUTED_VALUE"""),878)</f>
        <v>878</v>
      </c>
      <c r="C895" t="str">
        <f ca="1">IFERROR(__xludf.DUMMYFUNCTION("""COMPUTED_VALUE"""),"Mathiam Keyser")</f>
        <v>Mathiam Keyser</v>
      </c>
      <c r="D895">
        <f ca="1">IFERROR(__xludf.DUMMYFUNCTION("""COMPUTED_VALUE"""),40)</f>
        <v>40</v>
      </c>
      <c r="E895">
        <f ca="1">IFERROR(__xludf.DUMMYFUNCTION("""COMPUTED_VALUE"""),0.11)</f>
        <v>0.11</v>
      </c>
      <c r="F895">
        <f ca="1">IFERROR(__xludf.DUMMYFUNCTION("""COMPUTED_VALUE"""),4.52)</f>
        <v>4.5199999999999996</v>
      </c>
      <c r="G895">
        <f ca="1">IFERROR(__xludf.DUMMYFUNCTION("""COMPUTED_VALUE"""),-7.58)</f>
        <v>-7.58</v>
      </c>
      <c r="H895">
        <f ca="1">IFERROR(__xludf.DUMMYFUNCTION("""COMPUTED_VALUE"""),0)</f>
        <v>0</v>
      </c>
      <c r="I895" t="str">
        <f ca="1">IFERROR(__xludf.DUMMYFUNCTION("""COMPUTED_VALUE"""),"")</f>
        <v/>
      </c>
    </row>
    <row r="896" spans="1:9" ht="12.75">
      <c r="A896">
        <f ca="1">IFERROR(__xludf.DUMMYFUNCTION("""COMPUTED_VALUE"""),895)</f>
        <v>895</v>
      </c>
      <c r="B896">
        <f ca="1">IFERROR(__xludf.DUMMYFUNCTION("""COMPUTED_VALUE"""),887)</f>
        <v>887</v>
      </c>
      <c r="C896" t="str">
        <f ca="1">IFERROR(__xludf.DUMMYFUNCTION("""COMPUTED_VALUE"""),"Mardan Mamat")</f>
        <v>Mardan Mamat</v>
      </c>
      <c r="D896">
        <f ca="1">IFERROR(__xludf.DUMMYFUNCTION("""COMPUTED_VALUE"""),40)</f>
        <v>40</v>
      </c>
      <c r="E896">
        <f ca="1">IFERROR(__xludf.DUMMYFUNCTION("""COMPUTED_VALUE"""),0.11)</f>
        <v>0.11</v>
      </c>
      <c r="F896">
        <f ca="1">IFERROR(__xludf.DUMMYFUNCTION("""COMPUTED_VALUE"""),4.51)</f>
        <v>4.51</v>
      </c>
      <c r="G896">
        <f ca="1">IFERROR(__xludf.DUMMYFUNCTION("""COMPUTED_VALUE"""),-2.92)</f>
        <v>-2.92</v>
      </c>
      <c r="H896">
        <f ca="1">IFERROR(__xludf.DUMMYFUNCTION("""COMPUTED_VALUE"""),0)</f>
        <v>0</v>
      </c>
      <c r="I896" t="str">
        <f ca="1">IFERROR(__xludf.DUMMYFUNCTION("""COMPUTED_VALUE"""),"")</f>
        <v/>
      </c>
    </row>
    <row r="897" spans="1:9" ht="12.75">
      <c r="A897">
        <f ca="1">IFERROR(__xludf.DUMMYFUNCTION("""COMPUTED_VALUE"""),896)</f>
        <v>896</v>
      </c>
      <c r="B897">
        <f ca="1">IFERROR(__xludf.DUMMYFUNCTION("""COMPUTED_VALUE"""),891)</f>
        <v>891</v>
      </c>
      <c r="C897" t="str">
        <f ca="1">IFERROR(__xludf.DUMMYFUNCTION("""COMPUTED_VALUE"""),"Jae-Han Chun")</f>
        <v>Jae-Han Chun</v>
      </c>
      <c r="D897">
        <f ca="1">IFERROR(__xludf.DUMMYFUNCTION("""COMPUTED_VALUE"""),40)</f>
        <v>40</v>
      </c>
      <c r="E897">
        <f ca="1">IFERROR(__xludf.DUMMYFUNCTION("""COMPUTED_VALUE"""),0.11)</f>
        <v>0.11</v>
      </c>
      <c r="F897">
        <f ca="1">IFERROR(__xludf.DUMMYFUNCTION("""COMPUTED_VALUE"""),4.5)</f>
        <v>4.5</v>
      </c>
      <c r="G897" t="str">
        <f ca="1">IFERROR(__xludf.DUMMYFUNCTION("""COMPUTED_VALUE"""),"")</f>
        <v/>
      </c>
      <c r="H897">
        <f ca="1">IFERROR(__xludf.DUMMYFUNCTION("""COMPUTED_VALUE"""),4.5)</f>
        <v>4.5</v>
      </c>
      <c r="I897" t="str">
        <f ca="1">IFERROR(__xludf.DUMMYFUNCTION("""COMPUTED_VALUE"""),"")</f>
        <v/>
      </c>
    </row>
    <row r="898" spans="1:9" ht="12.75">
      <c r="A898">
        <f ca="1">IFERROR(__xludf.DUMMYFUNCTION("""COMPUTED_VALUE"""),897)</f>
        <v>897</v>
      </c>
      <c r="B898">
        <f ca="1">IFERROR(__xludf.DUMMYFUNCTION("""COMPUTED_VALUE"""),889)</f>
        <v>889</v>
      </c>
      <c r="C898" t="str">
        <f ca="1">IFERROR(__xludf.DUMMYFUNCTION("""COMPUTED_VALUE"""),"Jorge Fernández-Valdés")</f>
        <v>Jorge Fernández-Valdés</v>
      </c>
      <c r="D898">
        <f ca="1">IFERROR(__xludf.DUMMYFUNCTION("""COMPUTED_VALUE"""),40)</f>
        <v>40</v>
      </c>
      <c r="E898">
        <f ca="1">IFERROR(__xludf.DUMMYFUNCTION("""COMPUTED_VALUE"""),0.11)</f>
        <v>0.11</v>
      </c>
      <c r="F898">
        <f ca="1">IFERROR(__xludf.DUMMYFUNCTION("""COMPUTED_VALUE"""),4.49)</f>
        <v>4.49</v>
      </c>
      <c r="G898">
        <f ca="1">IFERROR(__xludf.DUMMYFUNCTION("""COMPUTED_VALUE"""),-1.46)</f>
        <v>-1.46</v>
      </c>
      <c r="H898">
        <f ca="1">IFERROR(__xludf.DUMMYFUNCTION("""COMPUTED_VALUE"""),1.73)</f>
        <v>1.73</v>
      </c>
      <c r="I898" t="str">
        <f ca="1">IFERROR(__xludf.DUMMYFUNCTION("""COMPUTED_VALUE"""),"")</f>
        <v/>
      </c>
    </row>
    <row r="899" spans="1:9" ht="12.75">
      <c r="A899">
        <f ca="1">IFERROR(__xludf.DUMMYFUNCTION("""COMPUTED_VALUE"""),898)</f>
        <v>898</v>
      </c>
      <c r="B899">
        <f ca="1">IFERROR(__xludf.DUMMYFUNCTION("""COMPUTED_VALUE"""),890)</f>
        <v>890</v>
      </c>
      <c r="C899" t="str">
        <f ca="1">IFERROR(__xludf.DUMMYFUNCTION("""COMPUTED_VALUE"""),"Jacopo Vecchi Fossa")</f>
        <v>Jacopo Vecchi Fossa</v>
      </c>
      <c r="D899">
        <f ca="1">IFERROR(__xludf.DUMMYFUNCTION("""COMPUTED_VALUE"""),40)</f>
        <v>40</v>
      </c>
      <c r="E899">
        <f ca="1">IFERROR(__xludf.DUMMYFUNCTION("""COMPUTED_VALUE"""),0.11)</f>
        <v>0.11</v>
      </c>
      <c r="F899">
        <f ca="1">IFERROR(__xludf.DUMMYFUNCTION("""COMPUTED_VALUE"""),4.49)</f>
        <v>4.49</v>
      </c>
      <c r="G899">
        <f ca="1">IFERROR(__xludf.DUMMYFUNCTION("""COMPUTED_VALUE"""),-1.22)</f>
        <v>-1.22</v>
      </c>
      <c r="H899">
        <f ca="1">IFERROR(__xludf.DUMMYFUNCTION("""COMPUTED_VALUE"""),4)</f>
        <v>4</v>
      </c>
      <c r="I899" t="str">
        <f ca="1">IFERROR(__xludf.DUMMYFUNCTION("""COMPUTED_VALUE"""),"")</f>
        <v/>
      </c>
    </row>
    <row r="900" spans="1:9" ht="12.75">
      <c r="A900">
        <f ca="1">IFERROR(__xludf.DUMMYFUNCTION("""COMPUTED_VALUE"""),899)</f>
        <v>899</v>
      </c>
      <c r="B900">
        <f ca="1">IFERROR(__xludf.DUMMYFUNCTION("""COMPUTED_VALUE"""),895)</f>
        <v>895</v>
      </c>
      <c r="C900" t="str">
        <f ca="1">IFERROR(__xludf.DUMMYFUNCTION("""COMPUTED_VALUE"""),"Martin Piller")</f>
        <v>Martin Piller</v>
      </c>
      <c r="D900">
        <f ca="1">IFERROR(__xludf.DUMMYFUNCTION("""COMPUTED_VALUE"""),46)</f>
        <v>46</v>
      </c>
      <c r="E900">
        <f ca="1">IFERROR(__xludf.DUMMYFUNCTION("""COMPUTED_VALUE"""),0.11)</f>
        <v>0.11</v>
      </c>
      <c r="F900">
        <f ca="1">IFERROR(__xludf.DUMMYFUNCTION("""COMPUTED_VALUE"""),5.16)</f>
        <v>5.16</v>
      </c>
      <c r="G900">
        <f ca="1">IFERROR(__xludf.DUMMYFUNCTION("""COMPUTED_VALUE"""),-3.5)</f>
        <v>-3.5</v>
      </c>
      <c r="H900">
        <f ca="1">IFERROR(__xludf.DUMMYFUNCTION("""COMPUTED_VALUE"""),4.09)</f>
        <v>4.09</v>
      </c>
      <c r="I900" t="str">
        <f ca="1">IFERROR(__xludf.DUMMYFUNCTION("""COMPUTED_VALUE"""),"")</f>
        <v/>
      </c>
    </row>
    <row r="901" spans="1:9" ht="12.75">
      <c r="A901">
        <f ca="1">IFERROR(__xludf.DUMMYFUNCTION("""COMPUTED_VALUE"""),900)</f>
        <v>900</v>
      </c>
      <c r="B901">
        <f ca="1">IFERROR(__xludf.DUMMYFUNCTION("""COMPUTED_VALUE"""),897)</f>
        <v>897</v>
      </c>
      <c r="C901" t="str">
        <f ca="1">IFERROR(__xludf.DUMMYFUNCTION("""COMPUTED_VALUE"""),"Mario Galiano")</f>
        <v>Mario Galiano</v>
      </c>
      <c r="D901">
        <f ca="1">IFERROR(__xludf.DUMMYFUNCTION("""COMPUTED_VALUE"""),40)</f>
        <v>40</v>
      </c>
      <c r="E901">
        <f ca="1">IFERROR(__xludf.DUMMYFUNCTION("""COMPUTED_VALUE"""),0.11)</f>
        <v>0.11</v>
      </c>
      <c r="F901">
        <f ca="1">IFERROR(__xludf.DUMMYFUNCTION("""COMPUTED_VALUE"""),4.43)</f>
        <v>4.43</v>
      </c>
      <c r="G901">
        <f ca="1">IFERROR(__xludf.DUMMYFUNCTION("""COMPUTED_VALUE"""),-1.6)</f>
        <v>-1.6</v>
      </c>
      <c r="H901">
        <f ca="1">IFERROR(__xludf.DUMMYFUNCTION("""COMPUTED_VALUE"""),3.62)</f>
        <v>3.62</v>
      </c>
      <c r="I901" t="str">
        <f ca="1">IFERROR(__xludf.DUMMYFUNCTION("""COMPUTED_VALUE"""),"")</f>
        <v/>
      </c>
    </row>
    <row r="902" spans="1:9" ht="12.75">
      <c r="A902">
        <f ca="1">IFERROR(__xludf.DUMMYFUNCTION("""COMPUTED_VALUE"""),901)</f>
        <v>901</v>
      </c>
      <c r="B902">
        <f ca="1">IFERROR(__xludf.DUMMYFUNCTION("""COMPUTED_VALUE"""),891)</f>
        <v>891</v>
      </c>
      <c r="C902" t="str">
        <f ca="1">IFERROR(__xludf.DUMMYFUNCTION("""COMPUTED_VALUE"""),"Matthew Spacey")</f>
        <v>Matthew Spacey</v>
      </c>
      <c r="D902">
        <f ca="1">IFERROR(__xludf.DUMMYFUNCTION("""COMPUTED_VALUE"""),40)</f>
        <v>40</v>
      </c>
      <c r="E902">
        <f ca="1">IFERROR(__xludf.DUMMYFUNCTION("""COMPUTED_VALUE"""),0.11)</f>
        <v>0.11</v>
      </c>
      <c r="F902">
        <f ca="1">IFERROR(__xludf.DUMMYFUNCTION("""COMPUTED_VALUE"""),4.4)</f>
        <v>4.4000000000000004</v>
      </c>
      <c r="G902">
        <f ca="1">IFERROR(__xludf.DUMMYFUNCTION("""COMPUTED_VALUE"""),-3.13)</f>
        <v>-3.13</v>
      </c>
      <c r="H902">
        <f ca="1">IFERROR(__xludf.DUMMYFUNCTION("""COMPUTED_VALUE"""),0)</f>
        <v>0</v>
      </c>
      <c r="I902" t="str">
        <f ca="1">IFERROR(__xludf.DUMMYFUNCTION("""COMPUTED_VALUE"""),"")</f>
        <v/>
      </c>
    </row>
    <row r="903" spans="1:9" ht="12.75">
      <c r="A903">
        <f ca="1">IFERROR(__xludf.DUMMYFUNCTION("""COMPUTED_VALUE"""),902)</f>
        <v>902</v>
      </c>
      <c r="B903">
        <f ca="1">IFERROR(__xludf.DUMMYFUNCTION("""COMPUTED_VALUE"""),893)</f>
        <v>893</v>
      </c>
      <c r="C903" t="str">
        <f ca="1">IFERROR(__xludf.DUMMYFUNCTION("""COMPUTED_VALUE"""),"Chiehpo Lee")</f>
        <v>Chiehpo Lee</v>
      </c>
      <c r="D903">
        <f ca="1">IFERROR(__xludf.DUMMYFUNCTION("""COMPUTED_VALUE"""),40)</f>
        <v>40</v>
      </c>
      <c r="E903">
        <f ca="1">IFERROR(__xludf.DUMMYFUNCTION("""COMPUTED_VALUE"""),0.11)</f>
        <v>0.11</v>
      </c>
      <c r="F903">
        <f ca="1">IFERROR(__xludf.DUMMYFUNCTION("""COMPUTED_VALUE"""),4.4)</f>
        <v>4.4000000000000004</v>
      </c>
      <c r="G903">
        <f ca="1">IFERROR(__xludf.DUMMYFUNCTION("""COMPUTED_VALUE"""),-3.38)</f>
        <v>-3.38</v>
      </c>
      <c r="H903">
        <f ca="1">IFERROR(__xludf.DUMMYFUNCTION("""COMPUTED_VALUE"""),0)</f>
        <v>0</v>
      </c>
      <c r="I903" t="str">
        <f ca="1">IFERROR(__xludf.DUMMYFUNCTION("""COMPUTED_VALUE"""),"")</f>
        <v/>
      </c>
    </row>
    <row r="904" spans="1:9" ht="12.75">
      <c r="A904">
        <f ca="1">IFERROR(__xludf.DUMMYFUNCTION("""COMPUTED_VALUE"""),902)</f>
        <v>902</v>
      </c>
      <c r="B904">
        <f ca="1">IFERROR(__xludf.DUMMYFUNCTION("""COMPUTED_VALUE"""),897)</f>
        <v>897</v>
      </c>
      <c r="C904" t="str">
        <f ca="1">IFERROR(__xludf.DUMMYFUNCTION("""COMPUTED_VALUE"""),"Chun-an Yu")</f>
        <v>Chun-an Yu</v>
      </c>
      <c r="D904">
        <f ca="1">IFERROR(__xludf.DUMMYFUNCTION("""COMPUTED_VALUE"""),40)</f>
        <v>40</v>
      </c>
      <c r="E904">
        <f ca="1">IFERROR(__xludf.DUMMYFUNCTION("""COMPUTED_VALUE"""),0.11)</f>
        <v>0.11</v>
      </c>
      <c r="F904">
        <f ca="1">IFERROR(__xludf.DUMMYFUNCTION("""COMPUTED_VALUE"""),4.4)</f>
        <v>4.4000000000000004</v>
      </c>
      <c r="G904">
        <f ca="1">IFERROR(__xludf.DUMMYFUNCTION("""COMPUTED_VALUE"""),-1.55)</f>
        <v>-1.55</v>
      </c>
      <c r="H904">
        <f ca="1">IFERROR(__xludf.DUMMYFUNCTION("""COMPUTED_VALUE"""),0)</f>
        <v>0</v>
      </c>
      <c r="I904" t="str">
        <f ca="1">IFERROR(__xludf.DUMMYFUNCTION("""COMPUTED_VALUE"""),"")</f>
        <v/>
      </c>
    </row>
    <row r="905" spans="1:9" ht="12.75">
      <c r="A905">
        <f ca="1">IFERROR(__xludf.DUMMYFUNCTION("""COMPUTED_VALUE"""),904)</f>
        <v>904</v>
      </c>
      <c r="B905">
        <f ca="1">IFERROR(__xludf.DUMMYFUNCTION("""COMPUTED_VALUE"""),899)</f>
        <v>899</v>
      </c>
      <c r="C905" t="str">
        <f ca="1">IFERROR(__xludf.DUMMYFUNCTION("""COMPUTED_VALUE"""),"Kyle Reifers")</f>
        <v>Kyle Reifers</v>
      </c>
      <c r="D905">
        <f ca="1">IFERROR(__xludf.DUMMYFUNCTION("""COMPUTED_VALUE"""),40)</f>
        <v>40</v>
      </c>
      <c r="E905">
        <f ca="1">IFERROR(__xludf.DUMMYFUNCTION("""COMPUTED_VALUE"""),0.11)</f>
        <v>0.11</v>
      </c>
      <c r="F905">
        <f ca="1">IFERROR(__xludf.DUMMYFUNCTION("""COMPUTED_VALUE"""),4.39)</f>
        <v>4.3899999999999997</v>
      </c>
      <c r="G905">
        <f ca="1">IFERROR(__xludf.DUMMYFUNCTION("""COMPUTED_VALUE"""),-2.65)</f>
        <v>-2.65</v>
      </c>
      <c r="H905">
        <f ca="1">IFERROR(__xludf.DUMMYFUNCTION("""COMPUTED_VALUE"""),3.02)</f>
        <v>3.02</v>
      </c>
      <c r="I905" t="str">
        <f ca="1">IFERROR(__xludf.DUMMYFUNCTION("""COMPUTED_VALUE"""),"")</f>
        <v/>
      </c>
    </row>
    <row r="906" spans="1:9" ht="12.75">
      <c r="A906">
        <f ca="1">IFERROR(__xludf.DUMMYFUNCTION("""COMPUTED_VALUE"""),905)</f>
        <v>905</v>
      </c>
      <c r="B906">
        <f ca="1">IFERROR(__xludf.DUMMYFUNCTION("""COMPUTED_VALUE"""),895)</f>
        <v>895</v>
      </c>
      <c r="C906" t="str">
        <f ca="1">IFERROR(__xludf.DUMMYFUNCTION("""COMPUTED_VALUE"""),"Ruan de Smidt")</f>
        <v>Ruan de Smidt</v>
      </c>
      <c r="D906">
        <f ca="1">IFERROR(__xludf.DUMMYFUNCTION("""COMPUTED_VALUE"""),51)</f>
        <v>51</v>
      </c>
      <c r="E906">
        <f ca="1">IFERROR(__xludf.DUMMYFUNCTION("""COMPUTED_VALUE"""),0.11)</f>
        <v>0.11</v>
      </c>
      <c r="F906">
        <f ca="1">IFERROR(__xludf.DUMMYFUNCTION("""COMPUTED_VALUE"""),5.59)</f>
        <v>5.59</v>
      </c>
      <c r="G906">
        <f ca="1">IFERROR(__xludf.DUMMYFUNCTION("""COMPUTED_VALUE"""),-3.6)</f>
        <v>-3.6</v>
      </c>
      <c r="H906">
        <f ca="1">IFERROR(__xludf.DUMMYFUNCTION("""COMPUTED_VALUE"""),0)</f>
        <v>0</v>
      </c>
      <c r="I906" t="str">
        <f ca="1">IFERROR(__xludf.DUMMYFUNCTION("""COMPUTED_VALUE"""),"")</f>
        <v/>
      </c>
    </row>
    <row r="907" spans="1:9" ht="12.75">
      <c r="A907">
        <f ca="1">IFERROR(__xludf.DUMMYFUNCTION("""COMPUTED_VALUE"""),906)</f>
        <v>906</v>
      </c>
      <c r="B907">
        <f ca="1">IFERROR(__xludf.DUMMYFUNCTION("""COMPUTED_VALUE"""),894)</f>
        <v>894</v>
      </c>
      <c r="C907" t="str">
        <f ca="1">IFERROR(__xludf.DUMMYFUNCTION("""COMPUTED_VALUE"""),"Sebastien Gros")</f>
        <v>Sebastien Gros</v>
      </c>
      <c r="D907">
        <f ca="1">IFERROR(__xludf.DUMMYFUNCTION("""COMPUTED_VALUE"""),40)</f>
        <v>40</v>
      </c>
      <c r="E907">
        <f ca="1">IFERROR(__xludf.DUMMYFUNCTION("""COMPUTED_VALUE"""),0.11)</f>
        <v>0.11</v>
      </c>
      <c r="F907">
        <f ca="1">IFERROR(__xludf.DUMMYFUNCTION("""COMPUTED_VALUE"""),4.38)</f>
        <v>4.38</v>
      </c>
      <c r="G907">
        <f ca="1">IFERROR(__xludf.DUMMYFUNCTION("""COMPUTED_VALUE"""),-4.39)</f>
        <v>-4.3899999999999997</v>
      </c>
      <c r="H907">
        <f ca="1">IFERROR(__xludf.DUMMYFUNCTION("""COMPUTED_VALUE"""),3)</f>
        <v>3</v>
      </c>
      <c r="I907" t="str">
        <f ca="1">IFERROR(__xludf.DUMMYFUNCTION("""COMPUTED_VALUE"""),"")</f>
        <v/>
      </c>
    </row>
    <row r="908" spans="1:9" ht="12.75">
      <c r="A908">
        <f ca="1">IFERROR(__xludf.DUMMYFUNCTION("""COMPUTED_VALUE"""),907)</f>
        <v>907</v>
      </c>
      <c r="B908">
        <f ca="1">IFERROR(__xludf.DUMMYFUNCTION("""COMPUTED_VALUE"""),909)</f>
        <v>909</v>
      </c>
      <c r="C908" t="str">
        <f ca="1">IFERROR(__xludf.DUMMYFUNCTION("""COMPUTED_VALUE"""),"Tristen Strydom")</f>
        <v>Tristen Strydom</v>
      </c>
      <c r="D908">
        <f ca="1">IFERROR(__xludf.DUMMYFUNCTION("""COMPUTED_VALUE"""),40)</f>
        <v>40</v>
      </c>
      <c r="E908">
        <f ca="1">IFERROR(__xludf.DUMMYFUNCTION("""COMPUTED_VALUE"""),0.11)</f>
        <v>0.11</v>
      </c>
      <c r="F908">
        <f ca="1">IFERROR(__xludf.DUMMYFUNCTION("""COMPUTED_VALUE"""),4.37)</f>
        <v>4.37</v>
      </c>
      <c r="G908">
        <f ca="1">IFERROR(__xludf.DUMMYFUNCTION("""COMPUTED_VALUE"""),-0.43)</f>
        <v>-0.43</v>
      </c>
      <c r="H908">
        <f ca="1">IFERROR(__xludf.DUMMYFUNCTION("""COMPUTED_VALUE"""),4.2)</f>
        <v>4.2</v>
      </c>
      <c r="I908" t="str">
        <f ca="1">IFERROR(__xludf.DUMMYFUNCTION("""COMPUTED_VALUE"""),"")</f>
        <v/>
      </c>
    </row>
    <row r="909" spans="1:9" ht="12.75">
      <c r="A909">
        <f ca="1">IFERROR(__xludf.DUMMYFUNCTION("""COMPUTED_VALUE"""),908)</f>
        <v>908</v>
      </c>
      <c r="B909">
        <f ca="1">IFERROR(__xludf.DUMMYFUNCTION("""COMPUTED_VALUE"""),907)</f>
        <v>907</v>
      </c>
      <c r="C909" t="str">
        <f ca="1">IFERROR(__xludf.DUMMYFUNCTION("""COMPUTED_VALUE"""),"Max Schmitt")</f>
        <v>Max Schmitt</v>
      </c>
      <c r="D909">
        <f ca="1">IFERROR(__xludf.DUMMYFUNCTION("""COMPUTED_VALUE"""),42)</f>
        <v>42</v>
      </c>
      <c r="E909">
        <f ca="1">IFERROR(__xludf.DUMMYFUNCTION("""COMPUTED_VALUE"""),0.11)</f>
        <v>0.11</v>
      </c>
      <c r="F909">
        <f ca="1">IFERROR(__xludf.DUMMYFUNCTION("""COMPUTED_VALUE"""),4.57)</f>
        <v>4.57</v>
      </c>
      <c r="G909">
        <f ca="1">IFERROR(__xludf.DUMMYFUNCTION("""COMPUTED_VALUE"""),-5.11)</f>
        <v>-5.1100000000000003</v>
      </c>
      <c r="H909">
        <f ca="1">IFERROR(__xludf.DUMMYFUNCTION("""COMPUTED_VALUE"""),0)</f>
        <v>0</v>
      </c>
      <c r="I909" t="str">
        <f ca="1">IFERROR(__xludf.DUMMYFUNCTION("""COMPUTED_VALUE"""),"")</f>
        <v/>
      </c>
    </row>
    <row r="910" spans="1:9" ht="12.75">
      <c r="A910">
        <f ca="1">IFERROR(__xludf.DUMMYFUNCTION("""COMPUTED_VALUE"""),909)</f>
        <v>909</v>
      </c>
      <c r="B910">
        <f ca="1">IFERROR(__xludf.DUMMYFUNCTION("""COMPUTED_VALUE"""),905)</f>
        <v>905</v>
      </c>
      <c r="C910" t="str">
        <f ca="1">IFERROR(__xludf.DUMMYFUNCTION("""COMPUTED_VALUE"""),"Anton Wilbertsson")</f>
        <v>Anton Wilbertsson</v>
      </c>
      <c r="D910">
        <f ca="1">IFERROR(__xludf.DUMMYFUNCTION("""COMPUTED_VALUE"""),40)</f>
        <v>40</v>
      </c>
      <c r="E910">
        <f ca="1">IFERROR(__xludf.DUMMYFUNCTION("""COMPUTED_VALUE"""),0.11)</f>
        <v>0.11</v>
      </c>
      <c r="F910">
        <f ca="1">IFERROR(__xludf.DUMMYFUNCTION("""COMPUTED_VALUE"""),4.35)</f>
        <v>4.3499999999999996</v>
      </c>
      <c r="G910">
        <f ca="1">IFERROR(__xludf.DUMMYFUNCTION("""COMPUTED_VALUE"""),-1.99)</f>
        <v>-1.99</v>
      </c>
      <c r="H910">
        <f ca="1">IFERROR(__xludf.DUMMYFUNCTION("""COMPUTED_VALUE"""),2)</f>
        <v>2</v>
      </c>
      <c r="I910" t="str">
        <f ca="1">IFERROR(__xludf.DUMMYFUNCTION("""COMPUTED_VALUE"""),"")</f>
        <v/>
      </c>
    </row>
    <row r="911" spans="1:9" ht="12.75">
      <c r="A911">
        <f ca="1">IFERROR(__xludf.DUMMYFUNCTION("""COMPUTED_VALUE"""),910)</f>
        <v>910</v>
      </c>
      <c r="B911">
        <f ca="1">IFERROR(__xludf.DUMMYFUNCTION("""COMPUTED_VALUE"""),901)</f>
        <v>901</v>
      </c>
      <c r="C911" t="str">
        <f ca="1">IFERROR(__xludf.DUMMYFUNCTION("""COMPUTED_VALUE"""),"Ethan Tracy")</f>
        <v>Ethan Tracy</v>
      </c>
      <c r="D911">
        <f ca="1">IFERROR(__xludf.DUMMYFUNCTION("""COMPUTED_VALUE"""),40)</f>
        <v>40</v>
      </c>
      <c r="E911">
        <f ca="1">IFERROR(__xludf.DUMMYFUNCTION("""COMPUTED_VALUE"""),0.11)</f>
        <v>0.11</v>
      </c>
      <c r="F911">
        <f ca="1">IFERROR(__xludf.DUMMYFUNCTION("""COMPUTED_VALUE"""),4.34)</f>
        <v>4.34</v>
      </c>
      <c r="G911">
        <f ca="1">IFERROR(__xludf.DUMMYFUNCTION("""COMPUTED_VALUE"""),-4.37)</f>
        <v>-4.37</v>
      </c>
      <c r="H911">
        <f ca="1">IFERROR(__xludf.DUMMYFUNCTION("""COMPUTED_VALUE"""),1.21)</f>
        <v>1.21</v>
      </c>
      <c r="I911" t="str">
        <f ca="1">IFERROR(__xludf.DUMMYFUNCTION("""COMPUTED_VALUE"""),"")</f>
        <v/>
      </c>
    </row>
    <row r="912" spans="1:9" ht="12.75">
      <c r="A912">
        <f ca="1">IFERROR(__xludf.DUMMYFUNCTION("""COMPUTED_VALUE"""),911)</f>
        <v>911</v>
      </c>
      <c r="B912">
        <f ca="1">IFERROR(__xludf.DUMMYFUNCTION("""COMPUTED_VALUE"""),903)</f>
        <v>903</v>
      </c>
      <c r="C912" t="str">
        <f ca="1">IFERROR(__xludf.DUMMYFUNCTION("""COMPUTED_VALUE"""),"Motin Yeung")</f>
        <v>Motin Yeung</v>
      </c>
      <c r="D912">
        <f ca="1">IFERROR(__xludf.DUMMYFUNCTION("""COMPUTED_VALUE"""),40)</f>
        <v>40</v>
      </c>
      <c r="E912">
        <f ca="1">IFERROR(__xludf.DUMMYFUNCTION("""COMPUTED_VALUE"""),0.11)</f>
        <v>0.11</v>
      </c>
      <c r="F912">
        <f ca="1">IFERROR(__xludf.DUMMYFUNCTION("""COMPUTED_VALUE"""),4.32)</f>
        <v>4.32</v>
      </c>
      <c r="G912">
        <f ca="1">IFERROR(__xludf.DUMMYFUNCTION("""COMPUTED_VALUE"""),-4.73)</f>
        <v>-4.7300000000000004</v>
      </c>
      <c r="H912">
        <f ca="1">IFERROR(__xludf.DUMMYFUNCTION("""COMPUTED_VALUE"""),0)</f>
        <v>0</v>
      </c>
      <c r="I912" t="str">
        <f ca="1">IFERROR(__xludf.DUMMYFUNCTION("""COMPUTED_VALUE"""),"")</f>
        <v/>
      </c>
    </row>
    <row r="913" spans="1:9" ht="12.75">
      <c r="A913">
        <f ca="1">IFERROR(__xludf.DUMMYFUNCTION("""COMPUTED_VALUE"""),912)</f>
        <v>912</v>
      </c>
      <c r="B913">
        <f ca="1">IFERROR(__xludf.DUMMYFUNCTION("""COMPUTED_VALUE"""),904)</f>
        <v>904</v>
      </c>
      <c r="C913" t="str">
        <f ca="1">IFERROR(__xludf.DUMMYFUNCTION("""COMPUTED_VALUE"""),"Jason Smith")</f>
        <v>Jason Smith</v>
      </c>
      <c r="D913">
        <f ca="1">IFERROR(__xludf.DUMMYFUNCTION("""COMPUTED_VALUE"""),40)</f>
        <v>40</v>
      </c>
      <c r="E913">
        <f ca="1">IFERROR(__xludf.DUMMYFUNCTION("""COMPUTED_VALUE"""),0.11)</f>
        <v>0.11</v>
      </c>
      <c r="F913">
        <f ca="1">IFERROR(__xludf.DUMMYFUNCTION("""COMPUTED_VALUE"""),4.32)</f>
        <v>4.32</v>
      </c>
      <c r="G913">
        <f ca="1">IFERROR(__xludf.DUMMYFUNCTION("""COMPUTED_VALUE"""),-2.8)</f>
        <v>-2.8</v>
      </c>
      <c r="H913">
        <f ca="1">IFERROR(__xludf.DUMMYFUNCTION("""COMPUTED_VALUE"""),0)</f>
        <v>0</v>
      </c>
      <c r="I913" t="str">
        <f ca="1">IFERROR(__xludf.DUMMYFUNCTION("""COMPUTED_VALUE"""),"")</f>
        <v/>
      </c>
    </row>
    <row r="914" spans="1:9" ht="12.75">
      <c r="A914">
        <f ca="1">IFERROR(__xludf.DUMMYFUNCTION("""COMPUTED_VALUE"""),913)</f>
        <v>913</v>
      </c>
      <c r="B914">
        <f ca="1">IFERROR(__xludf.DUMMYFUNCTION("""COMPUTED_VALUE"""),905)</f>
        <v>905</v>
      </c>
      <c r="C914" t="str">
        <f ca="1">IFERROR(__xludf.DUMMYFUNCTION("""COMPUTED_VALUE"""),"Junseok Lee")</f>
        <v>Junseok Lee</v>
      </c>
      <c r="D914">
        <f ca="1">IFERROR(__xludf.DUMMYFUNCTION("""COMPUTED_VALUE"""),40)</f>
        <v>40</v>
      </c>
      <c r="E914">
        <f ca="1">IFERROR(__xludf.DUMMYFUNCTION("""COMPUTED_VALUE"""),0.11)</f>
        <v>0.11</v>
      </c>
      <c r="F914">
        <f ca="1">IFERROR(__xludf.DUMMYFUNCTION("""COMPUTED_VALUE"""),4.31)</f>
        <v>4.3099999999999996</v>
      </c>
      <c r="G914">
        <f ca="1">IFERROR(__xludf.DUMMYFUNCTION("""COMPUTED_VALUE"""),-3.34)</f>
        <v>-3.34</v>
      </c>
      <c r="H914">
        <f ca="1">IFERROR(__xludf.DUMMYFUNCTION("""COMPUTED_VALUE"""),3.27)</f>
        <v>3.27</v>
      </c>
      <c r="I914" t="str">
        <f ca="1">IFERROR(__xludf.DUMMYFUNCTION("""COMPUTED_VALUE"""),"")</f>
        <v/>
      </c>
    </row>
    <row r="915" spans="1:9" ht="12.75">
      <c r="A915">
        <f ca="1">IFERROR(__xludf.DUMMYFUNCTION("""COMPUTED_VALUE"""),914)</f>
        <v>914</v>
      </c>
      <c r="B915">
        <f ca="1">IFERROR(__xludf.DUMMYFUNCTION("""COMPUTED_VALUE"""),922)</f>
        <v>922</v>
      </c>
      <c r="C915" t="str">
        <f ca="1">IFERROR(__xludf.DUMMYFUNCTION("""COMPUTED_VALUE"""),"Blayne Barber")</f>
        <v>Blayne Barber</v>
      </c>
      <c r="D915">
        <f ca="1">IFERROR(__xludf.DUMMYFUNCTION("""COMPUTED_VALUE"""),41)</f>
        <v>41</v>
      </c>
      <c r="E915">
        <f ca="1">IFERROR(__xludf.DUMMYFUNCTION("""COMPUTED_VALUE"""),0.11)</f>
        <v>0.11</v>
      </c>
      <c r="F915">
        <f ca="1">IFERROR(__xludf.DUMMYFUNCTION("""COMPUTED_VALUE"""),4.4)</f>
        <v>4.4000000000000004</v>
      </c>
      <c r="G915">
        <f ca="1">IFERROR(__xludf.DUMMYFUNCTION("""COMPUTED_VALUE"""),-5.43)</f>
        <v>-5.43</v>
      </c>
      <c r="H915">
        <f ca="1">IFERROR(__xludf.DUMMYFUNCTION("""COMPUTED_VALUE"""),0)</f>
        <v>0</v>
      </c>
      <c r="I915" t="str">
        <f ca="1">IFERROR(__xludf.DUMMYFUNCTION("""COMPUTED_VALUE"""),"")</f>
        <v/>
      </c>
    </row>
    <row r="916" spans="1:9" ht="12.75">
      <c r="A916">
        <f ca="1">IFERROR(__xludf.DUMMYFUNCTION("""COMPUTED_VALUE"""),915)</f>
        <v>915</v>
      </c>
      <c r="B916">
        <f ca="1">IFERROR(__xludf.DUMMYFUNCTION("""COMPUTED_VALUE"""),917)</f>
        <v>917</v>
      </c>
      <c r="C916" t="str">
        <f ca="1">IFERROR(__xludf.DUMMYFUNCTION("""COMPUTED_VALUE"""),"Jerry Kelly")</f>
        <v>Jerry Kelly</v>
      </c>
      <c r="D916">
        <f ca="1">IFERROR(__xludf.DUMMYFUNCTION("""COMPUTED_VALUE"""),40)</f>
        <v>40</v>
      </c>
      <c r="E916">
        <f ca="1">IFERROR(__xludf.DUMMYFUNCTION("""COMPUTED_VALUE"""),0.11)</f>
        <v>0.11</v>
      </c>
      <c r="F916">
        <f ca="1">IFERROR(__xludf.DUMMYFUNCTION("""COMPUTED_VALUE"""),4.28)</f>
        <v>4.28</v>
      </c>
      <c r="G916">
        <f ca="1">IFERROR(__xludf.DUMMYFUNCTION("""COMPUTED_VALUE"""),-0.54)</f>
        <v>-0.54</v>
      </c>
      <c r="H916">
        <f ca="1">IFERROR(__xludf.DUMMYFUNCTION("""COMPUTED_VALUE"""),4.73)</f>
        <v>4.7300000000000004</v>
      </c>
      <c r="I916" t="str">
        <f ca="1">IFERROR(__xludf.DUMMYFUNCTION("""COMPUTED_VALUE"""),"")</f>
        <v/>
      </c>
    </row>
    <row r="917" spans="1:9" ht="12.75">
      <c r="A917">
        <f ca="1">IFERROR(__xludf.DUMMYFUNCTION("""COMPUTED_VALUE"""),915)</f>
        <v>915</v>
      </c>
      <c r="B917">
        <f ca="1">IFERROR(__xludf.DUMMYFUNCTION("""COMPUTED_VALUE"""),910)</f>
        <v>910</v>
      </c>
      <c r="C917" t="str">
        <f ca="1">IFERROR(__xludf.DUMMYFUNCTION("""COMPUTED_VALUE"""),"Harry Bateman")</f>
        <v>Harry Bateman</v>
      </c>
      <c r="D917">
        <f ca="1">IFERROR(__xludf.DUMMYFUNCTION("""COMPUTED_VALUE"""),40)</f>
        <v>40</v>
      </c>
      <c r="E917">
        <f ca="1">IFERROR(__xludf.DUMMYFUNCTION("""COMPUTED_VALUE"""),0.11)</f>
        <v>0.11</v>
      </c>
      <c r="F917">
        <f ca="1">IFERROR(__xludf.DUMMYFUNCTION("""COMPUTED_VALUE"""),4.28)</f>
        <v>4.28</v>
      </c>
      <c r="G917">
        <f ca="1">IFERROR(__xludf.DUMMYFUNCTION("""COMPUTED_VALUE"""),-2.98)</f>
        <v>-2.98</v>
      </c>
      <c r="H917">
        <f ca="1">IFERROR(__xludf.DUMMYFUNCTION("""COMPUTED_VALUE"""),3.3)</f>
        <v>3.3</v>
      </c>
      <c r="I917" t="str">
        <f ca="1">IFERROR(__xludf.DUMMYFUNCTION("""COMPUTED_VALUE"""),"")</f>
        <v/>
      </c>
    </row>
    <row r="918" spans="1:9" ht="12.75">
      <c r="A918">
        <f ca="1">IFERROR(__xludf.DUMMYFUNCTION("""COMPUTED_VALUE"""),917)</f>
        <v>917</v>
      </c>
      <c r="B918">
        <f ca="1">IFERROR(__xludf.DUMMYFUNCTION("""COMPUTED_VALUE"""),911)</f>
        <v>911</v>
      </c>
      <c r="C918" t="str">
        <f ca="1">IFERROR(__xludf.DUMMYFUNCTION("""COMPUTED_VALUE"""),"Eric Sugimoto")</f>
        <v>Eric Sugimoto</v>
      </c>
      <c r="D918">
        <f ca="1">IFERROR(__xludf.DUMMYFUNCTION("""COMPUTED_VALUE"""),40)</f>
        <v>40</v>
      </c>
      <c r="E918">
        <f ca="1">IFERROR(__xludf.DUMMYFUNCTION("""COMPUTED_VALUE"""),0.11)</f>
        <v>0.11</v>
      </c>
      <c r="F918">
        <f ca="1">IFERROR(__xludf.DUMMYFUNCTION("""COMPUTED_VALUE"""),4.27)</f>
        <v>4.2699999999999996</v>
      </c>
      <c r="G918">
        <f ca="1">IFERROR(__xludf.DUMMYFUNCTION("""COMPUTED_VALUE"""),-3.39)</f>
        <v>-3.39</v>
      </c>
      <c r="H918">
        <f ca="1">IFERROR(__xludf.DUMMYFUNCTION("""COMPUTED_VALUE"""),0)</f>
        <v>0</v>
      </c>
      <c r="I918" t="str">
        <f ca="1">IFERROR(__xludf.DUMMYFUNCTION("""COMPUTED_VALUE"""),"")</f>
        <v/>
      </c>
    </row>
    <row r="919" spans="1:9" ht="12.75">
      <c r="A919">
        <f ca="1">IFERROR(__xludf.DUMMYFUNCTION("""COMPUTED_VALUE"""),918)</f>
        <v>918</v>
      </c>
      <c r="B919">
        <f ca="1">IFERROR(__xludf.DUMMYFUNCTION("""COMPUTED_VALUE"""),912)</f>
        <v>912</v>
      </c>
      <c r="C919" t="str">
        <f ca="1">IFERROR(__xludf.DUMMYFUNCTION("""COMPUTED_VALUE"""),"Chinnarat Phadungsil")</f>
        <v>Chinnarat Phadungsil</v>
      </c>
      <c r="D919">
        <f ca="1">IFERROR(__xludf.DUMMYFUNCTION("""COMPUTED_VALUE"""),40)</f>
        <v>40</v>
      </c>
      <c r="E919">
        <f ca="1">IFERROR(__xludf.DUMMYFUNCTION("""COMPUTED_VALUE"""),0.11)</f>
        <v>0.11</v>
      </c>
      <c r="F919">
        <f ca="1">IFERROR(__xludf.DUMMYFUNCTION("""COMPUTED_VALUE"""),4.26)</f>
        <v>4.26</v>
      </c>
      <c r="G919">
        <f ca="1">IFERROR(__xludf.DUMMYFUNCTION("""COMPUTED_VALUE"""),-3.68)</f>
        <v>-3.68</v>
      </c>
      <c r="H919">
        <f ca="1">IFERROR(__xludf.DUMMYFUNCTION("""COMPUTED_VALUE"""),1.53)</f>
        <v>1.53</v>
      </c>
      <c r="I919" t="str">
        <f ca="1">IFERROR(__xludf.DUMMYFUNCTION("""COMPUTED_VALUE"""),"")</f>
        <v/>
      </c>
    </row>
    <row r="920" spans="1:9" ht="12.75">
      <c r="A920">
        <f ca="1">IFERROR(__xludf.DUMMYFUNCTION("""COMPUTED_VALUE"""),919)</f>
        <v>919</v>
      </c>
      <c r="B920">
        <f ca="1">IFERROR(__xludf.DUMMYFUNCTION("""COMPUTED_VALUE"""),919)</f>
        <v>919</v>
      </c>
      <c r="C920" t="str">
        <f ca="1">IFERROR(__xludf.DUMMYFUNCTION("""COMPUTED_VALUE"""),"Jonathan Yate")</f>
        <v>Jonathan Yate</v>
      </c>
      <c r="D920">
        <f ca="1">IFERROR(__xludf.DUMMYFUNCTION("""COMPUTED_VALUE"""),40)</f>
        <v>40</v>
      </c>
      <c r="E920">
        <f ca="1">IFERROR(__xludf.DUMMYFUNCTION("""COMPUTED_VALUE"""),0.11)</f>
        <v>0.11</v>
      </c>
      <c r="F920">
        <f ca="1">IFERROR(__xludf.DUMMYFUNCTION("""COMPUTED_VALUE"""),4.26)</f>
        <v>4.26</v>
      </c>
      <c r="G920">
        <f ca="1">IFERROR(__xludf.DUMMYFUNCTION("""COMPUTED_VALUE"""),-1.41)</f>
        <v>-1.41</v>
      </c>
      <c r="H920">
        <f ca="1">IFERROR(__xludf.DUMMYFUNCTION("""COMPUTED_VALUE"""),3.33)</f>
        <v>3.33</v>
      </c>
      <c r="I920" t="str">
        <f ca="1">IFERROR(__xludf.DUMMYFUNCTION("""COMPUTED_VALUE"""),"")</f>
        <v/>
      </c>
    </row>
    <row r="921" spans="1:9" ht="12.75">
      <c r="A921">
        <f ca="1">IFERROR(__xludf.DUMMYFUNCTION("""COMPUTED_VALUE"""),919)</f>
        <v>919</v>
      </c>
      <c r="B921">
        <f ca="1">IFERROR(__xludf.DUMMYFUNCTION("""COMPUTED_VALUE"""),907)</f>
        <v>907</v>
      </c>
      <c r="C921" t="str">
        <f ca="1">IFERROR(__xludf.DUMMYFUNCTION("""COMPUTED_VALUE"""),"Hung Chien-yao")</f>
        <v>Hung Chien-yao</v>
      </c>
      <c r="D921">
        <f ca="1">IFERROR(__xludf.DUMMYFUNCTION("""COMPUTED_VALUE"""),40)</f>
        <v>40</v>
      </c>
      <c r="E921">
        <f ca="1">IFERROR(__xludf.DUMMYFUNCTION("""COMPUTED_VALUE"""),0.11)</f>
        <v>0.11</v>
      </c>
      <c r="F921">
        <f ca="1">IFERROR(__xludf.DUMMYFUNCTION("""COMPUTED_VALUE"""),4.26)</f>
        <v>4.26</v>
      </c>
      <c r="G921">
        <f ca="1">IFERROR(__xludf.DUMMYFUNCTION("""COMPUTED_VALUE"""),-4.12)</f>
        <v>-4.12</v>
      </c>
      <c r="H921">
        <f ca="1">IFERROR(__xludf.DUMMYFUNCTION("""COMPUTED_VALUE"""),0)</f>
        <v>0</v>
      </c>
      <c r="I921" t="str">
        <f ca="1">IFERROR(__xludf.DUMMYFUNCTION("""COMPUTED_VALUE"""),"")</f>
        <v/>
      </c>
    </row>
    <row r="922" spans="1:9" ht="12.75">
      <c r="A922">
        <f ca="1">IFERROR(__xludf.DUMMYFUNCTION("""COMPUTED_VALUE"""),921)</f>
        <v>921</v>
      </c>
      <c r="B922">
        <f ca="1">IFERROR(__xludf.DUMMYFUNCTION("""COMPUTED_VALUE"""),918)</f>
        <v>918</v>
      </c>
      <c r="C922" t="str">
        <f ca="1">IFERROR(__xludf.DUMMYFUNCTION("""COMPUTED_VALUE"""),"Kasidit Lepkurte")</f>
        <v>Kasidit Lepkurte</v>
      </c>
      <c r="D922">
        <f ca="1">IFERROR(__xludf.DUMMYFUNCTION("""COMPUTED_VALUE"""),40)</f>
        <v>40</v>
      </c>
      <c r="E922">
        <f ca="1">IFERROR(__xludf.DUMMYFUNCTION("""COMPUTED_VALUE"""),0.11)</f>
        <v>0.11</v>
      </c>
      <c r="F922">
        <f ca="1">IFERROR(__xludf.DUMMYFUNCTION("""COMPUTED_VALUE"""),4.24)</f>
        <v>4.24</v>
      </c>
      <c r="G922">
        <f ca="1">IFERROR(__xludf.DUMMYFUNCTION("""COMPUTED_VALUE"""),-2.53)</f>
        <v>-2.5299999999999998</v>
      </c>
      <c r="H922">
        <f ca="1">IFERROR(__xludf.DUMMYFUNCTION("""COMPUTED_VALUE"""),0)</f>
        <v>0</v>
      </c>
      <c r="I922" t="str">
        <f ca="1">IFERROR(__xludf.DUMMYFUNCTION("""COMPUTED_VALUE"""),"")</f>
        <v/>
      </c>
    </row>
    <row r="923" spans="1:9" ht="12.75">
      <c r="A923">
        <f ca="1">IFERROR(__xludf.DUMMYFUNCTION("""COMPUTED_VALUE"""),922)</f>
        <v>922</v>
      </c>
      <c r="B923">
        <f ca="1">IFERROR(__xludf.DUMMYFUNCTION("""COMPUTED_VALUE"""),915)</f>
        <v>915</v>
      </c>
      <c r="C923" t="str">
        <f ca="1">IFERROR(__xludf.DUMMYFUNCTION("""COMPUTED_VALUE"""),"Jonas Kolbing")</f>
        <v>Jonas Kolbing</v>
      </c>
      <c r="D923">
        <f ca="1">IFERROR(__xludf.DUMMYFUNCTION("""COMPUTED_VALUE"""),40)</f>
        <v>40</v>
      </c>
      <c r="E923">
        <f ca="1">IFERROR(__xludf.DUMMYFUNCTION("""COMPUTED_VALUE"""),0.11)</f>
        <v>0.11</v>
      </c>
      <c r="F923">
        <f ca="1">IFERROR(__xludf.DUMMYFUNCTION("""COMPUTED_VALUE"""),4.23)</f>
        <v>4.2300000000000004</v>
      </c>
      <c r="G923">
        <f ca="1">IFERROR(__xludf.DUMMYFUNCTION("""COMPUTED_VALUE"""),-4.66)</f>
        <v>-4.66</v>
      </c>
      <c r="H923">
        <f ca="1">IFERROR(__xludf.DUMMYFUNCTION("""COMPUTED_VALUE"""),1.2)</f>
        <v>1.2</v>
      </c>
      <c r="I923" t="str">
        <f ca="1">IFERROR(__xludf.DUMMYFUNCTION("""COMPUTED_VALUE"""),"")</f>
        <v/>
      </c>
    </row>
    <row r="924" spans="1:9" ht="12.75">
      <c r="A924">
        <f ca="1">IFERROR(__xludf.DUMMYFUNCTION("""COMPUTED_VALUE"""),923)</f>
        <v>923</v>
      </c>
      <c r="B924">
        <f ca="1">IFERROR(__xludf.DUMMYFUNCTION("""COMPUTED_VALUE"""),900)</f>
        <v>900</v>
      </c>
      <c r="C924" t="str">
        <f ca="1">IFERROR(__xludf.DUMMYFUNCTION("""COMPUTED_VALUE"""),"Benjamin Follett-Smith")</f>
        <v>Benjamin Follett-Smith</v>
      </c>
      <c r="D924">
        <f ca="1">IFERROR(__xludf.DUMMYFUNCTION("""COMPUTED_VALUE"""),40)</f>
        <v>40</v>
      </c>
      <c r="E924">
        <f ca="1">IFERROR(__xludf.DUMMYFUNCTION("""COMPUTED_VALUE"""),0.11)</f>
        <v>0.11</v>
      </c>
      <c r="F924">
        <f ca="1">IFERROR(__xludf.DUMMYFUNCTION("""COMPUTED_VALUE"""),4.23)</f>
        <v>4.2300000000000004</v>
      </c>
      <c r="G924">
        <f ca="1">IFERROR(__xludf.DUMMYFUNCTION("""COMPUTED_VALUE"""),-7.49)</f>
        <v>-7.49</v>
      </c>
      <c r="H924">
        <f ca="1">IFERROR(__xludf.DUMMYFUNCTION("""COMPUTED_VALUE"""),0)</f>
        <v>0</v>
      </c>
      <c r="I924" t="str">
        <f ca="1">IFERROR(__xludf.DUMMYFUNCTION("""COMPUTED_VALUE"""),"")</f>
        <v/>
      </c>
    </row>
    <row r="925" spans="1:9" ht="12.75">
      <c r="A925">
        <f ca="1">IFERROR(__xludf.DUMMYFUNCTION("""COMPUTED_VALUE"""),923)</f>
        <v>923</v>
      </c>
      <c r="B925" t="str">
        <f ca="1">IFERROR(__xludf.DUMMYFUNCTION("""COMPUTED_VALUE"""),"")</f>
        <v/>
      </c>
      <c r="C925" t="str">
        <f ca="1">IFERROR(__xludf.DUMMYFUNCTION("""COMPUTED_VALUE"""),"Pedro Oriol")</f>
        <v>Pedro Oriol</v>
      </c>
      <c r="D925">
        <f ca="1">IFERROR(__xludf.DUMMYFUNCTION("""COMPUTED_VALUE"""),40)</f>
        <v>40</v>
      </c>
      <c r="E925">
        <f ca="1">IFERROR(__xludf.DUMMYFUNCTION("""COMPUTED_VALUE"""),0.11)</f>
        <v>0.11</v>
      </c>
      <c r="F925">
        <f ca="1">IFERROR(__xludf.DUMMYFUNCTION("""COMPUTED_VALUE"""),4.23)</f>
        <v>4.2300000000000004</v>
      </c>
      <c r="G925">
        <f ca="1">IFERROR(__xludf.DUMMYFUNCTION("""COMPUTED_VALUE"""),-1.36)</f>
        <v>-1.36</v>
      </c>
      <c r="H925">
        <f ca="1">IFERROR(__xludf.DUMMYFUNCTION("""COMPUTED_VALUE"""),4.2)</f>
        <v>4.2</v>
      </c>
      <c r="I925" t="str">
        <f ca="1">IFERROR(__xludf.DUMMYFUNCTION("""COMPUTED_VALUE"""),"")</f>
        <v/>
      </c>
    </row>
    <row r="926" spans="1:9" ht="12.75">
      <c r="A926">
        <f ca="1">IFERROR(__xludf.DUMMYFUNCTION("""COMPUTED_VALUE"""),925)</f>
        <v>925</v>
      </c>
      <c r="B926">
        <f ca="1">IFERROR(__xludf.DUMMYFUNCTION("""COMPUTED_VALUE"""),912)</f>
        <v>912</v>
      </c>
      <c r="C926" t="str">
        <f ca="1">IFERROR(__xludf.DUMMYFUNCTION("""COMPUTED_VALUE"""),"Namchoak Tantipokakul")</f>
        <v>Namchoak Tantipokakul</v>
      </c>
      <c r="D926">
        <f ca="1">IFERROR(__xludf.DUMMYFUNCTION("""COMPUTED_VALUE"""),40)</f>
        <v>40</v>
      </c>
      <c r="E926">
        <f ca="1">IFERROR(__xludf.DUMMYFUNCTION("""COMPUTED_VALUE"""),0.11)</f>
        <v>0.11</v>
      </c>
      <c r="F926">
        <f ca="1">IFERROR(__xludf.DUMMYFUNCTION("""COMPUTED_VALUE"""),4.23)</f>
        <v>4.2300000000000004</v>
      </c>
      <c r="G926">
        <f ca="1">IFERROR(__xludf.DUMMYFUNCTION("""COMPUTED_VALUE"""),-4.4)</f>
        <v>-4.4000000000000004</v>
      </c>
      <c r="H926">
        <f ca="1">IFERROR(__xludf.DUMMYFUNCTION("""COMPUTED_VALUE"""),2.45)</f>
        <v>2.4500000000000002</v>
      </c>
      <c r="I926" t="str">
        <f ca="1">IFERROR(__xludf.DUMMYFUNCTION("""COMPUTED_VALUE"""),"")</f>
        <v/>
      </c>
    </row>
    <row r="927" spans="1:9" ht="12.75">
      <c r="A927">
        <f ca="1">IFERROR(__xludf.DUMMYFUNCTION("""COMPUTED_VALUE"""),926)</f>
        <v>926</v>
      </c>
      <c r="B927">
        <f ca="1">IFERROR(__xludf.DUMMYFUNCTION("""COMPUTED_VALUE"""),921)</f>
        <v>921</v>
      </c>
      <c r="C927" t="str">
        <f ca="1">IFERROR(__xludf.DUMMYFUNCTION("""COMPUTED_VALUE"""),"Daisuke Matsubara")</f>
        <v>Daisuke Matsubara</v>
      </c>
      <c r="D927">
        <f ca="1">IFERROR(__xludf.DUMMYFUNCTION("""COMPUTED_VALUE"""),40)</f>
        <v>40</v>
      </c>
      <c r="E927">
        <f ca="1">IFERROR(__xludf.DUMMYFUNCTION("""COMPUTED_VALUE"""),0.11)</f>
        <v>0.11</v>
      </c>
      <c r="F927">
        <f ca="1">IFERROR(__xludf.DUMMYFUNCTION("""COMPUTED_VALUE"""),4.2)</f>
        <v>4.2</v>
      </c>
      <c r="G927">
        <f ca="1">IFERROR(__xludf.DUMMYFUNCTION("""COMPUTED_VALUE"""),-4.11)</f>
        <v>-4.1100000000000003</v>
      </c>
      <c r="H927">
        <f ca="1">IFERROR(__xludf.DUMMYFUNCTION("""COMPUTED_VALUE"""),1.84)</f>
        <v>1.84</v>
      </c>
      <c r="I927" t="str">
        <f ca="1">IFERROR(__xludf.DUMMYFUNCTION("""COMPUTED_VALUE"""),"")</f>
        <v/>
      </c>
    </row>
    <row r="928" spans="1:9" ht="12.75">
      <c r="A928">
        <f ca="1">IFERROR(__xludf.DUMMYFUNCTION("""COMPUTED_VALUE"""),927)</f>
        <v>927</v>
      </c>
      <c r="B928">
        <f ca="1">IFERROR(__xludf.DUMMYFUNCTION("""COMPUTED_VALUE"""),923)</f>
        <v>923</v>
      </c>
      <c r="C928" t="str">
        <f ca="1">IFERROR(__xludf.DUMMYFUNCTION("""COMPUTED_VALUE"""),"Rick Lamb")</f>
        <v>Rick Lamb</v>
      </c>
      <c r="D928">
        <f ca="1">IFERROR(__xludf.DUMMYFUNCTION("""COMPUTED_VALUE"""),40)</f>
        <v>40</v>
      </c>
      <c r="E928">
        <f ca="1">IFERROR(__xludf.DUMMYFUNCTION("""COMPUTED_VALUE"""),0.1)</f>
        <v>0.1</v>
      </c>
      <c r="F928">
        <f ca="1">IFERROR(__xludf.DUMMYFUNCTION("""COMPUTED_VALUE"""),4.19)</f>
        <v>4.1900000000000004</v>
      </c>
      <c r="G928">
        <f ca="1">IFERROR(__xludf.DUMMYFUNCTION("""COMPUTED_VALUE"""),-2.62)</f>
        <v>-2.62</v>
      </c>
      <c r="H928">
        <f ca="1">IFERROR(__xludf.DUMMYFUNCTION("""COMPUTED_VALUE"""),2.97)</f>
        <v>2.97</v>
      </c>
      <c r="I928" t="str">
        <f ca="1">IFERROR(__xludf.DUMMYFUNCTION("""COMPUTED_VALUE"""),"")</f>
        <v/>
      </c>
    </row>
    <row r="929" spans="1:9" ht="12.75">
      <c r="A929">
        <f ca="1">IFERROR(__xludf.DUMMYFUNCTION("""COMPUTED_VALUE"""),927)</f>
        <v>927</v>
      </c>
      <c r="B929">
        <f ca="1">IFERROR(__xludf.DUMMYFUNCTION("""COMPUTED_VALUE"""),920)</f>
        <v>920</v>
      </c>
      <c r="C929" t="str">
        <f ca="1">IFERROR(__xludf.DUMMYFUNCTION("""COMPUTED_VALUE"""),"Nicolai Kristensen")</f>
        <v>Nicolai Kristensen</v>
      </c>
      <c r="D929">
        <f ca="1">IFERROR(__xludf.DUMMYFUNCTION("""COMPUTED_VALUE"""),40)</f>
        <v>40</v>
      </c>
      <c r="E929">
        <f ca="1">IFERROR(__xludf.DUMMYFUNCTION("""COMPUTED_VALUE"""),0.1)</f>
        <v>0.1</v>
      </c>
      <c r="F929">
        <f ca="1">IFERROR(__xludf.DUMMYFUNCTION("""COMPUTED_VALUE"""),4.2)</f>
        <v>4.2</v>
      </c>
      <c r="G929">
        <f ca="1">IFERROR(__xludf.DUMMYFUNCTION("""COMPUTED_VALUE"""),-3.8)</f>
        <v>-3.8</v>
      </c>
      <c r="H929">
        <f ca="1">IFERROR(__xludf.DUMMYFUNCTION("""COMPUTED_VALUE"""),0)</f>
        <v>0</v>
      </c>
      <c r="I929" t="str">
        <f ca="1">IFERROR(__xludf.DUMMYFUNCTION("""COMPUTED_VALUE"""),"")</f>
        <v/>
      </c>
    </row>
    <row r="930" spans="1:9" ht="12.75">
      <c r="A930">
        <f ca="1">IFERROR(__xludf.DUMMYFUNCTION("""COMPUTED_VALUE"""),929)</f>
        <v>929</v>
      </c>
      <c r="B930">
        <f ca="1">IFERROR(__xludf.DUMMYFUNCTION("""COMPUTED_VALUE"""),916)</f>
        <v>916</v>
      </c>
      <c r="C930" t="str">
        <f ca="1">IFERROR(__xludf.DUMMYFUNCTION("""COMPUTED_VALUE"""),"Justin De Los Santos")</f>
        <v>Justin De Los Santos</v>
      </c>
      <c r="D930">
        <f ca="1">IFERROR(__xludf.DUMMYFUNCTION("""COMPUTED_VALUE"""),40)</f>
        <v>40</v>
      </c>
      <c r="E930">
        <f ca="1">IFERROR(__xludf.DUMMYFUNCTION("""COMPUTED_VALUE"""),0.1)</f>
        <v>0.1</v>
      </c>
      <c r="F930">
        <f ca="1">IFERROR(__xludf.DUMMYFUNCTION("""COMPUTED_VALUE"""),4.19)</f>
        <v>4.1900000000000004</v>
      </c>
      <c r="G930">
        <f ca="1">IFERROR(__xludf.DUMMYFUNCTION("""COMPUTED_VALUE"""),-4.93)</f>
        <v>-4.93</v>
      </c>
      <c r="H930">
        <f ca="1">IFERROR(__xludf.DUMMYFUNCTION("""COMPUTED_VALUE"""),0)</f>
        <v>0</v>
      </c>
      <c r="I930" t="str">
        <f ca="1">IFERROR(__xludf.DUMMYFUNCTION("""COMPUTED_VALUE"""),"")</f>
        <v/>
      </c>
    </row>
    <row r="931" spans="1:9" ht="12.75">
      <c r="A931">
        <f ca="1">IFERROR(__xludf.DUMMYFUNCTION("""COMPUTED_VALUE"""),930)</f>
        <v>930</v>
      </c>
      <c r="B931">
        <f ca="1">IFERROR(__xludf.DUMMYFUNCTION("""COMPUTED_VALUE"""),930)</f>
        <v>930</v>
      </c>
      <c r="C931" t="str">
        <f ca="1">IFERROR(__xludf.DUMMYFUNCTION("""COMPUTED_VALUE"""),"Matteo Manassero")</f>
        <v>Matteo Manassero</v>
      </c>
      <c r="D931">
        <f ca="1">IFERROR(__xludf.DUMMYFUNCTION("""COMPUTED_VALUE"""),40)</f>
        <v>40</v>
      </c>
      <c r="E931">
        <f ca="1">IFERROR(__xludf.DUMMYFUNCTION("""COMPUTED_VALUE"""),0.1)</f>
        <v>0.1</v>
      </c>
      <c r="F931">
        <f ca="1">IFERROR(__xludf.DUMMYFUNCTION("""COMPUTED_VALUE"""),4.18)</f>
        <v>4.18</v>
      </c>
      <c r="G931">
        <f ca="1">IFERROR(__xludf.DUMMYFUNCTION("""COMPUTED_VALUE"""),-2.46)</f>
        <v>-2.46</v>
      </c>
      <c r="H931">
        <f ca="1">IFERROR(__xludf.DUMMYFUNCTION("""COMPUTED_VALUE"""),4)</f>
        <v>4</v>
      </c>
      <c r="I931" t="str">
        <f ca="1">IFERROR(__xludf.DUMMYFUNCTION("""COMPUTED_VALUE"""),"")</f>
        <v/>
      </c>
    </row>
    <row r="932" spans="1:9" ht="12.75">
      <c r="A932">
        <f ca="1">IFERROR(__xludf.DUMMYFUNCTION("""COMPUTED_VALUE"""),931)</f>
        <v>931</v>
      </c>
      <c r="B932">
        <f ca="1">IFERROR(__xludf.DUMMYFUNCTION("""COMPUTED_VALUE"""),924)</f>
        <v>924</v>
      </c>
      <c r="C932" t="str">
        <f ca="1">IFERROR(__xludf.DUMMYFUNCTION("""COMPUTED_VALUE"""),"Puma Dominguez")</f>
        <v>Puma Dominguez</v>
      </c>
      <c r="D932">
        <f ca="1">IFERROR(__xludf.DUMMYFUNCTION("""COMPUTED_VALUE"""),40)</f>
        <v>40</v>
      </c>
      <c r="E932">
        <f ca="1">IFERROR(__xludf.DUMMYFUNCTION("""COMPUTED_VALUE"""),0.1)</f>
        <v>0.1</v>
      </c>
      <c r="F932">
        <f ca="1">IFERROR(__xludf.DUMMYFUNCTION("""COMPUTED_VALUE"""),4.17)</f>
        <v>4.17</v>
      </c>
      <c r="G932">
        <f ca="1">IFERROR(__xludf.DUMMYFUNCTION("""COMPUTED_VALUE"""),-1.83)</f>
        <v>-1.83</v>
      </c>
      <c r="H932">
        <f ca="1">IFERROR(__xludf.DUMMYFUNCTION("""COMPUTED_VALUE"""),0)</f>
        <v>0</v>
      </c>
      <c r="I932" t="str">
        <f ca="1">IFERROR(__xludf.DUMMYFUNCTION("""COMPUTED_VALUE"""),"")</f>
        <v/>
      </c>
    </row>
    <row r="933" spans="1:9" ht="12.75">
      <c r="A933">
        <f ca="1">IFERROR(__xludf.DUMMYFUNCTION("""COMPUTED_VALUE"""),932)</f>
        <v>932</v>
      </c>
      <c r="B933">
        <f ca="1">IFERROR(__xludf.DUMMYFUNCTION("""COMPUTED_VALUE"""),929)</f>
        <v>929</v>
      </c>
      <c r="C933" t="str">
        <f ca="1">IFERROR(__xludf.DUMMYFUNCTION("""COMPUTED_VALUE"""),"Lars Keunen")</f>
        <v>Lars Keunen</v>
      </c>
      <c r="D933">
        <f ca="1">IFERROR(__xludf.DUMMYFUNCTION("""COMPUTED_VALUE"""),40)</f>
        <v>40</v>
      </c>
      <c r="E933">
        <f ca="1">IFERROR(__xludf.DUMMYFUNCTION("""COMPUTED_VALUE"""),0.1)</f>
        <v>0.1</v>
      </c>
      <c r="F933">
        <f ca="1">IFERROR(__xludf.DUMMYFUNCTION("""COMPUTED_VALUE"""),4.15)</f>
        <v>4.1500000000000004</v>
      </c>
      <c r="G933">
        <f ca="1">IFERROR(__xludf.DUMMYFUNCTION("""COMPUTED_VALUE"""),-1.99)</f>
        <v>-1.99</v>
      </c>
      <c r="H933">
        <f ca="1">IFERROR(__xludf.DUMMYFUNCTION("""COMPUTED_VALUE"""),4)</f>
        <v>4</v>
      </c>
      <c r="I933" t="str">
        <f ca="1">IFERROR(__xludf.DUMMYFUNCTION("""COMPUTED_VALUE"""),"")</f>
        <v/>
      </c>
    </row>
    <row r="934" spans="1:9" ht="12.75">
      <c r="A934">
        <f ca="1">IFERROR(__xludf.DUMMYFUNCTION("""COMPUTED_VALUE"""),933)</f>
        <v>933</v>
      </c>
      <c r="B934">
        <f ca="1">IFERROR(__xludf.DUMMYFUNCTION("""COMPUTED_VALUE"""),924)</f>
        <v>924</v>
      </c>
      <c r="C934" t="str">
        <f ca="1">IFERROR(__xludf.DUMMYFUNCTION("""COMPUTED_VALUE"""),"Oscar Zetterwall")</f>
        <v>Oscar Zetterwall</v>
      </c>
      <c r="D934">
        <f ca="1">IFERROR(__xludf.DUMMYFUNCTION("""COMPUTED_VALUE"""),40)</f>
        <v>40</v>
      </c>
      <c r="E934">
        <f ca="1">IFERROR(__xludf.DUMMYFUNCTION("""COMPUTED_VALUE"""),0.1)</f>
        <v>0.1</v>
      </c>
      <c r="F934">
        <f ca="1">IFERROR(__xludf.DUMMYFUNCTION("""COMPUTED_VALUE"""),4.14)</f>
        <v>4.1399999999999997</v>
      </c>
      <c r="G934">
        <f ca="1">IFERROR(__xludf.DUMMYFUNCTION("""COMPUTED_VALUE"""),-3.9)</f>
        <v>-3.9</v>
      </c>
      <c r="H934">
        <f ca="1">IFERROR(__xludf.DUMMYFUNCTION("""COMPUTED_VALUE"""),0)</f>
        <v>0</v>
      </c>
      <c r="I934" t="str">
        <f ca="1">IFERROR(__xludf.DUMMYFUNCTION("""COMPUTED_VALUE"""),"")</f>
        <v/>
      </c>
    </row>
    <row r="935" spans="1:9" ht="12.75">
      <c r="A935">
        <f ca="1">IFERROR(__xludf.DUMMYFUNCTION("""COMPUTED_VALUE"""),934)</f>
        <v>934</v>
      </c>
      <c r="B935">
        <f ca="1">IFERROR(__xludf.DUMMYFUNCTION("""COMPUTED_VALUE"""),927)</f>
        <v>927</v>
      </c>
      <c r="C935" t="str">
        <f ca="1">IFERROR(__xludf.DUMMYFUNCTION("""COMPUTED_VALUE"""),"Kade McBride")</f>
        <v>Kade McBride</v>
      </c>
      <c r="D935">
        <f ca="1">IFERROR(__xludf.DUMMYFUNCTION("""COMPUTED_VALUE"""),40)</f>
        <v>40</v>
      </c>
      <c r="E935">
        <f ca="1">IFERROR(__xludf.DUMMYFUNCTION("""COMPUTED_VALUE"""),0.1)</f>
        <v>0.1</v>
      </c>
      <c r="F935">
        <f ca="1">IFERROR(__xludf.DUMMYFUNCTION("""COMPUTED_VALUE"""),4.14)</f>
        <v>4.1399999999999997</v>
      </c>
      <c r="G935">
        <f ca="1">IFERROR(__xludf.DUMMYFUNCTION("""COMPUTED_VALUE"""),-3.28)</f>
        <v>-3.28</v>
      </c>
      <c r="H935">
        <f ca="1">IFERROR(__xludf.DUMMYFUNCTION("""COMPUTED_VALUE"""),0)</f>
        <v>0</v>
      </c>
      <c r="I935" t="str">
        <f ca="1">IFERROR(__xludf.DUMMYFUNCTION("""COMPUTED_VALUE"""),"")</f>
        <v/>
      </c>
    </row>
    <row r="936" spans="1:9" ht="12.75">
      <c r="A936">
        <f ca="1">IFERROR(__xludf.DUMMYFUNCTION("""COMPUTED_VALUE"""),934)</f>
        <v>934</v>
      </c>
      <c r="B936">
        <f ca="1">IFERROR(__xludf.DUMMYFUNCTION("""COMPUTED_VALUE"""),934)</f>
        <v>934</v>
      </c>
      <c r="C936" t="str">
        <f ca="1">IFERROR(__xludf.DUMMYFUNCTION("""COMPUTED_VALUE"""),"David Hague")</f>
        <v>David Hague</v>
      </c>
      <c r="D936">
        <f ca="1">IFERROR(__xludf.DUMMYFUNCTION("""COMPUTED_VALUE"""),40)</f>
        <v>40</v>
      </c>
      <c r="E936">
        <f ca="1">IFERROR(__xludf.DUMMYFUNCTION("""COMPUTED_VALUE"""),0.1)</f>
        <v>0.1</v>
      </c>
      <c r="F936">
        <f ca="1">IFERROR(__xludf.DUMMYFUNCTION("""COMPUTED_VALUE"""),4.13)</f>
        <v>4.13</v>
      </c>
      <c r="G936">
        <f ca="1">IFERROR(__xludf.DUMMYFUNCTION("""COMPUTED_VALUE"""),-0.67)</f>
        <v>-0.67</v>
      </c>
      <c r="H936">
        <f ca="1">IFERROR(__xludf.DUMMYFUNCTION("""COMPUTED_VALUE"""),4.8)</f>
        <v>4.8</v>
      </c>
      <c r="I936" t="str">
        <f ca="1">IFERROR(__xludf.DUMMYFUNCTION("""COMPUTED_VALUE"""),"")</f>
        <v/>
      </c>
    </row>
    <row r="937" spans="1:9" ht="12.75">
      <c r="A937">
        <f ca="1">IFERROR(__xludf.DUMMYFUNCTION("""COMPUTED_VALUE"""),936)</f>
        <v>936</v>
      </c>
      <c r="B937">
        <f ca="1">IFERROR(__xludf.DUMMYFUNCTION("""COMPUTED_VALUE"""),912)</f>
        <v>912</v>
      </c>
      <c r="C937" t="str">
        <f ca="1">IFERROR(__xludf.DUMMYFUNCTION("""COMPUTED_VALUE"""),"Tatsunori Nukaga")</f>
        <v>Tatsunori Nukaga</v>
      </c>
      <c r="D937">
        <f ca="1">IFERROR(__xludf.DUMMYFUNCTION("""COMPUTED_VALUE"""),40)</f>
        <v>40</v>
      </c>
      <c r="E937">
        <f ca="1">IFERROR(__xludf.DUMMYFUNCTION("""COMPUTED_VALUE"""),0.1)</f>
        <v>0.1</v>
      </c>
      <c r="F937">
        <f ca="1">IFERROR(__xludf.DUMMYFUNCTION("""COMPUTED_VALUE"""),4.13)</f>
        <v>4.13</v>
      </c>
      <c r="G937">
        <f ca="1">IFERROR(__xludf.DUMMYFUNCTION("""COMPUTED_VALUE"""),-7.87)</f>
        <v>-7.87</v>
      </c>
      <c r="H937">
        <f ca="1">IFERROR(__xludf.DUMMYFUNCTION("""COMPUTED_VALUE"""),0)</f>
        <v>0</v>
      </c>
      <c r="I937" t="str">
        <f ca="1">IFERROR(__xludf.DUMMYFUNCTION("""COMPUTED_VALUE"""),"")</f>
        <v/>
      </c>
    </row>
    <row r="938" spans="1:9" ht="12.75">
      <c r="A938">
        <f ca="1">IFERROR(__xludf.DUMMYFUNCTION("""COMPUTED_VALUE"""),937)</f>
        <v>937</v>
      </c>
      <c r="B938">
        <f ca="1">IFERROR(__xludf.DUMMYFUNCTION("""COMPUTED_VALUE"""),932)</f>
        <v>932</v>
      </c>
      <c r="C938" t="str">
        <f ca="1">IFERROR(__xludf.DUMMYFUNCTION("""COMPUTED_VALUE"""),"Jan Cafourek")</f>
        <v>Jan Cafourek</v>
      </c>
      <c r="D938">
        <f ca="1">IFERROR(__xludf.DUMMYFUNCTION("""COMPUTED_VALUE"""),40)</f>
        <v>40</v>
      </c>
      <c r="E938">
        <f ca="1">IFERROR(__xludf.DUMMYFUNCTION("""COMPUTED_VALUE"""),0.1)</f>
        <v>0.1</v>
      </c>
      <c r="F938">
        <f ca="1">IFERROR(__xludf.DUMMYFUNCTION("""COMPUTED_VALUE"""),4.12)</f>
        <v>4.12</v>
      </c>
      <c r="G938">
        <f ca="1">IFERROR(__xludf.DUMMYFUNCTION("""COMPUTED_VALUE"""),-2.52)</f>
        <v>-2.52</v>
      </c>
      <c r="H938">
        <f ca="1">IFERROR(__xludf.DUMMYFUNCTION("""COMPUTED_VALUE"""),1.28)</f>
        <v>1.28</v>
      </c>
      <c r="I938" t="str">
        <f ca="1">IFERROR(__xludf.DUMMYFUNCTION("""COMPUTED_VALUE"""),"")</f>
        <v/>
      </c>
    </row>
    <row r="939" spans="1:9" ht="12.75">
      <c r="A939">
        <f ca="1">IFERROR(__xludf.DUMMYFUNCTION("""COMPUTED_VALUE"""),938)</f>
        <v>938</v>
      </c>
      <c r="B939" t="str">
        <f ca="1">IFERROR(__xludf.DUMMYFUNCTION("""COMPUTED_VALUE"""),"")</f>
        <v/>
      </c>
      <c r="C939" t="str">
        <f ca="1">IFERROR(__xludf.DUMMYFUNCTION("""COMPUTED_VALUE"""),"Isaiah Salinda")</f>
        <v>Isaiah Salinda</v>
      </c>
      <c r="D939">
        <f ca="1">IFERROR(__xludf.DUMMYFUNCTION("""COMPUTED_VALUE"""),40)</f>
        <v>40</v>
      </c>
      <c r="E939">
        <f ca="1">IFERROR(__xludf.DUMMYFUNCTION("""COMPUTED_VALUE"""),0.1)</f>
        <v>0.1</v>
      </c>
      <c r="F939">
        <f ca="1">IFERROR(__xludf.DUMMYFUNCTION("""COMPUTED_VALUE"""),4.12)</f>
        <v>4.12</v>
      </c>
      <c r="G939">
        <f ca="1">IFERROR(__xludf.DUMMYFUNCTION("""COMPUTED_VALUE"""),-0.67)</f>
        <v>-0.67</v>
      </c>
      <c r="H939">
        <f ca="1">IFERROR(__xludf.DUMMYFUNCTION("""COMPUTED_VALUE"""),2.94)</f>
        <v>2.94</v>
      </c>
      <c r="I939" t="str">
        <f ca="1">IFERROR(__xludf.DUMMYFUNCTION("""COMPUTED_VALUE"""),"")</f>
        <v/>
      </c>
    </row>
    <row r="940" spans="1:9" ht="12.75">
      <c r="A940">
        <f ca="1">IFERROR(__xludf.DUMMYFUNCTION("""COMPUTED_VALUE"""),939)</f>
        <v>939</v>
      </c>
      <c r="B940">
        <f ca="1">IFERROR(__xludf.DUMMYFUNCTION("""COMPUTED_VALUE"""),902)</f>
        <v>902</v>
      </c>
      <c r="C940" t="str">
        <f ca="1">IFERROR(__xludf.DUMMYFUNCTION("""COMPUTED_VALUE"""),"Kim Koivu")</f>
        <v>Kim Koivu</v>
      </c>
      <c r="D940">
        <f ca="1">IFERROR(__xludf.DUMMYFUNCTION("""COMPUTED_VALUE"""),40)</f>
        <v>40</v>
      </c>
      <c r="E940">
        <f ca="1">IFERROR(__xludf.DUMMYFUNCTION("""COMPUTED_VALUE"""),0.1)</f>
        <v>0.1</v>
      </c>
      <c r="F940">
        <f ca="1">IFERROR(__xludf.DUMMYFUNCTION("""COMPUTED_VALUE"""),4.12)</f>
        <v>4.12</v>
      </c>
      <c r="G940">
        <f ca="1">IFERROR(__xludf.DUMMYFUNCTION("""COMPUTED_VALUE"""),-15.9)</f>
        <v>-15.9</v>
      </c>
      <c r="H940">
        <f ca="1">IFERROR(__xludf.DUMMYFUNCTION("""COMPUTED_VALUE"""),0)</f>
        <v>0</v>
      </c>
      <c r="I940" t="str">
        <f ca="1">IFERROR(__xludf.DUMMYFUNCTION("""COMPUTED_VALUE"""),"")</f>
        <v/>
      </c>
    </row>
    <row r="941" spans="1:9" ht="12.75">
      <c r="A941">
        <f ca="1">IFERROR(__xludf.DUMMYFUNCTION("""COMPUTED_VALUE"""),939)</f>
        <v>939</v>
      </c>
      <c r="B941">
        <f ca="1">IFERROR(__xludf.DUMMYFUNCTION("""COMPUTED_VALUE"""),930)</f>
        <v>930</v>
      </c>
      <c r="C941" t="str">
        <f ca="1">IFERROR(__xludf.DUMMYFUNCTION("""COMPUTED_VALUE"""),"Estiaan Conradie")</f>
        <v>Estiaan Conradie</v>
      </c>
      <c r="D941">
        <f ca="1">IFERROR(__xludf.DUMMYFUNCTION("""COMPUTED_VALUE"""),40)</f>
        <v>40</v>
      </c>
      <c r="E941">
        <f ca="1">IFERROR(__xludf.DUMMYFUNCTION("""COMPUTED_VALUE"""),0.1)</f>
        <v>0.1</v>
      </c>
      <c r="F941">
        <f ca="1">IFERROR(__xludf.DUMMYFUNCTION("""COMPUTED_VALUE"""),4.11)</f>
        <v>4.1100000000000003</v>
      </c>
      <c r="G941">
        <f ca="1">IFERROR(__xludf.DUMMYFUNCTION("""COMPUTED_VALUE"""),-2.77)</f>
        <v>-2.77</v>
      </c>
      <c r="H941">
        <f ca="1">IFERROR(__xludf.DUMMYFUNCTION("""COMPUTED_VALUE"""),0)</f>
        <v>0</v>
      </c>
      <c r="I941" t="str">
        <f ca="1">IFERROR(__xludf.DUMMYFUNCTION("""COMPUTED_VALUE"""),"")</f>
        <v/>
      </c>
    </row>
    <row r="942" spans="1:9" ht="12.75">
      <c r="A942">
        <f ca="1">IFERROR(__xludf.DUMMYFUNCTION("""COMPUTED_VALUE"""),941)</f>
        <v>941</v>
      </c>
      <c r="B942">
        <f ca="1">IFERROR(__xludf.DUMMYFUNCTION("""COMPUTED_VALUE"""),928)</f>
        <v>928</v>
      </c>
      <c r="C942" t="str">
        <f ca="1">IFERROR(__xludf.DUMMYFUNCTION("""COMPUTED_VALUE"""),"Blake Windred")</f>
        <v>Blake Windred</v>
      </c>
      <c r="D942">
        <f ca="1">IFERROR(__xludf.DUMMYFUNCTION("""COMPUTED_VALUE"""),40)</f>
        <v>40</v>
      </c>
      <c r="E942">
        <f ca="1">IFERROR(__xludf.DUMMYFUNCTION("""COMPUTED_VALUE"""),0.1)</f>
        <v>0.1</v>
      </c>
      <c r="F942">
        <f ca="1">IFERROR(__xludf.DUMMYFUNCTION("""COMPUTED_VALUE"""),4.11)</f>
        <v>4.1100000000000003</v>
      </c>
      <c r="G942">
        <f ca="1">IFERROR(__xludf.DUMMYFUNCTION("""COMPUTED_VALUE"""),-3.4)</f>
        <v>-3.4</v>
      </c>
      <c r="H942">
        <f ca="1">IFERROR(__xludf.DUMMYFUNCTION("""COMPUTED_VALUE"""),1.2)</f>
        <v>1.2</v>
      </c>
      <c r="I942" t="str">
        <f ca="1">IFERROR(__xludf.DUMMYFUNCTION("""COMPUTED_VALUE"""),"")</f>
        <v/>
      </c>
    </row>
    <row r="943" spans="1:9" ht="12.75">
      <c r="A943">
        <f ca="1">IFERROR(__xludf.DUMMYFUNCTION("""COMPUTED_VALUE"""),942)</f>
        <v>942</v>
      </c>
      <c r="B943">
        <f ca="1">IFERROR(__xludf.DUMMYFUNCTION("""COMPUTED_VALUE"""),935)</f>
        <v>935</v>
      </c>
      <c r="C943" t="str">
        <f ca="1">IFERROR(__xludf.DUMMYFUNCTION("""COMPUTED_VALUE"""),"Keita Nakajima")</f>
        <v>Keita Nakajima</v>
      </c>
      <c r="D943">
        <f ca="1">IFERROR(__xludf.DUMMYFUNCTION("""COMPUTED_VALUE"""),40)</f>
        <v>40</v>
      </c>
      <c r="E943">
        <f ca="1">IFERROR(__xludf.DUMMYFUNCTION("""COMPUTED_VALUE"""),0.1)</f>
        <v>0.1</v>
      </c>
      <c r="F943">
        <f ca="1">IFERROR(__xludf.DUMMYFUNCTION("""COMPUTED_VALUE"""),4.1)</f>
        <v>4.0999999999999996</v>
      </c>
      <c r="G943">
        <f ca="1">IFERROR(__xludf.DUMMYFUNCTION("""COMPUTED_VALUE"""),-2.49)</f>
        <v>-2.4900000000000002</v>
      </c>
      <c r="H943">
        <f ca="1">IFERROR(__xludf.DUMMYFUNCTION("""COMPUTED_VALUE"""),2.4)</f>
        <v>2.4</v>
      </c>
      <c r="I943" t="str">
        <f ca="1">IFERROR(__xludf.DUMMYFUNCTION("""COMPUTED_VALUE"""),"")</f>
        <v/>
      </c>
    </row>
    <row r="944" spans="1:9" ht="12.75">
      <c r="A944">
        <f ca="1">IFERROR(__xludf.DUMMYFUNCTION("""COMPUTED_VALUE"""),943)</f>
        <v>943</v>
      </c>
      <c r="B944">
        <f ca="1">IFERROR(__xludf.DUMMYFUNCTION("""COMPUTED_VALUE"""),935)</f>
        <v>935</v>
      </c>
      <c r="C944" t="str">
        <f ca="1">IFERROR(__xludf.DUMMYFUNCTION("""COMPUTED_VALUE"""),"Oliver Gillberg")</f>
        <v>Oliver Gillberg</v>
      </c>
      <c r="D944">
        <f ca="1">IFERROR(__xludf.DUMMYFUNCTION("""COMPUTED_VALUE"""),40)</f>
        <v>40</v>
      </c>
      <c r="E944">
        <f ca="1">IFERROR(__xludf.DUMMYFUNCTION("""COMPUTED_VALUE"""),0.1)</f>
        <v>0.1</v>
      </c>
      <c r="F944">
        <f ca="1">IFERROR(__xludf.DUMMYFUNCTION("""COMPUTED_VALUE"""),4.09)</f>
        <v>4.09</v>
      </c>
      <c r="G944">
        <f ca="1">IFERROR(__xludf.DUMMYFUNCTION("""COMPUTED_VALUE"""),-2.87)</f>
        <v>-2.87</v>
      </c>
      <c r="H944">
        <f ca="1">IFERROR(__xludf.DUMMYFUNCTION("""COMPUTED_VALUE"""),0)</f>
        <v>0</v>
      </c>
      <c r="I944" t="str">
        <f ca="1">IFERROR(__xludf.DUMMYFUNCTION("""COMPUTED_VALUE"""),"")</f>
        <v/>
      </c>
    </row>
    <row r="945" spans="1:9" ht="12.75">
      <c r="A945">
        <f ca="1">IFERROR(__xludf.DUMMYFUNCTION("""COMPUTED_VALUE"""),944)</f>
        <v>944</v>
      </c>
      <c r="B945">
        <f ca="1">IFERROR(__xludf.DUMMYFUNCTION("""COMPUTED_VALUE"""),935)</f>
        <v>935</v>
      </c>
      <c r="C945" t="str">
        <f ca="1">IFERROR(__xludf.DUMMYFUNCTION("""COMPUTED_VALUE"""),"Eduardo De La Riva")</f>
        <v>Eduardo De La Riva</v>
      </c>
      <c r="D945">
        <f ca="1">IFERROR(__xludf.DUMMYFUNCTION("""COMPUTED_VALUE"""),40)</f>
        <v>40</v>
      </c>
      <c r="E945">
        <f ca="1">IFERROR(__xludf.DUMMYFUNCTION("""COMPUTED_VALUE"""),0.1)</f>
        <v>0.1</v>
      </c>
      <c r="F945">
        <f ca="1">IFERROR(__xludf.DUMMYFUNCTION("""COMPUTED_VALUE"""),4.08)</f>
        <v>4.08</v>
      </c>
      <c r="G945">
        <f ca="1">IFERROR(__xludf.DUMMYFUNCTION("""COMPUTED_VALUE"""),-3)</f>
        <v>-3</v>
      </c>
      <c r="H945">
        <f ca="1">IFERROR(__xludf.DUMMYFUNCTION("""COMPUTED_VALUE"""),0)</f>
        <v>0</v>
      </c>
      <c r="I945" t="str">
        <f ca="1">IFERROR(__xludf.DUMMYFUNCTION("""COMPUTED_VALUE"""),"")</f>
        <v/>
      </c>
    </row>
    <row r="946" spans="1:9" ht="12.75">
      <c r="A946">
        <f ca="1">IFERROR(__xludf.DUMMYFUNCTION("""COMPUTED_VALUE"""),945)</f>
        <v>945</v>
      </c>
      <c r="B946">
        <f ca="1">IFERROR(__xludf.DUMMYFUNCTION("""COMPUTED_VALUE"""),943)</f>
        <v>943</v>
      </c>
      <c r="C946" t="str">
        <f ca="1">IFERROR(__xludf.DUMMYFUNCTION("""COMPUTED_VALUE"""),"Daniel Sutton")</f>
        <v>Daniel Sutton</v>
      </c>
      <c r="D946">
        <f ca="1">IFERROR(__xludf.DUMMYFUNCTION("""COMPUTED_VALUE"""),40)</f>
        <v>40</v>
      </c>
      <c r="E946">
        <f ca="1">IFERROR(__xludf.DUMMYFUNCTION("""COMPUTED_VALUE"""),0.1)</f>
        <v>0.1</v>
      </c>
      <c r="F946">
        <f ca="1">IFERROR(__xludf.DUMMYFUNCTION("""COMPUTED_VALUE"""),4.06)</f>
        <v>4.0599999999999996</v>
      </c>
      <c r="G946">
        <f ca="1">IFERROR(__xludf.DUMMYFUNCTION("""COMPUTED_VALUE"""),-0.14)</f>
        <v>-0.14000000000000001</v>
      </c>
      <c r="H946">
        <f ca="1">IFERROR(__xludf.DUMMYFUNCTION("""COMPUTED_VALUE"""),4.2)</f>
        <v>4.2</v>
      </c>
      <c r="I946" t="str">
        <f ca="1">IFERROR(__xludf.DUMMYFUNCTION("""COMPUTED_VALUE"""),"")</f>
        <v/>
      </c>
    </row>
    <row r="947" spans="1:9" ht="12.75">
      <c r="A947">
        <f ca="1">IFERROR(__xludf.DUMMYFUNCTION("""COMPUTED_VALUE"""),946)</f>
        <v>946</v>
      </c>
      <c r="B947">
        <f ca="1">IFERROR(__xludf.DUMMYFUNCTION("""COMPUTED_VALUE"""),933)</f>
        <v>933</v>
      </c>
      <c r="C947" t="str">
        <f ca="1">IFERROR(__xludf.DUMMYFUNCTION("""COMPUTED_VALUE"""),"Davis Love III")</f>
        <v>Davis Love III</v>
      </c>
      <c r="D947">
        <f ca="1">IFERROR(__xludf.DUMMYFUNCTION("""COMPUTED_VALUE"""),40)</f>
        <v>40</v>
      </c>
      <c r="E947">
        <f ca="1">IFERROR(__xludf.DUMMYFUNCTION("""COMPUTED_VALUE"""),0.1)</f>
        <v>0.1</v>
      </c>
      <c r="F947">
        <f ca="1">IFERROR(__xludf.DUMMYFUNCTION("""COMPUTED_VALUE"""),4.06)</f>
        <v>4.0599999999999996</v>
      </c>
      <c r="G947">
        <f ca="1">IFERROR(__xludf.DUMMYFUNCTION("""COMPUTED_VALUE"""),-4.43)</f>
        <v>-4.43</v>
      </c>
      <c r="H947">
        <f ca="1">IFERROR(__xludf.DUMMYFUNCTION("""COMPUTED_VALUE"""),1.2)</f>
        <v>1.2</v>
      </c>
      <c r="I947" t="str">
        <f ca="1">IFERROR(__xludf.DUMMYFUNCTION("""COMPUTED_VALUE"""),"")</f>
        <v/>
      </c>
    </row>
    <row r="948" spans="1:9" ht="12.75">
      <c r="A948">
        <f ca="1">IFERROR(__xludf.DUMMYFUNCTION("""COMPUTED_VALUE"""),947)</f>
        <v>947</v>
      </c>
      <c r="B948">
        <f ca="1">IFERROR(__xludf.DUMMYFUNCTION("""COMPUTED_VALUE"""),942)</f>
        <v>942</v>
      </c>
      <c r="C948" t="str">
        <f ca="1">IFERROR(__xludf.DUMMYFUNCTION("""COMPUTED_VALUE"""),"Daniel Hillier")</f>
        <v>Daniel Hillier</v>
      </c>
      <c r="D948">
        <f ca="1">IFERROR(__xludf.DUMMYFUNCTION("""COMPUTED_VALUE"""),40)</f>
        <v>40</v>
      </c>
      <c r="E948">
        <f ca="1">IFERROR(__xludf.DUMMYFUNCTION("""COMPUTED_VALUE"""),0.1)</f>
        <v>0.1</v>
      </c>
      <c r="F948">
        <f ca="1">IFERROR(__xludf.DUMMYFUNCTION("""COMPUTED_VALUE"""),4.06)</f>
        <v>4.0599999999999996</v>
      </c>
      <c r="G948">
        <f ca="1">IFERROR(__xludf.DUMMYFUNCTION("""COMPUTED_VALUE"""),-1.1)</f>
        <v>-1.1000000000000001</v>
      </c>
      <c r="H948">
        <f ca="1">IFERROR(__xludf.DUMMYFUNCTION("""COMPUTED_VALUE"""),3.65)</f>
        <v>3.65</v>
      </c>
      <c r="I948" t="str">
        <f ca="1">IFERROR(__xludf.DUMMYFUNCTION("""COMPUTED_VALUE"""),"")</f>
        <v/>
      </c>
    </row>
    <row r="949" spans="1:9" ht="12.75">
      <c r="A949">
        <f ca="1">IFERROR(__xludf.DUMMYFUNCTION("""COMPUTED_VALUE"""),947)</f>
        <v>947</v>
      </c>
      <c r="B949">
        <f ca="1">IFERROR(__xludf.DUMMYFUNCTION("""COMPUTED_VALUE"""),940)</f>
        <v>940</v>
      </c>
      <c r="C949" t="str">
        <f ca="1">IFERROR(__xludf.DUMMYFUNCTION("""COMPUTED_VALUE"""),"Kyle Barker")</f>
        <v>Kyle Barker</v>
      </c>
      <c r="D949">
        <f ca="1">IFERROR(__xludf.DUMMYFUNCTION("""COMPUTED_VALUE"""),41)</f>
        <v>41</v>
      </c>
      <c r="E949">
        <f ca="1">IFERROR(__xludf.DUMMYFUNCTION("""COMPUTED_VALUE"""),0.1)</f>
        <v>0.1</v>
      </c>
      <c r="F949">
        <f ca="1">IFERROR(__xludf.DUMMYFUNCTION("""COMPUTED_VALUE"""),4.16)</f>
        <v>4.16</v>
      </c>
      <c r="G949">
        <f ca="1">IFERROR(__xludf.DUMMYFUNCTION("""COMPUTED_VALUE"""),-2.83)</f>
        <v>-2.83</v>
      </c>
      <c r="H949">
        <f ca="1">IFERROR(__xludf.DUMMYFUNCTION("""COMPUTED_VALUE"""),0)</f>
        <v>0</v>
      </c>
      <c r="I949" t="str">
        <f ca="1">IFERROR(__xludf.DUMMYFUNCTION("""COMPUTED_VALUE"""),"")</f>
        <v/>
      </c>
    </row>
    <row r="950" spans="1:9" ht="12.75">
      <c r="A950">
        <f ca="1">IFERROR(__xludf.DUMMYFUNCTION("""COMPUTED_VALUE"""),947)</f>
        <v>947</v>
      </c>
      <c r="B950">
        <f ca="1">IFERROR(__xludf.DUMMYFUNCTION("""COMPUTED_VALUE"""),943)</f>
        <v>943</v>
      </c>
      <c r="C950" t="str">
        <f ca="1">IFERROR(__xludf.DUMMYFUNCTION("""COMPUTED_VALUE"""),"David Langley")</f>
        <v>David Langley</v>
      </c>
      <c r="D950">
        <f ca="1">IFERROR(__xludf.DUMMYFUNCTION("""COMPUTED_VALUE"""),40)</f>
        <v>40</v>
      </c>
      <c r="E950">
        <f ca="1">IFERROR(__xludf.DUMMYFUNCTION("""COMPUTED_VALUE"""),0.1)</f>
        <v>0.1</v>
      </c>
      <c r="F950">
        <f ca="1">IFERROR(__xludf.DUMMYFUNCTION("""COMPUTED_VALUE"""),4.06)</f>
        <v>4.0599999999999996</v>
      </c>
      <c r="G950">
        <f ca="1">IFERROR(__xludf.DUMMYFUNCTION("""COMPUTED_VALUE"""),-0.74)</f>
        <v>-0.74</v>
      </c>
      <c r="H950">
        <f ca="1">IFERROR(__xludf.DUMMYFUNCTION("""COMPUTED_VALUE"""),4.8)</f>
        <v>4.8</v>
      </c>
      <c r="I950" t="str">
        <f ca="1">IFERROR(__xludf.DUMMYFUNCTION("""COMPUTED_VALUE"""),"")</f>
        <v/>
      </c>
    </row>
    <row r="951" spans="1:9" ht="12.75">
      <c r="A951">
        <f ca="1">IFERROR(__xludf.DUMMYFUNCTION("""COMPUTED_VALUE"""),950)</f>
        <v>950</v>
      </c>
      <c r="B951">
        <f ca="1">IFERROR(__xludf.DUMMYFUNCTION("""COMPUTED_VALUE"""),959)</f>
        <v>959</v>
      </c>
      <c r="C951" t="str">
        <f ca="1">IFERROR(__xludf.DUMMYFUNCTION("""COMPUTED_VALUE"""),"Matt Atkins")</f>
        <v>Matt Atkins</v>
      </c>
      <c r="D951">
        <f ca="1">IFERROR(__xludf.DUMMYFUNCTION("""COMPUTED_VALUE"""),42)</f>
        <v>42</v>
      </c>
      <c r="E951">
        <f ca="1">IFERROR(__xludf.DUMMYFUNCTION("""COMPUTED_VALUE"""),0.1)</f>
        <v>0.1</v>
      </c>
      <c r="F951">
        <f ca="1">IFERROR(__xludf.DUMMYFUNCTION("""COMPUTED_VALUE"""),4.22)</f>
        <v>4.22</v>
      </c>
      <c r="G951">
        <f ca="1">IFERROR(__xludf.DUMMYFUNCTION("""COMPUTED_VALUE"""),-0.62)</f>
        <v>-0.62</v>
      </c>
      <c r="H951">
        <f ca="1">IFERROR(__xludf.DUMMYFUNCTION("""COMPUTED_VALUE"""),4.67)</f>
        <v>4.67</v>
      </c>
      <c r="I951" t="str">
        <f ca="1">IFERROR(__xludf.DUMMYFUNCTION("""COMPUTED_VALUE"""),"")</f>
        <v/>
      </c>
    </row>
    <row r="952" spans="1:9" ht="12.75">
      <c r="A952">
        <f ca="1">IFERROR(__xludf.DUMMYFUNCTION("""COMPUTED_VALUE"""),950)</f>
        <v>950</v>
      </c>
      <c r="B952">
        <f ca="1">IFERROR(__xludf.DUMMYFUNCTION("""COMPUTED_VALUE"""),935)</f>
        <v>935</v>
      </c>
      <c r="C952" t="str">
        <f ca="1">IFERROR(__xludf.DUMMYFUNCTION("""COMPUTED_VALUE"""),"Kevin Techakanokboon")</f>
        <v>Kevin Techakanokboon</v>
      </c>
      <c r="D952">
        <f ca="1">IFERROR(__xludf.DUMMYFUNCTION("""COMPUTED_VALUE"""),40)</f>
        <v>40</v>
      </c>
      <c r="E952">
        <f ca="1">IFERROR(__xludf.DUMMYFUNCTION("""COMPUTED_VALUE"""),0.1)</f>
        <v>0.1</v>
      </c>
      <c r="F952">
        <f ca="1">IFERROR(__xludf.DUMMYFUNCTION("""COMPUTED_VALUE"""),4.02)</f>
        <v>4.0199999999999996</v>
      </c>
      <c r="G952">
        <f ca="1">IFERROR(__xludf.DUMMYFUNCTION("""COMPUTED_VALUE"""),-5.17)</f>
        <v>-5.17</v>
      </c>
      <c r="H952">
        <f ca="1">IFERROR(__xludf.DUMMYFUNCTION("""COMPUTED_VALUE"""),0)</f>
        <v>0</v>
      </c>
      <c r="I952" t="str">
        <f ca="1">IFERROR(__xludf.DUMMYFUNCTION("""COMPUTED_VALUE"""),"")</f>
        <v/>
      </c>
    </row>
    <row r="953" spans="1:9" ht="12.75">
      <c r="A953">
        <f ca="1">IFERROR(__xludf.DUMMYFUNCTION("""COMPUTED_VALUE"""),952)</f>
        <v>952</v>
      </c>
      <c r="B953">
        <f ca="1">IFERROR(__xludf.DUMMYFUNCTION("""COMPUTED_VALUE"""),941)</f>
        <v>941</v>
      </c>
      <c r="C953" t="str">
        <f ca="1">IFERROR(__xludf.DUMMYFUNCTION("""COMPUTED_VALUE"""),"WC Liang")</f>
        <v>WC Liang</v>
      </c>
      <c r="D953">
        <f ca="1">IFERROR(__xludf.DUMMYFUNCTION("""COMPUTED_VALUE"""),40)</f>
        <v>40</v>
      </c>
      <c r="E953">
        <f ca="1">IFERROR(__xludf.DUMMYFUNCTION("""COMPUTED_VALUE"""),0.1)</f>
        <v>0.1</v>
      </c>
      <c r="F953">
        <f ca="1">IFERROR(__xludf.DUMMYFUNCTION("""COMPUTED_VALUE"""),4)</f>
        <v>4</v>
      </c>
      <c r="G953">
        <f ca="1">IFERROR(__xludf.DUMMYFUNCTION("""COMPUTED_VALUE"""),-4.53)</f>
        <v>-4.53</v>
      </c>
      <c r="H953">
        <f ca="1">IFERROR(__xludf.DUMMYFUNCTION("""COMPUTED_VALUE"""),0)</f>
        <v>0</v>
      </c>
      <c r="I953" t="str">
        <f ca="1">IFERROR(__xludf.DUMMYFUNCTION("""COMPUTED_VALUE"""),"")</f>
        <v/>
      </c>
    </row>
    <row r="954" spans="1:9" ht="12.75">
      <c r="A954">
        <f ca="1">IFERROR(__xludf.DUMMYFUNCTION("""COMPUTED_VALUE"""),953)</f>
        <v>953</v>
      </c>
      <c r="B954">
        <f ca="1">IFERROR(__xludf.DUMMYFUNCTION("""COMPUTED_VALUE"""),951)</f>
        <v>951</v>
      </c>
      <c r="C954" t="str">
        <f ca="1">IFERROR(__xludf.DUMMYFUNCTION("""COMPUTED_VALUE"""),"Pelle Edberg")</f>
        <v>Pelle Edberg</v>
      </c>
      <c r="D954">
        <f ca="1">IFERROR(__xludf.DUMMYFUNCTION("""COMPUTED_VALUE"""),40)</f>
        <v>40</v>
      </c>
      <c r="E954">
        <f ca="1">IFERROR(__xludf.DUMMYFUNCTION("""COMPUTED_VALUE"""),0.1)</f>
        <v>0.1</v>
      </c>
      <c r="F954">
        <f ca="1">IFERROR(__xludf.DUMMYFUNCTION("""COMPUTED_VALUE"""),4)</f>
        <v>4</v>
      </c>
      <c r="G954" t="str">
        <f ca="1">IFERROR(__xludf.DUMMYFUNCTION("""COMPUTED_VALUE"""),"")</f>
        <v/>
      </c>
      <c r="H954">
        <f ca="1">IFERROR(__xludf.DUMMYFUNCTION("""COMPUTED_VALUE"""),4)</f>
        <v>4</v>
      </c>
      <c r="I954" t="str">
        <f ca="1">IFERROR(__xludf.DUMMYFUNCTION("""COMPUTED_VALUE"""),"")</f>
        <v/>
      </c>
    </row>
    <row r="955" spans="1:9" ht="12.75">
      <c r="A955">
        <f ca="1">IFERROR(__xludf.DUMMYFUNCTION("""COMPUTED_VALUE"""),953)</f>
        <v>953</v>
      </c>
      <c r="B955">
        <f ca="1">IFERROR(__xludf.DUMMYFUNCTION("""COMPUTED_VALUE"""),951)</f>
        <v>951</v>
      </c>
      <c r="C955" t="str">
        <f ca="1">IFERROR(__xludf.DUMMYFUNCTION("""COMPUTED_VALUE"""),"Toni Hakula")</f>
        <v>Toni Hakula</v>
      </c>
      <c r="D955">
        <f ca="1">IFERROR(__xludf.DUMMYFUNCTION("""COMPUTED_VALUE"""),40)</f>
        <v>40</v>
      </c>
      <c r="E955">
        <f ca="1">IFERROR(__xludf.DUMMYFUNCTION("""COMPUTED_VALUE"""),0.1)</f>
        <v>0.1</v>
      </c>
      <c r="F955">
        <f ca="1">IFERROR(__xludf.DUMMYFUNCTION("""COMPUTED_VALUE"""),4)</f>
        <v>4</v>
      </c>
      <c r="G955">
        <f ca="1">IFERROR(__xludf.DUMMYFUNCTION("""COMPUTED_VALUE"""),-1.5)</f>
        <v>-1.5</v>
      </c>
      <c r="H955">
        <f ca="1">IFERROR(__xludf.DUMMYFUNCTION("""COMPUTED_VALUE"""),4)</f>
        <v>4</v>
      </c>
      <c r="I955" t="str">
        <f ca="1">IFERROR(__xludf.DUMMYFUNCTION("""COMPUTED_VALUE"""),"")</f>
        <v/>
      </c>
    </row>
    <row r="956" spans="1:9" ht="12.75">
      <c r="A956">
        <f ca="1">IFERROR(__xludf.DUMMYFUNCTION("""COMPUTED_VALUE"""),953)</f>
        <v>953</v>
      </c>
      <c r="B956">
        <f ca="1">IFERROR(__xludf.DUMMYFUNCTION("""COMPUTED_VALUE"""),951)</f>
        <v>951</v>
      </c>
      <c r="C956" t="str">
        <f ca="1">IFERROR(__xludf.DUMMYFUNCTION("""COMPUTED_VALUE"""),"Hideto Kobukuro")</f>
        <v>Hideto Kobukuro</v>
      </c>
      <c r="D956">
        <f ca="1">IFERROR(__xludf.DUMMYFUNCTION("""COMPUTED_VALUE"""),40)</f>
        <v>40</v>
      </c>
      <c r="E956">
        <f ca="1">IFERROR(__xludf.DUMMYFUNCTION("""COMPUTED_VALUE"""),0.1)</f>
        <v>0.1</v>
      </c>
      <c r="F956">
        <f ca="1">IFERROR(__xludf.DUMMYFUNCTION("""COMPUTED_VALUE"""),4)</f>
        <v>4</v>
      </c>
      <c r="G956" t="str">
        <f ca="1">IFERROR(__xludf.DUMMYFUNCTION("""COMPUTED_VALUE"""),"")</f>
        <v/>
      </c>
      <c r="H956">
        <f ca="1">IFERROR(__xludf.DUMMYFUNCTION("""COMPUTED_VALUE"""),4)</f>
        <v>4</v>
      </c>
      <c r="I956" t="str">
        <f ca="1">IFERROR(__xludf.DUMMYFUNCTION("""COMPUTED_VALUE"""),"")</f>
        <v/>
      </c>
    </row>
    <row r="957" spans="1:9" ht="12.75">
      <c r="A957">
        <f ca="1">IFERROR(__xludf.DUMMYFUNCTION("""COMPUTED_VALUE"""),953)</f>
        <v>953</v>
      </c>
      <c r="B957">
        <f ca="1">IFERROR(__xludf.DUMMYFUNCTION("""COMPUTED_VALUE"""),951)</f>
        <v>951</v>
      </c>
      <c r="C957" t="str">
        <f ca="1">IFERROR(__xludf.DUMMYFUNCTION("""COMPUTED_VALUE"""),"Jacobo Pastor Lopez")</f>
        <v>Jacobo Pastor Lopez</v>
      </c>
      <c r="D957">
        <f ca="1">IFERROR(__xludf.DUMMYFUNCTION("""COMPUTED_VALUE"""),40)</f>
        <v>40</v>
      </c>
      <c r="E957">
        <f ca="1">IFERROR(__xludf.DUMMYFUNCTION("""COMPUTED_VALUE"""),0.1)</f>
        <v>0.1</v>
      </c>
      <c r="F957">
        <f ca="1">IFERROR(__xludf.DUMMYFUNCTION("""COMPUTED_VALUE"""),4)</f>
        <v>4</v>
      </c>
      <c r="G957" t="str">
        <f ca="1">IFERROR(__xludf.DUMMYFUNCTION("""COMPUTED_VALUE"""),"")</f>
        <v/>
      </c>
      <c r="H957">
        <f ca="1">IFERROR(__xludf.DUMMYFUNCTION("""COMPUTED_VALUE"""),4)</f>
        <v>4</v>
      </c>
      <c r="I957" t="str">
        <f ca="1">IFERROR(__xludf.DUMMYFUNCTION("""COMPUTED_VALUE"""),"")</f>
        <v/>
      </c>
    </row>
    <row r="958" spans="1:9" ht="12.75">
      <c r="A958">
        <f ca="1">IFERROR(__xludf.DUMMYFUNCTION("""COMPUTED_VALUE"""),953)</f>
        <v>953</v>
      </c>
      <c r="B958">
        <f ca="1">IFERROR(__xludf.DUMMYFUNCTION("""COMPUTED_VALUE"""),951)</f>
        <v>951</v>
      </c>
      <c r="C958" t="str">
        <f ca="1">IFERROR(__xludf.DUMMYFUNCTION("""COMPUTED_VALUE"""),"Marc Hammer")</f>
        <v>Marc Hammer</v>
      </c>
      <c r="D958">
        <f ca="1">IFERROR(__xludf.DUMMYFUNCTION("""COMPUTED_VALUE"""),40)</f>
        <v>40</v>
      </c>
      <c r="E958">
        <f ca="1">IFERROR(__xludf.DUMMYFUNCTION("""COMPUTED_VALUE"""),0.1)</f>
        <v>0.1</v>
      </c>
      <c r="F958">
        <f ca="1">IFERROR(__xludf.DUMMYFUNCTION("""COMPUTED_VALUE"""),4)</f>
        <v>4</v>
      </c>
      <c r="G958" t="str">
        <f ca="1">IFERROR(__xludf.DUMMYFUNCTION("""COMPUTED_VALUE"""),"")</f>
        <v/>
      </c>
      <c r="H958">
        <f ca="1">IFERROR(__xludf.DUMMYFUNCTION("""COMPUTED_VALUE"""),4)</f>
        <v>4</v>
      </c>
      <c r="I958" t="str">
        <f ca="1">IFERROR(__xludf.DUMMYFUNCTION("""COMPUTED_VALUE"""),"")</f>
        <v/>
      </c>
    </row>
    <row r="959" spans="1:9" ht="12.75">
      <c r="A959">
        <f ca="1">IFERROR(__xludf.DUMMYFUNCTION("""COMPUTED_VALUE"""),953)</f>
        <v>953</v>
      </c>
      <c r="B959">
        <f ca="1">IFERROR(__xludf.DUMMYFUNCTION("""COMPUTED_VALUE"""),951)</f>
        <v>951</v>
      </c>
      <c r="C959" t="str">
        <f ca="1">IFERROR(__xludf.DUMMYFUNCTION("""COMPUTED_VALUE"""),"Cooper Musselman")</f>
        <v>Cooper Musselman</v>
      </c>
      <c r="D959">
        <f ca="1">IFERROR(__xludf.DUMMYFUNCTION("""COMPUTED_VALUE"""),40)</f>
        <v>40</v>
      </c>
      <c r="E959">
        <f ca="1">IFERROR(__xludf.DUMMYFUNCTION("""COMPUTED_VALUE"""),0.1)</f>
        <v>0.1</v>
      </c>
      <c r="F959">
        <f ca="1">IFERROR(__xludf.DUMMYFUNCTION("""COMPUTED_VALUE"""),4)</f>
        <v>4</v>
      </c>
      <c r="G959" t="str">
        <f ca="1">IFERROR(__xludf.DUMMYFUNCTION("""COMPUTED_VALUE"""),"")</f>
        <v/>
      </c>
      <c r="H959">
        <f ca="1">IFERROR(__xludf.DUMMYFUNCTION("""COMPUTED_VALUE"""),4)</f>
        <v>4</v>
      </c>
      <c r="I959" t="str">
        <f ca="1">IFERROR(__xludf.DUMMYFUNCTION("""COMPUTED_VALUE"""),"")</f>
        <v/>
      </c>
    </row>
    <row r="960" spans="1:9" ht="12.75">
      <c r="A960">
        <f ca="1">IFERROR(__xludf.DUMMYFUNCTION("""COMPUTED_VALUE"""),959)</f>
        <v>959</v>
      </c>
      <c r="B960">
        <f ca="1">IFERROR(__xludf.DUMMYFUNCTION("""COMPUTED_VALUE"""),945)</f>
        <v>945</v>
      </c>
      <c r="C960" t="str">
        <f ca="1">IFERROR(__xludf.DUMMYFUNCTION("""COMPUTED_VALUE"""),"Felix Mory")</f>
        <v>Felix Mory</v>
      </c>
      <c r="D960">
        <f ca="1">IFERROR(__xludf.DUMMYFUNCTION("""COMPUTED_VALUE"""),40)</f>
        <v>40</v>
      </c>
      <c r="E960">
        <f ca="1">IFERROR(__xludf.DUMMYFUNCTION("""COMPUTED_VALUE"""),0.1)</f>
        <v>0.1</v>
      </c>
      <c r="F960">
        <f ca="1">IFERROR(__xludf.DUMMYFUNCTION("""COMPUTED_VALUE"""),3.98)</f>
        <v>3.98</v>
      </c>
      <c r="G960">
        <f ca="1">IFERROR(__xludf.DUMMYFUNCTION("""COMPUTED_VALUE"""),-2.71)</f>
        <v>-2.71</v>
      </c>
      <c r="H960">
        <f ca="1">IFERROR(__xludf.DUMMYFUNCTION("""COMPUTED_VALUE"""),1.29)</f>
        <v>1.29</v>
      </c>
      <c r="I960" t="str">
        <f ca="1">IFERROR(__xludf.DUMMYFUNCTION("""COMPUTED_VALUE"""),"")</f>
        <v/>
      </c>
    </row>
    <row r="961" spans="1:9" ht="12.75">
      <c r="A961">
        <f ca="1">IFERROR(__xludf.DUMMYFUNCTION("""COMPUTED_VALUE"""),959)</f>
        <v>959</v>
      </c>
      <c r="B961">
        <f ca="1">IFERROR(__xludf.DUMMYFUNCTION("""COMPUTED_VALUE"""),946)</f>
        <v>946</v>
      </c>
      <c r="C961" t="str">
        <f ca="1">IFERROR(__xludf.DUMMYFUNCTION("""COMPUTED_VALUE"""),"Niclas Weiland")</f>
        <v>Niclas Weiland</v>
      </c>
      <c r="D961">
        <f ca="1">IFERROR(__xludf.DUMMYFUNCTION("""COMPUTED_VALUE"""),40)</f>
        <v>40</v>
      </c>
      <c r="E961">
        <f ca="1">IFERROR(__xludf.DUMMYFUNCTION("""COMPUTED_VALUE"""),0.1)</f>
        <v>0.1</v>
      </c>
      <c r="F961">
        <f ca="1">IFERROR(__xludf.DUMMYFUNCTION("""COMPUTED_VALUE"""),3.98)</f>
        <v>3.98</v>
      </c>
      <c r="G961">
        <f ca="1">IFERROR(__xludf.DUMMYFUNCTION("""COMPUTED_VALUE"""),-1.62)</f>
        <v>-1.62</v>
      </c>
      <c r="H961">
        <f ca="1">IFERROR(__xludf.DUMMYFUNCTION("""COMPUTED_VALUE"""),1.2)</f>
        <v>1.2</v>
      </c>
      <c r="I961" t="str">
        <f ca="1">IFERROR(__xludf.DUMMYFUNCTION("""COMPUTED_VALUE"""),"")</f>
        <v/>
      </c>
    </row>
    <row r="962" spans="1:9" ht="12.75">
      <c r="A962">
        <f ca="1">IFERROR(__xludf.DUMMYFUNCTION("""COMPUTED_VALUE"""),961)</f>
        <v>961</v>
      </c>
      <c r="B962">
        <f ca="1">IFERROR(__xludf.DUMMYFUNCTION("""COMPUTED_VALUE"""),939)</f>
        <v>939</v>
      </c>
      <c r="C962" t="str">
        <f ca="1">IFERROR(__xludf.DUMMYFUNCTION("""COMPUTED_VALUE"""),"Jakraphan Premsirigorn")</f>
        <v>Jakraphan Premsirigorn</v>
      </c>
      <c r="D962">
        <f ca="1">IFERROR(__xludf.DUMMYFUNCTION("""COMPUTED_VALUE"""),40)</f>
        <v>40</v>
      </c>
      <c r="E962">
        <f ca="1">IFERROR(__xludf.DUMMYFUNCTION("""COMPUTED_VALUE"""),0.1)</f>
        <v>0.1</v>
      </c>
      <c r="F962">
        <f ca="1">IFERROR(__xludf.DUMMYFUNCTION("""COMPUTED_VALUE"""),3.98)</f>
        <v>3.98</v>
      </c>
      <c r="G962">
        <f ca="1">IFERROR(__xludf.DUMMYFUNCTION("""COMPUTED_VALUE"""),-5.45)</f>
        <v>-5.45</v>
      </c>
      <c r="H962">
        <f ca="1">IFERROR(__xludf.DUMMYFUNCTION("""COMPUTED_VALUE"""),0)</f>
        <v>0</v>
      </c>
      <c r="I962" t="str">
        <f ca="1">IFERROR(__xludf.DUMMYFUNCTION("""COMPUTED_VALUE"""),"")</f>
        <v/>
      </c>
    </row>
    <row r="963" spans="1:9" ht="12.75">
      <c r="A963">
        <f ca="1">IFERROR(__xludf.DUMMYFUNCTION("""COMPUTED_VALUE"""),962)</f>
        <v>962</v>
      </c>
      <c r="B963">
        <f ca="1">IFERROR(__xludf.DUMMYFUNCTION("""COMPUTED_VALUE"""),951)</f>
        <v>951</v>
      </c>
      <c r="C963" t="str">
        <f ca="1">IFERROR(__xludf.DUMMYFUNCTION("""COMPUTED_VALUE"""),"Toru Taniguchi")</f>
        <v>Toru Taniguchi</v>
      </c>
      <c r="D963">
        <f ca="1">IFERROR(__xludf.DUMMYFUNCTION("""COMPUTED_VALUE"""),40)</f>
        <v>40</v>
      </c>
      <c r="E963">
        <f ca="1">IFERROR(__xludf.DUMMYFUNCTION("""COMPUTED_VALUE"""),0.1)</f>
        <v>0.1</v>
      </c>
      <c r="F963">
        <f ca="1">IFERROR(__xludf.DUMMYFUNCTION("""COMPUTED_VALUE"""),3.97)</f>
        <v>3.97</v>
      </c>
      <c r="G963">
        <f ca="1">IFERROR(__xludf.DUMMYFUNCTION("""COMPUTED_VALUE"""),-5.02)</f>
        <v>-5.0199999999999996</v>
      </c>
      <c r="H963">
        <f ca="1">IFERROR(__xludf.DUMMYFUNCTION("""COMPUTED_VALUE"""),3.07)</f>
        <v>3.07</v>
      </c>
      <c r="I963" t="str">
        <f ca="1">IFERROR(__xludf.DUMMYFUNCTION("""COMPUTED_VALUE"""),"")</f>
        <v/>
      </c>
    </row>
    <row r="964" spans="1:9" ht="12.75">
      <c r="A964">
        <f ca="1">IFERROR(__xludf.DUMMYFUNCTION("""COMPUTED_VALUE"""),962)</f>
        <v>962</v>
      </c>
      <c r="B964">
        <f ca="1">IFERROR(__xludf.DUMMYFUNCTION("""COMPUTED_VALUE"""),962)</f>
        <v>962</v>
      </c>
      <c r="C964" t="str">
        <f ca="1">IFERROR(__xludf.DUMMYFUNCTION("""COMPUTED_VALUE"""),"Christopher Feldborg-Nielsen")</f>
        <v>Christopher Feldborg-Nielsen</v>
      </c>
      <c r="D964">
        <f ca="1">IFERROR(__xludf.DUMMYFUNCTION("""COMPUTED_VALUE"""),43)</f>
        <v>43</v>
      </c>
      <c r="E964">
        <f ca="1">IFERROR(__xludf.DUMMYFUNCTION("""COMPUTED_VALUE"""),0.1)</f>
        <v>0.1</v>
      </c>
      <c r="F964">
        <f ca="1">IFERROR(__xludf.DUMMYFUNCTION("""COMPUTED_VALUE"""),4.27)</f>
        <v>4.2699999999999996</v>
      </c>
      <c r="G964">
        <f ca="1">IFERROR(__xludf.DUMMYFUNCTION("""COMPUTED_VALUE"""),-2.32)</f>
        <v>-2.3199999999999998</v>
      </c>
      <c r="H964">
        <f ca="1">IFERROR(__xludf.DUMMYFUNCTION("""COMPUTED_VALUE"""),1.33)</f>
        <v>1.33</v>
      </c>
      <c r="I964" t="str">
        <f ca="1">IFERROR(__xludf.DUMMYFUNCTION("""COMPUTED_VALUE"""),"")</f>
        <v/>
      </c>
    </row>
    <row r="965" spans="1:9" ht="12.75">
      <c r="A965">
        <f ca="1">IFERROR(__xludf.DUMMYFUNCTION("""COMPUTED_VALUE"""),964)</f>
        <v>964</v>
      </c>
      <c r="B965">
        <f ca="1">IFERROR(__xludf.DUMMYFUNCTION("""COMPUTED_VALUE"""),948)</f>
        <v>948</v>
      </c>
      <c r="C965" t="str">
        <f ca="1">IFERROR(__xludf.DUMMYFUNCTION("""COMPUTED_VALUE"""),"David Skinns")</f>
        <v>David Skinns</v>
      </c>
      <c r="D965">
        <f ca="1">IFERROR(__xludf.DUMMYFUNCTION("""COMPUTED_VALUE"""),40)</f>
        <v>40</v>
      </c>
      <c r="E965">
        <f ca="1">IFERROR(__xludf.DUMMYFUNCTION("""COMPUTED_VALUE"""),0.1)</f>
        <v>0.1</v>
      </c>
      <c r="F965">
        <f ca="1">IFERROR(__xludf.DUMMYFUNCTION("""COMPUTED_VALUE"""),3.97)</f>
        <v>3.97</v>
      </c>
      <c r="G965">
        <f ca="1">IFERROR(__xludf.DUMMYFUNCTION("""COMPUTED_VALUE"""),-5.66)</f>
        <v>-5.66</v>
      </c>
      <c r="H965">
        <f ca="1">IFERROR(__xludf.DUMMYFUNCTION("""COMPUTED_VALUE"""),3.36)</f>
        <v>3.36</v>
      </c>
      <c r="I965" t="str">
        <f ca="1">IFERROR(__xludf.DUMMYFUNCTION("""COMPUTED_VALUE"""),"")</f>
        <v/>
      </c>
    </row>
    <row r="966" spans="1:9" ht="12.75">
      <c r="A966">
        <f ca="1">IFERROR(__xludf.DUMMYFUNCTION("""COMPUTED_VALUE"""),965)</f>
        <v>965</v>
      </c>
      <c r="B966">
        <f ca="1">IFERROR(__xludf.DUMMYFUNCTION("""COMPUTED_VALUE"""),951)</f>
        <v>951</v>
      </c>
      <c r="C966" t="str">
        <f ca="1">IFERROR(__xludf.DUMMYFUNCTION("""COMPUTED_VALUE"""),"Ales Korinek")</f>
        <v>Ales Korinek</v>
      </c>
      <c r="D966">
        <f ca="1">IFERROR(__xludf.DUMMYFUNCTION("""COMPUTED_VALUE"""),40)</f>
        <v>40</v>
      </c>
      <c r="E966">
        <f ca="1">IFERROR(__xludf.DUMMYFUNCTION("""COMPUTED_VALUE"""),0.1)</f>
        <v>0.1</v>
      </c>
      <c r="F966">
        <f ca="1">IFERROR(__xludf.DUMMYFUNCTION("""COMPUTED_VALUE"""),3.96)</f>
        <v>3.96</v>
      </c>
      <c r="G966">
        <f ca="1">IFERROR(__xludf.DUMMYFUNCTION("""COMPUTED_VALUE"""),-0.48)</f>
        <v>-0.48</v>
      </c>
      <c r="H966">
        <f ca="1">IFERROR(__xludf.DUMMYFUNCTION("""COMPUTED_VALUE"""),4)</f>
        <v>4</v>
      </c>
      <c r="I966" t="str">
        <f ca="1">IFERROR(__xludf.DUMMYFUNCTION("""COMPUTED_VALUE"""),"")</f>
        <v/>
      </c>
    </row>
    <row r="967" spans="1:9" ht="12.75">
      <c r="A967">
        <f ca="1">IFERROR(__xludf.DUMMYFUNCTION("""COMPUTED_VALUE"""),966)</f>
        <v>966</v>
      </c>
      <c r="B967">
        <f ca="1">IFERROR(__xludf.DUMMYFUNCTION("""COMPUTED_VALUE"""),950)</f>
        <v>950</v>
      </c>
      <c r="C967" t="str">
        <f ca="1">IFERROR(__xludf.DUMMYFUNCTION("""COMPUTED_VALUE"""),"Brady Watt")</f>
        <v>Brady Watt</v>
      </c>
      <c r="D967">
        <f ca="1">IFERROR(__xludf.DUMMYFUNCTION("""COMPUTED_VALUE"""),40)</f>
        <v>40</v>
      </c>
      <c r="E967">
        <f ca="1">IFERROR(__xludf.DUMMYFUNCTION("""COMPUTED_VALUE"""),0.1)</f>
        <v>0.1</v>
      </c>
      <c r="F967">
        <f ca="1">IFERROR(__xludf.DUMMYFUNCTION("""COMPUTED_VALUE"""),3.95)</f>
        <v>3.95</v>
      </c>
      <c r="G967">
        <f ca="1">IFERROR(__xludf.DUMMYFUNCTION("""COMPUTED_VALUE"""),-1.84)</f>
        <v>-1.84</v>
      </c>
      <c r="H967">
        <f ca="1">IFERROR(__xludf.DUMMYFUNCTION("""COMPUTED_VALUE"""),0)</f>
        <v>0</v>
      </c>
      <c r="I967" t="str">
        <f ca="1">IFERROR(__xludf.DUMMYFUNCTION("""COMPUTED_VALUE"""),"")</f>
        <v/>
      </c>
    </row>
    <row r="968" spans="1:9" ht="12.75">
      <c r="A968">
        <f ca="1">IFERROR(__xludf.DUMMYFUNCTION("""COMPUTED_VALUE"""),966)</f>
        <v>966</v>
      </c>
      <c r="B968">
        <f ca="1">IFERROR(__xludf.DUMMYFUNCTION("""COMPUTED_VALUE"""),949)</f>
        <v>949</v>
      </c>
      <c r="C968" t="str">
        <f ca="1">IFERROR(__xludf.DUMMYFUNCTION("""COMPUTED_VALUE"""),"Hennie O'Kennedy")</f>
        <v>Hennie O'Kennedy</v>
      </c>
      <c r="D968">
        <f ca="1">IFERROR(__xludf.DUMMYFUNCTION("""COMPUTED_VALUE"""),40)</f>
        <v>40</v>
      </c>
      <c r="E968">
        <f ca="1">IFERROR(__xludf.DUMMYFUNCTION("""COMPUTED_VALUE"""),0.1)</f>
        <v>0.1</v>
      </c>
      <c r="F968">
        <f ca="1">IFERROR(__xludf.DUMMYFUNCTION("""COMPUTED_VALUE"""),3.95)</f>
        <v>3.95</v>
      </c>
      <c r="G968">
        <f ca="1">IFERROR(__xludf.DUMMYFUNCTION("""COMPUTED_VALUE"""),-2.1)</f>
        <v>-2.1</v>
      </c>
      <c r="H968">
        <f ca="1">IFERROR(__xludf.DUMMYFUNCTION("""COMPUTED_VALUE"""),0)</f>
        <v>0</v>
      </c>
      <c r="I968" t="str">
        <f ca="1">IFERROR(__xludf.DUMMYFUNCTION("""COMPUTED_VALUE"""),"")</f>
        <v/>
      </c>
    </row>
    <row r="969" spans="1:9" ht="12.75">
      <c r="A969">
        <f ca="1">IFERROR(__xludf.DUMMYFUNCTION("""COMPUTED_VALUE"""),968)</f>
        <v>968</v>
      </c>
      <c r="B969">
        <f ca="1">IFERROR(__xludf.DUMMYFUNCTION("""COMPUTED_VALUE"""),962)</f>
        <v>962</v>
      </c>
      <c r="C969" t="str">
        <f ca="1">IFERROR(__xludf.DUMMYFUNCTION("""COMPUTED_VALUE"""),"Sutijet Kooratanapis")</f>
        <v>Sutijet Kooratanapis</v>
      </c>
      <c r="D969">
        <f ca="1">IFERROR(__xludf.DUMMYFUNCTION("""COMPUTED_VALUE"""),45)</f>
        <v>45</v>
      </c>
      <c r="E969">
        <f ca="1">IFERROR(__xludf.DUMMYFUNCTION("""COMPUTED_VALUE"""),0.1)</f>
        <v>0.1</v>
      </c>
      <c r="F969">
        <f ca="1">IFERROR(__xludf.DUMMYFUNCTION("""COMPUTED_VALUE"""),4.41)</f>
        <v>4.41</v>
      </c>
      <c r="G969">
        <f ca="1">IFERROR(__xludf.DUMMYFUNCTION("""COMPUTED_VALUE"""),-4.08)</f>
        <v>-4.08</v>
      </c>
      <c r="H969">
        <f ca="1">IFERROR(__xludf.DUMMYFUNCTION("""COMPUTED_VALUE"""),0)</f>
        <v>0</v>
      </c>
      <c r="I969" t="str">
        <f ca="1">IFERROR(__xludf.DUMMYFUNCTION("""COMPUTED_VALUE"""),"")</f>
        <v/>
      </c>
    </row>
    <row r="970" spans="1:9" ht="12.75">
      <c r="A970">
        <f ca="1">IFERROR(__xludf.DUMMYFUNCTION("""COMPUTED_VALUE"""),969)</f>
        <v>969</v>
      </c>
      <c r="B970">
        <f ca="1">IFERROR(__xludf.DUMMYFUNCTION("""COMPUTED_VALUE"""),946)</f>
        <v>946</v>
      </c>
      <c r="C970" t="str">
        <f ca="1">IFERROR(__xludf.DUMMYFUNCTION("""COMPUTED_VALUE"""),"Ricardo Gouveia")</f>
        <v>Ricardo Gouveia</v>
      </c>
      <c r="D970">
        <f ca="1">IFERROR(__xludf.DUMMYFUNCTION("""COMPUTED_VALUE"""),46)</f>
        <v>46</v>
      </c>
      <c r="E970">
        <f ca="1">IFERROR(__xludf.DUMMYFUNCTION("""COMPUTED_VALUE"""),0.1)</f>
        <v>0.1</v>
      </c>
      <c r="F970">
        <f ca="1">IFERROR(__xludf.DUMMYFUNCTION("""COMPUTED_VALUE"""),4.49)</f>
        <v>4.49</v>
      </c>
      <c r="G970">
        <f ca="1">IFERROR(__xludf.DUMMYFUNCTION("""COMPUTED_VALUE"""),-6.52)</f>
        <v>-6.52</v>
      </c>
      <c r="H970">
        <f ca="1">IFERROR(__xludf.DUMMYFUNCTION("""COMPUTED_VALUE"""),1.62)</f>
        <v>1.62</v>
      </c>
      <c r="I970" t="str">
        <f ca="1">IFERROR(__xludf.DUMMYFUNCTION("""COMPUTED_VALUE"""),"")</f>
        <v/>
      </c>
    </row>
    <row r="971" spans="1:9" ht="12.75">
      <c r="A971">
        <f ca="1">IFERROR(__xludf.DUMMYFUNCTION("""COMPUTED_VALUE"""),970)</f>
        <v>970</v>
      </c>
      <c r="B971">
        <f ca="1">IFERROR(__xludf.DUMMYFUNCTION("""COMPUTED_VALUE"""),962)</f>
        <v>962</v>
      </c>
      <c r="C971" t="str">
        <f ca="1">IFERROR(__xludf.DUMMYFUNCTION("""COMPUTED_VALUE"""),"Jason Froneman")</f>
        <v>Jason Froneman</v>
      </c>
      <c r="D971">
        <f ca="1">IFERROR(__xludf.DUMMYFUNCTION("""COMPUTED_VALUE"""),40)</f>
        <v>40</v>
      </c>
      <c r="E971">
        <f ca="1">IFERROR(__xludf.DUMMYFUNCTION("""COMPUTED_VALUE"""),0.1)</f>
        <v>0.1</v>
      </c>
      <c r="F971">
        <f ca="1">IFERROR(__xludf.DUMMYFUNCTION("""COMPUTED_VALUE"""),3.87)</f>
        <v>3.87</v>
      </c>
      <c r="G971">
        <f ca="1">IFERROR(__xludf.DUMMYFUNCTION("""COMPUTED_VALUE"""),-1.82)</f>
        <v>-1.82</v>
      </c>
      <c r="H971">
        <f ca="1">IFERROR(__xludf.DUMMYFUNCTION("""COMPUTED_VALUE"""),0)</f>
        <v>0</v>
      </c>
      <c r="I971" t="str">
        <f ca="1">IFERROR(__xludf.DUMMYFUNCTION("""COMPUTED_VALUE"""),"")</f>
        <v/>
      </c>
    </row>
    <row r="972" spans="1:9" ht="12.75">
      <c r="A972">
        <f ca="1">IFERROR(__xludf.DUMMYFUNCTION("""COMPUTED_VALUE"""),971)</f>
        <v>971</v>
      </c>
      <c r="B972">
        <f ca="1">IFERROR(__xludf.DUMMYFUNCTION("""COMPUTED_VALUE"""),961)</f>
        <v>961</v>
      </c>
      <c r="C972" t="str">
        <f ca="1">IFERROR(__xludf.DUMMYFUNCTION("""COMPUTED_VALUE"""),"Boo Weekley")</f>
        <v>Boo Weekley</v>
      </c>
      <c r="D972">
        <f ca="1">IFERROR(__xludf.DUMMYFUNCTION("""COMPUTED_VALUE"""),40)</f>
        <v>40</v>
      </c>
      <c r="E972">
        <f ca="1">IFERROR(__xludf.DUMMYFUNCTION("""COMPUTED_VALUE"""),0.1)</f>
        <v>0.1</v>
      </c>
      <c r="F972">
        <f ca="1">IFERROR(__xludf.DUMMYFUNCTION("""COMPUTED_VALUE"""),3.86)</f>
        <v>3.86</v>
      </c>
      <c r="G972">
        <f ca="1">IFERROR(__xludf.DUMMYFUNCTION("""COMPUTED_VALUE"""),-2.77)</f>
        <v>-2.77</v>
      </c>
      <c r="H972">
        <f ca="1">IFERROR(__xludf.DUMMYFUNCTION("""COMPUTED_VALUE"""),0)</f>
        <v>0</v>
      </c>
      <c r="I972" t="str">
        <f ca="1">IFERROR(__xludf.DUMMYFUNCTION("""COMPUTED_VALUE"""),"")</f>
        <v/>
      </c>
    </row>
    <row r="973" spans="1:9" ht="12.75">
      <c r="A973">
        <f ca="1">IFERROR(__xludf.DUMMYFUNCTION("""COMPUTED_VALUE"""),972)</f>
        <v>972</v>
      </c>
      <c r="B973">
        <f ca="1">IFERROR(__xludf.DUMMYFUNCTION("""COMPUTED_VALUE"""),970)</f>
        <v>970</v>
      </c>
      <c r="C973" t="str">
        <f ca="1">IFERROR(__xludf.DUMMYFUNCTION("""COMPUTED_VALUE"""),"MJ Maguire")</f>
        <v>MJ Maguire</v>
      </c>
      <c r="D973">
        <f ca="1">IFERROR(__xludf.DUMMYFUNCTION("""COMPUTED_VALUE"""),40)</f>
        <v>40</v>
      </c>
      <c r="E973">
        <f ca="1">IFERROR(__xludf.DUMMYFUNCTION("""COMPUTED_VALUE"""),0.1)</f>
        <v>0.1</v>
      </c>
      <c r="F973">
        <f ca="1">IFERROR(__xludf.DUMMYFUNCTION("""COMPUTED_VALUE"""),3.83)</f>
        <v>3.83</v>
      </c>
      <c r="G973">
        <f ca="1">IFERROR(__xludf.DUMMYFUNCTION("""COMPUTED_VALUE"""),-1.74)</f>
        <v>-1.74</v>
      </c>
      <c r="H973">
        <f ca="1">IFERROR(__xludf.DUMMYFUNCTION("""COMPUTED_VALUE"""),2.5)</f>
        <v>2.5</v>
      </c>
      <c r="I973" t="str">
        <f ca="1">IFERROR(__xludf.DUMMYFUNCTION("""COMPUTED_VALUE"""),"")</f>
        <v/>
      </c>
    </row>
    <row r="974" spans="1:9" ht="12.75">
      <c r="A974">
        <f ca="1">IFERROR(__xludf.DUMMYFUNCTION("""COMPUTED_VALUE"""),973)</f>
        <v>973</v>
      </c>
      <c r="B974">
        <f ca="1">IFERROR(__xludf.DUMMYFUNCTION("""COMPUTED_VALUE"""),969)</f>
        <v>969</v>
      </c>
      <c r="C974" t="str">
        <f ca="1">IFERROR(__xludf.DUMMYFUNCTION("""COMPUTED_VALUE"""),"Abinav Lohan")</f>
        <v>Abinav Lohan</v>
      </c>
      <c r="D974">
        <f ca="1">IFERROR(__xludf.DUMMYFUNCTION("""COMPUTED_VALUE"""),40)</f>
        <v>40</v>
      </c>
      <c r="E974">
        <f ca="1">IFERROR(__xludf.DUMMYFUNCTION("""COMPUTED_VALUE"""),0.1)</f>
        <v>0.1</v>
      </c>
      <c r="F974">
        <f ca="1">IFERROR(__xludf.DUMMYFUNCTION("""COMPUTED_VALUE"""),3.8)</f>
        <v>3.8</v>
      </c>
      <c r="G974">
        <f ca="1">IFERROR(__xludf.DUMMYFUNCTION("""COMPUTED_VALUE"""),-1.2)</f>
        <v>-1.2</v>
      </c>
      <c r="H974">
        <f ca="1">IFERROR(__xludf.DUMMYFUNCTION("""COMPUTED_VALUE"""),0)</f>
        <v>0</v>
      </c>
      <c r="I974" t="str">
        <f ca="1">IFERROR(__xludf.DUMMYFUNCTION("""COMPUTED_VALUE"""),"")</f>
        <v/>
      </c>
    </row>
    <row r="975" spans="1:9" ht="12.75">
      <c r="A975">
        <f ca="1">IFERROR(__xludf.DUMMYFUNCTION("""COMPUTED_VALUE"""),974)</f>
        <v>974</v>
      </c>
      <c r="B975">
        <f ca="1">IFERROR(__xludf.DUMMYFUNCTION("""COMPUTED_VALUE"""),968)</f>
        <v>968</v>
      </c>
      <c r="C975" t="str">
        <f ca="1">IFERROR(__xludf.DUMMYFUNCTION("""COMPUTED_VALUE"""),"Daniel Gavins")</f>
        <v>Daniel Gavins</v>
      </c>
      <c r="D975">
        <f ca="1">IFERROR(__xludf.DUMMYFUNCTION("""COMPUTED_VALUE"""),42)</f>
        <v>42</v>
      </c>
      <c r="E975">
        <f ca="1">IFERROR(__xludf.DUMMYFUNCTION("""COMPUTED_VALUE"""),0.1)</f>
        <v>0.1</v>
      </c>
      <c r="F975">
        <f ca="1">IFERROR(__xludf.DUMMYFUNCTION("""COMPUTED_VALUE"""),3.99)</f>
        <v>3.99</v>
      </c>
      <c r="G975">
        <f ca="1">IFERROR(__xludf.DUMMYFUNCTION("""COMPUTED_VALUE"""),-2.96)</f>
        <v>-2.96</v>
      </c>
      <c r="H975">
        <f ca="1">IFERROR(__xludf.DUMMYFUNCTION("""COMPUTED_VALUE"""),1.28)</f>
        <v>1.28</v>
      </c>
      <c r="I975" t="str">
        <f ca="1">IFERROR(__xludf.DUMMYFUNCTION("""COMPUTED_VALUE"""),"")</f>
        <v/>
      </c>
    </row>
    <row r="976" spans="1:9" ht="12.75">
      <c r="A976">
        <f ca="1">IFERROR(__xludf.DUMMYFUNCTION("""COMPUTED_VALUE"""),975)</f>
        <v>975</v>
      </c>
      <c r="B976">
        <f ca="1">IFERROR(__xludf.DUMMYFUNCTION("""COMPUTED_VALUE"""),966)</f>
        <v>966</v>
      </c>
      <c r="C976" t="str">
        <f ca="1">IFERROR(__xludf.DUMMYFUNCTION("""COMPUTED_VALUE"""),"Andreas Gronkvist")</f>
        <v>Andreas Gronkvist</v>
      </c>
      <c r="D976">
        <f ca="1">IFERROR(__xludf.DUMMYFUNCTION("""COMPUTED_VALUE"""),40)</f>
        <v>40</v>
      </c>
      <c r="E976">
        <f ca="1">IFERROR(__xludf.DUMMYFUNCTION("""COMPUTED_VALUE"""),0.09)</f>
        <v>0.09</v>
      </c>
      <c r="F976">
        <f ca="1">IFERROR(__xludf.DUMMYFUNCTION("""COMPUTED_VALUE"""),3.78)</f>
        <v>3.78</v>
      </c>
      <c r="G976">
        <f ca="1">IFERROR(__xludf.DUMMYFUNCTION("""COMPUTED_VALUE"""),-3.33)</f>
        <v>-3.33</v>
      </c>
      <c r="H976">
        <f ca="1">IFERROR(__xludf.DUMMYFUNCTION("""COMPUTED_VALUE"""),1.89)</f>
        <v>1.89</v>
      </c>
      <c r="I976" t="str">
        <f ca="1">IFERROR(__xludf.DUMMYFUNCTION("""COMPUTED_VALUE"""),"")</f>
        <v/>
      </c>
    </row>
    <row r="977" spans="1:9" ht="12.75">
      <c r="A977">
        <f ca="1">IFERROR(__xludf.DUMMYFUNCTION("""COMPUTED_VALUE"""),976)</f>
        <v>976</v>
      </c>
      <c r="B977">
        <f ca="1">IFERROR(__xludf.DUMMYFUNCTION("""COMPUTED_VALUE"""),967)</f>
        <v>967</v>
      </c>
      <c r="C977" t="str">
        <f ca="1">IFERROR(__xludf.DUMMYFUNCTION("""COMPUTED_VALUE"""),"Will Wilcox")</f>
        <v>Will Wilcox</v>
      </c>
      <c r="D977">
        <f ca="1">IFERROR(__xludf.DUMMYFUNCTION("""COMPUTED_VALUE"""),40)</f>
        <v>40</v>
      </c>
      <c r="E977">
        <f ca="1">IFERROR(__xludf.DUMMYFUNCTION("""COMPUTED_VALUE"""),0.09)</f>
        <v>0.09</v>
      </c>
      <c r="F977">
        <f ca="1">IFERROR(__xludf.DUMMYFUNCTION("""COMPUTED_VALUE"""),3.77)</f>
        <v>3.77</v>
      </c>
      <c r="G977">
        <f ca="1">IFERROR(__xludf.DUMMYFUNCTION("""COMPUTED_VALUE"""),-6.38)</f>
        <v>-6.38</v>
      </c>
      <c r="H977">
        <f ca="1">IFERROR(__xludf.DUMMYFUNCTION("""COMPUTED_VALUE"""),2.57)</f>
        <v>2.57</v>
      </c>
      <c r="I977" t="str">
        <f ca="1">IFERROR(__xludf.DUMMYFUNCTION("""COMPUTED_VALUE"""),"")</f>
        <v/>
      </c>
    </row>
    <row r="978" spans="1:9" ht="12.75">
      <c r="A978">
        <f ca="1">IFERROR(__xludf.DUMMYFUNCTION("""COMPUTED_VALUE"""),977)</f>
        <v>977</v>
      </c>
      <c r="B978">
        <f ca="1">IFERROR(__xludf.DUMMYFUNCTION("""COMPUTED_VALUE"""),965)</f>
        <v>965</v>
      </c>
      <c r="C978" t="str">
        <f ca="1">IFERROR(__xludf.DUMMYFUNCTION("""COMPUTED_VALUE"""),"Prayad Marksaeng")</f>
        <v>Prayad Marksaeng</v>
      </c>
      <c r="D978">
        <f ca="1">IFERROR(__xludf.DUMMYFUNCTION("""COMPUTED_VALUE"""),40)</f>
        <v>40</v>
      </c>
      <c r="E978">
        <f ca="1">IFERROR(__xludf.DUMMYFUNCTION("""COMPUTED_VALUE"""),0.09)</f>
        <v>0.09</v>
      </c>
      <c r="F978">
        <f ca="1">IFERROR(__xludf.DUMMYFUNCTION("""COMPUTED_VALUE"""),3.76)</f>
        <v>3.76</v>
      </c>
      <c r="G978">
        <f ca="1">IFERROR(__xludf.DUMMYFUNCTION("""COMPUTED_VALUE"""),-4.88)</f>
        <v>-4.88</v>
      </c>
      <c r="H978">
        <f ca="1">IFERROR(__xludf.DUMMYFUNCTION("""COMPUTED_VALUE"""),1.23)</f>
        <v>1.23</v>
      </c>
      <c r="I978" t="str">
        <f ca="1">IFERROR(__xludf.DUMMYFUNCTION("""COMPUTED_VALUE"""),"")</f>
        <v/>
      </c>
    </row>
    <row r="979" spans="1:9" ht="12.75">
      <c r="A979">
        <f ca="1">IFERROR(__xludf.DUMMYFUNCTION("""COMPUTED_VALUE"""),977)</f>
        <v>977</v>
      </c>
      <c r="B979">
        <f ca="1">IFERROR(__xludf.DUMMYFUNCTION("""COMPUTED_VALUE"""),973)</f>
        <v>973</v>
      </c>
      <c r="C979" t="str">
        <f ca="1">IFERROR(__xludf.DUMMYFUNCTION("""COMPUTED_VALUE"""),"Mitch Waite")</f>
        <v>Mitch Waite</v>
      </c>
      <c r="D979">
        <f ca="1">IFERROR(__xludf.DUMMYFUNCTION("""COMPUTED_VALUE"""),40)</f>
        <v>40</v>
      </c>
      <c r="E979">
        <f ca="1">IFERROR(__xludf.DUMMYFUNCTION("""COMPUTED_VALUE"""),0.09)</f>
        <v>0.09</v>
      </c>
      <c r="F979">
        <f ca="1">IFERROR(__xludf.DUMMYFUNCTION("""COMPUTED_VALUE"""),3.76)</f>
        <v>3.76</v>
      </c>
      <c r="G979">
        <f ca="1">IFERROR(__xludf.DUMMYFUNCTION("""COMPUTED_VALUE"""),-1.06)</f>
        <v>-1.06</v>
      </c>
      <c r="H979">
        <f ca="1">IFERROR(__xludf.DUMMYFUNCTION("""COMPUTED_VALUE"""),3.33)</f>
        <v>3.33</v>
      </c>
      <c r="I979" t="str">
        <f ca="1">IFERROR(__xludf.DUMMYFUNCTION("""COMPUTED_VALUE"""),"")</f>
        <v/>
      </c>
    </row>
    <row r="980" spans="1:9" ht="12.75">
      <c r="A980">
        <f ca="1">IFERROR(__xludf.DUMMYFUNCTION("""COMPUTED_VALUE"""),979)</f>
        <v>979</v>
      </c>
      <c r="B980">
        <f ca="1">IFERROR(__xludf.DUMMYFUNCTION("""COMPUTED_VALUE"""),975)</f>
        <v>975</v>
      </c>
      <c r="C980" t="str">
        <f ca="1">IFERROR(__xludf.DUMMYFUNCTION("""COMPUTED_VALUE"""),"Mithun Perera")</f>
        <v>Mithun Perera</v>
      </c>
      <c r="D980">
        <f ca="1">IFERROR(__xludf.DUMMYFUNCTION("""COMPUTED_VALUE"""),40)</f>
        <v>40</v>
      </c>
      <c r="E980">
        <f ca="1">IFERROR(__xludf.DUMMYFUNCTION("""COMPUTED_VALUE"""),0.09)</f>
        <v>0.09</v>
      </c>
      <c r="F980">
        <f ca="1">IFERROR(__xludf.DUMMYFUNCTION("""COMPUTED_VALUE"""),3.75)</f>
        <v>3.75</v>
      </c>
      <c r="G980">
        <f ca="1">IFERROR(__xludf.DUMMYFUNCTION("""COMPUTED_VALUE"""),-1.6)</f>
        <v>-1.6</v>
      </c>
      <c r="H980">
        <f ca="1">IFERROR(__xludf.DUMMYFUNCTION("""COMPUTED_VALUE"""),0)</f>
        <v>0</v>
      </c>
      <c r="I980" t="str">
        <f ca="1">IFERROR(__xludf.DUMMYFUNCTION("""COMPUTED_VALUE"""),"")</f>
        <v/>
      </c>
    </row>
    <row r="981" spans="1:9" ht="12.75">
      <c r="A981">
        <f ca="1">IFERROR(__xludf.DUMMYFUNCTION("""COMPUTED_VALUE"""),980)</f>
        <v>980</v>
      </c>
      <c r="B981">
        <f ca="1">IFERROR(__xludf.DUMMYFUNCTION("""COMPUTED_VALUE"""),977)</f>
        <v>977</v>
      </c>
      <c r="C981" t="str">
        <f ca="1">IFERROR(__xludf.DUMMYFUNCTION("""COMPUTED_VALUE"""),"Yoshitaka Takeya")</f>
        <v>Yoshitaka Takeya</v>
      </c>
      <c r="D981">
        <f ca="1">IFERROR(__xludf.DUMMYFUNCTION("""COMPUTED_VALUE"""),40)</f>
        <v>40</v>
      </c>
      <c r="E981">
        <f ca="1">IFERROR(__xludf.DUMMYFUNCTION("""COMPUTED_VALUE"""),0.09)</f>
        <v>0.09</v>
      </c>
      <c r="F981">
        <f ca="1">IFERROR(__xludf.DUMMYFUNCTION("""COMPUTED_VALUE"""),3.74)</f>
        <v>3.74</v>
      </c>
      <c r="G981">
        <f ca="1">IFERROR(__xludf.DUMMYFUNCTION("""COMPUTED_VALUE"""),-2.45)</f>
        <v>-2.4500000000000002</v>
      </c>
      <c r="H981">
        <f ca="1">IFERROR(__xludf.DUMMYFUNCTION("""COMPUTED_VALUE"""),1.22)</f>
        <v>1.22</v>
      </c>
      <c r="I981" t="str">
        <f ca="1">IFERROR(__xludf.DUMMYFUNCTION("""COMPUTED_VALUE"""),"")</f>
        <v/>
      </c>
    </row>
    <row r="982" spans="1:9" ht="12.75">
      <c r="A982">
        <f ca="1">IFERROR(__xludf.DUMMYFUNCTION("""COMPUTED_VALUE"""),981)</f>
        <v>981</v>
      </c>
      <c r="B982">
        <f ca="1">IFERROR(__xludf.DUMMYFUNCTION("""COMPUTED_VALUE"""),978)</f>
        <v>978</v>
      </c>
      <c r="C982" t="str">
        <f ca="1">IFERROR(__xludf.DUMMYFUNCTION("""COMPUTED_VALUE"""),"Marcel Siem")</f>
        <v>Marcel Siem</v>
      </c>
      <c r="D982">
        <f ca="1">IFERROR(__xludf.DUMMYFUNCTION("""COMPUTED_VALUE"""),42)</f>
        <v>42</v>
      </c>
      <c r="E982">
        <f ca="1">IFERROR(__xludf.DUMMYFUNCTION("""COMPUTED_VALUE"""),0.09)</f>
        <v>0.09</v>
      </c>
      <c r="F982">
        <f ca="1">IFERROR(__xludf.DUMMYFUNCTION("""COMPUTED_VALUE"""),3.91)</f>
        <v>3.91</v>
      </c>
      <c r="G982">
        <f ca="1">IFERROR(__xludf.DUMMYFUNCTION("""COMPUTED_VALUE"""),-4.19)</f>
        <v>-4.1900000000000004</v>
      </c>
      <c r="H982">
        <f ca="1">IFERROR(__xludf.DUMMYFUNCTION("""COMPUTED_VALUE"""),1.2)</f>
        <v>1.2</v>
      </c>
      <c r="I982" t="str">
        <f ca="1">IFERROR(__xludf.DUMMYFUNCTION("""COMPUTED_VALUE"""),"")</f>
        <v/>
      </c>
    </row>
    <row r="983" spans="1:9" ht="12.75">
      <c r="A983">
        <f ca="1">IFERROR(__xludf.DUMMYFUNCTION("""COMPUTED_VALUE"""),981)</f>
        <v>981</v>
      </c>
      <c r="B983" t="str">
        <f ca="1">IFERROR(__xludf.DUMMYFUNCTION("""COMPUTED_VALUE"""),"")</f>
        <v/>
      </c>
      <c r="C983" t="str">
        <f ca="1">IFERROR(__xludf.DUMMYFUNCTION("""COMPUTED_VALUE"""),"Yeongsu Kim")</f>
        <v>Yeongsu Kim</v>
      </c>
      <c r="D983">
        <f ca="1">IFERROR(__xludf.DUMMYFUNCTION("""COMPUTED_VALUE"""),40)</f>
        <v>40</v>
      </c>
      <c r="E983">
        <f ca="1">IFERROR(__xludf.DUMMYFUNCTION("""COMPUTED_VALUE"""),0.09)</f>
        <v>0.09</v>
      </c>
      <c r="F983">
        <f ca="1">IFERROR(__xludf.DUMMYFUNCTION("""COMPUTED_VALUE"""),3.72)</f>
        <v>3.72</v>
      </c>
      <c r="G983">
        <f ca="1">IFERROR(__xludf.DUMMYFUNCTION("""COMPUTED_VALUE"""),-0.47)</f>
        <v>-0.47</v>
      </c>
      <c r="H983">
        <f ca="1">IFERROR(__xludf.DUMMYFUNCTION("""COMPUTED_VALUE"""),3.15)</f>
        <v>3.15</v>
      </c>
      <c r="I983" t="str">
        <f ca="1">IFERROR(__xludf.DUMMYFUNCTION("""COMPUTED_VALUE"""),"")</f>
        <v/>
      </c>
    </row>
    <row r="984" spans="1:9" ht="12.75">
      <c r="A984">
        <f ca="1">IFERROR(__xludf.DUMMYFUNCTION("""COMPUTED_VALUE"""),981)</f>
        <v>981</v>
      </c>
      <c r="B984">
        <f ca="1">IFERROR(__xludf.DUMMYFUNCTION("""COMPUTED_VALUE"""),973)</f>
        <v>973</v>
      </c>
      <c r="C984" t="str">
        <f ca="1">IFERROR(__xludf.DUMMYFUNCTION("""COMPUTED_VALUE"""),"Martin Flores")</f>
        <v>Martin Flores</v>
      </c>
      <c r="D984">
        <f ca="1">IFERROR(__xludf.DUMMYFUNCTION("""COMPUTED_VALUE"""),40)</f>
        <v>40</v>
      </c>
      <c r="E984">
        <f ca="1">IFERROR(__xludf.DUMMYFUNCTION("""COMPUTED_VALUE"""),0.09)</f>
        <v>0.09</v>
      </c>
      <c r="F984">
        <f ca="1">IFERROR(__xludf.DUMMYFUNCTION("""COMPUTED_VALUE"""),3.72)</f>
        <v>3.72</v>
      </c>
      <c r="G984">
        <f ca="1">IFERROR(__xludf.DUMMYFUNCTION("""COMPUTED_VALUE"""),-3.94)</f>
        <v>-3.94</v>
      </c>
      <c r="H984">
        <f ca="1">IFERROR(__xludf.DUMMYFUNCTION("""COMPUTED_VALUE"""),0)</f>
        <v>0</v>
      </c>
      <c r="I984" t="str">
        <f ca="1">IFERROR(__xludf.DUMMYFUNCTION("""COMPUTED_VALUE"""),"")</f>
        <v/>
      </c>
    </row>
    <row r="985" spans="1:9" ht="12.75">
      <c r="A985">
        <f ca="1">IFERROR(__xludf.DUMMYFUNCTION("""COMPUTED_VALUE"""),984)</f>
        <v>984</v>
      </c>
      <c r="B985">
        <f ca="1">IFERROR(__xludf.DUMMYFUNCTION("""COMPUTED_VALUE"""),975)</f>
        <v>975</v>
      </c>
      <c r="C985" t="str">
        <f ca="1">IFERROR(__xludf.DUMMYFUNCTION("""COMPUTED_VALUE"""),"Kevin Yuan")</f>
        <v>Kevin Yuan</v>
      </c>
      <c r="D985">
        <f ca="1">IFERROR(__xludf.DUMMYFUNCTION("""COMPUTED_VALUE"""),40)</f>
        <v>40</v>
      </c>
      <c r="E985">
        <f ca="1">IFERROR(__xludf.DUMMYFUNCTION("""COMPUTED_VALUE"""),0.09)</f>
        <v>0.09</v>
      </c>
      <c r="F985">
        <f ca="1">IFERROR(__xludf.DUMMYFUNCTION("""COMPUTED_VALUE"""),3.72)</f>
        <v>3.72</v>
      </c>
      <c r="G985">
        <f ca="1">IFERROR(__xludf.DUMMYFUNCTION("""COMPUTED_VALUE"""),-2.86)</f>
        <v>-2.86</v>
      </c>
      <c r="H985">
        <f ca="1">IFERROR(__xludf.DUMMYFUNCTION("""COMPUTED_VALUE"""),0)</f>
        <v>0</v>
      </c>
      <c r="I985" t="str">
        <f ca="1">IFERROR(__xludf.DUMMYFUNCTION("""COMPUTED_VALUE"""),"")</f>
        <v/>
      </c>
    </row>
    <row r="986" spans="1:9" ht="12.75">
      <c r="A986">
        <f ca="1">IFERROR(__xludf.DUMMYFUNCTION("""COMPUTED_VALUE"""),985)</f>
        <v>985</v>
      </c>
      <c r="B986">
        <f ca="1">IFERROR(__xludf.DUMMYFUNCTION("""COMPUTED_VALUE"""),980)</f>
        <v>980</v>
      </c>
      <c r="C986" t="str">
        <f ca="1">IFERROR(__xludf.DUMMYFUNCTION("""COMPUTED_VALUE"""),"Lee Dong-Min")</f>
        <v>Lee Dong-Min</v>
      </c>
      <c r="D986">
        <f ca="1">IFERROR(__xludf.DUMMYFUNCTION("""COMPUTED_VALUE"""),40)</f>
        <v>40</v>
      </c>
      <c r="E986">
        <f ca="1">IFERROR(__xludf.DUMMYFUNCTION("""COMPUTED_VALUE"""),0.09)</f>
        <v>0.09</v>
      </c>
      <c r="F986">
        <f ca="1">IFERROR(__xludf.DUMMYFUNCTION("""COMPUTED_VALUE"""),3.68)</f>
        <v>3.68</v>
      </c>
      <c r="G986">
        <f ca="1">IFERROR(__xludf.DUMMYFUNCTION("""COMPUTED_VALUE"""),-3.2)</f>
        <v>-3.2</v>
      </c>
      <c r="H986">
        <f ca="1">IFERROR(__xludf.DUMMYFUNCTION("""COMPUTED_VALUE"""),0)</f>
        <v>0</v>
      </c>
      <c r="I986" t="str">
        <f ca="1">IFERROR(__xludf.DUMMYFUNCTION("""COMPUTED_VALUE"""),"")</f>
        <v/>
      </c>
    </row>
    <row r="987" spans="1:9" ht="12.75">
      <c r="A987">
        <f ca="1">IFERROR(__xludf.DUMMYFUNCTION("""COMPUTED_VALUE"""),985)</f>
        <v>985</v>
      </c>
      <c r="B987">
        <f ca="1">IFERROR(__xludf.DUMMYFUNCTION("""COMPUTED_VALUE"""),983)</f>
        <v>983</v>
      </c>
      <c r="C987" t="str">
        <f ca="1">IFERROR(__xludf.DUMMYFUNCTION("""COMPUTED_VALUE"""),"Ruth Tobias")</f>
        <v>Ruth Tobias</v>
      </c>
      <c r="D987">
        <f ca="1">IFERROR(__xludf.DUMMYFUNCTION("""COMPUTED_VALUE"""),40)</f>
        <v>40</v>
      </c>
      <c r="E987">
        <f ca="1">IFERROR(__xludf.DUMMYFUNCTION("""COMPUTED_VALUE"""),0.09)</f>
        <v>0.09</v>
      </c>
      <c r="F987">
        <f ca="1">IFERROR(__xludf.DUMMYFUNCTION("""COMPUTED_VALUE"""),3.68)</f>
        <v>3.68</v>
      </c>
      <c r="G987">
        <f ca="1">IFERROR(__xludf.DUMMYFUNCTION("""COMPUTED_VALUE"""),-1.47)</f>
        <v>-1.47</v>
      </c>
      <c r="H987">
        <f ca="1">IFERROR(__xludf.DUMMYFUNCTION("""COMPUTED_VALUE"""),1.2)</f>
        <v>1.2</v>
      </c>
      <c r="I987" t="str">
        <f ca="1">IFERROR(__xludf.DUMMYFUNCTION("""COMPUTED_VALUE"""),"")</f>
        <v/>
      </c>
    </row>
    <row r="988" spans="1:9" ht="12.75">
      <c r="A988">
        <f ca="1">IFERROR(__xludf.DUMMYFUNCTION("""COMPUTED_VALUE"""),987)</f>
        <v>987</v>
      </c>
      <c r="B988">
        <f ca="1">IFERROR(__xludf.DUMMYFUNCTION("""COMPUTED_VALUE"""),979)</f>
        <v>979</v>
      </c>
      <c r="C988" t="str">
        <f ca="1">IFERROR(__xludf.DUMMYFUNCTION("""COMPUTED_VALUE"""),"Jeonghyeob Hyun")</f>
        <v>Jeonghyeob Hyun</v>
      </c>
      <c r="D988">
        <f ca="1">IFERROR(__xludf.DUMMYFUNCTION("""COMPUTED_VALUE"""),40)</f>
        <v>40</v>
      </c>
      <c r="E988">
        <f ca="1">IFERROR(__xludf.DUMMYFUNCTION("""COMPUTED_VALUE"""),0.09)</f>
        <v>0.09</v>
      </c>
      <c r="F988">
        <f ca="1">IFERROR(__xludf.DUMMYFUNCTION("""COMPUTED_VALUE"""),3.68)</f>
        <v>3.68</v>
      </c>
      <c r="G988">
        <f ca="1">IFERROR(__xludf.DUMMYFUNCTION("""COMPUTED_VALUE"""),-5.25)</f>
        <v>-5.25</v>
      </c>
      <c r="H988">
        <f ca="1">IFERROR(__xludf.DUMMYFUNCTION("""COMPUTED_VALUE"""),0)</f>
        <v>0</v>
      </c>
      <c r="I988" t="str">
        <f ca="1">IFERROR(__xludf.DUMMYFUNCTION("""COMPUTED_VALUE"""),"")</f>
        <v/>
      </c>
    </row>
    <row r="989" spans="1:9" ht="12.75">
      <c r="A989">
        <f ca="1">IFERROR(__xludf.DUMMYFUNCTION("""COMPUTED_VALUE"""),987)</f>
        <v>987</v>
      </c>
      <c r="B989">
        <f ca="1">IFERROR(__xludf.DUMMYFUNCTION("""COMPUTED_VALUE"""),982)</f>
        <v>982</v>
      </c>
      <c r="C989" t="str">
        <f ca="1">IFERROR(__xludf.DUMMYFUNCTION("""COMPUTED_VALUE"""),"Jae-Min Hwang")</f>
        <v>Jae-Min Hwang</v>
      </c>
      <c r="D989">
        <f ca="1">IFERROR(__xludf.DUMMYFUNCTION("""COMPUTED_VALUE"""),40)</f>
        <v>40</v>
      </c>
      <c r="E989">
        <f ca="1">IFERROR(__xludf.DUMMYFUNCTION("""COMPUTED_VALUE"""),0.09)</f>
        <v>0.09</v>
      </c>
      <c r="F989">
        <f ca="1">IFERROR(__xludf.DUMMYFUNCTION("""COMPUTED_VALUE"""),3.67)</f>
        <v>3.67</v>
      </c>
      <c r="G989">
        <f ca="1">IFERROR(__xludf.DUMMYFUNCTION("""COMPUTED_VALUE"""),-2.88)</f>
        <v>-2.88</v>
      </c>
      <c r="H989">
        <f ca="1">IFERROR(__xludf.DUMMYFUNCTION("""COMPUTED_VALUE"""),0)</f>
        <v>0</v>
      </c>
      <c r="I989" t="str">
        <f ca="1">IFERROR(__xludf.DUMMYFUNCTION("""COMPUTED_VALUE"""),"")</f>
        <v/>
      </c>
    </row>
    <row r="990" spans="1:9" ht="12.75">
      <c r="A990">
        <f ca="1">IFERROR(__xludf.DUMMYFUNCTION("""COMPUTED_VALUE"""),989)</f>
        <v>989</v>
      </c>
      <c r="B990">
        <f ca="1">IFERROR(__xludf.DUMMYFUNCTION("""COMPUTED_VALUE"""),987)</f>
        <v>987</v>
      </c>
      <c r="C990" t="str">
        <f ca="1">IFERROR(__xludf.DUMMYFUNCTION("""COMPUTED_VALUE"""),"Vitor Lopes")</f>
        <v>Vitor Lopes</v>
      </c>
      <c r="D990">
        <f ca="1">IFERROR(__xludf.DUMMYFUNCTION("""COMPUTED_VALUE"""),40)</f>
        <v>40</v>
      </c>
      <c r="E990">
        <f ca="1">IFERROR(__xludf.DUMMYFUNCTION("""COMPUTED_VALUE"""),0.09)</f>
        <v>0.09</v>
      </c>
      <c r="F990">
        <f ca="1">IFERROR(__xludf.DUMMYFUNCTION("""COMPUTED_VALUE"""),3.67)</f>
        <v>3.67</v>
      </c>
      <c r="G990">
        <f ca="1">IFERROR(__xludf.DUMMYFUNCTION("""COMPUTED_VALUE"""),-0.68)</f>
        <v>-0.68</v>
      </c>
      <c r="H990">
        <f ca="1">IFERROR(__xludf.DUMMYFUNCTION("""COMPUTED_VALUE"""),3.06)</f>
        <v>3.06</v>
      </c>
      <c r="I990" t="str">
        <f ca="1">IFERROR(__xludf.DUMMYFUNCTION("""COMPUTED_VALUE"""),"")</f>
        <v/>
      </c>
    </row>
    <row r="991" spans="1:9" ht="12.75">
      <c r="A991">
        <f ca="1">IFERROR(__xludf.DUMMYFUNCTION("""COMPUTED_VALUE"""),990)</f>
        <v>990</v>
      </c>
      <c r="B991">
        <f ca="1">IFERROR(__xludf.DUMMYFUNCTION("""COMPUTED_VALUE"""),991)</f>
        <v>991</v>
      </c>
      <c r="C991" t="str">
        <f ca="1">IFERROR(__xludf.DUMMYFUNCTION("""COMPUTED_VALUE"""),"Cole Miller")</f>
        <v>Cole Miller</v>
      </c>
      <c r="D991">
        <f ca="1">IFERROR(__xludf.DUMMYFUNCTION("""COMPUTED_VALUE"""),40)</f>
        <v>40</v>
      </c>
      <c r="E991">
        <f ca="1">IFERROR(__xludf.DUMMYFUNCTION("""COMPUTED_VALUE"""),0.09)</f>
        <v>0.09</v>
      </c>
      <c r="F991">
        <f ca="1">IFERROR(__xludf.DUMMYFUNCTION("""COMPUTED_VALUE"""),3.66)</f>
        <v>3.66</v>
      </c>
      <c r="G991">
        <f ca="1">IFERROR(__xludf.DUMMYFUNCTION("""COMPUTED_VALUE"""),-1.07)</f>
        <v>-1.07</v>
      </c>
      <c r="H991">
        <f ca="1">IFERROR(__xludf.DUMMYFUNCTION("""COMPUTED_VALUE"""),2.93)</f>
        <v>2.93</v>
      </c>
      <c r="I991" t="str">
        <f ca="1">IFERROR(__xludf.DUMMYFUNCTION("""COMPUTED_VALUE"""),"")</f>
        <v/>
      </c>
    </row>
    <row r="992" spans="1:9" ht="12.75">
      <c r="A992">
        <f ca="1">IFERROR(__xludf.DUMMYFUNCTION("""COMPUTED_VALUE"""),991)</f>
        <v>991</v>
      </c>
      <c r="B992">
        <f ca="1">IFERROR(__xludf.DUMMYFUNCTION("""COMPUTED_VALUE"""),984)</f>
        <v>984</v>
      </c>
      <c r="C992" t="str">
        <f ca="1">IFERROR(__xludf.DUMMYFUNCTION("""COMPUTED_VALUE"""),"Andres Gonzales")</f>
        <v>Andres Gonzales</v>
      </c>
      <c r="D992">
        <f ca="1">IFERROR(__xludf.DUMMYFUNCTION("""COMPUTED_VALUE"""),40)</f>
        <v>40</v>
      </c>
      <c r="E992">
        <f ca="1">IFERROR(__xludf.DUMMYFUNCTION("""COMPUTED_VALUE"""),0.09)</f>
        <v>0.09</v>
      </c>
      <c r="F992">
        <f ca="1">IFERROR(__xludf.DUMMYFUNCTION("""COMPUTED_VALUE"""),3.65)</f>
        <v>3.65</v>
      </c>
      <c r="G992">
        <f ca="1">IFERROR(__xludf.DUMMYFUNCTION("""COMPUTED_VALUE"""),-3.28)</f>
        <v>-3.28</v>
      </c>
      <c r="H992">
        <f ca="1">IFERROR(__xludf.DUMMYFUNCTION("""COMPUTED_VALUE"""),0)</f>
        <v>0</v>
      </c>
      <c r="I992" t="str">
        <f ca="1">IFERROR(__xludf.DUMMYFUNCTION("""COMPUTED_VALUE"""),"")</f>
        <v/>
      </c>
    </row>
    <row r="993" spans="1:9" ht="12.75">
      <c r="A993">
        <f ca="1">IFERROR(__xludf.DUMMYFUNCTION("""COMPUTED_VALUE"""),992)</f>
        <v>992</v>
      </c>
      <c r="B993" t="str">
        <f ca="1">IFERROR(__xludf.DUMMYFUNCTION("""COMPUTED_VALUE"""),"")</f>
        <v/>
      </c>
      <c r="C993" t="str">
        <f ca="1">IFERROR(__xludf.DUMMYFUNCTION("""COMPUTED_VALUE"""),"Xiao Bo Wen")</f>
        <v>Xiao Bo Wen</v>
      </c>
      <c r="D993">
        <f ca="1">IFERROR(__xludf.DUMMYFUNCTION("""COMPUTED_VALUE"""),40)</f>
        <v>40</v>
      </c>
      <c r="E993">
        <f ca="1">IFERROR(__xludf.DUMMYFUNCTION("""COMPUTED_VALUE"""),0.09)</f>
        <v>0.09</v>
      </c>
      <c r="F993">
        <f ca="1">IFERROR(__xludf.DUMMYFUNCTION("""COMPUTED_VALUE"""),3.65)</f>
        <v>3.65</v>
      </c>
      <c r="G993">
        <f ca="1">IFERROR(__xludf.DUMMYFUNCTION("""COMPUTED_VALUE"""),-1.36)</f>
        <v>-1.36</v>
      </c>
      <c r="H993">
        <f ca="1">IFERROR(__xludf.DUMMYFUNCTION("""COMPUTED_VALUE"""),1.88)</f>
        <v>1.88</v>
      </c>
      <c r="I993" t="str">
        <f ca="1">IFERROR(__xludf.DUMMYFUNCTION("""COMPUTED_VALUE"""),"")</f>
        <v/>
      </c>
    </row>
    <row r="994" spans="1:9" ht="12.75">
      <c r="A994">
        <f ca="1">IFERROR(__xludf.DUMMYFUNCTION("""COMPUTED_VALUE"""),993)</f>
        <v>993</v>
      </c>
      <c r="B994">
        <f ca="1">IFERROR(__xludf.DUMMYFUNCTION("""COMPUTED_VALUE"""),980)</f>
        <v>980</v>
      </c>
      <c r="C994" t="str">
        <f ca="1">IFERROR(__xludf.DUMMYFUNCTION("""COMPUTED_VALUE"""),"Marcelo Rozo")</f>
        <v>Marcelo Rozo</v>
      </c>
      <c r="D994">
        <f ca="1">IFERROR(__xludf.DUMMYFUNCTION("""COMPUTED_VALUE"""),52)</f>
        <v>52</v>
      </c>
      <c r="E994">
        <f ca="1">IFERROR(__xludf.DUMMYFUNCTION("""COMPUTED_VALUE"""),0.09)</f>
        <v>0.09</v>
      </c>
      <c r="F994">
        <f ca="1">IFERROR(__xludf.DUMMYFUNCTION("""COMPUTED_VALUE"""),4.73)</f>
        <v>4.7300000000000004</v>
      </c>
      <c r="G994">
        <f ca="1">IFERROR(__xludf.DUMMYFUNCTION("""COMPUTED_VALUE"""),-6.69)</f>
        <v>-6.69</v>
      </c>
      <c r="H994">
        <f ca="1">IFERROR(__xludf.DUMMYFUNCTION("""COMPUTED_VALUE"""),0)</f>
        <v>0</v>
      </c>
      <c r="I994" t="str">
        <f ca="1">IFERROR(__xludf.DUMMYFUNCTION("""COMPUTED_VALUE"""),"")</f>
        <v/>
      </c>
    </row>
    <row r="995" spans="1:9" ht="12.75">
      <c r="A995">
        <f ca="1">IFERROR(__xludf.DUMMYFUNCTION("""COMPUTED_VALUE"""),994)</f>
        <v>994</v>
      </c>
      <c r="B995">
        <f ca="1">IFERROR(__xludf.DUMMYFUNCTION("""COMPUTED_VALUE"""),985)</f>
        <v>985</v>
      </c>
      <c r="C995" t="str">
        <f ca="1">IFERROR(__xludf.DUMMYFUNCTION("""COMPUTED_VALUE"""),"Christiaan Basson")</f>
        <v>Christiaan Basson</v>
      </c>
      <c r="D995">
        <f ca="1">IFERROR(__xludf.DUMMYFUNCTION("""COMPUTED_VALUE"""),43)</f>
        <v>43</v>
      </c>
      <c r="E995">
        <f ca="1">IFERROR(__xludf.DUMMYFUNCTION("""COMPUTED_VALUE"""),0.09)</f>
        <v>0.09</v>
      </c>
      <c r="F995">
        <f ca="1">IFERROR(__xludf.DUMMYFUNCTION("""COMPUTED_VALUE"""),3.9)</f>
        <v>3.9</v>
      </c>
      <c r="G995">
        <f ca="1">IFERROR(__xludf.DUMMYFUNCTION("""COMPUTED_VALUE"""),-3.66)</f>
        <v>-3.66</v>
      </c>
      <c r="H995">
        <f ca="1">IFERROR(__xludf.DUMMYFUNCTION("""COMPUTED_VALUE"""),1.61)</f>
        <v>1.61</v>
      </c>
      <c r="I995" t="str">
        <f ca="1">IFERROR(__xludf.DUMMYFUNCTION("""COMPUTED_VALUE"""),"")</f>
        <v/>
      </c>
    </row>
    <row r="996" spans="1:9" ht="12.75">
      <c r="A996">
        <f ca="1">IFERROR(__xludf.DUMMYFUNCTION("""COMPUTED_VALUE"""),995)</f>
        <v>995</v>
      </c>
      <c r="B996">
        <f ca="1">IFERROR(__xludf.DUMMYFUNCTION("""COMPUTED_VALUE"""),971)</f>
        <v>971</v>
      </c>
      <c r="C996" t="str">
        <f ca="1">IFERROR(__xludf.DUMMYFUNCTION("""COMPUTED_VALUE"""),"Jim Knous")</f>
        <v>Jim Knous</v>
      </c>
      <c r="D996">
        <f ca="1">IFERROR(__xludf.DUMMYFUNCTION("""COMPUTED_VALUE"""),40)</f>
        <v>40</v>
      </c>
      <c r="E996">
        <f ca="1">IFERROR(__xludf.DUMMYFUNCTION("""COMPUTED_VALUE"""),0.09)</f>
        <v>0.09</v>
      </c>
      <c r="F996">
        <f ca="1">IFERROR(__xludf.DUMMYFUNCTION("""COMPUTED_VALUE"""),3.62)</f>
        <v>3.62</v>
      </c>
      <c r="G996">
        <f ca="1">IFERROR(__xludf.DUMMYFUNCTION("""COMPUTED_VALUE"""),-8.14)</f>
        <v>-8.14</v>
      </c>
      <c r="H996">
        <f ca="1">IFERROR(__xludf.DUMMYFUNCTION("""COMPUTED_VALUE"""),0)</f>
        <v>0</v>
      </c>
      <c r="I996" t="str">
        <f ca="1">IFERROR(__xludf.DUMMYFUNCTION("""COMPUTED_VALUE"""),"")</f>
        <v/>
      </c>
    </row>
    <row r="997" spans="1:9" ht="12.75">
      <c r="A997">
        <f ca="1">IFERROR(__xludf.DUMMYFUNCTION("""COMPUTED_VALUE"""),996)</f>
        <v>996</v>
      </c>
      <c r="B997">
        <f ca="1">IFERROR(__xludf.DUMMYFUNCTION("""COMPUTED_VALUE"""),990)</f>
        <v>990</v>
      </c>
      <c r="C997" t="str">
        <f ca="1">IFERROR(__xludf.DUMMYFUNCTION("""COMPUTED_VALUE"""),"Nicolas Paez")</f>
        <v>Nicolas Paez</v>
      </c>
      <c r="D997">
        <f ca="1">IFERROR(__xludf.DUMMYFUNCTION("""COMPUTED_VALUE"""),40)</f>
        <v>40</v>
      </c>
      <c r="E997">
        <f ca="1">IFERROR(__xludf.DUMMYFUNCTION("""COMPUTED_VALUE"""),0.09)</f>
        <v>0.09</v>
      </c>
      <c r="F997">
        <f ca="1">IFERROR(__xludf.DUMMYFUNCTION("""COMPUTED_VALUE"""),3.6)</f>
        <v>3.6</v>
      </c>
      <c r="G997">
        <f ca="1">IFERROR(__xludf.DUMMYFUNCTION("""COMPUTED_VALUE"""),-2.63)</f>
        <v>-2.63</v>
      </c>
      <c r="H997">
        <f ca="1">IFERROR(__xludf.DUMMYFUNCTION("""COMPUTED_VALUE"""),0)</f>
        <v>0</v>
      </c>
      <c r="I997" t="str">
        <f ca="1">IFERROR(__xludf.DUMMYFUNCTION("""COMPUTED_VALUE"""),"")</f>
        <v/>
      </c>
    </row>
    <row r="998" spans="1:9" ht="12.75">
      <c r="A998">
        <f ca="1">IFERROR(__xludf.DUMMYFUNCTION("""COMPUTED_VALUE"""),997)</f>
        <v>997</v>
      </c>
      <c r="B998" t="str">
        <f ca="1">IFERROR(__xludf.DUMMYFUNCTION("""COMPUTED_VALUE"""),"")</f>
        <v/>
      </c>
      <c r="C998" t="str">
        <f ca="1">IFERROR(__xludf.DUMMYFUNCTION("""COMPUTED_VALUE"""),"Wenyi Huang")</f>
        <v>Wenyi Huang</v>
      </c>
      <c r="D998">
        <f ca="1">IFERROR(__xludf.DUMMYFUNCTION("""COMPUTED_VALUE"""),40)</f>
        <v>40</v>
      </c>
      <c r="E998">
        <f ca="1">IFERROR(__xludf.DUMMYFUNCTION("""COMPUTED_VALUE"""),0.09)</f>
        <v>0.09</v>
      </c>
      <c r="F998">
        <f ca="1">IFERROR(__xludf.DUMMYFUNCTION("""COMPUTED_VALUE"""),3.6)</f>
        <v>3.6</v>
      </c>
      <c r="G998">
        <f ca="1">IFERROR(__xludf.DUMMYFUNCTION("""COMPUTED_VALUE"""),-0.34)</f>
        <v>-0.34</v>
      </c>
      <c r="H998">
        <f ca="1">IFERROR(__xludf.DUMMYFUNCTION("""COMPUTED_VALUE"""),3.6)</f>
        <v>3.6</v>
      </c>
      <c r="I998" t="str">
        <f ca="1">IFERROR(__xludf.DUMMYFUNCTION("""COMPUTED_VALUE"""),"")</f>
        <v/>
      </c>
    </row>
    <row r="999" spans="1:9" ht="12.75">
      <c r="A999">
        <f ca="1">IFERROR(__xludf.DUMMYFUNCTION("""COMPUTED_VALUE"""),997)</f>
        <v>997</v>
      </c>
      <c r="B999">
        <f ca="1">IFERROR(__xludf.DUMMYFUNCTION("""COMPUTED_VALUE"""),995)</f>
        <v>995</v>
      </c>
      <c r="C999" t="str">
        <f ca="1">IFERROR(__xludf.DUMMYFUNCTION("""COMPUTED_VALUE"""),"Kyle McClatchie")</f>
        <v>Kyle McClatchie</v>
      </c>
      <c r="D999">
        <f ca="1">IFERROR(__xludf.DUMMYFUNCTION("""COMPUTED_VALUE"""),40)</f>
        <v>40</v>
      </c>
      <c r="E999">
        <f ca="1">IFERROR(__xludf.DUMMYFUNCTION("""COMPUTED_VALUE"""),0.09)</f>
        <v>0.09</v>
      </c>
      <c r="F999">
        <f ca="1">IFERROR(__xludf.DUMMYFUNCTION("""COMPUTED_VALUE"""),3.6)</f>
        <v>3.6</v>
      </c>
      <c r="G999">
        <f ca="1">IFERROR(__xludf.DUMMYFUNCTION("""COMPUTED_VALUE"""),-0.85)</f>
        <v>-0.85</v>
      </c>
      <c r="H999">
        <f ca="1">IFERROR(__xludf.DUMMYFUNCTION("""COMPUTED_VALUE"""),3)</f>
        <v>3</v>
      </c>
      <c r="I999" t="str">
        <f ca="1">IFERROR(__xludf.DUMMYFUNCTION("""COMPUTED_VALUE"""),"")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Names</vt:lpstr>
      <vt:lpstr>MasterPlayers</vt:lpstr>
      <vt:lpstr>DrivDist</vt:lpstr>
      <vt:lpstr>DrivDist2</vt:lpstr>
      <vt:lpstr>DrivCover</vt:lpstr>
      <vt:lpstr>DrivAcc</vt:lpstr>
      <vt:lpstr>DrivFair</vt:lpstr>
      <vt:lpstr>DrivGood</vt:lpstr>
      <vt:lpstr>ShotGain</vt:lpstr>
      <vt:lpstr>GIR</vt:lpstr>
      <vt:lpstr>GFIR</vt:lpstr>
      <vt:lpstr>GIRFair</vt:lpstr>
      <vt:lpstr>GIROther</vt:lpstr>
      <vt:lpstr>Prox</vt:lpstr>
      <vt:lpstr>ProxFair</vt:lpstr>
      <vt:lpstr>Prox125</vt:lpstr>
      <vt:lpstr>Prox150</vt:lpstr>
      <vt:lpstr>Prox175</vt:lpstr>
      <vt:lpstr>Prox200</vt:lpstr>
      <vt:lpstr>Prox200plus</vt:lpstr>
      <vt:lpstr>ProxRough</vt:lpstr>
      <vt:lpstr>GoGreen</vt:lpstr>
      <vt:lpstr>GoGreenAcc</vt:lpstr>
      <vt:lpstr>GoGreenDist</vt:lpstr>
      <vt:lpstr>GoGreenProx</vt:lpstr>
      <vt:lpstr>AppDist</vt:lpstr>
      <vt:lpstr>ShotARG</vt:lpstr>
      <vt:lpstr>SandSave</vt:lpstr>
      <vt:lpstr>Scram</vt:lpstr>
      <vt:lpstr>ScramSand</vt:lpstr>
      <vt:lpstr>ScramRough</vt:lpstr>
      <vt:lpstr>ScramFair</vt:lpstr>
      <vt:lpstr>ScramOther</vt:lpstr>
      <vt:lpstr>ARG</vt:lpstr>
      <vt:lpstr>ARGsand</vt:lpstr>
      <vt:lpstr>ARGrough</vt:lpstr>
      <vt:lpstr>ARGfair</vt:lpstr>
      <vt:lpstr>ARGother</vt:lpstr>
      <vt:lpstr>Putt5</vt:lpstr>
      <vt:lpstr>Putt10</vt:lpstr>
      <vt:lpstr>Putt15</vt:lpstr>
      <vt:lpstr>Putt20</vt:lpstr>
      <vt:lpstr>Putt25</vt:lpstr>
      <vt:lpstr>Putt25plus</vt:lpstr>
      <vt:lpstr>Putt5to15</vt:lpstr>
      <vt:lpstr>Putt15to25</vt:lpstr>
      <vt:lpstr>PuttAvg</vt:lpstr>
      <vt:lpstr>PuttTotal</vt:lpstr>
      <vt:lpstr>DriveGain</vt:lpstr>
      <vt:lpstr>AppGain</vt:lpstr>
      <vt:lpstr>ArgGain</vt:lpstr>
      <vt:lpstr>PuttGain</vt:lpstr>
      <vt:lpstr>TotalGain</vt:lpstr>
      <vt:lpstr>ScoreAvg</vt:lpstr>
      <vt:lpstr>ScoreAvgAct</vt:lpstr>
      <vt:lpstr>ScorePar3</vt:lpstr>
      <vt:lpstr>ScorePar4</vt:lpstr>
      <vt:lpstr>ScorePar5</vt:lpstr>
      <vt:lpstr>Top10</vt:lpstr>
      <vt:lpstr>YearMoney</vt:lpstr>
      <vt:lpstr>CareerMoney</vt:lpstr>
      <vt:lpstr>WorldRank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2020-11-11T22:24:21Z</dcterms:created>
  <dcterms:modified xsi:type="dcterms:W3CDTF">2020-11-12T01:35:31Z</dcterms:modified>
</cp:coreProperties>
</file>